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Pending" sheetId="3" state="visible" r:id="rId3"/>
    <sheet name="Flow" sheetId="4" state="visible" r:id="rId4"/>
    <sheet name="Fundamentals" sheetId="5" state="visible" r:id="rId5"/>
    <sheet name="Override" sheetId="6" state="visible" r:id="rId6"/>
    <sheet name="HSI" sheetId="7" state="visible" r:id="rId7"/>
    <sheet name="HSTECH" sheetId="8" state="visible" r:id="rId8"/>
    <sheet name="HSCEI" sheetId="9" state="visible" r:id="rId9"/>
    <sheet name="Field Check" sheetId="10" state="visible" r:id="rId10"/>
    <sheet name="Dvd Calendar" sheetId="11" state="visible" r:id="rId11"/>
    <sheet name="Fund History" sheetId="12" state="visible" r:id="rId12"/>
    <sheet name="Grids" sheetId="13" state="visible" r:id="rId13"/>
  </sheets>
  <definedNames>
    <definedName name="VAL_DATE">Summary!$C$11</definedName>
    <definedName name="YEAR_Y">Summary!$C$12</definedName>
    <definedName name="INC_SPECIALS">Summary!$C$13</definedName>
    <definedName name="RMB_CROSS">Summary!$C$14</definedName>
    <definedName name="HORIZON_DT">Summary!$C$15</definedName>
    <definedName name="PULL_FUND">Summary!$C$16</definedName>
    <definedName name="HIST_FROM">Summary!$C$18</definedName>
    <definedName name="HIST_TO">Summary!$D$18</definedName>
    <definedName name="OV_SWITCH">Override!$C$4</definedName>
    <definedName name="GRID_FROM">Grids!$D$5</definedName>
    <definedName name="GRID_TO">Grids!$D$6</definedName>
    <definedName name="VAL_SERIAL">Grids!$D$7</definedName>
    <definedName name="REALIZED_TO">Grids!$D$8</definedName>
    <definedName name="PROJ_FROM">Grids!$D$9</definedName>
    <definedName name="PEND_FROM">Pending!$F$4</definedName>
    <definedName name="PEND_TO">Pending!$H$4</definedName>
    <definedName name="FLD_PROJ">'Field Check'!$C$6</definedName>
    <definedName name="FLD_HIST">'Field Check'!$C$7</definedName>
    <definedName name="FLD_CCY">'Field Check'!$C$8</definedName>
    <definedName name="FLD_DPS12M">'Field Check'!$C$9</definedName>
    <definedName name="FLD_YLD12M">'Field Check'!$C$10</definedName>
    <definedName name="EPS_FIELD">'Field Check'!$C$15</definedName>
    <definedName name="YR_OVERRIDE">'Field Check'!$C$16</definedName>
    <definedName name="PAYOUT_FIELD">'Field Check'!$C$17</definedName>
    <definedName name="NDEBITDA_FIELD">'Field Check'!$C$18</definedName>
    <definedName name="EBINT_FIELD">'Field Check'!$C$19</definedName>
    <definedName name="NDE_FIELD">'Field Check'!$C$20</definedName>
    <definedName name="BUYBACK_QUERY">'Field Check'!$C$21</definedName>
    <definedName name="FCF_FIELD">'Field Check'!$C$24</definedName>
    <definedName name="BESTEPS_FIELD">'Field Check'!$C$25</definedName>
    <definedName name="BESTDPS_FIELD">'Field Check'!$C$26</definedName>
    <definedName name="FWD_OVERRIDE">'Field Check'!$C$27</definedName>
    <definedName name="TYPE1">'Field Check'!$C$30</definedName>
    <definedName name="TYPE2">'Field Check'!$C$31</definedName>
    <definedName name="TYPE3">'Field Check'!$C$32</definedName>
    <definedName name="TYPE4">'Field Check'!$C$33</definedName>
    <definedName name="SPECIAL_LBL">'Field Check'!$C$34</definedName>
    <definedName name="OVR_TICKERS">Override!$B$12:$B$71</definedName>
    <definedName name="OVR_BASE">Override!$D$12:$D$71</definedName>
    <definedName name="OVR_LOW">Override!$E$12:$E$71</definedName>
    <definedName name="OVR_HIGH">Override!$F$12:$F$71</definedName>
    <definedName name="_xlnm._FilterDatabase" localSheetId="4" hidden="1">'Fundamentals'!$B$11:$AQ$211</definedName>
    <definedName name="_xlnm._FilterDatabase" localSheetId="6" hidden="1">'HSI'!$A$6:$Z$106</definedName>
    <definedName name="_xlnm._FilterDatabase" localSheetId="7" hidden="1">'HSTECH'!$A$6:$Z$46</definedName>
    <definedName name="_xlnm._FilterDatabase" localSheetId="8" hidden="1">'HSCEI'!$A$6:$Z$66</definedName>
  </definedNames>
  <calcPr calcId="124519" fullCalcOnLoad="1"/>
</workbook>
</file>

<file path=xl/styles.xml><?xml version="1.0" encoding="utf-8"?>
<styleSheet xmlns="http://schemas.openxmlformats.org/spreadsheetml/2006/main">
  <numFmts count="22">
    <numFmt numFmtId="164" formatCode="dd-mmm-yy"/>
    <numFmt numFmtId="165" formatCode="#,##0.0"/>
    <numFmt numFmtId="166" formatCode="+#,##0.00;-#,##0.00"/>
    <numFmt numFmtId="167" formatCode="+0.0%;-0.0%"/>
    <numFmt numFmtId="168" formatCode="+#,##0.0;-#,##0.0"/>
    <numFmt numFmtId="169" formatCode="0.0%"/>
    <numFmt numFmtId="170" formatCode="0.0000"/>
    <numFmt numFmtId="171" formatCode="0.000;;"/>
    <numFmt numFmtId="172" formatCode="0.00;;"/>
    <numFmt numFmtId="173" formatCode="0.0%;;"/>
    <numFmt numFmtId="174" formatCode="#,##0.000;;"/>
    <numFmt numFmtId="175" formatCode="0.00%;;"/>
    <numFmt numFmtId="176" formatCode="0;;"/>
    <numFmt numFmtId="177" formatCode="dd-mmm-yy;;"/>
    <numFmt numFmtId="178" formatCode="0.####"/>
    <numFmt numFmtId="179" formatCode=";;;"/>
    <numFmt numFmtId="180" formatCode="0.000"/>
    <numFmt numFmtId="181" formatCode="dd-mmm;;"/>
    <numFmt numFmtId="182" formatCode="0.0"/>
    <numFmt numFmtId="183" formatCode="0%;;"/>
    <numFmt numFmtId="184" formatCode="0.0;;"/>
    <numFmt numFmtId="185" formatCode="+0.000;-0.000;;"/>
  </numFmts>
  <fonts count="12">
    <font>
      <name val="Calibri"/>
      <family val="2"/>
      <color theme="1"/>
      <sz val="11"/>
      <scheme val="minor"/>
    </font>
    <font>
      <name val="Arial"/>
      <b val="1"/>
      <sz val="13"/>
    </font>
    <font>
      <name val="Arial"/>
      <i val="1"/>
      <color rgb="00808080"/>
      <sz val="9"/>
    </font>
    <font>
      <name val="Arial"/>
      <b val="1"/>
      <sz val="10"/>
    </font>
    <font>
      <name val="Arial"/>
      <b val="1"/>
      <color rgb="00006100"/>
      <sz val="10"/>
    </font>
    <font>
      <name val="Arial"/>
      <sz val="10"/>
    </font>
    <font>
      <name val="Arial"/>
      <color rgb="000000FF"/>
      <sz val="10"/>
    </font>
    <font>
      <name val="Arial"/>
      <b val="1"/>
      <color rgb="00FFFFFF"/>
      <sz val="10"/>
    </font>
    <font>
      <name val="Arial"/>
      <b val="1"/>
      <sz val="11"/>
    </font>
    <font>
      <name val="Arial"/>
      <b val="1"/>
      <color rgb="00C00000"/>
      <sz val="10"/>
    </font>
    <font>
      <name val="Arial"/>
      <color rgb="000563C1"/>
      <sz val="10"/>
      <u val="single"/>
    </font>
    <font>
      <name val="Arial"/>
      <b val="1"/>
      <color rgb="000000FF"/>
      <sz val="11"/>
    </font>
  </fonts>
  <fills count="13">
    <fill>
      <patternFill/>
    </fill>
    <fill>
      <patternFill patternType="gray125"/>
    </fill>
    <fill>
      <patternFill patternType="solid">
        <fgColor rgb="00D9D9D9"/>
      </patternFill>
    </fill>
    <fill>
      <patternFill patternType="solid">
        <fgColor rgb="00DDEBF7"/>
      </patternFill>
    </fill>
    <fill>
      <patternFill patternType="solid">
        <fgColor rgb="00FFFF00"/>
      </patternFill>
    </fill>
    <fill>
      <patternFill patternType="solid">
        <fgColor rgb="00F2F2F2"/>
      </patternFill>
    </fill>
    <fill>
      <patternFill patternType="solid">
        <fgColor rgb="001F3864"/>
      </patternFill>
    </fill>
    <fill>
      <patternFill patternType="solid">
        <fgColor rgb="00E2EFDA"/>
      </patternFill>
    </fill>
    <fill>
      <patternFill patternType="solid">
        <fgColor rgb="00FFF2CC"/>
      </patternFill>
    </fill>
    <fill>
      <patternFill patternType="solid">
        <fgColor rgb="00375623"/>
      </patternFill>
    </fill>
    <fill>
      <patternFill patternType="solid">
        <fgColor rgb="00833C00"/>
      </patternFill>
    </fill>
    <fill>
      <patternFill patternType="solid">
        <fgColor rgb="00C6EFCE"/>
      </patternFill>
    </fill>
    <fill>
      <patternFill patternType="solid">
        <fgColor rgb="00FFE699"/>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thin"/>
      <top style="thin"/>
      <bottom style="thin"/>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0" borderId="0" pivotButton="0" quotePrefix="0" xfId="0"/>
    <xf numFmtId="0" fontId="10" fillId="0" borderId="0" pivotButton="0" quotePrefix="0" xfId="0"/>
    <xf numFmtId="0" fontId="6" fillId="0" borderId="0" pivotButton="0" quotePrefix="0" xfId="0"/>
    <xf numFmtId="0" fontId="3" fillId="0" borderId="0" pivotButton="0" quotePrefix="0" xfId="0"/>
    <xf numFmtId="0" fontId="3" fillId="4" borderId="1" applyAlignment="1" pivotButton="0" quotePrefix="0" xfId="0">
      <alignment horizontal="center" vertical="center" wrapText="1"/>
    </xf>
    <xf numFmtId="0" fontId="2" fillId="0" borderId="0" applyAlignment="1" pivotButton="0" quotePrefix="0" xfId="0">
      <alignment vertical="top" wrapText="1"/>
    </xf>
    <xf numFmtId="164" fontId="6" fillId="3" borderId="1" pivotButton="0" quotePrefix="0" xfId="0"/>
    <xf numFmtId="1" fontId="6" fillId="3" borderId="1" pivotButton="0" quotePrefix="0" xfId="0"/>
    <xf numFmtId="0" fontId="6" fillId="3" borderId="1" pivotButton="0" quotePrefix="0" xfId="0"/>
    <xf numFmtId="0" fontId="3" fillId="4" borderId="1" pivotButton="0" quotePrefix="0" xfId="0"/>
    <xf numFmtId="0" fontId="0" fillId="0" borderId="4" pivotButton="0" quotePrefix="0" xfId="0"/>
    <xf numFmtId="0" fontId="0" fillId="0" borderId="5" pivotButton="0" quotePrefix="0" xfId="0"/>
    <xf numFmtId="0" fontId="5" fillId="5" borderId="1" pivotButton="0" quotePrefix="0" xfId="0"/>
    <xf numFmtId="0" fontId="7" fillId="6" borderId="1" applyAlignment="1" pivotButton="0" quotePrefix="0" xfId="0">
      <alignment horizontal="center" vertical="center" wrapText="1"/>
    </xf>
    <xf numFmtId="165" fontId="5" fillId="5" borderId="1" pivotButton="0" quotePrefix="0" xfId="0"/>
    <xf numFmtId="4" fontId="5" fillId="5" borderId="1" pivotButton="0" quotePrefix="0" xfId="0"/>
    <xf numFmtId="0" fontId="8" fillId="0" borderId="0" pivotButton="0" quotePrefix="0" xfId="0"/>
    <xf numFmtId="4" fontId="8" fillId="4" borderId="1" pivotButton="0" quotePrefix="0" xfId="0"/>
    <xf numFmtId="10" fontId="3" fillId="5" borderId="1" pivotButton="0" quotePrefix="0" xfId="0"/>
    <xf numFmtId="4" fontId="6" fillId="3" borderId="1" pivotButton="0" quotePrefix="0" xfId="0"/>
    <xf numFmtId="4" fontId="3" fillId="5" borderId="1" pivotButton="0" quotePrefix="0" xfId="0"/>
    <xf numFmtId="166" fontId="8" fillId="4" borderId="1" pivotButton="0" quotePrefix="0" xfId="0"/>
    <xf numFmtId="167" fontId="8" fillId="4" borderId="1" pivotButton="0" quotePrefix="0" xfId="0"/>
    <xf numFmtId="3" fontId="5" fillId="5" borderId="1" pivotButton="0" quotePrefix="0" xfId="0"/>
    <xf numFmtId="10" fontId="5" fillId="5" borderId="1" pivotButton="0" quotePrefix="0" xfId="0"/>
    <xf numFmtId="168" fontId="3" fillId="4" borderId="1" pivotButton="0" quotePrefix="0" xfId="0"/>
    <xf numFmtId="3" fontId="3" fillId="4" borderId="1" pivotButton="0" quotePrefix="0" xfId="0"/>
    <xf numFmtId="0" fontId="5" fillId="5" borderId="1" applyAlignment="1" pivotButton="0" quotePrefix="0" xfId="0">
      <alignment horizontal="center"/>
    </xf>
    <xf numFmtId="164" fontId="3" fillId="4" borderId="1" pivotButton="0" quotePrefix="0" xfId="0"/>
    <xf numFmtId="179" fontId="2" fillId="0" borderId="0" pivotButton="0" quotePrefix="0" xfId="0"/>
    <xf numFmtId="3" fontId="3" fillId="5" borderId="1" applyAlignment="1" pivotButton="0" quotePrefix="0" xfId="0">
      <alignment horizontal="center"/>
    </xf>
    <xf numFmtId="0" fontId="9" fillId="0" borderId="0" pivotButton="0" quotePrefix="0" xfId="0"/>
    <xf numFmtId="1" fontId="2" fillId="0" borderId="0" pivotButton="0" quotePrefix="0" xfId="0"/>
    <xf numFmtId="177" fontId="5" fillId="5" borderId="1" pivotButton="0" quotePrefix="0" xfId="0"/>
    <xf numFmtId="180" fontId="5" fillId="5" borderId="1" pivotButton="0" quotePrefix="0" xfId="0"/>
    <xf numFmtId="171" fontId="3" fillId="5" borderId="1" pivotButton="0" quotePrefix="0" xfId="0"/>
    <xf numFmtId="0" fontId="5" fillId="0" borderId="1" pivotButton="0" quotePrefix="0" xfId="0"/>
    <xf numFmtId="0" fontId="2" fillId="0" borderId="1" pivotButton="0" quotePrefix="0" xfId="0"/>
    <xf numFmtId="1" fontId="3" fillId="4" borderId="1" applyAlignment="1" pivotButton="0" quotePrefix="0" xfId="0">
      <alignment horizontal="center"/>
    </xf>
    <xf numFmtId="164" fontId="3" fillId="5" borderId="1" pivotButton="0" quotePrefix="0" xfId="0"/>
    <xf numFmtId="4" fontId="3" fillId="4" borderId="1" pivotButton="0" quotePrefix="0" xfId="0"/>
    <xf numFmtId="172" fontId="5" fillId="5" borderId="1" pivotButton="0" quotePrefix="0" xfId="0"/>
    <xf numFmtId="181" fontId="2" fillId="0" borderId="0" pivotButton="0" quotePrefix="0" xfId="0"/>
    <xf numFmtId="171" fontId="5" fillId="0" borderId="0" pivotButton="0" quotePrefix="0" xfId="0"/>
    <xf numFmtId="172" fontId="5" fillId="0" borderId="0" pivotButton="0" quotePrefix="0" xfId="0"/>
    <xf numFmtId="9" fontId="6" fillId="3" borderId="1" pivotButton="0" quotePrefix="0" xfId="0"/>
    <xf numFmtId="182" fontId="6" fillId="3" borderId="1"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7" fillId="9" borderId="6" applyAlignment="1" pivotButton="0" quotePrefix="0" xfId="0">
      <alignment horizontal="center" vertical="center" wrapText="1"/>
    </xf>
    <xf numFmtId="0" fontId="7" fillId="9" borderId="1" applyAlignment="1" pivotButton="0" quotePrefix="0" xfId="0">
      <alignment horizontal="center" vertical="center" wrapText="1"/>
    </xf>
    <xf numFmtId="0" fontId="7" fillId="6" borderId="6"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1" applyAlignment="1" pivotButton="0" quotePrefix="0" xfId="0">
      <alignment horizontal="center" vertical="center" wrapText="1"/>
    </xf>
    <xf numFmtId="0" fontId="2" fillId="0" borderId="0" applyAlignment="1" pivotButton="0" quotePrefix="0" xfId="0">
      <alignment horizontal="center"/>
    </xf>
    <xf numFmtId="171" fontId="5" fillId="0" borderId="6" pivotButton="0" quotePrefix="0" xfId="0"/>
    <xf numFmtId="171" fontId="5" fillId="0" borderId="1" pivotButton="0" quotePrefix="0" xfId="0"/>
    <xf numFmtId="171" fontId="5" fillId="5" borderId="1" pivotButton="0" quotePrefix="0" xfId="0"/>
    <xf numFmtId="172" fontId="5" fillId="12" borderId="6" pivotButton="0" quotePrefix="0" xfId="0"/>
    <xf numFmtId="172" fontId="5" fillId="12" borderId="1" pivotButton="0" quotePrefix="0" xfId="0"/>
    <xf numFmtId="183" fontId="5" fillId="12" borderId="1" pivotButton="0" quotePrefix="0" xfId="0"/>
    <xf numFmtId="183" fontId="3" fillId="5" borderId="1" pivotButton="0" quotePrefix="0" xfId="0"/>
    <xf numFmtId="171" fontId="5" fillId="12" borderId="1" pivotButton="0" quotePrefix="0" xfId="0"/>
    <xf numFmtId="183" fontId="5" fillId="5" borderId="1" pivotButton="0" quotePrefix="0" xfId="0"/>
    <xf numFmtId="173" fontId="5" fillId="12" borderId="6" pivotButton="0" quotePrefix="0" xfId="0"/>
    <xf numFmtId="173" fontId="5" fillId="12" borderId="1" pivotButton="0" quotePrefix="0" xfId="0"/>
    <xf numFmtId="173" fontId="3" fillId="5" borderId="1" pivotButton="0" quotePrefix="0" xfId="0"/>
    <xf numFmtId="184" fontId="5" fillId="12" borderId="1" pivotButton="0" quotePrefix="0" xfId="0"/>
    <xf numFmtId="175" fontId="5" fillId="5" borderId="1" pivotButton="0" quotePrefix="0" xfId="0"/>
    <xf numFmtId="0" fontId="2" fillId="0" borderId="6" pivotButton="0" quotePrefix="0" xfId="0"/>
    <xf numFmtId="0" fontId="2" fillId="0" borderId="1" applyAlignment="1" pivotButton="0" quotePrefix="0" xfId="0">
      <alignment horizontal="center"/>
    </xf>
    <xf numFmtId="176" fontId="2" fillId="0" borderId="1" pivotButton="0" quotePrefix="0" xfId="0"/>
    <xf numFmtId="173" fontId="5" fillId="5" borderId="1" pivotButton="0" quotePrefix="0" xfId="0"/>
    <xf numFmtId="176" fontId="3" fillId="5" borderId="1" pivotButton="0" quotePrefix="0" xfId="0"/>
    <xf numFmtId="172" fontId="3" fillId="5" borderId="1" pivotButton="0" quotePrefix="0" xfId="0"/>
    <xf numFmtId="0" fontId="11" fillId="3" borderId="1" pivotButton="0" quotePrefix="0" xfId="0"/>
    <xf numFmtId="166" fontId="3" fillId="4" borderId="1" pivotButton="0" quotePrefix="0" xfId="0"/>
    <xf numFmtId="180" fontId="6" fillId="3" borderId="1" pivotButton="0" quotePrefix="0" xfId="0"/>
    <xf numFmtId="0" fontId="9" fillId="0" borderId="1" pivotButton="0" quotePrefix="0" xfId="0"/>
    <xf numFmtId="185" fontId="5" fillId="5" borderId="1" pivotButton="0" quotePrefix="0" xfId="0"/>
    <xf numFmtId="169" fontId="3" fillId="5" borderId="1" pivotButton="0" quotePrefix="0" xfId="0"/>
    <xf numFmtId="3" fontId="6" fillId="3" borderId="1" pivotButton="0" quotePrefix="0" xfId="0"/>
    <xf numFmtId="170" fontId="5" fillId="5" borderId="1" pivotButton="0" quotePrefix="0" xfId="0"/>
    <xf numFmtId="174" fontId="5" fillId="5" borderId="1" pivotButton="0" quotePrefix="0" xfId="0"/>
    <xf numFmtId="0" fontId="6" fillId="11" borderId="1" pivotButton="0" quotePrefix="0" xfId="0"/>
    <xf numFmtId="0" fontId="2" fillId="2" borderId="0" pivotButton="0" quotePrefix="0" xfId="0"/>
    <xf numFmtId="0" fontId="6" fillId="12" borderId="1" pivotButton="0" quotePrefix="0" xfId="0"/>
    <xf numFmtId="0" fontId="3" fillId="4" borderId="1" applyAlignment="1" pivotButton="0" quotePrefix="0" xfId="0">
      <alignment horizontal="center"/>
    </xf>
    <xf numFmtId="176" fontId="2" fillId="0" borderId="0" pivotButton="0" quotePrefix="0" xfId="0"/>
    <xf numFmtId="177" fontId="2" fillId="0" borderId="0" pivotButton="0" quotePrefix="0" xfId="0"/>
    <xf numFmtId="14" fontId="5" fillId="0" borderId="0" pivotButton="0" quotePrefix="0" xfId="0"/>
    <xf numFmtId="14" fontId="0" fillId="0" borderId="0" pivotButton="0" quotePrefix="0" xfId="0"/>
    <xf numFmtId="178" fontId="0" fillId="0" borderId="0" pivotButton="0" quotePrefix="0" xfId="0"/>
    <xf numFmtId="14" fontId="2" fillId="0" borderId="0" pivotButton="0" quotePrefix="0" xfId="0"/>
    <xf numFmtId="2" fontId="0" fillId="0" borderId="0" pivotButton="0" quotePrefix="0" xfId="0"/>
    <xf numFmtId="164" fontId="5" fillId="5" borderId="1" pivotButton="0" quotePrefix="0" xfId="0"/>
    <xf numFmtId="1" fontId="5" fillId="5" borderId="1" pivotButton="0" quotePrefix="0" xfId="0"/>
    <xf numFmtId="1" fontId="2" fillId="0" borderId="1" pivotButton="0" quotePrefix="0" xfId="0"/>
    <xf numFmtId="171" fontId="2" fillId="0" borderId="0" pivotButton="0" quotePrefix="0" xfId="0"/>
  </cellXfs>
  <cellStyles count="1">
    <cellStyle name="Normal" xfId="0" builtinId="0" hidden="0"/>
  </cellStyles>
  <dxfs count="2">
    <dxf>
      <fill>
        <patternFill patternType="solid">
          <fgColor rgb="00FFC000"/>
        </patternFill>
      </fill>
    </dxf>
    <dxf>
      <border>
        <top style="mediu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2"/>
  <chart>
    <title>
      <tx>
        <rich>
          <a:bodyPr/>
          <a:p>
            <a:pPr>
              <a:defRPr/>
            </a:pPr>
            <a:r>
              <a:t>Cumulative dividend points by ex-date</a:t>
            </a:r>
          </a:p>
        </rich>
      </tx>
    </title>
    <plotArea>
      <lineChart>
        <grouping val="standard"/>
        <ser>
          <idx val="0"/>
          <order val="0"/>
          <tx>
            <strRef>
              <f>'Flow'!F25</f>
            </strRef>
          </tx>
          <spPr>
            <a:ln>
              <a:prstDash val="solid"/>
            </a:ln>
          </spPr>
          <marker>
            <symbol val="none"/>
            <spPr>
              <a:ln>
                <a:prstDash val="solid"/>
              </a:ln>
            </spPr>
          </marker>
          <cat>
            <numRef>
              <f>'Flow'!$B$26:$B$395</f>
            </numRef>
          </cat>
          <val>
            <numRef>
              <f>'Flow'!$F$26:$F$395</f>
            </numRef>
          </val>
          <smooth val="0"/>
        </ser>
        <ser>
          <idx val="1"/>
          <order val="1"/>
          <tx>
            <strRef>
              <f>'Flow'!G25</f>
            </strRef>
          </tx>
          <spPr>
            <a:ln>
              <a:prstDash val="solid"/>
            </a:ln>
          </spPr>
          <marker>
            <symbol val="none"/>
            <spPr>
              <a:ln>
                <a:prstDash val="solid"/>
              </a:ln>
            </spPr>
          </marker>
          <cat>
            <numRef>
              <f>'Flow'!$B$26:$B$395</f>
            </numRef>
          </cat>
          <val>
            <numRef>
              <f>'Flow'!$G$26:$G$395</f>
            </numRef>
          </val>
          <smooth val="0"/>
        </ser>
        <ser>
          <idx val="2"/>
          <order val="2"/>
          <tx>
            <strRef>
              <f>'Flow'!H25</f>
            </strRef>
          </tx>
          <spPr>
            <a:ln>
              <a:prstDash val="solid"/>
            </a:ln>
          </spPr>
          <marker>
            <symbol val="none"/>
            <spPr>
              <a:ln>
                <a:prstDash val="solid"/>
              </a:ln>
            </spPr>
          </marker>
          <cat>
            <numRef>
              <f>'Flow'!$B$26:$B$395</f>
            </numRef>
          </cat>
          <val>
            <numRef>
              <f>'Flow'!$H$26:$H$395</f>
            </numRef>
          </val>
          <smooth val="0"/>
        </ser>
        <axId val="10"/>
        <axId val="100"/>
      </lineChart>
      <catAx>
        <axId val="10"/>
        <scaling>
          <orientation val="minMax"/>
        </scaling>
        <delete val="0"/>
        <axPos val="l"/>
        <title>
          <tx>
            <rich>
              <a:bodyPr/>
              <a:p>
                <a:pPr>
                  <a:defRPr/>
                </a:pPr>
                <a:r>
                  <a:t>ex-date</a:t>
                </a:r>
              </a:p>
            </rich>
          </tx>
        </title>
        <numFmt formatCode="dd-mmm" sourceLinked="0"/>
        <majorTickMark val="none"/>
        <minorTickMark val="none"/>
        <crossAx val="100"/>
        <lblOffset val="100"/>
        <tickLblSkip val="31"/>
        <tickMarkSkip val="31"/>
      </catAx>
      <valAx>
        <axId val="100"/>
        <scaling>
          <orientation val="minMax"/>
        </scaling>
        <delete val="0"/>
        <axPos val="l"/>
        <majorGridlines/>
        <title>
          <tx>
            <rich>
              <a:bodyPr/>
              <a:p>
                <a:pPr>
                  <a:defRPr/>
                </a:pPr>
                <a:r>
                  <a:t>index points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HSI - dividend points by month</a:t>
            </a:r>
          </a:p>
        </rich>
      </tx>
    </title>
    <plotArea>
      <barChart>
        <barDir val="col"/>
        <grouping val="stacked"/>
        <ser>
          <idx val="0"/>
          <order val="0"/>
          <tx>
            <strRef>
              <f>'Flow'!K8</f>
            </strRef>
          </tx>
          <spPr>
            <a:ln>
              <a:prstDash val="solid"/>
            </a:ln>
          </spPr>
          <cat>
            <numRef>
              <f>'Flow'!$J$9:$J$20</f>
            </numRef>
          </cat>
          <val>
            <numRef>
              <f>'Flow'!$K$9:$K$20</f>
            </numRef>
          </val>
        </ser>
        <ser>
          <idx val="1"/>
          <order val="1"/>
          <tx>
            <strRef>
              <f>'Flow'!L8</f>
            </strRef>
          </tx>
          <spPr>
            <a:ln>
              <a:prstDash val="solid"/>
            </a:ln>
          </spPr>
          <cat>
            <numRef>
              <f>'Flow'!$J$9:$J$20</f>
            </numRef>
          </cat>
          <val>
            <numRef>
              <f>'Flow'!$L$9:$L$20</f>
            </numRef>
          </val>
        </ser>
        <gapWidth val="6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HSTECH - dividend points by month</a:t>
            </a:r>
          </a:p>
        </rich>
      </tx>
    </title>
    <plotArea>
      <barChart>
        <barDir val="col"/>
        <grouping val="stacked"/>
        <ser>
          <idx val="0"/>
          <order val="0"/>
          <tx>
            <strRef>
              <f>'Flow'!M8</f>
            </strRef>
          </tx>
          <spPr>
            <a:ln>
              <a:prstDash val="solid"/>
            </a:ln>
          </spPr>
          <cat>
            <numRef>
              <f>'Flow'!$J$9:$J$20</f>
            </numRef>
          </cat>
          <val>
            <numRef>
              <f>'Flow'!$M$9:$M$20</f>
            </numRef>
          </val>
        </ser>
        <ser>
          <idx val="1"/>
          <order val="1"/>
          <tx>
            <strRef>
              <f>'Flow'!N8</f>
            </strRef>
          </tx>
          <spPr>
            <a:ln>
              <a:prstDash val="solid"/>
            </a:ln>
          </spPr>
          <cat>
            <numRef>
              <f>'Flow'!$J$9:$J$20</f>
            </numRef>
          </cat>
          <val>
            <numRef>
              <f>'Flow'!$N$9:$N$20</f>
            </numRef>
          </val>
        </ser>
        <gapWidth val="6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HSCEI - dividend points by month</a:t>
            </a:r>
          </a:p>
        </rich>
      </tx>
    </title>
    <plotArea>
      <barChart>
        <barDir val="col"/>
        <grouping val="stacked"/>
        <ser>
          <idx val="0"/>
          <order val="0"/>
          <tx>
            <strRef>
              <f>'Flow'!O8</f>
            </strRef>
          </tx>
          <spPr>
            <a:ln>
              <a:prstDash val="solid"/>
            </a:ln>
          </spPr>
          <cat>
            <numRef>
              <f>'Flow'!$J$9:$J$20</f>
            </numRef>
          </cat>
          <val>
            <numRef>
              <f>'Flow'!$O$9:$O$20</f>
            </numRef>
          </val>
        </ser>
        <ser>
          <idx val="1"/>
          <order val="1"/>
          <tx>
            <strRef>
              <f>'Flow'!P8</f>
            </strRef>
          </tx>
          <spPr>
            <a:ln>
              <a:prstDash val="solid"/>
            </a:ln>
          </spPr>
          <cat>
            <numRef>
              <f>'Flow'!$J$9:$J$20</f>
            </numRef>
          </cat>
          <val>
            <numRef>
              <f>'Flow'!$P$9:$P$20</f>
            </numRef>
          </val>
        </ser>
        <gapWidth val="60"/>
        <overlap val="100"/>
        <axId val="10"/>
        <axId val="100"/>
      </bar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index 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43</row>
      <rowOff>0</rowOff>
    </from>
    <ext cx="4500000" cy="2880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43</row>
      <rowOff>0</rowOff>
    </from>
    <ext cx="4500000" cy="2880000"/>
    <graphicFrame>
      <nvGraphicFramePr>
        <cNvPr id="3" name="Chart 3"/>
        <cNvGraphicFramePr/>
      </nvGraphicFramePr>
      <xfrm/>
      <a:graphic>
        <a:graphicData uri="http://schemas.openxmlformats.org/drawingml/2006/chart">
          <c:chart r:id="rId3"/>
        </a:graphicData>
      </a:graphic>
    </graphicFrame>
    <clientData/>
  </oneCellAnchor>
  <oneCellAnchor>
    <from>
      <col>23</col>
      <colOff>0</colOff>
      <row>43</row>
      <rowOff>0</rowOff>
    </from>
    <ext cx="450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ummary!B1" TargetMode="External" Id="rId1" /><Relationship Type="http://schemas.openxmlformats.org/officeDocument/2006/relationships/hyperlink" Target="#Pending!B1" TargetMode="External" Id="rId2" /><Relationship Type="http://schemas.openxmlformats.org/officeDocument/2006/relationships/hyperlink" Target="#Fundamentals!B1" TargetMode="External" Id="rId3" /><Relationship Type="http://schemas.openxmlformats.org/officeDocument/2006/relationships/hyperlink" Target="#Override!B1" TargetMode="External" Id="rId4" /><Relationship Type="http://schemas.openxmlformats.org/officeDocument/2006/relationships/hyperlink" Target="#HSI!A1" TargetMode="External" Id="rId5" /><Relationship Type="http://schemas.openxmlformats.org/officeDocument/2006/relationships/hyperlink" Target="#'Field Check'!B1" TargetMode="External" Id="rId6" /><Relationship Type="http://schemas.openxmlformats.org/officeDocument/2006/relationships/hyperlink" Target="#Grids!B1" TargetMode="External" Id="rId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Fundamentals!F11" TargetMode="External" Id="rId1" /><Relationship Type="http://schemas.openxmlformats.org/officeDocument/2006/relationships/hyperlink" Target="#Fundamentals!N11" TargetMode="External" Id="rId2" /><Relationship Type="http://schemas.openxmlformats.org/officeDocument/2006/relationships/hyperlink" Target="#Fundamentals!Y11" TargetMode="External" Id="rId3" /><Relationship Type="http://schemas.openxmlformats.org/officeDocument/2006/relationships/hyperlink" Target="#Fundamentals!AC11" TargetMode="External" Id="rId4" /><Relationship Type="http://schemas.openxmlformats.org/officeDocument/2006/relationships/hyperlink" Target="#Fundamentals!AH11" TargetMode="External" Id="rId5" /><Relationship Type="http://schemas.openxmlformats.org/officeDocument/2006/relationships/hyperlink" Target="#Fundamentals!B214" TargetMode="External" Id="rId6" /></Relationships>
</file>

<file path=xl/worksheets/sheet1.xml><?xml version="1.0" encoding="utf-8"?>
<worksheet xmlns="http://schemas.openxmlformats.org/spreadsheetml/2006/main">
  <sheetPr>
    <outlinePr summaryBelow="1" summaryRight="1"/>
    <pageSetUpPr/>
  </sheetPr>
  <dimension ref="B1:C54"/>
  <sheetViews>
    <sheetView workbookViewId="0">
      <selection activeCell="A1" sqref="A1"/>
    </sheetView>
  </sheetViews>
  <sheetFormatPr baseColWidth="8" defaultRowHeight="15"/>
  <cols>
    <col width="3" customWidth="1" min="1" max="1"/>
    <col width="24" customWidth="1" min="2" max="2"/>
    <col width="112" customWidth="1" min="3" max="3"/>
  </cols>
  <sheetData>
    <row r="1">
      <c r="B1" s="1" t="inlineStr">
        <is>
          <t>HK DIVIDEND FUTURES STUDY - HSI / HSTECH / HSCEI</t>
        </is>
      </c>
    </row>
    <row r="2">
      <c r="B2" s="2" t="inlineStr">
        <is>
          <t>Full-year index dividend points against the dividend futures  |  Bloomberg BDP / BDS / BDH / BQL  |  v3</t>
        </is>
      </c>
    </row>
    <row r="4">
      <c r="B4" s="3" t="inlineStr">
        <is>
          <t>THE IDEA IN THREE LINES</t>
        </is>
      </c>
      <c r="C4" s="4" t="n"/>
    </row>
    <row r="5">
      <c r="B5" s="5" t="inlineStr">
        <is>
          <t>-</t>
        </is>
      </c>
      <c r="C5" s="6" t="inlineStr">
        <is>
          <t>A HK dividend future settles on the index dividend points of one calendar year - the year is the contract.</t>
        </is>
      </c>
    </row>
    <row r="6">
      <c r="B6" s="5" t="inlineStr">
        <is>
          <t>-</t>
        </is>
      </c>
      <c r="C6" s="6" t="inlineStr">
        <is>
          <t>The model adds what has gone ex (history, cash types only) to what is still to come (Bloomberg projections, or your numbers) and compares the total with the futures price.</t>
        </is>
      </c>
    </row>
    <row r="7">
      <c r="B7" s="5" t="inlineStr">
        <is>
          <t>-</t>
        </is>
      </c>
      <c r="C7" s="6" t="inlineStr">
        <is>
          <t>Everything else exists to judge that second half: announced or forecast, and affordable or not.</t>
        </is>
      </c>
    </row>
    <row r="9">
      <c r="B9" s="3" t="inlineStr">
        <is>
          <t>HOW TO USE IT</t>
        </is>
      </c>
      <c r="C9" s="4" t="n"/>
    </row>
    <row r="10">
      <c r="B10" s="5" t="inlineStr">
        <is>
          <t>1.</t>
        </is>
      </c>
      <c r="C10" s="6" t="inlineStr">
        <is>
          <t>Paste BASKET QUANTITY (column B) and the DIVISOR (B3) on HSI / HSTECH / HSCEI - consistent units; the SCALE FACTOR row on Summary flags a mismatch and says by how much.</t>
        </is>
      </c>
    </row>
    <row r="11">
      <c r="B11" s="5" t="inlineStr">
        <is>
          <t>2.</t>
        </is>
      </c>
      <c r="C11" s="6" t="inlineStr">
        <is>
          <t>Set the Summary control block; add futures tickers or type the quotes.</t>
        </is>
      </c>
    </row>
    <row r="12">
      <c r="B12" s="5" t="inlineStr">
        <is>
          <t>3.</t>
        </is>
      </c>
      <c r="C12" s="6" t="inlineStr">
        <is>
          <t>Ctrl+Alt+F9 on a terminal. 'Pull fundamentals' = N skips the EPS / payout / buyback / leverage traffic for a fast dividends-only refresh.</t>
        </is>
      </c>
    </row>
    <row r="13">
      <c r="B13" s="5" t="inlineStr">
        <is>
          <t>4.</t>
        </is>
      </c>
      <c r="C13" s="6" t="inlineStr">
        <is>
          <t>Read the CHECKS block, then the gap. Pending shows what is coming and whether it is announced or still a forecast; Flow shows when it lands; Fundamentals whether it is affordable.</t>
        </is>
      </c>
    </row>
    <row r="14">
      <c r="B14" s="5" t="inlineStr">
        <is>
          <t>5.</t>
        </is>
      </c>
      <c r="C14" s="6" t="inlineStr">
        <is>
          <t>Your view: type ticker + base / low / high DPS in the Override list, switch ON. OFF = Bloomberg again, instantly.</t>
        </is>
      </c>
    </row>
    <row r="16">
      <c r="B16" s="3" t="inlineStr">
        <is>
          <t>WHAT CHANGED IN V3 (from your terminal run)</t>
        </is>
      </c>
      <c r="C16" s="4" t="n"/>
    </row>
    <row r="17">
      <c r="B17" s="5" t="inlineStr">
        <is>
          <t>History amounts fixed</t>
        </is>
      </c>
      <c r="C17" s="6" t="inlineStr">
        <is>
          <t>DVD_HIST_ALL keeps the amount in the 5th column, not the 3rd - v2 was summing record DATES as dividends (your 46,200 'DPS'). Every realized number changed.</t>
        </is>
      </c>
    </row>
    <row r="18">
      <c r="B18" s="5" t="inlineStr">
        <is>
          <t>Cash types only</t>
        </is>
      </c>
      <c r="C18" s="6" t="inlineStr">
        <is>
          <t>History rows carry a type: Final / Interim / Regular Cash / Return of Capital count (editable on Field Check); Special Cash follows the specials switch; spinoffs, scrip, bonus issues and omitted rows never count.</t>
        </is>
      </c>
    </row>
    <row r="19">
      <c r="B19" s="5" t="inlineStr">
        <is>
          <t>Announced vs projection fixed</t>
        </is>
      </c>
      <c r="C19" s="6" t="inlineStr">
        <is>
          <t>Bloomberg fills the projected declared date even for 2036 forecasts - an event is ANNOUNCED only once that date has PASSED. Pending now labels correctly.</t>
        </is>
      </c>
    </row>
    <row r="20">
      <c r="B20" s="5" t="inlineStr">
        <is>
          <t>Projections trimmed</t>
        </is>
      </c>
      <c r="C20" s="6" t="inlineStr">
        <is>
          <t>Only declared / ex / amount are pulled - Trend and the Option-Implied Range columns are gone from the calendar.</t>
        </is>
      </c>
    </row>
    <row r="21">
      <c r="B21" s="5" t="inlineStr">
        <is>
          <t>Buybacks &amp; leverage rebuilt</t>
        </is>
      </c>
      <c r="C21" s="6" t="inlineStr">
        <is>
          <t>Buyback yield by year via your BQL query; net debt/equity via your BDH pull (the _EQTY spelling) - on the Fund History tab, read by year.</t>
        </is>
      </c>
    </row>
    <row r="22">
      <c r="B22" s="5" t="inlineStr">
        <is>
          <t>Forward estimates added</t>
        </is>
      </c>
      <c r="C22" s="6" t="inlineStr">
        <is>
          <t>BEST_EPS / BEST_DPS for year Y (amber candidates - glance at Field Check column E once), with a forward payout and the model's own DPS beside them.</t>
        </is>
      </c>
    </row>
    <row r="23">
      <c r="B23" s="5" t="inlineStr">
        <is>
          <t>Layout</t>
        </is>
      </c>
      <c r="C23" s="6" t="inlineStr">
        <is>
          <t>Fundamentals in colour blocks with trend scales; Override = ticker-keyed list + by-sector view; Grids explained with a decoder; charts have axes and titles.</t>
        </is>
      </c>
    </row>
    <row r="25">
      <c r="B25" s="3" t="inlineStr">
        <is>
          <t>THE TABS  (click a name to jump; the tab colours mean: navy = answer, green = analysis, blue = your basket, amber = config, grey = engine)</t>
        </is>
      </c>
      <c r="C25" s="4" t="n"/>
    </row>
    <row r="26">
      <c r="B26" s="7" t="inlineStr">
        <is>
          <t>Summary</t>
        </is>
      </c>
      <c r="C26" s="6" t="inlineStr">
        <is>
          <t>Control, the model vs the futures, the HEALTH strip and the checks.</t>
        </is>
      </c>
    </row>
    <row r="27">
      <c r="B27" s="7" t="inlineStr">
        <is>
          <t>Pending / Flow</t>
        </is>
      </c>
      <c r="C27" s="6" t="inlineStr">
        <is>
          <t>What is still to come, event by event / by day and month with charts.</t>
        </is>
      </c>
    </row>
    <row r="28">
      <c r="B28" s="7" t="inlineStr">
        <is>
          <t>Fundamentals</t>
        </is>
      </c>
      <c r="C28" s="6" t="inlineStr">
        <is>
          <t>DPS, EPS, payout, forwards, buybacks, leverage - per stock and by sector.</t>
        </is>
      </c>
    </row>
    <row r="29">
      <c r="B29" s="7" t="inlineStr">
        <is>
          <t>Override</t>
        </is>
      </c>
      <c r="C29" s="6" t="inlineStr">
        <is>
          <t>Your numbers: typed list + by-sector view + one switch.</t>
        </is>
      </c>
    </row>
    <row r="30">
      <c r="B30" s="7" t="inlineStr">
        <is>
          <t>HSI / HSTECH / HSCEI</t>
        </is>
      </c>
      <c r="C30" s="6" t="inlineStr">
        <is>
          <t>Members, your basket, the per-stock model. B and B3 are yours.</t>
        </is>
      </c>
    </row>
    <row r="31">
      <c r="B31" s="7" t="inlineStr">
        <is>
          <t>Field Check</t>
        </is>
      </c>
      <c r="C31" s="6" t="inlineStr">
        <is>
          <t>Every mnemonic, query and type label, with live samples. First stop when a pull breaks.</t>
        </is>
      </c>
    </row>
    <row r="32">
      <c r="B32" s="7" t="inlineStr">
        <is>
          <t>Dvd Calendar / Fund History / Grids</t>
        </is>
      </c>
      <c r="C32" s="6" t="inlineStr">
        <is>
          <t>Engine (grey tabs). Never edit, never sort. Grids opens with a walkthrough and a decoder if you want to see how it thinks.</t>
        </is>
      </c>
    </row>
    <row r="34">
      <c r="B34" s="3" t="inlineStr">
        <is>
          <t>WHAT TO WATCH</t>
        </is>
      </c>
      <c r="C34" s="4" t="n"/>
    </row>
    <row r="35">
      <c r="B35" s="6" t="inlineStr">
        <is>
          <t>-</t>
        </is>
      </c>
      <c r="C35" s="2" t="inlineStr">
        <is>
          <t>SCALE FACTOR on Summary ~1 and the DIVISOR CHECK within a few bp - otherwise fix units first.</t>
        </is>
      </c>
    </row>
    <row r="36">
      <c r="B36" s="6" t="inlineStr">
        <is>
          <t>-</t>
        </is>
      </c>
      <c r="C36" s="2" t="inlineStr">
        <is>
          <t>TBA stocks add zero. 'Events beyond the data window' must stay 0.</t>
        </is>
      </c>
    </row>
    <row r="37">
      <c r="B37" s="6" t="inlineStr">
        <is>
          <t>-</t>
        </is>
      </c>
      <c r="C37" s="2" t="inlineStr">
        <is>
          <t>Ex-date DPS vs fiscal payout sit on different clocks on purpose - a final for fiscal Y usually goes ex in Y+1.</t>
        </is>
      </c>
    </row>
    <row r="38">
      <c r="B38" s="6" t="inlineStr">
        <is>
          <t>-</t>
        </is>
      </c>
      <c r="C38" s="2" t="inlineStr">
        <is>
          <t>Pasted quantities do not follow a reshuffled member list; the Override list (ticker-keyed) does.</t>
        </is>
      </c>
    </row>
    <row r="39">
      <c r="B39" s="6" t="inlineStr">
        <is>
          <t>-</t>
        </is>
      </c>
      <c r="C39" s="2" t="inlineStr">
        <is>
          <t>Filter the big tables, never sort them.</t>
        </is>
      </c>
    </row>
    <row r="41">
      <c r="B41" s="3" t="inlineStr">
        <is>
          <t>COLOUR KEY</t>
        </is>
      </c>
      <c r="C41" s="4" t="n"/>
    </row>
    <row r="42">
      <c r="B42" s="8" t="inlineStr">
        <is>
          <t>Blue text on pale blue</t>
        </is>
      </c>
      <c r="C42" s="2" t="inlineStr">
        <is>
          <t>You type here.</t>
        </is>
      </c>
    </row>
    <row r="43">
      <c r="B43" s="6" t="inlineStr">
        <is>
          <t>Black text</t>
        </is>
      </c>
      <c r="C43" s="2" t="inlineStr">
        <is>
          <t>Formula - leave it alone.</t>
        </is>
      </c>
    </row>
    <row r="44">
      <c r="B44" s="6" t="inlineStr">
        <is>
          <t>Yellow fill</t>
        </is>
      </c>
      <c r="C44" s="2" t="inlineStr">
        <is>
          <t>Read before quoting.</t>
        </is>
      </c>
    </row>
    <row r="45">
      <c r="B45" s="6" t="inlineStr">
        <is>
          <t>Amber fill</t>
        </is>
      </c>
      <c r="C45" s="2" t="inlineStr">
        <is>
          <t>Live Bloomberg fundamentals / candidate fields.</t>
        </is>
      </c>
    </row>
    <row r="46">
      <c r="B46" s="6" t="inlineStr">
        <is>
          <t>Orange fill</t>
        </is>
      </c>
      <c r="C46" s="2" t="inlineStr">
        <is>
          <t>Override live, or amount TBA.</t>
        </is>
      </c>
    </row>
    <row r="47">
      <c r="B47" s="6" t="inlineStr">
        <is>
          <t>Grey tabs</t>
        </is>
      </c>
      <c r="C47" s="2" t="inlineStr">
        <is>
          <t>Engine - never edit.</t>
        </is>
      </c>
    </row>
    <row r="49">
      <c r="B49" s="3" t="inlineStr">
        <is>
          <t>HOW THE TABS CONNECT  (= where to look when a number is wrong)</t>
        </is>
      </c>
      <c r="C49" s="4" t="n"/>
    </row>
    <row r="50">
      <c r="B50" s="6" t="inlineStr">
        <is>
          <t>-</t>
        </is>
      </c>
      <c r="C50" s="2" t="inlineStr">
        <is>
          <t>Field Check (mnemonics, type labels)  -&gt;  every Bloomberg pull in the book.</t>
        </is>
      </c>
    </row>
    <row r="51">
      <c r="B51" s="6" t="inlineStr">
        <is>
          <t>-</t>
        </is>
      </c>
      <c r="C51" s="2" t="inlineStr">
        <is>
          <t>Dvd Calendar (raw dividend pulls) + HSI/HSTECH/HSCEI (your basket)  -&gt;  Grids (event engine)  -&gt;  Pending and Flow.</t>
        </is>
      </c>
    </row>
    <row r="52">
      <c r="B52" s="6" t="inlineStr">
        <is>
          <t>-</t>
        </is>
      </c>
      <c r="C52" s="2" t="inlineStr">
        <is>
          <t>Dvd Calendar + Fund History (buybacks, net debt)  -&gt;  Fundamentals.</t>
        </is>
      </c>
    </row>
    <row r="53">
      <c r="B53" s="6" t="inlineStr">
        <is>
          <t>-</t>
        </is>
      </c>
      <c r="C53" s="2" t="inlineStr">
        <is>
          <t>Override (your DPS)  -&gt;  the data tabs' 'to come (eff)' column  -&gt;  Summary's year total.</t>
        </is>
      </c>
    </row>
    <row r="54">
      <c r="B54" s="6" t="inlineStr">
        <is>
          <t>-</t>
        </is>
      </c>
      <c r="C54" s="2" t="inlineStr">
        <is>
          <t>So: a wrong DPS traces back to Dvd Calendar; wrong points to quantities/divisor (HEALTH strip); a blank fundamental to Field Check column E or the pulls switch.</t>
        </is>
      </c>
    </row>
  </sheetData>
  <hyperlinks>
    <hyperlink xmlns:r="http://schemas.openxmlformats.org/officeDocument/2006/relationships" ref="B26" r:id="rId1"/>
    <hyperlink xmlns:r="http://schemas.openxmlformats.org/officeDocument/2006/relationships" ref="B27" r:id="rId2"/>
    <hyperlink xmlns:r="http://schemas.openxmlformats.org/officeDocument/2006/relationships" ref="B28" r:id="rId3"/>
    <hyperlink xmlns:r="http://schemas.openxmlformats.org/officeDocument/2006/relationships" ref="B29" r:id="rId4"/>
    <hyperlink xmlns:r="http://schemas.openxmlformats.org/officeDocument/2006/relationships" ref="B30" r:id="rId5"/>
    <hyperlink xmlns:r="http://schemas.openxmlformats.org/officeDocument/2006/relationships" ref="B31" r:id="rId6"/>
    <hyperlink xmlns:r="http://schemas.openxmlformats.org/officeDocument/2006/relationships" ref="B32" r:id="rId7"/>
  </hyperlink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B1:G5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3" customWidth="1" min="6" max="6"/>
    <col width="78" customWidth="1" min="7" max="7"/>
  </cols>
  <sheetData>
    <row r="1">
      <c r="B1" s="1" t="inlineStr">
        <is>
          <t>HK DIVIDEND FUTURES MODEL - HSI / HSTECH / HSCEI</t>
        </is>
      </c>
    </row>
    <row r="2">
      <c r="B2" s="2" t="inlineStr">
        <is>
          <t>Full-year index dividend points (what has gone ex + what is still to come) against the dividend futures. The year is the contract - there is no monthly ladder.</t>
        </is>
      </c>
    </row>
    <row r="3">
      <c r="B3" s="9" t="inlineStr">
        <is>
          <t>HEALTH</t>
        </is>
      </c>
      <c r="C3" s="10">
        <f>IF(N(HSI!$L$2)=0,"paste quantities + divisor on the HSI tab",IF(ISNUMBER(HSI!$B$3)=FALSE,"divisor missing (HSI B3)",IF(N(HSI!$Y$5)=0,"waiting for prices - refresh on the terminal",IF(ABS(C48-1)&gt;0.02,"UNITS OFF - multiply quantities by ~"&amp;TEXT(C48,"#,##0"),IF(C55&gt;0,"calendar window overflow - widen it",IF(C53&gt;0,C53&amp;" amount(s) TBA - consider overriding","OK"))))))</f>
        <v/>
      </c>
      <c r="D3" s="10">
        <f>IF(N(HSTECH!$L$2)=0,"paste quantities + divisor on the HSTECH tab",IF(ISNUMBER(HSTECH!$B$3)=FALSE,"divisor missing (HSTECH B3)",IF(N(HSTECH!$Y$5)=0,"waiting for prices - refresh on the terminal",IF(ABS(D48-1)&gt;0.02,"UNITS OFF - multiply quantities by ~"&amp;TEXT(D48,"#,##0"),IF(D55&gt;0,"calendar window overflow - widen it",IF(D53&gt;0,D53&amp;" amount(s) TBA - consider overriding","OK"))))))</f>
        <v/>
      </c>
      <c r="E3" s="10">
        <f>IF(N(HSCEI!$L$2)=0,"paste quantities + divisor on the HSCEI tab",IF(ISNUMBER(HSCEI!$B$3)=FALSE,"divisor missing (HSCEI B3)",IF(N(HSCEI!$Y$5)=0,"waiting for prices - refresh on the terminal",IF(ABS(E48-1)&gt;0.02,"UNITS OFF - multiply quantities by ~"&amp;TEXT(E48,"#,##0"),IF(E55&gt;0,"calendar window overflow - widen it",IF(E53&gt;0,E53&amp;" amount(s) TBA - consider overriding","OK"))))))</f>
        <v/>
      </c>
      <c r="G3" s="2" t="inlineStr">
        <is>
          <t>&lt;- these three cells always name the next thing to fix. When all three say OK, the model is trustworthy.</t>
        </is>
      </c>
    </row>
    <row r="4">
      <c r="B4" s="3" t="inlineStr">
        <is>
          <t>START HERE</t>
        </is>
      </c>
      <c r="C4" s="4" t="n"/>
      <c r="D4" s="4" t="n"/>
      <c r="E4" s="4" t="n"/>
      <c r="F4" s="4" t="n"/>
      <c r="G4" s="4" t="n"/>
    </row>
    <row r="5">
      <c r="B5" s="5" t="inlineStr">
        <is>
          <t>1</t>
        </is>
      </c>
      <c r="C5" s="11" t="inlineStr">
        <is>
          <t>Paste BASKET QUANTITY into column B and the INDEX DIVISOR into B3 on the HSI, HSTECH and HSCEI tabs (blue cells). Quantity and divisor must be in CONSISTENT units - the SCALE FACTOR row in CHECKS below tells you instantly if they are not, and by how much.</t>
        </is>
      </c>
    </row>
    <row r="6">
      <c r="B6" s="5" t="inlineStr">
        <is>
          <t>2</t>
        </is>
      </c>
      <c r="C6" s="11" t="inlineStr">
        <is>
          <t>Set the control block below, then enter your futures tickers in the MODEL block (or just type the quote you see).</t>
        </is>
      </c>
    </row>
    <row r="7">
      <c r="B7" s="5" t="inlineStr">
        <is>
          <t>3</t>
        </is>
      </c>
      <c r="C7" s="11" t="inlineStr">
        <is>
          <t>On a Bloomberg terminal press Ctrl+Alt+F9 and wait - the first refresh is a few thousand requests. Set 'Pull fundamentals' to N for a fast dividends-only refresh.</t>
        </is>
      </c>
    </row>
    <row r="8">
      <c r="B8" s="5" t="inlineStr">
        <is>
          <t>4</t>
        </is>
      </c>
      <c r="C8" s="11" t="inlineStr">
        <is>
          <t>Read the CHECKS block at the bottom before you quote a gap.</t>
        </is>
      </c>
    </row>
    <row r="10">
      <c r="B10" s="3" t="inlineStr">
        <is>
          <t>CONTROL</t>
        </is>
      </c>
      <c r="C10" s="4" t="n"/>
      <c r="D10" s="4" t="n"/>
      <c r="E10" s="4" t="n"/>
      <c r="F10" s="4" t="n"/>
      <c r="G10" s="4" t="n"/>
    </row>
    <row r="11">
      <c r="B11" s="6" t="inlineStr">
        <is>
          <t>Valuation date</t>
        </is>
      </c>
      <c r="C11" s="12">
        <f>TODAY()</f>
        <v/>
      </c>
      <c r="G11" s="2" t="inlineStr">
        <is>
          <t>Today by default. Type a date to freeze the study.</t>
        </is>
      </c>
    </row>
    <row r="12">
      <c r="B12" s="9" t="inlineStr">
        <is>
          <t>Year (Y) - the futures year</t>
        </is>
      </c>
      <c r="C12" s="13">
        <f>YEAR($C$11)</f>
        <v/>
      </c>
      <c r="G12" s="2" t="inlineStr">
        <is>
          <t>2026 prices the Dec26 contract. 2027 models next year (realized empties, projections fill it). A past year gives the realized outcome.</t>
        </is>
      </c>
    </row>
    <row r="13">
      <c r="B13" s="6" t="inlineStr">
        <is>
          <t>Include special dividends?</t>
        </is>
      </c>
      <c r="C13" s="14" t="inlineStr">
        <is>
          <t>Y</t>
        </is>
      </c>
      <c r="G13" s="2" t="inlineStr">
        <is>
          <t>Applies to REALIZED dividends (history carries a type). Bloomberg projections carry no type, so projected specials cannot be split out - they are always included.</t>
        </is>
      </c>
    </row>
    <row r="14">
      <c r="B14" s="6" t="inlineStr">
        <is>
          <t>RMB cross for CNY dividends</t>
        </is>
      </c>
      <c r="C14" s="14" t="inlineStr">
        <is>
          <t>CNY</t>
        </is>
      </c>
      <c r="G14" s="2" t="inlineStr">
        <is>
          <t>CNY or CNH - which cross converts RMB-declared dividends into HKD.</t>
        </is>
      </c>
    </row>
    <row r="15">
      <c r="B15" s="6" t="inlineStr">
        <is>
          <t>Pending list horizon</t>
        </is>
      </c>
      <c r="C15" s="12">
        <f>DATE($C$12,12,31)</f>
        <v/>
      </c>
      <c r="G15" s="2" t="inlineStr">
        <is>
          <t>Pending shows every event with an ex-date after the valuation date up to here.</t>
        </is>
      </c>
    </row>
    <row r="16">
      <c r="B16" s="6" t="inlineStr">
        <is>
          <t>Pull fundamentals? (Y/N)</t>
        </is>
      </c>
      <c r="C16" s="14" t="inlineStr">
        <is>
          <t>Y</t>
        </is>
      </c>
      <c r="G16" s="2" t="inlineStr">
        <is>
          <t>N blanks the EPS / payout / forward / buyback / leverage requests (~3,500 of them). The dividend model itself never needs them.</t>
        </is>
      </c>
    </row>
    <row r="17">
      <c r="B17" s="6" t="inlineStr">
        <is>
          <t>Overrides</t>
        </is>
      </c>
      <c r="C17" s="15">
        <f>IF(Override!$C$4="ON","ON - "&amp;Override!$E$4&amp;" stock(s) set - the model uses YOUR numbers there.","OFF - pure Bloomberg projections.")</f>
        <v/>
      </c>
      <c r="D17" s="16" t="n"/>
      <c r="E17" s="17" t="n"/>
    </row>
    <row r="18">
      <c r="B18" s="2" t="inlineStr">
        <is>
          <t>History pull window (auto)</t>
        </is>
      </c>
      <c r="C18" s="18">
        <f>TEXT(DATE($C$12-5,1,1),"yyyymmdd")</f>
        <v/>
      </c>
      <c r="D18" s="18">
        <f>TEXT(MAX($C$11,DATE($C$12,12,31)),"yyyymmdd")</f>
        <v/>
      </c>
      <c r="G18" s="2" t="inlineStr">
        <is>
          <t>Five full years before Y plus the year itself - feeds the model and the 5-year fundamentals.</t>
        </is>
      </c>
    </row>
    <row r="20">
      <c r="B20" s="3" t="inlineStr">
        <is>
          <t>MODEL vs FUTURES        (index dividend points for year Y)</t>
        </is>
      </c>
      <c r="C20" s="4" t="n"/>
      <c r="D20" s="4" t="n"/>
      <c r="E20" s="4" t="n"/>
      <c r="F20" s="4" t="n"/>
      <c r="G20" s="4" t="n"/>
    </row>
    <row r="21">
      <c r="C21" s="19" t="inlineStr">
        <is>
          <t>HSI</t>
        </is>
      </c>
      <c r="D21" s="19" t="inlineStr">
        <is>
          <t>HSTECH</t>
        </is>
      </c>
      <c r="E21" s="19" t="inlineStr">
        <is>
          <t>HSCEI</t>
        </is>
      </c>
      <c r="G21" s="2" t="inlineStr">
        <is>
          <t>Points are index points: basket qty x FX-to-HKD x DPS / divisor.</t>
        </is>
      </c>
    </row>
    <row r="22">
      <c r="B22" s="6" t="inlineStr">
        <is>
          <t>Index ticker</t>
        </is>
      </c>
      <c r="C22" s="14" t="inlineStr">
        <is>
          <t>HSI Index</t>
        </is>
      </c>
      <c r="D22" s="14" t="inlineStr">
        <is>
          <t>HSTECH Index</t>
        </is>
      </c>
      <c r="E22" s="14" t="inlineStr">
        <is>
          <t>HSCEI Index</t>
        </is>
      </c>
    </row>
    <row r="23">
      <c r="B23" s="6" t="inlineStr">
        <is>
          <t>Index level</t>
        </is>
      </c>
      <c r="C23" s="20">
        <f>IF($C$22="","",BDP($C$22,"PX_LAST"))</f>
        <v/>
      </c>
      <c r="D23" s="20">
        <f>IF($D$22="","",BDP($D$22,"PX_LAST"))</f>
        <v/>
      </c>
      <c r="E23" s="20">
        <f>IF($E$22="","",BDP($E$22,"PX_LAST"))</f>
        <v/>
      </c>
    </row>
    <row r="25">
      <c r="B25" s="6" t="inlineStr">
        <is>
          <t>Realized so far (pts)</t>
        </is>
      </c>
      <c r="C25" s="21">
        <f>HSI!$O$5</f>
        <v/>
      </c>
      <c r="D25" s="21">
        <f>HSTECH!$O$5</f>
        <v/>
      </c>
      <c r="E25" s="21">
        <f>HSCEI!$O$5</f>
        <v/>
      </c>
      <c r="G25" s="2" t="inlineStr">
        <is>
          <t>Ex-dates from 1 Jan of Y to the valuation date - fact, never overridden. Cash dividend types only (no spinoffs / scrip - see the type list on Field Check).</t>
        </is>
      </c>
    </row>
    <row r="26">
      <c r="B26" s="6" t="inlineStr">
        <is>
          <t>Still to come - Bloomberg (pts)</t>
        </is>
      </c>
      <c r="C26" s="21">
        <f>HSI!$W$5</f>
        <v/>
      </c>
      <c r="D26" s="21">
        <f>HSTECH!$W$5</f>
        <v/>
      </c>
      <c r="E26" s="21">
        <f>HSCEI!$W$5</f>
        <v/>
      </c>
    </row>
    <row r="27">
      <c r="B27" s="6" t="inlineStr">
        <is>
          <t>Still to come - EFFECTIVE (pts)</t>
        </is>
      </c>
      <c r="C27" s="21">
        <f>HSI!$P$5</f>
        <v/>
      </c>
      <c r="D27" s="21">
        <f>HSTECH!$P$5</f>
        <v/>
      </c>
      <c r="E27" s="21">
        <f>HSCEI!$P$5</f>
        <v/>
      </c>
    </row>
    <row r="28">
      <c r="B28" s="22" t="inlineStr">
        <is>
          <t>YEAR TOTAL - base (pts)</t>
        </is>
      </c>
      <c r="C28" s="23">
        <f>HSI!$Q$5</f>
        <v/>
      </c>
      <c r="D28" s="23">
        <f>HSTECH!$Q$5</f>
        <v/>
      </c>
      <c r="E28" s="23">
        <f>HSCEI!$Q$5</f>
        <v/>
      </c>
    </row>
    <row r="29">
      <c r="B29" s="6" t="inlineStr">
        <is>
          <t xml:space="preserve">   your LOW case (pts)</t>
        </is>
      </c>
      <c r="C29" s="21">
        <f>HSI!$R$5</f>
        <v/>
      </c>
      <c r="D29" s="21">
        <f>HSTECH!$R$5</f>
        <v/>
      </c>
      <c r="E29" s="21">
        <f>HSCEI!$R$5</f>
        <v/>
      </c>
    </row>
    <row r="30">
      <c r="B30" s="6" t="inlineStr">
        <is>
          <t xml:space="preserve">   your HIGH case (pts)</t>
        </is>
      </c>
      <c r="C30" s="21">
        <f>HSI!$S$5</f>
        <v/>
      </c>
      <c r="D30" s="21">
        <f>HSTECH!$S$5</f>
        <v/>
      </c>
      <c r="E30" s="21">
        <f>HSCEI!$S$5</f>
        <v/>
      </c>
    </row>
    <row r="31">
      <c r="B31" s="6" t="inlineStr">
        <is>
          <t>Implied index dividend yield</t>
        </is>
      </c>
      <c r="C31" s="24">
        <f>IFERROR(C28/C23,"")</f>
        <v/>
      </c>
      <c r="D31" s="24">
        <f>IFERROR(D28/D23,"")</f>
        <v/>
      </c>
      <c r="E31" s="24">
        <f>IFERROR(E28/E23,"")</f>
        <v/>
      </c>
    </row>
    <row r="33">
      <c r="B33" s="6" t="inlineStr">
        <is>
          <t>Futures ticker</t>
        </is>
      </c>
      <c r="C33" s="14" t="n"/>
      <c r="D33" s="14" t="n"/>
      <c r="E33" s="14" t="n"/>
    </row>
    <row r="34">
      <c r="B34" s="6" t="inlineStr">
        <is>
          <t>Futures price (Bloomberg)</t>
        </is>
      </c>
      <c r="C34" s="21">
        <f>IF($C$33="","",BDP($C$33,"PX_LAST"))</f>
        <v/>
      </c>
      <c r="D34" s="21">
        <f>IF($D$33="","",BDP($D$33,"PX_LAST"))</f>
        <v/>
      </c>
      <c r="E34" s="21">
        <f>IF($E$33="","",BDP($E$33,"PX_LAST"))</f>
        <v/>
      </c>
    </row>
    <row r="35">
      <c r="B35" s="6" t="inlineStr">
        <is>
          <t>Futures quote - type it yourself</t>
        </is>
      </c>
      <c r="C35" s="25" t="n"/>
      <c r="D35" s="25" t="n"/>
      <c r="E35" s="25" t="n"/>
    </row>
    <row r="36">
      <c r="B36" s="6" t="inlineStr">
        <is>
          <t>FUTURES USED</t>
        </is>
      </c>
      <c r="C36" s="26">
        <f>IF(ISNUMBER(C35),C35,IF(ISNUMBER(C34),C34,""))</f>
        <v/>
      </c>
      <c r="D36" s="26">
        <f>IF(ISNUMBER(D35),D35,IF(ISNUMBER(D34),D34,""))</f>
        <v/>
      </c>
      <c r="E36" s="26">
        <f>IF(ISNUMBER(E35),E35,IF(ISNUMBER(E34),E34,""))</f>
        <v/>
      </c>
    </row>
    <row r="37">
      <c r="B37" s="22" t="inlineStr">
        <is>
          <t>GAP  model - futures (pts)</t>
        </is>
      </c>
      <c r="C37" s="27">
        <f>IF(C36="","",C28-C36)</f>
        <v/>
      </c>
      <c r="D37" s="27">
        <f>IF(D36="","",D28-D36)</f>
        <v/>
      </c>
      <c r="E37" s="27">
        <f>IF(E36="","",E28-E36)</f>
        <v/>
      </c>
      <c r="G37" s="2" t="inlineStr">
        <is>
          <t>Positive = your model sees MORE dividends than the futures pay for. Read the TBA line in CHECKS before quoting it.</t>
        </is>
      </c>
    </row>
    <row r="38">
      <c r="B38" s="22" t="inlineStr">
        <is>
          <t>Gap (% of futures)</t>
        </is>
      </c>
      <c r="C38" s="28">
        <f>IF(C36="","",IFERROR(C37/C36,""))</f>
        <v/>
      </c>
      <c r="D38" s="28">
        <f>IF(D36="","",IFERROR(D37/D36,""))</f>
        <v/>
      </c>
      <c r="E38" s="28">
        <f>IF(E36="","",IFERROR(E37/E36,""))</f>
        <v/>
      </c>
    </row>
    <row r="39">
      <c r="B39" s="6" t="inlineStr">
        <is>
          <t>Where the futures sit</t>
        </is>
      </c>
      <c r="C39" s="18">
        <f>IF(C36="","",IF((C36&gt;=C29)*(C36&lt;=C30)&gt;0,"inside your low-high range",IF(C36&lt;C29,"BELOW your low - cheap vs you","ABOVE your high - rich vs you")))</f>
        <v/>
      </c>
      <c r="D39" s="18">
        <f>IF(D36="","",IF((D36&gt;=D29)*(D36&lt;=D30)&gt;0,"inside your low-high range",IF(D36&lt;D29,"BELOW your low - cheap vs you","ABOVE your high - rich vs you")))</f>
        <v/>
      </c>
      <c r="E39" s="18">
        <f>IF(E36="","",IF((E36&gt;=E29)*(E36&lt;=E30)&gt;0,"inside your low-high range",IF(E36&lt;E29,"BELOW your low - cheap vs you","ABOVE your high - rich vs you")))</f>
        <v/>
      </c>
    </row>
    <row r="41">
      <c r="B41" s="3" t="inlineStr">
        <is>
          <t>CHECKS        (read these before trusting the gap)</t>
        </is>
      </c>
      <c r="C41" s="4" t="n"/>
      <c r="D41" s="4" t="n"/>
      <c r="E41" s="4" t="n"/>
      <c r="F41" s="4" t="n"/>
      <c r="G41" s="4" t="n"/>
    </row>
    <row r="42">
      <c r="B42" s="6" t="inlineStr">
        <is>
          <t>Members returned</t>
        </is>
      </c>
      <c r="C42" s="29">
        <f>HSI!$H$2</f>
        <v/>
      </c>
      <c r="D42" s="29">
        <f>HSTECH!$H$2</f>
        <v/>
      </c>
      <c r="E42" s="29">
        <f>HSCEI!$H$2</f>
        <v/>
      </c>
      <c r="G42" s="2" t="inlineStr">
        <is>
          <t>Short of the real membership means the BDS pull was cut off.</t>
        </is>
      </c>
    </row>
    <row r="43">
      <c r="B43" s="6" t="inlineStr">
        <is>
          <t>Basket quantities pasted</t>
        </is>
      </c>
      <c r="C43" s="29">
        <f>HSI!$L$2</f>
        <v/>
      </c>
      <c r="D43" s="29">
        <f>HSTECH!$L$2</f>
        <v/>
      </c>
      <c r="E43" s="29">
        <f>HSCEI!$L$2</f>
        <v/>
      </c>
      <c r="G43" s="2" t="inlineStr">
        <is>
          <t>Should equal members.</t>
        </is>
      </c>
    </row>
    <row r="44">
      <c r="B44" s="6" t="inlineStr">
        <is>
          <t>Members with NO quantity</t>
        </is>
      </c>
      <c r="C44" s="29">
        <f>HSI!$P$2</f>
        <v/>
      </c>
      <c r="D44" s="29">
        <f>HSTECH!$P$2</f>
        <v/>
      </c>
      <c r="E44" s="29">
        <f>HSCEI!$P$2</f>
        <v/>
      </c>
      <c r="G44" s="2" t="inlineStr">
        <is>
          <t>Each one contributes zero points.</t>
        </is>
      </c>
    </row>
    <row r="45">
      <c r="B45" s="6" t="inlineStr">
        <is>
          <t>Divisor entered</t>
        </is>
      </c>
      <c r="C45" s="18">
        <f>IF(ISNUMBER(HSI!$B$3),"OK","MISSING")</f>
        <v/>
      </c>
      <c r="D45" s="18">
        <f>IF(ISNUMBER(HSTECH!$B$3),"OK","MISSING")</f>
        <v/>
      </c>
      <c r="E45" s="18">
        <f>IF(ISNUMBER(HSCEI!$B$3),"OK","MISSING")</f>
        <v/>
      </c>
      <c r="G45" s="2" t="inlineStr">
        <is>
          <t>Without it every points column is blank.</t>
        </is>
      </c>
    </row>
    <row r="46">
      <c r="B46" s="6" t="inlineStr">
        <is>
          <t>Basket value (index pts)</t>
        </is>
      </c>
      <c r="C46" s="21">
        <f>HSI!$Y$5</f>
        <v/>
      </c>
      <c r="D46" s="21">
        <f>HSTECH!$Y$5</f>
        <v/>
      </c>
      <c r="E46" s="21">
        <f>HSCEI!$Y$5</f>
        <v/>
      </c>
      <c r="G46" s="2" t="inlineStr">
        <is>
          <t>SUM of quantity x price / divisor. If your quantities and divisor are the real index ones, this IS the index level.</t>
        </is>
      </c>
    </row>
    <row r="47">
      <c r="B47" s="6" t="inlineStr">
        <is>
          <t>Index level (the comparison)</t>
        </is>
      </c>
      <c r="C47" s="21">
        <f>C23</f>
        <v/>
      </c>
      <c r="D47" s="21">
        <f>D23</f>
        <v/>
      </c>
      <c r="E47" s="21">
        <f>E23</f>
        <v/>
      </c>
    </row>
    <row r="48">
      <c r="B48" s="9" t="inlineStr">
        <is>
          <t>SCALE CHECK - level / basket value</t>
        </is>
      </c>
      <c r="C48" s="23">
        <f>IF(N(HSI!$Y$5)=0,"",C23/HSI!$Y$5)</f>
        <v/>
      </c>
      <c r="D48" s="23">
        <f>IF(N(HSTECH!$Y$5)=0,"",D23/HSTECH!$Y$5)</f>
        <v/>
      </c>
      <c r="E48" s="23">
        <f>IF(N(HSCEI!$Y$5)=0,"",E23/HSCEI!$Y$5)</f>
        <v/>
      </c>
      <c r="G48" s="2" t="inlineStr">
        <is>
          <t>MUST BE 1.00. This is the definitional test of quantity and divisor units and it does not care about dividends at all. If it reads 100,000 your quantity column is 100,000x too small (or the divisor that much too large) - multiply the quantities by exactly this number. Fix this before reading anything else.</t>
        </is>
      </c>
    </row>
    <row r="49">
      <c r="B49" s="6" t="inlineStr">
        <is>
          <t>Bottom-up 12M yield</t>
        </is>
      </c>
      <c r="C49" s="30">
        <f>IFERROR(HSI!$V$5/C23,"")</f>
        <v/>
      </c>
      <c r="D49" s="30">
        <f>IFERROR(HSTECH!$V$5/D23,"")</f>
        <v/>
      </c>
      <c r="E49" s="30">
        <f>IFERROR(HSCEI!$V$5/E23,"")</f>
        <v/>
      </c>
      <c r="G49" s="2" t="inlineStr">
        <is>
          <t>Trailing 12M dividends of your basket over the index level.</t>
        </is>
      </c>
    </row>
    <row r="50">
      <c r="B50" s="6" t="inlineStr">
        <is>
          <t>Bloomberg index 12M yield</t>
        </is>
      </c>
      <c r="C50" s="30">
        <f>IF($C$22="","",IFERROR(BDP($C$22,"EQY_DVD_YLD_12M")/100,""))</f>
        <v/>
      </c>
      <c r="D50" s="30">
        <f>IF($D$22="","",IFERROR(BDP($D$22,"EQY_DVD_YLD_12M")/100,""))</f>
        <v/>
      </c>
      <c r="E50" s="30">
        <f>IF($E$22="","",IFERROR(BDP($E$22,"EQY_DVD_YLD_12M")/100,""))</f>
        <v/>
      </c>
    </row>
    <row r="51">
      <c r="B51" s="9" t="inlineStr">
        <is>
          <t>THE DIVISOR CHECK - gap (bp)</t>
        </is>
      </c>
      <c r="C51" s="31">
        <f>IF(N(C50)*N(C49)=0,"",(C49-C50)*10000)</f>
        <v/>
      </c>
      <c r="D51" s="31">
        <f>IF(N(D50)*N(D49)=0,"",(D49-D50)*10000)</f>
        <v/>
      </c>
      <c r="E51" s="31">
        <f>IF(N(E50)*N(E49)=0,"",(E49-E50)*10000)</f>
        <v/>
      </c>
      <c r="G51" s="2" t="inlineStr">
        <is>
          <t>Bottom-up minus Bloomberg, once the SCALE CHECK is 1.00.</t>
        </is>
      </c>
    </row>
    <row r="52">
      <c r="B52" s="6" t="inlineStr">
        <is>
          <t>Dividend ratio (BBG / bottom-up)</t>
        </is>
      </c>
      <c r="C52" s="26">
        <f>IF(N(C49)=0,"",C50/C49)</f>
        <v/>
      </c>
      <c r="D52" s="26">
        <f>IF(N(D49)=0,"",D50/D49)</f>
        <v/>
      </c>
      <c r="E52" s="26">
        <f>IF(N(E49)=0,"",E50/E49)</f>
        <v/>
      </c>
      <c r="G52" s="2" t="inlineStr">
        <is>
          <t>Only meaningful once the SCALE CHECK reads 1.00. Then it is a REAL dividend difference - a different member list, specials, or free-float factors - not units.</t>
        </is>
      </c>
    </row>
    <row r="53">
      <c r="B53" s="6" t="inlineStr">
        <is>
          <t>Stocks with an amount still TBA</t>
        </is>
      </c>
      <c r="C53" s="29">
        <f>COUNTIF(HSI!$U$7:$U$106,"TBA amount - override me")</f>
        <v/>
      </c>
      <c r="D53" s="29">
        <f>COUNTIF(HSTECH!$U$7:$U$46,"TBA amount - override me")</f>
        <v/>
      </c>
      <c r="E53" s="29">
        <f>COUNTIF(HSCEI!$U$7:$U$66,"TBA amount - override me")</f>
        <v/>
      </c>
      <c r="G53" s="2" t="inlineStr">
        <is>
          <t>Announced with no amount yet: they add ZERO until you override them.</t>
        </is>
      </c>
    </row>
    <row r="54">
      <c r="B54" s="6" t="inlineStr">
        <is>
          <t>Stocks you have overridden</t>
        </is>
      </c>
      <c r="C54" s="29">
        <f>COUNTIF(HSI!$U$7:$U$106,"overridden")</f>
        <v/>
      </c>
      <c r="D54" s="29">
        <f>COUNTIF(HSTECH!$U$7:$U$46,"overridden")</f>
        <v/>
      </c>
      <c r="E54" s="29">
        <f>COUNTIF(HSCEI!$U$7:$U$66,"overridden")</f>
        <v/>
      </c>
    </row>
    <row r="55">
      <c r="B55" s="6" t="inlineStr">
        <is>
          <t>Events beyond the data window</t>
        </is>
      </c>
      <c r="C55" s="32">
        <f>COUNTA('Dvd Calendar'!$AS$10:$CF$1109)</f>
        <v/>
      </c>
      <c r="D55" s="32">
        <f>COUNTA('Dvd Calendar'!$AS$1115:$CF$1554)</f>
        <v/>
      </c>
      <c r="E55" s="32">
        <f>COUNTA('Dvd Calendar'!$AS$1560:$CF$2219)</f>
        <v/>
      </c>
      <c r="G55" s="2" t="inlineStr">
        <is>
          <t>Must be 0 - otherwise a stock has more events than the calendar window holds (one parameter to widen).</t>
        </is>
      </c>
    </row>
    <row r="56">
      <c r="B56" s="6" t="inlineStr">
        <is>
          <t>Pending list - shown / total</t>
        </is>
      </c>
      <c r="C56" s="33">
        <f>COUNT(Pending!$B$10:$B$309)&amp;" / "&amp;COUNTIFS(Grids!$EE$12:$GQ$111,"&gt;="&amp;PEND_FROM,Grids!$EE$12:$GQ$111,"&lt;"&amp;PEND_TO)</f>
        <v/>
      </c>
      <c r="D56" s="33">
        <f>COUNT(Pending!$B$316:$B$435)&amp;" / "&amp;COUNTIFS(Grids!$EE$116:$GQ$155,"&gt;="&amp;PEND_FROM,Grids!$EE$116:$GQ$155,"&lt;"&amp;PEND_TO)</f>
        <v/>
      </c>
      <c r="E56" s="33">
        <f>COUNT(Pending!$B$442:$B$621)&amp;" / "&amp;COUNTIFS(Grids!$EE$160:$GQ$219,"&gt;="&amp;PEND_FROM,Grids!$EE$160:$GQ$219,"&lt;"&amp;PEND_TO)</f>
        <v/>
      </c>
      <c r="G56" s="2" t="inlineStr">
        <is>
          <t>If these differ the list is truncated; the model still counts them.</t>
        </is>
      </c>
    </row>
  </sheetData>
  <mergeCells count="5">
    <mergeCell ref="C7:G7"/>
    <mergeCell ref="C6:G6"/>
    <mergeCell ref="C5:G5"/>
    <mergeCell ref="C17:E17"/>
    <mergeCell ref="C8:G8"/>
  </mergeCells>
  <dataValidations count="3">
    <dataValidation sqref="C13" showDropDown="0" showInputMessage="0" showErrorMessage="0" allowBlank="0" type="list">
      <formula1>"Y,N"</formula1>
    </dataValidation>
    <dataValidation sqref="C16" showDropDown="0" showInputMessage="0" showErrorMessage="0" allowBlank="0" type="list">
      <formula1>"Y,N"</formula1>
    </dataValidation>
    <dataValidation sqref="C14" showDropDown="0" showInputMessage="0" showErrorMessage="0" allowBlank="0" type="list">
      <formula1>"CNY,CNH"</formula1>
    </dataValidation>
  </dataValidations>
  <pageMargins left="0.75" right="0.75" top="1" bottom="1" header="0.5" footer="0.5"/>
</worksheet>
</file>

<file path=xl/worksheets/sheet3.xml><?xml version="1.0" encoding="utf-8"?>
<worksheet xmlns="http://schemas.openxmlformats.org/spreadsheetml/2006/main">
  <sheetPr>
    <tabColor rgb="00A9D08E"/>
    <outlinePr summaryBelow="1" summaryRight="1"/>
    <pageSetUpPr/>
  </sheetPr>
  <dimension ref="B1:P62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6" customWidth="1" min="3" max="3"/>
    <col width="24" customWidth="1" min="4" max="4"/>
    <col width="11" customWidth="1" min="5" max="5"/>
    <col width="8" customWidth="1" min="6" max="6"/>
    <col width="11" customWidth="1" min="7" max="7"/>
    <col width="11" customWidth="1" min="8" max="8"/>
    <col width="28" customWidth="1" min="9" max="9"/>
    <col width="16" customWidth="1" min="10" max="10"/>
    <col width="3" customWidth="1" min="11" max="11"/>
    <col width="7" customWidth="1" min="12" max="12"/>
    <col width="7" customWidth="1" min="13" max="13"/>
    <col width="7" customWidth="1" min="14" max="14"/>
    <col width="7" customWidth="1" min="15" max="15"/>
    <col width="7" customWidth="1" min="16" max="16"/>
  </cols>
  <sheetData>
    <row r="1">
      <c r="B1" s="1" t="inlineStr">
        <is>
          <t>PENDING DIVIDENDS - EVERYTHING STILL TO GO EX, SORTED BY DATE</t>
        </is>
      </c>
    </row>
    <row r="2">
      <c r="B2" s="2" t="inlineStr">
        <is>
          <t>From the day after the valuation date to the horizon on Summary. ANNOUNCED = the declaration date has passed (the ex-date can still move). BLOOMBERG PROJECTION = the declaration itself is still a forecast. Amount TBA = announced with no amount yet - counts as ZERO until you override that stock.</t>
        </is>
      </c>
    </row>
    <row r="4">
      <c r="B4" s="6" t="inlineStr">
        <is>
          <t>Horizon</t>
        </is>
      </c>
      <c r="C4" s="34">
        <f>HORIZON_DT</f>
        <v/>
      </c>
      <c r="E4" s="2" t="inlineStr">
        <is>
          <t>thresholds -&gt;</t>
        </is>
      </c>
      <c r="F4" s="35">
        <f>(VAL_DATE+1)*1000000000</f>
        <v/>
      </c>
      <c r="H4" s="35">
        <f>(HORIZON_DT+1)*1000000000</f>
        <v/>
      </c>
      <c r="I4" s="2">
        <f>Summary!$C$17</f>
        <v/>
      </c>
    </row>
    <row r="6">
      <c r="B6" s="3" t="inlineStr">
        <is>
          <t>Hang Seng Index (HSI)</t>
        </is>
      </c>
      <c r="C6" s="4" t="n"/>
      <c r="D6" s="4" t="n"/>
      <c r="E6" s="4" t="n"/>
      <c r="F6" s="4" t="n"/>
      <c r="G6" s="4" t="n"/>
      <c r="H6" s="4" t="n"/>
      <c r="I6" s="4" t="n"/>
      <c r="J6" s="4" t="n"/>
    </row>
    <row r="7">
      <c r="B7" s="2" t="inlineStr">
        <is>
          <t>Events pending</t>
        </is>
      </c>
      <c r="C7" s="36">
        <f>COUNTIFS(Grids!$EE$12:$GQ$111,"&gt;="&amp;PEND_FROM,Grids!$EE$12:$GQ$111,"&lt;"&amp;PEND_TO)</f>
        <v/>
      </c>
      <c r="D7" s="37">
        <f>IF($C$7&gt;300,"LIST TRUNCATED - showing the first 300; the model still counts all of them.","all listed below")</f>
        <v/>
      </c>
      <c r="L7" s="2" t="inlineStr">
        <is>
          <t>offset</t>
        </is>
      </c>
      <c r="M7" s="38">
        <f>COUNTIF(Grids!$EE$12:$GQ$111,"&lt;"&amp;PEND_FROM)</f>
        <v/>
      </c>
    </row>
    <row r="9">
      <c r="B9" s="19" t="inlineStr">
        <is>
          <t>Ex-date</t>
        </is>
      </c>
      <c r="C9" s="19" t="inlineStr">
        <is>
          <t>Ticker</t>
        </is>
      </c>
      <c r="D9" s="19" t="inlineStr">
        <is>
          <t>Name</t>
        </is>
      </c>
      <c r="E9" s="19" t="inlineStr">
        <is>
          <t>DPS
(declared ccy)</t>
        </is>
      </c>
      <c r="F9" s="19" t="inlineStr">
        <is>
          <t>CCY</t>
        </is>
      </c>
      <c r="G9" s="19" t="inlineStr">
        <is>
          <t>Index
pts</t>
        </is>
      </c>
      <c r="H9" s="19" t="inlineStr">
        <is>
          <t>Cumulative
pts</t>
        </is>
      </c>
      <c r="I9" s="19" t="inlineStr">
        <is>
          <t>Status</t>
        </is>
      </c>
      <c r="J9" s="19" t="inlineStr">
        <is>
          <t>Your override?</t>
        </is>
      </c>
      <c r="L9" s="2" t="inlineStr">
        <is>
          <t>engine</t>
        </is>
      </c>
    </row>
    <row r="10">
      <c r="B10" s="39">
        <f>IF($L10="","",$M10)</f>
        <v/>
      </c>
      <c r="C10" s="18">
        <f>IF($L10="","",INDEX(HSI!$C$7:$C$106,$N10))</f>
        <v/>
      </c>
      <c r="D10" s="18">
        <f>IF($L10="","",INDEX(HSI!$D$7:$D$106,$N10))</f>
        <v/>
      </c>
      <c r="E10" s="40">
        <f>IF($L10="","",IF($P10=0,"TBA",IFERROR(INDEX(Grids!$C$12:$BO$111,$N10,$O10),"-")))</f>
        <v/>
      </c>
      <c r="F10" s="18">
        <f>IF($L10="","",INDEX(HSI!$F$7:$F$106,$N10))</f>
        <v/>
      </c>
      <c r="G10" s="40">
        <f>IF($L10="","",IF($P10=0,"TBA",IFERROR(INDEX(Grids!$BQ$12:$EC$111,$N10,$O10),"-")))</f>
        <v/>
      </c>
      <c r="H10" s="41">
        <f>IF($L10="","",SUM($G$10:$G10))</f>
        <v/>
      </c>
      <c r="I10" s="42">
        <f>IF($L10="","",IF(INT(($L10-INT($L10/10000000)*10000000)/1000000)=0,"Bloomberg projection",IF($P10=1,"ANNOUNCED","ANNOUNCED - amount TBA")))</f>
        <v/>
      </c>
      <c r="J10" s="43">
        <f>IF($L10="","",IF((OV_SWITCH="ON")*(COUNTIFS(OVR_TICKERS,INDEX(HSI!$C$7:$C$106,$N10),OVR_BASE,"&gt;=0")&gt;0)&gt;0,"stock overridden",""))</f>
        <v/>
      </c>
      <c r="L10" s="35">
        <f>IFERROR(IF(SMALL(Grids!$EE$12:$GQ$111,$M$7+1)&gt;=PEND_TO,"",SMALL(Grids!$EE$12:$GQ$111,$M$7+1)),"")</f>
        <v/>
      </c>
      <c r="M10" s="35">
        <f>IF($L10="","",INT($L10/1000000000))</f>
        <v/>
      </c>
      <c r="N10" s="35">
        <f>IF($L10="","",INT(($L10-INT($L10/1000000)*1000000)/1000))</f>
        <v/>
      </c>
      <c r="O10" s="35">
        <f>IF($L10="","",$L10-INT($L10/1000)*1000)</f>
        <v/>
      </c>
      <c r="P10" s="35">
        <f>IF($L10="","",INT(($L10-INT($L10/1000000000)*1000000000)/100000000))</f>
        <v/>
      </c>
    </row>
    <row r="11">
      <c r="B11" s="39">
        <f>IF($L11="","",$M11)</f>
        <v/>
      </c>
      <c r="C11" s="18">
        <f>IF($L11="","",INDEX(HSI!$C$7:$C$106,$N11))</f>
        <v/>
      </c>
      <c r="D11" s="18">
        <f>IF($L11="","",INDEX(HSI!$D$7:$D$106,$N11))</f>
        <v/>
      </c>
      <c r="E11" s="40">
        <f>IF($L11="","",IF($P11=0,"TBA",IFERROR(INDEX(Grids!$C$12:$BO$111,$N11,$O11),"-")))</f>
        <v/>
      </c>
      <c r="F11" s="18">
        <f>IF($L11="","",INDEX(HSI!$F$7:$F$106,$N11))</f>
        <v/>
      </c>
      <c r="G11" s="40">
        <f>IF($L11="","",IF($P11=0,"TBA",IFERROR(INDEX(Grids!$BQ$12:$EC$111,$N11,$O11),"-")))</f>
        <v/>
      </c>
      <c r="H11" s="41">
        <f>IF($L11="","",SUM($G$10:$G11))</f>
        <v/>
      </c>
      <c r="I11" s="42">
        <f>IF($L11="","",IF(INT(($L11-INT($L11/10000000)*10000000)/1000000)=0,"Bloomberg projection",IF($P11=1,"ANNOUNCED","ANNOUNCED - amount TBA")))</f>
        <v/>
      </c>
      <c r="J11" s="43">
        <f>IF($L11="","",IF((OV_SWITCH="ON")*(COUNTIFS(OVR_TICKERS,INDEX(HSI!$C$7:$C$106,$N11),OVR_BASE,"&gt;=0")&gt;0)&gt;0,"stock overridden",""))</f>
        <v/>
      </c>
      <c r="L11" s="35">
        <f>IFERROR(IF(SMALL(Grids!$EE$12:$GQ$111,$M$7+2)&gt;=PEND_TO,"",SMALL(Grids!$EE$12:$GQ$111,$M$7+2)),"")</f>
        <v/>
      </c>
      <c r="M11" s="35">
        <f>IF($L11="","",INT($L11/1000000000))</f>
        <v/>
      </c>
      <c r="N11" s="35">
        <f>IF($L11="","",INT(($L11-INT($L11/1000000)*1000000)/1000))</f>
        <v/>
      </c>
      <c r="O11" s="35">
        <f>IF($L11="","",$L11-INT($L11/1000)*1000)</f>
        <v/>
      </c>
      <c r="P11" s="35">
        <f>IF($L11="","",INT(($L11-INT($L11/1000000000)*1000000000)/100000000))</f>
        <v/>
      </c>
    </row>
    <row r="12">
      <c r="B12" s="39">
        <f>IF($L12="","",$M12)</f>
        <v/>
      </c>
      <c r="C12" s="18">
        <f>IF($L12="","",INDEX(HSI!$C$7:$C$106,$N12))</f>
        <v/>
      </c>
      <c r="D12" s="18">
        <f>IF($L12="","",INDEX(HSI!$D$7:$D$106,$N12))</f>
        <v/>
      </c>
      <c r="E12" s="40">
        <f>IF($L12="","",IF($P12=0,"TBA",IFERROR(INDEX(Grids!$C$12:$BO$111,$N12,$O12),"-")))</f>
        <v/>
      </c>
      <c r="F12" s="18">
        <f>IF($L12="","",INDEX(HSI!$F$7:$F$106,$N12))</f>
        <v/>
      </c>
      <c r="G12" s="40">
        <f>IF($L12="","",IF($P12=0,"TBA",IFERROR(INDEX(Grids!$BQ$12:$EC$111,$N12,$O12),"-")))</f>
        <v/>
      </c>
      <c r="H12" s="41">
        <f>IF($L12="","",SUM($G$10:$G12))</f>
        <v/>
      </c>
      <c r="I12" s="42">
        <f>IF($L12="","",IF(INT(($L12-INT($L12/10000000)*10000000)/1000000)=0,"Bloomberg projection",IF($P12=1,"ANNOUNCED","ANNOUNCED - amount TBA")))</f>
        <v/>
      </c>
      <c r="J12" s="43">
        <f>IF($L12="","",IF((OV_SWITCH="ON")*(COUNTIFS(OVR_TICKERS,INDEX(HSI!$C$7:$C$106,$N12),OVR_BASE,"&gt;=0")&gt;0)&gt;0,"stock overridden",""))</f>
        <v/>
      </c>
      <c r="L12" s="35">
        <f>IFERROR(IF(SMALL(Grids!$EE$12:$GQ$111,$M$7+3)&gt;=PEND_TO,"",SMALL(Grids!$EE$12:$GQ$111,$M$7+3)),"")</f>
        <v/>
      </c>
      <c r="M12" s="35">
        <f>IF($L12="","",INT($L12/1000000000))</f>
        <v/>
      </c>
      <c r="N12" s="35">
        <f>IF($L12="","",INT(($L12-INT($L12/1000000)*1000000)/1000))</f>
        <v/>
      </c>
      <c r="O12" s="35">
        <f>IF($L12="","",$L12-INT($L12/1000)*1000)</f>
        <v/>
      </c>
      <c r="P12" s="35">
        <f>IF($L12="","",INT(($L12-INT($L12/1000000000)*1000000000)/100000000))</f>
        <v/>
      </c>
    </row>
    <row r="13">
      <c r="B13" s="39">
        <f>IF($L13="","",$M13)</f>
        <v/>
      </c>
      <c r="C13" s="18">
        <f>IF($L13="","",INDEX(HSI!$C$7:$C$106,$N13))</f>
        <v/>
      </c>
      <c r="D13" s="18">
        <f>IF($L13="","",INDEX(HSI!$D$7:$D$106,$N13))</f>
        <v/>
      </c>
      <c r="E13" s="40">
        <f>IF($L13="","",IF($P13=0,"TBA",IFERROR(INDEX(Grids!$C$12:$BO$111,$N13,$O13),"-")))</f>
        <v/>
      </c>
      <c r="F13" s="18">
        <f>IF($L13="","",INDEX(HSI!$F$7:$F$106,$N13))</f>
        <v/>
      </c>
      <c r="G13" s="40">
        <f>IF($L13="","",IF($P13=0,"TBA",IFERROR(INDEX(Grids!$BQ$12:$EC$111,$N13,$O13),"-")))</f>
        <v/>
      </c>
      <c r="H13" s="41">
        <f>IF($L13="","",SUM($G$10:$G13))</f>
        <v/>
      </c>
      <c r="I13" s="42">
        <f>IF($L13="","",IF(INT(($L13-INT($L13/10000000)*10000000)/1000000)=0,"Bloomberg projection",IF($P13=1,"ANNOUNCED","ANNOUNCED - amount TBA")))</f>
        <v/>
      </c>
      <c r="J13" s="43">
        <f>IF($L13="","",IF((OV_SWITCH="ON")*(COUNTIFS(OVR_TICKERS,INDEX(HSI!$C$7:$C$106,$N13),OVR_BASE,"&gt;=0")&gt;0)&gt;0,"stock overridden",""))</f>
        <v/>
      </c>
      <c r="L13" s="35">
        <f>IFERROR(IF(SMALL(Grids!$EE$12:$GQ$111,$M$7+4)&gt;=PEND_TO,"",SMALL(Grids!$EE$12:$GQ$111,$M$7+4)),"")</f>
        <v/>
      </c>
      <c r="M13" s="35">
        <f>IF($L13="","",INT($L13/1000000000))</f>
        <v/>
      </c>
      <c r="N13" s="35">
        <f>IF($L13="","",INT(($L13-INT($L13/1000000)*1000000)/1000))</f>
        <v/>
      </c>
      <c r="O13" s="35">
        <f>IF($L13="","",$L13-INT($L13/1000)*1000)</f>
        <v/>
      </c>
      <c r="P13" s="35">
        <f>IF($L13="","",INT(($L13-INT($L13/1000000000)*1000000000)/100000000))</f>
        <v/>
      </c>
    </row>
    <row r="14">
      <c r="B14" s="39">
        <f>IF($L14="","",$M14)</f>
        <v/>
      </c>
      <c r="C14" s="18">
        <f>IF($L14="","",INDEX(HSI!$C$7:$C$106,$N14))</f>
        <v/>
      </c>
      <c r="D14" s="18">
        <f>IF($L14="","",INDEX(HSI!$D$7:$D$106,$N14))</f>
        <v/>
      </c>
      <c r="E14" s="40">
        <f>IF($L14="","",IF($P14=0,"TBA",IFERROR(INDEX(Grids!$C$12:$BO$111,$N14,$O14),"-")))</f>
        <v/>
      </c>
      <c r="F14" s="18">
        <f>IF($L14="","",INDEX(HSI!$F$7:$F$106,$N14))</f>
        <v/>
      </c>
      <c r="G14" s="40">
        <f>IF($L14="","",IF($P14=0,"TBA",IFERROR(INDEX(Grids!$BQ$12:$EC$111,$N14,$O14),"-")))</f>
        <v/>
      </c>
      <c r="H14" s="41">
        <f>IF($L14="","",SUM($G$10:$G14))</f>
        <v/>
      </c>
      <c r="I14" s="42">
        <f>IF($L14="","",IF(INT(($L14-INT($L14/10000000)*10000000)/1000000)=0,"Bloomberg projection",IF($P14=1,"ANNOUNCED","ANNOUNCED - amount TBA")))</f>
        <v/>
      </c>
      <c r="J14" s="43">
        <f>IF($L14="","",IF((OV_SWITCH="ON")*(COUNTIFS(OVR_TICKERS,INDEX(HSI!$C$7:$C$106,$N14),OVR_BASE,"&gt;=0")&gt;0)&gt;0,"stock overridden",""))</f>
        <v/>
      </c>
      <c r="L14" s="35">
        <f>IFERROR(IF(SMALL(Grids!$EE$12:$GQ$111,$M$7+5)&gt;=PEND_TO,"",SMALL(Grids!$EE$12:$GQ$111,$M$7+5)),"")</f>
        <v/>
      </c>
      <c r="M14" s="35">
        <f>IF($L14="","",INT($L14/1000000000))</f>
        <v/>
      </c>
      <c r="N14" s="35">
        <f>IF($L14="","",INT(($L14-INT($L14/1000000)*1000000)/1000))</f>
        <v/>
      </c>
      <c r="O14" s="35">
        <f>IF($L14="","",$L14-INT($L14/1000)*1000)</f>
        <v/>
      </c>
      <c r="P14" s="35">
        <f>IF($L14="","",INT(($L14-INT($L14/1000000000)*1000000000)/100000000))</f>
        <v/>
      </c>
    </row>
    <row r="15">
      <c r="B15" s="39">
        <f>IF($L15="","",$M15)</f>
        <v/>
      </c>
      <c r="C15" s="18">
        <f>IF($L15="","",INDEX(HSI!$C$7:$C$106,$N15))</f>
        <v/>
      </c>
      <c r="D15" s="18">
        <f>IF($L15="","",INDEX(HSI!$D$7:$D$106,$N15))</f>
        <v/>
      </c>
      <c r="E15" s="40">
        <f>IF($L15="","",IF($P15=0,"TBA",IFERROR(INDEX(Grids!$C$12:$BO$111,$N15,$O15),"-")))</f>
        <v/>
      </c>
      <c r="F15" s="18">
        <f>IF($L15="","",INDEX(HSI!$F$7:$F$106,$N15))</f>
        <v/>
      </c>
      <c r="G15" s="40">
        <f>IF($L15="","",IF($P15=0,"TBA",IFERROR(INDEX(Grids!$BQ$12:$EC$111,$N15,$O15),"-")))</f>
        <v/>
      </c>
      <c r="H15" s="41">
        <f>IF($L15="","",SUM($G$10:$G15))</f>
        <v/>
      </c>
      <c r="I15" s="42">
        <f>IF($L15="","",IF(INT(($L15-INT($L15/10000000)*10000000)/1000000)=0,"Bloomberg projection",IF($P15=1,"ANNOUNCED","ANNOUNCED - amount TBA")))</f>
        <v/>
      </c>
      <c r="J15" s="43">
        <f>IF($L15="","",IF((OV_SWITCH="ON")*(COUNTIFS(OVR_TICKERS,INDEX(HSI!$C$7:$C$106,$N15),OVR_BASE,"&gt;=0")&gt;0)&gt;0,"stock overridden",""))</f>
        <v/>
      </c>
      <c r="L15" s="35">
        <f>IFERROR(IF(SMALL(Grids!$EE$12:$GQ$111,$M$7+6)&gt;=PEND_TO,"",SMALL(Grids!$EE$12:$GQ$111,$M$7+6)),"")</f>
        <v/>
      </c>
      <c r="M15" s="35">
        <f>IF($L15="","",INT($L15/1000000000))</f>
        <v/>
      </c>
      <c r="N15" s="35">
        <f>IF($L15="","",INT(($L15-INT($L15/1000000)*1000000)/1000))</f>
        <v/>
      </c>
      <c r="O15" s="35">
        <f>IF($L15="","",$L15-INT($L15/1000)*1000)</f>
        <v/>
      </c>
      <c r="P15" s="35">
        <f>IF($L15="","",INT(($L15-INT($L15/1000000000)*1000000000)/100000000))</f>
        <v/>
      </c>
    </row>
    <row r="16">
      <c r="B16" s="39">
        <f>IF($L16="","",$M16)</f>
        <v/>
      </c>
      <c r="C16" s="18">
        <f>IF($L16="","",INDEX(HSI!$C$7:$C$106,$N16))</f>
        <v/>
      </c>
      <c r="D16" s="18">
        <f>IF($L16="","",INDEX(HSI!$D$7:$D$106,$N16))</f>
        <v/>
      </c>
      <c r="E16" s="40">
        <f>IF($L16="","",IF($P16=0,"TBA",IFERROR(INDEX(Grids!$C$12:$BO$111,$N16,$O16),"-")))</f>
        <v/>
      </c>
      <c r="F16" s="18">
        <f>IF($L16="","",INDEX(HSI!$F$7:$F$106,$N16))</f>
        <v/>
      </c>
      <c r="G16" s="40">
        <f>IF($L16="","",IF($P16=0,"TBA",IFERROR(INDEX(Grids!$BQ$12:$EC$111,$N16,$O16),"-")))</f>
        <v/>
      </c>
      <c r="H16" s="41">
        <f>IF($L16="","",SUM($G$10:$G16))</f>
        <v/>
      </c>
      <c r="I16" s="42">
        <f>IF($L16="","",IF(INT(($L16-INT($L16/10000000)*10000000)/1000000)=0,"Bloomberg projection",IF($P16=1,"ANNOUNCED","ANNOUNCED - amount TBA")))</f>
        <v/>
      </c>
      <c r="J16" s="43">
        <f>IF($L16="","",IF((OV_SWITCH="ON")*(COUNTIFS(OVR_TICKERS,INDEX(HSI!$C$7:$C$106,$N16),OVR_BASE,"&gt;=0")&gt;0)&gt;0,"stock overridden",""))</f>
        <v/>
      </c>
      <c r="L16" s="35">
        <f>IFERROR(IF(SMALL(Grids!$EE$12:$GQ$111,$M$7+7)&gt;=PEND_TO,"",SMALL(Grids!$EE$12:$GQ$111,$M$7+7)),"")</f>
        <v/>
      </c>
      <c r="M16" s="35">
        <f>IF($L16="","",INT($L16/1000000000))</f>
        <v/>
      </c>
      <c r="N16" s="35">
        <f>IF($L16="","",INT(($L16-INT($L16/1000000)*1000000)/1000))</f>
        <v/>
      </c>
      <c r="O16" s="35">
        <f>IF($L16="","",$L16-INT($L16/1000)*1000)</f>
        <v/>
      </c>
      <c r="P16" s="35">
        <f>IF($L16="","",INT(($L16-INT($L16/1000000000)*1000000000)/100000000))</f>
        <v/>
      </c>
    </row>
    <row r="17">
      <c r="B17" s="39">
        <f>IF($L17="","",$M17)</f>
        <v/>
      </c>
      <c r="C17" s="18">
        <f>IF($L17="","",INDEX(HSI!$C$7:$C$106,$N17))</f>
        <v/>
      </c>
      <c r="D17" s="18">
        <f>IF($L17="","",INDEX(HSI!$D$7:$D$106,$N17))</f>
        <v/>
      </c>
      <c r="E17" s="40">
        <f>IF($L17="","",IF($P17=0,"TBA",IFERROR(INDEX(Grids!$C$12:$BO$111,$N17,$O17),"-")))</f>
        <v/>
      </c>
      <c r="F17" s="18">
        <f>IF($L17="","",INDEX(HSI!$F$7:$F$106,$N17))</f>
        <v/>
      </c>
      <c r="G17" s="40">
        <f>IF($L17="","",IF($P17=0,"TBA",IFERROR(INDEX(Grids!$BQ$12:$EC$111,$N17,$O17),"-")))</f>
        <v/>
      </c>
      <c r="H17" s="41">
        <f>IF($L17="","",SUM($G$10:$G17))</f>
        <v/>
      </c>
      <c r="I17" s="42">
        <f>IF($L17="","",IF(INT(($L17-INT($L17/10000000)*10000000)/1000000)=0,"Bloomberg projection",IF($P17=1,"ANNOUNCED","ANNOUNCED - amount TBA")))</f>
        <v/>
      </c>
      <c r="J17" s="43">
        <f>IF($L17="","",IF((OV_SWITCH="ON")*(COUNTIFS(OVR_TICKERS,INDEX(HSI!$C$7:$C$106,$N17),OVR_BASE,"&gt;=0")&gt;0)&gt;0,"stock overridden",""))</f>
        <v/>
      </c>
      <c r="L17" s="35">
        <f>IFERROR(IF(SMALL(Grids!$EE$12:$GQ$111,$M$7+8)&gt;=PEND_TO,"",SMALL(Grids!$EE$12:$GQ$111,$M$7+8)),"")</f>
        <v/>
      </c>
      <c r="M17" s="35">
        <f>IF($L17="","",INT($L17/1000000000))</f>
        <v/>
      </c>
      <c r="N17" s="35">
        <f>IF($L17="","",INT(($L17-INT($L17/1000000)*1000000)/1000))</f>
        <v/>
      </c>
      <c r="O17" s="35">
        <f>IF($L17="","",$L17-INT($L17/1000)*1000)</f>
        <v/>
      </c>
      <c r="P17" s="35">
        <f>IF($L17="","",INT(($L17-INT($L17/1000000000)*1000000000)/100000000))</f>
        <v/>
      </c>
    </row>
    <row r="18">
      <c r="B18" s="39">
        <f>IF($L18="","",$M18)</f>
        <v/>
      </c>
      <c r="C18" s="18">
        <f>IF($L18="","",INDEX(HSI!$C$7:$C$106,$N18))</f>
        <v/>
      </c>
      <c r="D18" s="18">
        <f>IF($L18="","",INDEX(HSI!$D$7:$D$106,$N18))</f>
        <v/>
      </c>
      <c r="E18" s="40">
        <f>IF($L18="","",IF($P18=0,"TBA",IFERROR(INDEX(Grids!$C$12:$BO$111,$N18,$O18),"-")))</f>
        <v/>
      </c>
      <c r="F18" s="18">
        <f>IF($L18="","",INDEX(HSI!$F$7:$F$106,$N18))</f>
        <v/>
      </c>
      <c r="G18" s="40">
        <f>IF($L18="","",IF($P18=0,"TBA",IFERROR(INDEX(Grids!$BQ$12:$EC$111,$N18,$O18),"-")))</f>
        <v/>
      </c>
      <c r="H18" s="41">
        <f>IF($L18="","",SUM($G$10:$G18))</f>
        <v/>
      </c>
      <c r="I18" s="42">
        <f>IF($L18="","",IF(INT(($L18-INT($L18/10000000)*10000000)/1000000)=0,"Bloomberg projection",IF($P18=1,"ANNOUNCED","ANNOUNCED - amount TBA")))</f>
        <v/>
      </c>
      <c r="J18" s="43">
        <f>IF($L18="","",IF((OV_SWITCH="ON")*(COUNTIFS(OVR_TICKERS,INDEX(HSI!$C$7:$C$106,$N18),OVR_BASE,"&gt;=0")&gt;0)&gt;0,"stock overridden",""))</f>
        <v/>
      </c>
      <c r="L18" s="35">
        <f>IFERROR(IF(SMALL(Grids!$EE$12:$GQ$111,$M$7+9)&gt;=PEND_TO,"",SMALL(Grids!$EE$12:$GQ$111,$M$7+9)),"")</f>
        <v/>
      </c>
      <c r="M18" s="35">
        <f>IF($L18="","",INT($L18/1000000000))</f>
        <v/>
      </c>
      <c r="N18" s="35">
        <f>IF($L18="","",INT(($L18-INT($L18/1000000)*1000000)/1000))</f>
        <v/>
      </c>
      <c r="O18" s="35">
        <f>IF($L18="","",$L18-INT($L18/1000)*1000)</f>
        <v/>
      </c>
      <c r="P18" s="35">
        <f>IF($L18="","",INT(($L18-INT($L18/1000000000)*1000000000)/100000000))</f>
        <v/>
      </c>
    </row>
    <row r="19">
      <c r="B19" s="39">
        <f>IF($L19="","",$M19)</f>
        <v/>
      </c>
      <c r="C19" s="18">
        <f>IF($L19="","",INDEX(HSI!$C$7:$C$106,$N19))</f>
        <v/>
      </c>
      <c r="D19" s="18">
        <f>IF($L19="","",INDEX(HSI!$D$7:$D$106,$N19))</f>
        <v/>
      </c>
      <c r="E19" s="40">
        <f>IF($L19="","",IF($P19=0,"TBA",IFERROR(INDEX(Grids!$C$12:$BO$111,$N19,$O19),"-")))</f>
        <v/>
      </c>
      <c r="F19" s="18">
        <f>IF($L19="","",INDEX(HSI!$F$7:$F$106,$N19))</f>
        <v/>
      </c>
      <c r="G19" s="40">
        <f>IF($L19="","",IF($P19=0,"TBA",IFERROR(INDEX(Grids!$BQ$12:$EC$111,$N19,$O19),"-")))</f>
        <v/>
      </c>
      <c r="H19" s="41">
        <f>IF($L19="","",SUM($G$10:$G19))</f>
        <v/>
      </c>
      <c r="I19" s="42">
        <f>IF($L19="","",IF(INT(($L19-INT($L19/10000000)*10000000)/1000000)=0,"Bloomberg projection",IF($P19=1,"ANNOUNCED","ANNOUNCED - amount TBA")))</f>
        <v/>
      </c>
      <c r="J19" s="43">
        <f>IF($L19="","",IF((OV_SWITCH="ON")*(COUNTIFS(OVR_TICKERS,INDEX(HSI!$C$7:$C$106,$N19),OVR_BASE,"&gt;=0")&gt;0)&gt;0,"stock overridden",""))</f>
        <v/>
      </c>
      <c r="L19" s="35">
        <f>IFERROR(IF(SMALL(Grids!$EE$12:$GQ$111,$M$7+10)&gt;=PEND_TO,"",SMALL(Grids!$EE$12:$GQ$111,$M$7+10)),"")</f>
        <v/>
      </c>
      <c r="M19" s="35">
        <f>IF($L19="","",INT($L19/1000000000))</f>
        <v/>
      </c>
      <c r="N19" s="35">
        <f>IF($L19="","",INT(($L19-INT($L19/1000000)*1000000)/1000))</f>
        <v/>
      </c>
      <c r="O19" s="35">
        <f>IF($L19="","",$L19-INT($L19/1000)*1000)</f>
        <v/>
      </c>
      <c r="P19" s="35">
        <f>IF($L19="","",INT(($L19-INT($L19/1000000000)*1000000000)/100000000))</f>
        <v/>
      </c>
    </row>
    <row r="20">
      <c r="B20" s="39">
        <f>IF($L20="","",$M20)</f>
        <v/>
      </c>
      <c r="C20" s="18">
        <f>IF($L20="","",INDEX(HSI!$C$7:$C$106,$N20))</f>
        <v/>
      </c>
      <c r="D20" s="18">
        <f>IF($L20="","",INDEX(HSI!$D$7:$D$106,$N20))</f>
        <v/>
      </c>
      <c r="E20" s="40">
        <f>IF($L20="","",IF($P20=0,"TBA",IFERROR(INDEX(Grids!$C$12:$BO$111,$N20,$O20),"-")))</f>
        <v/>
      </c>
      <c r="F20" s="18">
        <f>IF($L20="","",INDEX(HSI!$F$7:$F$106,$N20))</f>
        <v/>
      </c>
      <c r="G20" s="40">
        <f>IF($L20="","",IF($P20=0,"TBA",IFERROR(INDEX(Grids!$BQ$12:$EC$111,$N20,$O20),"-")))</f>
        <v/>
      </c>
      <c r="H20" s="41">
        <f>IF($L20="","",SUM($G$10:$G20))</f>
        <v/>
      </c>
      <c r="I20" s="42">
        <f>IF($L20="","",IF(INT(($L20-INT($L20/10000000)*10000000)/1000000)=0,"Bloomberg projection",IF($P20=1,"ANNOUNCED","ANNOUNCED - amount TBA")))</f>
        <v/>
      </c>
      <c r="J20" s="43">
        <f>IF($L20="","",IF((OV_SWITCH="ON")*(COUNTIFS(OVR_TICKERS,INDEX(HSI!$C$7:$C$106,$N20),OVR_BASE,"&gt;=0")&gt;0)&gt;0,"stock overridden",""))</f>
        <v/>
      </c>
      <c r="L20" s="35">
        <f>IFERROR(IF(SMALL(Grids!$EE$12:$GQ$111,$M$7+11)&gt;=PEND_TO,"",SMALL(Grids!$EE$12:$GQ$111,$M$7+11)),"")</f>
        <v/>
      </c>
      <c r="M20" s="35">
        <f>IF($L20="","",INT($L20/1000000000))</f>
        <v/>
      </c>
      <c r="N20" s="35">
        <f>IF($L20="","",INT(($L20-INT($L20/1000000)*1000000)/1000))</f>
        <v/>
      </c>
      <c r="O20" s="35">
        <f>IF($L20="","",$L20-INT($L20/1000)*1000)</f>
        <v/>
      </c>
      <c r="P20" s="35">
        <f>IF($L20="","",INT(($L20-INT($L20/1000000000)*1000000000)/100000000))</f>
        <v/>
      </c>
    </row>
    <row r="21">
      <c r="B21" s="39">
        <f>IF($L21="","",$M21)</f>
        <v/>
      </c>
      <c r="C21" s="18">
        <f>IF($L21="","",INDEX(HSI!$C$7:$C$106,$N21))</f>
        <v/>
      </c>
      <c r="D21" s="18">
        <f>IF($L21="","",INDEX(HSI!$D$7:$D$106,$N21))</f>
        <v/>
      </c>
      <c r="E21" s="40">
        <f>IF($L21="","",IF($P21=0,"TBA",IFERROR(INDEX(Grids!$C$12:$BO$111,$N21,$O21),"-")))</f>
        <v/>
      </c>
      <c r="F21" s="18">
        <f>IF($L21="","",INDEX(HSI!$F$7:$F$106,$N21))</f>
        <v/>
      </c>
      <c r="G21" s="40">
        <f>IF($L21="","",IF($P21=0,"TBA",IFERROR(INDEX(Grids!$BQ$12:$EC$111,$N21,$O21),"-")))</f>
        <v/>
      </c>
      <c r="H21" s="41">
        <f>IF($L21="","",SUM($G$10:$G21))</f>
        <v/>
      </c>
      <c r="I21" s="42">
        <f>IF($L21="","",IF(INT(($L21-INT($L21/10000000)*10000000)/1000000)=0,"Bloomberg projection",IF($P21=1,"ANNOUNCED","ANNOUNCED - amount TBA")))</f>
        <v/>
      </c>
      <c r="J21" s="43">
        <f>IF($L21="","",IF((OV_SWITCH="ON")*(COUNTIFS(OVR_TICKERS,INDEX(HSI!$C$7:$C$106,$N21),OVR_BASE,"&gt;=0")&gt;0)&gt;0,"stock overridden",""))</f>
        <v/>
      </c>
      <c r="L21" s="35">
        <f>IFERROR(IF(SMALL(Grids!$EE$12:$GQ$111,$M$7+12)&gt;=PEND_TO,"",SMALL(Grids!$EE$12:$GQ$111,$M$7+12)),"")</f>
        <v/>
      </c>
      <c r="M21" s="35">
        <f>IF($L21="","",INT($L21/1000000000))</f>
        <v/>
      </c>
      <c r="N21" s="35">
        <f>IF($L21="","",INT(($L21-INT($L21/1000000)*1000000)/1000))</f>
        <v/>
      </c>
      <c r="O21" s="35">
        <f>IF($L21="","",$L21-INT($L21/1000)*1000)</f>
        <v/>
      </c>
      <c r="P21" s="35">
        <f>IF($L21="","",INT(($L21-INT($L21/1000000000)*1000000000)/100000000))</f>
        <v/>
      </c>
    </row>
    <row r="22">
      <c r="B22" s="39">
        <f>IF($L22="","",$M22)</f>
        <v/>
      </c>
      <c r="C22" s="18">
        <f>IF($L22="","",INDEX(HSI!$C$7:$C$106,$N22))</f>
        <v/>
      </c>
      <c r="D22" s="18">
        <f>IF($L22="","",INDEX(HSI!$D$7:$D$106,$N22))</f>
        <v/>
      </c>
      <c r="E22" s="40">
        <f>IF($L22="","",IF($P22=0,"TBA",IFERROR(INDEX(Grids!$C$12:$BO$111,$N22,$O22),"-")))</f>
        <v/>
      </c>
      <c r="F22" s="18">
        <f>IF($L22="","",INDEX(HSI!$F$7:$F$106,$N22))</f>
        <v/>
      </c>
      <c r="G22" s="40">
        <f>IF($L22="","",IF($P22=0,"TBA",IFERROR(INDEX(Grids!$BQ$12:$EC$111,$N22,$O22),"-")))</f>
        <v/>
      </c>
      <c r="H22" s="41">
        <f>IF($L22="","",SUM($G$10:$G22))</f>
        <v/>
      </c>
      <c r="I22" s="42">
        <f>IF($L22="","",IF(INT(($L22-INT($L22/10000000)*10000000)/1000000)=0,"Bloomberg projection",IF($P22=1,"ANNOUNCED","ANNOUNCED - amount TBA")))</f>
        <v/>
      </c>
      <c r="J22" s="43">
        <f>IF($L22="","",IF((OV_SWITCH="ON")*(COUNTIFS(OVR_TICKERS,INDEX(HSI!$C$7:$C$106,$N22),OVR_BASE,"&gt;=0")&gt;0)&gt;0,"stock overridden",""))</f>
        <v/>
      </c>
      <c r="L22" s="35">
        <f>IFERROR(IF(SMALL(Grids!$EE$12:$GQ$111,$M$7+13)&gt;=PEND_TO,"",SMALL(Grids!$EE$12:$GQ$111,$M$7+13)),"")</f>
        <v/>
      </c>
      <c r="M22" s="35">
        <f>IF($L22="","",INT($L22/1000000000))</f>
        <v/>
      </c>
      <c r="N22" s="35">
        <f>IF($L22="","",INT(($L22-INT($L22/1000000)*1000000)/1000))</f>
        <v/>
      </c>
      <c r="O22" s="35">
        <f>IF($L22="","",$L22-INT($L22/1000)*1000)</f>
        <v/>
      </c>
      <c r="P22" s="35">
        <f>IF($L22="","",INT(($L22-INT($L22/1000000000)*1000000000)/100000000))</f>
        <v/>
      </c>
    </row>
    <row r="23">
      <c r="B23" s="39">
        <f>IF($L23="","",$M23)</f>
        <v/>
      </c>
      <c r="C23" s="18">
        <f>IF($L23="","",INDEX(HSI!$C$7:$C$106,$N23))</f>
        <v/>
      </c>
      <c r="D23" s="18">
        <f>IF($L23="","",INDEX(HSI!$D$7:$D$106,$N23))</f>
        <v/>
      </c>
      <c r="E23" s="40">
        <f>IF($L23="","",IF($P23=0,"TBA",IFERROR(INDEX(Grids!$C$12:$BO$111,$N23,$O23),"-")))</f>
        <v/>
      </c>
      <c r="F23" s="18">
        <f>IF($L23="","",INDEX(HSI!$F$7:$F$106,$N23))</f>
        <v/>
      </c>
      <c r="G23" s="40">
        <f>IF($L23="","",IF($P23=0,"TBA",IFERROR(INDEX(Grids!$BQ$12:$EC$111,$N23,$O23),"-")))</f>
        <v/>
      </c>
      <c r="H23" s="41">
        <f>IF($L23="","",SUM($G$10:$G23))</f>
        <v/>
      </c>
      <c r="I23" s="42">
        <f>IF($L23="","",IF(INT(($L23-INT($L23/10000000)*10000000)/1000000)=0,"Bloomberg projection",IF($P23=1,"ANNOUNCED","ANNOUNCED - amount TBA")))</f>
        <v/>
      </c>
      <c r="J23" s="43">
        <f>IF($L23="","",IF((OV_SWITCH="ON")*(COUNTIFS(OVR_TICKERS,INDEX(HSI!$C$7:$C$106,$N23),OVR_BASE,"&gt;=0")&gt;0)&gt;0,"stock overridden",""))</f>
        <v/>
      </c>
      <c r="L23" s="35">
        <f>IFERROR(IF(SMALL(Grids!$EE$12:$GQ$111,$M$7+14)&gt;=PEND_TO,"",SMALL(Grids!$EE$12:$GQ$111,$M$7+14)),"")</f>
        <v/>
      </c>
      <c r="M23" s="35">
        <f>IF($L23="","",INT($L23/1000000000))</f>
        <v/>
      </c>
      <c r="N23" s="35">
        <f>IF($L23="","",INT(($L23-INT($L23/1000000)*1000000)/1000))</f>
        <v/>
      </c>
      <c r="O23" s="35">
        <f>IF($L23="","",$L23-INT($L23/1000)*1000)</f>
        <v/>
      </c>
      <c r="P23" s="35">
        <f>IF($L23="","",INT(($L23-INT($L23/1000000000)*1000000000)/100000000))</f>
        <v/>
      </c>
    </row>
    <row r="24">
      <c r="B24" s="39">
        <f>IF($L24="","",$M24)</f>
        <v/>
      </c>
      <c r="C24" s="18">
        <f>IF($L24="","",INDEX(HSI!$C$7:$C$106,$N24))</f>
        <v/>
      </c>
      <c r="D24" s="18">
        <f>IF($L24="","",INDEX(HSI!$D$7:$D$106,$N24))</f>
        <v/>
      </c>
      <c r="E24" s="40">
        <f>IF($L24="","",IF($P24=0,"TBA",IFERROR(INDEX(Grids!$C$12:$BO$111,$N24,$O24),"-")))</f>
        <v/>
      </c>
      <c r="F24" s="18">
        <f>IF($L24="","",INDEX(HSI!$F$7:$F$106,$N24))</f>
        <v/>
      </c>
      <c r="G24" s="40">
        <f>IF($L24="","",IF($P24=0,"TBA",IFERROR(INDEX(Grids!$BQ$12:$EC$111,$N24,$O24),"-")))</f>
        <v/>
      </c>
      <c r="H24" s="41">
        <f>IF($L24="","",SUM($G$10:$G24))</f>
        <v/>
      </c>
      <c r="I24" s="42">
        <f>IF($L24="","",IF(INT(($L24-INT($L24/10000000)*10000000)/1000000)=0,"Bloomberg projection",IF($P24=1,"ANNOUNCED","ANNOUNCED - amount TBA")))</f>
        <v/>
      </c>
      <c r="J24" s="43">
        <f>IF($L24="","",IF((OV_SWITCH="ON")*(COUNTIFS(OVR_TICKERS,INDEX(HSI!$C$7:$C$106,$N24),OVR_BASE,"&gt;=0")&gt;0)&gt;0,"stock overridden",""))</f>
        <v/>
      </c>
      <c r="L24" s="35">
        <f>IFERROR(IF(SMALL(Grids!$EE$12:$GQ$111,$M$7+15)&gt;=PEND_TO,"",SMALL(Grids!$EE$12:$GQ$111,$M$7+15)),"")</f>
        <v/>
      </c>
      <c r="M24" s="35">
        <f>IF($L24="","",INT($L24/1000000000))</f>
        <v/>
      </c>
      <c r="N24" s="35">
        <f>IF($L24="","",INT(($L24-INT($L24/1000000)*1000000)/1000))</f>
        <v/>
      </c>
      <c r="O24" s="35">
        <f>IF($L24="","",$L24-INT($L24/1000)*1000)</f>
        <v/>
      </c>
      <c r="P24" s="35">
        <f>IF($L24="","",INT(($L24-INT($L24/1000000000)*1000000000)/100000000))</f>
        <v/>
      </c>
    </row>
    <row r="25">
      <c r="B25" s="39">
        <f>IF($L25="","",$M25)</f>
        <v/>
      </c>
      <c r="C25" s="18">
        <f>IF($L25="","",INDEX(HSI!$C$7:$C$106,$N25))</f>
        <v/>
      </c>
      <c r="D25" s="18">
        <f>IF($L25="","",INDEX(HSI!$D$7:$D$106,$N25))</f>
        <v/>
      </c>
      <c r="E25" s="40">
        <f>IF($L25="","",IF($P25=0,"TBA",IFERROR(INDEX(Grids!$C$12:$BO$111,$N25,$O25),"-")))</f>
        <v/>
      </c>
      <c r="F25" s="18">
        <f>IF($L25="","",INDEX(HSI!$F$7:$F$106,$N25))</f>
        <v/>
      </c>
      <c r="G25" s="40">
        <f>IF($L25="","",IF($P25=0,"TBA",IFERROR(INDEX(Grids!$BQ$12:$EC$111,$N25,$O25),"-")))</f>
        <v/>
      </c>
      <c r="H25" s="41">
        <f>IF($L25="","",SUM($G$10:$G25))</f>
        <v/>
      </c>
      <c r="I25" s="42">
        <f>IF($L25="","",IF(INT(($L25-INT($L25/10000000)*10000000)/1000000)=0,"Bloomberg projection",IF($P25=1,"ANNOUNCED","ANNOUNCED - amount TBA")))</f>
        <v/>
      </c>
      <c r="J25" s="43">
        <f>IF($L25="","",IF((OV_SWITCH="ON")*(COUNTIFS(OVR_TICKERS,INDEX(HSI!$C$7:$C$106,$N25),OVR_BASE,"&gt;=0")&gt;0)&gt;0,"stock overridden",""))</f>
        <v/>
      </c>
      <c r="L25" s="35">
        <f>IFERROR(IF(SMALL(Grids!$EE$12:$GQ$111,$M$7+16)&gt;=PEND_TO,"",SMALL(Grids!$EE$12:$GQ$111,$M$7+16)),"")</f>
        <v/>
      </c>
      <c r="M25" s="35">
        <f>IF($L25="","",INT($L25/1000000000))</f>
        <v/>
      </c>
      <c r="N25" s="35">
        <f>IF($L25="","",INT(($L25-INT($L25/1000000)*1000000)/1000))</f>
        <v/>
      </c>
      <c r="O25" s="35">
        <f>IF($L25="","",$L25-INT($L25/1000)*1000)</f>
        <v/>
      </c>
      <c r="P25" s="35">
        <f>IF($L25="","",INT(($L25-INT($L25/1000000000)*1000000000)/100000000))</f>
        <v/>
      </c>
    </row>
    <row r="26">
      <c r="B26" s="39">
        <f>IF($L26="","",$M26)</f>
        <v/>
      </c>
      <c r="C26" s="18">
        <f>IF($L26="","",INDEX(HSI!$C$7:$C$106,$N26))</f>
        <v/>
      </c>
      <c r="D26" s="18">
        <f>IF($L26="","",INDEX(HSI!$D$7:$D$106,$N26))</f>
        <v/>
      </c>
      <c r="E26" s="40">
        <f>IF($L26="","",IF($P26=0,"TBA",IFERROR(INDEX(Grids!$C$12:$BO$111,$N26,$O26),"-")))</f>
        <v/>
      </c>
      <c r="F26" s="18">
        <f>IF($L26="","",INDEX(HSI!$F$7:$F$106,$N26))</f>
        <v/>
      </c>
      <c r="G26" s="40">
        <f>IF($L26="","",IF($P26=0,"TBA",IFERROR(INDEX(Grids!$BQ$12:$EC$111,$N26,$O26),"-")))</f>
        <v/>
      </c>
      <c r="H26" s="41">
        <f>IF($L26="","",SUM($G$10:$G26))</f>
        <v/>
      </c>
      <c r="I26" s="42">
        <f>IF($L26="","",IF(INT(($L26-INT($L26/10000000)*10000000)/1000000)=0,"Bloomberg projection",IF($P26=1,"ANNOUNCED","ANNOUNCED - amount TBA")))</f>
        <v/>
      </c>
      <c r="J26" s="43">
        <f>IF($L26="","",IF((OV_SWITCH="ON")*(COUNTIFS(OVR_TICKERS,INDEX(HSI!$C$7:$C$106,$N26),OVR_BASE,"&gt;=0")&gt;0)&gt;0,"stock overridden",""))</f>
        <v/>
      </c>
      <c r="L26" s="35">
        <f>IFERROR(IF(SMALL(Grids!$EE$12:$GQ$111,$M$7+17)&gt;=PEND_TO,"",SMALL(Grids!$EE$12:$GQ$111,$M$7+17)),"")</f>
        <v/>
      </c>
      <c r="M26" s="35">
        <f>IF($L26="","",INT($L26/1000000000))</f>
        <v/>
      </c>
      <c r="N26" s="35">
        <f>IF($L26="","",INT(($L26-INT($L26/1000000)*1000000)/1000))</f>
        <v/>
      </c>
      <c r="O26" s="35">
        <f>IF($L26="","",$L26-INT($L26/1000)*1000)</f>
        <v/>
      </c>
      <c r="P26" s="35">
        <f>IF($L26="","",INT(($L26-INT($L26/1000000000)*1000000000)/100000000))</f>
        <v/>
      </c>
    </row>
    <row r="27">
      <c r="B27" s="39">
        <f>IF($L27="","",$M27)</f>
        <v/>
      </c>
      <c r="C27" s="18">
        <f>IF($L27="","",INDEX(HSI!$C$7:$C$106,$N27))</f>
        <v/>
      </c>
      <c r="D27" s="18">
        <f>IF($L27="","",INDEX(HSI!$D$7:$D$106,$N27))</f>
        <v/>
      </c>
      <c r="E27" s="40">
        <f>IF($L27="","",IF($P27=0,"TBA",IFERROR(INDEX(Grids!$C$12:$BO$111,$N27,$O27),"-")))</f>
        <v/>
      </c>
      <c r="F27" s="18">
        <f>IF($L27="","",INDEX(HSI!$F$7:$F$106,$N27))</f>
        <v/>
      </c>
      <c r="G27" s="40">
        <f>IF($L27="","",IF($P27=0,"TBA",IFERROR(INDEX(Grids!$BQ$12:$EC$111,$N27,$O27),"-")))</f>
        <v/>
      </c>
      <c r="H27" s="41">
        <f>IF($L27="","",SUM($G$10:$G27))</f>
        <v/>
      </c>
      <c r="I27" s="42">
        <f>IF($L27="","",IF(INT(($L27-INT($L27/10000000)*10000000)/1000000)=0,"Bloomberg projection",IF($P27=1,"ANNOUNCED","ANNOUNCED - amount TBA")))</f>
        <v/>
      </c>
      <c r="J27" s="43">
        <f>IF($L27="","",IF((OV_SWITCH="ON")*(COUNTIFS(OVR_TICKERS,INDEX(HSI!$C$7:$C$106,$N27),OVR_BASE,"&gt;=0")&gt;0)&gt;0,"stock overridden",""))</f>
        <v/>
      </c>
      <c r="L27" s="35">
        <f>IFERROR(IF(SMALL(Grids!$EE$12:$GQ$111,$M$7+18)&gt;=PEND_TO,"",SMALL(Grids!$EE$12:$GQ$111,$M$7+18)),"")</f>
        <v/>
      </c>
      <c r="M27" s="35">
        <f>IF($L27="","",INT($L27/1000000000))</f>
        <v/>
      </c>
      <c r="N27" s="35">
        <f>IF($L27="","",INT(($L27-INT($L27/1000000)*1000000)/1000))</f>
        <v/>
      </c>
      <c r="O27" s="35">
        <f>IF($L27="","",$L27-INT($L27/1000)*1000)</f>
        <v/>
      </c>
      <c r="P27" s="35">
        <f>IF($L27="","",INT(($L27-INT($L27/1000000000)*1000000000)/100000000))</f>
        <v/>
      </c>
    </row>
    <row r="28">
      <c r="B28" s="39">
        <f>IF($L28="","",$M28)</f>
        <v/>
      </c>
      <c r="C28" s="18">
        <f>IF($L28="","",INDEX(HSI!$C$7:$C$106,$N28))</f>
        <v/>
      </c>
      <c r="D28" s="18">
        <f>IF($L28="","",INDEX(HSI!$D$7:$D$106,$N28))</f>
        <v/>
      </c>
      <c r="E28" s="40">
        <f>IF($L28="","",IF($P28=0,"TBA",IFERROR(INDEX(Grids!$C$12:$BO$111,$N28,$O28),"-")))</f>
        <v/>
      </c>
      <c r="F28" s="18">
        <f>IF($L28="","",INDEX(HSI!$F$7:$F$106,$N28))</f>
        <v/>
      </c>
      <c r="G28" s="40">
        <f>IF($L28="","",IF($P28=0,"TBA",IFERROR(INDEX(Grids!$BQ$12:$EC$111,$N28,$O28),"-")))</f>
        <v/>
      </c>
      <c r="H28" s="41">
        <f>IF($L28="","",SUM($G$10:$G28))</f>
        <v/>
      </c>
      <c r="I28" s="42">
        <f>IF($L28="","",IF(INT(($L28-INT($L28/10000000)*10000000)/1000000)=0,"Bloomberg projection",IF($P28=1,"ANNOUNCED","ANNOUNCED - amount TBA")))</f>
        <v/>
      </c>
      <c r="J28" s="43">
        <f>IF($L28="","",IF((OV_SWITCH="ON")*(COUNTIFS(OVR_TICKERS,INDEX(HSI!$C$7:$C$106,$N28),OVR_BASE,"&gt;=0")&gt;0)&gt;0,"stock overridden",""))</f>
        <v/>
      </c>
      <c r="L28" s="35">
        <f>IFERROR(IF(SMALL(Grids!$EE$12:$GQ$111,$M$7+19)&gt;=PEND_TO,"",SMALL(Grids!$EE$12:$GQ$111,$M$7+19)),"")</f>
        <v/>
      </c>
      <c r="M28" s="35">
        <f>IF($L28="","",INT($L28/1000000000))</f>
        <v/>
      </c>
      <c r="N28" s="35">
        <f>IF($L28="","",INT(($L28-INT($L28/1000000)*1000000)/1000))</f>
        <v/>
      </c>
      <c r="O28" s="35">
        <f>IF($L28="","",$L28-INT($L28/1000)*1000)</f>
        <v/>
      </c>
      <c r="P28" s="35">
        <f>IF($L28="","",INT(($L28-INT($L28/1000000000)*1000000000)/100000000))</f>
        <v/>
      </c>
    </row>
    <row r="29">
      <c r="B29" s="39">
        <f>IF($L29="","",$M29)</f>
        <v/>
      </c>
      <c r="C29" s="18">
        <f>IF($L29="","",INDEX(HSI!$C$7:$C$106,$N29))</f>
        <v/>
      </c>
      <c r="D29" s="18">
        <f>IF($L29="","",INDEX(HSI!$D$7:$D$106,$N29))</f>
        <v/>
      </c>
      <c r="E29" s="40">
        <f>IF($L29="","",IF($P29=0,"TBA",IFERROR(INDEX(Grids!$C$12:$BO$111,$N29,$O29),"-")))</f>
        <v/>
      </c>
      <c r="F29" s="18">
        <f>IF($L29="","",INDEX(HSI!$F$7:$F$106,$N29))</f>
        <v/>
      </c>
      <c r="G29" s="40">
        <f>IF($L29="","",IF($P29=0,"TBA",IFERROR(INDEX(Grids!$BQ$12:$EC$111,$N29,$O29),"-")))</f>
        <v/>
      </c>
      <c r="H29" s="41">
        <f>IF($L29="","",SUM($G$10:$G29))</f>
        <v/>
      </c>
      <c r="I29" s="42">
        <f>IF($L29="","",IF(INT(($L29-INT($L29/10000000)*10000000)/1000000)=0,"Bloomberg projection",IF($P29=1,"ANNOUNCED","ANNOUNCED - amount TBA")))</f>
        <v/>
      </c>
      <c r="J29" s="43">
        <f>IF($L29="","",IF((OV_SWITCH="ON")*(COUNTIFS(OVR_TICKERS,INDEX(HSI!$C$7:$C$106,$N29),OVR_BASE,"&gt;=0")&gt;0)&gt;0,"stock overridden",""))</f>
        <v/>
      </c>
      <c r="L29" s="35">
        <f>IFERROR(IF(SMALL(Grids!$EE$12:$GQ$111,$M$7+20)&gt;=PEND_TO,"",SMALL(Grids!$EE$12:$GQ$111,$M$7+20)),"")</f>
        <v/>
      </c>
      <c r="M29" s="35">
        <f>IF($L29="","",INT($L29/1000000000))</f>
        <v/>
      </c>
      <c r="N29" s="35">
        <f>IF($L29="","",INT(($L29-INT($L29/1000000)*1000000)/1000))</f>
        <v/>
      </c>
      <c r="O29" s="35">
        <f>IF($L29="","",$L29-INT($L29/1000)*1000)</f>
        <v/>
      </c>
      <c r="P29" s="35">
        <f>IF($L29="","",INT(($L29-INT($L29/1000000000)*1000000000)/100000000))</f>
        <v/>
      </c>
    </row>
    <row r="30">
      <c r="B30" s="39">
        <f>IF($L30="","",$M30)</f>
        <v/>
      </c>
      <c r="C30" s="18">
        <f>IF($L30="","",INDEX(HSI!$C$7:$C$106,$N30))</f>
        <v/>
      </c>
      <c r="D30" s="18">
        <f>IF($L30="","",INDEX(HSI!$D$7:$D$106,$N30))</f>
        <v/>
      </c>
      <c r="E30" s="40">
        <f>IF($L30="","",IF($P30=0,"TBA",IFERROR(INDEX(Grids!$C$12:$BO$111,$N30,$O30),"-")))</f>
        <v/>
      </c>
      <c r="F30" s="18">
        <f>IF($L30="","",INDEX(HSI!$F$7:$F$106,$N30))</f>
        <v/>
      </c>
      <c r="G30" s="40">
        <f>IF($L30="","",IF($P30=0,"TBA",IFERROR(INDEX(Grids!$BQ$12:$EC$111,$N30,$O30),"-")))</f>
        <v/>
      </c>
      <c r="H30" s="41">
        <f>IF($L30="","",SUM($G$10:$G30))</f>
        <v/>
      </c>
      <c r="I30" s="42">
        <f>IF($L30="","",IF(INT(($L30-INT($L30/10000000)*10000000)/1000000)=0,"Bloomberg projection",IF($P30=1,"ANNOUNCED","ANNOUNCED - amount TBA")))</f>
        <v/>
      </c>
      <c r="J30" s="43">
        <f>IF($L30="","",IF((OV_SWITCH="ON")*(COUNTIFS(OVR_TICKERS,INDEX(HSI!$C$7:$C$106,$N30),OVR_BASE,"&gt;=0")&gt;0)&gt;0,"stock overridden",""))</f>
        <v/>
      </c>
      <c r="L30" s="35">
        <f>IFERROR(IF(SMALL(Grids!$EE$12:$GQ$111,$M$7+21)&gt;=PEND_TO,"",SMALL(Grids!$EE$12:$GQ$111,$M$7+21)),"")</f>
        <v/>
      </c>
      <c r="M30" s="35">
        <f>IF($L30="","",INT($L30/1000000000))</f>
        <v/>
      </c>
      <c r="N30" s="35">
        <f>IF($L30="","",INT(($L30-INT($L30/1000000)*1000000)/1000))</f>
        <v/>
      </c>
      <c r="O30" s="35">
        <f>IF($L30="","",$L30-INT($L30/1000)*1000)</f>
        <v/>
      </c>
      <c r="P30" s="35">
        <f>IF($L30="","",INT(($L30-INT($L30/1000000000)*1000000000)/100000000))</f>
        <v/>
      </c>
    </row>
    <row r="31">
      <c r="B31" s="39">
        <f>IF($L31="","",$M31)</f>
        <v/>
      </c>
      <c r="C31" s="18">
        <f>IF($L31="","",INDEX(HSI!$C$7:$C$106,$N31))</f>
        <v/>
      </c>
      <c r="D31" s="18">
        <f>IF($L31="","",INDEX(HSI!$D$7:$D$106,$N31))</f>
        <v/>
      </c>
      <c r="E31" s="40">
        <f>IF($L31="","",IF($P31=0,"TBA",IFERROR(INDEX(Grids!$C$12:$BO$111,$N31,$O31),"-")))</f>
        <v/>
      </c>
      <c r="F31" s="18">
        <f>IF($L31="","",INDEX(HSI!$F$7:$F$106,$N31))</f>
        <v/>
      </c>
      <c r="G31" s="40">
        <f>IF($L31="","",IF($P31=0,"TBA",IFERROR(INDEX(Grids!$BQ$12:$EC$111,$N31,$O31),"-")))</f>
        <v/>
      </c>
      <c r="H31" s="41">
        <f>IF($L31="","",SUM($G$10:$G31))</f>
        <v/>
      </c>
      <c r="I31" s="42">
        <f>IF($L31="","",IF(INT(($L31-INT($L31/10000000)*10000000)/1000000)=0,"Bloomberg projection",IF($P31=1,"ANNOUNCED","ANNOUNCED - amount TBA")))</f>
        <v/>
      </c>
      <c r="J31" s="43">
        <f>IF($L31="","",IF((OV_SWITCH="ON")*(COUNTIFS(OVR_TICKERS,INDEX(HSI!$C$7:$C$106,$N31),OVR_BASE,"&gt;=0")&gt;0)&gt;0,"stock overridden",""))</f>
        <v/>
      </c>
      <c r="L31" s="35">
        <f>IFERROR(IF(SMALL(Grids!$EE$12:$GQ$111,$M$7+22)&gt;=PEND_TO,"",SMALL(Grids!$EE$12:$GQ$111,$M$7+22)),"")</f>
        <v/>
      </c>
      <c r="M31" s="35">
        <f>IF($L31="","",INT($L31/1000000000))</f>
        <v/>
      </c>
      <c r="N31" s="35">
        <f>IF($L31="","",INT(($L31-INT($L31/1000000)*1000000)/1000))</f>
        <v/>
      </c>
      <c r="O31" s="35">
        <f>IF($L31="","",$L31-INT($L31/1000)*1000)</f>
        <v/>
      </c>
      <c r="P31" s="35">
        <f>IF($L31="","",INT(($L31-INT($L31/1000000000)*1000000000)/100000000))</f>
        <v/>
      </c>
    </row>
    <row r="32">
      <c r="B32" s="39">
        <f>IF($L32="","",$M32)</f>
        <v/>
      </c>
      <c r="C32" s="18">
        <f>IF($L32="","",INDEX(HSI!$C$7:$C$106,$N32))</f>
        <v/>
      </c>
      <c r="D32" s="18">
        <f>IF($L32="","",INDEX(HSI!$D$7:$D$106,$N32))</f>
        <v/>
      </c>
      <c r="E32" s="40">
        <f>IF($L32="","",IF($P32=0,"TBA",IFERROR(INDEX(Grids!$C$12:$BO$111,$N32,$O32),"-")))</f>
        <v/>
      </c>
      <c r="F32" s="18">
        <f>IF($L32="","",INDEX(HSI!$F$7:$F$106,$N32))</f>
        <v/>
      </c>
      <c r="G32" s="40">
        <f>IF($L32="","",IF($P32=0,"TBA",IFERROR(INDEX(Grids!$BQ$12:$EC$111,$N32,$O32),"-")))</f>
        <v/>
      </c>
      <c r="H32" s="41">
        <f>IF($L32="","",SUM($G$10:$G32))</f>
        <v/>
      </c>
      <c r="I32" s="42">
        <f>IF($L32="","",IF(INT(($L32-INT($L32/10000000)*10000000)/1000000)=0,"Bloomberg projection",IF($P32=1,"ANNOUNCED","ANNOUNCED - amount TBA")))</f>
        <v/>
      </c>
      <c r="J32" s="43">
        <f>IF($L32="","",IF((OV_SWITCH="ON")*(COUNTIFS(OVR_TICKERS,INDEX(HSI!$C$7:$C$106,$N32),OVR_BASE,"&gt;=0")&gt;0)&gt;0,"stock overridden",""))</f>
        <v/>
      </c>
      <c r="L32" s="35">
        <f>IFERROR(IF(SMALL(Grids!$EE$12:$GQ$111,$M$7+23)&gt;=PEND_TO,"",SMALL(Grids!$EE$12:$GQ$111,$M$7+23)),"")</f>
        <v/>
      </c>
      <c r="M32" s="35">
        <f>IF($L32="","",INT($L32/1000000000))</f>
        <v/>
      </c>
      <c r="N32" s="35">
        <f>IF($L32="","",INT(($L32-INT($L32/1000000)*1000000)/1000))</f>
        <v/>
      </c>
      <c r="O32" s="35">
        <f>IF($L32="","",$L32-INT($L32/1000)*1000)</f>
        <v/>
      </c>
      <c r="P32" s="35">
        <f>IF($L32="","",INT(($L32-INT($L32/1000000000)*1000000000)/100000000))</f>
        <v/>
      </c>
    </row>
    <row r="33">
      <c r="B33" s="39">
        <f>IF($L33="","",$M33)</f>
        <v/>
      </c>
      <c r="C33" s="18">
        <f>IF($L33="","",INDEX(HSI!$C$7:$C$106,$N33))</f>
        <v/>
      </c>
      <c r="D33" s="18">
        <f>IF($L33="","",INDEX(HSI!$D$7:$D$106,$N33))</f>
        <v/>
      </c>
      <c r="E33" s="40">
        <f>IF($L33="","",IF($P33=0,"TBA",IFERROR(INDEX(Grids!$C$12:$BO$111,$N33,$O33),"-")))</f>
        <v/>
      </c>
      <c r="F33" s="18">
        <f>IF($L33="","",INDEX(HSI!$F$7:$F$106,$N33))</f>
        <v/>
      </c>
      <c r="G33" s="40">
        <f>IF($L33="","",IF($P33=0,"TBA",IFERROR(INDEX(Grids!$BQ$12:$EC$111,$N33,$O33),"-")))</f>
        <v/>
      </c>
      <c r="H33" s="41">
        <f>IF($L33="","",SUM($G$10:$G33))</f>
        <v/>
      </c>
      <c r="I33" s="42">
        <f>IF($L33="","",IF(INT(($L33-INT($L33/10000000)*10000000)/1000000)=0,"Bloomberg projection",IF($P33=1,"ANNOUNCED","ANNOUNCED - amount TBA")))</f>
        <v/>
      </c>
      <c r="J33" s="43">
        <f>IF($L33="","",IF((OV_SWITCH="ON")*(COUNTIFS(OVR_TICKERS,INDEX(HSI!$C$7:$C$106,$N33),OVR_BASE,"&gt;=0")&gt;0)&gt;0,"stock overridden",""))</f>
        <v/>
      </c>
      <c r="L33" s="35">
        <f>IFERROR(IF(SMALL(Grids!$EE$12:$GQ$111,$M$7+24)&gt;=PEND_TO,"",SMALL(Grids!$EE$12:$GQ$111,$M$7+24)),"")</f>
        <v/>
      </c>
      <c r="M33" s="35">
        <f>IF($L33="","",INT($L33/1000000000))</f>
        <v/>
      </c>
      <c r="N33" s="35">
        <f>IF($L33="","",INT(($L33-INT($L33/1000000)*1000000)/1000))</f>
        <v/>
      </c>
      <c r="O33" s="35">
        <f>IF($L33="","",$L33-INT($L33/1000)*1000)</f>
        <v/>
      </c>
      <c r="P33" s="35">
        <f>IF($L33="","",INT(($L33-INT($L33/1000000000)*1000000000)/100000000))</f>
        <v/>
      </c>
    </row>
    <row r="34">
      <c r="B34" s="39">
        <f>IF($L34="","",$M34)</f>
        <v/>
      </c>
      <c r="C34" s="18">
        <f>IF($L34="","",INDEX(HSI!$C$7:$C$106,$N34))</f>
        <v/>
      </c>
      <c r="D34" s="18">
        <f>IF($L34="","",INDEX(HSI!$D$7:$D$106,$N34))</f>
        <v/>
      </c>
      <c r="E34" s="40">
        <f>IF($L34="","",IF($P34=0,"TBA",IFERROR(INDEX(Grids!$C$12:$BO$111,$N34,$O34),"-")))</f>
        <v/>
      </c>
      <c r="F34" s="18">
        <f>IF($L34="","",INDEX(HSI!$F$7:$F$106,$N34))</f>
        <v/>
      </c>
      <c r="G34" s="40">
        <f>IF($L34="","",IF($P34=0,"TBA",IFERROR(INDEX(Grids!$BQ$12:$EC$111,$N34,$O34),"-")))</f>
        <v/>
      </c>
      <c r="H34" s="41">
        <f>IF($L34="","",SUM($G$10:$G34))</f>
        <v/>
      </c>
      <c r="I34" s="42">
        <f>IF($L34="","",IF(INT(($L34-INT($L34/10000000)*10000000)/1000000)=0,"Bloomberg projection",IF($P34=1,"ANNOUNCED","ANNOUNCED - amount TBA")))</f>
        <v/>
      </c>
      <c r="J34" s="43">
        <f>IF($L34="","",IF((OV_SWITCH="ON")*(COUNTIFS(OVR_TICKERS,INDEX(HSI!$C$7:$C$106,$N34),OVR_BASE,"&gt;=0")&gt;0)&gt;0,"stock overridden",""))</f>
        <v/>
      </c>
      <c r="L34" s="35">
        <f>IFERROR(IF(SMALL(Grids!$EE$12:$GQ$111,$M$7+25)&gt;=PEND_TO,"",SMALL(Grids!$EE$12:$GQ$111,$M$7+25)),"")</f>
        <v/>
      </c>
      <c r="M34" s="35">
        <f>IF($L34="","",INT($L34/1000000000))</f>
        <v/>
      </c>
      <c r="N34" s="35">
        <f>IF($L34="","",INT(($L34-INT($L34/1000000)*1000000)/1000))</f>
        <v/>
      </c>
      <c r="O34" s="35">
        <f>IF($L34="","",$L34-INT($L34/1000)*1000)</f>
        <v/>
      </c>
      <c r="P34" s="35">
        <f>IF($L34="","",INT(($L34-INT($L34/1000000000)*1000000000)/100000000))</f>
        <v/>
      </c>
    </row>
    <row r="35">
      <c r="B35" s="39">
        <f>IF($L35="","",$M35)</f>
        <v/>
      </c>
      <c r="C35" s="18">
        <f>IF($L35="","",INDEX(HSI!$C$7:$C$106,$N35))</f>
        <v/>
      </c>
      <c r="D35" s="18">
        <f>IF($L35="","",INDEX(HSI!$D$7:$D$106,$N35))</f>
        <v/>
      </c>
      <c r="E35" s="40">
        <f>IF($L35="","",IF($P35=0,"TBA",IFERROR(INDEX(Grids!$C$12:$BO$111,$N35,$O35),"-")))</f>
        <v/>
      </c>
      <c r="F35" s="18">
        <f>IF($L35="","",INDEX(HSI!$F$7:$F$106,$N35))</f>
        <v/>
      </c>
      <c r="G35" s="40">
        <f>IF($L35="","",IF($P35=0,"TBA",IFERROR(INDEX(Grids!$BQ$12:$EC$111,$N35,$O35),"-")))</f>
        <v/>
      </c>
      <c r="H35" s="41">
        <f>IF($L35="","",SUM($G$10:$G35))</f>
        <v/>
      </c>
      <c r="I35" s="42">
        <f>IF($L35="","",IF(INT(($L35-INT($L35/10000000)*10000000)/1000000)=0,"Bloomberg projection",IF($P35=1,"ANNOUNCED","ANNOUNCED - amount TBA")))</f>
        <v/>
      </c>
      <c r="J35" s="43">
        <f>IF($L35="","",IF((OV_SWITCH="ON")*(COUNTIFS(OVR_TICKERS,INDEX(HSI!$C$7:$C$106,$N35),OVR_BASE,"&gt;=0")&gt;0)&gt;0,"stock overridden",""))</f>
        <v/>
      </c>
      <c r="L35" s="35">
        <f>IFERROR(IF(SMALL(Grids!$EE$12:$GQ$111,$M$7+26)&gt;=PEND_TO,"",SMALL(Grids!$EE$12:$GQ$111,$M$7+26)),"")</f>
        <v/>
      </c>
      <c r="M35" s="35">
        <f>IF($L35="","",INT($L35/1000000000))</f>
        <v/>
      </c>
      <c r="N35" s="35">
        <f>IF($L35="","",INT(($L35-INT($L35/1000000)*1000000)/1000))</f>
        <v/>
      </c>
      <c r="O35" s="35">
        <f>IF($L35="","",$L35-INT($L35/1000)*1000)</f>
        <v/>
      </c>
      <c r="P35" s="35">
        <f>IF($L35="","",INT(($L35-INT($L35/1000000000)*1000000000)/100000000))</f>
        <v/>
      </c>
    </row>
    <row r="36">
      <c r="B36" s="39">
        <f>IF($L36="","",$M36)</f>
        <v/>
      </c>
      <c r="C36" s="18">
        <f>IF($L36="","",INDEX(HSI!$C$7:$C$106,$N36))</f>
        <v/>
      </c>
      <c r="D36" s="18">
        <f>IF($L36="","",INDEX(HSI!$D$7:$D$106,$N36))</f>
        <v/>
      </c>
      <c r="E36" s="40">
        <f>IF($L36="","",IF($P36=0,"TBA",IFERROR(INDEX(Grids!$C$12:$BO$111,$N36,$O36),"-")))</f>
        <v/>
      </c>
      <c r="F36" s="18">
        <f>IF($L36="","",INDEX(HSI!$F$7:$F$106,$N36))</f>
        <v/>
      </c>
      <c r="G36" s="40">
        <f>IF($L36="","",IF($P36=0,"TBA",IFERROR(INDEX(Grids!$BQ$12:$EC$111,$N36,$O36),"-")))</f>
        <v/>
      </c>
      <c r="H36" s="41">
        <f>IF($L36="","",SUM($G$10:$G36))</f>
        <v/>
      </c>
      <c r="I36" s="42">
        <f>IF($L36="","",IF(INT(($L36-INT($L36/10000000)*10000000)/1000000)=0,"Bloomberg projection",IF($P36=1,"ANNOUNCED","ANNOUNCED - amount TBA")))</f>
        <v/>
      </c>
      <c r="J36" s="43">
        <f>IF($L36="","",IF((OV_SWITCH="ON")*(COUNTIFS(OVR_TICKERS,INDEX(HSI!$C$7:$C$106,$N36),OVR_BASE,"&gt;=0")&gt;0)&gt;0,"stock overridden",""))</f>
        <v/>
      </c>
      <c r="L36" s="35">
        <f>IFERROR(IF(SMALL(Grids!$EE$12:$GQ$111,$M$7+27)&gt;=PEND_TO,"",SMALL(Grids!$EE$12:$GQ$111,$M$7+27)),"")</f>
        <v/>
      </c>
      <c r="M36" s="35">
        <f>IF($L36="","",INT($L36/1000000000))</f>
        <v/>
      </c>
      <c r="N36" s="35">
        <f>IF($L36="","",INT(($L36-INT($L36/1000000)*1000000)/1000))</f>
        <v/>
      </c>
      <c r="O36" s="35">
        <f>IF($L36="","",$L36-INT($L36/1000)*1000)</f>
        <v/>
      </c>
      <c r="P36" s="35">
        <f>IF($L36="","",INT(($L36-INT($L36/1000000000)*1000000000)/100000000))</f>
        <v/>
      </c>
    </row>
    <row r="37">
      <c r="B37" s="39">
        <f>IF($L37="","",$M37)</f>
        <v/>
      </c>
      <c r="C37" s="18">
        <f>IF($L37="","",INDEX(HSI!$C$7:$C$106,$N37))</f>
        <v/>
      </c>
      <c r="D37" s="18">
        <f>IF($L37="","",INDEX(HSI!$D$7:$D$106,$N37))</f>
        <v/>
      </c>
      <c r="E37" s="40">
        <f>IF($L37="","",IF($P37=0,"TBA",IFERROR(INDEX(Grids!$C$12:$BO$111,$N37,$O37),"-")))</f>
        <v/>
      </c>
      <c r="F37" s="18">
        <f>IF($L37="","",INDEX(HSI!$F$7:$F$106,$N37))</f>
        <v/>
      </c>
      <c r="G37" s="40">
        <f>IF($L37="","",IF($P37=0,"TBA",IFERROR(INDEX(Grids!$BQ$12:$EC$111,$N37,$O37),"-")))</f>
        <v/>
      </c>
      <c r="H37" s="41">
        <f>IF($L37="","",SUM($G$10:$G37))</f>
        <v/>
      </c>
      <c r="I37" s="42">
        <f>IF($L37="","",IF(INT(($L37-INT($L37/10000000)*10000000)/1000000)=0,"Bloomberg projection",IF($P37=1,"ANNOUNCED","ANNOUNCED - amount TBA")))</f>
        <v/>
      </c>
      <c r="J37" s="43">
        <f>IF($L37="","",IF((OV_SWITCH="ON")*(COUNTIFS(OVR_TICKERS,INDEX(HSI!$C$7:$C$106,$N37),OVR_BASE,"&gt;=0")&gt;0)&gt;0,"stock overridden",""))</f>
        <v/>
      </c>
      <c r="L37" s="35">
        <f>IFERROR(IF(SMALL(Grids!$EE$12:$GQ$111,$M$7+28)&gt;=PEND_TO,"",SMALL(Grids!$EE$12:$GQ$111,$M$7+28)),"")</f>
        <v/>
      </c>
      <c r="M37" s="35">
        <f>IF($L37="","",INT($L37/1000000000))</f>
        <v/>
      </c>
      <c r="N37" s="35">
        <f>IF($L37="","",INT(($L37-INT($L37/1000000)*1000000)/1000))</f>
        <v/>
      </c>
      <c r="O37" s="35">
        <f>IF($L37="","",$L37-INT($L37/1000)*1000)</f>
        <v/>
      </c>
      <c r="P37" s="35">
        <f>IF($L37="","",INT(($L37-INT($L37/1000000000)*1000000000)/100000000))</f>
        <v/>
      </c>
    </row>
    <row r="38">
      <c r="B38" s="39">
        <f>IF($L38="","",$M38)</f>
        <v/>
      </c>
      <c r="C38" s="18">
        <f>IF($L38="","",INDEX(HSI!$C$7:$C$106,$N38))</f>
        <v/>
      </c>
      <c r="D38" s="18">
        <f>IF($L38="","",INDEX(HSI!$D$7:$D$106,$N38))</f>
        <v/>
      </c>
      <c r="E38" s="40">
        <f>IF($L38="","",IF($P38=0,"TBA",IFERROR(INDEX(Grids!$C$12:$BO$111,$N38,$O38),"-")))</f>
        <v/>
      </c>
      <c r="F38" s="18">
        <f>IF($L38="","",INDEX(HSI!$F$7:$F$106,$N38))</f>
        <v/>
      </c>
      <c r="G38" s="40">
        <f>IF($L38="","",IF($P38=0,"TBA",IFERROR(INDEX(Grids!$BQ$12:$EC$111,$N38,$O38),"-")))</f>
        <v/>
      </c>
      <c r="H38" s="41">
        <f>IF($L38="","",SUM($G$10:$G38))</f>
        <v/>
      </c>
      <c r="I38" s="42">
        <f>IF($L38="","",IF(INT(($L38-INT($L38/10000000)*10000000)/1000000)=0,"Bloomberg projection",IF($P38=1,"ANNOUNCED","ANNOUNCED - amount TBA")))</f>
        <v/>
      </c>
      <c r="J38" s="43">
        <f>IF($L38="","",IF((OV_SWITCH="ON")*(COUNTIFS(OVR_TICKERS,INDEX(HSI!$C$7:$C$106,$N38),OVR_BASE,"&gt;=0")&gt;0)&gt;0,"stock overridden",""))</f>
        <v/>
      </c>
      <c r="L38" s="35">
        <f>IFERROR(IF(SMALL(Grids!$EE$12:$GQ$111,$M$7+29)&gt;=PEND_TO,"",SMALL(Grids!$EE$12:$GQ$111,$M$7+29)),"")</f>
        <v/>
      </c>
      <c r="M38" s="35">
        <f>IF($L38="","",INT($L38/1000000000))</f>
        <v/>
      </c>
      <c r="N38" s="35">
        <f>IF($L38="","",INT(($L38-INT($L38/1000000)*1000000)/1000))</f>
        <v/>
      </c>
      <c r="O38" s="35">
        <f>IF($L38="","",$L38-INT($L38/1000)*1000)</f>
        <v/>
      </c>
      <c r="P38" s="35">
        <f>IF($L38="","",INT(($L38-INT($L38/1000000000)*1000000000)/100000000))</f>
        <v/>
      </c>
    </row>
    <row r="39">
      <c r="B39" s="39">
        <f>IF($L39="","",$M39)</f>
        <v/>
      </c>
      <c r="C39" s="18">
        <f>IF($L39="","",INDEX(HSI!$C$7:$C$106,$N39))</f>
        <v/>
      </c>
      <c r="D39" s="18">
        <f>IF($L39="","",INDEX(HSI!$D$7:$D$106,$N39))</f>
        <v/>
      </c>
      <c r="E39" s="40">
        <f>IF($L39="","",IF($P39=0,"TBA",IFERROR(INDEX(Grids!$C$12:$BO$111,$N39,$O39),"-")))</f>
        <v/>
      </c>
      <c r="F39" s="18">
        <f>IF($L39="","",INDEX(HSI!$F$7:$F$106,$N39))</f>
        <v/>
      </c>
      <c r="G39" s="40">
        <f>IF($L39="","",IF($P39=0,"TBA",IFERROR(INDEX(Grids!$BQ$12:$EC$111,$N39,$O39),"-")))</f>
        <v/>
      </c>
      <c r="H39" s="41">
        <f>IF($L39="","",SUM($G$10:$G39))</f>
        <v/>
      </c>
      <c r="I39" s="42">
        <f>IF($L39="","",IF(INT(($L39-INT($L39/10000000)*10000000)/1000000)=0,"Bloomberg projection",IF($P39=1,"ANNOUNCED","ANNOUNCED - amount TBA")))</f>
        <v/>
      </c>
      <c r="J39" s="43">
        <f>IF($L39="","",IF((OV_SWITCH="ON")*(COUNTIFS(OVR_TICKERS,INDEX(HSI!$C$7:$C$106,$N39),OVR_BASE,"&gt;=0")&gt;0)&gt;0,"stock overridden",""))</f>
        <v/>
      </c>
      <c r="L39" s="35">
        <f>IFERROR(IF(SMALL(Grids!$EE$12:$GQ$111,$M$7+30)&gt;=PEND_TO,"",SMALL(Grids!$EE$12:$GQ$111,$M$7+30)),"")</f>
        <v/>
      </c>
      <c r="M39" s="35">
        <f>IF($L39="","",INT($L39/1000000000))</f>
        <v/>
      </c>
      <c r="N39" s="35">
        <f>IF($L39="","",INT(($L39-INT($L39/1000000)*1000000)/1000))</f>
        <v/>
      </c>
      <c r="O39" s="35">
        <f>IF($L39="","",$L39-INT($L39/1000)*1000)</f>
        <v/>
      </c>
      <c r="P39" s="35">
        <f>IF($L39="","",INT(($L39-INT($L39/1000000000)*1000000000)/100000000))</f>
        <v/>
      </c>
    </row>
    <row r="40">
      <c r="B40" s="39">
        <f>IF($L40="","",$M40)</f>
        <v/>
      </c>
      <c r="C40" s="18">
        <f>IF($L40="","",INDEX(HSI!$C$7:$C$106,$N40))</f>
        <v/>
      </c>
      <c r="D40" s="18">
        <f>IF($L40="","",INDEX(HSI!$D$7:$D$106,$N40))</f>
        <v/>
      </c>
      <c r="E40" s="40">
        <f>IF($L40="","",IF($P40=0,"TBA",IFERROR(INDEX(Grids!$C$12:$BO$111,$N40,$O40),"-")))</f>
        <v/>
      </c>
      <c r="F40" s="18">
        <f>IF($L40="","",INDEX(HSI!$F$7:$F$106,$N40))</f>
        <v/>
      </c>
      <c r="G40" s="40">
        <f>IF($L40="","",IF($P40=0,"TBA",IFERROR(INDEX(Grids!$BQ$12:$EC$111,$N40,$O40),"-")))</f>
        <v/>
      </c>
      <c r="H40" s="41">
        <f>IF($L40="","",SUM($G$10:$G40))</f>
        <v/>
      </c>
      <c r="I40" s="42">
        <f>IF($L40="","",IF(INT(($L40-INT($L40/10000000)*10000000)/1000000)=0,"Bloomberg projection",IF($P40=1,"ANNOUNCED","ANNOUNCED - amount TBA")))</f>
        <v/>
      </c>
      <c r="J40" s="43">
        <f>IF($L40="","",IF((OV_SWITCH="ON")*(COUNTIFS(OVR_TICKERS,INDEX(HSI!$C$7:$C$106,$N40),OVR_BASE,"&gt;=0")&gt;0)&gt;0,"stock overridden",""))</f>
        <v/>
      </c>
      <c r="L40" s="35">
        <f>IFERROR(IF(SMALL(Grids!$EE$12:$GQ$111,$M$7+31)&gt;=PEND_TO,"",SMALL(Grids!$EE$12:$GQ$111,$M$7+31)),"")</f>
        <v/>
      </c>
      <c r="M40" s="35">
        <f>IF($L40="","",INT($L40/1000000000))</f>
        <v/>
      </c>
      <c r="N40" s="35">
        <f>IF($L40="","",INT(($L40-INT($L40/1000000)*1000000)/1000))</f>
        <v/>
      </c>
      <c r="O40" s="35">
        <f>IF($L40="","",$L40-INT($L40/1000)*1000)</f>
        <v/>
      </c>
      <c r="P40" s="35">
        <f>IF($L40="","",INT(($L40-INT($L40/1000000000)*1000000000)/100000000))</f>
        <v/>
      </c>
    </row>
    <row r="41">
      <c r="B41" s="39">
        <f>IF($L41="","",$M41)</f>
        <v/>
      </c>
      <c r="C41" s="18">
        <f>IF($L41="","",INDEX(HSI!$C$7:$C$106,$N41))</f>
        <v/>
      </c>
      <c r="D41" s="18">
        <f>IF($L41="","",INDEX(HSI!$D$7:$D$106,$N41))</f>
        <v/>
      </c>
      <c r="E41" s="40">
        <f>IF($L41="","",IF($P41=0,"TBA",IFERROR(INDEX(Grids!$C$12:$BO$111,$N41,$O41),"-")))</f>
        <v/>
      </c>
      <c r="F41" s="18">
        <f>IF($L41="","",INDEX(HSI!$F$7:$F$106,$N41))</f>
        <v/>
      </c>
      <c r="G41" s="40">
        <f>IF($L41="","",IF($P41=0,"TBA",IFERROR(INDEX(Grids!$BQ$12:$EC$111,$N41,$O41),"-")))</f>
        <v/>
      </c>
      <c r="H41" s="41">
        <f>IF($L41="","",SUM($G$10:$G41))</f>
        <v/>
      </c>
      <c r="I41" s="42">
        <f>IF($L41="","",IF(INT(($L41-INT($L41/10000000)*10000000)/1000000)=0,"Bloomberg projection",IF($P41=1,"ANNOUNCED","ANNOUNCED - amount TBA")))</f>
        <v/>
      </c>
      <c r="J41" s="43">
        <f>IF($L41="","",IF((OV_SWITCH="ON")*(COUNTIFS(OVR_TICKERS,INDEX(HSI!$C$7:$C$106,$N41),OVR_BASE,"&gt;=0")&gt;0)&gt;0,"stock overridden",""))</f>
        <v/>
      </c>
      <c r="L41" s="35">
        <f>IFERROR(IF(SMALL(Grids!$EE$12:$GQ$111,$M$7+32)&gt;=PEND_TO,"",SMALL(Grids!$EE$12:$GQ$111,$M$7+32)),"")</f>
        <v/>
      </c>
      <c r="M41" s="35">
        <f>IF($L41="","",INT($L41/1000000000))</f>
        <v/>
      </c>
      <c r="N41" s="35">
        <f>IF($L41="","",INT(($L41-INT($L41/1000000)*1000000)/1000))</f>
        <v/>
      </c>
      <c r="O41" s="35">
        <f>IF($L41="","",$L41-INT($L41/1000)*1000)</f>
        <v/>
      </c>
      <c r="P41" s="35">
        <f>IF($L41="","",INT(($L41-INT($L41/1000000000)*1000000000)/100000000))</f>
        <v/>
      </c>
    </row>
    <row r="42">
      <c r="B42" s="39">
        <f>IF($L42="","",$M42)</f>
        <v/>
      </c>
      <c r="C42" s="18">
        <f>IF($L42="","",INDEX(HSI!$C$7:$C$106,$N42))</f>
        <v/>
      </c>
      <c r="D42" s="18">
        <f>IF($L42="","",INDEX(HSI!$D$7:$D$106,$N42))</f>
        <v/>
      </c>
      <c r="E42" s="40">
        <f>IF($L42="","",IF($P42=0,"TBA",IFERROR(INDEX(Grids!$C$12:$BO$111,$N42,$O42),"-")))</f>
        <v/>
      </c>
      <c r="F42" s="18">
        <f>IF($L42="","",INDEX(HSI!$F$7:$F$106,$N42))</f>
        <v/>
      </c>
      <c r="G42" s="40">
        <f>IF($L42="","",IF($P42=0,"TBA",IFERROR(INDEX(Grids!$BQ$12:$EC$111,$N42,$O42),"-")))</f>
        <v/>
      </c>
      <c r="H42" s="41">
        <f>IF($L42="","",SUM($G$10:$G42))</f>
        <v/>
      </c>
      <c r="I42" s="42">
        <f>IF($L42="","",IF(INT(($L42-INT($L42/10000000)*10000000)/1000000)=0,"Bloomberg projection",IF($P42=1,"ANNOUNCED","ANNOUNCED - amount TBA")))</f>
        <v/>
      </c>
      <c r="J42" s="43">
        <f>IF($L42="","",IF((OV_SWITCH="ON")*(COUNTIFS(OVR_TICKERS,INDEX(HSI!$C$7:$C$106,$N42),OVR_BASE,"&gt;=0")&gt;0)&gt;0,"stock overridden",""))</f>
        <v/>
      </c>
      <c r="L42" s="35">
        <f>IFERROR(IF(SMALL(Grids!$EE$12:$GQ$111,$M$7+33)&gt;=PEND_TO,"",SMALL(Grids!$EE$12:$GQ$111,$M$7+33)),"")</f>
        <v/>
      </c>
      <c r="M42" s="35">
        <f>IF($L42="","",INT($L42/1000000000))</f>
        <v/>
      </c>
      <c r="N42" s="35">
        <f>IF($L42="","",INT(($L42-INT($L42/1000000)*1000000)/1000))</f>
        <v/>
      </c>
      <c r="O42" s="35">
        <f>IF($L42="","",$L42-INT($L42/1000)*1000)</f>
        <v/>
      </c>
      <c r="P42" s="35">
        <f>IF($L42="","",INT(($L42-INT($L42/1000000000)*1000000000)/100000000))</f>
        <v/>
      </c>
    </row>
    <row r="43">
      <c r="B43" s="39">
        <f>IF($L43="","",$M43)</f>
        <v/>
      </c>
      <c r="C43" s="18">
        <f>IF($L43="","",INDEX(HSI!$C$7:$C$106,$N43))</f>
        <v/>
      </c>
      <c r="D43" s="18">
        <f>IF($L43="","",INDEX(HSI!$D$7:$D$106,$N43))</f>
        <v/>
      </c>
      <c r="E43" s="40">
        <f>IF($L43="","",IF($P43=0,"TBA",IFERROR(INDEX(Grids!$C$12:$BO$111,$N43,$O43),"-")))</f>
        <v/>
      </c>
      <c r="F43" s="18">
        <f>IF($L43="","",INDEX(HSI!$F$7:$F$106,$N43))</f>
        <v/>
      </c>
      <c r="G43" s="40">
        <f>IF($L43="","",IF($P43=0,"TBA",IFERROR(INDEX(Grids!$BQ$12:$EC$111,$N43,$O43),"-")))</f>
        <v/>
      </c>
      <c r="H43" s="41">
        <f>IF($L43="","",SUM($G$10:$G43))</f>
        <v/>
      </c>
      <c r="I43" s="42">
        <f>IF($L43="","",IF(INT(($L43-INT($L43/10000000)*10000000)/1000000)=0,"Bloomberg projection",IF($P43=1,"ANNOUNCED","ANNOUNCED - amount TBA")))</f>
        <v/>
      </c>
      <c r="J43" s="43">
        <f>IF($L43="","",IF((OV_SWITCH="ON")*(COUNTIFS(OVR_TICKERS,INDEX(HSI!$C$7:$C$106,$N43),OVR_BASE,"&gt;=0")&gt;0)&gt;0,"stock overridden",""))</f>
        <v/>
      </c>
      <c r="L43" s="35">
        <f>IFERROR(IF(SMALL(Grids!$EE$12:$GQ$111,$M$7+34)&gt;=PEND_TO,"",SMALL(Grids!$EE$12:$GQ$111,$M$7+34)),"")</f>
        <v/>
      </c>
      <c r="M43" s="35">
        <f>IF($L43="","",INT($L43/1000000000))</f>
        <v/>
      </c>
      <c r="N43" s="35">
        <f>IF($L43="","",INT(($L43-INT($L43/1000000)*1000000)/1000))</f>
        <v/>
      </c>
      <c r="O43" s="35">
        <f>IF($L43="","",$L43-INT($L43/1000)*1000)</f>
        <v/>
      </c>
      <c r="P43" s="35">
        <f>IF($L43="","",INT(($L43-INT($L43/1000000000)*1000000000)/100000000))</f>
        <v/>
      </c>
    </row>
    <row r="44">
      <c r="B44" s="39">
        <f>IF($L44="","",$M44)</f>
        <v/>
      </c>
      <c r="C44" s="18">
        <f>IF($L44="","",INDEX(HSI!$C$7:$C$106,$N44))</f>
        <v/>
      </c>
      <c r="D44" s="18">
        <f>IF($L44="","",INDEX(HSI!$D$7:$D$106,$N44))</f>
        <v/>
      </c>
      <c r="E44" s="40">
        <f>IF($L44="","",IF($P44=0,"TBA",IFERROR(INDEX(Grids!$C$12:$BO$111,$N44,$O44),"-")))</f>
        <v/>
      </c>
      <c r="F44" s="18">
        <f>IF($L44="","",INDEX(HSI!$F$7:$F$106,$N44))</f>
        <v/>
      </c>
      <c r="G44" s="40">
        <f>IF($L44="","",IF($P44=0,"TBA",IFERROR(INDEX(Grids!$BQ$12:$EC$111,$N44,$O44),"-")))</f>
        <v/>
      </c>
      <c r="H44" s="41">
        <f>IF($L44="","",SUM($G$10:$G44))</f>
        <v/>
      </c>
      <c r="I44" s="42">
        <f>IF($L44="","",IF(INT(($L44-INT($L44/10000000)*10000000)/1000000)=0,"Bloomberg projection",IF($P44=1,"ANNOUNCED","ANNOUNCED - amount TBA")))</f>
        <v/>
      </c>
      <c r="J44" s="43">
        <f>IF($L44="","",IF((OV_SWITCH="ON")*(COUNTIFS(OVR_TICKERS,INDEX(HSI!$C$7:$C$106,$N44),OVR_BASE,"&gt;=0")&gt;0)&gt;0,"stock overridden",""))</f>
        <v/>
      </c>
      <c r="L44" s="35">
        <f>IFERROR(IF(SMALL(Grids!$EE$12:$GQ$111,$M$7+35)&gt;=PEND_TO,"",SMALL(Grids!$EE$12:$GQ$111,$M$7+35)),"")</f>
        <v/>
      </c>
      <c r="M44" s="35">
        <f>IF($L44="","",INT($L44/1000000000))</f>
        <v/>
      </c>
      <c r="N44" s="35">
        <f>IF($L44="","",INT(($L44-INT($L44/1000000)*1000000)/1000))</f>
        <v/>
      </c>
      <c r="O44" s="35">
        <f>IF($L44="","",$L44-INT($L44/1000)*1000)</f>
        <v/>
      </c>
      <c r="P44" s="35">
        <f>IF($L44="","",INT(($L44-INT($L44/1000000000)*1000000000)/100000000))</f>
        <v/>
      </c>
    </row>
    <row r="45">
      <c r="B45" s="39">
        <f>IF($L45="","",$M45)</f>
        <v/>
      </c>
      <c r="C45" s="18">
        <f>IF($L45="","",INDEX(HSI!$C$7:$C$106,$N45))</f>
        <v/>
      </c>
      <c r="D45" s="18">
        <f>IF($L45="","",INDEX(HSI!$D$7:$D$106,$N45))</f>
        <v/>
      </c>
      <c r="E45" s="40">
        <f>IF($L45="","",IF($P45=0,"TBA",IFERROR(INDEX(Grids!$C$12:$BO$111,$N45,$O45),"-")))</f>
        <v/>
      </c>
      <c r="F45" s="18">
        <f>IF($L45="","",INDEX(HSI!$F$7:$F$106,$N45))</f>
        <v/>
      </c>
      <c r="G45" s="40">
        <f>IF($L45="","",IF($P45=0,"TBA",IFERROR(INDEX(Grids!$BQ$12:$EC$111,$N45,$O45),"-")))</f>
        <v/>
      </c>
      <c r="H45" s="41">
        <f>IF($L45="","",SUM($G$10:$G45))</f>
        <v/>
      </c>
      <c r="I45" s="42">
        <f>IF($L45="","",IF(INT(($L45-INT($L45/10000000)*10000000)/1000000)=0,"Bloomberg projection",IF($P45=1,"ANNOUNCED","ANNOUNCED - amount TBA")))</f>
        <v/>
      </c>
      <c r="J45" s="43">
        <f>IF($L45="","",IF((OV_SWITCH="ON")*(COUNTIFS(OVR_TICKERS,INDEX(HSI!$C$7:$C$106,$N45),OVR_BASE,"&gt;=0")&gt;0)&gt;0,"stock overridden",""))</f>
        <v/>
      </c>
      <c r="L45" s="35">
        <f>IFERROR(IF(SMALL(Grids!$EE$12:$GQ$111,$M$7+36)&gt;=PEND_TO,"",SMALL(Grids!$EE$12:$GQ$111,$M$7+36)),"")</f>
        <v/>
      </c>
      <c r="M45" s="35">
        <f>IF($L45="","",INT($L45/1000000000))</f>
        <v/>
      </c>
      <c r="N45" s="35">
        <f>IF($L45="","",INT(($L45-INT($L45/1000000)*1000000)/1000))</f>
        <v/>
      </c>
      <c r="O45" s="35">
        <f>IF($L45="","",$L45-INT($L45/1000)*1000)</f>
        <v/>
      </c>
      <c r="P45" s="35">
        <f>IF($L45="","",INT(($L45-INT($L45/1000000000)*1000000000)/100000000))</f>
        <v/>
      </c>
    </row>
    <row r="46">
      <c r="B46" s="39">
        <f>IF($L46="","",$M46)</f>
        <v/>
      </c>
      <c r="C46" s="18">
        <f>IF($L46="","",INDEX(HSI!$C$7:$C$106,$N46))</f>
        <v/>
      </c>
      <c r="D46" s="18">
        <f>IF($L46="","",INDEX(HSI!$D$7:$D$106,$N46))</f>
        <v/>
      </c>
      <c r="E46" s="40">
        <f>IF($L46="","",IF($P46=0,"TBA",IFERROR(INDEX(Grids!$C$12:$BO$111,$N46,$O46),"-")))</f>
        <v/>
      </c>
      <c r="F46" s="18">
        <f>IF($L46="","",INDEX(HSI!$F$7:$F$106,$N46))</f>
        <v/>
      </c>
      <c r="G46" s="40">
        <f>IF($L46="","",IF($P46=0,"TBA",IFERROR(INDEX(Grids!$BQ$12:$EC$111,$N46,$O46),"-")))</f>
        <v/>
      </c>
      <c r="H46" s="41">
        <f>IF($L46="","",SUM($G$10:$G46))</f>
        <v/>
      </c>
      <c r="I46" s="42">
        <f>IF($L46="","",IF(INT(($L46-INT($L46/10000000)*10000000)/1000000)=0,"Bloomberg projection",IF($P46=1,"ANNOUNCED","ANNOUNCED - amount TBA")))</f>
        <v/>
      </c>
      <c r="J46" s="43">
        <f>IF($L46="","",IF((OV_SWITCH="ON")*(COUNTIFS(OVR_TICKERS,INDEX(HSI!$C$7:$C$106,$N46),OVR_BASE,"&gt;=0")&gt;0)&gt;0,"stock overridden",""))</f>
        <v/>
      </c>
      <c r="L46" s="35">
        <f>IFERROR(IF(SMALL(Grids!$EE$12:$GQ$111,$M$7+37)&gt;=PEND_TO,"",SMALL(Grids!$EE$12:$GQ$111,$M$7+37)),"")</f>
        <v/>
      </c>
      <c r="M46" s="35">
        <f>IF($L46="","",INT($L46/1000000000))</f>
        <v/>
      </c>
      <c r="N46" s="35">
        <f>IF($L46="","",INT(($L46-INT($L46/1000000)*1000000)/1000))</f>
        <v/>
      </c>
      <c r="O46" s="35">
        <f>IF($L46="","",$L46-INT($L46/1000)*1000)</f>
        <v/>
      </c>
      <c r="P46" s="35">
        <f>IF($L46="","",INT(($L46-INT($L46/1000000000)*1000000000)/100000000))</f>
        <v/>
      </c>
    </row>
    <row r="47">
      <c r="B47" s="39">
        <f>IF($L47="","",$M47)</f>
        <v/>
      </c>
      <c r="C47" s="18">
        <f>IF($L47="","",INDEX(HSI!$C$7:$C$106,$N47))</f>
        <v/>
      </c>
      <c r="D47" s="18">
        <f>IF($L47="","",INDEX(HSI!$D$7:$D$106,$N47))</f>
        <v/>
      </c>
      <c r="E47" s="40">
        <f>IF($L47="","",IF($P47=0,"TBA",IFERROR(INDEX(Grids!$C$12:$BO$111,$N47,$O47),"-")))</f>
        <v/>
      </c>
      <c r="F47" s="18">
        <f>IF($L47="","",INDEX(HSI!$F$7:$F$106,$N47))</f>
        <v/>
      </c>
      <c r="G47" s="40">
        <f>IF($L47="","",IF($P47=0,"TBA",IFERROR(INDEX(Grids!$BQ$12:$EC$111,$N47,$O47),"-")))</f>
        <v/>
      </c>
      <c r="H47" s="41">
        <f>IF($L47="","",SUM($G$10:$G47))</f>
        <v/>
      </c>
      <c r="I47" s="42">
        <f>IF($L47="","",IF(INT(($L47-INT($L47/10000000)*10000000)/1000000)=0,"Bloomberg projection",IF($P47=1,"ANNOUNCED","ANNOUNCED - amount TBA")))</f>
        <v/>
      </c>
      <c r="J47" s="43">
        <f>IF($L47="","",IF((OV_SWITCH="ON")*(COUNTIFS(OVR_TICKERS,INDEX(HSI!$C$7:$C$106,$N47),OVR_BASE,"&gt;=0")&gt;0)&gt;0,"stock overridden",""))</f>
        <v/>
      </c>
      <c r="L47" s="35">
        <f>IFERROR(IF(SMALL(Grids!$EE$12:$GQ$111,$M$7+38)&gt;=PEND_TO,"",SMALL(Grids!$EE$12:$GQ$111,$M$7+38)),"")</f>
        <v/>
      </c>
      <c r="M47" s="35">
        <f>IF($L47="","",INT($L47/1000000000))</f>
        <v/>
      </c>
      <c r="N47" s="35">
        <f>IF($L47="","",INT(($L47-INT($L47/1000000)*1000000)/1000))</f>
        <v/>
      </c>
      <c r="O47" s="35">
        <f>IF($L47="","",$L47-INT($L47/1000)*1000)</f>
        <v/>
      </c>
      <c r="P47" s="35">
        <f>IF($L47="","",INT(($L47-INT($L47/1000000000)*1000000000)/100000000))</f>
        <v/>
      </c>
    </row>
    <row r="48">
      <c r="B48" s="39">
        <f>IF($L48="","",$M48)</f>
        <v/>
      </c>
      <c r="C48" s="18">
        <f>IF($L48="","",INDEX(HSI!$C$7:$C$106,$N48))</f>
        <v/>
      </c>
      <c r="D48" s="18">
        <f>IF($L48="","",INDEX(HSI!$D$7:$D$106,$N48))</f>
        <v/>
      </c>
      <c r="E48" s="40">
        <f>IF($L48="","",IF($P48=0,"TBA",IFERROR(INDEX(Grids!$C$12:$BO$111,$N48,$O48),"-")))</f>
        <v/>
      </c>
      <c r="F48" s="18">
        <f>IF($L48="","",INDEX(HSI!$F$7:$F$106,$N48))</f>
        <v/>
      </c>
      <c r="G48" s="40">
        <f>IF($L48="","",IF($P48=0,"TBA",IFERROR(INDEX(Grids!$BQ$12:$EC$111,$N48,$O48),"-")))</f>
        <v/>
      </c>
      <c r="H48" s="41">
        <f>IF($L48="","",SUM($G$10:$G48))</f>
        <v/>
      </c>
      <c r="I48" s="42">
        <f>IF($L48="","",IF(INT(($L48-INT($L48/10000000)*10000000)/1000000)=0,"Bloomberg projection",IF($P48=1,"ANNOUNCED","ANNOUNCED - amount TBA")))</f>
        <v/>
      </c>
      <c r="J48" s="43">
        <f>IF($L48="","",IF((OV_SWITCH="ON")*(COUNTIFS(OVR_TICKERS,INDEX(HSI!$C$7:$C$106,$N48),OVR_BASE,"&gt;=0")&gt;0)&gt;0,"stock overridden",""))</f>
        <v/>
      </c>
      <c r="L48" s="35">
        <f>IFERROR(IF(SMALL(Grids!$EE$12:$GQ$111,$M$7+39)&gt;=PEND_TO,"",SMALL(Grids!$EE$12:$GQ$111,$M$7+39)),"")</f>
        <v/>
      </c>
      <c r="M48" s="35">
        <f>IF($L48="","",INT($L48/1000000000))</f>
        <v/>
      </c>
      <c r="N48" s="35">
        <f>IF($L48="","",INT(($L48-INT($L48/1000000)*1000000)/1000))</f>
        <v/>
      </c>
      <c r="O48" s="35">
        <f>IF($L48="","",$L48-INT($L48/1000)*1000)</f>
        <v/>
      </c>
      <c r="P48" s="35">
        <f>IF($L48="","",INT(($L48-INT($L48/1000000000)*1000000000)/100000000))</f>
        <v/>
      </c>
    </row>
    <row r="49">
      <c r="B49" s="39">
        <f>IF($L49="","",$M49)</f>
        <v/>
      </c>
      <c r="C49" s="18">
        <f>IF($L49="","",INDEX(HSI!$C$7:$C$106,$N49))</f>
        <v/>
      </c>
      <c r="D49" s="18">
        <f>IF($L49="","",INDEX(HSI!$D$7:$D$106,$N49))</f>
        <v/>
      </c>
      <c r="E49" s="40">
        <f>IF($L49="","",IF($P49=0,"TBA",IFERROR(INDEX(Grids!$C$12:$BO$111,$N49,$O49),"-")))</f>
        <v/>
      </c>
      <c r="F49" s="18">
        <f>IF($L49="","",INDEX(HSI!$F$7:$F$106,$N49))</f>
        <v/>
      </c>
      <c r="G49" s="40">
        <f>IF($L49="","",IF($P49=0,"TBA",IFERROR(INDEX(Grids!$BQ$12:$EC$111,$N49,$O49),"-")))</f>
        <v/>
      </c>
      <c r="H49" s="41">
        <f>IF($L49="","",SUM($G$10:$G49))</f>
        <v/>
      </c>
      <c r="I49" s="42">
        <f>IF($L49="","",IF(INT(($L49-INT($L49/10000000)*10000000)/1000000)=0,"Bloomberg projection",IF($P49=1,"ANNOUNCED","ANNOUNCED - amount TBA")))</f>
        <v/>
      </c>
      <c r="J49" s="43">
        <f>IF($L49="","",IF((OV_SWITCH="ON")*(COUNTIFS(OVR_TICKERS,INDEX(HSI!$C$7:$C$106,$N49),OVR_BASE,"&gt;=0")&gt;0)&gt;0,"stock overridden",""))</f>
        <v/>
      </c>
      <c r="L49" s="35">
        <f>IFERROR(IF(SMALL(Grids!$EE$12:$GQ$111,$M$7+40)&gt;=PEND_TO,"",SMALL(Grids!$EE$12:$GQ$111,$M$7+40)),"")</f>
        <v/>
      </c>
      <c r="M49" s="35">
        <f>IF($L49="","",INT($L49/1000000000))</f>
        <v/>
      </c>
      <c r="N49" s="35">
        <f>IF($L49="","",INT(($L49-INT($L49/1000000)*1000000)/1000))</f>
        <v/>
      </c>
      <c r="O49" s="35">
        <f>IF($L49="","",$L49-INT($L49/1000)*1000)</f>
        <v/>
      </c>
      <c r="P49" s="35">
        <f>IF($L49="","",INT(($L49-INT($L49/1000000000)*1000000000)/100000000))</f>
        <v/>
      </c>
    </row>
    <row r="50">
      <c r="B50" s="39">
        <f>IF($L50="","",$M50)</f>
        <v/>
      </c>
      <c r="C50" s="18">
        <f>IF($L50="","",INDEX(HSI!$C$7:$C$106,$N50))</f>
        <v/>
      </c>
      <c r="D50" s="18">
        <f>IF($L50="","",INDEX(HSI!$D$7:$D$106,$N50))</f>
        <v/>
      </c>
      <c r="E50" s="40">
        <f>IF($L50="","",IF($P50=0,"TBA",IFERROR(INDEX(Grids!$C$12:$BO$111,$N50,$O50),"-")))</f>
        <v/>
      </c>
      <c r="F50" s="18">
        <f>IF($L50="","",INDEX(HSI!$F$7:$F$106,$N50))</f>
        <v/>
      </c>
      <c r="G50" s="40">
        <f>IF($L50="","",IF($P50=0,"TBA",IFERROR(INDEX(Grids!$BQ$12:$EC$111,$N50,$O50),"-")))</f>
        <v/>
      </c>
      <c r="H50" s="41">
        <f>IF($L50="","",SUM($G$10:$G50))</f>
        <v/>
      </c>
      <c r="I50" s="42">
        <f>IF($L50="","",IF(INT(($L50-INT($L50/10000000)*10000000)/1000000)=0,"Bloomberg projection",IF($P50=1,"ANNOUNCED","ANNOUNCED - amount TBA")))</f>
        <v/>
      </c>
      <c r="J50" s="43">
        <f>IF($L50="","",IF((OV_SWITCH="ON")*(COUNTIFS(OVR_TICKERS,INDEX(HSI!$C$7:$C$106,$N50),OVR_BASE,"&gt;=0")&gt;0)&gt;0,"stock overridden",""))</f>
        <v/>
      </c>
      <c r="L50" s="35">
        <f>IFERROR(IF(SMALL(Grids!$EE$12:$GQ$111,$M$7+41)&gt;=PEND_TO,"",SMALL(Grids!$EE$12:$GQ$111,$M$7+41)),"")</f>
        <v/>
      </c>
      <c r="M50" s="35">
        <f>IF($L50="","",INT($L50/1000000000))</f>
        <v/>
      </c>
      <c r="N50" s="35">
        <f>IF($L50="","",INT(($L50-INT($L50/1000000)*1000000)/1000))</f>
        <v/>
      </c>
      <c r="O50" s="35">
        <f>IF($L50="","",$L50-INT($L50/1000)*1000)</f>
        <v/>
      </c>
      <c r="P50" s="35">
        <f>IF($L50="","",INT(($L50-INT($L50/1000000000)*1000000000)/100000000))</f>
        <v/>
      </c>
    </row>
    <row r="51">
      <c r="B51" s="39">
        <f>IF($L51="","",$M51)</f>
        <v/>
      </c>
      <c r="C51" s="18">
        <f>IF($L51="","",INDEX(HSI!$C$7:$C$106,$N51))</f>
        <v/>
      </c>
      <c r="D51" s="18">
        <f>IF($L51="","",INDEX(HSI!$D$7:$D$106,$N51))</f>
        <v/>
      </c>
      <c r="E51" s="40">
        <f>IF($L51="","",IF($P51=0,"TBA",IFERROR(INDEX(Grids!$C$12:$BO$111,$N51,$O51),"-")))</f>
        <v/>
      </c>
      <c r="F51" s="18">
        <f>IF($L51="","",INDEX(HSI!$F$7:$F$106,$N51))</f>
        <v/>
      </c>
      <c r="G51" s="40">
        <f>IF($L51="","",IF($P51=0,"TBA",IFERROR(INDEX(Grids!$BQ$12:$EC$111,$N51,$O51),"-")))</f>
        <v/>
      </c>
      <c r="H51" s="41">
        <f>IF($L51="","",SUM($G$10:$G51))</f>
        <v/>
      </c>
      <c r="I51" s="42">
        <f>IF($L51="","",IF(INT(($L51-INT($L51/10000000)*10000000)/1000000)=0,"Bloomberg projection",IF($P51=1,"ANNOUNCED","ANNOUNCED - amount TBA")))</f>
        <v/>
      </c>
      <c r="J51" s="43">
        <f>IF($L51="","",IF((OV_SWITCH="ON")*(COUNTIFS(OVR_TICKERS,INDEX(HSI!$C$7:$C$106,$N51),OVR_BASE,"&gt;=0")&gt;0)&gt;0,"stock overridden",""))</f>
        <v/>
      </c>
      <c r="L51" s="35">
        <f>IFERROR(IF(SMALL(Grids!$EE$12:$GQ$111,$M$7+42)&gt;=PEND_TO,"",SMALL(Grids!$EE$12:$GQ$111,$M$7+42)),"")</f>
        <v/>
      </c>
      <c r="M51" s="35">
        <f>IF($L51="","",INT($L51/1000000000))</f>
        <v/>
      </c>
      <c r="N51" s="35">
        <f>IF($L51="","",INT(($L51-INT($L51/1000000)*1000000)/1000))</f>
        <v/>
      </c>
      <c r="O51" s="35">
        <f>IF($L51="","",$L51-INT($L51/1000)*1000)</f>
        <v/>
      </c>
      <c r="P51" s="35">
        <f>IF($L51="","",INT(($L51-INT($L51/1000000000)*1000000000)/100000000))</f>
        <v/>
      </c>
    </row>
    <row r="52">
      <c r="B52" s="39">
        <f>IF($L52="","",$M52)</f>
        <v/>
      </c>
      <c r="C52" s="18">
        <f>IF($L52="","",INDEX(HSI!$C$7:$C$106,$N52))</f>
        <v/>
      </c>
      <c r="D52" s="18">
        <f>IF($L52="","",INDEX(HSI!$D$7:$D$106,$N52))</f>
        <v/>
      </c>
      <c r="E52" s="40">
        <f>IF($L52="","",IF($P52=0,"TBA",IFERROR(INDEX(Grids!$C$12:$BO$111,$N52,$O52),"-")))</f>
        <v/>
      </c>
      <c r="F52" s="18">
        <f>IF($L52="","",INDEX(HSI!$F$7:$F$106,$N52))</f>
        <v/>
      </c>
      <c r="G52" s="40">
        <f>IF($L52="","",IF($P52=0,"TBA",IFERROR(INDEX(Grids!$BQ$12:$EC$111,$N52,$O52),"-")))</f>
        <v/>
      </c>
      <c r="H52" s="41">
        <f>IF($L52="","",SUM($G$10:$G52))</f>
        <v/>
      </c>
      <c r="I52" s="42">
        <f>IF($L52="","",IF(INT(($L52-INT($L52/10000000)*10000000)/1000000)=0,"Bloomberg projection",IF($P52=1,"ANNOUNCED","ANNOUNCED - amount TBA")))</f>
        <v/>
      </c>
      <c r="J52" s="43">
        <f>IF($L52="","",IF((OV_SWITCH="ON")*(COUNTIFS(OVR_TICKERS,INDEX(HSI!$C$7:$C$106,$N52),OVR_BASE,"&gt;=0")&gt;0)&gt;0,"stock overridden",""))</f>
        <v/>
      </c>
      <c r="L52" s="35">
        <f>IFERROR(IF(SMALL(Grids!$EE$12:$GQ$111,$M$7+43)&gt;=PEND_TO,"",SMALL(Grids!$EE$12:$GQ$111,$M$7+43)),"")</f>
        <v/>
      </c>
      <c r="M52" s="35">
        <f>IF($L52="","",INT($L52/1000000000))</f>
        <v/>
      </c>
      <c r="N52" s="35">
        <f>IF($L52="","",INT(($L52-INT($L52/1000000)*1000000)/1000))</f>
        <v/>
      </c>
      <c r="O52" s="35">
        <f>IF($L52="","",$L52-INT($L52/1000)*1000)</f>
        <v/>
      </c>
      <c r="P52" s="35">
        <f>IF($L52="","",INT(($L52-INT($L52/1000000000)*1000000000)/100000000))</f>
        <v/>
      </c>
    </row>
    <row r="53">
      <c r="B53" s="39">
        <f>IF($L53="","",$M53)</f>
        <v/>
      </c>
      <c r="C53" s="18">
        <f>IF($L53="","",INDEX(HSI!$C$7:$C$106,$N53))</f>
        <v/>
      </c>
      <c r="D53" s="18">
        <f>IF($L53="","",INDEX(HSI!$D$7:$D$106,$N53))</f>
        <v/>
      </c>
      <c r="E53" s="40">
        <f>IF($L53="","",IF($P53=0,"TBA",IFERROR(INDEX(Grids!$C$12:$BO$111,$N53,$O53),"-")))</f>
        <v/>
      </c>
      <c r="F53" s="18">
        <f>IF($L53="","",INDEX(HSI!$F$7:$F$106,$N53))</f>
        <v/>
      </c>
      <c r="G53" s="40">
        <f>IF($L53="","",IF($P53=0,"TBA",IFERROR(INDEX(Grids!$BQ$12:$EC$111,$N53,$O53),"-")))</f>
        <v/>
      </c>
      <c r="H53" s="41">
        <f>IF($L53="","",SUM($G$10:$G53))</f>
        <v/>
      </c>
      <c r="I53" s="42">
        <f>IF($L53="","",IF(INT(($L53-INT($L53/10000000)*10000000)/1000000)=0,"Bloomberg projection",IF($P53=1,"ANNOUNCED","ANNOUNCED - amount TBA")))</f>
        <v/>
      </c>
      <c r="J53" s="43">
        <f>IF($L53="","",IF((OV_SWITCH="ON")*(COUNTIFS(OVR_TICKERS,INDEX(HSI!$C$7:$C$106,$N53),OVR_BASE,"&gt;=0")&gt;0)&gt;0,"stock overridden",""))</f>
        <v/>
      </c>
      <c r="L53" s="35">
        <f>IFERROR(IF(SMALL(Grids!$EE$12:$GQ$111,$M$7+44)&gt;=PEND_TO,"",SMALL(Grids!$EE$12:$GQ$111,$M$7+44)),"")</f>
        <v/>
      </c>
      <c r="M53" s="35">
        <f>IF($L53="","",INT($L53/1000000000))</f>
        <v/>
      </c>
      <c r="N53" s="35">
        <f>IF($L53="","",INT(($L53-INT($L53/1000000)*1000000)/1000))</f>
        <v/>
      </c>
      <c r="O53" s="35">
        <f>IF($L53="","",$L53-INT($L53/1000)*1000)</f>
        <v/>
      </c>
      <c r="P53" s="35">
        <f>IF($L53="","",INT(($L53-INT($L53/1000000000)*1000000000)/100000000))</f>
        <v/>
      </c>
    </row>
    <row r="54">
      <c r="B54" s="39">
        <f>IF($L54="","",$M54)</f>
        <v/>
      </c>
      <c r="C54" s="18">
        <f>IF($L54="","",INDEX(HSI!$C$7:$C$106,$N54))</f>
        <v/>
      </c>
      <c r="D54" s="18">
        <f>IF($L54="","",INDEX(HSI!$D$7:$D$106,$N54))</f>
        <v/>
      </c>
      <c r="E54" s="40">
        <f>IF($L54="","",IF($P54=0,"TBA",IFERROR(INDEX(Grids!$C$12:$BO$111,$N54,$O54),"-")))</f>
        <v/>
      </c>
      <c r="F54" s="18">
        <f>IF($L54="","",INDEX(HSI!$F$7:$F$106,$N54))</f>
        <v/>
      </c>
      <c r="G54" s="40">
        <f>IF($L54="","",IF($P54=0,"TBA",IFERROR(INDEX(Grids!$BQ$12:$EC$111,$N54,$O54),"-")))</f>
        <v/>
      </c>
      <c r="H54" s="41">
        <f>IF($L54="","",SUM($G$10:$G54))</f>
        <v/>
      </c>
      <c r="I54" s="42">
        <f>IF($L54="","",IF(INT(($L54-INT($L54/10000000)*10000000)/1000000)=0,"Bloomberg projection",IF($P54=1,"ANNOUNCED","ANNOUNCED - amount TBA")))</f>
        <v/>
      </c>
      <c r="J54" s="43">
        <f>IF($L54="","",IF((OV_SWITCH="ON")*(COUNTIFS(OVR_TICKERS,INDEX(HSI!$C$7:$C$106,$N54),OVR_BASE,"&gt;=0")&gt;0)&gt;0,"stock overridden",""))</f>
        <v/>
      </c>
      <c r="L54" s="35">
        <f>IFERROR(IF(SMALL(Grids!$EE$12:$GQ$111,$M$7+45)&gt;=PEND_TO,"",SMALL(Grids!$EE$12:$GQ$111,$M$7+45)),"")</f>
        <v/>
      </c>
      <c r="M54" s="35">
        <f>IF($L54="","",INT($L54/1000000000))</f>
        <v/>
      </c>
      <c r="N54" s="35">
        <f>IF($L54="","",INT(($L54-INT($L54/1000000)*1000000)/1000))</f>
        <v/>
      </c>
      <c r="O54" s="35">
        <f>IF($L54="","",$L54-INT($L54/1000)*1000)</f>
        <v/>
      </c>
      <c r="P54" s="35">
        <f>IF($L54="","",INT(($L54-INT($L54/1000000000)*1000000000)/100000000))</f>
        <v/>
      </c>
    </row>
    <row r="55">
      <c r="B55" s="39">
        <f>IF($L55="","",$M55)</f>
        <v/>
      </c>
      <c r="C55" s="18">
        <f>IF($L55="","",INDEX(HSI!$C$7:$C$106,$N55))</f>
        <v/>
      </c>
      <c r="D55" s="18">
        <f>IF($L55="","",INDEX(HSI!$D$7:$D$106,$N55))</f>
        <v/>
      </c>
      <c r="E55" s="40">
        <f>IF($L55="","",IF($P55=0,"TBA",IFERROR(INDEX(Grids!$C$12:$BO$111,$N55,$O55),"-")))</f>
        <v/>
      </c>
      <c r="F55" s="18">
        <f>IF($L55="","",INDEX(HSI!$F$7:$F$106,$N55))</f>
        <v/>
      </c>
      <c r="G55" s="40">
        <f>IF($L55="","",IF($P55=0,"TBA",IFERROR(INDEX(Grids!$BQ$12:$EC$111,$N55,$O55),"-")))</f>
        <v/>
      </c>
      <c r="H55" s="41">
        <f>IF($L55="","",SUM($G$10:$G55))</f>
        <v/>
      </c>
      <c r="I55" s="42">
        <f>IF($L55="","",IF(INT(($L55-INT($L55/10000000)*10000000)/1000000)=0,"Bloomberg projection",IF($P55=1,"ANNOUNCED","ANNOUNCED - amount TBA")))</f>
        <v/>
      </c>
      <c r="J55" s="43">
        <f>IF($L55="","",IF((OV_SWITCH="ON")*(COUNTIFS(OVR_TICKERS,INDEX(HSI!$C$7:$C$106,$N55),OVR_BASE,"&gt;=0")&gt;0)&gt;0,"stock overridden",""))</f>
        <v/>
      </c>
      <c r="L55" s="35">
        <f>IFERROR(IF(SMALL(Grids!$EE$12:$GQ$111,$M$7+46)&gt;=PEND_TO,"",SMALL(Grids!$EE$12:$GQ$111,$M$7+46)),"")</f>
        <v/>
      </c>
      <c r="M55" s="35">
        <f>IF($L55="","",INT($L55/1000000000))</f>
        <v/>
      </c>
      <c r="N55" s="35">
        <f>IF($L55="","",INT(($L55-INT($L55/1000000)*1000000)/1000))</f>
        <v/>
      </c>
      <c r="O55" s="35">
        <f>IF($L55="","",$L55-INT($L55/1000)*1000)</f>
        <v/>
      </c>
      <c r="P55" s="35">
        <f>IF($L55="","",INT(($L55-INT($L55/1000000000)*1000000000)/100000000))</f>
        <v/>
      </c>
    </row>
    <row r="56">
      <c r="B56" s="39">
        <f>IF($L56="","",$M56)</f>
        <v/>
      </c>
      <c r="C56" s="18">
        <f>IF($L56="","",INDEX(HSI!$C$7:$C$106,$N56))</f>
        <v/>
      </c>
      <c r="D56" s="18">
        <f>IF($L56="","",INDEX(HSI!$D$7:$D$106,$N56))</f>
        <v/>
      </c>
      <c r="E56" s="40">
        <f>IF($L56="","",IF($P56=0,"TBA",IFERROR(INDEX(Grids!$C$12:$BO$111,$N56,$O56),"-")))</f>
        <v/>
      </c>
      <c r="F56" s="18">
        <f>IF($L56="","",INDEX(HSI!$F$7:$F$106,$N56))</f>
        <v/>
      </c>
      <c r="G56" s="40">
        <f>IF($L56="","",IF($P56=0,"TBA",IFERROR(INDEX(Grids!$BQ$12:$EC$111,$N56,$O56),"-")))</f>
        <v/>
      </c>
      <c r="H56" s="41">
        <f>IF($L56="","",SUM($G$10:$G56))</f>
        <v/>
      </c>
      <c r="I56" s="42">
        <f>IF($L56="","",IF(INT(($L56-INT($L56/10000000)*10000000)/1000000)=0,"Bloomberg projection",IF($P56=1,"ANNOUNCED","ANNOUNCED - amount TBA")))</f>
        <v/>
      </c>
      <c r="J56" s="43">
        <f>IF($L56="","",IF((OV_SWITCH="ON")*(COUNTIFS(OVR_TICKERS,INDEX(HSI!$C$7:$C$106,$N56),OVR_BASE,"&gt;=0")&gt;0)&gt;0,"stock overridden",""))</f>
        <v/>
      </c>
      <c r="L56" s="35">
        <f>IFERROR(IF(SMALL(Grids!$EE$12:$GQ$111,$M$7+47)&gt;=PEND_TO,"",SMALL(Grids!$EE$12:$GQ$111,$M$7+47)),"")</f>
        <v/>
      </c>
      <c r="M56" s="35">
        <f>IF($L56="","",INT($L56/1000000000))</f>
        <v/>
      </c>
      <c r="N56" s="35">
        <f>IF($L56="","",INT(($L56-INT($L56/1000000)*1000000)/1000))</f>
        <v/>
      </c>
      <c r="O56" s="35">
        <f>IF($L56="","",$L56-INT($L56/1000)*1000)</f>
        <v/>
      </c>
      <c r="P56" s="35">
        <f>IF($L56="","",INT(($L56-INT($L56/1000000000)*1000000000)/100000000))</f>
        <v/>
      </c>
    </row>
    <row r="57">
      <c r="B57" s="39">
        <f>IF($L57="","",$M57)</f>
        <v/>
      </c>
      <c r="C57" s="18">
        <f>IF($L57="","",INDEX(HSI!$C$7:$C$106,$N57))</f>
        <v/>
      </c>
      <c r="D57" s="18">
        <f>IF($L57="","",INDEX(HSI!$D$7:$D$106,$N57))</f>
        <v/>
      </c>
      <c r="E57" s="40">
        <f>IF($L57="","",IF($P57=0,"TBA",IFERROR(INDEX(Grids!$C$12:$BO$111,$N57,$O57),"-")))</f>
        <v/>
      </c>
      <c r="F57" s="18">
        <f>IF($L57="","",INDEX(HSI!$F$7:$F$106,$N57))</f>
        <v/>
      </c>
      <c r="G57" s="40">
        <f>IF($L57="","",IF($P57=0,"TBA",IFERROR(INDEX(Grids!$BQ$12:$EC$111,$N57,$O57),"-")))</f>
        <v/>
      </c>
      <c r="H57" s="41">
        <f>IF($L57="","",SUM($G$10:$G57))</f>
        <v/>
      </c>
      <c r="I57" s="42">
        <f>IF($L57="","",IF(INT(($L57-INT($L57/10000000)*10000000)/1000000)=0,"Bloomberg projection",IF($P57=1,"ANNOUNCED","ANNOUNCED - amount TBA")))</f>
        <v/>
      </c>
      <c r="J57" s="43">
        <f>IF($L57="","",IF((OV_SWITCH="ON")*(COUNTIFS(OVR_TICKERS,INDEX(HSI!$C$7:$C$106,$N57),OVR_BASE,"&gt;=0")&gt;0)&gt;0,"stock overridden",""))</f>
        <v/>
      </c>
      <c r="L57" s="35">
        <f>IFERROR(IF(SMALL(Grids!$EE$12:$GQ$111,$M$7+48)&gt;=PEND_TO,"",SMALL(Grids!$EE$12:$GQ$111,$M$7+48)),"")</f>
        <v/>
      </c>
      <c r="M57" s="35">
        <f>IF($L57="","",INT($L57/1000000000))</f>
        <v/>
      </c>
      <c r="N57" s="35">
        <f>IF($L57="","",INT(($L57-INT($L57/1000000)*1000000)/1000))</f>
        <v/>
      </c>
      <c r="O57" s="35">
        <f>IF($L57="","",$L57-INT($L57/1000)*1000)</f>
        <v/>
      </c>
      <c r="P57" s="35">
        <f>IF($L57="","",INT(($L57-INT($L57/1000000000)*1000000000)/100000000))</f>
        <v/>
      </c>
    </row>
    <row r="58">
      <c r="B58" s="39">
        <f>IF($L58="","",$M58)</f>
        <v/>
      </c>
      <c r="C58" s="18">
        <f>IF($L58="","",INDEX(HSI!$C$7:$C$106,$N58))</f>
        <v/>
      </c>
      <c r="D58" s="18">
        <f>IF($L58="","",INDEX(HSI!$D$7:$D$106,$N58))</f>
        <v/>
      </c>
      <c r="E58" s="40">
        <f>IF($L58="","",IF($P58=0,"TBA",IFERROR(INDEX(Grids!$C$12:$BO$111,$N58,$O58),"-")))</f>
        <v/>
      </c>
      <c r="F58" s="18">
        <f>IF($L58="","",INDEX(HSI!$F$7:$F$106,$N58))</f>
        <v/>
      </c>
      <c r="G58" s="40">
        <f>IF($L58="","",IF($P58=0,"TBA",IFERROR(INDEX(Grids!$BQ$12:$EC$111,$N58,$O58),"-")))</f>
        <v/>
      </c>
      <c r="H58" s="41">
        <f>IF($L58="","",SUM($G$10:$G58))</f>
        <v/>
      </c>
      <c r="I58" s="42">
        <f>IF($L58="","",IF(INT(($L58-INT($L58/10000000)*10000000)/1000000)=0,"Bloomberg projection",IF($P58=1,"ANNOUNCED","ANNOUNCED - amount TBA")))</f>
        <v/>
      </c>
      <c r="J58" s="43">
        <f>IF($L58="","",IF((OV_SWITCH="ON")*(COUNTIFS(OVR_TICKERS,INDEX(HSI!$C$7:$C$106,$N58),OVR_BASE,"&gt;=0")&gt;0)&gt;0,"stock overridden",""))</f>
        <v/>
      </c>
      <c r="L58" s="35">
        <f>IFERROR(IF(SMALL(Grids!$EE$12:$GQ$111,$M$7+49)&gt;=PEND_TO,"",SMALL(Grids!$EE$12:$GQ$111,$M$7+49)),"")</f>
        <v/>
      </c>
      <c r="M58" s="35">
        <f>IF($L58="","",INT($L58/1000000000))</f>
        <v/>
      </c>
      <c r="N58" s="35">
        <f>IF($L58="","",INT(($L58-INT($L58/1000000)*1000000)/1000))</f>
        <v/>
      </c>
      <c r="O58" s="35">
        <f>IF($L58="","",$L58-INT($L58/1000)*1000)</f>
        <v/>
      </c>
      <c r="P58" s="35">
        <f>IF($L58="","",INT(($L58-INT($L58/1000000000)*1000000000)/100000000))</f>
        <v/>
      </c>
    </row>
    <row r="59">
      <c r="B59" s="39">
        <f>IF($L59="","",$M59)</f>
        <v/>
      </c>
      <c r="C59" s="18">
        <f>IF($L59="","",INDEX(HSI!$C$7:$C$106,$N59))</f>
        <v/>
      </c>
      <c r="D59" s="18">
        <f>IF($L59="","",INDEX(HSI!$D$7:$D$106,$N59))</f>
        <v/>
      </c>
      <c r="E59" s="40">
        <f>IF($L59="","",IF($P59=0,"TBA",IFERROR(INDEX(Grids!$C$12:$BO$111,$N59,$O59),"-")))</f>
        <v/>
      </c>
      <c r="F59" s="18">
        <f>IF($L59="","",INDEX(HSI!$F$7:$F$106,$N59))</f>
        <v/>
      </c>
      <c r="G59" s="40">
        <f>IF($L59="","",IF($P59=0,"TBA",IFERROR(INDEX(Grids!$BQ$12:$EC$111,$N59,$O59),"-")))</f>
        <v/>
      </c>
      <c r="H59" s="41">
        <f>IF($L59="","",SUM($G$10:$G59))</f>
        <v/>
      </c>
      <c r="I59" s="42">
        <f>IF($L59="","",IF(INT(($L59-INT($L59/10000000)*10000000)/1000000)=0,"Bloomberg projection",IF($P59=1,"ANNOUNCED","ANNOUNCED - amount TBA")))</f>
        <v/>
      </c>
      <c r="J59" s="43">
        <f>IF($L59="","",IF((OV_SWITCH="ON")*(COUNTIFS(OVR_TICKERS,INDEX(HSI!$C$7:$C$106,$N59),OVR_BASE,"&gt;=0")&gt;0)&gt;0,"stock overridden",""))</f>
        <v/>
      </c>
      <c r="L59" s="35">
        <f>IFERROR(IF(SMALL(Grids!$EE$12:$GQ$111,$M$7+50)&gt;=PEND_TO,"",SMALL(Grids!$EE$12:$GQ$111,$M$7+50)),"")</f>
        <v/>
      </c>
      <c r="M59" s="35">
        <f>IF($L59="","",INT($L59/1000000000))</f>
        <v/>
      </c>
      <c r="N59" s="35">
        <f>IF($L59="","",INT(($L59-INT($L59/1000000)*1000000)/1000))</f>
        <v/>
      </c>
      <c r="O59" s="35">
        <f>IF($L59="","",$L59-INT($L59/1000)*1000)</f>
        <v/>
      </c>
      <c r="P59" s="35">
        <f>IF($L59="","",INT(($L59-INT($L59/1000000000)*1000000000)/100000000))</f>
        <v/>
      </c>
    </row>
    <row r="60">
      <c r="B60" s="39">
        <f>IF($L60="","",$M60)</f>
        <v/>
      </c>
      <c r="C60" s="18">
        <f>IF($L60="","",INDEX(HSI!$C$7:$C$106,$N60))</f>
        <v/>
      </c>
      <c r="D60" s="18">
        <f>IF($L60="","",INDEX(HSI!$D$7:$D$106,$N60))</f>
        <v/>
      </c>
      <c r="E60" s="40">
        <f>IF($L60="","",IF($P60=0,"TBA",IFERROR(INDEX(Grids!$C$12:$BO$111,$N60,$O60),"-")))</f>
        <v/>
      </c>
      <c r="F60" s="18">
        <f>IF($L60="","",INDEX(HSI!$F$7:$F$106,$N60))</f>
        <v/>
      </c>
      <c r="G60" s="40">
        <f>IF($L60="","",IF($P60=0,"TBA",IFERROR(INDEX(Grids!$BQ$12:$EC$111,$N60,$O60),"-")))</f>
        <v/>
      </c>
      <c r="H60" s="41">
        <f>IF($L60="","",SUM($G$10:$G60))</f>
        <v/>
      </c>
      <c r="I60" s="42">
        <f>IF($L60="","",IF(INT(($L60-INT($L60/10000000)*10000000)/1000000)=0,"Bloomberg projection",IF($P60=1,"ANNOUNCED","ANNOUNCED - amount TBA")))</f>
        <v/>
      </c>
      <c r="J60" s="43">
        <f>IF($L60="","",IF((OV_SWITCH="ON")*(COUNTIFS(OVR_TICKERS,INDEX(HSI!$C$7:$C$106,$N60),OVR_BASE,"&gt;=0")&gt;0)&gt;0,"stock overridden",""))</f>
        <v/>
      </c>
      <c r="L60" s="35">
        <f>IFERROR(IF(SMALL(Grids!$EE$12:$GQ$111,$M$7+51)&gt;=PEND_TO,"",SMALL(Grids!$EE$12:$GQ$111,$M$7+51)),"")</f>
        <v/>
      </c>
      <c r="M60" s="35">
        <f>IF($L60="","",INT($L60/1000000000))</f>
        <v/>
      </c>
      <c r="N60" s="35">
        <f>IF($L60="","",INT(($L60-INT($L60/1000000)*1000000)/1000))</f>
        <v/>
      </c>
      <c r="O60" s="35">
        <f>IF($L60="","",$L60-INT($L60/1000)*1000)</f>
        <v/>
      </c>
      <c r="P60" s="35">
        <f>IF($L60="","",INT(($L60-INT($L60/1000000000)*1000000000)/100000000))</f>
        <v/>
      </c>
    </row>
    <row r="61">
      <c r="B61" s="39">
        <f>IF($L61="","",$M61)</f>
        <v/>
      </c>
      <c r="C61" s="18">
        <f>IF($L61="","",INDEX(HSI!$C$7:$C$106,$N61))</f>
        <v/>
      </c>
      <c r="D61" s="18">
        <f>IF($L61="","",INDEX(HSI!$D$7:$D$106,$N61))</f>
        <v/>
      </c>
      <c r="E61" s="40">
        <f>IF($L61="","",IF($P61=0,"TBA",IFERROR(INDEX(Grids!$C$12:$BO$111,$N61,$O61),"-")))</f>
        <v/>
      </c>
      <c r="F61" s="18">
        <f>IF($L61="","",INDEX(HSI!$F$7:$F$106,$N61))</f>
        <v/>
      </c>
      <c r="G61" s="40">
        <f>IF($L61="","",IF($P61=0,"TBA",IFERROR(INDEX(Grids!$BQ$12:$EC$111,$N61,$O61),"-")))</f>
        <v/>
      </c>
      <c r="H61" s="41">
        <f>IF($L61="","",SUM($G$10:$G61))</f>
        <v/>
      </c>
      <c r="I61" s="42">
        <f>IF($L61="","",IF(INT(($L61-INT($L61/10000000)*10000000)/1000000)=0,"Bloomberg projection",IF($P61=1,"ANNOUNCED","ANNOUNCED - amount TBA")))</f>
        <v/>
      </c>
      <c r="J61" s="43">
        <f>IF($L61="","",IF((OV_SWITCH="ON")*(COUNTIFS(OVR_TICKERS,INDEX(HSI!$C$7:$C$106,$N61),OVR_BASE,"&gt;=0")&gt;0)&gt;0,"stock overridden",""))</f>
        <v/>
      </c>
      <c r="L61" s="35">
        <f>IFERROR(IF(SMALL(Grids!$EE$12:$GQ$111,$M$7+52)&gt;=PEND_TO,"",SMALL(Grids!$EE$12:$GQ$111,$M$7+52)),"")</f>
        <v/>
      </c>
      <c r="M61" s="35">
        <f>IF($L61="","",INT($L61/1000000000))</f>
        <v/>
      </c>
      <c r="N61" s="35">
        <f>IF($L61="","",INT(($L61-INT($L61/1000000)*1000000)/1000))</f>
        <v/>
      </c>
      <c r="O61" s="35">
        <f>IF($L61="","",$L61-INT($L61/1000)*1000)</f>
        <v/>
      </c>
      <c r="P61" s="35">
        <f>IF($L61="","",INT(($L61-INT($L61/1000000000)*1000000000)/100000000))</f>
        <v/>
      </c>
    </row>
    <row r="62">
      <c r="B62" s="39">
        <f>IF($L62="","",$M62)</f>
        <v/>
      </c>
      <c r="C62" s="18">
        <f>IF($L62="","",INDEX(HSI!$C$7:$C$106,$N62))</f>
        <v/>
      </c>
      <c r="D62" s="18">
        <f>IF($L62="","",INDEX(HSI!$D$7:$D$106,$N62))</f>
        <v/>
      </c>
      <c r="E62" s="40">
        <f>IF($L62="","",IF($P62=0,"TBA",IFERROR(INDEX(Grids!$C$12:$BO$111,$N62,$O62),"-")))</f>
        <v/>
      </c>
      <c r="F62" s="18">
        <f>IF($L62="","",INDEX(HSI!$F$7:$F$106,$N62))</f>
        <v/>
      </c>
      <c r="G62" s="40">
        <f>IF($L62="","",IF($P62=0,"TBA",IFERROR(INDEX(Grids!$BQ$12:$EC$111,$N62,$O62),"-")))</f>
        <v/>
      </c>
      <c r="H62" s="41">
        <f>IF($L62="","",SUM($G$10:$G62))</f>
        <v/>
      </c>
      <c r="I62" s="42">
        <f>IF($L62="","",IF(INT(($L62-INT($L62/10000000)*10000000)/1000000)=0,"Bloomberg projection",IF($P62=1,"ANNOUNCED","ANNOUNCED - amount TBA")))</f>
        <v/>
      </c>
      <c r="J62" s="43">
        <f>IF($L62="","",IF((OV_SWITCH="ON")*(COUNTIFS(OVR_TICKERS,INDEX(HSI!$C$7:$C$106,$N62),OVR_BASE,"&gt;=0")&gt;0)&gt;0,"stock overridden",""))</f>
        <v/>
      </c>
      <c r="L62" s="35">
        <f>IFERROR(IF(SMALL(Grids!$EE$12:$GQ$111,$M$7+53)&gt;=PEND_TO,"",SMALL(Grids!$EE$12:$GQ$111,$M$7+53)),"")</f>
        <v/>
      </c>
      <c r="M62" s="35">
        <f>IF($L62="","",INT($L62/1000000000))</f>
        <v/>
      </c>
      <c r="N62" s="35">
        <f>IF($L62="","",INT(($L62-INT($L62/1000000)*1000000)/1000))</f>
        <v/>
      </c>
      <c r="O62" s="35">
        <f>IF($L62="","",$L62-INT($L62/1000)*1000)</f>
        <v/>
      </c>
      <c r="P62" s="35">
        <f>IF($L62="","",INT(($L62-INT($L62/1000000000)*1000000000)/100000000))</f>
        <v/>
      </c>
    </row>
    <row r="63">
      <c r="B63" s="39">
        <f>IF($L63="","",$M63)</f>
        <v/>
      </c>
      <c r="C63" s="18">
        <f>IF($L63="","",INDEX(HSI!$C$7:$C$106,$N63))</f>
        <v/>
      </c>
      <c r="D63" s="18">
        <f>IF($L63="","",INDEX(HSI!$D$7:$D$106,$N63))</f>
        <v/>
      </c>
      <c r="E63" s="40">
        <f>IF($L63="","",IF($P63=0,"TBA",IFERROR(INDEX(Grids!$C$12:$BO$111,$N63,$O63),"-")))</f>
        <v/>
      </c>
      <c r="F63" s="18">
        <f>IF($L63="","",INDEX(HSI!$F$7:$F$106,$N63))</f>
        <v/>
      </c>
      <c r="G63" s="40">
        <f>IF($L63="","",IF($P63=0,"TBA",IFERROR(INDEX(Grids!$BQ$12:$EC$111,$N63,$O63),"-")))</f>
        <v/>
      </c>
      <c r="H63" s="41">
        <f>IF($L63="","",SUM($G$10:$G63))</f>
        <v/>
      </c>
      <c r="I63" s="42">
        <f>IF($L63="","",IF(INT(($L63-INT($L63/10000000)*10000000)/1000000)=0,"Bloomberg projection",IF($P63=1,"ANNOUNCED","ANNOUNCED - amount TBA")))</f>
        <v/>
      </c>
      <c r="J63" s="43">
        <f>IF($L63="","",IF((OV_SWITCH="ON")*(COUNTIFS(OVR_TICKERS,INDEX(HSI!$C$7:$C$106,$N63),OVR_BASE,"&gt;=0")&gt;0)&gt;0,"stock overridden",""))</f>
        <v/>
      </c>
      <c r="L63" s="35">
        <f>IFERROR(IF(SMALL(Grids!$EE$12:$GQ$111,$M$7+54)&gt;=PEND_TO,"",SMALL(Grids!$EE$12:$GQ$111,$M$7+54)),"")</f>
        <v/>
      </c>
      <c r="M63" s="35">
        <f>IF($L63="","",INT($L63/1000000000))</f>
        <v/>
      </c>
      <c r="N63" s="35">
        <f>IF($L63="","",INT(($L63-INT($L63/1000000)*1000000)/1000))</f>
        <v/>
      </c>
      <c r="O63" s="35">
        <f>IF($L63="","",$L63-INT($L63/1000)*1000)</f>
        <v/>
      </c>
      <c r="P63" s="35">
        <f>IF($L63="","",INT(($L63-INT($L63/1000000000)*1000000000)/100000000))</f>
        <v/>
      </c>
    </row>
    <row r="64">
      <c r="B64" s="39">
        <f>IF($L64="","",$M64)</f>
        <v/>
      </c>
      <c r="C64" s="18">
        <f>IF($L64="","",INDEX(HSI!$C$7:$C$106,$N64))</f>
        <v/>
      </c>
      <c r="D64" s="18">
        <f>IF($L64="","",INDEX(HSI!$D$7:$D$106,$N64))</f>
        <v/>
      </c>
      <c r="E64" s="40">
        <f>IF($L64="","",IF($P64=0,"TBA",IFERROR(INDEX(Grids!$C$12:$BO$111,$N64,$O64),"-")))</f>
        <v/>
      </c>
      <c r="F64" s="18">
        <f>IF($L64="","",INDEX(HSI!$F$7:$F$106,$N64))</f>
        <v/>
      </c>
      <c r="G64" s="40">
        <f>IF($L64="","",IF($P64=0,"TBA",IFERROR(INDEX(Grids!$BQ$12:$EC$111,$N64,$O64),"-")))</f>
        <v/>
      </c>
      <c r="H64" s="41">
        <f>IF($L64="","",SUM($G$10:$G64))</f>
        <v/>
      </c>
      <c r="I64" s="42">
        <f>IF($L64="","",IF(INT(($L64-INT($L64/10000000)*10000000)/1000000)=0,"Bloomberg projection",IF($P64=1,"ANNOUNCED","ANNOUNCED - amount TBA")))</f>
        <v/>
      </c>
      <c r="J64" s="43">
        <f>IF($L64="","",IF((OV_SWITCH="ON")*(COUNTIFS(OVR_TICKERS,INDEX(HSI!$C$7:$C$106,$N64),OVR_BASE,"&gt;=0")&gt;0)&gt;0,"stock overridden",""))</f>
        <v/>
      </c>
      <c r="L64" s="35">
        <f>IFERROR(IF(SMALL(Grids!$EE$12:$GQ$111,$M$7+55)&gt;=PEND_TO,"",SMALL(Grids!$EE$12:$GQ$111,$M$7+55)),"")</f>
        <v/>
      </c>
      <c r="M64" s="35">
        <f>IF($L64="","",INT($L64/1000000000))</f>
        <v/>
      </c>
      <c r="N64" s="35">
        <f>IF($L64="","",INT(($L64-INT($L64/1000000)*1000000)/1000))</f>
        <v/>
      </c>
      <c r="O64" s="35">
        <f>IF($L64="","",$L64-INT($L64/1000)*1000)</f>
        <v/>
      </c>
      <c r="P64" s="35">
        <f>IF($L64="","",INT(($L64-INT($L64/1000000000)*1000000000)/100000000))</f>
        <v/>
      </c>
    </row>
    <row r="65">
      <c r="B65" s="39">
        <f>IF($L65="","",$M65)</f>
        <v/>
      </c>
      <c r="C65" s="18">
        <f>IF($L65="","",INDEX(HSI!$C$7:$C$106,$N65))</f>
        <v/>
      </c>
      <c r="D65" s="18">
        <f>IF($L65="","",INDEX(HSI!$D$7:$D$106,$N65))</f>
        <v/>
      </c>
      <c r="E65" s="40">
        <f>IF($L65="","",IF($P65=0,"TBA",IFERROR(INDEX(Grids!$C$12:$BO$111,$N65,$O65),"-")))</f>
        <v/>
      </c>
      <c r="F65" s="18">
        <f>IF($L65="","",INDEX(HSI!$F$7:$F$106,$N65))</f>
        <v/>
      </c>
      <c r="G65" s="40">
        <f>IF($L65="","",IF($P65=0,"TBA",IFERROR(INDEX(Grids!$BQ$12:$EC$111,$N65,$O65),"-")))</f>
        <v/>
      </c>
      <c r="H65" s="41">
        <f>IF($L65="","",SUM($G$10:$G65))</f>
        <v/>
      </c>
      <c r="I65" s="42">
        <f>IF($L65="","",IF(INT(($L65-INT($L65/10000000)*10000000)/1000000)=0,"Bloomberg projection",IF($P65=1,"ANNOUNCED","ANNOUNCED - amount TBA")))</f>
        <v/>
      </c>
      <c r="J65" s="43">
        <f>IF($L65="","",IF((OV_SWITCH="ON")*(COUNTIFS(OVR_TICKERS,INDEX(HSI!$C$7:$C$106,$N65),OVR_BASE,"&gt;=0")&gt;0)&gt;0,"stock overridden",""))</f>
        <v/>
      </c>
      <c r="L65" s="35">
        <f>IFERROR(IF(SMALL(Grids!$EE$12:$GQ$111,$M$7+56)&gt;=PEND_TO,"",SMALL(Grids!$EE$12:$GQ$111,$M$7+56)),"")</f>
        <v/>
      </c>
      <c r="M65" s="35">
        <f>IF($L65="","",INT($L65/1000000000))</f>
        <v/>
      </c>
      <c r="N65" s="35">
        <f>IF($L65="","",INT(($L65-INT($L65/1000000)*1000000)/1000))</f>
        <v/>
      </c>
      <c r="O65" s="35">
        <f>IF($L65="","",$L65-INT($L65/1000)*1000)</f>
        <v/>
      </c>
      <c r="P65" s="35">
        <f>IF($L65="","",INT(($L65-INT($L65/1000000000)*1000000000)/100000000))</f>
        <v/>
      </c>
    </row>
    <row r="66">
      <c r="B66" s="39">
        <f>IF($L66="","",$M66)</f>
        <v/>
      </c>
      <c r="C66" s="18">
        <f>IF($L66="","",INDEX(HSI!$C$7:$C$106,$N66))</f>
        <v/>
      </c>
      <c r="D66" s="18">
        <f>IF($L66="","",INDEX(HSI!$D$7:$D$106,$N66))</f>
        <v/>
      </c>
      <c r="E66" s="40">
        <f>IF($L66="","",IF($P66=0,"TBA",IFERROR(INDEX(Grids!$C$12:$BO$111,$N66,$O66),"-")))</f>
        <v/>
      </c>
      <c r="F66" s="18">
        <f>IF($L66="","",INDEX(HSI!$F$7:$F$106,$N66))</f>
        <v/>
      </c>
      <c r="G66" s="40">
        <f>IF($L66="","",IF($P66=0,"TBA",IFERROR(INDEX(Grids!$BQ$12:$EC$111,$N66,$O66),"-")))</f>
        <v/>
      </c>
      <c r="H66" s="41">
        <f>IF($L66="","",SUM($G$10:$G66))</f>
        <v/>
      </c>
      <c r="I66" s="42">
        <f>IF($L66="","",IF(INT(($L66-INT($L66/10000000)*10000000)/1000000)=0,"Bloomberg projection",IF($P66=1,"ANNOUNCED","ANNOUNCED - amount TBA")))</f>
        <v/>
      </c>
      <c r="J66" s="43">
        <f>IF($L66="","",IF((OV_SWITCH="ON")*(COUNTIFS(OVR_TICKERS,INDEX(HSI!$C$7:$C$106,$N66),OVR_BASE,"&gt;=0")&gt;0)&gt;0,"stock overridden",""))</f>
        <v/>
      </c>
      <c r="L66" s="35">
        <f>IFERROR(IF(SMALL(Grids!$EE$12:$GQ$111,$M$7+57)&gt;=PEND_TO,"",SMALL(Grids!$EE$12:$GQ$111,$M$7+57)),"")</f>
        <v/>
      </c>
      <c r="M66" s="35">
        <f>IF($L66="","",INT($L66/1000000000))</f>
        <v/>
      </c>
      <c r="N66" s="35">
        <f>IF($L66="","",INT(($L66-INT($L66/1000000)*1000000)/1000))</f>
        <v/>
      </c>
      <c r="O66" s="35">
        <f>IF($L66="","",$L66-INT($L66/1000)*1000)</f>
        <v/>
      </c>
      <c r="P66" s="35">
        <f>IF($L66="","",INT(($L66-INT($L66/1000000000)*1000000000)/100000000))</f>
        <v/>
      </c>
    </row>
    <row r="67">
      <c r="B67" s="39">
        <f>IF($L67="","",$M67)</f>
        <v/>
      </c>
      <c r="C67" s="18">
        <f>IF($L67="","",INDEX(HSI!$C$7:$C$106,$N67))</f>
        <v/>
      </c>
      <c r="D67" s="18">
        <f>IF($L67="","",INDEX(HSI!$D$7:$D$106,$N67))</f>
        <v/>
      </c>
      <c r="E67" s="40">
        <f>IF($L67="","",IF($P67=0,"TBA",IFERROR(INDEX(Grids!$C$12:$BO$111,$N67,$O67),"-")))</f>
        <v/>
      </c>
      <c r="F67" s="18">
        <f>IF($L67="","",INDEX(HSI!$F$7:$F$106,$N67))</f>
        <v/>
      </c>
      <c r="G67" s="40">
        <f>IF($L67="","",IF($P67=0,"TBA",IFERROR(INDEX(Grids!$BQ$12:$EC$111,$N67,$O67),"-")))</f>
        <v/>
      </c>
      <c r="H67" s="41">
        <f>IF($L67="","",SUM($G$10:$G67))</f>
        <v/>
      </c>
      <c r="I67" s="42">
        <f>IF($L67="","",IF(INT(($L67-INT($L67/10000000)*10000000)/1000000)=0,"Bloomberg projection",IF($P67=1,"ANNOUNCED","ANNOUNCED - amount TBA")))</f>
        <v/>
      </c>
      <c r="J67" s="43">
        <f>IF($L67="","",IF((OV_SWITCH="ON")*(COUNTIFS(OVR_TICKERS,INDEX(HSI!$C$7:$C$106,$N67),OVR_BASE,"&gt;=0")&gt;0)&gt;0,"stock overridden",""))</f>
        <v/>
      </c>
      <c r="L67" s="35">
        <f>IFERROR(IF(SMALL(Grids!$EE$12:$GQ$111,$M$7+58)&gt;=PEND_TO,"",SMALL(Grids!$EE$12:$GQ$111,$M$7+58)),"")</f>
        <v/>
      </c>
      <c r="M67" s="35">
        <f>IF($L67="","",INT($L67/1000000000))</f>
        <v/>
      </c>
      <c r="N67" s="35">
        <f>IF($L67="","",INT(($L67-INT($L67/1000000)*1000000)/1000))</f>
        <v/>
      </c>
      <c r="O67" s="35">
        <f>IF($L67="","",$L67-INT($L67/1000)*1000)</f>
        <v/>
      </c>
      <c r="P67" s="35">
        <f>IF($L67="","",INT(($L67-INT($L67/1000000000)*1000000000)/100000000))</f>
        <v/>
      </c>
    </row>
    <row r="68">
      <c r="B68" s="39">
        <f>IF($L68="","",$M68)</f>
        <v/>
      </c>
      <c r="C68" s="18">
        <f>IF($L68="","",INDEX(HSI!$C$7:$C$106,$N68))</f>
        <v/>
      </c>
      <c r="D68" s="18">
        <f>IF($L68="","",INDEX(HSI!$D$7:$D$106,$N68))</f>
        <v/>
      </c>
      <c r="E68" s="40">
        <f>IF($L68="","",IF($P68=0,"TBA",IFERROR(INDEX(Grids!$C$12:$BO$111,$N68,$O68),"-")))</f>
        <v/>
      </c>
      <c r="F68" s="18">
        <f>IF($L68="","",INDEX(HSI!$F$7:$F$106,$N68))</f>
        <v/>
      </c>
      <c r="G68" s="40">
        <f>IF($L68="","",IF($P68=0,"TBA",IFERROR(INDEX(Grids!$BQ$12:$EC$111,$N68,$O68),"-")))</f>
        <v/>
      </c>
      <c r="H68" s="41">
        <f>IF($L68="","",SUM($G$10:$G68))</f>
        <v/>
      </c>
      <c r="I68" s="42">
        <f>IF($L68="","",IF(INT(($L68-INT($L68/10000000)*10000000)/1000000)=0,"Bloomberg projection",IF($P68=1,"ANNOUNCED","ANNOUNCED - amount TBA")))</f>
        <v/>
      </c>
      <c r="J68" s="43">
        <f>IF($L68="","",IF((OV_SWITCH="ON")*(COUNTIFS(OVR_TICKERS,INDEX(HSI!$C$7:$C$106,$N68),OVR_BASE,"&gt;=0")&gt;0)&gt;0,"stock overridden",""))</f>
        <v/>
      </c>
      <c r="L68" s="35">
        <f>IFERROR(IF(SMALL(Grids!$EE$12:$GQ$111,$M$7+59)&gt;=PEND_TO,"",SMALL(Grids!$EE$12:$GQ$111,$M$7+59)),"")</f>
        <v/>
      </c>
      <c r="M68" s="35">
        <f>IF($L68="","",INT($L68/1000000000))</f>
        <v/>
      </c>
      <c r="N68" s="35">
        <f>IF($L68="","",INT(($L68-INT($L68/1000000)*1000000)/1000))</f>
        <v/>
      </c>
      <c r="O68" s="35">
        <f>IF($L68="","",$L68-INT($L68/1000)*1000)</f>
        <v/>
      </c>
      <c r="P68" s="35">
        <f>IF($L68="","",INT(($L68-INT($L68/1000000000)*1000000000)/100000000))</f>
        <v/>
      </c>
    </row>
    <row r="69">
      <c r="B69" s="39">
        <f>IF($L69="","",$M69)</f>
        <v/>
      </c>
      <c r="C69" s="18">
        <f>IF($L69="","",INDEX(HSI!$C$7:$C$106,$N69))</f>
        <v/>
      </c>
      <c r="D69" s="18">
        <f>IF($L69="","",INDEX(HSI!$D$7:$D$106,$N69))</f>
        <v/>
      </c>
      <c r="E69" s="40">
        <f>IF($L69="","",IF($P69=0,"TBA",IFERROR(INDEX(Grids!$C$12:$BO$111,$N69,$O69),"-")))</f>
        <v/>
      </c>
      <c r="F69" s="18">
        <f>IF($L69="","",INDEX(HSI!$F$7:$F$106,$N69))</f>
        <v/>
      </c>
      <c r="G69" s="40">
        <f>IF($L69="","",IF($P69=0,"TBA",IFERROR(INDEX(Grids!$BQ$12:$EC$111,$N69,$O69),"-")))</f>
        <v/>
      </c>
      <c r="H69" s="41">
        <f>IF($L69="","",SUM($G$10:$G69))</f>
        <v/>
      </c>
      <c r="I69" s="42">
        <f>IF($L69="","",IF(INT(($L69-INT($L69/10000000)*10000000)/1000000)=0,"Bloomberg projection",IF($P69=1,"ANNOUNCED","ANNOUNCED - amount TBA")))</f>
        <v/>
      </c>
      <c r="J69" s="43">
        <f>IF($L69="","",IF((OV_SWITCH="ON")*(COUNTIFS(OVR_TICKERS,INDEX(HSI!$C$7:$C$106,$N69),OVR_BASE,"&gt;=0")&gt;0)&gt;0,"stock overridden",""))</f>
        <v/>
      </c>
      <c r="L69" s="35">
        <f>IFERROR(IF(SMALL(Grids!$EE$12:$GQ$111,$M$7+60)&gt;=PEND_TO,"",SMALL(Grids!$EE$12:$GQ$111,$M$7+60)),"")</f>
        <v/>
      </c>
      <c r="M69" s="35">
        <f>IF($L69="","",INT($L69/1000000000))</f>
        <v/>
      </c>
      <c r="N69" s="35">
        <f>IF($L69="","",INT(($L69-INT($L69/1000000)*1000000)/1000))</f>
        <v/>
      </c>
      <c r="O69" s="35">
        <f>IF($L69="","",$L69-INT($L69/1000)*1000)</f>
        <v/>
      </c>
      <c r="P69" s="35">
        <f>IF($L69="","",INT(($L69-INT($L69/1000000000)*1000000000)/100000000))</f>
        <v/>
      </c>
    </row>
    <row r="70">
      <c r="B70" s="39">
        <f>IF($L70="","",$M70)</f>
        <v/>
      </c>
      <c r="C70" s="18">
        <f>IF($L70="","",INDEX(HSI!$C$7:$C$106,$N70))</f>
        <v/>
      </c>
      <c r="D70" s="18">
        <f>IF($L70="","",INDEX(HSI!$D$7:$D$106,$N70))</f>
        <v/>
      </c>
      <c r="E70" s="40">
        <f>IF($L70="","",IF($P70=0,"TBA",IFERROR(INDEX(Grids!$C$12:$BO$111,$N70,$O70),"-")))</f>
        <v/>
      </c>
      <c r="F70" s="18">
        <f>IF($L70="","",INDEX(HSI!$F$7:$F$106,$N70))</f>
        <v/>
      </c>
      <c r="G70" s="40">
        <f>IF($L70="","",IF($P70=0,"TBA",IFERROR(INDEX(Grids!$BQ$12:$EC$111,$N70,$O70),"-")))</f>
        <v/>
      </c>
      <c r="H70" s="41">
        <f>IF($L70="","",SUM($G$10:$G70))</f>
        <v/>
      </c>
      <c r="I70" s="42">
        <f>IF($L70="","",IF(INT(($L70-INT($L70/10000000)*10000000)/1000000)=0,"Bloomberg projection",IF($P70=1,"ANNOUNCED","ANNOUNCED - amount TBA")))</f>
        <v/>
      </c>
      <c r="J70" s="43">
        <f>IF($L70="","",IF((OV_SWITCH="ON")*(COUNTIFS(OVR_TICKERS,INDEX(HSI!$C$7:$C$106,$N70),OVR_BASE,"&gt;=0")&gt;0)&gt;0,"stock overridden",""))</f>
        <v/>
      </c>
      <c r="L70" s="35">
        <f>IFERROR(IF(SMALL(Grids!$EE$12:$GQ$111,$M$7+61)&gt;=PEND_TO,"",SMALL(Grids!$EE$12:$GQ$111,$M$7+61)),"")</f>
        <v/>
      </c>
      <c r="M70" s="35">
        <f>IF($L70="","",INT($L70/1000000000))</f>
        <v/>
      </c>
      <c r="N70" s="35">
        <f>IF($L70="","",INT(($L70-INT($L70/1000000)*1000000)/1000))</f>
        <v/>
      </c>
      <c r="O70" s="35">
        <f>IF($L70="","",$L70-INT($L70/1000)*1000)</f>
        <v/>
      </c>
      <c r="P70" s="35">
        <f>IF($L70="","",INT(($L70-INT($L70/1000000000)*1000000000)/100000000))</f>
        <v/>
      </c>
    </row>
    <row r="71">
      <c r="B71" s="39">
        <f>IF($L71="","",$M71)</f>
        <v/>
      </c>
      <c r="C71" s="18">
        <f>IF($L71="","",INDEX(HSI!$C$7:$C$106,$N71))</f>
        <v/>
      </c>
      <c r="D71" s="18">
        <f>IF($L71="","",INDEX(HSI!$D$7:$D$106,$N71))</f>
        <v/>
      </c>
      <c r="E71" s="40">
        <f>IF($L71="","",IF($P71=0,"TBA",IFERROR(INDEX(Grids!$C$12:$BO$111,$N71,$O71),"-")))</f>
        <v/>
      </c>
      <c r="F71" s="18">
        <f>IF($L71="","",INDEX(HSI!$F$7:$F$106,$N71))</f>
        <v/>
      </c>
      <c r="G71" s="40">
        <f>IF($L71="","",IF($P71=0,"TBA",IFERROR(INDEX(Grids!$BQ$12:$EC$111,$N71,$O71),"-")))</f>
        <v/>
      </c>
      <c r="H71" s="41">
        <f>IF($L71="","",SUM($G$10:$G71))</f>
        <v/>
      </c>
      <c r="I71" s="42">
        <f>IF($L71="","",IF(INT(($L71-INT($L71/10000000)*10000000)/1000000)=0,"Bloomberg projection",IF($P71=1,"ANNOUNCED","ANNOUNCED - amount TBA")))</f>
        <v/>
      </c>
      <c r="J71" s="43">
        <f>IF($L71="","",IF((OV_SWITCH="ON")*(COUNTIFS(OVR_TICKERS,INDEX(HSI!$C$7:$C$106,$N71),OVR_BASE,"&gt;=0")&gt;0)&gt;0,"stock overridden",""))</f>
        <v/>
      </c>
      <c r="L71" s="35">
        <f>IFERROR(IF(SMALL(Grids!$EE$12:$GQ$111,$M$7+62)&gt;=PEND_TO,"",SMALL(Grids!$EE$12:$GQ$111,$M$7+62)),"")</f>
        <v/>
      </c>
      <c r="M71" s="35">
        <f>IF($L71="","",INT($L71/1000000000))</f>
        <v/>
      </c>
      <c r="N71" s="35">
        <f>IF($L71="","",INT(($L71-INT($L71/1000000)*1000000)/1000))</f>
        <v/>
      </c>
      <c r="O71" s="35">
        <f>IF($L71="","",$L71-INT($L71/1000)*1000)</f>
        <v/>
      </c>
      <c r="P71" s="35">
        <f>IF($L71="","",INT(($L71-INT($L71/1000000000)*1000000000)/100000000))</f>
        <v/>
      </c>
    </row>
    <row r="72">
      <c r="B72" s="39">
        <f>IF($L72="","",$M72)</f>
        <v/>
      </c>
      <c r="C72" s="18">
        <f>IF($L72="","",INDEX(HSI!$C$7:$C$106,$N72))</f>
        <v/>
      </c>
      <c r="D72" s="18">
        <f>IF($L72="","",INDEX(HSI!$D$7:$D$106,$N72))</f>
        <v/>
      </c>
      <c r="E72" s="40">
        <f>IF($L72="","",IF($P72=0,"TBA",IFERROR(INDEX(Grids!$C$12:$BO$111,$N72,$O72),"-")))</f>
        <v/>
      </c>
      <c r="F72" s="18">
        <f>IF($L72="","",INDEX(HSI!$F$7:$F$106,$N72))</f>
        <v/>
      </c>
      <c r="G72" s="40">
        <f>IF($L72="","",IF($P72=0,"TBA",IFERROR(INDEX(Grids!$BQ$12:$EC$111,$N72,$O72),"-")))</f>
        <v/>
      </c>
      <c r="H72" s="41">
        <f>IF($L72="","",SUM($G$10:$G72))</f>
        <v/>
      </c>
      <c r="I72" s="42">
        <f>IF($L72="","",IF(INT(($L72-INT($L72/10000000)*10000000)/1000000)=0,"Bloomberg projection",IF($P72=1,"ANNOUNCED","ANNOUNCED - amount TBA")))</f>
        <v/>
      </c>
      <c r="J72" s="43">
        <f>IF($L72="","",IF((OV_SWITCH="ON")*(COUNTIFS(OVR_TICKERS,INDEX(HSI!$C$7:$C$106,$N72),OVR_BASE,"&gt;=0")&gt;0)&gt;0,"stock overridden",""))</f>
        <v/>
      </c>
      <c r="L72" s="35">
        <f>IFERROR(IF(SMALL(Grids!$EE$12:$GQ$111,$M$7+63)&gt;=PEND_TO,"",SMALL(Grids!$EE$12:$GQ$111,$M$7+63)),"")</f>
        <v/>
      </c>
      <c r="M72" s="35">
        <f>IF($L72="","",INT($L72/1000000000))</f>
        <v/>
      </c>
      <c r="N72" s="35">
        <f>IF($L72="","",INT(($L72-INT($L72/1000000)*1000000)/1000))</f>
        <v/>
      </c>
      <c r="O72" s="35">
        <f>IF($L72="","",$L72-INT($L72/1000)*1000)</f>
        <v/>
      </c>
      <c r="P72" s="35">
        <f>IF($L72="","",INT(($L72-INT($L72/1000000000)*1000000000)/100000000))</f>
        <v/>
      </c>
    </row>
    <row r="73">
      <c r="B73" s="39">
        <f>IF($L73="","",$M73)</f>
        <v/>
      </c>
      <c r="C73" s="18">
        <f>IF($L73="","",INDEX(HSI!$C$7:$C$106,$N73))</f>
        <v/>
      </c>
      <c r="D73" s="18">
        <f>IF($L73="","",INDEX(HSI!$D$7:$D$106,$N73))</f>
        <v/>
      </c>
      <c r="E73" s="40">
        <f>IF($L73="","",IF($P73=0,"TBA",IFERROR(INDEX(Grids!$C$12:$BO$111,$N73,$O73),"-")))</f>
        <v/>
      </c>
      <c r="F73" s="18">
        <f>IF($L73="","",INDEX(HSI!$F$7:$F$106,$N73))</f>
        <v/>
      </c>
      <c r="G73" s="40">
        <f>IF($L73="","",IF($P73=0,"TBA",IFERROR(INDEX(Grids!$BQ$12:$EC$111,$N73,$O73),"-")))</f>
        <v/>
      </c>
      <c r="H73" s="41">
        <f>IF($L73="","",SUM($G$10:$G73))</f>
        <v/>
      </c>
      <c r="I73" s="42">
        <f>IF($L73="","",IF(INT(($L73-INT($L73/10000000)*10000000)/1000000)=0,"Bloomberg projection",IF($P73=1,"ANNOUNCED","ANNOUNCED - amount TBA")))</f>
        <v/>
      </c>
      <c r="J73" s="43">
        <f>IF($L73="","",IF((OV_SWITCH="ON")*(COUNTIFS(OVR_TICKERS,INDEX(HSI!$C$7:$C$106,$N73),OVR_BASE,"&gt;=0")&gt;0)&gt;0,"stock overridden",""))</f>
        <v/>
      </c>
      <c r="L73" s="35">
        <f>IFERROR(IF(SMALL(Grids!$EE$12:$GQ$111,$M$7+64)&gt;=PEND_TO,"",SMALL(Grids!$EE$12:$GQ$111,$M$7+64)),"")</f>
        <v/>
      </c>
      <c r="M73" s="35">
        <f>IF($L73="","",INT($L73/1000000000))</f>
        <v/>
      </c>
      <c r="N73" s="35">
        <f>IF($L73="","",INT(($L73-INT($L73/1000000)*1000000)/1000))</f>
        <v/>
      </c>
      <c r="O73" s="35">
        <f>IF($L73="","",$L73-INT($L73/1000)*1000)</f>
        <v/>
      </c>
      <c r="P73" s="35">
        <f>IF($L73="","",INT(($L73-INT($L73/1000000000)*1000000000)/100000000))</f>
        <v/>
      </c>
    </row>
    <row r="74">
      <c r="B74" s="39">
        <f>IF($L74="","",$M74)</f>
        <v/>
      </c>
      <c r="C74" s="18">
        <f>IF($L74="","",INDEX(HSI!$C$7:$C$106,$N74))</f>
        <v/>
      </c>
      <c r="D74" s="18">
        <f>IF($L74="","",INDEX(HSI!$D$7:$D$106,$N74))</f>
        <v/>
      </c>
      <c r="E74" s="40">
        <f>IF($L74="","",IF($P74=0,"TBA",IFERROR(INDEX(Grids!$C$12:$BO$111,$N74,$O74),"-")))</f>
        <v/>
      </c>
      <c r="F74" s="18">
        <f>IF($L74="","",INDEX(HSI!$F$7:$F$106,$N74))</f>
        <v/>
      </c>
      <c r="G74" s="40">
        <f>IF($L74="","",IF($P74=0,"TBA",IFERROR(INDEX(Grids!$BQ$12:$EC$111,$N74,$O74),"-")))</f>
        <v/>
      </c>
      <c r="H74" s="41">
        <f>IF($L74="","",SUM($G$10:$G74))</f>
        <v/>
      </c>
      <c r="I74" s="42">
        <f>IF($L74="","",IF(INT(($L74-INT($L74/10000000)*10000000)/1000000)=0,"Bloomberg projection",IF($P74=1,"ANNOUNCED","ANNOUNCED - amount TBA")))</f>
        <v/>
      </c>
      <c r="J74" s="43">
        <f>IF($L74="","",IF((OV_SWITCH="ON")*(COUNTIFS(OVR_TICKERS,INDEX(HSI!$C$7:$C$106,$N74),OVR_BASE,"&gt;=0")&gt;0)&gt;0,"stock overridden",""))</f>
        <v/>
      </c>
      <c r="L74" s="35">
        <f>IFERROR(IF(SMALL(Grids!$EE$12:$GQ$111,$M$7+65)&gt;=PEND_TO,"",SMALL(Grids!$EE$12:$GQ$111,$M$7+65)),"")</f>
        <v/>
      </c>
      <c r="M74" s="35">
        <f>IF($L74="","",INT($L74/1000000000))</f>
        <v/>
      </c>
      <c r="N74" s="35">
        <f>IF($L74="","",INT(($L74-INT($L74/1000000)*1000000)/1000))</f>
        <v/>
      </c>
      <c r="O74" s="35">
        <f>IF($L74="","",$L74-INT($L74/1000)*1000)</f>
        <v/>
      </c>
      <c r="P74" s="35">
        <f>IF($L74="","",INT(($L74-INT($L74/1000000000)*1000000000)/100000000))</f>
        <v/>
      </c>
    </row>
    <row r="75">
      <c r="B75" s="39">
        <f>IF($L75="","",$M75)</f>
        <v/>
      </c>
      <c r="C75" s="18">
        <f>IF($L75="","",INDEX(HSI!$C$7:$C$106,$N75))</f>
        <v/>
      </c>
      <c r="D75" s="18">
        <f>IF($L75="","",INDEX(HSI!$D$7:$D$106,$N75))</f>
        <v/>
      </c>
      <c r="E75" s="40">
        <f>IF($L75="","",IF($P75=0,"TBA",IFERROR(INDEX(Grids!$C$12:$BO$111,$N75,$O75),"-")))</f>
        <v/>
      </c>
      <c r="F75" s="18">
        <f>IF($L75="","",INDEX(HSI!$F$7:$F$106,$N75))</f>
        <v/>
      </c>
      <c r="G75" s="40">
        <f>IF($L75="","",IF($P75=0,"TBA",IFERROR(INDEX(Grids!$BQ$12:$EC$111,$N75,$O75),"-")))</f>
        <v/>
      </c>
      <c r="H75" s="41">
        <f>IF($L75="","",SUM($G$10:$G75))</f>
        <v/>
      </c>
      <c r="I75" s="42">
        <f>IF($L75="","",IF(INT(($L75-INT($L75/10000000)*10000000)/1000000)=0,"Bloomberg projection",IF($P75=1,"ANNOUNCED","ANNOUNCED - amount TBA")))</f>
        <v/>
      </c>
      <c r="J75" s="43">
        <f>IF($L75="","",IF((OV_SWITCH="ON")*(COUNTIFS(OVR_TICKERS,INDEX(HSI!$C$7:$C$106,$N75),OVR_BASE,"&gt;=0")&gt;0)&gt;0,"stock overridden",""))</f>
        <v/>
      </c>
      <c r="L75" s="35">
        <f>IFERROR(IF(SMALL(Grids!$EE$12:$GQ$111,$M$7+66)&gt;=PEND_TO,"",SMALL(Grids!$EE$12:$GQ$111,$M$7+66)),"")</f>
        <v/>
      </c>
      <c r="M75" s="35">
        <f>IF($L75="","",INT($L75/1000000000))</f>
        <v/>
      </c>
      <c r="N75" s="35">
        <f>IF($L75="","",INT(($L75-INT($L75/1000000)*1000000)/1000))</f>
        <v/>
      </c>
      <c r="O75" s="35">
        <f>IF($L75="","",$L75-INT($L75/1000)*1000)</f>
        <v/>
      </c>
      <c r="P75" s="35">
        <f>IF($L75="","",INT(($L75-INT($L75/1000000000)*1000000000)/100000000))</f>
        <v/>
      </c>
    </row>
    <row r="76">
      <c r="B76" s="39">
        <f>IF($L76="","",$M76)</f>
        <v/>
      </c>
      <c r="C76" s="18">
        <f>IF($L76="","",INDEX(HSI!$C$7:$C$106,$N76))</f>
        <v/>
      </c>
      <c r="D76" s="18">
        <f>IF($L76="","",INDEX(HSI!$D$7:$D$106,$N76))</f>
        <v/>
      </c>
      <c r="E76" s="40">
        <f>IF($L76="","",IF($P76=0,"TBA",IFERROR(INDEX(Grids!$C$12:$BO$111,$N76,$O76),"-")))</f>
        <v/>
      </c>
      <c r="F76" s="18">
        <f>IF($L76="","",INDEX(HSI!$F$7:$F$106,$N76))</f>
        <v/>
      </c>
      <c r="G76" s="40">
        <f>IF($L76="","",IF($P76=0,"TBA",IFERROR(INDEX(Grids!$BQ$12:$EC$111,$N76,$O76),"-")))</f>
        <v/>
      </c>
      <c r="H76" s="41">
        <f>IF($L76="","",SUM($G$10:$G76))</f>
        <v/>
      </c>
      <c r="I76" s="42">
        <f>IF($L76="","",IF(INT(($L76-INT($L76/10000000)*10000000)/1000000)=0,"Bloomberg projection",IF($P76=1,"ANNOUNCED","ANNOUNCED - amount TBA")))</f>
        <v/>
      </c>
      <c r="J76" s="43">
        <f>IF($L76="","",IF((OV_SWITCH="ON")*(COUNTIFS(OVR_TICKERS,INDEX(HSI!$C$7:$C$106,$N76),OVR_BASE,"&gt;=0")&gt;0)&gt;0,"stock overridden",""))</f>
        <v/>
      </c>
      <c r="L76" s="35">
        <f>IFERROR(IF(SMALL(Grids!$EE$12:$GQ$111,$M$7+67)&gt;=PEND_TO,"",SMALL(Grids!$EE$12:$GQ$111,$M$7+67)),"")</f>
        <v/>
      </c>
      <c r="M76" s="35">
        <f>IF($L76="","",INT($L76/1000000000))</f>
        <v/>
      </c>
      <c r="N76" s="35">
        <f>IF($L76="","",INT(($L76-INT($L76/1000000)*1000000)/1000))</f>
        <v/>
      </c>
      <c r="O76" s="35">
        <f>IF($L76="","",$L76-INT($L76/1000)*1000)</f>
        <v/>
      </c>
      <c r="P76" s="35">
        <f>IF($L76="","",INT(($L76-INT($L76/1000000000)*1000000000)/100000000))</f>
        <v/>
      </c>
    </row>
    <row r="77">
      <c r="B77" s="39">
        <f>IF($L77="","",$M77)</f>
        <v/>
      </c>
      <c r="C77" s="18">
        <f>IF($L77="","",INDEX(HSI!$C$7:$C$106,$N77))</f>
        <v/>
      </c>
      <c r="D77" s="18">
        <f>IF($L77="","",INDEX(HSI!$D$7:$D$106,$N77))</f>
        <v/>
      </c>
      <c r="E77" s="40">
        <f>IF($L77="","",IF($P77=0,"TBA",IFERROR(INDEX(Grids!$C$12:$BO$111,$N77,$O77),"-")))</f>
        <v/>
      </c>
      <c r="F77" s="18">
        <f>IF($L77="","",INDEX(HSI!$F$7:$F$106,$N77))</f>
        <v/>
      </c>
      <c r="G77" s="40">
        <f>IF($L77="","",IF($P77=0,"TBA",IFERROR(INDEX(Grids!$BQ$12:$EC$111,$N77,$O77),"-")))</f>
        <v/>
      </c>
      <c r="H77" s="41">
        <f>IF($L77="","",SUM($G$10:$G77))</f>
        <v/>
      </c>
      <c r="I77" s="42">
        <f>IF($L77="","",IF(INT(($L77-INT($L77/10000000)*10000000)/1000000)=0,"Bloomberg projection",IF($P77=1,"ANNOUNCED","ANNOUNCED - amount TBA")))</f>
        <v/>
      </c>
      <c r="J77" s="43">
        <f>IF($L77="","",IF((OV_SWITCH="ON")*(COUNTIFS(OVR_TICKERS,INDEX(HSI!$C$7:$C$106,$N77),OVR_BASE,"&gt;=0")&gt;0)&gt;0,"stock overridden",""))</f>
        <v/>
      </c>
      <c r="L77" s="35">
        <f>IFERROR(IF(SMALL(Grids!$EE$12:$GQ$111,$M$7+68)&gt;=PEND_TO,"",SMALL(Grids!$EE$12:$GQ$111,$M$7+68)),"")</f>
        <v/>
      </c>
      <c r="M77" s="35">
        <f>IF($L77="","",INT($L77/1000000000))</f>
        <v/>
      </c>
      <c r="N77" s="35">
        <f>IF($L77="","",INT(($L77-INT($L77/1000000)*1000000)/1000))</f>
        <v/>
      </c>
      <c r="O77" s="35">
        <f>IF($L77="","",$L77-INT($L77/1000)*1000)</f>
        <v/>
      </c>
      <c r="P77" s="35">
        <f>IF($L77="","",INT(($L77-INT($L77/1000000000)*1000000000)/100000000))</f>
        <v/>
      </c>
    </row>
    <row r="78">
      <c r="B78" s="39">
        <f>IF($L78="","",$M78)</f>
        <v/>
      </c>
      <c r="C78" s="18">
        <f>IF($L78="","",INDEX(HSI!$C$7:$C$106,$N78))</f>
        <v/>
      </c>
      <c r="D78" s="18">
        <f>IF($L78="","",INDEX(HSI!$D$7:$D$106,$N78))</f>
        <v/>
      </c>
      <c r="E78" s="40">
        <f>IF($L78="","",IF($P78=0,"TBA",IFERROR(INDEX(Grids!$C$12:$BO$111,$N78,$O78),"-")))</f>
        <v/>
      </c>
      <c r="F78" s="18">
        <f>IF($L78="","",INDEX(HSI!$F$7:$F$106,$N78))</f>
        <v/>
      </c>
      <c r="G78" s="40">
        <f>IF($L78="","",IF($P78=0,"TBA",IFERROR(INDEX(Grids!$BQ$12:$EC$111,$N78,$O78),"-")))</f>
        <v/>
      </c>
      <c r="H78" s="41">
        <f>IF($L78="","",SUM($G$10:$G78))</f>
        <v/>
      </c>
      <c r="I78" s="42">
        <f>IF($L78="","",IF(INT(($L78-INT($L78/10000000)*10000000)/1000000)=0,"Bloomberg projection",IF($P78=1,"ANNOUNCED","ANNOUNCED - amount TBA")))</f>
        <v/>
      </c>
      <c r="J78" s="43">
        <f>IF($L78="","",IF((OV_SWITCH="ON")*(COUNTIFS(OVR_TICKERS,INDEX(HSI!$C$7:$C$106,$N78),OVR_BASE,"&gt;=0")&gt;0)&gt;0,"stock overridden",""))</f>
        <v/>
      </c>
      <c r="L78" s="35">
        <f>IFERROR(IF(SMALL(Grids!$EE$12:$GQ$111,$M$7+69)&gt;=PEND_TO,"",SMALL(Grids!$EE$12:$GQ$111,$M$7+69)),"")</f>
        <v/>
      </c>
      <c r="M78" s="35">
        <f>IF($L78="","",INT($L78/1000000000))</f>
        <v/>
      </c>
      <c r="N78" s="35">
        <f>IF($L78="","",INT(($L78-INT($L78/1000000)*1000000)/1000))</f>
        <v/>
      </c>
      <c r="O78" s="35">
        <f>IF($L78="","",$L78-INT($L78/1000)*1000)</f>
        <v/>
      </c>
      <c r="P78" s="35">
        <f>IF($L78="","",INT(($L78-INT($L78/1000000000)*1000000000)/100000000))</f>
        <v/>
      </c>
    </row>
    <row r="79">
      <c r="B79" s="39">
        <f>IF($L79="","",$M79)</f>
        <v/>
      </c>
      <c r="C79" s="18">
        <f>IF($L79="","",INDEX(HSI!$C$7:$C$106,$N79))</f>
        <v/>
      </c>
      <c r="D79" s="18">
        <f>IF($L79="","",INDEX(HSI!$D$7:$D$106,$N79))</f>
        <v/>
      </c>
      <c r="E79" s="40">
        <f>IF($L79="","",IF($P79=0,"TBA",IFERROR(INDEX(Grids!$C$12:$BO$111,$N79,$O79),"-")))</f>
        <v/>
      </c>
      <c r="F79" s="18">
        <f>IF($L79="","",INDEX(HSI!$F$7:$F$106,$N79))</f>
        <v/>
      </c>
      <c r="G79" s="40">
        <f>IF($L79="","",IF($P79=0,"TBA",IFERROR(INDEX(Grids!$BQ$12:$EC$111,$N79,$O79),"-")))</f>
        <v/>
      </c>
      <c r="H79" s="41">
        <f>IF($L79="","",SUM($G$10:$G79))</f>
        <v/>
      </c>
      <c r="I79" s="42">
        <f>IF($L79="","",IF(INT(($L79-INT($L79/10000000)*10000000)/1000000)=0,"Bloomberg projection",IF($P79=1,"ANNOUNCED","ANNOUNCED - amount TBA")))</f>
        <v/>
      </c>
      <c r="J79" s="43">
        <f>IF($L79="","",IF((OV_SWITCH="ON")*(COUNTIFS(OVR_TICKERS,INDEX(HSI!$C$7:$C$106,$N79),OVR_BASE,"&gt;=0")&gt;0)&gt;0,"stock overridden",""))</f>
        <v/>
      </c>
      <c r="L79" s="35">
        <f>IFERROR(IF(SMALL(Grids!$EE$12:$GQ$111,$M$7+70)&gt;=PEND_TO,"",SMALL(Grids!$EE$12:$GQ$111,$M$7+70)),"")</f>
        <v/>
      </c>
      <c r="M79" s="35">
        <f>IF($L79="","",INT($L79/1000000000))</f>
        <v/>
      </c>
      <c r="N79" s="35">
        <f>IF($L79="","",INT(($L79-INT($L79/1000000)*1000000)/1000))</f>
        <v/>
      </c>
      <c r="O79" s="35">
        <f>IF($L79="","",$L79-INT($L79/1000)*1000)</f>
        <v/>
      </c>
      <c r="P79" s="35">
        <f>IF($L79="","",INT(($L79-INT($L79/1000000000)*1000000000)/100000000))</f>
        <v/>
      </c>
    </row>
    <row r="80">
      <c r="B80" s="39">
        <f>IF($L80="","",$M80)</f>
        <v/>
      </c>
      <c r="C80" s="18">
        <f>IF($L80="","",INDEX(HSI!$C$7:$C$106,$N80))</f>
        <v/>
      </c>
      <c r="D80" s="18">
        <f>IF($L80="","",INDEX(HSI!$D$7:$D$106,$N80))</f>
        <v/>
      </c>
      <c r="E80" s="40">
        <f>IF($L80="","",IF($P80=0,"TBA",IFERROR(INDEX(Grids!$C$12:$BO$111,$N80,$O80),"-")))</f>
        <v/>
      </c>
      <c r="F80" s="18">
        <f>IF($L80="","",INDEX(HSI!$F$7:$F$106,$N80))</f>
        <v/>
      </c>
      <c r="G80" s="40">
        <f>IF($L80="","",IF($P80=0,"TBA",IFERROR(INDEX(Grids!$BQ$12:$EC$111,$N80,$O80),"-")))</f>
        <v/>
      </c>
      <c r="H80" s="41">
        <f>IF($L80="","",SUM($G$10:$G80))</f>
        <v/>
      </c>
      <c r="I80" s="42">
        <f>IF($L80="","",IF(INT(($L80-INT($L80/10000000)*10000000)/1000000)=0,"Bloomberg projection",IF($P80=1,"ANNOUNCED","ANNOUNCED - amount TBA")))</f>
        <v/>
      </c>
      <c r="J80" s="43">
        <f>IF($L80="","",IF((OV_SWITCH="ON")*(COUNTIFS(OVR_TICKERS,INDEX(HSI!$C$7:$C$106,$N80),OVR_BASE,"&gt;=0")&gt;0)&gt;0,"stock overridden",""))</f>
        <v/>
      </c>
      <c r="L80" s="35">
        <f>IFERROR(IF(SMALL(Grids!$EE$12:$GQ$111,$M$7+71)&gt;=PEND_TO,"",SMALL(Grids!$EE$12:$GQ$111,$M$7+71)),"")</f>
        <v/>
      </c>
      <c r="M80" s="35">
        <f>IF($L80="","",INT($L80/1000000000))</f>
        <v/>
      </c>
      <c r="N80" s="35">
        <f>IF($L80="","",INT(($L80-INT($L80/1000000)*1000000)/1000))</f>
        <v/>
      </c>
      <c r="O80" s="35">
        <f>IF($L80="","",$L80-INT($L80/1000)*1000)</f>
        <v/>
      </c>
      <c r="P80" s="35">
        <f>IF($L80="","",INT(($L80-INT($L80/1000000000)*1000000000)/100000000))</f>
        <v/>
      </c>
    </row>
    <row r="81">
      <c r="B81" s="39">
        <f>IF($L81="","",$M81)</f>
        <v/>
      </c>
      <c r="C81" s="18">
        <f>IF($L81="","",INDEX(HSI!$C$7:$C$106,$N81))</f>
        <v/>
      </c>
      <c r="D81" s="18">
        <f>IF($L81="","",INDEX(HSI!$D$7:$D$106,$N81))</f>
        <v/>
      </c>
      <c r="E81" s="40">
        <f>IF($L81="","",IF($P81=0,"TBA",IFERROR(INDEX(Grids!$C$12:$BO$111,$N81,$O81),"-")))</f>
        <v/>
      </c>
      <c r="F81" s="18">
        <f>IF($L81="","",INDEX(HSI!$F$7:$F$106,$N81))</f>
        <v/>
      </c>
      <c r="G81" s="40">
        <f>IF($L81="","",IF($P81=0,"TBA",IFERROR(INDEX(Grids!$BQ$12:$EC$111,$N81,$O81),"-")))</f>
        <v/>
      </c>
      <c r="H81" s="41">
        <f>IF($L81="","",SUM($G$10:$G81))</f>
        <v/>
      </c>
      <c r="I81" s="42">
        <f>IF($L81="","",IF(INT(($L81-INT($L81/10000000)*10000000)/1000000)=0,"Bloomberg projection",IF($P81=1,"ANNOUNCED","ANNOUNCED - amount TBA")))</f>
        <v/>
      </c>
      <c r="J81" s="43">
        <f>IF($L81="","",IF((OV_SWITCH="ON")*(COUNTIFS(OVR_TICKERS,INDEX(HSI!$C$7:$C$106,$N81),OVR_BASE,"&gt;=0")&gt;0)&gt;0,"stock overridden",""))</f>
        <v/>
      </c>
      <c r="L81" s="35">
        <f>IFERROR(IF(SMALL(Grids!$EE$12:$GQ$111,$M$7+72)&gt;=PEND_TO,"",SMALL(Grids!$EE$12:$GQ$111,$M$7+72)),"")</f>
        <v/>
      </c>
      <c r="M81" s="35">
        <f>IF($L81="","",INT($L81/1000000000))</f>
        <v/>
      </c>
      <c r="N81" s="35">
        <f>IF($L81="","",INT(($L81-INT($L81/1000000)*1000000)/1000))</f>
        <v/>
      </c>
      <c r="O81" s="35">
        <f>IF($L81="","",$L81-INT($L81/1000)*1000)</f>
        <v/>
      </c>
      <c r="P81" s="35">
        <f>IF($L81="","",INT(($L81-INT($L81/1000000000)*1000000000)/100000000))</f>
        <v/>
      </c>
    </row>
    <row r="82">
      <c r="B82" s="39">
        <f>IF($L82="","",$M82)</f>
        <v/>
      </c>
      <c r="C82" s="18">
        <f>IF($L82="","",INDEX(HSI!$C$7:$C$106,$N82))</f>
        <v/>
      </c>
      <c r="D82" s="18">
        <f>IF($L82="","",INDEX(HSI!$D$7:$D$106,$N82))</f>
        <v/>
      </c>
      <c r="E82" s="40">
        <f>IF($L82="","",IF($P82=0,"TBA",IFERROR(INDEX(Grids!$C$12:$BO$111,$N82,$O82),"-")))</f>
        <v/>
      </c>
      <c r="F82" s="18">
        <f>IF($L82="","",INDEX(HSI!$F$7:$F$106,$N82))</f>
        <v/>
      </c>
      <c r="G82" s="40">
        <f>IF($L82="","",IF($P82=0,"TBA",IFERROR(INDEX(Grids!$BQ$12:$EC$111,$N82,$O82),"-")))</f>
        <v/>
      </c>
      <c r="H82" s="41">
        <f>IF($L82="","",SUM($G$10:$G82))</f>
        <v/>
      </c>
      <c r="I82" s="42">
        <f>IF($L82="","",IF(INT(($L82-INT($L82/10000000)*10000000)/1000000)=0,"Bloomberg projection",IF($P82=1,"ANNOUNCED","ANNOUNCED - amount TBA")))</f>
        <v/>
      </c>
      <c r="J82" s="43">
        <f>IF($L82="","",IF((OV_SWITCH="ON")*(COUNTIFS(OVR_TICKERS,INDEX(HSI!$C$7:$C$106,$N82),OVR_BASE,"&gt;=0")&gt;0)&gt;0,"stock overridden",""))</f>
        <v/>
      </c>
      <c r="L82" s="35">
        <f>IFERROR(IF(SMALL(Grids!$EE$12:$GQ$111,$M$7+73)&gt;=PEND_TO,"",SMALL(Grids!$EE$12:$GQ$111,$M$7+73)),"")</f>
        <v/>
      </c>
      <c r="M82" s="35">
        <f>IF($L82="","",INT($L82/1000000000))</f>
        <v/>
      </c>
      <c r="N82" s="35">
        <f>IF($L82="","",INT(($L82-INT($L82/1000000)*1000000)/1000))</f>
        <v/>
      </c>
      <c r="O82" s="35">
        <f>IF($L82="","",$L82-INT($L82/1000)*1000)</f>
        <v/>
      </c>
      <c r="P82" s="35">
        <f>IF($L82="","",INT(($L82-INT($L82/1000000000)*1000000000)/100000000))</f>
        <v/>
      </c>
    </row>
    <row r="83">
      <c r="B83" s="39">
        <f>IF($L83="","",$M83)</f>
        <v/>
      </c>
      <c r="C83" s="18">
        <f>IF($L83="","",INDEX(HSI!$C$7:$C$106,$N83))</f>
        <v/>
      </c>
      <c r="D83" s="18">
        <f>IF($L83="","",INDEX(HSI!$D$7:$D$106,$N83))</f>
        <v/>
      </c>
      <c r="E83" s="40">
        <f>IF($L83="","",IF($P83=0,"TBA",IFERROR(INDEX(Grids!$C$12:$BO$111,$N83,$O83),"-")))</f>
        <v/>
      </c>
      <c r="F83" s="18">
        <f>IF($L83="","",INDEX(HSI!$F$7:$F$106,$N83))</f>
        <v/>
      </c>
      <c r="G83" s="40">
        <f>IF($L83="","",IF($P83=0,"TBA",IFERROR(INDEX(Grids!$BQ$12:$EC$111,$N83,$O83),"-")))</f>
        <v/>
      </c>
      <c r="H83" s="41">
        <f>IF($L83="","",SUM($G$10:$G83))</f>
        <v/>
      </c>
      <c r="I83" s="42">
        <f>IF($L83="","",IF(INT(($L83-INT($L83/10000000)*10000000)/1000000)=0,"Bloomberg projection",IF($P83=1,"ANNOUNCED","ANNOUNCED - amount TBA")))</f>
        <v/>
      </c>
      <c r="J83" s="43">
        <f>IF($L83="","",IF((OV_SWITCH="ON")*(COUNTIFS(OVR_TICKERS,INDEX(HSI!$C$7:$C$106,$N83),OVR_BASE,"&gt;=0")&gt;0)&gt;0,"stock overridden",""))</f>
        <v/>
      </c>
      <c r="L83" s="35">
        <f>IFERROR(IF(SMALL(Grids!$EE$12:$GQ$111,$M$7+74)&gt;=PEND_TO,"",SMALL(Grids!$EE$12:$GQ$111,$M$7+74)),"")</f>
        <v/>
      </c>
      <c r="M83" s="35">
        <f>IF($L83="","",INT($L83/1000000000))</f>
        <v/>
      </c>
      <c r="N83" s="35">
        <f>IF($L83="","",INT(($L83-INT($L83/1000000)*1000000)/1000))</f>
        <v/>
      </c>
      <c r="O83" s="35">
        <f>IF($L83="","",$L83-INT($L83/1000)*1000)</f>
        <v/>
      </c>
      <c r="P83" s="35">
        <f>IF($L83="","",INT(($L83-INT($L83/1000000000)*1000000000)/100000000))</f>
        <v/>
      </c>
    </row>
    <row r="84">
      <c r="B84" s="39">
        <f>IF($L84="","",$M84)</f>
        <v/>
      </c>
      <c r="C84" s="18">
        <f>IF($L84="","",INDEX(HSI!$C$7:$C$106,$N84))</f>
        <v/>
      </c>
      <c r="D84" s="18">
        <f>IF($L84="","",INDEX(HSI!$D$7:$D$106,$N84))</f>
        <v/>
      </c>
      <c r="E84" s="40">
        <f>IF($L84="","",IF($P84=0,"TBA",IFERROR(INDEX(Grids!$C$12:$BO$111,$N84,$O84),"-")))</f>
        <v/>
      </c>
      <c r="F84" s="18">
        <f>IF($L84="","",INDEX(HSI!$F$7:$F$106,$N84))</f>
        <v/>
      </c>
      <c r="G84" s="40">
        <f>IF($L84="","",IF($P84=0,"TBA",IFERROR(INDEX(Grids!$BQ$12:$EC$111,$N84,$O84),"-")))</f>
        <v/>
      </c>
      <c r="H84" s="41">
        <f>IF($L84="","",SUM($G$10:$G84))</f>
        <v/>
      </c>
      <c r="I84" s="42">
        <f>IF($L84="","",IF(INT(($L84-INT($L84/10000000)*10000000)/1000000)=0,"Bloomberg projection",IF($P84=1,"ANNOUNCED","ANNOUNCED - amount TBA")))</f>
        <v/>
      </c>
      <c r="J84" s="43">
        <f>IF($L84="","",IF((OV_SWITCH="ON")*(COUNTIFS(OVR_TICKERS,INDEX(HSI!$C$7:$C$106,$N84),OVR_BASE,"&gt;=0")&gt;0)&gt;0,"stock overridden",""))</f>
        <v/>
      </c>
      <c r="L84" s="35">
        <f>IFERROR(IF(SMALL(Grids!$EE$12:$GQ$111,$M$7+75)&gt;=PEND_TO,"",SMALL(Grids!$EE$12:$GQ$111,$M$7+75)),"")</f>
        <v/>
      </c>
      <c r="M84" s="35">
        <f>IF($L84="","",INT($L84/1000000000))</f>
        <v/>
      </c>
      <c r="N84" s="35">
        <f>IF($L84="","",INT(($L84-INT($L84/1000000)*1000000)/1000))</f>
        <v/>
      </c>
      <c r="O84" s="35">
        <f>IF($L84="","",$L84-INT($L84/1000)*1000)</f>
        <v/>
      </c>
      <c r="P84" s="35">
        <f>IF($L84="","",INT(($L84-INT($L84/1000000000)*1000000000)/100000000))</f>
        <v/>
      </c>
    </row>
    <row r="85">
      <c r="B85" s="39">
        <f>IF($L85="","",$M85)</f>
        <v/>
      </c>
      <c r="C85" s="18">
        <f>IF($L85="","",INDEX(HSI!$C$7:$C$106,$N85))</f>
        <v/>
      </c>
      <c r="D85" s="18">
        <f>IF($L85="","",INDEX(HSI!$D$7:$D$106,$N85))</f>
        <v/>
      </c>
      <c r="E85" s="40">
        <f>IF($L85="","",IF($P85=0,"TBA",IFERROR(INDEX(Grids!$C$12:$BO$111,$N85,$O85),"-")))</f>
        <v/>
      </c>
      <c r="F85" s="18">
        <f>IF($L85="","",INDEX(HSI!$F$7:$F$106,$N85))</f>
        <v/>
      </c>
      <c r="G85" s="40">
        <f>IF($L85="","",IF($P85=0,"TBA",IFERROR(INDEX(Grids!$BQ$12:$EC$111,$N85,$O85),"-")))</f>
        <v/>
      </c>
      <c r="H85" s="41">
        <f>IF($L85="","",SUM($G$10:$G85))</f>
        <v/>
      </c>
      <c r="I85" s="42">
        <f>IF($L85="","",IF(INT(($L85-INT($L85/10000000)*10000000)/1000000)=0,"Bloomberg projection",IF($P85=1,"ANNOUNCED","ANNOUNCED - amount TBA")))</f>
        <v/>
      </c>
      <c r="J85" s="43">
        <f>IF($L85="","",IF((OV_SWITCH="ON")*(COUNTIFS(OVR_TICKERS,INDEX(HSI!$C$7:$C$106,$N85),OVR_BASE,"&gt;=0")&gt;0)&gt;0,"stock overridden",""))</f>
        <v/>
      </c>
      <c r="L85" s="35">
        <f>IFERROR(IF(SMALL(Grids!$EE$12:$GQ$111,$M$7+76)&gt;=PEND_TO,"",SMALL(Grids!$EE$12:$GQ$111,$M$7+76)),"")</f>
        <v/>
      </c>
      <c r="M85" s="35">
        <f>IF($L85="","",INT($L85/1000000000))</f>
        <v/>
      </c>
      <c r="N85" s="35">
        <f>IF($L85="","",INT(($L85-INT($L85/1000000)*1000000)/1000))</f>
        <v/>
      </c>
      <c r="O85" s="35">
        <f>IF($L85="","",$L85-INT($L85/1000)*1000)</f>
        <v/>
      </c>
      <c r="P85" s="35">
        <f>IF($L85="","",INT(($L85-INT($L85/1000000000)*1000000000)/100000000))</f>
        <v/>
      </c>
    </row>
    <row r="86">
      <c r="B86" s="39">
        <f>IF($L86="","",$M86)</f>
        <v/>
      </c>
      <c r="C86" s="18">
        <f>IF($L86="","",INDEX(HSI!$C$7:$C$106,$N86))</f>
        <v/>
      </c>
      <c r="D86" s="18">
        <f>IF($L86="","",INDEX(HSI!$D$7:$D$106,$N86))</f>
        <v/>
      </c>
      <c r="E86" s="40">
        <f>IF($L86="","",IF($P86=0,"TBA",IFERROR(INDEX(Grids!$C$12:$BO$111,$N86,$O86),"-")))</f>
        <v/>
      </c>
      <c r="F86" s="18">
        <f>IF($L86="","",INDEX(HSI!$F$7:$F$106,$N86))</f>
        <v/>
      </c>
      <c r="G86" s="40">
        <f>IF($L86="","",IF($P86=0,"TBA",IFERROR(INDEX(Grids!$BQ$12:$EC$111,$N86,$O86),"-")))</f>
        <v/>
      </c>
      <c r="H86" s="41">
        <f>IF($L86="","",SUM($G$10:$G86))</f>
        <v/>
      </c>
      <c r="I86" s="42">
        <f>IF($L86="","",IF(INT(($L86-INT($L86/10000000)*10000000)/1000000)=0,"Bloomberg projection",IF($P86=1,"ANNOUNCED","ANNOUNCED - amount TBA")))</f>
        <v/>
      </c>
      <c r="J86" s="43">
        <f>IF($L86="","",IF((OV_SWITCH="ON")*(COUNTIFS(OVR_TICKERS,INDEX(HSI!$C$7:$C$106,$N86),OVR_BASE,"&gt;=0")&gt;0)&gt;0,"stock overridden",""))</f>
        <v/>
      </c>
      <c r="L86" s="35">
        <f>IFERROR(IF(SMALL(Grids!$EE$12:$GQ$111,$M$7+77)&gt;=PEND_TO,"",SMALL(Grids!$EE$12:$GQ$111,$M$7+77)),"")</f>
        <v/>
      </c>
      <c r="M86" s="35">
        <f>IF($L86="","",INT($L86/1000000000))</f>
        <v/>
      </c>
      <c r="N86" s="35">
        <f>IF($L86="","",INT(($L86-INT($L86/1000000)*1000000)/1000))</f>
        <v/>
      </c>
      <c r="O86" s="35">
        <f>IF($L86="","",$L86-INT($L86/1000)*1000)</f>
        <v/>
      </c>
      <c r="P86" s="35">
        <f>IF($L86="","",INT(($L86-INT($L86/1000000000)*1000000000)/100000000))</f>
        <v/>
      </c>
    </row>
    <row r="87">
      <c r="B87" s="39">
        <f>IF($L87="","",$M87)</f>
        <v/>
      </c>
      <c r="C87" s="18">
        <f>IF($L87="","",INDEX(HSI!$C$7:$C$106,$N87))</f>
        <v/>
      </c>
      <c r="D87" s="18">
        <f>IF($L87="","",INDEX(HSI!$D$7:$D$106,$N87))</f>
        <v/>
      </c>
      <c r="E87" s="40">
        <f>IF($L87="","",IF($P87=0,"TBA",IFERROR(INDEX(Grids!$C$12:$BO$111,$N87,$O87),"-")))</f>
        <v/>
      </c>
      <c r="F87" s="18">
        <f>IF($L87="","",INDEX(HSI!$F$7:$F$106,$N87))</f>
        <v/>
      </c>
      <c r="G87" s="40">
        <f>IF($L87="","",IF($P87=0,"TBA",IFERROR(INDEX(Grids!$BQ$12:$EC$111,$N87,$O87),"-")))</f>
        <v/>
      </c>
      <c r="H87" s="41">
        <f>IF($L87="","",SUM($G$10:$G87))</f>
        <v/>
      </c>
      <c r="I87" s="42">
        <f>IF($L87="","",IF(INT(($L87-INT($L87/10000000)*10000000)/1000000)=0,"Bloomberg projection",IF($P87=1,"ANNOUNCED","ANNOUNCED - amount TBA")))</f>
        <v/>
      </c>
      <c r="J87" s="43">
        <f>IF($L87="","",IF((OV_SWITCH="ON")*(COUNTIFS(OVR_TICKERS,INDEX(HSI!$C$7:$C$106,$N87),OVR_BASE,"&gt;=0")&gt;0)&gt;0,"stock overridden",""))</f>
        <v/>
      </c>
      <c r="L87" s="35">
        <f>IFERROR(IF(SMALL(Grids!$EE$12:$GQ$111,$M$7+78)&gt;=PEND_TO,"",SMALL(Grids!$EE$12:$GQ$111,$M$7+78)),"")</f>
        <v/>
      </c>
      <c r="M87" s="35">
        <f>IF($L87="","",INT($L87/1000000000))</f>
        <v/>
      </c>
      <c r="N87" s="35">
        <f>IF($L87="","",INT(($L87-INT($L87/1000000)*1000000)/1000))</f>
        <v/>
      </c>
      <c r="O87" s="35">
        <f>IF($L87="","",$L87-INT($L87/1000)*1000)</f>
        <v/>
      </c>
      <c r="P87" s="35">
        <f>IF($L87="","",INT(($L87-INT($L87/1000000000)*1000000000)/100000000))</f>
        <v/>
      </c>
    </row>
    <row r="88">
      <c r="B88" s="39">
        <f>IF($L88="","",$M88)</f>
        <v/>
      </c>
      <c r="C88" s="18">
        <f>IF($L88="","",INDEX(HSI!$C$7:$C$106,$N88))</f>
        <v/>
      </c>
      <c r="D88" s="18">
        <f>IF($L88="","",INDEX(HSI!$D$7:$D$106,$N88))</f>
        <v/>
      </c>
      <c r="E88" s="40">
        <f>IF($L88="","",IF($P88=0,"TBA",IFERROR(INDEX(Grids!$C$12:$BO$111,$N88,$O88),"-")))</f>
        <v/>
      </c>
      <c r="F88" s="18">
        <f>IF($L88="","",INDEX(HSI!$F$7:$F$106,$N88))</f>
        <v/>
      </c>
      <c r="G88" s="40">
        <f>IF($L88="","",IF($P88=0,"TBA",IFERROR(INDEX(Grids!$BQ$12:$EC$111,$N88,$O88),"-")))</f>
        <v/>
      </c>
      <c r="H88" s="41">
        <f>IF($L88="","",SUM($G$10:$G88))</f>
        <v/>
      </c>
      <c r="I88" s="42">
        <f>IF($L88="","",IF(INT(($L88-INT($L88/10000000)*10000000)/1000000)=0,"Bloomberg projection",IF($P88=1,"ANNOUNCED","ANNOUNCED - amount TBA")))</f>
        <v/>
      </c>
      <c r="J88" s="43">
        <f>IF($L88="","",IF((OV_SWITCH="ON")*(COUNTIFS(OVR_TICKERS,INDEX(HSI!$C$7:$C$106,$N88),OVR_BASE,"&gt;=0")&gt;0)&gt;0,"stock overridden",""))</f>
        <v/>
      </c>
      <c r="L88" s="35">
        <f>IFERROR(IF(SMALL(Grids!$EE$12:$GQ$111,$M$7+79)&gt;=PEND_TO,"",SMALL(Grids!$EE$12:$GQ$111,$M$7+79)),"")</f>
        <v/>
      </c>
      <c r="M88" s="35">
        <f>IF($L88="","",INT($L88/1000000000))</f>
        <v/>
      </c>
      <c r="N88" s="35">
        <f>IF($L88="","",INT(($L88-INT($L88/1000000)*1000000)/1000))</f>
        <v/>
      </c>
      <c r="O88" s="35">
        <f>IF($L88="","",$L88-INT($L88/1000)*1000)</f>
        <v/>
      </c>
      <c r="P88" s="35">
        <f>IF($L88="","",INT(($L88-INT($L88/1000000000)*1000000000)/100000000))</f>
        <v/>
      </c>
    </row>
    <row r="89">
      <c r="B89" s="39">
        <f>IF($L89="","",$M89)</f>
        <v/>
      </c>
      <c r="C89" s="18">
        <f>IF($L89="","",INDEX(HSI!$C$7:$C$106,$N89))</f>
        <v/>
      </c>
      <c r="D89" s="18">
        <f>IF($L89="","",INDEX(HSI!$D$7:$D$106,$N89))</f>
        <v/>
      </c>
      <c r="E89" s="40">
        <f>IF($L89="","",IF($P89=0,"TBA",IFERROR(INDEX(Grids!$C$12:$BO$111,$N89,$O89),"-")))</f>
        <v/>
      </c>
      <c r="F89" s="18">
        <f>IF($L89="","",INDEX(HSI!$F$7:$F$106,$N89))</f>
        <v/>
      </c>
      <c r="G89" s="40">
        <f>IF($L89="","",IF($P89=0,"TBA",IFERROR(INDEX(Grids!$BQ$12:$EC$111,$N89,$O89),"-")))</f>
        <v/>
      </c>
      <c r="H89" s="41">
        <f>IF($L89="","",SUM($G$10:$G89))</f>
        <v/>
      </c>
      <c r="I89" s="42">
        <f>IF($L89="","",IF(INT(($L89-INT($L89/10000000)*10000000)/1000000)=0,"Bloomberg projection",IF($P89=1,"ANNOUNCED","ANNOUNCED - amount TBA")))</f>
        <v/>
      </c>
      <c r="J89" s="43">
        <f>IF($L89="","",IF((OV_SWITCH="ON")*(COUNTIFS(OVR_TICKERS,INDEX(HSI!$C$7:$C$106,$N89),OVR_BASE,"&gt;=0")&gt;0)&gt;0,"stock overridden",""))</f>
        <v/>
      </c>
      <c r="L89" s="35">
        <f>IFERROR(IF(SMALL(Grids!$EE$12:$GQ$111,$M$7+80)&gt;=PEND_TO,"",SMALL(Grids!$EE$12:$GQ$111,$M$7+80)),"")</f>
        <v/>
      </c>
      <c r="M89" s="35">
        <f>IF($L89="","",INT($L89/1000000000))</f>
        <v/>
      </c>
      <c r="N89" s="35">
        <f>IF($L89="","",INT(($L89-INT($L89/1000000)*1000000)/1000))</f>
        <v/>
      </c>
      <c r="O89" s="35">
        <f>IF($L89="","",$L89-INT($L89/1000)*1000)</f>
        <v/>
      </c>
      <c r="P89" s="35">
        <f>IF($L89="","",INT(($L89-INT($L89/1000000000)*1000000000)/100000000))</f>
        <v/>
      </c>
    </row>
    <row r="90">
      <c r="B90" s="39">
        <f>IF($L90="","",$M90)</f>
        <v/>
      </c>
      <c r="C90" s="18">
        <f>IF($L90="","",INDEX(HSI!$C$7:$C$106,$N90))</f>
        <v/>
      </c>
      <c r="D90" s="18">
        <f>IF($L90="","",INDEX(HSI!$D$7:$D$106,$N90))</f>
        <v/>
      </c>
      <c r="E90" s="40">
        <f>IF($L90="","",IF($P90=0,"TBA",IFERROR(INDEX(Grids!$C$12:$BO$111,$N90,$O90),"-")))</f>
        <v/>
      </c>
      <c r="F90" s="18">
        <f>IF($L90="","",INDEX(HSI!$F$7:$F$106,$N90))</f>
        <v/>
      </c>
      <c r="G90" s="40">
        <f>IF($L90="","",IF($P90=0,"TBA",IFERROR(INDEX(Grids!$BQ$12:$EC$111,$N90,$O90),"-")))</f>
        <v/>
      </c>
      <c r="H90" s="41">
        <f>IF($L90="","",SUM($G$10:$G90))</f>
        <v/>
      </c>
      <c r="I90" s="42">
        <f>IF($L90="","",IF(INT(($L90-INT($L90/10000000)*10000000)/1000000)=0,"Bloomberg projection",IF($P90=1,"ANNOUNCED","ANNOUNCED - amount TBA")))</f>
        <v/>
      </c>
      <c r="J90" s="43">
        <f>IF($L90="","",IF((OV_SWITCH="ON")*(COUNTIFS(OVR_TICKERS,INDEX(HSI!$C$7:$C$106,$N90),OVR_BASE,"&gt;=0")&gt;0)&gt;0,"stock overridden",""))</f>
        <v/>
      </c>
      <c r="L90" s="35">
        <f>IFERROR(IF(SMALL(Grids!$EE$12:$GQ$111,$M$7+81)&gt;=PEND_TO,"",SMALL(Grids!$EE$12:$GQ$111,$M$7+81)),"")</f>
        <v/>
      </c>
      <c r="M90" s="35">
        <f>IF($L90="","",INT($L90/1000000000))</f>
        <v/>
      </c>
      <c r="N90" s="35">
        <f>IF($L90="","",INT(($L90-INT($L90/1000000)*1000000)/1000))</f>
        <v/>
      </c>
      <c r="O90" s="35">
        <f>IF($L90="","",$L90-INT($L90/1000)*1000)</f>
        <v/>
      </c>
      <c r="P90" s="35">
        <f>IF($L90="","",INT(($L90-INT($L90/1000000000)*1000000000)/100000000))</f>
        <v/>
      </c>
    </row>
    <row r="91">
      <c r="B91" s="39">
        <f>IF($L91="","",$M91)</f>
        <v/>
      </c>
      <c r="C91" s="18">
        <f>IF($L91="","",INDEX(HSI!$C$7:$C$106,$N91))</f>
        <v/>
      </c>
      <c r="D91" s="18">
        <f>IF($L91="","",INDEX(HSI!$D$7:$D$106,$N91))</f>
        <v/>
      </c>
      <c r="E91" s="40">
        <f>IF($L91="","",IF($P91=0,"TBA",IFERROR(INDEX(Grids!$C$12:$BO$111,$N91,$O91),"-")))</f>
        <v/>
      </c>
      <c r="F91" s="18">
        <f>IF($L91="","",INDEX(HSI!$F$7:$F$106,$N91))</f>
        <v/>
      </c>
      <c r="G91" s="40">
        <f>IF($L91="","",IF($P91=0,"TBA",IFERROR(INDEX(Grids!$BQ$12:$EC$111,$N91,$O91),"-")))</f>
        <v/>
      </c>
      <c r="H91" s="41">
        <f>IF($L91="","",SUM($G$10:$G91))</f>
        <v/>
      </c>
      <c r="I91" s="42">
        <f>IF($L91="","",IF(INT(($L91-INT($L91/10000000)*10000000)/1000000)=0,"Bloomberg projection",IF($P91=1,"ANNOUNCED","ANNOUNCED - amount TBA")))</f>
        <v/>
      </c>
      <c r="J91" s="43">
        <f>IF($L91="","",IF((OV_SWITCH="ON")*(COUNTIFS(OVR_TICKERS,INDEX(HSI!$C$7:$C$106,$N91),OVR_BASE,"&gt;=0")&gt;0)&gt;0,"stock overridden",""))</f>
        <v/>
      </c>
      <c r="L91" s="35">
        <f>IFERROR(IF(SMALL(Grids!$EE$12:$GQ$111,$M$7+82)&gt;=PEND_TO,"",SMALL(Grids!$EE$12:$GQ$111,$M$7+82)),"")</f>
        <v/>
      </c>
      <c r="M91" s="35">
        <f>IF($L91="","",INT($L91/1000000000))</f>
        <v/>
      </c>
      <c r="N91" s="35">
        <f>IF($L91="","",INT(($L91-INT($L91/1000000)*1000000)/1000))</f>
        <v/>
      </c>
      <c r="O91" s="35">
        <f>IF($L91="","",$L91-INT($L91/1000)*1000)</f>
        <v/>
      </c>
      <c r="P91" s="35">
        <f>IF($L91="","",INT(($L91-INT($L91/1000000000)*1000000000)/100000000))</f>
        <v/>
      </c>
    </row>
    <row r="92">
      <c r="B92" s="39">
        <f>IF($L92="","",$M92)</f>
        <v/>
      </c>
      <c r="C92" s="18">
        <f>IF($L92="","",INDEX(HSI!$C$7:$C$106,$N92))</f>
        <v/>
      </c>
      <c r="D92" s="18">
        <f>IF($L92="","",INDEX(HSI!$D$7:$D$106,$N92))</f>
        <v/>
      </c>
      <c r="E92" s="40">
        <f>IF($L92="","",IF($P92=0,"TBA",IFERROR(INDEX(Grids!$C$12:$BO$111,$N92,$O92),"-")))</f>
        <v/>
      </c>
      <c r="F92" s="18">
        <f>IF($L92="","",INDEX(HSI!$F$7:$F$106,$N92))</f>
        <v/>
      </c>
      <c r="G92" s="40">
        <f>IF($L92="","",IF($P92=0,"TBA",IFERROR(INDEX(Grids!$BQ$12:$EC$111,$N92,$O92),"-")))</f>
        <v/>
      </c>
      <c r="H92" s="41">
        <f>IF($L92="","",SUM($G$10:$G92))</f>
        <v/>
      </c>
      <c r="I92" s="42">
        <f>IF($L92="","",IF(INT(($L92-INT($L92/10000000)*10000000)/1000000)=0,"Bloomberg projection",IF($P92=1,"ANNOUNCED","ANNOUNCED - amount TBA")))</f>
        <v/>
      </c>
      <c r="J92" s="43">
        <f>IF($L92="","",IF((OV_SWITCH="ON")*(COUNTIFS(OVR_TICKERS,INDEX(HSI!$C$7:$C$106,$N92),OVR_BASE,"&gt;=0")&gt;0)&gt;0,"stock overridden",""))</f>
        <v/>
      </c>
      <c r="L92" s="35">
        <f>IFERROR(IF(SMALL(Grids!$EE$12:$GQ$111,$M$7+83)&gt;=PEND_TO,"",SMALL(Grids!$EE$12:$GQ$111,$M$7+83)),"")</f>
        <v/>
      </c>
      <c r="M92" s="35">
        <f>IF($L92="","",INT($L92/1000000000))</f>
        <v/>
      </c>
      <c r="N92" s="35">
        <f>IF($L92="","",INT(($L92-INT($L92/1000000)*1000000)/1000))</f>
        <v/>
      </c>
      <c r="O92" s="35">
        <f>IF($L92="","",$L92-INT($L92/1000)*1000)</f>
        <v/>
      </c>
      <c r="P92" s="35">
        <f>IF($L92="","",INT(($L92-INT($L92/1000000000)*1000000000)/100000000))</f>
        <v/>
      </c>
    </row>
    <row r="93">
      <c r="B93" s="39">
        <f>IF($L93="","",$M93)</f>
        <v/>
      </c>
      <c r="C93" s="18">
        <f>IF($L93="","",INDEX(HSI!$C$7:$C$106,$N93))</f>
        <v/>
      </c>
      <c r="D93" s="18">
        <f>IF($L93="","",INDEX(HSI!$D$7:$D$106,$N93))</f>
        <v/>
      </c>
      <c r="E93" s="40">
        <f>IF($L93="","",IF($P93=0,"TBA",IFERROR(INDEX(Grids!$C$12:$BO$111,$N93,$O93),"-")))</f>
        <v/>
      </c>
      <c r="F93" s="18">
        <f>IF($L93="","",INDEX(HSI!$F$7:$F$106,$N93))</f>
        <v/>
      </c>
      <c r="G93" s="40">
        <f>IF($L93="","",IF($P93=0,"TBA",IFERROR(INDEX(Grids!$BQ$12:$EC$111,$N93,$O93),"-")))</f>
        <v/>
      </c>
      <c r="H93" s="41">
        <f>IF($L93="","",SUM($G$10:$G93))</f>
        <v/>
      </c>
      <c r="I93" s="42">
        <f>IF($L93="","",IF(INT(($L93-INT($L93/10000000)*10000000)/1000000)=0,"Bloomberg projection",IF($P93=1,"ANNOUNCED","ANNOUNCED - amount TBA")))</f>
        <v/>
      </c>
      <c r="J93" s="43">
        <f>IF($L93="","",IF((OV_SWITCH="ON")*(COUNTIFS(OVR_TICKERS,INDEX(HSI!$C$7:$C$106,$N93),OVR_BASE,"&gt;=0")&gt;0)&gt;0,"stock overridden",""))</f>
        <v/>
      </c>
      <c r="L93" s="35">
        <f>IFERROR(IF(SMALL(Grids!$EE$12:$GQ$111,$M$7+84)&gt;=PEND_TO,"",SMALL(Grids!$EE$12:$GQ$111,$M$7+84)),"")</f>
        <v/>
      </c>
      <c r="M93" s="35">
        <f>IF($L93="","",INT($L93/1000000000))</f>
        <v/>
      </c>
      <c r="N93" s="35">
        <f>IF($L93="","",INT(($L93-INT($L93/1000000)*1000000)/1000))</f>
        <v/>
      </c>
      <c r="O93" s="35">
        <f>IF($L93="","",$L93-INT($L93/1000)*1000)</f>
        <v/>
      </c>
      <c r="P93" s="35">
        <f>IF($L93="","",INT(($L93-INT($L93/1000000000)*1000000000)/100000000))</f>
        <v/>
      </c>
    </row>
    <row r="94">
      <c r="B94" s="39">
        <f>IF($L94="","",$M94)</f>
        <v/>
      </c>
      <c r="C94" s="18">
        <f>IF($L94="","",INDEX(HSI!$C$7:$C$106,$N94))</f>
        <v/>
      </c>
      <c r="D94" s="18">
        <f>IF($L94="","",INDEX(HSI!$D$7:$D$106,$N94))</f>
        <v/>
      </c>
      <c r="E94" s="40">
        <f>IF($L94="","",IF($P94=0,"TBA",IFERROR(INDEX(Grids!$C$12:$BO$111,$N94,$O94),"-")))</f>
        <v/>
      </c>
      <c r="F94" s="18">
        <f>IF($L94="","",INDEX(HSI!$F$7:$F$106,$N94))</f>
        <v/>
      </c>
      <c r="G94" s="40">
        <f>IF($L94="","",IF($P94=0,"TBA",IFERROR(INDEX(Grids!$BQ$12:$EC$111,$N94,$O94),"-")))</f>
        <v/>
      </c>
      <c r="H94" s="41">
        <f>IF($L94="","",SUM($G$10:$G94))</f>
        <v/>
      </c>
      <c r="I94" s="42">
        <f>IF($L94="","",IF(INT(($L94-INT($L94/10000000)*10000000)/1000000)=0,"Bloomberg projection",IF($P94=1,"ANNOUNCED","ANNOUNCED - amount TBA")))</f>
        <v/>
      </c>
      <c r="J94" s="43">
        <f>IF($L94="","",IF((OV_SWITCH="ON")*(COUNTIFS(OVR_TICKERS,INDEX(HSI!$C$7:$C$106,$N94),OVR_BASE,"&gt;=0")&gt;0)&gt;0,"stock overridden",""))</f>
        <v/>
      </c>
      <c r="L94" s="35">
        <f>IFERROR(IF(SMALL(Grids!$EE$12:$GQ$111,$M$7+85)&gt;=PEND_TO,"",SMALL(Grids!$EE$12:$GQ$111,$M$7+85)),"")</f>
        <v/>
      </c>
      <c r="M94" s="35">
        <f>IF($L94="","",INT($L94/1000000000))</f>
        <v/>
      </c>
      <c r="N94" s="35">
        <f>IF($L94="","",INT(($L94-INT($L94/1000000)*1000000)/1000))</f>
        <v/>
      </c>
      <c r="O94" s="35">
        <f>IF($L94="","",$L94-INT($L94/1000)*1000)</f>
        <v/>
      </c>
      <c r="P94" s="35">
        <f>IF($L94="","",INT(($L94-INT($L94/1000000000)*1000000000)/100000000))</f>
        <v/>
      </c>
    </row>
    <row r="95">
      <c r="B95" s="39">
        <f>IF($L95="","",$M95)</f>
        <v/>
      </c>
      <c r="C95" s="18">
        <f>IF($L95="","",INDEX(HSI!$C$7:$C$106,$N95))</f>
        <v/>
      </c>
      <c r="D95" s="18">
        <f>IF($L95="","",INDEX(HSI!$D$7:$D$106,$N95))</f>
        <v/>
      </c>
      <c r="E95" s="40">
        <f>IF($L95="","",IF($P95=0,"TBA",IFERROR(INDEX(Grids!$C$12:$BO$111,$N95,$O95),"-")))</f>
        <v/>
      </c>
      <c r="F95" s="18">
        <f>IF($L95="","",INDEX(HSI!$F$7:$F$106,$N95))</f>
        <v/>
      </c>
      <c r="G95" s="40">
        <f>IF($L95="","",IF($P95=0,"TBA",IFERROR(INDEX(Grids!$BQ$12:$EC$111,$N95,$O95),"-")))</f>
        <v/>
      </c>
      <c r="H95" s="41">
        <f>IF($L95="","",SUM($G$10:$G95))</f>
        <v/>
      </c>
      <c r="I95" s="42">
        <f>IF($L95="","",IF(INT(($L95-INT($L95/10000000)*10000000)/1000000)=0,"Bloomberg projection",IF($P95=1,"ANNOUNCED","ANNOUNCED - amount TBA")))</f>
        <v/>
      </c>
      <c r="J95" s="43">
        <f>IF($L95="","",IF((OV_SWITCH="ON")*(COUNTIFS(OVR_TICKERS,INDEX(HSI!$C$7:$C$106,$N95),OVR_BASE,"&gt;=0")&gt;0)&gt;0,"stock overridden",""))</f>
        <v/>
      </c>
      <c r="L95" s="35">
        <f>IFERROR(IF(SMALL(Grids!$EE$12:$GQ$111,$M$7+86)&gt;=PEND_TO,"",SMALL(Grids!$EE$12:$GQ$111,$M$7+86)),"")</f>
        <v/>
      </c>
      <c r="M95" s="35">
        <f>IF($L95="","",INT($L95/1000000000))</f>
        <v/>
      </c>
      <c r="N95" s="35">
        <f>IF($L95="","",INT(($L95-INT($L95/1000000)*1000000)/1000))</f>
        <v/>
      </c>
      <c r="O95" s="35">
        <f>IF($L95="","",$L95-INT($L95/1000)*1000)</f>
        <v/>
      </c>
      <c r="P95" s="35">
        <f>IF($L95="","",INT(($L95-INT($L95/1000000000)*1000000000)/100000000))</f>
        <v/>
      </c>
    </row>
    <row r="96">
      <c r="B96" s="39">
        <f>IF($L96="","",$M96)</f>
        <v/>
      </c>
      <c r="C96" s="18">
        <f>IF($L96="","",INDEX(HSI!$C$7:$C$106,$N96))</f>
        <v/>
      </c>
      <c r="D96" s="18">
        <f>IF($L96="","",INDEX(HSI!$D$7:$D$106,$N96))</f>
        <v/>
      </c>
      <c r="E96" s="40">
        <f>IF($L96="","",IF($P96=0,"TBA",IFERROR(INDEX(Grids!$C$12:$BO$111,$N96,$O96),"-")))</f>
        <v/>
      </c>
      <c r="F96" s="18">
        <f>IF($L96="","",INDEX(HSI!$F$7:$F$106,$N96))</f>
        <v/>
      </c>
      <c r="G96" s="40">
        <f>IF($L96="","",IF($P96=0,"TBA",IFERROR(INDEX(Grids!$BQ$12:$EC$111,$N96,$O96),"-")))</f>
        <v/>
      </c>
      <c r="H96" s="41">
        <f>IF($L96="","",SUM($G$10:$G96))</f>
        <v/>
      </c>
      <c r="I96" s="42">
        <f>IF($L96="","",IF(INT(($L96-INT($L96/10000000)*10000000)/1000000)=0,"Bloomberg projection",IF($P96=1,"ANNOUNCED","ANNOUNCED - amount TBA")))</f>
        <v/>
      </c>
      <c r="J96" s="43">
        <f>IF($L96="","",IF((OV_SWITCH="ON")*(COUNTIFS(OVR_TICKERS,INDEX(HSI!$C$7:$C$106,$N96),OVR_BASE,"&gt;=0")&gt;0)&gt;0,"stock overridden",""))</f>
        <v/>
      </c>
      <c r="L96" s="35">
        <f>IFERROR(IF(SMALL(Grids!$EE$12:$GQ$111,$M$7+87)&gt;=PEND_TO,"",SMALL(Grids!$EE$12:$GQ$111,$M$7+87)),"")</f>
        <v/>
      </c>
      <c r="M96" s="35">
        <f>IF($L96="","",INT($L96/1000000000))</f>
        <v/>
      </c>
      <c r="N96" s="35">
        <f>IF($L96="","",INT(($L96-INT($L96/1000000)*1000000)/1000))</f>
        <v/>
      </c>
      <c r="O96" s="35">
        <f>IF($L96="","",$L96-INT($L96/1000)*1000)</f>
        <v/>
      </c>
      <c r="P96" s="35">
        <f>IF($L96="","",INT(($L96-INT($L96/1000000000)*1000000000)/100000000))</f>
        <v/>
      </c>
    </row>
    <row r="97">
      <c r="B97" s="39">
        <f>IF($L97="","",$M97)</f>
        <v/>
      </c>
      <c r="C97" s="18">
        <f>IF($L97="","",INDEX(HSI!$C$7:$C$106,$N97))</f>
        <v/>
      </c>
      <c r="D97" s="18">
        <f>IF($L97="","",INDEX(HSI!$D$7:$D$106,$N97))</f>
        <v/>
      </c>
      <c r="E97" s="40">
        <f>IF($L97="","",IF($P97=0,"TBA",IFERROR(INDEX(Grids!$C$12:$BO$111,$N97,$O97),"-")))</f>
        <v/>
      </c>
      <c r="F97" s="18">
        <f>IF($L97="","",INDEX(HSI!$F$7:$F$106,$N97))</f>
        <v/>
      </c>
      <c r="G97" s="40">
        <f>IF($L97="","",IF($P97=0,"TBA",IFERROR(INDEX(Grids!$BQ$12:$EC$111,$N97,$O97),"-")))</f>
        <v/>
      </c>
      <c r="H97" s="41">
        <f>IF($L97="","",SUM($G$10:$G97))</f>
        <v/>
      </c>
      <c r="I97" s="42">
        <f>IF($L97="","",IF(INT(($L97-INT($L97/10000000)*10000000)/1000000)=0,"Bloomberg projection",IF($P97=1,"ANNOUNCED","ANNOUNCED - amount TBA")))</f>
        <v/>
      </c>
      <c r="J97" s="43">
        <f>IF($L97="","",IF((OV_SWITCH="ON")*(COUNTIFS(OVR_TICKERS,INDEX(HSI!$C$7:$C$106,$N97),OVR_BASE,"&gt;=0")&gt;0)&gt;0,"stock overridden",""))</f>
        <v/>
      </c>
      <c r="L97" s="35">
        <f>IFERROR(IF(SMALL(Grids!$EE$12:$GQ$111,$M$7+88)&gt;=PEND_TO,"",SMALL(Grids!$EE$12:$GQ$111,$M$7+88)),"")</f>
        <v/>
      </c>
      <c r="M97" s="35">
        <f>IF($L97="","",INT($L97/1000000000))</f>
        <v/>
      </c>
      <c r="N97" s="35">
        <f>IF($L97="","",INT(($L97-INT($L97/1000000)*1000000)/1000))</f>
        <v/>
      </c>
      <c r="O97" s="35">
        <f>IF($L97="","",$L97-INT($L97/1000)*1000)</f>
        <v/>
      </c>
      <c r="P97" s="35">
        <f>IF($L97="","",INT(($L97-INT($L97/1000000000)*1000000000)/100000000))</f>
        <v/>
      </c>
    </row>
    <row r="98">
      <c r="B98" s="39">
        <f>IF($L98="","",$M98)</f>
        <v/>
      </c>
      <c r="C98" s="18">
        <f>IF($L98="","",INDEX(HSI!$C$7:$C$106,$N98))</f>
        <v/>
      </c>
      <c r="D98" s="18">
        <f>IF($L98="","",INDEX(HSI!$D$7:$D$106,$N98))</f>
        <v/>
      </c>
      <c r="E98" s="40">
        <f>IF($L98="","",IF($P98=0,"TBA",IFERROR(INDEX(Grids!$C$12:$BO$111,$N98,$O98),"-")))</f>
        <v/>
      </c>
      <c r="F98" s="18">
        <f>IF($L98="","",INDEX(HSI!$F$7:$F$106,$N98))</f>
        <v/>
      </c>
      <c r="G98" s="40">
        <f>IF($L98="","",IF($P98=0,"TBA",IFERROR(INDEX(Grids!$BQ$12:$EC$111,$N98,$O98),"-")))</f>
        <v/>
      </c>
      <c r="H98" s="41">
        <f>IF($L98="","",SUM($G$10:$G98))</f>
        <v/>
      </c>
      <c r="I98" s="42">
        <f>IF($L98="","",IF(INT(($L98-INT($L98/10000000)*10000000)/1000000)=0,"Bloomberg projection",IF($P98=1,"ANNOUNCED","ANNOUNCED - amount TBA")))</f>
        <v/>
      </c>
      <c r="J98" s="43">
        <f>IF($L98="","",IF((OV_SWITCH="ON")*(COUNTIFS(OVR_TICKERS,INDEX(HSI!$C$7:$C$106,$N98),OVR_BASE,"&gt;=0")&gt;0)&gt;0,"stock overridden",""))</f>
        <v/>
      </c>
      <c r="L98" s="35">
        <f>IFERROR(IF(SMALL(Grids!$EE$12:$GQ$111,$M$7+89)&gt;=PEND_TO,"",SMALL(Grids!$EE$12:$GQ$111,$M$7+89)),"")</f>
        <v/>
      </c>
      <c r="M98" s="35">
        <f>IF($L98="","",INT($L98/1000000000))</f>
        <v/>
      </c>
      <c r="N98" s="35">
        <f>IF($L98="","",INT(($L98-INT($L98/1000000)*1000000)/1000))</f>
        <v/>
      </c>
      <c r="O98" s="35">
        <f>IF($L98="","",$L98-INT($L98/1000)*1000)</f>
        <v/>
      </c>
      <c r="P98" s="35">
        <f>IF($L98="","",INT(($L98-INT($L98/1000000000)*1000000000)/100000000))</f>
        <v/>
      </c>
    </row>
    <row r="99">
      <c r="B99" s="39">
        <f>IF($L99="","",$M99)</f>
        <v/>
      </c>
      <c r="C99" s="18">
        <f>IF($L99="","",INDEX(HSI!$C$7:$C$106,$N99))</f>
        <v/>
      </c>
      <c r="D99" s="18">
        <f>IF($L99="","",INDEX(HSI!$D$7:$D$106,$N99))</f>
        <v/>
      </c>
      <c r="E99" s="40">
        <f>IF($L99="","",IF($P99=0,"TBA",IFERROR(INDEX(Grids!$C$12:$BO$111,$N99,$O99),"-")))</f>
        <v/>
      </c>
      <c r="F99" s="18">
        <f>IF($L99="","",INDEX(HSI!$F$7:$F$106,$N99))</f>
        <v/>
      </c>
      <c r="G99" s="40">
        <f>IF($L99="","",IF($P99=0,"TBA",IFERROR(INDEX(Grids!$BQ$12:$EC$111,$N99,$O99),"-")))</f>
        <v/>
      </c>
      <c r="H99" s="41">
        <f>IF($L99="","",SUM($G$10:$G99))</f>
        <v/>
      </c>
      <c r="I99" s="42">
        <f>IF($L99="","",IF(INT(($L99-INT($L99/10000000)*10000000)/1000000)=0,"Bloomberg projection",IF($P99=1,"ANNOUNCED","ANNOUNCED - amount TBA")))</f>
        <v/>
      </c>
      <c r="J99" s="43">
        <f>IF($L99="","",IF((OV_SWITCH="ON")*(COUNTIFS(OVR_TICKERS,INDEX(HSI!$C$7:$C$106,$N99),OVR_BASE,"&gt;=0")&gt;0)&gt;0,"stock overridden",""))</f>
        <v/>
      </c>
      <c r="L99" s="35">
        <f>IFERROR(IF(SMALL(Grids!$EE$12:$GQ$111,$M$7+90)&gt;=PEND_TO,"",SMALL(Grids!$EE$12:$GQ$111,$M$7+90)),"")</f>
        <v/>
      </c>
      <c r="M99" s="35">
        <f>IF($L99="","",INT($L99/1000000000))</f>
        <v/>
      </c>
      <c r="N99" s="35">
        <f>IF($L99="","",INT(($L99-INT($L99/1000000)*1000000)/1000))</f>
        <v/>
      </c>
      <c r="O99" s="35">
        <f>IF($L99="","",$L99-INT($L99/1000)*1000)</f>
        <v/>
      </c>
      <c r="P99" s="35">
        <f>IF($L99="","",INT(($L99-INT($L99/1000000000)*1000000000)/100000000))</f>
        <v/>
      </c>
    </row>
    <row r="100">
      <c r="B100" s="39">
        <f>IF($L100="","",$M100)</f>
        <v/>
      </c>
      <c r="C100" s="18">
        <f>IF($L100="","",INDEX(HSI!$C$7:$C$106,$N100))</f>
        <v/>
      </c>
      <c r="D100" s="18">
        <f>IF($L100="","",INDEX(HSI!$D$7:$D$106,$N100))</f>
        <v/>
      </c>
      <c r="E100" s="40">
        <f>IF($L100="","",IF($P100=0,"TBA",IFERROR(INDEX(Grids!$C$12:$BO$111,$N100,$O100),"-")))</f>
        <v/>
      </c>
      <c r="F100" s="18">
        <f>IF($L100="","",INDEX(HSI!$F$7:$F$106,$N100))</f>
        <v/>
      </c>
      <c r="G100" s="40">
        <f>IF($L100="","",IF($P100=0,"TBA",IFERROR(INDEX(Grids!$BQ$12:$EC$111,$N100,$O100),"-")))</f>
        <v/>
      </c>
      <c r="H100" s="41">
        <f>IF($L100="","",SUM($G$10:$G100))</f>
        <v/>
      </c>
      <c r="I100" s="42">
        <f>IF($L100="","",IF(INT(($L100-INT($L100/10000000)*10000000)/1000000)=0,"Bloomberg projection",IF($P100=1,"ANNOUNCED","ANNOUNCED - amount TBA")))</f>
        <v/>
      </c>
      <c r="J100" s="43">
        <f>IF($L100="","",IF((OV_SWITCH="ON")*(COUNTIFS(OVR_TICKERS,INDEX(HSI!$C$7:$C$106,$N100),OVR_BASE,"&gt;=0")&gt;0)&gt;0,"stock overridden",""))</f>
        <v/>
      </c>
      <c r="L100" s="35">
        <f>IFERROR(IF(SMALL(Grids!$EE$12:$GQ$111,$M$7+91)&gt;=PEND_TO,"",SMALL(Grids!$EE$12:$GQ$111,$M$7+91)),"")</f>
        <v/>
      </c>
      <c r="M100" s="35">
        <f>IF($L100="","",INT($L100/1000000000))</f>
        <v/>
      </c>
      <c r="N100" s="35">
        <f>IF($L100="","",INT(($L100-INT($L100/1000000)*1000000)/1000))</f>
        <v/>
      </c>
      <c r="O100" s="35">
        <f>IF($L100="","",$L100-INT($L100/1000)*1000)</f>
        <v/>
      </c>
      <c r="P100" s="35">
        <f>IF($L100="","",INT(($L100-INT($L100/1000000000)*1000000000)/100000000))</f>
        <v/>
      </c>
    </row>
    <row r="101">
      <c r="B101" s="39">
        <f>IF($L101="","",$M101)</f>
        <v/>
      </c>
      <c r="C101" s="18">
        <f>IF($L101="","",INDEX(HSI!$C$7:$C$106,$N101))</f>
        <v/>
      </c>
      <c r="D101" s="18">
        <f>IF($L101="","",INDEX(HSI!$D$7:$D$106,$N101))</f>
        <v/>
      </c>
      <c r="E101" s="40">
        <f>IF($L101="","",IF($P101=0,"TBA",IFERROR(INDEX(Grids!$C$12:$BO$111,$N101,$O101),"-")))</f>
        <v/>
      </c>
      <c r="F101" s="18">
        <f>IF($L101="","",INDEX(HSI!$F$7:$F$106,$N101))</f>
        <v/>
      </c>
      <c r="G101" s="40">
        <f>IF($L101="","",IF($P101=0,"TBA",IFERROR(INDEX(Grids!$BQ$12:$EC$111,$N101,$O101),"-")))</f>
        <v/>
      </c>
      <c r="H101" s="41">
        <f>IF($L101="","",SUM($G$10:$G101))</f>
        <v/>
      </c>
      <c r="I101" s="42">
        <f>IF($L101="","",IF(INT(($L101-INT($L101/10000000)*10000000)/1000000)=0,"Bloomberg projection",IF($P101=1,"ANNOUNCED","ANNOUNCED - amount TBA")))</f>
        <v/>
      </c>
      <c r="J101" s="43">
        <f>IF($L101="","",IF((OV_SWITCH="ON")*(COUNTIFS(OVR_TICKERS,INDEX(HSI!$C$7:$C$106,$N101),OVR_BASE,"&gt;=0")&gt;0)&gt;0,"stock overridden",""))</f>
        <v/>
      </c>
      <c r="L101" s="35">
        <f>IFERROR(IF(SMALL(Grids!$EE$12:$GQ$111,$M$7+92)&gt;=PEND_TO,"",SMALL(Grids!$EE$12:$GQ$111,$M$7+92)),"")</f>
        <v/>
      </c>
      <c r="M101" s="35">
        <f>IF($L101="","",INT($L101/1000000000))</f>
        <v/>
      </c>
      <c r="N101" s="35">
        <f>IF($L101="","",INT(($L101-INT($L101/1000000)*1000000)/1000))</f>
        <v/>
      </c>
      <c r="O101" s="35">
        <f>IF($L101="","",$L101-INT($L101/1000)*1000)</f>
        <v/>
      </c>
      <c r="P101" s="35">
        <f>IF($L101="","",INT(($L101-INT($L101/1000000000)*1000000000)/100000000))</f>
        <v/>
      </c>
    </row>
    <row r="102">
      <c r="B102" s="39">
        <f>IF($L102="","",$M102)</f>
        <v/>
      </c>
      <c r="C102" s="18">
        <f>IF($L102="","",INDEX(HSI!$C$7:$C$106,$N102))</f>
        <v/>
      </c>
      <c r="D102" s="18">
        <f>IF($L102="","",INDEX(HSI!$D$7:$D$106,$N102))</f>
        <v/>
      </c>
      <c r="E102" s="40">
        <f>IF($L102="","",IF($P102=0,"TBA",IFERROR(INDEX(Grids!$C$12:$BO$111,$N102,$O102),"-")))</f>
        <v/>
      </c>
      <c r="F102" s="18">
        <f>IF($L102="","",INDEX(HSI!$F$7:$F$106,$N102))</f>
        <v/>
      </c>
      <c r="G102" s="40">
        <f>IF($L102="","",IF($P102=0,"TBA",IFERROR(INDEX(Grids!$BQ$12:$EC$111,$N102,$O102),"-")))</f>
        <v/>
      </c>
      <c r="H102" s="41">
        <f>IF($L102="","",SUM($G$10:$G102))</f>
        <v/>
      </c>
      <c r="I102" s="42">
        <f>IF($L102="","",IF(INT(($L102-INT($L102/10000000)*10000000)/1000000)=0,"Bloomberg projection",IF($P102=1,"ANNOUNCED","ANNOUNCED - amount TBA")))</f>
        <v/>
      </c>
      <c r="J102" s="43">
        <f>IF($L102="","",IF((OV_SWITCH="ON")*(COUNTIFS(OVR_TICKERS,INDEX(HSI!$C$7:$C$106,$N102),OVR_BASE,"&gt;=0")&gt;0)&gt;0,"stock overridden",""))</f>
        <v/>
      </c>
      <c r="L102" s="35">
        <f>IFERROR(IF(SMALL(Grids!$EE$12:$GQ$111,$M$7+93)&gt;=PEND_TO,"",SMALL(Grids!$EE$12:$GQ$111,$M$7+93)),"")</f>
        <v/>
      </c>
      <c r="M102" s="35">
        <f>IF($L102="","",INT($L102/1000000000))</f>
        <v/>
      </c>
      <c r="N102" s="35">
        <f>IF($L102="","",INT(($L102-INT($L102/1000000)*1000000)/1000))</f>
        <v/>
      </c>
      <c r="O102" s="35">
        <f>IF($L102="","",$L102-INT($L102/1000)*1000)</f>
        <v/>
      </c>
      <c r="P102" s="35">
        <f>IF($L102="","",INT(($L102-INT($L102/1000000000)*1000000000)/100000000))</f>
        <v/>
      </c>
    </row>
    <row r="103">
      <c r="B103" s="39">
        <f>IF($L103="","",$M103)</f>
        <v/>
      </c>
      <c r="C103" s="18">
        <f>IF($L103="","",INDEX(HSI!$C$7:$C$106,$N103))</f>
        <v/>
      </c>
      <c r="D103" s="18">
        <f>IF($L103="","",INDEX(HSI!$D$7:$D$106,$N103))</f>
        <v/>
      </c>
      <c r="E103" s="40">
        <f>IF($L103="","",IF($P103=0,"TBA",IFERROR(INDEX(Grids!$C$12:$BO$111,$N103,$O103),"-")))</f>
        <v/>
      </c>
      <c r="F103" s="18">
        <f>IF($L103="","",INDEX(HSI!$F$7:$F$106,$N103))</f>
        <v/>
      </c>
      <c r="G103" s="40">
        <f>IF($L103="","",IF($P103=0,"TBA",IFERROR(INDEX(Grids!$BQ$12:$EC$111,$N103,$O103),"-")))</f>
        <v/>
      </c>
      <c r="H103" s="41">
        <f>IF($L103="","",SUM($G$10:$G103))</f>
        <v/>
      </c>
      <c r="I103" s="42">
        <f>IF($L103="","",IF(INT(($L103-INT($L103/10000000)*10000000)/1000000)=0,"Bloomberg projection",IF($P103=1,"ANNOUNCED","ANNOUNCED - amount TBA")))</f>
        <v/>
      </c>
      <c r="J103" s="43">
        <f>IF($L103="","",IF((OV_SWITCH="ON")*(COUNTIFS(OVR_TICKERS,INDEX(HSI!$C$7:$C$106,$N103),OVR_BASE,"&gt;=0")&gt;0)&gt;0,"stock overridden",""))</f>
        <v/>
      </c>
      <c r="L103" s="35">
        <f>IFERROR(IF(SMALL(Grids!$EE$12:$GQ$111,$M$7+94)&gt;=PEND_TO,"",SMALL(Grids!$EE$12:$GQ$111,$M$7+94)),"")</f>
        <v/>
      </c>
      <c r="M103" s="35">
        <f>IF($L103="","",INT($L103/1000000000))</f>
        <v/>
      </c>
      <c r="N103" s="35">
        <f>IF($L103="","",INT(($L103-INT($L103/1000000)*1000000)/1000))</f>
        <v/>
      </c>
      <c r="O103" s="35">
        <f>IF($L103="","",$L103-INT($L103/1000)*1000)</f>
        <v/>
      </c>
      <c r="P103" s="35">
        <f>IF($L103="","",INT(($L103-INT($L103/1000000000)*1000000000)/100000000))</f>
        <v/>
      </c>
    </row>
    <row r="104">
      <c r="B104" s="39">
        <f>IF($L104="","",$M104)</f>
        <v/>
      </c>
      <c r="C104" s="18">
        <f>IF($L104="","",INDEX(HSI!$C$7:$C$106,$N104))</f>
        <v/>
      </c>
      <c r="D104" s="18">
        <f>IF($L104="","",INDEX(HSI!$D$7:$D$106,$N104))</f>
        <v/>
      </c>
      <c r="E104" s="40">
        <f>IF($L104="","",IF($P104=0,"TBA",IFERROR(INDEX(Grids!$C$12:$BO$111,$N104,$O104),"-")))</f>
        <v/>
      </c>
      <c r="F104" s="18">
        <f>IF($L104="","",INDEX(HSI!$F$7:$F$106,$N104))</f>
        <v/>
      </c>
      <c r="G104" s="40">
        <f>IF($L104="","",IF($P104=0,"TBA",IFERROR(INDEX(Grids!$BQ$12:$EC$111,$N104,$O104),"-")))</f>
        <v/>
      </c>
      <c r="H104" s="41">
        <f>IF($L104="","",SUM($G$10:$G104))</f>
        <v/>
      </c>
      <c r="I104" s="42">
        <f>IF($L104="","",IF(INT(($L104-INT($L104/10000000)*10000000)/1000000)=0,"Bloomberg projection",IF($P104=1,"ANNOUNCED","ANNOUNCED - amount TBA")))</f>
        <v/>
      </c>
      <c r="J104" s="43">
        <f>IF($L104="","",IF((OV_SWITCH="ON")*(COUNTIFS(OVR_TICKERS,INDEX(HSI!$C$7:$C$106,$N104),OVR_BASE,"&gt;=0")&gt;0)&gt;0,"stock overridden",""))</f>
        <v/>
      </c>
      <c r="L104" s="35">
        <f>IFERROR(IF(SMALL(Grids!$EE$12:$GQ$111,$M$7+95)&gt;=PEND_TO,"",SMALL(Grids!$EE$12:$GQ$111,$M$7+95)),"")</f>
        <v/>
      </c>
      <c r="M104" s="35">
        <f>IF($L104="","",INT($L104/1000000000))</f>
        <v/>
      </c>
      <c r="N104" s="35">
        <f>IF($L104="","",INT(($L104-INT($L104/1000000)*1000000)/1000))</f>
        <v/>
      </c>
      <c r="O104" s="35">
        <f>IF($L104="","",$L104-INT($L104/1000)*1000)</f>
        <v/>
      </c>
      <c r="P104" s="35">
        <f>IF($L104="","",INT(($L104-INT($L104/1000000000)*1000000000)/100000000))</f>
        <v/>
      </c>
    </row>
    <row r="105">
      <c r="B105" s="39">
        <f>IF($L105="","",$M105)</f>
        <v/>
      </c>
      <c r="C105" s="18">
        <f>IF($L105="","",INDEX(HSI!$C$7:$C$106,$N105))</f>
        <v/>
      </c>
      <c r="D105" s="18">
        <f>IF($L105="","",INDEX(HSI!$D$7:$D$106,$N105))</f>
        <v/>
      </c>
      <c r="E105" s="40">
        <f>IF($L105="","",IF($P105=0,"TBA",IFERROR(INDEX(Grids!$C$12:$BO$111,$N105,$O105),"-")))</f>
        <v/>
      </c>
      <c r="F105" s="18">
        <f>IF($L105="","",INDEX(HSI!$F$7:$F$106,$N105))</f>
        <v/>
      </c>
      <c r="G105" s="40">
        <f>IF($L105="","",IF($P105=0,"TBA",IFERROR(INDEX(Grids!$BQ$12:$EC$111,$N105,$O105),"-")))</f>
        <v/>
      </c>
      <c r="H105" s="41">
        <f>IF($L105="","",SUM($G$10:$G105))</f>
        <v/>
      </c>
      <c r="I105" s="42">
        <f>IF($L105="","",IF(INT(($L105-INT($L105/10000000)*10000000)/1000000)=0,"Bloomberg projection",IF($P105=1,"ANNOUNCED","ANNOUNCED - amount TBA")))</f>
        <v/>
      </c>
      <c r="J105" s="43">
        <f>IF($L105="","",IF((OV_SWITCH="ON")*(COUNTIFS(OVR_TICKERS,INDEX(HSI!$C$7:$C$106,$N105),OVR_BASE,"&gt;=0")&gt;0)&gt;0,"stock overridden",""))</f>
        <v/>
      </c>
      <c r="L105" s="35">
        <f>IFERROR(IF(SMALL(Grids!$EE$12:$GQ$111,$M$7+96)&gt;=PEND_TO,"",SMALL(Grids!$EE$12:$GQ$111,$M$7+96)),"")</f>
        <v/>
      </c>
      <c r="M105" s="35">
        <f>IF($L105="","",INT($L105/1000000000))</f>
        <v/>
      </c>
      <c r="N105" s="35">
        <f>IF($L105="","",INT(($L105-INT($L105/1000000)*1000000)/1000))</f>
        <v/>
      </c>
      <c r="O105" s="35">
        <f>IF($L105="","",$L105-INT($L105/1000)*1000)</f>
        <v/>
      </c>
      <c r="P105" s="35">
        <f>IF($L105="","",INT(($L105-INT($L105/1000000000)*1000000000)/100000000))</f>
        <v/>
      </c>
    </row>
    <row r="106">
      <c r="B106" s="39">
        <f>IF($L106="","",$M106)</f>
        <v/>
      </c>
      <c r="C106" s="18">
        <f>IF($L106="","",INDEX(HSI!$C$7:$C$106,$N106))</f>
        <v/>
      </c>
      <c r="D106" s="18">
        <f>IF($L106="","",INDEX(HSI!$D$7:$D$106,$N106))</f>
        <v/>
      </c>
      <c r="E106" s="40">
        <f>IF($L106="","",IF($P106=0,"TBA",IFERROR(INDEX(Grids!$C$12:$BO$111,$N106,$O106),"-")))</f>
        <v/>
      </c>
      <c r="F106" s="18">
        <f>IF($L106="","",INDEX(HSI!$F$7:$F$106,$N106))</f>
        <v/>
      </c>
      <c r="G106" s="40">
        <f>IF($L106="","",IF($P106=0,"TBA",IFERROR(INDEX(Grids!$BQ$12:$EC$111,$N106,$O106),"-")))</f>
        <v/>
      </c>
      <c r="H106" s="41">
        <f>IF($L106="","",SUM($G$10:$G106))</f>
        <v/>
      </c>
      <c r="I106" s="42">
        <f>IF($L106="","",IF(INT(($L106-INT($L106/10000000)*10000000)/1000000)=0,"Bloomberg projection",IF($P106=1,"ANNOUNCED","ANNOUNCED - amount TBA")))</f>
        <v/>
      </c>
      <c r="J106" s="43">
        <f>IF($L106="","",IF((OV_SWITCH="ON")*(COUNTIFS(OVR_TICKERS,INDEX(HSI!$C$7:$C$106,$N106),OVR_BASE,"&gt;=0")&gt;0)&gt;0,"stock overridden",""))</f>
        <v/>
      </c>
      <c r="L106" s="35">
        <f>IFERROR(IF(SMALL(Grids!$EE$12:$GQ$111,$M$7+97)&gt;=PEND_TO,"",SMALL(Grids!$EE$12:$GQ$111,$M$7+97)),"")</f>
        <v/>
      </c>
      <c r="M106" s="35">
        <f>IF($L106="","",INT($L106/1000000000))</f>
        <v/>
      </c>
      <c r="N106" s="35">
        <f>IF($L106="","",INT(($L106-INT($L106/1000000)*1000000)/1000))</f>
        <v/>
      </c>
      <c r="O106" s="35">
        <f>IF($L106="","",$L106-INT($L106/1000)*1000)</f>
        <v/>
      </c>
      <c r="P106" s="35">
        <f>IF($L106="","",INT(($L106-INT($L106/1000000000)*1000000000)/100000000))</f>
        <v/>
      </c>
    </row>
    <row r="107">
      <c r="B107" s="39">
        <f>IF($L107="","",$M107)</f>
        <v/>
      </c>
      <c r="C107" s="18">
        <f>IF($L107="","",INDEX(HSI!$C$7:$C$106,$N107))</f>
        <v/>
      </c>
      <c r="D107" s="18">
        <f>IF($L107="","",INDEX(HSI!$D$7:$D$106,$N107))</f>
        <v/>
      </c>
      <c r="E107" s="40">
        <f>IF($L107="","",IF($P107=0,"TBA",IFERROR(INDEX(Grids!$C$12:$BO$111,$N107,$O107),"-")))</f>
        <v/>
      </c>
      <c r="F107" s="18">
        <f>IF($L107="","",INDEX(HSI!$F$7:$F$106,$N107))</f>
        <v/>
      </c>
      <c r="G107" s="40">
        <f>IF($L107="","",IF($P107=0,"TBA",IFERROR(INDEX(Grids!$BQ$12:$EC$111,$N107,$O107),"-")))</f>
        <v/>
      </c>
      <c r="H107" s="41">
        <f>IF($L107="","",SUM($G$10:$G107))</f>
        <v/>
      </c>
      <c r="I107" s="42">
        <f>IF($L107="","",IF(INT(($L107-INT($L107/10000000)*10000000)/1000000)=0,"Bloomberg projection",IF($P107=1,"ANNOUNCED","ANNOUNCED - amount TBA")))</f>
        <v/>
      </c>
      <c r="J107" s="43">
        <f>IF($L107="","",IF((OV_SWITCH="ON")*(COUNTIFS(OVR_TICKERS,INDEX(HSI!$C$7:$C$106,$N107),OVR_BASE,"&gt;=0")&gt;0)&gt;0,"stock overridden",""))</f>
        <v/>
      </c>
      <c r="L107" s="35">
        <f>IFERROR(IF(SMALL(Grids!$EE$12:$GQ$111,$M$7+98)&gt;=PEND_TO,"",SMALL(Grids!$EE$12:$GQ$111,$M$7+98)),"")</f>
        <v/>
      </c>
      <c r="M107" s="35">
        <f>IF($L107="","",INT($L107/1000000000))</f>
        <v/>
      </c>
      <c r="N107" s="35">
        <f>IF($L107="","",INT(($L107-INT($L107/1000000)*1000000)/1000))</f>
        <v/>
      </c>
      <c r="O107" s="35">
        <f>IF($L107="","",$L107-INT($L107/1000)*1000)</f>
        <v/>
      </c>
      <c r="P107" s="35">
        <f>IF($L107="","",INT(($L107-INT($L107/1000000000)*1000000000)/100000000))</f>
        <v/>
      </c>
    </row>
    <row r="108">
      <c r="B108" s="39">
        <f>IF($L108="","",$M108)</f>
        <v/>
      </c>
      <c r="C108" s="18">
        <f>IF($L108="","",INDEX(HSI!$C$7:$C$106,$N108))</f>
        <v/>
      </c>
      <c r="D108" s="18">
        <f>IF($L108="","",INDEX(HSI!$D$7:$D$106,$N108))</f>
        <v/>
      </c>
      <c r="E108" s="40">
        <f>IF($L108="","",IF($P108=0,"TBA",IFERROR(INDEX(Grids!$C$12:$BO$111,$N108,$O108),"-")))</f>
        <v/>
      </c>
      <c r="F108" s="18">
        <f>IF($L108="","",INDEX(HSI!$F$7:$F$106,$N108))</f>
        <v/>
      </c>
      <c r="G108" s="40">
        <f>IF($L108="","",IF($P108=0,"TBA",IFERROR(INDEX(Grids!$BQ$12:$EC$111,$N108,$O108),"-")))</f>
        <v/>
      </c>
      <c r="H108" s="41">
        <f>IF($L108="","",SUM($G$10:$G108))</f>
        <v/>
      </c>
      <c r="I108" s="42">
        <f>IF($L108="","",IF(INT(($L108-INT($L108/10000000)*10000000)/1000000)=0,"Bloomberg projection",IF($P108=1,"ANNOUNCED","ANNOUNCED - amount TBA")))</f>
        <v/>
      </c>
      <c r="J108" s="43">
        <f>IF($L108="","",IF((OV_SWITCH="ON")*(COUNTIFS(OVR_TICKERS,INDEX(HSI!$C$7:$C$106,$N108),OVR_BASE,"&gt;=0")&gt;0)&gt;0,"stock overridden",""))</f>
        <v/>
      </c>
      <c r="L108" s="35">
        <f>IFERROR(IF(SMALL(Grids!$EE$12:$GQ$111,$M$7+99)&gt;=PEND_TO,"",SMALL(Grids!$EE$12:$GQ$111,$M$7+99)),"")</f>
        <v/>
      </c>
      <c r="M108" s="35">
        <f>IF($L108="","",INT($L108/1000000000))</f>
        <v/>
      </c>
      <c r="N108" s="35">
        <f>IF($L108="","",INT(($L108-INT($L108/1000000)*1000000)/1000))</f>
        <v/>
      </c>
      <c r="O108" s="35">
        <f>IF($L108="","",$L108-INT($L108/1000)*1000)</f>
        <v/>
      </c>
      <c r="P108" s="35">
        <f>IF($L108="","",INT(($L108-INT($L108/1000000000)*1000000000)/100000000))</f>
        <v/>
      </c>
    </row>
    <row r="109">
      <c r="B109" s="39">
        <f>IF($L109="","",$M109)</f>
        <v/>
      </c>
      <c r="C109" s="18">
        <f>IF($L109="","",INDEX(HSI!$C$7:$C$106,$N109))</f>
        <v/>
      </c>
      <c r="D109" s="18">
        <f>IF($L109="","",INDEX(HSI!$D$7:$D$106,$N109))</f>
        <v/>
      </c>
      <c r="E109" s="40">
        <f>IF($L109="","",IF($P109=0,"TBA",IFERROR(INDEX(Grids!$C$12:$BO$111,$N109,$O109),"-")))</f>
        <v/>
      </c>
      <c r="F109" s="18">
        <f>IF($L109="","",INDEX(HSI!$F$7:$F$106,$N109))</f>
        <v/>
      </c>
      <c r="G109" s="40">
        <f>IF($L109="","",IF($P109=0,"TBA",IFERROR(INDEX(Grids!$BQ$12:$EC$111,$N109,$O109),"-")))</f>
        <v/>
      </c>
      <c r="H109" s="41">
        <f>IF($L109="","",SUM($G$10:$G109))</f>
        <v/>
      </c>
      <c r="I109" s="42">
        <f>IF($L109="","",IF(INT(($L109-INT($L109/10000000)*10000000)/1000000)=0,"Bloomberg projection",IF($P109=1,"ANNOUNCED","ANNOUNCED - amount TBA")))</f>
        <v/>
      </c>
      <c r="J109" s="43">
        <f>IF($L109="","",IF((OV_SWITCH="ON")*(COUNTIFS(OVR_TICKERS,INDEX(HSI!$C$7:$C$106,$N109),OVR_BASE,"&gt;=0")&gt;0)&gt;0,"stock overridden",""))</f>
        <v/>
      </c>
      <c r="L109" s="35">
        <f>IFERROR(IF(SMALL(Grids!$EE$12:$GQ$111,$M$7+100)&gt;=PEND_TO,"",SMALL(Grids!$EE$12:$GQ$111,$M$7+100)),"")</f>
        <v/>
      </c>
      <c r="M109" s="35">
        <f>IF($L109="","",INT($L109/1000000000))</f>
        <v/>
      </c>
      <c r="N109" s="35">
        <f>IF($L109="","",INT(($L109-INT($L109/1000000)*1000000)/1000))</f>
        <v/>
      </c>
      <c r="O109" s="35">
        <f>IF($L109="","",$L109-INT($L109/1000)*1000)</f>
        <v/>
      </c>
      <c r="P109" s="35">
        <f>IF($L109="","",INT(($L109-INT($L109/1000000000)*1000000000)/100000000))</f>
        <v/>
      </c>
    </row>
    <row r="110">
      <c r="B110" s="39">
        <f>IF($L110="","",$M110)</f>
        <v/>
      </c>
      <c r="C110" s="18">
        <f>IF($L110="","",INDEX(HSI!$C$7:$C$106,$N110))</f>
        <v/>
      </c>
      <c r="D110" s="18">
        <f>IF($L110="","",INDEX(HSI!$D$7:$D$106,$N110))</f>
        <v/>
      </c>
      <c r="E110" s="40">
        <f>IF($L110="","",IF($P110=0,"TBA",IFERROR(INDEX(Grids!$C$12:$BO$111,$N110,$O110),"-")))</f>
        <v/>
      </c>
      <c r="F110" s="18">
        <f>IF($L110="","",INDEX(HSI!$F$7:$F$106,$N110))</f>
        <v/>
      </c>
      <c r="G110" s="40">
        <f>IF($L110="","",IF($P110=0,"TBA",IFERROR(INDEX(Grids!$BQ$12:$EC$111,$N110,$O110),"-")))</f>
        <v/>
      </c>
      <c r="H110" s="41">
        <f>IF($L110="","",SUM($G$10:$G110))</f>
        <v/>
      </c>
      <c r="I110" s="42">
        <f>IF($L110="","",IF(INT(($L110-INT($L110/10000000)*10000000)/1000000)=0,"Bloomberg projection",IF($P110=1,"ANNOUNCED","ANNOUNCED - amount TBA")))</f>
        <v/>
      </c>
      <c r="J110" s="43">
        <f>IF($L110="","",IF((OV_SWITCH="ON")*(COUNTIFS(OVR_TICKERS,INDEX(HSI!$C$7:$C$106,$N110),OVR_BASE,"&gt;=0")&gt;0)&gt;0,"stock overridden",""))</f>
        <v/>
      </c>
      <c r="L110" s="35">
        <f>IFERROR(IF(SMALL(Grids!$EE$12:$GQ$111,$M$7+101)&gt;=PEND_TO,"",SMALL(Grids!$EE$12:$GQ$111,$M$7+101)),"")</f>
        <v/>
      </c>
      <c r="M110" s="35">
        <f>IF($L110="","",INT($L110/1000000000))</f>
        <v/>
      </c>
      <c r="N110" s="35">
        <f>IF($L110="","",INT(($L110-INT($L110/1000000)*1000000)/1000))</f>
        <v/>
      </c>
      <c r="O110" s="35">
        <f>IF($L110="","",$L110-INT($L110/1000)*1000)</f>
        <v/>
      </c>
      <c r="P110" s="35">
        <f>IF($L110="","",INT(($L110-INT($L110/1000000000)*1000000000)/100000000))</f>
        <v/>
      </c>
    </row>
    <row r="111">
      <c r="B111" s="39">
        <f>IF($L111="","",$M111)</f>
        <v/>
      </c>
      <c r="C111" s="18">
        <f>IF($L111="","",INDEX(HSI!$C$7:$C$106,$N111))</f>
        <v/>
      </c>
      <c r="D111" s="18">
        <f>IF($L111="","",INDEX(HSI!$D$7:$D$106,$N111))</f>
        <v/>
      </c>
      <c r="E111" s="40">
        <f>IF($L111="","",IF($P111=0,"TBA",IFERROR(INDEX(Grids!$C$12:$BO$111,$N111,$O111),"-")))</f>
        <v/>
      </c>
      <c r="F111" s="18">
        <f>IF($L111="","",INDEX(HSI!$F$7:$F$106,$N111))</f>
        <v/>
      </c>
      <c r="G111" s="40">
        <f>IF($L111="","",IF($P111=0,"TBA",IFERROR(INDEX(Grids!$BQ$12:$EC$111,$N111,$O111),"-")))</f>
        <v/>
      </c>
      <c r="H111" s="41">
        <f>IF($L111="","",SUM($G$10:$G111))</f>
        <v/>
      </c>
      <c r="I111" s="42">
        <f>IF($L111="","",IF(INT(($L111-INT($L111/10000000)*10000000)/1000000)=0,"Bloomberg projection",IF($P111=1,"ANNOUNCED","ANNOUNCED - amount TBA")))</f>
        <v/>
      </c>
      <c r="J111" s="43">
        <f>IF($L111="","",IF((OV_SWITCH="ON")*(COUNTIFS(OVR_TICKERS,INDEX(HSI!$C$7:$C$106,$N111),OVR_BASE,"&gt;=0")&gt;0)&gt;0,"stock overridden",""))</f>
        <v/>
      </c>
      <c r="L111" s="35">
        <f>IFERROR(IF(SMALL(Grids!$EE$12:$GQ$111,$M$7+102)&gt;=PEND_TO,"",SMALL(Grids!$EE$12:$GQ$111,$M$7+102)),"")</f>
        <v/>
      </c>
      <c r="M111" s="35">
        <f>IF($L111="","",INT($L111/1000000000))</f>
        <v/>
      </c>
      <c r="N111" s="35">
        <f>IF($L111="","",INT(($L111-INT($L111/1000000)*1000000)/1000))</f>
        <v/>
      </c>
      <c r="O111" s="35">
        <f>IF($L111="","",$L111-INT($L111/1000)*1000)</f>
        <v/>
      </c>
      <c r="P111" s="35">
        <f>IF($L111="","",INT(($L111-INT($L111/1000000000)*1000000000)/100000000))</f>
        <v/>
      </c>
    </row>
    <row r="112">
      <c r="B112" s="39">
        <f>IF($L112="","",$M112)</f>
        <v/>
      </c>
      <c r="C112" s="18">
        <f>IF($L112="","",INDEX(HSI!$C$7:$C$106,$N112))</f>
        <v/>
      </c>
      <c r="D112" s="18">
        <f>IF($L112="","",INDEX(HSI!$D$7:$D$106,$N112))</f>
        <v/>
      </c>
      <c r="E112" s="40">
        <f>IF($L112="","",IF($P112=0,"TBA",IFERROR(INDEX(Grids!$C$12:$BO$111,$N112,$O112),"-")))</f>
        <v/>
      </c>
      <c r="F112" s="18">
        <f>IF($L112="","",INDEX(HSI!$F$7:$F$106,$N112))</f>
        <v/>
      </c>
      <c r="G112" s="40">
        <f>IF($L112="","",IF($P112=0,"TBA",IFERROR(INDEX(Grids!$BQ$12:$EC$111,$N112,$O112),"-")))</f>
        <v/>
      </c>
      <c r="H112" s="41">
        <f>IF($L112="","",SUM($G$10:$G112))</f>
        <v/>
      </c>
      <c r="I112" s="42">
        <f>IF($L112="","",IF(INT(($L112-INT($L112/10000000)*10000000)/1000000)=0,"Bloomberg projection",IF($P112=1,"ANNOUNCED","ANNOUNCED - amount TBA")))</f>
        <v/>
      </c>
      <c r="J112" s="43">
        <f>IF($L112="","",IF((OV_SWITCH="ON")*(COUNTIFS(OVR_TICKERS,INDEX(HSI!$C$7:$C$106,$N112),OVR_BASE,"&gt;=0")&gt;0)&gt;0,"stock overridden",""))</f>
        <v/>
      </c>
      <c r="L112" s="35">
        <f>IFERROR(IF(SMALL(Grids!$EE$12:$GQ$111,$M$7+103)&gt;=PEND_TO,"",SMALL(Grids!$EE$12:$GQ$111,$M$7+103)),"")</f>
        <v/>
      </c>
      <c r="M112" s="35">
        <f>IF($L112="","",INT($L112/1000000000))</f>
        <v/>
      </c>
      <c r="N112" s="35">
        <f>IF($L112="","",INT(($L112-INT($L112/1000000)*1000000)/1000))</f>
        <v/>
      </c>
      <c r="O112" s="35">
        <f>IF($L112="","",$L112-INT($L112/1000)*1000)</f>
        <v/>
      </c>
      <c r="P112" s="35">
        <f>IF($L112="","",INT(($L112-INT($L112/1000000000)*1000000000)/100000000))</f>
        <v/>
      </c>
    </row>
    <row r="113">
      <c r="B113" s="39">
        <f>IF($L113="","",$M113)</f>
        <v/>
      </c>
      <c r="C113" s="18">
        <f>IF($L113="","",INDEX(HSI!$C$7:$C$106,$N113))</f>
        <v/>
      </c>
      <c r="D113" s="18">
        <f>IF($L113="","",INDEX(HSI!$D$7:$D$106,$N113))</f>
        <v/>
      </c>
      <c r="E113" s="40">
        <f>IF($L113="","",IF($P113=0,"TBA",IFERROR(INDEX(Grids!$C$12:$BO$111,$N113,$O113),"-")))</f>
        <v/>
      </c>
      <c r="F113" s="18">
        <f>IF($L113="","",INDEX(HSI!$F$7:$F$106,$N113))</f>
        <v/>
      </c>
      <c r="G113" s="40">
        <f>IF($L113="","",IF($P113=0,"TBA",IFERROR(INDEX(Grids!$BQ$12:$EC$111,$N113,$O113),"-")))</f>
        <v/>
      </c>
      <c r="H113" s="41">
        <f>IF($L113="","",SUM($G$10:$G113))</f>
        <v/>
      </c>
      <c r="I113" s="42">
        <f>IF($L113="","",IF(INT(($L113-INT($L113/10000000)*10000000)/1000000)=0,"Bloomberg projection",IF($P113=1,"ANNOUNCED","ANNOUNCED - amount TBA")))</f>
        <v/>
      </c>
      <c r="J113" s="43">
        <f>IF($L113="","",IF((OV_SWITCH="ON")*(COUNTIFS(OVR_TICKERS,INDEX(HSI!$C$7:$C$106,$N113),OVR_BASE,"&gt;=0")&gt;0)&gt;0,"stock overridden",""))</f>
        <v/>
      </c>
      <c r="L113" s="35">
        <f>IFERROR(IF(SMALL(Grids!$EE$12:$GQ$111,$M$7+104)&gt;=PEND_TO,"",SMALL(Grids!$EE$12:$GQ$111,$M$7+104)),"")</f>
        <v/>
      </c>
      <c r="M113" s="35">
        <f>IF($L113="","",INT($L113/1000000000))</f>
        <v/>
      </c>
      <c r="N113" s="35">
        <f>IF($L113="","",INT(($L113-INT($L113/1000000)*1000000)/1000))</f>
        <v/>
      </c>
      <c r="O113" s="35">
        <f>IF($L113="","",$L113-INT($L113/1000)*1000)</f>
        <v/>
      </c>
      <c r="P113" s="35">
        <f>IF($L113="","",INT(($L113-INT($L113/1000000000)*1000000000)/100000000))</f>
        <v/>
      </c>
    </row>
    <row r="114">
      <c r="B114" s="39">
        <f>IF($L114="","",$M114)</f>
        <v/>
      </c>
      <c r="C114" s="18">
        <f>IF($L114="","",INDEX(HSI!$C$7:$C$106,$N114))</f>
        <v/>
      </c>
      <c r="D114" s="18">
        <f>IF($L114="","",INDEX(HSI!$D$7:$D$106,$N114))</f>
        <v/>
      </c>
      <c r="E114" s="40">
        <f>IF($L114="","",IF($P114=0,"TBA",IFERROR(INDEX(Grids!$C$12:$BO$111,$N114,$O114),"-")))</f>
        <v/>
      </c>
      <c r="F114" s="18">
        <f>IF($L114="","",INDEX(HSI!$F$7:$F$106,$N114))</f>
        <v/>
      </c>
      <c r="G114" s="40">
        <f>IF($L114="","",IF($P114=0,"TBA",IFERROR(INDEX(Grids!$BQ$12:$EC$111,$N114,$O114),"-")))</f>
        <v/>
      </c>
      <c r="H114" s="41">
        <f>IF($L114="","",SUM($G$10:$G114))</f>
        <v/>
      </c>
      <c r="I114" s="42">
        <f>IF($L114="","",IF(INT(($L114-INT($L114/10000000)*10000000)/1000000)=0,"Bloomberg projection",IF($P114=1,"ANNOUNCED","ANNOUNCED - amount TBA")))</f>
        <v/>
      </c>
      <c r="J114" s="43">
        <f>IF($L114="","",IF((OV_SWITCH="ON")*(COUNTIFS(OVR_TICKERS,INDEX(HSI!$C$7:$C$106,$N114),OVR_BASE,"&gt;=0")&gt;0)&gt;0,"stock overridden",""))</f>
        <v/>
      </c>
      <c r="L114" s="35">
        <f>IFERROR(IF(SMALL(Grids!$EE$12:$GQ$111,$M$7+105)&gt;=PEND_TO,"",SMALL(Grids!$EE$12:$GQ$111,$M$7+105)),"")</f>
        <v/>
      </c>
      <c r="M114" s="35">
        <f>IF($L114="","",INT($L114/1000000000))</f>
        <v/>
      </c>
      <c r="N114" s="35">
        <f>IF($L114="","",INT(($L114-INT($L114/1000000)*1000000)/1000))</f>
        <v/>
      </c>
      <c r="O114" s="35">
        <f>IF($L114="","",$L114-INT($L114/1000)*1000)</f>
        <v/>
      </c>
      <c r="P114" s="35">
        <f>IF($L114="","",INT(($L114-INT($L114/1000000000)*1000000000)/100000000))</f>
        <v/>
      </c>
    </row>
    <row r="115">
      <c r="B115" s="39">
        <f>IF($L115="","",$M115)</f>
        <v/>
      </c>
      <c r="C115" s="18">
        <f>IF($L115="","",INDEX(HSI!$C$7:$C$106,$N115))</f>
        <v/>
      </c>
      <c r="D115" s="18">
        <f>IF($L115="","",INDEX(HSI!$D$7:$D$106,$N115))</f>
        <v/>
      </c>
      <c r="E115" s="40">
        <f>IF($L115="","",IF($P115=0,"TBA",IFERROR(INDEX(Grids!$C$12:$BO$111,$N115,$O115),"-")))</f>
        <v/>
      </c>
      <c r="F115" s="18">
        <f>IF($L115="","",INDEX(HSI!$F$7:$F$106,$N115))</f>
        <v/>
      </c>
      <c r="G115" s="40">
        <f>IF($L115="","",IF($P115=0,"TBA",IFERROR(INDEX(Grids!$BQ$12:$EC$111,$N115,$O115),"-")))</f>
        <v/>
      </c>
      <c r="H115" s="41">
        <f>IF($L115="","",SUM($G$10:$G115))</f>
        <v/>
      </c>
      <c r="I115" s="42">
        <f>IF($L115="","",IF(INT(($L115-INT($L115/10000000)*10000000)/1000000)=0,"Bloomberg projection",IF($P115=1,"ANNOUNCED","ANNOUNCED - amount TBA")))</f>
        <v/>
      </c>
      <c r="J115" s="43">
        <f>IF($L115="","",IF((OV_SWITCH="ON")*(COUNTIFS(OVR_TICKERS,INDEX(HSI!$C$7:$C$106,$N115),OVR_BASE,"&gt;=0")&gt;0)&gt;0,"stock overridden",""))</f>
        <v/>
      </c>
      <c r="L115" s="35">
        <f>IFERROR(IF(SMALL(Grids!$EE$12:$GQ$111,$M$7+106)&gt;=PEND_TO,"",SMALL(Grids!$EE$12:$GQ$111,$M$7+106)),"")</f>
        <v/>
      </c>
      <c r="M115" s="35">
        <f>IF($L115="","",INT($L115/1000000000))</f>
        <v/>
      </c>
      <c r="N115" s="35">
        <f>IF($L115="","",INT(($L115-INT($L115/1000000)*1000000)/1000))</f>
        <v/>
      </c>
      <c r="O115" s="35">
        <f>IF($L115="","",$L115-INT($L115/1000)*1000)</f>
        <v/>
      </c>
      <c r="P115" s="35">
        <f>IF($L115="","",INT(($L115-INT($L115/1000000000)*1000000000)/100000000))</f>
        <v/>
      </c>
    </row>
    <row r="116">
      <c r="B116" s="39">
        <f>IF($L116="","",$M116)</f>
        <v/>
      </c>
      <c r="C116" s="18">
        <f>IF($L116="","",INDEX(HSI!$C$7:$C$106,$N116))</f>
        <v/>
      </c>
      <c r="D116" s="18">
        <f>IF($L116="","",INDEX(HSI!$D$7:$D$106,$N116))</f>
        <v/>
      </c>
      <c r="E116" s="40">
        <f>IF($L116="","",IF($P116=0,"TBA",IFERROR(INDEX(Grids!$C$12:$BO$111,$N116,$O116),"-")))</f>
        <v/>
      </c>
      <c r="F116" s="18">
        <f>IF($L116="","",INDEX(HSI!$F$7:$F$106,$N116))</f>
        <v/>
      </c>
      <c r="G116" s="40">
        <f>IF($L116="","",IF($P116=0,"TBA",IFERROR(INDEX(Grids!$BQ$12:$EC$111,$N116,$O116),"-")))</f>
        <v/>
      </c>
      <c r="H116" s="41">
        <f>IF($L116="","",SUM($G$10:$G116))</f>
        <v/>
      </c>
      <c r="I116" s="42">
        <f>IF($L116="","",IF(INT(($L116-INT($L116/10000000)*10000000)/1000000)=0,"Bloomberg projection",IF($P116=1,"ANNOUNCED","ANNOUNCED - amount TBA")))</f>
        <v/>
      </c>
      <c r="J116" s="43">
        <f>IF($L116="","",IF((OV_SWITCH="ON")*(COUNTIFS(OVR_TICKERS,INDEX(HSI!$C$7:$C$106,$N116),OVR_BASE,"&gt;=0")&gt;0)&gt;0,"stock overridden",""))</f>
        <v/>
      </c>
      <c r="L116" s="35">
        <f>IFERROR(IF(SMALL(Grids!$EE$12:$GQ$111,$M$7+107)&gt;=PEND_TO,"",SMALL(Grids!$EE$12:$GQ$111,$M$7+107)),"")</f>
        <v/>
      </c>
      <c r="M116" s="35">
        <f>IF($L116="","",INT($L116/1000000000))</f>
        <v/>
      </c>
      <c r="N116" s="35">
        <f>IF($L116="","",INT(($L116-INT($L116/1000000)*1000000)/1000))</f>
        <v/>
      </c>
      <c r="O116" s="35">
        <f>IF($L116="","",$L116-INT($L116/1000)*1000)</f>
        <v/>
      </c>
      <c r="P116" s="35">
        <f>IF($L116="","",INT(($L116-INT($L116/1000000000)*1000000000)/100000000))</f>
        <v/>
      </c>
    </row>
    <row r="117">
      <c r="B117" s="39">
        <f>IF($L117="","",$M117)</f>
        <v/>
      </c>
      <c r="C117" s="18">
        <f>IF($L117="","",INDEX(HSI!$C$7:$C$106,$N117))</f>
        <v/>
      </c>
      <c r="D117" s="18">
        <f>IF($L117="","",INDEX(HSI!$D$7:$D$106,$N117))</f>
        <v/>
      </c>
      <c r="E117" s="40">
        <f>IF($L117="","",IF($P117=0,"TBA",IFERROR(INDEX(Grids!$C$12:$BO$111,$N117,$O117),"-")))</f>
        <v/>
      </c>
      <c r="F117" s="18">
        <f>IF($L117="","",INDEX(HSI!$F$7:$F$106,$N117))</f>
        <v/>
      </c>
      <c r="G117" s="40">
        <f>IF($L117="","",IF($P117=0,"TBA",IFERROR(INDEX(Grids!$BQ$12:$EC$111,$N117,$O117),"-")))</f>
        <v/>
      </c>
      <c r="H117" s="41">
        <f>IF($L117="","",SUM($G$10:$G117))</f>
        <v/>
      </c>
      <c r="I117" s="42">
        <f>IF($L117="","",IF(INT(($L117-INT($L117/10000000)*10000000)/1000000)=0,"Bloomberg projection",IF($P117=1,"ANNOUNCED","ANNOUNCED - amount TBA")))</f>
        <v/>
      </c>
      <c r="J117" s="43">
        <f>IF($L117="","",IF((OV_SWITCH="ON")*(COUNTIFS(OVR_TICKERS,INDEX(HSI!$C$7:$C$106,$N117),OVR_BASE,"&gt;=0")&gt;0)&gt;0,"stock overridden",""))</f>
        <v/>
      </c>
      <c r="L117" s="35">
        <f>IFERROR(IF(SMALL(Grids!$EE$12:$GQ$111,$M$7+108)&gt;=PEND_TO,"",SMALL(Grids!$EE$12:$GQ$111,$M$7+108)),"")</f>
        <v/>
      </c>
      <c r="M117" s="35">
        <f>IF($L117="","",INT($L117/1000000000))</f>
        <v/>
      </c>
      <c r="N117" s="35">
        <f>IF($L117="","",INT(($L117-INT($L117/1000000)*1000000)/1000))</f>
        <v/>
      </c>
      <c r="O117" s="35">
        <f>IF($L117="","",$L117-INT($L117/1000)*1000)</f>
        <v/>
      </c>
      <c r="P117" s="35">
        <f>IF($L117="","",INT(($L117-INT($L117/1000000000)*1000000000)/100000000))</f>
        <v/>
      </c>
    </row>
    <row r="118">
      <c r="B118" s="39">
        <f>IF($L118="","",$M118)</f>
        <v/>
      </c>
      <c r="C118" s="18">
        <f>IF($L118="","",INDEX(HSI!$C$7:$C$106,$N118))</f>
        <v/>
      </c>
      <c r="D118" s="18">
        <f>IF($L118="","",INDEX(HSI!$D$7:$D$106,$N118))</f>
        <v/>
      </c>
      <c r="E118" s="40">
        <f>IF($L118="","",IF($P118=0,"TBA",IFERROR(INDEX(Grids!$C$12:$BO$111,$N118,$O118),"-")))</f>
        <v/>
      </c>
      <c r="F118" s="18">
        <f>IF($L118="","",INDEX(HSI!$F$7:$F$106,$N118))</f>
        <v/>
      </c>
      <c r="G118" s="40">
        <f>IF($L118="","",IF($P118=0,"TBA",IFERROR(INDEX(Grids!$BQ$12:$EC$111,$N118,$O118),"-")))</f>
        <v/>
      </c>
      <c r="H118" s="41">
        <f>IF($L118="","",SUM($G$10:$G118))</f>
        <v/>
      </c>
      <c r="I118" s="42">
        <f>IF($L118="","",IF(INT(($L118-INT($L118/10000000)*10000000)/1000000)=0,"Bloomberg projection",IF($P118=1,"ANNOUNCED","ANNOUNCED - amount TBA")))</f>
        <v/>
      </c>
      <c r="J118" s="43">
        <f>IF($L118="","",IF((OV_SWITCH="ON")*(COUNTIFS(OVR_TICKERS,INDEX(HSI!$C$7:$C$106,$N118),OVR_BASE,"&gt;=0")&gt;0)&gt;0,"stock overridden",""))</f>
        <v/>
      </c>
      <c r="L118" s="35">
        <f>IFERROR(IF(SMALL(Grids!$EE$12:$GQ$111,$M$7+109)&gt;=PEND_TO,"",SMALL(Grids!$EE$12:$GQ$111,$M$7+109)),"")</f>
        <v/>
      </c>
      <c r="M118" s="35">
        <f>IF($L118="","",INT($L118/1000000000))</f>
        <v/>
      </c>
      <c r="N118" s="35">
        <f>IF($L118="","",INT(($L118-INT($L118/1000000)*1000000)/1000))</f>
        <v/>
      </c>
      <c r="O118" s="35">
        <f>IF($L118="","",$L118-INT($L118/1000)*1000)</f>
        <v/>
      </c>
      <c r="P118" s="35">
        <f>IF($L118="","",INT(($L118-INT($L118/1000000000)*1000000000)/100000000))</f>
        <v/>
      </c>
    </row>
    <row r="119">
      <c r="B119" s="39">
        <f>IF($L119="","",$M119)</f>
        <v/>
      </c>
      <c r="C119" s="18">
        <f>IF($L119="","",INDEX(HSI!$C$7:$C$106,$N119))</f>
        <v/>
      </c>
      <c r="D119" s="18">
        <f>IF($L119="","",INDEX(HSI!$D$7:$D$106,$N119))</f>
        <v/>
      </c>
      <c r="E119" s="40">
        <f>IF($L119="","",IF($P119=0,"TBA",IFERROR(INDEX(Grids!$C$12:$BO$111,$N119,$O119),"-")))</f>
        <v/>
      </c>
      <c r="F119" s="18">
        <f>IF($L119="","",INDEX(HSI!$F$7:$F$106,$N119))</f>
        <v/>
      </c>
      <c r="G119" s="40">
        <f>IF($L119="","",IF($P119=0,"TBA",IFERROR(INDEX(Grids!$BQ$12:$EC$111,$N119,$O119),"-")))</f>
        <v/>
      </c>
      <c r="H119" s="41">
        <f>IF($L119="","",SUM($G$10:$G119))</f>
        <v/>
      </c>
      <c r="I119" s="42">
        <f>IF($L119="","",IF(INT(($L119-INT($L119/10000000)*10000000)/1000000)=0,"Bloomberg projection",IF($P119=1,"ANNOUNCED","ANNOUNCED - amount TBA")))</f>
        <v/>
      </c>
      <c r="J119" s="43">
        <f>IF($L119="","",IF((OV_SWITCH="ON")*(COUNTIFS(OVR_TICKERS,INDEX(HSI!$C$7:$C$106,$N119),OVR_BASE,"&gt;=0")&gt;0)&gt;0,"stock overridden",""))</f>
        <v/>
      </c>
      <c r="L119" s="35">
        <f>IFERROR(IF(SMALL(Grids!$EE$12:$GQ$111,$M$7+110)&gt;=PEND_TO,"",SMALL(Grids!$EE$12:$GQ$111,$M$7+110)),"")</f>
        <v/>
      </c>
      <c r="M119" s="35">
        <f>IF($L119="","",INT($L119/1000000000))</f>
        <v/>
      </c>
      <c r="N119" s="35">
        <f>IF($L119="","",INT(($L119-INT($L119/1000000)*1000000)/1000))</f>
        <v/>
      </c>
      <c r="O119" s="35">
        <f>IF($L119="","",$L119-INT($L119/1000)*1000)</f>
        <v/>
      </c>
      <c r="P119" s="35">
        <f>IF($L119="","",INT(($L119-INT($L119/1000000000)*1000000000)/100000000))</f>
        <v/>
      </c>
    </row>
    <row r="120">
      <c r="B120" s="39">
        <f>IF($L120="","",$M120)</f>
        <v/>
      </c>
      <c r="C120" s="18">
        <f>IF($L120="","",INDEX(HSI!$C$7:$C$106,$N120))</f>
        <v/>
      </c>
      <c r="D120" s="18">
        <f>IF($L120="","",INDEX(HSI!$D$7:$D$106,$N120))</f>
        <v/>
      </c>
      <c r="E120" s="40">
        <f>IF($L120="","",IF($P120=0,"TBA",IFERROR(INDEX(Grids!$C$12:$BO$111,$N120,$O120),"-")))</f>
        <v/>
      </c>
      <c r="F120" s="18">
        <f>IF($L120="","",INDEX(HSI!$F$7:$F$106,$N120))</f>
        <v/>
      </c>
      <c r="G120" s="40">
        <f>IF($L120="","",IF($P120=0,"TBA",IFERROR(INDEX(Grids!$BQ$12:$EC$111,$N120,$O120),"-")))</f>
        <v/>
      </c>
      <c r="H120" s="41">
        <f>IF($L120="","",SUM($G$10:$G120))</f>
        <v/>
      </c>
      <c r="I120" s="42">
        <f>IF($L120="","",IF(INT(($L120-INT($L120/10000000)*10000000)/1000000)=0,"Bloomberg projection",IF($P120=1,"ANNOUNCED","ANNOUNCED - amount TBA")))</f>
        <v/>
      </c>
      <c r="J120" s="43">
        <f>IF($L120="","",IF((OV_SWITCH="ON")*(COUNTIFS(OVR_TICKERS,INDEX(HSI!$C$7:$C$106,$N120),OVR_BASE,"&gt;=0")&gt;0)&gt;0,"stock overridden",""))</f>
        <v/>
      </c>
      <c r="L120" s="35">
        <f>IFERROR(IF(SMALL(Grids!$EE$12:$GQ$111,$M$7+111)&gt;=PEND_TO,"",SMALL(Grids!$EE$12:$GQ$111,$M$7+111)),"")</f>
        <v/>
      </c>
      <c r="M120" s="35">
        <f>IF($L120="","",INT($L120/1000000000))</f>
        <v/>
      </c>
      <c r="N120" s="35">
        <f>IF($L120="","",INT(($L120-INT($L120/1000000)*1000000)/1000))</f>
        <v/>
      </c>
      <c r="O120" s="35">
        <f>IF($L120="","",$L120-INT($L120/1000)*1000)</f>
        <v/>
      </c>
      <c r="P120" s="35">
        <f>IF($L120="","",INT(($L120-INT($L120/1000000000)*1000000000)/100000000))</f>
        <v/>
      </c>
    </row>
    <row r="121">
      <c r="B121" s="39">
        <f>IF($L121="","",$M121)</f>
        <v/>
      </c>
      <c r="C121" s="18">
        <f>IF($L121="","",INDEX(HSI!$C$7:$C$106,$N121))</f>
        <v/>
      </c>
      <c r="D121" s="18">
        <f>IF($L121="","",INDEX(HSI!$D$7:$D$106,$N121))</f>
        <v/>
      </c>
      <c r="E121" s="40">
        <f>IF($L121="","",IF($P121=0,"TBA",IFERROR(INDEX(Grids!$C$12:$BO$111,$N121,$O121),"-")))</f>
        <v/>
      </c>
      <c r="F121" s="18">
        <f>IF($L121="","",INDEX(HSI!$F$7:$F$106,$N121))</f>
        <v/>
      </c>
      <c r="G121" s="40">
        <f>IF($L121="","",IF($P121=0,"TBA",IFERROR(INDEX(Grids!$BQ$12:$EC$111,$N121,$O121),"-")))</f>
        <v/>
      </c>
      <c r="H121" s="41">
        <f>IF($L121="","",SUM($G$10:$G121))</f>
        <v/>
      </c>
      <c r="I121" s="42">
        <f>IF($L121="","",IF(INT(($L121-INT($L121/10000000)*10000000)/1000000)=0,"Bloomberg projection",IF($P121=1,"ANNOUNCED","ANNOUNCED - amount TBA")))</f>
        <v/>
      </c>
      <c r="J121" s="43">
        <f>IF($L121="","",IF((OV_SWITCH="ON")*(COUNTIFS(OVR_TICKERS,INDEX(HSI!$C$7:$C$106,$N121),OVR_BASE,"&gt;=0")&gt;0)&gt;0,"stock overridden",""))</f>
        <v/>
      </c>
      <c r="L121" s="35">
        <f>IFERROR(IF(SMALL(Grids!$EE$12:$GQ$111,$M$7+112)&gt;=PEND_TO,"",SMALL(Grids!$EE$12:$GQ$111,$M$7+112)),"")</f>
        <v/>
      </c>
      <c r="M121" s="35">
        <f>IF($L121="","",INT($L121/1000000000))</f>
        <v/>
      </c>
      <c r="N121" s="35">
        <f>IF($L121="","",INT(($L121-INT($L121/1000000)*1000000)/1000))</f>
        <v/>
      </c>
      <c r="O121" s="35">
        <f>IF($L121="","",$L121-INT($L121/1000)*1000)</f>
        <v/>
      </c>
      <c r="P121" s="35">
        <f>IF($L121="","",INT(($L121-INT($L121/1000000000)*1000000000)/100000000))</f>
        <v/>
      </c>
    </row>
    <row r="122">
      <c r="B122" s="39">
        <f>IF($L122="","",$M122)</f>
        <v/>
      </c>
      <c r="C122" s="18">
        <f>IF($L122="","",INDEX(HSI!$C$7:$C$106,$N122))</f>
        <v/>
      </c>
      <c r="D122" s="18">
        <f>IF($L122="","",INDEX(HSI!$D$7:$D$106,$N122))</f>
        <v/>
      </c>
      <c r="E122" s="40">
        <f>IF($L122="","",IF($P122=0,"TBA",IFERROR(INDEX(Grids!$C$12:$BO$111,$N122,$O122),"-")))</f>
        <v/>
      </c>
      <c r="F122" s="18">
        <f>IF($L122="","",INDEX(HSI!$F$7:$F$106,$N122))</f>
        <v/>
      </c>
      <c r="G122" s="40">
        <f>IF($L122="","",IF($P122=0,"TBA",IFERROR(INDEX(Grids!$BQ$12:$EC$111,$N122,$O122),"-")))</f>
        <v/>
      </c>
      <c r="H122" s="41">
        <f>IF($L122="","",SUM($G$10:$G122))</f>
        <v/>
      </c>
      <c r="I122" s="42">
        <f>IF($L122="","",IF(INT(($L122-INT($L122/10000000)*10000000)/1000000)=0,"Bloomberg projection",IF($P122=1,"ANNOUNCED","ANNOUNCED - amount TBA")))</f>
        <v/>
      </c>
      <c r="J122" s="43">
        <f>IF($L122="","",IF((OV_SWITCH="ON")*(COUNTIFS(OVR_TICKERS,INDEX(HSI!$C$7:$C$106,$N122),OVR_BASE,"&gt;=0")&gt;0)&gt;0,"stock overridden",""))</f>
        <v/>
      </c>
      <c r="L122" s="35">
        <f>IFERROR(IF(SMALL(Grids!$EE$12:$GQ$111,$M$7+113)&gt;=PEND_TO,"",SMALL(Grids!$EE$12:$GQ$111,$M$7+113)),"")</f>
        <v/>
      </c>
      <c r="M122" s="35">
        <f>IF($L122="","",INT($L122/1000000000))</f>
        <v/>
      </c>
      <c r="N122" s="35">
        <f>IF($L122="","",INT(($L122-INT($L122/1000000)*1000000)/1000))</f>
        <v/>
      </c>
      <c r="O122" s="35">
        <f>IF($L122="","",$L122-INT($L122/1000)*1000)</f>
        <v/>
      </c>
      <c r="P122" s="35">
        <f>IF($L122="","",INT(($L122-INT($L122/1000000000)*1000000000)/100000000))</f>
        <v/>
      </c>
    </row>
    <row r="123">
      <c r="B123" s="39">
        <f>IF($L123="","",$M123)</f>
        <v/>
      </c>
      <c r="C123" s="18">
        <f>IF($L123="","",INDEX(HSI!$C$7:$C$106,$N123))</f>
        <v/>
      </c>
      <c r="D123" s="18">
        <f>IF($L123="","",INDEX(HSI!$D$7:$D$106,$N123))</f>
        <v/>
      </c>
      <c r="E123" s="40">
        <f>IF($L123="","",IF($P123=0,"TBA",IFERROR(INDEX(Grids!$C$12:$BO$111,$N123,$O123),"-")))</f>
        <v/>
      </c>
      <c r="F123" s="18">
        <f>IF($L123="","",INDEX(HSI!$F$7:$F$106,$N123))</f>
        <v/>
      </c>
      <c r="G123" s="40">
        <f>IF($L123="","",IF($P123=0,"TBA",IFERROR(INDEX(Grids!$BQ$12:$EC$111,$N123,$O123),"-")))</f>
        <v/>
      </c>
      <c r="H123" s="41">
        <f>IF($L123="","",SUM($G$10:$G123))</f>
        <v/>
      </c>
      <c r="I123" s="42">
        <f>IF($L123="","",IF(INT(($L123-INT($L123/10000000)*10000000)/1000000)=0,"Bloomberg projection",IF($P123=1,"ANNOUNCED","ANNOUNCED - amount TBA")))</f>
        <v/>
      </c>
      <c r="J123" s="43">
        <f>IF($L123="","",IF((OV_SWITCH="ON")*(COUNTIFS(OVR_TICKERS,INDEX(HSI!$C$7:$C$106,$N123),OVR_BASE,"&gt;=0")&gt;0)&gt;0,"stock overridden",""))</f>
        <v/>
      </c>
      <c r="L123" s="35">
        <f>IFERROR(IF(SMALL(Grids!$EE$12:$GQ$111,$M$7+114)&gt;=PEND_TO,"",SMALL(Grids!$EE$12:$GQ$111,$M$7+114)),"")</f>
        <v/>
      </c>
      <c r="M123" s="35">
        <f>IF($L123="","",INT($L123/1000000000))</f>
        <v/>
      </c>
      <c r="N123" s="35">
        <f>IF($L123="","",INT(($L123-INT($L123/1000000)*1000000)/1000))</f>
        <v/>
      </c>
      <c r="O123" s="35">
        <f>IF($L123="","",$L123-INT($L123/1000)*1000)</f>
        <v/>
      </c>
      <c r="P123" s="35">
        <f>IF($L123="","",INT(($L123-INT($L123/1000000000)*1000000000)/100000000))</f>
        <v/>
      </c>
    </row>
    <row r="124">
      <c r="B124" s="39">
        <f>IF($L124="","",$M124)</f>
        <v/>
      </c>
      <c r="C124" s="18">
        <f>IF($L124="","",INDEX(HSI!$C$7:$C$106,$N124))</f>
        <v/>
      </c>
      <c r="D124" s="18">
        <f>IF($L124="","",INDEX(HSI!$D$7:$D$106,$N124))</f>
        <v/>
      </c>
      <c r="E124" s="40">
        <f>IF($L124="","",IF($P124=0,"TBA",IFERROR(INDEX(Grids!$C$12:$BO$111,$N124,$O124),"-")))</f>
        <v/>
      </c>
      <c r="F124" s="18">
        <f>IF($L124="","",INDEX(HSI!$F$7:$F$106,$N124))</f>
        <v/>
      </c>
      <c r="G124" s="40">
        <f>IF($L124="","",IF($P124=0,"TBA",IFERROR(INDEX(Grids!$BQ$12:$EC$111,$N124,$O124),"-")))</f>
        <v/>
      </c>
      <c r="H124" s="41">
        <f>IF($L124="","",SUM($G$10:$G124))</f>
        <v/>
      </c>
      <c r="I124" s="42">
        <f>IF($L124="","",IF(INT(($L124-INT($L124/10000000)*10000000)/1000000)=0,"Bloomberg projection",IF($P124=1,"ANNOUNCED","ANNOUNCED - amount TBA")))</f>
        <v/>
      </c>
      <c r="J124" s="43">
        <f>IF($L124="","",IF((OV_SWITCH="ON")*(COUNTIFS(OVR_TICKERS,INDEX(HSI!$C$7:$C$106,$N124),OVR_BASE,"&gt;=0")&gt;0)&gt;0,"stock overridden",""))</f>
        <v/>
      </c>
      <c r="L124" s="35">
        <f>IFERROR(IF(SMALL(Grids!$EE$12:$GQ$111,$M$7+115)&gt;=PEND_TO,"",SMALL(Grids!$EE$12:$GQ$111,$M$7+115)),"")</f>
        <v/>
      </c>
      <c r="M124" s="35">
        <f>IF($L124="","",INT($L124/1000000000))</f>
        <v/>
      </c>
      <c r="N124" s="35">
        <f>IF($L124="","",INT(($L124-INT($L124/1000000)*1000000)/1000))</f>
        <v/>
      </c>
      <c r="O124" s="35">
        <f>IF($L124="","",$L124-INT($L124/1000)*1000)</f>
        <v/>
      </c>
      <c r="P124" s="35">
        <f>IF($L124="","",INT(($L124-INT($L124/1000000000)*1000000000)/100000000))</f>
        <v/>
      </c>
    </row>
    <row r="125">
      <c r="B125" s="39">
        <f>IF($L125="","",$M125)</f>
        <v/>
      </c>
      <c r="C125" s="18">
        <f>IF($L125="","",INDEX(HSI!$C$7:$C$106,$N125))</f>
        <v/>
      </c>
      <c r="D125" s="18">
        <f>IF($L125="","",INDEX(HSI!$D$7:$D$106,$N125))</f>
        <v/>
      </c>
      <c r="E125" s="40">
        <f>IF($L125="","",IF($P125=0,"TBA",IFERROR(INDEX(Grids!$C$12:$BO$111,$N125,$O125),"-")))</f>
        <v/>
      </c>
      <c r="F125" s="18">
        <f>IF($L125="","",INDEX(HSI!$F$7:$F$106,$N125))</f>
        <v/>
      </c>
      <c r="G125" s="40">
        <f>IF($L125="","",IF($P125=0,"TBA",IFERROR(INDEX(Grids!$BQ$12:$EC$111,$N125,$O125),"-")))</f>
        <v/>
      </c>
      <c r="H125" s="41">
        <f>IF($L125="","",SUM($G$10:$G125))</f>
        <v/>
      </c>
      <c r="I125" s="42">
        <f>IF($L125="","",IF(INT(($L125-INT($L125/10000000)*10000000)/1000000)=0,"Bloomberg projection",IF($P125=1,"ANNOUNCED","ANNOUNCED - amount TBA")))</f>
        <v/>
      </c>
      <c r="J125" s="43">
        <f>IF($L125="","",IF((OV_SWITCH="ON")*(COUNTIFS(OVR_TICKERS,INDEX(HSI!$C$7:$C$106,$N125),OVR_BASE,"&gt;=0")&gt;0)&gt;0,"stock overridden",""))</f>
        <v/>
      </c>
      <c r="L125" s="35">
        <f>IFERROR(IF(SMALL(Grids!$EE$12:$GQ$111,$M$7+116)&gt;=PEND_TO,"",SMALL(Grids!$EE$12:$GQ$111,$M$7+116)),"")</f>
        <v/>
      </c>
      <c r="M125" s="35">
        <f>IF($L125="","",INT($L125/1000000000))</f>
        <v/>
      </c>
      <c r="N125" s="35">
        <f>IF($L125="","",INT(($L125-INT($L125/1000000)*1000000)/1000))</f>
        <v/>
      </c>
      <c r="O125" s="35">
        <f>IF($L125="","",$L125-INT($L125/1000)*1000)</f>
        <v/>
      </c>
      <c r="P125" s="35">
        <f>IF($L125="","",INT(($L125-INT($L125/1000000000)*1000000000)/100000000))</f>
        <v/>
      </c>
    </row>
    <row r="126">
      <c r="B126" s="39">
        <f>IF($L126="","",$M126)</f>
        <v/>
      </c>
      <c r="C126" s="18">
        <f>IF($L126="","",INDEX(HSI!$C$7:$C$106,$N126))</f>
        <v/>
      </c>
      <c r="D126" s="18">
        <f>IF($L126="","",INDEX(HSI!$D$7:$D$106,$N126))</f>
        <v/>
      </c>
      <c r="E126" s="40">
        <f>IF($L126="","",IF($P126=0,"TBA",IFERROR(INDEX(Grids!$C$12:$BO$111,$N126,$O126),"-")))</f>
        <v/>
      </c>
      <c r="F126" s="18">
        <f>IF($L126="","",INDEX(HSI!$F$7:$F$106,$N126))</f>
        <v/>
      </c>
      <c r="G126" s="40">
        <f>IF($L126="","",IF($P126=0,"TBA",IFERROR(INDEX(Grids!$BQ$12:$EC$111,$N126,$O126),"-")))</f>
        <v/>
      </c>
      <c r="H126" s="41">
        <f>IF($L126="","",SUM($G$10:$G126))</f>
        <v/>
      </c>
      <c r="I126" s="42">
        <f>IF($L126="","",IF(INT(($L126-INT($L126/10000000)*10000000)/1000000)=0,"Bloomberg projection",IF($P126=1,"ANNOUNCED","ANNOUNCED - amount TBA")))</f>
        <v/>
      </c>
      <c r="J126" s="43">
        <f>IF($L126="","",IF((OV_SWITCH="ON")*(COUNTIFS(OVR_TICKERS,INDEX(HSI!$C$7:$C$106,$N126),OVR_BASE,"&gt;=0")&gt;0)&gt;0,"stock overridden",""))</f>
        <v/>
      </c>
      <c r="L126" s="35">
        <f>IFERROR(IF(SMALL(Grids!$EE$12:$GQ$111,$M$7+117)&gt;=PEND_TO,"",SMALL(Grids!$EE$12:$GQ$111,$M$7+117)),"")</f>
        <v/>
      </c>
      <c r="M126" s="35">
        <f>IF($L126="","",INT($L126/1000000000))</f>
        <v/>
      </c>
      <c r="N126" s="35">
        <f>IF($L126="","",INT(($L126-INT($L126/1000000)*1000000)/1000))</f>
        <v/>
      </c>
      <c r="O126" s="35">
        <f>IF($L126="","",$L126-INT($L126/1000)*1000)</f>
        <v/>
      </c>
      <c r="P126" s="35">
        <f>IF($L126="","",INT(($L126-INT($L126/1000000000)*1000000000)/100000000))</f>
        <v/>
      </c>
    </row>
    <row r="127">
      <c r="B127" s="39">
        <f>IF($L127="","",$M127)</f>
        <v/>
      </c>
      <c r="C127" s="18">
        <f>IF($L127="","",INDEX(HSI!$C$7:$C$106,$N127))</f>
        <v/>
      </c>
      <c r="D127" s="18">
        <f>IF($L127="","",INDEX(HSI!$D$7:$D$106,$N127))</f>
        <v/>
      </c>
      <c r="E127" s="40">
        <f>IF($L127="","",IF($P127=0,"TBA",IFERROR(INDEX(Grids!$C$12:$BO$111,$N127,$O127),"-")))</f>
        <v/>
      </c>
      <c r="F127" s="18">
        <f>IF($L127="","",INDEX(HSI!$F$7:$F$106,$N127))</f>
        <v/>
      </c>
      <c r="G127" s="40">
        <f>IF($L127="","",IF($P127=0,"TBA",IFERROR(INDEX(Grids!$BQ$12:$EC$111,$N127,$O127),"-")))</f>
        <v/>
      </c>
      <c r="H127" s="41">
        <f>IF($L127="","",SUM($G$10:$G127))</f>
        <v/>
      </c>
      <c r="I127" s="42">
        <f>IF($L127="","",IF(INT(($L127-INT($L127/10000000)*10000000)/1000000)=0,"Bloomberg projection",IF($P127=1,"ANNOUNCED","ANNOUNCED - amount TBA")))</f>
        <v/>
      </c>
      <c r="J127" s="43">
        <f>IF($L127="","",IF((OV_SWITCH="ON")*(COUNTIFS(OVR_TICKERS,INDEX(HSI!$C$7:$C$106,$N127),OVR_BASE,"&gt;=0")&gt;0)&gt;0,"stock overridden",""))</f>
        <v/>
      </c>
      <c r="L127" s="35">
        <f>IFERROR(IF(SMALL(Grids!$EE$12:$GQ$111,$M$7+118)&gt;=PEND_TO,"",SMALL(Grids!$EE$12:$GQ$111,$M$7+118)),"")</f>
        <v/>
      </c>
      <c r="M127" s="35">
        <f>IF($L127="","",INT($L127/1000000000))</f>
        <v/>
      </c>
      <c r="N127" s="35">
        <f>IF($L127="","",INT(($L127-INT($L127/1000000)*1000000)/1000))</f>
        <v/>
      </c>
      <c r="O127" s="35">
        <f>IF($L127="","",$L127-INT($L127/1000)*1000)</f>
        <v/>
      </c>
      <c r="P127" s="35">
        <f>IF($L127="","",INT(($L127-INT($L127/1000000000)*1000000000)/100000000))</f>
        <v/>
      </c>
    </row>
    <row r="128">
      <c r="B128" s="39">
        <f>IF($L128="","",$M128)</f>
        <v/>
      </c>
      <c r="C128" s="18">
        <f>IF($L128="","",INDEX(HSI!$C$7:$C$106,$N128))</f>
        <v/>
      </c>
      <c r="D128" s="18">
        <f>IF($L128="","",INDEX(HSI!$D$7:$D$106,$N128))</f>
        <v/>
      </c>
      <c r="E128" s="40">
        <f>IF($L128="","",IF($P128=0,"TBA",IFERROR(INDEX(Grids!$C$12:$BO$111,$N128,$O128),"-")))</f>
        <v/>
      </c>
      <c r="F128" s="18">
        <f>IF($L128="","",INDEX(HSI!$F$7:$F$106,$N128))</f>
        <v/>
      </c>
      <c r="G128" s="40">
        <f>IF($L128="","",IF($P128=0,"TBA",IFERROR(INDEX(Grids!$BQ$12:$EC$111,$N128,$O128),"-")))</f>
        <v/>
      </c>
      <c r="H128" s="41">
        <f>IF($L128="","",SUM($G$10:$G128))</f>
        <v/>
      </c>
      <c r="I128" s="42">
        <f>IF($L128="","",IF(INT(($L128-INT($L128/10000000)*10000000)/1000000)=0,"Bloomberg projection",IF($P128=1,"ANNOUNCED","ANNOUNCED - amount TBA")))</f>
        <v/>
      </c>
      <c r="J128" s="43">
        <f>IF($L128="","",IF((OV_SWITCH="ON")*(COUNTIFS(OVR_TICKERS,INDEX(HSI!$C$7:$C$106,$N128),OVR_BASE,"&gt;=0")&gt;0)&gt;0,"stock overridden",""))</f>
        <v/>
      </c>
      <c r="L128" s="35">
        <f>IFERROR(IF(SMALL(Grids!$EE$12:$GQ$111,$M$7+119)&gt;=PEND_TO,"",SMALL(Grids!$EE$12:$GQ$111,$M$7+119)),"")</f>
        <v/>
      </c>
      <c r="M128" s="35">
        <f>IF($L128="","",INT($L128/1000000000))</f>
        <v/>
      </c>
      <c r="N128" s="35">
        <f>IF($L128="","",INT(($L128-INT($L128/1000000)*1000000)/1000))</f>
        <v/>
      </c>
      <c r="O128" s="35">
        <f>IF($L128="","",$L128-INT($L128/1000)*1000)</f>
        <v/>
      </c>
      <c r="P128" s="35">
        <f>IF($L128="","",INT(($L128-INT($L128/1000000000)*1000000000)/100000000))</f>
        <v/>
      </c>
    </row>
    <row r="129">
      <c r="B129" s="39">
        <f>IF($L129="","",$M129)</f>
        <v/>
      </c>
      <c r="C129" s="18">
        <f>IF($L129="","",INDEX(HSI!$C$7:$C$106,$N129))</f>
        <v/>
      </c>
      <c r="D129" s="18">
        <f>IF($L129="","",INDEX(HSI!$D$7:$D$106,$N129))</f>
        <v/>
      </c>
      <c r="E129" s="40">
        <f>IF($L129="","",IF($P129=0,"TBA",IFERROR(INDEX(Grids!$C$12:$BO$111,$N129,$O129),"-")))</f>
        <v/>
      </c>
      <c r="F129" s="18">
        <f>IF($L129="","",INDEX(HSI!$F$7:$F$106,$N129))</f>
        <v/>
      </c>
      <c r="G129" s="40">
        <f>IF($L129="","",IF($P129=0,"TBA",IFERROR(INDEX(Grids!$BQ$12:$EC$111,$N129,$O129),"-")))</f>
        <v/>
      </c>
      <c r="H129" s="41">
        <f>IF($L129="","",SUM($G$10:$G129))</f>
        <v/>
      </c>
      <c r="I129" s="42">
        <f>IF($L129="","",IF(INT(($L129-INT($L129/10000000)*10000000)/1000000)=0,"Bloomberg projection",IF($P129=1,"ANNOUNCED","ANNOUNCED - amount TBA")))</f>
        <v/>
      </c>
      <c r="J129" s="43">
        <f>IF($L129="","",IF((OV_SWITCH="ON")*(COUNTIFS(OVR_TICKERS,INDEX(HSI!$C$7:$C$106,$N129),OVR_BASE,"&gt;=0")&gt;0)&gt;0,"stock overridden",""))</f>
        <v/>
      </c>
      <c r="L129" s="35">
        <f>IFERROR(IF(SMALL(Grids!$EE$12:$GQ$111,$M$7+120)&gt;=PEND_TO,"",SMALL(Grids!$EE$12:$GQ$111,$M$7+120)),"")</f>
        <v/>
      </c>
      <c r="M129" s="35">
        <f>IF($L129="","",INT($L129/1000000000))</f>
        <v/>
      </c>
      <c r="N129" s="35">
        <f>IF($L129="","",INT(($L129-INT($L129/1000000)*1000000)/1000))</f>
        <v/>
      </c>
      <c r="O129" s="35">
        <f>IF($L129="","",$L129-INT($L129/1000)*1000)</f>
        <v/>
      </c>
      <c r="P129" s="35">
        <f>IF($L129="","",INT(($L129-INT($L129/1000000000)*1000000000)/100000000))</f>
        <v/>
      </c>
    </row>
    <row r="130">
      <c r="B130" s="39">
        <f>IF($L130="","",$M130)</f>
        <v/>
      </c>
      <c r="C130" s="18">
        <f>IF($L130="","",INDEX(HSI!$C$7:$C$106,$N130))</f>
        <v/>
      </c>
      <c r="D130" s="18">
        <f>IF($L130="","",INDEX(HSI!$D$7:$D$106,$N130))</f>
        <v/>
      </c>
      <c r="E130" s="40">
        <f>IF($L130="","",IF($P130=0,"TBA",IFERROR(INDEX(Grids!$C$12:$BO$111,$N130,$O130),"-")))</f>
        <v/>
      </c>
      <c r="F130" s="18">
        <f>IF($L130="","",INDEX(HSI!$F$7:$F$106,$N130))</f>
        <v/>
      </c>
      <c r="G130" s="40">
        <f>IF($L130="","",IF($P130=0,"TBA",IFERROR(INDEX(Grids!$BQ$12:$EC$111,$N130,$O130),"-")))</f>
        <v/>
      </c>
      <c r="H130" s="41">
        <f>IF($L130="","",SUM($G$10:$G130))</f>
        <v/>
      </c>
      <c r="I130" s="42">
        <f>IF($L130="","",IF(INT(($L130-INT($L130/10000000)*10000000)/1000000)=0,"Bloomberg projection",IF($P130=1,"ANNOUNCED","ANNOUNCED - amount TBA")))</f>
        <v/>
      </c>
      <c r="J130" s="43">
        <f>IF($L130="","",IF((OV_SWITCH="ON")*(COUNTIFS(OVR_TICKERS,INDEX(HSI!$C$7:$C$106,$N130),OVR_BASE,"&gt;=0")&gt;0)&gt;0,"stock overridden",""))</f>
        <v/>
      </c>
      <c r="L130" s="35">
        <f>IFERROR(IF(SMALL(Grids!$EE$12:$GQ$111,$M$7+121)&gt;=PEND_TO,"",SMALL(Grids!$EE$12:$GQ$111,$M$7+121)),"")</f>
        <v/>
      </c>
      <c r="M130" s="35">
        <f>IF($L130="","",INT($L130/1000000000))</f>
        <v/>
      </c>
      <c r="N130" s="35">
        <f>IF($L130="","",INT(($L130-INT($L130/1000000)*1000000)/1000))</f>
        <v/>
      </c>
      <c r="O130" s="35">
        <f>IF($L130="","",$L130-INT($L130/1000)*1000)</f>
        <v/>
      </c>
      <c r="P130" s="35">
        <f>IF($L130="","",INT(($L130-INT($L130/1000000000)*1000000000)/100000000))</f>
        <v/>
      </c>
    </row>
    <row r="131">
      <c r="B131" s="39">
        <f>IF($L131="","",$M131)</f>
        <v/>
      </c>
      <c r="C131" s="18">
        <f>IF($L131="","",INDEX(HSI!$C$7:$C$106,$N131))</f>
        <v/>
      </c>
      <c r="D131" s="18">
        <f>IF($L131="","",INDEX(HSI!$D$7:$D$106,$N131))</f>
        <v/>
      </c>
      <c r="E131" s="40">
        <f>IF($L131="","",IF($P131=0,"TBA",IFERROR(INDEX(Grids!$C$12:$BO$111,$N131,$O131),"-")))</f>
        <v/>
      </c>
      <c r="F131" s="18">
        <f>IF($L131="","",INDEX(HSI!$F$7:$F$106,$N131))</f>
        <v/>
      </c>
      <c r="G131" s="40">
        <f>IF($L131="","",IF($P131=0,"TBA",IFERROR(INDEX(Grids!$BQ$12:$EC$111,$N131,$O131),"-")))</f>
        <v/>
      </c>
      <c r="H131" s="41">
        <f>IF($L131="","",SUM($G$10:$G131))</f>
        <v/>
      </c>
      <c r="I131" s="42">
        <f>IF($L131="","",IF(INT(($L131-INT($L131/10000000)*10000000)/1000000)=0,"Bloomberg projection",IF($P131=1,"ANNOUNCED","ANNOUNCED - amount TBA")))</f>
        <v/>
      </c>
      <c r="J131" s="43">
        <f>IF($L131="","",IF((OV_SWITCH="ON")*(COUNTIFS(OVR_TICKERS,INDEX(HSI!$C$7:$C$106,$N131),OVR_BASE,"&gt;=0")&gt;0)&gt;0,"stock overridden",""))</f>
        <v/>
      </c>
      <c r="L131" s="35">
        <f>IFERROR(IF(SMALL(Grids!$EE$12:$GQ$111,$M$7+122)&gt;=PEND_TO,"",SMALL(Grids!$EE$12:$GQ$111,$M$7+122)),"")</f>
        <v/>
      </c>
      <c r="M131" s="35">
        <f>IF($L131="","",INT($L131/1000000000))</f>
        <v/>
      </c>
      <c r="N131" s="35">
        <f>IF($L131="","",INT(($L131-INT($L131/1000000)*1000000)/1000))</f>
        <v/>
      </c>
      <c r="O131" s="35">
        <f>IF($L131="","",$L131-INT($L131/1000)*1000)</f>
        <v/>
      </c>
      <c r="P131" s="35">
        <f>IF($L131="","",INT(($L131-INT($L131/1000000000)*1000000000)/100000000))</f>
        <v/>
      </c>
    </row>
    <row r="132">
      <c r="B132" s="39">
        <f>IF($L132="","",$M132)</f>
        <v/>
      </c>
      <c r="C132" s="18">
        <f>IF($L132="","",INDEX(HSI!$C$7:$C$106,$N132))</f>
        <v/>
      </c>
      <c r="D132" s="18">
        <f>IF($L132="","",INDEX(HSI!$D$7:$D$106,$N132))</f>
        <v/>
      </c>
      <c r="E132" s="40">
        <f>IF($L132="","",IF($P132=0,"TBA",IFERROR(INDEX(Grids!$C$12:$BO$111,$N132,$O132),"-")))</f>
        <v/>
      </c>
      <c r="F132" s="18">
        <f>IF($L132="","",INDEX(HSI!$F$7:$F$106,$N132))</f>
        <v/>
      </c>
      <c r="G132" s="40">
        <f>IF($L132="","",IF($P132=0,"TBA",IFERROR(INDEX(Grids!$BQ$12:$EC$111,$N132,$O132),"-")))</f>
        <v/>
      </c>
      <c r="H132" s="41">
        <f>IF($L132="","",SUM($G$10:$G132))</f>
        <v/>
      </c>
      <c r="I132" s="42">
        <f>IF($L132="","",IF(INT(($L132-INT($L132/10000000)*10000000)/1000000)=0,"Bloomberg projection",IF($P132=1,"ANNOUNCED","ANNOUNCED - amount TBA")))</f>
        <v/>
      </c>
      <c r="J132" s="43">
        <f>IF($L132="","",IF((OV_SWITCH="ON")*(COUNTIFS(OVR_TICKERS,INDEX(HSI!$C$7:$C$106,$N132),OVR_BASE,"&gt;=0")&gt;0)&gt;0,"stock overridden",""))</f>
        <v/>
      </c>
      <c r="L132" s="35">
        <f>IFERROR(IF(SMALL(Grids!$EE$12:$GQ$111,$M$7+123)&gt;=PEND_TO,"",SMALL(Grids!$EE$12:$GQ$111,$M$7+123)),"")</f>
        <v/>
      </c>
      <c r="M132" s="35">
        <f>IF($L132="","",INT($L132/1000000000))</f>
        <v/>
      </c>
      <c r="N132" s="35">
        <f>IF($L132="","",INT(($L132-INT($L132/1000000)*1000000)/1000))</f>
        <v/>
      </c>
      <c r="O132" s="35">
        <f>IF($L132="","",$L132-INT($L132/1000)*1000)</f>
        <v/>
      </c>
      <c r="P132" s="35">
        <f>IF($L132="","",INT(($L132-INT($L132/1000000000)*1000000000)/100000000))</f>
        <v/>
      </c>
    </row>
    <row r="133">
      <c r="B133" s="39">
        <f>IF($L133="","",$M133)</f>
        <v/>
      </c>
      <c r="C133" s="18">
        <f>IF($L133="","",INDEX(HSI!$C$7:$C$106,$N133))</f>
        <v/>
      </c>
      <c r="D133" s="18">
        <f>IF($L133="","",INDEX(HSI!$D$7:$D$106,$N133))</f>
        <v/>
      </c>
      <c r="E133" s="40">
        <f>IF($L133="","",IF($P133=0,"TBA",IFERROR(INDEX(Grids!$C$12:$BO$111,$N133,$O133),"-")))</f>
        <v/>
      </c>
      <c r="F133" s="18">
        <f>IF($L133="","",INDEX(HSI!$F$7:$F$106,$N133))</f>
        <v/>
      </c>
      <c r="G133" s="40">
        <f>IF($L133="","",IF($P133=0,"TBA",IFERROR(INDEX(Grids!$BQ$12:$EC$111,$N133,$O133),"-")))</f>
        <v/>
      </c>
      <c r="H133" s="41">
        <f>IF($L133="","",SUM($G$10:$G133))</f>
        <v/>
      </c>
      <c r="I133" s="42">
        <f>IF($L133="","",IF(INT(($L133-INT($L133/10000000)*10000000)/1000000)=0,"Bloomberg projection",IF($P133=1,"ANNOUNCED","ANNOUNCED - amount TBA")))</f>
        <v/>
      </c>
      <c r="J133" s="43">
        <f>IF($L133="","",IF((OV_SWITCH="ON")*(COUNTIFS(OVR_TICKERS,INDEX(HSI!$C$7:$C$106,$N133),OVR_BASE,"&gt;=0")&gt;0)&gt;0,"stock overridden",""))</f>
        <v/>
      </c>
      <c r="L133" s="35">
        <f>IFERROR(IF(SMALL(Grids!$EE$12:$GQ$111,$M$7+124)&gt;=PEND_TO,"",SMALL(Grids!$EE$12:$GQ$111,$M$7+124)),"")</f>
        <v/>
      </c>
      <c r="M133" s="35">
        <f>IF($L133="","",INT($L133/1000000000))</f>
        <v/>
      </c>
      <c r="N133" s="35">
        <f>IF($L133="","",INT(($L133-INT($L133/1000000)*1000000)/1000))</f>
        <v/>
      </c>
      <c r="O133" s="35">
        <f>IF($L133="","",$L133-INT($L133/1000)*1000)</f>
        <v/>
      </c>
      <c r="P133" s="35">
        <f>IF($L133="","",INT(($L133-INT($L133/1000000000)*1000000000)/100000000))</f>
        <v/>
      </c>
    </row>
    <row r="134">
      <c r="B134" s="39">
        <f>IF($L134="","",$M134)</f>
        <v/>
      </c>
      <c r="C134" s="18">
        <f>IF($L134="","",INDEX(HSI!$C$7:$C$106,$N134))</f>
        <v/>
      </c>
      <c r="D134" s="18">
        <f>IF($L134="","",INDEX(HSI!$D$7:$D$106,$N134))</f>
        <v/>
      </c>
      <c r="E134" s="40">
        <f>IF($L134="","",IF($P134=0,"TBA",IFERROR(INDEX(Grids!$C$12:$BO$111,$N134,$O134),"-")))</f>
        <v/>
      </c>
      <c r="F134" s="18">
        <f>IF($L134="","",INDEX(HSI!$F$7:$F$106,$N134))</f>
        <v/>
      </c>
      <c r="G134" s="40">
        <f>IF($L134="","",IF($P134=0,"TBA",IFERROR(INDEX(Grids!$BQ$12:$EC$111,$N134,$O134),"-")))</f>
        <v/>
      </c>
      <c r="H134" s="41">
        <f>IF($L134="","",SUM($G$10:$G134))</f>
        <v/>
      </c>
      <c r="I134" s="42">
        <f>IF($L134="","",IF(INT(($L134-INT($L134/10000000)*10000000)/1000000)=0,"Bloomberg projection",IF($P134=1,"ANNOUNCED","ANNOUNCED - amount TBA")))</f>
        <v/>
      </c>
      <c r="J134" s="43">
        <f>IF($L134="","",IF((OV_SWITCH="ON")*(COUNTIFS(OVR_TICKERS,INDEX(HSI!$C$7:$C$106,$N134),OVR_BASE,"&gt;=0")&gt;0)&gt;0,"stock overridden",""))</f>
        <v/>
      </c>
      <c r="L134" s="35">
        <f>IFERROR(IF(SMALL(Grids!$EE$12:$GQ$111,$M$7+125)&gt;=PEND_TO,"",SMALL(Grids!$EE$12:$GQ$111,$M$7+125)),"")</f>
        <v/>
      </c>
      <c r="M134" s="35">
        <f>IF($L134="","",INT($L134/1000000000))</f>
        <v/>
      </c>
      <c r="N134" s="35">
        <f>IF($L134="","",INT(($L134-INT($L134/1000000)*1000000)/1000))</f>
        <v/>
      </c>
      <c r="O134" s="35">
        <f>IF($L134="","",$L134-INT($L134/1000)*1000)</f>
        <v/>
      </c>
      <c r="P134" s="35">
        <f>IF($L134="","",INT(($L134-INT($L134/1000000000)*1000000000)/100000000))</f>
        <v/>
      </c>
    </row>
    <row r="135">
      <c r="B135" s="39">
        <f>IF($L135="","",$M135)</f>
        <v/>
      </c>
      <c r="C135" s="18">
        <f>IF($L135="","",INDEX(HSI!$C$7:$C$106,$N135))</f>
        <v/>
      </c>
      <c r="D135" s="18">
        <f>IF($L135="","",INDEX(HSI!$D$7:$D$106,$N135))</f>
        <v/>
      </c>
      <c r="E135" s="40">
        <f>IF($L135="","",IF($P135=0,"TBA",IFERROR(INDEX(Grids!$C$12:$BO$111,$N135,$O135),"-")))</f>
        <v/>
      </c>
      <c r="F135" s="18">
        <f>IF($L135="","",INDEX(HSI!$F$7:$F$106,$N135))</f>
        <v/>
      </c>
      <c r="G135" s="40">
        <f>IF($L135="","",IF($P135=0,"TBA",IFERROR(INDEX(Grids!$BQ$12:$EC$111,$N135,$O135),"-")))</f>
        <v/>
      </c>
      <c r="H135" s="41">
        <f>IF($L135="","",SUM($G$10:$G135))</f>
        <v/>
      </c>
      <c r="I135" s="42">
        <f>IF($L135="","",IF(INT(($L135-INT($L135/10000000)*10000000)/1000000)=0,"Bloomberg projection",IF($P135=1,"ANNOUNCED","ANNOUNCED - amount TBA")))</f>
        <v/>
      </c>
      <c r="J135" s="43">
        <f>IF($L135="","",IF((OV_SWITCH="ON")*(COUNTIFS(OVR_TICKERS,INDEX(HSI!$C$7:$C$106,$N135),OVR_BASE,"&gt;=0")&gt;0)&gt;0,"stock overridden",""))</f>
        <v/>
      </c>
      <c r="L135" s="35">
        <f>IFERROR(IF(SMALL(Grids!$EE$12:$GQ$111,$M$7+126)&gt;=PEND_TO,"",SMALL(Grids!$EE$12:$GQ$111,$M$7+126)),"")</f>
        <v/>
      </c>
      <c r="M135" s="35">
        <f>IF($L135="","",INT($L135/1000000000))</f>
        <v/>
      </c>
      <c r="N135" s="35">
        <f>IF($L135="","",INT(($L135-INT($L135/1000000)*1000000)/1000))</f>
        <v/>
      </c>
      <c r="O135" s="35">
        <f>IF($L135="","",$L135-INT($L135/1000)*1000)</f>
        <v/>
      </c>
      <c r="P135" s="35">
        <f>IF($L135="","",INT(($L135-INT($L135/1000000000)*1000000000)/100000000))</f>
        <v/>
      </c>
    </row>
    <row r="136">
      <c r="B136" s="39">
        <f>IF($L136="","",$M136)</f>
        <v/>
      </c>
      <c r="C136" s="18">
        <f>IF($L136="","",INDEX(HSI!$C$7:$C$106,$N136))</f>
        <v/>
      </c>
      <c r="D136" s="18">
        <f>IF($L136="","",INDEX(HSI!$D$7:$D$106,$N136))</f>
        <v/>
      </c>
      <c r="E136" s="40">
        <f>IF($L136="","",IF($P136=0,"TBA",IFERROR(INDEX(Grids!$C$12:$BO$111,$N136,$O136),"-")))</f>
        <v/>
      </c>
      <c r="F136" s="18">
        <f>IF($L136="","",INDEX(HSI!$F$7:$F$106,$N136))</f>
        <v/>
      </c>
      <c r="G136" s="40">
        <f>IF($L136="","",IF($P136=0,"TBA",IFERROR(INDEX(Grids!$BQ$12:$EC$111,$N136,$O136),"-")))</f>
        <v/>
      </c>
      <c r="H136" s="41">
        <f>IF($L136="","",SUM($G$10:$G136))</f>
        <v/>
      </c>
      <c r="I136" s="42">
        <f>IF($L136="","",IF(INT(($L136-INT($L136/10000000)*10000000)/1000000)=0,"Bloomberg projection",IF($P136=1,"ANNOUNCED","ANNOUNCED - amount TBA")))</f>
        <v/>
      </c>
      <c r="J136" s="43">
        <f>IF($L136="","",IF((OV_SWITCH="ON")*(COUNTIFS(OVR_TICKERS,INDEX(HSI!$C$7:$C$106,$N136),OVR_BASE,"&gt;=0")&gt;0)&gt;0,"stock overridden",""))</f>
        <v/>
      </c>
      <c r="L136" s="35">
        <f>IFERROR(IF(SMALL(Grids!$EE$12:$GQ$111,$M$7+127)&gt;=PEND_TO,"",SMALL(Grids!$EE$12:$GQ$111,$M$7+127)),"")</f>
        <v/>
      </c>
      <c r="M136" s="35">
        <f>IF($L136="","",INT($L136/1000000000))</f>
        <v/>
      </c>
      <c r="N136" s="35">
        <f>IF($L136="","",INT(($L136-INT($L136/1000000)*1000000)/1000))</f>
        <v/>
      </c>
      <c r="O136" s="35">
        <f>IF($L136="","",$L136-INT($L136/1000)*1000)</f>
        <v/>
      </c>
      <c r="P136" s="35">
        <f>IF($L136="","",INT(($L136-INT($L136/1000000000)*1000000000)/100000000))</f>
        <v/>
      </c>
    </row>
    <row r="137">
      <c r="B137" s="39">
        <f>IF($L137="","",$M137)</f>
        <v/>
      </c>
      <c r="C137" s="18">
        <f>IF($L137="","",INDEX(HSI!$C$7:$C$106,$N137))</f>
        <v/>
      </c>
      <c r="D137" s="18">
        <f>IF($L137="","",INDEX(HSI!$D$7:$D$106,$N137))</f>
        <v/>
      </c>
      <c r="E137" s="40">
        <f>IF($L137="","",IF($P137=0,"TBA",IFERROR(INDEX(Grids!$C$12:$BO$111,$N137,$O137),"-")))</f>
        <v/>
      </c>
      <c r="F137" s="18">
        <f>IF($L137="","",INDEX(HSI!$F$7:$F$106,$N137))</f>
        <v/>
      </c>
      <c r="G137" s="40">
        <f>IF($L137="","",IF($P137=0,"TBA",IFERROR(INDEX(Grids!$BQ$12:$EC$111,$N137,$O137),"-")))</f>
        <v/>
      </c>
      <c r="H137" s="41">
        <f>IF($L137="","",SUM($G$10:$G137))</f>
        <v/>
      </c>
      <c r="I137" s="42">
        <f>IF($L137="","",IF(INT(($L137-INT($L137/10000000)*10000000)/1000000)=0,"Bloomberg projection",IF($P137=1,"ANNOUNCED","ANNOUNCED - amount TBA")))</f>
        <v/>
      </c>
      <c r="J137" s="43">
        <f>IF($L137="","",IF((OV_SWITCH="ON")*(COUNTIFS(OVR_TICKERS,INDEX(HSI!$C$7:$C$106,$N137),OVR_BASE,"&gt;=0")&gt;0)&gt;0,"stock overridden",""))</f>
        <v/>
      </c>
      <c r="L137" s="35">
        <f>IFERROR(IF(SMALL(Grids!$EE$12:$GQ$111,$M$7+128)&gt;=PEND_TO,"",SMALL(Grids!$EE$12:$GQ$111,$M$7+128)),"")</f>
        <v/>
      </c>
      <c r="M137" s="35">
        <f>IF($L137="","",INT($L137/1000000000))</f>
        <v/>
      </c>
      <c r="N137" s="35">
        <f>IF($L137="","",INT(($L137-INT($L137/1000000)*1000000)/1000))</f>
        <v/>
      </c>
      <c r="O137" s="35">
        <f>IF($L137="","",$L137-INT($L137/1000)*1000)</f>
        <v/>
      </c>
      <c r="P137" s="35">
        <f>IF($L137="","",INT(($L137-INT($L137/1000000000)*1000000000)/100000000))</f>
        <v/>
      </c>
    </row>
    <row r="138">
      <c r="B138" s="39">
        <f>IF($L138="","",$M138)</f>
        <v/>
      </c>
      <c r="C138" s="18">
        <f>IF($L138="","",INDEX(HSI!$C$7:$C$106,$N138))</f>
        <v/>
      </c>
      <c r="D138" s="18">
        <f>IF($L138="","",INDEX(HSI!$D$7:$D$106,$N138))</f>
        <v/>
      </c>
      <c r="E138" s="40">
        <f>IF($L138="","",IF($P138=0,"TBA",IFERROR(INDEX(Grids!$C$12:$BO$111,$N138,$O138),"-")))</f>
        <v/>
      </c>
      <c r="F138" s="18">
        <f>IF($L138="","",INDEX(HSI!$F$7:$F$106,$N138))</f>
        <v/>
      </c>
      <c r="G138" s="40">
        <f>IF($L138="","",IF($P138=0,"TBA",IFERROR(INDEX(Grids!$BQ$12:$EC$111,$N138,$O138),"-")))</f>
        <v/>
      </c>
      <c r="H138" s="41">
        <f>IF($L138="","",SUM($G$10:$G138))</f>
        <v/>
      </c>
      <c r="I138" s="42">
        <f>IF($L138="","",IF(INT(($L138-INT($L138/10000000)*10000000)/1000000)=0,"Bloomberg projection",IF($P138=1,"ANNOUNCED","ANNOUNCED - amount TBA")))</f>
        <v/>
      </c>
      <c r="J138" s="43">
        <f>IF($L138="","",IF((OV_SWITCH="ON")*(COUNTIFS(OVR_TICKERS,INDEX(HSI!$C$7:$C$106,$N138),OVR_BASE,"&gt;=0")&gt;0)&gt;0,"stock overridden",""))</f>
        <v/>
      </c>
      <c r="L138" s="35">
        <f>IFERROR(IF(SMALL(Grids!$EE$12:$GQ$111,$M$7+129)&gt;=PEND_TO,"",SMALL(Grids!$EE$12:$GQ$111,$M$7+129)),"")</f>
        <v/>
      </c>
      <c r="M138" s="35">
        <f>IF($L138="","",INT($L138/1000000000))</f>
        <v/>
      </c>
      <c r="N138" s="35">
        <f>IF($L138="","",INT(($L138-INT($L138/1000000)*1000000)/1000))</f>
        <v/>
      </c>
      <c r="O138" s="35">
        <f>IF($L138="","",$L138-INT($L138/1000)*1000)</f>
        <v/>
      </c>
      <c r="P138" s="35">
        <f>IF($L138="","",INT(($L138-INT($L138/1000000000)*1000000000)/100000000))</f>
        <v/>
      </c>
    </row>
    <row r="139">
      <c r="B139" s="39">
        <f>IF($L139="","",$M139)</f>
        <v/>
      </c>
      <c r="C139" s="18">
        <f>IF($L139="","",INDEX(HSI!$C$7:$C$106,$N139))</f>
        <v/>
      </c>
      <c r="D139" s="18">
        <f>IF($L139="","",INDEX(HSI!$D$7:$D$106,$N139))</f>
        <v/>
      </c>
      <c r="E139" s="40">
        <f>IF($L139="","",IF($P139=0,"TBA",IFERROR(INDEX(Grids!$C$12:$BO$111,$N139,$O139),"-")))</f>
        <v/>
      </c>
      <c r="F139" s="18">
        <f>IF($L139="","",INDEX(HSI!$F$7:$F$106,$N139))</f>
        <v/>
      </c>
      <c r="G139" s="40">
        <f>IF($L139="","",IF($P139=0,"TBA",IFERROR(INDEX(Grids!$BQ$12:$EC$111,$N139,$O139),"-")))</f>
        <v/>
      </c>
      <c r="H139" s="41">
        <f>IF($L139="","",SUM($G$10:$G139))</f>
        <v/>
      </c>
      <c r="I139" s="42">
        <f>IF($L139="","",IF(INT(($L139-INT($L139/10000000)*10000000)/1000000)=0,"Bloomberg projection",IF($P139=1,"ANNOUNCED","ANNOUNCED - amount TBA")))</f>
        <v/>
      </c>
      <c r="J139" s="43">
        <f>IF($L139="","",IF((OV_SWITCH="ON")*(COUNTIFS(OVR_TICKERS,INDEX(HSI!$C$7:$C$106,$N139),OVR_BASE,"&gt;=0")&gt;0)&gt;0,"stock overridden",""))</f>
        <v/>
      </c>
      <c r="L139" s="35">
        <f>IFERROR(IF(SMALL(Grids!$EE$12:$GQ$111,$M$7+130)&gt;=PEND_TO,"",SMALL(Grids!$EE$12:$GQ$111,$M$7+130)),"")</f>
        <v/>
      </c>
      <c r="M139" s="35">
        <f>IF($L139="","",INT($L139/1000000000))</f>
        <v/>
      </c>
      <c r="N139" s="35">
        <f>IF($L139="","",INT(($L139-INT($L139/1000000)*1000000)/1000))</f>
        <v/>
      </c>
      <c r="O139" s="35">
        <f>IF($L139="","",$L139-INT($L139/1000)*1000)</f>
        <v/>
      </c>
      <c r="P139" s="35">
        <f>IF($L139="","",INT(($L139-INT($L139/1000000000)*1000000000)/100000000))</f>
        <v/>
      </c>
    </row>
    <row r="140">
      <c r="B140" s="39">
        <f>IF($L140="","",$M140)</f>
        <v/>
      </c>
      <c r="C140" s="18">
        <f>IF($L140="","",INDEX(HSI!$C$7:$C$106,$N140))</f>
        <v/>
      </c>
      <c r="D140" s="18">
        <f>IF($L140="","",INDEX(HSI!$D$7:$D$106,$N140))</f>
        <v/>
      </c>
      <c r="E140" s="40">
        <f>IF($L140="","",IF($P140=0,"TBA",IFERROR(INDEX(Grids!$C$12:$BO$111,$N140,$O140),"-")))</f>
        <v/>
      </c>
      <c r="F140" s="18">
        <f>IF($L140="","",INDEX(HSI!$F$7:$F$106,$N140))</f>
        <v/>
      </c>
      <c r="G140" s="40">
        <f>IF($L140="","",IF($P140=0,"TBA",IFERROR(INDEX(Grids!$BQ$12:$EC$111,$N140,$O140),"-")))</f>
        <v/>
      </c>
      <c r="H140" s="41">
        <f>IF($L140="","",SUM($G$10:$G140))</f>
        <v/>
      </c>
      <c r="I140" s="42">
        <f>IF($L140="","",IF(INT(($L140-INT($L140/10000000)*10000000)/1000000)=0,"Bloomberg projection",IF($P140=1,"ANNOUNCED","ANNOUNCED - amount TBA")))</f>
        <v/>
      </c>
      <c r="J140" s="43">
        <f>IF($L140="","",IF((OV_SWITCH="ON")*(COUNTIFS(OVR_TICKERS,INDEX(HSI!$C$7:$C$106,$N140),OVR_BASE,"&gt;=0")&gt;0)&gt;0,"stock overridden",""))</f>
        <v/>
      </c>
      <c r="L140" s="35">
        <f>IFERROR(IF(SMALL(Grids!$EE$12:$GQ$111,$M$7+131)&gt;=PEND_TO,"",SMALL(Grids!$EE$12:$GQ$111,$M$7+131)),"")</f>
        <v/>
      </c>
      <c r="M140" s="35">
        <f>IF($L140="","",INT($L140/1000000000))</f>
        <v/>
      </c>
      <c r="N140" s="35">
        <f>IF($L140="","",INT(($L140-INT($L140/1000000)*1000000)/1000))</f>
        <v/>
      </c>
      <c r="O140" s="35">
        <f>IF($L140="","",$L140-INT($L140/1000)*1000)</f>
        <v/>
      </c>
      <c r="P140" s="35">
        <f>IF($L140="","",INT(($L140-INT($L140/1000000000)*1000000000)/100000000))</f>
        <v/>
      </c>
    </row>
    <row r="141">
      <c r="B141" s="39">
        <f>IF($L141="","",$M141)</f>
        <v/>
      </c>
      <c r="C141" s="18">
        <f>IF($L141="","",INDEX(HSI!$C$7:$C$106,$N141))</f>
        <v/>
      </c>
      <c r="D141" s="18">
        <f>IF($L141="","",INDEX(HSI!$D$7:$D$106,$N141))</f>
        <v/>
      </c>
      <c r="E141" s="40">
        <f>IF($L141="","",IF($P141=0,"TBA",IFERROR(INDEX(Grids!$C$12:$BO$111,$N141,$O141),"-")))</f>
        <v/>
      </c>
      <c r="F141" s="18">
        <f>IF($L141="","",INDEX(HSI!$F$7:$F$106,$N141))</f>
        <v/>
      </c>
      <c r="G141" s="40">
        <f>IF($L141="","",IF($P141=0,"TBA",IFERROR(INDEX(Grids!$BQ$12:$EC$111,$N141,$O141),"-")))</f>
        <v/>
      </c>
      <c r="H141" s="41">
        <f>IF($L141="","",SUM($G$10:$G141))</f>
        <v/>
      </c>
      <c r="I141" s="42">
        <f>IF($L141="","",IF(INT(($L141-INT($L141/10000000)*10000000)/1000000)=0,"Bloomberg projection",IF($P141=1,"ANNOUNCED","ANNOUNCED - amount TBA")))</f>
        <v/>
      </c>
      <c r="J141" s="43">
        <f>IF($L141="","",IF((OV_SWITCH="ON")*(COUNTIFS(OVR_TICKERS,INDEX(HSI!$C$7:$C$106,$N141),OVR_BASE,"&gt;=0")&gt;0)&gt;0,"stock overridden",""))</f>
        <v/>
      </c>
      <c r="L141" s="35">
        <f>IFERROR(IF(SMALL(Grids!$EE$12:$GQ$111,$M$7+132)&gt;=PEND_TO,"",SMALL(Grids!$EE$12:$GQ$111,$M$7+132)),"")</f>
        <v/>
      </c>
      <c r="M141" s="35">
        <f>IF($L141="","",INT($L141/1000000000))</f>
        <v/>
      </c>
      <c r="N141" s="35">
        <f>IF($L141="","",INT(($L141-INT($L141/1000000)*1000000)/1000))</f>
        <v/>
      </c>
      <c r="O141" s="35">
        <f>IF($L141="","",$L141-INT($L141/1000)*1000)</f>
        <v/>
      </c>
      <c r="P141" s="35">
        <f>IF($L141="","",INT(($L141-INT($L141/1000000000)*1000000000)/100000000))</f>
        <v/>
      </c>
    </row>
    <row r="142">
      <c r="B142" s="39">
        <f>IF($L142="","",$M142)</f>
        <v/>
      </c>
      <c r="C142" s="18">
        <f>IF($L142="","",INDEX(HSI!$C$7:$C$106,$N142))</f>
        <v/>
      </c>
      <c r="D142" s="18">
        <f>IF($L142="","",INDEX(HSI!$D$7:$D$106,$N142))</f>
        <v/>
      </c>
      <c r="E142" s="40">
        <f>IF($L142="","",IF($P142=0,"TBA",IFERROR(INDEX(Grids!$C$12:$BO$111,$N142,$O142),"-")))</f>
        <v/>
      </c>
      <c r="F142" s="18">
        <f>IF($L142="","",INDEX(HSI!$F$7:$F$106,$N142))</f>
        <v/>
      </c>
      <c r="G142" s="40">
        <f>IF($L142="","",IF($P142=0,"TBA",IFERROR(INDEX(Grids!$BQ$12:$EC$111,$N142,$O142),"-")))</f>
        <v/>
      </c>
      <c r="H142" s="41">
        <f>IF($L142="","",SUM($G$10:$G142))</f>
        <v/>
      </c>
      <c r="I142" s="42">
        <f>IF($L142="","",IF(INT(($L142-INT($L142/10000000)*10000000)/1000000)=0,"Bloomberg projection",IF($P142=1,"ANNOUNCED","ANNOUNCED - amount TBA")))</f>
        <v/>
      </c>
      <c r="J142" s="43">
        <f>IF($L142="","",IF((OV_SWITCH="ON")*(COUNTIFS(OVR_TICKERS,INDEX(HSI!$C$7:$C$106,$N142),OVR_BASE,"&gt;=0")&gt;0)&gt;0,"stock overridden",""))</f>
        <v/>
      </c>
      <c r="L142" s="35">
        <f>IFERROR(IF(SMALL(Grids!$EE$12:$GQ$111,$M$7+133)&gt;=PEND_TO,"",SMALL(Grids!$EE$12:$GQ$111,$M$7+133)),"")</f>
        <v/>
      </c>
      <c r="M142" s="35">
        <f>IF($L142="","",INT($L142/1000000000))</f>
        <v/>
      </c>
      <c r="N142" s="35">
        <f>IF($L142="","",INT(($L142-INT($L142/1000000)*1000000)/1000))</f>
        <v/>
      </c>
      <c r="O142" s="35">
        <f>IF($L142="","",$L142-INT($L142/1000)*1000)</f>
        <v/>
      </c>
      <c r="P142" s="35">
        <f>IF($L142="","",INT(($L142-INT($L142/1000000000)*1000000000)/100000000))</f>
        <v/>
      </c>
    </row>
    <row r="143">
      <c r="B143" s="39">
        <f>IF($L143="","",$M143)</f>
        <v/>
      </c>
      <c r="C143" s="18">
        <f>IF($L143="","",INDEX(HSI!$C$7:$C$106,$N143))</f>
        <v/>
      </c>
      <c r="D143" s="18">
        <f>IF($L143="","",INDEX(HSI!$D$7:$D$106,$N143))</f>
        <v/>
      </c>
      <c r="E143" s="40">
        <f>IF($L143="","",IF($P143=0,"TBA",IFERROR(INDEX(Grids!$C$12:$BO$111,$N143,$O143),"-")))</f>
        <v/>
      </c>
      <c r="F143" s="18">
        <f>IF($L143="","",INDEX(HSI!$F$7:$F$106,$N143))</f>
        <v/>
      </c>
      <c r="G143" s="40">
        <f>IF($L143="","",IF($P143=0,"TBA",IFERROR(INDEX(Grids!$BQ$12:$EC$111,$N143,$O143),"-")))</f>
        <v/>
      </c>
      <c r="H143" s="41">
        <f>IF($L143="","",SUM($G$10:$G143))</f>
        <v/>
      </c>
      <c r="I143" s="42">
        <f>IF($L143="","",IF(INT(($L143-INT($L143/10000000)*10000000)/1000000)=0,"Bloomberg projection",IF($P143=1,"ANNOUNCED","ANNOUNCED - amount TBA")))</f>
        <v/>
      </c>
      <c r="J143" s="43">
        <f>IF($L143="","",IF((OV_SWITCH="ON")*(COUNTIFS(OVR_TICKERS,INDEX(HSI!$C$7:$C$106,$N143),OVR_BASE,"&gt;=0")&gt;0)&gt;0,"stock overridden",""))</f>
        <v/>
      </c>
      <c r="L143" s="35">
        <f>IFERROR(IF(SMALL(Grids!$EE$12:$GQ$111,$M$7+134)&gt;=PEND_TO,"",SMALL(Grids!$EE$12:$GQ$111,$M$7+134)),"")</f>
        <v/>
      </c>
      <c r="M143" s="35">
        <f>IF($L143="","",INT($L143/1000000000))</f>
        <v/>
      </c>
      <c r="N143" s="35">
        <f>IF($L143="","",INT(($L143-INT($L143/1000000)*1000000)/1000))</f>
        <v/>
      </c>
      <c r="O143" s="35">
        <f>IF($L143="","",$L143-INT($L143/1000)*1000)</f>
        <v/>
      </c>
      <c r="P143" s="35">
        <f>IF($L143="","",INT(($L143-INT($L143/1000000000)*1000000000)/100000000))</f>
        <v/>
      </c>
    </row>
    <row r="144">
      <c r="B144" s="39">
        <f>IF($L144="","",$M144)</f>
        <v/>
      </c>
      <c r="C144" s="18">
        <f>IF($L144="","",INDEX(HSI!$C$7:$C$106,$N144))</f>
        <v/>
      </c>
      <c r="D144" s="18">
        <f>IF($L144="","",INDEX(HSI!$D$7:$D$106,$N144))</f>
        <v/>
      </c>
      <c r="E144" s="40">
        <f>IF($L144="","",IF($P144=0,"TBA",IFERROR(INDEX(Grids!$C$12:$BO$111,$N144,$O144),"-")))</f>
        <v/>
      </c>
      <c r="F144" s="18">
        <f>IF($L144="","",INDEX(HSI!$F$7:$F$106,$N144))</f>
        <v/>
      </c>
      <c r="G144" s="40">
        <f>IF($L144="","",IF($P144=0,"TBA",IFERROR(INDEX(Grids!$BQ$12:$EC$111,$N144,$O144),"-")))</f>
        <v/>
      </c>
      <c r="H144" s="41">
        <f>IF($L144="","",SUM($G$10:$G144))</f>
        <v/>
      </c>
      <c r="I144" s="42">
        <f>IF($L144="","",IF(INT(($L144-INT($L144/10000000)*10000000)/1000000)=0,"Bloomberg projection",IF($P144=1,"ANNOUNCED","ANNOUNCED - amount TBA")))</f>
        <v/>
      </c>
      <c r="J144" s="43">
        <f>IF($L144="","",IF((OV_SWITCH="ON")*(COUNTIFS(OVR_TICKERS,INDEX(HSI!$C$7:$C$106,$N144),OVR_BASE,"&gt;=0")&gt;0)&gt;0,"stock overridden",""))</f>
        <v/>
      </c>
      <c r="L144" s="35">
        <f>IFERROR(IF(SMALL(Grids!$EE$12:$GQ$111,$M$7+135)&gt;=PEND_TO,"",SMALL(Grids!$EE$12:$GQ$111,$M$7+135)),"")</f>
        <v/>
      </c>
      <c r="M144" s="35">
        <f>IF($L144="","",INT($L144/1000000000))</f>
        <v/>
      </c>
      <c r="N144" s="35">
        <f>IF($L144="","",INT(($L144-INT($L144/1000000)*1000000)/1000))</f>
        <v/>
      </c>
      <c r="O144" s="35">
        <f>IF($L144="","",$L144-INT($L144/1000)*1000)</f>
        <v/>
      </c>
      <c r="P144" s="35">
        <f>IF($L144="","",INT(($L144-INT($L144/1000000000)*1000000000)/100000000))</f>
        <v/>
      </c>
    </row>
    <row r="145">
      <c r="B145" s="39">
        <f>IF($L145="","",$M145)</f>
        <v/>
      </c>
      <c r="C145" s="18">
        <f>IF($L145="","",INDEX(HSI!$C$7:$C$106,$N145))</f>
        <v/>
      </c>
      <c r="D145" s="18">
        <f>IF($L145="","",INDEX(HSI!$D$7:$D$106,$N145))</f>
        <v/>
      </c>
      <c r="E145" s="40">
        <f>IF($L145="","",IF($P145=0,"TBA",IFERROR(INDEX(Grids!$C$12:$BO$111,$N145,$O145),"-")))</f>
        <v/>
      </c>
      <c r="F145" s="18">
        <f>IF($L145="","",INDEX(HSI!$F$7:$F$106,$N145))</f>
        <v/>
      </c>
      <c r="G145" s="40">
        <f>IF($L145="","",IF($P145=0,"TBA",IFERROR(INDEX(Grids!$BQ$12:$EC$111,$N145,$O145),"-")))</f>
        <v/>
      </c>
      <c r="H145" s="41">
        <f>IF($L145="","",SUM($G$10:$G145))</f>
        <v/>
      </c>
      <c r="I145" s="42">
        <f>IF($L145="","",IF(INT(($L145-INT($L145/10000000)*10000000)/1000000)=0,"Bloomberg projection",IF($P145=1,"ANNOUNCED","ANNOUNCED - amount TBA")))</f>
        <v/>
      </c>
      <c r="J145" s="43">
        <f>IF($L145="","",IF((OV_SWITCH="ON")*(COUNTIFS(OVR_TICKERS,INDEX(HSI!$C$7:$C$106,$N145),OVR_BASE,"&gt;=0")&gt;0)&gt;0,"stock overridden",""))</f>
        <v/>
      </c>
      <c r="L145" s="35">
        <f>IFERROR(IF(SMALL(Grids!$EE$12:$GQ$111,$M$7+136)&gt;=PEND_TO,"",SMALL(Grids!$EE$12:$GQ$111,$M$7+136)),"")</f>
        <v/>
      </c>
      <c r="M145" s="35">
        <f>IF($L145="","",INT($L145/1000000000))</f>
        <v/>
      </c>
      <c r="N145" s="35">
        <f>IF($L145="","",INT(($L145-INT($L145/1000000)*1000000)/1000))</f>
        <v/>
      </c>
      <c r="O145" s="35">
        <f>IF($L145="","",$L145-INT($L145/1000)*1000)</f>
        <v/>
      </c>
      <c r="P145" s="35">
        <f>IF($L145="","",INT(($L145-INT($L145/1000000000)*1000000000)/100000000))</f>
        <v/>
      </c>
    </row>
    <row r="146">
      <c r="B146" s="39">
        <f>IF($L146="","",$M146)</f>
        <v/>
      </c>
      <c r="C146" s="18">
        <f>IF($L146="","",INDEX(HSI!$C$7:$C$106,$N146))</f>
        <v/>
      </c>
      <c r="D146" s="18">
        <f>IF($L146="","",INDEX(HSI!$D$7:$D$106,$N146))</f>
        <v/>
      </c>
      <c r="E146" s="40">
        <f>IF($L146="","",IF($P146=0,"TBA",IFERROR(INDEX(Grids!$C$12:$BO$111,$N146,$O146),"-")))</f>
        <v/>
      </c>
      <c r="F146" s="18">
        <f>IF($L146="","",INDEX(HSI!$F$7:$F$106,$N146))</f>
        <v/>
      </c>
      <c r="G146" s="40">
        <f>IF($L146="","",IF($P146=0,"TBA",IFERROR(INDEX(Grids!$BQ$12:$EC$111,$N146,$O146),"-")))</f>
        <v/>
      </c>
      <c r="H146" s="41">
        <f>IF($L146="","",SUM($G$10:$G146))</f>
        <v/>
      </c>
      <c r="I146" s="42">
        <f>IF($L146="","",IF(INT(($L146-INT($L146/10000000)*10000000)/1000000)=0,"Bloomberg projection",IF($P146=1,"ANNOUNCED","ANNOUNCED - amount TBA")))</f>
        <v/>
      </c>
      <c r="J146" s="43">
        <f>IF($L146="","",IF((OV_SWITCH="ON")*(COUNTIFS(OVR_TICKERS,INDEX(HSI!$C$7:$C$106,$N146),OVR_BASE,"&gt;=0")&gt;0)&gt;0,"stock overridden",""))</f>
        <v/>
      </c>
      <c r="L146" s="35">
        <f>IFERROR(IF(SMALL(Grids!$EE$12:$GQ$111,$M$7+137)&gt;=PEND_TO,"",SMALL(Grids!$EE$12:$GQ$111,$M$7+137)),"")</f>
        <v/>
      </c>
      <c r="M146" s="35">
        <f>IF($L146="","",INT($L146/1000000000))</f>
        <v/>
      </c>
      <c r="N146" s="35">
        <f>IF($L146="","",INT(($L146-INT($L146/1000000)*1000000)/1000))</f>
        <v/>
      </c>
      <c r="O146" s="35">
        <f>IF($L146="","",$L146-INT($L146/1000)*1000)</f>
        <v/>
      </c>
      <c r="P146" s="35">
        <f>IF($L146="","",INT(($L146-INT($L146/1000000000)*1000000000)/100000000))</f>
        <v/>
      </c>
    </row>
    <row r="147">
      <c r="B147" s="39">
        <f>IF($L147="","",$M147)</f>
        <v/>
      </c>
      <c r="C147" s="18">
        <f>IF($L147="","",INDEX(HSI!$C$7:$C$106,$N147))</f>
        <v/>
      </c>
      <c r="D147" s="18">
        <f>IF($L147="","",INDEX(HSI!$D$7:$D$106,$N147))</f>
        <v/>
      </c>
      <c r="E147" s="40">
        <f>IF($L147="","",IF($P147=0,"TBA",IFERROR(INDEX(Grids!$C$12:$BO$111,$N147,$O147),"-")))</f>
        <v/>
      </c>
      <c r="F147" s="18">
        <f>IF($L147="","",INDEX(HSI!$F$7:$F$106,$N147))</f>
        <v/>
      </c>
      <c r="G147" s="40">
        <f>IF($L147="","",IF($P147=0,"TBA",IFERROR(INDEX(Grids!$BQ$12:$EC$111,$N147,$O147),"-")))</f>
        <v/>
      </c>
      <c r="H147" s="41">
        <f>IF($L147="","",SUM($G$10:$G147))</f>
        <v/>
      </c>
      <c r="I147" s="42">
        <f>IF($L147="","",IF(INT(($L147-INT($L147/10000000)*10000000)/1000000)=0,"Bloomberg projection",IF($P147=1,"ANNOUNCED","ANNOUNCED - amount TBA")))</f>
        <v/>
      </c>
      <c r="J147" s="43">
        <f>IF($L147="","",IF((OV_SWITCH="ON")*(COUNTIFS(OVR_TICKERS,INDEX(HSI!$C$7:$C$106,$N147),OVR_BASE,"&gt;=0")&gt;0)&gt;0,"stock overridden",""))</f>
        <v/>
      </c>
      <c r="L147" s="35">
        <f>IFERROR(IF(SMALL(Grids!$EE$12:$GQ$111,$M$7+138)&gt;=PEND_TO,"",SMALL(Grids!$EE$12:$GQ$111,$M$7+138)),"")</f>
        <v/>
      </c>
      <c r="M147" s="35">
        <f>IF($L147="","",INT($L147/1000000000))</f>
        <v/>
      </c>
      <c r="N147" s="35">
        <f>IF($L147="","",INT(($L147-INT($L147/1000000)*1000000)/1000))</f>
        <v/>
      </c>
      <c r="O147" s="35">
        <f>IF($L147="","",$L147-INT($L147/1000)*1000)</f>
        <v/>
      </c>
      <c r="P147" s="35">
        <f>IF($L147="","",INT(($L147-INT($L147/1000000000)*1000000000)/100000000))</f>
        <v/>
      </c>
    </row>
    <row r="148">
      <c r="B148" s="39">
        <f>IF($L148="","",$M148)</f>
        <v/>
      </c>
      <c r="C148" s="18">
        <f>IF($L148="","",INDEX(HSI!$C$7:$C$106,$N148))</f>
        <v/>
      </c>
      <c r="D148" s="18">
        <f>IF($L148="","",INDEX(HSI!$D$7:$D$106,$N148))</f>
        <v/>
      </c>
      <c r="E148" s="40">
        <f>IF($L148="","",IF($P148=0,"TBA",IFERROR(INDEX(Grids!$C$12:$BO$111,$N148,$O148),"-")))</f>
        <v/>
      </c>
      <c r="F148" s="18">
        <f>IF($L148="","",INDEX(HSI!$F$7:$F$106,$N148))</f>
        <v/>
      </c>
      <c r="G148" s="40">
        <f>IF($L148="","",IF($P148=0,"TBA",IFERROR(INDEX(Grids!$BQ$12:$EC$111,$N148,$O148),"-")))</f>
        <v/>
      </c>
      <c r="H148" s="41">
        <f>IF($L148="","",SUM($G$10:$G148))</f>
        <v/>
      </c>
      <c r="I148" s="42">
        <f>IF($L148="","",IF(INT(($L148-INT($L148/10000000)*10000000)/1000000)=0,"Bloomberg projection",IF($P148=1,"ANNOUNCED","ANNOUNCED - amount TBA")))</f>
        <v/>
      </c>
      <c r="J148" s="43">
        <f>IF($L148="","",IF((OV_SWITCH="ON")*(COUNTIFS(OVR_TICKERS,INDEX(HSI!$C$7:$C$106,$N148),OVR_BASE,"&gt;=0")&gt;0)&gt;0,"stock overridden",""))</f>
        <v/>
      </c>
      <c r="L148" s="35">
        <f>IFERROR(IF(SMALL(Grids!$EE$12:$GQ$111,$M$7+139)&gt;=PEND_TO,"",SMALL(Grids!$EE$12:$GQ$111,$M$7+139)),"")</f>
        <v/>
      </c>
      <c r="M148" s="35">
        <f>IF($L148="","",INT($L148/1000000000))</f>
        <v/>
      </c>
      <c r="N148" s="35">
        <f>IF($L148="","",INT(($L148-INT($L148/1000000)*1000000)/1000))</f>
        <v/>
      </c>
      <c r="O148" s="35">
        <f>IF($L148="","",$L148-INT($L148/1000)*1000)</f>
        <v/>
      </c>
      <c r="P148" s="35">
        <f>IF($L148="","",INT(($L148-INT($L148/1000000000)*1000000000)/100000000))</f>
        <v/>
      </c>
    </row>
    <row r="149">
      <c r="B149" s="39">
        <f>IF($L149="","",$M149)</f>
        <v/>
      </c>
      <c r="C149" s="18">
        <f>IF($L149="","",INDEX(HSI!$C$7:$C$106,$N149))</f>
        <v/>
      </c>
      <c r="D149" s="18">
        <f>IF($L149="","",INDEX(HSI!$D$7:$D$106,$N149))</f>
        <v/>
      </c>
      <c r="E149" s="40">
        <f>IF($L149="","",IF($P149=0,"TBA",IFERROR(INDEX(Grids!$C$12:$BO$111,$N149,$O149),"-")))</f>
        <v/>
      </c>
      <c r="F149" s="18">
        <f>IF($L149="","",INDEX(HSI!$F$7:$F$106,$N149))</f>
        <v/>
      </c>
      <c r="G149" s="40">
        <f>IF($L149="","",IF($P149=0,"TBA",IFERROR(INDEX(Grids!$BQ$12:$EC$111,$N149,$O149),"-")))</f>
        <v/>
      </c>
      <c r="H149" s="41">
        <f>IF($L149="","",SUM($G$10:$G149))</f>
        <v/>
      </c>
      <c r="I149" s="42">
        <f>IF($L149="","",IF(INT(($L149-INT($L149/10000000)*10000000)/1000000)=0,"Bloomberg projection",IF($P149=1,"ANNOUNCED","ANNOUNCED - amount TBA")))</f>
        <v/>
      </c>
      <c r="J149" s="43">
        <f>IF($L149="","",IF((OV_SWITCH="ON")*(COUNTIFS(OVR_TICKERS,INDEX(HSI!$C$7:$C$106,$N149),OVR_BASE,"&gt;=0")&gt;0)&gt;0,"stock overridden",""))</f>
        <v/>
      </c>
      <c r="L149" s="35">
        <f>IFERROR(IF(SMALL(Grids!$EE$12:$GQ$111,$M$7+140)&gt;=PEND_TO,"",SMALL(Grids!$EE$12:$GQ$111,$M$7+140)),"")</f>
        <v/>
      </c>
      <c r="M149" s="35">
        <f>IF($L149="","",INT($L149/1000000000))</f>
        <v/>
      </c>
      <c r="N149" s="35">
        <f>IF($L149="","",INT(($L149-INT($L149/1000000)*1000000)/1000))</f>
        <v/>
      </c>
      <c r="O149" s="35">
        <f>IF($L149="","",$L149-INT($L149/1000)*1000)</f>
        <v/>
      </c>
      <c r="P149" s="35">
        <f>IF($L149="","",INT(($L149-INT($L149/1000000000)*1000000000)/100000000))</f>
        <v/>
      </c>
    </row>
    <row r="150">
      <c r="B150" s="39">
        <f>IF($L150="","",$M150)</f>
        <v/>
      </c>
      <c r="C150" s="18">
        <f>IF($L150="","",INDEX(HSI!$C$7:$C$106,$N150))</f>
        <v/>
      </c>
      <c r="D150" s="18">
        <f>IF($L150="","",INDEX(HSI!$D$7:$D$106,$N150))</f>
        <v/>
      </c>
      <c r="E150" s="40">
        <f>IF($L150="","",IF($P150=0,"TBA",IFERROR(INDEX(Grids!$C$12:$BO$111,$N150,$O150),"-")))</f>
        <v/>
      </c>
      <c r="F150" s="18">
        <f>IF($L150="","",INDEX(HSI!$F$7:$F$106,$N150))</f>
        <v/>
      </c>
      <c r="G150" s="40">
        <f>IF($L150="","",IF($P150=0,"TBA",IFERROR(INDEX(Grids!$BQ$12:$EC$111,$N150,$O150),"-")))</f>
        <v/>
      </c>
      <c r="H150" s="41">
        <f>IF($L150="","",SUM($G$10:$G150))</f>
        <v/>
      </c>
      <c r="I150" s="42">
        <f>IF($L150="","",IF(INT(($L150-INT($L150/10000000)*10000000)/1000000)=0,"Bloomberg projection",IF($P150=1,"ANNOUNCED","ANNOUNCED - amount TBA")))</f>
        <v/>
      </c>
      <c r="J150" s="43">
        <f>IF($L150="","",IF((OV_SWITCH="ON")*(COUNTIFS(OVR_TICKERS,INDEX(HSI!$C$7:$C$106,$N150),OVR_BASE,"&gt;=0")&gt;0)&gt;0,"stock overridden",""))</f>
        <v/>
      </c>
      <c r="L150" s="35">
        <f>IFERROR(IF(SMALL(Grids!$EE$12:$GQ$111,$M$7+141)&gt;=PEND_TO,"",SMALL(Grids!$EE$12:$GQ$111,$M$7+141)),"")</f>
        <v/>
      </c>
      <c r="M150" s="35">
        <f>IF($L150="","",INT($L150/1000000000))</f>
        <v/>
      </c>
      <c r="N150" s="35">
        <f>IF($L150="","",INT(($L150-INT($L150/1000000)*1000000)/1000))</f>
        <v/>
      </c>
      <c r="O150" s="35">
        <f>IF($L150="","",$L150-INT($L150/1000)*1000)</f>
        <v/>
      </c>
      <c r="P150" s="35">
        <f>IF($L150="","",INT(($L150-INT($L150/1000000000)*1000000000)/100000000))</f>
        <v/>
      </c>
    </row>
    <row r="151">
      <c r="B151" s="39">
        <f>IF($L151="","",$M151)</f>
        <v/>
      </c>
      <c r="C151" s="18">
        <f>IF($L151="","",INDEX(HSI!$C$7:$C$106,$N151))</f>
        <v/>
      </c>
      <c r="D151" s="18">
        <f>IF($L151="","",INDEX(HSI!$D$7:$D$106,$N151))</f>
        <v/>
      </c>
      <c r="E151" s="40">
        <f>IF($L151="","",IF($P151=0,"TBA",IFERROR(INDEX(Grids!$C$12:$BO$111,$N151,$O151),"-")))</f>
        <v/>
      </c>
      <c r="F151" s="18">
        <f>IF($L151="","",INDEX(HSI!$F$7:$F$106,$N151))</f>
        <v/>
      </c>
      <c r="G151" s="40">
        <f>IF($L151="","",IF($P151=0,"TBA",IFERROR(INDEX(Grids!$BQ$12:$EC$111,$N151,$O151),"-")))</f>
        <v/>
      </c>
      <c r="H151" s="41">
        <f>IF($L151="","",SUM($G$10:$G151))</f>
        <v/>
      </c>
      <c r="I151" s="42">
        <f>IF($L151="","",IF(INT(($L151-INT($L151/10000000)*10000000)/1000000)=0,"Bloomberg projection",IF($P151=1,"ANNOUNCED","ANNOUNCED - amount TBA")))</f>
        <v/>
      </c>
      <c r="J151" s="43">
        <f>IF($L151="","",IF((OV_SWITCH="ON")*(COUNTIFS(OVR_TICKERS,INDEX(HSI!$C$7:$C$106,$N151),OVR_BASE,"&gt;=0")&gt;0)&gt;0,"stock overridden",""))</f>
        <v/>
      </c>
      <c r="L151" s="35">
        <f>IFERROR(IF(SMALL(Grids!$EE$12:$GQ$111,$M$7+142)&gt;=PEND_TO,"",SMALL(Grids!$EE$12:$GQ$111,$M$7+142)),"")</f>
        <v/>
      </c>
      <c r="M151" s="35">
        <f>IF($L151="","",INT($L151/1000000000))</f>
        <v/>
      </c>
      <c r="N151" s="35">
        <f>IF($L151="","",INT(($L151-INT($L151/1000000)*1000000)/1000))</f>
        <v/>
      </c>
      <c r="O151" s="35">
        <f>IF($L151="","",$L151-INT($L151/1000)*1000)</f>
        <v/>
      </c>
      <c r="P151" s="35">
        <f>IF($L151="","",INT(($L151-INT($L151/1000000000)*1000000000)/100000000))</f>
        <v/>
      </c>
    </row>
    <row r="152">
      <c r="B152" s="39">
        <f>IF($L152="","",$M152)</f>
        <v/>
      </c>
      <c r="C152" s="18">
        <f>IF($L152="","",INDEX(HSI!$C$7:$C$106,$N152))</f>
        <v/>
      </c>
      <c r="D152" s="18">
        <f>IF($L152="","",INDEX(HSI!$D$7:$D$106,$N152))</f>
        <v/>
      </c>
      <c r="E152" s="40">
        <f>IF($L152="","",IF($P152=0,"TBA",IFERROR(INDEX(Grids!$C$12:$BO$111,$N152,$O152),"-")))</f>
        <v/>
      </c>
      <c r="F152" s="18">
        <f>IF($L152="","",INDEX(HSI!$F$7:$F$106,$N152))</f>
        <v/>
      </c>
      <c r="G152" s="40">
        <f>IF($L152="","",IF($P152=0,"TBA",IFERROR(INDEX(Grids!$BQ$12:$EC$111,$N152,$O152),"-")))</f>
        <v/>
      </c>
      <c r="H152" s="41">
        <f>IF($L152="","",SUM($G$10:$G152))</f>
        <v/>
      </c>
      <c r="I152" s="42">
        <f>IF($L152="","",IF(INT(($L152-INT($L152/10000000)*10000000)/1000000)=0,"Bloomberg projection",IF($P152=1,"ANNOUNCED","ANNOUNCED - amount TBA")))</f>
        <v/>
      </c>
      <c r="J152" s="43">
        <f>IF($L152="","",IF((OV_SWITCH="ON")*(COUNTIFS(OVR_TICKERS,INDEX(HSI!$C$7:$C$106,$N152),OVR_BASE,"&gt;=0")&gt;0)&gt;0,"stock overridden",""))</f>
        <v/>
      </c>
      <c r="L152" s="35">
        <f>IFERROR(IF(SMALL(Grids!$EE$12:$GQ$111,$M$7+143)&gt;=PEND_TO,"",SMALL(Grids!$EE$12:$GQ$111,$M$7+143)),"")</f>
        <v/>
      </c>
      <c r="M152" s="35">
        <f>IF($L152="","",INT($L152/1000000000))</f>
        <v/>
      </c>
      <c r="N152" s="35">
        <f>IF($L152="","",INT(($L152-INT($L152/1000000)*1000000)/1000))</f>
        <v/>
      </c>
      <c r="O152" s="35">
        <f>IF($L152="","",$L152-INT($L152/1000)*1000)</f>
        <v/>
      </c>
      <c r="P152" s="35">
        <f>IF($L152="","",INT(($L152-INT($L152/1000000000)*1000000000)/100000000))</f>
        <v/>
      </c>
    </row>
    <row r="153">
      <c r="B153" s="39">
        <f>IF($L153="","",$M153)</f>
        <v/>
      </c>
      <c r="C153" s="18">
        <f>IF($L153="","",INDEX(HSI!$C$7:$C$106,$N153))</f>
        <v/>
      </c>
      <c r="D153" s="18">
        <f>IF($L153="","",INDEX(HSI!$D$7:$D$106,$N153))</f>
        <v/>
      </c>
      <c r="E153" s="40">
        <f>IF($L153="","",IF($P153=0,"TBA",IFERROR(INDEX(Grids!$C$12:$BO$111,$N153,$O153),"-")))</f>
        <v/>
      </c>
      <c r="F153" s="18">
        <f>IF($L153="","",INDEX(HSI!$F$7:$F$106,$N153))</f>
        <v/>
      </c>
      <c r="G153" s="40">
        <f>IF($L153="","",IF($P153=0,"TBA",IFERROR(INDEX(Grids!$BQ$12:$EC$111,$N153,$O153),"-")))</f>
        <v/>
      </c>
      <c r="H153" s="41">
        <f>IF($L153="","",SUM($G$10:$G153))</f>
        <v/>
      </c>
      <c r="I153" s="42">
        <f>IF($L153="","",IF(INT(($L153-INT($L153/10000000)*10000000)/1000000)=0,"Bloomberg projection",IF($P153=1,"ANNOUNCED","ANNOUNCED - amount TBA")))</f>
        <v/>
      </c>
      <c r="J153" s="43">
        <f>IF($L153="","",IF((OV_SWITCH="ON")*(COUNTIFS(OVR_TICKERS,INDEX(HSI!$C$7:$C$106,$N153),OVR_BASE,"&gt;=0")&gt;0)&gt;0,"stock overridden",""))</f>
        <v/>
      </c>
      <c r="L153" s="35">
        <f>IFERROR(IF(SMALL(Grids!$EE$12:$GQ$111,$M$7+144)&gt;=PEND_TO,"",SMALL(Grids!$EE$12:$GQ$111,$M$7+144)),"")</f>
        <v/>
      </c>
      <c r="M153" s="35">
        <f>IF($L153="","",INT($L153/1000000000))</f>
        <v/>
      </c>
      <c r="N153" s="35">
        <f>IF($L153="","",INT(($L153-INT($L153/1000000)*1000000)/1000))</f>
        <v/>
      </c>
      <c r="O153" s="35">
        <f>IF($L153="","",$L153-INT($L153/1000)*1000)</f>
        <v/>
      </c>
      <c r="P153" s="35">
        <f>IF($L153="","",INT(($L153-INT($L153/1000000000)*1000000000)/100000000))</f>
        <v/>
      </c>
    </row>
    <row r="154">
      <c r="B154" s="39">
        <f>IF($L154="","",$M154)</f>
        <v/>
      </c>
      <c r="C154" s="18">
        <f>IF($L154="","",INDEX(HSI!$C$7:$C$106,$N154))</f>
        <v/>
      </c>
      <c r="D154" s="18">
        <f>IF($L154="","",INDEX(HSI!$D$7:$D$106,$N154))</f>
        <v/>
      </c>
      <c r="E154" s="40">
        <f>IF($L154="","",IF($P154=0,"TBA",IFERROR(INDEX(Grids!$C$12:$BO$111,$N154,$O154),"-")))</f>
        <v/>
      </c>
      <c r="F154" s="18">
        <f>IF($L154="","",INDEX(HSI!$F$7:$F$106,$N154))</f>
        <v/>
      </c>
      <c r="G154" s="40">
        <f>IF($L154="","",IF($P154=0,"TBA",IFERROR(INDEX(Grids!$BQ$12:$EC$111,$N154,$O154),"-")))</f>
        <v/>
      </c>
      <c r="H154" s="41">
        <f>IF($L154="","",SUM($G$10:$G154))</f>
        <v/>
      </c>
      <c r="I154" s="42">
        <f>IF($L154="","",IF(INT(($L154-INT($L154/10000000)*10000000)/1000000)=0,"Bloomberg projection",IF($P154=1,"ANNOUNCED","ANNOUNCED - amount TBA")))</f>
        <v/>
      </c>
      <c r="J154" s="43">
        <f>IF($L154="","",IF((OV_SWITCH="ON")*(COUNTIFS(OVR_TICKERS,INDEX(HSI!$C$7:$C$106,$N154),OVR_BASE,"&gt;=0")&gt;0)&gt;0,"stock overridden",""))</f>
        <v/>
      </c>
      <c r="L154" s="35">
        <f>IFERROR(IF(SMALL(Grids!$EE$12:$GQ$111,$M$7+145)&gt;=PEND_TO,"",SMALL(Grids!$EE$12:$GQ$111,$M$7+145)),"")</f>
        <v/>
      </c>
      <c r="M154" s="35">
        <f>IF($L154="","",INT($L154/1000000000))</f>
        <v/>
      </c>
      <c r="N154" s="35">
        <f>IF($L154="","",INT(($L154-INT($L154/1000000)*1000000)/1000))</f>
        <v/>
      </c>
      <c r="O154" s="35">
        <f>IF($L154="","",$L154-INT($L154/1000)*1000)</f>
        <v/>
      </c>
      <c r="P154" s="35">
        <f>IF($L154="","",INT(($L154-INT($L154/1000000000)*1000000000)/100000000))</f>
        <v/>
      </c>
    </row>
    <row r="155">
      <c r="B155" s="39">
        <f>IF($L155="","",$M155)</f>
        <v/>
      </c>
      <c r="C155" s="18">
        <f>IF($L155="","",INDEX(HSI!$C$7:$C$106,$N155))</f>
        <v/>
      </c>
      <c r="D155" s="18">
        <f>IF($L155="","",INDEX(HSI!$D$7:$D$106,$N155))</f>
        <v/>
      </c>
      <c r="E155" s="40">
        <f>IF($L155="","",IF($P155=0,"TBA",IFERROR(INDEX(Grids!$C$12:$BO$111,$N155,$O155),"-")))</f>
        <v/>
      </c>
      <c r="F155" s="18">
        <f>IF($L155="","",INDEX(HSI!$F$7:$F$106,$N155))</f>
        <v/>
      </c>
      <c r="G155" s="40">
        <f>IF($L155="","",IF($P155=0,"TBA",IFERROR(INDEX(Grids!$BQ$12:$EC$111,$N155,$O155),"-")))</f>
        <v/>
      </c>
      <c r="H155" s="41">
        <f>IF($L155="","",SUM($G$10:$G155))</f>
        <v/>
      </c>
      <c r="I155" s="42">
        <f>IF($L155="","",IF(INT(($L155-INT($L155/10000000)*10000000)/1000000)=0,"Bloomberg projection",IF($P155=1,"ANNOUNCED","ANNOUNCED - amount TBA")))</f>
        <v/>
      </c>
      <c r="J155" s="43">
        <f>IF($L155="","",IF((OV_SWITCH="ON")*(COUNTIFS(OVR_TICKERS,INDEX(HSI!$C$7:$C$106,$N155),OVR_BASE,"&gt;=0")&gt;0)&gt;0,"stock overridden",""))</f>
        <v/>
      </c>
      <c r="L155" s="35">
        <f>IFERROR(IF(SMALL(Grids!$EE$12:$GQ$111,$M$7+146)&gt;=PEND_TO,"",SMALL(Grids!$EE$12:$GQ$111,$M$7+146)),"")</f>
        <v/>
      </c>
      <c r="M155" s="35">
        <f>IF($L155="","",INT($L155/1000000000))</f>
        <v/>
      </c>
      <c r="N155" s="35">
        <f>IF($L155="","",INT(($L155-INT($L155/1000000)*1000000)/1000))</f>
        <v/>
      </c>
      <c r="O155" s="35">
        <f>IF($L155="","",$L155-INT($L155/1000)*1000)</f>
        <v/>
      </c>
      <c r="P155" s="35">
        <f>IF($L155="","",INT(($L155-INT($L155/1000000000)*1000000000)/100000000))</f>
        <v/>
      </c>
    </row>
    <row r="156">
      <c r="B156" s="39">
        <f>IF($L156="","",$M156)</f>
        <v/>
      </c>
      <c r="C156" s="18">
        <f>IF($L156="","",INDEX(HSI!$C$7:$C$106,$N156))</f>
        <v/>
      </c>
      <c r="D156" s="18">
        <f>IF($L156="","",INDEX(HSI!$D$7:$D$106,$N156))</f>
        <v/>
      </c>
      <c r="E156" s="40">
        <f>IF($L156="","",IF($P156=0,"TBA",IFERROR(INDEX(Grids!$C$12:$BO$111,$N156,$O156),"-")))</f>
        <v/>
      </c>
      <c r="F156" s="18">
        <f>IF($L156="","",INDEX(HSI!$F$7:$F$106,$N156))</f>
        <v/>
      </c>
      <c r="G156" s="40">
        <f>IF($L156="","",IF($P156=0,"TBA",IFERROR(INDEX(Grids!$BQ$12:$EC$111,$N156,$O156),"-")))</f>
        <v/>
      </c>
      <c r="H156" s="41">
        <f>IF($L156="","",SUM($G$10:$G156))</f>
        <v/>
      </c>
      <c r="I156" s="42">
        <f>IF($L156="","",IF(INT(($L156-INT($L156/10000000)*10000000)/1000000)=0,"Bloomberg projection",IF($P156=1,"ANNOUNCED","ANNOUNCED - amount TBA")))</f>
        <v/>
      </c>
      <c r="J156" s="43">
        <f>IF($L156="","",IF((OV_SWITCH="ON")*(COUNTIFS(OVR_TICKERS,INDEX(HSI!$C$7:$C$106,$N156),OVR_BASE,"&gt;=0")&gt;0)&gt;0,"stock overridden",""))</f>
        <v/>
      </c>
      <c r="L156" s="35">
        <f>IFERROR(IF(SMALL(Grids!$EE$12:$GQ$111,$M$7+147)&gt;=PEND_TO,"",SMALL(Grids!$EE$12:$GQ$111,$M$7+147)),"")</f>
        <v/>
      </c>
      <c r="M156" s="35">
        <f>IF($L156="","",INT($L156/1000000000))</f>
        <v/>
      </c>
      <c r="N156" s="35">
        <f>IF($L156="","",INT(($L156-INT($L156/1000000)*1000000)/1000))</f>
        <v/>
      </c>
      <c r="O156" s="35">
        <f>IF($L156="","",$L156-INT($L156/1000)*1000)</f>
        <v/>
      </c>
      <c r="P156" s="35">
        <f>IF($L156="","",INT(($L156-INT($L156/1000000000)*1000000000)/100000000))</f>
        <v/>
      </c>
    </row>
    <row r="157">
      <c r="B157" s="39">
        <f>IF($L157="","",$M157)</f>
        <v/>
      </c>
      <c r="C157" s="18">
        <f>IF($L157="","",INDEX(HSI!$C$7:$C$106,$N157))</f>
        <v/>
      </c>
      <c r="D157" s="18">
        <f>IF($L157="","",INDEX(HSI!$D$7:$D$106,$N157))</f>
        <v/>
      </c>
      <c r="E157" s="40">
        <f>IF($L157="","",IF($P157=0,"TBA",IFERROR(INDEX(Grids!$C$12:$BO$111,$N157,$O157),"-")))</f>
        <v/>
      </c>
      <c r="F157" s="18">
        <f>IF($L157="","",INDEX(HSI!$F$7:$F$106,$N157))</f>
        <v/>
      </c>
      <c r="G157" s="40">
        <f>IF($L157="","",IF($P157=0,"TBA",IFERROR(INDEX(Grids!$BQ$12:$EC$111,$N157,$O157),"-")))</f>
        <v/>
      </c>
      <c r="H157" s="41">
        <f>IF($L157="","",SUM($G$10:$G157))</f>
        <v/>
      </c>
      <c r="I157" s="42">
        <f>IF($L157="","",IF(INT(($L157-INT($L157/10000000)*10000000)/1000000)=0,"Bloomberg projection",IF($P157=1,"ANNOUNCED","ANNOUNCED - amount TBA")))</f>
        <v/>
      </c>
      <c r="J157" s="43">
        <f>IF($L157="","",IF((OV_SWITCH="ON")*(COUNTIFS(OVR_TICKERS,INDEX(HSI!$C$7:$C$106,$N157),OVR_BASE,"&gt;=0")&gt;0)&gt;0,"stock overridden",""))</f>
        <v/>
      </c>
      <c r="L157" s="35">
        <f>IFERROR(IF(SMALL(Grids!$EE$12:$GQ$111,$M$7+148)&gt;=PEND_TO,"",SMALL(Grids!$EE$12:$GQ$111,$M$7+148)),"")</f>
        <v/>
      </c>
      <c r="M157" s="35">
        <f>IF($L157="","",INT($L157/1000000000))</f>
        <v/>
      </c>
      <c r="N157" s="35">
        <f>IF($L157="","",INT(($L157-INT($L157/1000000)*1000000)/1000))</f>
        <v/>
      </c>
      <c r="O157" s="35">
        <f>IF($L157="","",$L157-INT($L157/1000)*1000)</f>
        <v/>
      </c>
      <c r="P157" s="35">
        <f>IF($L157="","",INT(($L157-INT($L157/1000000000)*1000000000)/100000000))</f>
        <v/>
      </c>
    </row>
    <row r="158">
      <c r="B158" s="39">
        <f>IF($L158="","",$M158)</f>
        <v/>
      </c>
      <c r="C158" s="18">
        <f>IF($L158="","",INDEX(HSI!$C$7:$C$106,$N158))</f>
        <v/>
      </c>
      <c r="D158" s="18">
        <f>IF($L158="","",INDEX(HSI!$D$7:$D$106,$N158))</f>
        <v/>
      </c>
      <c r="E158" s="40">
        <f>IF($L158="","",IF($P158=0,"TBA",IFERROR(INDEX(Grids!$C$12:$BO$111,$N158,$O158),"-")))</f>
        <v/>
      </c>
      <c r="F158" s="18">
        <f>IF($L158="","",INDEX(HSI!$F$7:$F$106,$N158))</f>
        <v/>
      </c>
      <c r="G158" s="40">
        <f>IF($L158="","",IF($P158=0,"TBA",IFERROR(INDEX(Grids!$BQ$12:$EC$111,$N158,$O158),"-")))</f>
        <v/>
      </c>
      <c r="H158" s="41">
        <f>IF($L158="","",SUM($G$10:$G158))</f>
        <v/>
      </c>
      <c r="I158" s="42">
        <f>IF($L158="","",IF(INT(($L158-INT($L158/10000000)*10000000)/1000000)=0,"Bloomberg projection",IF($P158=1,"ANNOUNCED","ANNOUNCED - amount TBA")))</f>
        <v/>
      </c>
      <c r="J158" s="43">
        <f>IF($L158="","",IF((OV_SWITCH="ON")*(COUNTIFS(OVR_TICKERS,INDEX(HSI!$C$7:$C$106,$N158),OVR_BASE,"&gt;=0")&gt;0)&gt;0,"stock overridden",""))</f>
        <v/>
      </c>
      <c r="L158" s="35">
        <f>IFERROR(IF(SMALL(Grids!$EE$12:$GQ$111,$M$7+149)&gt;=PEND_TO,"",SMALL(Grids!$EE$12:$GQ$111,$M$7+149)),"")</f>
        <v/>
      </c>
      <c r="M158" s="35">
        <f>IF($L158="","",INT($L158/1000000000))</f>
        <v/>
      </c>
      <c r="N158" s="35">
        <f>IF($L158="","",INT(($L158-INT($L158/1000000)*1000000)/1000))</f>
        <v/>
      </c>
      <c r="O158" s="35">
        <f>IF($L158="","",$L158-INT($L158/1000)*1000)</f>
        <v/>
      </c>
      <c r="P158" s="35">
        <f>IF($L158="","",INT(($L158-INT($L158/1000000000)*1000000000)/100000000))</f>
        <v/>
      </c>
    </row>
    <row r="159">
      <c r="B159" s="39">
        <f>IF($L159="","",$M159)</f>
        <v/>
      </c>
      <c r="C159" s="18">
        <f>IF($L159="","",INDEX(HSI!$C$7:$C$106,$N159))</f>
        <v/>
      </c>
      <c r="D159" s="18">
        <f>IF($L159="","",INDEX(HSI!$D$7:$D$106,$N159))</f>
        <v/>
      </c>
      <c r="E159" s="40">
        <f>IF($L159="","",IF($P159=0,"TBA",IFERROR(INDEX(Grids!$C$12:$BO$111,$N159,$O159),"-")))</f>
        <v/>
      </c>
      <c r="F159" s="18">
        <f>IF($L159="","",INDEX(HSI!$F$7:$F$106,$N159))</f>
        <v/>
      </c>
      <c r="G159" s="40">
        <f>IF($L159="","",IF($P159=0,"TBA",IFERROR(INDEX(Grids!$BQ$12:$EC$111,$N159,$O159),"-")))</f>
        <v/>
      </c>
      <c r="H159" s="41">
        <f>IF($L159="","",SUM($G$10:$G159))</f>
        <v/>
      </c>
      <c r="I159" s="42">
        <f>IF($L159="","",IF(INT(($L159-INT($L159/10000000)*10000000)/1000000)=0,"Bloomberg projection",IF($P159=1,"ANNOUNCED","ANNOUNCED - amount TBA")))</f>
        <v/>
      </c>
      <c r="J159" s="43">
        <f>IF($L159="","",IF((OV_SWITCH="ON")*(COUNTIFS(OVR_TICKERS,INDEX(HSI!$C$7:$C$106,$N159),OVR_BASE,"&gt;=0")&gt;0)&gt;0,"stock overridden",""))</f>
        <v/>
      </c>
      <c r="L159" s="35">
        <f>IFERROR(IF(SMALL(Grids!$EE$12:$GQ$111,$M$7+150)&gt;=PEND_TO,"",SMALL(Grids!$EE$12:$GQ$111,$M$7+150)),"")</f>
        <v/>
      </c>
      <c r="M159" s="35">
        <f>IF($L159="","",INT($L159/1000000000))</f>
        <v/>
      </c>
      <c r="N159" s="35">
        <f>IF($L159="","",INT(($L159-INT($L159/1000000)*1000000)/1000))</f>
        <v/>
      </c>
      <c r="O159" s="35">
        <f>IF($L159="","",$L159-INT($L159/1000)*1000)</f>
        <v/>
      </c>
      <c r="P159" s="35">
        <f>IF($L159="","",INT(($L159-INT($L159/1000000000)*1000000000)/100000000))</f>
        <v/>
      </c>
    </row>
    <row r="160">
      <c r="B160" s="39">
        <f>IF($L160="","",$M160)</f>
        <v/>
      </c>
      <c r="C160" s="18">
        <f>IF($L160="","",INDEX(HSI!$C$7:$C$106,$N160))</f>
        <v/>
      </c>
      <c r="D160" s="18">
        <f>IF($L160="","",INDEX(HSI!$D$7:$D$106,$N160))</f>
        <v/>
      </c>
      <c r="E160" s="40">
        <f>IF($L160="","",IF($P160=0,"TBA",IFERROR(INDEX(Grids!$C$12:$BO$111,$N160,$O160),"-")))</f>
        <v/>
      </c>
      <c r="F160" s="18">
        <f>IF($L160="","",INDEX(HSI!$F$7:$F$106,$N160))</f>
        <v/>
      </c>
      <c r="G160" s="40">
        <f>IF($L160="","",IF($P160=0,"TBA",IFERROR(INDEX(Grids!$BQ$12:$EC$111,$N160,$O160),"-")))</f>
        <v/>
      </c>
      <c r="H160" s="41">
        <f>IF($L160="","",SUM($G$10:$G160))</f>
        <v/>
      </c>
      <c r="I160" s="42">
        <f>IF($L160="","",IF(INT(($L160-INT($L160/10000000)*10000000)/1000000)=0,"Bloomberg projection",IF($P160=1,"ANNOUNCED","ANNOUNCED - amount TBA")))</f>
        <v/>
      </c>
      <c r="J160" s="43">
        <f>IF($L160="","",IF((OV_SWITCH="ON")*(COUNTIFS(OVR_TICKERS,INDEX(HSI!$C$7:$C$106,$N160),OVR_BASE,"&gt;=0")&gt;0)&gt;0,"stock overridden",""))</f>
        <v/>
      </c>
      <c r="L160" s="35">
        <f>IFERROR(IF(SMALL(Grids!$EE$12:$GQ$111,$M$7+151)&gt;=PEND_TO,"",SMALL(Grids!$EE$12:$GQ$111,$M$7+151)),"")</f>
        <v/>
      </c>
      <c r="M160" s="35">
        <f>IF($L160="","",INT($L160/1000000000))</f>
        <v/>
      </c>
      <c r="N160" s="35">
        <f>IF($L160="","",INT(($L160-INT($L160/1000000)*1000000)/1000))</f>
        <v/>
      </c>
      <c r="O160" s="35">
        <f>IF($L160="","",$L160-INT($L160/1000)*1000)</f>
        <v/>
      </c>
      <c r="P160" s="35">
        <f>IF($L160="","",INT(($L160-INT($L160/1000000000)*1000000000)/100000000))</f>
        <v/>
      </c>
    </row>
    <row r="161">
      <c r="B161" s="39">
        <f>IF($L161="","",$M161)</f>
        <v/>
      </c>
      <c r="C161" s="18">
        <f>IF($L161="","",INDEX(HSI!$C$7:$C$106,$N161))</f>
        <v/>
      </c>
      <c r="D161" s="18">
        <f>IF($L161="","",INDEX(HSI!$D$7:$D$106,$N161))</f>
        <v/>
      </c>
      <c r="E161" s="40">
        <f>IF($L161="","",IF($P161=0,"TBA",IFERROR(INDEX(Grids!$C$12:$BO$111,$N161,$O161),"-")))</f>
        <v/>
      </c>
      <c r="F161" s="18">
        <f>IF($L161="","",INDEX(HSI!$F$7:$F$106,$N161))</f>
        <v/>
      </c>
      <c r="G161" s="40">
        <f>IF($L161="","",IF($P161=0,"TBA",IFERROR(INDEX(Grids!$BQ$12:$EC$111,$N161,$O161),"-")))</f>
        <v/>
      </c>
      <c r="H161" s="41">
        <f>IF($L161="","",SUM($G$10:$G161))</f>
        <v/>
      </c>
      <c r="I161" s="42">
        <f>IF($L161="","",IF(INT(($L161-INT($L161/10000000)*10000000)/1000000)=0,"Bloomberg projection",IF($P161=1,"ANNOUNCED","ANNOUNCED - amount TBA")))</f>
        <v/>
      </c>
      <c r="J161" s="43">
        <f>IF($L161="","",IF((OV_SWITCH="ON")*(COUNTIFS(OVR_TICKERS,INDEX(HSI!$C$7:$C$106,$N161),OVR_BASE,"&gt;=0")&gt;0)&gt;0,"stock overridden",""))</f>
        <v/>
      </c>
      <c r="L161" s="35">
        <f>IFERROR(IF(SMALL(Grids!$EE$12:$GQ$111,$M$7+152)&gt;=PEND_TO,"",SMALL(Grids!$EE$12:$GQ$111,$M$7+152)),"")</f>
        <v/>
      </c>
      <c r="M161" s="35">
        <f>IF($L161="","",INT($L161/1000000000))</f>
        <v/>
      </c>
      <c r="N161" s="35">
        <f>IF($L161="","",INT(($L161-INT($L161/1000000)*1000000)/1000))</f>
        <v/>
      </c>
      <c r="O161" s="35">
        <f>IF($L161="","",$L161-INT($L161/1000)*1000)</f>
        <v/>
      </c>
      <c r="P161" s="35">
        <f>IF($L161="","",INT(($L161-INT($L161/1000000000)*1000000000)/100000000))</f>
        <v/>
      </c>
    </row>
    <row r="162">
      <c r="B162" s="39">
        <f>IF($L162="","",$M162)</f>
        <v/>
      </c>
      <c r="C162" s="18">
        <f>IF($L162="","",INDEX(HSI!$C$7:$C$106,$N162))</f>
        <v/>
      </c>
      <c r="D162" s="18">
        <f>IF($L162="","",INDEX(HSI!$D$7:$D$106,$N162))</f>
        <v/>
      </c>
      <c r="E162" s="40">
        <f>IF($L162="","",IF($P162=0,"TBA",IFERROR(INDEX(Grids!$C$12:$BO$111,$N162,$O162),"-")))</f>
        <v/>
      </c>
      <c r="F162" s="18">
        <f>IF($L162="","",INDEX(HSI!$F$7:$F$106,$N162))</f>
        <v/>
      </c>
      <c r="G162" s="40">
        <f>IF($L162="","",IF($P162=0,"TBA",IFERROR(INDEX(Grids!$BQ$12:$EC$111,$N162,$O162),"-")))</f>
        <v/>
      </c>
      <c r="H162" s="41">
        <f>IF($L162="","",SUM($G$10:$G162))</f>
        <v/>
      </c>
      <c r="I162" s="42">
        <f>IF($L162="","",IF(INT(($L162-INT($L162/10000000)*10000000)/1000000)=0,"Bloomberg projection",IF($P162=1,"ANNOUNCED","ANNOUNCED - amount TBA")))</f>
        <v/>
      </c>
      <c r="J162" s="43">
        <f>IF($L162="","",IF((OV_SWITCH="ON")*(COUNTIFS(OVR_TICKERS,INDEX(HSI!$C$7:$C$106,$N162),OVR_BASE,"&gt;=0")&gt;0)&gt;0,"stock overridden",""))</f>
        <v/>
      </c>
      <c r="L162" s="35">
        <f>IFERROR(IF(SMALL(Grids!$EE$12:$GQ$111,$M$7+153)&gt;=PEND_TO,"",SMALL(Grids!$EE$12:$GQ$111,$M$7+153)),"")</f>
        <v/>
      </c>
      <c r="M162" s="35">
        <f>IF($L162="","",INT($L162/1000000000))</f>
        <v/>
      </c>
      <c r="N162" s="35">
        <f>IF($L162="","",INT(($L162-INT($L162/1000000)*1000000)/1000))</f>
        <v/>
      </c>
      <c r="O162" s="35">
        <f>IF($L162="","",$L162-INT($L162/1000)*1000)</f>
        <v/>
      </c>
      <c r="P162" s="35">
        <f>IF($L162="","",INT(($L162-INT($L162/1000000000)*1000000000)/100000000))</f>
        <v/>
      </c>
    </row>
    <row r="163">
      <c r="B163" s="39">
        <f>IF($L163="","",$M163)</f>
        <v/>
      </c>
      <c r="C163" s="18">
        <f>IF($L163="","",INDEX(HSI!$C$7:$C$106,$N163))</f>
        <v/>
      </c>
      <c r="D163" s="18">
        <f>IF($L163="","",INDEX(HSI!$D$7:$D$106,$N163))</f>
        <v/>
      </c>
      <c r="E163" s="40">
        <f>IF($L163="","",IF($P163=0,"TBA",IFERROR(INDEX(Grids!$C$12:$BO$111,$N163,$O163),"-")))</f>
        <v/>
      </c>
      <c r="F163" s="18">
        <f>IF($L163="","",INDEX(HSI!$F$7:$F$106,$N163))</f>
        <v/>
      </c>
      <c r="G163" s="40">
        <f>IF($L163="","",IF($P163=0,"TBA",IFERROR(INDEX(Grids!$BQ$12:$EC$111,$N163,$O163),"-")))</f>
        <v/>
      </c>
      <c r="H163" s="41">
        <f>IF($L163="","",SUM($G$10:$G163))</f>
        <v/>
      </c>
      <c r="I163" s="42">
        <f>IF($L163="","",IF(INT(($L163-INT($L163/10000000)*10000000)/1000000)=0,"Bloomberg projection",IF($P163=1,"ANNOUNCED","ANNOUNCED - amount TBA")))</f>
        <v/>
      </c>
      <c r="J163" s="43">
        <f>IF($L163="","",IF((OV_SWITCH="ON")*(COUNTIFS(OVR_TICKERS,INDEX(HSI!$C$7:$C$106,$N163),OVR_BASE,"&gt;=0")&gt;0)&gt;0,"stock overridden",""))</f>
        <v/>
      </c>
      <c r="L163" s="35">
        <f>IFERROR(IF(SMALL(Grids!$EE$12:$GQ$111,$M$7+154)&gt;=PEND_TO,"",SMALL(Grids!$EE$12:$GQ$111,$M$7+154)),"")</f>
        <v/>
      </c>
      <c r="M163" s="35">
        <f>IF($L163="","",INT($L163/1000000000))</f>
        <v/>
      </c>
      <c r="N163" s="35">
        <f>IF($L163="","",INT(($L163-INT($L163/1000000)*1000000)/1000))</f>
        <v/>
      </c>
      <c r="O163" s="35">
        <f>IF($L163="","",$L163-INT($L163/1000)*1000)</f>
        <v/>
      </c>
      <c r="P163" s="35">
        <f>IF($L163="","",INT(($L163-INT($L163/1000000000)*1000000000)/100000000))</f>
        <v/>
      </c>
    </row>
    <row r="164">
      <c r="B164" s="39">
        <f>IF($L164="","",$M164)</f>
        <v/>
      </c>
      <c r="C164" s="18">
        <f>IF($L164="","",INDEX(HSI!$C$7:$C$106,$N164))</f>
        <v/>
      </c>
      <c r="D164" s="18">
        <f>IF($L164="","",INDEX(HSI!$D$7:$D$106,$N164))</f>
        <v/>
      </c>
      <c r="E164" s="40">
        <f>IF($L164="","",IF($P164=0,"TBA",IFERROR(INDEX(Grids!$C$12:$BO$111,$N164,$O164),"-")))</f>
        <v/>
      </c>
      <c r="F164" s="18">
        <f>IF($L164="","",INDEX(HSI!$F$7:$F$106,$N164))</f>
        <v/>
      </c>
      <c r="G164" s="40">
        <f>IF($L164="","",IF($P164=0,"TBA",IFERROR(INDEX(Grids!$BQ$12:$EC$111,$N164,$O164),"-")))</f>
        <v/>
      </c>
      <c r="H164" s="41">
        <f>IF($L164="","",SUM($G$10:$G164))</f>
        <v/>
      </c>
      <c r="I164" s="42">
        <f>IF($L164="","",IF(INT(($L164-INT($L164/10000000)*10000000)/1000000)=0,"Bloomberg projection",IF($P164=1,"ANNOUNCED","ANNOUNCED - amount TBA")))</f>
        <v/>
      </c>
      <c r="J164" s="43">
        <f>IF($L164="","",IF((OV_SWITCH="ON")*(COUNTIFS(OVR_TICKERS,INDEX(HSI!$C$7:$C$106,$N164),OVR_BASE,"&gt;=0")&gt;0)&gt;0,"stock overridden",""))</f>
        <v/>
      </c>
      <c r="L164" s="35">
        <f>IFERROR(IF(SMALL(Grids!$EE$12:$GQ$111,$M$7+155)&gt;=PEND_TO,"",SMALL(Grids!$EE$12:$GQ$111,$M$7+155)),"")</f>
        <v/>
      </c>
      <c r="M164" s="35">
        <f>IF($L164="","",INT($L164/1000000000))</f>
        <v/>
      </c>
      <c r="N164" s="35">
        <f>IF($L164="","",INT(($L164-INT($L164/1000000)*1000000)/1000))</f>
        <v/>
      </c>
      <c r="O164" s="35">
        <f>IF($L164="","",$L164-INT($L164/1000)*1000)</f>
        <v/>
      </c>
      <c r="P164" s="35">
        <f>IF($L164="","",INT(($L164-INT($L164/1000000000)*1000000000)/100000000))</f>
        <v/>
      </c>
    </row>
    <row r="165">
      <c r="B165" s="39">
        <f>IF($L165="","",$M165)</f>
        <v/>
      </c>
      <c r="C165" s="18">
        <f>IF($L165="","",INDEX(HSI!$C$7:$C$106,$N165))</f>
        <v/>
      </c>
      <c r="D165" s="18">
        <f>IF($L165="","",INDEX(HSI!$D$7:$D$106,$N165))</f>
        <v/>
      </c>
      <c r="E165" s="40">
        <f>IF($L165="","",IF($P165=0,"TBA",IFERROR(INDEX(Grids!$C$12:$BO$111,$N165,$O165),"-")))</f>
        <v/>
      </c>
      <c r="F165" s="18">
        <f>IF($L165="","",INDEX(HSI!$F$7:$F$106,$N165))</f>
        <v/>
      </c>
      <c r="G165" s="40">
        <f>IF($L165="","",IF($P165=0,"TBA",IFERROR(INDEX(Grids!$BQ$12:$EC$111,$N165,$O165),"-")))</f>
        <v/>
      </c>
      <c r="H165" s="41">
        <f>IF($L165="","",SUM($G$10:$G165))</f>
        <v/>
      </c>
      <c r="I165" s="42">
        <f>IF($L165="","",IF(INT(($L165-INT($L165/10000000)*10000000)/1000000)=0,"Bloomberg projection",IF($P165=1,"ANNOUNCED","ANNOUNCED - amount TBA")))</f>
        <v/>
      </c>
      <c r="J165" s="43">
        <f>IF($L165="","",IF((OV_SWITCH="ON")*(COUNTIFS(OVR_TICKERS,INDEX(HSI!$C$7:$C$106,$N165),OVR_BASE,"&gt;=0")&gt;0)&gt;0,"stock overridden",""))</f>
        <v/>
      </c>
      <c r="L165" s="35">
        <f>IFERROR(IF(SMALL(Grids!$EE$12:$GQ$111,$M$7+156)&gt;=PEND_TO,"",SMALL(Grids!$EE$12:$GQ$111,$M$7+156)),"")</f>
        <v/>
      </c>
      <c r="M165" s="35">
        <f>IF($L165="","",INT($L165/1000000000))</f>
        <v/>
      </c>
      <c r="N165" s="35">
        <f>IF($L165="","",INT(($L165-INT($L165/1000000)*1000000)/1000))</f>
        <v/>
      </c>
      <c r="O165" s="35">
        <f>IF($L165="","",$L165-INT($L165/1000)*1000)</f>
        <v/>
      </c>
      <c r="P165" s="35">
        <f>IF($L165="","",INT(($L165-INT($L165/1000000000)*1000000000)/100000000))</f>
        <v/>
      </c>
    </row>
    <row r="166">
      <c r="B166" s="39">
        <f>IF($L166="","",$M166)</f>
        <v/>
      </c>
      <c r="C166" s="18">
        <f>IF($L166="","",INDEX(HSI!$C$7:$C$106,$N166))</f>
        <v/>
      </c>
      <c r="D166" s="18">
        <f>IF($L166="","",INDEX(HSI!$D$7:$D$106,$N166))</f>
        <v/>
      </c>
      <c r="E166" s="40">
        <f>IF($L166="","",IF($P166=0,"TBA",IFERROR(INDEX(Grids!$C$12:$BO$111,$N166,$O166),"-")))</f>
        <v/>
      </c>
      <c r="F166" s="18">
        <f>IF($L166="","",INDEX(HSI!$F$7:$F$106,$N166))</f>
        <v/>
      </c>
      <c r="G166" s="40">
        <f>IF($L166="","",IF($P166=0,"TBA",IFERROR(INDEX(Grids!$BQ$12:$EC$111,$N166,$O166),"-")))</f>
        <v/>
      </c>
      <c r="H166" s="41">
        <f>IF($L166="","",SUM($G$10:$G166))</f>
        <v/>
      </c>
      <c r="I166" s="42">
        <f>IF($L166="","",IF(INT(($L166-INT($L166/10000000)*10000000)/1000000)=0,"Bloomberg projection",IF($P166=1,"ANNOUNCED","ANNOUNCED - amount TBA")))</f>
        <v/>
      </c>
      <c r="J166" s="43">
        <f>IF($L166="","",IF((OV_SWITCH="ON")*(COUNTIFS(OVR_TICKERS,INDEX(HSI!$C$7:$C$106,$N166),OVR_BASE,"&gt;=0")&gt;0)&gt;0,"stock overridden",""))</f>
        <v/>
      </c>
      <c r="L166" s="35">
        <f>IFERROR(IF(SMALL(Grids!$EE$12:$GQ$111,$M$7+157)&gt;=PEND_TO,"",SMALL(Grids!$EE$12:$GQ$111,$M$7+157)),"")</f>
        <v/>
      </c>
      <c r="M166" s="35">
        <f>IF($L166="","",INT($L166/1000000000))</f>
        <v/>
      </c>
      <c r="N166" s="35">
        <f>IF($L166="","",INT(($L166-INT($L166/1000000)*1000000)/1000))</f>
        <v/>
      </c>
      <c r="O166" s="35">
        <f>IF($L166="","",$L166-INT($L166/1000)*1000)</f>
        <v/>
      </c>
      <c r="P166" s="35">
        <f>IF($L166="","",INT(($L166-INT($L166/1000000000)*1000000000)/100000000))</f>
        <v/>
      </c>
    </row>
    <row r="167">
      <c r="B167" s="39">
        <f>IF($L167="","",$M167)</f>
        <v/>
      </c>
      <c r="C167" s="18">
        <f>IF($L167="","",INDEX(HSI!$C$7:$C$106,$N167))</f>
        <v/>
      </c>
      <c r="D167" s="18">
        <f>IF($L167="","",INDEX(HSI!$D$7:$D$106,$N167))</f>
        <v/>
      </c>
      <c r="E167" s="40">
        <f>IF($L167="","",IF($P167=0,"TBA",IFERROR(INDEX(Grids!$C$12:$BO$111,$N167,$O167),"-")))</f>
        <v/>
      </c>
      <c r="F167" s="18">
        <f>IF($L167="","",INDEX(HSI!$F$7:$F$106,$N167))</f>
        <v/>
      </c>
      <c r="G167" s="40">
        <f>IF($L167="","",IF($P167=0,"TBA",IFERROR(INDEX(Grids!$BQ$12:$EC$111,$N167,$O167),"-")))</f>
        <v/>
      </c>
      <c r="H167" s="41">
        <f>IF($L167="","",SUM($G$10:$G167))</f>
        <v/>
      </c>
      <c r="I167" s="42">
        <f>IF($L167="","",IF(INT(($L167-INT($L167/10000000)*10000000)/1000000)=0,"Bloomberg projection",IF($P167=1,"ANNOUNCED","ANNOUNCED - amount TBA")))</f>
        <v/>
      </c>
      <c r="J167" s="43">
        <f>IF($L167="","",IF((OV_SWITCH="ON")*(COUNTIFS(OVR_TICKERS,INDEX(HSI!$C$7:$C$106,$N167),OVR_BASE,"&gt;=0")&gt;0)&gt;0,"stock overridden",""))</f>
        <v/>
      </c>
      <c r="L167" s="35">
        <f>IFERROR(IF(SMALL(Grids!$EE$12:$GQ$111,$M$7+158)&gt;=PEND_TO,"",SMALL(Grids!$EE$12:$GQ$111,$M$7+158)),"")</f>
        <v/>
      </c>
      <c r="M167" s="35">
        <f>IF($L167="","",INT($L167/1000000000))</f>
        <v/>
      </c>
      <c r="N167" s="35">
        <f>IF($L167="","",INT(($L167-INT($L167/1000000)*1000000)/1000))</f>
        <v/>
      </c>
      <c r="O167" s="35">
        <f>IF($L167="","",$L167-INT($L167/1000)*1000)</f>
        <v/>
      </c>
      <c r="P167" s="35">
        <f>IF($L167="","",INT(($L167-INT($L167/1000000000)*1000000000)/100000000))</f>
        <v/>
      </c>
    </row>
    <row r="168">
      <c r="B168" s="39">
        <f>IF($L168="","",$M168)</f>
        <v/>
      </c>
      <c r="C168" s="18">
        <f>IF($L168="","",INDEX(HSI!$C$7:$C$106,$N168))</f>
        <v/>
      </c>
      <c r="D168" s="18">
        <f>IF($L168="","",INDEX(HSI!$D$7:$D$106,$N168))</f>
        <v/>
      </c>
      <c r="E168" s="40">
        <f>IF($L168="","",IF($P168=0,"TBA",IFERROR(INDEX(Grids!$C$12:$BO$111,$N168,$O168),"-")))</f>
        <v/>
      </c>
      <c r="F168" s="18">
        <f>IF($L168="","",INDEX(HSI!$F$7:$F$106,$N168))</f>
        <v/>
      </c>
      <c r="G168" s="40">
        <f>IF($L168="","",IF($P168=0,"TBA",IFERROR(INDEX(Grids!$BQ$12:$EC$111,$N168,$O168),"-")))</f>
        <v/>
      </c>
      <c r="H168" s="41">
        <f>IF($L168="","",SUM($G$10:$G168))</f>
        <v/>
      </c>
      <c r="I168" s="42">
        <f>IF($L168="","",IF(INT(($L168-INT($L168/10000000)*10000000)/1000000)=0,"Bloomberg projection",IF($P168=1,"ANNOUNCED","ANNOUNCED - amount TBA")))</f>
        <v/>
      </c>
      <c r="J168" s="43">
        <f>IF($L168="","",IF((OV_SWITCH="ON")*(COUNTIFS(OVR_TICKERS,INDEX(HSI!$C$7:$C$106,$N168),OVR_BASE,"&gt;=0")&gt;0)&gt;0,"stock overridden",""))</f>
        <v/>
      </c>
      <c r="L168" s="35">
        <f>IFERROR(IF(SMALL(Grids!$EE$12:$GQ$111,$M$7+159)&gt;=PEND_TO,"",SMALL(Grids!$EE$12:$GQ$111,$M$7+159)),"")</f>
        <v/>
      </c>
      <c r="M168" s="35">
        <f>IF($L168="","",INT($L168/1000000000))</f>
        <v/>
      </c>
      <c r="N168" s="35">
        <f>IF($L168="","",INT(($L168-INT($L168/1000000)*1000000)/1000))</f>
        <v/>
      </c>
      <c r="O168" s="35">
        <f>IF($L168="","",$L168-INT($L168/1000)*1000)</f>
        <v/>
      </c>
      <c r="P168" s="35">
        <f>IF($L168="","",INT(($L168-INT($L168/1000000000)*1000000000)/100000000))</f>
        <v/>
      </c>
    </row>
    <row r="169">
      <c r="B169" s="39">
        <f>IF($L169="","",$M169)</f>
        <v/>
      </c>
      <c r="C169" s="18">
        <f>IF($L169="","",INDEX(HSI!$C$7:$C$106,$N169))</f>
        <v/>
      </c>
      <c r="D169" s="18">
        <f>IF($L169="","",INDEX(HSI!$D$7:$D$106,$N169))</f>
        <v/>
      </c>
      <c r="E169" s="40">
        <f>IF($L169="","",IF($P169=0,"TBA",IFERROR(INDEX(Grids!$C$12:$BO$111,$N169,$O169),"-")))</f>
        <v/>
      </c>
      <c r="F169" s="18">
        <f>IF($L169="","",INDEX(HSI!$F$7:$F$106,$N169))</f>
        <v/>
      </c>
      <c r="G169" s="40">
        <f>IF($L169="","",IF($P169=0,"TBA",IFERROR(INDEX(Grids!$BQ$12:$EC$111,$N169,$O169),"-")))</f>
        <v/>
      </c>
      <c r="H169" s="41">
        <f>IF($L169="","",SUM($G$10:$G169))</f>
        <v/>
      </c>
      <c r="I169" s="42">
        <f>IF($L169="","",IF(INT(($L169-INT($L169/10000000)*10000000)/1000000)=0,"Bloomberg projection",IF($P169=1,"ANNOUNCED","ANNOUNCED - amount TBA")))</f>
        <v/>
      </c>
      <c r="J169" s="43">
        <f>IF($L169="","",IF((OV_SWITCH="ON")*(COUNTIFS(OVR_TICKERS,INDEX(HSI!$C$7:$C$106,$N169),OVR_BASE,"&gt;=0")&gt;0)&gt;0,"stock overridden",""))</f>
        <v/>
      </c>
      <c r="L169" s="35">
        <f>IFERROR(IF(SMALL(Grids!$EE$12:$GQ$111,$M$7+160)&gt;=PEND_TO,"",SMALL(Grids!$EE$12:$GQ$111,$M$7+160)),"")</f>
        <v/>
      </c>
      <c r="M169" s="35">
        <f>IF($L169="","",INT($L169/1000000000))</f>
        <v/>
      </c>
      <c r="N169" s="35">
        <f>IF($L169="","",INT(($L169-INT($L169/1000000)*1000000)/1000))</f>
        <v/>
      </c>
      <c r="O169" s="35">
        <f>IF($L169="","",$L169-INT($L169/1000)*1000)</f>
        <v/>
      </c>
      <c r="P169" s="35">
        <f>IF($L169="","",INT(($L169-INT($L169/1000000000)*1000000000)/100000000))</f>
        <v/>
      </c>
    </row>
    <row r="170">
      <c r="B170" s="39">
        <f>IF($L170="","",$M170)</f>
        <v/>
      </c>
      <c r="C170" s="18">
        <f>IF($L170="","",INDEX(HSI!$C$7:$C$106,$N170))</f>
        <v/>
      </c>
      <c r="D170" s="18">
        <f>IF($L170="","",INDEX(HSI!$D$7:$D$106,$N170))</f>
        <v/>
      </c>
      <c r="E170" s="40">
        <f>IF($L170="","",IF($P170=0,"TBA",IFERROR(INDEX(Grids!$C$12:$BO$111,$N170,$O170),"-")))</f>
        <v/>
      </c>
      <c r="F170" s="18">
        <f>IF($L170="","",INDEX(HSI!$F$7:$F$106,$N170))</f>
        <v/>
      </c>
      <c r="G170" s="40">
        <f>IF($L170="","",IF($P170=0,"TBA",IFERROR(INDEX(Grids!$BQ$12:$EC$111,$N170,$O170),"-")))</f>
        <v/>
      </c>
      <c r="H170" s="41">
        <f>IF($L170="","",SUM($G$10:$G170))</f>
        <v/>
      </c>
      <c r="I170" s="42">
        <f>IF($L170="","",IF(INT(($L170-INT($L170/10000000)*10000000)/1000000)=0,"Bloomberg projection",IF($P170=1,"ANNOUNCED","ANNOUNCED - amount TBA")))</f>
        <v/>
      </c>
      <c r="J170" s="43">
        <f>IF($L170="","",IF((OV_SWITCH="ON")*(COUNTIFS(OVR_TICKERS,INDEX(HSI!$C$7:$C$106,$N170),OVR_BASE,"&gt;=0")&gt;0)&gt;0,"stock overridden",""))</f>
        <v/>
      </c>
      <c r="L170" s="35">
        <f>IFERROR(IF(SMALL(Grids!$EE$12:$GQ$111,$M$7+161)&gt;=PEND_TO,"",SMALL(Grids!$EE$12:$GQ$111,$M$7+161)),"")</f>
        <v/>
      </c>
      <c r="M170" s="35">
        <f>IF($L170="","",INT($L170/1000000000))</f>
        <v/>
      </c>
      <c r="N170" s="35">
        <f>IF($L170="","",INT(($L170-INT($L170/1000000)*1000000)/1000))</f>
        <v/>
      </c>
      <c r="O170" s="35">
        <f>IF($L170="","",$L170-INT($L170/1000)*1000)</f>
        <v/>
      </c>
      <c r="P170" s="35">
        <f>IF($L170="","",INT(($L170-INT($L170/1000000000)*1000000000)/100000000))</f>
        <v/>
      </c>
    </row>
    <row r="171">
      <c r="B171" s="39">
        <f>IF($L171="","",$M171)</f>
        <v/>
      </c>
      <c r="C171" s="18">
        <f>IF($L171="","",INDEX(HSI!$C$7:$C$106,$N171))</f>
        <v/>
      </c>
      <c r="D171" s="18">
        <f>IF($L171="","",INDEX(HSI!$D$7:$D$106,$N171))</f>
        <v/>
      </c>
      <c r="E171" s="40">
        <f>IF($L171="","",IF($P171=0,"TBA",IFERROR(INDEX(Grids!$C$12:$BO$111,$N171,$O171),"-")))</f>
        <v/>
      </c>
      <c r="F171" s="18">
        <f>IF($L171="","",INDEX(HSI!$F$7:$F$106,$N171))</f>
        <v/>
      </c>
      <c r="G171" s="40">
        <f>IF($L171="","",IF($P171=0,"TBA",IFERROR(INDEX(Grids!$BQ$12:$EC$111,$N171,$O171),"-")))</f>
        <v/>
      </c>
      <c r="H171" s="41">
        <f>IF($L171="","",SUM($G$10:$G171))</f>
        <v/>
      </c>
      <c r="I171" s="42">
        <f>IF($L171="","",IF(INT(($L171-INT($L171/10000000)*10000000)/1000000)=0,"Bloomberg projection",IF($P171=1,"ANNOUNCED","ANNOUNCED - amount TBA")))</f>
        <v/>
      </c>
      <c r="J171" s="43">
        <f>IF($L171="","",IF((OV_SWITCH="ON")*(COUNTIFS(OVR_TICKERS,INDEX(HSI!$C$7:$C$106,$N171),OVR_BASE,"&gt;=0")&gt;0)&gt;0,"stock overridden",""))</f>
        <v/>
      </c>
      <c r="L171" s="35">
        <f>IFERROR(IF(SMALL(Grids!$EE$12:$GQ$111,$M$7+162)&gt;=PEND_TO,"",SMALL(Grids!$EE$12:$GQ$111,$M$7+162)),"")</f>
        <v/>
      </c>
      <c r="M171" s="35">
        <f>IF($L171="","",INT($L171/1000000000))</f>
        <v/>
      </c>
      <c r="N171" s="35">
        <f>IF($L171="","",INT(($L171-INT($L171/1000000)*1000000)/1000))</f>
        <v/>
      </c>
      <c r="O171" s="35">
        <f>IF($L171="","",$L171-INT($L171/1000)*1000)</f>
        <v/>
      </c>
      <c r="P171" s="35">
        <f>IF($L171="","",INT(($L171-INT($L171/1000000000)*1000000000)/100000000))</f>
        <v/>
      </c>
    </row>
    <row r="172">
      <c r="B172" s="39">
        <f>IF($L172="","",$M172)</f>
        <v/>
      </c>
      <c r="C172" s="18">
        <f>IF($L172="","",INDEX(HSI!$C$7:$C$106,$N172))</f>
        <v/>
      </c>
      <c r="D172" s="18">
        <f>IF($L172="","",INDEX(HSI!$D$7:$D$106,$N172))</f>
        <v/>
      </c>
      <c r="E172" s="40">
        <f>IF($L172="","",IF($P172=0,"TBA",IFERROR(INDEX(Grids!$C$12:$BO$111,$N172,$O172),"-")))</f>
        <v/>
      </c>
      <c r="F172" s="18">
        <f>IF($L172="","",INDEX(HSI!$F$7:$F$106,$N172))</f>
        <v/>
      </c>
      <c r="G172" s="40">
        <f>IF($L172="","",IF($P172=0,"TBA",IFERROR(INDEX(Grids!$BQ$12:$EC$111,$N172,$O172),"-")))</f>
        <v/>
      </c>
      <c r="H172" s="41">
        <f>IF($L172="","",SUM($G$10:$G172))</f>
        <v/>
      </c>
      <c r="I172" s="42">
        <f>IF($L172="","",IF(INT(($L172-INT($L172/10000000)*10000000)/1000000)=0,"Bloomberg projection",IF($P172=1,"ANNOUNCED","ANNOUNCED - amount TBA")))</f>
        <v/>
      </c>
      <c r="J172" s="43">
        <f>IF($L172="","",IF((OV_SWITCH="ON")*(COUNTIFS(OVR_TICKERS,INDEX(HSI!$C$7:$C$106,$N172),OVR_BASE,"&gt;=0")&gt;0)&gt;0,"stock overridden",""))</f>
        <v/>
      </c>
      <c r="L172" s="35">
        <f>IFERROR(IF(SMALL(Grids!$EE$12:$GQ$111,$M$7+163)&gt;=PEND_TO,"",SMALL(Grids!$EE$12:$GQ$111,$M$7+163)),"")</f>
        <v/>
      </c>
      <c r="M172" s="35">
        <f>IF($L172="","",INT($L172/1000000000))</f>
        <v/>
      </c>
      <c r="N172" s="35">
        <f>IF($L172="","",INT(($L172-INT($L172/1000000)*1000000)/1000))</f>
        <v/>
      </c>
      <c r="O172" s="35">
        <f>IF($L172="","",$L172-INT($L172/1000)*1000)</f>
        <v/>
      </c>
      <c r="P172" s="35">
        <f>IF($L172="","",INT(($L172-INT($L172/1000000000)*1000000000)/100000000))</f>
        <v/>
      </c>
    </row>
    <row r="173">
      <c r="B173" s="39">
        <f>IF($L173="","",$M173)</f>
        <v/>
      </c>
      <c r="C173" s="18">
        <f>IF($L173="","",INDEX(HSI!$C$7:$C$106,$N173))</f>
        <v/>
      </c>
      <c r="D173" s="18">
        <f>IF($L173="","",INDEX(HSI!$D$7:$D$106,$N173))</f>
        <v/>
      </c>
      <c r="E173" s="40">
        <f>IF($L173="","",IF($P173=0,"TBA",IFERROR(INDEX(Grids!$C$12:$BO$111,$N173,$O173),"-")))</f>
        <v/>
      </c>
      <c r="F173" s="18">
        <f>IF($L173="","",INDEX(HSI!$F$7:$F$106,$N173))</f>
        <v/>
      </c>
      <c r="G173" s="40">
        <f>IF($L173="","",IF($P173=0,"TBA",IFERROR(INDEX(Grids!$BQ$12:$EC$111,$N173,$O173),"-")))</f>
        <v/>
      </c>
      <c r="H173" s="41">
        <f>IF($L173="","",SUM($G$10:$G173))</f>
        <v/>
      </c>
      <c r="I173" s="42">
        <f>IF($L173="","",IF(INT(($L173-INT($L173/10000000)*10000000)/1000000)=0,"Bloomberg projection",IF($P173=1,"ANNOUNCED","ANNOUNCED - amount TBA")))</f>
        <v/>
      </c>
      <c r="J173" s="43">
        <f>IF($L173="","",IF((OV_SWITCH="ON")*(COUNTIFS(OVR_TICKERS,INDEX(HSI!$C$7:$C$106,$N173),OVR_BASE,"&gt;=0")&gt;0)&gt;0,"stock overridden",""))</f>
        <v/>
      </c>
      <c r="L173" s="35">
        <f>IFERROR(IF(SMALL(Grids!$EE$12:$GQ$111,$M$7+164)&gt;=PEND_TO,"",SMALL(Grids!$EE$12:$GQ$111,$M$7+164)),"")</f>
        <v/>
      </c>
      <c r="M173" s="35">
        <f>IF($L173="","",INT($L173/1000000000))</f>
        <v/>
      </c>
      <c r="N173" s="35">
        <f>IF($L173="","",INT(($L173-INT($L173/1000000)*1000000)/1000))</f>
        <v/>
      </c>
      <c r="O173" s="35">
        <f>IF($L173="","",$L173-INT($L173/1000)*1000)</f>
        <v/>
      </c>
      <c r="P173" s="35">
        <f>IF($L173="","",INT(($L173-INT($L173/1000000000)*1000000000)/100000000))</f>
        <v/>
      </c>
    </row>
    <row r="174">
      <c r="B174" s="39">
        <f>IF($L174="","",$M174)</f>
        <v/>
      </c>
      <c r="C174" s="18">
        <f>IF($L174="","",INDEX(HSI!$C$7:$C$106,$N174))</f>
        <v/>
      </c>
      <c r="D174" s="18">
        <f>IF($L174="","",INDEX(HSI!$D$7:$D$106,$N174))</f>
        <v/>
      </c>
      <c r="E174" s="40">
        <f>IF($L174="","",IF($P174=0,"TBA",IFERROR(INDEX(Grids!$C$12:$BO$111,$N174,$O174),"-")))</f>
        <v/>
      </c>
      <c r="F174" s="18">
        <f>IF($L174="","",INDEX(HSI!$F$7:$F$106,$N174))</f>
        <v/>
      </c>
      <c r="G174" s="40">
        <f>IF($L174="","",IF($P174=0,"TBA",IFERROR(INDEX(Grids!$BQ$12:$EC$111,$N174,$O174),"-")))</f>
        <v/>
      </c>
      <c r="H174" s="41">
        <f>IF($L174="","",SUM($G$10:$G174))</f>
        <v/>
      </c>
      <c r="I174" s="42">
        <f>IF($L174="","",IF(INT(($L174-INT($L174/10000000)*10000000)/1000000)=0,"Bloomberg projection",IF($P174=1,"ANNOUNCED","ANNOUNCED - amount TBA")))</f>
        <v/>
      </c>
      <c r="J174" s="43">
        <f>IF($L174="","",IF((OV_SWITCH="ON")*(COUNTIFS(OVR_TICKERS,INDEX(HSI!$C$7:$C$106,$N174),OVR_BASE,"&gt;=0")&gt;0)&gt;0,"stock overridden",""))</f>
        <v/>
      </c>
      <c r="L174" s="35">
        <f>IFERROR(IF(SMALL(Grids!$EE$12:$GQ$111,$M$7+165)&gt;=PEND_TO,"",SMALL(Grids!$EE$12:$GQ$111,$M$7+165)),"")</f>
        <v/>
      </c>
      <c r="M174" s="35">
        <f>IF($L174="","",INT($L174/1000000000))</f>
        <v/>
      </c>
      <c r="N174" s="35">
        <f>IF($L174="","",INT(($L174-INT($L174/1000000)*1000000)/1000))</f>
        <v/>
      </c>
      <c r="O174" s="35">
        <f>IF($L174="","",$L174-INT($L174/1000)*1000)</f>
        <v/>
      </c>
      <c r="P174" s="35">
        <f>IF($L174="","",INT(($L174-INT($L174/1000000000)*1000000000)/100000000))</f>
        <v/>
      </c>
    </row>
    <row r="175">
      <c r="B175" s="39">
        <f>IF($L175="","",$M175)</f>
        <v/>
      </c>
      <c r="C175" s="18">
        <f>IF($L175="","",INDEX(HSI!$C$7:$C$106,$N175))</f>
        <v/>
      </c>
      <c r="D175" s="18">
        <f>IF($L175="","",INDEX(HSI!$D$7:$D$106,$N175))</f>
        <v/>
      </c>
      <c r="E175" s="40">
        <f>IF($L175="","",IF($P175=0,"TBA",IFERROR(INDEX(Grids!$C$12:$BO$111,$N175,$O175),"-")))</f>
        <v/>
      </c>
      <c r="F175" s="18">
        <f>IF($L175="","",INDEX(HSI!$F$7:$F$106,$N175))</f>
        <v/>
      </c>
      <c r="G175" s="40">
        <f>IF($L175="","",IF($P175=0,"TBA",IFERROR(INDEX(Grids!$BQ$12:$EC$111,$N175,$O175),"-")))</f>
        <v/>
      </c>
      <c r="H175" s="41">
        <f>IF($L175="","",SUM($G$10:$G175))</f>
        <v/>
      </c>
      <c r="I175" s="42">
        <f>IF($L175="","",IF(INT(($L175-INT($L175/10000000)*10000000)/1000000)=0,"Bloomberg projection",IF($P175=1,"ANNOUNCED","ANNOUNCED - amount TBA")))</f>
        <v/>
      </c>
      <c r="J175" s="43">
        <f>IF($L175="","",IF((OV_SWITCH="ON")*(COUNTIFS(OVR_TICKERS,INDEX(HSI!$C$7:$C$106,$N175),OVR_BASE,"&gt;=0")&gt;0)&gt;0,"stock overridden",""))</f>
        <v/>
      </c>
      <c r="L175" s="35">
        <f>IFERROR(IF(SMALL(Grids!$EE$12:$GQ$111,$M$7+166)&gt;=PEND_TO,"",SMALL(Grids!$EE$12:$GQ$111,$M$7+166)),"")</f>
        <v/>
      </c>
      <c r="M175" s="35">
        <f>IF($L175="","",INT($L175/1000000000))</f>
        <v/>
      </c>
      <c r="N175" s="35">
        <f>IF($L175="","",INT(($L175-INT($L175/1000000)*1000000)/1000))</f>
        <v/>
      </c>
      <c r="O175" s="35">
        <f>IF($L175="","",$L175-INT($L175/1000)*1000)</f>
        <v/>
      </c>
      <c r="P175" s="35">
        <f>IF($L175="","",INT(($L175-INT($L175/1000000000)*1000000000)/100000000))</f>
        <v/>
      </c>
    </row>
    <row r="176">
      <c r="B176" s="39">
        <f>IF($L176="","",$M176)</f>
        <v/>
      </c>
      <c r="C176" s="18">
        <f>IF($L176="","",INDEX(HSI!$C$7:$C$106,$N176))</f>
        <v/>
      </c>
      <c r="D176" s="18">
        <f>IF($L176="","",INDEX(HSI!$D$7:$D$106,$N176))</f>
        <v/>
      </c>
      <c r="E176" s="40">
        <f>IF($L176="","",IF($P176=0,"TBA",IFERROR(INDEX(Grids!$C$12:$BO$111,$N176,$O176),"-")))</f>
        <v/>
      </c>
      <c r="F176" s="18">
        <f>IF($L176="","",INDEX(HSI!$F$7:$F$106,$N176))</f>
        <v/>
      </c>
      <c r="G176" s="40">
        <f>IF($L176="","",IF($P176=0,"TBA",IFERROR(INDEX(Grids!$BQ$12:$EC$111,$N176,$O176),"-")))</f>
        <v/>
      </c>
      <c r="H176" s="41">
        <f>IF($L176="","",SUM($G$10:$G176))</f>
        <v/>
      </c>
      <c r="I176" s="42">
        <f>IF($L176="","",IF(INT(($L176-INT($L176/10000000)*10000000)/1000000)=0,"Bloomberg projection",IF($P176=1,"ANNOUNCED","ANNOUNCED - amount TBA")))</f>
        <v/>
      </c>
      <c r="J176" s="43">
        <f>IF($L176="","",IF((OV_SWITCH="ON")*(COUNTIFS(OVR_TICKERS,INDEX(HSI!$C$7:$C$106,$N176),OVR_BASE,"&gt;=0")&gt;0)&gt;0,"stock overridden",""))</f>
        <v/>
      </c>
      <c r="L176" s="35">
        <f>IFERROR(IF(SMALL(Grids!$EE$12:$GQ$111,$M$7+167)&gt;=PEND_TO,"",SMALL(Grids!$EE$12:$GQ$111,$M$7+167)),"")</f>
        <v/>
      </c>
      <c r="M176" s="35">
        <f>IF($L176="","",INT($L176/1000000000))</f>
        <v/>
      </c>
      <c r="N176" s="35">
        <f>IF($L176="","",INT(($L176-INT($L176/1000000)*1000000)/1000))</f>
        <v/>
      </c>
      <c r="O176" s="35">
        <f>IF($L176="","",$L176-INT($L176/1000)*1000)</f>
        <v/>
      </c>
      <c r="P176" s="35">
        <f>IF($L176="","",INT(($L176-INT($L176/1000000000)*1000000000)/100000000))</f>
        <v/>
      </c>
    </row>
    <row r="177">
      <c r="B177" s="39">
        <f>IF($L177="","",$M177)</f>
        <v/>
      </c>
      <c r="C177" s="18">
        <f>IF($L177="","",INDEX(HSI!$C$7:$C$106,$N177))</f>
        <v/>
      </c>
      <c r="D177" s="18">
        <f>IF($L177="","",INDEX(HSI!$D$7:$D$106,$N177))</f>
        <v/>
      </c>
      <c r="E177" s="40">
        <f>IF($L177="","",IF($P177=0,"TBA",IFERROR(INDEX(Grids!$C$12:$BO$111,$N177,$O177),"-")))</f>
        <v/>
      </c>
      <c r="F177" s="18">
        <f>IF($L177="","",INDEX(HSI!$F$7:$F$106,$N177))</f>
        <v/>
      </c>
      <c r="G177" s="40">
        <f>IF($L177="","",IF($P177=0,"TBA",IFERROR(INDEX(Grids!$BQ$12:$EC$111,$N177,$O177),"-")))</f>
        <v/>
      </c>
      <c r="H177" s="41">
        <f>IF($L177="","",SUM($G$10:$G177))</f>
        <v/>
      </c>
      <c r="I177" s="42">
        <f>IF($L177="","",IF(INT(($L177-INT($L177/10000000)*10000000)/1000000)=0,"Bloomberg projection",IF($P177=1,"ANNOUNCED","ANNOUNCED - amount TBA")))</f>
        <v/>
      </c>
      <c r="J177" s="43">
        <f>IF($L177="","",IF((OV_SWITCH="ON")*(COUNTIFS(OVR_TICKERS,INDEX(HSI!$C$7:$C$106,$N177),OVR_BASE,"&gt;=0")&gt;0)&gt;0,"stock overridden",""))</f>
        <v/>
      </c>
      <c r="L177" s="35">
        <f>IFERROR(IF(SMALL(Grids!$EE$12:$GQ$111,$M$7+168)&gt;=PEND_TO,"",SMALL(Grids!$EE$12:$GQ$111,$M$7+168)),"")</f>
        <v/>
      </c>
      <c r="M177" s="35">
        <f>IF($L177="","",INT($L177/1000000000))</f>
        <v/>
      </c>
      <c r="N177" s="35">
        <f>IF($L177="","",INT(($L177-INT($L177/1000000)*1000000)/1000))</f>
        <v/>
      </c>
      <c r="O177" s="35">
        <f>IF($L177="","",$L177-INT($L177/1000)*1000)</f>
        <v/>
      </c>
      <c r="P177" s="35">
        <f>IF($L177="","",INT(($L177-INT($L177/1000000000)*1000000000)/100000000))</f>
        <v/>
      </c>
    </row>
    <row r="178">
      <c r="B178" s="39">
        <f>IF($L178="","",$M178)</f>
        <v/>
      </c>
      <c r="C178" s="18">
        <f>IF($L178="","",INDEX(HSI!$C$7:$C$106,$N178))</f>
        <v/>
      </c>
      <c r="D178" s="18">
        <f>IF($L178="","",INDEX(HSI!$D$7:$D$106,$N178))</f>
        <v/>
      </c>
      <c r="E178" s="40">
        <f>IF($L178="","",IF($P178=0,"TBA",IFERROR(INDEX(Grids!$C$12:$BO$111,$N178,$O178),"-")))</f>
        <v/>
      </c>
      <c r="F178" s="18">
        <f>IF($L178="","",INDEX(HSI!$F$7:$F$106,$N178))</f>
        <v/>
      </c>
      <c r="G178" s="40">
        <f>IF($L178="","",IF($P178=0,"TBA",IFERROR(INDEX(Grids!$BQ$12:$EC$111,$N178,$O178),"-")))</f>
        <v/>
      </c>
      <c r="H178" s="41">
        <f>IF($L178="","",SUM($G$10:$G178))</f>
        <v/>
      </c>
      <c r="I178" s="42">
        <f>IF($L178="","",IF(INT(($L178-INT($L178/10000000)*10000000)/1000000)=0,"Bloomberg projection",IF($P178=1,"ANNOUNCED","ANNOUNCED - amount TBA")))</f>
        <v/>
      </c>
      <c r="J178" s="43">
        <f>IF($L178="","",IF((OV_SWITCH="ON")*(COUNTIFS(OVR_TICKERS,INDEX(HSI!$C$7:$C$106,$N178),OVR_BASE,"&gt;=0")&gt;0)&gt;0,"stock overridden",""))</f>
        <v/>
      </c>
      <c r="L178" s="35">
        <f>IFERROR(IF(SMALL(Grids!$EE$12:$GQ$111,$M$7+169)&gt;=PEND_TO,"",SMALL(Grids!$EE$12:$GQ$111,$M$7+169)),"")</f>
        <v/>
      </c>
      <c r="M178" s="35">
        <f>IF($L178="","",INT($L178/1000000000))</f>
        <v/>
      </c>
      <c r="N178" s="35">
        <f>IF($L178="","",INT(($L178-INT($L178/1000000)*1000000)/1000))</f>
        <v/>
      </c>
      <c r="O178" s="35">
        <f>IF($L178="","",$L178-INT($L178/1000)*1000)</f>
        <v/>
      </c>
      <c r="P178" s="35">
        <f>IF($L178="","",INT(($L178-INT($L178/1000000000)*1000000000)/100000000))</f>
        <v/>
      </c>
    </row>
    <row r="179">
      <c r="B179" s="39">
        <f>IF($L179="","",$M179)</f>
        <v/>
      </c>
      <c r="C179" s="18">
        <f>IF($L179="","",INDEX(HSI!$C$7:$C$106,$N179))</f>
        <v/>
      </c>
      <c r="D179" s="18">
        <f>IF($L179="","",INDEX(HSI!$D$7:$D$106,$N179))</f>
        <v/>
      </c>
      <c r="E179" s="40">
        <f>IF($L179="","",IF($P179=0,"TBA",IFERROR(INDEX(Grids!$C$12:$BO$111,$N179,$O179),"-")))</f>
        <v/>
      </c>
      <c r="F179" s="18">
        <f>IF($L179="","",INDEX(HSI!$F$7:$F$106,$N179))</f>
        <v/>
      </c>
      <c r="G179" s="40">
        <f>IF($L179="","",IF($P179=0,"TBA",IFERROR(INDEX(Grids!$BQ$12:$EC$111,$N179,$O179),"-")))</f>
        <v/>
      </c>
      <c r="H179" s="41">
        <f>IF($L179="","",SUM($G$10:$G179))</f>
        <v/>
      </c>
      <c r="I179" s="42">
        <f>IF($L179="","",IF(INT(($L179-INT($L179/10000000)*10000000)/1000000)=0,"Bloomberg projection",IF($P179=1,"ANNOUNCED","ANNOUNCED - amount TBA")))</f>
        <v/>
      </c>
      <c r="J179" s="43">
        <f>IF($L179="","",IF((OV_SWITCH="ON")*(COUNTIFS(OVR_TICKERS,INDEX(HSI!$C$7:$C$106,$N179),OVR_BASE,"&gt;=0")&gt;0)&gt;0,"stock overridden",""))</f>
        <v/>
      </c>
      <c r="L179" s="35">
        <f>IFERROR(IF(SMALL(Grids!$EE$12:$GQ$111,$M$7+170)&gt;=PEND_TO,"",SMALL(Grids!$EE$12:$GQ$111,$M$7+170)),"")</f>
        <v/>
      </c>
      <c r="M179" s="35">
        <f>IF($L179="","",INT($L179/1000000000))</f>
        <v/>
      </c>
      <c r="N179" s="35">
        <f>IF($L179="","",INT(($L179-INT($L179/1000000)*1000000)/1000))</f>
        <v/>
      </c>
      <c r="O179" s="35">
        <f>IF($L179="","",$L179-INT($L179/1000)*1000)</f>
        <v/>
      </c>
      <c r="P179" s="35">
        <f>IF($L179="","",INT(($L179-INT($L179/1000000000)*1000000000)/100000000))</f>
        <v/>
      </c>
    </row>
    <row r="180">
      <c r="B180" s="39">
        <f>IF($L180="","",$M180)</f>
        <v/>
      </c>
      <c r="C180" s="18">
        <f>IF($L180="","",INDEX(HSI!$C$7:$C$106,$N180))</f>
        <v/>
      </c>
      <c r="D180" s="18">
        <f>IF($L180="","",INDEX(HSI!$D$7:$D$106,$N180))</f>
        <v/>
      </c>
      <c r="E180" s="40">
        <f>IF($L180="","",IF($P180=0,"TBA",IFERROR(INDEX(Grids!$C$12:$BO$111,$N180,$O180),"-")))</f>
        <v/>
      </c>
      <c r="F180" s="18">
        <f>IF($L180="","",INDEX(HSI!$F$7:$F$106,$N180))</f>
        <v/>
      </c>
      <c r="G180" s="40">
        <f>IF($L180="","",IF($P180=0,"TBA",IFERROR(INDEX(Grids!$BQ$12:$EC$111,$N180,$O180),"-")))</f>
        <v/>
      </c>
      <c r="H180" s="41">
        <f>IF($L180="","",SUM($G$10:$G180))</f>
        <v/>
      </c>
      <c r="I180" s="42">
        <f>IF($L180="","",IF(INT(($L180-INT($L180/10000000)*10000000)/1000000)=0,"Bloomberg projection",IF($P180=1,"ANNOUNCED","ANNOUNCED - amount TBA")))</f>
        <v/>
      </c>
      <c r="J180" s="43">
        <f>IF($L180="","",IF((OV_SWITCH="ON")*(COUNTIFS(OVR_TICKERS,INDEX(HSI!$C$7:$C$106,$N180),OVR_BASE,"&gt;=0")&gt;0)&gt;0,"stock overridden",""))</f>
        <v/>
      </c>
      <c r="L180" s="35">
        <f>IFERROR(IF(SMALL(Grids!$EE$12:$GQ$111,$M$7+171)&gt;=PEND_TO,"",SMALL(Grids!$EE$12:$GQ$111,$M$7+171)),"")</f>
        <v/>
      </c>
      <c r="M180" s="35">
        <f>IF($L180="","",INT($L180/1000000000))</f>
        <v/>
      </c>
      <c r="N180" s="35">
        <f>IF($L180="","",INT(($L180-INT($L180/1000000)*1000000)/1000))</f>
        <v/>
      </c>
      <c r="O180" s="35">
        <f>IF($L180="","",$L180-INT($L180/1000)*1000)</f>
        <v/>
      </c>
      <c r="P180" s="35">
        <f>IF($L180="","",INT(($L180-INT($L180/1000000000)*1000000000)/100000000))</f>
        <v/>
      </c>
    </row>
    <row r="181">
      <c r="B181" s="39">
        <f>IF($L181="","",$M181)</f>
        <v/>
      </c>
      <c r="C181" s="18">
        <f>IF($L181="","",INDEX(HSI!$C$7:$C$106,$N181))</f>
        <v/>
      </c>
      <c r="D181" s="18">
        <f>IF($L181="","",INDEX(HSI!$D$7:$D$106,$N181))</f>
        <v/>
      </c>
      <c r="E181" s="40">
        <f>IF($L181="","",IF($P181=0,"TBA",IFERROR(INDEX(Grids!$C$12:$BO$111,$N181,$O181),"-")))</f>
        <v/>
      </c>
      <c r="F181" s="18">
        <f>IF($L181="","",INDEX(HSI!$F$7:$F$106,$N181))</f>
        <v/>
      </c>
      <c r="G181" s="40">
        <f>IF($L181="","",IF($P181=0,"TBA",IFERROR(INDEX(Grids!$BQ$12:$EC$111,$N181,$O181),"-")))</f>
        <v/>
      </c>
      <c r="H181" s="41">
        <f>IF($L181="","",SUM($G$10:$G181))</f>
        <v/>
      </c>
      <c r="I181" s="42">
        <f>IF($L181="","",IF(INT(($L181-INT($L181/10000000)*10000000)/1000000)=0,"Bloomberg projection",IF($P181=1,"ANNOUNCED","ANNOUNCED - amount TBA")))</f>
        <v/>
      </c>
      <c r="J181" s="43">
        <f>IF($L181="","",IF((OV_SWITCH="ON")*(COUNTIFS(OVR_TICKERS,INDEX(HSI!$C$7:$C$106,$N181),OVR_BASE,"&gt;=0")&gt;0)&gt;0,"stock overridden",""))</f>
        <v/>
      </c>
      <c r="L181" s="35">
        <f>IFERROR(IF(SMALL(Grids!$EE$12:$GQ$111,$M$7+172)&gt;=PEND_TO,"",SMALL(Grids!$EE$12:$GQ$111,$M$7+172)),"")</f>
        <v/>
      </c>
      <c r="M181" s="35">
        <f>IF($L181="","",INT($L181/1000000000))</f>
        <v/>
      </c>
      <c r="N181" s="35">
        <f>IF($L181="","",INT(($L181-INT($L181/1000000)*1000000)/1000))</f>
        <v/>
      </c>
      <c r="O181" s="35">
        <f>IF($L181="","",$L181-INT($L181/1000)*1000)</f>
        <v/>
      </c>
      <c r="P181" s="35">
        <f>IF($L181="","",INT(($L181-INT($L181/1000000000)*1000000000)/100000000))</f>
        <v/>
      </c>
    </row>
    <row r="182">
      <c r="B182" s="39">
        <f>IF($L182="","",$M182)</f>
        <v/>
      </c>
      <c r="C182" s="18">
        <f>IF($L182="","",INDEX(HSI!$C$7:$C$106,$N182))</f>
        <v/>
      </c>
      <c r="D182" s="18">
        <f>IF($L182="","",INDEX(HSI!$D$7:$D$106,$N182))</f>
        <v/>
      </c>
      <c r="E182" s="40">
        <f>IF($L182="","",IF($P182=0,"TBA",IFERROR(INDEX(Grids!$C$12:$BO$111,$N182,$O182),"-")))</f>
        <v/>
      </c>
      <c r="F182" s="18">
        <f>IF($L182="","",INDEX(HSI!$F$7:$F$106,$N182))</f>
        <v/>
      </c>
      <c r="G182" s="40">
        <f>IF($L182="","",IF($P182=0,"TBA",IFERROR(INDEX(Grids!$BQ$12:$EC$111,$N182,$O182),"-")))</f>
        <v/>
      </c>
      <c r="H182" s="41">
        <f>IF($L182="","",SUM($G$10:$G182))</f>
        <v/>
      </c>
      <c r="I182" s="42">
        <f>IF($L182="","",IF(INT(($L182-INT($L182/10000000)*10000000)/1000000)=0,"Bloomberg projection",IF($P182=1,"ANNOUNCED","ANNOUNCED - amount TBA")))</f>
        <v/>
      </c>
      <c r="J182" s="43">
        <f>IF($L182="","",IF((OV_SWITCH="ON")*(COUNTIFS(OVR_TICKERS,INDEX(HSI!$C$7:$C$106,$N182),OVR_BASE,"&gt;=0")&gt;0)&gt;0,"stock overridden",""))</f>
        <v/>
      </c>
      <c r="L182" s="35">
        <f>IFERROR(IF(SMALL(Grids!$EE$12:$GQ$111,$M$7+173)&gt;=PEND_TO,"",SMALL(Grids!$EE$12:$GQ$111,$M$7+173)),"")</f>
        <v/>
      </c>
      <c r="M182" s="35">
        <f>IF($L182="","",INT($L182/1000000000))</f>
        <v/>
      </c>
      <c r="N182" s="35">
        <f>IF($L182="","",INT(($L182-INT($L182/1000000)*1000000)/1000))</f>
        <v/>
      </c>
      <c r="O182" s="35">
        <f>IF($L182="","",$L182-INT($L182/1000)*1000)</f>
        <v/>
      </c>
      <c r="P182" s="35">
        <f>IF($L182="","",INT(($L182-INT($L182/1000000000)*1000000000)/100000000))</f>
        <v/>
      </c>
    </row>
    <row r="183">
      <c r="B183" s="39">
        <f>IF($L183="","",$M183)</f>
        <v/>
      </c>
      <c r="C183" s="18">
        <f>IF($L183="","",INDEX(HSI!$C$7:$C$106,$N183))</f>
        <v/>
      </c>
      <c r="D183" s="18">
        <f>IF($L183="","",INDEX(HSI!$D$7:$D$106,$N183))</f>
        <v/>
      </c>
      <c r="E183" s="40">
        <f>IF($L183="","",IF($P183=0,"TBA",IFERROR(INDEX(Grids!$C$12:$BO$111,$N183,$O183),"-")))</f>
        <v/>
      </c>
      <c r="F183" s="18">
        <f>IF($L183="","",INDEX(HSI!$F$7:$F$106,$N183))</f>
        <v/>
      </c>
      <c r="G183" s="40">
        <f>IF($L183="","",IF($P183=0,"TBA",IFERROR(INDEX(Grids!$BQ$12:$EC$111,$N183,$O183),"-")))</f>
        <v/>
      </c>
      <c r="H183" s="41">
        <f>IF($L183="","",SUM($G$10:$G183))</f>
        <v/>
      </c>
      <c r="I183" s="42">
        <f>IF($L183="","",IF(INT(($L183-INT($L183/10000000)*10000000)/1000000)=0,"Bloomberg projection",IF($P183=1,"ANNOUNCED","ANNOUNCED - amount TBA")))</f>
        <v/>
      </c>
      <c r="J183" s="43">
        <f>IF($L183="","",IF((OV_SWITCH="ON")*(COUNTIFS(OVR_TICKERS,INDEX(HSI!$C$7:$C$106,$N183),OVR_BASE,"&gt;=0")&gt;0)&gt;0,"stock overridden",""))</f>
        <v/>
      </c>
      <c r="L183" s="35">
        <f>IFERROR(IF(SMALL(Grids!$EE$12:$GQ$111,$M$7+174)&gt;=PEND_TO,"",SMALL(Grids!$EE$12:$GQ$111,$M$7+174)),"")</f>
        <v/>
      </c>
      <c r="M183" s="35">
        <f>IF($L183="","",INT($L183/1000000000))</f>
        <v/>
      </c>
      <c r="N183" s="35">
        <f>IF($L183="","",INT(($L183-INT($L183/1000000)*1000000)/1000))</f>
        <v/>
      </c>
      <c r="O183" s="35">
        <f>IF($L183="","",$L183-INT($L183/1000)*1000)</f>
        <v/>
      </c>
      <c r="P183" s="35">
        <f>IF($L183="","",INT(($L183-INT($L183/1000000000)*1000000000)/100000000))</f>
        <v/>
      </c>
    </row>
    <row r="184">
      <c r="B184" s="39">
        <f>IF($L184="","",$M184)</f>
        <v/>
      </c>
      <c r="C184" s="18">
        <f>IF($L184="","",INDEX(HSI!$C$7:$C$106,$N184))</f>
        <v/>
      </c>
      <c r="D184" s="18">
        <f>IF($L184="","",INDEX(HSI!$D$7:$D$106,$N184))</f>
        <v/>
      </c>
      <c r="E184" s="40">
        <f>IF($L184="","",IF($P184=0,"TBA",IFERROR(INDEX(Grids!$C$12:$BO$111,$N184,$O184),"-")))</f>
        <v/>
      </c>
      <c r="F184" s="18">
        <f>IF($L184="","",INDEX(HSI!$F$7:$F$106,$N184))</f>
        <v/>
      </c>
      <c r="G184" s="40">
        <f>IF($L184="","",IF($P184=0,"TBA",IFERROR(INDEX(Grids!$BQ$12:$EC$111,$N184,$O184),"-")))</f>
        <v/>
      </c>
      <c r="H184" s="41">
        <f>IF($L184="","",SUM($G$10:$G184))</f>
        <v/>
      </c>
      <c r="I184" s="42">
        <f>IF($L184="","",IF(INT(($L184-INT($L184/10000000)*10000000)/1000000)=0,"Bloomberg projection",IF($P184=1,"ANNOUNCED","ANNOUNCED - amount TBA")))</f>
        <v/>
      </c>
      <c r="J184" s="43">
        <f>IF($L184="","",IF((OV_SWITCH="ON")*(COUNTIFS(OVR_TICKERS,INDEX(HSI!$C$7:$C$106,$N184),OVR_BASE,"&gt;=0")&gt;0)&gt;0,"stock overridden",""))</f>
        <v/>
      </c>
      <c r="L184" s="35">
        <f>IFERROR(IF(SMALL(Grids!$EE$12:$GQ$111,$M$7+175)&gt;=PEND_TO,"",SMALL(Grids!$EE$12:$GQ$111,$M$7+175)),"")</f>
        <v/>
      </c>
      <c r="M184" s="35">
        <f>IF($L184="","",INT($L184/1000000000))</f>
        <v/>
      </c>
      <c r="N184" s="35">
        <f>IF($L184="","",INT(($L184-INT($L184/1000000)*1000000)/1000))</f>
        <v/>
      </c>
      <c r="O184" s="35">
        <f>IF($L184="","",$L184-INT($L184/1000)*1000)</f>
        <v/>
      </c>
      <c r="P184" s="35">
        <f>IF($L184="","",INT(($L184-INT($L184/1000000000)*1000000000)/100000000))</f>
        <v/>
      </c>
    </row>
    <row r="185">
      <c r="B185" s="39">
        <f>IF($L185="","",$M185)</f>
        <v/>
      </c>
      <c r="C185" s="18">
        <f>IF($L185="","",INDEX(HSI!$C$7:$C$106,$N185))</f>
        <v/>
      </c>
      <c r="D185" s="18">
        <f>IF($L185="","",INDEX(HSI!$D$7:$D$106,$N185))</f>
        <v/>
      </c>
      <c r="E185" s="40">
        <f>IF($L185="","",IF($P185=0,"TBA",IFERROR(INDEX(Grids!$C$12:$BO$111,$N185,$O185),"-")))</f>
        <v/>
      </c>
      <c r="F185" s="18">
        <f>IF($L185="","",INDEX(HSI!$F$7:$F$106,$N185))</f>
        <v/>
      </c>
      <c r="G185" s="40">
        <f>IF($L185="","",IF($P185=0,"TBA",IFERROR(INDEX(Grids!$BQ$12:$EC$111,$N185,$O185),"-")))</f>
        <v/>
      </c>
      <c r="H185" s="41">
        <f>IF($L185="","",SUM($G$10:$G185))</f>
        <v/>
      </c>
      <c r="I185" s="42">
        <f>IF($L185="","",IF(INT(($L185-INT($L185/10000000)*10000000)/1000000)=0,"Bloomberg projection",IF($P185=1,"ANNOUNCED","ANNOUNCED - amount TBA")))</f>
        <v/>
      </c>
      <c r="J185" s="43">
        <f>IF($L185="","",IF((OV_SWITCH="ON")*(COUNTIFS(OVR_TICKERS,INDEX(HSI!$C$7:$C$106,$N185),OVR_BASE,"&gt;=0")&gt;0)&gt;0,"stock overridden",""))</f>
        <v/>
      </c>
      <c r="L185" s="35">
        <f>IFERROR(IF(SMALL(Grids!$EE$12:$GQ$111,$M$7+176)&gt;=PEND_TO,"",SMALL(Grids!$EE$12:$GQ$111,$M$7+176)),"")</f>
        <v/>
      </c>
      <c r="M185" s="35">
        <f>IF($L185="","",INT($L185/1000000000))</f>
        <v/>
      </c>
      <c r="N185" s="35">
        <f>IF($L185="","",INT(($L185-INT($L185/1000000)*1000000)/1000))</f>
        <v/>
      </c>
      <c r="O185" s="35">
        <f>IF($L185="","",$L185-INT($L185/1000)*1000)</f>
        <v/>
      </c>
      <c r="P185" s="35">
        <f>IF($L185="","",INT(($L185-INT($L185/1000000000)*1000000000)/100000000))</f>
        <v/>
      </c>
    </row>
    <row r="186">
      <c r="B186" s="39">
        <f>IF($L186="","",$M186)</f>
        <v/>
      </c>
      <c r="C186" s="18">
        <f>IF($L186="","",INDEX(HSI!$C$7:$C$106,$N186))</f>
        <v/>
      </c>
      <c r="D186" s="18">
        <f>IF($L186="","",INDEX(HSI!$D$7:$D$106,$N186))</f>
        <v/>
      </c>
      <c r="E186" s="40">
        <f>IF($L186="","",IF($P186=0,"TBA",IFERROR(INDEX(Grids!$C$12:$BO$111,$N186,$O186),"-")))</f>
        <v/>
      </c>
      <c r="F186" s="18">
        <f>IF($L186="","",INDEX(HSI!$F$7:$F$106,$N186))</f>
        <v/>
      </c>
      <c r="G186" s="40">
        <f>IF($L186="","",IF($P186=0,"TBA",IFERROR(INDEX(Grids!$BQ$12:$EC$111,$N186,$O186),"-")))</f>
        <v/>
      </c>
      <c r="H186" s="41">
        <f>IF($L186="","",SUM($G$10:$G186))</f>
        <v/>
      </c>
      <c r="I186" s="42">
        <f>IF($L186="","",IF(INT(($L186-INT($L186/10000000)*10000000)/1000000)=0,"Bloomberg projection",IF($P186=1,"ANNOUNCED","ANNOUNCED - amount TBA")))</f>
        <v/>
      </c>
      <c r="J186" s="43">
        <f>IF($L186="","",IF((OV_SWITCH="ON")*(COUNTIFS(OVR_TICKERS,INDEX(HSI!$C$7:$C$106,$N186),OVR_BASE,"&gt;=0")&gt;0)&gt;0,"stock overridden",""))</f>
        <v/>
      </c>
      <c r="L186" s="35">
        <f>IFERROR(IF(SMALL(Grids!$EE$12:$GQ$111,$M$7+177)&gt;=PEND_TO,"",SMALL(Grids!$EE$12:$GQ$111,$M$7+177)),"")</f>
        <v/>
      </c>
      <c r="M186" s="35">
        <f>IF($L186="","",INT($L186/1000000000))</f>
        <v/>
      </c>
      <c r="N186" s="35">
        <f>IF($L186="","",INT(($L186-INT($L186/1000000)*1000000)/1000))</f>
        <v/>
      </c>
      <c r="O186" s="35">
        <f>IF($L186="","",$L186-INT($L186/1000)*1000)</f>
        <v/>
      </c>
      <c r="P186" s="35">
        <f>IF($L186="","",INT(($L186-INT($L186/1000000000)*1000000000)/100000000))</f>
        <v/>
      </c>
    </row>
    <row r="187">
      <c r="B187" s="39">
        <f>IF($L187="","",$M187)</f>
        <v/>
      </c>
      <c r="C187" s="18">
        <f>IF($L187="","",INDEX(HSI!$C$7:$C$106,$N187))</f>
        <v/>
      </c>
      <c r="D187" s="18">
        <f>IF($L187="","",INDEX(HSI!$D$7:$D$106,$N187))</f>
        <v/>
      </c>
      <c r="E187" s="40">
        <f>IF($L187="","",IF($P187=0,"TBA",IFERROR(INDEX(Grids!$C$12:$BO$111,$N187,$O187),"-")))</f>
        <v/>
      </c>
      <c r="F187" s="18">
        <f>IF($L187="","",INDEX(HSI!$F$7:$F$106,$N187))</f>
        <v/>
      </c>
      <c r="G187" s="40">
        <f>IF($L187="","",IF($P187=0,"TBA",IFERROR(INDEX(Grids!$BQ$12:$EC$111,$N187,$O187),"-")))</f>
        <v/>
      </c>
      <c r="H187" s="41">
        <f>IF($L187="","",SUM($G$10:$G187))</f>
        <v/>
      </c>
      <c r="I187" s="42">
        <f>IF($L187="","",IF(INT(($L187-INT($L187/10000000)*10000000)/1000000)=0,"Bloomberg projection",IF($P187=1,"ANNOUNCED","ANNOUNCED - amount TBA")))</f>
        <v/>
      </c>
      <c r="J187" s="43">
        <f>IF($L187="","",IF((OV_SWITCH="ON")*(COUNTIFS(OVR_TICKERS,INDEX(HSI!$C$7:$C$106,$N187),OVR_BASE,"&gt;=0")&gt;0)&gt;0,"stock overridden",""))</f>
        <v/>
      </c>
      <c r="L187" s="35">
        <f>IFERROR(IF(SMALL(Grids!$EE$12:$GQ$111,$M$7+178)&gt;=PEND_TO,"",SMALL(Grids!$EE$12:$GQ$111,$M$7+178)),"")</f>
        <v/>
      </c>
      <c r="M187" s="35">
        <f>IF($L187="","",INT($L187/1000000000))</f>
        <v/>
      </c>
      <c r="N187" s="35">
        <f>IF($L187="","",INT(($L187-INT($L187/1000000)*1000000)/1000))</f>
        <v/>
      </c>
      <c r="O187" s="35">
        <f>IF($L187="","",$L187-INT($L187/1000)*1000)</f>
        <v/>
      </c>
      <c r="P187" s="35">
        <f>IF($L187="","",INT(($L187-INT($L187/1000000000)*1000000000)/100000000))</f>
        <v/>
      </c>
    </row>
    <row r="188">
      <c r="B188" s="39">
        <f>IF($L188="","",$M188)</f>
        <v/>
      </c>
      <c r="C188" s="18">
        <f>IF($L188="","",INDEX(HSI!$C$7:$C$106,$N188))</f>
        <v/>
      </c>
      <c r="D188" s="18">
        <f>IF($L188="","",INDEX(HSI!$D$7:$D$106,$N188))</f>
        <v/>
      </c>
      <c r="E188" s="40">
        <f>IF($L188="","",IF($P188=0,"TBA",IFERROR(INDEX(Grids!$C$12:$BO$111,$N188,$O188),"-")))</f>
        <v/>
      </c>
      <c r="F188" s="18">
        <f>IF($L188="","",INDEX(HSI!$F$7:$F$106,$N188))</f>
        <v/>
      </c>
      <c r="G188" s="40">
        <f>IF($L188="","",IF($P188=0,"TBA",IFERROR(INDEX(Grids!$BQ$12:$EC$111,$N188,$O188),"-")))</f>
        <v/>
      </c>
      <c r="H188" s="41">
        <f>IF($L188="","",SUM($G$10:$G188))</f>
        <v/>
      </c>
      <c r="I188" s="42">
        <f>IF($L188="","",IF(INT(($L188-INT($L188/10000000)*10000000)/1000000)=0,"Bloomberg projection",IF($P188=1,"ANNOUNCED","ANNOUNCED - amount TBA")))</f>
        <v/>
      </c>
      <c r="J188" s="43">
        <f>IF($L188="","",IF((OV_SWITCH="ON")*(COUNTIFS(OVR_TICKERS,INDEX(HSI!$C$7:$C$106,$N188),OVR_BASE,"&gt;=0")&gt;0)&gt;0,"stock overridden",""))</f>
        <v/>
      </c>
      <c r="L188" s="35">
        <f>IFERROR(IF(SMALL(Grids!$EE$12:$GQ$111,$M$7+179)&gt;=PEND_TO,"",SMALL(Grids!$EE$12:$GQ$111,$M$7+179)),"")</f>
        <v/>
      </c>
      <c r="M188" s="35">
        <f>IF($L188="","",INT($L188/1000000000))</f>
        <v/>
      </c>
      <c r="N188" s="35">
        <f>IF($L188="","",INT(($L188-INT($L188/1000000)*1000000)/1000))</f>
        <v/>
      </c>
      <c r="O188" s="35">
        <f>IF($L188="","",$L188-INT($L188/1000)*1000)</f>
        <v/>
      </c>
      <c r="P188" s="35">
        <f>IF($L188="","",INT(($L188-INT($L188/1000000000)*1000000000)/100000000))</f>
        <v/>
      </c>
    </row>
    <row r="189">
      <c r="B189" s="39">
        <f>IF($L189="","",$M189)</f>
        <v/>
      </c>
      <c r="C189" s="18">
        <f>IF($L189="","",INDEX(HSI!$C$7:$C$106,$N189))</f>
        <v/>
      </c>
      <c r="D189" s="18">
        <f>IF($L189="","",INDEX(HSI!$D$7:$D$106,$N189))</f>
        <v/>
      </c>
      <c r="E189" s="40">
        <f>IF($L189="","",IF($P189=0,"TBA",IFERROR(INDEX(Grids!$C$12:$BO$111,$N189,$O189),"-")))</f>
        <v/>
      </c>
      <c r="F189" s="18">
        <f>IF($L189="","",INDEX(HSI!$F$7:$F$106,$N189))</f>
        <v/>
      </c>
      <c r="G189" s="40">
        <f>IF($L189="","",IF($P189=0,"TBA",IFERROR(INDEX(Grids!$BQ$12:$EC$111,$N189,$O189),"-")))</f>
        <v/>
      </c>
      <c r="H189" s="41">
        <f>IF($L189="","",SUM($G$10:$G189))</f>
        <v/>
      </c>
      <c r="I189" s="42">
        <f>IF($L189="","",IF(INT(($L189-INT($L189/10000000)*10000000)/1000000)=0,"Bloomberg projection",IF($P189=1,"ANNOUNCED","ANNOUNCED - amount TBA")))</f>
        <v/>
      </c>
      <c r="J189" s="43">
        <f>IF($L189="","",IF((OV_SWITCH="ON")*(COUNTIFS(OVR_TICKERS,INDEX(HSI!$C$7:$C$106,$N189),OVR_BASE,"&gt;=0")&gt;0)&gt;0,"stock overridden",""))</f>
        <v/>
      </c>
      <c r="L189" s="35">
        <f>IFERROR(IF(SMALL(Grids!$EE$12:$GQ$111,$M$7+180)&gt;=PEND_TO,"",SMALL(Grids!$EE$12:$GQ$111,$M$7+180)),"")</f>
        <v/>
      </c>
      <c r="M189" s="35">
        <f>IF($L189="","",INT($L189/1000000000))</f>
        <v/>
      </c>
      <c r="N189" s="35">
        <f>IF($L189="","",INT(($L189-INT($L189/1000000)*1000000)/1000))</f>
        <v/>
      </c>
      <c r="O189" s="35">
        <f>IF($L189="","",$L189-INT($L189/1000)*1000)</f>
        <v/>
      </c>
      <c r="P189" s="35">
        <f>IF($L189="","",INT(($L189-INT($L189/1000000000)*1000000000)/100000000))</f>
        <v/>
      </c>
    </row>
    <row r="190">
      <c r="B190" s="39">
        <f>IF($L190="","",$M190)</f>
        <v/>
      </c>
      <c r="C190" s="18">
        <f>IF($L190="","",INDEX(HSI!$C$7:$C$106,$N190))</f>
        <v/>
      </c>
      <c r="D190" s="18">
        <f>IF($L190="","",INDEX(HSI!$D$7:$D$106,$N190))</f>
        <v/>
      </c>
      <c r="E190" s="40">
        <f>IF($L190="","",IF($P190=0,"TBA",IFERROR(INDEX(Grids!$C$12:$BO$111,$N190,$O190),"-")))</f>
        <v/>
      </c>
      <c r="F190" s="18">
        <f>IF($L190="","",INDEX(HSI!$F$7:$F$106,$N190))</f>
        <v/>
      </c>
      <c r="G190" s="40">
        <f>IF($L190="","",IF($P190=0,"TBA",IFERROR(INDEX(Grids!$BQ$12:$EC$111,$N190,$O190),"-")))</f>
        <v/>
      </c>
      <c r="H190" s="41">
        <f>IF($L190="","",SUM($G$10:$G190))</f>
        <v/>
      </c>
      <c r="I190" s="42">
        <f>IF($L190="","",IF(INT(($L190-INT($L190/10000000)*10000000)/1000000)=0,"Bloomberg projection",IF($P190=1,"ANNOUNCED","ANNOUNCED - amount TBA")))</f>
        <v/>
      </c>
      <c r="J190" s="43">
        <f>IF($L190="","",IF((OV_SWITCH="ON")*(COUNTIFS(OVR_TICKERS,INDEX(HSI!$C$7:$C$106,$N190),OVR_BASE,"&gt;=0")&gt;0)&gt;0,"stock overridden",""))</f>
        <v/>
      </c>
      <c r="L190" s="35">
        <f>IFERROR(IF(SMALL(Grids!$EE$12:$GQ$111,$M$7+181)&gt;=PEND_TO,"",SMALL(Grids!$EE$12:$GQ$111,$M$7+181)),"")</f>
        <v/>
      </c>
      <c r="M190" s="35">
        <f>IF($L190="","",INT($L190/1000000000))</f>
        <v/>
      </c>
      <c r="N190" s="35">
        <f>IF($L190="","",INT(($L190-INT($L190/1000000)*1000000)/1000))</f>
        <v/>
      </c>
      <c r="O190" s="35">
        <f>IF($L190="","",$L190-INT($L190/1000)*1000)</f>
        <v/>
      </c>
      <c r="P190" s="35">
        <f>IF($L190="","",INT(($L190-INT($L190/1000000000)*1000000000)/100000000))</f>
        <v/>
      </c>
    </row>
    <row r="191">
      <c r="B191" s="39">
        <f>IF($L191="","",$M191)</f>
        <v/>
      </c>
      <c r="C191" s="18">
        <f>IF($L191="","",INDEX(HSI!$C$7:$C$106,$N191))</f>
        <v/>
      </c>
      <c r="D191" s="18">
        <f>IF($L191="","",INDEX(HSI!$D$7:$D$106,$N191))</f>
        <v/>
      </c>
      <c r="E191" s="40">
        <f>IF($L191="","",IF($P191=0,"TBA",IFERROR(INDEX(Grids!$C$12:$BO$111,$N191,$O191),"-")))</f>
        <v/>
      </c>
      <c r="F191" s="18">
        <f>IF($L191="","",INDEX(HSI!$F$7:$F$106,$N191))</f>
        <v/>
      </c>
      <c r="G191" s="40">
        <f>IF($L191="","",IF($P191=0,"TBA",IFERROR(INDEX(Grids!$BQ$12:$EC$111,$N191,$O191),"-")))</f>
        <v/>
      </c>
      <c r="H191" s="41">
        <f>IF($L191="","",SUM($G$10:$G191))</f>
        <v/>
      </c>
      <c r="I191" s="42">
        <f>IF($L191="","",IF(INT(($L191-INT($L191/10000000)*10000000)/1000000)=0,"Bloomberg projection",IF($P191=1,"ANNOUNCED","ANNOUNCED - amount TBA")))</f>
        <v/>
      </c>
      <c r="J191" s="43">
        <f>IF($L191="","",IF((OV_SWITCH="ON")*(COUNTIFS(OVR_TICKERS,INDEX(HSI!$C$7:$C$106,$N191),OVR_BASE,"&gt;=0")&gt;0)&gt;0,"stock overridden",""))</f>
        <v/>
      </c>
      <c r="L191" s="35">
        <f>IFERROR(IF(SMALL(Grids!$EE$12:$GQ$111,$M$7+182)&gt;=PEND_TO,"",SMALL(Grids!$EE$12:$GQ$111,$M$7+182)),"")</f>
        <v/>
      </c>
      <c r="M191" s="35">
        <f>IF($L191="","",INT($L191/1000000000))</f>
        <v/>
      </c>
      <c r="N191" s="35">
        <f>IF($L191="","",INT(($L191-INT($L191/1000000)*1000000)/1000))</f>
        <v/>
      </c>
      <c r="O191" s="35">
        <f>IF($L191="","",$L191-INT($L191/1000)*1000)</f>
        <v/>
      </c>
      <c r="P191" s="35">
        <f>IF($L191="","",INT(($L191-INT($L191/1000000000)*1000000000)/100000000))</f>
        <v/>
      </c>
    </row>
    <row r="192">
      <c r="B192" s="39">
        <f>IF($L192="","",$M192)</f>
        <v/>
      </c>
      <c r="C192" s="18">
        <f>IF($L192="","",INDEX(HSI!$C$7:$C$106,$N192))</f>
        <v/>
      </c>
      <c r="D192" s="18">
        <f>IF($L192="","",INDEX(HSI!$D$7:$D$106,$N192))</f>
        <v/>
      </c>
      <c r="E192" s="40">
        <f>IF($L192="","",IF($P192=0,"TBA",IFERROR(INDEX(Grids!$C$12:$BO$111,$N192,$O192),"-")))</f>
        <v/>
      </c>
      <c r="F192" s="18">
        <f>IF($L192="","",INDEX(HSI!$F$7:$F$106,$N192))</f>
        <v/>
      </c>
      <c r="G192" s="40">
        <f>IF($L192="","",IF($P192=0,"TBA",IFERROR(INDEX(Grids!$BQ$12:$EC$111,$N192,$O192),"-")))</f>
        <v/>
      </c>
      <c r="H192" s="41">
        <f>IF($L192="","",SUM($G$10:$G192))</f>
        <v/>
      </c>
      <c r="I192" s="42">
        <f>IF($L192="","",IF(INT(($L192-INT($L192/10000000)*10000000)/1000000)=0,"Bloomberg projection",IF($P192=1,"ANNOUNCED","ANNOUNCED - amount TBA")))</f>
        <v/>
      </c>
      <c r="J192" s="43">
        <f>IF($L192="","",IF((OV_SWITCH="ON")*(COUNTIFS(OVR_TICKERS,INDEX(HSI!$C$7:$C$106,$N192),OVR_BASE,"&gt;=0")&gt;0)&gt;0,"stock overridden",""))</f>
        <v/>
      </c>
      <c r="L192" s="35">
        <f>IFERROR(IF(SMALL(Grids!$EE$12:$GQ$111,$M$7+183)&gt;=PEND_TO,"",SMALL(Grids!$EE$12:$GQ$111,$M$7+183)),"")</f>
        <v/>
      </c>
      <c r="M192" s="35">
        <f>IF($L192="","",INT($L192/1000000000))</f>
        <v/>
      </c>
      <c r="N192" s="35">
        <f>IF($L192="","",INT(($L192-INT($L192/1000000)*1000000)/1000))</f>
        <v/>
      </c>
      <c r="O192" s="35">
        <f>IF($L192="","",$L192-INT($L192/1000)*1000)</f>
        <v/>
      </c>
      <c r="P192" s="35">
        <f>IF($L192="","",INT(($L192-INT($L192/1000000000)*1000000000)/100000000))</f>
        <v/>
      </c>
    </row>
    <row r="193">
      <c r="B193" s="39">
        <f>IF($L193="","",$M193)</f>
        <v/>
      </c>
      <c r="C193" s="18">
        <f>IF($L193="","",INDEX(HSI!$C$7:$C$106,$N193))</f>
        <v/>
      </c>
      <c r="D193" s="18">
        <f>IF($L193="","",INDEX(HSI!$D$7:$D$106,$N193))</f>
        <v/>
      </c>
      <c r="E193" s="40">
        <f>IF($L193="","",IF($P193=0,"TBA",IFERROR(INDEX(Grids!$C$12:$BO$111,$N193,$O193),"-")))</f>
        <v/>
      </c>
      <c r="F193" s="18">
        <f>IF($L193="","",INDEX(HSI!$F$7:$F$106,$N193))</f>
        <v/>
      </c>
      <c r="G193" s="40">
        <f>IF($L193="","",IF($P193=0,"TBA",IFERROR(INDEX(Grids!$BQ$12:$EC$111,$N193,$O193),"-")))</f>
        <v/>
      </c>
      <c r="H193" s="41">
        <f>IF($L193="","",SUM($G$10:$G193))</f>
        <v/>
      </c>
      <c r="I193" s="42">
        <f>IF($L193="","",IF(INT(($L193-INT($L193/10000000)*10000000)/1000000)=0,"Bloomberg projection",IF($P193=1,"ANNOUNCED","ANNOUNCED - amount TBA")))</f>
        <v/>
      </c>
      <c r="J193" s="43">
        <f>IF($L193="","",IF((OV_SWITCH="ON")*(COUNTIFS(OVR_TICKERS,INDEX(HSI!$C$7:$C$106,$N193),OVR_BASE,"&gt;=0")&gt;0)&gt;0,"stock overridden",""))</f>
        <v/>
      </c>
      <c r="L193" s="35">
        <f>IFERROR(IF(SMALL(Grids!$EE$12:$GQ$111,$M$7+184)&gt;=PEND_TO,"",SMALL(Grids!$EE$12:$GQ$111,$M$7+184)),"")</f>
        <v/>
      </c>
      <c r="M193" s="35">
        <f>IF($L193="","",INT($L193/1000000000))</f>
        <v/>
      </c>
      <c r="N193" s="35">
        <f>IF($L193="","",INT(($L193-INT($L193/1000000)*1000000)/1000))</f>
        <v/>
      </c>
      <c r="O193" s="35">
        <f>IF($L193="","",$L193-INT($L193/1000)*1000)</f>
        <v/>
      </c>
      <c r="P193" s="35">
        <f>IF($L193="","",INT(($L193-INT($L193/1000000000)*1000000000)/100000000))</f>
        <v/>
      </c>
    </row>
    <row r="194">
      <c r="B194" s="39">
        <f>IF($L194="","",$M194)</f>
        <v/>
      </c>
      <c r="C194" s="18">
        <f>IF($L194="","",INDEX(HSI!$C$7:$C$106,$N194))</f>
        <v/>
      </c>
      <c r="D194" s="18">
        <f>IF($L194="","",INDEX(HSI!$D$7:$D$106,$N194))</f>
        <v/>
      </c>
      <c r="E194" s="40">
        <f>IF($L194="","",IF($P194=0,"TBA",IFERROR(INDEX(Grids!$C$12:$BO$111,$N194,$O194),"-")))</f>
        <v/>
      </c>
      <c r="F194" s="18">
        <f>IF($L194="","",INDEX(HSI!$F$7:$F$106,$N194))</f>
        <v/>
      </c>
      <c r="G194" s="40">
        <f>IF($L194="","",IF($P194=0,"TBA",IFERROR(INDEX(Grids!$BQ$12:$EC$111,$N194,$O194),"-")))</f>
        <v/>
      </c>
      <c r="H194" s="41">
        <f>IF($L194="","",SUM($G$10:$G194))</f>
        <v/>
      </c>
      <c r="I194" s="42">
        <f>IF($L194="","",IF(INT(($L194-INT($L194/10000000)*10000000)/1000000)=0,"Bloomberg projection",IF($P194=1,"ANNOUNCED","ANNOUNCED - amount TBA")))</f>
        <v/>
      </c>
      <c r="J194" s="43">
        <f>IF($L194="","",IF((OV_SWITCH="ON")*(COUNTIFS(OVR_TICKERS,INDEX(HSI!$C$7:$C$106,$N194),OVR_BASE,"&gt;=0")&gt;0)&gt;0,"stock overridden",""))</f>
        <v/>
      </c>
      <c r="L194" s="35">
        <f>IFERROR(IF(SMALL(Grids!$EE$12:$GQ$111,$M$7+185)&gt;=PEND_TO,"",SMALL(Grids!$EE$12:$GQ$111,$M$7+185)),"")</f>
        <v/>
      </c>
      <c r="M194" s="35">
        <f>IF($L194="","",INT($L194/1000000000))</f>
        <v/>
      </c>
      <c r="N194" s="35">
        <f>IF($L194="","",INT(($L194-INT($L194/1000000)*1000000)/1000))</f>
        <v/>
      </c>
      <c r="O194" s="35">
        <f>IF($L194="","",$L194-INT($L194/1000)*1000)</f>
        <v/>
      </c>
      <c r="P194" s="35">
        <f>IF($L194="","",INT(($L194-INT($L194/1000000000)*1000000000)/100000000))</f>
        <v/>
      </c>
    </row>
    <row r="195">
      <c r="B195" s="39">
        <f>IF($L195="","",$M195)</f>
        <v/>
      </c>
      <c r="C195" s="18">
        <f>IF($L195="","",INDEX(HSI!$C$7:$C$106,$N195))</f>
        <v/>
      </c>
      <c r="D195" s="18">
        <f>IF($L195="","",INDEX(HSI!$D$7:$D$106,$N195))</f>
        <v/>
      </c>
      <c r="E195" s="40">
        <f>IF($L195="","",IF($P195=0,"TBA",IFERROR(INDEX(Grids!$C$12:$BO$111,$N195,$O195),"-")))</f>
        <v/>
      </c>
      <c r="F195" s="18">
        <f>IF($L195="","",INDEX(HSI!$F$7:$F$106,$N195))</f>
        <v/>
      </c>
      <c r="G195" s="40">
        <f>IF($L195="","",IF($P195=0,"TBA",IFERROR(INDEX(Grids!$BQ$12:$EC$111,$N195,$O195),"-")))</f>
        <v/>
      </c>
      <c r="H195" s="41">
        <f>IF($L195="","",SUM($G$10:$G195))</f>
        <v/>
      </c>
      <c r="I195" s="42">
        <f>IF($L195="","",IF(INT(($L195-INT($L195/10000000)*10000000)/1000000)=0,"Bloomberg projection",IF($P195=1,"ANNOUNCED","ANNOUNCED - amount TBA")))</f>
        <v/>
      </c>
      <c r="J195" s="43">
        <f>IF($L195="","",IF((OV_SWITCH="ON")*(COUNTIFS(OVR_TICKERS,INDEX(HSI!$C$7:$C$106,$N195),OVR_BASE,"&gt;=0")&gt;0)&gt;0,"stock overridden",""))</f>
        <v/>
      </c>
      <c r="L195" s="35">
        <f>IFERROR(IF(SMALL(Grids!$EE$12:$GQ$111,$M$7+186)&gt;=PEND_TO,"",SMALL(Grids!$EE$12:$GQ$111,$M$7+186)),"")</f>
        <v/>
      </c>
      <c r="M195" s="35">
        <f>IF($L195="","",INT($L195/1000000000))</f>
        <v/>
      </c>
      <c r="N195" s="35">
        <f>IF($L195="","",INT(($L195-INT($L195/1000000)*1000000)/1000))</f>
        <v/>
      </c>
      <c r="O195" s="35">
        <f>IF($L195="","",$L195-INT($L195/1000)*1000)</f>
        <v/>
      </c>
      <c r="P195" s="35">
        <f>IF($L195="","",INT(($L195-INT($L195/1000000000)*1000000000)/100000000))</f>
        <v/>
      </c>
    </row>
    <row r="196">
      <c r="B196" s="39">
        <f>IF($L196="","",$M196)</f>
        <v/>
      </c>
      <c r="C196" s="18">
        <f>IF($L196="","",INDEX(HSI!$C$7:$C$106,$N196))</f>
        <v/>
      </c>
      <c r="D196" s="18">
        <f>IF($L196="","",INDEX(HSI!$D$7:$D$106,$N196))</f>
        <v/>
      </c>
      <c r="E196" s="40">
        <f>IF($L196="","",IF($P196=0,"TBA",IFERROR(INDEX(Grids!$C$12:$BO$111,$N196,$O196),"-")))</f>
        <v/>
      </c>
      <c r="F196" s="18">
        <f>IF($L196="","",INDEX(HSI!$F$7:$F$106,$N196))</f>
        <v/>
      </c>
      <c r="G196" s="40">
        <f>IF($L196="","",IF($P196=0,"TBA",IFERROR(INDEX(Grids!$BQ$12:$EC$111,$N196,$O196),"-")))</f>
        <v/>
      </c>
      <c r="H196" s="41">
        <f>IF($L196="","",SUM($G$10:$G196))</f>
        <v/>
      </c>
      <c r="I196" s="42">
        <f>IF($L196="","",IF(INT(($L196-INT($L196/10000000)*10000000)/1000000)=0,"Bloomberg projection",IF($P196=1,"ANNOUNCED","ANNOUNCED - amount TBA")))</f>
        <v/>
      </c>
      <c r="J196" s="43">
        <f>IF($L196="","",IF((OV_SWITCH="ON")*(COUNTIFS(OVR_TICKERS,INDEX(HSI!$C$7:$C$106,$N196),OVR_BASE,"&gt;=0")&gt;0)&gt;0,"stock overridden",""))</f>
        <v/>
      </c>
      <c r="L196" s="35">
        <f>IFERROR(IF(SMALL(Grids!$EE$12:$GQ$111,$M$7+187)&gt;=PEND_TO,"",SMALL(Grids!$EE$12:$GQ$111,$M$7+187)),"")</f>
        <v/>
      </c>
      <c r="M196" s="35">
        <f>IF($L196="","",INT($L196/1000000000))</f>
        <v/>
      </c>
      <c r="N196" s="35">
        <f>IF($L196="","",INT(($L196-INT($L196/1000000)*1000000)/1000))</f>
        <v/>
      </c>
      <c r="O196" s="35">
        <f>IF($L196="","",$L196-INT($L196/1000)*1000)</f>
        <v/>
      </c>
      <c r="P196" s="35">
        <f>IF($L196="","",INT(($L196-INT($L196/1000000000)*1000000000)/100000000))</f>
        <v/>
      </c>
    </row>
    <row r="197">
      <c r="B197" s="39">
        <f>IF($L197="","",$M197)</f>
        <v/>
      </c>
      <c r="C197" s="18">
        <f>IF($L197="","",INDEX(HSI!$C$7:$C$106,$N197))</f>
        <v/>
      </c>
      <c r="D197" s="18">
        <f>IF($L197="","",INDEX(HSI!$D$7:$D$106,$N197))</f>
        <v/>
      </c>
      <c r="E197" s="40">
        <f>IF($L197="","",IF($P197=0,"TBA",IFERROR(INDEX(Grids!$C$12:$BO$111,$N197,$O197),"-")))</f>
        <v/>
      </c>
      <c r="F197" s="18">
        <f>IF($L197="","",INDEX(HSI!$F$7:$F$106,$N197))</f>
        <v/>
      </c>
      <c r="G197" s="40">
        <f>IF($L197="","",IF($P197=0,"TBA",IFERROR(INDEX(Grids!$BQ$12:$EC$111,$N197,$O197),"-")))</f>
        <v/>
      </c>
      <c r="H197" s="41">
        <f>IF($L197="","",SUM($G$10:$G197))</f>
        <v/>
      </c>
      <c r="I197" s="42">
        <f>IF($L197="","",IF(INT(($L197-INT($L197/10000000)*10000000)/1000000)=0,"Bloomberg projection",IF($P197=1,"ANNOUNCED","ANNOUNCED - amount TBA")))</f>
        <v/>
      </c>
      <c r="J197" s="43">
        <f>IF($L197="","",IF((OV_SWITCH="ON")*(COUNTIFS(OVR_TICKERS,INDEX(HSI!$C$7:$C$106,$N197),OVR_BASE,"&gt;=0")&gt;0)&gt;0,"stock overridden",""))</f>
        <v/>
      </c>
      <c r="L197" s="35">
        <f>IFERROR(IF(SMALL(Grids!$EE$12:$GQ$111,$M$7+188)&gt;=PEND_TO,"",SMALL(Grids!$EE$12:$GQ$111,$M$7+188)),"")</f>
        <v/>
      </c>
      <c r="M197" s="35">
        <f>IF($L197="","",INT($L197/1000000000))</f>
        <v/>
      </c>
      <c r="N197" s="35">
        <f>IF($L197="","",INT(($L197-INT($L197/1000000)*1000000)/1000))</f>
        <v/>
      </c>
      <c r="O197" s="35">
        <f>IF($L197="","",$L197-INT($L197/1000)*1000)</f>
        <v/>
      </c>
      <c r="P197" s="35">
        <f>IF($L197="","",INT(($L197-INT($L197/1000000000)*1000000000)/100000000))</f>
        <v/>
      </c>
    </row>
    <row r="198">
      <c r="B198" s="39">
        <f>IF($L198="","",$M198)</f>
        <v/>
      </c>
      <c r="C198" s="18">
        <f>IF($L198="","",INDEX(HSI!$C$7:$C$106,$N198))</f>
        <v/>
      </c>
      <c r="D198" s="18">
        <f>IF($L198="","",INDEX(HSI!$D$7:$D$106,$N198))</f>
        <v/>
      </c>
      <c r="E198" s="40">
        <f>IF($L198="","",IF($P198=0,"TBA",IFERROR(INDEX(Grids!$C$12:$BO$111,$N198,$O198),"-")))</f>
        <v/>
      </c>
      <c r="F198" s="18">
        <f>IF($L198="","",INDEX(HSI!$F$7:$F$106,$N198))</f>
        <v/>
      </c>
      <c r="G198" s="40">
        <f>IF($L198="","",IF($P198=0,"TBA",IFERROR(INDEX(Grids!$BQ$12:$EC$111,$N198,$O198),"-")))</f>
        <v/>
      </c>
      <c r="H198" s="41">
        <f>IF($L198="","",SUM($G$10:$G198))</f>
        <v/>
      </c>
      <c r="I198" s="42">
        <f>IF($L198="","",IF(INT(($L198-INT($L198/10000000)*10000000)/1000000)=0,"Bloomberg projection",IF($P198=1,"ANNOUNCED","ANNOUNCED - amount TBA")))</f>
        <v/>
      </c>
      <c r="J198" s="43">
        <f>IF($L198="","",IF((OV_SWITCH="ON")*(COUNTIFS(OVR_TICKERS,INDEX(HSI!$C$7:$C$106,$N198),OVR_BASE,"&gt;=0")&gt;0)&gt;0,"stock overridden",""))</f>
        <v/>
      </c>
      <c r="L198" s="35">
        <f>IFERROR(IF(SMALL(Grids!$EE$12:$GQ$111,$M$7+189)&gt;=PEND_TO,"",SMALL(Grids!$EE$12:$GQ$111,$M$7+189)),"")</f>
        <v/>
      </c>
      <c r="M198" s="35">
        <f>IF($L198="","",INT($L198/1000000000))</f>
        <v/>
      </c>
      <c r="N198" s="35">
        <f>IF($L198="","",INT(($L198-INT($L198/1000000)*1000000)/1000))</f>
        <v/>
      </c>
      <c r="O198" s="35">
        <f>IF($L198="","",$L198-INT($L198/1000)*1000)</f>
        <v/>
      </c>
      <c r="P198" s="35">
        <f>IF($L198="","",INT(($L198-INT($L198/1000000000)*1000000000)/100000000))</f>
        <v/>
      </c>
    </row>
    <row r="199">
      <c r="B199" s="39">
        <f>IF($L199="","",$M199)</f>
        <v/>
      </c>
      <c r="C199" s="18">
        <f>IF($L199="","",INDEX(HSI!$C$7:$C$106,$N199))</f>
        <v/>
      </c>
      <c r="D199" s="18">
        <f>IF($L199="","",INDEX(HSI!$D$7:$D$106,$N199))</f>
        <v/>
      </c>
      <c r="E199" s="40">
        <f>IF($L199="","",IF($P199=0,"TBA",IFERROR(INDEX(Grids!$C$12:$BO$111,$N199,$O199),"-")))</f>
        <v/>
      </c>
      <c r="F199" s="18">
        <f>IF($L199="","",INDEX(HSI!$F$7:$F$106,$N199))</f>
        <v/>
      </c>
      <c r="G199" s="40">
        <f>IF($L199="","",IF($P199=0,"TBA",IFERROR(INDEX(Grids!$BQ$12:$EC$111,$N199,$O199),"-")))</f>
        <v/>
      </c>
      <c r="H199" s="41">
        <f>IF($L199="","",SUM($G$10:$G199))</f>
        <v/>
      </c>
      <c r="I199" s="42">
        <f>IF($L199="","",IF(INT(($L199-INT($L199/10000000)*10000000)/1000000)=0,"Bloomberg projection",IF($P199=1,"ANNOUNCED","ANNOUNCED - amount TBA")))</f>
        <v/>
      </c>
      <c r="J199" s="43">
        <f>IF($L199="","",IF((OV_SWITCH="ON")*(COUNTIFS(OVR_TICKERS,INDEX(HSI!$C$7:$C$106,$N199),OVR_BASE,"&gt;=0")&gt;0)&gt;0,"stock overridden",""))</f>
        <v/>
      </c>
      <c r="L199" s="35">
        <f>IFERROR(IF(SMALL(Grids!$EE$12:$GQ$111,$M$7+190)&gt;=PEND_TO,"",SMALL(Grids!$EE$12:$GQ$111,$M$7+190)),"")</f>
        <v/>
      </c>
      <c r="M199" s="35">
        <f>IF($L199="","",INT($L199/1000000000))</f>
        <v/>
      </c>
      <c r="N199" s="35">
        <f>IF($L199="","",INT(($L199-INT($L199/1000000)*1000000)/1000))</f>
        <v/>
      </c>
      <c r="O199" s="35">
        <f>IF($L199="","",$L199-INT($L199/1000)*1000)</f>
        <v/>
      </c>
      <c r="P199" s="35">
        <f>IF($L199="","",INT(($L199-INT($L199/1000000000)*1000000000)/100000000))</f>
        <v/>
      </c>
    </row>
    <row r="200">
      <c r="B200" s="39">
        <f>IF($L200="","",$M200)</f>
        <v/>
      </c>
      <c r="C200" s="18">
        <f>IF($L200="","",INDEX(HSI!$C$7:$C$106,$N200))</f>
        <v/>
      </c>
      <c r="D200" s="18">
        <f>IF($L200="","",INDEX(HSI!$D$7:$D$106,$N200))</f>
        <v/>
      </c>
      <c r="E200" s="40">
        <f>IF($L200="","",IF($P200=0,"TBA",IFERROR(INDEX(Grids!$C$12:$BO$111,$N200,$O200),"-")))</f>
        <v/>
      </c>
      <c r="F200" s="18">
        <f>IF($L200="","",INDEX(HSI!$F$7:$F$106,$N200))</f>
        <v/>
      </c>
      <c r="G200" s="40">
        <f>IF($L200="","",IF($P200=0,"TBA",IFERROR(INDEX(Grids!$BQ$12:$EC$111,$N200,$O200),"-")))</f>
        <v/>
      </c>
      <c r="H200" s="41">
        <f>IF($L200="","",SUM($G$10:$G200))</f>
        <v/>
      </c>
      <c r="I200" s="42">
        <f>IF($L200="","",IF(INT(($L200-INT($L200/10000000)*10000000)/1000000)=0,"Bloomberg projection",IF($P200=1,"ANNOUNCED","ANNOUNCED - amount TBA")))</f>
        <v/>
      </c>
      <c r="J200" s="43">
        <f>IF($L200="","",IF((OV_SWITCH="ON")*(COUNTIFS(OVR_TICKERS,INDEX(HSI!$C$7:$C$106,$N200),OVR_BASE,"&gt;=0")&gt;0)&gt;0,"stock overridden",""))</f>
        <v/>
      </c>
      <c r="L200" s="35">
        <f>IFERROR(IF(SMALL(Grids!$EE$12:$GQ$111,$M$7+191)&gt;=PEND_TO,"",SMALL(Grids!$EE$12:$GQ$111,$M$7+191)),"")</f>
        <v/>
      </c>
      <c r="M200" s="35">
        <f>IF($L200="","",INT($L200/1000000000))</f>
        <v/>
      </c>
      <c r="N200" s="35">
        <f>IF($L200="","",INT(($L200-INT($L200/1000000)*1000000)/1000))</f>
        <v/>
      </c>
      <c r="O200" s="35">
        <f>IF($L200="","",$L200-INT($L200/1000)*1000)</f>
        <v/>
      </c>
      <c r="P200" s="35">
        <f>IF($L200="","",INT(($L200-INT($L200/1000000000)*1000000000)/100000000))</f>
        <v/>
      </c>
    </row>
    <row r="201">
      <c r="B201" s="39">
        <f>IF($L201="","",$M201)</f>
        <v/>
      </c>
      <c r="C201" s="18">
        <f>IF($L201="","",INDEX(HSI!$C$7:$C$106,$N201))</f>
        <v/>
      </c>
      <c r="D201" s="18">
        <f>IF($L201="","",INDEX(HSI!$D$7:$D$106,$N201))</f>
        <v/>
      </c>
      <c r="E201" s="40">
        <f>IF($L201="","",IF($P201=0,"TBA",IFERROR(INDEX(Grids!$C$12:$BO$111,$N201,$O201),"-")))</f>
        <v/>
      </c>
      <c r="F201" s="18">
        <f>IF($L201="","",INDEX(HSI!$F$7:$F$106,$N201))</f>
        <v/>
      </c>
      <c r="G201" s="40">
        <f>IF($L201="","",IF($P201=0,"TBA",IFERROR(INDEX(Grids!$BQ$12:$EC$111,$N201,$O201),"-")))</f>
        <v/>
      </c>
      <c r="H201" s="41">
        <f>IF($L201="","",SUM($G$10:$G201))</f>
        <v/>
      </c>
      <c r="I201" s="42">
        <f>IF($L201="","",IF(INT(($L201-INT($L201/10000000)*10000000)/1000000)=0,"Bloomberg projection",IF($P201=1,"ANNOUNCED","ANNOUNCED - amount TBA")))</f>
        <v/>
      </c>
      <c r="J201" s="43">
        <f>IF($L201="","",IF((OV_SWITCH="ON")*(COUNTIFS(OVR_TICKERS,INDEX(HSI!$C$7:$C$106,$N201),OVR_BASE,"&gt;=0")&gt;0)&gt;0,"stock overridden",""))</f>
        <v/>
      </c>
      <c r="L201" s="35">
        <f>IFERROR(IF(SMALL(Grids!$EE$12:$GQ$111,$M$7+192)&gt;=PEND_TO,"",SMALL(Grids!$EE$12:$GQ$111,$M$7+192)),"")</f>
        <v/>
      </c>
      <c r="M201" s="35">
        <f>IF($L201="","",INT($L201/1000000000))</f>
        <v/>
      </c>
      <c r="N201" s="35">
        <f>IF($L201="","",INT(($L201-INT($L201/1000000)*1000000)/1000))</f>
        <v/>
      </c>
      <c r="O201" s="35">
        <f>IF($L201="","",$L201-INT($L201/1000)*1000)</f>
        <v/>
      </c>
      <c r="P201" s="35">
        <f>IF($L201="","",INT(($L201-INT($L201/1000000000)*1000000000)/100000000))</f>
        <v/>
      </c>
    </row>
    <row r="202">
      <c r="B202" s="39">
        <f>IF($L202="","",$M202)</f>
        <v/>
      </c>
      <c r="C202" s="18">
        <f>IF($L202="","",INDEX(HSI!$C$7:$C$106,$N202))</f>
        <v/>
      </c>
      <c r="D202" s="18">
        <f>IF($L202="","",INDEX(HSI!$D$7:$D$106,$N202))</f>
        <v/>
      </c>
      <c r="E202" s="40">
        <f>IF($L202="","",IF($P202=0,"TBA",IFERROR(INDEX(Grids!$C$12:$BO$111,$N202,$O202),"-")))</f>
        <v/>
      </c>
      <c r="F202" s="18">
        <f>IF($L202="","",INDEX(HSI!$F$7:$F$106,$N202))</f>
        <v/>
      </c>
      <c r="G202" s="40">
        <f>IF($L202="","",IF($P202=0,"TBA",IFERROR(INDEX(Grids!$BQ$12:$EC$111,$N202,$O202),"-")))</f>
        <v/>
      </c>
      <c r="H202" s="41">
        <f>IF($L202="","",SUM($G$10:$G202))</f>
        <v/>
      </c>
      <c r="I202" s="42">
        <f>IF($L202="","",IF(INT(($L202-INT($L202/10000000)*10000000)/1000000)=0,"Bloomberg projection",IF($P202=1,"ANNOUNCED","ANNOUNCED - amount TBA")))</f>
        <v/>
      </c>
      <c r="J202" s="43">
        <f>IF($L202="","",IF((OV_SWITCH="ON")*(COUNTIFS(OVR_TICKERS,INDEX(HSI!$C$7:$C$106,$N202),OVR_BASE,"&gt;=0")&gt;0)&gt;0,"stock overridden",""))</f>
        <v/>
      </c>
      <c r="L202" s="35">
        <f>IFERROR(IF(SMALL(Grids!$EE$12:$GQ$111,$M$7+193)&gt;=PEND_TO,"",SMALL(Grids!$EE$12:$GQ$111,$M$7+193)),"")</f>
        <v/>
      </c>
      <c r="M202" s="35">
        <f>IF($L202="","",INT($L202/1000000000))</f>
        <v/>
      </c>
      <c r="N202" s="35">
        <f>IF($L202="","",INT(($L202-INT($L202/1000000)*1000000)/1000))</f>
        <v/>
      </c>
      <c r="O202" s="35">
        <f>IF($L202="","",$L202-INT($L202/1000)*1000)</f>
        <v/>
      </c>
      <c r="P202" s="35">
        <f>IF($L202="","",INT(($L202-INT($L202/1000000000)*1000000000)/100000000))</f>
        <v/>
      </c>
    </row>
    <row r="203">
      <c r="B203" s="39">
        <f>IF($L203="","",$M203)</f>
        <v/>
      </c>
      <c r="C203" s="18">
        <f>IF($L203="","",INDEX(HSI!$C$7:$C$106,$N203))</f>
        <v/>
      </c>
      <c r="D203" s="18">
        <f>IF($L203="","",INDEX(HSI!$D$7:$D$106,$N203))</f>
        <v/>
      </c>
      <c r="E203" s="40">
        <f>IF($L203="","",IF($P203=0,"TBA",IFERROR(INDEX(Grids!$C$12:$BO$111,$N203,$O203),"-")))</f>
        <v/>
      </c>
      <c r="F203" s="18">
        <f>IF($L203="","",INDEX(HSI!$F$7:$F$106,$N203))</f>
        <v/>
      </c>
      <c r="G203" s="40">
        <f>IF($L203="","",IF($P203=0,"TBA",IFERROR(INDEX(Grids!$BQ$12:$EC$111,$N203,$O203),"-")))</f>
        <v/>
      </c>
      <c r="H203" s="41">
        <f>IF($L203="","",SUM($G$10:$G203))</f>
        <v/>
      </c>
      <c r="I203" s="42">
        <f>IF($L203="","",IF(INT(($L203-INT($L203/10000000)*10000000)/1000000)=0,"Bloomberg projection",IF($P203=1,"ANNOUNCED","ANNOUNCED - amount TBA")))</f>
        <v/>
      </c>
      <c r="J203" s="43">
        <f>IF($L203="","",IF((OV_SWITCH="ON")*(COUNTIFS(OVR_TICKERS,INDEX(HSI!$C$7:$C$106,$N203),OVR_BASE,"&gt;=0")&gt;0)&gt;0,"stock overridden",""))</f>
        <v/>
      </c>
      <c r="L203" s="35">
        <f>IFERROR(IF(SMALL(Grids!$EE$12:$GQ$111,$M$7+194)&gt;=PEND_TO,"",SMALL(Grids!$EE$12:$GQ$111,$M$7+194)),"")</f>
        <v/>
      </c>
      <c r="M203" s="35">
        <f>IF($L203="","",INT($L203/1000000000))</f>
        <v/>
      </c>
      <c r="N203" s="35">
        <f>IF($L203="","",INT(($L203-INT($L203/1000000)*1000000)/1000))</f>
        <v/>
      </c>
      <c r="O203" s="35">
        <f>IF($L203="","",$L203-INT($L203/1000)*1000)</f>
        <v/>
      </c>
      <c r="P203" s="35">
        <f>IF($L203="","",INT(($L203-INT($L203/1000000000)*1000000000)/100000000))</f>
        <v/>
      </c>
    </row>
    <row r="204">
      <c r="B204" s="39">
        <f>IF($L204="","",$M204)</f>
        <v/>
      </c>
      <c r="C204" s="18">
        <f>IF($L204="","",INDEX(HSI!$C$7:$C$106,$N204))</f>
        <v/>
      </c>
      <c r="D204" s="18">
        <f>IF($L204="","",INDEX(HSI!$D$7:$D$106,$N204))</f>
        <v/>
      </c>
      <c r="E204" s="40">
        <f>IF($L204="","",IF($P204=0,"TBA",IFERROR(INDEX(Grids!$C$12:$BO$111,$N204,$O204),"-")))</f>
        <v/>
      </c>
      <c r="F204" s="18">
        <f>IF($L204="","",INDEX(HSI!$F$7:$F$106,$N204))</f>
        <v/>
      </c>
      <c r="G204" s="40">
        <f>IF($L204="","",IF($P204=0,"TBA",IFERROR(INDEX(Grids!$BQ$12:$EC$111,$N204,$O204),"-")))</f>
        <v/>
      </c>
      <c r="H204" s="41">
        <f>IF($L204="","",SUM($G$10:$G204))</f>
        <v/>
      </c>
      <c r="I204" s="42">
        <f>IF($L204="","",IF(INT(($L204-INT($L204/10000000)*10000000)/1000000)=0,"Bloomberg projection",IF($P204=1,"ANNOUNCED","ANNOUNCED - amount TBA")))</f>
        <v/>
      </c>
      <c r="J204" s="43">
        <f>IF($L204="","",IF((OV_SWITCH="ON")*(COUNTIFS(OVR_TICKERS,INDEX(HSI!$C$7:$C$106,$N204),OVR_BASE,"&gt;=0")&gt;0)&gt;0,"stock overridden",""))</f>
        <v/>
      </c>
      <c r="L204" s="35">
        <f>IFERROR(IF(SMALL(Grids!$EE$12:$GQ$111,$M$7+195)&gt;=PEND_TO,"",SMALL(Grids!$EE$12:$GQ$111,$M$7+195)),"")</f>
        <v/>
      </c>
      <c r="M204" s="35">
        <f>IF($L204="","",INT($L204/1000000000))</f>
        <v/>
      </c>
      <c r="N204" s="35">
        <f>IF($L204="","",INT(($L204-INT($L204/1000000)*1000000)/1000))</f>
        <v/>
      </c>
      <c r="O204" s="35">
        <f>IF($L204="","",$L204-INT($L204/1000)*1000)</f>
        <v/>
      </c>
      <c r="P204" s="35">
        <f>IF($L204="","",INT(($L204-INT($L204/1000000000)*1000000000)/100000000))</f>
        <v/>
      </c>
    </row>
    <row r="205">
      <c r="B205" s="39">
        <f>IF($L205="","",$M205)</f>
        <v/>
      </c>
      <c r="C205" s="18">
        <f>IF($L205="","",INDEX(HSI!$C$7:$C$106,$N205))</f>
        <v/>
      </c>
      <c r="D205" s="18">
        <f>IF($L205="","",INDEX(HSI!$D$7:$D$106,$N205))</f>
        <v/>
      </c>
      <c r="E205" s="40">
        <f>IF($L205="","",IF($P205=0,"TBA",IFERROR(INDEX(Grids!$C$12:$BO$111,$N205,$O205),"-")))</f>
        <v/>
      </c>
      <c r="F205" s="18">
        <f>IF($L205="","",INDEX(HSI!$F$7:$F$106,$N205))</f>
        <v/>
      </c>
      <c r="G205" s="40">
        <f>IF($L205="","",IF($P205=0,"TBA",IFERROR(INDEX(Grids!$BQ$12:$EC$111,$N205,$O205),"-")))</f>
        <v/>
      </c>
      <c r="H205" s="41">
        <f>IF($L205="","",SUM($G$10:$G205))</f>
        <v/>
      </c>
      <c r="I205" s="42">
        <f>IF($L205="","",IF(INT(($L205-INT($L205/10000000)*10000000)/1000000)=0,"Bloomberg projection",IF($P205=1,"ANNOUNCED","ANNOUNCED - amount TBA")))</f>
        <v/>
      </c>
      <c r="J205" s="43">
        <f>IF($L205="","",IF((OV_SWITCH="ON")*(COUNTIFS(OVR_TICKERS,INDEX(HSI!$C$7:$C$106,$N205),OVR_BASE,"&gt;=0")&gt;0)&gt;0,"stock overridden",""))</f>
        <v/>
      </c>
      <c r="L205" s="35">
        <f>IFERROR(IF(SMALL(Grids!$EE$12:$GQ$111,$M$7+196)&gt;=PEND_TO,"",SMALL(Grids!$EE$12:$GQ$111,$M$7+196)),"")</f>
        <v/>
      </c>
      <c r="M205" s="35">
        <f>IF($L205="","",INT($L205/1000000000))</f>
        <v/>
      </c>
      <c r="N205" s="35">
        <f>IF($L205="","",INT(($L205-INT($L205/1000000)*1000000)/1000))</f>
        <v/>
      </c>
      <c r="O205" s="35">
        <f>IF($L205="","",$L205-INT($L205/1000)*1000)</f>
        <v/>
      </c>
      <c r="P205" s="35">
        <f>IF($L205="","",INT(($L205-INT($L205/1000000000)*1000000000)/100000000))</f>
        <v/>
      </c>
    </row>
    <row r="206">
      <c r="B206" s="39">
        <f>IF($L206="","",$M206)</f>
        <v/>
      </c>
      <c r="C206" s="18">
        <f>IF($L206="","",INDEX(HSI!$C$7:$C$106,$N206))</f>
        <v/>
      </c>
      <c r="D206" s="18">
        <f>IF($L206="","",INDEX(HSI!$D$7:$D$106,$N206))</f>
        <v/>
      </c>
      <c r="E206" s="40">
        <f>IF($L206="","",IF($P206=0,"TBA",IFERROR(INDEX(Grids!$C$12:$BO$111,$N206,$O206),"-")))</f>
        <v/>
      </c>
      <c r="F206" s="18">
        <f>IF($L206="","",INDEX(HSI!$F$7:$F$106,$N206))</f>
        <v/>
      </c>
      <c r="G206" s="40">
        <f>IF($L206="","",IF($P206=0,"TBA",IFERROR(INDEX(Grids!$BQ$12:$EC$111,$N206,$O206),"-")))</f>
        <v/>
      </c>
      <c r="H206" s="41">
        <f>IF($L206="","",SUM($G$10:$G206))</f>
        <v/>
      </c>
      <c r="I206" s="42">
        <f>IF($L206="","",IF(INT(($L206-INT($L206/10000000)*10000000)/1000000)=0,"Bloomberg projection",IF($P206=1,"ANNOUNCED","ANNOUNCED - amount TBA")))</f>
        <v/>
      </c>
      <c r="J206" s="43">
        <f>IF($L206="","",IF((OV_SWITCH="ON")*(COUNTIFS(OVR_TICKERS,INDEX(HSI!$C$7:$C$106,$N206),OVR_BASE,"&gt;=0")&gt;0)&gt;0,"stock overridden",""))</f>
        <v/>
      </c>
      <c r="L206" s="35">
        <f>IFERROR(IF(SMALL(Grids!$EE$12:$GQ$111,$M$7+197)&gt;=PEND_TO,"",SMALL(Grids!$EE$12:$GQ$111,$M$7+197)),"")</f>
        <v/>
      </c>
      <c r="M206" s="35">
        <f>IF($L206="","",INT($L206/1000000000))</f>
        <v/>
      </c>
      <c r="N206" s="35">
        <f>IF($L206="","",INT(($L206-INT($L206/1000000)*1000000)/1000))</f>
        <v/>
      </c>
      <c r="O206" s="35">
        <f>IF($L206="","",$L206-INT($L206/1000)*1000)</f>
        <v/>
      </c>
      <c r="P206" s="35">
        <f>IF($L206="","",INT(($L206-INT($L206/1000000000)*1000000000)/100000000))</f>
        <v/>
      </c>
    </row>
    <row r="207">
      <c r="B207" s="39">
        <f>IF($L207="","",$M207)</f>
        <v/>
      </c>
      <c r="C207" s="18">
        <f>IF($L207="","",INDEX(HSI!$C$7:$C$106,$N207))</f>
        <v/>
      </c>
      <c r="D207" s="18">
        <f>IF($L207="","",INDEX(HSI!$D$7:$D$106,$N207))</f>
        <v/>
      </c>
      <c r="E207" s="40">
        <f>IF($L207="","",IF($P207=0,"TBA",IFERROR(INDEX(Grids!$C$12:$BO$111,$N207,$O207),"-")))</f>
        <v/>
      </c>
      <c r="F207" s="18">
        <f>IF($L207="","",INDEX(HSI!$F$7:$F$106,$N207))</f>
        <v/>
      </c>
      <c r="G207" s="40">
        <f>IF($L207="","",IF($P207=0,"TBA",IFERROR(INDEX(Grids!$BQ$12:$EC$111,$N207,$O207),"-")))</f>
        <v/>
      </c>
      <c r="H207" s="41">
        <f>IF($L207="","",SUM($G$10:$G207))</f>
        <v/>
      </c>
      <c r="I207" s="42">
        <f>IF($L207="","",IF(INT(($L207-INT($L207/10000000)*10000000)/1000000)=0,"Bloomberg projection",IF($P207=1,"ANNOUNCED","ANNOUNCED - amount TBA")))</f>
        <v/>
      </c>
      <c r="J207" s="43">
        <f>IF($L207="","",IF((OV_SWITCH="ON")*(COUNTIFS(OVR_TICKERS,INDEX(HSI!$C$7:$C$106,$N207),OVR_BASE,"&gt;=0")&gt;0)&gt;0,"stock overridden",""))</f>
        <v/>
      </c>
      <c r="L207" s="35">
        <f>IFERROR(IF(SMALL(Grids!$EE$12:$GQ$111,$M$7+198)&gt;=PEND_TO,"",SMALL(Grids!$EE$12:$GQ$111,$M$7+198)),"")</f>
        <v/>
      </c>
      <c r="M207" s="35">
        <f>IF($L207="","",INT($L207/1000000000))</f>
        <v/>
      </c>
      <c r="N207" s="35">
        <f>IF($L207="","",INT(($L207-INT($L207/1000000)*1000000)/1000))</f>
        <v/>
      </c>
      <c r="O207" s="35">
        <f>IF($L207="","",$L207-INT($L207/1000)*1000)</f>
        <v/>
      </c>
      <c r="P207" s="35">
        <f>IF($L207="","",INT(($L207-INT($L207/1000000000)*1000000000)/100000000))</f>
        <v/>
      </c>
    </row>
    <row r="208">
      <c r="B208" s="39">
        <f>IF($L208="","",$M208)</f>
        <v/>
      </c>
      <c r="C208" s="18">
        <f>IF($L208="","",INDEX(HSI!$C$7:$C$106,$N208))</f>
        <v/>
      </c>
      <c r="D208" s="18">
        <f>IF($L208="","",INDEX(HSI!$D$7:$D$106,$N208))</f>
        <v/>
      </c>
      <c r="E208" s="40">
        <f>IF($L208="","",IF($P208=0,"TBA",IFERROR(INDEX(Grids!$C$12:$BO$111,$N208,$O208),"-")))</f>
        <v/>
      </c>
      <c r="F208" s="18">
        <f>IF($L208="","",INDEX(HSI!$F$7:$F$106,$N208))</f>
        <v/>
      </c>
      <c r="G208" s="40">
        <f>IF($L208="","",IF($P208=0,"TBA",IFERROR(INDEX(Grids!$BQ$12:$EC$111,$N208,$O208),"-")))</f>
        <v/>
      </c>
      <c r="H208" s="41">
        <f>IF($L208="","",SUM($G$10:$G208))</f>
        <v/>
      </c>
      <c r="I208" s="42">
        <f>IF($L208="","",IF(INT(($L208-INT($L208/10000000)*10000000)/1000000)=0,"Bloomberg projection",IF($P208=1,"ANNOUNCED","ANNOUNCED - amount TBA")))</f>
        <v/>
      </c>
      <c r="J208" s="43">
        <f>IF($L208="","",IF((OV_SWITCH="ON")*(COUNTIFS(OVR_TICKERS,INDEX(HSI!$C$7:$C$106,$N208),OVR_BASE,"&gt;=0")&gt;0)&gt;0,"stock overridden",""))</f>
        <v/>
      </c>
      <c r="L208" s="35">
        <f>IFERROR(IF(SMALL(Grids!$EE$12:$GQ$111,$M$7+199)&gt;=PEND_TO,"",SMALL(Grids!$EE$12:$GQ$111,$M$7+199)),"")</f>
        <v/>
      </c>
      <c r="M208" s="35">
        <f>IF($L208="","",INT($L208/1000000000))</f>
        <v/>
      </c>
      <c r="N208" s="35">
        <f>IF($L208="","",INT(($L208-INT($L208/1000000)*1000000)/1000))</f>
        <v/>
      </c>
      <c r="O208" s="35">
        <f>IF($L208="","",$L208-INT($L208/1000)*1000)</f>
        <v/>
      </c>
      <c r="P208" s="35">
        <f>IF($L208="","",INT(($L208-INT($L208/1000000000)*1000000000)/100000000))</f>
        <v/>
      </c>
    </row>
    <row r="209">
      <c r="B209" s="39">
        <f>IF($L209="","",$M209)</f>
        <v/>
      </c>
      <c r="C209" s="18">
        <f>IF($L209="","",INDEX(HSI!$C$7:$C$106,$N209))</f>
        <v/>
      </c>
      <c r="D209" s="18">
        <f>IF($L209="","",INDEX(HSI!$D$7:$D$106,$N209))</f>
        <v/>
      </c>
      <c r="E209" s="40">
        <f>IF($L209="","",IF($P209=0,"TBA",IFERROR(INDEX(Grids!$C$12:$BO$111,$N209,$O209),"-")))</f>
        <v/>
      </c>
      <c r="F209" s="18">
        <f>IF($L209="","",INDEX(HSI!$F$7:$F$106,$N209))</f>
        <v/>
      </c>
      <c r="G209" s="40">
        <f>IF($L209="","",IF($P209=0,"TBA",IFERROR(INDEX(Grids!$BQ$12:$EC$111,$N209,$O209),"-")))</f>
        <v/>
      </c>
      <c r="H209" s="41">
        <f>IF($L209="","",SUM($G$10:$G209))</f>
        <v/>
      </c>
      <c r="I209" s="42">
        <f>IF($L209="","",IF(INT(($L209-INT($L209/10000000)*10000000)/1000000)=0,"Bloomberg projection",IF($P209=1,"ANNOUNCED","ANNOUNCED - amount TBA")))</f>
        <v/>
      </c>
      <c r="J209" s="43">
        <f>IF($L209="","",IF((OV_SWITCH="ON")*(COUNTIFS(OVR_TICKERS,INDEX(HSI!$C$7:$C$106,$N209),OVR_BASE,"&gt;=0")&gt;0)&gt;0,"stock overridden",""))</f>
        <v/>
      </c>
      <c r="L209" s="35">
        <f>IFERROR(IF(SMALL(Grids!$EE$12:$GQ$111,$M$7+200)&gt;=PEND_TO,"",SMALL(Grids!$EE$12:$GQ$111,$M$7+200)),"")</f>
        <v/>
      </c>
      <c r="M209" s="35">
        <f>IF($L209="","",INT($L209/1000000000))</f>
        <v/>
      </c>
      <c r="N209" s="35">
        <f>IF($L209="","",INT(($L209-INT($L209/1000000)*1000000)/1000))</f>
        <v/>
      </c>
      <c r="O209" s="35">
        <f>IF($L209="","",$L209-INT($L209/1000)*1000)</f>
        <v/>
      </c>
      <c r="P209" s="35">
        <f>IF($L209="","",INT(($L209-INT($L209/1000000000)*1000000000)/100000000))</f>
        <v/>
      </c>
    </row>
    <row r="210">
      <c r="B210" s="39">
        <f>IF($L210="","",$M210)</f>
        <v/>
      </c>
      <c r="C210" s="18">
        <f>IF($L210="","",INDEX(HSI!$C$7:$C$106,$N210))</f>
        <v/>
      </c>
      <c r="D210" s="18">
        <f>IF($L210="","",INDEX(HSI!$D$7:$D$106,$N210))</f>
        <v/>
      </c>
      <c r="E210" s="40">
        <f>IF($L210="","",IF($P210=0,"TBA",IFERROR(INDEX(Grids!$C$12:$BO$111,$N210,$O210),"-")))</f>
        <v/>
      </c>
      <c r="F210" s="18">
        <f>IF($L210="","",INDEX(HSI!$F$7:$F$106,$N210))</f>
        <v/>
      </c>
      <c r="G210" s="40">
        <f>IF($L210="","",IF($P210=0,"TBA",IFERROR(INDEX(Grids!$BQ$12:$EC$111,$N210,$O210),"-")))</f>
        <v/>
      </c>
      <c r="H210" s="41">
        <f>IF($L210="","",SUM($G$10:$G210))</f>
        <v/>
      </c>
      <c r="I210" s="42">
        <f>IF($L210="","",IF(INT(($L210-INT($L210/10000000)*10000000)/1000000)=0,"Bloomberg projection",IF($P210=1,"ANNOUNCED","ANNOUNCED - amount TBA")))</f>
        <v/>
      </c>
      <c r="J210" s="43">
        <f>IF($L210="","",IF((OV_SWITCH="ON")*(COUNTIFS(OVR_TICKERS,INDEX(HSI!$C$7:$C$106,$N210),OVR_BASE,"&gt;=0")&gt;0)&gt;0,"stock overridden",""))</f>
        <v/>
      </c>
      <c r="L210" s="35">
        <f>IFERROR(IF(SMALL(Grids!$EE$12:$GQ$111,$M$7+201)&gt;=PEND_TO,"",SMALL(Grids!$EE$12:$GQ$111,$M$7+201)),"")</f>
        <v/>
      </c>
      <c r="M210" s="35">
        <f>IF($L210="","",INT($L210/1000000000))</f>
        <v/>
      </c>
      <c r="N210" s="35">
        <f>IF($L210="","",INT(($L210-INT($L210/1000000)*1000000)/1000))</f>
        <v/>
      </c>
      <c r="O210" s="35">
        <f>IF($L210="","",$L210-INT($L210/1000)*1000)</f>
        <v/>
      </c>
      <c r="P210" s="35">
        <f>IF($L210="","",INT(($L210-INT($L210/1000000000)*1000000000)/100000000))</f>
        <v/>
      </c>
    </row>
    <row r="211">
      <c r="B211" s="39">
        <f>IF($L211="","",$M211)</f>
        <v/>
      </c>
      <c r="C211" s="18">
        <f>IF($L211="","",INDEX(HSI!$C$7:$C$106,$N211))</f>
        <v/>
      </c>
      <c r="D211" s="18">
        <f>IF($L211="","",INDEX(HSI!$D$7:$D$106,$N211))</f>
        <v/>
      </c>
      <c r="E211" s="40">
        <f>IF($L211="","",IF($P211=0,"TBA",IFERROR(INDEX(Grids!$C$12:$BO$111,$N211,$O211),"-")))</f>
        <v/>
      </c>
      <c r="F211" s="18">
        <f>IF($L211="","",INDEX(HSI!$F$7:$F$106,$N211))</f>
        <v/>
      </c>
      <c r="G211" s="40">
        <f>IF($L211="","",IF($P211=0,"TBA",IFERROR(INDEX(Grids!$BQ$12:$EC$111,$N211,$O211),"-")))</f>
        <v/>
      </c>
      <c r="H211" s="41">
        <f>IF($L211="","",SUM($G$10:$G211))</f>
        <v/>
      </c>
      <c r="I211" s="42">
        <f>IF($L211="","",IF(INT(($L211-INT($L211/10000000)*10000000)/1000000)=0,"Bloomberg projection",IF($P211=1,"ANNOUNCED","ANNOUNCED - amount TBA")))</f>
        <v/>
      </c>
      <c r="J211" s="43">
        <f>IF($L211="","",IF((OV_SWITCH="ON")*(COUNTIFS(OVR_TICKERS,INDEX(HSI!$C$7:$C$106,$N211),OVR_BASE,"&gt;=0")&gt;0)&gt;0,"stock overridden",""))</f>
        <v/>
      </c>
      <c r="L211" s="35">
        <f>IFERROR(IF(SMALL(Grids!$EE$12:$GQ$111,$M$7+202)&gt;=PEND_TO,"",SMALL(Grids!$EE$12:$GQ$111,$M$7+202)),"")</f>
        <v/>
      </c>
      <c r="M211" s="35">
        <f>IF($L211="","",INT($L211/1000000000))</f>
        <v/>
      </c>
      <c r="N211" s="35">
        <f>IF($L211="","",INT(($L211-INT($L211/1000000)*1000000)/1000))</f>
        <v/>
      </c>
      <c r="O211" s="35">
        <f>IF($L211="","",$L211-INT($L211/1000)*1000)</f>
        <v/>
      </c>
      <c r="P211" s="35">
        <f>IF($L211="","",INT(($L211-INT($L211/1000000000)*1000000000)/100000000))</f>
        <v/>
      </c>
    </row>
    <row r="212">
      <c r="B212" s="39">
        <f>IF($L212="","",$M212)</f>
        <v/>
      </c>
      <c r="C212" s="18">
        <f>IF($L212="","",INDEX(HSI!$C$7:$C$106,$N212))</f>
        <v/>
      </c>
      <c r="D212" s="18">
        <f>IF($L212="","",INDEX(HSI!$D$7:$D$106,$N212))</f>
        <v/>
      </c>
      <c r="E212" s="40">
        <f>IF($L212="","",IF($P212=0,"TBA",IFERROR(INDEX(Grids!$C$12:$BO$111,$N212,$O212),"-")))</f>
        <v/>
      </c>
      <c r="F212" s="18">
        <f>IF($L212="","",INDEX(HSI!$F$7:$F$106,$N212))</f>
        <v/>
      </c>
      <c r="G212" s="40">
        <f>IF($L212="","",IF($P212=0,"TBA",IFERROR(INDEX(Grids!$BQ$12:$EC$111,$N212,$O212),"-")))</f>
        <v/>
      </c>
      <c r="H212" s="41">
        <f>IF($L212="","",SUM($G$10:$G212))</f>
        <v/>
      </c>
      <c r="I212" s="42">
        <f>IF($L212="","",IF(INT(($L212-INT($L212/10000000)*10000000)/1000000)=0,"Bloomberg projection",IF($P212=1,"ANNOUNCED","ANNOUNCED - amount TBA")))</f>
        <v/>
      </c>
      <c r="J212" s="43">
        <f>IF($L212="","",IF((OV_SWITCH="ON")*(COUNTIFS(OVR_TICKERS,INDEX(HSI!$C$7:$C$106,$N212),OVR_BASE,"&gt;=0")&gt;0)&gt;0,"stock overridden",""))</f>
        <v/>
      </c>
      <c r="L212" s="35">
        <f>IFERROR(IF(SMALL(Grids!$EE$12:$GQ$111,$M$7+203)&gt;=PEND_TO,"",SMALL(Grids!$EE$12:$GQ$111,$M$7+203)),"")</f>
        <v/>
      </c>
      <c r="M212" s="35">
        <f>IF($L212="","",INT($L212/1000000000))</f>
        <v/>
      </c>
      <c r="N212" s="35">
        <f>IF($L212="","",INT(($L212-INT($L212/1000000)*1000000)/1000))</f>
        <v/>
      </c>
      <c r="O212" s="35">
        <f>IF($L212="","",$L212-INT($L212/1000)*1000)</f>
        <v/>
      </c>
      <c r="P212" s="35">
        <f>IF($L212="","",INT(($L212-INT($L212/1000000000)*1000000000)/100000000))</f>
        <v/>
      </c>
    </row>
    <row r="213">
      <c r="B213" s="39">
        <f>IF($L213="","",$M213)</f>
        <v/>
      </c>
      <c r="C213" s="18">
        <f>IF($L213="","",INDEX(HSI!$C$7:$C$106,$N213))</f>
        <v/>
      </c>
      <c r="D213" s="18">
        <f>IF($L213="","",INDEX(HSI!$D$7:$D$106,$N213))</f>
        <v/>
      </c>
      <c r="E213" s="40">
        <f>IF($L213="","",IF($P213=0,"TBA",IFERROR(INDEX(Grids!$C$12:$BO$111,$N213,$O213),"-")))</f>
        <v/>
      </c>
      <c r="F213" s="18">
        <f>IF($L213="","",INDEX(HSI!$F$7:$F$106,$N213))</f>
        <v/>
      </c>
      <c r="G213" s="40">
        <f>IF($L213="","",IF($P213=0,"TBA",IFERROR(INDEX(Grids!$BQ$12:$EC$111,$N213,$O213),"-")))</f>
        <v/>
      </c>
      <c r="H213" s="41">
        <f>IF($L213="","",SUM($G$10:$G213))</f>
        <v/>
      </c>
      <c r="I213" s="42">
        <f>IF($L213="","",IF(INT(($L213-INT($L213/10000000)*10000000)/1000000)=0,"Bloomberg projection",IF($P213=1,"ANNOUNCED","ANNOUNCED - amount TBA")))</f>
        <v/>
      </c>
      <c r="J213" s="43">
        <f>IF($L213="","",IF((OV_SWITCH="ON")*(COUNTIFS(OVR_TICKERS,INDEX(HSI!$C$7:$C$106,$N213),OVR_BASE,"&gt;=0")&gt;0)&gt;0,"stock overridden",""))</f>
        <v/>
      </c>
      <c r="L213" s="35">
        <f>IFERROR(IF(SMALL(Grids!$EE$12:$GQ$111,$M$7+204)&gt;=PEND_TO,"",SMALL(Grids!$EE$12:$GQ$111,$M$7+204)),"")</f>
        <v/>
      </c>
      <c r="M213" s="35">
        <f>IF($L213="","",INT($L213/1000000000))</f>
        <v/>
      </c>
      <c r="N213" s="35">
        <f>IF($L213="","",INT(($L213-INT($L213/1000000)*1000000)/1000))</f>
        <v/>
      </c>
      <c r="O213" s="35">
        <f>IF($L213="","",$L213-INT($L213/1000)*1000)</f>
        <v/>
      </c>
      <c r="P213" s="35">
        <f>IF($L213="","",INT(($L213-INT($L213/1000000000)*1000000000)/100000000))</f>
        <v/>
      </c>
    </row>
    <row r="214">
      <c r="B214" s="39">
        <f>IF($L214="","",$M214)</f>
        <v/>
      </c>
      <c r="C214" s="18">
        <f>IF($L214="","",INDEX(HSI!$C$7:$C$106,$N214))</f>
        <v/>
      </c>
      <c r="D214" s="18">
        <f>IF($L214="","",INDEX(HSI!$D$7:$D$106,$N214))</f>
        <v/>
      </c>
      <c r="E214" s="40">
        <f>IF($L214="","",IF($P214=0,"TBA",IFERROR(INDEX(Grids!$C$12:$BO$111,$N214,$O214),"-")))</f>
        <v/>
      </c>
      <c r="F214" s="18">
        <f>IF($L214="","",INDEX(HSI!$F$7:$F$106,$N214))</f>
        <v/>
      </c>
      <c r="G214" s="40">
        <f>IF($L214="","",IF($P214=0,"TBA",IFERROR(INDEX(Grids!$BQ$12:$EC$111,$N214,$O214),"-")))</f>
        <v/>
      </c>
      <c r="H214" s="41">
        <f>IF($L214="","",SUM($G$10:$G214))</f>
        <v/>
      </c>
      <c r="I214" s="42">
        <f>IF($L214="","",IF(INT(($L214-INT($L214/10000000)*10000000)/1000000)=0,"Bloomberg projection",IF($P214=1,"ANNOUNCED","ANNOUNCED - amount TBA")))</f>
        <v/>
      </c>
      <c r="J214" s="43">
        <f>IF($L214="","",IF((OV_SWITCH="ON")*(COUNTIFS(OVR_TICKERS,INDEX(HSI!$C$7:$C$106,$N214),OVR_BASE,"&gt;=0")&gt;0)&gt;0,"stock overridden",""))</f>
        <v/>
      </c>
      <c r="L214" s="35">
        <f>IFERROR(IF(SMALL(Grids!$EE$12:$GQ$111,$M$7+205)&gt;=PEND_TO,"",SMALL(Grids!$EE$12:$GQ$111,$M$7+205)),"")</f>
        <v/>
      </c>
      <c r="M214" s="35">
        <f>IF($L214="","",INT($L214/1000000000))</f>
        <v/>
      </c>
      <c r="N214" s="35">
        <f>IF($L214="","",INT(($L214-INT($L214/1000000)*1000000)/1000))</f>
        <v/>
      </c>
      <c r="O214" s="35">
        <f>IF($L214="","",$L214-INT($L214/1000)*1000)</f>
        <v/>
      </c>
      <c r="P214" s="35">
        <f>IF($L214="","",INT(($L214-INT($L214/1000000000)*1000000000)/100000000))</f>
        <v/>
      </c>
    </row>
    <row r="215">
      <c r="B215" s="39">
        <f>IF($L215="","",$M215)</f>
        <v/>
      </c>
      <c r="C215" s="18">
        <f>IF($L215="","",INDEX(HSI!$C$7:$C$106,$N215))</f>
        <v/>
      </c>
      <c r="D215" s="18">
        <f>IF($L215="","",INDEX(HSI!$D$7:$D$106,$N215))</f>
        <v/>
      </c>
      <c r="E215" s="40">
        <f>IF($L215="","",IF($P215=0,"TBA",IFERROR(INDEX(Grids!$C$12:$BO$111,$N215,$O215),"-")))</f>
        <v/>
      </c>
      <c r="F215" s="18">
        <f>IF($L215="","",INDEX(HSI!$F$7:$F$106,$N215))</f>
        <v/>
      </c>
      <c r="G215" s="40">
        <f>IF($L215="","",IF($P215=0,"TBA",IFERROR(INDEX(Grids!$BQ$12:$EC$111,$N215,$O215),"-")))</f>
        <v/>
      </c>
      <c r="H215" s="41">
        <f>IF($L215="","",SUM($G$10:$G215))</f>
        <v/>
      </c>
      <c r="I215" s="42">
        <f>IF($L215="","",IF(INT(($L215-INT($L215/10000000)*10000000)/1000000)=0,"Bloomberg projection",IF($P215=1,"ANNOUNCED","ANNOUNCED - amount TBA")))</f>
        <v/>
      </c>
      <c r="J215" s="43">
        <f>IF($L215="","",IF((OV_SWITCH="ON")*(COUNTIFS(OVR_TICKERS,INDEX(HSI!$C$7:$C$106,$N215),OVR_BASE,"&gt;=0")&gt;0)&gt;0,"stock overridden",""))</f>
        <v/>
      </c>
      <c r="L215" s="35">
        <f>IFERROR(IF(SMALL(Grids!$EE$12:$GQ$111,$M$7+206)&gt;=PEND_TO,"",SMALL(Grids!$EE$12:$GQ$111,$M$7+206)),"")</f>
        <v/>
      </c>
      <c r="M215" s="35">
        <f>IF($L215="","",INT($L215/1000000000))</f>
        <v/>
      </c>
      <c r="N215" s="35">
        <f>IF($L215="","",INT(($L215-INT($L215/1000000)*1000000)/1000))</f>
        <v/>
      </c>
      <c r="O215" s="35">
        <f>IF($L215="","",$L215-INT($L215/1000)*1000)</f>
        <v/>
      </c>
      <c r="P215" s="35">
        <f>IF($L215="","",INT(($L215-INT($L215/1000000000)*1000000000)/100000000))</f>
        <v/>
      </c>
    </row>
    <row r="216">
      <c r="B216" s="39">
        <f>IF($L216="","",$M216)</f>
        <v/>
      </c>
      <c r="C216" s="18">
        <f>IF($L216="","",INDEX(HSI!$C$7:$C$106,$N216))</f>
        <v/>
      </c>
      <c r="D216" s="18">
        <f>IF($L216="","",INDEX(HSI!$D$7:$D$106,$N216))</f>
        <v/>
      </c>
      <c r="E216" s="40">
        <f>IF($L216="","",IF($P216=0,"TBA",IFERROR(INDEX(Grids!$C$12:$BO$111,$N216,$O216),"-")))</f>
        <v/>
      </c>
      <c r="F216" s="18">
        <f>IF($L216="","",INDEX(HSI!$F$7:$F$106,$N216))</f>
        <v/>
      </c>
      <c r="G216" s="40">
        <f>IF($L216="","",IF($P216=0,"TBA",IFERROR(INDEX(Grids!$BQ$12:$EC$111,$N216,$O216),"-")))</f>
        <v/>
      </c>
      <c r="H216" s="41">
        <f>IF($L216="","",SUM($G$10:$G216))</f>
        <v/>
      </c>
      <c r="I216" s="42">
        <f>IF($L216="","",IF(INT(($L216-INT($L216/10000000)*10000000)/1000000)=0,"Bloomberg projection",IF($P216=1,"ANNOUNCED","ANNOUNCED - amount TBA")))</f>
        <v/>
      </c>
      <c r="J216" s="43">
        <f>IF($L216="","",IF((OV_SWITCH="ON")*(COUNTIFS(OVR_TICKERS,INDEX(HSI!$C$7:$C$106,$N216),OVR_BASE,"&gt;=0")&gt;0)&gt;0,"stock overridden",""))</f>
        <v/>
      </c>
      <c r="L216" s="35">
        <f>IFERROR(IF(SMALL(Grids!$EE$12:$GQ$111,$M$7+207)&gt;=PEND_TO,"",SMALL(Grids!$EE$12:$GQ$111,$M$7+207)),"")</f>
        <v/>
      </c>
      <c r="M216" s="35">
        <f>IF($L216="","",INT($L216/1000000000))</f>
        <v/>
      </c>
      <c r="N216" s="35">
        <f>IF($L216="","",INT(($L216-INT($L216/1000000)*1000000)/1000))</f>
        <v/>
      </c>
      <c r="O216" s="35">
        <f>IF($L216="","",$L216-INT($L216/1000)*1000)</f>
        <v/>
      </c>
      <c r="P216" s="35">
        <f>IF($L216="","",INT(($L216-INT($L216/1000000000)*1000000000)/100000000))</f>
        <v/>
      </c>
    </row>
    <row r="217">
      <c r="B217" s="39">
        <f>IF($L217="","",$M217)</f>
        <v/>
      </c>
      <c r="C217" s="18">
        <f>IF($L217="","",INDEX(HSI!$C$7:$C$106,$N217))</f>
        <v/>
      </c>
      <c r="D217" s="18">
        <f>IF($L217="","",INDEX(HSI!$D$7:$D$106,$N217))</f>
        <v/>
      </c>
      <c r="E217" s="40">
        <f>IF($L217="","",IF($P217=0,"TBA",IFERROR(INDEX(Grids!$C$12:$BO$111,$N217,$O217),"-")))</f>
        <v/>
      </c>
      <c r="F217" s="18">
        <f>IF($L217="","",INDEX(HSI!$F$7:$F$106,$N217))</f>
        <v/>
      </c>
      <c r="G217" s="40">
        <f>IF($L217="","",IF($P217=0,"TBA",IFERROR(INDEX(Grids!$BQ$12:$EC$111,$N217,$O217),"-")))</f>
        <v/>
      </c>
      <c r="H217" s="41">
        <f>IF($L217="","",SUM($G$10:$G217))</f>
        <v/>
      </c>
      <c r="I217" s="42">
        <f>IF($L217="","",IF(INT(($L217-INT($L217/10000000)*10000000)/1000000)=0,"Bloomberg projection",IF($P217=1,"ANNOUNCED","ANNOUNCED - amount TBA")))</f>
        <v/>
      </c>
      <c r="J217" s="43">
        <f>IF($L217="","",IF((OV_SWITCH="ON")*(COUNTIFS(OVR_TICKERS,INDEX(HSI!$C$7:$C$106,$N217),OVR_BASE,"&gt;=0")&gt;0)&gt;0,"stock overridden",""))</f>
        <v/>
      </c>
      <c r="L217" s="35">
        <f>IFERROR(IF(SMALL(Grids!$EE$12:$GQ$111,$M$7+208)&gt;=PEND_TO,"",SMALL(Grids!$EE$12:$GQ$111,$M$7+208)),"")</f>
        <v/>
      </c>
      <c r="M217" s="35">
        <f>IF($L217="","",INT($L217/1000000000))</f>
        <v/>
      </c>
      <c r="N217" s="35">
        <f>IF($L217="","",INT(($L217-INT($L217/1000000)*1000000)/1000))</f>
        <v/>
      </c>
      <c r="O217" s="35">
        <f>IF($L217="","",$L217-INT($L217/1000)*1000)</f>
        <v/>
      </c>
      <c r="P217" s="35">
        <f>IF($L217="","",INT(($L217-INT($L217/1000000000)*1000000000)/100000000))</f>
        <v/>
      </c>
    </row>
    <row r="218">
      <c r="B218" s="39">
        <f>IF($L218="","",$M218)</f>
        <v/>
      </c>
      <c r="C218" s="18">
        <f>IF($L218="","",INDEX(HSI!$C$7:$C$106,$N218))</f>
        <v/>
      </c>
      <c r="D218" s="18">
        <f>IF($L218="","",INDEX(HSI!$D$7:$D$106,$N218))</f>
        <v/>
      </c>
      <c r="E218" s="40">
        <f>IF($L218="","",IF($P218=0,"TBA",IFERROR(INDEX(Grids!$C$12:$BO$111,$N218,$O218),"-")))</f>
        <v/>
      </c>
      <c r="F218" s="18">
        <f>IF($L218="","",INDEX(HSI!$F$7:$F$106,$N218))</f>
        <v/>
      </c>
      <c r="G218" s="40">
        <f>IF($L218="","",IF($P218=0,"TBA",IFERROR(INDEX(Grids!$BQ$12:$EC$111,$N218,$O218),"-")))</f>
        <v/>
      </c>
      <c r="H218" s="41">
        <f>IF($L218="","",SUM($G$10:$G218))</f>
        <v/>
      </c>
      <c r="I218" s="42">
        <f>IF($L218="","",IF(INT(($L218-INT($L218/10000000)*10000000)/1000000)=0,"Bloomberg projection",IF($P218=1,"ANNOUNCED","ANNOUNCED - amount TBA")))</f>
        <v/>
      </c>
      <c r="J218" s="43">
        <f>IF($L218="","",IF((OV_SWITCH="ON")*(COUNTIFS(OVR_TICKERS,INDEX(HSI!$C$7:$C$106,$N218),OVR_BASE,"&gt;=0")&gt;0)&gt;0,"stock overridden",""))</f>
        <v/>
      </c>
      <c r="L218" s="35">
        <f>IFERROR(IF(SMALL(Grids!$EE$12:$GQ$111,$M$7+209)&gt;=PEND_TO,"",SMALL(Grids!$EE$12:$GQ$111,$M$7+209)),"")</f>
        <v/>
      </c>
      <c r="M218" s="35">
        <f>IF($L218="","",INT($L218/1000000000))</f>
        <v/>
      </c>
      <c r="N218" s="35">
        <f>IF($L218="","",INT(($L218-INT($L218/1000000)*1000000)/1000))</f>
        <v/>
      </c>
      <c r="O218" s="35">
        <f>IF($L218="","",$L218-INT($L218/1000)*1000)</f>
        <v/>
      </c>
      <c r="P218" s="35">
        <f>IF($L218="","",INT(($L218-INT($L218/1000000000)*1000000000)/100000000))</f>
        <v/>
      </c>
    </row>
    <row r="219">
      <c r="B219" s="39">
        <f>IF($L219="","",$M219)</f>
        <v/>
      </c>
      <c r="C219" s="18">
        <f>IF($L219="","",INDEX(HSI!$C$7:$C$106,$N219))</f>
        <v/>
      </c>
      <c r="D219" s="18">
        <f>IF($L219="","",INDEX(HSI!$D$7:$D$106,$N219))</f>
        <v/>
      </c>
      <c r="E219" s="40">
        <f>IF($L219="","",IF($P219=0,"TBA",IFERROR(INDEX(Grids!$C$12:$BO$111,$N219,$O219),"-")))</f>
        <v/>
      </c>
      <c r="F219" s="18">
        <f>IF($L219="","",INDEX(HSI!$F$7:$F$106,$N219))</f>
        <v/>
      </c>
      <c r="G219" s="40">
        <f>IF($L219="","",IF($P219=0,"TBA",IFERROR(INDEX(Grids!$BQ$12:$EC$111,$N219,$O219),"-")))</f>
        <v/>
      </c>
      <c r="H219" s="41">
        <f>IF($L219="","",SUM($G$10:$G219))</f>
        <v/>
      </c>
      <c r="I219" s="42">
        <f>IF($L219="","",IF(INT(($L219-INT($L219/10000000)*10000000)/1000000)=0,"Bloomberg projection",IF($P219=1,"ANNOUNCED","ANNOUNCED - amount TBA")))</f>
        <v/>
      </c>
      <c r="J219" s="43">
        <f>IF($L219="","",IF((OV_SWITCH="ON")*(COUNTIFS(OVR_TICKERS,INDEX(HSI!$C$7:$C$106,$N219),OVR_BASE,"&gt;=0")&gt;0)&gt;0,"stock overridden",""))</f>
        <v/>
      </c>
      <c r="L219" s="35">
        <f>IFERROR(IF(SMALL(Grids!$EE$12:$GQ$111,$M$7+210)&gt;=PEND_TO,"",SMALL(Grids!$EE$12:$GQ$111,$M$7+210)),"")</f>
        <v/>
      </c>
      <c r="M219" s="35">
        <f>IF($L219="","",INT($L219/1000000000))</f>
        <v/>
      </c>
      <c r="N219" s="35">
        <f>IF($L219="","",INT(($L219-INT($L219/1000000)*1000000)/1000))</f>
        <v/>
      </c>
      <c r="O219" s="35">
        <f>IF($L219="","",$L219-INT($L219/1000)*1000)</f>
        <v/>
      </c>
      <c r="P219" s="35">
        <f>IF($L219="","",INT(($L219-INT($L219/1000000000)*1000000000)/100000000))</f>
        <v/>
      </c>
    </row>
    <row r="220">
      <c r="B220" s="39">
        <f>IF($L220="","",$M220)</f>
        <v/>
      </c>
      <c r="C220" s="18">
        <f>IF($L220="","",INDEX(HSI!$C$7:$C$106,$N220))</f>
        <v/>
      </c>
      <c r="D220" s="18">
        <f>IF($L220="","",INDEX(HSI!$D$7:$D$106,$N220))</f>
        <v/>
      </c>
      <c r="E220" s="40">
        <f>IF($L220="","",IF($P220=0,"TBA",IFERROR(INDEX(Grids!$C$12:$BO$111,$N220,$O220),"-")))</f>
        <v/>
      </c>
      <c r="F220" s="18">
        <f>IF($L220="","",INDEX(HSI!$F$7:$F$106,$N220))</f>
        <v/>
      </c>
      <c r="G220" s="40">
        <f>IF($L220="","",IF($P220=0,"TBA",IFERROR(INDEX(Grids!$BQ$12:$EC$111,$N220,$O220),"-")))</f>
        <v/>
      </c>
      <c r="H220" s="41">
        <f>IF($L220="","",SUM($G$10:$G220))</f>
        <v/>
      </c>
      <c r="I220" s="42">
        <f>IF($L220="","",IF(INT(($L220-INT($L220/10000000)*10000000)/1000000)=0,"Bloomberg projection",IF($P220=1,"ANNOUNCED","ANNOUNCED - amount TBA")))</f>
        <v/>
      </c>
      <c r="J220" s="43">
        <f>IF($L220="","",IF((OV_SWITCH="ON")*(COUNTIFS(OVR_TICKERS,INDEX(HSI!$C$7:$C$106,$N220),OVR_BASE,"&gt;=0")&gt;0)&gt;0,"stock overridden",""))</f>
        <v/>
      </c>
      <c r="L220" s="35">
        <f>IFERROR(IF(SMALL(Grids!$EE$12:$GQ$111,$M$7+211)&gt;=PEND_TO,"",SMALL(Grids!$EE$12:$GQ$111,$M$7+211)),"")</f>
        <v/>
      </c>
      <c r="M220" s="35">
        <f>IF($L220="","",INT($L220/1000000000))</f>
        <v/>
      </c>
      <c r="N220" s="35">
        <f>IF($L220="","",INT(($L220-INT($L220/1000000)*1000000)/1000))</f>
        <v/>
      </c>
      <c r="O220" s="35">
        <f>IF($L220="","",$L220-INT($L220/1000)*1000)</f>
        <v/>
      </c>
      <c r="P220" s="35">
        <f>IF($L220="","",INT(($L220-INT($L220/1000000000)*1000000000)/100000000))</f>
        <v/>
      </c>
    </row>
    <row r="221">
      <c r="B221" s="39">
        <f>IF($L221="","",$M221)</f>
        <v/>
      </c>
      <c r="C221" s="18">
        <f>IF($L221="","",INDEX(HSI!$C$7:$C$106,$N221))</f>
        <v/>
      </c>
      <c r="D221" s="18">
        <f>IF($L221="","",INDEX(HSI!$D$7:$D$106,$N221))</f>
        <v/>
      </c>
      <c r="E221" s="40">
        <f>IF($L221="","",IF($P221=0,"TBA",IFERROR(INDEX(Grids!$C$12:$BO$111,$N221,$O221),"-")))</f>
        <v/>
      </c>
      <c r="F221" s="18">
        <f>IF($L221="","",INDEX(HSI!$F$7:$F$106,$N221))</f>
        <v/>
      </c>
      <c r="G221" s="40">
        <f>IF($L221="","",IF($P221=0,"TBA",IFERROR(INDEX(Grids!$BQ$12:$EC$111,$N221,$O221),"-")))</f>
        <v/>
      </c>
      <c r="H221" s="41">
        <f>IF($L221="","",SUM($G$10:$G221))</f>
        <v/>
      </c>
      <c r="I221" s="42">
        <f>IF($L221="","",IF(INT(($L221-INT($L221/10000000)*10000000)/1000000)=0,"Bloomberg projection",IF($P221=1,"ANNOUNCED","ANNOUNCED - amount TBA")))</f>
        <v/>
      </c>
      <c r="J221" s="43">
        <f>IF($L221="","",IF((OV_SWITCH="ON")*(COUNTIFS(OVR_TICKERS,INDEX(HSI!$C$7:$C$106,$N221),OVR_BASE,"&gt;=0")&gt;0)&gt;0,"stock overridden",""))</f>
        <v/>
      </c>
      <c r="L221" s="35">
        <f>IFERROR(IF(SMALL(Grids!$EE$12:$GQ$111,$M$7+212)&gt;=PEND_TO,"",SMALL(Grids!$EE$12:$GQ$111,$M$7+212)),"")</f>
        <v/>
      </c>
      <c r="M221" s="35">
        <f>IF($L221="","",INT($L221/1000000000))</f>
        <v/>
      </c>
      <c r="N221" s="35">
        <f>IF($L221="","",INT(($L221-INT($L221/1000000)*1000000)/1000))</f>
        <v/>
      </c>
      <c r="O221" s="35">
        <f>IF($L221="","",$L221-INT($L221/1000)*1000)</f>
        <v/>
      </c>
      <c r="P221" s="35">
        <f>IF($L221="","",INT(($L221-INT($L221/1000000000)*1000000000)/100000000))</f>
        <v/>
      </c>
    </row>
    <row r="222">
      <c r="B222" s="39">
        <f>IF($L222="","",$M222)</f>
        <v/>
      </c>
      <c r="C222" s="18">
        <f>IF($L222="","",INDEX(HSI!$C$7:$C$106,$N222))</f>
        <v/>
      </c>
      <c r="D222" s="18">
        <f>IF($L222="","",INDEX(HSI!$D$7:$D$106,$N222))</f>
        <v/>
      </c>
      <c r="E222" s="40">
        <f>IF($L222="","",IF($P222=0,"TBA",IFERROR(INDEX(Grids!$C$12:$BO$111,$N222,$O222),"-")))</f>
        <v/>
      </c>
      <c r="F222" s="18">
        <f>IF($L222="","",INDEX(HSI!$F$7:$F$106,$N222))</f>
        <v/>
      </c>
      <c r="G222" s="40">
        <f>IF($L222="","",IF($P222=0,"TBA",IFERROR(INDEX(Grids!$BQ$12:$EC$111,$N222,$O222),"-")))</f>
        <v/>
      </c>
      <c r="H222" s="41">
        <f>IF($L222="","",SUM($G$10:$G222))</f>
        <v/>
      </c>
      <c r="I222" s="42">
        <f>IF($L222="","",IF(INT(($L222-INT($L222/10000000)*10000000)/1000000)=0,"Bloomberg projection",IF($P222=1,"ANNOUNCED","ANNOUNCED - amount TBA")))</f>
        <v/>
      </c>
      <c r="J222" s="43">
        <f>IF($L222="","",IF((OV_SWITCH="ON")*(COUNTIFS(OVR_TICKERS,INDEX(HSI!$C$7:$C$106,$N222),OVR_BASE,"&gt;=0")&gt;0)&gt;0,"stock overridden",""))</f>
        <v/>
      </c>
      <c r="L222" s="35">
        <f>IFERROR(IF(SMALL(Grids!$EE$12:$GQ$111,$M$7+213)&gt;=PEND_TO,"",SMALL(Grids!$EE$12:$GQ$111,$M$7+213)),"")</f>
        <v/>
      </c>
      <c r="M222" s="35">
        <f>IF($L222="","",INT($L222/1000000000))</f>
        <v/>
      </c>
      <c r="N222" s="35">
        <f>IF($L222="","",INT(($L222-INT($L222/1000000)*1000000)/1000))</f>
        <v/>
      </c>
      <c r="O222" s="35">
        <f>IF($L222="","",$L222-INT($L222/1000)*1000)</f>
        <v/>
      </c>
      <c r="P222" s="35">
        <f>IF($L222="","",INT(($L222-INT($L222/1000000000)*1000000000)/100000000))</f>
        <v/>
      </c>
    </row>
    <row r="223">
      <c r="B223" s="39">
        <f>IF($L223="","",$M223)</f>
        <v/>
      </c>
      <c r="C223" s="18">
        <f>IF($L223="","",INDEX(HSI!$C$7:$C$106,$N223))</f>
        <v/>
      </c>
      <c r="D223" s="18">
        <f>IF($L223="","",INDEX(HSI!$D$7:$D$106,$N223))</f>
        <v/>
      </c>
      <c r="E223" s="40">
        <f>IF($L223="","",IF($P223=0,"TBA",IFERROR(INDEX(Grids!$C$12:$BO$111,$N223,$O223),"-")))</f>
        <v/>
      </c>
      <c r="F223" s="18">
        <f>IF($L223="","",INDEX(HSI!$F$7:$F$106,$N223))</f>
        <v/>
      </c>
      <c r="G223" s="40">
        <f>IF($L223="","",IF($P223=0,"TBA",IFERROR(INDEX(Grids!$BQ$12:$EC$111,$N223,$O223),"-")))</f>
        <v/>
      </c>
      <c r="H223" s="41">
        <f>IF($L223="","",SUM($G$10:$G223))</f>
        <v/>
      </c>
      <c r="I223" s="42">
        <f>IF($L223="","",IF(INT(($L223-INT($L223/10000000)*10000000)/1000000)=0,"Bloomberg projection",IF($P223=1,"ANNOUNCED","ANNOUNCED - amount TBA")))</f>
        <v/>
      </c>
      <c r="J223" s="43">
        <f>IF($L223="","",IF((OV_SWITCH="ON")*(COUNTIFS(OVR_TICKERS,INDEX(HSI!$C$7:$C$106,$N223),OVR_BASE,"&gt;=0")&gt;0)&gt;0,"stock overridden",""))</f>
        <v/>
      </c>
      <c r="L223" s="35">
        <f>IFERROR(IF(SMALL(Grids!$EE$12:$GQ$111,$M$7+214)&gt;=PEND_TO,"",SMALL(Grids!$EE$12:$GQ$111,$M$7+214)),"")</f>
        <v/>
      </c>
      <c r="M223" s="35">
        <f>IF($L223="","",INT($L223/1000000000))</f>
        <v/>
      </c>
      <c r="N223" s="35">
        <f>IF($L223="","",INT(($L223-INT($L223/1000000)*1000000)/1000))</f>
        <v/>
      </c>
      <c r="O223" s="35">
        <f>IF($L223="","",$L223-INT($L223/1000)*1000)</f>
        <v/>
      </c>
      <c r="P223" s="35">
        <f>IF($L223="","",INT(($L223-INT($L223/1000000000)*1000000000)/100000000))</f>
        <v/>
      </c>
    </row>
    <row r="224">
      <c r="B224" s="39">
        <f>IF($L224="","",$M224)</f>
        <v/>
      </c>
      <c r="C224" s="18">
        <f>IF($L224="","",INDEX(HSI!$C$7:$C$106,$N224))</f>
        <v/>
      </c>
      <c r="D224" s="18">
        <f>IF($L224="","",INDEX(HSI!$D$7:$D$106,$N224))</f>
        <v/>
      </c>
      <c r="E224" s="40">
        <f>IF($L224="","",IF($P224=0,"TBA",IFERROR(INDEX(Grids!$C$12:$BO$111,$N224,$O224),"-")))</f>
        <v/>
      </c>
      <c r="F224" s="18">
        <f>IF($L224="","",INDEX(HSI!$F$7:$F$106,$N224))</f>
        <v/>
      </c>
      <c r="G224" s="40">
        <f>IF($L224="","",IF($P224=0,"TBA",IFERROR(INDEX(Grids!$BQ$12:$EC$111,$N224,$O224),"-")))</f>
        <v/>
      </c>
      <c r="H224" s="41">
        <f>IF($L224="","",SUM($G$10:$G224))</f>
        <v/>
      </c>
      <c r="I224" s="42">
        <f>IF($L224="","",IF(INT(($L224-INT($L224/10000000)*10000000)/1000000)=0,"Bloomberg projection",IF($P224=1,"ANNOUNCED","ANNOUNCED - amount TBA")))</f>
        <v/>
      </c>
      <c r="J224" s="43">
        <f>IF($L224="","",IF((OV_SWITCH="ON")*(COUNTIFS(OVR_TICKERS,INDEX(HSI!$C$7:$C$106,$N224),OVR_BASE,"&gt;=0")&gt;0)&gt;0,"stock overridden",""))</f>
        <v/>
      </c>
      <c r="L224" s="35">
        <f>IFERROR(IF(SMALL(Grids!$EE$12:$GQ$111,$M$7+215)&gt;=PEND_TO,"",SMALL(Grids!$EE$12:$GQ$111,$M$7+215)),"")</f>
        <v/>
      </c>
      <c r="M224" s="35">
        <f>IF($L224="","",INT($L224/1000000000))</f>
        <v/>
      </c>
      <c r="N224" s="35">
        <f>IF($L224="","",INT(($L224-INT($L224/1000000)*1000000)/1000))</f>
        <v/>
      </c>
      <c r="O224" s="35">
        <f>IF($L224="","",$L224-INT($L224/1000)*1000)</f>
        <v/>
      </c>
      <c r="P224" s="35">
        <f>IF($L224="","",INT(($L224-INT($L224/1000000000)*1000000000)/100000000))</f>
        <v/>
      </c>
    </row>
    <row r="225">
      <c r="B225" s="39">
        <f>IF($L225="","",$M225)</f>
        <v/>
      </c>
      <c r="C225" s="18">
        <f>IF($L225="","",INDEX(HSI!$C$7:$C$106,$N225))</f>
        <v/>
      </c>
      <c r="D225" s="18">
        <f>IF($L225="","",INDEX(HSI!$D$7:$D$106,$N225))</f>
        <v/>
      </c>
      <c r="E225" s="40">
        <f>IF($L225="","",IF($P225=0,"TBA",IFERROR(INDEX(Grids!$C$12:$BO$111,$N225,$O225),"-")))</f>
        <v/>
      </c>
      <c r="F225" s="18">
        <f>IF($L225="","",INDEX(HSI!$F$7:$F$106,$N225))</f>
        <v/>
      </c>
      <c r="G225" s="40">
        <f>IF($L225="","",IF($P225=0,"TBA",IFERROR(INDEX(Grids!$BQ$12:$EC$111,$N225,$O225),"-")))</f>
        <v/>
      </c>
      <c r="H225" s="41">
        <f>IF($L225="","",SUM($G$10:$G225))</f>
        <v/>
      </c>
      <c r="I225" s="42">
        <f>IF($L225="","",IF(INT(($L225-INT($L225/10000000)*10000000)/1000000)=0,"Bloomberg projection",IF($P225=1,"ANNOUNCED","ANNOUNCED - amount TBA")))</f>
        <v/>
      </c>
      <c r="J225" s="43">
        <f>IF($L225="","",IF((OV_SWITCH="ON")*(COUNTIFS(OVR_TICKERS,INDEX(HSI!$C$7:$C$106,$N225),OVR_BASE,"&gt;=0")&gt;0)&gt;0,"stock overridden",""))</f>
        <v/>
      </c>
      <c r="L225" s="35">
        <f>IFERROR(IF(SMALL(Grids!$EE$12:$GQ$111,$M$7+216)&gt;=PEND_TO,"",SMALL(Grids!$EE$12:$GQ$111,$M$7+216)),"")</f>
        <v/>
      </c>
      <c r="M225" s="35">
        <f>IF($L225="","",INT($L225/1000000000))</f>
        <v/>
      </c>
      <c r="N225" s="35">
        <f>IF($L225="","",INT(($L225-INT($L225/1000000)*1000000)/1000))</f>
        <v/>
      </c>
      <c r="O225" s="35">
        <f>IF($L225="","",$L225-INT($L225/1000)*1000)</f>
        <v/>
      </c>
      <c r="P225" s="35">
        <f>IF($L225="","",INT(($L225-INT($L225/1000000000)*1000000000)/100000000))</f>
        <v/>
      </c>
    </row>
    <row r="226">
      <c r="B226" s="39">
        <f>IF($L226="","",$M226)</f>
        <v/>
      </c>
      <c r="C226" s="18">
        <f>IF($L226="","",INDEX(HSI!$C$7:$C$106,$N226))</f>
        <v/>
      </c>
      <c r="D226" s="18">
        <f>IF($L226="","",INDEX(HSI!$D$7:$D$106,$N226))</f>
        <v/>
      </c>
      <c r="E226" s="40">
        <f>IF($L226="","",IF($P226=0,"TBA",IFERROR(INDEX(Grids!$C$12:$BO$111,$N226,$O226),"-")))</f>
        <v/>
      </c>
      <c r="F226" s="18">
        <f>IF($L226="","",INDEX(HSI!$F$7:$F$106,$N226))</f>
        <v/>
      </c>
      <c r="G226" s="40">
        <f>IF($L226="","",IF($P226=0,"TBA",IFERROR(INDEX(Grids!$BQ$12:$EC$111,$N226,$O226),"-")))</f>
        <v/>
      </c>
      <c r="H226" s="41">
        <f>IF($L226="","",SUM($G$10:$G226))</f>
        <v/>
      </c>
      <c r="I226" s="42">
        <f>IF($L226="","",IF(INT(($L226-INT($L226/10000000)*10000000)/1000000)=0,"Bloomberg projection",IF($P226=1,"ANNOUNCED","ANNOUNCED - amount TBA")))</f>
        <v/>
      </c>
      <c r="J226" s="43">
        <f>IF($L226="","",IF((OV_SWITCH="ON")*(COUNTIFS(OVR_TICKERS,INDEX(HSI!$C$7:$C$106,$N226),OVR_BASE,"&gt;=0")&gt;0)&gt;0,"stock overridden",""))</f>
        <v/>
      </c>
      <c r="L226" s="35">
        <f>IFERROR(IF(SMALL(Grids!$EE$12:$GQ$111,$M$7+217)&gt;=PEND_TO,"",SMALL(Grids!$EE$12:$GQ$111,$M$7+217)),"")</f>
        <v/>
      </c>
      <c r="M226" s="35">
        <f>IF($L226="","",INT($L226/1000000000))</f>
        <v/>
      </c>
      <c r="N226" s="35">
        <f>IF($L226="","",INT(($L226-INT($L226/1000000)*1000000)/1000))</f>
        <v/>
      </c>
      <c r="O226" s="35">
        <f>IF($L226="","",$L226-INT($L226/1000)*1000)</f>
        <v/>
      </c>
      <c r="P226" s="35">
        <f>IF($L226="","",INT(($L226-INT($L226/1000000000)*1000000000)/100000000))</f>
        <v/>
      </c>
    </row>
    <row r="227">
      <c r="B227" s="39">
        <f>IF($L227="","",$M227)</f>
        <v/>
      </c>
      <c r="C227" s="18">
        <f>IF($L227="","",INDEX(HSI!$C$7:$C$106,$N227))</f>
        <v/>
      </c>
      <c r="D227" s="18">
        <f>IF($L227="","",INDEX(HSI!$D$7:$D$106,$N227))</f>
        <v/>
      </c>
      <c r="E227" s="40">
        <f>IF($L227="","",IF($P227=0,"TBA",IFERROR(INDEX(Grids!$C$12:$BO$111,$N227,$O227),"-")))</f>
        <v/>
      </c>
      <c r="F227" s="18">
        <f>IF($L227="","",INDEX(HSI!$F$7:$F$106,$N227))</f>
        <v/>
      </c>
      <c r="G227" s="40">
        <f>IF($L227="","",IF($P227=0,"TBA",IFERROR(INDEX(Grids!$BQ$12:$EC$111,$N227,$O227),"-")))</f>
        <v/>
      </c>
      <c r="H227" s="41">
        <f>IF($L227="","",SUM($G$10:$G227))</f>
        <v/>
      </c>
      <c r="I227" s="42">
        <f>IF($L227="","",IF(INT(($L227-INT($L227/10000000)*10000000)/1000000)=0,"Bloomberg projection",IF($P227=1,"ANNOUNCED","ANNOUNCED - amount TBA")))</f>
        <v/>
      </c>
      <c r="J227" s="43">
        <f>IF($L227="","",IF((OV_SWITCH="ON")*(COUNTIFS(OVR_TICKERS,INDEX(HSI!$C$7:$C$106,$N227),OVR_BASE,"&gt;=0")&gt;0)&gt;0,"stock overridden",""))</f>
        <v/>
      </c>
      <c r="L227" s="35">
        <f>IFERROR(IF(SMALL(Grids!$EE$12:$GQ$111,$M$7+218)&gt;=PEND_TO,"",SMALL(Grids!$EE$12:$GQ$111,$M$7+218)),"")</f>
        <v/>
      </c>
      <c r="M227" s="35">
        <f>IF($L227="","",INT($L227/1000000000))</f>
        <v/>
      </c>
      <c r="N227" s="35">
        <f>IF($L227="","",INT(($L227-INT($L227/1000000)*1000000)/1000))</f>
        <v/>
      </c>
      <c r="O227" s="35">
        <f>IF($L227="","",$L227-INT($L227/1000)*1000)</f>
        <v/>
      </c>
      <c r="P227" s="35">
        <f>IF($L227="","",INT(($L227-INT($L227/1000000000)*1000000000)/100000000))</f>
        <v/>
      </c>
    </row>
    <row r="228">
      <c r="B228" s="39">
        <f>IF($L228="","",$M228)</f>
        <v/>
      </c>
      <c r="C228" s="18">
        <f>IF($L228="","",INDEX(HSI!$C$7:$C$106,$N228))</f>
        <v/>
      </c>
      <c r="D228" s="18">
        <f>IF($L228="","",INDEX(HSI!$D$7:$D$106,$N228))</f>
        <v/>
      </c>
      <c r="E228" s="40">
        <f>IF($L228="","",IF($P228=0,"TBA",IFERROR(INDEX(Grids!$C$12:$BO$111,$N228,$O228),"-")))</f>
        <v/>
      </c>
      <c r="F228" s="18">
        <f>IF($L228="","",INDEX(HSI!$F$7:$F$106,$N228))</f>
        <v/>
      </c>
      <c r="G228" s="40">
        <f>IF($L228="","",IF($P228=0,"TBA",IFERROR(INDEX(Grids!$BQ$12:$EC$111,$N228,$O228),"-")))</f>
        <v/>
      </c>
      <c r="H228" s="41">
        <f>IF($L228="","",SUM($G$10:$G228))</f>
        <v/>
      </c>
      <c r="I228" s="42">
        <f>IF($L228="","",IF(INT(($L228-INT($L228/10000000)*10000000)/1000000)=0,"Bloomberg projection",IF($P228=1,"ANNOUNCED","ANNOUNCED - amount TBA")))</f>
        <v/>
      </c>
      <c r="J228" s="43">
        <f>IF($L228="","",IF((OV_SWITCH="ON")*(COUNTIFS(OVR_TICKERS,INDEX(HSI!$C$7:$C$106,$N228),OVR_BASE,"&gt;=0")&gt;0)&gt;0,"stock overridden",""))</f>
        <v/>
      </c>
      <c r="L228" s="35">
        <f>IFERROR(IF(SMALL(Grids!$EE$12:$GQ$111,$M$7+219)&gt;=PEND_TO,"",SMALL(Grids!$EE$12:$GQ$111,$M$7+219)),"")</f>
        <v/>
      </c>
      <c r="M228" s="35">
        <f>IF($L228="","",INT($L228/1000000000))</f>
        <v/>
      </c>
      <c r="N228" s="35">
        <f>IF($L228="","",INT(($L228-INT($L228/1000000)*1000000)/1000))</f>
        <v/>
      </c>
      <c r="O228" s="35">
        <f>IF($L228="","",$L228-INT($L228/1000)*1000)</f>
        <v/>
      </c>
      <c r="P228" s="35">
        <f>IF($L228="","",INT(($L228-INT($L228/1000000000)*1000000000)/100000000))</f>
        <v/>
      </c>
    </row>
    <row r="229">
      <c r="B229" s="39">
        <f>IF($L229="","",$M229)</f>
        <v/>
      </c>
      <c r="C229" s="18">
        <f>IF($L229="","",INDEX(HSI!$C$7:$C$106,$N229))</f>
        <v/>
      </c>
      <c r="D229" s="18">
        <f>IF($L229="","",INDEX(HSI!$D$7:$D$106,$N229))</f>
        <v/>
      </c>
      <c r="E229" s="40">
        <f>IF($L229="","",IF($P229=0,"TBA",IFERROR(INDEX(Grids!$C$12:$BO$111,$N229,$O229),"-")))</f>
        <v/>
      </c>
      <c r="F229" s="18">
        <f>IF($L229="","",INDEX(HSI!$F$7:$F$106,$N229))</f>
        <v/>
      </c>
      <c r="G229" s="40">
        <f>IF($L229="","",IF($P229=0,"TBA",IFERROR(INDEX(Grids!$BQ$12:$EC$111,$N229,$O229),"-")))</f>
        <v/>
      </c>
      <c r="H229" s="41">
        <f>IF($L229="","",SUM($G$10:$G229))</f>
        <v/>
      </c>
      <c r="I229" s="42">
        <f>IF($L229="","",IF(INT(($L229-INT($L229/10000000)*10000000)/1000000)=0,"Bloomberg projection",IF($P229=1,"ANNOUNCED","ANNOUNCED - amount TBA")))</f>
        <v/>
      </c>
      <c r="J229" s="43">
        <f>IF($L229="","",IF((OV_SWITCH="ON")*(COUNTIFS(OVR_TICKERS,INDEX(HSI!$C$7:$C$106,$N229),OVR_BASE,"&gt;=0")&gt;0)&gt;0,"stock overridden",""))</f>
        <v/>
      </c>
      <c r="L229" s="35">
        <f>IFERROR(IF(SMALL(Grids!$EE$12:$GQ$111,$M$7+220)&gt;=PEND_TO,"",SMALL(Grids!$EE$12:$GQ$111,$M$7+220)),"")</f>
        <v/>
      </c>
      <c r="M229" s="35">
        <f>IF($L229="","",INT($L229/1000000000))</f>
        <v/>
      </c>
      <c r="N229" s="35">
        <f>IF($L229="","",INT(($L229-INT($L229/1000000)*1000000)/1000))</f>
        <v/>
      </c>
      <c r="O229" s="35">
        <f>IF($L229="","",$L229-INT($L229/1000)*1000)</f>
        <v/>
      </c>
      <c r="P229" s="35">
        <f>IF($L229="","",INT(($L229-INT($L229/1000000000)*1000000000)/100000000))</f>
        <v/>
      </c>
    </row>
    <row r="230">
      <c r="B230" s="39">
        <f>IF($L230="","",$M230)</f>
        <v/>
      </c>
      <c r="C230" s="18">
        <f>IF($L230="","",INDEX(HSI!$C$7:$C$106,$N230))</f>
        <v/>
      </c>
      <c r="D230" s="18">
        <f>IF($L230="","",INDEX(HSI!$D$7:$D$106,$N230))</f>
        <v/>
      </c>
      <c r="E230" s="40">
        <f>IF($L230="","",IF($P230=0,"TBA",IFERROR(INDEX(Grids!$C$12:$BO$111,$N230,$O230),"-")))</f>
        <v/>
      </c>
      <c r="F230" s="18">
        <f>IF($L230="","",INDEX(HSI!$F$7:$F$106,$N230))</f>
        <v/>
      </c>
      <c r="G230" s="40">
        <f>IF($L230="","",IF($P230=0,"TBA",IFERROR(INDEX(Grids!$BQ$12:$EC$111,$N230,$O230),"-")))</f>
        <v/>
      </c>
      <c r="H230" s="41">
        <f>IF($L230="","",SUM($G$10:$G230))</f>
        <v/>
      </c>
      <c r="I230" s="42">
        <f>IF($L230="","",IF(INT(($L230-INT($L230/10000000)*10000000)/1000000)=0,"Bloomberg projection",IF($P230=1,"ANNOUNCED","ANNOUNCED - amount TBA")))</f>
        <v/>
      </c>
      <c r="J230" s="43">
        <f>IF($L230="","",IF((OV_SWITCH="ON")*(COUNTIFS(OVR_TICKERS,INDEX(HSI!$C$7:$C$106,$N230),OVR_BASE,"&gt;=0")&gt;0)&gt;0,"stock overridden",""))</f>
        <v/>
      </c>
      <c r="L230" s="35">
        <f>IFERROR(IF(SMALL(Grids!$EE$12:$GQ$111,$M$7+221)&gt;=PEND_TO,"",SMALL(Grids!$EE$12:$GQ$111,$M$7+221)),"")</f>
        <v/>
      </c>
      <c r="M230" s="35">
        <f>IF($L230="","",INT($L230/1000000000))</f>
        <v/>
      </c>
      <c r="N230" s="35">
        <f>IF($L230="","",INT(($L230-INT($L230/1000000)*1000000)/1000))</f>
        <v/>
      </c>
      <c r="O230" s="35">
        <f>IF($L230="","",$L230-INT($L230/1000)*1000)</f>
        <v/>
      </c>
      <c r="P230" s="35">
        <f>IF($L230="","",INT(($L230-INT($L230/1000000000)*1000000000)/100000000))</f>
        <v/>
      </c>
    </row>
    <row r="231">
      <c r="B231" s="39">
        <f>IF($L231="","",$M231)</f>
        <v/>
      </c>
      <c r="C231" s="18">
        <f>IF($L231="","",INDEX(HSI!$C$7:$C$106,$N231))</f>
        <v/>
      </c>
      <c r="D231" s="18">
        <f>IF($L231="","",INDEX(HSI!$D$7:$D$106,$N231))</f>
        <v/>
      </c>
      <c r="E231" s="40">
        <f>IF($L231="","",IF($P231=0,"TBA",IFERROR(INDEX(Grids!$C$12:$BO$111,$N231,$O231),"-")))</f>
        <v/>
      </c>
      <c r="F231" s="18">
        <f>IF($L231="","",INDEX(HSI!$F$7:$F$106,$N231))</f>
        <v/>
      </c>
      <c r="G231" s="40">
        <f>IF($L231="","",IF($P231=0,"TBA",IFERROR(INDEX(Grids!$BQ$12:$EC$111,$N231,$O231),"-")))</f>
        <v/>
      </c>
      <c r="H231" s="41">
        <f>IF($L231="","",SUM($G$10:$G231))</f>
        <v/>
      </c>
      <c r="I231" s="42">
        <f>IF($L231="","",IF(INT(($L231-INT($L231/10000000)*10000000)/1000000)=0,"Bloomberg projection",IF($P231=1,"ANNOUNCED","ANNOUNCED - amount TBA")))</f>
        <v/>
      </c>
      <c r="J231" s="43">
        <f>IF($L231="","",IF((OV_SWITCH="ON")*(COUNTIFS(OVR_TICKERS,INDEX(HSI!$C$7:$C$106,$N231),OVR_BASE,"&gt;=0")&gt;0)&gt;0,"stock overridden",""))</f>
        <v/>
      </c>
      <c r="L231" s="35">
        <f>IFERROR(IF(SMALL(Grids!$EE$12:$GQ$111,$M$7+222)&gt;=PEND_TO,"",SMALL(Grids!$EE$12:$GQ$111,$M$7+222)),"")</f>
        <v/>
      </c>
      <c r="M231" s="35">
        <f>IF($L231="","",INT($L231/1000000000))</f>
        <v/>
      </c>
      <c r="N231" s="35">
        <f>IF($L231="","",INT(($L231-INT($L231/1000000)*1000000)/1000))</f>
        <v/>
      </c>
      <c r="O231" s="35">
        <f>IF($L231="","",$L231-INT($L231/1000)*1000)</f>
        <v/>
      </c>
      <c r="P231" s="35">
        <f>IF($L231="","",INT(($L231-INT($L231/1000000000)*1000000000)/100000000))</f>
        <v/>
      </c>
    </row>
    <row r="232">
      <c r="B232" s="39">
        <f>IF($L232="","",$M232)</f>
        <v/>
      </c>
      <c r="C232" s="18">
        <f>IF($L232="","",INDEX(HSI!$C$7:$C$106,$N232))</f>
        <v/>
      </c>
      <c r="D232" s="18">
        <f>IF($L232="","",INDEX(HSI!$D$7:$D$106,$N232))</f>
        <v/>
      </c>
      <c r="E232" s="40">
        <f>IF($L232="","",IF($P232=0,"TBA",IFERROR(INDEX(Grids!$C$12:$BO$111,$N232,$O232),"-")))</f>
        <v/>
      </c>
      <c r="F232" s="18">
        <f>IF($L232="","",INDEX(HSI!$F$7:$F$106,$N232))</f>
        <v/>
      </c>
      <c r="G232" s="40">
        <f>IF($L232="","",IF($P232=0,"TBA",IFERROR(INDEX(Grids!$BQ$12:$EC$111,$N232,$O232),"-")))</f>
        <v/>
      </c>
      <c r="H232" s="41">
        <f>IF($L232="","",SUM($G$10:$G232))</f>
        <v/>
      </c>
      <c r="I232" s="42">
        <f>IF($L232="","",IF(INT(($L232-INT($L232/10000000)*10000000)/1000000)=0,"Bloomberg projection",IF($P232=1,"ANNOUNCED","ANNOUNCED - amount TBA")))</f>
        <v/>
      </c>
      <c r="J232" s="43">
        <f>IF($L232="","",IF((OV_SWITCH="ON")*(COUNTIFS(OVR_TICKERS,INDEX(HSI!$C$7:$C$106,$N232),OVR_BASE,"&gt;=0")&gt;0)&gt;0,"stock overridden",""))</f>
        <v/>
      </c>
      <c r="L232" s="35">
        <f>IFERROR(IF(SMALL(Grids!$EE$12:$GQ$111,$M$7+223)&gt;=PEND_TO,"",SMALL(Grids!$EE$12:$GQ$111,$M$7+223)),"")</f>
        <v/>
      </c>
      <c r="M232" s="35">
        <f>IF($L232="","",INT($L232/1000000000))</f>
        <v/>
      </c>
      <c r="N232" s="35">
        <f>IF($L232="","",INT(($L232-INT($L232/1000000)*1000000)/1000))</f>
        <v/>
      </c>
      <c r="O232" s="35">
        <f>IF($L232="","",$L232-INT($L232/1000)*1000)</f>
        <v/>
      </c>
      <c r="P232" s="35">
        <f>IF($L232="","",INT(($L232-INT($L232/1000000000)*1000000000)/100000000))</f>
        <v/>
      </c>
    </row>
    <row r="233">
      <c r="B233" s="39">
        <f>IF($L233="","",$M233)</f>
        <v/>
      </c>
      <c r="C233" s="18">
        <f>IF($L233="","",INDEX(HSI!$C$7:$C$106,$N233))</f>
        <v/>
      </c>
      <c r="D233" s="18">
        <f>IF($L233="","",INDEX(HSI!$D$7:$D$106,$N233))</f>
        <v/>
      </c>
      <c r="E233" s="40">
        <f>IF($L233="","",IF($P233=0,"TBA",IFERROR(INDEX(Grids!$C$12:$BO$111,$N233,$O233),"-")))</f>
        <v/>
      </c>
      <c r="F233" s="18">
        <f>IF($L233="","",INDEX(HSI!$F$7:$F$106,$N233))</f>
        <v/>
      </c>
      <c r="G233" s="40">
        <f>IF($L233="","",IF($P233=0,"TBA",IFERROR(INDEX(Grids!$BQ$12:$EC$111,$N233,$O233),"-")))</f>
        <v/>
      </c>
      <c r="H233" s="41">
        <f>IF($L233="","",SUM($G$10:$G233))</f>
        <v/>
      </c>
      <c r="I233" s="42">
        <f>IF($L233="","",IF(INT(($L233-INT($L233/10000000)*10000000)/1000000)=0,"Bloomberg projection",IF($P233=1,"ANNOUNCED","ANNOUNCED - amount TBA")))</f>
        <v/>
      </c>
      <c r="J233" s="43">
        <f>IF($L233="","",IF((OV_SWITCH="ON")*(COUNTIFS(OVR_TICKERS,INDEX(HSI!$C$7:$C$106,$N233),OVR_BASE,"&gt;=0")&gt;0)&gt;0,"stock overridden",""))</f>
        <v/>
      </c>
      <c r="L233" s="35">
        <f>IFERROR(IF(SMALL(Grids!$EE$12:$GQ$111,$M$7+224)&gt;=PEND_TO,"",SMALL(Grids!$EE$12:$GQ$111,$M$7+224)),"")</f>
        <v/>
      </c>
      <c r="M233" s="35">
        <f>IF($L233="","",INT($L233/1000000000))</f>
        <v/>
      </c>
      <c r="N233" s="35">
        <f>IF($L233="","",INT(($L233-INT($L233/1000000)*1000000)/1000))</f>
        <v/>
      </c>
      <c r="O233" s="35">
        <f>IF($L233="","",$L233-INT($L233/1000)*1000)</f>
        <v/>
      </c>
      <c r="P233" s="35">
        <f>IF($L233="","",INT(($L233-INT($L233/1000000000)*1000000000)/100000000))</f>
        <v/>
      </c>
    </row>
    <row r="234">
      <c r="B234" s="39">
        <f>IF($L234="","",$M234)</f>
        <v/>
      </c>
      <c r="C234" s="18">
        <f>IF($L234="","",INDEX(HSI!$C$7:$C$106,$N234))</f>
        <v/>
      </c>
      <c r="D234" s="18">
        <f>IF($L234="","",INDEX(HSI!$D$7:$D$106,$N234))</f>
        <v/>
      </c>
      <c r="E234" s="40">
        <f>IF($L234="","",IF($P234=0,"TBA",IFERROR(INDEX(Grids!$C$12:$BO$111,$N234,$O234),"-")))</f>
        <v/>
      </c>
      <c r="F234" s="18">
        <f>IF($L234="","",INDEX(HSI!$F$7:$F$106,$N234))</f>
        <v/>
      </c>
      <c r="G234" s="40">
        <f>IF($L234="","",IF($P234=0,"TBA",IFERROR(INDEX(Grids!$BQ$12:$EC$111,$N234,$O234),"-")))</f>
        <v/>
      </c>
      <c r="H234" s="41">
        <f>IF($L234="","",SUM($G$10:$G234))</f>
        <v/>
      </c>
      <c r="I234" s="42">
        <f>IF($L234="","",IF(INT(($L234-INT($L234/10000000)*10000000)/1000000)=0,"Bloomberg projection",IF($P234=1,"ANNOUNCED","ANNOUNCED - amount TBA")))</f>
        <v/>
      </c>
      <c r="J234" s="43">
        <f>IF($L234="","",IF((OV_SWITCH="ON")*(COUNTIFS(OVR_TICKERS,INDEX(HSI!$C$7:$C$106,$N234),OVR_BASE,"&gt;=0")&gt;0)&gt;0,"stock overridden",""))</f>
        <v/>
      </c>
      <c r="L234" s="35">
        <f>IFERROR(IF(SMALL(Grids!$EE$12:$GQ$111,$M$7+225)&gt;=PEND_TO,"",SMALL(Grids!$EE$12:$GQ$111,$M$7+225)),"")</f>
        <v/>
      </c>
      <c r="M234" s="35">
        <f>IF($L234="","",INT($L234/1000000000))</f>
        <v/>
      </c>
      <c r="N234" s="35">
        <f>IF($L234="","",INT(($L234-INT($L234/1000000)*1000000)/1000))</f>
        <v/>
      </c>
      <c r="O234" s="35">
        <f>IF($L234="","",$L234-INT($L234/1000)*1000)</f>
        <v/>
      </c>
      <c r="P234" s="35">
        <f>IF($L234="","",INT(($L234-INT($L234/1000000000)*1000000000)/100000000))</f>
        <v/>
      </c>
    </row>
    <row r="235">
      <c r="B235" s="39">
        <f>IF($L235="","",$M235)</f>
        <v/>
      </c>
      <c r="C235" s="18">
        <f>IF($L235="","",INDEX(HSI!$C$7:$C$106,$N235))</f>
        <v/>
      </c>
      <c r="D235" s="18">
        <f>IF($L235="","",INDEX(HSI!$D$7:$D$106,$N235))</f>
        <v/>
      </c>
      <c r="E235" s="40">
        <f>IF($L235="","",IF($P235=0,"TBA",IFERROR(INDEX(Grids!$C$12:$BO$111,$N235,$O235),"-")))</f>
        <v/>
      </c>
      <c r="F235" s="18">
        <f>IF($L235="","",INDEX(HSI!$F$7:$F$106,$N235))</f>
        <v/>
      </c>
      <c r="G235" s="40">
        <f>IF($L235="","",IF($P235=0,"TBA",IFERROR(INDEX(Grids!$BQ$12:$EC$111,$N235,$O235),"-")))</f>
        <v/>
      </c>
      <c r="H235" s="41">
        <f>IF($L235="","",SUM($G$10:$G235))</f>
        <v/>
      </c>
      <c r="I235" s="42">
        <f>IF($L235="","",IF(INT(($L235-INT($L235/10000000)*10000000)/1000000)=0,"Bloomberg projection",IF($P235=1,"ANNOUNCED","ANNOUNCED - amount TBA")))</f>
        <v/>
      </c>
      <c r="J235" s="43">
        <f>IF($L235="","",IF((OV_SWITCH="ON")*(COUNTIFS(OVR_TICKERS,INDEX(HSI!$C$7:$C$106,$N235),OVR_BASE,"&gt;=0")&gt;0)&gt;0,"stock overridden",""))</f>
        <v/>
      </c>
      <c r="L235" s="35">
        <f>IFERROR(IF(SMALL(Grids!$EE$12:$GQ$111,$M$7+226)&gt;=PEND_TO,"",SMALL(Grids!$EE$12:$GQ$111,$M$7+226)),"")</f>
        <v/>
      </c>
      <c r="M235" s="35">
        <f>IF($L235="","",INT($L235/1000000000))</f>
        <v/>
      </c>
      <c r="N235" s="35">
        <f>IF($L235="","",INT(($L235-INT($L235/1000000)*1000000)/1000))</f>
        <v/>
      </c>
      <c r="O235" s="35">
        <f>IF($L235="","",$L235-INT($L235/1000)*1000)</f>
        <v/>
      </c>
      <c r="P235" s="35">
        <f>IF($L235="","",INT(($L235-INT($L235/1000000000)*1000000000)/100000000))</f>
        <v/>
      </c>
    </row>
    <row r="236">
      <c r="B236" s="39">
        <f>IF($L236="","",$M236)</f>
        <v/>
      </c>
      <c r="C236" s="18">
        <f>IF($L236="","",INDEX(HSI!$C$7:$C$106,$N236))</f>
        <v/>
      </c>
      <c r="D236" s="18">
        <f>IF($L236="","",INDEX(HSI!$D$7:$D$106,$N236))</f>
        <v/>
      </c>
      <c r="E236" s="40">
        <f>IF($L236="","",IF($P236=0,"TBA",IFERROR(INDEX(Grids!$C$12:$BO$111,$N236,$O236),"-")))</f>
        <v/>
      </c>
      <c r="F236" s="18">
        <f>IF($L236="","",INDEX(HSI!$F$7:$F$106,$N236))</f>
        <v/>
      </c>
      <c r="G236" s="40">
        <f>IF($L236="","",IF($P236=0,"TBA",IFERROR(INDEX(Grids!$BQ$12:$EC$111,$N236,$O236),"-")))</f>
        <v/>
      </c>
      <c r="H236" s="41">
        <f>IF($L236="","",SUM($G$10:$G236))</f>
        <v/>
      </c>
      <c r="I236" s="42">
        <f>IF($L236="","",IF(INT(($L236-INT($L236/10000000)*10000000)/1000000)=0,"Bloomberg projection",IF($P236=1,"ANNOUNCED","ANNOUNCED - amount TBA")))</f>
        <v/>
      </c>
      <c r="J236" s="43">
        <f>IF($L236="","",IF((OV_SWITCH="ON")*(COUNTIFS(OVR_TICKERS,INDEX(HSI!$C$7:$C$106,$N236),OVR_BASE,"&gt;=0")&gt;0)&gt;0,"stock overridden",""))</f>
        <v/>
      </c>
      <c r="L236" s="35">
        <f>IFERROR(IF(SMALL(Grids!$EE$12:$GQ$111,$M$7+227)&gt;=PEND_TO,"",SMALL(Grids!$EE$12:$GQ$111,$M$7+227)),"")</f>
        <v/>
      </c>
      <c r="M236" s="35">
        <f>IF($L236="","",INT($L236/1000000000))</f>
        <v/>
      </c>
      <c r="N236" s="35">
        <f>IF($L236="","",INT(($L236-INT($L236/1000000)*1000000)/1000))</f>
        <v/>
      </c>
      <c r="O236" s="35">
        <f>IF($L236="","",$L236-INT($L236/1000)*1000)</f>
        <v/>
      </c>
      <c r="P236" s="35">
        <f>IF($L236="","",INT(($L236-INT($L236/1000000000)*1000000000)/100000000))</f>
        <v/>
      </c>
    </row>
    <row r="237">
      <c r="B237" s="39">
        <f>IF($L237="","",$M237)</f>
        <v/>
      </c>
      <c r="C237" s="18">
        <f>IF($L237="","",INDEX(HSI!$C$7:$C$106,$N237))</f>
        <v/>
      </c>
      <c r="D237" s="18">
        <f>IF($L237="","",INDEX(HSI!$D$7:$D$106,$N237))</f>
        <v/>
      </c>
      <c r="E237" s="40">
        <f>IF($L237="","",IF($P237=0,"TBA",IFERROR(INDEX(Grids!$C$12:$BO$111,$N237,$O237),"-")))</f>
        <v/>
      </c>
      <c r="F237" s="18">
        <f>IF($L237="","",INDEX(HSI!$F$7:$F$106,$N237))</f>
        <v/>
      </c>
      <c r="G237" s="40">
        <f>IF($L237="","",IF($P237=0,"TBA",IFERROR(INDEX(Grids!$BQ$12:$EC$111,$N237,$O237),"-")))</f>
        <v/>
      </c>
      <c r="H237" s="41">
        <f>IF($L237="","",SUM($G$10:$G237))</f>
        <v/>
      </c>
      <c r="I237" s="42">
        <f>IF($L237="","",IF(INT(($L237-INT($L237/10000000)*10000000)/1000000)=0,"Bloomberg projection",IF($P237=1,"ANNOUNCED","ANNOUNCED - amount TBA")))</f>
        <v/>
      </c>
      <c r="J237" s="43">
        <f>IF($L237="","",IF((OV_SWITCH="ON")*(COUNTIFS(OVR_TICKERS,INDEX(HSI!$C$7:$C$106,$N237),OVR_BASE,"&gt;=0")&gt;0)&gt;0,"stock overridden",""))</f>
        <v/>
      </c>
      <c r="L237" s="35">
        <f>IFERROR(IF(SMALL(Grids!$EE$12:$GQ$111,$M$7+228)&gt;=PEND_TO,"",SMALL(Grids!$EE$12:$GQ$111,$M$7+228)),"")</f>
        <v/>
      </c>
      <c r="M237" s="35">
        <f>IF($L237="","",INT($L237/1000000000))</f>
        <v/>
      </c>
      <c r="N237" s="35">
        <f>IF($L237="","",INT(($L237-INT($L237/1000000)*1000000)/1000))</f>
        <v/>
      </c>
      <c r="O237" s="35">
        <f>IF($L237="","",$L237-INT($L237/1000)*1000)</f>
        <v/>
      </c>
      <c r="P237" s="35">
        <f>IF($L237="","",INT(($L237-INT($L237/1000000000)*1000000000)/100000000))</f>
        <v/>
      </c>
    </row>
    <row r="238">
      <c r="B238" s="39">
        <f>IF($L238="","",$M238)</f>
        <v/>
      </c>
      <c r="C238" s="18">
        <f>IF($L238="","",INDEX(HSI!$C$7:$C$106,$N238))</f>
        <v/>
      </c>
      <c r="D238" s="18">
        <f>IF($L238="","",INDEX(HSI!$D$7:$D$106,$N238))</f>
        <v/>
      </c>
      <c r="E238" s="40">
        <f>IF($L238="","",IF($P238=0,"TBA",IFERROR(INDEX(Grids!$C$12:$BO$111,$N238,$O238),"-")))</f>
        <v/>
      </c>
      <c r="F238" s="18">
        <f>IF($L238="","",INDEX(HSI!$F$7:$F$106,$N238))</f>
        <v/>
      </c>
      <c r="G238" s="40">
        <f>IF($L238="","",IF($P238=0,"TBA",IFERROR(INDEX(Grids!$BQ$12:$EC$111,$N238,$O238),"-")))</f>
        <v/>
      </c>
      <c r="H238" s="41">
        <f>IF($L238="","",SUM($G$10:$G238))</f>
        <v/>
      </c>
      <c r="I238" s="42">
        <f>IF($L238="","",IF(INT(($L238-INT($L238/10000000)*10000000)/1000000)=0,"Bloomberg projection",IF($P238=1,"ANNOUNCED","ANNOUNCED - amount TBA")))</f>
        <v/>
      </c>
      <c r="J238" s="43">
        <f>IF($L238="","",IF((OV_SWITCH="ON")*(COUNTIFS(OVR_TICKERS,INDEX(HSI!$C$7:$C$106,$N238),OVR_BASE,"&gt;=0")&gt;0)&gt;0,"stock overridden",""))</f>
        <v/>
      </c>
      <c r="L238" s="35">
        <f>IFERROR(IF(SMALL(Grids!$EE$12:$GQ$111,$M$7+229)&gt;=PEND_TO,"",SMALL(Grids!$EE$12:$GQ$111,$M$7+229)),"")</f>
        <v/>
      </c>
      <c r="M238" s="35">
        <f>IF($L238="","",INT($L238/1000000000))</f>
        <v/>
      </c>
      <c r="N238" s="35">
        <f>IF($L238="","",INT(($L238-INT($L238/1000000)*1000000)/1000))</f>
        <v/>
      </c>
      <c r="O238" s="35">
        <f>IF($L238="","",$L238-INT($L238/1000)*1000)</f>
        <v/>
      </c>
      <c r="P238" s="35">
        <f>IF($L238="","",INT(($L238-INT($L238/1000000000)*1000000000)/100000000))</f>
        <v/>
      </c>
    </row>
    <row r="239">
      <c r="B239" s="39">
        <f>IF($L239="","",$M239)</f>
        <v/>
      </c>
      <c r="C239" s="18">
        <f>IF($L239="","",INDEX(HSI!$C$7:$C$106,$N239))</f>
        <v/>
      </c>
      <c r="D239" s="18">
        <f>IF($L239="","",INDEX(HSI!$D$7:$D$106,$N239))</f>
        <v/>
      </c>
      <c r="E239" s="40">
        <f>IF($L239="","",IF($P239=0,"TBA",IFERROR(INDEX(Grids!$C$12:$BO$111,$N239,$O239),"-")))</f>
        <v/>
      </c>
      <c r="F239" s="18">
        <f>IF($L239="","",INDEX(HSI!$F$7:$F$106,$N239))</f>
        <v/>
      </c>
      <c r="G239" s="40">
        <f>IF($L239="","",IF($P239=0,"TBA",IFERROR(INDEX(Grids!$BQ$12:$EC$111,$N239,$O239),"-")))</f>
        <v/>
      </c>
      <c r="H239" s="41">
        <f>IF($L239="","",SUM($G$10:$G239))</f>
        <v/>
      </c>
      <c r="I239" s="42">
        <f>IF($L239="","",IF(INT(($L239-INT($L239/10000000)*10000000)/1000000)=0,"Bloomberg projection",IF($P239=1,"ANNOUNCED","ANNOUNCED - amount TBA")))</f>
        <v/>
      </c>
      <c r="J239" s="43">
        <f>IF($L239="","",IF((OV_SWITCH="ON")*(COUNTIFS(OVR_TICKERS,INDEX(HSI!$C$7:$C$106,$N239),OVR_BASE,"&gt;=0")&gt;0)&gt;0,"stock overridden",""))</f>
        <v/>
      </c>
      <c r="L239" s="35">
        <f>IFERROR(IF(SMALL(Grids!$EE$12:$GQ$111,$M$7+230)&gt;=PEND_TO,"",SMALL(Grids!$EE$12:$GQ$111,$M$7+230)),"")</f>
        <v/>
      </c>
      <c r="M239" s="35">
        <f>IF($L239="","",INT($L239/1000000000))</f>
        <v/>
      </c>
      <c r="N239" s="35">
        <f>IF($L239="","",INT(($L239-INT($L239/1000000)*1000000)/1000))</f>
        <v/>
      </c>
      <c r="O239" s="35">
        <f>IF($L239="","",$L239-INT($L239/1000)*1000)</f>
        <v/>
      </c>
      <c r="P239" s="35">
        <f>IF($L239="","",INT(($L239-INT($L239/1000000000)*1000000000)/100000000))</f>
        <v/>
      </c>
    </row>
    <row r="240">
      <c r="B240" s="39">
        <f>IF($L240="","",$M240)</f>
        <v/>
      </c>
      <c r="C240" s="18">
        <f>IF($L240="","",INDEX(HSI!$C$7:$C$106,$N240))</f>
        <v/>
      </c>
      <c r="D240" s="18">
        <f>IF($L240="","",INDEX(HSI!$D$7:$D$106,$N240))</f>
        <v/>
      </c>
      <c r="E240" s="40">
        <f>IF($L240="","",IF($P240=0,"TBA",IFERROR(INDEX(Grids!$C$12:$BO$111,$N240,$O240),"-")))</f>
        <v/>
      </c>
      <c r="F240" s="18">
        <f>IF($L240="","",INDEX(HSI!$F$7:$F$106,$N240))</f>
        <v/>
      </c>
      <c r="G240" s="40">
        <f>IF($L240="","",IF($P240=0,"TBA",IFERROR(INDEX(Grids!$BQ$12:$EC$111,$N240,$O240),"-")))</f>
        <v/>
      </c>
      <c r="H240" s="41">
        <f>IF($L240="","",SUM($G$10:$G240))</f>
        <v/>
      </c>
      <c r="I240" s="42">
        <f>IF($L240="","",IF(INT(($L240-INT($L240/10000000)*10000000)/1000000)=0,"Bloomberg projection",IF($P240=1,"ANNOUNCED","ANNOUNCED - amount TBA")))</f>
        <v/>
      </c>
      <c r="J240" s="43">
        <f>IF($L240="","",IF((OV_SWITCH="ON")*(COUNTIFS(OVR_TICKERS,INDEX(HSI!$C$7:$C$106,$N240),OVR_BASE,"&gt;=0")&gt;0)&gt;0,"stock overridden",""))</f>
        <v/>
      </c>
      <c r="L240" s="35">
        <f>IFERROR(IF(SMALL(Grids!$EE$12:$GQ$111,$M$7+231)&gt;=PEND_TO,"",SMALL(Grids!$EE$12:$GQ$111,$M$7+231)),"")</f>
        <v/>
      </c>
      <c r="M240" s="35">
        <f>IF($L240="","",INT($L240/1000000000))</f>
        <v/>
      </c>
      <c r="N240" s="35">
        <f>IF($L240="","",INT(($L240-INT($L240/1000000)*1000000)/1000))</f>
        <v/>
      </c>
      <c r="O240" s="35">
        <f>IF($L240="","",$L240-INT($L240/1000)*1000)</f>
        <v/>
      </c>
      <c r="P240" s="35">
        <f>IF($L240="","",INT(($L240-INT($L240/1000000000)*1000000000)/100000000))</f>
        <v/>
      </c>
    </row>
    <row r="241">
      <c r="B241" s="39">
        <f>IF($L241="","",$M241)</f>
        <v/>
      </c>
      <c r="C241" s="18">
        <f>IF($L241="","",INDEX(HSI!$C$7:$C$106,$N241))</f>
        <v/>
      </c>
      <c r="D241" s="18">
        <f>IF($L241="","",INDEX(HSI!$D$7:$D$106,$N241))</f>
        <v/>
      </c>
      <c r="E241" s="40">
        <f>IF($L241="","",IF($P241=0,"TBA",IFERROR(INDEX(Grids!$C$12:$BO$111,$N241,$O241),"-")))</f>
        <v/>
      </c>
      <c r="F241" s="18">
        <f>IF($L241="","",INDEX(HSI!$F$7:$F$106,$N241))</f>
        <v/>
      </c>
      <c r="G241" s="40">
        <f>IF($L241="","",IF($P241=0,"TBA",IFERROR(INDEX(Grids!$BQ$12:$EC$111,$N241,$O241),"-")))</f>
        <v/>
      </c>
      <c r="H241" s="41">
        <f>IF($L241="","",SUM($G$10:$G241))</f>
        <v/>
      </c>
      <c r="I241" s="42">
        <f>IF($L241="","",IF(INT(($L241-INT($L241/10000000)*10000000)/1000000)=0,"Bloomberg projection",IF($P241=1,"ANNOUNCED","ANNOUNCED - amount TBA")))</f>
        <v/>
      </c>
      <c r="J241" s="43">
        <f>IF($L241="","",IF((OV_SWITCH="ON")*(COUNTIFS(OVR_TICKERS,INDEX(HSI!$C$7:$C$106,$N241),OVR_BASE,"&gt;=0")&gt;0)&gt;0,"stock overridden",""))</f>
        <v/>
      </c>
      <c r="L241" s="35">
        <f>IFERROR(IF(SMALL(Grids!$EE$12:$GQ$111,$M$7+232)&gt;=PEND_TO,"",SMALL(Grids!$EE$12:$GQ$111,$M$7+232)),"")</f>
        <v/>
      </c>
      <c r="M241" s="35">
        <f>IF($L241="","",INT($L241/1000000000))</f>
        <v/>
      </c>
      <c r="N241" s="35">
        <f>IF($L241="","",INT(($L241-INT($L241/1000000)*1000000)/1000))</f>
        <v/>
      </c>
      <c r="O241" s="35">
        <f>IF($L241="","",$L241-INT($L241/1000)*1000)</f>
        <v/>
      </c>
      <c r="P241" s="35">
        <f>IF($L241="","",INT(($L241-INT($L241/1000000000)*1000000000)/100000000))</f>
        <v/>
      </c>
    </row>
    <row r="242">
      <c r="B242" s="39">
        <f>IF($L242="","",$M242)</f>
        <v/>
      </c>
      <c r="C242" s="18">
        <f>IF($L242="","",INDEX(HSI!$C$7:$C$106,$N242))</f>
        <v/>
      </c>
      <c r="D242" s="18">
        <f>IF($L242="","",INDEX(HSI!$D$7:$D$106,$N242))</f>
        <v/>
      </c>
      <c r="E242" s="40">
        <f>IF($L242="","",IF($P242=0,"TBA",IFERROR(INDEX(Grids!$C$12:$BO$111,$N242,$O242),"-")))</f>
        <v/>
      </c>
      <c r="F242" s="18">
        <f>IF($L242="","",INDEX(HSI!$F$7:$F$106,$N242))</f>
        <v/>
      </c>
      <c r="G242" s="40">
        <f>IF($L242="","",IF($P242=0,"TBA",IFERROR(INDEX(Grids!$BQ$12:$EC$111,$N242,$O242),"-")))</f>
        <v/>
      </c>
      <c r="H242" s="41">
        <f>IF($L242="","",SUM($G$10:$G242))</f>
        <v/>
      </c>
      <c r="I242" s="42">
        <f>IF($L242="","",IF(INT(($L242-INT($L242/10000000)*10000000)/1000000)=0,"Bloomberg projection",IF($P242=1,"ANNOUNCED","ANNOUNCED - amount TBA")))</f>
        <v/>
      </c>
      <c r="J242" s="43">
        <f>IF($L242="","",IF((OV_SWITCH="ON")*(COUNTIFS(OVR_TICKERS,INDEX(HSI!$C$7:$C$106,$N242),OVR_BASE,"&gt;=0")&gt;0)&gt;0,"stock overridden",""))</f>
        <v/>
      </c>
      <c r="L242" s="35">
        <f>IFERROR(IF(SMALL(Grids!$EE$12:$GQ$111,$M$7+233)&gt;=PEND_TO,"",SMALL(Grids!$EE$12:$GQ$111,$M$7+233)),"")</f>
        <v/>
      </c>
      <c r="M242" s="35">
        <f>IF($L242="","",INT($L242/1000000000))</f>
        <v/>
      </c>
      <c r="N242" s="35">
        <f>IF($L242="","",INT(($L242-INT($L242/1000000)*1000000)/1000))</f>
        <v/>
      </c>
      <c r="O242" s="35">
        <f>IF($L242="","",$L242-INT($L242/1000)*1000)</f>
        <v/>
      </c>
      <c r="P242" s="35">
        <f>IF($L242="","",INT(($L242-INT($L242/1000000000)*1000000000)/100000000))</f>
        <v/>
      </c>
    </row>
    <row r="243">
      <c r="B243" s="39">
        <f>IF($L243="","",$M243)</f>
        <v/>
      </c>
      <c r="C243" s="18">
        <f>IF($L243="","",INDEX(HSI!$C$7:$C$106,$N243))</f>
        <v/>
      </c>
      <c r="D243" s="18">
        <f>IF($L243="","",INDEX(HSI!$D$7:$D$106,$N243))</f>
        <v/>
      </c>
      <c r="E243" s="40">
        <f>IF($L243="","",IF($P243=0,"TBA",IFERROR(INDEX(Grids!$C$12:$BO$111,$N243,$O243),"-")))</f>
        <v/>
      </c>
      <c r="F243" s="18">
        <f>IF($L243="","",INDEX(HSI!$F$7:$F$106,$N243))</f>
        <v/>
      </c>
      <c r="G243" s="40">
        <f>IF($L243="","",IF($P243=0,"TBA",IFERROR(INDEX(Grids!$BQ$12:$EC$111,$N243,$O243),"-")))</f>
        <v/>
      </c>
      <c r="H243" s="41">
        <f>IF($L243="","",SUM($G$10:$G243))</f>
        <v/>
      </c>
      <c r="I243" s="42">
        <f>IF($L243="","",IF(INT(($L243-INT($L243/10000000)*10000000)/1000000)=0,"Bloomberg projection",IF($P243=1,"ANNOUNCED","ANNOUNCED - amount TBA")))</f>
        <v/>
      </c>
      <c r="J243" s="43">
        <f>IF($L243="","",IF((OV_SWITCH="ON")*(COUNTIFS(OVR_TICKERS,INDEX(HSI!$C$7:$C$106,$N243),OVR_BASE,"&gt;=0")&gt;0)&gt;0,"stock overridden",""))</f>
        <v/>
      </c>
      <c r="L243" s="35">
        <f>IFERROR(IF(SMALL(Grids!$EE$12:$GQ$111,$M$7+234)&gt;=PEND_TO,"",SMALL(Grids!$EE$12:$GQ$111,$M$7+234)),"")</f>
        <v/>
      </c>
      <c r="M243" s="35">
        <f>IF($L243="","",INT($L243/1000000000))</f>
        <v/>
      </c>
      <c r="N243" s="35">
        <f>IF($L243="","",INT(($L243-INT($L243/1000000)*1000000)/1000))</f>
        <v/>
      </c>
      <c r="O243" s="35">
        <f>IF($L243="","",$L243-INT($L243/1000)*1000)</f>
        <v/>
      </c>
      <c r="P243" s="35">
        <f>IF($L243="","",INT(($L243-INT($L243/1000000000)*1000000000)/100000000))</f>
        <v/>
      </c>
    </row>
    <row r="244">
      <c r="B244" s="39">
        <f>IF($L244="","",$M244)</f>
        <v/>
      </c>
      <c r="C244" s="18">
        <f>IF($L244="","",INDEX(HSI!$C$7:$C$106,$N244))</f>
        <v/>
      </c>
      <c r="D244" s="18">
        <f>IF($L244="","",INDEX(HSI!$D$7:$D$106,$N244))</f>
        <v/>
      </c>
      <c r="E244" s="40">
        <f>IF($L244="","",IF($P244=0,"TBA",IFERROR(INDEX(Grids!$C$12:$BO$111,$N244,$O244),"-")))</f>
        <v/>
      </c>
      <c r="F244" s="18">
        <f>IF($L244="","",INDEX(HSI!$F$7:$F$106,$N244))</f>
        <v/>
      </c>
      <c r="G244" s="40">
        <f>IF($L244="","",IF($P244=0,"TBA",IFERROR(INDEX(Grids!$BQ$12:$EC$111,$N244,$O244),"-")))</f>
        <v/>
      </c>
      <c r="H244" s="41">
        <f>IF($L244="","",SUM($G$10:$G244))</f>
        <v/>
      </c>
      <c r="I244" s="42">
        <f>IF($L244="","",IF(INT(($L244-INT($L244/10000000)*10000000)/1000000)=0,"Bloomberg projection",IF($P244=1,"ANNOUNCED","ANNOUNCED - amount TBA")))</f>
        <v/>
      </c>
      <c r="J244" s="43">
        <f>IF($L244="","",IF((OV_SWITCH="ON")*(COUNTIFS(OVR_TICKERS,INDEX(HSI!$C$7:$C$106,$N244),OVR_BASE,"&gt;=0")&gt;0)&gt;0,"stock overridden",""))</f>
        <v/>
      </c>
      <c r="L244" s="35">
        <f>IFERROR(IF(SMALL(Grids!$EE$12:$GQ$111,$M$7+235)&gt;=PEND_TO,"",SMALL(Grids!$EE$12:$GQ$111,$M$7+235)),"")</f>
        <v/>
      </c>
      <c r="M244" s="35">
        <f>IF($L244="","",INT($L244/1000000000))</f>
        <v/>
      </c>
      <c r="N244" s="35">
        <f>IF($L244="","",INT(($L244-INT($L244/1000000)*1000000)/1000))</f>
        <v/>
      </c>
      <c r="O244" s="35">
        <f>IF($L244="","",$L244-INT($L244/1000)*1000)</f>
        <v/>
      </c>
      <c r="P244" s="35">
        <f>IF($L244="","",INT(($L244-INT($L244/1000000000)*1000000000)/100000000))</f>
        <v/>
      </c>
    </row>
    <row r="245">
      <c r="B245" s="39">
        <f>IF($L245="","",$M245)</f>
        <v/>
      </c>
      <c r="C245" s="18">
        <f>IF($L245="","",INDEX(HSI!$C$7:$C$106,$N245))</f>
        <v/>
      </c>
      <c r="D245" s="18">
        <f>IF($L245="","",INDEX(HSI!$D$7:$D$106,$N245))</f>
        <v/>
      </c>
      <c r="E245" s="40">
        <f>IF($L245="","",IF($P245=0,"TBA",IFERROR(INDEX(Grids!$C$12:$BO$111,$N245,$O245),"-")))</f>
        <v/>
      </c>
      <c r="F245" s="18">
        <f>IF($L245="","",INDEX(HSI!$F$7:$F$106,$N245))</f>
        <v/>
      </c>
      <c r="G245" s="40">
        <f>IF($L245="","",IF($P245=0,"TBA",IFERROR(INDEX(Grids!$BQ$12:$EC$111,$N245,$O245),"-")))</f>
        <v/>
      </c>
      <c r="H245" s="41">
        <f>IF($L245="","",SUM($G$10:$G245))</f>
        <v/>
      </c>
      <c r="I245" s="42">
        <f>IF($L245="","",IF(INT(($L245-INT($L245/10000000)*10000000)/1000000)=0,"Bloomberg projection",IF($P245=1,"ANNOUNCED","ANNOUNCED - amount TBA")))</f>
        <v/>
      </c>
      <c r="J245" s="43">
        <f>IF($L245="","",IF((OV_SWITCH="ON")*(COUNTIFS(OVR_TICKERS,INDEX(HSI!$C$7:$C$106,$N245),OVR_BASE,"&gt;=0")&gt;0)&gt;0,"stock overridden",""))</f>
        <v/>
      </c>
      <c r="L245" s="35">
        <f>IFERROR(IF(SMALL(Grids!$EE$12:$GQ$111,$M$7+236)&gt;=PEND_TO,"",SMALL(Grids!$EE$12:$GQ$111,$M$7+236)),"")</f>
        <v/>
      </c>
      <c r="M245" s="35">
        <f>IF($L245="","",INT($L245/1000000000))</f>
        <v/>
      </c>
      <c r="N245" s="35">
        <f>IF($L245="","",INT(($L245-INT($L245/1000000)*1000000)/1000))</f>
        <v/>
      </c>
      <c r="O245" s="35">
        <f>IF($L245="","",$L245-INT($L245/1000)*1000)</f>
        <v/>
      </c>
      <c r="P245" s="35">
        <f>IF($L245="","",INT(($L245-INT($L245/1000000000)*1000000000)/100000000))</f>
        <v/>
      </c>
    </row>
    <row r="246">
      <c r="B246" s="39">
        <f>IF($L246="","",$M246)</f>
        <v/>
      </c>
      <c r="C246" s="18">
        <f>IF($L246="","",INDEX(HSI!$C$7:$C$106,$N246))</f>
        <v/>
      </c>
      <c r="D246" s="18">
        <f>IF($L246="","",INDEX(HSI!$D$7:$D$106,$N246))</f>
        <v/>
      </c>
      <c r="E246" s="40">
        <f>IF($L246="","",IF($P246=0,"TBA",IFERROR(INDEX(Grids!$C$12:$BO$111,$N246,$O246),"-")))</f>
        <v/>
      </c>
      <c r="F246" s="18">
        <f>IF($L246="","",INDEX(HSI!$F$7:$F$106,$N246))</f>
        <v/>
      </c>
      <c r="G246" s="40">
        <f>IF($L246="","",IF($P246=0,"TBA",IFERROR(INDEX(Grids!$BQ$12:$EC$111,$N246,$O246),"-")))</f>
        <v/>
      </c>
      <c r="H246" s="41">
        <f>IF($L246="","",SUM($G$10:$G246))</f>
        <v/>
      </c>
      <c r="I246" s="42">
        <f>IF($L246="","",IF(INT(($L246-INT($L246/10000000)*10000000)/1000000)=0,"Bloomberg projection",IF($P246=1,"ANNOUNCED","ANNOUNCED - amount TBA")))</f>
        <v/>
      </c>
      <c r="J246" s="43">
        <f>IF($L246="","",IF((OV_SWITCH="ON")*(COUNTIFS(OVR_TICKERS,INDEX(HSI!$C$7:$C$106,$N246),OVR_BASE,"&gt;=0")&gt;0)&gt;0,"stock overridden",""))</f>
        <v/>
      </c>
      <c r="L246" s="35">
        <f>IFERROR(IF(SMALL(Grids!$EE$12:$GQ$111,$M$7+237)&gt;=PEND_TO,"",SMALL(Grids!$EE$12:$GQ$111,$M$7+237)),"")</f>
        <v/>
      </c>
      <c r="M246" s="35">
        <f>IF($L246="","",INT($L246/1000000000))</f>
        <v/>
      </c>
      <c r="N246" s="35">
        <f>IF($L246="","",INT(($L246-INT($L246/1000000)*1000000)/1000))</f>
        <v/>
      </c>
      <c r="O246" s="35">
        <f>IF($L246="","",$L246-INT($L246/1000)*1000)</f>
        <v/>
      </c>
      <c r="P246" s="35">
        <f>IF($L246="","",INT(($L246-INT($L246/1000000000)*1000000000)/100000000))</f>
        <v/>
      </c>
    </row>
    <row r="247">
      <c r="B247" s="39">
        <f>IF($L247="","",$M247)</f>
        <v/>
      </c>
      <c r="C247" s="18">
        <f>IF($L247="","",INDEX(HSI!$C$7:$C$106,$N247))</f>
        <v/>
      </c>
      <c r="D247" s="18">
        <f>IF($L247="","",INDEX(HSI!$D$7:$D$106,$N247))</f>
        <v/>
      </c>
      <c r="E247" s="40">
        <f>IF($L247="","",IF($P247=0,"TBA",IFERROR(INDEX(Grids!$C$12:$BO$111,$N247,$O247),"-")))</f>
        <v/>
      </c>
      <c r="F247" s="18">
        <f>IF($L247="","",INDEX(HSI!$F$7:$F$106,$N247))</f>
        <v/>
      </c>
      <c r="G247" s="40">
        <f>IF($L247="","",IF($P247=0,"TBA",IFERROR(INDEX(Grids!$BQ$12:$EC$111,$N247,$O247),"-")))</f>
        <v/>
      </c>
      <c r="H247" s="41">
        <f>IF($L247="","",SUM($G$10:$G247))</f>
        <v/>
      </c>
      <c r="I247" s="42">
        <f>IF($L247="","",IF(INT(($L247-INT($L247/10000000)*10000000)/1000000)=0,"Bloomberg projection",IF($P247=1,"ANNOUNCED","ANNOUNCED - amount TBA")))</f>
        <v/>
      </c>
      <c r="J247" s="43">
        <f>IF($L247="","",IF((OV_SWITCH="ON")*(COUNTIFS(OVR_TICKERS,INDEX(HSI!$C$7:$C$106,$N247),OVR_BASE,"&gt;=0")&gt;0)&gt;0,"stock overridden",""))</f>
        <v/>
      </c>
      <c r="L247" s="35">
        <f>IFERROR(IF(SMALL(Grids!$EE$12:$GQ$111,$M$7+238)&gt;=PEND_TO,"",SMALL(Grids!$EE$12:$GQ$111,$M$7+238)),"")</f>
        <v/>
      </c>
      <c r="M247" s="35">
        <f>IF($L247="","",INT($L247/1000000000))</f>
        <v/>
      </c>
      <c r="N247" s="35">
        <f>IF($L247="","",INT(($L247-INT($L247/1000000)*1000000)/1000))</f>
        <v/>
      </c>
      <c r="O247" s="35">
        <f>IF($L247="","",$L247-INT($L247/1000)*1000)</f>
        <v/>
      </c>
      <c r="P247" s="35">
        <f>IF($L247="","",INT(($L247-INT($L247/1000000000)*1000000000)/100000000))</f>
        <v/>
      </c>
    </row>
    <row r="248">
      <c r="B248" s="39">
        <f>IF($L248="","",$M248)</f>
        <v/>
      </c>
      <c r="C248" s="18">
        <f>IF($L248="","",INDEX(HSI!$C$7:$C$106,$N248))</f>
        <v/>
      </c>
      <c r="D248" s="18">
        <f>IF($L248="","",INDEX(HSI!$D$7:$D$106,$N248))</f>
        <v/>
      </c>
      <c r="E248" s="40">
        <f>IF($L248="","",IF($P248=0,"TBA",IFERROR(INDEX(Grids!$C$12:$BO$111,$N248,$O248),"-")))</f>
        <v/>
      </c>
      <c r="F248" s="18">
        <f>IF($L248="","",INDEX(HSI!$F$7:$F$106,$N248))</f>
        <v/>
      </c>
      <c r="G248" s="40">
        <f>IF($L248="","",IF($P248=0,"TBA",IFERROR(INDEX(Grids!$BQ$12:$EC$111,$N248,$O248),"-")))</f>
        <v/>
      </c>
      <c r="H248" s="41">
        <f>IF($L248="","",SUM($G$10:$G248))</f>
        <v/>
      </c>
      <c r="I248" s="42">
        <f>IF($L248="","",IF(INT(($L248-INT($L248/10000000)*10000000)/1000000)=0,"Bloomberg projection",IF($P248=1,"ANNOUNCED","ANNOUNCED - amount TBA")))</f>
        <v/>
      </c>
      <c r="J248" s="43">
        <f>IF($L248="","",IF((OV_SWITCH="ON")*(COUNTIFS(OVR_TICKERS,INDEX(HSI!$C$7:$C$106,$N248),OVR_BASE,"&gt;=0")&gt;0)&gt;0,"stock overridden",""))</f>
        <v/>
      </c>
      <c r="L248" s="35">
        <f>IFERROR(IF(SMALL(Grids!$EE$12:$GQ$111,$M$7+239)&gt;=PEND_TO,"",SMALL(Grids!$EE$12:$GQ$111,$M$7+239)),"")</f>
        <v/>
      </c>
      <c r="M248" s="35">
        <f>IF($L248="","",INT($L248/1000000000))</f>
        <v/>
      </c>
      <c r="N248" s="35">
        <f>IF($L248="","",INT(($L248-INT($L248/1000000)*1000000)/1000))</f>
        <v/>
      </c>
      <c r="O248" s="35">
        <f>IF($L248="","",$L248-INT($L248/1000)*1000)</f>
        <v/>
      </c>
      <c r="P248" s="35">
        <f>IF($L248="","",INT(($L248-INT($L248/1000000000)*1000000000)/100000000))</f>
        <v/>
      </c>
    </row>
    <row r="249">
      <c r="B249" s="39">
        <f>IF($L249="","",$M249)</f>
        <v/>
      </c>
      <c r="C249" s="18">
        <f>IF($L249="","",INDEX(HSI!$C$7:$C$106,$N249))</f>
        <v/>
      </c>
      <c r="D249" s="18">
        <f>IF($L249="","",INDEX(HSI!$D$7:$D$106,$N249))</f>
        <v/>
      </c>
      <c r="E249" s="40">
        <f>IF($L249="","",IF($P249=0,"TBA",IFERROR(INDEX(Grids!$C$12:$BO$111,$N249,$O249),"-")))</f>
        <v/>
      </c>
      <c r="F249" s="18">
        <f>IF($L249="","",INDEX(HSI!$F$7:$F$106,$N249))</f>
        <v/>
      </c>
      <c r="G249" s="40">
        <f>IF($L249="","",IF($P249=0,"TBA",IFERROR(INDEX(Grids!$BQ$12:$EC$111,$N249,$O249),"-")))</f>
        <v/>
      </c>
      <c r="H249" s="41">
        <f>IF($L249="","",SUM($G$10:$G249))</f>
        <v/>
      </c>
      <c r="I249" s="42">
        <f>IF($L249="","",IF(INT(($L249-INT($L249/10000000)*10000000)/1000000)=0,"Bloomberg projection",IF($P249=1,"ANNOUNCED","ANNOUNCED - amount TBA")))</f>
        <v/>
      </c>
      <c r="J249" s="43">
        <f>IF($L249="","",IF((OV_SWITCH="ON")*(COUNTIFS(OVR_TICKERS,INDEX(HSI!$C$7:$C$106,$N249),OVR_BASE,"&gt;=0")&gt;0)&gt;0,"stock overridden",""))</f>
        <v/>
      </c>
      <c r="L249" s="35">
        <f>IFERROR(IF(SMALL(Grids!$EE$12:$GQ$111,$M$7+240)&gt;=PEND_TO,"",SMALL(Grids!$EE$12:$GQ$111,$M$7+240)),"")</f>
        <v/>
      </c>
      <c r="M249" s="35">
        <f>IF($L249="","",INT($L249/1000000000))</f>
        <v/>
      </c>
      <c r="N249" s="35">
        <f>IF($L249="","",INT(($L249-INT($L249/1000000)*1000000)/1000))</f>
        <v/>
      </c>
      <c r="O249" s="35">
        <f>IF($L249="","",$L249-INT($L249/1000)*1000)</f>
        <v/>
      </c>
      <c r="P249" s="35">
        <f>IF($L249="","",INT(($L249-INT($L249/1000000000)*1000000000)/100000000))</f>
        <v/>
      </c>
    </row>
    <row r="250">
      <c r="B250" s="39">
        <f>IF($L250="","",$M250)</f>
        <v/>
      </c>
      <c r="C250" s="18">
        <f>IF($L250="","",INDEX(HSI!$C$7:$C$106,$N250))</f>
        <v/>
      </c>
      <c r="D250" s="18">
        <f>IF($L250="","",INDEX(HSI!$D$7:$D$106,$N250))</f>
        <v/>
      </c>
      <c r="E250" s="40">
        <f>IF($L250="","",IF($P250=0,"TBA",IFERROR(INDEX(Grids!$C$12:$BO$111,$N250,$O250),"-")))</f>
        <v/>
      </c>
      <c r="F250" s="18">
        <f>IF($L250="","",INDEX(HSI!$F$7:$F$106,$N250))</f>
        <v/>
      </c>
      <c r="G250" s="40">
        <f>IF($L250="","",IF($P250=0,"TBA",IFERROR(INDEX(Grids!$BQ$12:$EC$111,$N250,$O250),"-")))</f>
        <v/>
      </c>
      <c r="H250" s="41">
        <f>IF($L250="","",SUM($G$10:$G250))</f>
        <v/>
      </c>
      <c r="I250" s="42">
        <f>IF($L250="","",IF(INT(($L250-INT($L250/10000000)*10000000)/1000000)=0,"Bloomberg projection",IF($P250=1,"ANNOUNCED","ANNOUNCED - amount TBA")))</f>
        <v/>
      </c>
      <c r="J250" s="43">
        <f>IF($L250="","",IF((OV_SWITCH="ON")*(COUNTIFS(OVR_TICKERS,INDEX(HSI!$C$7:$C$106,$N250),OVR_BASE,"&gt;=0")&gt;0)&gt;0,"stock overridden",""))</f>
        <v/>
      </c>
      <c r="L250" s="35">
        <f>IFERROR(IF(SMALL(Grids!$EE$12:$GQ$111,$M$7+241)&gt;=PEND_TO,"",SMALL(Grids!$EE$12:$GQ$111,$M$7+241)),"")</f>
        <v/>
      </c>
      <c r="M250" s="35">
        <f>IF($L250="","",INT($L250/1000000000))</f>
        <v/>
      </c>
      <c r="N250" s="35">
        <f>IF($L250="","",INT(($L250-INT($L250/1000000)*1000000)/1000))</f>
        <v/>
      </c>
      <c r="O250" s="35">
        <f>IF($L250="","",$L250-INT($L250/1000)*1000)</f>
        <v/>
      </c>
      <c r="P250" s="35">
        <f>IF($L250="","",INT(($L250-INT($L250/1000000000)*1000000000)/100000000))</f>
        <v/>
      </c>
    </row>
    <row r="251">
      <c r="B251" s="39">
        <f>IF($L251="","",$M251)</f>
        <v/>
      </c>
      <c r="C251" s="18">
        <f>IF($L251="","",INDEX(HSI!$C$7:$C$106,$N251))</f>
        <v/>
      </c>
      <c r="D251" s="18">
        <f>IF($L251="","",INDEX(HSI!$D$7:$D$106,$N251))</f>
        <v/>
      </c>
      <c r="E251" s="40">
        <f>IF($L251="","",IF($P251=0,"TBA",IFERROR(INDEX(Grids!$C$12:$BO$111,$N251,$O251),"-")))</f>
        <v/>
      </c>
      <c r="F251" s="18">
        <f>IF($L251="","",INDEX(HSI!$F$7:$F$106,$N251))</f>
        <v/>
      </c>
      <c r="G251" s="40">
        <f>IF($L251="","",IF($P251=0,"TBA",IFERROR(INDEX(Grids!$BQ$12:$EC$111,$N251,$O251),"-")))</f>
        <v/>
      </c>
      <c r="H251" s="41">
        <f>IF($L251="","",SUM($G$10:$G251))</f>
        <v/>
      </c>
      <c r="I251" s="42">
        <f>IF($L251="","",IF(INT(($L251-INT($L251/10000000)*10000000)/1000000)=0,"Bloomberg projection",IF($P251=1,"ANNOUNCED","ANNOUNCED - amount TBA")))</f>
        <v/>
      </c>
      <c r="J251" s="43">
        <f>IF($L251="","",IF((OV_SWITCH="ON")*(COUNTIFS(OVR_TICKERS,INDEX(HSI!$C$7:$C$106,$N251),OVR_BASE,"&gt;=0")&gt;0)&gt;0,"stock overridden",""))</f>
        <v/>
      </c>
      <c r="L251" s="35">
        <f>IFERROR(IF(SMALL(Grids!$EE$12:$GQ$111,$M$7+242)&gt;=PEND_TO,"",SMALL(Grids!$EE$12:$GQ$111,$M$7+242)),"")</f>
        <v/>
      </c>
      <c r="M251" s="35">
        <f>IF($L251="","",INT($L251/1000000000))</f>
        <v/>
      </c>
      <c r="N251" s="35">
        <f>IF($L251="","",INT(($L251-INT($L251/1000000)*1000000)/1000))</f>
        <v/>
      </c>
      <c r="O251" s="35">
        <f>IF($L251="","",$L251-INT($L251/1000)*1000)</f>
        <v/>
      </c>
      <c r="P251" s="35">
        <f>IF($L251="","",INT(($L251-INT($L251/1000000000)*1000000000)/100000000))</f>
        <v/>
      </c>
    </row>
    <row r="252">
      <c r="B252" s="39">
        <f>IF($L252="","",$M252)</f>
        <v/>
      </c>
      <c r="C252" s="18">
        <f>IF($L252="","",INDEX(HSI!$C$7:$C$106,$N252))</f>
        <v/>
      </c>
      <c r="D252" s="18">
        <f>IF($L252="","",INDEX(HSI!$D$7:$D$106,$N252))</f>
        <v/>
      </c>
      <c r="E252" s="40">
        <f>IF($L252="","",IF($P252=0,"TBA",IFERROR(INDEX(Grids!$C$12:$BO$111,$N252,$O252),"-")))</f>
        <v/>
      </c>
      <c r="F252" s="18">
        <f>IF($L252="","",INDEX(HSI!$F$7:$F$106,$N252))</f>
        <v/>
      </c>
      <c r="G252" s="40">
        <f>IF($L252="","",IF($P252=0,"TBA",IFERROR(INDEX(Grids!$BQ$12:$EC$111,$N252,$O252),"-")))</f>
        <v/>
      </c>
      <c r="H252" s="41">
        <f>IF($L252="","",SUM($G$10:$G252))</f>
        <v/>
      </c>
      <c r="I252" s="42">
        <f>IF($L252="","",IF(INT(($L252-INT($L252/10000000)*10000000)/1000000)=0,"Bloomberg projection",IF($P252=1,"ANNOUNCED","ANNOUNCED - amount TBA")))</f>
        <v/>
      </c>
      <c r="J252" s="43">
        <f>IF($L252="","",IF((OV_SWITCH="ON")*(COUNTIFS(OVR_TICKERS,INDEX(HSI!$C$7:$C$106,$N252),OVR_BASE,"&gt;=0")&gt;0)&gt;0,"stock overridden",""))</f>
        <v/>
      </c>
      <c r="L252" s="35">
        <f>IFERROR(IF(SMALL(Grids!$EE$12:$GQ$111,$M$7+243)&gt;=PEND_TO,"",SMALL(Grids!$EE$12:$GQ$111,$M$7+243)),"")</f>
        <v/>
      </c>
      <c r="M252" s="35">
        <f>IF($L252="","",INT($L252/1000000000))</f>
        <v/>
      </c>
      <c r="N252" s="35">
        <f>IF($L252="","",INT(($L252-INT($L252/1000000)*1000000)/1000))</f>
        <v/>
      </c>
      <c r="O252" s="35">
        <f>IF($L252="","",$L252-INT($L252/1000)*1000)</f>
        <v/>
      </c>
      <c r="P252" s="35">
        <f>IF($L252="","",INT(($L252-INT($L252/1000000000)*1000000000)/100000000))</f>
        <v/>
      </c>
    </row>
    <row r="253">
      <c r="B253" s="39">
        <f>IF($L253="","",$M253)</f>
        <v/>
      </c>
      <c r="C253" s="18">
        <f>IF($L253="","",INDEX(HSI!$C$7:$C$106,$N253))</f>
        <v/>
      </c>
      <c r="D253" s="18">
        <f>IF($L253="","",INDEX(HSI!$D$7:$D$106,$N253))</f>
        <v/>
      </c>
      <c r="E253" s="40">
        <f>IF($L253="","",IF($P253=0,"TBA",IFERROR(INDEX(Grids!$C$12:$BO$111,$N253,$O253),"-")))</f>
        <v/>
      </c>
      <c r="F253" s="18">
        <f>IF($L253="","",INDEX(HSI!$F$7:$F$106,$N253))</f>
        <v/>
      </c>
      <c r="G253" s="40">
        <f>IF($L253="","",IF($P253=0,"TBA",IFERROR(INDEX(Grids!$BQ$12:$EC$111,$N253,$O253),"-")))</f>
        <v/>
      </c>
      <c r="H253" s="41">
        <f>IF($L253="","",SUM($G$10:$G253))</f>
        <v/>
      </c>
      <c r="I253" s="42">
        <f>IF($L253="","",IF(INT(($L253-INT($L253/10000000)*10000000)/1000000)=0,"Bloomberg projection",IF($P253=1,"ANNOUNCED","ANNOUNCED - amount TBA")))</f>
        <v/>
      </c>
      <c r="J253" s="43">
        <f>IF($L253="","",IF((OV_SWITCH="ON")*(COUNTIFS(OVR_TICKERS,INDEX(HSI!$C$7:$C$106,$N253),OVR_BASE,"&gt;=0")&gt;0)&gt;0,"stock overridden",""))</f>
        <v/>
      </c>
      <c r="L253" s="35">
        <f>IFERROR(IF(SMALL(Grids!$EE$12:$GQ$111,$M$7+244)&gt;=PEND_TO,"",SMALL(Grids!$EE$12:$GQ$111,$M$7+244)),"")</f>
        <v/>
      </c>
      <c r="M253" s="35">
        <f>IF($L253="","",INT($L253/1000000000))</f>
        <v/>
      </c>
      <c r="N253" s="35">
        <f>IF($L253="","",INT(($L253-INT($L253/1000000)*1000000)/1000))</f>
        <v/>
      </c>
      <c r="O253" s="35">
        <f>IF($L253="","",$L253-INT($L253/1000)*1000)</f>
        <v/>
      </c>
      <c r="P253" s="35">
        <f>IF($L253="","",INT(($L253-INT($L253/1000000000)*1000000000)/100000000))</f>
        <v/>
      </c>
    </row>
    <row r="254">
      <c r="B254" s="39">
        <f>IF($L254="","",$M254)</f>
        <v/>
      </c>
      <c r="C254" s="18">
        <f>IF($L254="","",INDEX(HSI!$C$7:$C$106,$N254))</f>
        <v/>
      </c>
      <c r="D254" s="18">
        <f>IF($L254="","",INDEX(HSI!$D$7:$D$106,$N254))</f>
        <v/>
      </c>
      <c r="E254" s="40">
        <f>IF($L254="","",IF($P254=0,"TBA",IFERROR(INDEX(Grids!$C$12:$BO$111,$N254,$O254),"-")))</f>
        <v/>
      </c>
      <c r="F254" s="18">
        <f>IF($L254="","",INDEX(HSI!$F$7:$F$106,$N254))</f>
        <v/>
      </c>
      <c r="G254" s="40">
        <f>IF($L254="","",IF($P254=0,"TBA",IFERROR(INDEX(Grids!$BQ$12:$EC$111,$N254,$O254),"-")))</f>
        <v/>
      </c>
      <c r="H254" s="41">
        <f>IF($L254="","",SUM($G$10:$G254))</f>
        <v/>
      </c>
      <c r="I254" s="42">
        <f>IF($L254="","",IF(INT(($L254-INT($L254/10000000)*10000000)/1000000)=0,"Bloomberg projection",IF($P254=1,"ANNOUNCED","ANNOUNCED - amount TBA")))</f>
        <v/>
      </c>
      <c r="J254" s="43">
        <f>IF($L254="","",IF((OV_SWITCH="ON")*(COUNTIFS(OVR_TICKERS,INDEX(HSI!$C$7:$C$106,$N254),OVR_BASE,"&gt;=0")&gt;0)&gt;0,"stock overridden",""))</f>
        <v/>
      </c>
      <c r="L254" s="35">
        <f>IFERROR(IF(SMALL(Grids!$EE$12:$GQ$111,$M$7+245)&gt;=PEND_TO,"",SMALL(Grids!$EE$12:$GQ$111,$M$7+245)),"")</f>
        <v/>
      </c>
      <c r="M254" s="35">
        <f>IF($L254="","",INT($L254/1000000000))</f>
        <v/>
      </c>
      <c r="N254" s="35">
        <f>IF($L254="","",INT(($L254-INT($L254/1000000)*1000000)/1000))</f>
        <v/>
      </c>
      <c r="O254" s="35">
        <f>IF($L254="","",$L254-INT($L254/1000)*1000)</f>
        <v/>
      </c>
      <c r="P254" s="35">
        <f>IF($L254="","",INT(($L254-INT($L254/1000000000)*1000000000)/100000000))</f>
        <v/>
      </c>
    </row>
    <row r="255">
      <c r="B255" s="39">
        <f>IF($L255="","",$M255)</f>
        <v/>
      </c>
      <c r="C255" s="18">
        <f>IF($L255="","",INDEX(HSI!$C$7:$C$106,$N255))</f>
        <v/>
      </c>
      <c r="D255" s="18">
        <f>IF($L255="","",INDEX(HSI!$D$7:$D$106,$N255))</f>
        <v/>
      </c>
      <c r="E255" s="40">
        <f>IF($L255="","",IF($P255=0,"TBA",IFERROR(INDEX(Grids!$C$12:$BO$111,$N255,$O255),"-")))</f>
        <v/>
      </c>
      <c r="F255" s="18">
        <f>IF($L255="","",INDEX(HSI!$F$7:$F$106,$N255))</f>
        <v/>
      </c>
      <c r="G255" s="40">
        <f>IF($L255="","",IF($P255=0,"TBA",IFERROR(INDEX(Grids!$BQ$12:$EC$111,$N255,$O255),"-")))</f>
        <v/>
      </c>
      <c r="H255" s="41">
        <f>IF($L255="","",SUM($G$10:$G255))</f>
        <v/>
      </c>
      <c r="I255" s="42">
        <f>IF($L255="","",IF(INT(($L255-INT($L255/10000000)*10000000)/1000000)=0,"Bloomberg projection",IF($P255=1,"ANNOUNCED","ANNOUNCED - amount TBA")))</f>
        <v/>
      </c>
      <c r="J255" s="43">
        <f>IF($L255="","",IF((OV_SWITCH="ON")*(COUNTIFS(OVR_TICKERS,INDEX(HSI!$C$7:$C$106,$N255),OVR_BASE,"&gt;=0")&gt;0)&gt;0,"stock overridden",""))</f>
        <v/>
      </c>
      <c r="L255" s="35">
        <f>IFERROR(IF(SMALL(Grids!$EE$12:$GQ$111,$M$7+246)&gt;=PEND_TO,"",SMALL(Grids!$EE$12:$GQ$111,$M$7+246)),"")</f>
        <v/>
      </c>
      <c r="M255" s="35">
        <f>IF($L255="","",INT($L255/1000000000))</f>
        <v/>
      </c>
      <c r="N255" s="35">
        <f>IF($L255="","",INT(($L255-INT($L255/1000000)*1000000)/1000))</f>
        <v/>
      </c>
      <c r="O255" s="35">
        <f>IF($L255="","",$L255-INT($L255/1000)*1000)</f>
        <v/>
      </c>
      <c r="P255" s="35">
        <f>IF($L255="","",INT(($L255-INT($L255/1000000000)*1000000000)/100000000))</f>
        <v/>
      </c>
    </row>
    <row r="256">
      <c r="B256" s="39">
        <f>IF($L256="","",$M256)</f>
        <v/>
      </c>
      <c r="C256" s="18">
        <f>IF($L256="","",INDEX(HSI!$C$7:$C$106,$N256))</f>
        <v/>
      </c>
      <c r="D256" s="18">
        <f>IF($L256="","",INDEX(HSI!$D$7:$D$106,$N256))</f>
        <v/>
      </c>
      <c r="E256" s="40">
        <f>IF($L256="","",IF($P256=0,"TBA",IFERROR(INDEX(Grids!$C$12:$BO$111,$N256,$O256),"-")))</f>
        <v/>
      </c>
      <c r="F256" s="18">
        <f>IF($L256="","",INDEX(HSI!$F$7:$F$106,$N256))</f>
        <v/>
      </c>
      <c r="G256" s="40">
        <f>IF($L256="","",IF($P256=0,"TBA",IFERROR(INDEX(Grids!$BQ$12:$EC$111,$N256,$O256),"-")))</f>
        <v/>
      </c>
      <c r="H256" s="41">
        <f>IF($L256="","",SUM($G$10:$G256))</f>
        <v/>
      </c>
      <c r="I256" s="42">
        <f>IF($L256="","",IF(INT(($L256-INT($L256/10000000)*10000000)/1000000)=0,"Bloomberg projection",IF($P256=1,"ANNOUNCED","ANNOUNCED - amount TBA")))</f>
        <v/>
      </c>
      <c r="J256" s="43">
        <f>IF($L256="","",IF((OV_SWITCH="ON")*(COUNTIFS(OVR_TICKERS,INDEX(HSI!$C$7:$C$106,$N256),OVR_BASE,"&gt;=0")&gt;0)&gt;0,"stock overridden",""))</f>
        <v/>
      </c>
      <c r="L256" s="35">
        <f>IFERROR(IF(SMALL(Grids!$EE$12:$GQ$111,$M$7+247)&gt;=PEND_TO,"",SMALL(Grids!$EE$12:$GQ$111,$M$7+247)),"")</f>
        <v/>
      </c>
      <c r="M256" s="35">
        <f>IF($L256="","",INT($L256/1000000000))</f>
        <v/>
      </c>
      <c r="N256" s="35">
        <f>IF($L256="","",INT(($L256-INT($L256/1000000)*1000000)/1000))</f>
        <v/>
      </c>
      <c r="O256" s="35">
        <f>IF($L256="","",$L256-INT($L256/1000)*1000)</f>
        <v/>
      </c>
      <c r="P256" s="35">
        <f>IF($L256="","",INT(($L256-INT($L256/1000000000)*1000000000)/100000000))</f>
        <v/>
      </c>
    </row>
    <row r="257">
      <c r="B257" s="39">
        <f>IF($L257="","",$M257)</f>
        <v/>
      </c>
      <c r="C257" s="18">
        <f>IF($L257="","",INDEX(HSI!$C$7:$C$106,$N257))</f>
        <v/>
      </c>
      <c r="D257" s="18">
        <f>IF($L257="","",INDEX(HSI!$D$7:$D$106,$N257))</f>
        <v/>
      </c>
      <c r="E257" s="40">
        <f>IF($L257="","",IF($P257=0,"TBA",IFERROR(INDEX(Grids!$C$12:$BO$111,$N257,$O257),"-")))</f>
        <v/>
      </c>
      <c r="F257" s="18">
        <f>IF($L257="","",INDEX(HSI!$F$7:$F$106,$N257))</f>
        <v/>
      </c>
      <c r="G257" s="40">
        <f>IF($L257="","",IF($P257=0,"TBA",IFERROR(INDEX(Grids!$BQ$12:$EC$111,$N257,$O257),"-")))</f>
        <v/>
      </c>
      <c r="H257" s="41">
        <f>IF($L257="","",SUM($G$10:$G257))</f>
        <v/>
      </c>
      <c r="I257" s="42">
        <f>IF($L257="","",IF(INT(($L257-INT($L257/10000000)*10000000)/1000000)=0,"Bloomberg projection",IF($P257=1,"ANNOUNCED","ANNOUNCED - amount TBA")))</f>
        <v/>
      </c>
      <c r="J257" s="43">
        <f>IF($L257="","",IF((OV_SWITCH="ON")*(COUNTIFS(OVR_TICKERS,INDEX(HSI!$C$7:$C$106,$N257),OVR_BASE,"&gt;=0")&gt;0)&gt;0,"stock overridden",""))</f>
        <v/>
      </c>
      <c r="L257" s="35">
        <f>IFERROR(IF(SMALL(Grids!$EE$12:$GQ$111,$M$7+248)&gt;=PEND_TO,"",SMALL(Grids!$EE$12:$GQ$111,$M$7+248)),"")</f>
        <v/>
      </c>
      <c r="M257" s="35">
        <f>IF($L257="","",INT($L257/1000000000))</f>
        <v/>
      </c>
      <c r="N257" s="35">
        <f>IF($L257="","",INT(($L257-INT($L257/1000000)*1000000)/1000))</f>
        <v/>
      </c>
      <c r="O257" s="35">
        <f>IF($L257="","",$L257-INT($L257/1000)*1000)</f>
        <v/>
      </c>
      <c r="P257" s="35">
        <f>IF($L257="","",INT(($L257-INT($L257/1000000000)*1000000000)/100000000))</f>
        <v/>
      </c>
    </row>
    <row r="258">
      <c r="B258" s="39">
        <f>IF($L258="","",$M258)</f>
        <v/>
      </c>
      <c r="C258" s="18">
        <f>IF($L258="","",INDEX(HSI!$C$7:$C$106,$N258))</f>
        <v/>
      </c>
      <c r="D258" s="18">
        <f>IF($L258="","",INDEX(HSI!$D$7:$D$106,$N258))</f>
        <v/>
      </c>
      <c r="E258" s="40">
        <f>IF($L258="","",IF($P258=0,"TBA",IFERROR(INDEX(Grids!$C$12:$BO$111,$N258,$O258),"-")))</f>
        <v/>
      </c>
      <c r="F258" s="18">
        <f>IF($L258="","",INDEX(HSI!$F$7:$F$106,$N258))</f>
        <v/>
      </c>
      <c r="G258" s="40">
        <f>IF($L258="","",IF($P258=0,"TBA",IFERROR(INDEX(Grids!$BQ$12:$EC$111,$N258,$O258),"-")))</f>
        <v/>
      </c>
      <c r="H258" s="41">
        <f>IF($L258="","",SUM($G$10:$G258))</f>
        <v/>
      </c>
      <c r="I258" s="42">
        <f>IF($L258="","",IF(INT(($L258-INT($L258/10000000)*10000000)/1000000)=0,"Bloomberg projection",IF($P258=1,"ANNOUNCED","ANNOUNCED - amount TBA")))</f>
        <v/>
      </c>
      <c r="J258" s="43">
        <f>IF($L258="","",IF((OV_SWITCH="ON")*(COUNTIFS(OVR_TICKERS,INDEX(HSI!$C$7:$C$106,$N258),OVR_BASE,"&gt;=0")&gt;0)&gt;0,"stock overridden",""))</f>
        <v/>
      </c>
      <c r="L258" s="35">
        <f>IFERROR(IF(SMALL(Grids!$EE$12:$GQ$111,$M$7+249)&gt;=PEND_TO,"",SMALL(Grids!$EE$12:$GQ$111,$M$7+249)),"")</f>
        <v/>
      </c>
      <c r="M258" s="35">
        <f>IF($L258="","",INT($L258/1000000000))</f>
        <v/>
      </c>
      <c r="N258" s="35">
        <f>IF($L258="","",INT(($L258-INT($L258/1000000)*1000000)/1000))</f>
        <v/>
      </c>
      <c r="O258" s="35">
        <f>IF($L258="","",$L258-INT($L258/1000)*1000)</f>
        <v/>
      </c>
      <c r="P258" s="35">
        <f>IF($L258="","",INT(($L258-INT($L258/1000000000)*1000000000)/100000000))</f>
        <v/>
      </c>
    </row>
    <row r="259">
      <c r="B259" s="39">
        <f>IF($L259="","",$M259)</f>
        <v/>
      </c>
      <c r="C259" s="18">
        <f>IF($L259="","",INDEX(HSI!$C$7:$C$106,$N259))</f>
        <v/>
      </c>
      <c r="D259" s="18">
        <f>IF($L259="","",INDEX(HSI!$D$7:$D$106,$N259))</f>
        <v/>
      </c>
      <c r="E259" s="40">
        <f>IF($L259="","",IF($P259=0,"TBA",IFERROR(INDEX(Grids!$C$12:$BO$111,$N259,$O259),"-")))</f>
        <v/>
      </c>
      <c r="F259" s="18">
        <f>IF($L259="","",INDEX(HSI!$F$7:$F$106,$N259))</f>
        <v/>
      </c>
      <c r="G259" s="40">
        <f>IF($L259="","",IF($P259=0,"TBA",IFERROR(INDEX(Grids!$BQ$12:$EC$111,$N259,$O259),"-")))</f>
        <v/>
      </c>
      <c r="H259" s="41">
        <f>IF($L259="","",SUM($G$10:$G259))</f>
        <v/>
      </c>
      <c r="I259" s="42">
        <f>IF($L259="","",IF(INT(($L259-INT($L259/10000000)*10000000)/1000000)=0,"Bloomberg projection",IF($P259=1,"ANNOUNCED","ANNOUNCED - amount TBA")))</f>
        <v/>
      </c>
      <c r="J259" s="43">
        <f>IF($L259="","",IF((OV_SWITCH="ON")*(COUNTIFS(OVR_TICKERS,INDEX(HSI!$C$7:$C$106,$N259),OVR_BASE,"&gt;=0")&gt;0)&gt;0,"stock overridden",""))</f>
        <v/>
      </c>
      <c r="L259" s="35">
        <f>IFERROR(IF(SMALL(Grids!$EE$12:$GQ$111,$M$7+250)&gt;=PEND_TO,"",SMALL(Grids!$EE$12:$GQ$111,$M$7+250)),"")</f>
        <v/>
      </c>
      <c r="M259" s="35">
        <f>IF($L259="","",INT($L259/1000000000))</f>
        <v/>
      </c>
      <c r="N259" s="35">
        <f>IF($L259="","",INT(($L259-INT($L259/1000000)*1000000)/1000))</f>
        <v/>
      </c>
      <c r="O259" s="35">
        <f>IF($L259="","",$L259-INT($L259/1000)*1000)</f>
        <v/>
      </c>
      <c r="P259" s="35">
        <f>IF($L259="","",INT(($L259-INT($L259/1000000000)*1000000000)/100000000))</f>
        <v/>
      </c>
    </row>
    <row r="260">
      <c r="B260" s="39">
        <f>IF($L260="","",$M260)</f>
        <v/>
      </c>
      <c r="C260" s="18">
        <f>IF($L260="","",INDEX(HSI!$C$7:$C$106,$N260))</f>
        <v/>
      </c>
      <c r="D260" s="18">
        <f>IF($L260="","",INDEX(HSI!$D$7:$D$106,$N260))</f>
        <v/>
      </c>
      <c r="E260" s="40">
        <f>IF($L260="","",IF($P260=0,"TBA",IFERROR(INDEX(Grids!$C$12:$BO$111,$N260,$O260),"-")))</f>
        <v/>
      </c>
      <c r="F260" s="18">
        <f>IF($L260="","",INDEX(HSI!$F$7:$F$106,$N260))</f>
        <v/>
      </c>
      <c r="G260" s="40">
        <f>IF($L260="","",IF($P260=0,"TBA",IFERROR(INDEX(Grids!$BQ$12:$EC$111,$N260,$O260),"-")))</f>
        <v/>
      </c>
      <c r="H260" s="41">
        <f>IF($L260="","",SUM($G$10:$G260))</f>
        <v/>
      </c>
      <c r="I260" s="42">
        <f>IF($L260="","",IF(INT(($L260-INT($L260/10000000)*10000000)/1000000)=0,"Bloomberg projection",IF($P260=1,"ANNOUNCED","ANNOUNCED - amount TBA")))</f>
        <v/>
      </c>
      <c r="J260" s="43">
        <f>IF($L260="","",IF((OV_SWITCH="ON")*(COUNTIFS(OVR_TICKERS,INDEX(HSI!$C$7:$C$106,$N260),OVR_BASE,"&gt;=0")&gt;0)&gt;0,"stock overridden",""))</f>
        <v/>
      </c>
      <c r="L260" s="35">
        <f>IFERROR(IF(SMALL(Grids!$EE$12:$GQ$111,$M$7+251)&gt;=PEND_TO,"",SMALL(Grids!$EE$12:$GQ$111,$M$7+251)),"")</f>
        <v/>
      </c>
      <c r="M260" s="35">
        <f>IF($L260="","",INT($L260/1000000000))</f>
        <v/>
      </c>
      <c r="N260" s="35">
        <f>IF($L260="","",INT(($L260-INT($L260/1000000)*1000000)/1000))</f>
        <v/>
      </c>
      <c r="O260" s="35">
        <f>IF($L260="","",$L260-INT($L260/1000)*1000)</f>
        <v/>
      </c>
      <c r="P260" s="35">
        <f>IF($L260="","",INT(($L260-INT($L260/1000000000)*1000000000)/100000000))</f>
        <v/>
      </c>
    </row>
    <row r="261">
      <c r="B261" s="39">
        <f>IF($L261="","",$M261)</f>
        <v/>
      </c>
      <c r="C261" s="18">
        <f>IF($L261="","",INDEX(HSI!$C$7:$C$106,$N261))</f>
        <v/>
      </c>
      <c r="D261" s="18">
        <f>IF($L261="","",INDEX(HSI!$D$7:$D$106,$N261))</f>
        <v/>
      </c>
      <c r="E261" s="40">
        <f>IF($L261="","",IF($P261=0,"TBA",IFERROR(INDEX(Grids!$C$12:$BO$111,$N261,$O261),"-")))</f>
        <v/>
      </c>
      <c r="F261" s="18">
        <f>IF($L261="","",INDEX(HSI!$F$7:$F$106,$N261))</f>
        <v/>
      </c>
      <c r="G261" s="40">
        <f>IF($L261="","",IF($P261=0,"TBA",IFERROR(INDEX(Grids!$BQ$12:$EC$111,$N261,$O261),"-")))</f>
        <v/>
      </c>
      <c r="H261" s="41">
        <f>IF($L261="","",SUM($G$10:$G261))</f>
        <v/>
      </c>
      <c r="I261" s="42">
        <f>IF($L261="","",IF(INT(($L261-INT($L261/10000000)*10000000)/1000000)=0,"Bloomberg projection",IF($P261=1,"ANNOUNCED","ANNOUNCED - amount TBA")))</f>
        <v/>
      </c>
      <c r="J261" s="43">
        <f>IF($L261="","",IF((OV_SWITCH="ON")*(COUNTIFS(OVR_TICKERS,INDEX(HSI!$C$7:$C$106,$N261),OVR_BASE,"&gt;=0")&gt;0)&gt;0,"stock overridden",""))</f>
        <v/>
      </c>
      <c r="L261" s="35">
        <f>IFERROR(IF(SMALL(Grids!$EE$12:$GQ$111,$M$7+252)&gt;=PEND_TO,"",SMALL(Grids!$EE$12:$GQ$111,$M$7+252)),"")</f>
        <v/>
      </c>
      <c r="M261" s="35">
        <f>IF($L261="","",INT($L261/1000000000))</f>
        <v/>
      </c>
      <c r="N261" s="35">
        <f>IF($L261="","",INT(($L261-INT($L261/1000000)*1000000)/1000))</f>
        <v/>
      </c>
      <c r="O261" s="35">
        <f>IF($L261="","",$L261-INT($L261/1000)*1000)</f>
        <v/>
      </c>
      <c r="P261" s="35">
        <f>IF($L261="","",INT(($L261-INT($L261/1000000000)*1000000000)/100000000))</f>
        <v/>
      </c>
    </row>
    <row r="262">
      <c r="B262" s="39">
        <f>IF($L262="","",$M262)</f>
        <v/>
      </c>
      <c r="C262" s="18">
        <f>IF($L262="","",INDEX(HSI!$C$7:$C$106,$N262))</f>
        <v/>
      </c>
      <c r="D262" s="18">
        <f>IF($L262="","",INDEX(HSI!$D$7:$D$106,$N262))</f>
        <v/>
      </c>
      <c r="E262" s="40">
        <f>IF($L262="","",IF($P262=0,"TBA",IFERROR(INDEX(Grids!$C$12:$BO$111,$N262,$O262),"-")))</f>
        <v/>
      </c>
      <c r="F262" s="18">
        <f>IF($L262="","",INDEX(HSI!$F$7:$F$106,$N262))</f>
        <v/>
      </c>
      <c r="G262" s="40">
        <f>IF($L262="","",IF($P262=0,"TBA",IFERROR(INDEX(Grids!$BQ$12:$EC$111,$N262,$O262),"-")))</f>
        <v/>
      </c>
      <c r="H262" s="41">
        <f>IF($L262="","",SUM($G$10:$G262))</f>
        <v/>
      </c>
      <c r="I262" s="42">
        <f>IF($L262="","",IF(INT(($L262-INT($L262/10000000)*10000000)/1000000)=0,"Bloomberg projection",IF($P262=1,"ANNOUNCED","ANNOUNCED - amount TBA")))</f>
        <v/>
      </c>
      <c r="J262" s="43">
        <f>IF($L262="","",IF((OV_SWITCH="ON")*(COUNTIFS(OVR_TICKERS,INDEX(HSI!$C$7:$C$106,$N262),OVR_BASE,"&gt;=0")&gt;0)&gt;0,"stock overridden",""))</f>
        <v/>
      </c>
      <c r="L262" s="35">
        <f>IFERROR(IF(SMALL(Grids!$EE$12:$GQ$111,$M$7+253)&gt;=PEND_TO,"",SMALL(Grids!$EE$12:$GQ$111,$M$7+253)),"")</f>
        <v/>
      </c>
      <c r="M262" s="35">
        <f>IF($L262="","",INT($L262/1000000000))</f>
        <v/>
      </c>
      <c r="N262" s="35">
        <f>IF($L262="","",INT(($L262-INT($L262/1000000)*1000000)/1000))</f>
        <v/>
      </c>
      <c r="O262" s="35">
        <f>IF($L262="","",$L262-INT($L262/1000)*1000)</f>
        <v/>
      </c>
      <c r="P262" s="35">
        <f>IF($L262="","",INT(($L262-INT($L262/1000000000)*1000000000)/100000000))</f>
        <v/>
      </c>
    </row>
    <row r="263">
      <c r="B263" s="39">
        <f>IF($L263="","",$M263)</f>
        <v/>
      </c>
      <c r="C263" s="18">
        <f>IF($L263="","",INDEX(HSI!$C$7:$C$106,$N263))</f>
        <v/>
      </c>
      <c r="D263" s="18">
        <f>IF($L263="","",INDEX(HSI!$D$7:$D$106,$N263))</f>
        <v/>
      </c>
      <c r="E263" s="40">
        <f>IF($L263="","",IF($P263=0,"TBA",IFERROR(INDEX(Grids!$C$12:$BO$111,$N263,$O263),"-")))</f>
        <v/>
      </c>
      <c r="F263" s="18">
        <f>IF($L263="","",INDEX(HSI!$F$7:$F$106,$N263))</f>
        <v/>
      </c>
      <c r="G263" s="40">
        <f>IF($L263="","",IF($P263=0,"TBA",IFERROR(INDEX(Grids!$BQ$12:$EC$111,$N263,$O263),"-")))</f>
        <v/>
      </c>
      <c r="H263" s="41">
        <f>IF($L263="","",SUM($G$10:$G263))</f>
        <v/>
      </c>
      <c r="I263" s="42">
        <f>IF($L263="","",IF(INT(($L263-INT($L263/10000000)*10000000)/1000000)=0,"Bloomberg projection",IF($P263=1,"ANNOUNCED","ANNOUNCED - amount TBA")))</f>
        <v/>
      </c>
      <c r="J263" s="43">
        <f>IF($L263="","",IF((OV_SWITCH="ON")*(COUNTIFS(OVR_TICKERS,INDEX(HSI!$C$7:$C$106,$N263),OVR_BASE,"&gt;=0")&gt;0)&gt;0,"stock overridden",""))</f>
        <v/>
      </c>
      <c r="L263" s="35">
        <f>IFERROR(IF(SMALL(Grids!$EE$12:$GQ$111,$M$7+254)&gt;=PEND_TO,"",SMALL(Grids!$EE$12:$GQ$111,$M$7+254)),"")</f>
        <v/>
      </c>
      <c r="M263" s="35">
        <f>IF($L263="","",INT($L263/1000000000))</f>
        <v/>
      </c>
      <c r="N263" s="35">
        <f>IF($L263="","",INT(($L263-INT($L263/1000000)*1000000)/1000))</f>
        <v/>
      </c>
      <c r="O263" s="35">
        <f>IF($L263="","",$L263-INT($L263/1000)*1000)</f>
        <v/>
      </c>
      <c r="P263" s="35">
        <f>IF($L263="","",INT(($L263-INT($L263/1000000000)*1000000000)/100000000))</f>
        <v/>
      </c>
    </row>
    <row r="264">
      <c r="B264" s="39">
        <f>IF($L264="","",$M264)</f>
        <v/>
      </c>
      <c r="C264" s="18">
        <f>IF($L264="","",INDEX(HSI!$C$7:$C$106,$N264))</f>
        <v/>
      </c>
      <c r="D264" s="18">
        <f>IF($L264="","",INDEX(HSI!$D$7:$D$106,$N264))</f>
        <v/>
      </c>
      <c r="E264" s="40">
        <f>IF($L264="","",IF($P264=0,"TBA",IFERROR(INDEX(Grids!$C$12:$BO$111,$N264,$O264),"-")))</f>
        <v/>
      </c>
      <c r="F264" s="18">
        <f>IF($L264="","",INDEX(HSI!$F$7:$F$106,$N264))</f>
        <v/>
      </c>
      <c r="G264" s="40">
        <f>IF($L264="","",IF($P264=0,"TBA",IFERROR(INDEX(Grids!$BQ$12:$EC$111,$N264,$O264),"-")))</f>
        <v/>
      </c>
      <c r="H264" s="41">
        <f>IF($L264="","",SUM($G$10:$G264))</f>
        <v/>
      </c>
      <c r="I264" s="42">
        <f>IF($L264="","",IF(INT(($L264-INT($L264/10000000)*10000000)/1000000)=0,"Bloomberg projection",IF($P264=1,"ANNOUNCED","ANNOUNCED - amount TBA")))</f>
        <v/>
      </c>
      <c r="J264" s="43">
        <f>IF($L264="","",IF((OV_SWITCH="ON")*(COUNTIFS(OVR_TICKERS,INDEX(HSI!$C$7:$C$106,$N264),OVR_BASE,"&gt;=0")&gt;0)&gt;0,"stock overridden",""))</f>
        <v/>
      </c>
      <c r="L264" s="35">
        <f>IFERROR(IF(SMALL(Grids!$EE$12:$GQ$111,$M$7+255)&gt;=PEND_TO,"",SMALL(Grids!$EE$12:$GQ$111,$M$7+255)),"")</f>
        <v/>
      </c>
      <c r="M264" s="35">
        <f>IF($L264="","",INT($L264/1000000000))</f>
        <v/>
      </c>
      <c r="N264" s="35">
        <f>IF($L264="","",INT(($L264-INT($L264/1000000)*1000000)/1000))</f>
        <v/>
      </c>
      <c r="O264" s="35">
        <f>IF($L264="","",$L264-INT($L264/1000)*1000)</f>
        <v/>
      </c>
      <c r="P264" s="35">
        <f>IF($L264="","",INT(($L264-INT($L264/1000000000)*1000000000)/100000000))</f>
        <v/>
      </c>
    </row>
    <row r="265">
      <c r="B265" s="39">
        <f>IF($L265="","",$M265)</f>
        <v/>
      </c>
      <c r="C265" s="18">
        <f>IF($L265="","",INDEX(HSI!$C$7:$C$106,$N265))</f>
        <v/>
      </c>
      <c r="D265" s="18">
        <f>IF($L265="","",INDEX(HSI!$D$7:$D$106,$N265))</f>
        <v/>
      </c>
      <c r="E265" s="40">
        <f>IF($L265="","",IF($P265=0,"TBA",IFERROR(INDEX(Grids!$C$12:$BO$111,$N265,$O265),"-")))</f>
        <v/>
      </c>
      <c r="F265" s="18">
        <f>IF($L265="","",INDEX(HSI!$F$7:$F$106,$N265))</f>
        <v/>
      </c>
      <c r="G265" s="40">
        <f>IF($L265="","",IF($P265=0,"TBA",IFERROR(INDEX(Grids!$BQ$12:$EC$111,$N265,$O265),"-")))</f>
        <v/>
      </c>
      <c r="H265" s="41">
        <f>IF($L265="","",SUM($G$10:$G265))</f>
        <v/>
      </c>
      <c r="I265" s="42">
        <f>IF($L265="","",IF(INT(($L265-INT($L265/10000000)*10000000)/1000000)=0,"Bloomberg projection",IF($P265=1,"ANNOUNCED","ANNOUNCED - amount TBA")))</f>
        <v/>
      </c>
      <c r="J265" s="43">
        <f>IF($L265="","",IF((OV_SWITCH="ON")*(COUNTIFS(OVR_TICKERS,INDEX(HSI!$C$7:$C$106,$N265),OVR_BASE,"&gt;=0")&gt;0)&gt;0,"stock overridden",""))</f>
        <v/>
      </c>
      <c r="L265" s="35">
        <f>IFERROR(IF(SMALL(Grids!$EE$12:$GQ$111,$M$7+256)&gt;=PEND_TO,"",SMALL(Grids!$EE$12:$GQ$111,$M$7+256)),"")</f>
        <v/>
      </c>
      <c r="M265" s="35">
        <f>IF($L265="","",INT($L265/1000000000))</f>
        <v/>
      </c>
      <c r="N265" s="35">
        <f>IF($L265="","",INT(($L265-INT($L265/1000000)*1000000)/1000))</f>
        <v/>
      </c>
      <c r="O265" s="35">
        <f>IF($L265="","",$L265-INT($L265/1000)*1000)</f>
        <v/>
      </c>
      <c r="P265" s="35">
        <f>IF($L265="","",INT(($L265-INT($L265/1000000000)*1000000000)/100000000))</f>
        <v/>
      </c>
    </row>
    <row r="266">
      <c r="B266" s="39">
        <f>IF($L266="","",$M266)</f>
        <v/>
      </c>
      <c r="C266" s="18">
        <f>IF($L266="","",INDEX(HSI!$C$7:$C$106,$N266))</f>
        <v/>
      </c>
      <c r="D266" s="18">
        <f>IF($L266="","",INDEX(HSI!$D$7:$D$106,$N266))</f>
        <v/>
      </c>
      <c r="E266" s="40">
        <f>IF($L266="","",IF($P266=0,"TBA",IFERROR(INDEX(Grids!$C$12:$BO$111,$N266,$O266),"-")))</f>
        <v/>
      </c>
      <c r="F266" s="18">
        <f>IF($L266="","",INDEX(HSI!$F$7:$F$106,$N266))</f>
        <v/>
      </c>
      <c r="G266" s="40">
        <f>IF($L266="","",IF($P266=0,"TBA",IFERROR(INDEX(Grids!$BQ$12:$EC$111,$N266,$O266),"-")))</f>
        <v/>
      </c>
      <c r="H266" s="41">
        <f>IF($L266="","",SUM($G$10:$G266))</f>
        <v/>
      </c>
      <c r="I266" s="42">
        <f>IF($L266="","",IF(INT(($L266-INT($L266/10000000)*10000000)/1000000)=0,"Bloomberg projection",IF($P266=1,"ANNOUNCED","ANNOUNCED - amount TBA")))</f>
        <v/>
      </c>
      <c r="J266" s="43">
        <f>IF($L266="","",IF((OV_SWITCH="ON")*(COUNTIFS(OVR_TICKERS,INDEX(HSI!$C$7:$C$106,$N266),OVR_BASE,"&gt;=0")&gt;0)&gt;0,"stock overridden",""))</f>
        <v/>
      </c>
      <c r="L266" s="35">
        <f>IFERROR(IF(SMALL(Grids!$EE$12:$GQ$111,$M$7+257)&gt;=PEND_TO,"",SMALL(Grids!$EE$12:$GQ$111,$M$7+257)),"")</f>
        <v/>
      </c>
      <c r="M266" s="35">
        <f>IF($L266="","",INT($L266/1000000000))</f>
        <v/>
      </c>
      <c r="N266" s="35">
        <f>IF($L266="","",INT(($L266-INT($L266/1000000)*1000000)/1000))</f>
        <v/>
      </c>
      <c r="O266" s="35">
        <f>IF($L266="","",$L266-INT($L266/1000)*1000)</f>
        <v/>
      </c>
      <c r="P266" s="35">
        <f>IF($L266="","",INT(($L266-INT($L266/1000000000)*1000000000)/100000000))</f>
        <v/>
      </c>
    </row>
    <row r="267">
      <c r="B267" s="39">
        <f>IF($L267="","",$M267)</f>
        <v/>
      </c>
      <c r="C267" s="18">
        <f>IF($L267="","",INDEX(HSI!$C$7:$C$106,$N267))</f>
        <v/>
      </c>
      <c r="D267" s="18">
        <f>IF($L267="","",INDEX(HSI!$D$7:$D$106,$N267))</f>
        <v/>
      </c>
      <c r="E267" s="40">
        <f>IF($L267="","",IF($P267=0,"TBA",IFERROR(INDEX(Grids!$C$12:$BO$111,$N267,$O267),"-")))</f>
        <v/>
      </c>
      <c r="F267" s="18">
        <f>IF($L267="","",INDEX(HSI!$F$7:$F$106,$N267))</f>
        <v/>
      </c>
      <c r="G267" s="40">
        <f>IF($L267="","",IF($P267=0,"TBA",IFERROR(INDEX(Grids!$BQ$12:$EC$111,$N267,$O267),"-")))</f>
        <v/>
      </c>
      <c r="H267" s="41">
        <f>IF($L267="","",SUM($G$10:$G267))</f>
        <v/>
      </c>
      <c r="I267" s="42">
        <f>IF($L267="","",IF(INT(($L267-INT($L267/10000000)*10000000)/1000000)=0,"Bloomberg projection",IF($P267=1,"ANNOUNCED","ANNOUNCED - amount TBA")))</f>
        <v/>
      </c>
      <c r="J267" s="43">
        <f>IF($L267="","",IF((OV_SWITCH="ON")*(COUNTIFS(OVR_TICKERS,INDEX(HSI!$C$7:$C$106,$N267),OVR_BASE,"&gt;=0")&gt;0)&gt;0,"stock overridden",""))</f>
        <v/>
      </c>
      <c r="L267" s="35">
        <f>IFERROR(IF(SMALL(Grids!$EE$12:$GQ$111,$M$7+258)&gt;=PEND_TO,"",SMALL(Grids!$EE$12:$GQ$111,$M$7+258)),"")</f>
        <v/>
      </c>
      <c r="M267" s="35">
        <f>IF($L267="","",INT($L267/1000000000))</f>
        <v/>
      </c>
      <c r="N267" s="35">
        <f>IF($L267="","",INT(($L267-INT($L267/1000000)*1000000)/1000))</f>
        <v/>
      </c>
      <c r="O267" s="35">
        <f>IF($L267="","",$L267-INT($L267/1000)*1000)</f>
        <v/>
      </c>
      <c r="P267" s="35">
        <f>IF($L267="","",INT(($L267-INT($L267/1000000000)*1000000000)/100000000))</f>
        <v/>
      </c>
    </row>
    <row r="268">
      <c r="B268" s="39">
        <f>IF($L268="","",$M268)</f>
        <v/>
      </c>
      <c r="C268" s="18">
        <f>IF($L268="","",INDEX(HSI!$C$7:$C$106,$N268))</f>
        <v/>
      </c>
      <c r="D268" s="18">
        <f>IF($L268="","",INDEX(HSI!$D$7:$D$106,$N268))</f>
        <v/>
      </c>
      <c r="E268" s="40">
        <f>IF($L268="","",IF($P268=0,"TBA",IFERROR(INDEX(Grids!$C$12:$BO$111,$N268,$O268),"-")))</f>
        <v/>
      </c>
      <c r="F268" s="18">
        <f>IF($L268="","",INDEX(HSI!$F$7:$F$106,$N268))</f>
        <v/>
      </c>
      <c r="G268" s="40">
        <f>IF($L268="","",IF($P268=0,"TBA",IFERROR(INDEX(Grids!$BQ$12:$EC$111,$N268,$O268),"-")))</f>
        <v/>
      </c>
      <c r="H268" s="41">
        <f>IF($L268="","",SUM($G$10:$G268))</f>
        <v/>
      </c>
      <c r="I268" s="42">
        <f>IF($L268="","",IF(INT(($L268-INT($L268/10000000)*10000000)/1000000)=0,"Bloomberg projection",IF($P268=1,"ANNOUNCED","ANNOUNCED - amount TBA")))</f>
        <v/>
      </c>
      <c r="J268" s="43">
        <f>IF($L268="","",IF((OV_SWITCH="ON")*(COUNTIFS(OVR_TICKERS,INDEX(HSI!$C$7:$C$106,$N268),OVR_BASE,"&gt;=0")&gt;0)&gt;0,"stock overridden",""))</f>
        <v/>
      </c>
      <c r="L268" s="35">
        <f>IFERROR(IF(SMALL(Grids!$EE$12:$GQ$111,$M$7+259)&gt;=PEND_TO,"",SMALL(Grids!$EE$12:$GQ$111,$M$7+259)),"")</f>
        <v/>
      </c>
      <c r="M268" s="35">
        <f>IF($L268="","",INT($L268/1000000000))</f>
        <v/>
      </c>
      <c r="N268" s="35">
        <f>IF($L268="","",INT(($L268-INT($L268/1000000)*1000000)/1000))</f>
        <v/>
      </c>
      <c r="O268" s="35">
        <f>IF($L268="","",$L268-INT($L268/1000)*1000)</f>
        <v/>
      </c>
      <c r="P268" s="35">
        <f>IF($L268="","",INT(($L268-INT($L268/1000000000)*1000000000)/100000000))</f>
        <v/>
      </c>
    </row>
    <row r="269">
      <c r="B269" s="39">
        <f>IF($L269="","",$M269)</f>
        <v/>
      </c>
      <c r="C269" s="18">
        <f>IF($L269="","",INDEX(HSI!$C$7:$C$106,$N269))</f>
        <v/>
      </c>
      <c r="D269" s="18">
        <f>IF($L269="","",INDEX(HSI!$D$7:$D$106,$N269))</f>
        <v/>
      </c>
      <c r="E269" s="40">
        <f>IF($L269="","",IF($P269=0,"TBA",IFERROR(INDEX(Grids!$C$12:$BO$111,$N269,$O269),"-")))</f>
        <v/>
      </c>
      <c r="F269" s="18">
        <f>IF($L269="","",INDEX(HSI!$F$7:$F$106,$N269))</f>
        <v/>
      </c>
      <c r="G269" s="40">
        <f>IF($L269="","",IF($P269=0,"TBA",IFERROR(INDEX(Grids!$BQ$12:$EC$111,$N269,$O269),"-")))</f>
        <v/>
      </c>
      <c r="H269" s="41">
        <f>IF($L269="","",SUM($G$10:$G269))</f>
        <v/>
      </c>
      <c r="I269" s="42">
        <f>IF($L269="","",IF(INT(($L269-INT($L269/10000000)*10000000)/1000000)=0,"Bloomberg projection",IF($P269=1,"ANNOUNCED","ANNOUNCED - amount TBA")))</f>
        <v/>
      </c>
      <c r="J269" s="43">
        <f>IF($L269="","",IF((OV_SWITCH="ON")*(COUNTIFS(OVR_TICKERS,INDEX(HSI!$C$7:$C$106,$N269),OVR_BASE,"&gt;=0")&gt;0)&gt;0,"stock overridden",""))</f>
        <v/>
      </c>
      <c r="L269" s="35">
        <f>IFERROR(IF(SMALL(Grids!$EE$12:$GQ$111,$M$7+260)&gt;=PEND_TO,"",SMALL(Grids!$EE$12:$GQ$111,$M$7+260)),"")</f>
        <v/>
      </c>
      <c r="M269" s="35">
        <f>IF($L269="","",INT($L269/1000000000))</f>
        <v/>
      </c>
      <c r="N269" s="35">
        <f>IF($L269="","",INT(($L269-INT($L269/1000000)*1000000)/1000))</f>
        <v/>
      </c>
      <c r="O269" s="35">
        <f>IF($L269="","",$L269-INT($L269/1000)*1000)</f>
        <v/>
      </c>
      <c r="P269" s="35">
        <f>IF($L269="","",INT(($L269-INT($L269/1000000000)*1000000000)/100000000))</f>
        <v/>
      </c>
    </row>
    <row r="270">
      <c r="B270" s="39">
        <f>IF($L270="","",$M270)</f>
        <v/>
      </c>
      <c r="C270" s="18">
        <f>IF($L270="","",INDEX(HSI!$C$7:$C$106,$N270))</f>
        <v/>
      </c>
      <c r="D270" s="18">
        <f>IF($L270="","",INDEX(HSI!$D$7:$D$106,$N270))</f>
        <v/>
      </c>
      <c r="E270" s="40">
        <f>IF($L270="","",IF($P270=0,"TBA",IFERROR(INDEX(Grids!$C$12:$BO$111,$N270,$O270),"-")))</f>
        <v/>
      </c>
      <c r="F270" s="18">
        <f>IF($L270="","",INDEX(HSI!$F$7:$F$106,$N270))</f>
        <v/>
      </c>
      <c r="G270" s="40">
        <f>IF($L270="","",IF($P270=0,"TBA",IFERROR(INDEX(Grids!$BQ$12:$EC$111,$N270,$O270),"-")))</f>
        <v/>
      </c>
      <c r="H270" s="41">
        <f>IF($L270="","",SUM($G$10:$G270))</f>
        <v/>
      </c>
      <c r="I270" s="42">
        <f>IF($L270="","",IF(INT(($L270-INT($L270/10000000)*10000000)/1000000)=0,"Bloomberg projection",IF($P270=1,"ANNOUNCED","ANNOUNCED - amount TBA")))</f>
        <v/>
      </c>
      <c r="J270" s="43">
        <f>IF($L270="","",IF((OV_SWITCH="ON")*(COUNTIFS(OVR_TICKERS,INDEX(HSI!$C$7:$C$106,$N270),OVR_BASE,"&gt;=0")&gt;0)&gt;0,"stock overridden",""))</f>
        <v/>
      </c>
      <c r="L270" s="35">
        <f>IFERROR(IF(SMALL(Grids!$EE$12:$GQ$111,$M$7+261)&gt;=PEND_TO,"",SMALL(Grids!$EE$12:$GQ$111,$M$7+261)),"")</f>
        <v/>
      </c>
      <c r="M270" s="35">
        <f>IF($L270="","",INT($L270/1000000000))</f>
        <v/>
      </c>
      <c r="N270" s="35">
        <f>IF($L270="","",INT(($L270-INT($L270/1000000)*1000000)/1000))</f>
        <v/>
      </c>
      <c r="O270" s="35">
        <f>IF($L270="","",$L270-INT($L270/1000)*1000)</f>
        <v/>
      </c>
      <c r="P270" s="35">
        <f>IF($L270="","",INT(($L270-INT($L270/1000000000)*1000000000)/100000000))</f>
        <v/>
      </c>
    </row>
    <row r="271">
      <c r="B271" s="39">
        <f>IF($L271="","",$M271)</f>
        <v/>
      </c>
      <c r="C271" s="18">
        <f>IF($L271="","",INDEX(HSI!$C$7:$C$106,$N271))</f>
        <v/>
      </c>
      <c r="D271" s="18">
        <f>IF($L271="","",INDEX(HSI!$D$7:$D$106,$N271))</f>
        <v/>
      </c>
      <c r="E271" s="40">
        <f>IF($L271="","",IF($P271=0,"TBA",IFERROR(INDEX(Grids!$C$12:$BO$111,$N271,$O271),"-")))</f>
        <v/>
      </c>
      <c r="F271" s="18">
        <f>IF($L271="","",INDEX(HSI!$F$7:$F$106,$N271))</f>
        <v/>
      </c>
      <c r="G271" s="40">
        <f>IF($L271="","",IF($P271=0,"TBA",IFERROR(INDEX(Grids!$BQ$12:$EC$111,$N271,$O271),"-")))</f>
        <v/>
      </c>
      <c r="H271" s="41">
        <f>IF($L271="","",SUM($G$10:$G271))</f>
        <v/>
      </c>
      <c r="I271" s="42">
        <f>IF($L271="","",IF(INT(($L271-INT($L271/10000000)*10000000)/1000000)=0,"Bloomberg projection",IF($P271=1,"ANNOUNCED","ANNOUNCED - amount TBA")))</f>
        <v/>
      </c>
      <c r="J271" s="43">
        <f>IF($L271="","",IF((OV_SWITCH="ON")*(COUNTIFS(OVR_TICKERS,INDEX(HSI!$C$7:$C$106,$N271),OVR_BASE,"&gt;=0")&gt;0)&gt;0,"stock overridden",""))</f>
        <v/>
      </c>
      <c r="L271" s="35">
        <f>IFERROR(IF(SMALL(Grids!$EE$12:$GQ$111,$M$7+262)&gt;=PEND_TO,"",SMALL(Grids!$EE$12:$GQ$111,$M$7+262)),"")</f>
        <v/>
      </c>
      <c r="M271" s="35">
        <f>IF($L271="","",INT($L271/1000000000))</f>
        <v/>
      </c>
      <c r="N271" s="35">
        <f>IF($L271="","",INT(($L271-INT($L271/1000000)*1000000)/1000))</f>
        <v/>
      </c>
      <c r="O271" s="35">
        <f>IF($L271="","",$L271-INT($L271/1000)*1000)</f>
        <v/>
      </c>
      <c r="P271" s="35">
        <f>IF($L271="","",INT(($L271-INT($L271/1000000000)*1000000000)/100000000))</f>
        <v/>
      </c>
    </row>
    <row r="272">
      <c r="B272" s="39">
        <f>IF($L272="","",$M272)</f>
        <v/>
      </c>
      <c r="C272" s="18">
        <f>IF($L272="","",INDEX(HSI!$C$7:$C$106,$N272))</f>
        <v/>
      </c>
      <c r="D272" s="18">
        <f>IF($L272="","",INDEX(HSI!$D$7:$D$106,$N272))</f>
        <v/>
      </c>
      <c r="E272" s="40">
        <f>IF($L272="","",IF($P272=0,"TBA",IFERROR(INDEX(Grids!$C$12:$BO$111,$N272,$O272),"-")))</f>
        <v/>
      </c>
      <c r="F272" s="18">
        <f>IF($L272="","",INDEX(HSI!$F$7:$F$106,$N272))</f>
        <v/>
      </c>
      <c r="G272" s="40">
        <f>IF($L272="","",IF($P272=0,"TBA",IFERROR(INDEX(Grids!$BQ$12:$EC$111,$N272,$O272),"-")))</f>
        <v/>
      </c>
      <c r="H272" s="41">
        <f>IF($L272="","",SUM($G$10:$G272))</f>
        <v/>
      </c>
      <c r="I272" s="42">
        <f>IF($L272="","",IF(INT(($L272-INT($L272/10000000)*10000000)/1000000)=0,"Bloomberg projection",IF($P272=1,"ANNOUNCED","ANNOUNCED - amount TBA")))</f>
        <v/>
      </c>
      <c r="J272" s="43">
        <f>IF($L272="","",IF((OV_SWITCH="ON")*(COUNTIFS(OVR_TICKERS,INDEX(HSI!$C$7:$C$106,$N272),OVR_BASE,"&gt;=0")&gt;0)&gt;0,"stock overridden",""))</f>
        <v/>
      </c>
      <c r="L272" s="35">
        <f>IFERROR(IF(SMALL(Grids!$EE$12:$GQ$111,$M$7+263)&gt;=PEND_TO,"",SMALL(Grids!$EE$12:$GQ$111,$M$7+263)),"")</f>
        <v/>
      </c>
      <c r="M272" s="35">
        <f>IF($L272="","",INT($L272/1000000000))</f>
        <v/>
      </c>
      <c r="N272" s="35">
        <f>IF($L272="","",INT(($L272-INT($L272/1000000)*1000000)/1000))</f>
        <v/>
      </c>
      <c r="O272" s="35">
        <f>IF($L272="","",$L272-INT($L272/1000)*1000)</f>
        <v/>
      </c>
      <c r="P272" s="35">
        <f>IF($L272="","",INT(($L272-INT($L272/1000000000)*1000000000)/100000000))</f>
        <v/>
      </c>
    </row>
    <row r="273">
      <c r="B273" s="39">
        <f>IF($L273="","",$M273)</f>
        <v/>
      </c>
      <c r="C273" s="18">
        <f>IF($L273="","",INDEX(HSI!$C$7:$C$106,$N273))</f>
        <v/>
      </c>
      <c r="D273" s="18">
        <f>IF($L273="","",INDEX(HSI!$D$7:$D$106,$N273))</f>
        <v/>
      </c>
      <c r="E273" s="40">
        <f>IF($L273="","",IF($P273=0,"TBA",IFERROR(INDEX(Grids!$C$12:$BO$111,$N273,$O273),"-")))</f>
        <v/>
      </c>
      <c r="F273" s="18">
        <f>IF($L273="","",INDEX(HSI!$F$7:$F$106,$N273))</f>
        <v/>
      </c>
      <c r="G273" s="40">
        <f>IF($L273="","",IF($P273=0,"TBA",IFERROR(INDEX(Grids!$BQ$12:$EC$111,$N273,$O273),"-")))</f>
        <v/>
      </c>
      <c r="H273" s="41">
        <f>IF($L273="","",SUM($G$10:$G273))</f>
        <v/>
      </c>
      <c r="I273" s="42">
        <f>IF($L273="","",IF(INT(($L273-INT($L273/10000000)*10000000)/1000000)=0,"Bloomberg projection",IF($P273=1,"ANNOUNCED","ANNOUNCED - amount TBA")))</f>
        <v/>
      </c>
      <c r="J273" s="43">
        <f>IF($L273="","",IF((OV_SWITCH="ON")*(COUNTIFS(OVR_TICKERS,INDEX(HSI!$C$7:$C$106,$N273),OVR_BASE,"&gt;=0")&gt;0)&gt;0,"stock overridden",""))</f>
        <v/>
      </c>
      <c r="L273" s="35">
        <f>IFERROR(IF(SMALL(Grids!$EE$12:$GQ$111,$M$7+264)&gt;=PEND_TO,"",SMALL(Grids!$EE$12:$GQ$111,$M$7+264)),"")</f>
        <v/>
      </c>
      <c r="M273" s="35">
        <f>IF($L273="","",INT($L273/1000000000))</f>
        <v/>
      </c>
      <c r="N273" s="35">
        <f>IF($L273="","",INT(($L273-INT($L273/1000000)*1000000)/1000))</f>
        <v/>
      </c>
      <c r="O273" s="35">
        <f>IF($L273="","",$L273-INT($L273/1000)*1000)</f>
        <v/>
      </c>
      <c r="P273" s="35">
        <f>IF($L273="","",INT(($L273-INT($L273/1000000000)*1000000000)/100000000))</f>
        <v/>
      </c>
    </row>
    <row r="274">
      <c r="B274" s="39">
        <f>IF($L274="","",$M274)</f>
        <v/>
      </c>
      <c r="C274" s="18">
        <f>IF($L274="","",INDEX(HSI!$C$7:$C$106,$N274))</f>
        <v/>
      </c>
      <c r="D274" s="18">
        <f>IF($L274="","",INDEX(HSI!$D$7:$D$106,$N274))</f>
        <v/>
      </c>
      <c r="E274" s="40">
        <f>IF($L274="","",IF($P274=0,"TBA",IFERROR(INDEX(Grids!$C$12:$BO$111,$N274,$O274),"-")))</f>
        <v/>
      </c>
      <c r="F274" s="18">
        <f>IF($L274="","",INDEX(HSI!$F$7:$F$106,$N274))</f>
        <v/>
      </c>
      <c r="G274" s="40">
        <f>IF($L274="","",IF($P274=0,"TBA",IFERROR(INDEX(Grids!$BQ$12:$EC$111,$N274,$O274),"-")))</f>
        <v/>
      </c>
      <c r="H274" s="41">
        <f>IF($L274="","",SUM($G$10:$G274))</f>
        <v/>
      </c>
      <c r="I274" s="42">
        <f>IF($L274="","",IF(INT(($L274-INT($L274/10000000)*10000000)/1000000)=0,"Bloomberg projection",IF($P274=1,"ANNOUNCED","ANNOUNCED - amount TBA")))</f>
        <v/>
      </c>
      <c r="J274" s="43">
        <f>IF($L274="","",IF((OV_SWITCH="ON")*(COUNTIFS(OVR_TICKERS,INDEX(HSI!$C$7:$C$106,$N274),OVR_BASE,"&gt;=0")&gt;0)&gt;0,"stock overridden",""))</f>
        <v/>
      </c>
      <c r="L274" s="35">
        <f>IFERROR(IF(SMALL(Grids!$EE$12:$GQ$111,$M$7+265)&gt;=PEND_TO,"",SMALL(Grids!$EE$12:$GQ$111,$M$7+265)),"")</f>
        <v/>
      </c>
      <c r="M274" s="35">
        <f>IF($L274="","",INT($L274/1000000000))</f>
        <v/>
      </c>
      <c r="N274" s="35">
        <f>IF($L274="","",INT(($L274-INT($L274/1000000)*1000000)/1000))</f>
        <v/>
      </c>
      <c r="O274" s="35">
        <f>IF($L274="","",$L274-INT($L274/1000)*1000)</f>
        <v/>
      </c>
      <c r="P274" s="35">
        <f>IF($L274="","",INT(($L274-INT($L274/1000000000)*1000000000)/100000000))</f>
        <v/>
      </c>
    </row>
    <row r="275">
      <c r="B275" s="39">
        <f>IF($L275="","",$M275)</f>
        <v/>
      </c>
      <c r="C275" s="18">
        <f>IF($L275="","",INDEX(HSI!$C$7:$C$106,$N275))</f>
        <v/>
      </c>
      <c r="D275" s="18">
        <f>IF($L275="","",INDEX(HSI!$D$7:$D$106,$N275))</f>
        <v/>
      </c>
      <c r="E275" s="40">
        <f>IF($L275="","",IF($P275=0,"TBA",IFERROR(INDEX(Grids!$C$12:$BO$111,$N275,$O275),"-")))</f>
        <v/>
      </c>
      <c r="F275" s="18">
        <f>IF($L275="","",INDEX(HSI!$F$7:$F$106,$N275))</f>
        <v/>
      </c>
      <c r="G275" s="40">
        <f>IF($L275="","",IF($P275=0,"TBA",IFERROR(INDEX(Grids!$BQ$12:$EC$111,$N275,$O275),"-")))</f>
        <v/>
      </c>
      <c r="H275" s="41">
        <f>IF($L275="","",SUM($G$10:$G275))</f>
        <v/>
      </c>
      <c r="I275" s="42">
        <f>IF($L275="","",IF(INT(($L275-INT($L275/10000000)*10000000)/1000000)=0,"Bloomberg projection",IF($P275=1,"ANNOUNCED","ANNOUNCED - amount TBA")))</f>
        <v/>
      </c>
      <c r="J275" s="43">
        <f>IF($L275="","",IF((OV_SWITCH="ON")*(COUNTIFS(OVR_TICKERS,INDEX(HSI!$C$7:$C$106,$N275),OVR_BASE,"&gt;=0")&gt;0)&gt;0,"stock overridden",""))</f>
        <v/>
      </c>
      <c r="L275" s="35">
        <f>IFERROR(IF(SMALL(Grids!$EE$12:$GQ$111,$M$7+266)&gt;=PEND_TO,"",SMALL(Grids!$EE$12:$GQ$111,$M$7+266)),"")</f>
        <v/>
      </c>
      <c r="M275" s="35">
        <f>IF($L275="","",INT($L275/1000000000))</f>
        <v/>
      </c>
      <c r="N275" s="35">
        <f>IF($L275="","",INT(($L275-INT($L275/1000000)*1000000)/1000))</f>
        <v/>
      </c>
      <c r="O275" s="35">
        <f>IF($L275="","",$L275-INT($L275/1000)*1000)</f>
        <v/>
      </c>
      <c r="P275" s="35">
        <f>IF($L275="","",INT(($L275-INT($L275/1000000000)*1000000000)/100000000))</f>
        <v/>
      </c>
    </row>
    <row r="276">
      <c r="B276" s="39">
        <f>IF($L276="","",$M276)</f>
        <v/>
      </c>
      <c r="C276" s="18">
        <f>IF($L276="","",INDEX(HSI!$C$7:$C$106,$N276))</f>
        <v/>
      </c>
      <c r="D276" s="18">
        <f>IF($L276="","",INDEX(HSI!$D$7:$D$106,$N276))</f>
        <v/>
      </c>
      <c r="E276" s="40">
        <f>IF($L276="","",IF($P276=0,"TBA",IFERROR(INDEX(Grids!$C$12:$BO$111,$N276,$O276),"-")))</f>
        <v/>
      </c>
      <c r="F276" s="18">
        <f>IF($L276="","",INDEX(HSI!$F$7:$F$106,$N276))</f>
        <v/>
      </c>
      <c r="G276" s="40">
        <f>IF($L276="","",IF($P276=0,"TBA",IFERROR(INDEX(Grids!$BQ$12:$EC$111,$N276,$O276),"-")))</f>
        <v/>
      </c>
      <c r="H276" s="41">
        <f>IF($L276="","",SUM($G$10:$G276))</f>
        <v/>
      </c>
      <c r="I276" s="42">
        <f>IF($L276="","",IF(INT(($L276-INT($L276/10000000)*10000000)/1000000)=0,"Bloomberg projection",IF($P276=1,"ANNOUNCED","ANNOUNCED - amount TBA")))</f>
        <v/>
      </c>
      <c r="J276" s="43">
        <f>IF($L276="","",IF((OV_SWITCH="ON")*(COUNTIFS(OVR_TICKERS,INDEX(HSI!$C$7:$C$106,$N276),OVR_BASE,"&gt;=0")&gt;0)&gt;0,"stock overridden",""))</f>
        <v/>
      </c>
      <c r="L276" s="35">
        <f>IFERROR(IF(SMALL(Grids!$EE$12:$GQ$111,$M$7+267)&gt;=PEND_TO,"",SMALL(Grids!$EE$12:$GQ$111,$M$7+267)),"")</f>
        <v/>
      </c>
      <c r="M276" s="35">
        <f>IF($L276="","",INT($L276/1000000000))</f>
        <v/>
      </c>
      <c r="N276" s="35">
        <f>IF($L276="","",INT(($L276-INT($L276/1000000)*1000000)/1000))</f>
        <v/>
      </c>
      <c r="O276" s="35">
        <f>IF($L276="","",$L276-INT($L276/1000)*1000)</f>
        <v/>
      </c>
      <c r="P276" s="35">
        <f>IF($L276="","",INT(($L276-INT($L276/1000000000)*1000000000)/100000000))</f>
        <v/>
      </c>
    </row>
    <row r="277">
      <c r="B277" s="39">
        <f>IF($L277="","",$M277)</f>
        <v/>
      </c>
      <c r="C277" s="18">
        <f>IF($L277="","",INDEX(HSI!$C$7:$C$106,$N277))</f>
        <v/>
      </c>
      <c r="D277" s="18">
        <f>IF($L277="","",INDEX(HSI!$D$7:$D$106,$N277))</f>
        <v/>
      </c>
      <c r="E277" s="40">
        <f>IF($L277="","",IF($P277=0,"TBA",IFERROR(INDEX(Grids!$C$12:$BO$111,$N277,$O277),"-")))</f>
        <v/>
      </c>
      <c r="F277" s="18">
        <f>IF($L277="","",INDEX(HSI!$F$7:$F$106,$N277))</f>
        <v/>
      </c>
      <c r="G277" s="40">
        <f>IF($L277="","",IF($P277=0,"TBA",IFERROR(INDEX(Grids!$BQ$12:$EC$111,$N277,$O277),"-")))</f>
        <v/>
      </c>
      <c r="H277" s="41">
        <f>IF($L277="","",SUM($G$10:$G277))</f>
        <v/>
      </c>
      <c r="I277" s="42">
        <f>IF($L277="","",IF(INT(($L277-INT($L277/10000000)*10000000)/1000000)=0,"Bloomberg projection",IF($P277=1,"ANNOUNCED","ANNOUNCED - amount TBA")))</f>
        <v/>
      </c>
      <c r="J277" s="43">
        <f>IF($L277="","",IF((OV_SWITCH="ON")*(COUNTIFS(OVR_TICKERS,INDEX(HSI!$C$7:$C$106,$N277),OVR_BASE,"&gt;=0")&gt;0)&gt;0,"stock overridden",""))</f>
        <v/>
      </c>
      <c r="L277" s="35">
        <f>IFERROR(IF(SMALL(Grids!$EE$12:$GQ$111,$M$7+268)&gt;=PEND_TO,"",SMALL(Grids!$EE$12:$GQ$111,$M$7+268)),"")</f>
        <v/>
      </c>
      <c r="M277" s="35">
        <f>IF($L277="","",INT($L277/1000000000))</f>
        <v/>
      </c>
      <c r="N277" s="35">
        <f>IF($L277="","",INT(($L277-INT($L277/1000000)*1000000)/1000))</f>
        <v/>
      </c>
      <c r="O277" s="35">
        <f>IF($L277="","",$L277-INT($L277/1000)*1000)</f>
        <v/>
      </c>
      <c r="P277" s="35">
        <f>IF($L277="","",INT(($L277-INT($L277/1000000000)*1000000000)/100000000))</f>
        <v/>
      </c>
    </row>
    <row r="278">
      <c r="B278" s="39">
        <f>IF($L278="","",$M278)</f>
        <v/>
      </c>
      <c r="C278" s="18">
        <f>IF($L278="","",INDEX(HSI!$C$7:$C$106,$N278))</f>
        <v/>
      </c>
      <c r="D278" s="18">
        <f>IF($L278="","",INDEX(HSI!$D$7:$D$106,$N278))</f>
        <v/>
      </c>
      <c r="E278" s="40">
        <f>IF($L278="","",IF($P278=0,"TBA",IFERROR(INDEX(Grids!$C$12:$BO$111,$N278,$O278),"-")))</f>
        <v/>
      </c>
      <c r="F278" s="18">
        <f>IF($L278="","",INDEX(HSI!$F$7:$F$106,$N278))</f>
        <v/>
      </c>
      <c r="G278" s="40">
        <f>IF($L278="","",IF($P278=0,"TBA",IFERROR(INDEX(Grids!$BQ$12:$EC$111,$N278,$O278),"-")))</f>
        <v/>
      </c>
      <c r="H278" s="41">
        <f>IF($L278="","",SUM($G$10:$G278))</f>
        <v/>
      </c>
      <c r="I278" s="42">
        <f>IF($L278="","",IF(INT(($L278-INT($L278/10000000)*10000000)/1000000)=0,"Bloomberg projection",IF($P278=1,"ANNOUNCED","ANNOUNCED - amount TBA")))</f>
        <v/>
      </c>
      <c r="J278" s="43">
        <f>IF($L278="","",IF((OV_SWITCH="ON")*(COUNTIFS(OVR_TICKERS,INDEX(HSI!$C$7:$C$106,$N278),OVR_BASE,"&gt;=0")&gt;0)&gt;0,"stock overridden",""))</f>
        <v/>
      </c>
      <c r="L278" s="35">
        <f>IFERROR(IF(SMALL(Grids!$EE$12:$GQ$111,$M$7+269)&gt;=PEND_TO,"",SMALL(Grids!$EE$12:$GQ$111,$M$7+269)),"")</f>
        <v/>
      </c>
      <c r="M278" s="35">
        <f>IF($L278="","",INT($L278/1000000000))</f>
        <v/>
      </c>
      <c r="N278" s="35">
        <f>IF($L278="","",INT(($L278-INT($L278/1000000)*1000000)/1000))</f>
        <v/>
      </c>
      <c r="O278" s="35">
        <f>IF($L278="","",$L278-INT($L278/1000)*1000)</f>
        <v/>
      </c>
      <c r="P278" s="35">
        <f>IF($L278="","",INT(($L278-INT($L278/1000000000)*1000000000)/100000000))</f>
        <v/>
      </c>
    </row>
    <row r="279">
      <c r="B279" s="39">
        <f>IF($L279="","",$M279)</f>
        <v/>
      </c>
      <c r="C279" s="18">
        <f>IF($L279="","",INDEX(HSI!$C$7:$C$106,$N279))</f>
        <v/>
      </c>
      <c r="D279" s="18">
        <f>IF($L279="","",INDEX(HSI!$D$7:$D$106,$N279))</f>
        <v/>
      </c>
      <c r="E279" s="40">
        <f>IF($L279="","",IF($P279=0,"TBA",IFERROR(INDEX(Grids!$C$12:$BO$111,$N279,$O279),"-")))</f>
        <v/>
      </c>
      <c r="F279" s="18">
        <f>IF($L279="","",INDEX(HSI!$F$7:$F$106,$N279))</f>
        <v/>
      </c>
      <c r="G279" s="40">
        <f>IF($L279="","",IF($P279=0,"TBA",IFERROR(INDEX(Grids!$BQ$12:$EC$111,$N279,$O279),"-")))</f>
        <v/>
      </c>
      <c r="H279" s="41">
        <f>IF($L279="","",SUM($G$10:$G279))</f>
        <v/>
      </c>
      <c r="I279" s="42">
        <f>IF($L279="","",IF(INT(($L279-INT($L279/10000000)*10000000)/1000000)=0,"Bloomberg projection",IF($P279=1,"ANNOUNCED","ANNOUNCED - amount TBA")))</f>
        <v/>
      </c>
      <c r="J279" s="43">
        <f>IF($L279="","",IF((OV_SWITCH="ON")*(COUNTIFS(OVR_TICKERS,INDEX(HSI!$C$7:$C$106,$N279),OVR_BASE,"&gt;=0")&gt;0)&gt;0,"stock overridden",""))</f>
        <v/>
      </c>
      <c r="L279" s="35">
        <f>IFERROR(IF(SMALL(Grids!$EE$12:$GQ$111,$M$7+270)&gt;=PEND_TO,"",SMALL(Grids!$EE$12:$GQ$111,$M$7+270)),"")</f>
        <v/>
      </c>
      <c r="M279" s="35">
        <f>IF($L279="","",INT($L279/1000000000))</f>
        <v/>
      </c>
      <c r="N279" s="35">
        <f>IF($L279="","",INT(($L279-INT($L279/1000000)*1000000)/1000))</f>
        <v/>
      </c>
      <c r="O279" s="35">
        <f>IF($L279="","",$L279-INT($L279/1000)*1000)</f>
        <v/>
      </c>
      <c r="P279" s="35">
        <f>IF($L279="","",INT(($L279-INT($L279/1000000000)*1000000000)/100000000))</f>
        <v/>
      </c>
    </row>
    <row r="280">
      <c r="B280" s="39">
        <f>IF($L280="","",$M280)</f>
        <v/>
      </c>
      <c r="C280" s="18">
        <f>IF($L280="","",INDEX(HSI!$C$7:$C$106,$N280))</f>
        <v/>
      </c>
      <c r="D280" s="18">
        <f>IF($L280="","",INDEX(HSI!$D$7:$D$106,$N280))</f>
        <v/>
      </c>
      <c r="E280" s="40">
        <f>IF($L280="","",IF($P280=0,"TBA",IFERROR(INDEX(Grids!$C$12:$BO$111,$N280,$O280),"-")))</f>
        <v/>
      </c>
      <c r="F280" s="18">
        <f>IF($L280="","",INDEX(HSI!$F$7:$F$106,$N280))</f>
        <v/>
      </c>
      <c r="G280" s="40">
        <f>IF($L280="","",IF($P280=0,"TBA",IFERROR(INDEX(Grids!$BQ$12:$EC$111,$N280,$O280),"-")))</f>
        <v/>
      </c>
      <c r="H280" s="41">
        <f>IF($L280="","",SUM($G$10:$G280))</f>
        <v/>
      </c>
      <c r="I280" s="42">
        <f>IF($L280="","",IF(INT(($L280-INT($L280/10000000)*10000000)/1000000)=0,"Bloomberg projection",IF($P280=1,"ANNOUNCED","ANNOUNCED - amount TBA")))</f>
        <v/>
      </c>
      <c r="J280" s="43">
        <f>IF($L280="","",IF((OV_SWITCH="ON")*(COUNTIFS(OVR_TICKERS,INDEX(HSI!$C$7:$C$106,$N280),OVR_BASE,"&gt;=0")&gt;0)&gt;0,"stock overridden",""))</f>
        <v/>
      </c>
      <c r="L280" s="35">
        <f>IFERROR(IF(SMALL(Grids!$EE$12:$GQ$111,$M$7+271)&gt;=PEND_TO,"",SMALL(Grids!$EE$12:$GQ$111,$M$7+271)),"")</f>
        <v/>
      </c>
      <c r="M280" s="35">
        <f>IF($L280="","",INT($L280/1000000000))</f>
        <v/>
      </c>
      <c r="N280" s="35">
        <f>IF($L280="","",INT(($L280-INT($L280/1000000)*1000000)/1000))</f>
        <v/>
      </c>
      <c r="O280" s="35">
        <f>IF($L280="","",$L280-INT($L280/1000)*1000)</f>
        <v/>
      </c>
      <c r="P280" s="35">
        <f>IF($L280="","",INT(($L280-INT($L280/1000000000)*1000000000)/100000000))</f>
        <v/>
      </c>
    </row>
    <row r="281">
      <c r="B281" s="39">
        <f>IF($L281="","",$M281)</f>
        <v/>
      </c>
      <c r="C281" s="18">
        <f>IF($L281="","",INDEX(HSI!$C$7:$C$106,$N281))</f>
        <v/>
      </c>
      <c r="D281" s="18">
        <f>IF($L281="","",INDEX(HSI!$D$7:$D$106,$N281))</f>
        <v/>
      </c>
      <c r="E281" s="40">
        <f>IF($L281="","",IF($P281=0,"TBA",IFERROR(INDEX(Grids!$C$12:$BO$111,$N281,$O281),"-")))</f>
        <v/>
      </c>
      <c r="F281" s="18">
        <f>IF($L281="","",INDEX(HSI!$F$7:$F$106,$N281))</f>
        <v/>
      </c>
      <c r="G281" s="40">
        <f>IF($L281="","",IF($P281=0,"TBA",IFERROR(INDEX(Grids!$BQ$12:$EC$111,$N281,$O281),"-")))</f>
        <v/>
      </c>
      <c r="H281" s="41">
        <f>IF($L281="","",SUM($G$10:$G281))</f>
        <v/>
      </c>
      <c r="I281" s="42">
        <f>IF($L281="","",IF(INT(($L281-INT($L281/10000000)*10000000)/1000000)=0,"Bloomberg projection",IF($P281=1,"ANNOUNCED","ANNOUNCED - amount TBA")))</f>
        <v/>
      </c>
      <c r="J281" s="43">
        <f>IF($L281="","",IF((OV_SWITCH="ON")*(COUNTIFS(OVR_TICKERS,INDEX(HSI!$C$7:$C$106,$N281),OVR_BASE,"&gt;=0")&gt;0)&gt;0,"stock overridden",""))</f>
        <v/>
      </c>
      <c r="L281" s="35">
        <f>IFERROR(IF(SMALL(Grids!$EE$12:$GQ$111,$M$7+272)&gt;=PEND_TO,"",SMALL(Grids!$EE$12:$GQ$111,$M$7+272)),"")</f>
        <v/>
      </c>
      <c r="M281" s="35">
        <f>IF($L281="","",INT($L281/1000000000))</f>
        <v/>
      </c>
      <c r="N281" s="35">
        <f>IF($L281="","",INT(($L281-INT($L281/1000000)*1000000)/1000))</f>
        <v/>
      </c>
      <c r="O281" s="35">
        <f>IF($L281="","",$L281-INT($L281/1000)*1000)</f>
        <v/>
      </c>
      <c r="P281" s="35">
        <f>IF($L281="","",INT(($L281-INT($L281/1000000000)*1000000000)/100000000))</f>
        <v/>
      </c>
    </row>
    <row r="282">
      <c r="B282" s="39">
        <f>IF($L282="","",$M282)</f>
        <v/>
      </c>
      <c r="C282" s="18">
        <f>IF($L282="","",INDEX(HSI!$C$7:$C$106,$N282))</f>
        <v/>
      </c>
      <c r="D282" s="18">
        <f>IF($L282="","",INDEX(HSI!$D$7:$D$106,$N282))</f>
        <v/>
      </c>
      <c r="E282" s="40">
        <f>IF($L282="","",IF($P282=0,"TBA",IFERROR(INDEX(Grids!$C$12:$BO$111,$N282,$O282),"-")))</f>
        <v/>
      </c>
      <c r="F282" s="18">
        <f>IF($L282="","",INDEX(HSI!$F$7:$F$106,$N282))</f>
        <v/>
      </c>
      <c r="G282" s="40">
        <f>IF($L282="","",IF($P282=0,"TBA",IFERROR(INDEX(Grids!$BQ$12:$EC$111,$N282,$O282),"-")))</f>
        <v/>
      </c>
      <c r="H282" s="41">
        <f>IF($L282="","",SUM($G$10:$G282))</f>
        <v/>
      </c>
      <c r="I282" s="42">
        <f>IF($L282="","",IF(INT(($L282-INT($L282/10000000)*10000000)/1000000)=0,"Bloomberg projection",IF($P282=1,"ANNOUNCED","ANNOUNCED - amount TBA")))</f>
        <v/>
      </c>
      <c r="J282" s="43">
        <f>IF($L282="","",IF((OV_SWITCH="ON")*(COUNTIFS(OVR_TICKERS,INDEX(HSI!$C$7:$C$106,$N282),OVR_BASE,"&gt;=0")&gt;0)&gt;0,"stock overridden",""))</f>
        <v/>
      </c>
      <c r="L282" s="35">
        <f>IFERROR(IF(SMALL(Grids!$EE$12:$GQ$111,$M$7+273)&gt;=PEND_TO,"",SMALL(Grids!$EE$12:$GQ$111,$M$7+273)),"")</f>
        <v/>
      </c>
      <c r="M282" s="35">
        <f>IF($L282="","",INT($L282/1000000000))</f>
        <v/>
      </c>
      <c r="N282" s="35">
        <f>IF($L282="","",INT(($L282-INT($L282/1000000)*1000000)/1000))</f>
        <v/>
      </c>
      <c r="O282" s="35">
        <f>IF($L282="","",$L282-INT($L282/1000)*1000)</f>
        <v/>
      </c>
      <c r="P282" s="35">
        <f>IF($L282="","",INT(($L282-INT($L282/1000000000)*1000000000)/100000000))</f>
        <v/>
      </c>
    </row>
    <row r="283">
      <c r="B283" s="39">
        <f>IF($L283="","",$M283)</f>
        <v/>
      </c>
      <c r="C283" s="18">
        <f>IF($L283="","",INDEX(HSI!$C$7:$C$106,$N283))</f>
        <v/>
      </c>
      <c r="D283" s="18">
        <f>IF($L283="","",INDEX(HSI!$D$7:$D$106,$N283))</f>
        <v/>
      </c>
      <c r="E283" s="40">
        <f>IF($L283="","",IF($P283=0,"TBA",IFERROR(INDEX(Grids!$C$12:$BO$111,$N283,$O283),"-")))</f>
        <v/>
      </c>
      <c r="F283" s="18">
        <f>IF($L283="","",INDEX(HSI!$F$7:$F$106,$N283))</f>
        <v/>
      </c>
      <c r="G283" s="40">
        <f>IF($L283="","",IF($P283=0,"TBA",IFERROR(INDEX(Grids!$BQ$12:$EC$111,$N283,$O283),"-")))</f>
        <v/>
      </c>
      <c r="H283" s="41">
        <f>IF($L283="","",SUM($G$10:$G283))</f>
        <v/>
      </c>
      <c r="I283" s="42">
        <f>IF($L283="","",IF(INT(($L283-INT($L283/10000000)*10000000)/1000000)=0,"Bloomberg projection",IF($P283=1,"ANNOUNCED","ANNOUNCED - amount TBA")))</f>
        <v/>
      </c>
      <c r="J283" s="43">
        <f>IF($L283="","",IF((OV_SWITCH="ON")*(COUNTIFS(OVR_TICKERS,INDEX(HSI!$C$7:$C$106,$N283),OVR_BASE,"&gt;=0")&gt;0)&gt;0,"stock overridden",""))</f>
        <v/>
      </c>
      <c r="L283" s="35">
        <f>IFERROR(IF(SMALL(Grids!$EE$12:$GQ$111,$M$7+274)&gt;=PEND_TO,"",SMALL(Grids!$EE$12:$GQ$111,$M$7+274)),"")</f>
        <v/>
      </c>
      <c r="M283" s="35">
        <f>IF($L283="","",INT($L283/1000000000))</f>
        <v/>
      </c>
      <c r="N283" s="35">
        <f>IF($L283="","",INT(($L283-INT($L283/1000000)*1000000)/1000))</f>
        <v/>
      </c>
      <c r="O283" s="35">
        <f>IF($L283="","",$L283-INT($L283/1000)*1000)</f>
        <v/>
      </c>
      <c r="P283" s="35">
        <f>IF($L283="","",INT(($L283-INT($L283/1000000000)*1000000000)/100000000))</f>
        <v/>
      </c>
    </row>
    <row r="284">
      <c r="B284" s="39">
        <f>IF($L284="","",$M284)</f>
        <v/>
      </c>
      <c r="C284" s="18">
        <f>IF($L284="","",INDEX(HSI!$C$7:$C$106,$N284))</f>
        <v/>
      </c>
      <c r="D284" s="18">
        <f>IF($L284="","",INDEX(HSI!$D$7:$D$106,$N284))</f>
        <v/>
      </c>
      <c r="E284" s="40">
        <f>IF($L284="","",IF($P284=0,"TBA",IFERROR(INDEX(Grids!$C$12:$BO$111,$N284,$O284),"-")))</f>
        <v/>
      </c>
      <c r="F284" s="18">
        <f>IF($L284="","",INDEX(HSI!$F$7:$F$106,$N284))</f>
        <v/>
      </c>
      <c r="G284" s="40">
        <f>IF($L284="","",IF($P284=0,"TBA",IFERROR(INDEX(Grids!$BQ$12:$EC$111,$N284,$O284),"-")))</f>
        <v/>
      </c>
      <c r="H284" s="41">
        <f>IF($L284="","",SUM($G$10:$G284))</f>
        <v/>
      </c>
      <c r="I284" s="42">
        <f>IF($L284="","",IF(INT(($L284-INT($L284/10000000)*10000000)/1000000)=0,"Bloomberg projection",IF($P284=1,"ANNOUNCED","ANNOUNCED - amount TBA")))</f>
        <v/>
      </c>
      <c r="J284" s="43">
        <f>IF($L284="","",IF((OV_SWITCH="ON")*(COUNTIFS(OVR_TICKERS,INDEX(HSI!$C$7:$C$106,$N284),OVR_BASE,"&gt;=0")&gt;0)&gt;0,"stock overridden",""))</f>
        <v/>
      </c>
      <c r="L284" s="35">
        <f>IFERROR(IF(SMALL(Grids!$EE$12:$GQ$111,$M$7+275)&gt;=PEND_TO,"",SMALL(Grids!$EE$12:$GQ$111,$M$7+275)),"")</f>
        <v/>
      </c>
      <c r="M284" s="35">
        <f>IF($L284="","",INT($L284/1000000000))</f>
        <v/>
      </c>
      <c r="N284" s="35">
        <f>IF($L284="","",INT(($L284-INT($L284/1000000)*1000000)/1000))</f>
        <v/>
      </c>
      <c r="O284" s="35">
        <f>IF($L284="","",$L284-INT($L284/1000)*1000)</f>
        <v/>
      </c>
      <c r="P284" s="35">
        <f>IF($L284="","",INT(($L284-INT($L284/1000000000)*1000000000)/100000000))</f>
        <v/>
      </c>
    </row>
    <row r="285">
      <c r="B285" s="39">
        <f>IF($L285="","",$M285)</f>
        <v/>
      </c>
      <c r="C285" s="18">
        <f>IF($L285="","",INDEX(HSI!$C$7:$C$106,$N285))</f>
        <v/>
      </c>
      <c r="D285" s="18">
        <f>IF($L285="","",INDEX(HSI!$D$7:$D$106,$N285))</f>
        <v/>
      </c>
      <c r="E285" s="40">
        <f>IF($L285="","",IF($P285=0,"TBA",IFERROR(INDEX(Grids!$C$12:$BO$111,$N285,$O285),"-")))</f>
        <v/>
      </c>
      <c r="F285" s="18">
        <f>IF($L285="","",INDEX(HSI!$F$7:$F$106,$N285))</f>
        <v/>
      </c>
      <c r="G285" s="40">
        <f>IF($L285="","",IF($P285=0,"TBA",IFERROR(INDEX(Grids!$BQ$12:$EC$111,$N285,$O285),"-")))</f>
        <v/>
      </c>
      <c r="H285" s="41">
        <f>IF($L285="","",SUM($G$10:$G285))</f>
        <v/>
      </c>
      <c r="I285" s="42">
        <f>IF($L285="","",IF(INT(($L285-INT($L285/10000000)*10000000)/1000000)=0,"Bloomberg projection",IF($P285=1,"ANNOUNCED","ANNOUNCED - amount TBA")))</f>
        <v/>
      </c>
      <c r="J285" s="43">
        <f>IF($L285="","",IF((OV_SWITCH="ON")*(COUNTIFS(OVR_TICKERS,INDEX(HSI!$C$7:$C$106,$N285),OVR_BASE,"&gt;=0")&gt;0)&gt;0,"stock overridden",""))</f>
        <v/>
      </c>
      <c r="L285" s="35">
        <f>IFERROR(IF(SMALL(Grids!$EE$12:$GQ$111,$M$7+276)&gt;=PEND_TO,"",SMALL(Grids!$EE$12:$GQ$111,$M$7+276)),"")</f>
        <v/>
      </c>
      <c r="M285" s="35">
        <f>IF($L285="","",INT($L285/1000000000))</f>
        <v/>
      </c>
      <c r="N285" s="35">
        <f>IF($L285="","",INT(($L285-INT($L285/1000000)*1000000)/1000))</f>
        <v/>
      </c>
      <c r="O285" s="35">
        <f>IF($L285="","",$L285-INT($L285/1000)*1000)</f>
        <v/>
      </c>
      <c r="P285" s="35">
        <f>IF($L285="","",INT(($L285-INT($L285/1000000000)*1000000000)/100000000))</f>
        <v/>
      </c>
    </row>
    <row r="286">
      <c r="B286" s="39">
        <f>IF($L286="","",$M286)</f>
        <v/>
      </c>
      <c r="C286" s="18">
        <f>IF($L286="","",INDEX(HSI!$C$7:$C$106,$N286))</f>
        <v/>
      </c>
      <c r="D286" s="18">
        <f>IF($L286="","",INDEX(HSI!$D$7:$D$106,$N286))</f>
        <v/>
      </c>
      <c r="E286" s="40">
        <f>IF($L286="","",IF($P286=0,"TBA",IFERROR(INDEX(Grids!$C$12:$BO$111,$N286,$O286),"-")))</f>
        <v/>
      </c>
      <c r="F286" s="18">
        <f>IF($L286="","",INDEX(HSI!$F$7:$F$106,$N286))</f>
        <v/>
      </c>
      <c r="G286" s="40">
        <f>IF($L286="","",IF($P286=0,"TBA",IFERROR(INDEX(Grids!$BQ$12:$EC$111,$N286,$O286),"-")))</f>
        <v/>
      </c>
      <c r="H286" s="41">
        <f>IF($L286="","",SUM($G$10:$G286))</f>
        <v/>
      </c>
      <c r="I286" s="42">
        <f>IF($L286="","",IF(INT(($L286-INT($L286/10000000)*10000000)/1000000)=0,"Bloomberg projection",IF($P286=1,"ANNOUNCED","ANNOUNCED - amount TBA")))</f>
        <v/>
      </c>
      <c r="J286" s="43">
        <f>IF($L286="","",IF((OV_SWITCH="ON")*(COUNTIFS(OVR_TICKERS,INDEX(HSI!$C$7:$C$106,$N286),OVR_BASE,"&gt;=0")&gt;0)&gt;0,"stock overridden",""))</f>
        <v/>
      </c>
      <c r="L286" s="35">
        <f>IFERROR(IF(SMALL(Grids!$EE$12:$GQ$111,$M$7+277)&gt;=PEND_TO,"",SMALL(Grids!$EE$12:$GQ$111,$M$7+277)),"")</f>
        <v/>
      </c>
      <c r="M286" s="35">
        <f>IF($L286="","",INT($L286/1000000000))</f>
        <v/>
      </c>
      <c r="N286" s="35">
        <f>IF($L286="","",INT(($L286-INT($L286/1000000)*1000000)/1000))</f>
        <v/>
      </c>
      <c r="O286" s="35">
        <f>IF($L286="","",$L286-INT($L286/1000)*1000)</f>
        <v/>
      </c>
      <c r="P286" s="35">
        <f>IF($L286="","",INT(($L286-INT($L286/1000000000)*1000000000)/100000000))</f>
        <v/>
      </c>
    </row>
    <row r="287">
      <c r="B287" s="39">
        <f>IF($L287="","",$M287)</f>
        <v/>
      </c>
      <c r="C287" s="18">
        <f>IF($L287="","",INDEX(HSI!$C$7:$C$106,$N287))</f>
        <v/>
      </c>
      <c r="D287" s="18">
        <f>IF($L287="","",INDEX(HSI!$D$7:$D$106,$N287))</f>
        <v/>
      </c>
      <c r="E287" s="40">
        <f>IF($L287="","",IF($P287=0,"TBA",IFERROR(INDEX(Grids!$C$12:$BO$111,$N287,$O287),"-")))</f>
        <v/>
      </c>
      <c r="F287" s="18">
        <f>IF($L287="","",INDEX(HSI!$F$7:$F$106,$N287))</f>
        <v/>
      </c>
      <c r="G287" s="40">
        <f>IF($L287="","",IF($P287=0,"TBA",IFERROR(INDEX(Grids!$BQ$12:$EC$111,$N287,$O287),"-")))</f>
        <v/>
      </c>
      <c r="H287" s="41">
        <f>IF($L287="","",SUM($G$10:$G287))</f>
        <v/>
      </c>
      <c r="I287" s="42">
        <f>IF($L287="","",IF(INT(($L287-INT($L287/10000000)*10000000)/1000000)=0,"Bloomberg projection",IF($P287=1,"ANNOUNCED","ANNOUNCED - amount TBA")))</f>
        <v/>
      </c>
      <c r="J287" s="43">
        <f>IF($L287="","",IF((OV_SWITCH="ON")*(COUNTIFS(OVR_TICKERS,INDEX(HSI!$C$7:$C$106,$N287),OVR_BASE,"&gt;=0")&gt;0)&gt;0,"stock overridden",""))</f>
        <v/>
      </c>
      <c r="L287" s="35">
        <f>IFERROR(IF(SMALL(Grids!$EE$12:$GQ$111,$M$7+278)&gt;=PEND_TO,"",SMALL(Grids!$EE$12:$GQ$111,$M$7+278)),"")</f>
        <v/>
      </c>
      <c r="M287" s="35">
        <f>IF($L287="","",INT($L287/1000000000))</f>
        <v/>
      </c>
      <c r="N287" s="35">
        <f>IF($L287="","",INT(($L287-INT($L287/1000000)*1000000)/1000))</f>
        <v/>
      </c>
      <c r="O287" s="35">
        <f>IF($L287="","",$L287-INT($L287/1000)*1000)</f>
        <v/>
      </c>
      <c r="P287" s="35">
        <f>IF($L287="","",INT(($L287-INT($L287/1000000000)*1000000000)/100000000))</f>
        <v/>
      </c>
    </row>
    <row r="288">
      <c r="B288" s="39">
        <f>IF($L288="","",$M288)</f>
        <v/>
      </c>
      <c r="C288" s="18">
        <f>IF($L288="","",INDEX(HSI!$C$7:$C$106,$N288))</f>
        <v/>
      </c>
      <c r="D288" s="18">
        <f>IF($L288="","",INDEX(HSI!$D$7:$D$106,$N288))</f>
        <v/>
      </c>
      <c r="E288" s="40">
        <f>IF($L288="","",IF($P288=0,"TBA",IFERROR(INDEX(Grids!$C$12:$BO$111,$N288,$O288),"-")))</f>
        <v/>
      </c>
      <c r="F288" s="18">
        <f>IF($L288="","",INDEX(HSI!$F$7:$F$106,$N288))</f>
        <v/>
      </c>
      <c r="G288" s="40">
        <f>IF($L288="","",IF($P288=0,"TBA",IFERROR(INDEX(Grids!$BQ$12:$EC$111,$N288,$O288),"-")))</f>
        <v/>
      </c>
      <c r="H288" s="41">
        <f>IF($L288="","",SUM($G$10:$G288))</f>
        <v/>
      </c>
      <c r="I288" s="42">
        <f>IF($L288="","",IF(INT(($L288-INT($L288/10000000)*10000000)/1000000)=0,"Bloomberg projection",IF($P288=1,"ANNOUNCED","ANNOUNCED - amount TBA")))</f>
        <v/>
      </c>
      <c r="J288" s="43">
        <f>IF($L288="","",IF((OV_SWITCH="ON")*(COUNTIFS(OVR_TICKERS,INDEX(HSI!$C$7:$C$106,$N288),OVR_BASE,"&gt;=0")&gt;0)&gt;0,"stock overridden",""))</f>
        <v/>
      </c>
      <c r="L288" s="35">
        <f>IFERROR(IF(SMALL(Grids!$EE$12:$GQ$111,$M$7+279)&gt;=PEND_TO,"",SMALL(Grids!$EE$12:$GQ$111,$M$7+279)),"")</f>
        <v/>
      </c>
      <c r="M288" s="35">
        <f>IF($L288="","",INT($L288/1000000000))</f>
        <v/>
      </c>
      <c r="N288" s="35">
        <f>IF($L288="","",INT(($L288-INT($L288/1000000)*1000000)/1000))</f>
        <v/>
      </c>
      <c r="O288" s="35">
        <f>IF($L288="","",$L288-INT($L288/1000)*1000)</f>
        <v/>
      </c>
      <c r="P288" s="35">
        <f>IF($L288="","",INT(($L288-INT($L288/1000000000)*1000000000)/100000000))</f>
        <v/>
      </c>
    </row>
    <row r="289">
      <c r="B289" s="39">
        <f>IF($L289="","",$M289)</f>
        <v/>
      </c>
      <c r="C289" s="18">
        <f>IF($L289="","",INDEX(HSI!$C$7:$C$106,$N289))</f>
        <v/>
      </c>
      <c r="D289" s="18">
        <f>IF($L289="","",INDEX(HSI!$D$7:$D$106,$N289))</f>
        <v/>
      </c>
      <c r="E289" s="40">
        <f>IF($L289="","",IF($P289=0,"TBA",IFERROR(INDEX(Grids!$C$12:$BO$111,$N289,$O289),"-")))</f>
        <v/>
      </c>
      <c r="F289" s="18">
        <f>IF($L289="","",INDEX(HSI!$F$7:$F$106,$N289))</f>
        <v/>
      </c>
      <c r="G289" s="40">
        <f>IF($L289="","",IF($P289=0,"TBA",IFERROR(INDEX(Grids!$BQ$12:$EC$111,$N289,$O289),"-")))</f>
        <v/>
      </c>
      <c r="H289" s="41">
        <f>IF($L289="","",SUM($G$10:$G289))</f>
        <v/>
      </c>
      <c r="I289" s="42">
        <f>IF($L289="","",IF(INT(($L289-INT($L289/10000000)*10000000)/1000000)=0,"Bloomberg projection",IF($P289=1,"ANNOUNCED","ANNOUNCED - amount TBA")))</f>
        <v/>
      </c>
      <c r="J289" s="43">
        <f>IF($L289="","",IF((OV_SWITCH="ON")*(COUNTIFS(OVR_TICKERS,INDEX(HSI!$C$7:$C$106,$N289),OVR_BASE,"&gt;=0")&gt;0)&gt;0,"stock overridden",""))</f>
        <v/>
      </c>
      <c r="L289" s="35">
        <f>IFERROR(IF(SMALL(Grids!$EE$12:$GQ$111,$M$7+280)&gt;=PEND_TO,"",SMALL(Grids!$EE$12:$GQ$111,$M$7+280)),"")</f>
        <v/>
      </c>
      <c r="M289" s="35">
        <f>IF($L289="","",INT($L289/1000000000))</f>
        <v/>
      </c>
      <c r="N289" s="35">
        <f>IF($L289="","",INT(($L289-INT($L289/1000000)*1000000)/1000))</f>
        <v/>
      </c>
      <c r="O289" s="35">
        <f>IF($L289="","",$L289-INT($L289/1000)*1000)</f>
        <v/>
      </c>
      <c r="P289" s="35">
        <f>IF($L289="","",INT(($L289-INT($L289/1000000000)*1000000000)/100000000))</f>
        <v/>
      </c>
    </row>
    <row r="290">
      <c r="B290" s="39">
        <f>IF($L290="","",$M290)</f>
        <v/>
      </c>
      <c r="C290" s="18">
        <f>IF($L290="","",INDEX(HSI!$C$7:$C$106,$N290))</f>
        <v/>
      </c>
      <c r="D290" s="18">
        <f>IF($L290="","",INDEX(HSI!$D$7:$D$106,$N290))</f>
        <v/>
      </c>
      <c r="E290" s="40">
        <f>IF($L290="","",IF($P290=0,"TBA",IFERROR(INDEX(Grids!$C$12:$BO$111,$N290,$O290),"-")))</f>
        <v/>
      </c>
      <c r="F290" s="18">
        <f>IF($L290="","",INDEX(HSI!$F$7:$F$106,$N290))</f>
        <v/>
      </c>
      <c r="G290" s="40">
        <f>IF($L290="","",IF($P290=0,"TBA",IFERROR(INDEX(Grids!$BQ$12:$EC$111,$N290,$O290),"-")))</f>
        <v/>
      </c>
      <c r="H290" s="41">
        <f>IF($L290="","",SUM($G$10:$G290))</f>
        <v/>
      </c>
      <c r="I290" s="42">
        <f>IF($L290="","",IF(INT(($L290-INT($L290/10000000)*10000000)/1000000)=0,"Bloomberg projection",IF($P290=1,"ANNOUNCED","ANNOUNCED - amount TBA")))</f>
        <v/>
      </c>
      <c r="J290" s="43">
        <f>IF($L290="","",IF((OV_SWITCH="ON")*(COUNTIFS(OVR_TICKERS,INDEX(HSI!$C$7:$C$106,$N290),OVR_BASE,"&gt;=0")&gt;0)&gt;0,"stock overridden",""))</f>
        <v/>
      </c>
      <c r="L290" s="35">
        <f>IFERROR(IF(SMALL(Grids!$EE$12:$GQ$111,$M$7+281)&gt;=PEND_TO,"",SMALL(Grids!$EE$12:$GQ$111,$M$7+281)),"")</f>
        <v/>
      </c>
      <c r="M290" s="35">
        <f>IF($L290="","",INT($L290/1000000000))</f>
        <v/>
      </c>
      <c r="N290" s="35">
        <f>IF($L290="","",INT(($L290-INT($L290/1000000)*1000000)/1000))</f>
        <v/>
      </c>
      <c r="O290" s="35">
        <f>IF($L290="","",$L290-INT($L290/1000)*1000)</f>
        <v/>
      </c>
      <c r="P290" s="35">
        <f>IF($L290="","",INT(($L290-INT($L290/1000000000)*1000000000)/100000000))</f>
        <v/>
      </c>
    </row>
    <row r="291">
      <c r="B291" s="39">
        <f>IF($L291="","",$M291)</f>
        <v/>
      </c>
      <c r="C291" s="18">
        <f>IF($L291="","",INDEX(HSI!$C$7:$C$106,$N291))</f>
        <v/>
      </c>
      <c r="D291" s="18">
        <f>IF($L291="","",INDEX(HSI!$D$7:$D$106,$N291))</f>
        <v/>
      </c>
      <c r="E291" s="40">
        <f>IF($L291="","",IF($P291=0,"TBA",IFERROR(INDEX(Grids!$C$12:$BO$111,$N291,$O291),"-")))</f>
        <v/>
      </c>
      <c r="F291" s="18">
        <f>IF($L291="","",INDEX(HSI!$F$7:$F$106,$N291))</f>
        <v/>
      </c>
      <c r="G291" s="40">
        <f>IF($L291="","",IF($P291=0,"TBA",IFERROR(INDEX(Grids!$BQ$12:$EC$111,$N291,$O291),"-")))</f>
        <v/>
      </c>
      <c r="H291" s="41">
        <f>IF($L291="","",SUM($G$10:$G291))</f>
        <v/>
      </c>
      <c r="I291" s="42">
        <f>IF($L291="","",IF(INT(($L291-INT($L291/10000000)*10000000)/1000000)=0,"Bloomberg projection",IF($P291=1,"ANNOUNCED","ANNOUNCED - amount TBA")))</f>
        <v/>
      </c>
      <c r="J291" s="43">
        <f>IF($L291="","",IF((OV_SWITCH="ON")*(COUNTIFS(OVR_TICKERS,INDEX(HSI!$C$7:$C$106,$N291),OVR_BASE,"&gt;=0")&gt;0)&gt;0,"stock overridden",""))</f>
        <v/>
      </c>
      <c r="L291" s="35">
        <f>IFERROR(IF(SMALL(Grids!$EE$12:$GQ$111,$M$7+282)&gt;=PEND_TO,"",SMALL(Grids!$EE$12:$GQ$111,$M$7+282)),"")</f>
        <v/>
      </c>
      <c r="M291" s="35">
        <f>IF($L291="","",INT($L291/1000000000))</f>
        <v/>
      </c>
      <c r="N291" s="35">
        <f>IF($L291="","",INT(($L291-INT($L291/1000000)*1000000)/1000))</f>
        <v/>
      </c>
      <c r="O291" s="35">
        <f>IF($L291="","",$L291-INT($L291/1000)*1000)</f>
        <v/>
      </c>
      <c r="P291" s="35">
        <f>IF($L291="","",INT(($L291-INT($L291/1000000000)*1000000000)/100000000))</f>
        <v/>
      </c>
    </row>
    <row r="292">
      <c r="B292" s="39">
        <f>IF($L292="","",$M292)</f>
        <v/>
      </c>
      <c r="C292" s="18">
        <f>IF($L292="","",INDEX(HSI!$C$7:$C$106,$N292))</f>
        <v/>
      </c>
      <c r="D292" s="18">
        <f>IF($L292="","",INDEX(HSI!$D$7:$D$106,$N292))</f>
        <v/>
      </c>
      <c r="E292" s="40">
        <f>IF($L292="","",IF($P292=0,"TBA",IFERROR(INDEX(Grids!$C$12:$BO$111,$N292,$O292),"-")))</f>
        <v/>
      </c>
      <c r="F292" s="18">
        <f>IF($L292="","",INDEX(HSI!$F$7:$F$106,$N292))</f>
        <v/>
      </c>
      <c r="G292" s="40">
        <f>IF($L292="","",IF($P292=0,"TBA",IFERROR(INDEX(Grids!$BQ$12:$EC$111,$N292,$O292),"-")))</f>
        <v/>
      </c>
      <c r="H292" s="41">
        <f>IF($L292="","",SUM($G$10:$G292))</f>
        <v/>
      </c>
      <c r="I292" s="42">
        <f>IF($L292="","",IF(INT(($L292-INT($L292/10000000)*10000000)/1000000)=0,"Bloomberg projection",IF($P292=1,"ANNOUNCED","ANNOUNCED - amount TBA")))</f>
        <v/>
      </c>
      <c r="J292" s="43">
        <f>IF($L292="","",IF((OV_SWITCH="ON")*(COUNTIFS(OVR_TICKERS,INDEX(HSI!$C$7:$C$106,$N292),OVR_BASE,"&gt;=0")&gt;0)&gt;0,"stock overridden",""))</f>
        <v/>
      </c>
      <c r="L292" s="35">
        <f>IFERROR(IF(SMALL(Grids!$EE$12:$GQ$111,$M$7+283)&gt;=PEND_TO,"",SMALL(Grids!$EE$12:$GQ$111,$M$7+283)),"")</f>
        <v/>
      </c>
      <c r="M292" s="35">
        <f>IF($L292="","",INT($L292/1000000000))</f>
        <v/>
      </c>
      <c r="N292" s="35">
        <f>IF($L292="","",INT(($L292-INT($L292/1000000)*1000000)/1000))</f>
        <v/>
      </c>
      <c r="O292" s="35">
        <f>IF($L292="","",$L292-INT($L292/1000)*1000)</f>
        <v/>
      </c>
      <c r="P292" s="35">
        <f>IF($L292="","",INT(($L292-INT($L292/1000000000)*1000000000)/100000000))</f>
        <v/>
      </c>
    </row>
    <row r="293">
      <c r="B293" s="39">
        <f>IF($L293="","",$M293)</f>
        <v/>
      </c>
      <c r="C293" s="18">
        <f>IF($L293="","",INDEX(HSI!$C$7:$C$106,$N293))</f>
        <v/>
      </c>
      <c r="D293" s="18">
        <f>IF($L293="","",INDEX(HSI!$D$7:$D$106,$N293))</f>
        <v/>
      </c>
      <c r="E293" s="40">
        <f>IF($L293="","",IF($P293=0,"TBA",IFERROR(INDEX(Grids!$C$12:$BO$111,$N293,$O293),"-")))</f>
        <v/>
      </c>
      <c r="F293" s="18">
        <f>IF($L293="","",INDEX(HSI!$F$7:$F$106,$N293))</f>
        <v/>
      </c>
      <c r="G293" s="40">
        <f>IF($L293="","",IF($P293=0,"TBA",IFERROR(INDEX(Grids!$BQ$12:$EC$111,$N293,$O293),"-")))</f>
        <v/>
      </c>
      <c r="H293" s="41">
        <f>IF($L293="","",SUM($G$10:$G293))</f>
        <v/>
      </c>
      <c r="I293" s="42">
        <f>IF($L293="","",IF(INT(($L293-INT($L293/10000000)*10000000)/1000000)=0,"Bloomberg projection",IF($P293=1,"ANNOUNCED","ANNOUNCED - amount TBA")))</f>
        <v/>
      </c>
      <c r="J293" s="43">
        <f>IF($L293="","",IF((OV_SWITCH="ON")*(COUNTIFS(OVR_TICKERS,INDEX(HSI!$C$7:$C$106,$N293),OVR_BASE,"&gt;=0")&gt;0)&gt;0,"stock overridden",""))</f>
        <v/>
      </c>
      <c r="L293" s="35">
        <f>IFERROR(IF(SMALL(Grids!$EE$12:$GQ$111,$M$7+284)&gt;=PEND_TO,"",SMALL(Grids!$EE$12:$GQ$111,$M$7+284)),"")</f>
        <v/>
      </c>
      <c r="M293" s="35">
        <f>IF($L293="","",INT($L293/1000000000))</f>
        <v/>
      </c>
      <c r="N293" s="35">
        <f>IF($L293="","",INT(($L293-INT($L293/1000000)*1000000)/1000))</f>
        <v/>
      </c>
      <c r="O293" s="35">
        <f>IF($L293="","",$L293-INT($L293/1000)*1000)</f>
        <v/>
      </c>
      <c r="P293" s="35">
        <f>IF($L293="","",INT(($L293-INT($L293/1000000000)*1000000000)/100000000))</f>
        <v/>
      </c>
    </row>
    <row r="294">
      <c r="B294" s="39">
        <f>IF($L294="","",$M294)</f>
        <v/>
      </c>
      <c r="C294" s="18">
        <f>IF($L294="","",INDEX(HSI!$C$7:$C$106,$N294))</f>
        <v/>
      </c>
      <c r="D294" s="18">
        <f>IF($L294="","",INDEX(HSI!$D$7:$D$106,$N294))</f>
        <v/>
      </c>
      <c r="E294" s="40">
        <f>IF($L294="","",IF($P294=0,"TBA",IFERROR(INDEX(Grids!$C$12:$BO$111,$N294,$O294),"-")))</f>
        <v/>
      </c>
      <c r="F294" s="18">
        <f>IF($L294="","",INDEX(HSI!$F$7:$F$106,$N294))</f>
        <v/>
      </c>
      <c r="G294" s="40">
        <f>IF($L294="","",IF($P294=0,"TBA",IFERROR(INDEX(Grids!$BQ$12:$EC$111,$N294,$O294),"-")))</f>
        <v/>
      </c>
      <c r="H294" s="41">
        <f>IF($L294="","",SUM($G$10:$G294))</f>
        <v/>
      </c>
      <c r="I294" s="42">
        <f>IF($L294="","",IF(INT(($L294-INT($L294/10000000)*10000000)/1000000)=0,"Bloomberg projection",IF($P294=1,"ANNOUNCED","ANNOUNCED - amount TBA")))</f>
        <v/>
      </c>
      <c r="J294" s="43">
        <f>IF($L294="","",IF((OV_SWITCH="ON")*(COUNTIFS(OVR_TICKERS,INDEX(HSI!$C$7:$C$106,$N294),OVR_BASE,"&gt;=0")&gt;0)&gt;0,"stock overridden",""))</f>
        <v/>
      </c>
      <c r="L294" s="35">
        <f>IFERROR(IF(SMALL(Grids!$EE$12:$GQ$111,$M$7+285)&gt;=PEND_TO,"",SMALL(Grids!$EE$12:$GQ$111,$M$7+285)),"")</f>
        <v/>
      </c>
      <c r="M294" s="35">
        <f>IF($L294="","",INT($L294/1000000000))</f>
        <v/>
      </c>
      <c r="N294" s="35">
        <f>IF($L294="","",INT(($L294-INT($L294/1000000)*1000000)/1000))</f>
        <v/>
      </c>
      <c r="O294" s="35">
        <f>IF($L294="","",$L294-INT($L294/1000)*1000)</f>
        <v/>
      </c>
      <c r="P294" s="35">
        <f>IF($L294="","",INT(($L294-INT($L294/1000000000)*1000000000)/100000000))</f>
        <v/>
      </c>
    </row>
    <row r="295">
      <c r="B295" s="39">
        <f>IF($L295="","",$M295)</f>
        <v/>
      </c>
      <c r="C295" s="18">
        <f>IF($L295="","",INDEX(HSI!$C$7:$C$106,$N295))</f>
        <v/>
      </c>
      <c r="D295" s="18">
        <f>IF($L295="","",INDEX(HSI!$D$7:$D$106,$N295))</f>
        <v/>
      </c>
      <c r="E295" s="40">
        <f>IF($L295="","",IF($P295=0,"TBA",IFERROR(INDEX(Grids!$C$12:$BO$111,$N295,$O295),"-")))</f>
        <v/>
      </c>
      <c r="F295" s="18">
        <f>IF($L295="","",INDEX(HSI!$F$7:$F$106,$N295))</f>
        <v/>
      </c>
      <c r="G295" s="40">
        <f>IF($L295="","",IF($P295=0,"TBA",IFERROR(INDEX(Grids!$BQ$12:$EC$111,$N295,$O295),"-")))</f>
        <v/>
      </c>
      <c r="H295" s="41">
        <f>IF($L295="","",SUM($G$10:$G295))</f>
        <v/>
      </c>
      <c r="I295" s="42">
        <f>IF($L295="","",IF(INT(($L295-INT($L295/10000000)*10000000)/1000000)=0,"Bloomberg projection",IF($P295=1,"ANNOUNCED","ANNOUNCED - amount TBA")))</f>
        <v/>
      </c>
      <c r="J295" s="43">
        <f>IF($L295="","",IF((OV_SWITCH="ON")*(COUNTIFS(OVR_TICKERS,INDEX(HSI!$C$7:$C$106,$N295),OVR_BASE,"&gt;=0")&gt;0)&gt;0,"stock overridden",""))</f>
        <v/>
      </c>
      <c r="L295" s="35">
        <f>IFERROR(IF(SMALL(Grids!$EE$12:$GQ$111,$M$7+286)&gt;=PEND_TO,"",SMALL(Grids!$EE$12:$GQ$111,$M$7+286)),"")</f>
        <v/>
      </c>
      <c r="M295" s="35">
        <f>IF($L295="","",INT($L295/1000000000))</f>
        <v/>
      </c>
      <c r="N295" s="35">
        <f>IF($L295="","",INT(($L295-INT($L295/1000000)*1000000)/1000))</f>
        <v/>
      </c>
      <c r="O295" s="35">
        <f>IF($L295="","",$L295-INT($L295/1000)*1000)</f>
        <v/>
      </c>
      <c r="P295" s="35">
        <f>IF($L295="","",INT(($L295-INT($L295/1000000000)*1000000000)/100000000))</f>
        <v/>
      </c>
    </row>
    <row r="296">
      <c r="B296" s="39">
        <f>IF($L296="","",$M296)</f>
        <v/>
      </c>
      <c r="C296" s="18">
        <f>IF($L296="","",INDEX(HSI!$C$7:$C$106,$N296))</f>
        <v/>
      </c>
      <c r="D296" s="18">
        <f>IF($L296="","",INDEX(HSI!$D$7:$D$106,$N296))</f>
        <v/>
      </c>
      <c r="E296" s="40">
        <f>IF($L296="","",IF($P296=0,"TBA",IFERROR(INDEX(Grids!$C$12:$BO$111,$N296,$O296),"-")))</f>
        <v/>
      </c>
      <c r="F296" s="18">
        <f>IF($L296="","",INDEX(HSI!$F$7:$F$106,$N296))</f>
        <v/>
      </c>
      <c r="G296" s="40">
        <f>IF($L296="","",IF($P296=0,"TBA",IFERROR(INDEX(Grids!$BQ$12:$EC$111,$N296,$O296),"-")))</f>
        <v/>
      </c>
      <c r="H296" s="41">
        <f>IF($L296="","",SUM($G$10:$G296))</f>
        <v/>
      </c>
      <c r="I296" s="42">
        <f>IF($L296="","",IF(INT(($L296-INT($L296/10000000)*10000000)/1000000)=0,"Bloomberg projection",IF($P296=1,"ANNOUNCED","ANNOUNCED - amount TBA")))</f>
        <v/>
      </c>
      <c r="J296" s="43">
        <f>IF($L296="","",IF((OV_SWITCH="ON")*(COUNTIFS(OVR_TICKERS,INDEX(HSI!$C$7:$C$106,$N296),OVR_BASE,"&gt;=0")&gt;0)&gt;0,"stock overridden",""))</f>
        <v/>
      </c>
      <c r="L296" s="35">
        <f>IFERROR(IF(SMALL(Grids!$EE$12:$GQ$111,$M$7+287)&gt;=PEND_TO,"",SMALL(Grids!$EE$12:$GQ$111,$M$7+287)),"")</f>
        <v/>
      </c>
      <c r="M296" s="35">
        <f>IF($L296="","",INT($L296/1000000000))</f>
        <v/>
      </c>
      <c r="N296" s="35">
        <f>IF($L296="","",INT(($L296-INT($L296/1000000)*1000000)/1000))</f>
        <v/>
      </c>
      <c r="O296" s="35">
        <f>IF($L296="","",$L296-INT($L296/1000)*1000)</f>
        <v/>
      </c>
      <c r="P296" s="35">
        <f>IF($L296="","",INT(($L296-INT($L296/1000000000)*1000000000)/100000000))</f>
        <v/>
      </c>
    </row>
    <row r="297">
      <c r="B297" s="39">
        <f>IF($L297="","",$M297)</f>
        <v/>
      </c>
      <c r="C297" s="18">
        <f>IF($L297="","",INDEX(HSI!$C$7:$C$106,$N297))</f>
        <v/>
      </c>
      <c r="D297" s="18">
        <f>IF($L297="","",INDEX(HSI!$D$7:$D$106,$N297))</f>
        <v/>
      </c>
      <c r="E297" s="40">
        <f>IF($L297="","",IF($P297=0,"TBA",IFERROR(INDEX(Grids!$C$12:$BO$111,$N297,$O297),"-")))</f>
        <v/>
      </c>
      <c r="F297" s="18">
        <f>IF($L297="","",INDEX(HSI!$F$7:$F$106,$N297))</f>
        <v/>
      </c>
      <c r="G297" s="40">
        <f>IF($L297="","",IF($P297=0,"TBA",IFERROR(INDEX(Grids!$BQ$12:$EC$111,$N297,$O297),"-")))</f>
        <v/>
      </c>
      <c r="H297" s="41">
        <f>IF($L297="","",SUM($G$10:$G297))</f>
        <v/>
      </c>
      <c r="I297" s="42">
        <f>IF($L297="","",IF(INT(($L297-INT($L297/10000000)*10000000)/1000000)=0,"Bloomberg projection",IF($P297=1,"ANNOUNCED","ANNOUNCED - amount TBA")))</f>
        <v/>
      </c>
      <c r="J297" s="43">
        <f>IF($L297="","",IF((OV_SWITCH="ON")*(COUNTIFS(OVR_TICKERS,INDEX(HSI!$C$7:$C$106,$N297),OVR_BASE,"&gt;=0")&gt;0)&gt;0,"stock overridden",""))</f>
        <v/>
      </c>
      <c r="L297" s="35">
        <f>IFERROR(IF(SMALL(Grids!$EE$12:$GQ$111,$M$7+288)&gt;=PEND_TO,"",SMALL(Grids!$EE$12:$GQ$111,$M$7+288)),"")</f>
        <v/>
      </c>
      <c r="M297" s="35">
        <f>IF($L297="","",INT($L297/1000000000))</f>
        <v/>
      </c>
      <c r="N297" s="35">
        <f>IF($L297="","",INT(($L297-INT($L297/1000000)*1000000)/1000))</f>
        <v/>
      </c>
      <c r="O297" s="35">
        <f>IF($L297="","",$L297-INT($L297/1000)*1000)</f>
        <v/>
      </c>
      <c r="P297" s="35">
        <f>IF($L297="","",INT(($L297-INT($L297/1000000000)*1000000000)/100000000))</f>
        <v/>
      </c>
    </row>
    <row r="298">
      <c r="B298" s="39">
        <f>IF($L298="","",$M298)</f>
        <v/>
      </c>
      <c r="C298" s="18">
        <f>IF($L298="","",INDEX(HSI!$C$7:$C$106,$N298))</f>
        <v/>
      </c>
      <c r="D298" s="18">
        <f>IF($L298="","",INDEX(HSI!$D$7:$D$106,$N298))</f>
        <v/>
      </c>
      <c r="E298" s="40">
        <f>IF($L298="","",IF($P298=0,"TBA",IFERROR(INDEX(Grids!$C$12:$BO$111,$N298,$O298),"-")))</f>
        <v/>
      </c>
      <c r="F298" s="18">
        <f>IF($L298="","",INDEX(HSI!$F$7:$F$106,$N298))</f>
        <v/>
      </c>
      <c r="G298" s="40">
        <f>IF($L298="","",IF($P298=0,"TBA",IFERROR(INDEX(Grids!$BQ$12:$EC$111,$N298,$O298),"-")))</f>
        <v/>
      </c>
      <c r="H298" s="41">
        <f>IF($L298="","",SUM($G$10:$G298))</f>
        <v/>
      </c>
      <c r="I298" s="42">
        <f>IF($L298="","",IF(INT(($L298-INT($L298/10000000)*10000000)/1000000)=0,"Bloomberg projection",IF($P298=1,"ANNOUNCED","ANNOUNCED - amount TBA")))</f>
        <v/>
      </c>
      <c r="J298" s="43">
        <f>IF($L298="","",IF((OV_SWITCH="ON")*(COUNTIFS(OVR_TICKERS,INDEX(HSI!$C$7:$C$106,$N298),OVR_BASE,"&gt;=0")&gt;0)&gt;0,"stock overridden",""))</f>
        <v/>
      </c>
      <c r="L298" s="35">
        <f>IFERROR(IF(SMALL(Grids!$EE$12:$GQ$111,$M$7+289)&gt;=PEND_TO,"",SMALL(Grids!$EE$12:$GQ$111,$M$7+289)),"")</f>
        <v/>
      </c>
      <c r="M298" s="35">
        <f>IF($L298="","",INT($L298/1000000000))</f>
        <v/>
      </c>
      <c r="N298" s="35">
        <f>IF($L298="","",INT(($L298-INT($L298/1000000)*1000000)/1000))</f>
        <v/>
      </c>
      <c r="O298" s="35">
        <f>IF($L298="","",$L298-INT($L298/1000)*1000)</f>
        <v/>
      </c>
      <c r="P298" s="35">
        <f>IF($L298="","",INT(($L298-INT($L298/1000000000)*1000000000)/100000000))</f>
        <v/>
      </c>
    </row>
    <row r="299">
      <c r="B299" s="39">
        <f>IF($L299="","",$M299)</f>
        <v/>
      </c>
      <c r="C299" s="18">
        <f>IF($L299="","",INDEX(HSI!$C$7:$C$106,$N299))</f>
        <v/>
      </c>
      <c r="D299" s="18">
        <f>IF($L299="","",INDEX(HSI!$D$7:$D$106,$N299))</f>
        <v/>
      </c>
      <c r="E299" s="40">
        <f>IF($L299="","",IF($P299=0,"TBA",IFERROR(INDEX(Grids!$C$12:$BO$111,$N299,$O299),"-")))</f>
        <v/>
      </c>
      <c r="F299" s="18">
        <f>IF($L299="","",INDEX(HSI!$F$7:$F$106,$N299))</f>
        <v/>
      </c>
      <c r="G299" s="40">
        <f>IF($L299="","",IF($P299=0,"TBA",IFERROR(INDEX(Grids!$BQ$12:$EC$111,$N299,$O299),"-")))</f>
        <v/>
      </c>
      <c r="H299" s="41">
        <f>IF($L299="","",SUM($G$10:$G299))</f>
        <v/>
      </c>
      <c r="I299" s="42">
        <f>IF($L299="","",IF(INT(($L299-INT($L299/10000000)*10000000)/1000000)=0,"Bloomberg projection",IF($P299=1,"ANNOUNCED","ANNOUNCED - amount TBA")))</f>
        <v/>
      </c>
      <c r="J299" s="43">
        <f>IF($L299="","",IF((OV_SWITCH="ON")*(COUNTIFS(OVR_TICKERS,INDEX(HSI!$C$7:$C$106,$N299),OVR_BASE,"&gt;=0")&gt;0)&gt;0,"stock overridden",""))</f>
        <v/>
      </c>
      <c r="L299" s="35">
        <f>IFERROR(IF(SMALL(Grids!$EE$12:$GQ$111,$M$7+290)&gt;=PEND_TO,"",SMALL(Grids!$EE$12:$GQ$111,$M$7+290)),"")</f>
        <v/>
      </c>
      <c r="M299" s="35">
        <f>IF($L299="","",INT($L299/1000000000))</f>
        <v/>
      </c>
      <c r="N299" s="35">
        <f>IF($L299="","",INT(($L299-INT($L299/1000000)*1000000)/1000))</f>
        <v/>
      </c>
      <c r="O299" s="35">
        <f>IF($L299="","",$L299-INT($L299/1000)*1000)</f>
        <v/>
      </c>
      <c r="P299" s="35">
        <f>IF($L299="","",INT(($L299-INT($L299/1000000000)*1000000000)/100000000))</f>
        <v/>
      </c>
    </row>
    <row r="300">
      <c r="B300" s="39">
        <f>IF($L300="","",$M300)</f>
        <v/>
      </c>
      <c r="C300" s="18">
        <f>IF($L300="","",INDEX(HSI!$C$7:$C$106,$N300))</f>
        <v/>
      </c>
      <c r="D300" s="18">
        <f>IF($L300="","",INDEX(HSI!$D$7:$D$106,$N300))</f>
        <v/>
      </c>
      <c r="E300" s="40">
        <f>IF($L300="","",IF($P300=0,"TBA",IFERROR(INDEX(Grids!$C$12:$BO$111,$N300,$O300),"-")))</f>
        <v/>
      </c>
      <c r="F300" s="18">
        <f>IF($L300="","",INDEX(HSI!$F$7:$F$106,$N300))</f>
        <v/>
      </c>
      <c r="G300" s="40">
        <f>IF($L300="","",IF($P300=0,"TBA",IFERROR(INDEX(Grids!$BQ$12:$EC$111,$N300,$O300),"-")))</f>
        <v/>
      </c>
      <c r="H300" s="41">
        <f>IF($L300="","",SUM($G$10:$G300))</f>
        <v/>
      </c>
      <c r="I300" s="42">
        <f>IF($L300="","",IF(INT(($L300-INT($L300/10000000)*10000000)/1000000)=0,"Bloomberg projection",IF($P300=1,"ANNOUNCED","ANNOUNCED - amount TBA")))</f>
        <v/>
      </c>
      <c r="J300" s="43">
        <f>IF($L300="","",IF((OV_SWITCH="ON")*(COUNTIFS(OVR_TICKERS,INDEX(HSI!$C$7:$C$106,$N300),OVR_BASE,"&gt;=0")&gt;0)&gt;0,"stock overridden",""))</f>
        <v/>
      </c>
      <c r="L300" s="35">
        <f>IFERROR(IF(SMALL(Grids!$EE$12:$GQ$111,$M$7+291)&gt;=PEND_TO,"",SMALL(Grids!$EE$12:$GQ$111,$M$7+291)),"")</f>
        <v/>
      </c>
      <c r="M300" s="35">
        <f>IF($L300="","",INT($L300/1000000000))</f>
        <v/>
      </c>
      <c r="N300" s="35">
        <f>IF($L300="","",INT(($L300-INT($L300/1000000)*1000000)/1000))</f>
        <v/>
      </c>
      <c r="O300" s="35">
        <f>IF($L300="","",$L300-INT($L300/1000)*1000)</f>
        <v/>
      </c>
      <c r="P300" s="35">
        <f>IF($L300="","",INT(($L300-INT($L300/1000000000)*1000000000)/100000000))</f>
        <v/>
      </c>
    </row>
    <row r="301">
      <c r="B301" s="39">
        <f>IF($L301="","",$M301)</f>
        <v/>
      </c>
      <c r="C301" s="18">
        <f>IF($L301="","",INDEX(HSI!$C$7:$C$106,$N301))</f>
        <v/>
      </c>
      <c r="D301" s="18">
        <f>IF($L301="","",INDEX(HSI!$D$7:$D$106,$N301))</f>
        <v/>
      </c>
      <c r="E301" s="40">
        <f>IF($L301="","",IF($P301=0,"TBA",IFERROR(INDEX(Grids!$C$12:$BO$111,$N301,$O301),"-")))</f>
        <v/>
      </c>
      <c r="F301" s="18">
        <f>IF($L301="","",INDEX(HSI!$F$7:$F$106,$N301))</f>
        <v/>
      </c>
      <c r="G301" s="40">
        <f>IF($L301="","",IF($P301=0,"TBA",IFERROR(INDEX(Grids!$BQ$12:$EC$111,$N301,$O301),"-")))</f>
        <v/>
      </c>
      <c r="H301" s="41">
        <f>IF($L301="","",SUM($G$10:$G301))</f>
        <v/>
      </c>
      <c r="I301" s="42">
        <f>IF($L301="","",IF(INT(($L301-INT($L301/10000000)*10000000)/1000000)=0,"Bloomberg projection",IF($P301=1,"ANNOUNCED","ANNOUNCED - amount TBA")))</f>
        <v/>
      </c>
      <c r="J301" s="43">
        <f>IF($L301="","",IF((OV_SWITCH="ON")*(COUNTIFS(OVR_TICKERS,INDEX(HSI!$C$7:$C$106,$N301),OVR_BASE,"&gt;=0")&gt;0)&gt;0,"stock overridden",""))</f>
        <v/>
      </c>
      <c r="L301" s="35">
        <f>IFERROR(IF(SMALL(Grids!$EE$12:$GQ$111,$M$7+292)&gt;=PEND_TO,"",SMALL(Grids!$EE$12:$GQ$111,$M$7+292)),"")</f>
        <v/>
      </c>
      <c r="M301" s="35">
        <f>IF($L301="","",INT($L301/1000000000))</f>
        <v/>
      </c>
      <c r="N301" s="35">
        <f>IF($L301="","",INT(($L301-INT($L301/1000000)*1000000)/1000))</f>
        <v/>
      </c>
      <c r="O301" s="35">
        <f>IF($L301="","",$L301-INT($L301/1000)*1000)</f>
        <v/>
      </c>
      <c r="P301" s="35">
        <f>IF($L301="","",INT(($L301-INT($L301/1000000000)*1000000000)/100000000))</f>
        <v/>
      </c>
    </row>
    <row r="302">
      <c r="B302" s="39">
        <f>IF($L302="","",$M302)</f>
        <v/>
      </c>
      <c r="C302" s="18">
        <f>IF($L302="","",INDEX(HSI!$C$7:$C$106,$N302))</f>
        <v/>
      </c>
      <c r="D302" s="18">
        <f>IF($L302="","",INDEX(HSI!$D$7:$D$106,$N302))</f>
        <v/>
      </c>
      <c r="E302" s="40">
        <f>IF($L302="","",IF($P302=0,"TBA",IFERROR(INDEX(Grids!$C$12:$BO$111,$N302,$O302),"-")))</f>
        <v/>
      </c>
      <c r="F302" s="18">
        <f>IF($L302="","",INDEX(HSI!$F$7:$F$106,$N302))</f>
        <v/>
      </c>
      <c r="G302" s="40">
        <f>IF($L302="","",IF($P302=0,"TBA",IFERROR(INDEX(Grids!$BQ$12:$EC$111,$N302,$O302),"-")))</f>
        <v/>
      </c>
      <c r="H302" s="41">
        <f>IF($L302="","",SUM($G$10:$G302))</f>
        <v/>
      </c>
      <c r="I302" s="42">
        <f>IF($L302="","",IF(INT(($L302-INT($L302/10000000)*10000000)/1000000)=0,"Bloomberg projection",IF($P302=1,"ANNOUNCED","ANNOUNCED - amount TBA")))</f>
        <v/>
      </c>
      <c r="J302" s="43">
        <f>IF($L302="","",IF((OV_SWITCH="ON")*(COUNTIFS(OVR_TICKERS,INDEX(HSI!$C$7:$C$106,$N302),OVR_BASE,"&gt;=0")&gt;0)&gt;0,"stock overridden",""))</f>
        <v/>
      </c>
      <c r="L302" s="35">
        <f>IFERROR(IF(SMALL(Grids!$EE$12:$GQ$111,$M$7+293)&gt;=PEND_TO,"",SMALL(Grids!$EE$12:$GQ$111,$M$7+293)),"")</f>
        <v/>
      </c>
      <c r="M302" s="35">
        <f>IF($L302="","",INT($L302/1000000000))</f>
        <v/>
      </c>
      <c r="N302" s="35">
        <f>IF($L302="","",INT(($L302-INT($L302/1000000)*1000000)/1000))</f>
        <v/>
      </c>
      <c r="O302" s="35">
        <f>IF($L302="","",$L302-INT($L302/1000)*1000)</f>
        <v/>
      </c>
      <c r="P302" s="35">
        <f>IF($L302="","",INT(($L302-INT($L302/1000000000)*1000000000)/100000000))</f>
        <v/>
      </c>
    </row>
    <row r="303">
      <c r="B303" s="39">
        <f>IF($L303="","",$M303)</f>
        <v/>
      </c>
      <c r="C303" s="18">
        <f>IF($L303="","",INDEX(HSI!$C$7:$C$106,$N303))</f>
        <v/>
      </c>
      <c r="D303" s="18">
        <f>IF($L303="","",INDEX(HSI!$D$7:$D$106,$N303))</f>
        <v/>
      </c>
      <c r="E303" s="40">
        <f>IF($L303="","",IF($P303=0,"TBA",IFERROR(INDEX(Grids!$C$12:$BO$111,$N303,$O303),"-")))</f>
        <v/>
      </c>
      <c r="F303" s="18">
        <f>IF($L303="","",INDEX(HSI!$F$7:$F$106,$N303))</f>
        <v/>
      </c>
      <c r="G303" s="40">
        <f>IF($L303="","",IF($P303=0,"TBA",IFERROR(INDEX(Grids!$BQ$12:$EC$111,$N303,$O303),"-")))</f>
        <v/>
      </c>
      <c r="H303" s="41">
        <f>IF($L303="","",SUM($G$10:$G303))</f>
        <v/>
      </c>
      <c r="I303" s="42">
        <f>IF($L303="","",IF(INT(($L303-INT($L303/10000000)*10000000)/1000000)=0,"Bloomberg projection",IF($P303=1,"ANNOUNCED","ANNOUNCED - amount TBA")))</f>
        <v/>
      </c>
      <c r="J303" s="43">
        <f>IF($L303="","",IF((OV_SWITCH="ON")*(COUNTIFS(OVR_TICKERS,INDEX(HSI!$C$7:$C$106,$N303),OVR_BASE,"&gt;=0")&gt;0)&gt;0,"stock overridden",""))</f>
        <v/>
      </c>
      <c r="L303" s="35">
        <f>IFERROR(IF(SMALL(Grids!$EE$12:$GQ$111,$M$7+294)&gt;=PEND_TO,"",SMALL(Grids!$EE$12:$GQ$111,$M$7+294)),"")</f>
        <v/>
      </c>
      <c r="M303" s="35">
        <f>IF($L303="","",INT($L303/1000000000))</f>
        <v/>
      </c>
      <c r="N303" s="35">
        <f>IF($L303="","",INT(($L303-INT($L303/1000000)*1000000)/1000))</f>
        <v/>
      </c>
      <c r="O303" s="35">
        <f>IF($L303="","",$L303-INT($L303/1000)*1000)</f>
        <v/>
      </c>
      <c r="P303" s="35">
        <f>IF($L303="","",INT(($L303-INT($L303/1000000000)*1000000000)/100000000))</f>
        <v/>
      </c>
    </row>
    <row r="304">
      <c r="B304" s="39">
        <f>IF($L304="","",$M304)</f>
        <v/>
      </c>
      <c r="C304" s="18">
        <f>IF($L304="","",INDEX(HSI!$C$7:$C$106,$N304))</f>
        <v/>
      </c>
      <c r="D304" s="18">
        <f>IF($L304="","",INDEX(HSI!$D$7:$D$106,$N304))</f>
        <v/>
      </c>
      <c r="E304" s="40">
        <f>IF($L304="","",IF($P304=0,"TBA",IFERROR(INDEX(Grids!$C$12:$BO$111,$N304,$O304),"-")))</f>
        <v/>
      </c>
      <c r="F304" s="18">
        <f>IF($L304="","",INDEX(HSI!$F$7:$F$106,$N304))</f>
        <v/>
      </c>
      <c r="G304" s="40">
        <f>IF($L304="","",IF($P304=0,"TBA",IFERROR(INDEX(Grids!$BQ$12:$EC$111,$N304,$O304),"-")))</f>
        <v/>
      </c>
      <c r="H304" s="41">
        <f>IF($L304="","",SUM($G$10:$G304))</f>
        <v/>
      </c>
      <c r="I304" s="42">
        <f>IF($L304="","",IF(INT(($L304-INT($L304/10000000)*10000000)/1000000)=0,"Bloomberg projection",IF($P304=1,"ANNOUNCED","ANNOUNCED - amount TBA")))</f>
        <v/>
      </c>
      <c r="J304" s="43">
        <f>IF($L304="","",IF((OV_SWITCH="ON")*(COUNTIFS(OVR_TICKERS,INDEX(HSI!$C$7:$C$106,$N304),OVR_BASE,"&gt;=0")&gt;0)&gt;0,"stock overridden",""))</f>
        <v/>
      </c>
      <c r="L304" s="35">
        <f>IFERROR(IF(SMALL(Grids!$EE$12:$GQ$111,$M$7+295)&gt;=PEND_TO,"",SMALL(Grids!$EE$12:$GQ$111,$M$7+295)),"")</f>
        <v/>
      </c>
      <c r="M304" s="35">
        <f>IF($L304="","",INT($L304/1000000000))</f>
        <v/>
      </c>
      <c r="N304" s="35">
        <f>IF($L304="","",INT(($L304-INT($L304/1000000)*1000000)/1000))</f>
        <v/>
      </c>
      <c r="O304" s="35">
        <f>IF($L304="","",$L304-INT($L304/1000)*1000)</f>
        <v/>
      </c>
      <c r="P304" s="35">
        <f>IF($L304="","",INT(($L304-INT($L304/1000000000)*1000000000)/100000000))</f>
        <v/>
      </c>
    </row>
    <row r="305">
      <c r="B305" s="39">
        <f>IF($L305="","",$M305)</f>
        <v/>
      </c>
      <c r="C305" s="18">
        <f>IF($L305="","",INDEX(HSI!$C$7:$C$106,$N305))</f>
        <v/>
      </c>
      <c r="D305" s="18">
        <f>IF($L305="","",INDEX(HSI!$D$7:$D$106,$N305))</f>
        <v/>
      </c>
      <c r="E305" s="40">
        <f>IF($L305="","",IF($P305=0,"TBA",IFERROR(INDEX(Grids!$C$12:$BO$111,$N305,$O305),"-")))</f>
        <v/>
      </c>
      <c r="F305" s="18">
        <f>IF($L305="","",INDEX(HSI!$F$7:$F$106,$N305))</f>
        <v/>
      </c>
      <c r="G305" s="40">
        <f>IF($L305="","",IF($P305=0,"TBA",IFERROR(INDEX(Grids!$BQ$12:$EC$111,$N305,$O305),"-")))</f>
        <v/>
      </c>
      <c r="H305" s="41">
        <f>IF($L305="","",SUM($G$10:$G305))</f>
        <v/>
      </c>
      <c r="I305" s="42">
        <f>IF($L305="","",IF(INT(($L305-INT($L305/10000000)*10000000)/1000000)=0,"Bloomberg projection",IF($P305=1,"ANNOUNCED","ANNOUNCED - amount TBA")))</f>
        <v/>
      </c>
      <c r="J305" s="43">
        <f>IF($L305="","",IF((OV_SWITCH="ON")*(COUNTIFS(OVR_TICKERS,INDEX(HSI!$C$7:$C$106,$N305),OVR_BASE,"&gt;=0")&gt;0)&gt;0,"stock overridden",""))</f>
        <v/>
      </c>
      <c r="L305" s="35">
        <f>IFERROR(IF(SMALL(Grids!$EE$12:$GQ$111,$M$7+296)&gt;=PEND_TO,"",SMALL(Grids!$EE$12:$GQ$111,$M$7+296)),"")</f>
        <v/>
      </c>
      <c r="M305" s="35">
        <f>IF($L305="","",INT($L305/1000000000))</f>
        <v/>
      </c>
      <c r="N305" s="35">
        <f>IF($L305="","",INT(($L305-INT($L305/1000000)*1000000)/1000))</f>
        <v/>
      </c>
      <c r="O305" s="35">
        <f>IF($L305="","",$L305-INT($L305/1000)*1000)</f>
        <v/>
      </c>
      <c r="P305" s="35">
        <f>IF($L305="","",INT(($L305-INT($L305/1000000000)*1000000000)/100000000))</f>
        <v/>
      </c>
    </row>
    <row r="306">
      <c r="B306" s="39">
        <f>IF($L306="","",$M306)</f>
        <v/>
      </c>
      <c r="C306" s="18">
        <f>IF($L306="","",INDEX(HSI!$C$7:$C$106,$N306))</f>
        <v/>
      </c>
      <c r="D306" s="18">
        <f>IF($L306="","",INDEX(HSI!$D$7:$D$106,$N306))</f>
        <v/>
      </c>
      <c r="E306" s="40">
        <f>IF($L306="","",IF($P306=0,"TBA",IFERROR(INDEX(Grids!$C$12:$BO$111,$N306,$O306),"-")))</f>
        <v/>
      </c>
      <c r="F306" s="18">
        <f>IF($L306="","",INDEX(HSI!$F$7:$F$106,$N306))</f>
        <v/>
      </c>
      <c r="G306" s="40">
        <f>IF($L306="","",IF($P306=0,"TBA",IFERROR(INDEX(Grids!$BQ$12:$EC$111,$N306,$O306),"-")))</f>
        <v/>
      </c>
      <c r="H306" s="41">
        <f>IF($L306="","",SUM($G$10:$G306))</f>
        <v/>
      </c>
      <c r="I306" s="42">
        <f>IF($L306="","",IF(INT(($L306-INT($L306/10000000)*10000000)/1000000)=0,"Bloomberg projection",IF($P306=1,"ANNOUNCED","ANNOUNCED - amount TBA")))</f>
        <v/>
      </c>
      <c r="J306" s="43">
        <f>IF($L306="","",IF((OV_SWITCH="ON")*(COUNTIFS(OVR_TICKERS,INDEX(HSI!$C$7:$C$106,$N306),OVR_BASE,"&gt;=0")&gt;0)&gt;0,"stock overridden",""))</f>
        <v/>
      </c>
      <c r="L306" s="35">
        <f>IFERROR(IF(SMALL(Grids!$EE$12:$GQ$111,$M$7+297)&gt;=PEND_TO,"",SMALL(Grids!$EE$12:$GQ$111,$M$7+297)),"")</f>
        <v/>
      </c>
      <c r="M306" s="35">
        <f>IF($L306="","",INT($L306/1000000000))</f>
        <v/>
      </c>
      <c r="N306" s="35">
        <f>IF($L306="","",INT(($L306-INT($L306/1000000)*1000000)/1000))</f>
        <v/>
      </c>
      <c r="O306" s="35">
        <f>IF($L306="","",$L306-INT($L306/1000)*1000)</f>
        <v/>
      </c>
      <c r="P306" s="35">
        <f>IF($L306="","",INT(($L306-INT($L306/1000000000)*1000000000)/100000000))</f>
        <v/>
      </c>
    </row>
    <row r="307">
      <c r="B307" s="39">
        <f>IF($L307="","",$M307)</f>
        <v/>
      </c>
      <c r="C307" s="18">
        <f>IF($L307="","",INDEX(HSI!$C$7:$C$106,$N307))</f>
        <v/>
      </c>
      <c r="D307" s="18">
        <f>IF($L307="","",INDEX(HSI!$D$7:$D$106,$N307))</f>
        <v/>
      </c>
      <c r="E307" s="40">
        <f>IF($L307="","",IF($P307=0,"TBA",IFERROR(INDEX(Grids!$C$12:$BO$111,$N307,$O307),"-")))</f>
        <v/>
      </c>
      <c r="F307" s="18">
        <f>IF($L307="","",INDEX(HSI!$F$7:$F$106,$N307))</f>
        <v/>
      </c>
      <c r="G307" s="40">
        <f>IF($L307="","",IF($P307=0,"TBA",IFERROR(INDEX(Grids!$BQ$12:$EC$111,$N307,$O307),"-")))</f>
        <v/>
      </c>
      <c r="H307" s="41">
        <f>IF($L307="","",SUM($G$10:$G307))</f>
        <v/>
      </c>
      <c r="I307" s="42">
        <f>IF($L307="","",IF(INT(($L307-INT($L307/10000000)*10000000)/1000000)=0,"Bloomberg projection",IF($P307=1,"ANNOUNCED","ANNOUNCED - amount TBA")))</f>
        <v/>
      </c>
      <c r="J307" s="43">
        <f>IF($L307="","",IF((OV_SWITCH="ON")*(COUNTIFS(OVR_TICKERS,INDEX(HSI!$C$7:$C$106,$N307),OVR_BASE,"&gt;=0")&gt;0)&gt;0,"stock overridden",""))</f>
        <v/>
      </c>
      <c r="L307" s="35">
        <f>IFERROR(IF(SMALL(Grids!$EE$12:$GQ$111,$M$7+298)&gt;=PEND_TO,"",SMALL(Grids!$EE$12:$GQ$111,$M$7+298)),"")</f>
        <v/>
      </c>
      <c r="M307" s="35">
        <f>IF($L307="","",INT($L307/1000000000))</f>
        <v/>
      </c>
      <c r="N307" s="35">
        <f>IF($L307="","",INT(($L307-INT($L307/1000000)*1000000)/1000))</f>
        <v/>
      </c>
      <c r="O307" s="35">
        <f>IF($L307="","",$L307-INT($L307/1000)*1000)</f>
        <v/>
      </c>
      <c r="P307" s="35">
        <f>IF($L307="","",INT(($L307-INT($L307/1000000000)*1000000000)/100000000))</f>
        <v/>
      </c>
    </row>
    <row r="308">
      <c r="B308" s="39">
        <f>IF($L308="","",$M308)</f>
        <v/>
      </c>
      <c r="C308" s="18">
        <f>IF($L308="","",INDEX(HSI!$C$7:$C$106,$N308))</f>
        <v/>
      </c>
      <c r="D308" s="18">
        <f>IF($L308="","",INDEX(HSI!$D$7:$D$106,$N308))</f>
        <v/>
      </c>
      <c r="E308" s="40">
        <f>IF($L308="","",IF($P308=0,"TBA",IFERROR(INDEX(Grids!$C$12:$BO$111,$N308,$O308),"-")))</f>
        <v/>
      </c>
      <c r="F308" s="18">
        <f>IF($L308="","",INDEX(HSI!$F$7:$F$106,$N308))</f>
        <v/>
      </c>
      <c r="G308" s="40">
        <f>IF($L308="","",IF($P308=0,"TBA",IFERROR(INDEX(Grids!$BQ$12:$EC$111,$N308,$O308),"-")))</f>
        <v/>
      </c>
      <c r="H308" s="41">
        <f>IF($L308="","",SUM($G$10:$G308))</f>
        <v/>
      </c>
      <c r="I308" s="42">
        <f>IF($L308="","",IF(INT(($L308-INT($L308/10000000)*10000000)/1000000)=0,"Bloomberg projection",IF($P308=1,"ANNOUNCED","ANNOUNCED - amount TBA")))</f>
        <v/>
      </c>
      <c r="J308" s="43">
        <f>IF($L308="","",IF((OV_SWITCH="ON")*(COUNTIFS(OVR_TICKERS,INDEX(HSI!$C$7:$C$106,$N308),OVR_BASE,"&gt;=0")&gt;0)&gt;0,"stock overridden",""))</f>
        <v/>
      </c>
      <c r="L308" s="35">
        <f>IFERROR(IF(SMALL(Grids!$EE$12:$GQ$111,$M$7+299)&gt;=PEND_TO,"",SMALL(Grids!$EE$12:$GQ$111,$M$7+299)),"")</f>
        <v/>
      </c>
      <c r="M308" s="35">
        <f>IF($L308="","",INT($L308/1000000000))</f>
        <v/>
      </c>
      <c r="N308" s="35">
        <f>IF($L308="","",INT(($L308-INT($L308/1000000)*1000000)/1000))</f>
        <v/>
      </c>
      <c r="O308" s="35">
        <f>IF($L308="","",$L308-INT($L308/1000)*1000)</f>
        <v/>
      </c>
      <c r="P308" s="35">
        <f>IF($L308="","",INT(($L308-INT($L308/1000000000)*1000000000)/100000000))</f>
        <v/>
      </c>
    </row>
    <row r="309">
      <c r="B309" s="39">
        <f>IF($L309="","",$M309)</f>
        <v/>
      </c>
      <c r="C309" s="18">
        <f>IF($L309="","",INDEX(HSI!$C$7:$C$106,$N309))</f>
        <v/>
      </c>
      <c r="D309" s="18">
        <f>IF($L309="","",INDEX(HSI!$D$7:$D$106,$N309))</f>
        <v/>
      </c>
      <c r="E309" s="40">
        <f>IF($L309="","",IF($P309=0,"TBA",IFERROR(INDEX(Grids!$C$12:$BO$111,$N309,$O309),"-")))</f>
        <v/>
      </c>
      <c r="F309" s="18">
        <f>IF($L309="","",INDEX(HSI!$F$7:$F$106,$N309))</f>
        <v/>
      </c>
      <c r="G309" s="40">
        <f>IF($L309="","",IF($P309=0,"TBA",IFERROR(INDEX(Grids!$BQ$12:$EC$111,$N309,$O309),"-")))</f>
        <v/>
      </c>
      <c r="H309" s="41">
        <f>IF($L309="","",SUM($G$10:$G309))</f>
        <v/>
      </c>
      <c r="I309" s="42">
        <f>IF($L309="","",IF(INT(($L309-INT($L309/10000000)*10000000)/1000000)=0,"Bloomberg projection",IF($P309=1,"ANNOUNCED","ANNOUNCED - amount TBA")))</f>
        <v/>
      </c>
      <c r="J309" s="43">
        <f>IF($L309="","",IF((OV_SWITCH="ON")*(COUNTIFS(OVR_TICKERS,INDEX(HSI!$C$7:$C$106,$N309),OVR_BASE,"&gt;=0")&gt;0)&gt;0,"stock overridden",""))</f>
        <v/>
      </c>
      <c r="L309" s="35">
        <f>IFERROR(IF(SMALL(Grids!$EE$12:$GQ$111,$M$7+300)&gt;=PEND_TO,"",SMALL(Grids!$EE$12:$GQ$111,$M$7+300)),"")</f>
        <v/>
      </c>
      <c r="M309" s="35">
        <f>IF($L309="","",INT($L309/1000000000))</f>
        <v/>
      </c>
      <c r="N309" s="35">
        <f>IF($L309="","",INT(($L309-INT($L309/1000000)*1000000)/1000))</f>
        <v/>
      </c>
      <c r="O309" s="35">
        <f>IF($L309="","",$L309-INT($L309/1000)*1000)</f>
        <v/>
      </c>
      <c r="P309" s="35">
        <f>IF($L309="","",INT(($L309-INT($L309/1000000000)*1000000000)/100000000))</f>
        <v/>
      </c>
    </row>
    <row r="312">
      <c r="B312" s="3" t="inlineStr">
        <is>
          <t>Hang Seng TECH Index (HSTECH)</t>
        </is>
      </c>
      <c r="C312" s="4" t="n"/>
      <c r="D312" s="4" t="n"/>
      <c r="E312" s="4" t="n"/>
      <c r="F312" s="4" t="n"/>
      <c r="G312" s="4" t="n"/>
      <c r="H312" s="4" t="n"/>
      <c r="I312" s="4" t="n"/>
      <c r="J312" s="4" t="n"/>
    </row>
    <row r="313">
      <c r="B313" s="2" t="inlineStr">
        <is>
          <t>Events pending</t>
        </is>
      </c>
      <c r="C313" s="36">
        <f>COUNTIFS(Grids!$EE$116:$GQ$155,"&gt;="&amp;PEND_FROM,Grids!$EE$116:$GQ$155,"&lt;"&amp;PEND_TO)</f>
        <v/>
      </c>
      <c r="D313" s="37">
        <f>IF($C$313&gt;120,"LIST TRUNCATED - showing the first 120; the model still counts all of them.","all listed below")</f>
        <v/>
      </c>
      <c r="L313" s="2" t="inlineStr">
        <is>
          <t>offset</t>
        </is>
      </c>
      <c r="M313" s="38">
        <f>COUNTIF(Grids!$EE$116:$GQ$155,"&lt;"&amp;PEND_FROM)</f>
        <v/>
      </c>
    </row>
    <row r="315">
      <c r="B315" s="19" t="inlineStr">
        <is>
          <t>Ex-date</t>
        </is>
      </c>
      <c r="C315" s="19" t="inlineStr">
        <is>
          <t>Ticker</t>
        </is>
      </c>
      <c r="D315" s="19" t="inlineStr">
        <is>
          <t>Name</t>
        </is>
      </c>
      <c r="E315" s="19" t="inlineStr">
        <is>
          <t>DPS
(declared ccy)</t>
        </is>
      </c>
      <c r="F315" s="19" t="inlineStr">
        <is>
          <t>CCY</t>
        </is>
      </c>
      <c r="G315" s="19" t="inlineStr">
        <is>
          <t>Index
pts</t>
        </is>
      </c>
      <c r="H315" s="19" t="inlineStr">
        <is>
          <t>Cumulative
pts</t>
        </is>
      </c>
      <c r="I315" s="19" t="inlineStr">
        <is>
          <t>Status</t>
        </is>
      </c>
      <c r="J315" s="19" t="inlineStr">
        <is>
          <t>Your override?</t>
        </is>
      </c>
      <c r="L315" s="2" t="inlineStr">
        <is>
          <t>engine</t>
        </is>
      </c>
    </row>
    <row r="316">
      <c r="B316" s="39">
        <f>IF($L316="","",$M316)</f>
        <v/>
      </c>
      <c r="C316" s="18">
        <f>IF($L316="","",INDEX(HSTECH!$C$7:$C$46,$N316))</f>
        <v/>
      </c>
      <c r="D316" s="18">
        <f>IF($L316="","",INDEX(HSTECH!$D$7:$D$46,$N316))</f>
        <v/>
      </c>
      <c r="E316" s="40">
        <f>IF($L316="","",IF($P316=0,"TBA",IFERROR(INDEX(Grids!$C$116:$BO$155,$N316,$O316),"-")))</f>
        <v/>
      </c>
      <c r="F316" s="18">
        <f>IF($L316="","",INDEX(HSTECH!$F$7:$F$46,$N316))</f>
        <v/>
      </c>
      <c r="G316" s="40">
        <f>IF($L316="","",IF($P316=0,"TBA",IFERROR(INDEX(Grids!$BQ$116:$EC$155,$N316,$O316),"-")))</f>
        <v/>
      </c>
      <c r="H316" s="41">
        <f>IF($L316="","",SUM($G$316:$G316))</f>
        <v/>
      </c>
      <c r="I316" s="42">
        <f>IF($L316="","",IF(INT(($L316-INT($L316/10000000)*10000000)/1000000)=0,"Bloomberg projection",IF($P316=1,"ANNOUNCED","ANNOUNCED - amount TBA")))</f>
        <v/>
      </c>
      <c r="J316" s="43">
        <f>IF($L316="","",IF((OV_SWITCH="ON")*(COUNTIFS(OVR_TICKERS,INDEX(HSTECH!$C$7:$C$46,$N316),OVR_BASE,"&gt;=0")&gt;0)&gt;0,"stock overridden",""))</f>
        <v/>
      </c>
      <c r="L316" s="35">
        <f>IFERROR(IF(SMALL(Grids!$EE$116:$GQ$155,$M$313+1)&gt;=PEND_TO,"",SMALL(Grids!$EE$116:$GQ$155,$M$313+1)),"")</f>
        <v/>
      </c>
      <c r="M316" s="35">
        <f>IF($L316="","",INT($L316/1000000000))</f>
        <v/>
      </c>
      <c r="N316" s="35">
        <f>IF($L316="","",INT(($L316-INT($L316/1000000)*1000000)/1000))</f>
        <v/>
      </c>
      <c r="O316" s="35">
        <f>IF($L316="","",$L316-INT($L316/1000)*1000)</f>
        <v/>
      </c>
      <c r="P316" s="35">
        <f>IF($L316="","",INT(($L316-INT($L316/1000000000)*1000000000)/100000000))</f>
        <v/>
      </c>
    </row>
    <row r="317">
      <c r="B317" s="39">
        <f>IF($L317="","",$M317)</f>
        <v/>
      </c>
      <c r="C317" s="18">
        <f>IF($L317="","",INDEX(HSTECH!$C$7:$C$46,$N317))</f>
        <v/>
      </c>
      <c r="D317" s="18">
        <f>IF($L317="","",INDEX(HSTECH!$D$7:$D$46,$N317))</f>
        <v/>
      </c>
      <c r="E317" s="40">
        <f>IF($L317="","",IF($P317=0,"TBA",IFERROR(INDEX(Grids!$C$116:$BO$155,$N317,$O317),"-")))</f>
        <v/>
      </c>
      <c r="F317" s="18">
        <f>IF($L317="","",INDEX(HSTECH!$F$7:$F$46,$N317))</f>
        <v/>
      </c>
      <c r="G317" s="40">
        <f>IF($L317="","",IF($P317=0,"TBA",IFERROR(INDEX(Grids!$BQ$116:$EC$155,$N317,$O317),"-")))</f>
        <v/>
      </c>
      <c r="H317" s="41">
        <f>IF($L317="","",SUM($G$316:$G317))</f>
        <v/>
      </c>
      <c r="I317" s="42">
        <f>IF($L317="","",IF(INT(($L317-INT($L317/10000000)*10000000)/1000000)=0,"Bloomberg projection",IF($P317=1,"ANNOUNCED","ANNOUNCED - amount TBA")))</f>
        <v/>
      </c>
      <c r="J317" s="43">
        <f>IF($L317="","",IF((OV_SWITCH="ON")*(COUNTIFS(OVR_TICKERS,INDEX(HSTECH!$C$7:$C$46,$N317),OVR_BASE,"&gt;=0")&gt;0)&gt;0,"stock overridden",""))</f>
        <v/>
      </c>
      <c r="L317" s="35">
        <f>IFERROR(IF(SMALL(Grids!$EE$116:$GQ$155,$M$313+2)&gt;=PEND_TO,"",SMALL(Grids!$EE$116:$GQ$155,$M$313+2)),"")</f>
        <v/>
      </c>
      <c r="M317" s="35">
        <f>IF($L317="","",INT($L317/1000000000))</f>
        <v/>
      </c>
      <c r="N317" s="35">
        <f>IF($L317="","",INT(($L317-INT($L317/1000000)*1000000)/1000))</f>
        <v/>
      </c>
      <c r="O317" s="35">
        <f>IF($L317="","",$L317-INT($L317/1000)*1000)</f>
        <v/>
      </c>
      <c r="P317" s="35">
        <f>IF($L317="","",INT(($L317-INT($L317/1000000000)*1000000000)/100000000))</f>
        <v/>
      </c>
    </row>
    <row r="318">
      <c r="B318" s="39">
        <f>IF($L318="","",$M318)</f>
        <v/>
      </c>
      <c r="C318" s="18">
        <f>IF($L318="","",INDEX(HSTECH!$C$7:$C$46,$N318))</f>
        <v/>
      </c>
      <c r="D318" s="18">
        <f>IF($L318="","",INDEX(HSTECH!$D$7:$D$46,$N318))</f>
        <v/>
      </c>
      <c r="E318" s="40">
        <f>IF($L318="","",IF($P318=0,"TBA",IFERROR(INDEX(Grids!$C$116:$BO$155,$N318,$O318),"-")))</f>
        <v/>
      </c>
      <c r="F318" s="18">
        <f>IF($L318="","",INDEX(HSTECH!$F$7:$F$46,$N318))</f>
        <v/>
      </c>
      <c r="G318" s="40">
        <f>IF($L318="","",IF($P318=0,"TBA",IFERROR(INDEX(Grids!$BQ$116:$EC$155,$N318,$O318),"-")))</f>
        <v/>
      </c>
      <c r="H318" s="41">
        <f>IF($L318="","",SUM($G$316:$G318))</f>
        <v/>
      </c>
      <c r="I318" s="42">
        <f>IF($L318="","",IF(INT(($L318-INT($L318/10000000)*10000000)/1000000)=0,"Bloomberg projection",IF($P318=1,"ANNOUNCED","ANNOUNCED - amount TBA")))</f>
        <v/>
      </c>
      <c r="J318" s="43">
        <f>IF($L318="","",IF((OV_SWITCH="ON")*(COUNTIFS(OVR_TICKERS,INDEX(HSTECH!$C$7:$C$46,$N318),OVR_BASE,"&gt;=0")&gt;0)&gt;0,"stock overridden",""))</f>
        <v/>
      </c>
      <c r="L318" s="35">
        <f>IFERROR(IF(SMALL(Grids!$EE$116:$GQ$155,$M$313+3)&gt;=PEND_TO,"",SMALL(Grids!$EE$116:$GQ$155,$M$313+3)),"")</f>
        <v/>
      </c>
      <c r="M318" s="35">
        <f>IF($L318="","",INT($L318/1000000000))</f>
        <v/>
      </c>
      <c r="N318" s="35">
        <f>IF($L318="","",INT(($L318-INT($L318/1000000)*1000000)/1000))</f>
        <v/>
      </c>
      <c r="O318" s="35">
        <f>IF($L318="","",$L318-INT($L318/1000)*1000)</f>
        <v/>
      </c>
      <c r="P318" s="35">
        <f>IF($L318="","",INT(($L318-INT($L318/1000000000)*1000000000)/100000000))</f>
        <v/>
      </c>
    </row>
    <row r="319">
      <c r="B319" s="39">
        <f>IF($L319="","",$M319)</f>
        <v/>
      </c>
      <c r="C319" s="18">
        <f>IF($L319="","",INDEX(HSTECH!$C$7:$C$46,$N319))</f>
        <v/>
      </c>
      <c r="D319" s="18">
        <f>IF($L319="","",INDEX(HSTECH!$D$7:$D$46,$N319))</f>
        <v/>
      </c>
      <c r="E319" s="40">
        <f>IF($L319="","",IF($P319=0,"TBA",IFERROR(INDEX(Grids!$C$116:$BO$155,$N319,$O319),"-")))</f>
        <v/>
      </c>
      <c r="F319" s="18">
        <f>IF($L319="","",INDEX(HSTECH!$F$7:$F$46,$N319))</f>
        <v/>
      </c>
      <c r="G319" s="40">
        <f>IF($L319="","",IF($P319=0,"TBA",IFERROR(INDEX(Grids!$BQ$116:$EC$155,$N319,$O319),"-")))</f>
        <v/>
      </c>
      <c r="H319" s="41">
        <f>IF($L319="","",SUM($G$316:$G319))</f>
        <v/>
      </c>
      <c r="I319" s="42">
        <f>IF($L319="","",IF(INT(($L319-INT($L319/10000000)*10000000)/1000000)=0,"Bloomberg projection",IF($P319=1,"ANNOUNCED","ANNOUNCED - amount TBA")))</f>
        <v/>
      </c>
      <c r="J319" s="43">
        <f>IF($L319="","",IF((OV_SWITCH="ON")*(COUNTIFS(OVR_TICKERS,INDEX(HSTECH!$C$7:$C$46,$N319),OVR_BASE,"&gt;=0")&gt;0)&gt;0,"stock overridden",""))</f>
        <v/>
      </c>
      <c r="L319" s="35">
        <f>IFERROR(IF(SMALL(Grids!$EE$116:$GQ$155,$M$313+4)&gt;=PEND_TO,"",SMALL(Grids!$EE$116:$GQ$155,$M$313+4)),"")</f>
        <v/>
      </c>
      <c r="M319" s="35">
        <f>IF($L319="","",INT($L319/1000000000))</f>
        <v/>
      </c>
      <c r="N319" s="35">
        <f>IF($L319="","",INT(($L319-INT($L319/1000000)*1000000)/1000))</f>
        <v/>
      </c>
      <c r="O319" s="35">
        <f>IF($L319="","",$L319-INT($L319/1000)*1000)</f>
        <v/>
      </c>
      <c r="P319" s="35">
        <f>IF($L319="","",INT(($L319-INT($L319/1000000000)*1000000000)/100000000))</f>
        <v/>
      </c>
    </row>
    <row r="320">
      <c r="B320" s="39">
        <f>IF($L320="","",$M320)</f>
        <v/>
      </c>
      <c r="C320" s="18">
        <f>IF($L320="","",INDEX(HSTECH!$C$7:$C$46,$N320))</f>
        <v/>
      </c>
      <c r="D320" s="18">
        <f>IF($L320="","",INDEX(HSTECH!$D$7:$D$46,$N320))</f>
        <v/>
      </c>
      <c r="E320" s="40">
        <f>IF($L320="","",IF($P320=0,"TBA",IFERROR(INDEX(Grids!$C$116:$BO$155,$N320,$O320),"-")))</f>
        <v/>
      </c>
      <c r="F320" s="18">
        <f>IF($L320="","",INDEX(HSTECH!$F$7:$F$46,$N320))</f>
        <v/>
      </c>
      <c r="G320" s="40">
        <f>IF($L320="","",IF($P320=0,"TBA",IFERROR(INDEX(Grids!$BQ$116:$EC$155,$N320,$O320),"-")))</f>
        <v/>
      </c>
      <c r="H320" s="41">
        <f>IF($L320="","",SUM($G$316:$G320))</f>
        <v/>
      </c>
      <c r="I320" s="42">
        <f>IF($L320="","",IF(INT(($L320-INT($L320/10000000)*10000000)/1000000)=0,"Bloomberg projection",IF($P320=1,"ANNOUNCED","ANNOUNCED - amount TBA")))</f>
        <v/>
      </c>
      <c r="J320" s="43">
        <f>IF($L320="","",IF((OV_SWITCH="ON")*(COUNTIFS(OVR_TICKERS,INDEX(HSTECH!$C$7:$C$46,$N320),OVR_BASE,"&gt;=0")&gt;0)&gt;0,"stock overridden",""))</f>
        <v/>
      </c>
      <c r="L320" s="35">
        <f>IFERROR(IF(SMALL(Grids!$EE$116:$GQ$155,$M$313+5)&gt;=PEND_TO,"",SMALL(Grids!$EE$116:$GQ$155,$M$313+5)),"")</f>
        <v/>
      </c>
      <c r="M320" s="35">
        <f>IF($L320="","",INT($L320/1000000000))</f>
        <v/>
      </c>
      <c r="N320" s="35">
        <f>IF($L320="","",INT(($L320-INT($L320/1000000)*1000000)/1000))</f>
        <v/>
      </c>
      <c r="O320" s="35">
        <f>IF($L320="","",$L320-INT($L320/1000)*1000)</f>
        <v/>
      </c>
      <c r="P320" s="35">
        <f>IF($L320="","",INT(($L320-INT($L320/1000000000)*1000000000)/100000000))</f>
        <v/>
      </c>
    </row>
    <row r="321">
      <c r="B321" s="39">
        <f>IF($L321="","",$M321)</f>
        <v/>
      </c>
      <c r="C321" s="18">
        <f>IF($L321="","",INDEX(HSTECH!$C$7:$C$46,$N321))</f>
        <v/>
      </c>
      <c r="D321" s="18">
        <f>IF($L321="","",INDEX(HSTECH!$D$7:$D$46,$N321))</f>
        <v/>
      </c>
      <c r="E321" s="40">
        <f>IF($L321="","",IF($P321=0,"TBA",IFERROR(INDEX(Grids!$C$116:$BO$155,$N321,$O321),"-")))</f>
        <v/>
      </c>
      <c r="F321" s="18">
        <f>IF($L321="","",INDEX(HSTECH!$F$7:$F$46,$N321))</f>
        <v/>
      </c>
      <c r="G321" s="40">
        <f>IF($L321="","",IF($P321=0,"TBA",IFERROR(INDEX(Grids!$BQ$116:$EC$155,$N321,$O321),"-")))</f>
        <v/>
      </c>
      <c r="H321" s="41">
        <f>IF($L321="","",SUM($G$316:$G321))</f>
        <v/>
      </c>
      <c r="I321" s="42">
        <f>IF($L321="","",IF(INT(($L321-INT($L321/10000000)*10000000)/1000000)=0,"Bloomberg projection",IF($P321=1,"ANNOUNCED","ANNOUNCED - amount TBA")))</f>
        <v/>
      </c>
      <c r="J321" s="43">
        <f>IF($L321="","",IF((OV_SWITCH="ON")*(COUNTIFS(OVR_TICKERS,INDEX(HSTECH!$C$7:$C$46,$N321),OVR_BASE,"&gt;=0")&gt;0)&gt;0,"stock overridden",""))</f>
        <v/>
      </c>
      <c r="L321" s="35">
        <f>IFERROR(IF(SMALL(Grids!$EE$116:$GQ$155,$M$313+6)&gt;=PEND_TO,"",SMALL(Grids!$EE$116:$GQ$155,$M$313+6)),"")</f>
        <v/>
      </c>
      <c r="M321" s="35">
        <f>IF($L321="","",INT($L321/1000000000))</f>
        <v/>
      </c>
      <c r="N321" s="35">
        <f>IF($L321="","",INT(($L321-INT($L321/1000000)*1000000)/1000))</f>
        <v/>
      </c>
      <c r="O321" s="35">
        <f>IF($L321="","",$L321-INT($L321/1000)*1000)</f>
        <v/>
      </c>
      <c r="P321" s="35">
        <f>IF($L321="","",INT(($L321-INT($L321/1000000000)*1000000000)/100000000))</f>
        <v/>
      </c>
    </row>
    <row r="322">
      <c r="B322" s="39">
        <f>IF($L322="","",$M322)</f>
        <v/>
      </c>
      <c r="C322" s="18">
        <f>IF($L322="","",INDEX(HSTECH!$C$7:$C$46,$N322))</f>
        <v/>
      </c>
      <c r="D322" s="18">
        <f>IF($L322="","",INDEX(HSTECH!$D$7:$D$46,$N322))</f>
        <v/>
      </c>
      <c r="E322" s="40">
        <f>IF($L322="","",IF($P322=0,"TBA",IFERROR(INDEX(Grids!$C$116:$BO$155,$N322,$O322),"-")))</f>
        <v/>
      </c>
      <c r="F322" s="18">
        <f>IF($L322="","",INDEX(HSTECH!$F$7:$F$46,$N322))</f>
        <v/>
      </c>
      <c r="G322" s="40">
        <f>IF($L322="","",IF($P322=0,"TBA",IFERROR(INDEX(Grids!$BQ$116:$EC$155,$N322,$O322),"-")))</f>
        <v/>
      </c>
      <c r="H322" s="41">
        <f>IF($L322="","",SUM($G$316:$G322))</f>
        <v/>
      </c>
      <c r="I322" s="42">
        <f>IF($L322="","",IF(INT(($L322-INT($L322/10000000)*10000000)/1000000)=0,"Bloomberg projection",IF($P322=1,"ANNOUNCED","ANNOUNCED - amount TBA")))</f>
        <v/>
      </c>
      <c r="J322" s="43">
        <f>IF($L322="","",IF((OV_SWITCH="ON")*(COUNTIFS(OVR_TICKERS,INDEX(HSTECH!$C$7:$C$46,$N322),OVR_BASE,"&gt;=0")&gt;0)&gt;0,"stock overridden",""))</f>
        <v/>
      </c>
      <c r="L322" s="35">
        <f>IFERROR(IF(SMALL(Grids!$EE$116:$GQ$155,$M$313+7)&gt;=PEND_TO,"",SMALL(Grids!$EE$116:$GQ$155,$M$313+7)),"")</f>
        <v/>
      </c>
      <c r="M322" s="35">
        <f>IF($L322="","",INT($L322/1000000000))</f>
        <v/>
      </c>
      <c r="N322" s="35">
        <f>IF($L322="","",INT(($L322-INT($L322/1000000)*1000000)/1000))</f>
        <v/>
      </c>
      <c r="O322" s="35">
        <f>IF($L322="","",$L322-INT($L322/1000)*1000)</f>
        <v/>
      </c>
      <c r="P322" s="35">
        <f>IF($L322="","",INT(($L322-INT($L322/1000000000)*1000000000)/100000000))</f>
        <v/>
      </c>
    </row>
    <row r="323">
      <c r="B323" s="39">
        <f>IF($L323="","",$M323)</f>
        <v/>
      </c>
      <c r="C323" s="18">
        <f>IF($L323="","",INDEX(HSTECH!$C$7:$C$46,$N323))</f>
        <v/>
      </c>
      <c r="D323" s="18">
        <f>IF($L323="","",INDEX(HSTECH!$D$7:$D$46,$N323))</f>
        <v/>
      </c>
      <c r="E323" s="40">
        <f>IF($L323="","",IF($P323=0,"TBA",IFERROR(INDEX(Grids!$C$116:$BO$155,$N323,$O323),"-")))</f>
        <v/>
      </c>
      <c r="F323" s="18">
        <f>IF($L323="","",INDEX(HSTECH!$F$7:$F$46,$N323))</f>
        <v/>
      </c>
      <c r="G323" s="40">
        <f>IF($L323="","",IF($P323=0,"TBA",IFERROR(INDEX(Grids!$BQ$116:$EC$155,$N323,$O323),"-")))</f>
        <v/>
      </c>
      <c r="H323" s="41">
        <f>IF($L323="","",SUM($G$316:$G323))</f>
        <v/>
      </c>
      <c r="I323" s="42">
        <f>IF($L323="","",IF(INT(($L323-INT($L323/10000000)*10000000)/1000000)=0,"Bloomberg projection",IF($P323=1,"ANNOUNCED","ANNOUNCED - amount TBA")))</f>
        <v/>
      </c>
      <c r="J323" s="43">
        <f>IF($L323="","",IF((OV_SWITCH="ON")*(COUNTIFS(OVR_TICKERS,INDEX(HSTECH!$C$7:$C$46,$N323),OVR_BASE,"&gt;=0")&gt;0)&gt;0,"stock overridden",""))</f>
        <v/>
      </c>
      <c r="L323" s="35">
        <f>IFERROR(IF(SMALL(Grids!$EE$116:$GQ$155,$M$313+8)&gt;=PEND_TO,"",SMALL(Grids!$EE$116:$GQ$155,$M$313+8)),"")</f>
        <v/>
      </c>
      <c r="M323" s="35">
        <f>IF($L323="","",INT($L323/1000000000))</f>
        <v/>
      </c>
      <c r="N323" s="35">
        <f>IF($L323="","",INT(($L323-INT($L323/1000000)*1000000)/1000))</f>
        <v/>
      </c>
      <c r="O323" s="35">
        <f>IF($L323="","",$L323-INT($L323/1000)*1000)</f>
        <v/>
      </c>
      <c r="P323" s="35">
        <f>IF($L323="","",INT(($L323-INT($L323/1000000000)*1000000000)/100000000))</f>
        <v/>
      </c>
    </row>
    <row r="324">
      <c r="B324" s="39">
        <f>IF($L324="","",$M324)</f>
        <v/>
      </c>
      <c r="C324" s="18">
        <f>IF($L324="","",INDEX(HSTECH!$C$7:$C$46,$N324))</f>
        <v/>
      </c>
      <c r="D324" s="18">
        <f>IF($L324="","",INDEX(HSTECH!$D$7:$D$46,$N324))</f>
        <v/>
      </c>
      <c r="E324" s="40">
        <f>IF($L324="","",IF($P324=0,"TBA",IFERROR(INDEX(Grids!$C$116:$BO$155,$N324,$O324),"-")))</f>
        <v/>
      </c>
      <c r="F324" s="18">
        <f>IF($L324="","",INDEX(HSTECH!$F$7:$F$46,$N324))</f>
        <v/>
      </c>
      <c r="G324" s="40">
        <f>IF($L324="","",IF($P324=0,"TBA",IFERROR(INDEX(Grids!$BQ$116:$EC$155,$N324,$O324),"-")))</f>
        <v/>
      </c>
      <c r="H324" s="41">
        <f>IF($L324="","",SUM($G$316:$G324))</f>
        <v/>
      </c>
      <c r="I324" s="42">
        <f>IF($L324="","",IF(INT(($L324-INT($L324/10000000)*10000000)/1000000)=0,"Bloomberg projection",IF($P324=1,"ANNOUNCED","ANNOUNCED - amount TBA")))</f>
        <v/>
      </c>
      <c r="J324" s="43">
        <f>IF($L324="","",IF((OV_SWITCH="ON")*(COUNTIFS(OVR_TICKERS,INDEX(HSTECH!$C$7:$C$46,$N324),OVR_BASE,"&gt;=0")&gt;0)&gt;0,"stock overridden",""))</f>
        <v/>
      </c>
      <c r="L324" s="35">
        <f>IFERROR(IF(SMALL(Grids!$EE$116:$GQ$155,$M$313+9)&gt;=PEND_TO,"",SMALL(Grids!$EE$116:$GQ$155,$M$313+9)),"")</f>
        <v/>
      </c>
      <c r="M324" s="35">
        <f>IF($L324="","",INT($L324/1000000000))</f>
        <v/>
      </c>
      <c r="N324" s="35">
        <f>IF($L324="","",INT(($L324-INT($L324/1000000)*1000000)/1000))</f>
        <v/>
      </c>
      <c r="O324" s="35">
        <f>IF($L324="","",$L324-INT($L324/1000)*1000)</f>
        <v/>
      </c>
      <c r="P324" s="35">
        <f>IF($L324="","",INT(($L324-INT($L324/1000000000)*1000000000)/100000000))</f>
        <v/>
      </c>
    </row>
    <row r="325">
      <c r="B325" s="39">
        <f>IF($L325="","",$M325)</f>
        <v/>
      </c>
      <c r="C325" s="18">
        <f>IF($L325="","",INDEX(HSTECH!$C$7:$C$46,$N325))</f>
        <v/>
      </c>
      <c r="D325" s="18">
        <f>IF($L325="","",INDEX(HSTECH!$D$7:$D$46,$N325))</f>
        <v/>
      </c>
      <c r="E325" s="40">
        <f>IF($L325="","",IF($P325=0,"TBA",IFERROR(INDEX(Grids!$C$116:$BO$155,$N325,$O325),"-")))</f>
        <v/>
      </c>
      <c r="F325" s="18">
        <f>IF($L325="","",INDEX(HSTECH!$F$7:$F$46,$N325))</f>
        <v/>
      </c>
      <c r="G325" s="40">
        <f>IF($L325="","",IF($P325=0,"TBA",IFERROR(INDEX(Grids!$BQ$116:$EC$155,$N325,$O325),"-")))</f>
        <v/>
      </c>
      <c r="H325" s="41">
        <f>IF($L325="","",SUM($G$316:$G325))</f>
        <v/>
      </c>
      <c r="I325" s="42">
        <f>IF($L325="","",IF(INT(($L325-INT($L325/10000000)*10000000)/1000000)=0,"Bloomberg projection",IF($P325=1,"ANNOUNCED","ANNOUNCED - amount TBA")))</f>
        <v/>
      </c>
      <c r="J325" s="43">
        <f>IF($L325="","",IF((OV_SWITCH="ON")*(COUNTIFS(OVR_TICKERS,INDEX(HSTECH!$C$7:$C$46,$N325),OVR_BASE,"&gt;=0")&gt;0)&gt;0,"stock overridden",""))</f>
        <v/>
      </c>
      <c r="L325" s="35">
        <f>IFERROR(IF(SMALL(Grids!$EE$116:$GQ$155,$M$313+10)&gt;=PEND_TO,"",SMALL(Grids!$EE$116:$GQ$155,$M$313+10)),"")</f>
        <v/>
      </c>
      <c r="M325" s="35">
        <f>IF($L325="","",INT($L325/1000000000))</f>
        <v/>
      </c>
      <c r="N325" s="35">
        <f>IF($L325="","",INT(($L325-INT($L325/1000000)*1000000)/1000))</f>
        <v/>
      </c>
      <c r="O325" s="35">
        <f>IF($L325="","",$L325-INT($L325/1000)*1000)</f>
        <v/>
      </c>
      <c r="P325" s="35">
        <f>IF($L325="","",INT(($L325-INT($L325/1000000000)*1000000000)/100000000))</f>
        <v/>
      </c>
    </row>
    <row r="326">
      <c r="B326" s="39">
        <f>IF($L326="","",$M326)</f>
        <v/>
      </c>
      <c r="C326" s="18">
        <f>IF($L326="","",INDEX(HSTECH!$C$7:$C$46,$N326))</f>
        <v/>
      </c>
      <c r="D326" s="18">
        <f>IF($L326="","",INDEX(HSTECH!$D$7:$D$46,$N326))</f>
        <v/>
      </c>
      <c r="E326" s="40">
        <f>IF($L326="","",IF($P326=0,"TBA",IFERROR(INDEX(Grids!$C$116:$BO$155,$N326,$O326),"-")))</f>
        <v/>
      </c>
      <c r="F326" s="18">
        <f>IF($L326="","",INDEX(HSTECH!$F$7:$F$46,$N326))</f>
        <v/>
      </c>
      <c r="G326" s="40">
        <f>IF($L326="","",IF($P326=0,"TBA",IFERROR(INDEX(Grids!$BQ$116:$EC$155,$N326,$O326),"-")))</f>
        <v/>
      </c>
      <c r="H326" s="41">
        <f>IF($L326="","",SUM($G$316:$G326))</f>
        <v/>
      </c>
      <c r="I326" s="42">
        <f>IF($L326="","",IF(INT(($L326-INT($L326/10000000)*10000000)/1000000)=0,"Bloomberg projection",IF($P326=1,"ANNOUNCED","ANNOUNCED - amount TBA")))</f>
        <v/>
      </c>
      <c r="J326" s="43">
        <f>IF($L326="","",IF((OV_SWITCH="ON")*(COUNTIFS(OVR_TICKERS,INDEX(HSTECH!$C$7:$C$46,$N326),OVR_BASE,"&gt;=0")&gt;0)&gt;0,"stock overridden",""))</f>
        <v/>
      </c>
      <c r="L326" s="35">
        <f>IFERROR(IF(SMALL(Grids!$EE$116:$GQ$155,$M$313+11)&gt;=PEND_TO,"",SMALL(Grids!$EE$116:$GQ$155,$M$313+11)),"")</f>
        <v/>
      </c>
      <c r="M326" s="35">
        <f>IF($L326="","",INT($L326/1000000000))</f>
        <v/>
      </c>
      <c r="N326" s="35">
        <f>IF($L326="","",INT(($L326-INT($L326/1000000)*1000000)/1000))</f>
        <v/>
      </c>
      <c r="O326" s="35">
        <f>IF($L326="","",$L326-INT($L326/1000)*1000)</f>
        <v/>
      </c>
      <c r="P326" s="35">
        <f>IF($L326="","",INT(($L326-INT($L326/1000000000)*1000000000)/100000000))</f>
        <v/>
      </c>
    </row>
    <row r="327">
      <c r="B327" s="39">
        <f>IF($L327="","",$M327)</f>
        <v/>
      </c>
      <c r="C327" s="18">
        <f>IF($L327="","",INDEX(HSTECH!$C$7:$C$46,$N327))</f>
        <v/>
      </c>
      <c r="D327" s="18">
        <f>IF($L327="","",INDEX(HSTECH!$D$7:$D$46,$N327))</f>
        <v/>
      </c>
      <c r="E327" s="40">
        <f>IF($L327="","",IF($P327=0,"TBA",IFERROR(INDEX(Grids!$C$116:$BO$155,$N327,$O327),"-")))</f>
        <v/>
      </c>
      <c r="F327" s="18">
        <f>IF($L327="","",INDEX(HSTECH!$F$7:$F$46,$N327))</f>
        <v/>
      </c>
      <c r="G327" s="40">
        <f>IF($L327="","",IF($P327=0,"TBA",IFERROR(INDEX(Grids!$BQ$116:$EC$155,$N327,$O327),"-")))</f>
        <v/>
      </c>
      <c r="H327" s="41">
        <f>IF($L327="","",SUM($G$316:$G327))</f>
        <v/>
      </c>
      <c r="I327" s="42">
        <f>IF($L327="","",IF(INT(($L327-INT($L327/10000000)*10000000)/1000000)=0,"Bloomberg projection",IF($P327=1,"ANNOUNCED","ANNOUNCED - amount TBA")))</f>
        <v/>
      </c>
      <c r="J327" s="43">
        <f>IF($L327="","",IF((OV_SWITCH="ON")*(COUNTIFS(OVR_TICKERS,INDEX(HSTECH!$C$7:$C$46,$N327),OVR_BASE,"&gt;=0")&gt;0)&gt;0,"stock overridden",""))</f>
        <v/>
      </c>
      <c r="L327" s="35">
        <f>IFERROR(IF(SMALL(Grids!$EE$116:$GQ$155,$M$313+12)&gt;=PEND_TO,"",SMALL(Grids!$EE$116:$GQ$155,$M$313+12)),"")</f>
        <v/>
      </c>
      <c r="M327" s="35">
        <f>IF($L327="","",INT($L327/1000000000))</f>
        <v/>
      </c>
      <c r="N327" s="35">
        <f>IF($L327="","",INT(($L327-INT($L327/1000000)*1000000)/1000))</f>
        <v/>
      </c>
      <c r="O327" s="35">
        <f>IF($L327="","",$L327-INT($L327/1000)*1000)</f>
        <v/>
      </c>
      <c r="P327" s="35">
        <f>IF($L327="","",INT(($L327-INT($L327/1000000000)*1000000000)/100000000))</f>
        <v/>
      </c>
    </row>
    <row r="328">
      <c r="B328" s="39">
        <f>IF($L328="","",$M328)</f>
        <v/>
      </c>
      <c r="C328" s="18">
        <f>IF($L328="","",INDEX(HSTECH!$C$7:$C$46,$N328))</f>
        <v/>
      </c>
      <c r="D328" s="18">
        <f>IF($L328="","",INDEX(HSTECH!$D$7:$D$46,$N328))</f>
        <v/>
      </c>
      <c r="E328" s="40">
        <f>IF($L328="","",IF($P328=0,"TBA",IFERROR(INDEX(Grids!$C$116:$BO$155,$N328,$O328),"-")))</f>
        <v/>
      </c>
      <c r="F328" s="18">
        <f>IF($L328="","",INDEX(HSTECH!$F$7:$F$46,$N328))</f>
        <v/>
      </c>
      <c r="G328" s="40">
        <f>IF($L328="","",IF($P328=0,"TBA",IFERROR(INDEX(Grids!$BQ$116:$EC$155,$N328,$O328),"-")))</f>
        <v/>
      </c>
      <c r="H328" s="41">
        <f>IF($L328="","",SUM($G$316:$G328))</f>
        <v/>
      </c>
      <c r="I328" s="42">
        <f>IF($L328="","",IF(INT(($L328-INT($L328/10000000)*10000000)/1000000)=0,"Bloomberg projection",IF($P328=1,"ANNOUNCED","ANNOUNCED - amount TBA")))</f>
        <v/>
      </c>
      <c r="J328" s="43">
        <f>IF($L328="","",IF((OV_SWITCH="ON")*(COUNTIFS(OVR_TICKERS,INDEX(HSTECH!$C$7:$C$46,$N328),OVR_BASE,"&gt;=0")&gt;0)&gt;0,"stock overridden",""))</f>
        <v/>
      </c>
      <c r="L328" s="35">
        <f>IFERROR(IF(SMALL(Grids!$EE$116:$GQ$155,$M$313+13)&gt;=PEND_TO,"",SMALL(Grids!$EE$116:$GQ$155,$M$313+13)),"")</f>
        <v/>
      </c>
      <c r="M328" s="35">
        <f>IF($L328="","",INT($L328/1000000000))</f>
        <v/>
      </c>
      <c r="N328" s="35">
        <f>IF($L328="","",INT(($L328-INT($L328/1000000)*1000000)/1000))</f>
        <v/>
      </c>
      <c r="O328" s="35">
        <f>IF($L328="","",$L328-INT($L328/1000)*1000)</f>
        <v/>
      </c>
      <c r="P328" s="35">
        <f>IF($L328="","",INT(($L328-INT($L328/1000000000)*1000000000)/100000000))</f>
        <v/>
      </c>
    </row>
    <row r="329">
      <c r="B329" s="39">
        <f>IF($L329="","",$M329)</f>
        <v/>
      </c>
      <c r="C329" s="18">
        <f>IF($L329="","",INDEX(HSTECH!$C$7:$C$46,$N329))</f>
        <v/>
      </c>
      <c r="D329" s="18">
        <f>IF($L329="","",INDEX(HSTECH!$D$7:$D$46,$N329))</f>
        <v/>
      </c>
      <c r="E329" s="40">
        <f>IF($L329="","",IF($P329=0,"TBA",IFERROR(INDEX(Grids!$C$116:$BO$155,$N329,$O329),"-")))</f>
        <v/>
      </c>
      <c r="F329" s="18">
        <f>IF($L329="","",INDEX(HSTECH!$F$7:$F$46,$N329))</f>
        <v/>
      </c>
      <c r="G329" s="40">
        <f>IF($L329="","",IF($P329=0,"TBA",IFERROR(INDEX(Grids!$BQ$116:$EC$155,$N329,$O329),"-")))</f>
        <v/>
      </c>
      <c r="H329" s="41">
        <f>IF($L329="","",SUM($G$316:$G329))</f>
        <v/>
      </c>
      <c r="I329" s="42">
        <f>IF($L329="","",IF(INT(($L329-INT($L329/10000000)*10000000)/1000000)=0,"Bloomberg projection",IF($P329=1,"ANNOUNCED","ANNOUNCED - amount TBA")))</f>
        <v/>
      </c>
      <c r="J329" s="43">
        <f>IF($L329="","",IF((OV_SWITCH="ON")*(COUNTIFS(OVR_TICKERS,INDEX(HSTECH!$C$7:$C$46,$N329),OVR_BASE,"&gt;=0")&gt;0)&gt;0,"stock overridden",""))</f>
        <v/>
      </c>
      <c r="L329" s="35">
        <f>IFERROR(IF(SMALL(Grids!$EE$116:$GQ$155,$M$313+14)&gt;=PEND_TO,"",SMALL(Grids!$EE$116:$GQ$155,$M$313+14)),"")</f>
        <v/>
      </c>
      <c r="M329" s="35">
        <f>IF($L329="","",INT($L329/1000000000))</f>
        <v/>
      </c>
      <c r="N329" s="35">
        <f>IF($L329="","",INT(($L329-INT($L329/1000000)*1000000)/1000))</f>
        <v/>
      </c>
      <c r="O329" s="35">
        <f>IF($L329="","",$L329-INT($L329/1000)*1000)</f>
        <v/>
      </c>
      <c r="P329" s="35">
        <f>IF($L329="","",INT(($L329-INT($L329/1000000000)*1000000000)/100000000))</f>
        <v/>
      </c>
    </row>
    <row r="330">
      <c r="B330" s="39">
        <f>IF($L330="","",$M330)</f>
        <v/>
      </c>
      <c r="C330" s="18">
        <f>IF($L330="","",INDEX(HSTECH!$C$7:$C$46,$N330))</f>
        <v/>
      </c>
      <c r="D330" s="18">
        <f>IF($L330="","",INDEX(HSTECH!$D$7:$D$46,$N330))</f>
        <v/>
      </c>
      <c r="E330" s="40">
        <f>IF($L330="","",IF($P330=0,"TBA",IFERROR(INDEX(Grids!$C$116:$BO$155,$N330,$O330),"-")))</f>
        <v/>
      </c>
      <c r="F330" s="18">
        <f>IF($L330="","",INDEX(HSTECH!$F$7:$F$46,$N330))</f>
        <v/>
      </c>
      <c r="G330" s="40">
        <f>IF($L330="","",IF($P330=0,"TBA",IFERROR(INDEX(Grids!$BQ$116:$EC$155,$N330,$O330),"-")))</f>
        <v/>
      </c>
      <c r="H330" s="41">
        <f>IF($L330="","",SUM($G$316:$G330))</f>
        <v/>
      </c>
      <c r="I330" s="42">
        <f>IF($L330="","",IF(INT(($L330-INT($L330/10000000)*10000000)/1000000)=0,"Bloomberg projection",IF($P330=1,"ANNOUNCED","ANNOUNCED - amount TBA")))</f>
        <v/>
      </c>
      <c r="J330" s="43">
        <f>IF($L330="","",IF((OV_SWITCH="ON")*(COUNTIFS(OVR_TICKERS,INDEX(HSTECH!$C$7:$C$46,$N330),OVR_BASE,"&gt;=0")&gt;0)&gt;0,"stock overridden",""))</f>
        <v/>
      </c>
      <c r="L330" s="35">
        <f>IFERROR(IF(SMALL(Grids!$EE$116:$GQ$155,$M$313+15)&gt;=PEND_TO,"",SMALL(Grids!$EE$116:$GQ$155,$M$313+15)),"")</f>
        <v/>
      </c>
      <c r="M330" s="35">
        <f>IF($L330="","",INT($L330/1000000000))</f>
        <v/>
      </c>
      <c r="N330" s="35">
        <f>IF($L330="","",INT(($L330-INT($L330/1000000)*1000000)/1000))</f>
        <v/>
      </c>
      <c r="O330" s="35">
        <f>IF($L330="","",$L330-INT($L330/1000)*1000)</f>
        <v/>
      </c>
      <c r="P330" s="35">
        <f>IF($L330="","",INT(($L330-INT($L330/1000000000)*1000000000)/100000000))</f>
        <v/>
      </c>
    </row>
    <row r="331">
      <c r="B331" s="39">
        <f>IF($L331="","",$M331)</f>
        <v/>
      </c>
      <c r="C331" s="18">
        <f>IF($L331="","",INDEX(HSTECH!$C$7:$C$46,$N331))</f>
        <v/>
      </c>
      <c r="D331" s="18">
        <f>IF($L331="","",INDEX(HSTECH!$D$7:$D$46,$N331))</f>
        <v/>
      </c>
      <c r="E331" s="40">
        <f>IF($L331="","",IF($P331=0,"TBA",IFERROR(INDEX(Grids!$C$116:$BO$155,$N331,$O331),"-")))</f>
        <v/>
      </c>
      <c r="F331" s="18">
        <f>IF($L331="","",INDEX(HSTECH!$F$7:$F$46,$N331))</f>
        <v/>
      </c>
      <c r="G331" s="40">
        <f>IF($L331="","",IF($P331=0,"TBA",IFERROR(INDEX(Grids!$BQ$116:$EC$155,$N331,$O331),"-")))</f>
        <v/>
      </c>
      <c r="H331" s="41">
        <f>IF($L331="","",SUM($G$316:$G331))</f>
        <v/>
      </c>
      <c r="I331" s="42">
        <f>IF($L331="","",IF(INT(($L331-INT($L331/10000000)*10000000)/1000000)=0,"Bloomberg projection",IF($P331=1,"ANNOUNCED","ANNOUNCED - amount TBA")))</f>
        <v/>
      </c>
      <c r="J331" s="43">
        <f>IF($L331="","",IF((OV_SWITCH="ON")*(COUNTIFS(OVR_TICKERS,INDEX(HSTECH!$C$7:$C$46,$N331),OVR_BASE,"&gt;=0")&gt;0)&gt;0,"stock overridden",""))</f>
        <v/>
      </c>
      <c r="L331" s="35">
        <f>IFERROR(IF(SMALL(Grids!$EE$116:$GQ$155,$M$313+16)&gt;=PEND_TO,"",SMALL(Grids!$EE$116:$GQ$155,$M$313+16)),"")</f>
        <v/>
      </c>
      <c r="M331" s="35">
        <f>IF($L331="","",INT($L331/1000000000))</f>
        <v/>
      </c>
      <c r="N331" s="35">
        <f>IF($L331="","",INT(($L331-INT($L331/1000000)*1000000)/1000))</f>
        <v/>
      </c>
      <c r="O331" s="35">
        <f>IF($L331="","",$L331-INT($L331/1000)*1000)</f>
        <v/>
      </c>
      <c r="P331" s="35">
        <f>IF($L331="","",INT(($L331-INT($L331/1000000000)*1000000000)/100000000))</f>
        <v/>
      </c>
    </row>
    <row r="332">
      <c r="B332" s="39">
        <f>IF($L332="","",$M332)</f>
        <v/>
      </c>
      <c r="C332" s="18">
        <f>IF($L332="","",INDEX(HSTECH!$C$7:$C$46,$N332))</f>
        <v/>
      </c>
      <c r="D332" s="18">
        <f>IF($L332="","",INDEX(HSTECH!$D$7:$D$46,$N332))</f>
        <v/>
      </c>
      <c r="E332" s="40">
        <f>IF($L332="","",IF($P332=0,"TBA",IFERROR(INDEX(Grids!$C$116:$BO$155,$N332,$O332),"-")))</f>
        <v/>
      </c>
      <c r="F332" s="18">
        <f>IF($L332="","",INDEX(HSTECH!$F$7:$F$46,$N332))</f>
        <v/>
      </c>
      <c r="G332" s="40">
        <f>IF($L332="","",IF($P332=0,"TBA",IFERROR(INDEX(Grids!$BQ$116:$EC$155,$N332,$O332),"-")))</f>
        <v/>
      </c>
      <c r="H332" s="41">
        <f>IF($L332="","",SUM($G$316:$G332))</f>
        <v/>
      </c>
      <c r="I332" s="42">
        <f>IF($L332="","",IF(INT(($L332-INT($L332/10000000)*10000000)/1000000)=0,"Bloomberg projection",IF($P332=1,"ANNOUNCED","ANNOUNCED - amount TBA")))</f>
        <v/>
      </c>
      <c r="J332" s="43">
        <f>IF($L332="","",IF((OV_SWITCH="ON")*(COUNTIFS(OVR_TICKERS,INDEX(HSTECH!$C$7:$C$46,$N332),OVR_BASE,"&gt;=0")&gt;0)&gt;0,"stock overridden",""))</f>
        <v/>
      </c>
      <c r="L332" s="35">
        <f>IFERROR(IF(SMALL(Grids!$EE$116:$GQ$155,$M$313+17)&gt;=PEND_TO,"",SMALL(Grids!$EE$116:$GQ$155,$M$313+17)),"")</f>
        <v/>
      </c>
      <c r="M332" s="35">
        <f>IF($L332="","",INT($L332/1000000000))</f>
        <v/>
      </c>
      <c r="N332" s="35">
        <f>IF($L332="","",INT(($L332-INT($L332/1000000)*1000000)/1000))</f>
        <v/>
      </c>
      <c r="O332" s="35">
        <f>IF($L332="","",$L332-INT($L332/1000)*1000)</f>
        <v/>
      </c>
      <c r="P332" s="35">
        <f>IF($L332="","",INT(($L332-INT($L332/1000000000)*1000000000)/100000000))</f>
        <v/>
      </c>
    </row>
    <row r="333">
      <c r="B333" s="39">
        <f>IF($L333="","",$M333)</f>
        <v/>
      </c>
      <c r="C333" s="18">
        <f>IF($L333="","",INDEX(HSTECH!$C$7:$C$46,$N333))</f>
        <v/>
      </c>
      <c r="D333" s="18">
        <f>IF($L333="","",INDEX(HSTECH!$D$7:$D$46,$N333))</f>
        <v/>
      </c>
      <c r="E333" s="40">
        <f>IF($L333="","",IF($P333=0,"TBA",IFERROR(INDEX(Grids!$C$116:$BO$155,$N333,$O333),"-")))</f>
        <v/>
      </c>
      <c r="F333" s="18">
        <f>IF($L333="","",INDEX(HSTECH!$F$7:$F$46,$N333))</f>
        <v/>
      </c>
      <c r="G333" s="40">
        <f>IF($L333="","",IF($P333=0,"TBA",IFERROR(INDEX(Grids!$BQ$116:$EC$155,$N333,$O333),"-")))</f>
        <v/>
      </c>
      <c r="H333" s="41">
        <f>IF($L333="","",SUM($G$316:$G333))</f>
        <v/>
      </c>
      <c r="I333" s="42">
        <f>IF($L333="","",IF(INT(($L333-INT($L333/10000000)*10000000)/1000000)=0,"Bloomberg projection",IF($P333=1,"ANNOUNCED","ANNOUNCED - amount TBA")))</f>
        <v/>
      </c>
      <c r="J333" s="43">
        <f>IF($L333="","",IF((OV_SWITCH="ON")*(COUNTIFS(OVR_TICKERS,INDEX(HSTECH!$C$7:$C$46,$N333),OVR_BASE,"&gt;=0")&gt;0)&gt;0,"stock overridden",""))</f>
        <v/>
      </c>
      <c r="L333" s="35">
        <f>IFERROR(IF(SMALL(Grids!$EE$116:$GQ$155,$M$313+18)&gt;=PEND_TO,"",SMALL(Grids!$EE$116:$GQ$155,$M$313+18)),"")</f>
        <v/>
      </c>
      <c r="M333" s="35">
        <f>IF($L333="","",INT($L333/1000000000))</f>
        <v/>
      </c>
      <c r="N333" s="35">
        <f>IF($L333="","",INT(($L333-INT($L333/1000000)*1000000)/1000))</f>
        <v/>
      </c>
      <c r="O333" s="35">
        <f>IF($L333="","",$L333-INT($L333/1000)*1000)</f>
        <v/>
      </c>
      <c r="P333" s="35">
        <f>IF($L333="","",INT(($L333-INT($L333/1000000000)*1000000000)/100000000))</f>
        <v/>
      </c>
    </row>
    <row r="334">
      <c r="B334" s="39">
        <f>IF($L334="","",$M334)</f>
        <v/>
      </c>
      <c r="C334" s="18">
        <f>IF($L334="","",INDEX(HSTECH!$C$7:$C$46,$N334))</f>
        <v/>
      </c>
      <c r="D334" s="18">
        <f>IF($L334="","",INDEX(HSTECH!$D$7:$D$46,$N334))</f>
        <v/>
      </c>
      <c r="E334" s="40">
        <f>IF($L334="","",IF($P334=0,"TBA",IFERROR(INDEX(Grids!$C$116:$BO$155,$N334,$O334),"-")))</f>
        <v/>
      </c>
      <c r="F334" s="18">
        <f>IF($L334="","",INDEX(HSTECH!$F$7:$F$46,$N334))</f>
        <v/>
      </c>
      <c r="G334" s="40">
        <f>IF($L334="","",IF($P334=0,"TBA",IFERROR(INDEX(Grids!$BQ$116:$EC$155,$N334,$O334),"-")))</f>
        <v/>
      </c>
      <c r="H334" s="41">
        <f>IF($L334="","",SUM($G$316:$G334))</f>
        <v/>
      </c>
      <c r="I334" s="42">
        <f>IF($L334="","",IF(INT(($L334-INT($L334/10000000)*10000000)/1000000)=0,"Bloomberg projection",IF($P334=1,"ANNOUNCED","ANNOUNCED - amount TBA")))</f>
        <v/>
      </c>
      <c r="J334" s="43">
        <f>IF($L334="","",IF((OV_SWITCH="ON")*(COUNTIFS(OVR_TICKERS,INDEX(HSTECH!$C$7:$C$46,$N334),OVR_BASE,"&gt;=0")&gt;0)&gt;0,"stock overridden",""))</f>
        <v/>
      </c>
      <c r="L334" s="35">
        <f>IFERROR(IF(SMALL(Grids!$EE$116:$GQ$155,$M$313+19)&gt;=PEND_TO,"",SMALL(Grids!$EE$116:$GQ$155,$M$313+19)),"")</f>
        <v/>
      </c>
      <c r="M334" s="35">
        <f>IF($L334="","",INT($L334/1000000000))</f>
        <v/>
      </c>
      <c r="N334" s="35">
        <f>IF($L334="","",INT(($L334-INT($L334/1000000)*1000000)/1000))</f>
        <v/>
      </c>
      <c r="O334" s="35">
        <f>IF($L334="","",$L334-INT($L334/1000)*1000)</f>
        <v/>
      </c>
      <c r="P334" s="35">
        <f>IF($L334="","",INT(($L334-INT($L334/1000000000)*1000000000)/100000000))</f>
        <v/>
      </c>
    </row>
    <row r="335">
      <c r="B335" s="39">
        <f>IF($L335="","",$M335)</f>
        <v/>
      </c>
      <c r="C335" s="18">
        <f>IF($L335="","",INDEX(HSTECH!$C$7:$C$46,$N335))</f>
        <v/>
      </c>
      <c r="D335" s="18">
        <f>IF($L335="","",INDEX(HSTECH!$D$7:$D$46,$N335))</f>
        <v/>
      </c>
      <c r="E335" s="40">
        <f>IF($L335="","",IF($P335=0,"TBA",IFERROR(INDEX(Grids!$C$116:$BO$155,$N335,$O335),"-")))</f>
        <v/>
      </c>
      <c r="F335" s="18">
        <f>IF($L335="","",INDEX(HSTECH!$F$7:$F$46,$N335))</f>
        <v/>
      </c>
      <c r="G335" s="40">
        <f>IF($L335="","",IF($P335=0,"TBA",IFERROR(INDEX(Grids!$BQ$116:$EC$155,$N335,$O335),"-")))</f>
        <v/>
      </c>
      <c r="H335" s="41">
        <f>IF($L335="","",SUM($G$316:$G335))</f>
        <v/>
      </c>
      <c r="I335" s="42">
        <f>IF($L335="","",IF(INT(($L335-INT($L335/10000000)*10000000)/1000000)=0,"Bloomberg projection",IF($P335=1,"ANNOUNCED","ANNOUNCED - amount TBA")))</f>
        <v/>
      </c>
      <c r="J335" s="43">
        <f>IF($L335="","",IF((OV_SWITCH="ON")*(COUNTIFS(OVR_TICKERS,INDEX(HSTECH!$C$7:$C$46,$N335),OVR_BASE,"&gt;=0")&gt;0)&gt;0,"stock overridden",""))</f>
        <v/>
      </c>
      <c r="L335" s="35">
        <f>IFERROR(IF(SMALL(Grids!$EE$116:$GQ$155,$M$313+20)&gt;=PEND_TO,"",SMALL(Grids!$EE$116:$GQ$155,$M$313+20)),"")</f>
        <v/>
      </c>
      <c r="M335" s="35">
        <f>IF($L335="","",INT($L335/1000000000))</f>
        <v/>
      </c>
      <c r="N335" s="35">
        <f>IF($L335="","",INT(($L335-INT($L335/1000000)*1000000)/1000))</f>
        <v/>
      </c>
      <c r="O335" s="35">
        <f>IF($L335="","",$L335-INT($L335/1000)*1000)</f>
        <v/>
      </c>
      <c r="P335" s="35">
        <f>IF($L335="","",INT(($L335-INT($L335/1000000000)*1000000000)/100000000))</f>
        <v/>
      </c>
    </row>
    <row r="336">
      <c r="B336" s="39">
        <f>IF($L336="","",$M336)</f>
        <v/>
      </c>
      <c r="C336" s="18">
        <f>IF($L336="","",INDEX(HSTECH!$C$7:$C$46,$N336))</f>
        <v/>
      </c>
      <c r="D336" s="18">
        <f>IF($L336="","",INDEX(HSTECH!$D$7:$D$46,$N336))</f>
        <v/>
      </c>
      <c r="E336" s="40">
        <f>IF($L336="","",IF($P336=0,"TBA",IFERROR(INDEX(Grids!$C$116:$BO$155,$N336,$O336),"-")))</f>
        <v/>
      </c>
      <c r="F336" s="18">
        <f>IF($L336="","",INDEX(HSTECH!$F$7:$F$46,$N336))</f>
        <v/>
      </c>
      <c r="G336" s="40">
        <f>IF($L336="","",IF($P336=0,"TBA",IFERROR(INDEX(Grids!$BQ$116:$EC$155,$N336,$O336),"-")))</f>
        <v/>
      </c>
      <c r="H336" s="41">
        <f>IF($L336="","",SUM($G$316:$G336))</f>
        <v/>
      </c>
      <c r="I336" s="42">
        <f>IF($L336="","",IF(INT(($L336-INT($L336/10000000)*10000000)/1000000)=0,"Bloomberg projection",IF($P336=1,"ANNOUNCED","ANNOUNCED - amount TBA")))</f>
        <v/>
      </c>
      <c r="J336" s="43">
        <f>IF($L336="","",IF((OV_SWITCH="ON")*(COUNTIFS(OVR_TICKERS,INDEX(HSTECH!$C$7:$C$46,$N336),OVR_BASE,"&gt;=0")&gt;0)&gt;0,"stock overridden",""))</f>
        <v/>
      </c>
      <c r="L336" s="35">
        <f>IFERROR(IF(SMALL(Grids!$EE$116:$GQ$155,$M$313+21)&gt;=PEND_TO,"",SMALL(Grids!$EE$116:$GQ$155,$M$313+21)),"")</f>
        <v/>
      </c>
      <c r="M336" s="35">
        <f>IF($L336="","",INT($L336/1000000000))</f>
        <v/>
      </c>
      <c r="N336" s="35">
        <f>IF($L336="","",INT(($L336-INT($L336/1000000)*1000000)/1000))</f>
        <v/>
      </c>
      <c r="O336" s="35">
        <f>IF($L336="","",$L336-INT($L336/1000)*1000)</f>
        <v/>
      </c>
      <c r="P336" s="35">
        <f>IF($L336="","",INT(($L336-INT($L336/1000000000)*1000000000)/100000000))</f>
        <v/>
      </c>
    </row>
    <row r="337">
      <c r="B337" s="39">
        <f>IF($L337="","",$M337)</f>
        <v/>
      </c>
      <c r="C337" s="18">
        <f>IF($L337="","",INDEX(HSTECH!$C$7:$C$46,$N337))</f>
        <v/>
      </c>
      <c r="D337" s="18">
        <f>IF($L337="","",INDEX(HSTECH!$D$7:$D$46,$N337))</f>
        <v/>
      </c>
      <c r="E337" s="40">
        <f>IF($L337="","",IF($P337=0,"TBA",IFERROR(INDEX(Grids!$C$116:$BO$155,$N337,$O337),"-")))</f>
        <v/>
      </c>
      <c r="F337" s="18">
        <f>IF($L337="","",INDEX(HSTECH!$F$7:$F$46,$N337))</f>
        <v/>
      </c>
      <c r="G337" s="40">
        <f>IF($L337="","",IF($P337=0,"TBA",IFERROR(INDEX(Grids!$BQ$116:$EC$155,$N337,$O337),"-")))</f>
        <v/>
      </c>
      <c r="H337" s="41">
        <f>IF($L337="","",SUM($G$316:$G337))</f>
        <v/>
      </c>
      <c r="I337" s="42">
        <f>IF($L337="","",IF(INT(($L337-INT($L337/10000000)*10000000)/1000000)=0,"Bloomberg projection",IF($P337=1,"ANNOUNCED","ANNOUNCED - amount TBA")))</f>
        <v/>
      </c>
      <c r="J337" s="43">
        <f>IF($L337="","",IF((OV_SWITCH="ON")*(COUNTIFS(OVR_TICKERS,INDEX(HSTECH!$C$7:$C$46,$N337),OVR_BASE,"&gt;=0")&gt;0)&gt;0,"stock overridden",""))</f>
        <v/>
      </c>
      <c r="L337" s="35">
        <f>IFERROR(IF(SMALL(Grids!$EE$116:$GQ$155,$M$313+22)&gt;=PEND_TO,"",SMALL(Grids!$EE$116:$GQ$155,$M$313+22)),"")</f>
        <v/>
      </c>
      <c r="M337" s="35">
        <f>IF($L337="","",INT($L337/1000000000))</f>
        <v/>
      </c>
      <c r="N337" s="35">
        <f>IF($L337="","",INT(($L337-INT($L337/1000000)*1000000)/1000))</f>
        <v/>
      </c>
      <c r="O337" s="35">
        <f>IF($L337="","",$L337-INT($L337/1000)*1000)</f>
        <v/>
      </c>
      <c r="P337" s="35">
        <f>IF($L337="","",INT(($L337-INT($L337/1000000000)*1000000000)/100000000))</f>
        <v/>
      </c>
    </row>
    <row r="338">
      <c r="B338" s="39">
        <f>IF($L338="","",$M338)</f>
        <v/>
      </c>
      <c r="C338" s="18">
        <f>IF($L338="","",INDEX(HSTECH!$C$7:$C$46,$N338))</f>
        <v/>
      </c>
      <c r="D338" s="18">
        <f>IF($L338="","",INDEX(HSTECH!$D$7:$D$46,$N338))</f>
        <v/>
      </c>
      <c r="E338" s="40">
        <f>IF($L338="","",IF($P338=0,"TBA",IFERROR(INDEX(Grids!$C$116:$BO$155,$N338,$O338),"-")))</f>
        <v/>
      </c>
      <c r="F338" s="18">
        <f>IF($L338="","",INDEX(HSTECH!$F$7:$F$46,$N338))</f>
        <v/>
      </c>
      <c r="G338" s="40">
        <f>IF($L338="","",IF($P338=0,"TBA",IFERROR(INDEX(Grids!$BQ$116:$EC$155,$N338,$O338),"-")))</f>
        <v/>
      </c>
      <c r="H338" s="41">
        <f>IF($L338="","",SUM($G$316:$G338))</f>
        <v/>
      </c>
      <c r="I338" s="42">
        <f>IF($L338="","",IF(INT(($L338-INT($L338/10000000)*10000000)/1000000)=0,"Bloomberg projection",IF($P338=1,"ANNOUNCED","ANNOUNCED - amount TBA")))</f>
        <v/>
      </c>
      <c r="J338" s="43">
        <f>IF($L338="","",IF((OV_SWITCH="ON")*(COUNTIFS(OVR_TICKERS,INDEX(HSTECH!$C$7:$C$46,$N338),OVR_BASE,"&gt;=0")&gt;0)&gt;0,"stock overridden",""))</f>
        <v/>
      </c>
      <c r="L338" s="35">
        <f>IFERROR(IF(SMALL(Grids!$EE$116:$GQ$155,$M$313+23)&gt;=PEND_TO,"",SMALL(Grids!$EE$116:$GQ$155,$M$313+23)),"")</f>
        <v/>
      </c>
      <c r="M338" s="35">
        <f>IF($L338="","",INT($L338/1000000000))</f>
        <v/>
      </c>
      <c r="N338" s="35">
        <f>IF($L338="","",INT(($L338-INT($L338/1000000)*1000000)/1000))</f>
        <v/>
      </c>
      <c r="O338" s="35">
        <f>IF($L338="","",$L338-INT($L338/1000)*1000)</f>
        <v/>
      </c>
      <c r="P338" s="35">
        <f>IF($L338="","",INT(($L338-INT($L338/1000000000)*1000000000)/100000000))</f>
        <v/>
      </c>
    </row>
    <row r="339">
      <c r="B339" s="39">
        <f>IF($L339="","",$M339)</f>
        <v/>
      </c>
      <c r="C339" s="18">
        <f>IF($L339="","",INDEX(HSTECH!$C$7:$C$46,$N339))</f>
        <v/>
      </c>
      <c r="D339" s="18">
        <f>IF($L339="","",INDEX(HSTECH!$D$7:$D$46,$N339))</f>
        <v/>
      </c>
      <c r="E339" s="40">
        <f>IF($L339="","",IF($P339=0,"TBA",IFERROR(INDEX(Grids!$C$116:$BO$155,$N339,$O339),"-")))</f>
        <v/>
      </c>
      <c r="F339" s="18">
        <f>IF($L339="","",INDEX(HSTECH!$F$7:$F$46,$N339))</f>
        <v/>
      </c>
      <c r="G339" s="40">
        <f>IF($L339="","",IF($P339=0,"TBA",IFERROR(INDEX(Grids!$BQ$116:$EC$155,$N339,$O339),"-")))</f>
        <v/>
      </c>
      <c r="H339" s="41">
        <f>IF($L339="","",SUM($G$316:$G339))</f>
        <v/>
      </c>
      <c r="I339" s="42">
        <f>IF($L339="","",IF(INT(($L339-INT($L339/10000000)*10000000)/1000000)=0,"Bloomberg projection",IF($P339=1,"ANNOUNCED","ANNOUNCED - amount TBA")))</f>
        <v/>
      </c>
      <c r="J339" s="43">
        <f>IF($L339="","",IF((OV_SWITCH="ON")*(COUNTIFS(OVR_TICKERS,INDEX(HSTECH!$C$7:$C$46,$N339),OVR_BASE,"&gt;=0")&gt;0)&gt;0,"stock overridden",""))</f>
        <v/>
      </c>
      <c r="L339" s="35">
        <f>IFERROR(IF(SMALL(Grids!$EE$116:$GQ$155,$M$313+24)&gt;=PEND_TO,"",SMALL(Grids!$EE$116:$GQ$155,$M$313+24)),"")</f>
        <v/>
      </c>
      <c r="M339" s="35">
        <f>IF($L339="","",INT($L339/1000000000))</f>
        <v/>
      </c>
      <c r="N339" s="35">
        <f>IF($L339="","",INT(($L339-INT($L339/1000000)*1000000)/1000))</f>
        <v/>
      </c>
      <c r="O339" s="35">
        <f>IF($L339="","",$L339-INT($L339/1000)*1000)</f>
        <v/>
      </c>
      <c r="P339" s="35">
        <f>IF($L339="","",INT(($L339-INT($L339/1000000000)*1000000000)/100000000))</f>
        <v/>
      </c>
    </row>
    <row r="340">
      <c r="B340" s="39">
        <f>IF($L340="","",$M340)</f>
        <v/>
      </c>
      <c r="C340" s="18">
        <f>IF($L340="","",INDEX(HSTECH!$C$7:$C$46,$N340))</f>
        <v/>
      </c>
      <c r="D340" s="18">
        <f>IF($L340="","",INDEX(HSTECH!$D$7:$D$46,$N340))</f>
        <v/>
      </c>
      <c r="E340" s="40">
        <f>IF($L340="","",IF($P340=0,"TBA",IFERROR(INDEX(Grids!$C$116:$BO$155,$N340,$O340),"-")))</f>
        <v/>
      </c>
      <c r="F340" s="18">
        <f>IF($L340="","",INDEX(HSTECH!$F$7:$F$46,$N340))</f>
        <v/>
      </c>
      <c r="G340" s="40">
        <f>IF($L340="","",IF($P340=0,"TBA",IFERROR(INDEX(Grids!$BQ$116:$EC$155,$N340,$O340),"-")))</f>
        <v/>
      </c>
      <c r="H340" s="41">
        <f>IF($L340="","",SUM($G$316:$G340))</f>
        <v/>
      </c>
      <c r="I340" s="42">
        <f>IF($L340="","",IF(INT(($L340-INT($L340/10000000)*10000000)/1000000)=0,"Bloomberg projection",IF($P340=1,"ANNOUNCED","ANNOUNCED - amount TBA")))</f>
        <v/>
      </c>
      <c r="J340" s="43">
        <f>IF($L340="","",IF((OV_SWITCH="ON")*(COUNTIFS(OVR_TICKERS,INDEX(HSTECH!$C$7:$C$46,$N340),OVR_BASE,"&gt;=0")&gt;0)&gt;0,"stock overridden",""))</f>
        <v/>
      </c>
      <c r="L340" s="35">
        <f>IFERROR(IF(SMALL(Grids!$EE$116:$GQ$155,$M$313+25)&gt;=PEND_TO,"",SMALL(Grids!$EE$116:$GQ$155,$M$313+25)),"")</f>
        <v/>
      </c>
      <c r="M340" s="35">
        <f>IF($L340="","",INT($L340/1000000000))</f>
        <v/>
      </c>
      <c r="N340" s="35">
        <f>IF($L340="","",INT(($L340-INT($L340/1000000)*1000000)/1000))</f>
        <v/>
      </c>
      <c r="O340" s="35">
        <f>IF($L340="","",$L340-INT($L340/1000)*1000)</f>
        <v/>
      </c>
      <c r="P340" s="35">
        <f>IF($L340="","",INT(($L340-INT($L340/1000000000)*1000000000)/100000000))</f>
        <v/>
      </c>
    </row>
    <row r="341">
      <c r="B341" s="39">
        <f>IF($L341="","",$M341)</f>
        <v/>
      </c>
      <c r="C341" s="18">
        <f>IF($L341="","",INDEX(HSTECH!$C$7:$C$46,$N341))</f>
        <v/>
      </c>
      <c r="D341" s="18">
        <f>IF($L341="","",INDEX(HSTECH!$D$7:$D$46,$N341))</f>
        <v/>
      </c>
      <c r="E341" s="40">
        <f>IF($L341="","",IF($P341=0,"TBA",IFERROR(INDEX(Grids!$C$116:$BO$155,$N341,$O341),"-")))</f>
        <v/>
      </c>
      <c r="F341" s="18">
        <f>IF($L341="","",INDEX(HSTECH!$F$7:$F$46,$N341))</f>
        <v/>
      </c>
      <c r="G341" s="40">
        <f>IF($L341="","",IF($P341=0,"TBA",IFERROR(INDEX(Grids!$BQ$116:$EC$155,$N341,$O341),"-")))</f>
        <v/>
      </c>
      <c r="H341" s="41">
        <f>IF($L341="","",SUM($G$316:$G341))</f>
        <v/>
      </c>
      <c r="I341" s="42">
        <f>IF($L341="","",IF(INT(($L341-INT($L341/10000000)*10000000)/1000000)=0,"Bloomberg projection",IF($P341=1,"ANNOUNCED","ANNOUNCED - amount TBA")))</f>
        <v/>
      </c>
      <c r="J341" s="43">
        <f>IF($L341="","",IF((OV_SWITCH="ON")*(COUNTIFS(OVR_TICKERS,INDEX(HSTECH!$C$7:$C$46,$N341),OVR_BASE,"&gt;=0")&gt;0)&gt;0,"stock overridden",""))</f>
        <v/>
      </c>
      <c r="L341" s="35">
        <f>IFERROR(IF(SMALL(Grids!$EE$116:$GQ$155,$M$313+26)&gt;=PEND_TO,"",SMALL(Grids!$EE$116:$GQ$155,$M$313+26)),"")</f>
        <v/>
      </c>
      <c r="M341" s="35">
        <f>IF($L341="","",INT($L341/1000000000))</f>
        <v/>
      </c>
      <c r="N341" s="35">
        <f>IF($L341="","",INT(($L341-INT($L341/1000000)*1000000)/1000))</f>
        <v/>
      </c>
      <c r="O341" s="35">
        <f>IF($L341="","",$L341-INT($L341/1000)*1000)</f>
        <v/>
      </c>
      <c r="P341" s="35">
        <f>IF($L341="","",INT(($L341-INT($L341/1000000000)*1000000000)/100000000))</f>
        <v/>
      </c>
    </row>
    <row r="342">
      <c r="B342" s="39">
        <f>IF($L342="","",$M342)</f>
        <v/>
      </c>
      <c r="C342" s="18">
        <f>IF($L342="","",INDEX(HSTECH!$C$7:$C$46,$N342))</f>
        <v/>
      </c>
      <c r="D342" s="18">
        <f>IF($L342="","",INDEX(HSTECH!$D$7:$D$46,$N342))</f>
        <v/>
      </c>
      <c r="E342" s="40">
        <f>IF($L342="","",IF($P342=0,"TBA",IFERROR(INDEX(Grids!$C$116:$BO$155,$N342,$O342),"-")))</f>
        <v/>
      </c>
      <c r="F342" s="18">
        <f>IF($L342="","",INDEX(HSTECH!$F$7:$F$46,$N342))</f>
        <v/>
      </c>
      <c r="G342" s="40">
        <f>IF($L342="","",IF($P342=0,"TBA",IFERROR(INDEX(Grids!$BQ$116:$EC$155,$N342,$O342),"-")))</f>
        <v/>
      </c>
      <c r="H342" s="41">
        <f>IF($L342="","",SUM($G$316:$G342))</f>
        <v/>
      </c>
      <c r="I342" s="42">
        <f>IF($L342="","",IF(INT(($L342-INT($L342/10000000)*10000000)/1000000)=0,"Bloomberg projection",IF($P342=1,"ANNOUNCED","ANNOUNCED - amount TBA")))</f>
        <v/>
      </c>
      <c r="J342" s="43">
        <f>IF($L342="","",IF((OV_SWITCH="ON")*(COUNTIFS(OVR_TICKERS,INDEX(HSTECH!$C$7:$C$46,$N342),OVR_BASE,"&gt;=0")&gt;0)&gt;0,"stock overridden",""))</f>
        <v/>
      </c>
      <c r="L342" s="35">
        <f>IFERROR(IF(SMALL(Grids!$EE$116:$GQ$155,$M$313+27)&gt;=PEND_TO,"",SMALL(Grids!$EE$116:$GQ$155,$M$313+27)),"")</f>
        <v/>
      </c>
      <c r="M342" s="35">
        <f>IF($L342="","",INT($L342/1000000000))</f>
        <v/>
      </c>
      <c r="N342" s="35">
        <f>IF($L342="","",INT(($L342-INT($L342/1000000)*1000000)/1000))</f>
        <v/>
      </c>
      <c r="O342" s="35">
        <f>IF($L342="","",$L342-INT($L342/1000)*1000)</f>
        <v/>
      </c>
      <c r="P342" s="35">
        <f>IF($L342="","",INT(($L342-INT($L342/1000000000)*1000000000)/100000000))</f>
        <v/>
      </c>
    </row>
    <row r="343">
      <c r="B343" s="39">
        <f>IF($L343="","",$M343)</f>
        <v/>
      </c>
      <c r="C343" s="18">
        <f>IF($L343="","",INDEX(HSTECH!$C$7:$C$46,$N343))</f>
        <v/>
      </c>
      <c r="D343" s="18">
        <f>IF($L343="","",INDEX(HSTECH!$D$7:$D$46,$N343))</f>
        <v/>
      </c>
      <c r="E343" s="40">
        <f>IF($L343="","",IF($P343=0,"TBA",IFERROR(INDEX(Grids!$C$116:$BO$155,$N343,$O343),"-")))</f>
        <v/>
      </c>
      <c r="F343" s="18">
        <f>IF($L343="","",INDEX(HSTECH!$F$7:$F$46,$N343))</f>
        <v/>
      </c>
      <c r="G343" s="40">
        <f>IF($L343="","",IF($P343=0,"TBA",IFERROR(INDEX(Grids!$BQ$116:$EC$155,$N343,$O343),"-")))</f>
        <v/>
      </c>
      <c r="H343" s="41">
        <f>IF($L343="","",SUM($G$316:$G343))</f>
        <v/>
      </c>
      <c r="I343" s="42">
        <f>IF($L343="","",IF(INT(($L343-INT($L343/10000000)*10000000)/1000000)=0,"Bloomberg projection",IF($P343=1,"ANNOUNCED","ANNOUNCED - amount TBA")))</f>
        <v/>
      </c>
      <c r="J343" s="43">
        <f>IF($L343="","",IF((OV_SWITCH="ON")*(COUNTIFS(OVR_TICKERS,INDEX(HSTECH!$C$7:$C$46,$N343),OVR_BASE,"&gt;=0")&gt;0)&gt;0,"stock overridden",""))</f>
        <v/>
      </c>
      <c r="L343" s="35">
        <f>IFERROR(IF(SMALL(Grids!$EE$116:$GQ$155,$M$313+28)&gt;=PEND_TO,"",SMALL(Grids!$EE$116:$GQ$155,$M$313+28)),"")</f>
        <v/>
      </c>
      <c r="M343" s="35">
        <f>IF($L343="","",INT($L343/1000000000))</f>
        <v/>
      </c>
      <c r="N343" s="35">
        <f>IF($L343="","",INT(($L343-INT($L343/1000000)*1000000)/1000))</f>
        <v/>
      </c>
      <c r="O343" s="35">
        <f>IF($L343="","",$L343-INT($L343/1000)*1000)</f>
        <v/>
      </c>
      <c r="P343" s="35">
        <f>IF($L343="","",INT(($L343-INT($L343/1000000000)*1000000000)/100000000))</f>
        <v/>
      </c>
    </row>
    <row r="344">
      <c r="B344" s="39">
        <f>IF($L344="","",$M344)</f>
        <v/>
      </c>
      <c r="C344" s="18">
        <f>IF($L344="","",INDEX(HSTECH!$C$7:$C$46,$N344))</f>
        <v/>
      </c>
      <c r="D344" s="18">
        <f>IF($L344="","",INDEX(HSTECH!$D$7:$D$46,$N344))</f>
        <v/>
      </c>
      <c r="E344" s="40">
        <f>IF($L344="","",IF($P344=0,"TBA",IFERROR(INDEX(Grids!$C$116:$BO$155,$N344,$O344),"-")))</f>
        <v/>
      </c>
      <c r="F344" s="18">
        <f>IF($L344="","",INDEX(HSTECH!$F$7:$F$46,$N344))</f>
        <v/>
      </c>
      <c r="G344" s="40">
        <f>IF($L344="","",IF($P344=0,"TBA",IFERROR(INDEX(Grids!$BQ$116:$EC$155,$N344,$O344),"-")))</f>
        <v/>
      </c>
      <c r="H344" s="41">
        <f>IF($L344="","",SUM($G$316:$G344))</f>
        <v/>
      </c>
      <c r="I344" s="42">
        <f>IF($L344="","",IF(INT(($L344-INT($L344/10000000)*10000000)/1000000)=0,"Bloomberg projection",IF($P344=1,"ANNOUNCED","ANNOUNCED - amount TBA")))</f>
        <v/>
      </c>
      <c r="J344" s="43">
        <f>IF($L344="","",IF((OV_SWITCH="ON")*(COUNTIFS(OVR_TICKERS,INDEX(HSTECH!$C$7:$C$46,$N344),OVR_BASE,"&gt;=0")&gt;0)&gt;0,"stock overridden",""))</f>
        <v/>
      </c>
      <c r="L344" s="35">
        <f>IFERROR(IF(SMALL(Grids!$EE$116:$GQ$155,$M$313+29)&gt;=PEND_TO,"",SMALL(Grids!$EE$116:$GQ$155,$M$313+29)),"")</f>
        <v/>
      </c>
      <c r="M344" s="35">
        <f>IF($L344="","",INT($L344/1000000000))</f>
        <v/>
      </c>
      <c r="N344" s="35">
        <f>IF($L344="","",INT(($L344-INT($L344/1000000)*1000000)/1000))</f>
        <v/>
      </c>
      <c r="O344" s="35">
        <f>IF($L344="","",$L344-INT($L344/1000)*1000)</f>
        <v/>
      </c>
      <c r="P344" s="35">
        <f>IF($L344="","",INT(($L344-INT($L344/1000000000)*1000000000)/100000000))</f>
        <v/>
      </c>
    </row>
    <row r="345">
      <c r="B345" s="39">
        <f>IF($L345="","",$M345)</f>
        <v/>
      </c>
      <c r="C345" s="18">
        <f>IF($L345="","",INDEX(HSTECH!$C$7:$C$46,$N345))</f>
        <v/>
      </c>
      <c r="D345" s="18">
        <f>IF($L345="","",INDEX(HSTECH!$D$7:$D$46,$N345))</f>
        <v/>
      </c>
      <c r="E345" s="40">
        <f>IF($L345="","",IF($P345=0,"TBA",IFERROR(INDEX(Grids!$C$116:$BO$155,$N345,$O345),"-")))</f>
        <v/>
      </c>
      <c r="F345" s="18">
        <f>IF($L345="","",INDEX(HSTECH!$F$7:$F$46,$N345))</f>
        <v/>
      </c>
      <c r="G345" s="40">
        <f>IF($L345="","",IF($P345=0,"TBA",IFERROR(INDEX(Grids!$BQ$116:$EC$155,$N345,$O345),"-")))</f>
        <v/>
      </c>
      <c r="H345" s="41">
        <f>IF($L345="","",SUM($G$316:$G345))</f>
        <v/>
      </c>
      <c r="I345" s="42">
        <f>IF($L345="","",IF(INT(($L345-INT($L345/10000000)*10000000)/1000000)=0,"Bloomberg projection",IF($P345=1,"ANNOUNCED","ANNOUNCED - amount TBA")))</f>
        <v/>
      </c>
      <c r="J345" s="43">
        <f>IF($L345="","",IF((OV_SWITCH="ON")*(COUNTIFS(OVR_TICKERS,INDEX(HSTECH!$C$7:$C$46,$N345),OVR_BASE,"&gt;=0")&gt;0)&gt;0,"stock overridden",""))</f>
        <v/>
      </c>
      <c r="L345" s="35">
        <f>IFERROR(IF(SMALL(Grids!$EE$116:$GQ$155,$M$313+30)&gt;=PEND_TO,"",SMALL(Grids!$EE$116:$GQ$155,$M$313+30)),"")</f>
        <v/>
      </c>
      <c r="M345" s="35">
        <f>IF($L345="","",INT($L345/1000000000))</f>
        <v/>
      </c>
      <c r="N345" s="35">
        <f>IF($L345="","",INT(($L345-INT($L345/1000000)*1000000)/1000))</f>
        <v/>
      </c>
      <c r="O345" s="35">
        <f>IF($L345="","",$L345-INT($L345/1000)*1000)</f>
        <v/>
      </c>
      <c r="P345" s="35">
        <f>IF($L345="","",INT(($L345-INT($L345/1000000000)*1000000000)/100000000))</f>
        <v/>
      </c>
    </row>
    <row r="346">
      <c r="B346" s="39">
        <f>IF($L346="","",$M346)</f>
        <v/>
      </c>
      <c r="C346" s="18">
        <f>IF($L346="","",INDEX(HSTECH!$C$7:$C$46,$N346))</f>
        <v/>
      </c>
      <c r="D346" s="18">
        <f>IF($L346="","",INDEX(HSTECH!$D$7:$D$46,$N346))</f>
        <v/>
      </c>
      <c r="E346" s="40">
        <f>IF($L346="","",IF($P346=0,"TBA",IFERROR(INDEX(Grids!$C$116:$BO$155,$N346,$O346),"-")))</f>
        <v/>
      </c>
      <c r="F346" s="18">
        <f>IF($L346="","",INDEX(HSTECH!$F$7:$F$46,$N346))</f>
        <v/>
      </c>
      <c r="G346" s="40">
        <f>IF($L346="","",IF($P346=0,"TBA",IFERROR(INDEX(Grids!$BQ$116:$EC$155,$N346,$O346),"-")))</f>
        <v/>
      </c>
      <c r="H346" s="41">
        <f>IF($L346="","",SUM($G$316:$G346))</f>
        <v/>
      </c>
      <c r="I346" s="42">
        <f>IF($L346="","",IF(INT(($L346-INT($L346/10000000)*10000000)/1000000)=0,"Bloomberg projection",IF($P346=1,"ANNOUNCED","ANNOUNCED - amount TBA")))</f>
        <v/>
      </c>
      <c r="J346" s="43">
        <f>IF($L346="","",IF((OV_SWITCH="ON")*(COUNTIFS(OVR_TICKERS,INDEX(HSTECH!$C$7:$C$46,$N346),OVR_BASE,"&gt;=0")&gt;0)&gt;0,"stock overridden",""))</f>
        <v/>
      </c>
      <c r="L346" s="35">
        <f>IFERROR(IF(SMALL(Grids!$EE$116:$GQ$155,$M$313+31)&gt;=PEND_TO,"",SMALL(Grids!$EE$116:$GQ$155,$M$313+31)),"")</f>
        <v/>
      </c>
      <c r="M346" s="35">
        <f>IF($L346="","",INT($L346/1000000000))</f>
        <v/>
      </c>
      <c r="N346" s="35">
        <f>IF($L346="","",INT(($L346-INT($L346/1000000)*1000000)/1000))</f>
        <v/>
      </c>
      <c r="O346" s="35">
        <f>IF($L346="","",$L346-INT($L346/1000)*1000)</f>
        <v/>
      </c>
      <c r="P346" s="35">
        <f>IF($L346="","",INT(($L346-INT($L346/1000000000)*1000000000)/100000000))</f>
        <v/>
      </c>
    </row>
    <row r="347">
      <c r="B347" s="39">
        <f>IF($L347="","",$M347)</f>
        <v/>
      </c>
      <c r="C347" s="18">
        <f>IF($L347="","",INDEX(HSTECH!$C$7:$C$46,$N347))</f>
        <v/>
      </c>
      <c r="D347" s="18">
        <f>IF($L347="","",INDEX(HSTECH!$D$7:$D$46,$N347))</f>
        <v/>
      </c>
      <c r="E347" s="40">
        <f>IF($L347="","",IF($P347=0,"TBA",IFERROR(INDEX(Grids!$C$116:$BO$155,$N347,$O347),"-")))</f>
        <v/>
      </c>
      <c r="F347" s="18">
        <f>IF($L347="","",INDEX(HSTECH!$F$7:$F$46,$N347))</f>
        <v/>
      </c>
      <c r="G347" s="40">
        <f>IF($L347="","",IF($P347=0,"TBA",IFERROR(INDEX(Grids!$BQ$116:$EC$155,$N347,$O347),"-")))</f>
        <v/>
      </c>
      <c r="H347" s="41">
        <f>IF($L347="","",SUM($G$316:$G347))</f>
        <v/>
      </c>
      <c r="I347" s="42">
        <f>IF($L347="","",IF(INT(($L347-INT($L347/10000000)*10000000)/1000000)=0,"Bloomberg projection",IF($P347=1,"ANNOUNCED","ANNOUNCED - amount TBA")))</f>
        <v/>
      </c>
      <c r="J347" s="43">
        <f>IF($L347="","",IF((OV_SWITCH="ON")*(COUNTIFS(OVR_TICKERS,INDEX(HSTECH!$C$7:$C$46,$N347),OVR_BASE,"&gt;=0")&gt;0)&gt;0,"stock overridden",""))</f>
        <v/>
      </c>
      <c r="L347" s="35">
        <f>IFERROR(IF(SMALL(Grids!$EE$116:$GQ$155,$M$313+32)&gt;=PEND_TO,"",SMALL(Grids!$EE$116:$GQ$155,$M$313+32)),"")</f>
        <v/>
      </c>
      <c r="M347" s="35">
        <f>IF($L347="","",INT($L347/1000000000))</f>
        <v/>
      </c>
      <c r="N347" s="35">
        <f>IF($L347="","",INT(($L347-INT($L347/1000000)*1000000)/1000))</f>
        <v/>
      </c>
      <c r="O347" s="35">
        <f>IF($L347="","",$L347-INT($L347/1000)*1000)</f>
        <v/>
      </c>
      <c r="P347" s="35">
        <f>IF($L347="","",INT(($L347-INT($L347/1000000000)*1000000000)/100000000))</f>
        <v/>
      </c>
    </row>
    <row r="348">
      <c r="B348" s="39">
        <f>IF($L348="","",$M348)</f>
        <v/>
      </c>
      <c r="C348" s="18">
        <f>IF($L348="","",INDEX(HSTECH!$C$7:$C$46,$N348))</f>
        <v/>
      </c>
      <c r="D348" s="18">
        <f>IF($L348="","",INDEX(HSTECH!$D$7:$D$46,$N348))</f>
        <v/>
      </c>
      <c r="E348" s="40">
        <f>IF($L348="","",IF($P348=0,"TBA",IFERROR(INDEX(Grids!$C$116:$BO$155,$N348,$O348),"-")))</f>
        <v/>
      </c>
      <c r="F348" s="18">
        <f>IF($L348="","",INDEX(HSTECH!$F$7:$F$46,$N348))</f>
        <v/>
      </c>
      <c r="G348" s="40">
        <f>IF($L348="","",IF($P348=0,"TBA",IFERROR(INDEX(Grids!$BQ$116:$EC$155,$N348,$O348),"-")))</f>
        <v/>
      </c>
      <c r="H348" s="41">
        <f>IF($L348="","",SUM($G$316:$G348))</f>
        <v/>
      </c>
      <c r="I348" s="42">
        <f>IF($L348="","",IF(INT(($L348-INT($L348/10000000)*10000000)/1000000)=0,"Bloomberg projection",IF($P348=1,"ANNOUNCED","ANNOUNCED - amount TBA")))</f>
        <v/>
      </c>
      <c r="J348" s="43">
        <f>IF($L348="","",IF((OV_SWITCH="ON")*(COUNTIFS(OVR_TICKERS,INDEX(HSTECH!$C$7:$C$46,$N348),OVR_BASE,"&gt;=0")&gt;0)&gt;0,"stock overridden",""))</f>
        <v/>
      </c>
      <c r="L348" s="35">
        <f>IFERROR(IF(SMALL(Grids!$EE$116:$GQ$155,$M$313+33)&gt;=PEND_TO,"",SMALL(Grids!$EE$116:$GQ$155,$M$313+33)),"")</f>
        <v/>
      </c>
      <c r="M348" s="35">
        <f>IF($L348="","",INT($L348/1000000000))</f>
        <v/>
      </c>
      <c r="N348" s="35">
        <f>IF($L348="","",INT(($L348-INT($L348/1000000)*1000000)/1000))</f>
        <v/>
      </c>
      <c r="O348" s="35">
        <f>IF($L348="","",$L348-INT($L348/1000)*1000)</f>
        <v/>
      </c>
      <c r="P348" s="35">
        <f>IF($L348="","",INT(($L348-INT($L348/1000000000)*1000000000)/100000000))</f>
        <v/>
      </c>
    </row>
    <row r="349">
      <c r="B349" s="39">
        <f>IF($L349="","",$M349)</f>
        <v/>
      </c>
      <c r="C349" s="18">
        <f>IF($L349="","",INDEX(HSTECH!$C$7:$C$46,$N349))</f>
        <v/>
      </c>
      <c r="D349" s="18">
        <f>IF($L349="","",INDEX(HSTECH!$D$7:$D$46,$N349))</f>
        <v/>
      </c>
      <c r="E349" s="40">
        <f>IF($L349="","",IF($P349=0,"TBA",IFERROR(INDEX(Grids!$C$116:$BO$155,$N349,$O349),"-")))</f>
        <v/>
      </c>
      <c r="F349" s="18">
        <f>IF($L349="","",INDEX(HSTECH!$F$7:$F$46,$N349))</f>
        <v/>
      </c>
      <c r="G349" s="40">
        <f>IF($L349="","",IF($P349=0,"TBA",IFERROR(INDEX(Grids!$BQ$116:$EC$155,$N349,$O349),"-")))</f>
        <v/>
      </c>
      <c r="H349" s="41">
        <f>IF($L349="","",SUM($G$316:$G349))</f>
        <v/>
      </c>
      <c r="I349" s="42">
        <f>IF($L349="","",IF(INT(($L349-INT($L349/10000000)*10000000)/1000000)=0,"Bloomberg projection",IF($P349=1,"ANNOUNCED","ANNOUNCED - amount TBA")))</f>
        <v/>
      </c>
      <c r="J349" s="43">
        <f>IF($L349="","",IF((OV_SWITCH="ON")*(COUNTIFS(OVR_TICKERS,INDEX(HSTECH!$C$7:$C$46,$N349),OVR_BASE,"&gt;=0")&gt;0)&gt;0,"stock overridden",""))</f>
        <v/>
      </c>
      <c r="L349" s="35">
        <f>IFERROR(IF(SMALL(Grids!$EE$116:$GQ$155,$M$313+34)&gt;=PEND_TO,"",SMALL(Grids!$EE$116:$GQ$155,$M$313+34)),"")</f>
        <v/>
      </c>
      <c r="M349" s="35">
        <f>IF($L349="","",INT($L349/1000000000))</f>
        <v/>
      </c>
      <c r="N349" s="35">
        <f>IF($L349="","",INT(($L349-INT($L349/1000000)*1000000)/1000))</f>
        <v/>
      </c>
      <c r="O349" s="35">
        <f>IF($L349="","",$L349-INT($L349/1000)*1000)</f>
        <v/>
      </c>
      <c r="P349" s="35">
        <f>IF($L349="","",INT(($L349-INT($L349/1000000000)*1000000000)/100000000))</f>
        <v/>
      </c>
    </row>
    <row r="350">
      <c r="B350" s="39">
        <f>IF($L350="","",$M350)</f>
        <v/>
      </c>
      <c r="C350" s="18">
        <f>IF($L350="","",INDEX(HSTECH!$C$7:$C$46,$N350))</f>
        <v/>
      </c>
      <c r="D350" s="18">
        <f>IF($L350="","",INDEX(HSTECH!$D$7:$D$46,$N350))</f>
        <v/>
      </c>
      <c r="E350" s="40">
        <f>IF($L350="","",IF($P350=0,"TBA",IFERROR(INDEX(Grids!$C$116:$BO$155,$N350,$O350),"-")))</f>
        <v/>
      </c>
      <c r="F350" s="18">
        <f>IF($L350="","",INDEX(HSTECH!$F$7:$F$46,$N350))</f>
        <v/>
      </c>
      <c r="G350" s="40">
        <f>IF($L350="","",IF($P350=0,"TBA",IFERROR(INDEX(Grids!$BQ$116:$EC$155,$N350,$O350),"-")))</f>
        <v/>
      </c>
      <c r="H350" s="41">
        <f>IF($L350="","",SUM($G$316:$G350))</f>
        <v/>
      </c>
      <c r="I350" s="42">
        <f>IF($L350="","",IF(INT(($L350-INT($L350/10000000)*10000000)/1000000)=0,"Bloomberg projection",IF($P350=1,"ANNOUNCED","ANNOUNCED - amount TBA")))</f>
        <v/>
      </c>
      <c r="J350" s="43">
        <f>IF($L350="","",IF((OV_SWITCH="ON")*(COUNTIFS(OVR_TICKERS,INDEX(HSTECH!$C$7:$C$46,$N350),OVR_BASE,"&gt;=0")&gt;0)&gt;0,"stock overridden",""))</f>
        <v/>
      </c>
      <c r="L350" s="35">
        <f>IFERROR(IF(SMALL(Grids!$EE$116:$GQ$155,$M$313+35)&gt;=PEND_TO,"",SMALL(Grids!$EE$116:$GQ$155,$M$313+35)),"")</f>
        <v/>
      </c>
      <c r="M350" s="35">
        <f>IF($L350="","",INT($L350/1000000000))</f>
        <v/>
      </c>
      <c r="N350" s="35">
        <f>IF($L350="","",INT(($L350-INT($L350/1000000)*1000000)/1000))</f>
        <v/>
      </c>
      <c r="O350" s="35">
        <f>IF($L350="","",$L350-INT($L350/1000)*1000)</f>
        <v/>
      </c>
      <c r="P350" s="35">
        <f>IF($L350="","",INT(($L350-INT($L350/1000000000)*1000000000)/100000000))</f>
        <v/>
      </c>
    </row>
    <row r="351">
      <c r="B351" s="39">
        <f>IF($L351="","",$M351)</f>
        <v/>
      </c>
      <c r="C351" s="18">
        <f>IF($L351="","",INDEX(HSTECH!$C$7:$C$46,$N351))</f>
        <v/>
      </c>
      <c r="D351" s="18">
        <f>IF($L351="","",INDEX(HSTECH!$D$7:$D$46,$N351))</f>
        <v/>
      </c>
      <c r="E351" s="40">
        <f>IF($L351="","",IF($P351=0,"TBA",IFERROR(INDEX(Grids!$C$116:$BO$155,$N351,$O351),"-")))</f>
        <v/>
      </c>
      <c r="F351" s="18">
        <f>IF($L351="","",INDEX(HSTECH!$F$7:$F$46,$N351))</f>
        <v/>
      </c>
      <c r="G351" s="40">
        <f>IF($L351="","",IF($P351=0,"TBA",IFERROR(INDEX(Grids!$BQ$116:$EC$155,$N351,$O351),"-")))</f>
        <v/>
      </c>
      <c r="H351" s="41">
        <f>IF($L351="","",SUM($G$316:$G351))</f>
        <v/>
      </c>
      <c r="I351" s="42">
        <f>IF($L351="","",IF(INT(($L351-INT($L351/10000000)*10000000)/1000000)=0,"Bloomberg projection",IF($P351=1,"ANNOUNCED","ANNOUNCED - amount TBA")))</f>
        <v/>
      </c>
      <c r="J351" s="43">
        <f>IF($L351="","",IF((OV_SWITCH="ON")*(COUNTIFS(OVR_TICKERS,INDEX(HSTECH!$C$7:$C$46,$N351),OVR_BASE,"&gt;=0")&gt;0)&gt;0,"stock overridden",""))</f>
        <v/>
      </c>
      <c r="L351" s="35">
        <f>IFERROR(IF(SMALL(Grids!$EE$116:$GQ$155,$M$313+36)&gt;=PEND_TO,"",SMALL(Grids!$EE$116:$GQ$155,$M$313+36)),"")</f>
        <v/>
      </c>
      <c r="M351" s="35">
        <f>IF($L351="","",INT($L351/1000000000))</f>
        <v/>
      </c>
      <c r="N351" s="35">
        <f>IF($L351="","",INT(($L351-INT($L351/1000000)*1000000)/1000))</f>
        <v/>
      </c>
      <c r="O351" s="35">
        <f>IF($L351="","",$L351-INT($L351/1000)*1000)</f>
        <v/>
      </c>
      <c r="P351" s="35">
        <f>IF($L351="","",INT(($L351-INT($L351/1000000000)*1000000000)/100000000))</f>
        <v/>
      </c>
    </row>
    <row r="352">
      <c r="B352" s="39">
        <f>IF($L352="","",$M352)</f>
        <v/>
      </c>
      <c r="C352" s="18">
        <f>IF($L352="","",INDEX(HSTECH!$C$7:$C$46,$N352))</f>
        <v/>
      </c>
      <c r="D352" s="18">
        <f>IF($L352="","",INDEX(HSTECH!$D$7:$D$46,$N352))</f>
        <v/>
      </c>
      <c r="E352" s="40">
        <f>IF($L352="","",IF($P352=0,"TBA",IFERROR(INDEX(Grids!$C$116:$BO$155,$N352,$O352),"-")))</f>
        <v/>
      </c>
      <c r="F352" s="18">
        <f>IF($L352="","",INDEX(HSTECH!$F$7:$F$46,$N352))</f>
        <v/>
      </c>
      <c r="G352" s="40">
        <f>IF($L352="","",IF($P352=0,"TBA",IFERROR(INDEX(Grids!$BQ$116:$EC$155,$N352,$O352),"-")))</f>
        <v/>
      </c>
      <c r="H352" s="41">
        <f>IF($L352="","",SUM($G$316:$G352))</f>
        <v/>
      </c>
      <c r="I352" s="42">
        <f>IF($L352="","",IF(INT(($L352-INT($L352/10000000)*10000000)/1000000)=0,"Bloomberg projection",IF($P352=1,"ANNOUNCED","ANNOUNCED - amount TBA")))</f>
        <v/>
      </c>
      <c r="J352" s="43">
        <f>IF($L352="","",IF((OV_SWITCH="ON")*(COUNTIFS(OVR_TICKERS,INDEX(HSTECH!$C$7:$C$46,$N352),OVR_BASE,"&gt;=0")&gt;0)&gt;0,"stock overridden",""))</f>
        <v/>
      </c>
      <c r="L352" s="35">
        <f>IFERROR(IF(SMALL(Grids!$EE$116:$GQ$155,$M$313+37)&gt;=PEND_TO,"",SMALL(Grids!$EE$116:$GQ$155,$M$313+37)),"")</f>
        <v/>
      </c>
      <c r="M352" s="35">
        <f>IF($L352="","",INT($L352/1000000000))</f>
        <v/>
      </c>
      <c r="N352" s="35">
        <f>IF($L352="","",INT(($L352-INT($L352/1000000)*1000000)/1000))</f>
        <v/>
      </c>
      <c r="O352" s="35">
        <f>IF($L352="","",$L352-INT($L352/1000)*1000)</f>
        <v/>
      </c>
      <c r="P352" s="35">
        <f>IF($L352="","",INT(($L352-INT($L352/1000000000)*1000000000)/100000000))</f>
        <v/>
      </c>
    </row>
    <row r="353">
      <c r="B353" s="39">
        <f>IF($L353="","",$M353)</f>
        <v/>
      </c>
      <c r="C353" s="18">
        <f>IF($L353="","",INDEX(HSTECH!$C$7:$C$46,$N353))</f>
        <v/>
      </c>
      <c r="D353" s="18">
        <f>IF($L353="","",INDEX(HSTECH!$D$7:$D$46,$N353))</f>
        <v/>
      </c>
      <c r="E353" s="40">
        <f>IF($L353="","",IF($P353=0,"TBA",IFERROR(INDEX(Grids!$C$116:$BO$155,$N353,$O353),"-")))</f>
        <v/>
      </c>
      <c r="F353" s="18">
        <f>IF($L353="","",INDEX(HSTECH!$F$7:$F$46,$N353))</f>
        <v/>
      </c>
      <c r="G353" s="40">
        <f>IF($L353="","",IF($P353=0,"TBA",IFERROR(INDEX(Grids!$BQ$116:$EC$155,$N353,$O353),"-")))</f>
        <v/>
      </c>
      <c r="H353" s="41">
        <f>IF($L353="","",SUM($G$316:$G353))</f>
        <v/>
      </c>
      <c r="I353" s="42">
        <f>IF($L353="","",IF(INT(($L353-INT($L353/10000000)*10000000)/1000000)=0,"Bloomberg projection",IF($P353=1,"ANNOUNCED","ANNOUNCED - amount TBA")))</f>
        <v/>
      </c>
      <c r="J353" s="43">
        <f>IF($L353="","",IF((OV_SWITCH="ON")*(COUNTIFS(OVR_TICKERS,INDEX(HSTECH!$C$7:$C$46,$N353),OVR_BASE,"&gt;=0")&gt;0)&gt;0,"stock overridden",""))</f>
        <v/>
      </c>
      <c r="L353" s="35">
        <f>IFERROR(IF(SMALL(Grids!$EE$116:$GQ$155,$M$313+38)&gt;=PEND_TO,"",SMALL(Grids!$EE$116:$GQ$155,$M$313+38)),"")</f>
        <v/>
      </c>
      <c r="M353" s="35">
        <f>IF($L353="","",INT($L353/1000000000))</f>
        <v/>
      </c>
      <c r="N353" s="35">
        <f>IF($L353="","",INT(($L353-INT($L353/1000000)*1000000)/1000))</f>
        <v/>
      </c>
      <c r="O353" s="35">
        <f>IF($L353="","",$L353-INT($L353/1000)*1000)</f>
        <v/>
      </c>
      <c r="P353" s="35">
        <f>IF($L353="","",INT(($L353-INT($L353/1000000000)*1000000000)/100000000))</f>
        <v/>
      </c>
    </row>
    <row r="354">
      <c r="B354" s="39">
        <f>IF($L354="","",$M354)</f>
        <v/>
      </c>
      <c r="C354" s="18">
        <f>IF($L354="","",INDEX(HSTECH!$C$7:$C$46,$N354))</f>
        <v/>
      </c>
      <c r="D354" s="18">
        <f>IF($L354="","",INDEX(HSTECH!$D$7:$D$46,$N354))</f>
        <v/>
      </c>
      <c r="E354" s="40">
        <f>IF($L354="","",IF($P354=0,"TBA",IFERROR(INDEX(Grids!$C$116:$BO$155,$N354,$O354),"-")))</f>
        <v/>
      </c>
      <c r="F354" s="18">
        <f>IF($L354="","",INDEX(HSTECH!$F$7:$F$46,$N354))</f>
        <v/>
      </c>
      <c r="G354" s="40">
        <f>IF($L354="","",IF($P354=0,"TBA",IFERROR(INDEX(Grids!$BQ$116:$EC$155,$N354,$O354),"-")))</f>
        <v/>
      </c>
      <c r="H354" s="41">
        <f>IF($L354="","",SUM($G$316:$G354))</f>
        <v/>
      </c>
      <c r="I354" s="42">
        <f>IF($L354="","",IF(INT(($L354-INT($L354/10000000)*10000000)/1000000)=0,"Bloomberg projection",IF($P354=1,"ANNOUNCED","ANNOUNCED - amount TBA")))</f>
        <v/>
      </c>
      <c r="J354" s="43">
        <f>IF($L354="","",IF((OV_SWITCH="ON")*(COUNTIFS(OVR_TICKERS,INDEX(HSTECH!$C$7:$C$46,$N354),OVR_BASE,"&gt;=0")&gt;0)&gt;0,"stock overridden",""))</f>
        <v/>
      </c>
      <c r="L354" s="35">
        <f>IFERROR(IF(SMALL(Grids!$EE$116:$GQ$155,$M$313+39)&gt;=PEND_TO,"",SMALL(Grids!$EE$116:$GQ$155,$M$313+39)),"")</f>
        <v/>
      </c>
      <c r="M354" s="35">
        <f>IF($L354="","",INT($L354/1000000000))</f>
        <v/>
      </c>
      <c r="N354" s="35">
        <f>IF($L354="","",INT(($L354-INT($L354/1000000)*1000000)/1000))</f>
        <v/>
      </c>
      <c r="O354" s="35">
        <f>IF($L354="","",$L354-INT($L354/1000)*1000)</f>
        <v/>
      </c>
      <c r="P354" s="35">
        <f>IF($L354="","",INT(($L354-INT($L354/1000000000)*1000000000)/100000000))</f>
        <v/>
      </c>
    </row>
    <row r="355">
      <c r="B355" s="39">
        <f>IF($L355="","",$M355)</f>
        <v/>
      </c>
      <c r="C355" s="18">
        <f>IF($L355="","",INDEX(HSTECH!$C$7:$C$46,$N355))</f>
        <v/>
      </c>
      <c r="D355" s="18">
        <f>IF($L355="","",INDEX(HSTECH!$D$7:$D$46,$N355))</f>
        <v/>
      </c>
      <c r="E355" s="40">
        <f>IF($L355="","",IF($P355=0,"TBA",IFERROR(INDEX(Grids!$C$116:$BO$155,$N355,$O355),"-")))</f>
        <v/>
      </c>
      <c r="F355" s="18">
        <f>IF($L355="","",INDEX(HSTECH!$F$7:$F$46,$N355))</f>
        <v/>
      </c>
      <c r="G355" s="40">
        <f>IF($L355="","",IF($P355=0,"TBA",IFERROR(INDEX(Grids!$BQ$116:$EC$155,$N355,$O355),"-")))</f>
        <v/>
      </c>
      <c r="H355" s="41">
        <f>IF($L355="","",SUM($G$316:$G355))</f>
        <v/>
      </c>
      <c r="I355" s="42">
        <f>IF($L355="","",IF(INT(($L355-INT($L355/10000000)*10000000)/1000000)=0,"Bloomberg projection",IF($P355=1,"ANNOUNCED","ANNOUNCED - amount TBA")))</f>
        <v/>
      </c>
      <c r="J355" s="43">
        <f>IF($L355="","",IF((OV_SWITCH="ON")*(COUNTIFS(OVR_TICKERS,INDEX(HSTECH!$C$7:$C$46,$N355),OVR_BASE,"&gt;=0")&gt;0)&gt;0,"stock overridden",""))</f>
        <v/>
      </c>
      <c r="L355" s="35">
        <f>IFERROR(IF(SMALL(Grids!$EE$116:$GQ$155,$M$313+40)&gt;=PEND_TO,"",SMALL(Grids!$EE$116:$GQ$155,$M$313+40)),"")</f>
        <v/>
      </c>
      <c r="M355" s="35">
        <f>IF($L355="","",INT($L355/1000000000))</f>
        <v/>
      </c>
      <c r="N355" s="35">
        <f>IF($L355="","",INT(($L355-INT($L355/1000000)*1000000)/1000))</f>
        <v/>
      </c>
      <c r="O355" s="35">
        <f>IF($L355="","",$L355-INT($L355/1000)*1000)</f>
        <v/>
      </c>
      <c r="P355" s="35">
        <f>IF($L355="","",INT(($L355-INT($L355/1000000000)*1000000000)/100000000))</f>
        <v/>
      </c>
    </row>
    <row r="356">
      <c r="B356" s="39">
        <f>IF($L356="","",$M356)</f>
        <v/>
      </c>
      <c r="C356" s="18">
        <f>IF($L356="","",INDEX(HSTECH!$C$7:$C$46,$N356))</f>
        <v/>
      </c>
      <c r="D356" s="18">
        <f>IF($L356="","",INDEX(HSTECH!$D$7:$D$46,$N356))</f>
        <v/>
      </c>
      <c r="E356" s="40">
        <f>IF($L356="","",IF($P356=0,"TBA",IFERROR(INDEX(Grids!$C$116:$BO$155,$N356,$O356),"-")))</f>
        <v/>
      </c>
      <c r="F356" s="18">
        <f>IF($L356="","",INDEX(HSTECH!$F$7:$F$46,$N356))</f>
        <v/>
      </c>
      <c r="G356" s="40">
        <f>IF($L356="","",IF($P356=0,"TBA",IFERROR(INDEX(Grids!$BQ$116:$EC$155,$N356,$O356),"-")))</f>
        <v/>
      </c>
      <c r="H356" s="41">
        <f>IF($L356="","",SUM($G$316:$G356))</f>
        <v/>
      </c>
      <c r="I356" s="42">
        <f>IF($L356="","",IF(INT(($L356-INT($L356/10000000)*10000000)/1000000)=0,"Bloomberg projection",IF($P356=1,"ANNOUNCED","ANNOUNCED - amount TBA")))</f>
        <v/>
      </c>
      <c r="J356" s="43">
        <f>IF($L356="","",IF((OV_SWITCH="ON")*(COUNTIFS(OVR_TICKERS,INDEX(HSTECH!$C$7:$C$46,$N356),OVR_BASE,"&gt;=0")&gt;0)&gt;0,"stock overridden",""))</f>
        <v/>
      </c>
      <c r="L356" s="35">
        <f>IFERROR(IF(SMALL(Grids!$EE$116:$GQ$155,$M$313+41)&gt;=PEND_TO,"",SMALL(Grids!$EE$116:$GQ$155,$M$313+41)),"")</f>
        <v/>
      </c>
      <c r="M356" s="35">
        <f>IF($L356="","",INT($L356/1000000000))</f>
        <v/>
      </c>
      <c r="N356" s="35">
        <f>IF($L356="","",INT(($L356-INT($L356/1000000)*1000000)/1000))</f>
        <v/>
      </c>
      <c r="O356" s="35">
        <f>IF($L356="","",$L356-INT($L356/1000)*1000)</f>
        <v/>
      </c>
      <c r="P356" s="35">
        <f>IF($L356="","",INT(($L356-INT($L356/1000000000)*1000000000)/100000000))</f>
        <v/>
      </c>
    </row>
    <row r="357">
      <c r="B357" s="39">
        <f>IF($L357="","",$M357)</f>
        <v/>
      </c>
      <c r="C357" s="18">
        <f>IF($L357="","",INDEX(HSTECH!$C$7:$C$46,$N357))</f>
        <v/>
      </c>
      <c r="D357" s="18">
        <f>IF($L357="","",INDEX(HSTECH!$D$7:$D$46,$N357))</f>
        <v/>
      </c>
      <c r="E357" s="40">
        <f>IF($L357="","",IF($P357=0,"TBA",IFERROR(INDEX(Grids!$C$116:$BO$155,$N357,$O357),"-")))</f>
        <v/>
      </c>
      <c r="F357" s="18">
        <f>IF($L357="","",INDEX(HSTECH!$F$7:$F$46,$N357))</f>
        <v/>
      </c>
      <c r="G357" s="40">
        <f>IF($L357="","",IF($P357=0,"TBA",IFERROR(INDEX(Grids!$BQ$116:$EC$155,$N357,$O357),"-")))</f>
        <v/>
      </c>
      <c r="H357" s="41">
        <f>IF($L357="","",SUM($G$316:$G357))</f>
        <v/>
      </c>
      <c r="I357" s="42">
        <f>IF($L357="","",IF(INT(($L357-INT($L357/10000000)*10000000)/1000000)=0,"Bloomberg projection",IF($P357=1,"ANNOUNCED","ANNOUNCED - amount TBA")))</f>
        <v/>
      </c>
      <c r="J357" s="43">
        <f>IF($L357="","",IF((OV_SWITCH="ON")*(COUNTIFS(OVR_TICKERS,INDEX(HSTECH!$C$7:$C$46,$N357),OVR_BASE,"&gt;=0")&gt;0)&gt;0,"stock overridden",""))</f>
        <v/>
      </c>
      <c r="L357" s="35">
        <f>IFERROR(IF(SMALL(Grids!$EE$116:$GQ$155,$M$313+42)&gt;=PEND_TO,"",SMALL(Grids!$EE$116:$GQ$155,$M$313+42)),"")</f>
        <v/>
      </c>
      <c r="M357" s="35">
        <f>IF($L357="","",INT($L357/1000000000))</f>
        <v/>
      </c>
      <c r="N357" s="35">
        <f>IF($L357="","",INT(($L357-INT($L357/1000000)*1000000)/1000))</f>
        <v/>
      </c>
      <c r="O357" s="35">
        <f>IF($L357="","",$L357-INT($L357/1000)*1000)</f>
        <v/>
      </c>
      <c r="P357" s="35">
        <f>IF($L357="","",INT(($L357-INT($L357/1000000000)*1000000000)/100000000))</f>
        <v/>
      </c>
    </row>
    <row r="358">
      <c r="B358" s="39">
        <f>IF($L358="","",$M358)</f>
        <v/>
      </c>
      <c r="C358" s="18">
        <f>IF($L358="","",INDEX(HSTECH!$C$7:$C$46,$N358))</f>
        <v/>
      </c>
      <c r="D358" s="18">
        <f>IF($L358="","",INDEX(HSTECH!$D$7:$D$46,$N358))</f>
        <v/>
      </c>
      <c r="E358" s="40">
        <f>IF($L358="","",IF($P358=0,"TBA",IFERROR(INDEX(Grids!$C$116:$BO$155,$N358,$O358),"-")))</f>
        <v/>
      </c>
      <c r="F358" s="18">
        <f>IF($L358="","",INDEX(HSTECH!$F$7:$F$46,$N358))</f>
        <v/>
      </c>
      <c r="G358" s="40">
        <f>IF($L358="","",IF($P358=0,"TBA",IFERROR(INDEX(Grids!$BQ$116:$EC$155,$N358,$O358),"-")))</f>
        <v/>
      </c>
      <c r="H358" s="41">
        <f>IF($L358="","",SUM($G$316:$G358))</f>
        <v/>
      </c>
      <c r="I358" s="42">
        <f>IF($L358="","",IF(INT(($L358-INT($L358/10000000)*10000000)/1000000)=0,"Bloomberg projection",IF($P358=1,"ANNOUNCED","ANNOUNCED - amount TBA")))</f>
        <v/>
      </c>
      <c r="J358" s="43">
        <f>IF($L358="","",IF((OV_SWITCH="ON")*(COUNTIFS(OVR_TICKERS,INDEX(HSTECH!$C$7:$C$46,$N358),OVR_BASE,"&gt;=0")&gt;0)&gt;0,"stock overridden",""))</f>
        <v/>
      </c>
      <c r="L358" s="35">
        <f>IFERROR(IF(SMALL(Grids!$EE$116:$GQ$155,$M$313+43)&gt;=PEND_TO,"",SMALL(Grids!$EE$116:$GQ$155,$M$313+43)),"")</f>
        <v/>
      </c>
      <c r="M358" s="35">
        <f>IF($L358="","",INT($L358/1000000000))</f>
        <v/>
      </c>
      <c r="N358" s="35">
        <f>IF($L358="","",INT(($L358-INT($L358/1000000)*1000000)/1000))</f>
        <v/>
      </c>
      <c r="O358" s="35">
        <f>IF($L358="","",$L358-INT($L358/1000)*1000)</f>
        <v/>
      </c>
      <c r="P358" s="35">
        <f>IF($L358="","",INT(($L358-INT($L358/1000000000)*1000000000)/100000000))</f>
        <v/>
      </c>
    </row>
    <row r="359">
      <c r="B359" s="39">
        <f>IF($L359="","",$M359)</f>
        <v/>
      </c>
      <c r="C359" s="18">
        <f>IF($L359="","",INDEX(HSTECH!$C$7:$C$46,$N359))</f>
        <v/>
      </c>
      <c r="D359" s="18">
        <f>IF($L359="","",INDEX(HSTECH!$D$7:$D$46,$N359))</f>
        <v/>
      </c>
      <c r="E359" s="40">
        <f>IF($L359="","",IF($P359=0,"TBA",IFERROR(INDEX(Grids!$C$116:$BO$155,$N359,$O359),"-")))</f>
        <v/>
      </c>
      <c r="F359" s="18">
        <f>IF($L359="","",INDEX(HSTECH!$F$7:$F$46,$N359))</f>
        <v/>
      </c>
      <c r="G359" s="40">
        <f>IF($L359="","",IF($P359=0,"TBA",IFERROR(INDEX(Grids!$BQ$116:$EC$155,$N359,$O359),"-")))</f>
        <v/>
      </c>
      <c r="H359" s="41">
        <f>IF($L359="","",SUM($G$316:$G359))</f>
        <v/>
      </c>
      <c r="I359" s="42">
        <f>IF($L359="","",IF(INT(($L359-INT($L359/10000000)*10000000)/1000000)=0,"Bloomberg projection",IF($P359=1,"ANNOUNCED","ANNOUNCED - amount TBA")))</f>
        <v/>
      </c>
      <c r="J359" s="43">
        <f>IF($L359="","",IF((OV_SWITCH="ON")*(COUNTIFS(OVR_TICKERS,INDEX(HSTECH!$C$7:$C$46,$N359),OVR_BASE,"&gt;=0")&gt;0)&gt;0,"stock overridden",""))</f>
        <v/>
      </c>
      <c r="L359" s="35">
        <f>IFERROR(IF(SMALL(Grids!$EE$116:$GQ$155,$M$313+44)&gt;=PEND_TO,"",SMALL(Grids!$EE$116:$GQ$155,$M$313+44)),"")</f>
        <v/>
      </c>
      <c r="M359" s="35">
        <f>IF($L359="","",INT($L359/1000000000))</f>
        <v/>
      </c>
      <c r="N359" s="35">
        <f>IF($L359="","",INT(($L359-INT($L359/1000000)*1000000)/1000))</f>
        <v/>
      </c>
      <c r="O359" s="35">
        <f>IF($L359="","",$L359-INT($L359/1000)*1000)</f>
        <v/>
      </c>
      <c r="P359" s="35">
        <f>IF($L359="","",INT(($L359-INT($L359/1000000000)*1000000000)/100000000))</f>
        <v/>
      </c>
    </row>
    <row r="360">
      <c r="B360" s="39">
        <f>IF($L360="","",$M360)</f>
        <v/>
      </c>
      <c r="C360" s="18">
        <f>IF($L360="","",INDEX(HSTECH!$C$7:$C$46,$N360))</f>
        <v/>
      </c>
      <c r="D360" s="18">
        <f>IF($L360="","",INDEX(HSTECH!$D$7:$D$46,$N360))</f>
        <v/>
      </c>
      <c r="E360" s="40">
        <f>IF($L360="","",IF($P360=0,"TBA",IFERROR(INDEX(Grids!$C$116:$BO$155,$N360,$O360),"-")))</f>
        <v/>
      </c>
      <c r="F360" s="18">
        <f>IF($L360="","",INDEX(HSTECH!$F$7:$F$46,$N360))</f>
        <v/>
      </c>
      <c r="G360" s="40">
        <f>IF($L360="","",IF($P360=0,"TBA",IFERROR(INDEX(Grids!$BQ$116:$EC$155,$N360,$O360),"-")))</f>
        <v/>
      </c>
      <c r="H360" s="41">
        <f>IF($L360="","",SUM($G$316:$G360))</f>
        <v/>
      </c>
      <c r="I360" s="42">
        <f>IF($L360="","",IF(INT(($L360-INT($L360/10000000)*10000000)/1000000)=0,"Bloomberg projection",IF($P360=1,"ANNOUNCED","ANNOUNCED - amount TBA")))</f>
        <v/>
      </c>
      <c r="J360" s="43">
        <f>IF($L360="","",IF((OV_SWITCH="ON")*(COUNTIFS(OVR_TICKERS,INDEX(HSTECH!$C$7:$C$46,$N360),OVR_BASE,"&gt;=0")&gt;0)&gt;0,"stock overridden",""))</f>
        <v/>
      </c>
      <c r="L360" s="35">
        <f>IFERROR(IF(SMALL(Grids!$EE$116:$GQ$155,$M$313+45)&gt;=PEND_TO,"",SMALL(Grids!$EE$116:$GQ$155,$M$313+45)),"")</f>
        <v/>
      </c>
      <c r="M360" s="35">
        <f>IF($L360="","",INT($L360/1000000000))</f>
        <v/>
      </c>
      <c r="N360" s="35">
        <f>IF($L360="","",INT(($L360-INT($L360/1000000)*1000000)/1000))</f>
        <v/>
      </c>
      <c r="O360" s="35">
        <f>IF($L360="","",$L360-INT($L360/1000)*1000)</f>
        <v/>
      </c>
      <c r="P360" s="35">
        <f>IF($L360="","",INT(($L360-INT($L360/1000000000)*1000000000)/100000000))</f>
        <v/>
      </c>
    </row>
    <row r="361">
      <c r="B361" s="39">
        <f>IF($L361="","",$M361)</f>
        <v/>
      </c>
      <c r="C361" s="18">
        <f>IF($L361="","",INDEX(HSTECH!$C$7:$C$46,$N361))</f>
        <v/>
      </c>
      <c r="D361" s="18">
        <f>IF($L361="","",INDEX(HSTECH!$D$7:$D$46,$N361))</f>
        <v/>
      </c>
      <c r="E361" s="40">
        <f>IF($L361="","",IF($P361=0,"TBA",IFERROR(INDEX(Grids!$C$116:$BO$155,$N361,$O361),"-")))</f>
        <v/>
      </c>
      <c r="F361" s="18">
        <f>IF($L361="","",INDEX(HSTECH!$F$7:$F$46,$N361))</f>
        <v/>
      </c>
      <c r="G361" s="40">
        <f>IF($L361="","",IF($P361=0,"TBA",IFERROR(INDEX(Grids!$BQ$116:$EC$155,$N361,$O361),"-")))</f>
        <v/>
      </c>
      <c r="H361" s="41">
        <f>IF($L361="","",SUM($G$316:$G361))</f>
        <v/>
      </c>
      <c r="I361" s="42">
        <f>IF($L361="","",IF(INT(($L361-INT($L361/10000000)*10000000)/1000000)=0,"Bloomberg projection",IF($P361=1,"ANNOUNCED","ANNOUNCED - amount TBA")))</f>
        <v/>
      </c>
      <c r="J361" s="43">
        <f>IF($L361="","",IF((OV_SWITCH="ON")*(COUNTIFS(OVR_TICKERS,INDEX(HSTECH!$C$7:$C$46,$N361),OVR_BASE,"&gt;=0")&gt;0)&gt;0,"stock overridden",""))</f>
        <v/>
      </c>
      <c r="L361" s="35">
        <f>IFERROR(IF(SMALL(Grids!$EE$116:$GQ$155,$M$313+46)&gt;=PEND_TO,"",SMALL(Grids!$EE$116:$GQ$155,$M$313+46)),"")</f>
        <v/>
      </c>
      <c r="M361" s="35">
        <f>IF($L361="","",INT($L361/1000000000))</f>
        <v/>
      </c>
      <c r="N361" s="35">
        <f>IF($L361="","",INT(($L361-INT($L361/1000000)*1000000)/1000))</f>
        <v/>
      </c>
      <c r="O361" s="35">
        <f>IF($L361="","",$L361-INT($L361/1000)*1000)</f>
        <v/>
      </c>
      <c r="P361" s="35">
        <f>IF($L361="","",INT(($L361-INT($L361/1000000000)*1000000000)/100000000))</f>
        <v/>
      </c>
    </row>
    <row r="362">
      <c r="B362" s="39">
        <f>IF($L362="","",$M362)</f>
        <v/>
      </c>
      <c r="C362" s="18">
        <f>IF($L362="","",INDEX(HSTECH!$C$7:$C$46,$N362))</f>
        <v/>
      </c>
      <c r="D362" s="18">
        <f>IF($L362="","",INDEX(HSTECH!$D$7:$D$46,$N362))</f>
        <v/>
      </c>
      <c r="E362" s="40">
        <f>IF($L362="","",IF($P362=0,"TBA",IFERROR(INDEX(Grids!$C$116:$BO$155,$N362,$O362),"-")))</f>
        <v/>
      </c>
      <c r="F362" s="18">
        <f>IF($L362="","",INDEX(HSTECH!$F$7:$F$46,$N362))</f>
        <v/>
      </c>
      <c r="G362" s="40">
        <f>IF($L362="","",IF($P362=0,"TBA",IFERROR(INDEX(Grids!$BQ$116:$EC$155,$N362,$O362),"-")))</f>
        <v/>
      </c>
      <c r="H362" s="41">
        <f>IF($L362="","",SUM($G$316:$G362))</f>
        <v/>
      </c>
      <c r="I362" s="42">
        <f>IF($L362="","",IF(INT(($L362-INT($L362/10000000)*10000000)/1000000)=0,"Bloomberg projection",IF($P362=1,"ANNOUNCED","ANNOUNCED - amount TBA")))</f>
        <v/>
      </c>
      <c r="J362" s="43">
        <f>IF($L362="","",IF((OV_SWITCH="ON")*(COUNTIFS(OVR_TICKERS,INDEX(HSTECH!$C$7:$C$46,$N362),OVR_BASE,"&gt;=0")&gt;0)&gt;0,"stock overridden",""))</f>
        <v/>
      </c>
      <c r="L362" s="35">
        <f>IFERROR(IF(SMALL(Grids!$EE$116:$GQ$155,$M$313+47)&gt;=PEND_TO,"",SMALL(Grids!$EE$116:$GQ$155,$M$313+47)),"")</f>
        <v/>
      </c>
      <c r="M362" s="35">
        <f>IF($L362="","",INT($L362/1000000000))</f>
        <v/>
      </c>
      <c r="N362" s="35">
        <f>IF($L362="","",INT(($L362-INT($L362/1000000)*1000000)/1000))</f>
        <v/>
      </c>
      <c r="O362" s="35">
        <f>IF($L362="","",$L362-INT($L362/1000)*1000)</f>
        <v/>
      </c>
      <c r="P362" s="35">
        <f>IF($L362="","",INT(($L362-INT($L362/1000000000)*1000000000)/100000000))</f>
        <v/>
      </c>
    </row>
    <row r="363">
      <c r="B363" s="39">
        <f>IF($L363="","",$M363)</f>
        <v/>
      </c>
      <c r="C363" s="18">
        <f>IF($L363="","",INDEX(HSTECH!$C$7:$C$46,$N363))</f>
        <v/>
      </c>
      <c r="D363" s="18">
        <f>IF($L363="","",INDEX(HSTECH!$D$7:$D$46,$N363))</f>
        <v/>
      </c>
      <c r="E363" s="40">
        <f>IF($L363="","",IF($P363=0,"TBA",IFERROR(INDEX(Grids!$C$116:$BO$155,$N363,$O363),"-")))</f>
        <v/>
      </c>
      <c r="F363" s="18">
        <f>IF($L363="","",INDEX(HSTECH!$F$7:$F$46,$N363))</f>
        <v/>
      </c>
      <c r="G363" s="40">
        <f>IF($L363="","",IF($P363=0,"TBA",IFERROR(INDEX(Grids!$BQ$116:$EC$155,$N363,$O363),"-")))</f>
        <v/>
      </c>
      <c r="H363" s="41">
        <f>IF($L363="","",SUM($G$316:$G363))</f>
        <v/>
      </c>
      <c r="I363" s="42">
        <f>IF($L363="","",IF(INT(($L363-INT($L363/10000000)*10000000)/1000000)=0,"Bloomberg projection",IF($P363=1,"ANNOUNCED","ANNOUNCED - amount TBA")))</f>
        <v/>
      </c>
      <c r="J363" s="43">
        <f>IF($L363="","",IF((OV_SWITCH="ON")*(COUNTIFS(OVR_TICKERS,INDEX(HSTECH!$C$7:$C$46,$N363),OVR_BASE,"&gt;=0")&gt;0)&gt;0,"stock overridden",""))</f>
        <v/>
      </c>
      <c r="L363" s="35">
        <f>IFERROR(IF(SMALL(Grids!$EE$116:$GQ$155,$M$313+48)&gt;=PEND_TO,"",SMALL(Grids!$EE$116:$GQ$155,$M$313+48)),"")</f>
        <v/>
      </c>
      <c r="M363" s="35">
        <f>IF($L363="","",INT($L363/1000000000))</f>
        <v/>
      </c>
      <c r="N363" s="35">
        <f>IF($L363="","",INT(($L363-INT($L363/1000000)*1000000)/1000))</f>
        <v/>
      </c>
      <c r="O363" s="35">
        <f>IF($L363="","",$L363-INT($L363/1000)*1000)</f>
        <v/>
      </c>
      <c r="P363" s="35">
        <f>IF($L363="","",INT(($L363-INT($L363/1000000000)*1000000000)/100000000))</f>
        <v/>
      </c>
    </row>
    <row r="364">
      <c r="B364" s="39">
        <f>IF($L364="","",$M364)</f>
        <v/>
      </c>
      <c r="C364" s="18">
        <f>IF($L364="","",INDEX(HSTECH!$C$7:$C$46,$N364))</f>
        <v/>
      </c>
      <c r="D364" s="18">
        <f>IF($L364="","",INDEX(HSTECH!$D$7:$D$46,$N364))</f>
        <v/>
      </c>
      <c r="E364" s="40">
        <f>IF($L364="","",IF($P364=0,"TBA",IFERROR(INDEX(Grids!$C$116:$BO$155,$N364,$O364),"-")))</f>
        <v/>
      </c>
      <c r="F364" s="18">
        <f>IF($L364="","",INDEX(HSTECH!$F$7:$F$46,$N364))</f>
        <v/>
      </c>
      <c r="G364" s="40">
        <f>IF($L364="","",IF($P364=0,"TBA",IFERROR(INDEX(Grids!$BQ$116:$EC$155,$N364,$O364),"-")))</f>
        <v/>
      </c>
      <c r="H364" s="41">
        <f>IF($L364="","",SUM($G$316:$G364))</f>
        <v/>
      </c>
      <c r="I364" s="42">
        <f>IF($L364="","",IF(INT(($L364-INT($L364/10000000)*10000000)/1000000)=0,"Bloomberg projection",IF($P364=1,"ANNOUNCED","ANNOUNCED - amount TBA")))</f>
        <v/>
      </c>
      <c r="J364" s="43">
        <f>IF($L364="","",IF((OV_SWITCH="ON")*(COUNTIFS(OVR_TICKERS,INDEX(HSTECH!$C$7:$C$46,$N364),OVR_BASE,"&gt;=0")&gt;0)&gt;0,"stock overridden",""))</f>
        <v/>
      </c>
      <c r="L364" s="35">
        <f>IFERROR(IF(SMALL(Grids!$EE$116:$GQ$155,$M$313+49)&gt;=PEND_TO,"",SMALL(Grids!$EE$116:$GQ$155,$M$313+49)),"")</f>
        <v/>
      </c>
      <c r="M364" s="35">
        <f>IF($L364="","",INT($L364/1000000000))</f>
        <v/>
      </c>
      <c r="N364" s="35">
        <f>IF($L364="","",INT(($L364-INT($L364/1000000)*1000000)/1000))</f>
        <v/>
      </c>
      <c r="O364" s="35">
        <f>IF($L364="","",$L364-INT($L364/1000)*1000)</f>
        <v/>
      </c>
      <c r="P364" s="35">
        <f>IF($L364="","",INT(($L364-INT($L364/1000000000)*1000000000)/100000000))</f>
        <v/>
      </c>
    </row>
    <row r="365">
      <c r="B365" s="39">
        <f>IF($L365="","",$M365)</f>
        <v/>
      </c>
      <c r="C365" s="18">
        <f>IF($L365="","",INDEX(HSTECH!$C$7:$C$46,$N365))</f>
        <v/>
      </c>
      <c r="D365" s="18">
        <f>IF($L365="","",INDEX(HSTECH!$D$7:$D$46,$N365))</f>
        <v/>
      </c>
      <c r="E365" s="40">
        <f>IF($L365="","",IF($P365=0,"TBA",IFERROR(INDEX(Grids!$C$116:$BO$155,$N365,$O365),"-")))</f>
        <v/>
      </c>
      <c r="F365" s="18">
        <f>IF($L365="","",INDEX(HSTECH!$F$7:$F$46,$N365))</f>
        <v/>
      </c>
      <c r="G365" s="40">
        <f>IF($L365="","",IF($P365=0,"TBA",IFERROR(INDEX(Grids!$BQ$116:$EC$155,$N365,$O365),"-")))</f>
        <v/>
      </c>
      <c r="H365" s="41">
        <f>IF($L365="","",SUM($G$316:$G365))</f>
        <v/>
      </c>
      <c r="I365" s="42">
        <f>IF($L365="","",IF(INT(($L365-INT($L365/10000000)*10000000)/1000000)=0,"Bloomberg projection",IF($P365=1,"ANNOUNCED","ANNOUNCED - amount TBA")))</f>
        <v/>
      </c>
      <c r="J365" s="43">
        <f>IF($L365="","",IF((OV_SWITCH="ON")*(COUNTIFS(OVR_TICKERS,INDEX(HSTECH!$C$7:$C$46,$N365),OVR_BASE,"&gt;=0")&gt;0)&gt;0,"stock overridden",""))</f>
        <v/>
      </c>
      <c r="L365" s="35">
        <f>IFERROR(IF(SMALL(Grids!$EE$116:$GQ$155,$M$313+50)&gt;=PEND_TO,"",SMALL(Grids!$EE$116:$GQ$155,$M$313+50)),"")</f>
        <v/>
      </c>
      <c r="M365" s="35">
        <f>IF($L365="","",INT($L365/1000000000))</f>
        <v/>
      </c>
      <c r="N365" s="35">
        <f>IF($L365="","",INT(($L365-INT($L365/1000000)*1000000)/1000))</f>
        <v/>
      </c>
      <c r="O365" s="35">
        <f>IF($L365="","",$L365-INT($L365/1000)*1000)</f>
        <v/>
      </c>
      <c r="P365" s="35">
        <f>IF($L365="","",INT(($L365-INT($L365/1000000000)*1000000000)/100000000))</f>
        <v/>
      </c>
    </row>
    <row r="366">
      <c r="B366" s="39">
        <f>IF($L366="","",$M366)</f>
        <v/>
      </c>
      <c r="C366" s="18">
        <f>IF($L366="","",INDEX(HSTECH!$C$7:$C$46,$N366))</f>
        <v/>
      </c>
      <c r="D366" s="18">
        <f>IF($L366="","",INDEX(HSTECH!$D$7:$D$46,$N366))</f>
        <v/>
      </c>
      <c r="E366" s="40">
        <f>IF($L366="","",IF($P366=0,"TBA",IFERROR(INDEX(Grids!$C$116:$BO$155,$N366,$O366),"-")))</f>
        <v/>
      </c>
      <c r="F366" s="18">
        <f>IF($L366="","",INDEX(HSTECH!$F$7:$F$46,$N366))</f>
        <v/>
      </c>
      <c r="G366" s="40">
        <f>IF($L366="","",IF($P366=0,"TBA",IFERROR(INDEX(Grids!$BQ$116:$EC$155,$N366,$O366),"-")))</f>
        <v/>
      </c>
      <c r="H366" s="41">
        <f>IF($L366="","",SUM($G$316:$G366))</f>
        <v/>
      </c>
      <c r="I366" s="42">
        <f>IF($L366="","",IF(INT(($L366-INT($L366/10000000)*10000000)/1000000)=0,"Bloomberg projection",IF($P366=1,"ANNOUNCED","ANNOUNCED - amount TBA")))</f>
        <v/>
      </c>
      <c r="J366" s="43">
        <f>IF($L366="","",IF((OV_SWITCH="ON")*(COUNTIFS(OVR_TICKERS,INDEX(HSTECH!$C$7:$C$46,$N366),OVR_BASE,"&gt;=0")&gt;0)&gt;0,"stock overridden",""))</f>
        <v/>
      </c>
      <c r="L366" s="35">
        <f>IFERROR(IF(SMALL(Grids!$EE$116:$GQ$155,$M$313+51)&gt;=PEND_TO,"",SMALL(Grids!$EE$116:$GQ$155,$M$313+51)),"")</f>
        <v/>
      </c>
      <c r="M366" s="35">
        <f>IF($L366="","",INT($L366/1000000000))</f>
        <v/>
      </c>
      <c r="N366" s="35">
        <f>IF($L366="","",INT(($L366-INT($L366/1000000)*1000000)/1000))</f>
        <v/>
      </c>
      <c r="O366" s="35">
        <f>IF($L366="","",$L366-INT($L366/1000)*1000)</f>
        <v/>
      </c>
      <c r="P366" s="35">
        <f>IF($L366="","",INT(($L366-INT($L366/1000000000)*1000000000)/100000000))</f>
        <v/>
      </c>
    </row>
    <row r="367">
      <c r="B367" s="39">
        <f>IF($L367="","",$M367)</f>
        <v/>
      </c>
      <c r="C367" s="18">
        <f>IF($L367="","",INDEX(HSTECH!$C$7:$C$46,$N367))</f>
        <v/>
      </c>
      <c r="D367" s="18">
        <f>IF($L367="","",INDEX(HSTECH!$D$7:$D$46,$N367))</f>
        <v/>
      </c>
      <c r="E367" s="40">
        <f>IF($L367="","",IF($P367=0,"TBA",IFERROR(INDEX(Grids!$C$116:$BO$155,$N367,$O367),"-")))</f>
        <v/>
      </c>
      <c r="F367" s="18">
        <f>IF($L367="","",INDEX(HSTECH!$F$7:$F$46,$N367))</f>
        <v/>
      </c>
      <c r="G367" s="40">
        <f>IF($L367="","",IF($P367=0,"TBA",IFERROR(INDEX(Grids!$BQ$116:$EC$155,$N367,$O367),"-")))</f>
        <v/>
      </c>
      <c r="H367" s="41">
        <f>IF($L367="","",SUM($G$316:$G367))</f>
        <v/>
      </c>
      <c r="I367" s="42">
        <f>IF($L367="","",IF(INT(($L367-INT($L367/10000000)*10000000)/1000000)=0,"Bloomberg projection",IF($P367=1,"ANNOUNCED","ANNOUNCED - amount TBA")))</f>
        <v/>
      </c>
      <c r="J367" s="43">
        <f>IF($L367="","",IF((OV_SWITCH="ON")*(COUNTIFS(OVR_TICKERS,INDEX(HSTECH!$C$7:$C$46,$N367),OVR_BASE,"&gt;=0")&gt;0)&gt;0,"stock overridden",""))</f>
        <v/>
      </c>
      <c r="L367" s="35">
        <f>IFERROR(IF(SMALL(Grids!$EE$116:$GQ$155,$M$313+52)&gt;=PEND_TO,"",SMALL(Grids!$EE$116:$GQ$155,$M$313+52)),"")</f>
        <v/>
      </c>
      <c r="M367" s="35">
        <f>IF($L367="","",INT($L367/1000000000))</f>
        <v/>
      </c>
      <c r="N367" s="35">
        <f>IF($L367="","",INT(($L367-INT($L367/1000000)*1000000)/1000))</f>
        <v/>
      </c>
      <c r="O367" s="35">
        <f>IF($L367="","",$L367-INT($L367/1000)*1000)</f>
        <v/>
      </c>
      <c r="P367" s="35">
        <f>IF($L367="","",INT(($L367-INT($L367/1000000000)*1000000000)/100000000))</f>
        <v/>
      </c>
    </row>
    <row r="368">
      <c r="B368" s="39">
        <f>IF($L368="","",$M368)</f>
        <v/>
      </c>
      <c r="C368" s="18">
        <f>IF($L368="","",INDEX(HSTECH!$C$7:$C$46,$N368))</f>
        <v/>
      </c>
      <c r="D368" s="18">
        <f>IF($L368="","",INDEX(HSTECH!$D$7:$D$46,$N368))</f>
        <v/>
      </c>
      <c r="E368" s="40">
        <f>IF($L368="","",IF($P368=0,"TBA",IFERROR(INDEX(Grids!$C$116:$BO$155,$N368,$O368),"-")))</f>
        <v/>
      </c>
      <c r="F368" s="18">
        <f>IF($L368="","",INDEX(HSTECH!$F$7:$F$46,$N368))</f>
        <v/>
      </c>
      <c r="G368" s="40">
        <f>IF($L368="","",IF($P368=0,"TBA",IFERROR(INDEX(Grids!$BQ$116:$EC$155,$N368,$O368),"-")))</f>
        <v/>
      </c>
      <c r="H368" s="41">
        <f>IF($L368="","",SUM($G$316:$G368))</f>
        <v/>
      </c>
      <c r="I368" s="42">
        <f>IF($L368="","",IF(INT(($L368-INT($L368/10000000)*10000000)/1000000)=0,"Bloomberg projection",IF($P368=1,"ANNOUNCED","ANNOUNCED - amount TBA")))</f>
        <v/>
      </c>
      <c r="J368" s="43">
        <f>IF($L368="","",IF((OV_SWITCH="ON")*(COUNTIFS(OVR_TICKERS,INDEX(HSTECH!$C$7:$C$46,$N368),OVR_BASE,"&gt;=0")&gt;0)&gt;0,"stock overridden",""))</f>
        <v/>
      </c>
      <c r="L368" s="35">
        <f>IFERROR(IF(SMALL(Grids!$EE$116:$GQ$155,$M$313+53)&gt;=PEND_TO,"",SMALL(Grids!$EE$116:$GQ$155,$M$313+53)),"")</f>
        <v/>
      </c>
      <c r="M368" s="35">
        <f>IF($L368="","",INT($L368/1000000000))</f>
        <v/>
      </c>
      <c r="N368" s="35">
        <f>IF($L368="","",INT(($L368-INT($L368/1000000)*1000000)/1000))</f>
        <v/>
      </c>
      <c r="O368" s="35">
        <f>IF($L368="","",$L368-INT($L368/1000)*1000)</f>
        <v/>
      </c>
      <c r="P368" s="35">
        <f>IF($L368="","",INT(($L368-INT($L368/1000000000)*1000000000)/100000000))</f>
        <v/>
      </c>
    </row>
    <row r="369">
      <c r="B369" s="39">
        <f>IF($L369="","",$M369)</f>
        <v/>
      </c>
      <c r="C369" s="18">
        <f>IF($L369="","",INDEX(HSTECH!$C$7:$C$46,$N369))</f>
        <v/>
      </c>
      <c r="D369" s="18">
        <f>IF($L369="","",INDEX(HSTECH!$D$7:$D$46,$N369))</f>
        <v/>
      </c>
      <c r="E369" s="40">
        <f>IF($L369="","",IF($P369=0,"TBA",IFERROR(INDEX(Grids!$C$116:$BO$155,$N369,$O369),"-")))</f>
        <v/>
      </c>
      <c r="F369" s="18">
        <f>IF($L369="","",INDEX(HSTECH!$F$7:$F$46,$N369))</f>
        <v/>
      </c>
      <c r="G369" s="40">
        <f>IF($L369="","",IF($P369=0,"TBA",IFERROR(INDEX(Grids!$BQ$116:$EC$155,$N369,$O369),"-")))</f>
        <v/>
      </c>
      <c r="H369" s="41">
        <f>IF($L369="","",SUM($G$316:$G369))</f>
        <v/>
      </c>
      <c r="I369" s="42">
        <f>IF($L369="","",IF(INT(($L369-INT($L369/10000000)*10000000)/1000000)=0,"Bloomberg projection",IF($P369=1,"ANNOUNCED","ANNOUNCED - amount TBA")))</f>
        <v/>
      </c>
      <c r="J369" s="43">
        <f>IF($L369="","",IF((OV_SWITCH="ON")*(COUNTIFS(OVR_TICKERS,INDEX(HSTECH!$C$7:$C$46,$N369),OVR_BASE,"&gt;=0")&gt;0)&gt;0,"stock overridden",""))</f>
        <v/>
      </c>
      <c r="L369" s="35">
        <f>IFERROR(IF(SMALL(Grids!$EE$116:$GQ$155,$M$313+54)&gt;=PEND_TO,"",SMALL(Grids!$EE$116:$GQ$155,$M$313+54)),"")</f>
        <v/>
      </c>
      <c r="M369" s="35">
        <f>IF($L369="","",INT($L369/1000000000))</f>
        <v/>
      </c>
      <c r="N369" s="35">
        <f>IF($L369="","",INT(($L369-INT($L369/1000000)*1000000)/1000))</f>
        <v/>
      </c>
      <c r="O369" s="35">
        <f>IF($L369="","",$L369-INT($L369/1000)*1000)</f>
        <v/>
      </c>
      <c r="P369" s="35">
        <f>IF($L369="","",INT(($L369-INT($L369/1000000000)*1000000000)/100000000))</f>
        <v/>
      </c>
    </row>
    <row r="370">
      <c r="B370" s="39">
        <f>IF($L370="","",$M370)</f>
        <v/>
      </c>
      <c r="C370" s="18">
        <f>IF($L370="","",INDEX(HSTECH!$C$7:$C$46,$N370))</f>
        <v/>
      </c>
      <c r="D370" s="18">
        <f>IF($L370="","",INDEX(HSTECH!$D$7:$D$46,$N370))</f>
        <v/>
      </c>
      <c r="E370" s="40">
        <f>IF($L370="","",IF($P370=0,"TBA",IFERROR(INDEX(Grids!$C$116:$BO$155,$N370,$O370),"-")))</f>
        <v/>
      </c>
      <c r="F370" s="18">
        <f>IF($L370="","",INDEX(HSTECH!$F$7:$F$46,$N370))</f>
        <v/>
      </c>
      <c r="G370" s="40">
        <f>IF($L370="","",IF($P370=0,"TBA",IFERROR(INDEX(Grids!$BQ$116:$EC$155,$N370,$O370),"-")))</f>
        <v/>
      </c>
      <c r="H370" s="41">
        <f>IF($L370="","",SUM($G$316:$G370))</f>
        <v/>
      </c>
      <c r="I370" s="42">
        <f>IF($L370="","",IF(INT(($L370-INT($L370/10000000)*10000000)/1000000)=0,"Bloomberg projection",IF($P370=1,"ANNOUNCED","ANNOUNCED - amount TBA")))</f>
        <v/>
      </c>
      <c r="J370" s="43">
        <f>IF($L370="","",IF((OV_SWITCH="ON")*(COUNTIFS(OVR_TICKERS,INDEX(HSTECH!$C$7:$C$46,$N370),OVR_BASE,"&gt;=0")&gt;0)&gt;0,"stock overridden",""))</f>
        <v/>
      </c>
      <c r="L370" s="35">
        <f>IFERROR(IF(SMALL(Grids!$EE$116:$GQ$155,$M$313+55)&gt;=PEND_TO,"",SMALL(Grids!$EE$116:$GQ$155,$M$313+55)),"")</f>
        <v/>
      </c>
      <c r="M370" s="35">
        <f>IF($L370="","",INT($L370/1000000000))</f>
        <v/>
      </c>
      <c r="N370" s="35">
        <f>IF($L370="","",INT(($L370-INT($L370/1000000)*1000000)/1000))</f>
        <v/>
      </c>
      <c r="O370" s="35">
        <f>IF($L370="","",$L370-INT($L370/1000)*1000)</f>
        <v/>
      </c>
      <c r="P370" s="35">
        <f>IF($L370="","",INT(($L370-INT($L370/1000000000)*1000000000)/100000000))</f>
        <v/>
      </c>
    </row>
    <row r="371">
      <c r="B371" s="39">
        <f>IF($L371="","",$M371)</f>
        <v/>
      </c>
      <c r="C371" s="18">
        <f>IF($L371="","",INDEX(HSTECH!$C$7:$C$46,$N371))</f>
        <v/>
      </c>
      <c r="D371" s="18">
        <f>IF($L371="","",INDEX(HSTECH!$D$7:$D$46,$N371))</f>
        <v/>
      </c>
      <c r="E371" s="40">
        <f>IF($L371="","",IF($P371=0,"TBA",IFERROR(INDEX(Grids!$C$116:$BO$155,$N371,$O371),"-")))</f>
        <v/>
      </c>
      <c r="F371" s="18">
        <f>IF($L371="","",INDEX(HSTECH!$F$7:$F$46,$N371))</f>
        <v/>
      </c>
      <c r="G371" s="40">
        <f>IF($L371="","",IF($P371=0,"TBA",IFERROR(INDEX(Grids!$BQ$116:$EC$155,$N371,$O371),"-")))</f>
        <v/>
      </c>
      <c r="H371" s="41">
        <f>IF($L371="","",SUM($G$316:$G371))</f>
        <v/>
      </c>
      <c r="I371" s="42">
        <f>IF($L371="","",IF(INT(($L371-INT($L371/10000000)*10000000)/1000000)=0,"Bloomberg projection",IF($P371=1,"ANNOUNCED","ANNOUNCED - amount TBA")))</f>
        <v/>
      </c>
      <c r="J371" s="43">
        <f>IF($L371="","",IF((OV_SWITCH="ON")*(COUNTIFS(OVR_TICKERS,INDEX(HSTECH!$C$7:$C$46,$N371),OVR_BASE,"&gt;=0")&gt;0)&gt;0,"stock overridden",""))</f>
        <v/>
      </c>
      <c r="L371" s="35">
        <f>IFERROR(IF(SMALL(Grids!$EE$116:$GQ$155,$M$313+56)&gt;=PEND_TO,"",SMALL(Grids!$EE$116:$GQ$155,$M$313+56)),"")</f>
        <v/>
      </c>
      <c r="M371" s="35">
        <f>IF($L371="","",INT($L371/1000000000))</f>
        <v/>
      </c>
      <c r="N371" s="35">
        <f>IF($L371="","",INT(($L371-INT($L371/1000000)*1000000)/1000))</f>
        <v/>
      </c>
      <c r="O371" s="35">
        <f>IF($L371="","",$L371-INT($L371/1000)*1000)</f>
        <v/>
      </c>
      <c r="P371" s="35">
        <f>IF($L371="","",INT(($L371-INT($L371/1000000000)*1000000000)/100000000))</f>
        <v/>
      </c>
    </row>
    <row r="372">
      <c r="B372" s="39">
        <f>IF($L372="","",$M372)</f>
        <v/>
      </c>
      <c r="C372" s="18">
        <f>IF($L372="","",INDEX(HSTECH!$C$7:$C$46,$N372))</f>
        <v/>
      </c>
      <c r="D372" s="18">
        <f>IF($L372="","",INDEX(HSTECH!$D$7:$D$46,$N372))</f>
        <v/>
      </c>
      <c r="E372" s="40">
        <f>IF($L372="","",IF($P372=0,"TBA",IFERROR(INDEX(Grids!$C$116:$BO$155,$N372,$O372),"-")))</f>
        <v/>
      </c>
      <c r="F372" s="18">
        <f>IF($L372="","",INDEX(HSTECH!$F$7:$F$46,$N372))</f>
        <v/>
      </c>
      <c r="G372" s="40">
        <f>IF($L372="","",IF($P372=0,"TBA",IFERROR(INDEX(Grids!$BQ$116:$EC$155,$N372,$O372),"-")))</f>
        <v/>
      </c>
      <c r="H372" s="41">
        <f>IF($L372="","",SUM($G$316:$G372))</f>
        <v/>
      </c>
      <c r="I372" s="42">
        <f>IF($L372="","",IF(INT(($L372-INT($L372/10000000)*10000000)/1000000)=0,"Bloomberg projection",IF($P372=1,"ANNOUNCED","ANNOUNCED - amount TBA")))</f>
        <v/>
      </c>
      <c r="J372" s="43">
        <f>IF($L372="","",IF((OV_SWITCH="ON")*(COUNTIFS(OVR_TICKERS,INDEX(HSTECH!$C$7:$C$46,$N372),OVR_BASE,"&gt;=0")&gt;0)&gt;0,"stock overridden",""))</f>
        <v/>
      </c>
      <c r="L372" s="35">
        <f>IFERROR(IF(SMALL(Grids!$EE$116:$GQ$155,$M$313+57)&gt;=PEND_TO,"",SMALL(Grids!$EE$116:$GQ$155,$M$313+57)),"")</f>
        <v/>
      </c>
      <c r="M372" s="35">
        <f>IF($L372="","",INT($L372/1000000000))</f>
        <v/>
      </c>
      <c r="N372" s="35">
        <f>IF($L372="","",INT(($L372-INT($L372/1000000)*1000000)/1000))</f>
        <v/>
      </c>
      <c r="O372" s="35">
        <f>IF($L372="","",$L372-INT($L372/1000)*1000)</f>
        <v/>
      </c>
      <c r="P372" s="35">
        <f>IF($L372="","",INT(($L372-INT($L372/1000000000)*1000000000)/100000000))</f>
        <v/>
      </c>
    </row>
    <row r="373">
      <c r="B373" s="39">
        <f>IF($L373="","",$M373)</f>
        <v/>
      </c>
      <c r="C373" s="18">
        <f>IF($L373="","",INDEX(HSTECH!$C$7:$C$46,$N373))</f>
        <v/>
      </c>
      <c r="D373" s="18">
        <f>IF($L373="","",INDEX(HSTECH!$D$7:$D$46,$N373))</f>
        <v/>
      </c>
      <c r="E373" s="40">
        <f>IF($L373="","",IF($P373=0,"TBA",IFERROR(INDEX(Grids!$C$116:$BO$155,$N373,$O373),"-")))</f>
        <v/>
      </c>
      <c r="F373" s="18">
        <f>IF($L373="","",INDEX(HSTECH!$F$7:$F$46,$N373))</f>
        <v/>
      </c>
      <c r="G373" s="40">
        <f>IF($L373="","",IF($P373=0,"TBA",IFERROR(INDEX(Grids!$BQ$116:$EC$155,$N373,$O373),"-")))</f>
        <v/>
      </c>
      <c r="H373" s="41">
        <f>IF($L373="","",SUM($G$316:$G373))</f>
        <v/>
      </c>
      <c r="I373" s="42">
        <f>IF($L373="","",IF(INT(($L373-INT($L373/10000000)*10000000)/1000000)=0,"Bloomberg projection",IF($P373=1,"ANNOUNCED","ANNOUNCED - amount TBA")))</f>
        <v/>
      </c>
      <c r="J373" s="43">
        <f>IF($L373="","",IF((OV_SWITCH="ON")*(COUNTIFS(OVR_TICKERS,INDEX(HSTECH!$C$7:$C$46,$N373),OVR_BASE,"&gt;=0")&gt;0)&gt;0,"stock overridden",""))</f>
        <v/>
      </c>
      <c r="L373" s="35">
        <f>IFERROR(IF(SMALL(Grids!$EE$116:$GQ$155,$M$313+58)&gt;=PEND_TO,"",SMALL(Grids!$EE$116:$GQ$155,$M$313+58)),"")</f>
        <v/>
      </c>
      <c r="M373" s="35">
        <f>IF($L373="","",INT($L373/1000000000))</f>
        <v/>
      </c>
      <c r="N373" s="35">
        <f>IF($L373="","",INT(($L373-INT($L373/1000000)*1000000)/1000))</f>
        <v/>
      </c>
      <c r="O373" s="35">
        <f>IF($L373="","",$L373-INT($L373/1000)*1000)</f>
        <v/>
      </c>
      <c r="P373" s="35">
        <f>IF($L373="","",INT(($L373-INT($L373/1000000000)*1000000000)/100000000))</f>
        <v/>
      </c>
    </row>
    <row r="374">
      <c r="B374" s="39">
        <f>IF($L374="","",$M374)</f>
        <v/>
      </c>
      <c r="C374" s="18">
        <f>IF($L374="","",INDEX(HSTECH!$C$7:$C$46,$N374))</f>
        <v/>
      </c>
      <c r="D374" s="18">
        <f>IF($L374="","",INDEX(HSTECH!$D$7:$D$46,$N374))</f>
        <v/>
      </c>
      <c r="E374" s="40">
        <f>IF($L374="","",IF($P374=0,"TBA",IFERROR(INDEX(Grids!$C$116:$BO$155,$N374,$O374),"-")))</f>
        <v/>
      </c>
      <c r="F374" s="18">
        <f>IF($L374="","",INDEX(HSTECH!$F$7:$F$46,$N374))</f>
        <v/>
      </c>
      <c r="G374" s="40">
        <f>IF($L374="","",IF($P374=0,"TBA",IFERROR(INDEX(Grids!$BQ$116:$EC$155,$N374,$O374),"-")))</f>
        <v/>
      </c>
      <c r="H374" s="41">
        <f>IF($L374="","",SUM($G$316:$G374))</f>
        <v/>
      </c>
      <c r="I374" s="42">
        <f>IF($L374="","",IF(INT(($L374-INT($L374/10000000)*10000000)/1000000)=0,"Bloomberg projection",IF($P374=1,"ANNOUNCED","ANNOUNCED - amount TBA")))</f>
        <v/>
      </c>
      <c r="J374" s="43">
        <f>IF($L374="","",IF((OV_SWITCH="ON")*(COUNTIFS(OVR_TICKERS,INDEX(HSTECH!$C$7:$C$46,$N374),OVR_BASE,"&gt;=0")&gt;0)&gt;0,"stock overridden",""))</f>
        <v/>
      </c>
      <c r="L374" s="35">
        <f>IFERROR(IF(SMALL(Grids!$EE$116:$GQ$155,$M$313+59)&gt;=PEND_TO,"",SMALL(Grids!$EE$116:$GQ$155,$M$313+59)),"")</f>
        <v/>
      </c>
      <c r="M374" s="35">
        <f>IF($L374="","",INT($L374/1000000000))</f>
        <v/>
      </c>
      <c r="N374" s="35">
        <f>IF($L374="","",INT(($L374-INT($L374/1000000)*1000000)/1000))</f>
        <v/>
      </c>
      <c r="O374" s="35">
        <f>IF($L374="","",$L374-INT($L374/1000)*1000)</f>
        <v/>
      </c>
      <c r="P374" s="35">
        <f>IF($L374="","",INT(($L374-INT($L374/1000000000)*1000000000)/100000000))</f>
        <v/>
      </c>
    </row>
    <row r="375">
      <c r="B375" s="39">
        <f>IF($L375="","",$M375)</f>
        <v/>
      </c>
      <c r="C375" s="18">
        <f>IF($L375="","",INDEX(HSTECH!$C$7:$C$46,$N375))</f>
        <v/>
      </c>
      <c r="D375" s="18">
        <f>IF($L375="","",INDEX(HSTECH!$D$7:$D$46,$N375))</f>
        <v/>
      </c>
      <c r="E375" s="40">
        <f>IF($L375="","",IF($P375=0,"TBA",IFERROR(INDEX(Grids!$C$116:$BO$155,$N375,$O375),"-")))</f>
        <v/>
      </c>
      <c r="F375" s="18">
        <f>IF($L375="","",INDEX(HSTECH!$F$7:$F$46,$N375))</f>
        <v/>
      </c>
      <c r="G375" s="40">
        <f>IF($L375="","",IF($P375=0,"TBA",IFERROR(INDEX(Grids!$BQ$116:$EC$155,$N375,$O375),"-")))</f>
        <v/>
      </c>
      <c r="H375" s="41">
        <f>IF($L375="","",SUM($G$316:$G375))</f>
        <v/>
      </c>
      <c r="I375" s="42">
        <f>IF($L375="","",IF(INT(($L375-INT($L375/10000000)*10000000)/1000000)=0,"Bloomberg projection",IF($P375=1,"ANNOUNCED","ANNOUNCED - amount TBA")))</f>
        <v/>
      </c>
      <c r="J375" s="43">
        <f>IF($L375="","",IF((OV_SWITCH="ON")*(COUNTIFS(OVR_TICKERS,INDEX(HSTECH!$C$7:$C$46,$N375),OVR_BASE,"&gt;=0")&gt;0)&gt;0,"stock overridden",""))</f>
        <v/>
      </c>
      <c r="L375" s="35">
        <f>IFERROR(IF(SMALL(Grids!$EE$116:$GQ$155,$M$313+60)&gt;=PEND_TO,"",SMALL(Grids!$EE$116:$GQ$155,$M$313+60)),"")</f>
        <v/>
      </c>
      <c r="M375" s="35">
        <f>IF($L375="","",INT($L375/1000000000))</f>
        <v/>
      </c>
      <c r="N375" s="35">
        <f>IF($L375="","",INT(($L375-INT($L375/1000000)*1000000)/1000))</f>
        <v/>
      </c>
      <c r="O375" s="35">
        <f>IF($L375="","",$L375-INT($L375/1000)*1000)</f>
        <v/>
      </c>
      <c r="P375" s="35">
        <f>IF($L375="","",INT(($L375-INT($L375/1000000000)*1000000000)/100000000))</f>
        <v/>
      </c>
    </row>
    <row r="376">
      <c r="B376" s="39">
        <f>IF($L376="","",$M376)</f>
        <v/>
      </c>
      <c r="C376" s="18">
        <f>IF($L376="","",INDEX(HSTECH!$C$7:$C$46,$N376))</f>
        <v/>
      </c>
      <c r="D376" s="18">
        <f>IF($L376="","",INDEX(HSTECH!$D$7:$D$46,$N376))</f>
        <v/>
      </c>
      <c r="E376" s="40">
        <f>IF($L376="","",IF($P376=0,"TBA",IFERROR(INDEX(Grids!$C$116:$BO$155,$N376,$O376),"-")))</f>
        <v/>
      </c>
      <c r="F376" s="18">
        <f>IF($L376="","",INDEX(HSTECH!$F$7:$F$46,$N376))</f>
        <v/>
      </c>
      <c r="G376" s="40">
        <f>IF($L376="","",IF($P376=0,"TBA",IFERROR(INDEX(Grids!$BQ$116:$EC$155,$N376,$O376),"-")))</f>
        <v/>
      </c>
      <c r="H376" s="41">
        <f>IF($L376="","",SUM($G$316:$G376))</f>
        <v/>
      </c>
      <c r="I376" s="42">
        <f>IF($L376="","",IF(INT(($L376-INT($L376/10000000)*10000000)/1000000)=0,"Bloomberg projection",IF($P376=1,"ANNOUNCED","ANNOUNCED - amount TBA")))</f>
        <v/>
      </c>
      <c r="J376" s="43">
        <f>IF($L376="","",IF((OV_SWITCH="ON")*(COUNTIFS(OVR_TICKERS,INDEX(HSTECH!$C$7:$C$46,$N376),OVR_BASE,"&gt;=0")&gt;0)&gt;0,"stock overridden",""))</f>
        <v/>
      </c>
      <c r="L376" s="35">
        <f>IFERROR(IF(SMALL(Grids!$EE$116:$GQ$155,$M$313+61)&gt;=PEND_TO,"",SMALL(Grids!$EE$116:$GQ$155,$M$313+61)),"")</f>
        <v/>
      </c>
      <c r="M376" s="35">
        <f>IF($L376="","",INT($L376/1000000000))</f>
        <v/>
      </c>
      <c r="N376" s="35">
        <f>IF($L376="","",INT(($L376-INT($L376/1000000)*1000000)/1000))</f>
        <v/>
      </c>
      <c r="O376" s="35">
        <f>IF($L376="","",$L376-INT($L376/1000)*1000)</f>
        <v/>
      </c>
      <c r="P376" s="35">
        <f>IF($L376="","",INT(($L376-INT($L376/1000000000)*1000000000)/100000000))</f>
        <v/>
      </c>
    </row>
    <row r="377">
      <c r="B377" s="39">
        <f>IF($L377="","",$M377)</f>
        <v/>
      </c>
      <c r="C377" s="18">
        <f>IF($L377="","",INDEX(HSTECH!$C$7:$C$46,$N377))</f>
        <v/>
      </c>
      <c r="D377" s="18">
        <f>IF($L377="","",INDEX(HSTECH!$D$7:$D$46,$N377))</f>
        <v/>
      </c>
      <c r="E377" s="40">
        <f>IF($L377="","",IF($P377=0,"TBA",IFERROR(INDEX(Grids!$C$116:$BO$155,$N377,$O377),"-")))</f>
        <v/>
      </c>
      <c r="F377" s="18">
        <f>IF($L377="","",INDEX(HSTECH!$F$7:$F$46,$N377))</f>
        <v/>
      </c>
      <c r="G377" s="40">
        <f>IF($L377="","",IF($P377=0,"TBA",IFERROR(INDEX(Grids!$BQ$116:$EC$155,$N377,$O377),"-")))</f>
        <v/>
      </c>
      <c r="H377" s="41">
        <f>IF($L377="","",SUM($G$316:$G377))</f>
        <v/>
      </c>
      <c r="I377" s="42">
        <f>IF($L377="","",IF(INT(($L377-INT($L377/10000000)*10000000)/1000000)=0,"Bloomberg projection",IF($P377=1,"ANNOUNCED","ANNOUNCED - amount TBA")))</f>
        <v/>
      </c>
      <c r="J377" s="43">
        <f>IF($L377="","",IF((OV_SWITCH="ON")*(COUNTIFS(OVR_TICKERS,INDEX(HSTECH!$C$7:$C$46,$N377),OVR_BASE,"&gt;=0")&gt;0)&gt;0,"stock overridden",""))</f>
        <v/>
      </c>
      <c r="L377" s="35">
        <f>IFERROR(IF(SMALL(Grids!$EE$116:$GQ$155,$M$313+62)&gt;=PEND_TO,"",SMALL(Grids!$EE$116:$GQ$155,$M$313+62)),"")</f>
        <v/>
      </c>
      <c r="M377" s="35">
        <f>IF($L377="","",INT($L377/1000000000))</f>
        <v/>
      </c>
      <c r="N377" s="35">
        <f>IF($L377="","",INT(($L377-INT($L377/1000000)*1000000)/1000))</f>
        <v/>
      </c>
      <c r="O377" s="35">
        <f>IF($L377="","",$L377-INT($L377/1000)*1000)</f>
        <v/>
      </c>
      <c r="P377" s="35">
        <f>IF($L377="","",INT(($L377-INT($L377/1000000000)*1000000000)/100000000))</f>
        <v/>
      </c>
    </row>
    <row r="378">
      <c r="B378" s="39">
        <f>IF($L378="","",$M378)</f>
        <v/>
      </c>
      <c r="C378" s="18">
        <f>IF($L378="","",INDEX(HSTECH!$C$7:$C$46,$N378))</f>
        <v/>
      </c>
      <c r="D378" s="18">
        <f>IF($L378="","",INDEX(HSTECH!$D$7:$D$46,$N378))</f>
        <v/>
      </c>
      <c r="E378" s="40">
        <f>IF($L378="","",IF($P378=0,"TBA",IFERROR(INDEX(Grids!$C$116:$BO$155,$N378,$O378),"-")))</f>
        <v/>
      </c>
      <c r="F378" s="18">
        <f>IF($L378="","",INDEX(HSTECH!$F$7:$F$46,$N378))</f>
        <v/>
      </c>
      <c r="G378" s="40">
        <f>IF($L378="","",IF($P378=0,"TBA",IFERROR(INDEX(Grids!$BQ$116:$EC$155,$N378,$O378),"-")))</f>
        <v/>
      </c>
      <c r="H378" s="41">
        <f>IF($L378="","",SUM($G$316:$G378))</f>
        <v/>
      </c>
      <c r="I378" s="42">
        <f>IF($L378="","",IF(INT(($L378-INT($L378/10000000)*10000000)/1000000)=0,"Bloomberg projection",IF($P378=1,"ANNOUNCED","ANNOUNCED - amount TBA")))</f>
        <v/>
      </c>
      <c r="J378" s="43">
        <f>IF($L378="","",IF((OV_SWITCH="ON")*(COUNTIFS(OVR_TICKERS,INDEX(HSTECH!$C$7:$C$46,$N378),OVR_BASE,"&gt;=0")&gt;0)&gt;0,"stock overridden",""))</f>
        <v/>
      </c>
      <c r="L378" s="35">
        <f>IFERROR(IF(SMALL(Grids!$EE$116:$GQ$155,$M$313+63)&gt;=PEND_TO,"",SMALL(Grids!$EE$116:$GQ$155,$M$313+63)),"")</f>
        <v/>
      </c>
      <c r="M378" s="35">
        <f>IF($L378="","",INT($L378/1000000000))</f>
        <v/>
      </c>
      <c r="N378" s="35">
        <f>IF($L378="","",INT(($L378-INT($L378/1000000)*1000000)/1000))</f>
        <v/>
      </c>
      <c r="O378" s="35">
        <f>IF($L378="","",$L378-INT($L378/1000)*1000)</f>
        <v/>
      </c>
      <c r="P378" s="35">
        <f>IF($L378="","",INT(($L378-INT($L378/1000000000)*1000000000)/100000000))</f>
        <v/>
      </c>
    </row>
    <row r="379">
      <c r="B379" s="39">
        <f>IF($L379="","",$M379)</f>
        <v/>
      </c>
      <c r="C379" s="18">
        <f>IF($L379="","",INDEX(HSTECH!$C$7:$C$46,$N379))</f>
        <v/>
      </c>
      <c r="D379" s="18">
        <f>IF($L379="","",INDEX(HSTECH!$D$7:$D$46,$N379))</f>
        <v/>
      </c>
      <c r="E379" s="40">
        <f>IF($L379="","",IF($P379=0,"TBA",IFERROR(INDEX(Grids!$C$116:$BO$155,$N379,$O379),"-")))</f>
        <v/>
      </c>
      <c r="F379" s="18">
        <f>IF($L379="","",INDEX(HSTECH!$F$7:$F$46,$N379))</f>
        <v/>
      </c>
      <c r="G379" s="40">
        <f>IF($L379="","",IF($P379=0,"TBA",IFERROR(INDEX(Grids!$BQ$116:$EC$155,$N379,$O379),"-")))</f>
        <v/>
      </c>
      <c r="H379" s="41">
        <f>IF($L379="","",SUM($G$316:$G379))</f>
        <v/>
      </c>
      <c r="I379" s="42">
        <f>IF($L379="","",IF(INT(($L379-INT($L379/10000000)*10000000)/1000000)=0,"Bloomberg projection",IF($P379=1,"ANNOUNCED","ANNOUNCED - amount TBA")))</f>
        <v/>
      </c>
      <c r="J379" s="43">
        <f>IF($L379="","",IF((OV_SWITCH="ON")*(COUNTIFS(OVR_TICKERS,INDEX(HSTECH!$C$7:$C$46,$N379),OVR_BASE,"&gt;=0")&gt;0)&gt;0,"stock overridden",""))</f>
        <v/>
      </c>
      <c r="L379" s="35">
        <f>IFERROR(IF(SMALL(Grids!$EE$116:$GQ$155,$M$313+64)&gt;=PEND_TO,"",SMALL(Grids!$EE$116:$GQ$155,$M$313+64)),"")</f>
        <v/>
      </c>
      <c r="M379" s="35">
        <f>IF($L379="","",INT($L379/1000000000))</f>
        <v/>
      </c>
      <c r="N379" s="35">
        <f>IF($L379="","",INT(($L379-INT($L379/1000000)*1000000)/1000))</f>
        <v/>
      </c>
      <c r="O379" s="35">
        <f>IF($L379="","",$L379-INT($L379/1000)*1000)</f>
        <v/>
      </c>
      <c r="P379" s="35">
        <f>IF($L379="","",INT(($L379-INT($L379/1000000000)*1000000000)/100000000))</f>
        <v/>
      </c>
    </row>
    <row r="380">
      <c r="B380" s="39">
        <f>IF($L380="","",$M380)</f>
        <v/>
      </c>
      <c r="C380" s="18">
        <f>IF($L380="","",INDEX(HSTECH!$C$7:$C$46,$N380))</f>
        <v/>
      </c>
      <c r="D380" s="18">
        <f>IF($L380="","",INDEX(HSTECH!$D$7:$D$46,$N380))</f>
        <v/>
      </c>
      <c r="E380" s="40">
        <f>IF($L380="","",IF($P380=0,"TBA",IFERROR(INDEX(Grids!$C$116:$BO$155,$N380,$O380),"-")))</f>
        <v/>
      </c>
      <c r="F380" s="18">
        <f>IF($L380="","",INDEX(HSTECH!$F$7:$F$46,$N380))</f>
        <v/>
      </c>
      <c r="G380" s="40">
        <f>IF($L380="","",IF($P380=0,"TBA",IFERROR(INDEX(Grids!$BQ$116:$EC$155,$N380,$O380),"-")))</f>
        <v/>
      </c>
      <c r="H380" s="41">
        <f>IF($L380="","",SUM($G$316:$G380))</f>
        <v/>
      </c>
      <c r="I380" s="42">
        <f>IF($L380="","",IF(INT(($L380-INT($L380/10000000)*10000000)/1000000)=0,"Bloomberg projection",IF($P380=1,"ANNOUNCED","ANNOUNCED - amount TBA")))</f>
        <v/>
      </c>
      <c r="J380" s="43">
        <f>IF($L380="","",IF((OV_SWITCH="ON")*(COUNTIFS(OVR_TICKERS,INDEX(HSTECH!$C$7:$C$46,$N380),OVR_BASE,"&gt;=0")&gt;0)&gt;0,"stock overridden",""))</f>
        <v/>
      </c>
      <c r="L380" s="35">
        <f>IFERROR(IF(SMALL(Grids!$EE$116:$GQ$155,$M$313+65)&gt;=PEND_TO,"",SMALL(Grids!$EE$116:$GQ$155,$M$313+65)),"")</f>
        <v/>
      </c>
      <c r="M380" s="35">
        <f>IF($L380="","",INT($L380/1000000000))</f>
        <v/>
      </c>
      <c r="N380" s="35">
        <f>IF($L380="","",INT(($L380-INT($L380/1000000)*1000000)/1000))</f>
        <v/>
      </c>
      <c r="O380" s="35">
        <f>IF($L380="","",$L380-INT($L380/1000)*1000)</f>
        <v/>
      </c>
      <c r="P380" s="35">
        <f>IF($L380="","",INT(($L380-INT($L380/1000000000)*1000000000)/100000000))</f>
        <v/>
      </c>
    </row>
    <row r="381">
      <c r="B381" s="39">
        <f>IF($L381="","",$M381)</f>
        <v/>
      </c>
      <c r="C381" s="18">
        <f>IF($L381="","",INDEX(HSTECH!$C$7:$C$46,$N381))</f>
        <v/>
      </c>
      <c r="D381" s="18">
        <f>IF($L381="","",INDEX(HSTECH!$D$7:$D$46,$N381))</f>
        <v/>
      </c>
      <c r="E381" s="40">
        <f>IF($L381="","",IF($P381=0,"TBA",IFERROR(INDEX(Grids!$C$116:$BO$155,$N381,$O381),"-")))</f>
        <v/>
      </c>
      <c r="F381" s="18">
        <f>IF($L381="","",INDEX(HSTECH!$F$7:$F$46,$N381))</f>
        <v/>
      </c>
      <c r="G381" s="40">
        <f>IF($L381="","",IF($P381=0,"TBA",IFERROR(INDEX(Grids!$BQ$116:$EC$155,$N381,$O381),"-")))</f>
        <v/>
      </c>
      <c r="H381" s="41">
        <f>IF($L381="","",SUM($G$316:$G381))</f>
        <v/>
      </c>
      <c r="I381" s="42">
        <f>IF($L381="","",IF(INT(($L381-INT($L381/10000000)*10000000)/1000000)=0,"Bloomberg projection",IF($P381=1,"ANNOUNCED","ANNOUNCED - amount TBA")))</f>
        <v/>
      </c>
      <c r="J381" s="43">
        <f>IF($L381="","",IF((OV_SWITCH="ON")*(COUNTIFS(OVR_TICKERS,INDEX(HSTECH!$C$7:$C$46,$N381),OVR_BASE,"&gt;=0")&gt;0)&gt;0,"stock overridden",""))</f>
        <v/>
      </c>
      <c r="L381" s="35">
        <f>IFERROR(IF(SMALL(Grids!$EE$116:$GQ$155,$M$313+66)&gt;=PEND_TO,"",SMALL(Grids!$EE$116:$GQ$155,$M$313+66)),"")</f>
        <v/>
      </c>
      <c r="M381" s="35">
        <f>IF($L381="","",INT($L381/1000000000))</f>
        <v/>
      </c>
      <c r="N381" s="35">
        <f>IF($L381="","",INT(($L381-INT($L381/1000000)*1000000)/1000))</f>
        <v/>
      </c>
      <c r="O381" s="35">
        <f>IF($L381="","",$L381-INT($L381/1000)*1000)</f>
        <v/>
      </c>
      <c r="P381" s="35">
        <f>IF($L381="","",INT(($L381-INT($L381/1000000000)*1000000000)/100000000))</f>
        <v/>
      </c>
    </row>
    <row r="382">
      <c r="B382" s="39">
        <f>IF($L382="","",$M382)</f>
        <v/>
      </c>
      <c r="C382" s="18">
        <f>IF($L382="","",INDEX(HSTECH!$C$7:$C$46,$N382))</f>
        <v/>
      </c>
      <c r="D382" s="18">
        <f>IF($L382="","",INDEX(HSTECH!$D$7:$D$46,$N382))</f>
        <v/>
      </c>
      <c r="E382" s="40">
        <f>IF($L382="","",IF($P382=0,"TBA",IFERROR(INDEX(Grids!$C$116:$BO$155,$N382,$O382),"-")))</f>
        <v/>
      </c>
      <c r="F382" s="18">
        <f>IF($L382="","",INDEX(HSTECH!$F$7:$F$46,$N382))</f>
        <v/>
      </c>
      <c r="G382" s="40">
        <f>IF($L382="","",IF($P382=0,"TBA",IFERROR(INDEX(Grids!$BQ$116:$EC$155,$N382,$O382),"-")))</f>
        <v/>
      </c>
      <c r="H382" s="41">
        <f>IF($L382="","",SUM($G$316:$G382))</f>
        <v/>
      </c>
      <c r="I382" s="42">
        <f>IF($L382="","",IF(INT(($L382-INT($L382/10000000)*10000000)/1000000)=0,"Bloomberg projection",IF($P382=1,"ANNOUNCED","ANNOUNCED - amount TBA")))</f>
        <v/>
      </c>
      <c r="J382" s="43">
        <f>IF($L382="","",IF((OV_SWITCH="ON")*(COUNTIFS(OVR_TICKERS,INDEX(HSTECH!$C$7:$C$46,$N382),OVR_BASE,"&gt;=0")&gt;0)&gt;0,"stock overridden",""))</f>
        <v/>
      </c>
      <c r="L382" s="35">
        <f>IFERROR(IF(SMALL(Grids!$EE$116:$GQ$155,$M$313+67)&gt;=PEND_TO,"",SMALL(Grids!$EE$116:$GQ$155,$M$313+67)),"")</f>
        <v/>
      </c>
      <c r="M382" s="35">
        <f>IF($L382="","",INT($L382/1000000000))</f>
        <v/>
      </c>
      <c r="N382" s="35">
        <f>IF($L382="","",INT(($L382-INT($L382/1000000)*1000000)/1000))</f>
        <v/>
      </c>
      <c r="O382" s="35">
        <f>IF($L382="","",$L382-INT($L382/1000)*1000)</f>
        <v/>
      </c>
      <c r="P382" s="35">
        <f>IF($L382="","",INT(($L382-INT($L382/1000000000)*1000000000)/100000000))</f>
        <v/>
      </c>
    </row>
    <row r="383">
      <c r="B383" s="39">
        <f>IF($L383="","",$M383)</f>
        <v/>
      </c>
      <c r="C383" s="18">
        <f>IF($L383="","",INDEX(HSTECH!$C$7:$C$46,$N383))</f>
        <v/>
      </c>
      <c r="D383" s="18">
        <f>IF($L383="","",INDEX(HSTECH!$D$7:$D$46,$N383))</f>
        <v/>
      </c>
      <c r="E383" s="40">
        <f>IF($L383="","",IF($P383=0,"TBA",IFERROR(INDEX(Grids!$C$116:$BO$155,$N383,$O383),"-")))</f>
        <v/>
      </c>
      <c r="F383" s="18">
        <f>IF($L383="","",INDEX(HSTECH!$F$7:$F$46,$N383))</f>
        <v/>
      </c>
      <c r="G383" s="40">
        <f>IF($L383="","",IF($P383=0,"TBA",IFERROR(INDEX(Grids!$BQ$116:$EC$155,$N383,$O383),"-")))</f>
        <v/>
      </c>
      <c r="H383" s="41">
        <f>IF($L383="","",SUM($G$316:$G383))</f>
        <v/>
      </c>
      <c r="I383" s="42">
        <f>IF($L383="","",IF(INT(($L383-INT($L383/10000000)*10000000)/1000000)=0,"Bloomberg projection",IF($P383=1,"ANNOUNCED","ANNOUNCED - amount TBA")))</f>
        <v/>
      </c>
      <c r="J383" s="43">
        <f>IF($L383="","",IF((OV_SWITCH="ON")*(COUNTIFS(OVR_TICKERS,INDEX(HSTECH!$C$7:$C$46,$N383),OVR_BASE,"&gt;=0")&gt;0)&gt;0,"stock overridden",""))</f>
        <v/>
      </c>
      <c r="L383" s="35">
        <f>IFERROR(IF(SMALL(Grids!$EE$116:$GQ$155,$M$313+68)&gt;=PEND_TO,"",SMALL(Grids!$EE$116:$GQ$155,$M$313+68)),"")</f>
        <v/>
      </c>
      <c r="M383" s="35">
        <f>IF($L383="","",INT($L383/1000000000))</f>
        <v/>
      </c>
      <c r="N383" s="35">
        <f>IF($L383="","",INT(($L383-INT($L383/1000000)*1000000)/1000))</f>
        <v/>
      </c>
      <c r="O383" s="35">
        <f>IF($L383="","",$L383-INT($L383/1000)*1000)</f>
        <v/>
      </c>
      <c r="P383" s="35">
        <f>IF($L383="","",INT(($L383-INT($L383/1000000000)*1000000000)/100000000))</f>
        <v/>
      </c>
    </row>
    <row r="384">
      <c r="B384" s="39">
        <f>IF($L384="","",$M384)</f>
        <v/>
      </c>
      <c r="C384" s="18">
        <f>IF($L384="","",INDEX(HSTECH!$C$7:$C$46,$N384))</f>
        <v/>
      </c>
      <c r="D384" s="18">
        <f>IF($L384="","",INDEX(HSTECH!$D$7:$D$46,$N384))</f>
        <v/>
      </c>
      <c r="E384" s="40">
        <f>IF($L384="","",IF($P384=0,"TBA",IFERROR(INDEX(Grids!$C$116:$BO$155,$N384,$O384),"-")))</f>
        <v/>
      </c>
      <c r="F384" s="18">
        <f>IF($L384="","",INDEX(HSTECH!$F$7:$F$46,$N384))</f>
        <v/>
      </c>
      <c r="G384" s="40">
        <f>IF($L384="","",IF($P384=0,"TBA",IFERROR(INDEX(Grids!$BQ$116:$EC$155,$N384,$O384),"-")))</f>
        <v/>
      </c>
      <c r="H384" s="41">
        <f>IF($L384="","",SUM($G$316:$G384))</f>
        <v/>
      </c>
      <c r="I384" s="42">
        <f>IF($L384="","",IF(INT(($L384-INT($L384/10000000)*10000000)/1000000)=0,"Bloomberg projection",IF($P384=1,"ANNOUNCED","ANNOUNCED - amount TBA")))</f>
        <v/>
      </c>
      <c r="J384" s="43">
        <f>IF($L384="","",IF((OV_SWITCH="ON")*(COUNTIFS(OVR_TICKERS,INDEX(HSTECH!$C$7:$C$46,$N384),OVR_BASE,"&gt;=0")&gt;0)&gt;0,"stock overridden",""))</f>
        <v/>
      </c>
      <c r="L384" s="35">
        <f>IFERROR(IF(SMALL(Grids!$EE$116:$GQ$155,$M$313+69)&gt;=PEND_TO,"",SMALL(Grids!$EE$116:$GQ$155,$M$313+69)),"")</f>
        <v/>
      </c>
      <c r="M384" s="35">
        <f>IF($L384="","",INT($L384/1000000000))</f>
        <v/>
      </c>
      <c r="N384" s="35">
        <f>IF($L384="","",INT(($L384-INT($L384/1000000)*1000000)/1000))</f>
        <v/>
      </c>
      <c r="O384" s="35">
        <f>IF($L384="","",$L384-INT($L384/1000)*1000)</f>
        <v/>
      </c>
      <c r="P384" s="35">
        <f>IF($L384="","",INT(($L384-INT($L384/1000000000)*1000000000)/100000000))</f>
        <v/>
      </c>
    </row>
    <row r="385">
      <c r="B385" s="39">
        <f>IF($L385="","",$M385)</f>
        <v/>
      </c>
      <c r="C385" s="18">
        <f>IF($L385="","",INDEX(HSTECH!$C$7:$C$46,$N385))</f>
        <v/>
      </c>
      <c r="D385" s="18">
        <f>IF($L385="","",INDEX(HSTECH!$D$7:$D$46,$N385))</f>
        <v/>
      </c>
      <c r="E385" s="40">
        <f>IF($L385="","",IF($P385=0,"TBA",IFERROR(INDEX(Grids!$C$116:$BO$155,$N385,$O385),"-")))</f>
        <v/>
      </c>
      <c r="F385" s="18">
        <f>IF($L385="","",INDEX(HSTECH!$F$7:$F$46,$N385))</f>
        <v/>
      </c>
      <c r="G385" s="40">
        <f>IF($L385="","",IF($P385=0,"TBA",IFERROR(INDEX(Grids!$BQ$116:$EC$155,$N385,$O385),"-")))</f>
        <v/>
      </c>
      <c r="H385" s="41">
        <f>IF($L385="","",SUM($G$316:$G385))</f>
        <v/>
      </c>
      <c r="I385" s="42">
        <f>IF($L385="","",IF(INT(($L385-INT($L385/10000000)*10000000)/1000000)=0,"Bloomberg projection",IF($P385=1,"ANNOUNCED","ANNOUNCED - amount TBA")))</f>
        <v/>
      </c>
      <c r="J385" s="43">
        <f>IF($L385="","",IF((OV_SWITCH="ON")*(COUNTIFS(OVR_TICKERS,INDEX(HSTECH!$C$7:$C$46,$N385),OVR_BASE,"&gt;=0")&gt;0)&gt;0,"stock overridden",""))</f>
        <v/>
      </c>
      <c r="L385" s="35">
        <f>IFERROR(IF(SMALL(Grids!$EE$116:$GQ$155,$M$313+70)&gt;=PEND_TO,"",SMALL(Grids!$EE$116:$GQ$155,$M$313+70)),"")</f>
        <v/>
      </c>
      <c r="M385" s="35">
        <f>IF($L385="","",INT($L385/1000000000))</f>
        <v/>
      </c>
      <c r="N385" s="35">
        <f>IF($L385="","",INT(($L385-INT($L385/1000000)*1000000)/1000))</f>
        <v/>
      </c>
      <c r="O385" s="35">
        <f>IF($L385="","",$L385-INT($L385/1000)*1000)</f>
        <v/>
      </c>
      <c r="P385" s="35">
        <f>IF($L385="","",INT(($L385-INT($L385/1000000000)*1000000000)/100000000))</f>
        <v/>
      </c>
    </row>
    <row r="386">
      <c r="B386" s="39">
        <f>IF($L386="","",$M386)</f>
        <v/>
      </c>
      <c r="C386" s="18">
        <f>IF($L386="","",INDEX(HSTECH!$C$7:$C$46,$N386))</f>
        <v/>
      </c>
      <c r="D386" s="18">
        <f>IF($L386="","",INDEX(HSTECH!$D$7:$D$46,$N386))</f>
        <v/>
      </c>
      <c r="E386" s="40">
        <f>IF($L386="","",IF($P386=0,"TBA",IFERROR(INDEX(Grids!$C$116:$BO$155,$N386,$O386),"-")))</f>
        <v/>
      </c>
      <c r="F386" s="18">
        <f>IF($L386="","",INDEX(HSTECH!$F$7:$F$46,$N386))</f>
        <v/>
      </c>
      <c r="G386" s="40">
        <f>IF($L386="","",IF($P386=0,"TBA",IFERROR(INDEX(Grids!$BQ$116:$EC$155,$N386,$O386),"-")))</f>
        <v/>
      </c>
      <c r="H386" s="41">
        <f>IF($L386="","",SUM($G$316:$G386))</f>
        <v/>
      </c>
      <c r="I386" s="42">
        <f>IF($L386="","",IF(INT(($L386-INT($L386/10000000)*10000000)/1000000)=0,"Bloomberg projection",IF($P386=1,"ANNOUNCED","ANNOUNCED - amount TBA")))</f>
        <v/>
      </c>
      <c r="J386" s="43">
        <f>IF($L386="","",IF((OV_SWITCH="ON")*(COUNTIFS(OVR_TICKERS,INDEX(HSTECH!$C$7:$C$46,$N386),OVR_BASE,"&gt;=0")&gt;0)&gt;0,"stock overridden",""))</f>
        <v/>
      </c>
      <c r="L386" s="35">
        <f>IFERROR(IF(SMALL(Grids!$EE$116:$GQ$155,$M$313+71)&gt;=PEND_TO,"",SMALL(Grids!$EE$116:$GQ$155,$M$313+71)),"")</f>
        <v/>
      </c>
      <c r="M386" s="35">
        <f>IF($L386="","",INT($L386/1000000000))</f>
        <v/>
      </c>
      <c r="N386" s="35">
        <f>IF($L386="","",INT(($L386-INT($L386/1000000)*1000000)/1000))</f>
        <v/>
      </c>
      <c r="O386" s="35">
        <f>IF($L386="","",$L386-INT($L386/1000)*1000)</f>
        <v/>
      </c>
      <c r="P386" s="35">
        <f>IF($L386="","",INT(($L386-INT($L386/1000000000)*1000000000)/100000000))</f>
        <v/>
      </c>
    </row>
    <row r="387">
      <c r="B387" s="39">
        <f>IF($L387="","",$M387)</f>
        <v/>
      </c>
      <c r="C387" s="18">
        <f>IF($L387="","",INDEX(HSTECH!$C$7:$C$46,$N387))</f>
        <v/>
      </c>
      <c r="D387" s="18">
        <f>IF($L387="","",INDEX(HSTECH!$D$7:$D$46,$N387))</f>
        <v/>
      </c>
      <c r="E387" s="40">
        <f>IF($L387="","",IF($P387=0,"TBA",IFERROR(INDEX(Grids!$C$116:$BO$155,$N387,$O387),"-")))</f>
        <v/>
      </c>
      <c r="F387" s="18">
        <f>IF($L387="","",INDEX(HSTECH!$F$7:$F$46,$N387))</f>
        <v/>
      </c>
      <c r="G387" s="40">
        <f>IF($L387="","",IF($P387=0,"TBA",IFERROR(INDEX(Grids!$BQ$116:$EC$155,$N387,$O387),"-")))</f>
        <v/>
      </c>
      <c r="H387" s="41">
        <f>IF($L387="","",SUM($G$316:$G387))</f>
        <v/>
      </c>
      <c r="I387" s="42">
        <f>IF($L387="","",IF(INT(($L387-INT($L387/10000000)*10000000)/1000000)=0,"Bloomberg projection",IF($P387=1,"ANNOUNCED","ANNOUNCED - amount TBA")))</f>
        <v/>
      </c>
      <c r="J387" s="43">
        <f>IF($L387="","",IF((OV_SWITCH="ON")*(COUNTIFS(OVR_TICKERS,INDEX(HSTECH!$C$7:$C$46,$N387),OVR_BASE,"&gt;=0")&gt;0)&gt;0,"stock overridden",""))</f>
        <v/>
      </c>
      <c r="L387" s="35">
        <f>IFERROR(IF(SMALL(Grids!$EE$116:$GQ$155,$M$313+72)&gt;=PEND_TO,"",SMALL(Grids!$EE$116:$GQ$155,$M$313+72)),"")</f>
        <v/>
      </c>
      <c r="M387" s="35">
        <f>IF($L387="","",INT($L387/1000000000))</f>
        <v/>
      </c>
      <c r="N387" s="35">
        <f>IF($L387="","",INT(($L387-INT($L387/1000000)*1000000)/1000))</f>
        <v/>
      </c>
      <c r="O387" s="35">
        <f>IF($L387="","",$L387-INT($L387/1000)*1000)</f>
        <v/>
      </c>
      <c r="P387" s="35">
        <f>IF($L387="","",INT(($L387-INT($L387/1000000000)*1000000000)/100000000))</f>
        <v/>
      </c>
    </row>
    <row r="388">
      <c r="B388" s="39">
        <f>IF($L388="","",$M388)</f>
        <v/>
      </c>
      <c r="C388" s="18">
        <f>IF($L388="","",INDEX(HSTECH!$C$7:$C$46,$N388))</f>
        <v/>
      </c>
      <c r="D388" s="18">
        <f>IF($L388="","",INDEX(HSTECH!$D$7:$D$46,$N388))</f>
        <v/>
      </c>
      <c r="E388" s="40">
        <f>IF($L388="","",IF($P388=0,"TBA",IFERROR(INDEX(Grids!$C$116:$BO$155,$N388,$O388),"-")))</f>
        <v/>
      </c>
      <c r="F388" s="18">
        <f>IF($L388="","",INDEX(HSTECH!$F$7:$F$46,$N388))</f>
        <v/>
      </c>
      <c r="G388" s="40">
        <f>IF($L388="","",IF($P388=0,"TBA",IFERROR(INDEX(Grids!$BQ$116:$EC$155,$N388,$O388),"-")))</f>
        <v/>
      </c>
      <c r="H388" s="41">
        <f>IF($L388="","",SUM($G$316:$G388))</f>
        <v/>
      </c>
      <c r="I388" s="42">
        <f>IF($L388="","",IF(INT(($L388-INT($L388/10000000)*10000000)/1000000)=0,"Bloomberg projection",IF($P388=1,"ANNOUNCED","ANNOUNCED - amount TBA")))</f>
        <v/>
      </c>
      <c r="J388" s="43">
        <f>IF($L388="","",IF((OV_SWITCH="ON")*(COUNTIFS(OVR_TICKERS,INDEX(HSTECH!$C$7:$C$46,$N388),OVR_BASE,"&gt;=0")&gt;0)&gt;0,"stock overridden",""))</f>
        <v/>
      </c>
      <c r="L388" s="35">
        <f>IFERROR(IF(SMALL(Grids!$EE$116:$GQ$155,$M$313+73)&gt;=PEND_TO,"",SMALL(Grids!$EE$116:$GQ$155,$M$313+73)),"")</f>
        <v/>
      </c>
      <c r="M388" s="35">
        <f>IF($L388="","",INT($L388/1000000000))</f>
        <v/>
      </c>
      <c r="N388" s="35">
        <f>IF($L388="","",INT(($L388-INT($L388/1000000)*1000000)/1000))</f>
        <v/>
      </c>
      <c r="O388" s="35">
        <f>IF($L388="","",$L388-INT($L388/1000)*1000)</f>
        <v/>
      </c>
      <c r="P388" s="35">
        <f>IF($L388="","",INT(($L388-INT($L388/1000000000)*1000000000)/100000000))</f>
        <v/>
      </c>
    </row>
    <row r="389">
      <c r="B389" s="39">
        <f>IF($L389="","",$M389)</f>
        <v/>
      </c>
      <c r="C389" s="18">
        <f>IF($L389="","",INDEX(HSTECH!$C$7:$C$46,$N389))</f>
        <v/>
      </c>
      <c r="D389" s="18">
        <f>IF($L389="","",INDEX(HSTECH!$D$7:$D$46,$N389))</f>
        <v/>
      </c>
      <c r="E389" s="40">
        <f>IF($L389="","",IF($P389=0,"TBA",IFERROR(INDEX(Grids!$C$116:$BO$155,$N389,$O389),"-")))</f>
        <v/>
      </c>
      <c r="F389" s="18">
        <f>IF($L389="","",INDEX(HSTECH!$F$7:$F$46,$N389))</f>
        <v/>
      </c>
      <c r="G389" s="40">
        <f>IF($L389="","",IF($P389=0,"TBA",IFERROR(INDEX(Grids!$BQ$116:$EC$155,$N389,$O389),"-")))</f>
        <v/>
      </c>
      <c r="H389" s="41">
        <f>IF($L389="","",SUM($G$316:$G389))</f>
        <v/>
      </c>
      <c r="I389" s="42">
        <f>IF($L389="","",IF(INT(($L389-INT($L389/10000000)*10000000)/1000000)=0,"Bloomberg projection",IF($P389=1,"ANNOUNCED","ANNOUNCED - amount TBA")))</f>
        <v/>
      </c>
      <c r="J389" s="43">
        <f>IF($L389="","",IF((OV_SWITCH="ON")*(COUNTIFS(OVR_TICKERS,INDEX(HSTECH!$C$7:$C$46,$N389),OVR_BASE,"&gt;=0")&gt;0)&gt;0,"stock overridden",""))</f>
        <v/>
      </c>
      <c r="L389" s="35">
        <f>IFERROR(IF(SMALL(Grids!$EE$116:$GQ$155,$M$313+74)&gt;=PEND_TO,"",SMALL(Grids!$EE$116:$GQ$155,$M$313+74)),"")</f>
        <v/>
      </c>
      <c r="M389" s="35">
        <f>IF($L389="","",INT($L389/1000000000))</f>
        <v/>
      </c>
      <c r="N389" s="35">
        <f>IF($L389="","",INT(($L389-INT($L389/1000000)*1000000)/1000))</f>
        <v/>
      </c>
      <c r="O389" s="35">
        <f>IF($L389="","",$L389-INT($L389/1000)*1000)</f>
        <v/>
      </c>
      <c r="P389" s="35">
        <f>IF($L389="","",INT(($L389-INT($L389/1000000000)*1000000000)/100000000))</f>
        <v/>
      </c>
    </row>
    <row r="390">
      <c r="B390" s="39">
        <f>IF($L390="","",$M390)</f>
        <v/>
      </c>
      <c r="C390" s="18">
        <f>IF($L390="","",INDEX(HSTECH!$C$7:$C$46,$N390))</f>
        <v/>
      </c>
      <c r="D390" s="18">
        <f>IF($L390="","",INDEX(HSTECH!$D$7:$D$46,$N390))</f>
        <v/>
      </c>
      <c r="E390" s="40">
        <f>IF($L390="","",IF($P390=0,"TBA",IFERROR(INDEX(Grids!$C$116:$BO$155,$N390,$O390),"-")))</f>
        <v/>
      </c>
      <c r="F390" s="18">
        <f>IF($L390="","",INDEX(HSTECH!$F$7:$F$46,$N390))</f>
        <v/>
      </c>
      <c r="G390" s="40">
        <f>IF($L390="","",IF($P390=0,"TBA",IFERROR(INDEX(Grids!$BQ$116:$EC$155,$N390,$O390),"-")))</f>
        <v/>
      </c>
      <c r="H390" s="41">
        <f>IF($L390="","",SUM($G$316:$G390))</f>
        <v/>
      </c>
      <c r="I390" s="42">
        <f>IF($L390="","",IF(INT(($L390-INT($L390/10000000)*10000000)/1000000)=0,"Bloomberg projection",IF($P390=1,"ANNOUNCED","ANNOUNCED - amount TBA")))</f>
        <v/>
      </c>
      <c r="J390" s="43">
        <f>IF($L390="","",IF((OV_SWITCH="ON")*(COUNTIFS(OVR_TICKERS,INDEX(HSTECH!$C$7:$C$46,$N390),OVR_BASE,"&gt;=0")&gt;0)&gt;0,"stock overridden",""))</f>
        <v/>
      </c>
      <c r="L390" s="35">
        <f>IFERROR(IF(SMALL(Grids!$EE$116:$GQ$155,$M$313+75)&gt;=PEND_TO,"",SMALL(Grids!$EE$116:$GQ$155,$M$313+75)),"")</f>
        <v/>
      </c>
      <c r="M390" s="35">
        <f>IF($L390="","",INT($L390/1000000000))</f>
        <v/>
      </c>
      <c r="N390" s="35">
        <f>IF($L390="","",INT(($L390-INT($L390/1000000)*1000000)/1000))</f>
        <v/>
      </c>
      <c r="O390" s="35">
        <f>IF($L390="","",$L390-INT($L390/1000)*1000)</f>
        <v/>
      </c>
      <c r="P390" s="35">
        <f>IF($L390="","",INT(($L390-INT($L390/1000000000)*1000000000)/100000000))</f>
        <v/>
      </c>
    </row>
    <row r="391">
      <c r="B391" s="39">
        <f>IF($L391="","",$M391)</f>
        <v/>
      </c>
      <c r="C391" s="18">
        <f>IF($L391="","",INDEX(HSTECH!$C$7:$C$46,$N391))</f>
        <v/>
      </c>
      <c r="D391" s="18">
        <f>IF($L391="","",INDEX(HSTECH!$D$7:$D$46,$N391))</f>
        <v/>
      </c>
      <c r="E391" s="40">
        <f>IF($L391="","",IF($P391=0,"TBA",IFERROR(INDEX(Grids!$C$116:$BO$155,$N391,$O391),"-")))</f>
        <v/>
      </c>
      <c r="F391" s="18">
        <f>IF($L391="","",INDEX(HSTECH!$F$7:$F$46,$N391))</f>
        <v/>
      </c>
      <c r="G391" s="40">
        <f>IF($L391="","",IF($P391=0,"TBA",IFERROR(INDEX(Grids!$BQ$116:$EC$155,$N391,$O391),"-")))</f>
        <v/>
      </c>
      <c r="H391" s="41">
        <f>IF($L391="","",SUM($G$316:$G391))</f>
        <v/>
      </c>
      <c r="I391" s="42">
        <f>IF($L391="","",IF(INT(($L391-INT($L391/10000000)*10000000)/1000000)=0,"Bloomberg projection",IF($P391=1,"ANNOUNCED","ANNOUNCED - amount TBA")))</f>
        <v/>
      </c>
      <c r="J391" s="43">
        <f>IF($L391="","",IF((OV_SWITCH="ON")*(COUNTIFS(OVR_TICKERS,INDEX(HSTECH!$C$7:$C$46,$N391),OVR_BASE,"&gt;=0")&gt;0)&gt;0,"stock overridden",""))</f>
        <v/>
      </c>
      <c r="L391" s="35">
        <f>IFERROR(IF(SMALL(Grids!$EE$116:$GQ$155,$M$313+76)&gt;=PEND_TO,"",SMALL(Grids!$EE$116:$GQ$155,$M$313+76)),"")</f>
        <v/>
      </c>
      <c r="M391" s="35">
        <f>IF($L391="","",INT($L391/1000000000))</f>
        <v/>
      </c>
      <c r="N391" s="35">
        <f>IF($L391="","",INT(($L391-INT($L391/1000000)*1000000)/1000))</f>
        <v/>
      </c>
      <c r="O391" s="35">
        <f>IF($L391="","",$L391-INT($L391/1000)*1000)</f>
        <v/>
      </c>
      <c r="P391" s="35">
        <f>IF($L391="","",INT(($L391-INT($L391/1000000000)*1000000000)/100000000))</f>
        <v/>
      </c>
    </row>
    <row r="392">
      <c r="B392" s="39">
        <f>IF($L392="","",$M392)</f>
        <v/>
      </c>
      <c r="C392" s="18">
        <f>IF($L392="","",INDEX(HSTECH!$C$7:$C$46,$N392))</f>
        <v/>
      </c>
      <c r="D392" s="18">
        <f>IF($L392="","",INDEX(HSTECH!$D$7:$D$46,$N392))</f>
        <v/>
      </c>
      <c r="E392" s="40">
        <f>IF($L392="","",IF($P392=0,"TBA",IFERROR(INDEX(Grids!$C$116:$BO$155,$N392,$O392),"-")))</f>
        <v/>
      </c>
      <c r="F392" s="18">
        <f>IF($L392="","",INDEX(HSTECH!$F$7:$F$46,$N392))</f>
        <v/>
      </c>
      <c r="G392" s="40">
        <f>IF($L392="","",IF($P392=0,"TBA",IFERROR(INDEX(Grids!$BQ$116:$EC$155,$N392,$O392),"-")))</f>
        <v/>
      </c>
      <c r="H392" s="41">
        <f>IF($L392="","",SUM($G$316:$G392))</f>
        <v/>
      </c>
      <c r="I392" s="42">
        <f>IF($L392="","",IF(INT(($L392-INT($L392/10000000)*10000000)/1000000)=0,"Bloomberg projection",IF($P392=1,"ANNOUNCED","ANNOUNCED - amount TBA")))</f>
        <v/>
      </c>
      <c r="J392" s="43">
        <f>IF($L392="","",IF((OV_SWITCH="ON")*(COUNTIFS(OVR_TICKERS,INDEX(HSTECH!$C$7:$C$46,$N392),OVR_BASE,"&gt;=0")&gt;0)&gt;0,"stock overridden",""))</f>
        <v/>
      </c>
      <c r="L392" s="35">
        <f>IFERROR(IF(SMALL(Grids!$EE$116:$GQ$155,$M$313+77)&gt;=PEND_TO,"",SMALL(Grids!$EE$116:$GQ$155,$M$313+77)),"")</f>
        <v/>
      </c>
      <c r="M392" s="35">
        <f>IF($L392="","",INT($L392/1000000000))</f>
        <v/>
      </c>
      <c r="N392" s="35">
        <f>IF($L392="","",INT(($L392-INT($L392/1000000)*1000000)/1000))</f>
        <v/>
      </c>
      <c r="O392" s="35">
        <f>IF($L392="","",$L392-INT($L392/1000)*1000)</f>
        <v/>
      </c>
      <c r="P392" s="35">
        <f>IF($L392="","",INT(($L392-INT($L392/1000000000)*1000000000)/100000000))</f>
        <v/>
      </c>
    </row>
    <row r="393">
      <c r="B393" s="39">
        <f>IF($L393="","",$M393)</f>
        <v/>
      </c>
      <c r="C393" s="18">
        <f>IF($L393="","",INDEX(HSTECH!$C$7:$C$46,$N393))</f>
        <v/>
      </c>
      <c r="D393" s="18">
        <f>IF($L393="","",INDEX(HSTECH!$D$7:$D$46,$N393))</f>
        <v/>
      </c>
      <c r="E393" s="40">
        <f>IF($L393="","",IF($P393=0,"TBA",IFERROR(INDEX(Grids!$C$116:$BO$155,$N393,$O393),"-")))</f>
        <v/>
      </c>
      <c r="F393" s="18">
        <f>IF($L393="","",INDEX(HSTECH!$F$7:$F$46,$N393))</f>
        <v/>
      </c>
      <c r="G393" s="40">
        <f>IF($L393="","",IF($P393=0,"TBA",IFERROR(INDEX(Grids!$BQ$116:$EC$155,$N393,$O393),"-")))</f>
        <v/>
      </c>
      <c r="H393" s="41">
        <f>IF($L393="","",SUM($G$316:$G393))</f>
        <v/>
      </c>
      <c r="I393" s="42">
        <f>IF($L393="","",IF(INT(($L393-INT($L393/10000000)*10000000)/1000000)=0,"Bloomberg projection",IF($P393=1,"ANNOUNCED","ANNOUNCED - amount TBA")))</f>
        <v/>
      </c>
      <c r="J393" s="43">
        <f>IF($L393="","",IF((OV_SWITCH="ON")*(COUNTIFS(OVR_TICKERS,INDEX(HSTECH!$C$7:$C$46,$N393),OVR_BASE,"&gt;=0")&gt;0)&gt;0,"stock overridden",""))</f>
        <v/>
      </c>
      <c r="L393" s="35">
        <f>IFERROR(IF(SMALL(Grids!$EE$116:$GQ$155,$M$313+78)&gt;=PEND_TO,"",SMALL(Grids!$EE$116:$GQ$155,$M$313+78)),"")</f>
        <v/>
      </c>
      <c r="M393" s="35">
        <f>IF($L393="","",INT($L393/1000000000))</f>
        <v/>
      </c>
      <c r="N393" s="35">
        <f>IF($L393="","",INT(($L393-INT($L393/1000000)*1000000)/1000))</f>
        <v/>
      </c>
      <c r="O393" s="35">
        <f>IF($L393="","",$L393-INT($L393/1000)*1000)</f>
        <v/>
      </c>
      <c r="P393" s="35">
        <f>IF($L393="","",INT(($L393-INT($L393/1000000000)*1000000000)/100000000))</f>
        <v/>
      </c>
    </row>
    <row r="394">
      <c r="B394" s="39">
        <f>IF($L394="","",$M394)</f>
        <v/>
      </c>
      <c r="C394" s="18">
        <f>IF($L394="","",INDEX(HSTECH!$C$7:$C$46,$N394))</f>
        <v/>
      </c>
      <c r="D394" s="18">
        <f>IF($L394="","",INDEX(HSTECH!$D$7:$D$46,$N394))</f>
        <v/>
      </c>
      <c r="E394" s="40">
        <f>IF($L394="","",IF($P394=0,"TBA",IFERROR(INDEX(Grids!$C$116:$BO$155,$N394,$O394),"-")))</f>
        <v/>
      </c>
      <c r="F394" s="18">
        <f>IF($L394="","",INDEX(HSTECH!$F$7:$F$46,$N394))</f>
        <v/>
      </c>
      <c r="G394" s="40">
        <f>IF($L394="","",IF($P394=0,"TBA",IFERROR(INDEX(Grids!$BQ$116:$EC$155,$N394,$O394),"-")))</f>
        <v/>
      </c>
      <c r="H394" s="41">
        <f>IF($L394="","",SUM($G$316:$G394))</f>
        <v/>
      </c>
      <c r="I394" s="42">
        <f>IF($L394="","",IF(INT(($L394-INT($L394/10000000)*10000000)/1000000)=0,"Bloomberg projection",IF($P394=1,"ANNOUNCED","ANNOUNCED - amount TBA")))</f>
        <v/>
      </c>
      <c r="J394" s="43">
        <f>IF($L394="","",IF((OV_SWITCH="ON")*(COUNTIFS(OVR_TICKERS,INDEX(HSTECH!$C$7:$C$46,$N394),OVR_BASE,"&gt;=0")&gt;0)&gt;0,"stock overridden",""))</f>
        <v/>
      </c>
      <c r="L394" s="35">
        <f>IFERROR(IF(SMALL(Grids!$EE$116:$GQ$155,$M$313+79)&gt;=PEND_TO,"",SMALL(Grids!$EE$116:$GQ$155,$M$313+79)),"")</f>
        <v/>
      </c>
      <c r="M394" s="35">
        <f>IF($L394="","",INT($L394/1000000000))</f>
        <v/>
      </c>
      <c r="N394" s="35">
        <f>IF($L394="","",INT(($L394-INT($L394/1000000)*1000000)/1000))</f>
        <v/>
      </c>
      <c r="O394" s="35">
        <f>IF($L394="","",$L394-INT($L394/1000)*1000)</f>
        <v/>
      </c>
      <c r="P394" s="35">
        <f>IF($L394="","",INT(($L394-INT($L394/1000000000)*1000000000)/100000000))</f>
        <v/>
      </c>
    </row>
    <row r="395">
      <c r="B395" s="39">
        <f>IF($L395="","",$M395)</f>
        <v/>
      </c>
      <c r="C395" s="18">
        <f>IF($L395="","",INDEX(HSTECH!$C$7:$C$46,$N395))</f>
        <v/>
      </c>
      <c r="D395" s="18">
        <f>IF($L395="","",INDEX(HSTECH!$D$7:$D$46,$N395))</f>
        <v/>
      </c>
      <c r="E395" s="40">
        <f>IF($L395="","",IF($P395=0,"TBA",IFERROR(INDEX(Grids!$C$116:$BO$155,$N395,$O395),"-")))</f>
        <v/>
      </c>
      <c r="F395" s="18">
        <f>IF($L395="","",INDEX(HSTECH!$F$7:$F$46,$N395))</f>
        <v/>
      </c>
      <c r="G395" s="40">
        <f>IF($L395="","",IF($P395=0,"TBA",IFERROR(INDEX(Grids!$BQ$116:$EC$155,$N395,$O395),"-")))</f>
        <v/>
      </c>
      <c r="H395" s="41">
        <f>IF($L395="","",SUM($G$316:$G395))</f>
        <v/>
      </c>
      <c r="I395" s="42">
        <f>IF($L395="","",IF(INT(($L395-INT($L395/10000000)*10000000)/1000000)=0,"Bloomberg projection",IF($P395=1,"ANNOUNCED","ANNOUNCED - amount TBA")))</f>
        <v/>
      </c>
      <c r="J395" s="43">
        <f>IF($L395="","",IF((OV_SWITCH="ON")*(COUNTIFS(OVR_TICKERS,INDEX(HSTECH!$C$7:$C$46,$N395),OVR_BASE,"&gt;=0")&gt;0)&gt;0,"stock overridden",""))</f>
        <v/>
      </c>
      <c r="L395" s="35">
        <f>IFERROR(IF(SMALL(Grids!$EE$116:$GQ$155,$M$313+80)&gt;=PEND_TO,"",SMALL(Grids!$EE$116:$GQ$155,$M$313+80)),"")</f>
        <v/>
      </c>
      <c r="M395" s="35">
        <f>IF($L395="","",INT($L395/1000000000))</f>
        <v/>
      </c>
      <c r="N395" s="35">
        <f>IF($L395="","",INT(($L395-INT($L395/1000000)*1000000)/1000))</f>
        <v/>
      </c>
      <c r="O395" s="35">
        <f>IF($L395="","",$L395-INT($L395/1000)*1000)</f>
        <v/>
      </c>
      <c r="P395" s="35">
        <f>IF($L395="","",INT(($L395-INT($L395/1000000000)*1000000000)/100000000))</f>
        <v/>
      </c>
    </row>
    <row r="396">
      <c r="B396" s="39">
        <f>IF($L396="","",$M396)</f>
        <v/>
      </c>
      <c r="C396" s="18">
        <f>IF($L396="","",INDEX(HSTECH!$C$7:$C$46,$N396))</f>
        <v/>
      </c>
      <c r="D396" s="18">
        <f>IF($L396="","",INDEX(HSTECH!$D$7:$D$46,$N396))</f>
        <v/>
      </c>
      <c r="E396" s="40">
        <f>IF($L396="","",IF($P396=0,"TBA",IFERROR(INDEX(Grids!$C$116:$BO$155,$N396,$O396),"-")))</f>
        <v/>
      </c>
      <c r="F396" s="18">
        <f>IF($L396="","",INDEX(HSTECH!$F$7:$F$46,$N396))</f>
        <v/>
      </c>
      <c r="G396" s="40">
        <f>IF($L396="","",IF($P396=0,"TBA",IFERROR(INDEX(Grids!$BQ$116:$EC$155,$N396,$O396),"-")))</f>
        <v/>
      </c>
      <c r="H396" s="41">
        <f>IF($L396="","",SUM($G$316:$G396))</f>
        <v/>
      </c>
      <c r="I396" s="42">
        <f>IF($L396="","",IF(INT(($L396-INT($L396/10000000)*10000000)/1000000)=0,"Bloomberg projection",IF($P396=1,"ANNOUNCED","ANNOUNCED - amount TBA")))</f>
        <v/>
      </c>
      <c r="J396" s="43">
        <f>IF($L396="","",IF((OV_SWITCH="ON")*(COUNTIFS(OVR_TICKERS,INDEX(HSTECH!$C$7:$C$46,$N396),OVR_BASE,"&gt;=0")&gt;0)&gt;0,"stock overridden",""))</f>
        <v/>
      </c>
      <c r="L396" s="35">
        <f>IFERROR(IF(SMALL(Grids!$EE$116:$GQ$155,$M$313+81)&gt;=PEND_TO,"",SMALL(Grids!$EE$116:$GQ$155,$M$313+81)),"")</f>
        <v/>
      </c>
      <c r="M396" s="35">
        <f>IF($L396="","",INT($L396/1000000000))</f>
        <v/>
      </c>
      <c r="N396" s="35">
        <f>IF($L396="","",INT(($L396-INT($L396/1000000)*1000000)/1000))</f>
        <v/>
      </c>
      <c r="O396" s="35">
        <f>IF($L396="","",$L396-INT($L396/1000)*1000)</f>
        <v/>
      </c>
      <c r="P396" s="35">
        <f>IF($L396="","",INT(($L396-INT($L396/1000000000)*1000000000)/100000000))</f>
        <v/>
      </c>
    </row>
    <row r="397">
      <c r="B397" s="39">
        <f>IF($L397="","",$M397)</f>
        <v/>
      </c>
      <c r="C397" s="18">
        <f>IF($L397="","",INDEX(HSTECH!$C$7:$C$46,$N397))</f>
        <v/>
      </c>
      <c r="D397" s="18">
        <f>IF($L397="","",INDEX(HSTECH!$D$7:$D$46,$N397))</f>
        <v/>
      </c>
      <c r="E397" s="40">
        <f>IF($L397="","",IF($P397=0,"TBA",IFERROR(INDEX(Grids!$C$116:$BO$155,$N397,$O397),"-")))</f>
        <v/>
      </c>
      <c r="F397" s="18">
        <f>IF($L397="","",INDEX(HSTECH!$F$7:$F$46,$N397))</f>
        <v/>
      </c>
      <c r="G397" s="40">
        <f>IF($L397="","",IF($P397=0,"TBA",IFERROR(INDEX(Grids!$BQ$116:$EC$155,$N397,$O397),"-")))</f>
        <v/>
      </c>
      <c r="H397" s="41">
        <f>IF($L397="","",SUM($G$316:$G397))</f>
        <v/>
      </c>
      <c r="I397" s="42">
        <f>IF($L397="","",IF(INT(($L397-INT($L397/10000000)*10000000)/1000000)=0,"Bloomberg projection",IF($P397=1,"ANNOUNCED","ANNOUNCED - amount TBA")))</f>
        <v/>
      </c>
      <c r="J397" s="43">
        <f>IF($L397="","",IF((OV_SWITCH="ON")*(COUNTIFS(OVR_TICKERS,INDEX(HSTECH!$C$7:$C$46,$N397),OVR_BASE,"&gt;=0")&gt;0)&gt;0,"stock overridden",""))</f>
        <v/>
      </c>
      <c r="L397" s="35">
        <f>IFERROR(IF(SMALL(Grids!$EE$116:$GQ$155,$M$313+82)&gt;=PEND_TO,"",SMALL(Grids!$EE$116:$GQ$155,$M$313+82)),"")</f>
        <v/>
      </c>
      <c r="M397" s="35">
        <f>IF($L397="","",INT($L397/1000000000))</f>
        <v/>
      </c>
      <c r="N397" s="35">
        <f>IF($L397="","",INT(($L397-INT($L397/1000000)*1000000)/1000))</f>
        <v/>
      </c>
      <c r="O397" s="35">
        <f>IF($L397="","",$L397-INT($L397/1000)*1000)</f>
        <v/>
      </c>
      <c r="P397" s="35">
        <f>IF($L397="","",INT(($L397-INT($L397/1000000000)*1000000000)/100000000))</f>
        <v/>
      </c>
    </row>
    <row r="398">
      <c r="B398" s="39">
        <f>IF($L398="","",$M398)</f>
        <v/>
      </c>
      <c r="C398" s="18">
        <f>IF($L398="","",INDEX(HSTECH!$C$7:$C$46,$N398))</f>
        <v/>
      </c>
      <c r="D398" s="18">
        <f>IF($L398="","",INDEX(HSTECH!$D$7:$D$46,$N398))</f>
        <v/>
      </c>
      <c r="E398" s="40">
        <f>IF($L398="","",IF($P398=0,"TBA",IFERROR(INDEX(Grids!$C$116:$BO$155,$N398,$O398),"-")))</f>
        <v/>
      </c>
      <c r="F398" s="18">
        <f>IF($L398="","",INDEX(HSTECH!$F$7:$F$46,$N398))</f>
        <v/>
      </c>
      <c r="G398" s="40">
        <f>IF($L398="","",IF($P398=0,"TBA",IFERROR(INDEX(Grids!$BQ$116:$EC$155,$N398,$O398),"-")))</f>
        <v/>
      </c>
      <c r="H398" s="41">
        <f>IF($L398="","",SUM($G$316:$G398))</f>
        <v/>
      </c>
      <c r="I398" s="42">
        <f>IF($L398="","",IF(INT(($L398-INT($L398/10000000)*10000000)/1000000)=0,"Bloomberg projection",IF($P398=1,"ANNOUNCED","ANNOUNCED - amount TBA")))</f>
        <v/>
      </c>
      <c r="J398" s="43">
        <f>IF($L398="","",IF((OV_SWITCH="ON")*(COUNTIFS(OVR_TICKERS,INDEX(HSTECH!$C$7:$C$46,$N398),OVR_BASE,"&gt;=0")&gt;0)&gt;0,"stock overridden",""))</f>
        <v/>
      </c>
      <c r="L398" s="35">
        <f>IFERROR(IF(SMALL(Grids!$EE$116:$GQ$155,$M$313+83)&gt;=PEND_TO,"",SMALL(Grids!$EE$116:$GQ$155,$M$313+83)),"")</f>
        <v/>
      </c>
      <c r="M398" s="35">
        <f>IF($L398="","",INT($L398/1000000000))</f>
        <v/>
      </c>
      <c r="N398" s="35">
        <f>IF($L398="","",INT(($L398-INT($L398/1000000)*1000000)/1000))</f>
        <v/>
      </c>
      <c r="O398" s="35">
        <f>IF($L398="","",$L398-INT($L398/1000)*1000)</f>
        <v/>
      </c>
      <c r="P398" s="35">
        <f>IF($L398="","",INT(($L398-INT($L398/1000000000)*1000000000)/100000000))</f>
        <v/>
      </c>
    </row>
    <row r="399">
      <c r="B399" s="39">
        <f>IF($L399="","",$M399)</f>
        <v/>
      </c>
      <c r="C399" s="18">
        <f>IF($L399="","",INDEX(HSTECH!$C$7:$C$46,$N399))</f>
        <v/>
      </c>
      <c r="D399" s="18">
        <f>IF($L399="","",INDEX(HSTECH!$D$7:$D$46,$N399))</f>
        <v/>
      </c>
      <c r="E399" s="40">
        <f>IF($L399="","",IF($P399=0,"TBA",IFERROR(INDEX(Grids!$C$116:$BO$155,$N399,$O399),"-")))</f>
        <v/>
      </c>
      <c r="F399" s="18">
        <f>IF($L399="","",INDEX(HSTECH!$F$7:$F$46,$N399))</f>
        <v/>
      </c>
      <c r="G399" s="40">
        <f>IF($L399="","",IF($P399=0,"TBA",IFERROR(INDEX(Grids!$BQ$116:$EC$155,$N399,$O399),"-")))</f>
        <v/>
      </c>
      <c r="H399" s="41">
        <f>IF($L399="","",SUM($G$316:$G399))</f>
        <v/>
      </c>
      <c r="I399" s="42">
        <f>IF($L399="","",IF(INT(($L399-INT($L399/10000000)*10000000)/1000000)=0,"Bloomberg projection",IF($P399=1,"ANNOUNCED","ANNOUNCED - amount TBA")))</f>
        <v/>
      </c>
      <c r="J399" s="43">
        <f>IF($L399="","",IF((OV_SWITCH="ON")*(COUNTIFS(OVR_TICKERS,INDEX(HSTECH!$C$7:$C$46,$N399),OVR_BASE,"&gt;=0")&gt;0)&gt;0,"stock overridden",""))</f>
        <v/>
      </c>
      <c r="L399" s="35">
        <f>IFERROR(IF(SMALL(Grids!$EE$116:$GQ$155,$M$313+84)&gt;=PEND_TO,"",SMALL(Grids!$EE$116:$GQ$155,$M$313+84)),"")</f>
        <v/>
      </c>
      <c r="M399" s="35">
        <f>IF($L399="","",INT($L399/1000000000))</f>
        <v/>
      </c>
      <c r="N399" s="35">
        <f>IF($L399="","",INT(($L399-INT($L399/1000000)*1000000)/1000))</f>
        <v/>
      </c>
      <c r="O399" s="35">
        <f>IF($L399="","",$L399-INT($L399/1000)*1000)</f>
        <v/>
      </c>
      <c r="P399" s="35">
        <f>IF($L399="","",INT(($L399-INT($L399/1000000000)*1000000000)/100000000))</f>
        <v/>
      </c>
    </row>
    <row r="400">
      <c r="B400" s="39">
        <f>IF($L400="","",$M400)</f>
        <v/>
      </c>
      <c r="C400" s="18">
        <f>IF($L400="","",INDEX(HSTECH!$C$7:$C$46,$N400))</f>
        <v/>
      </c>
      <c r="D400" s="18">
        <f>IF($L400="","",INDEX(HSTECH!$D$7:$D$46,$N400))</f>
        <v/>
      </c>
      <c r="E400" s="40">
        <f>IF($L400="","",IF($P400=0,"TBA",IFERROR(INDEX(Grids!$C$116:$BO$155,$N400,$O400),"-")))</f>
        <v/>
      </c>
      <c r="F400" s="18">
        <f>IF($L400="","",INDEX(HSTECH!$F$7:$F$46,$N400))</f>
        <v/>
      </c>
      <c r="G400" s="40">
        <f>IF($L400="","",IF($P400=0,"TBA",IFERROR(INDEX(Grids!$BQ$116:$EC$155,$N400,$O400),"-")))</f>
        <v/>
      </c>
      <c r="H400" s="41">
        <f>IF($L400="","",SUM($G$316:$G400))</f>
        <v/>
      </c>
      <c r="I400" s="42">
        <f>IF($L400="","",IF(INT(($L400-INT($L400/10000000)*10000000)/1000000)=0,"Bloomberg projection",IF($P400=1,"ANNOUNCED","ANNOUNCED - amount TBA")))</f>
        <v/>
      </c>
      <c r="J400" s="43">
        <f>IF($L400="","",IF((OV_SWITCH="ON")*(COUNTIFS(OVR_TICKERS,INDEX(HSTECH!$C$7:$C$46,$N400),OVR_BASE,"&gt;=0")&gt;0)&gt;0,"stock overridden",""))</f>
        <v/>
      </c>
      <c r="L400" s="35">
        <f>IFERROR(IF(SMALL(Grids!$EE$116:$GQ$155,$M$313+85)&gt;=PEND_TO,"",SMALL(Grids!$EE$116:$GQ$155,$M$313+85)),"")</f>
        <v/>
      </c>
      <c r="M400" s="35">
        <f>IF($L400="","",INT($L400/1000000000))</f>
        <v/>
      </c>
      <c r="N400" s="35">
        <f>IF($L400="","",INT(($L400-INT($L400/1000000)*1000000)/1000))</f>
        <v/>
      </c>
      <c r="O400" s="35">
        <f>IF($L400="","",$L400-INT($L400/1000)*1000)</f>
        <v/>
      </c>
      <c r="P400" s="35">
        <f>IF($L400="","",INT(($L400-INT($L400/1000000000)*1000000000)/100000000))</f>
        <v/>
      </c>
    </row>
    <row r="401">
      <c r="B401" s="39">
        <f>IF($L401="","",$M401)</f>
        <v/>
      </c>
      <c r="C401" s="18">
        <f>IF($L401="","",INDEX(HSTECH!$C$7:$C$46,$N401))</f>
        <v/>
      </c>
      <c r="D401" s="18">
        <f>IF($L401="","",INDEX(HSTECH!$D$7:$D$46,$N401))</f>
        <v/>
      </c>
      <c r="E401" s="40">
        <f>IF($L401="","",IF($P401=0,"TBA",IFERROR(INDEX(Grids!$C$116:$BO$155,$N401,$O401),"-")))</f>
        <v/>
      </c>
      <c r="F401" s="18">
        <f>IF($L401="","",INDEX(HSTECH!$F$7:$F$46,$N401))</f>
        <v/>
      </c>
      <c r="G401" s="40">
        <f>IF($L401="","",IF($P401=0,"TBA",IFERROR(INDEX(Grids!$BQ$116:$EC$155,$N401,$O401),"-")))</f>
        <v/>
      </c>
      <c r="H401" s="41">
        <f>IF($L401="","",SUM($G$316:$G401))</f>
        <v/>
      </c>
      <c r="I401" s="42">
        <f>IF($L401="","",IF(INT(($L401-INT($L401/10000000)*10000000)/1000000)=0,"Bloomberg projection",IF($P401=1,"ANNOUNCED","ANNOUNCED - amount TBA")))</f>
        <v/>
      </c>
      <c r="J401" s="43">
        <f>IF($L401="","",IF((OV_SWITCH="ON")*(COUNTIFS(OVR_TICKERS,INDEX(HSTECH!$C$7:$C$46,$N401),OVR_BASE,"&gt;=0")&gt;0)&gt;0,"stock overridden",""))</f>
        <v/>
      </c>
      <c r="L401" s="35">
        <f>IFERROR(IF(SMALL(Grids!$EE$116:$GQ$155,$M$313+86)&gt;=PEND_TO,"",SMALL(Grids!$EE$116:$GQ$155,$M$313+86)),"")</f>
        <v/>
      </c>
      <c r="M401" s="35">
        <f>IF($L401="","",INT($L401/1000000000))</f>
        <v/>
      </c>
      <c r="N401" s="35">
        <f>IF($L401="","",INT(($L401-INT($L401/1000000)*1000000)/1000))</f>
        <v/>
      </c>
      <c r="O401" s="35">
        <f>IF($L401="","",$L401-INT($L401/1000)*1000)</f>
        <v/>
      </c>
      <c r="P401" s="35">
        <f>IF($L401="","",INT(($L401-INT($L401/1000000000)*1000000000)/100000000))</f>
        <v/>
      </c>
    </row>
    <row r="402">
      <c r="B402" s="39">
        <f>IF($L402="","",$M402)</f>
        <v/>
      </c>
      <c r="C402" s="18">
        <f>IF($L402="","",INDEX(HSTECH!$C$7:$C$46,$N402))</f>
        <v/>
      </c>
      <c r="D402" s="18">
        <f>IF($L402="","",INDEX(HSTECH!$D$7:$D$46,$N402))</f>
        <v/>
      </c>
      <c r="E402" s="40">
        <f>IF($L402="","",IF($P402=0,"TBA",IFERROR(INDEX(Grids!$C$116:$BO$155,$N402,$O402),"-")))</f>
        <v/>
      </c>
      <c r="F402" s="18">
        <f>IF($L402="","",INDEX(HSTECH!$F$7:$F$46,$N402))</f>
        <v/>
      </c>
      <c r="G402" s="40">
        <f>IF($L402="","",IF($P402=0,"TBA",IFERROR(INDEX(Grids!$BQ$116:$EC$155,$N402,$O402),"-")))</f>
        <v/>
      </c>
      <c r="H402" s="41">
        <f>IF($L402="","",SUM($G$316:$G402))</f>
        <v/>
      </c>
      <c r="I402" s="42">
        <f>IF($L402="","",IF(INT(($L402-INT($L402/10000000)*10000000)/1000000)=0,"Bloomberg projection",IF($P402=1,"ANNOUNCED","ANNOUNCED - amount TBA")))</f>
        <v/>
      </c>
      <c r="J402" s="43">
        <f>IF($L402="","",IF((OV_SWITCH="ON")*(COUNTIFS(OVR_TICKERS,INDEX(HSTECH!$C$7:$C$46,$N402),OVR_BASE,"&gt;=0")&gt;0)&gt;0,"stock overridden",""))</f>
        <v/>
      </c>
      <c r="L402" s="35">
        <f>IFERROR(IF(SMALL(Grids!$EE$116:$GQ$155,$M$313+87)&gt;=PEND_TO,"",SMALL(Grids!$EE$116:$GQ$155,$M$313+87)),"")</f>
        <v/>
      </c>
      <c r="M402" s="35">
        <f>IF($L402="","",INT($L402/1000000000))</f>
        <v/>
      </c>
      <c r="N402" s="35">
        <f>IF($L402="","",INT(($L402-INT($L402/1000000)*1000000)/1000))</f>
        <v/>
      </c>
      <c r="O402" s="35">
        <f>IF($L402="","",$L402-INT($L402/1000)*1000)</f>
        <v/>
      </c>
      <c r="P402" s="35">
        <f>IF($L402="","",INT(($L402-INT($L402/1000000000)*1000000000)/100000000))</f>
        <v/>
      </c>
    </row>
    <row r="403">
      <c r="B403" s="39">
        <f>IF($L403="","",$M403)</f>
        <v/>
      </c>
      <c r="C403" s="18">
        <f>IF($L403="","",INDEX(HSTECH!$C$7:$C$46,$N403))</f>
        <v/>
      </c>
      <c r="D403" s="18">
        <f>IF($L403="","",INDEX(HSTECH!$D$7:$D$46,$N403))</f>
        <v/>
      </c>
      <c r="E403" s="40">
        <f>IF($L403="","",IF($P403=0,"TBA",IFERROR(INDEX(Grids!$C$116:$BO$155,$N403,$O403),"-")))</f>
        <v/>
      </c>
      <c r="F403" s="18">
        <f>IF($L403="","",INDEX(HSTECH!$F$7:$F$46,$N403))</f>
        <v/>
      </c>
      <c r="G403" s="40">
        <f>IF($L403="","",IF($P403=0,"TBA",IFERROR(INDEX(Grids!$BQ$116:$EC$155,$N403,$O403),"-")))</f>
        <v/>
      </c>
      <c r="H403" s="41">
        <f>IF($L403="","",SUM($G$316:$G403))</f>
        <v/>
      </c>
      <c r="I403" s="42">
        <f>IF($L403="","",IF(INT(($L403-INT($L403/10000000)*10000000)/1000000)=0,"Bloomberg projection",IF($P403=1,"ANNOUNCED","ANNOUNCED - amount TBA")))</f>
        <v/>
      </c>
      <c r="J403" s="43">
        <f>IF($L403="","",IF((OV_SWITCH="ON")*(COUNTIFS(OVR_TICKERS,INDEX(HSTECH!$C$7:$C$46,$N403),OVR_BASE,"&gt;=0")&gt;0)&gt;0,"stock overridden",""))</f>
        <v/>
      </c>
      <c r="L403" s="35">
        <f>IFERROR(IF(SMALL(Grids!$EE$116:$GQ$155,$M$313+88)&gt;=PEND_TO,"",SMALL(Grids!$EE$116:$GQ$155,$M$313+88)),"")</f>
        <v/>
      </c>
      <c r="M403" s="35">
        <f>IF($L403="","",INT($L403/1000000000))</f>
        <v/>
      </c>
      <c r="N403" s="35">
        <f>IF($L403="","",INT(($L403-INT($L403/1000000)*1000000)/1000))</f>
        <v/>
      </c>
      <c r="O403" s="35">
        <f>IF($L403="","",$L403-INT($L403/1000)*1000)</f>
        <v/>
      </c>
      <c r="P403" s="35">
        <f>IF($L403="","",INT(($L403-INT($L403/1000000000)*1000000000)/100000000))</f>
        <v/>
      </c>
    </row>
    <row r="404">
      <c r="B404" s="39">
        <f>IF($L404="","",$M404)</f>
        <v/>
      </c>
      <c r="C404" s="18">
        <f>IF($L404="","",INDEX(HSTECH!$C$7:$C$46,$N404))</f>
        <v/>
      </c>
      <c r="D404" s="18">
        <f>IF($L404="","",INDEX(HSTECH!$D$7:$D$46,$N404))</f>
        <v/>
      </c>
      <c r="E404" s="40">
        <f>IF($L404="","",IF($P404=0,"TBA",IFERROR(INDEX(Grids!$C$116:$BO$155,$N404,$O404),"-")))</f>
        <v/>
      </c>
      <c r="F404" s="18">
        <f>IF($L404="","",INDEX(HSTECH!$F$7:$F$46,$N404))</f>
        <v/>
      </c>
      <c r="G404" s="40">
        <f>IF($L404="","",IF($P404=0,"TBA",IFERROR(INDEX(Grids!$BQ$116:$EC$155,$N404,$O404),"-")))</f>
        <v/>
      </c>
      <c r="H404" s="41">
        <f>IF($L404="","",SUM($G$316:$G404))</f>
        <v/>
      </c>
      <c r="I404" s="42">
        <f>IF($L404="","",IF(INT(($L404-INT($L404/10000000)*10000000)/1000000)=0,"Bloomberg projection",IF($P404=1,"ANNOUNCED","ANNOUNCED - amount TBA")))</f>
        <v/>
      </c>
      <c r="J404" s="43">
        <f>IF($L404="","",IF((OV_SWITCH="ON")*(COUNTIFS(OVR_TICKERS,INDEX(HSTECH!$C$7:$C$46,$N404),OVR_BASE,"&gt;=0")&gt;0)&gt;0,"stock overridden",""))</f>
        <v/>
      </c>
      <c r="L404" s="35">
        <f>IFERROR(IF(SMALL(Grids!$EE$116:$GQ$155,$M$313+89)&gt;=PEND_TO,"",SMALL(Grids!$EE$116:$GQ$155,$M$313+89)),"")</f>
        <v/>
      </c>
      <c r="M404" s="35">
        <f>IF($L404="","",INT($L404/1000000000))</f>
        <v/>
      </c>
      <c r="N404" s="35">
        <f>IF($L404="","",INT(($L404-INT($L404/1000000)*1000000)/1000))</f>
        <v/>
      </c>
      <c r="O404" s="35">
        <f>IF($L404="","",$L404-INT($L404/1000)*1000)</f>
        <v/>
      </c>
      <c r="P404" s="35">
        <f>IF($L404="","",INT(($L404-INT($L404/1000000000)*1000000000)/100000000))</f>
        <v/>
      </c>
    </row>
    <row r="405">
      <c r="B405" s="39">
        <f>IF($L405="","",$M405)</f>
        <v/>
      </c>
      <c r="C405" s="18">
        <f>IF($L405="","",INDEX(HSTECH!$C$7:$C$46,$N405))</f>
        <v/>
      </c>
      <c r="D405" s="18">
        <f>IF($L405="","",INDEX(HSTECH!$D$7:$D$46,$N405))</f>
        <v/>
      </c>
      <c r="E405" s="40">
        <f>IF($L405="","",IF($P405=0,"TBA",IFERROR(INDEX(Grids!$C$116:$BO$155,$N405,$O405),"-")))</f>
        <v/>
      </c>
      <c r="F405" s="18">
        <f>IF($L405="","",INDEX(HSTECH!$F$7:$F$46,$N405))</f>
        <v/>
      </c>
      <c r="G405" s="40">
        <f>IF($L405="","",IF($P405=0,"TBA",IFERROR(INDEX(Grids!$BQ$116:$EC$155,$N405,$O405),"-")))</f>
        <v/>
      </c>
      <c r="H405" s="41">
        <f>IF($L405="","",SUM($G$316:$G405))</f>
        <v/>
      </c>
      <c r="I405" s="42">
        <f>IF($L405="","",IF(INT(($L405-INT($L405/10000000)*10000000)/1000000)=0,"Bloomberg projection",IF($P405=1,"ANNOUNCED","ANNOUNCED - amount TBA")))</f>
        <v/>
      </c>
      <c r="J405" s="43">
        <f>IF($L405="","",IF((OV_SWITCH="ON")*(COUNTIFS(OVR_TICKERS,INDEX(HSTECH!$C$7:$C$46,$N405),OVR_BASE,"&gt;=0")&gt;0)&gt;0,"stock overridden",""))</f>
        <v/>
      </c>
      <c r="L405" s="35">
        <f>IFERROR(IF(SMALL(Grids!$EE$116:$GQ$155,$M$313+90)&gt;=PEND_TO,"",SMALL(Grids!$EE$116:$GQ$155,$M$313+90)),"")</f>
        <v/>
      </c>
      <c r="M405" s="35">
        <f>IF($L405="","",INT($L405/1000000000))</f>
        <v/>
      </c>
      <c r="N405" s="35">
        <f>IF($L405="","",INT(($L405-INT($L405/1000000)*1000000)/1000))</f>
        <v/>
      </c>
      <c r="O405" s="35">
        <f>IF($L405="","",$L405-INT($L405/1000)*1000)</f>
        <v/>
      </c>
      <c r="P405" s="35">
        <f>IF($L405="","",INT(($L405-INT($L405/1000000000)*1000000000)/100000000))</f>
        <v/>
      </c>
    </row>
    <row r="406">
      <c r="B406" s="39">
        <f>IF($L406="","",$M406)</f>
        <v/>
      </c>
      <c r="C406" s="18">
        <f>IF($L406="","",INDEX(HSTECH!$C$7:$C$46,$N406))</f>
        <v/>
      </c>
      <c r="D406" s="18">
        <f>IF($L406="","",INDEX(HSTECH!$D$7:$D$46,$N406))</f>
        <v/>
      </c>
      <c r="E406" s="40">
        <f>IF($L406="","",IF($P406=0,"TBA",IFERROR(INDEX(Grids!$C$116:$BO$155,$N406,$O406),"-")))</f>
        <v/>
      </c>
      <c r="F406" s="18">
        <f>IF($L406="","",INDEX(HSTECH!$F$7:$F$46,$N406))</f>
        <v/>
      </c>
      <c r="G406" s="40">
        <f>IF($L406="","",IF($P406=0,"TBA",IFERROR(INDEX(Grids!$BQ$116:$EC$155,$N406,$O406),"-")))</f>
        <v/>
      </c>
      <c r="H406" s="41">
        <f>IF($L406="","",SUM($G$316:$G406))</f>
        <v/>
      </c>
      <c r="I406" s="42">
        <f>IF($L406="","",IF(INT(($L406-INT($L406/10000000)*10000000)/1000000)=0,"Bloomberg projection",IF($P406=1,"ANNOUNCED","ANNOUNCED - amount TBA")))</f>
        <v/>
      </c>
      <c r="J406" s="43">
        <f>IF($L406="","",IF((OV_SWITCH="ON")*(COUNTIFS(OVR_TICKERS,INDEX(HSTECH!$C$7:$C$46,$N406),OVR_BASE,"&gt;=0")&gt;0)&gt;0,"stock overridden",""))</f>
        <v/>
      </c>
      <c r="L406" s="35">
        <f>IFERROR(IF(SMALL(Grids!$EE$116:$GQ$155,$M$313+91)&gt;=PEND_TO,"",SMALL(Grids!$EE$116:$GQ$155,$M$313+91)),"")</f>
        <v/>
      </c>
      <c r="M406" s="35">
        <f>IF($L406="","",INT($L406/1000000000))</f>
        <v/>
      </c>
      <c r="N406" s="35">
        <f>IF($L406="","",INT(($L406-INT($L406/1000000)*1000000)/1000))</f>
        <v/>
      </c>
      <c r="O406" s="35">
        <f>IF($L406="","",$L406-INT($L406/1000)*1000)</f>
        <v/>
      </c>
      <c r="P406" s="35">
        <f>IF($L406="","",INT(($L406-INT($L406/1000000000)*1000000000)/100000000))</f>
        <v/>
      </c>
    </row>
    <row r="407">
      <c r="B407" s="39">
        <f>IF($L407="","",$M407)</f>
        <v/>
      </c>
      <c r="C407" s="18">
        <f>IF($L407="","",INDEX(HSTECH!$C$7:$C$46,$N407))</f>
        <v/>
      </c>
      <c r="D407" s="18">
        <f>IF($L407="","",INDEX(HSTECH!$D$7:$D$46,$N407))</f>
        <v/>
      </c>
      <c r="E407" s="40">
        <f>IF($L407="","",IF($P407=0,"TBA",IFERROR(INDEX(Grids!$C$116:$BO$155,$N407,$O407),"-")))</f>
        <v/>
      </c>
      <c r="F407" s="18">
        <f>IF($L407="","",INDEX(HSTECH!$F$7:$F$46,$N407))</f>
        <v/>
      </c>
      <c r="G407" s="40">
        <f>IF($L407="","",IF($P407=0,"TBA",IFERROR(INDEX(Grids!$BQ$116:$EC$155,$N407,$O407),"-")))</f>
        <v/>
      </c>
      <c r="H407" s="41">
        <f>IF($L407="","",SUM($G$316:$G407))</f>
        <v/>
      </c>
      <c r="I407" s="42">
        <f>IF($L407="","",IF(INT(($L407-INT($L407/10000000)*10000000)/1000000)=0,"Bloomberg projection",IF($P407=1,"ANNOUNCED","ANNOUNCED - amount TBA")))</f>
        <v/>
      </c>
      <c r="J407" s="43">
        <f>IF($L407="","",IF((OV_SWITCH="ON")*(COUNTIFS(OVR_TICKERS,INDEX(HSTECH!$C$7:$C$46,$N407),OVR_BASE,"&gt;=0")&gt;0)&gt;0,"stock overridden",""))</f>
        <v/>
      </c>
      <c r="L407" s="35">
        <f>IFERROR(IF(SMALL(Grids!$EE$116:$GQ$155,$M$313+92)&gt;=PEND_TO,"",SMALL(Grids!$EE$116:$GQ$155,$M$313+92)),"")</f>
        <v/>
      </c>
      <c r="M407" s="35">
        <f>IF($L407="","",INT($L407/1000000000))</f>
        <v/>
      </c>
      <c r="N407" s="35">
        <f>IF($L407="","",INT(($L407-INT($L407/1000000)*1000000)/1000))</f>
        <v/>
      </c>
      <c r="O407" s="35">
        <f>IF($L407="","",$L407-INT($L407/1000)*1000)</f>
        <v/>
      </c>
      <c r="P407" s="35">
        <f>IF($L407="","",INT(($L407-INT($L407/1000000000)*1000000000)/100000000))</f>
        <v/>
      </c>
    </row>
    <row r="408">
      <c r="B408" s="39">
        <f>IF($L408="","",$M408)</f>
        <v/>
      </c>
      <c r="C408" s="18">
        <f>IF($L408="","",INDEX(HSTECH!$C$7:$C$46,$N408))</f>
        <v/>
      </c>
      <c r="D408" s="18">
        <f>IF($L408="","",INDEX(HSTECH!$D$7:$D$46,$N408))</f>
        <v/>
      </c>
      <c r="E408" s="40">
        <f>IF($L408="","",IF($P408=0,"TBA",IFERROR(INDEX(Grids!$C$116:$BO$155,$N408,$O408),"-")))</f>
        <v/>
      </c>
      <c r="F408" s="18">
        <f>IF($L408="","",INDEX(HSTECH!$F$7:$F$46,$N408))</f>
        <v/>
      </c>
      <c r="G408" s="40">
        <f>IF($L408="","",IF($P408=0,"TBA",IFERROR(INDEX(Grids!$BQ$116:$EC$155,$N408,$O408),"-")))</f>
        <v/>
      </c>
      <c r="H408" s="41">
        <f>IF($L408="","",SUM($G$316:$G408))</f>
        <v/>
      </c>
      <c r="I408" s="42">
        <f>IF($L408="","",IF(INT(($L408-INT($L408/10000000)*10000000)/1000000)=0,"Bloomberg projection",IF($P408=1,"ANNOUNCED","ANNOUNCED - amount TBA")))</f>
        <v/>
      </c>
      <c r="J408" s="43">
        <f>IF($L408="","",IF((OV_SWITCH="ON")*(COUNTIFS(OVR_TICKERS,INDEX(HSTECH!$C$7:$C$46,$N408),OVR_BASE,"&gt;=0")&gt;0)&gt;0,"stock overridden",""))</f>
        <v/>
      </c>
      <c r="L408" s="35">
        <f>IFERROR(IF(SMALL(Grids!$EE$116:$GQ$155,$M$313+93)&gt;=PEND_TO,"",SMALL(Grids!$EE$116:$GQ$155,$M$313+93)),"")</f>
        <v/>
      </c>
      <c r="M408" s="35">
        <f>IF($L408="","",INT($L408/1000000000))</f>
        <v/>
      </c>
      <c r="N408" s="35">
        <f>IF($L408="","",INT(($L408-INT($L408/1000000)*1000000)/1000))</f>
        <v/>
      </c>
      <c r="O408" s="35">
        <f>IF($L408="","",$L408-INT($L408/1000)*1000)</f>
        <v/>
      </c>
      <c r="P408" s="35">
        <f>IF($L408="","",INT(($L408-INT($L408/1000000000)*1000000000)/100000000))</f>
        <v/>
      </c>
    </row>
    <row r="409">
      <c r="B409" s="39">
        <f>IF($L409="","",$M409)</f>
        <v/>
      </c>
      <c r="C409" s="18">
        <f>IF($L409="","",INDEX(HSTECH!$C$7:$C$46,$N409))</f>
        <v/>
      </c>
      <c r="D409" s="18">
        <f>IF($L409="","",INDEX(HSTECH!$D$7:$D$46,$N409))</f>
        <v/>
      </c>
      <c r="E409" s="40">
        <f>IF($L409="","",IF($P409=0,"TBA",IFERROR(INDEX(Grids!$C$116:$BO$155,$N409,$O409),"-")))</f>
        <v/>
      </c>
      <c r="F409" s="18">
        <f>IF($L409="","",INDEX(HSTECH!$F$7:$F$46,$N409))</f>
        <v/>
      </c>
      <c r="G409" s="40">
        <f>IF($L409="","",IF($P409=0,"TBA",IFERROR(INDEX(Grids!$BQ$116:$EC$155,$N409,$O409),"-")))</f>
        <v/>
      </c>
      <c r="H409" s="41">
        <f>IF($L409="","",SUM($G$316:$G409))</f>
        <v/>
      </c>
      <c r="I409" s="42">
        <f>IF($L409="","",IF(INT(($L409-INT($L409/10000000)*10000000)/1000000)=0,"Bloomberg projection",IF($P409=1,"ANNOUNCED","ANNOUNCED - amount TBA")))</f>
        <v/>
      </c>
      <c r="J409" s="43">
        <f>IF($L409="","",IF((OV_SWITCH="ON")*(COUNTIFS(OVR_TICKERS,INDEX(HSTECH!$C$7:$C$46,$N409),OVR_BASE,"&gt;=0")&gt;0)&gt;0,"stock overridden",""))</f>
        <v/>
      </c>
      <c r="L409" s="35">
        <f>IFERROR(IF(SMALL(Grids!$EE$116:$GQ$155,$M$313+94)&gt;=PEND_TO,"",SMALL(Grids!$EE$116:$GQ$155,$M$313+94)),"")</f>
        <v/>
      </c>
      <c r="M409" s="35">
        <f>IF($L409="","",INT($L409/1000000000))</f>
        <v/>
      </c>
      <c r="N409" s="35">
        <f>IF($L409="","",INT(($L409-INT($L409/1000000)*1000000)/1000))</f>
        <v/>
      </c>
      <c r="O409" s="35">
        <f>IF($L409="","",$L409-INT($L409/1000)*1000)</f>
        <v/>
      </c>
      <c r="P409" s="35">
        <f>IF($L409="","",INT(($L409-INT($L409/1000000000)*1000000000)/100000000))</f>
        <v/>
      </c>
    </row>
    <row r="410">
      <c r="B410" s="39">
        <f>IF($L410="","",$M410)</f>
        <v/>
      </c>
      <c r="C410" s="18">
        <f>IF($L410="","",INDEX(HSTECH!$C$7:$C$46,$N410))</f>
        <v/>
      </c>
      <c r="D410" s="18">
        <f>IF($L410="","",INDEX(HSTECH!$D$7:$D$46,$N410))</f>
        <v/>
      </c>
      <c r="E410" s="40">
        <f>IF($L410="","",IF($P410=0,"TBA",IFERROR(INDEX(Grids!$C$116:$BO$155,$N410,$O410),"-")))</f>
        <v/>
      </c>
      <c r="F410" s="18">
        <f>IF($L410="","",INDEX(HSTECH!$F$7:$F$46,$N410))</f>
        <v/>
      </c>
      <c r="G410" s="40">
        <f>IF($L410="","",IF($P410=0,"TBA",IFERROR(INDEX(Grids!$BQ$116:$EC$155,$N410,$O410),"-")))</f>
        <v/>
      </c>
      <c r="H410" s="41">
        <f>IF($L410="","",SUM($G$316:$G410))</f>
        <v/>
      </c>
      <c r="I410" s="42">
        <f>IF($L410="","",IF(INT(($L410-INT($L410/10000000)*10000000)/1000000)=0,"Bloomberg projection",IF($P410=1,"ANNOUNCED","ANNOUNCED - amount TBA")))</f>
        <v/>
      </c>
      <c r="J410" s="43">
        <f>IF($L410="","",IF((OV_SWITCH="ON")*(COUNTIFS(OVR_TICKERS,INDEX(HSTECH!$C$7:$C$46,$N410),OVR_BASE,"&gt;=0")&gt;0)&gt;0,"stock overridden",""))</f>
        <v/>
      </c>
      <c r="L410" s="35">
        <f>IFERROR(IF(SMALL(Grids!$EE$116:$GQ$155,$M$313+95)&gt;=PEND_TO,"",SMALL(Grids!$EE$116:$GQ$155,$M$313+95)),"")</f>
        <v/>
      </c>
      <c r="M410" s="35">
        <f>IF($L410="","",INT($L410/1000000000))</f>
        <v/>
      </c>
      <c r="N410" s="35">
        <f>IF($L410="","",INT(($L410-INT($L410/1000000)*1000000)/1000))</f>
        <v/>
      </c>
      <c r="O410" s="35">
        <f>IF($L410="","",$L410-INT($L410/1000)*1000)</f>
        <v/>
      </c>
      <c r="P410" s="35">
        <f>IF($L410="","",INT(($L410-INT($L410/1000000000)*1000000000)/100000000))</f>
        <v/>
      </c>
    </row>
    <row r="411">
      <c r="B411" s="39">
        <f>IF($L411="","",$M411)</f>
        <v/>
      </c>
      <c r="C411" s="18">
        <f>IF($L411="","",INDEX(HSTECH!$C$7:$C$46,$N411))</f>
        <v/>
      </c>
      <c r="D411" s="18">
        <f>IF($L411="","",INDEX(HSTECH!$D$7:$D$46,$N411))</f>
        <v/>
      </c>
      <c r="E411" s="40">
        <f>IF($L411="","",IF($P411=0,"TBA",IFERROR(INDEX(Grids!$C$116:$BO$155,$N411,$O411),"-")))</f>
        <v/>
      </c>
      <c r="F411" s="18">
        <f>IF($L411="","",INDEX(HSTECH!$F$7:$F$46,$N411))</f>
        <v/>
      </c>
      <c r="G411" s="40">
        <f>IF($L411="","",IF($P411=0,"TBA",IFERROR(INDEX(Grids!$BQ$116:$EC$155,$N411,$O411),"-")))</f>
        <v/>
      </c>
      <c r="H411" s="41">
        <f>IF($L411="","",SUM($G$316:$G411))</f>
        <v/>
      </c>
      <c r="I411" s="42">
        <f>IF($L411="","",IF(INT(($L411-INT($L411/10000000)*10000000)/1000000)=0,"Bloomberg projection",IF($P411=1,"ANNOUNCED","ANNOUNCED - amount TBA")))</f>
        <v/>
      </c>
      <c r="J411" s="43">
        <f>IF($L411="","",IF((OV_SWITCH="ON")*(COUNTIFS(OVR_TICKERS,INDEX(HSTECH!$C$7:$C$46,$N411),OVR_BASE,"&gt;=0")&gt;0)&gt;0,"stock overridden",""))</f>
        <v/>
      </c>
      <c r="L411" s="35">
        <f>IFERROR(IF(SMALL(Grids!$EE$116:$GQ$155,$M$313+96)&gt;=PEND_TO,"",SMALL(Grids!$EE$116:$GQ$155,$M$313+96)),"")</f>
        <v/>
      </c>
      <c r="M411" s="35">
        <f>IF($L411="","",INT($L411/1000000000))</f>
        <v/>
      </c>
      <c r="N411" s="35">
        <f>IF($L411="","",INT(($L411-INT($L411/1000000)*1000000)/1000))</f>
        <v/>
      </c>
      <c r="O411" s="35">
        <f>IF($L411="","",$L411-INT($L411/1000)*1000)</f>
        <v/>
      </c>
      <c r="P411" s="35">
        <f>IF($L411="","",INT(($L411-INT($L411/1000000000)*1000000000)/100000000))</f>
        <v/>
      </c>
    </row>
    <row r="412">
      <c r="B412" s="39">
        <f>IF($L412="","",$M412)</f>
        <v/>
      </c>
      <c r="C412" s="18">
        <f>IF($L412="","",INDEX(HSTECH!$C$7:$C$46,$N412))</f>
        <v/>
      </c>
      <c r="D412" s="18">
        <f>IF($L412="","",INDEX(HSTECH!$D$7:$D$46,$N412))</f>
        <v/>
      </c>
      <c r="E412" s="40">
        <f>IF($L412="","",IF($P412=0,"TBA",IFERROR(INDEX(Grids!$C$116:$BO$155,$N412,$O412),"-")))</f>
        <v/>
      </c>
      <c r="F412" s="18">
        <f>IF($L412="","",INDEX(HSTECH!$F$7:$F$46,$N412))</f>
        <v/>
      </c>
      <c r="G412" s="40">
        <f>IF($L412="","",IF($P412=0,"TBA",IFERROR(INDEX(Grids!$BQ$116:$EC$155,$N412,$O412),"-")))</f>
        <v/>
      </c>
      <c r="H412" s="41">
        <f>IF($L412="","",SUM($G$316:$G412))</f>
        <v/>
      </c>
      <c r="I412" s="42">
        <f>IF($L412="","",IF(INT(($L412-INT($L412/10000000)*10000000)/1000000)=0,"Bloomberg projection",IF($P412=1,"ANNOUNCED","ANNOUNCED - amount TBA")))</f>
        <v/>
      </c>
      <c r="J412" s="43">
        <f>IF($L412="","",IF((OV_SWITCH="ON")*(COUNTIFS(OVR_TICKERS,INDEX(HSTECH!$C$7:$C$46,$N412),OVR_BASE,"&gt;=0")&gt;0)&gt;0,"stock overridden",""))</f>
        <v/>
      </c>
      <c r="L412" s="35">
        <f>IFERROR(IF(SMALL(Grids!$EE$116:$GQ$155,$M$313+97)&gt;=PEND_TO,"",SMALL(Grids!$EE$116:$GQ$155,$M$313+97)),"")</f>
        <v/>
      </c>
      <c r="M412" s="35">
        <f>IF($L412="","",INT($L412/1000000000))</f>
        <v/>
      </c>
      <c r="N412" s="35">
        <f>IF($L412="","",INT(($L412-INT($L412/1000000)*1000000)/1000))</f>
        <v/>
      </c>
      <c r="O412" s="35">
        <f>IF($L412="","",$L412-INT($L412/1000)*1000)</f>
        <v/>
      </c>
      <c r="P412" s="35">
        <f>IF($L412="","",INT(($L412-INT($L412/1000000000)*1000000000)/100000000))</f>
        <v/>
      </c>
    </row>
    <row r="413">
      <c r="B413" s="39">
        <f>IF($L413="","",$M413)</f>
        <v/>
      </c>
      <c r="C413" s="18">
        <f>IF($L413="","",INDEX(HSTECH!$C$7:$C$46,$N413))</f>
        <v/>
      </c>
      <c r="D413" s="18">
        <f>IF($L413="","",INDEX(HSTECH!$D$7:$D$46,$N413))</f>
        <v/>
      </c>
      <c r="E413" s="40">
        <f>IF($L413="","",IF($P413=0,"TBA",IFERROR(INDEX(Grids!$C$116:$BO$155,$N413,$O413),"-")))</f>
        <v/>
      </c>
      <c r="F413" s="18">
        <f>IF($L413="","",INDEX(HSTECH!$F$7:$F$46,$N413))</f>
        <v/>
      </c>
      <c r="G413" s="40">
        <f>IF($L413="","",IF($P413=0,"TBA",IFERROR(INDEX(Grids!$BQ$116:$EC$155,$N413,$O413),"-")))</f>
        <v/>
      </c>
      <c r="H413" s="41">
        <f>IF($L413="","",SUM($G$316:$G413))</f>
        <v/>
      </c>
      <c r="I413" s="42">
        <f>IF($L413="","",IF(INT(($L413-INT($L413/10000000)*10000000)/1000000)=0,"Bloomberg projection",IF($P413=1,"ANNOUNCED","ANNOUNCED - amount TBA")))</f>
        <v/>
      </c>
      <c r="J413" s="43">
        <f>IF($L413="","",IF((OV_SWITCH="ON")*(COUNTIFS(OVR_TICKERS,INDEX(HSTECH!$C$7:$C$46,$N413),OVR_BASE,"&gt;=0")&gt;0)&gt;0,"stock overridden",""))</f>
        <v/>
      </c>
      <c r="L413" s="35">
        <f>IFERROR(IF(SMALL(Grids!$EE$116:$GQ$155,$M$313+98)&gt;=PEND_TO,"",SMALL(Grids!$EE$116:$GQ$155,$M$313+98)),"")</f>
        <v/>
      </c>
      <c r="M413" s="35">
        <f>IF($L413="","",INT($L413/1000000000))</f>
        <v/>
      </c>
      <c r="N413" s="35">
        <f>IF($L413="","",INT(($L413-INT($L413/1000000)*1000000)/1000))</f>
        <v/>
      </c>
      <c r="O413" s="35">
        <f>IF($L413="","",$L413-INT($L413/1000)*1000)</f>
        <v/>
      </c>
      <c r="P413" s="35">
        <f>IF($L413="","",INT(($L413-INT($L413/1000000000)*1000000000)/100000000))</f>
        <v/>
      </c>
    </row>
    <row r="414">
      <c r="B414" s="39">
        <f>IF($L414="","",$M414)</f>
        <v/>
      </c>
      <c r="C414" s="18">
        <f>IF($L414="","",INDEX(HSTECH!$C$7:$C$46,$N414))</f>
        <v/>
      </c>
      <c r="D414" s="18">
        <f>IF($L414="","",INDEX(HSTECH!$D$7:$D$46,$N414))</f>
        <v/>
      </c>
      <c r="E414" s="40">
        <f>IF($L414="","",IF($P414=0,"TBA",IFERROR(INDEX(Grids!$C$116:$BO$155,$N414,$O414),"-")))</f>
        <v/>
      </c>
      <c r="F414" s="18">
        <f>IF($L414="","",INDEX(HSTECH!$F$7:$F$46,$N414))</f>
        <v/>
      </c>
      <c r="G414" s="40">
        <f>IF($L414="","",IF($P414=0,"TBA",IFERROR(INDEX(Grids!$BQ$116:$EC$155,$N414,$O414),"-")))</f>
        <v/>
      </c>
      <c r="H414" s="41">
        <f>IF($L414="","",SUM($G$316:$G414))</f>
        <v/>
      </c>
      <c r="I414" s="42">
        <f>IF($L414="","",IF(INT(($L414-INT($L414/10000000)*10000000)/1000000)=0,"Bloomberg projection",IF($P414=1,"ANNOUNCED","ANNOUNCED - amount TBA")))</f>
        <v/>
      </c>
      <c r="J414" s="43">
        <f>IF($L414="","",IF((OV_SWITCH="ON")*(COUNTIFS(OVR_TICKERS,INDEX(HSTECH!$C$7:$C$46,$N414),OVR_BASE,"&gt;=0")&gt;0)&gt;0,"stock overridden",""))</f>
        <v/>
      </c>
      <c r="L414" s="35">
        <f>IFERROR(IF(SMALL(Grids!$EE$116:$GQ$155,$M$313+99)&gt;=PEND_TO,"",SMALL(Grids!$EE$116:$GQ$155,$M$313+99)),"")</f>
        <v/>
      </c>
      <c r="M414" s="35">
        <f>IF($L414="","",INT($L414/1000000000))</f>
        <v/>
      </c>
      <c r="N414" s="35">
        <f>IF($L414="","",INT(($L414-INT($L414/1000000)*1000000)/1000))</f>
        <v/>
      </c>
      <c r="O414" s="35">
        <f>IF($L414="","",$L414-INT($L414/1000)*1000)</f>
        <v/>
      </c>
      <c r="P414" s="35">
        <f>IF($L414="","",INT(($L414-INT($L414/1000000000)*1000000000)/100000000))</f>
        <v/>
      </c>
    </row>
    <row r="415">
      <c r="B415" s="39">
        <f>IF($L415="","",$M415)</f>
        <v/>
      </c>
      <c r="C415" s="18">
        <f>IF($L415="","",INDEX(HSTECH!$C$7:$C$46,$N415))</f>
        <v/>
      </c>
      <c r="D415" s="18">
        <f>IF($L415="","",INDEX(HSTECH!$D$7:$D$46,$N415))</f>
        <v/>
      </c>
      <c r="E415" s="40">
        <f>IF($L415="","",IF($P415=0,"TBA",IFERROR(INDEX(Grids!$C$116:$BO$155,$N415,$O415),"-")))</f>
        <v/>
      </c>
      <c r="F415" s="18">
        <f>IF($L415="","",INDEX(HSTECH!$F$7:$F$46,$N415))</f>
        <v/>
      </c>
      <c r="G415" s="40">
        <f>IF($L415="","",IF($P415=0,"TBA",IFERROR(INDEX(Grids!$BQ$116:$EC$155,$N415,$O415),"-")))</f>
        <v/>
      </c>
      <c r="H415" s="41">
        <f>IF($L415="","",SUM($G$316:$G415))</f>
        <v/>
      </c>
      <c r="I415" s="42">
        <f>IF($L415="","",IF(INT(($L415-INT($L415/10000000)*10000000)/1000000)=0,"Bloomberg projection",IF($P415=1,"ANNOUNCED","ANNOUNCED - amount TBA")))</f>
        <v/>
      </c>
      <c r="J415" s="43">
        <f>IF($L415="","",IF((OV_SWITCH="ON")*(COUNTIFS(OVR_TICKERS,INDEX(HSTECH!$C$7:$C$46,$N415),OVR_BASE,"&gt;=0")&gt;0)&gt;0,"stock overridden",""))</f>
        <v/>
      </c>
      <c r="L415" s="35">
        <f>IFERROR(IF(SMALL(Grids!$EE$116:$GQ$155,$M$313+100)&gt;=PEND_TO,"",SMALL(Grids!$EE$116:$GQ$155,$M$313+100)),"")</f>
        <v/>
      </c>
      <c r="M415" s="35">
        <f>IF($L415="","",INT($L415/1000000000))</f>
        <v/>
      </c>
      <c r="N415" s="35">
        <f>IF($L415="","",INT(($L415-INT($L415/1000000)*1000000)/1000))</f>
        <v/>
      </c>
      <c r="O415" s="35">
        <f>IF($L415="","",$L415-INT($L415/1000)*1000)</f>
        <v/>
      </c>
      <c r="P415" s="35">
        <f>IF($L415="","",INT(($L415-INT($L415/1000000000)*1000000000)/100000000))</f>
        <v/>
      </c>
    </row>
    <row r="416">
      <c r="B416" s="39">
        <f>IF($L416="","",$M416)</f>
        <v/>
      </c>
      <c r="C416" s="18">
        <f>IF($L416="","",INDEX(HSTECH!$C$7:$C$46,$N416))</f>
        <v/>
      </c>
      <c r="D416" s="18">
        <f>IF($L416="","",INDEX(HSTECH!$D$7:$D$46,$N416))</f>
        <v/>
      </c>
      <c r="E416" s="40">
        <f>IF($L416="","",IF($P416=0,"TBA",IFERROR(INDEX(Grids!$C$116:$BO$155,$N416,$O416),"-")))</f>
        <v/>
      </c>
      <c r="F416" s="18">
        <f>IF($L416="","",INDEX(HSTECH!$F$7:$F$46,$N416))</f>
        <v/>
      </c>
      <c r="G416" s="40">
        <f>IF($L416="","",IF($P416=0,"TBA",IFERROR(INDEX(Grids!$BQ$116:$EC$155,$N416,$O416),"-")))</f>
        <v/>
      </c>
      <c r="H416" s="41">
        <f>IF($L416="","",SUM($G$316:$G416))</f>
        <v/>
      </c>
      <c r="I416" s="42">
        <f>IF($L416="","",IF(INT(($L416-INT($L416/10000000)*10000000)/1000000)=0,"Bloomberg projection",IF($P416=1,"ANNOUNCED","ANNOUNCED - amount TBA")))</f>
        <v/>
      </c>
      <c r="J416" s="43">
        <f>IF($L416="","",IF((OV_SWITCH="ON")*(COUNTIFS(OVR_TICKERS,INDEX(HSTECH!$C$7:$C$46,$N416),OVR_BASE,"&gt;=0")&gt;0)&gt;0,"stock overridden",""))</f>
        <v/>
      </c>
      <c r="L416" s="35">
        <f>IFERROR(IF(SMALL(Grids!$EE$116:$GQ$155,$M$313+101)&gt;=PEND_TO,"",SMALL(Grids!$EE$116:$GQ$155,$M$313+101)),"")</f>
        <v/>
      </c>
      <c r="M416" s="35">
        <f>IF($L416="","",INT($L416/1000000000))</f>
        <v/>
      </c>
      <c r="N416" s="35">
        <f>IF($L416="","",INT(($L416-INT($L416/1000000)*1000000)/1000))</f>
        <v/>
      </c>
      <c r="O416" s="35">
        <f>IF($L416="","",$L416-INT($L416/1000)*1000)</f>
        <v/>
      </c>
      <c r="P416" s="35">
        <f>IF($L416="","",INT(($L416-INT($L416/1000000000)*1000000000)/100000000))</f>
        <v/>
      </c>
    </row>
    <row r="417">
      <c r="B417" s="39">
        <f>IF($L417="","",$M417)</f>
        <v/>
      </c>
      <c r="C417" s="18">
        <f>IF($L417="","",INDEX(HSTECH!$C$7:$C$46,$N417))</f>
        <v/>
      </c>
      <c r="D417" s="18">
        <f>IF($L417="","",INDEX(HSTECH!$D$7:$D$46,$N417))</f>
        <v/>
      </c>
      <c r="E417" s="40">
        <f>IF($L417="","",IF($P417=0,"TBA",IFERROR(INDEX(Grids!$C$116:$BO$155,$N417,$O417),"-")))</f>
        <v/>
      </c>
      <c r="F417" s="18">
        <f>IF($L417="","",INDEX(HSTECH!$F$7:$F$46,$N417))</f>
        <v/>
      </c>
      <c r="G417" s="40">
        <f>IF($L417="","",IF($P417=0,"TBA",IFERROR(INDEX(Grids!$BQ$116:$EC$155,$N417,$O417),"-")))</f>
        <v/>
      </c>
      <c r="H417" s="41">
        <f>IF($L417="","",SUM($G$316:$G417))</f>
        <v/>
      </c>
      <c r="I417" s="42">
        <f>IF($L417="","",IF(INT(($L417-INT($L417/10000000)*10000000)/1000000)=0,"Bloomberg projection",IF($P417=1,"ANNOUNCED","ANNOUNCED - amount TBA")))</f>
        <v/>
      </c>
      <c r="J417" s="43">
        <f>IF($L417="","",IF((OV_SWITCH="ON")*(COUNTIFS(OVR_TICKERS,INDEX(HSTECH!$C$7:$C$46,$N417),OVR_BASE,"&gt;=0")&gt;0)&gt;0,"stock overridden",""))</f>
        <v/>
      </c>
      <c r="L417" s="35">
        <f>IFERROR(IF(SMALL(Grids!$EE$116:$GQ$155,$M$313+102)&gt;=PEND_TO,"",SMALL(Grids!$EE$116:$GQ$155,$M$313+102)),"")</f>
        <v/>
      </c>
      <c r="M417" s="35">
        <f>IF($L417="","",INT($L417/1000000000))</f>
        <v/>
      </c>
      <c r="N417" s="35">
        <f>IF($L417="","",INT(($L417-INT($L417/1000000)*1000000)/1000))</f>
        <v/>
      </c>
      <c r="O417" s="35">
        <f>IF($L417="","",$L417-INT($L417/1000)*1000)</f>
        <v/>
      </c>
      <c r="P417" s="35">
        <f>IF($L417="","",INT(($L417-INT($L417/1000000000)*1000000000)/100000000))</f>
        <v/>
      </c>
    </row>
    <row r="418">
      <c r="B418" s="39">
        <f>IF($L418="","",$M418)</f>
        <v/>
      </c>
      <c r="C418" s="18">
        <f>IF($L418="","",INDEX(HSTECH!$C$7:$C$46,$N418))</f>
        <v/>
      </c>
      <c r="D418" s="18">
        <f>IF($L418="","",INDEX(HSTECH!$D$7:$D$46,$N418))</f>
        <v/>
      </c>
      <c r="E418" s="40">
        <f>IF($L418="","",IF($P418=0,"TBA",IFERROR(INDEX(Grids!$C$116:$BO$155,$N418,$O418),"-")))</f>
        <v/>
      </c>
      <c r="F418" s="18">
        <f>IF($L418="","",INDEX(HSTECH!$F$7:$F$46,$N418))</f>
        <v/>
      </c>
      <c r="G418" s="40">
        <f>IF($L418="","",IF($P418=0,"TBA",IFERROR(INDEX(Grids!$BQ$116:$EC$155,$N418,$O418),"-")))</f>
        <v/>
      </c>
      <c r="H418" s="41">
        <f>IF($L418="","",SUM($G$316:$G418))</f>
        <v/>
      </c>
      <c r="I418" s="42">
        <f>IF($L418="","",IF(INT(($L418-INT($L418/10000000)*10000000)/1000000)=0,"Bloomberg projection",IF($P418=1,"ANNOUNCED","ANNOUNCED - amount TBA")))</f>
        <v/>
      </c>
      <c r="J418" s="43">
        <f>IF($L418="","",IF((OV_SWITCH="ON")*(COUNTIFS(OVR_TICKERS,INDEX(HSTECH!$C$7:$C$46,$N418),OVR_BASE,"&gt;=0")&gt;0)&gt;0,"stock overridden",""))</f>
        <v/>
      </c>
      <c r="L418" s="35">
        <f>IFERROR(IF(SMALL(Grids!$EE$116:$GQ$155,$M$313+103)&gt;=PEND_TO,"",SMALL(Grids!$EE$116:$GQ$155,$M$313+103)),"")</f>
        <v/>
      </c>
      <c r="M418" s="35">
        <f>IF($L418="","",INT($L418/1000000000))</f>
        <v/>
      </c>
      <c r="N418" s="35">
        <f>IF($L418="","",INT(($L418-INT($L418/1000000)*1000000)/1000))</f>
        <v/>
      </c>
      <c r="O418" s="35">
        <f>IF($L418="","",$L418-INT($L418/1000)*1000)</f>
        <v/>
      </c>
      <c r="P418" s="35">
        <f>IF($L418="","",INT(($L418-INT($L418/1000000000)*1000000000)/100000000))</f>
        <v/>
      </c>
    </row>
    <row r="419">
      <c r="B419" s="39">
        <f>IF($L419="","",$M419)</f>
        <v/>
      </c>
      <c r="C419" s="18">
        <f>IF($L419="","",INDEX(HSTECH!$C$7:$C$46,$N419))</f>
        <v/>
      </c>
      <c r="D419" s="18">
        <f>IF($L419="","",INDEX(HSTECH!$D$7:$D$46,$N419))</f>
        <v/>
      </c>
      <c r="E419" s="40">
        <f>IF($L419="","",IF($P419=0,"TBA",IFERROR(INDEX(Grids!$C$116:$BO$155,$N419,$O419),"-")))</f>
        <v/>
      </c>
      <c r="F419" s="18">
        <f>IF($L419="","",INDEX(HSTECH!$F$7:$F$46,$N419))</f>
        <v/>
      </c>
      <c r="G419" s="40">
        <f>IF($L419="","",IF($P419=0,"TBA",IFERROR(INDEX(Grids!$BQ$116:$EC$155,$N419,$O419),"-")))</f>
        <v/>
      </c>
      <c r="H419" s="41">
        <f>IF($L419="","",SUM($G$316:$G419))</f>
        <v/>
      </c>
      <c r="I419" s="42">
        <f>IF($L419="","",IF(INT(($L419-INT($L419/10000000)*10000000)/1000000)=0,"Bloomberg projection",IF($P419=1,"ANNOUNCED","ANNOUNCED - amount TBA")))</f>
        <v/>
      </c>
      <c r="J419" s="43">
        <f>IF($L419="","",IF((OV_SWITCH="ON")*(COUNTIFS(OVR_TICKERS,INDEX(HSTECH!$C$7:$C$46,$N419),OVR_BASE,"&gt;=0")&gt;0)&gt;0,"stock overridden",""))</f>
        <v/>
      </c>
      <c r="L419" s="35">
        <f>IFERROR(IF(SMALL(Grids!$EE$116:$GQ$155,$M$313+104)&gt;=PEND_TO,"",SMALL(Grids!$EE$116:$GQ$155,$M$313+104)),"")</f>
        <v/>
      </c>
      <c r="M419" s="35">
        <f>IF($L419="","",INT($L419/1000000000))</f>
        <v/>
      </c>
      <c r="N419" s="35">
        <f>IF($L419="","",INT(($L419-INT($L419/1000000)*1000000)/1000))</f>
        <v/>
      </c>
      <c r="O419" s="35">
        <f>IF($L419="","",$L419-INT($L419/1000)*1000)</f>
        <v/>
      </c>
      <c r="P419" s="35">
        <f>IF($L419="","",INT(($L419-INT($L419/1000000000)*1000000000)/100000000))</f>
        <v/>
      </c>
    </row>
    <row r="420">
      <c r="B420" s="39">
        <f>IF($L420="","",$M420)</f>
        <v/>
      </c>
      <c r="C420" s="18">
        <f>IF($L420="","",INDEX(HSTECH!$C$7:$C$46,$N420))</f>
        <v/>
      </c>
      <c r="D420" s="18">
        <f>IF($L420="","",INDEX(HSTECH!$D$7:$D$46,$N420))</f>
        <v/>
      </c>
      <c r="E420" s="40">
        <f>IF($L420="","",IF($P420=0,"TBA",IFERROR(INDEX(Grids!$C$116:$BO$155,$N420,$O420),"-")))</f>
        <v/>
      </c>
      <c r="F420" s="18">
        <f>IF($L420="","",INDEX(HSTECH!$F$7:$F$46,$N420))</f>
        <v/>
      </c>
      <c r="G420" s="40">
        <f>IF($L420="","",IF($P420=0,"TBA",IFERROR(INDEX(Grids!$BQ$116:$EC$155,$N420,$O420),"-")))</f>
        <v/>
      </c>
      <c r="H420" s="41">
        <f>IF($L420="","",SUM($G$316:$G420))</f>
        <v/>
      </c>
      <c r="I420" s="42">
        <f>IF($L420="","",IF(INT(($L420-INT($L420/10000000)*10000000)/1000000)=0,"Bloomberg projection",IF($P420=1,"ANNOUNCED","ANNOUNCED - amount TBA")))</f>
        <v/>
      </c>
      <c r="J420" s="43">
        <f>IF($L420="","",IF((OV_SWITCH="ON")*(COUNTIFS(OVR_TICKERS,INDEX(HSTECH!$C$7:$C$46,$N420),OVR_BASE,"&gt;=0")&gt;0)&gt;0,"stock overridden",""))</f>
        <v/>
      </c>
      <c r="L420" s="35">
        <f>IFERROR(IF(SMALL(Grids!$EE$116:$GQ$155,$M$313+105)&gt;=PEND_TO,"",SMALL(Grids!$EE$116:$GQ$155,$M$313+105)),"")</f>
        <v/>
      </c>
      <c r="M420" s="35">
        <f>IF($L420="","",INT($L420/1000000000))</f>
        <v/>
      </c>
      <c r="N420" s="35">
        <f>IF($L420="","",INT(($L420-INT($L420/1000000)*1000000)/1000))</f>
        <v/>
      </c>
      <c r="O420" s="35">
        <f>IF($L420="","",$L420-INT($L420/1000)*1000)</f>
        <v/>
      </c>
      <c r="P420" s="35">
        <f>IF($L420="","",INT(($L420-INT($L420/1000000000)*1000000000)/100000000))</f>
        <v/>
      </c>
    </row>
    <row r="421">
      <c r="B421" s="39">
        <f>IF($L421="","",$M421)</f>
        <v/>
      </c>
      <c r="C421" s="18">
        <f>IF($L421="","",INDEX(HSTECH!$C$7:$C$46,$N421))</f>
        <v/>
      </c>
      <c r="D421" s="18">
        <f>IF($L421="","",INDEX(HSTECH!$D$7:$D$46,$N421))</f>
        <v/>
      </c>
      <c r="E421" s="40">
        <f>IF($L421="","",IF($P421=0,"TBA",IFERROR(INDEX(Grids!$C$116:$BO$155,$N421,$O421),"-")))</f>
        <v/>
      </c>
      <c r="F421" s="18">
        <f>IF($L421="","",INDEX(HSTECH!$F$7:$F$46,$N421))</f>
        <v/>
      </c>
      <c r="G421" s="40">
        <f>IF($L421="","",IF($P421=0,"TBA",IFERROR(INDEX(Grids!$BQ$116:$EC$155,$N421,$O421),"-")))</f>
        <v/>
      </c>
      <c r="H421" s="41">
        <f>IF($L421="","",SUM($G$316:$G421))</f>
        <v/>
      </c>
      <c r="I421" s="42">
        <f>IF($L421="","",IF(INT(($L421-INT($L421/10000000)*10000000)/1000000)=0,"Bloomberg projection",IF($P421=1,"ANNOUNCED","ANNOUNCED - amount TBA")))</f>
        <v/>
      </c>
      <c r="J421" s="43">
        <f>IF($L421="","",IF((OV_SWITCH="ON")*(COUNTIFS(OVR_TICKERS,INDEX(HSTECH!$C$7:$C$46,$N421),OVR_BASE,"&gt;=0")&gt;0)&gt;0,"stock overridden",""))</f>
        <v/>
      </c>
      <c r="L421" s="35">
        <f>IFERROR(IF(SMALL(Grids!$EE$116:$GQ$155,$M$313+106)&gt;=PEND_TO,"",SMALL(Grids!$EE$116:$GQ$155,$M$313+106)),"")</f>
        <v/>
      </c>
      <c r="M421" s="35">
        <f>IF($L421="","",INT($L421/1000000000))</f>
        <v/>
      </c>
      <c r="N421" s="35">
        <f>IF($L421="","",INT(($L421-INT($L421/1000000)*1000000)/1000))</f>
        <v/>
      </c>
      <c r="O421" s="35">
        <f>IF($L421="","",$L421-INT($L421/1000)*1000)</f>
        <v/>
      </c>
      <c r="P421" s="35">
        <f>IF($L421="","",INT(($L421-INT($L421/1000000000)*1000000000)/100000000))</f>
        <v/>
      </c>
    </row>
    <row r="422">
      <c r="B422" s="39">
        <f>IF($L422="","",$M422)</f>
        <v/>
      </c>
      <c r="C422" s="18">
        <f>IF($L422="","",INDEX(HSTECH!$C$7:$C$46,$N422))</f>
        <v/>
      </c>
      <c r="D422" s="18">
        <f>IF($L422="","",INDEX(HSTECH!$D$7:$D$46,$N422))</f>
        <v/>
      </c>
      <c r="E422" s="40">
        <f>IF($L422="","",IF($P422=0,"TBA",IFERROR(INDEX(Grids!$C$116:$BO$155,$N422,$O422),"-")))</f>
        <v/>
      </c>
      <c r="F422" s="18">
        <f>IF($L422="","",INDEX(HSTECH!$F$7:$F$46,$N422))</f>
        <v/>
      </c>
      <c r="G422" s="40">
        <f>IF($L422="","",IF($P422=0,"TBA",IFERROR(INDEX(Grids!$BQ$116:$EC$155,$N422,$O422),"-")))</f>
        <v/>
      </c>
      <c r="H422" s="41">
        <f>IF($L422="","",SUM($G$316:$G422))</f>
        <v/>
      </c>
      <c r="I422" s="42">
        <f>IF($L422="","",IF(INT(($L422-INT($L422/10000000)*10000000)/1000000)=0,"Bloomberg projection",IF($P422=1,"ANNOUNCED","ANNOUNCED - amount TBA")))</f>
        <v/>
      </c>
      <c r="J422" s="43">
        <f>IF($L422="","",IF((OV_SWITCH="ON")*(COUNTIFS(OVR_TICKERS,INDEX(HSTECH!$C$7:$C$46,$N422),OVR_BASE,"&gt;=0")&gt;0)&gt;0,"stock overridden",""))</f>
        <v/>
      </c>
      <c r="L422" s="35">
        <f>IFERROR(IF(SMALL(Grids!$EE$116:$GQ$155,$M$313+107)&gt;=PEND_TO,"",SMALL(Grids!$EE$116:$GQ$155,$M$313+107)),"")</f>
        <v/>
      </c>
      <c r="M422" s="35">
        <f>IF($L422="","",INT($L422/1000000000))</f>
        <v/>
      </c>
      <c r="N422" s="35">
        <f>IF($L422="","",INT(($L422-INT($L422/1000000)*1000000)/1000))</f>
        <v/>
      </c>
      <c r="O422" s="35">
        <f>IF($L422="","",$L422-INT($L422/1000)*1000)</f>
        <v/>
      </c>
      <c r="P422" s="35">
        <f>IF($L422="","",INT(($L422-INT($L422/1000000000)*1000000000)/100000000))</f>
        <v/>
      </c>
    </row>
    <row r="423">
      <c r="B423" s="39">
        <f>IF($L423="","",$M423)</f>
        <v/>
      </c>
      <c r="C423" s="18">
        <f>IF($L423="","",INDEX(HSTECH!$C$7:$C$46,$N423))</f>
        <v/>
      </c>
      <c r="D423" s="18">
        <f>IF($L423="","",INDEX(HSTECH!$D$7:$D$46,$N423))</f>
        <v/>
      </c>
      <c r="E423" s="40">
        <f>IF($L423="","",IF($P423=0,"TBA",IFERROR(INDEX(Grids!$C$116:$BO$155,$N423,$O423),"-")))</f>
        <v/>
      </c>
      <c r="F423" s="18">
        <f>IF($L423="","",INDEX(HSTECH!$F$7:$F$46,$N423))</f>
        <v/>
      </c>
      <c r="G423" s="40">
        <f>IF($L423="","",IF($P423=0,"TBA",IFERROR(INDEX(Grids!$BQ$116:$EC$155,$N423,$O423),"-")))</f>
        <v/>
      </c>
      <c r="H423" s="41">
        <f>IF($L423="","",SUM($G$316:$G423))</f>
        <v/>
      </c>
      <c r="I423" s="42">
        <f>IF($L423="","",IF(INT(($L423-INT($L423/10000000)*10000000)/1000000)=0,"Bloomberg projection",IF($P423=1,"ANNOUNCED","ANNOUNCED - amount TBA")))</f>
        <v/>
      </c>
      <c r="J423" s="43">
        <f>IF($L423="","",IF((OV_SWITCH="ON")*(COUNTIFS(OVR_TICKERS,INDEX(HSTECH!$C$7:$C$46,$N423),OVR_BASE,"&gt;=0")&gt;0)&gt;0,"stock overridden",""))</f>
        <v/>
      </c>
      <c r="L423" s="35">
        <f>IFERROR(IF(SMALL(Grids!$EE$116:$GQ$155,$M$313+108)&gt;=PEND_TO,"",SMALL(Grids!$EE$116:$GQ$155,$M$313+108)),"")</f>
        <v/>
      </c>
      <c r="M423" s="35">
        <f>IF($L423="","",INT($L423/1000000000))</f>
        <v/>
      </c>
      <c r="N423" s="35">
        <f>IF($L423="","",INT(($L423-INT($L423/1000000)*1000000)/1000))</f>
        <v/>
      </c>
      <c r="O423" s="35">
        <f>IF($L423="","",$L423-INT($L423/1000)*1000)</f>
        <v/>
      </c>
      <c r="P423" s="35">
        <f>IF($L423="","",INT(($L423-INT($L423/1000000000)*1000000000)/100000000))</f>
        <v/>
      </c>
    </row>
    <row r="424">
      <c r="B424" s="39">
        <f>IF($L424="","",$M424)</f>
        <v/>
      </c>
      <c r="C424" s="18">
        <f>IF($L424="","",INDEX(HSTECH!$C$7:$C$46,$N424))</f>
        <v/>
      </c>
      <c r="D424" s="18">
        <f>IF($L424="","",INDEX(HSTECH!$D$7:$D$46,$N424))</f>
        <v/>
      </c>
      <c r="E424" s="40">
        <f>IF($L424="","",IF($P424=0,"TBA",IFERROR(INDEX(Grids!$C$116:$BO$155,$N424,$O424),"-")))</f>
        <v/>
      </c>
      <c r="F424" s="18">
        <f>IF($L424="","",INDEX(HSTECH!$F$7:$F$46,$N424))</f>
        <v/>
      </c>
      <c r="G424" s="40">
        <f>IF($L424="","",IF($P424=0,"TBA",IFERROR(INDEX(Grids!$BQ$116:$EC$155,$N424,$O424),"-")))</f>
        <v/>
      </c>
      <c r="H424" s="41">
        <f>IF($L424="","",SUM($G$316:$G424))</f>
        <v/>
      </c>
      <c r="I424" s="42">
        <f>IF($L424="","",IF(INT(($L424-INT($L424/10000000)*10000000)/1000000)=0,"Bloomberg projection",IF($P424=1,"ANNOUNCED","ANNOUNCED - amount TBA")))</f>
        <v/>
      </c>
      <c r="J424" s="43">
        <f>IF($L424="","",IF((OV_SWITCH="ON")*(COUNTIFS(OVR_TICKERS,INDEX(HSTECH!$C$7:$C$46,$N424),OVR_BASE,"&gt;=0")&gt;0)&gt;0,"stock overridden",""))</f>
        <v/>
      </c>
      <c r="L424" s="35">
        <f>IFERROR(IF(SMALL(Grids!$EE$116:$GQ$155,$M$313+109)&gt;=PEND_TO,"",SMALL(Grids!$EE$116:$GQ$155,$M$313+109)),"")</f>
        <v/>
      </c>
      <c r="M424" s="35">
        <f>IF($L424="","",INT($L424/1000000000))</f>
        <v/>
      </c>
      <c r="N424" s="35">
        <f>IF($L424="","",INT(($L424-INT($L424/1000000)*1000000)/1000))</f>
        <v/>
      </c>
      <c r="O424" s="35">
        <f>IF($L424="","",$L424-INT($L424/1000)*1000)</f>
        <v/>
      </c>
      <c r="P424" s="35">
        <f>IF($L424="","",INT(($L424-INT($L424/1000000000)*1000000000)/100000000))</f>
        <v/>
      </c>
    </row>
    <row r="425">
      <c r="B425" s="39">
        <f>IF($L425="","",$M425)</f>
        <v/>
      </c>
      <c r="C425" s="18">
        <f>IF($L425="","",INDEX(HSTECH!$C$7:$C$46,$N425))</f>
        <v/>
      </c>
      <c r="D425" s="18">
        <f>IF($L425="","",INDEX(HSTECH!$D$7:$D$46,$N425))</f>
        <v/>
      </c>
      <c r="E425" s="40">
        <f>IF($L425="","",IF($P425=0,"TBA",IFERROR(INDEX(Grids!$C$116:$BO$155,$N425,$O425),"-")))</f>
        <v/>
      </c>
      <c r="F425" s="18">
        <f>IF($L425="","",INDEX(HSTECH!$F$7:$F$46,$N425))</f>
        <v/>
      </c>
      <c r="G425" s="40">
        <f>IF($L425="","",IF($P425=0,"TBA",IFERROR(INDEX(Grids!$BQ$116:$EC$155,$N425,$O425),"-")))</f>
        <v/>
      </c>
      <c r="H425" s="41">
        <f>IF($L425="","",SUM($G$316:$G425))</f>
        <v/>
      </c>
      <c r="I425" s="42">
        <f>IF($L425="","",IF(INT(($L425-INT($L425/10000000)*10000000)/1000000)=0,"Bloomberg projection",IF($P425=1,"ANNOUNCED","ANNOUNCED - amount TBA")))</f>
        <v/>
      </c>
      <c r="J425" s="43">
        <f>IF($L425="","",IF((OV_SWITCH="ON")*(COUNTIFS(OVR_TICKERS,INDEX(HSTECH!$C$7:$C$46,$N425),OVR_BASE,"&gt;=0")&gt;0)&gt;0,"stock overridden",""))</f>
        <v/>
      </c>
      <c r="L425" s="35">
        <f>IFERROR(IF(SMALL(Grids!$EE$116:$GQ$155,$M$313+110)&gt;=PEND_TO,"",SMALL(Grids!$EE$116:$GQ$155,$M$313+110)),"")</f>
        <v/>
      </c>
      <c r="M425" s="35">
        <f>IF($L425="","",INT($L425/1000000000))</f>
        <v/>
      </c>
      <c r="N425" s="35">
        <f>IF($L425="","",INT(($L425-INT($L425/1000000)*1000000)/1000))</f>
        <v/>
      </c>
      <c r="O425" s="35">
        <f>IF($L425="","",$L425-INT($L425/1000)*1000)</f>
        <v/>
      </c>
      <c r="P425" s="35">
        <f>IF($L425="","",INT(($L425-INT($L425/1000000000)*1000000000)/100000000))</f>
        <v/>
      </c>
    </row>
    <row r="426">
      <c r="B426" s="39">
        <f>IF($L426="","",$M426)</f>
        <v/>
      </c>
      <c r="C426" s="18">
        <f>IF($L426="","",INDEX(HSTECH!$C$7:$C$46,$N426))</f>
        <v/>
      </c>
      <c r="D426" s="18">
        <f>IF($L426="","",INDEX(HSTECH!$D$7:$D$46,$N426))</f>
        <v/>
      </c>
      <c r="E426" s="40">
        <f>IF($L426="","",IF($P426=0,"TBA",IFERROR(INDEX(Grids!$C$116:$BO$155,$N426,$O426),"-")))</f>
        <v/>
      </c>
      <c r="F426" s="18">
        <f>IF($L426="","",INDEX(HSTECH!$F$7:$F$46,$N426))</f>
        <v/>
      </c>
      <c r="G426" s="40">
        <f>IF($L426="","",IF($P426=0,"TBA",IFERROR(INDEX(Grids!$BQ$116:$EC$155,$N426,$O426),"-")))</f>
        <v/>
      </c>
      <c r="H426" s="41">
        <f>IF($L426="","",SUM($G$316:$G426))</f>
        <v/>
      </c>
      <c r="I426" s="42">
        <f>IF($L426="","",IF(INT(($L426-INT($L426/10000000)*10000000)/1000000)=0,"Bloomberg projection",IF($P426=1,"ANNOUNCED","ANNOUNCED - amount TBA")))</f>
        <v/>
      </c>
      <c r="J426" s="43">
        <f>IF($L426="","",IF((OV_SWITCH="ON")*(COUNTIFS(OVR_TICKERS,INDEX(HSTECH!$C$7:$C$46,$N426),OVR_BASE,"&gt;=0")&gt;0)&gt;0,"stock overridden",""))</f>
        <v/>
      </c>
      <c r="L426" s="35">
        <f>IFERROR(IF(SMALL(Grids!$EE$116:$GQ$155,$M$313+111)&gt;=PEND_TO,"",SMALL(Grids!$EE$116:$GQ$155,$M$313+111)),"")</f>
        <v/>
      </c>
      <c r="M426" s="35">
        <f>IF($L426="","",INT($L426/1000000000))</f>
        <v/>
      </c>
      <c r="N426" s="35">
        <f>IF($L426="","",INT(($L426-INT($L426/1000000)*1000000)/1000))</f>
        <v/>
      </c>
      <c r="O426" s="35">
        <f>IF($L426="","",$L426-INT($L426/1000)*1000)</f>
        <v/>
      </c>
      <c r="P426" s="35">
        <f>IF($L426="","",INT(($L426-INT($L426/1000000000)*1000000000)/100000000))</f>
        <v/>
      </c>
    </row>
    <row r="427">
      <c r="B427" s="39">
        <f>IF($L427="","",$M427)</f>
        <v/>
      </c>
      <c r="C427" s="18">
        <f>IF($L427="","",INDEX(HSTECH!$C$7:$C$46,$N427))</f>
        <v/>
      </c>
      <c r="D427" s="18">
        <f>IF($L427="","",INDEX(HSTECH!$D$7:$D$46,$N427))</f>
        <v/>
      </c>
      <c r="E427" s="40">
        <f>IF($L427="","",IF($P427=0,"TBA",IFERROR(INDEX(Grids!$C$116:$BO$155,$N427,$O427),"-")))</f>
        <v/>
      </c>
      <c r="F427" s="18">
        <f>IF($L427="","",INDEX(HSTECH!$F$7:$F$46,$N427))</f>
        <v/>
      </c>
      <c r="G427" s="40">
        <f>IF($L427="","",IF($P427=0,"TBA",IFERROR(INDEX(Grids!$BQ$116:$EC$155,$N427,$O427),"-")))</f>
        <v/>
      </c>
      <c r="H427" s="41">
        <f>IF($L427="","",SUM($G$316:$G427))</f>
        <v/>
      </c>
      <c r="I427" s="42">
        <f>IF($L427="","",IF(INT(($L427-INT($L427/10000000)*10000000)/1000000)=0,"Bloomberg projection",IF($P427=1,"ANNOUNCED","ANNOUNCED - amount TBA")))</f>
        <v/>
      </c>
      <c r="J427" s="43">
        <f>IF($L427="","",IF((OV_SWITCH="ON")*(COUNTIFS(OVR_TICKERS,INDEX(HSTECH!$C$7:$C$46,$N427),OVR_BASE,"&gt;=0")&gt;0)&gt;0,"stock overridden",""))</f>
        <v/>
      </c>
      <c r="L427" s="35">
        <f>IFERROR(IF(SMALL(Grids!$EE$116:$GQ$155,$M$313+112)&gt;=PEND_TO,"",SMALL(Grids!$EE$116:$GQ$155,$M$313+112)),"")</f>
        <v/>
      </c>
      <c r="M427" s="35">
        <f>IF($L427="","",INT($L427/1000000000))</f>
        <v/>
      </c>
      <c r="N427" s="35">
        <f>IF($L427="","",INT(($L427-INT($L427/1000000)*1000000)/1000))</f>
        <v/>
      </c>
      <c r="O427" s="35">
        <f>IF($L427="","",$L427-INT($L427/1000)*1000)</f>
        <v/>
      </c>
      <c r="P427" s="35">
        <f>IF($L427="","",INT(($L427-INT($L427/1000000000)*1000000000)/100000000))</f>
        <v/>
      </c>
    </row>
    <row r="428">
      <c r="B428" s="39">
        <f>IF($L428="","",$M428)</f>
        <v/>
      </c>
      <c r="C428" s="18">
        <f>IF($L428="","",INDEX(HSTECH!$C$7:$C$46,$N428))</f>
        <v/>
      </c>
      <c r="D428" s="18">
        <f>IF($L428="","",INDEX(HSTECH!$D$7:$D$46,$N428))</f>
        <v/>
      </c>
      <c r="E428" s="40">
        <f>IF($L428="","",IF($P428=0,"TBA",IFERROR(INDEX(Grids!$C$116:$BO$155,$N428,$O428),"-")))</f>
        <v/>
      </c>
      <c r="F428" s="18">
        <f>IF($L428="","",INDEX(HSTECH!$F$7:$F$46,$N428))</f>
        <v/>
      </c>
      <c r="G428" s="40">
        <f>IF($L428="","",IF($P428=0,"TBA",IFERROR(INDEX(Grids!$BQ$116:$EC$155,$N428,$O428),"-")))</f>
        <v/>
      </c>
      <c r="H428" s="41">
        <f>IF($L428="","",SUM($G$316:$G428))</f>
        <v/>
      </c>
      <c r="I428" s="42">
        <f>IF($L428="","",IF(INT(($L428-INT($L428/10000000)*10000000)/1000000)=0,"Bloomberg projection",IF($P428=1,"ANNOUNCED","ANNOUNCED - amount TBA")))</f>
        <v/>
      </c>
      <c r="J428" s="43">
        <f>IF($L428="","",IF((OV_SWITCH="ON")*(COUNTIFS(OVR_TICKERS,INDEX(HSTECH!$C$7:$C$46,$N428),OVR_BASE,"&gt;=0")&gt;0)&gt;0,"stock overridden",""))</f>
        <v/>
      </c>
      <c r="L428" s="35">
        <f>IFERROR(IF(SMALL(Grids!$EE$116:$GQ$155,$M$313+113)&gt;=PEND_TO,"",SMALL(Grids!$EE$116:$GQ$155,$M$313+113)),"")</f>
        <v/>
      </c>
      <c r="M428" s="35">
        <f>IF($L428="","",INT($L428/1000000000))</f>
        <v/>
      </c>
      <c r="N428" s="35">
        <f>IF($L428="","",INT(($L428-INT($L428/1000000)*1000000)/1000))</f>
        <v/>
      </c>
      <c r="O428" s="35">
        <f>IF($L428="","",$L428-INT($L428/1000)*1000)</f>
        <v/>
      </c>
      <c r="P428" s="35">
        <f>IF($L428="","",INT(($L428-INT($L428/1000000000)*1000000000)/100000000))</f>
        <v/>
      </c>
    </row>
    <row r="429">
      <c r="B429" s="39">
        <f>IF($L429="","",$M429)</f>
        <v/>
      </c>
      <c r="C429" s="18">
        <f>IF($L429="","",INDEX(HSTECH!$C$7:$C$46,$N429))</f>
        <v/>
      </c>
      <c r="D429" s="18">
        <f>IF($L429="","",INDEX(HSTECH!$D$7:$D$46,$N429))</f>
        <v/>
      </c>
      <c r="E429" s="40">
        <f>IF($L429="","",IF($P429=0,"TBA",IFERROR(INDEX(Grids!$C$116:$BO$155,$N429,$O429),"-")))</f>
        <v/>
      </c>
      <c r="F429" s="18">
        <f>IF($L429="","",INDEX(HSTECH!$F$7:$F$46,$N429))</f>
        <v/>
      </c>
      <c r="G429" s="40">
        <f>IF($L429="","",IF($P429=0,"TBA",IFERROR(INDEX(Grids!$BQ$116:$EC$155,$N429,$O429),"-")))</f>
        <v/>
      </c>
      <c r="H429" s="41">
        <f>IF($L429="","",SUM($G$316:$G429))</f>
        <v/>
      </c>
      <c r="I429" s="42">
        <f>IF($L429="","",IF(INT(($L429-INT($L429/10000000)*10000000)/1000000)=0,"Bloomberg projection",IF($P429=1,"ANNOUNCED","ANNOUNCED - amount TBA")))</f>
        <v/>
      </c>
      <c r="J429" s="43">
        <f>IF($L429="","",IF((OV_SWITCH="ON")*(COUNTIFS(OVR_TICKERS,INDEX(HSTECH!$C$7:$C$46,$N429),OVR_BASE,"&gt;=0")&gt;0)&gt;0,"stock overridden",""))</f>
        <v/>
      </c>
      <c r="L429" s="35">
        <f>IFERROR(IF(SMALL(Grids!$EE$116:$GQ$155,$M$313+114)&gt;=PEND_TO,"",SMALL(Grids!$EE$116:$GQ$155,$M$313+114)),"")</f>
        <v/>
      </c>
      <c r="M429" s="35">
        <f>IF($L429="","",INT($L429/1000000000))</f>
        <v/>
      </c>
      <c r="N429" s="35">
        <f>IF($L429="","",INT(($L429-INT($L429/1000000)*1000000)/1000))</f>
        <v/>
      </c>
      <c r="O429" s="35">
        <f>IF($L429="","",$L429-INT($L429/1000)*1000)</f>
        <v/>
      </c>
      <c r="P429" s="35">
        <f>IF($L429="","",INT(($L429-INT($L429/1000000000)*1000000000)/100000000))</f>
        <v/>
      </c>
    </row>
    <row r="430">
      <c r="B430" s="39">
        <f>IF($L430="","",$M430)</f>
        <v/>
      </c>
      <c r="C430" s="18">
        <f>IF($L430="","",INDEX(HSTECH!$C$7:$C$46,$N430))</f>
        <v/>
      </c>
      <c r="D430" s="18">
        <f>IF($L430="","",INDEX(HSTECH!$D$7:$D$46,$N430))</f>
        <v/>
      </c>
      <c r="E430" s="40">
        <f>IF($L430="","",IF($P430=0,"TBA",IFERROR(INDEX(Grids!$C$116:$BO$155,$N430,$O430),"-")))</f>
        <v/>
      </c>
      <c r="F430" s="18">
        <f>IF($L430="","",INDEX(HSTECH!$F$7:$F$46,$N430))</f>
        <v/>
      </c>
      <c r="G430" s="40">
        <f>IF($L430="","",IF($P430=0,"TBA",IFERROR(INDEX(Grids!$BQ$116:$EC$155,$N430,$O430),"-")))</f>
        <v/>
      </c>
      <c r="H430" s="41">
        <f>IF($L430="","",SUM($G$316:$G430))</f>
        <v/>
      </c>
      <c r="I430" s="42">
        <f>IF($L430="","",IF(INT(($L430-INT($L430/10000000)*10000000)/1000000)=0,"Bloomberg projection",IF($P430=1,"ANNOUNCED","ANNOUNCED - amount TBA")))</f>
        <v/>
      </c>
      <c r="J430" s="43">
        <f>IF($L430="","",IF((OV_SWITCH="ON")*(COUNTIFS(OVR_TICKERS,INDEX(HSTECH!$C$7:$C$46,$N430),OVR_BASE,"&gt;=0")&gt;0)&gt;0,"stock overridden",""))</f>
        <v/>
      </c>
      <c r="L430" s="35">
        <f>IFERROR(IF(SMALL(Grids!$EE$116:$GQ$155,$M$313+115)&gt;=PEND_TO,"",SMALL(Grids!$EE$116:$GQ$155,$M$313+115)),"")</f>
        <v/>
      </c>
      <c r="M430" s="35">
        <f>IF($L430="","",INT($L430/1000000000))</f>
        <v/>
      </c>
      <c r="N430" s="35">
        <f>IF($L430="","",INT(($L430-INT($L430/1000000)*1000000)/1000))</f>
        <v/>
      </c>
      <c r="O430" s="35">
        <f>IF($L430="","",$L430-INT($L430/1000)*1000)</f>
        <v/>
      </c>
      <c r="P430" s="35">
        <f>IF($L430="","",INT(($L430-INT($L430/1000000000)*1000000000)/100000000))</f>
        <v/>
      </c>
    </row>
    <row r="431">
      <c r="B431" s="39">
        <f>IF($L431="","",$M431)</f>
        <v/>
      </c>
      <c r="C431" s="18">
        <f>IF($L431="","",INDEX(HSTECH!$C$7:$C$46,$N431))</f>
        <v/>
      </c>
      <c r="D431" s="18">
        <f>IF($L431="","",INDEX(HSTECH!$D$7:$D$46,$N431))</f>
        <v/>
      </c>
      <c r="E431" s="40">
        <f>IF($L431="","",IF($P431=0,"TBA",IFERROR(INDEX(Grids!$C$116:$BO$155,$N431,$O431),"-")))</f>
        <v/>
      </c>
      <c r="F431" s="18">
        <f>IF($L431="","",INDEX(HSTECH!$F$7:$F$46,$N431))</f>
        <v/>
      </c>
      <c r="G431" s="40">
        <f>IF($L431="","",IF($P431=0,"TBA",IFERROR(INDEX(Grids!$BQ$116:$EC$155,$N431,$O431),"-")))</f>
        <v/>
      </c>
      <c r="H431" s="41">
        <f>IF($L431="","",SUM($G$316:$G431))</f>
        <v/>
      </c>
      <c r="I431" s="42">
        <f>IF($L431="","",IF(INT(($L431-INT($L431/10000000)*10000000)/1000000)=0,"Bloomberg projection",IF($P431=1,"ANNOUNCED","ANNOUNCED - amount TBA")))</f>
        <v/>
      </c>
      <c r="J431" s="43">
        <f>IF($L431="","",IF((OV_SWITCH="ON")*(COUNTIFS(OVR_TICKERS,INDEX(HSTECH!$C$7:$C$46,$N431),OVR_BASE,"&gt;=0")&gt;0)&gt;0,"stock overridden",""))</f>
        <v/>
      </c>
      <c r="L431" s="35">
        <f>IFERROR(IF(SMALL(Grids!$EE$116:$GQ$155,$M$313+116)&gt;=PEND_TO,"",SMALL(Grids!$EE$116:$GQ$155,$M$313+116)),"")</f>
        <v/>
      </c>
      <c r="M431" s="35">
        <f>IF($L431="","",INT($L431/1000000000))</f>
        <v/>
      </c>
      <c r="N431" s="35">
        <f>IF($L431="","",INT(($L431-INT($L431/1000000)*1000000)/1000))</f>
        <v/>
      </c>
      <c r="O431" s="35">
        <f>IF($L431="","",$L431-INT($L431/1000)*1000)</f>
        <v/>
      </c>
      <c r="P431" s="35">
        <f>IF($L431="","",INT(($L431-INT($L431/1000000000)*1000000000)/100000000))</f>
        <v/>
      </c>
    </row>
    <row r="432">
      <c r="B432" s="39">
        <f>IF($L432="","",$M432)</f>
        <v/>
      </c>
      <c r="C432" s="18">
        <f>IF($L432="","",INDEX(HSTECH!$C$7:$C$46,$N432))</f>
        <v/>
      </c>
      <c r="D432" s="18">
        <f>IF($L432="","",INDEX(HSTECH!$D$7:$D$46,$N432))</f>
        <v/>
      </c>
      <c r="E432" s="40">
        <f>IF($L432="","",IF($P432=0,"TBA",IFERROR(INDEX(Grids!$C$116:$BO$155,$N432,$O432),"-")))</f>
        <v/>
      </c>
      <c r="F432" s="18">
        <f>IF($L432="","",INDEX(HSTECH!$F$7:$F$46,$N432))</f>
        <v/>
      </c>
      <c r="G432" s="40">
        <f>IF($L432="","",IF($P432=0,"TBA",IFERROR(INDEX(Grids!$BQ$116:$EC$155,$N432,$O432),"-")))</f>
        <v/>
      </c>
      <c r="H432" s="41">
        <f>IF($L432="","",SUM($G$316:$G432))</f>
        <v/>
      </c>
      <c r="I432" s="42">
        <f>IF($L432="","",IF(INT(($L432-INT($L432/10000000)*10000000)/1000000)=0,"Bloomberg projection",IF($P432=1,"ANNOUNCED","ANNOUNCED - amount TBA")))</f>
        <v/>
      </c>
      <c r="J432" s="43">
        <f>IF($L432="","",IF((OV_SWITCH="ON")*(COUNTIFS(OVR_TICKERS,INDEX(HSTECH!$C$7:$C$46,$N432),OVR_BASE,"&gt;=0")&gt;0)&gt;0,"stock overridden",""))</f>
        <v/>
      </c>
      <c r="L432" s="35">
        <f>IFERROR(IF(SMALL(Grids!$EE$116:$GQ$155,$M$313+117)&gt;=PEND_TO,"",SMALL(Grids!$EE$116:$GQ$155,$M$313+117)),"")</f>
        <v/>
      </c>
      <c r="M432" s="35">
        <f>IF($L432="","",INT($L432/1000000000))</f>
        <v/>
      </c>
      <c r="N432" s="35">
        <f>IF($L432="","",INT(($L432-INT($L432/1000000)*1000000)/1000))</f>
        <v/>
      </c>
      <c r="O432" s="35">
        <f>IF($L432="","",$L432-INT($L432/1000)*1000)</f>
        <v/>
      </c>
      <c r="P432" s="35">
        <f>IF($L432="","",INT(($L432-INT($L432/1000000000)*1000000000)/100000000))</f>
        <v/>
      </c>
    </row>
    <row r="433">
      <c r="B433" s="39">
        <f>IF($L433="","",$M433)</f>
        <v/>
      </c>
      <c r="C433" s="18">
        <f>IF($L433="","",INDEX(HSTECH!$C$7:$C$46,$N433))</f>
        <v/>
      </c>
      <c r="D433" s="18">
        <f>IF($L433="","",INDEX(HSTECH!$D$7:$D$46,$N433))</f>
        <v/>
      </c>
      <c r="E433" s="40">
        <f>IF($L433="","",IF($P433=0,"TBA",IFERROR(INDEX(Grids!$C$116:$BO$155,$N433,$O433),"-")))</f>
        <v/>
      </c>
      <c r="F433" s="18">
        <f>IF($L433="","",INDEX(HSTECH!$F$7:$F$46,$N433))</f>
        <v/>
      </c>
      <c r="G433" s="40">
        <f>IF($L433="","",IF($P433=0,"TBA",IFERROR(INDEX(Grids!$BQ$116:$EC$155,$N433,$O433),"-")))</f>
        <v/>
      </c>
      <c r="H433" s="41">
        <f>IF($L433="","",SUM($G$316:$G433))</f>
        <v/>
      </c>
      <c r="I433" s="42">
        <f>IF($L433="","",IF(INT(($L433-INT($L433/10000000)*10000000)/1000000)=0,"Bloomberg projection",IF($P433=1,"ANNOUNCED","ANNOUNCED - amount TBA")))</f>
        <v/>
      </c>
      <c r="J433" s="43">
        <f>IF($L433="","",IF((OV_SWITCH="ON")*(COUNTIFS(OVR_TICKERS,INDEX(HSTECH!$C$7:$C$46,$N433),OVR_BASE,"&gt;=0")&gt;0)&gt;0,"stock overridden",""))</f>
        <v/>
      </c>
      <c r="L433" s="35">
        <f>IFERROR(IF(SMALL(Grids!$EE$116:$GQ$155,$M$313+118)&gt;=PEND_TO,"",SMALL(Grids!$EE$116:$GQ$155,$M$313+118)),"")</f>
        <v/>
      </c>
      <c r="M433" s="35">
        <f>IF($L433="","",INT($L433/1000000000))</f>
        <v/>
      </c>
      <c r="N433" s="35">
        <f>IF($L433="","",INT(($L433-INT($L433/1000000)*1000000)/1000))</f>
        <v/>
      </c>
      <c r="O433" s="35">
        <f>IF($L433="","",$L433-INT($L433/1000)*1000)</f>
        <v/>
      </c>
      <c r="P433" s="35">
        <f>IF($L433="","",INT(($L433-INT($L433/1000000000)*1000000000)/100000000))</f>
        <v/>
      </c>
    </row>
    <row r="434">
      <c r="B434" s="39">
        <f>IF($L434="","",$M434)</f>
        <v/>
      </c>
      <c r="C434" s="18">
        <f>IF($L434="","",INDEX(HSTECH!$C$7:$C$46,$N434))</f>
        <v/>
      </c>
      <c r="D434" s="18">
        <f>IF($L434="","",INDEX(HSTECH!$D$7:$D$46,$N434))</f>
        <v/>
      </c>
      <c r="E434" s="40">
        <f>IF($L434="","",IF($P434=0,"TBA",IFERROR(INDEX(Grids!$C$116:$BO$155,$N434,$O434),"-")))</f>
        <v/>
      </c>
      <c r="F434" s="18">
        <f>IF($L434="","",INDEX(HSTECH!$F$7:$F$46,$N434))</f>
        <v/>
      </c>
      <c r="G434" s="40">
        <f>IF($L434="","",IF($P434=0,"TBA",IFERROR(INDEX(Grids!$BQ$116:$EC$155,$N434,$O434),"-")))</f>
        <v/>
      </c>
      <c r="H434" s="41">
        <f>IF($L434="","",SUM($G$316:$G434))</f>
        <v/>
      </c>
      <c r="I434" s="42">
        <f>IF($L434="","",IF(INT(($L434-INT($L434/10000000)*10000000)/1000000)=0,"Bloomberg projection",IF($P434=1,"ANNOUNCED","ANNOUNCED - amount TBA")))</f>
        <v/>
      </c>
      <c r="J434" s="43">
        <f>IF($L434="","",IF((OV_SWITCH="ON")*(COUNTIFS(OVR_TICKERS,INDEX(HSTECH!$C$7:$C$46,$N434),OVR_BASE,"&gt;=0")&gt;0)&gt;0,"stock overridden",""))</f>
        <v/>
      </c>
      <c r="L434" s="35">
        <f>IFERROR(IF(SMALL(Grids!$EE$116:$GQ$155,$M$313+119)&gt;=PEND_TO,"",SMALL(Grids!$EE$116:$GQ$155,$M$313+119)),"")</f>
        <v/>
      </c>
      <c r="M434" s="35">
        <f>IF($L434="","",INT($L434/1000000000))</f>
        <v/>
      </c>
      <c r="N434" s="35">
        <f>IF($L434="","",INT(($L434-INT($L434/1000000)*1000000)/1000))</f>
        <v/>
      </c>
      <c r="O434" s="35">
        <f>IF($L434="","",$L434-INT($L434/1000)*1000)</f>
        <v/>
      </c>
      <c r="P434" s="35">
        <f>IF($L434="","",INT(($L434-INT($L434/1000000000)*1000000000)/100000000))</f>
        <v/>
      </c>
    </row>
    <row r="435">
      <c r="B435" s="39">
        <f>IF($L435="","",$M435)</f>
        <v/>
      </c>
      <c r="C435" s="18">
        <f>IF($L435="","",INDEX(HSTECH!$C$7:$C$46,$N435))</f>
        <v/>
      </c>
      <c r="D435" s="18">
        <f>IF($L435="","",INDEX(HSTECH!$D$7:$D$46,$N435))</f>
        <v/>
      </c>
      <c r="E435" s="40">
        <f>IF($L435="","",IF($P435=0,"TBA",IFERROR(INDEX(Grids!$C$116:$BO$155,$N435,$O435),"-")))</f>
        <v/>
      </c>
      <c r="F435" s="18">
        <f>IF($L435="","",INDEX(HSTECH!$F$7:$F$46,$N435))</f>
        <v/>
      </c>
      <c r="G435" s="40">
        <f>IF($L435="","",IF($P435=0,"TBA",IFERROR(INDEX(Grids!$BQ$116:$EC$155,$N435,$O435),"-")))</f>
        <v/>
      </c>
      <c r="H435" s="41">
        <f>IF($L435="","",SUM($G$316:$G435))</f>
        <v/>
      </c>
      <c r="I435" s="42">
        <f>IF($L435="","",IF(INT(($L435-INT($L435/10000000)*10000000)/1000000)=0,"Bloomberg projection",IF($P435=1,"ANNOUNCED","ANNOUNCED - amount TBA")))</f>
        <v/>
      </c>
      <c r="J435" s="43">
        <f>IF($L435="","",IF((OV_SWITCH="ON")*(COUNTIFS(OVR_TICKERS,INDEX(HSTECH!$C$7:$C$46,$N435),OVR_BASE,"&gt;=0")&gt;0)&gt;0,"stock overridden",""))</f>
        <v/>
      </c>
      <c r="L435" s="35">
        <f>IFERROR(IF(SMALL(Grids!$EE$116:$GQ$155,$M$313+120)&gt;=PEND_TO,"",SMALL(Grids!$EE$116:$GQ$155,$M$313+120)),"")</f>
        <v/>
      </c>
      <c r="M435" s="35">
        <f>IF($L435="","",INT($L435/1000000000))</f>
        <v/>
      </c>
      <c r="N435" s="35">
        <f>IF($L435="","",INT(($L435-INT($L435/1000000)*1000000)/1000))</f>
        <v/>
      </c>
      <c r="O435" s="35">
        <f>IF($L435="","",$L435-INT($L435/1000)*1000)</f>
        <v/>
      </c>
      <c r="P435" s="35">
        <f>IF($L435="","",INT(($L435-INT($L435/1000000000)*1000000000)/100000000))</f>
        <v/>
      </c>
    </row>
    <row r="438">
      <c r="B438" s="3" t="inlineStr">
        <is>
          <t>Hang Seng China Enterprises (HSCEI)</t>
        </is>
      </c>
      <c r="C438" s="4" t="n"/>
      <c r="D438" s="4" t="n"/>
      <c r="E438" s="4" t="n"/>
      <c r="F438" s="4" t="n"/>
      <c r="G438" s="4" t="n"/>
      <c r="H438" s="4" t="n"/>
      <c r="I438" s="4" t="n"/>
      <c r="J438" s="4" t="n"/>
    </row>
    <row r="439">
      <c r="B439" s="2" t="inlineStr">
        <is>
          <t>Events pending</t>
        </is>
      </c>
      <c r="C439" s="36">
        <f>COUNTIFS(Grids!$EE$160:$GQ$219,"&gt;="&amp;PEND_FROM,Grids!$EE$160:$GQ$219,"&lt;"&amp;PEND_TO)</f>
        <v/>
      </c>
      <c r="D439" s="37">
        <f>IF($C$439&gt;180,"LIST TRUNCATED - showing the first 180; the model still counts all of them.","all listed below")</f>
        <v/>
      </c>
      <c r="L439" s="2" t="inlineStr">
        <is>
          <t>offset</t>
        </is>
      </c>
      <c r="M439" s="38">
        <f>COUNTIF(Grids!$EE$160:$GQ$219,"&lt;"&amp;PEND_FROM)</f>
        <v/>
      </c>
    </row>
    <row r="441">
      <c r="B441" s="19" t="inlineStr">
        <is>
          <t>Ex-date</t>
        </is>
      </c>
      <c r="C441" s="19" t="inlineStr">
        <is>
          <t>Ticker</t>
        </is>
      </c>
      <c r="D441" s="19" t="inlineStr">
        <is>
          <t>Name</t>
        </is>
      </c>
      <c r="E441" s="19" t="inlineStr">
        <is>
          <t>DPS
(declared ccy)</t>
        </is>
      </c>
      <c r="F441" s="19" t="inlineStr">
        <is>
          <t>CCY</t>
        </is>
      </c>
      <c r="G441" s="19" t="inlineStr">
        <is>
          <t>Index
pts</t>
        </is>
      </c>
      <c r="H441" s="19" t="inlineStr">
        <is>
          <t>Cumulative
pts</t>
        </is>
      </c>
      <c r="I441" s="19" t="inlineStr">
        <is>
          <t>Status</t>
        </is>
      </c>
      <c r="J441" s="19" t="inlineStr">
        <is>
          <t>Your override?</t>
        </is>
      </c>
      <c r="L441" s="2" t="inlineStr">
        <is>
          <t>engine</t>
        </is>
      </c>
    </row>
    <row r="442">
      <c r="B442" s="39">
        <f>IF($L442="","",$M442)</f>
        <v/>
      </c>
      <c r="C442" s="18">
        <f>IF($L442="","",INDEX(HSCEI!$C$7:$C$66,$N442))</f>
        <v/>
      </c>
      <c r="D442" s="18">
        <f>IF($L442="","",INDEX(HSCEI!$D$7:$D$66,$N442))</f>
        <v/>
      </c>
      <c r="E442" s="40">
        <f>IF($L442="","",IF($P442=0,"TBA",IFERROR(INDEX(Grids!$C$160:$BO$219,$N442,$O442),"-")))</f>
        <v/>
      </c>
      <c r="F442" s="18">
        <f>IF($L442="","",INDEX(HSCEI!$F$7:$F$66,$N442))</f>
        <v/>
      </c>
      <c r="G442" s="40">
        <f>IF($L442="","",IF($P442=0,"TBA",IFERROR(INDEX(Grids!$BQ$160:$EC$219,$N442,$O442),"-")))</f>
        <v/>
      </c>
      <c r="H442" s="41">
        <f>IF($L442="","",SUM($G$442:$G442))</f>
        <v/>
      </c>
      <c r="I442" s="42">
        <f>IF($L442="","",IF(INT(($L442-INT($L442/10000000)*10000000)/1000000)=0,"Bloomberg projection",IF($P442=1,"ANNOUNCED","ANNOUNCED - amount TBA")))</f>
        <v/>
      </c>
      <c r="J442" s="43">
        <f>IF($L442="","",IF((OV_SWITCH="ON")*(COUNTIFS(OVR_TICKERS,INDEX(HSCEI!$C$7:$C$66,$N442),OVR_BASE,"&gt;=0")&gt;0)&gt;0,"stock overridden",""))</f>
        <v/>
      </c>
      <c r="L442" s="35">
        <f>IFERROR(IF(SMALL(Grids!$EE$160:$GQ$219,$M$439+1)&gt;=PEND_TO,"",SMALL(Grids!$EE$160:$GQ$219,$M$439+1)),"")</f>
        <v/>
      </c>
      <c r="M442" s="35">
        <f>IF($L442="","",INT($L442/1000000000))</f>
        <v/>
      </c>
      <c r="N442" s="35">
        <f>IF($L442="","",INT(($L442-INT($L442/1000000)*1000000)/1000))</f>
        <v/>
      </c>
      <c r="O442" s="35">
        <f>IF($L442="","",$L442-INT($L442/1000)*1000)</f>
        <v/>
      </c>
      <c r="P442" s="35">
        <f>IF($L442="","",INT(($L442-INT($L442/1000000000)*1000000000)/100000000))</f>
        <v/>
      </c>
    </row>
    <row r="443">
      <c r="B443" s="39">
        <f>IF($L443="","",$M443)</f>
        <v/>
      </c>
      <c r="C443" s="18">
        <f>IF($L443="","",INDEX(HSCEI!$C$7:$C$66,$N443))</f>
        <v/>
      </c>
      <c r="D443" s="18">
        <f>IF($L443="","",INDEX(HSCEI!$D$7:$D$66,$N443))</f>
        <v/>
      </c>
      <c r="E443" s="40">
        <f>IF($L443="","",IF($P443=0,"TBA",IFERROR(INDEX(Grids!$C$160:$BO$219,$N443,$O443),"-")))</f>
        <v/>
      </c>
      <c r="F443" s="18">
        <f>IF($L443="","",INDEX(HSCEI!$F$7:$F$66,$N443))</f>
        <v/>
      </c>
      <c r="G443" s="40">
        <f>IF($L443="","",IF($P443=0,"TBA",IFERROR(INDEX(Grids!$BQ$160:$EC$219,$N443,$O443),"-")))</f>
        <v/>
      </c>
      <c r="H443" s="41">
        <f>IF($L443="","",SUM($G$442:$G443))</f>
        <v/>
      </c>
      <c r="I443" s="42">
        <f>IF($L443="","",IF(INT(($L443-INT($L443/10000000)*10000000)/1000000)=0,"Bloomberg projection",IF($P443=1,"ANNOUNCED","ANNOUNCED - amount TBA")))</f>
        <v/>
      </c>
      <c r="J443" s="43">
        <f>IF($L443="","",IF((OV_SWITCH="ON")*(COUNTIFS(OVR_TICKERS,INDEX(HSCEI!$C$7:$C$66,$N443),OVR_BASE,"&gt;=0")&gt;0)&gt;0,"stock overridden",""))</f>
        <v/>
      </c>
      <c r="L443" s="35">
        <f>IFERROR(IF(SMALL(Grids!$EE$160:$GQ$219,$M$439+2)&gt;=PEND_TO,"",SMALL(Grids!$EE$160:$GQ$219,$M$439+2)),"")</f>
        <v/>
      </c>
      <c r="M443" s="35">
        <f>IF($L443="","",INT($L443/1000000000))</f>
        <v/>
      </c>
      <c r="N443" s="35">
        <f>IF($L443="","",INT(($L443-INT($L443/1000000)*1000000)/1000))</f>
        <v/>
      </c>
      <c r="O443" s="35">
        <f>IF($L443="","",$L443-INT($L443/1000)*1000)</f>
        <v/>
      </c>
      <c r="P443" s="35">
        <f>IF($L443="","",INT(($L443-INT($L443/1000000000)*1000000000)/100000000))</f>
        <v/>
      </c>
    </row>
    <row r="444">
      <c r="B444" s="39">
        <f>IF($L444="","",$M444)</f>
        <v/>
      </c>
      <c r="C444" s="18">
        <f>IF($L444="","",INDEX(HSCEI!$C$7:$C$66,$N444))</f>
        <v/>
      </c>
      <c r="D444" s="18">
        <f>IF($L444="","",INDEX(HSCEI!$D$7:$D$66,$N444))</f>
        <v/>
      </c>
      <c r="E444" s="40">
        <f>IF($L444="","",IF($P444=0,"TBA",IFERROR(INDEX(Grids!$C$160:$BO$219,$N444,$O444),"-")))</f>
        <v/>
      </c>
      <c r="F444" s="18">
        <f>IF($L444="","",INDEX(HSCEI!$F$7:$F$66,$N444))</f>
        <v/>
      </c>
      <c r="G444" s="40">
        <f>IF($L444="","",IF($P444=0,"TBA",IFERROR(INDEX(Grids!$BQ$160:$EC$219,$N444,$O444),"-")))</f>
        <v/>
      </c>
      <c r="H444" s="41">
        <f>IF($L444="","",SUM($G$442:$G444))</f>
        <v/>
      </c>
      <c r="I444" s="42">
        <f>IF($L444="","",IF(INT(($L444-INT($L444/10000000)*10000000)/1000000)=0,"Bloomberg projection",IF($P444=1,"ANNOUNCED","ANNOUNCED - amount TBA")))</f>
        <v/>
      </c>
      <c r="J444" s="43">
        <f>IF($L444="","",IF((OV_SWITCH="ON")*(COUNTIFS(OVR_TICKERS,INDEX(HSCEI!$C$7:$C$66,$N444),OVR_BASE,"&gt;=0")&gt;0)&gt;0,"stock overridden",""))</f>
        <v/>
      </c>
      <c r="L444" s="35">
        <f>IFERROR(IF(SMALL(Grids!$EE$160:$GQ$219,$M$439+3)&gt;=PEND_TO,"",SMALL(Grids!$EE$160:$GQ$219,$M$439+3)),"")</f>
        <v/>
      </c>
      <c r="M444" s="35">
        <f>IF($L444="","",INT($L444/1000000000))</f>
        <v/>
      </c>
      <c r="N444" s="35">
        <f>IF($L444="","",INT(($L444-INT($L444/1000000)*1000000)/1000))</f>
        <v/>
      </c>
      <c r="O444" s="35">
        <f>IF($L444="","",$L444-INT($L444/1000)*1000)</f>
        <v/>
      </c>
      <c r="P444" s="35">
        <f>IF($L444="","",INT(($L444-INT($L444/1000000000)*1000000000)/100000000))</f>
        <v/>
      </c>
    </row>
    <row r="445">
      <c r="B445" s="39">
        <f>IF($L445="","",$M445)</f>
        <v/>
      </c>
      <c r="C445" s="18">
        <f>IF($L445="","",INDEX(HSCEI!$C$7:$C$66,$N445))</f>
        <v/>
      </c>
      <c r="D445" s="18">
        <f>IF($L445="","",INDEX(HSCEI!$D$7:$D$66,$N445))</f>
        <v/>
      </c>
      <c r="E445" s="40">
        <f>IF($L445="","",IF($P445=0,"TBA",IFERROR(INDEX(Grids!$C$160:$BO$219,$N445,$O445),"-")))</f>
        <v/>
      </c>
      <c r="F445" s="18">
        <f>IF($L445="","",INDEX(HSCEI!$F$7:$F$66,$N445))</f>
        <v/>
      </c>
      <c r="G445" s="40">
        <f>IF($L445="","",IF($P445=0,"TBA",IFERROR(INDEX(Grids!$BQ$160:$EC$219,$N445,$O445),"-")))</f>
        <v/>
      </c>
      <c r="H445" s="41">
        <f>IF($L445="","",SUM($G$442:$G445))</f>
        <v/>
      </c>
      <c r="I445" s="42">
        <f>IF($L445="","",IF(INT(($L445-INT($L445/10000000)*10000000)/1000000)=0,"Bloomberg projection",IF($P445=1,"ANNOUNCED","ANNOUNCED - amount TBA")))</f>
        <v/>
      </c>
      <c r="J445" s="43">
        <f>IF($L445="","",IF((OV_SWITCH="ON")*(COUNTIFS(OVR_TICKERS,INDEX(HSCEI!$C$7:$C$66,$N445),OVR_BASE,"&gt;=0")&gt;0)&gt;0,"stock overridden",""))</f>
        <v/>
      </c>
      <c r="L445" s="35">
        <f>IFERROR(IF(SMALL(Grids!$EE$160:$GQ$219,$M$439+4)&gt;=PEND_TO,"",SMALL(Grids!$EE$160:$GQ$219,$M$439+4)),"")</f>
        <v/>
      </c>
      <c r="M445" s="35">
        <f>IF($L445="","",INT($L445/1000000000))</f>
        <v/>
      </c>
      <c r="N445" s="35">
        <f>IF($L445="","",INT(($L445-INT($L445/1000000)*1000000)/1000))</f>
        <v/>
      </c>
      <c r="O445" s="35">
        <f>IF($L445="","",$L445-INT($L445/1000)*1000)</f>
        <v/>
      </c>
      <c r="P445" s="35">
        <f>IF($L445="","",INT(($L445-INT($L445/1000000000)*1000000000)/100000000))</f>
        <v/>
      </c>
    </row>
    <row r="446">
      <c r="B446" s="39">
        <f>IF($L446="","",$M446)</f>
        <v/>
      </c>
      <c r="C446" s="18">
        <f>IF($L446="","",INDEX(HSCEI!$C$7:$C$66,$N446))</f>
        <v/>
      </c>
      <c r="D446" s="18">
        <f>IF($L446="","",INDEX(HSCEI!$D$7:$D$66,$N446))</f>
        <v/>
      </c>
      <c r="E446" s="40">
        <f>IF($L446="","",IF($P446=0,"TBA",IFERROR(INDEX(Grids!$C$160:$BO$219,$N446,$O446),"-")))</f>
        <v/>
      </c>
      <c r="F446" s="18">
        <f>IF($L446="","",INDEX(HSCEI!$F$7:$F$66,$N446))</f>
        <v/>
      </c>
      <c r="G446" s="40">
        <f>IF($L446="","",IF($P446=0,"TBA",IFERROR(INDEX(Grids!$BQ$160:$EC$219,$N446,$O446),"-")))</f>
        <v/>
      </c>
      <c r="H446" s="41">
        <f>IF($L446="","",SUM($G$442:$G446))</f>
        <v/>
      </c>
      <c r="I446" s="42">
        <f>IF($L446="","",IF(INT(($L446-INT($L446/10000000)*10000000)/1000000)=0,"Bloomberg projection",IF($P446=1,"ANNOUNCED","ANNOUNCED - amount TBA")))</f>
        <v/>
      </c>
      <c r="J446" s="43">
        <f>IF($L446="","",IF((OV_SWITCH="ON")*(COUNTIFS(OVR_TICKERS,INDEX(HSCEI!$C$7:$C$66,$N446),OVR_BASE,"&gt;=0")&gt;0)&gt;0,"stock overridden",""))</f>
        <v/>
      </c>
      <c r="L446" s="35">
        <f>IFERROR(IF(SMALL(Grids!$EE$160:$GQ$219,$M$439+5)&gt;=PEND_TO,"",SMALL(Grids!$EE$160:$GQ$219,$M$439+5)),"")</f>
        <v/>
      </c>
      <c r="M446" s="35">
        <f>IF($L446="","",INT($L446/1000000000))</f>
        <v/>
      </c>
      <c r="N446" s="35">
        <f>IF($L446="","",INT(($L446-INT($L446/1000000)*1000000)/1000))</f>
        <v/>
      </c>
      <c r="O446" s="35">
        <f>IF($L446="","",$L446-INT($L446/1000)*1000)</f>
        <v/>
      </c>
      <c r="P446" s="35">
        <f>IF($L446="","",INT(($L446-INT($L446/1000000000)*1000000000)/100000000))</f>
        <v/>
      </c>
    </row>
    <row r="447">
      <c r="B447" s="39">
        <f>IF($L447="","",$M447)</f>
        <v/>
      </c>
      <c r="C447" s="18">
        <f>IF($L447="","",INDEX(HSCEI!$C$7:$C$66,$N447))</f>
        <v/>
      </c>
      <c r="D447" s="18">
        <f>IF($L447="","",INDEX(HSCEI!$D$7:$D$66,$N447))</f>
        <v/>
      </c>
      <c r="E447" s="40">
        <f>IF($L447="","",IF($P447=0,"TBA",IFERROR(INDEX(Grids!$C$160:$BO$219,$N447,$O447),"-")))</f>
        <v/>
      </c>
      <c r="F447" s="18">
        <f>IF($L447="","",INDEX(HSCEI!$F$7:$F$66,$N447))</f>
        <v/>
      </c>
      <c r="G447" s="40">
        <f>IF($L447="","",IF($P447=0,"TBA",IFERROR(INDEX(Grids!$BQ$160:$EC$219,$N447,$O447),"-")))</f>
        <v/>
      </c>
      <c r="H447" s="41">
        <f>IF($L447="","",SUM($G$442:$G447))</f>
        <v/>
      </c>
      <c r="I447" s="42">
        <f>IF($L447="","",IF(INT(($L447-INT($L447/10000000)*10000000)/1000000)=0,"Bloomberg projection",IF($P447=1,"ANNOUNCED","ANNOUNCED - amount TBA")))</f>
        <v/>
      </c>
      <c r="J447" s="43">
        <f>IF($L447="","",IF((OV_SWITCH="ON")*(COUNTIFS(OVR_TICKERS,INDEX(HSCEI!$C$7:$C$66,$N447),OVR_BASE,"&gt;=0")&gt;0)&gt;0,"stock overridden",""))</f>
        <v/>
      </c>
      <c r="L447" s="35">
        <f>IFERROR(IF(SMALL(Grids!$EE$160:$GQ$219,$M$439+6)&gt;=PEND_TO,"",SMALL(Grids!$EE$160:$GQ$219,$M$439+6)),"")</f>
        <v/>
      </c>
      <c r="M447" s="35">
        <f>IF($L447="","",INT($L447/1000000000))</f>
        <v/>
      </c>
      <c r="N447" s="35">
        <f>IF($L447="","",INT(($L447-INT($L447/1000000)*1000000)/1000))</f>
        <v/>
      </c>
      <c r="O447" s="35">
        <f>IF($L447="","",$L447-INT($L447/1000)*1000)</f>
        <v/>
      </c>
      <c r="P447" s="35">
        <f>IF($L447="","",INT(($L447-INT($L447/1000000000)*1000000000)/100000000))</f>
        <v/>
      </c>
    </row>
    <row r="448">
      <c r="B448" s="39">
        <f>IF($L448="","",$M448)</f>
        <v/>
      </c>
      <c r="C448" s="18">
        <f>IF($L448="","",INDEX(HSCEI!$C$7:$C$66,$N448))</f>
        <v/>
      </c>
      <c r="D448" s="18">
        <f>IF($L448="","",INDEX(HSCEI!$D$7:$D$66,$N448))</f>
        <v/>
      </c>
      <c r="E448" s="40">
        <f>IF($L448="","",IF($P448=0,"TBA",IFERROR(INDEX(Grids!$C$160:$BO$219,$N448,$O448),"-")))</f>
        <v/>
      </c>
      <c r="F448" s="18">
        <f>IF($L448="","",INDEX(HSCEI!$F$7:$F$66,$N448))</f>
        <v/>
      </c>
      <c r="G448" s="40">
        <f>IF($L448="","",IF($P448=0,"TBA",IFERROR(INDEX(Grids!$BQ$160:$EC$219,$N448,$O448),"-")))</f>
        <v/>
      </c>
      <c r="H448" s="41">
        <f>IF($L448="","",SUM($G$442:$G448))</f>
        <v/>
      </c>
      <c r="I448" s="42">
        <f>IF($L448="","",IF(INT(($L448-INT($L448/10000000)*10000000)/1000000)=0,"Bloomberg projection",IF($P448=1,"ANNOUNCED","ANNOUNCED - amount TBA")))</f>
        <v/>
      </c>
      <c r="J448" s="43">
        <f>IF($L448="","",IF((OV_SWITCH="ON")*(COUNTIFS(OVR_TICKERS,INDEX(HSCEI!$C$7:$C$66,$N448),OVR_BASE,"&gt;=0")&gt;0)&gt;0,"stock overridden",""))</f>
        <v/>
      </c>
      <c r="L448" s="35">
        <f>IFERROR(IF(SMALL(Grids!$EE$160:$GQ$219,$M$439+7)&gt;=PEND_TO,"",SMALL(Grids!$EE$160:$GQ$219,$M$439+7)),"")</f>
        <v/>
      </c>
      <c r="M448" s="35">
        <f>IF($L448="","",INT($L448/1000000000))</f>
        <v/>
      </c>
      <c r="N448" s="35">
        <f>IF($L448="","",INT(($L448-INT($L448/1000000)*1000000)/1000))</f>
        <v/>
      </c>
      <c r="O448" s="35">
        <f>IF($L448="","",$L448-INT($L448/1000)*1000)</f>
        <v/>
      </c>
      <c r="P448" s="35">
        <f>IF($L448="","",INT(($L448-INT($L448/1000000000)*1000000000)/100000000))</f>
        <v/>
      </c>
    </row>
    <row r="449">
      <c r="B449" s="39">
        <f>IF($L449="","",$M449)</f>
        <v/>
      </c>
      <c r="C449" s="18">
        <f>IF($L449="","",INDEX(HSCEI!$C$7:$C$66,$N449))</f>
        <v/>
      </c>
      <c r="D449" s="18">
        <f>IF($L449="","",INDEX(HSCEI!$D$7:$D$66,$N449))</f>
        <v/>
      </c>
      <c r="E449" s="40">
        <f>IF($L449="","",IF($P449=0,"TBA",IFERROR(INDEX(Grids!$C$160:$BO$219,$N449,$O449),"-")))</f>
        <v/>
      </c>
      <c r="F449" s="18">
        <f>IF($L449="","",INDEX(HSCEI!$F$7:$F$66,$N449))</f>
        <v/>
      </c>
      <c r="G449" s="40">
        <f>IF($L449="","",IF($P449=0,"TBA",IFERROR(INDEX(Grids!$BQ$160:$EC$219,$N449,$O449),"-")))</f>
        <v/>
      </c>
      <c r="H449" s="41">
        <f>IF($L449="","",SUM($G$442:$G449))</f>
        <v/>
      </c>
      <c r="I449" s="42">
        <f>IF($L449="","",IF(INT(($L449-INT($L449/10000000)*10000000)/1000000)=0,"Bloomberg projection",IF($P449=1,"ANNOUNCED","ANNOUNCED - amount TBA")))</f>
        <v/>
      </c>
      <c r="J449" s="43">
        <f>IF($L449="","",IF((OV_SWITCH="ON")*(COUNTIFS(OVR_TICKERS,INDEX(HSCEI!$C$7:$C$66,$N449),OVR_BASE,"&gt;=0")&gt;0)&gt;0,"stock overridden",""))</f>
        <v/>
      </c>
      <c r="L449" s="35">
        <f>IFERROR(IF(SMALL(Grids!$EE$160:$GQ$219,$M$439+8)&gt;=PEND_TO,"",SMALL(Grids!$EE$160:$GQ$219,$M$439+8)),"")</f>
        <v/>
      </c>
      <c r="M449" s="35">
        <f>IF($L449="","",INT($L449/1000000000))</f>
        <v/>
      </c>
      <c r="N449" s="35">
        <f>IF($L449="","",INT(($L449-INT($L449/1000000)*1000000)/1000))</f>
        <v/>
      </c>
      <c r="O449" s="35">
        <f>IF($L449="","",$L449-INT($L449/1000)*1000)</f>
        <v/>
      </c>
      <c r="P449" s="35">
        <f>IF($L449="","",INT(($L449-INT($L449/1000000000)*1000000000)/100000000))</f>
        <v/>
      </c>
    </row>
    <row r="450">
      <c r="B450" s="39">
        <f>IF($L450="","",$M450)</f>
        <v/>
      </c>
      <c r="C450" s="18">
        <f>IF($L450="","",INDEX(HSCEI!$C$7:$C$66,$N450))</f>
        <v/>
      </c>
      <c r="D450" s="18">
        <f>IF($L450="","",INDEX(HSCEI!$D$7:$D$66,$N450))</f>
        <v/>
      </c>
      <c r="E450" s="40">
        <f>IF($L450="","",IF($P450=0,"TBA",IFERROR(INDEX(Grids!$C$160:$BO$219,$N450,$O450),"-")))</f>
        <v/>
      </c>
      <c r="F450" s="18">
        <f>IF($L450="","",INDEX(HSCEI!$F$7:$F$66,$N450))</f>
        <v/>
      </c>
      <c r="G450" s="40">
        <f>IF($L450="","",IF($P450=0,"TBA",IFERROR(INDEX(Grids!$BQ$160:$EC$219,$N450,$O450),"-")))</f>
        <v/>
      </c>
      <c r="H450" s="41">
        <f>IF($L450="","",SUM($G$442:$G450))</f>
        <v/>
      </c>
      <c r="I450" s="42">
        <f>IF($L450="","",IF(INT(($L450-INT($L450/10000000)*10000000)/1000000)=0,"Bloomberg projection",IF($P450=1,"ANNOUNCED","ANNOUNCED - amount TBA")))</f>
        <v/>
      </c>
      <c r="J450" s="43">
        <f>IF($L450="","",IF((OV_SWITCH="ON")*(COUNTIFS(OVR_TICKERS,INDEX(HSCEI!$C$7:$C$66,$N450),OVR_BASE,"&gt;=0")&gt;0)&gt;0,"stock overridden",""))</f>
        <v/>
      </c>
      <c r="L450" s="35">
        <f>IFERROR(IF(SMALL(Grids!$EE$160:$GQ$219,$M$439+9)&gt;=PEND_TO,"",SMALL(Grids!$EE$160:$GQ$219,$M$439+9)),"")</f>
        <v/>
      </c>
      <c r="M450" s="35">
        <f>IF($L450="","",INT($L450/1000000000))</f>
        <v/>
      </c>
      <c r="N450" s="35">
        <f>IF($L450="","",INT(($L450-INT($L450/1000000)*1000000)/1000))</f>
        <v/>
      </c>
      <c r="O450" s="35">
        <f>IF($L450="","",$L450-INT($L450/1000)*1000)</f>
        <v/>
      </c>
      <c r="P450" s="35">
        <f>IF($L450="","",INT(($L450-INT($L450/1000000000)*1000000000)/100000000))</f>
        <v/>
      </c>
    </row>
    <row r="451">
      <c r="B451" s="39">
        <f>IF($L451="","",$M451)</f>
        <v/>
      </c>
      <c r="C451" s="18">
        <f>IF($L451="","",INDEX(HSCEI!$C$7:$C$66,$N451))</f>
        <v/>
      </c>
      <c r="D451" s="18">
        <f>IF($L451="","",INDEX(HSCEI!$D$7:$D$66,$N451))</f>
        <v/>
      </c>
      <c r="E451" s="40">
        <f>IF($L451="","",IF($P451=0,"TBA",IFERROR(INDEX(Grids!$C$160:$BO$219,$N451,$O451),"-")))</f>
        <v/>
      </c>
      <c r="F451" s="18">
        <f>IF($L451="","",INDEX(HSCEI!$F$7:$F$66,$N451))</f>
        <v/>
      </c>
      <c r="G451" s="40">
        <f>IF($L451="","",IF($P451=0,"TBA",IFERROR(INDEX(Grids!$BQ$160:$EC$219,$N451,$O451),"-")))</f>
        <v/>
      </c>
      <c r="H451" s="41">
        <f>IF($L451="","",SUM($G$442:$G451))</f>
        <v/>
      </c>
      <c r="I451" s="42">
        <f>IF($L451="","",IF(INT(($L451-INT($L451/10000000)*10000000)/1000000)=0,"Bloomberg projection",IF($P451=1,"ANNOUNCED","ANNOUNCED - amount TBA")))</f>
        <v/>
      </c>
      <c r="J451" s="43">
        <f>IF($L451="","",IF((OV_SWITCH="ON")*(COUNTIFS(OVR_TICKERS,INDEX(HSCEI!$C$7:$C$66,$N451),OVR_BASE,"&gt;=0")&gt;0)&gt;0,"stock overridden",""))</f>
        <v/>
      </c>
      <c r="L451" s="35">
        <f>IFERROR(IF(SMALL(Grids!$EE$160:$GQ$219,$M$439+10)&gt;=PEND_TO,"",SMALL(Grids!$EE$160:$GQ$219,$M$439+10)),"")</f>
        <v/>
      </c>
      <c r="M451" s="35">
        <f>IF($L451="","",INT($L451/1000000000))</f>
        <v/>
      </c>
      <c r="N451" s="35">
        <f>IF($L451="","",INT(($L451-INT($L451/1000000)*1000000)/1000))</f>
        <v/>
      </c>
      <c r="O451" s="35">
        <f>IF($L451="","",$L451-INT($L451/1000)*1000)</f>
        <v/>
      </c>
      <c r="P451" s="35">
        <f>IF($L451="","",INT(($L451-INT($L451/1000000000)*1000000000)/100000000))</f>
        <v/>
      </c>
    </row>
    <row r="452">
      <c r="B452" s="39">
        <f>IF($L452="","",$M452)</f>
        <v/>
      </c>
      <c r="C452" s="18">
        <f>IF($L452="","",INDEX(HSCEI!$C$7:$C$66,$N452))</f>
        <v/>
      </c>
      <c r="D452" s="18">
        <f>IF($L452="","",INDEX(HSCEI!$D$7:$D$66,$N452))</f>
        <v/>
      </c>
      <c r="E452" s="40">
        <f>IF($L452="","",IF($P452=0,"TBA",IFERROR(INDEX(Grids!$C$160:$BO$219,$N452,$O452),"-")))</f>
        <v/>
      </c>
      <c r="F452" s="18">
        <f>IF($L452="","",INDEX(HSCEI!$F$7:$F$66,$N452))</f>
        <v/>
      </c>
      <c r="G452" s="40">
        <f>IF($L452="","",IF($P452=0,"TBA",IFERROR(INDEX(Grids!$BQ$160:$EC$219,$N452,$O452),"-")))</f>
        <v/>
      </c>
      <c r="H452" s="41">
        <f>IF($L452="","",SUM($G$442:$G452))</f>
        <v/>
      </c>
      <c r="I452" s="42">
        <f>IF($L452="","",IF(INT(($L452-INT($L452/10000000)*10000000)/1000000)=0,"Bloomberg projection",IF($P452=1,"ANNOUNCED","ANNOUNCED - amount TBA")))</f>
        <v/>
      </c>
      <c r="J452" s="43">
        <f>IF($L452="","",IF((OV_SWITCH="ON")*(COUNTIFS(OVR_TICKERS,INDEX(HSCEI!$C$7:$C$66,$N452),OVR_BASE,"&gt;=0")&gt;0)&gt;0,"stock overridden",""))</f>
        <v/>
      </c>
      <c r="L452" s="35">
        <f>IFERROR(IF(SMALL(Grids!$EE$160:$GQ$219,$M$439+11)&gt;=PEND_TO,"",SMALL(Grids!$EE$160:$GQ$219,$M$439+11)),"")</f>
        <v/>
      </c>
      <c r="M452" s="35">
        <f>IF($L452="","",INT($L452/1000000000))</f>
        <v/>
      </c>
      <c r="N452" s="35">
        <f>IF($L452="","",INT(($L452-INT($L452/1000000)*1000000)/1000))</f>
        <v/>
      </c>
      <c r="O452" s="35">
        <f>IF($L452="","",$L452-INT($L452/1000)*1000)</f>
        <v/>
      </c>
      <c r="P452" s="35">
        <f>IF($L452="","",INT(($L452-INT($L452/1000000000)*1000000000)/100000000))</f>
        <v/>
      </c>
    </row>
    <row r="453">
      <c r="B453" s="39">
        <f>IF($L453="","",$M453)</f>
        <v/>
      </c>
      <c r="C453" s="18">
        <f>IF($L453="","",INDEX(HSCEI!$C$7:$C$66,$N453))</f>
        <v/>
      </c>
      <c r="D453" s="18">
        <f>IF($L453="","",INDEX(HSCEI!$D$7:$D$66,$N453))</f>
        <v/>
      </c>
      <c r="E453" s="40">
        <f>IF($L453="","",IF($P453=0,"TBA",IFERROR(INDEX(Grids!$C$160:$BO$219,$N453,$O453),"-")))</f>
        <v/>
      </c>
      <c r="F453" s="18">
        <f>IF($L453="","",INDEX(HSCEI!$F$7:$F$66,$N453))</f>
        <v/>
      </c>
      <c r="G453" s="40">
        <f>IF($L453="","",IF($P453=0,"TBA",IFERROR(INDEX(Grids!$BQ$160:$EC$219,$N453,$O453),"-")))</f>
        <v/>
      </c>
      <c r="H453" s="41">
        <f>IF($L453="","",SUM($G$442:$G453))</f>
        <v/>
      </c>
      <c r="I453" s="42">
        <f>IF($L453="","",IF(INT(($L453-INT($L453/10000000)*10000000)/1000000)=0,"Bloomberg projection",IF($P453=1,"ANNOUNCED","ANNOUNCED - amount TBA")))</f>
        <v/>
      </c>
      <c r="J453" s="43">
        <f>IF($L453="","",IF((OV_SWITCH="ON")*(COUNTIFS(OVR_TICKERS,INDEX(HSCEI!$C$7:$C$66,$N453),OVR_BASE,"&gt;=0")&gt;0)&gt;0,"stock overridden",""))</f>
        <v/>
      </c>
      <c r="L453" s="35">
        <f>IFERROR(IF(SMALL(Grids!$EE$160:$GQ$219,$M$439+12)&gt;=PEND_TO,"",SMALL(Grids!$EE$160:$GQ$219,$M$439+12)),"")</f>
        <v/>
      </c>
      <c r="M453" s="35">
        <f>IF($L453="","",INT($L453/1000000000))</f>
        <v/>
      </c>
      <c r="N453" s="35">
        <f>IF($L453="","",INT(($L453-INT($L453/1000000)*1000000)/1000))</f>
        <v/>
      </c>
      <c r="O453" s="35">
        <f>IF($L453="","",$L453-INT($L453/1000)*1000)</f>
        <v/>
      </c>
      <c r="P453" s="35">
        <f>IF($L453="","",INT(($L453-INT($L453/1000000000)*1000000000)/100000000))</f>
        <v/>
      </c>
    </row>
    <row r="454">
      <c r="B454" s="39">
        <f>IF($L454="","",$M454)</f>
        <v/>
      </c>
      <c r="C454" s="18">
        <f>IF($L454="","",INDEX(HSCEI!$C$7:$C$66,$N454))</f>
        <v/>
      </c>
      <c r="D454" s="18">
        <f>IF($L454="","",INDEX(HSCEI!$D$7:$D$66,$N454))</f>
        <v/>
      </c>
      <c r="E454" s="40">
        <f>IF($L454="","",IF($P454=0,"TBA",IFERROR(INDEX(Grids!$C$160:$BO$219,$N454,$O454),"-")))</f>
        <v/>
      </c>
      <c r="F454" s="18">
        <f>IF($L454="","",INDEX(HSCEI!$F$7:$F$66,$N454))</f>
        <v/>
      </c>
      <c r="G454" s="40">
        <f>IF($L454="","",IF($P454=0,"TBA",IFERROR(INDEX(Grids!$BQ$160:$EC$219,$N454,$O454),"-")))</f>
        <v/>
      </c>
      <c r="H454" s="41">
        <f>IF($L454="","",SUM($G$442:$G454))</f>
        <v/>
      </c>
      <c r="I454" s="42">
        <f>IF($L454="","",IF(INT(($L454-INT($L454/10000000)*10000000)/1000000)=0,"Bloomberg projection",IF($P454=1,"ANNOUNCED","ANNOUNCED - amount TBA")))</f>
        <v/>
      </c>
      <c r="J454" s="43">
        <f>IF($L454="","",IF((OV_SWITCH="ON")*(COUNTIFS(OVR_TICKERS,INDEX(HSCEI!$C$7:$C$66,$N454),OVR_BASE,"&gt;=0")&gt;0)&gt;0,"stock overridden",""))</f>
        <v/>
      </c>
      <c r="L454" s="35">
        <f>IFERROR(IF(SMALL(Grids!$EE$160:$GQ$219,$M$439+13)&gt;=PEND_TO,"",SMALL(Grids!$EE$160:$GQ$219,$M$439+13)),"")</f>
        <v/>
      </c>
      <c r="M454" s="35">
        <f>IF($L454="","",INT($L454/1000000000))</f>
        <v/>
      </c>
      <c r="N454" s="35">
        <f>IF($L454="","",INT(($L454-INT($L454/1000000)*1000000)/1000))</f>
        <v/>
      </c>
      <c r="O454" s="35">
        <f>IF($L454="","",$L454-INT($L454/1000)*1000)</f>
        <v/>
      </c>
      <c r="P454" s="35">
        <f>IF($L454="","",INT(($L454-INT($L454/1000000000)*1000000000)/100000000))</f>
        <v/>
      </c>
    </row>
    <row r="455">
      <c r="B455" s="39">
        <f>IF($L455="","",$M455)</f>
        <v/>
      </c>
      <c r="C455" s="18">
        <f>IF($L455="","",INDEX(HSCEI!$C$7:$C$66,$N455))</f>
        <v/>
      </c>
      <c r="D455" s="18">
        <f>IF($L455="","",INDEX(HSCEI!$D$7:$D$66,$N455))</f>
        <v/>
      </c>
      <c r="E455" s="40">
        <f>IF($L455="","",IF($P455=0,"TBA",IFERROR(INDEX(Grids!$C$160:$BO$219,$N455,$O455),"-")))</f>
        <v/>
      </c>
      <c r="F455" s="18">
        <f>IF($L455="","",INDEX(HSCEI!$F$7:$F$66,$N455))</f>
        <v/>
      </c>
      <c r="G455" s="40">
        <f>IF($L455="","",IF($P455=0,"TBA",IFERROR(INDEX(Grids!$BQ$160:$EC$219,$N455,$O455),"-")))</f>
        <v/>
      </c>
      <c r="H455" s="41">
        <f>IF($L455="","",SUM($G$442:$G455))</f>
        <v/>
      </c>
      <c r="I455" s="42">
        <f>IF($L455="","",IF(INT(($L455-INT($L455/10000000)*10000000)/1000000)=0,"Bloomberg projection",IF($P455=1,"ANNOUNCED","ANNOUNCED - amount TBA")))</f>
        <v/>
      </c>
      <c r="J455" s="43">
        <f>IF($L455="","",IF((OV_SWITCH="ON")*(COUNTIFS(OVR_TICKERS,INDEX(HSCEI!$C$7:$C$66,$N455),OVR_BASE,"&gt;=0")&gt;0)&gt;0,"stock overridden",""))</f>
        <v/>
      </c>
      <c r="L455" s="35">
        <f>IFERROR(IF(SMALL(Grids!$EE$160:$GQ$219,$M$439+14)&gt;=PEND_TO,"",SMALL(Grids!$EE$160:$GQ$219,$M$439+14)),"")</f>
        <v/>
      </c>
      <c r="M455" s="35">
        <f>IF($L455="","",INT($L455/1000000000))</f>
        <v/>
      </c>
      <c r="N455" s="35">
        <f>IF($L455="","",INT(($L455-INT($L455/1000000)*1000000)/1000))</f>
        <v/>
      </c>
      <c r="O455" s="35">
        <f>IF($L455="","",$L455-INT($L455/1000)*1000)</f>
        <v/>
      </c>
      <c r="P455" s="35">
        <f>IF($L455="","",INT(($L455-INT($L455/1000000000)*1000000000)/100000000))</f>
        <v/>
      </c>
    </row>
    <row r="456">
      <c r="B456" s="39">
        <f>IF($L456="","",$M456)</f>
        <v/>
      </c>
      <c r="C456" s="18">
        <f>IF($L456="","",INDEX(HSCEI!$C$7:$C$66,$N456))</f>
        <v/>
      </c>
      <c r="D456" s="18">
        <f>IF($L456="","",INDEX(HSCEI!$D$7:$D$66,$N456))</f>
        <v/>
      </c>
      <c r="E456" s="40">
        <f>IF($L456="","",IF($P456=0,"TBA",IFERROR(INDEX(Grids!$C$160:$BO$219,$N456,$O456),"-")))</f>
        <v/>
      </c>
      <c r="F456" s="18">
        <f>IF($L456="","",INDEX(HSCEI!$F$7:$F$66,$N456))</f>
        <v/>
      </c>
      <c r="G456" s="40">
        <f>IF($L456="","",IF($P456=0,"TBA",IFERROR(INDEX(Grids!$BQ$160:$EC$219,$N456,$O456),"-")))</f>
        <v/>
      </c>
      <c r="H456" s="41">
        <f>IF($L456="","",SUM($G$442:$G456))</f>
        <v/>
      </c>
      <c r="I456" s="42">
        <f>IF($L456="","",IF(INT(($L456-INT($L456/10000000)*10000000)/1000000)=0,"Bloomberg projection",IF($P456=1,"ANNOUNCED","ANNOUNCED - amount TBA")))</f>
        <v/>
      </c>
      <c r="J456" s="43">
        <f>IF($L456="","",IF((OV_SWITCH="ON")*(COUNTIFS(OVR_TICKERS,INDEX(HSCEI!$C$7:$C$66,$N456),OVR_BASE,"&gt;=0")&gt;0)&gt;0,"stock overridden",""))</f>
        <v/>
      </c>
      <c r="L456" s="35">
        <f>IFERROR(IF(SMALL(Grids!$EE$160:$GQ$219,$M$439+15)&gt;=PEND_TO,"",SMALL(Grids!$EE$160:$GQ$219,$M$439+15)),"")</f>
        <v/>
      </c>
      <c r="M456" s="35">
        <f>IF($L456="","",INT($L456/1000000000))</f>
        <v/>
      </c>
      <c r="N456" s="35">
        <f>IF($L456="","",INT(($L456-INT($L456/1000000)*1000000)/1000))</f>
        <v/>
      </c>
      <c r="O456" s="35">
        <f>IF($L456="","",$L456-INT($L456/1000)*1000)</f>
        <v/>
      </c>
      <c r="P456" s="35">
        <f>IF($L456="","",INT(($L456-INT($L456/1000000000)*1000000000)/100000000))</f>
        <v/>
      </c>
    </row>
    <row r="457">
      <c r="B457" s="39">
        <f>IF($L457="","",$M457)</f>
        <v/>
      </c>
      <c r="C457" s="18">
        <f>IF($L457="","",INDEX(HSCEI!$C$7:$C$66,$N457))</f>
        <v/>
      </c>
      <c r="D457" s="18">
        <f>IF($L457="","",INDEX(HSCEI!$D$7:$D$66,$N457))</f>
        <v/>
      </c>
      <c r="E457" s="40">
        <f>IF($L457="","",IF($P457=0,"TBA",IFERROR(INDEX(Grids!$C$160:$BO$219,$N457,$O457),"-")))</f>
        <v/>
      </c>
      <c r="F457" s="18">
        <f>IF($L457="","",INDEX(HSCEI!$F$7:$F$66,$N457))</f>
        <v/>
      </c>
      <c r="G457" s="40">
        <f>IF($L457="","",IF($P457=0,"TBA",IFERROR(INDEX(Grids!$BQ$160:$EC$219,$N457,$O457),"-")))</f>
        <v/>
      </c>
      <c r="H457" s="41">
        <f>IF($L457="","",SUM($G$442:$G457))</f>
        <v/>
      </c>
      <c r="I457" s="42">
        <f>IF($L457="","",IF(INT(($L457-INT($L457/10000000)*10000000)/1000000)=0,"Bloomberg projection",IF($P457=1,"ANNOUNCED","ANNOUNCED - amount TBA")))</f>
        <v/>
      </c>
      <c r="J457" s="43">
        <f>IF($L457="","",IF((OV_SWITCH="ON")*(COUNTIFS(OVR_TICKERS,INDEX(HSCEI!$C$7:$C$66,$N457),OVR_BASE,"&gt;=0")&gt;0)&gt;0,"stock overridden",""))</f>
        <v/>
      </c>
      <c r="L457" s="35">
        <f>IFERROR(IF(SMALL(Grids!$EE$160:$GQ$219,$M$439+16)&gt;=PEND_TO,"",SMALL(Grids!$EE$160:$GQ$219,$M$439+16)),"")</f>
        <v/>
      </c>
      <c r="M457" s="35">
        <f>IF($L457="","",INT($L457/1000000000))</f>
        <v/>
      </c>
      <c r="N457" s="35">
        <f>IF($L457="","",INT(($L457-INT($L457/1000000)*1000000)/1000))</f>
        <v/>
      </c>
      <c r="O457" s="35">
        <f>IF($L457="","",$L457-INT($L457/1000)*1000)</f>
        <v/>
      </c>
      <c r="P457" s="35">
        <f>IF($L457="","",INT(($L457-INT($L457/1000000000)*1000000000)/100000000))</f>
        <v/>
      </c>
    </row>
    <row r="458">
      <c r="B458" s="39">
        <f>IF($L458="","",$M458)</f>
        <v/>
      </c>
      <c r="C458" s="18">
        <f>IF($L458="","",INDEX(HSCEI!$C$7:$C$66,$N458))</f>
        <v/>
      </c>
      <c r="D458" s="18">
        <f>IF($L458="","",INDEX(HSCEI!$D$7:$D$66,$N458))</f>
        <v/>
      </c>
      <c r="E458" s="40">
        <f>IF($L458="","",IF($P458=0,"TBA",IFERROR(INDEX(Grids!$C$160:$BO$219,$N458,$O458),"-")))</f>
        <v/>
      </c>
      <c r="F458" s="18">
        <f>IF($L458="","",INDEX(HSCEI!$F$7:$F$66,$N458))</f>
        <v/>
      </c>
      <c r="G458" s="40">
        <f>IF($L458="","",IF($P458=0,"TBA",IFERROR(INDEX(Grids!$BQ$160:$EC$219,$N458,$O458),"-")))</f>
        <v/>
      </c>
      <c r="H458" s="41">
        <f>IF($L458="","",SUM($G$442:$G458))</f>
        <v/>
      </c>
      <c r="I458" s="42">
        <f>IF($L458="","",IF(INT(($L458-INT($L458/10000000)*10000000)/1000000)=0,"Bloomberg projection",IF($P458=1,"ANNOUNCED","ANNOUNCED - amount TBA")))</f>
        <v/>
      </c>
      <c r="J458" s="43">
        <f>IF($L458="","",IF((OV_SWITCH="ON")*(COUNTIFS(OVR_TICKERS,INDEX(HSCEI!$C$7:$C$66,$N458),OVR_BASE,"&gt;=0")&gt;0)&gt;0,"stock overridden",""))</f>
        <v/>
      </c>
      <c r="L458" s="35">
        <f>IFERROR(IF(SMALL(Grids!$EE$160:$GQ$219,$M$439+17)&gt;=PEND_TO,"",SMALL(Grids!$EE$160:$GQ$219,$M$439+17)),"")</f>
        <v/>
      </c>
      <c r="M458" s="35">
        <f>IF($L458="","",INT($L458/1000000000))</f>
        <v/>
      </c>
      <c r="N458" s="35">
        <f>IF($L458="","",INT(($L458-INT($L458/1000000)*1000000)/1000))</f>
        <v/>
      </c>
      <c r="O458" s="35">
        <f>IF($L458="","",$L458-INT($L458/1000)*1000)</f>
        <v/>
      </c>
      <c r="P458" s="35">
        <f>IF($L458="","",INT(($L458-INT($L458/1000000000)*1000000000)/100000000))</f>
        <v/>
      </c>
    </row>
    <row r="459">
      <c r="B459" s="39">
        <f>IF($L459="","",$M459)</f>
        <v/>
      </c>
      <c r="C459" s="18">
        <f>IF($L459="","",INDEX(HSCEI!$C$7:$C$66,$N459))</f>
        <v/>
      </c>
      <c r="D459" s="18">
        <f>IF($L459="","",INDEX(HSCEI!$D$7:$D$66,$N459))</f>
        <v/>
      </c>
      <c r="E459" s="40">
        <f>IF($L459="","",IF($P459=0,"TBA",IFERROR(INDEX(Grids!$C$160:$BO$219,$N459,$O459),"-")))</f>
        <v/>
      </c>
      <c r="F459" s="18">
        <f>IF($L459="","",INDEX(HSCEI!$F$7:$F$66,$N459))</f>
        <v/>
      </c>
      <c r="G459" s="40">
        <f>IF($L459="","",IF($P459=0,"TBA",IFERROR(INDEX(Grids!$BQ$160:$EC$219,$N459,$O459),"-")))</f>
        <v/>
      </c>
      <c r="H459" s="41">
        <f>IF($L459="","",SUM($G$442:$G459))</f>
        <v/>
      </c>
      <c r="I459" s="42">
        <f>IF($L459="","",IF(INT(($L459-INT($L459/10000000)*10000000)/1000000)=0,"Bloomberg projection",IF($P459=1,"ANNOUNCED","ANNOUNCED - amount TBA")))</f>
        <v/>
      </c>
      <c r="J459" s="43">
        <f>IF($L459="","",IF((OV_SWITCH="ON")*(COUNTIFS(OVR_TICKERS,INDEX(HSCEI!$C$7:$C$66,$N459),OVR_BASE,"&gt;=0")&gt;0)&gt;0,"stock overridden",""))</f>
        <v/>
      </c>
      <c r="L459" s="35">
        <f>IFERROR(IF(SMALL(Grids!$EE$160:$GQ$219,$M$439+18)&gt;=PEND_TO,"",SMALL(Grids!$EE$160:$GQ$219,$M$439+18)),"")</f>
        <v/>
      </c>
      <c r="M459" s="35">
        <f>IF($L459="","",INT($L459/1000000000))</f>
        <v/>
      </c>
      <c r="N459" s="35">
        <f>IF($L459="","",INT(($L459-INT($L459/1000000)*1000000)/1000))</f>
        <v/>
      </c>
      <c r="O459" s="35">
        <f>IF($L459="","",$L459-INT($L459/1000)*1000)</f>
        <v/>
      </c>
      <c r="P459" s="35">
        <f>IF($L459="","",INT(($L459-INT($L459/1000000000)*1000000000)/100000000))</f>
        <v/>
      </c>
    </row>
    <row r="460">
      <c r="B460" s="39">
        <f>IF($L460="","",$M460)</f>
        <v/>
      </c>
      <c r="C460" s="18">
        <f>IF($L460="","",INDEX(HSCEI!$C$7:$C$66,$N460))</f>
        <v/>
      </c>
      <c r="D460" s="18">
        <f>IF($L460="","",INDEX(HSCEI!$D$7:$D$66,$N460))</f>
        <v/>
      </c>
      <c r="E460" s="40">
        <f>IF($L460="","",IF($P460=0,"TBA",IFERROR(INDEX(Grids!$C$160:$BO$219,$N460,$O460),"-")))</f>
        <v/>
      </c>
      <c r="F460" s="18">
        <f>IF($L460="","",INDEX(HSCEI!$F$7:$F$66,$N460))</f>
        <v/>
      </c>
      <c r="G460" s="40">
        <f>IF($L460="","",IF($P460=0,"TBA",IFERROR(INDEX(Grids!$BQ$160:$EC$219,$N460,$O460),"-")))</f>
        <v/>
      </c>
      <c r="H460" s="41">
        <f>IF($L460="","",SUM($G$442:$G460))</f>
        <v/>
      </c>
      <c r="I460" s="42">
        <f>IF($L460="","",IF(INT(($L460-INT($L460/10000000)*10000000)/1000000)=0,"Bloomberg projection",IF($P460=1,"ANNOUNCED","ANNOUNCED - amount TBA")))</f>
        <v/>
      </c>
      <c r="J460" s="43">
        <f>IF($L460="","",IF((OV_SWITCH="ON")*(COUNTIFS(OVR_TICKERS,INDEX(HSCEI!$C$7:$C$66,$N460),OVR_BASE,"&gt;=0")&gt;0)&gt;0,"stock overridden",""))</f>
        <v/>
      </c>
      <c r="L460" s="35">
        <f>IFERROR(IF(SMALL(Grids!$EE$160:$GQ$219,$M$439+19)&gt;=PEND_TO,"",SMALL(Grids!$EE$160:$GQ$219,$M$439+19)),"")</f>
        <v/>
      </c>
      <c r="M460" s="35">
        <f>IF($L460="","",INT($L460/1000000000))</f>
        <v/>
      </c>
      <c r="N460" s="35">
        <f>IF($L460="","",INT(($L460-INT($L460/1000000)*1000000)/1000))</f>
        <v/>
      </c>
      <c r="O460" s="35">
        <f>IF($L460="","",$L460-INT($L460/1000)*1000)</f>
        <v/>
      </c>
      <c r="P460" s="35">
        <f>IF($L460="","",INT(($L460-INT($L460/1000000000)*1000000000)/100000000))</f>
        <v/>
      </c>
    </row>
    <row r="461">
      <c r="B461" s="39">
        <f>IF($L461="","",$M461)</f>
        <v/>
      </c>
      <c r="C461" s="18">
        <f>IF($L461="","",INDEX(HSCEI!$C$7:$C$66,$N461))</f>
        <v/>
      </c>
      <c r="D461" s="18">
        <f>IF($L461="","",INDEX(HSCEI!$D$7:$D$66,$N461))</f>
        <v/>
      </c>
      <c r="E461" s="40">
        <f>IF($L461="","",IF($P461=0,"TBA",IFERROR(INDEX(Grids!$C$160:$BO$219,$N461,$O461),"-")))</f>
        <v/>
      </c>
      <c r="F461" s="18">
        <f>IF($L461="","",INDEX(HSCEI!$F$7:$F$66,$N461))</f>
        <v/>
      </c>
      <c r="G461" s="40">
        <f>IF($L461="","",IF($P461=0,"TBA",IFERROR(INDEX(Grids!$BQ$160:$EC$219,$N461,$O461),"-")))</f>
        <v/>
      </c>
      <c r="H461" s="41">
        <f>IF($L461="","",SUM($G$442:$G461))</f>
        <v/>
      </c>
      <c r="I461" s="42">
        <f>IF($L461="","",IF(INT(($L461-INT($L461/10000000)*10000000)/1000000)=0,"Bloomberg projection",IF($P461=1,"ANNOUNCED","ANNOUNCED - amount TBA")))</f>
        <v/>
      </c>
      <c r="J461" s="43">
        <f>IF($L461="","",IF((OV_SWITCH="ON")*(COUNTIFS(OVR_TICKERS,INDEX(HSCEI!$C$7:$C$66,$N461),OVR_BASE,"&gt;=0")&gt;0)&gt;0,"stock overridden",""))</f>
        <v/>
      </c>
      <c r="L461" s="35">
        <f>IFERROR(IF(SMALL(Grids!$EE$160:$GQ$219,$M$439+20)&gt;=PEND_TO,"",SMALL(Grids!$EE$160:$GQ$219,$M$439+20)),"")</f>
        <v/>
      </c>
      <c r="M461" s="35">
        <f>IF($L461="","",INT($L461/1000000000))</f>
        <v/>
      </c>
      <c r="N461" s="35">
        <f>IF($L461="","",INT(($L461-INT($L461/1000000)*1000000)/1000))</f>
        <v/>
      </c>
      <c r="O461" s="35">
        <f>IF($L461="","",$L461-INT($L461/1000)*1000)</f>
        <v/>
      </c>
      <c r="P461" s="35">
        <f>IF($L461="","",INT(($L461-INT($L461/1000000000)*1000000000)/100000000))</f>
        <v/>
      </c>
    </row>
    <row r="462">
      <c r="B462" s="39">
        <f>IF($L462="","",$M462)</f>
        <v/>
      </c>
      <c r="C462" s="18">
        <f>IF($L462="","",INDEX(HSCEI!$C$7:$C$66,$N462))</f>
        <v/>
      </c>
      <c r="D462" s="18">
        <f>IF($L462="","",INDEX(HSCEI!$D$7:$D$66,$N462))</f>
        <v/>
      </c>
      <c r="E462" s="40">
        <f>IF($L462="","",IF($P462=0,"TBA",IFERROR(INDEX(Grids!$C$160:$BO$219,$N462,$O462),"-")))</f>
        <v/>
      </c>
      <c r="F462" s="18">
        <f>IF($L462="","",INDEX(HSCEI!$F$7:$F$66,$N462))</f>
        <v/>
      </c>
      <c r="G462" s="40">
        <f>IF($L462="","",IF($P462=0,"TBA",IFERROR(INDEX(Grids!$BQ$160:$EC$219,$N462,$O462),"-")))</f>
        <v/>
      </c>
      <c r="H462" s="41">
        <f>IF($L462="","",SUM($G$442:$G462))</f>
        <v/>
      </c>
      <c r="I462" s="42">
        <f>IF($L462="","",IF(INT(($L462-INT($L462/10000000)*10000000)/1000000)=0,"Bloomberg projection",IF($P462=1,"ANNOUNCED","ANNOUNCED - amount TBA")))</f>
        <v/>
      </c>
      <c r="J462" s="43">
        <f>IF($L462="","",IF((OV_SWITCH="ON")*(COUNTIFS(OVR_TICKERS,INDEX(HSCEI!$C$7:$C$66,$N462),OVR_BASE,"&gt;=0")&gt;0)&gt;0,"stock overridden",""))</f>
        <v/>
      </c>
      <c r="L462" s="35">
        <f>IFERROR(IF(SMALL(Grids!$EE$160:$GQ$219,$M$439+21)&gt;=PEND_TO,"",SMALL(Grids!$EE$160:$GQ$219,$M$439+21)),"")</f>
        <v/>
      </c>
      <c r="M462" s="35">
        <f>IF($L462="","",INT($L462/1000000000))</f>
        <v/>
      </c>
      <c r="N462" s="35">
        <f>IF($L462="","",INT(($L462-INT($L462/1000000)*1000000)/1000))</f>
        <v/>
      </c>
      <c r="O462" s="35">
        <f>IF($L462="","",$L462-INT($L462/1000)*1000)</f>
        <v/>
      </c>
      <c r="P462" s="35">
        <f>IF($L462="","",INT(($L462-INT($L462/1000000000)*1000000000)/100000000))</f>
        <v/>
      </c>
    </row>
    <row r="463">
      <c r="B463" s="39">
        <f>IF($L463="","",$M463)</f>
        <v/>
      </c>
      <c r="C463" s="18">
        <f>IF($L463="","",INDEX(HSCEI!$C$7:$C$66,$N463))</f>
        <v/>
      </c>
      <c r="D463" s="18">
        <f>IF($L463="","",INDEX(HSCEI!$D$7:$D$66,$N463))</f>
        <v/>
      </c>
      <c r="E463" s="40">
        <f>IF($L463="","",IF($P463=0,"TBA",IFERROR(INDEX(Grids!$C$160:$BO$219,$N463,$O463),"-")))</f>
        <v/>
      </c>
      <c r="F463" s="18">
        <f>IF($L463="","",INDEX(HSCEI!$F$7:$F$66,$N463))</f>
        <v/>
      </c>
      <c r="G463" s="40">
        <f>IF($L463="","",IF($P463=0,"TBA",IFERROR(INDEX(Grids!$BQ$160:$EC$219,$N463,$O463),"-")))</f>
        <v/>
      </c>
      <c r="H463" s="41">
        <f>IF($L463="","",SUM($G$442:$G463))</f>
        <v/>
      </c>
      <c r="I463" s="42">
        <f>IF($L463="","",IF(INT(($L463-INT($L463/10000000)*10000000)/1000000)=0,"Bloomberg projection",IF($P463=1,"ANNOUNCED","ANNOUNCED - amount TBA")))</f>
        <v/>
      </c>
      <c r="J463" s="43">
        <f>IF($L463="","",IF((OV_SWITCH="ON")*(COUNTIFS(OVR_TICKERS,INDEX(HSCEI!$C$7:$C$66,$N463),OVR_BASE,"&gt;=0")&gt;0)&gt;0,"stock overridden",""))</f>
        <v/>
      </c>
      <c r="L463" s="35">
        <f>IFERROR(IF(SMALL(Grids!$EE$160:$GQ$219,$M$439+22)&gt;=PEND_TO,"",SMALL(Grids!$EE$160:$GQ$219,$M$439+22)),"")</f>
        <v/>
      </c>
      <c r="M463" s="35">
        <f>IF($L463="","",INT($L463/1000000000))</f>
        <v/>
      </c>
      <c r="N463" s="35">
        <f>IF($L463="","",INT(($L463-INT($L463/1000000)*1000000)/1000))</f>
        <v/>
      </c>
      <c r="O463" s="35">
        <f>IF($L463="","",$L463-INT($L463/1000)*1000)</f>
        <v/>
      </c>
      <c r="P463" s="35">
        <f>IF($L463="","",INT(($L463-INT($L463/1000000000)*1000000000)/100000000))</f>
        <v/>
      </c>
    </row>
    <row r="464">
      <c r="B464" s="39">
        <f>IF($L464="","",$M464)</f>
        <v/>
      </c>
      <c r="C464" s="18">
        <f>IF($L464="","",INDEX(HSCEI!$C$7:$C$66,$N464))</f>
        <v/>
      </c>
      <c r="D464" s="18">
        <f>IF($L464="","",INDEX(HSCEI!$D$7:$D$66,$N464))</f>
        <v/>
      </c>
      <c r="E464" s="40">
        <f>IF($L464="","",IF($P464=0,"TBA",IFERROR(INDEX(Grids!$C$160:$BO$219,$N464,$O464),"-")))</f>
        <v/>
      </c>
      <c r="F464" s="18">
        <f>IF($L464="","",INDEX(HSCEI!$F$7:$F$66,$N464))</f>
        <v/>
      </c>
      <c r="G464" s="40">
        <f>IF($L464="","",IF($P464=0,"TBA",IFERROR(INDEX(Grids!$BQ$160:$EC$219,$N464,$O464),"-")))</f>
        <v/>
      </c>
      <c r="H464" s="41">
        <f>IF($L464="","",SUM($G$442:$G464))</f>
        <v/>
      </c>
      <c r="I464" s="42">
        <f>IF($L464="","",IF(INT(($L464-INT($L464/10000000)*10000000)/1000000)=0,"Bloomberg projection",IF($P464=1,"ANNOUNCED","ANNOUNCED - amount TBA")))</f>
        <v/>
      </c>
      <c r="J464" s="43">
        <f>IF($L464="","",IF((OV_SWITCH="ON")*(COUNTIFS(OVR_TICKERS,INDEX(HSCEI!$C$7:$C$66,$N464),OVR_BASE,"&gt;=0")&gt;0)&gt;0,"stock overridden",""))</f>
        <v/>
      </c>
      <c r="L464" s="35">
        <f>IFERROR(IF(SMALL(Grids!$EE$160:$GQ$219,$M$439+23)&gt;=PEND_TO,"",SMALL(Grids!$EE$160:$GQ$219,$M$439+23)),"")</f>
        <v/>
      </c>
      <c r="M464" s="35">
        <f>IF($L464="","",INT($L464/1000000000))</f>
        <v/>
      </c>
      <c r="N464" s="35">
        <f>IF($L464="","",INT(($L464-INT($L464/1000000)*1000000)/1000))</f>
        <v/>
      </c>
      <c r="O464" s="35">
        <f>IF($L464="","",$L464-INT($L464/1000)*1000)</f>
        <v/>
      </c>
      <c r="P464" s="35">
        <f>IF($L464="","",INT(($L464-INT($L464/1000000000)*1000000000)/100000000))</f>
        <v/>
      </c>
    </row>
    <row r="465">
      <c r="B465" s="39">
        <f>IF($L465="","",$M465)</f>
        <v/>
      </c>
      <c r="C465" s="18">
        <f>IF($L465="","",INDEX(HSCEI!$C$7:$C$66,$N465))</f>
        <v/>
      </c>
      <c r="D465" s="18">
        <f>IF($L465="","",INDEX(HSCEI!$D$7:$D$66,$N465))</f>
        <v/>
      </c>
      <c r="E465" s="40">
        <f>IF($L465="","",IF($P465=0,"TBA",IFERROR(INDEX(Grids!$C$160:$BO$219,$N465,$O465),"-")))</f>
        <v/>
      </c>
      <c r="F465" s="18">
        <f>IF($L465="","",INDEX(HSCEI!$F$7:$F$66,$N465))</f>
        <v/>
      </c>
      <c r="G465" s="40">
        <f>IF($L465="","",IF($P465=0,"TBA",IFERROR(INDEX(Grids!$BQ$160:$EC$219,$N465,$O465),"-")))</f>
        <v/>
      </c>
      <c r="H465" s="41">
        <f>IF($L465="","",SUM($G$442:$G465))</f>
        <v/>
      </c>
      <c r="I465" s="42">
        <f>IF($L465="","",IF(INT(($L465-INT($L465/10000000)*10000000)/1000000)=0,"Bloomberg projection",IF($P465=1,"ANNOUNCED","ANNOUNCED - amount TBA")))</f>
        <v/>
      </c>
      <c r="J465" s="43">
        <f>IF($L465="","",IF((OV_SWITCH="ON")*(COUNTIFS(OVR_TICKERS,INDEX(HSCEI!$C$7:$C$66,$N465),OVR_BASE,"&gt;=0")&gt;0)&gt;0,"stock overridden",""))</f>
        <v/>
      </c>
      <c r="L465" s="35">
        <f>IFERROR(IF(SMALL(Grids!$EE$160:$GQ$219,$M$439+24)&gt;=PEND_TO,"",SMALL(Grids!$EE$160:$GQ$219,$M$439+24)),"")</f>
        <v/>
      </c>
      <c r="M465" s="35">
        <f>IF($L465="","",INT($L465/1000000000))</f>
        <v/>
      </c>
      <c r="N465" s="35">
        <f>IF($L465="","",INT(($L465-INT($L465/1000000)*1000000)/1000))</f>
        <v/>
      </c>
      <c r="O465" s="35">
        <f>IF($L465="","",$L465-INT($L465/1000)*1000)</f>
        <v/>
      </c>
      <c r="P465" s="35">
        <f>IF($L465="","",INT(($L465-INT($L465/1000000000)*1000000000)/100000000))</f>
        <v/>
      </c>
    </row>
    <row r="466">
      <c r="B466" s="39">
        <f>IF($L466="","",$M466)</f>
        <v/>
      </c>
      <c r="C466" s="18">
        <f>IF($L466="","",INDEX(HSCEI!$C$7:$C$66,$N466))</f>
        <v/>
      </c>
      <c r="D466" s="18">
        <f>IF($L466="","",INDEX(HSCEI!$D$7:$D$66,$N466))</f>
        <v/>
      </c>
      <c r="E466" s="40">
        <f>IF($L466="","",IF($P466=0,"TBA",IFERROR(INDEX(Grids!$C$160:$BO$219,$N466,$O466),"-")))</f>
        <v/>
      </c>
      <c r="F466" s="18">
        <f>IF($L466="","",INDEX(HSCEI!$F$7:$F$66,$N466))</f>
        <v/>
      </c>
      <c r="G466" s="40">
        <f>IF($L466="","",IF($P466=0,"TBA",IFERROR(INDEX(Grids!$BQ$160:$EC$219,$N466,$O466),"-")))</f>
        <v/>
      </c>
      <c r="H466" s="41">
        <f>IF($L466="","",SUM($G$442:$G466))</f>
        <v/>
      </c>
      <c r="I466" s="42">
        <f>IF($L466="","",IF(INT(($L466-INT($L466/10000000)*10000000)/1000000)=0,"Bloomberg projection",IF($P466=1,"ANNOUNCED","ANNOUNCED - amount TBA")))</f>
        <v/>
      </c>
      <c r="J466" s="43">
        <f>IF($L466="","",IF((OV_SWITCH="ON")*(COUNTIFS(OVR_TICKERS,INDEX(HSCEI!$C$7:$C$66,$N466),OVR_BASE,"&gt;=0")&gt;0)&gt;0,"stock overridden",""))</f>
        <v/>
      </c>
      <c r="L466" s="35">
        <f>IFERROR(IF(SMALL(Grids!$EE$160:$GQ$219,$M$439+25)&gt;=PEND_TO,"",SMALL(Grids!$EE$160:$GQ$219,$M$439+25)),"")</f>
        <v/>
      </c>
      <c r="M466" s="35">
        <f>IF($L466="","",INT($L466/1000000000))</f>
        <v/>
      </c>
      <c r="N466" s="35">
        <f>IF($L466="","",INT(($L466-INT($L466/1000000)*1000000)/1000))</f>
        <v/>
      </c>
      <c r="O466" s="35">
        <f>IF($L466="","",$L466-INT($L466/1000)*1000)</f>
        <v/>
      </c>
      <c r="P466" s="35">
        <f>IF($L466="","",INT(($L466-INT($L466/1000000000)*1000000000)/100000000))</f>
        <v/>
      </c>
    </row>
    <row r="467">
      <c r="B467" s="39">
        <f>IF($L467="","",$M467)</f>
        <v/>
      </c>
      <c r="C467" s="18">
        <f>IF($L467="","",INDEX(HSCEI!$C$7:$C$66,$N467))</f>
        <v/>
      </c>
      <c r="D467" s="18">
        <f>IF($L467="","",INDEX(HSCEI!$D$7:$D$66,$N467))</f>
        <v/>
      </c>
      <c r="E467" s="40">
        <f>IF($L467="","",IF($P467=0,"TBA",IFERROR(INDEX(Grids!$C$160:$BO$219,$N467,$O467),"-")))</f>
        <v/>
      </c>
      <c r="F467" s="18">
        <f>IF($L467="","",INDEX(HSCEI!$F$7:$F$66,$N467))</f>
        <v/>
      </c>
      <c r="G467" s="40">
        <f>IF($L467="","",IF($P467=0,"TBA",IFERROR(INDEX(Grids!$BQ$160:$EC$219,$N467,$O467),"-")))</f>
        <v/>
      </c>
      <c r="H467" s="41">
        <f>IF($L467="","",SUM($G$442:$G467))</f>
        <v/>
      </c>
      <c r="I467" s="42">
        <f>IF($L467="","",IF(INT(($L467-INT($L467/10000000)*10000000)/1000000)=0,"Bloomberg projection",IF($P467=1,"ANNOUNCED","ANNOUNCED - amount TBA")))</f>
        <v/>
      </c>
      <c r="J467" s="43">
        <f>IF($L467="","",IF((OV_SWITCH="ON")*(COUNTIFS(OVR_TICKERS,INDEX(HSCEI!$C$7:$C$66,$N467),OVR_BASE,"&gt;=0")&gt;0)&gt;0,"stock overridden",""))</f>
        <v/>
      </c>
      <c r="L467" s="35">
        <f>IFERROR(IF(SMALL(Grids!$EE$160:$GQ$219,$M$439+26)&gt;=PEND_TO,"",SMALL(Grids!$EE$160:$GQ$219,$M$439+26)),"")</f>
        <v/>
      </c>
      <c r="M467" s="35">
        <f>IF($L467="","",INT($L467/1000000000))</f>
        <v/>
      </c>
      <c r="N467" s="35">
        <f>IF($L467="","",INT(($L467-INT($L467/1000000)*1000000)/1000))</f>
        <v/>
      </c>
      <c r="O467" s="35">
        <f>IF($L467="","",$L467-INT($L467/1000)*1000)</f>
        <v/>
      </c>
      <c r="P467" s="35">
        <f>IF($L467="","",INT(($L467-INT($L467/1000000000)*1000000000)/100000000))</f>
        <v/>
      </c>
    </row>
    <row r="468">
      <c r="B468" s="39">
        <f>IF($L468="","",$M468)</f>
        <v/>
      </c>
      <c r="C468" s="18">
        <f>IF($L468="","",INDEX(HSCEI!$C$7:$C$66,$N468))</f>
        <v/>
      </c>
      <c r="D468" s="18">
        <f>IF($L468="","",INDEX(HSCEI!$D$7:$D$66,$N468))</f>
        <v/>
      </c>
      <c r="E468" s="40">
        <f>IF($L468="","",IF($P468=0,"TBA",IFERROR(INDEX(Grids!$C$160:$BO$219,$N468,$O468),"-")))</f>
        <v/>
      </c>
      <c r="F468" s="18">
        <f>IF($L468="","",INDEX(HSCEI!$F$7:$F$66,$N468))</f>
        <v/>
      </c>
      <c r="G468" s="40">
        <f>IF($L468="","",IF($P468=0,"TBA",IFERROR(INDEX(Grids!$BQ$160:$EC$219,$N468,$O468),"-")))</f>
        <v/>
      </c>
      <c r="H468" s="41">
        <f>IF($L468="","",SUM($G$442:$G468))</f>
        <v/>
      </c>
      <c r="I468" s="42">
        <f>IF($L468="","",IF(INT(($L468-INT($L468/10000000)*10000000)/1000000)=0,"Bloomberg projection",IF($P468=1,"ANNOUNCED","ANNOUNCED - amount TBA")))</f>
        <v/>
      </c>
      <c r="J468" s="43">
        <f>IF($L468="","",IF((OV_SWITCH="ON")*(COUNTIFS(OVR_TICKERS,INDEX(HSCEI!$C$7:$C$66,$N468),OVR_BASE,"&gt;=0")&gt;0)&gt;0,"stock overridden",""))</f>
        <v/>
      </c>
      <c r="L468" s="35">
        <f>IFERROR(IF(SMALL(Grids!$EE$160:$GQ$219,$M$439+27)&gt;=PEND_TO,"",SMALL(Grids!$EE$160:$GQ$219,$M$439+27)),"")</f>
        <v/>
      </c>
      <c r="M468" s="35">
        <f>IF($L468="","",INT($L468/1000000000))</f>
        <v/>
      </c>
      <c r="N468" s="35">
        <f>IF($L468="","",INT(($L468-INT($L468/1000000)*1000000)/1000))</f>
        <v/>
      </c>
      <c r="O468" s="35">
        <f>IF($L468="","",$L468-INT($L468/1000)*1000)</f>
        <v/>
      </c>
      <c r="P468" s="35">
        <f>IF($L468="","",INT(($L468-INT($L468/1000000000)*1000000000)/100000000))</f>
        <v/>
      </c>
    </row>
    <row r="469">
      <c r="B469" s="39">
        <f>IF($L469="","",$M469)</f>
        <v/>
      </c>
      <c r="C469" s="18">
        <f>IF($L469="","",INDEX(HSCEI!$C$7:$C$66,$N469))</f>
        <v/>
      </c>
      <c r="D469" s="18">
        <f>IF($L469="","",INDEX(HSCEI!$D$7:$D$66,$N469))</f>
        <v/>
      </c>
      <c r="E469" s="40">
        <f>IF($L469="","",IF($P469=0,"TBA",IFERROR(INDEX(Grids!$C$160:$BO$219,$N469,$O469),"-")))</f>
        <v/>
      </c>
      <c r="F469" s="18">
        <f>IF($L469="","",INDEX(HSCEI!$F$7:$F$66,$N469))</f>
        <v/>
      </c>
      <c r="G469" s="40">
        <f>IF($L469="","",IF($P469=0,"TBA",IFERROR(INDEX(Grids!$BQ$160:$EC$219,$N469,$O469),"-")))</f>
        <v/>
      </c>
      <c r="H469" s="41">
        <f>IF($L469="","",SUM($G$442:$G469))</f>
        <v/>
      </c>
      <c r="I469" s="42">
        <f>IF($L469="","",IF(INT(($L469-INT($L469/10000000)*10000000)/1000000)=0,"Bloomberg projection",IF($P469=1,"ANNOUNCED","ANNOUNCED - amount TBA")))</f>
        <v/>
      </c>
      <c r="J469" s="43">
        <f>IF($L469="","",IF((OV_SWITCH="ON")*(COUNTIFS(OVR_TICKERS,INDEX(HSCEI!$C$7:$C$66,$N469),OVR_BASE,"&gt;=0")&gt;0)&gt;0,"stock overridden",""))</f>
        <v/>
      </c>
      <c r="L469" s="35">
        <f>IFERROR(IF(SMALL(Grids!$EE$160:$GQ$219,$M$439+28)&gt;=PEND_TO,"",SMALL(Grids!$EE$160:$GQ$219,$M$439+28)),"")</f>
        <v/>
      </c>
      <c r="M469" s="35">
        <f>IF($L469="","",INT($L469/1000000000))</f>
        <v/>
      </c>
      <c r="N469" s="35">
        <f>IF($L469="","",INT(($L469-INT($L469/1000000)*1000000)/1000))</f>
        <v/>
      </c>
      <c r="O469" s="35">
        <f>IF($L469="","",$L469-INT($L469/1000)*1000)</f>
        <v/>
      </c>
      <c r="P469" s="35">
        <f>IF($L469="","",INT(($L469-INT($L469/1000000000)*1000000000)/100000000))</f>
        <v/>
      </c>
    </row>
    <row r="470">
      <c r="B470" s="39">
        <f>IF($L470="","",$M470)</f>
        <v/>
      </c>
      <c r="C470" s="18">
        <f>IF($L470="","",INDEX(HSCEI!$C$7:$C$66,$N470))</f>
        <v/>
      </c>
      <c r="D470" s="18">
        <f>IF($L470="","",INDEX(HSCEI!$D$7:$D$66,$N470))</f>
        <v/>
      </c>
      <c r="E470" s="40">
        <f>IF($L470="","",IF($P470=0,"TBA",IFERROR(INDEX(Grids!$C$160:$BO$219,$N470,$O470),"-")))</f>
        <v/>
      </c>
      <c r="F470" s="18">
        <f>IF($L470="","",INDEX(HSCEI!$F$7:$F$66,$N470))</f>
        <v/>
      </c>
      <c r="G470" s="40">
        <f>IF($L470="","",IF($P470=0,"TBA",IFERROR(INDEX(Grids!$BQ$160:$EC$219,$N470,$O470),"-")))</f>
        <v/>
      </c>
      <c r="H470" s="41">
        <f>IF($L470="","",SUM($G$442:$G470))</f>
        <v/>
      </c>
      <c r="I470" s="42">
        <f>IF($L470="","",IF(INT(($L470-INT($L470/10000000)*10000000)/1000000)=0,"Bloomberg projection",IF($P470=1,"ANNOUNCED","ANNOUNCED - amount TBA")))</f>
        <v/>
      </c>
      <c r="J470" s="43">
        <f>IF($L470="","",IF((OV_SWITCH="ON")*(COUNTIFS(OVR_TICKERS,INDEX(HSCEI!$C$7:$C$66,$N470),OVR_BASE,"&gt;=0")&gt;0)&gt;0,"stock overridden",""))</f>
        <v/>
      </c>
      <c r="L470" s="35">
        <f>IFERROR(IF(SMALL(Grids!$EE$160:$GQ$219,$M$439+29)&gt;=PEND_TO,"",SMALL(Grids!$EE$160:$GQ$219,$M$439+29)),"")</f>
        <v/>
      </c>
      <c r="M470" s="35">
        <f>IF($L470="","",INT($L470/1000000000))</f>
        <v/>
      </c>
      <c r="N470" s="35">
        <f>IF($L470="","",INT(($L470-INT($L470/1000000)*1000000)/1000))</f>
        <v/>
      </c>
      <c r="O470" s="35">
        <f>IF($L470="","",$L470-INT($L470/1000)*1000)</f>
        <v/>
      </c>
      <c r="P470" s="35">
        <f>IF($L470="","",INT(($L470-INT($L470/1000000000)*1000000000)/100000000))</f>
        <v/>
      </c>
    </row>
    <row r="471">
      <c r="B471" s="39">
        <f>IF($L471="","",$M471)</f>
        <v/>
      </c>
      <c r="C471" s="18">
        <f>IF($L471="","",INDEX(HSCEI!$C$7:$C$66,$N471))</f>
        <v/>
      </c>
      <c r="D471" s="18">
        <f>IF($L471="","",INDEX(HSCEI!$D$7:$D$66,$N471))</f>
        <v/>
      </c>
      <c r="E471" s="40">
        <f>IF($L471="","",IF($P471=0,"TBA",IFERROR(INDEX(Grids!$C$160:$BO$219,$N471,$O471),"-")))</f>
        <v/>
      </c>
      <c r="F471" s="18">
        <f>IF($L471="","",INDEX(HSCEI!$F$7:$F$66,$N471))</f>
        <v/>
      </c>
      <c r="G471" s="40">
        <f>IF($L471="","",IF($P471=0,"TBA",IFERROR(INDEX(Grids!$BQ$160:$EC$219,$N471,$O471),"-")))</f>
        <v/>
      </c>
      <c r="H471" s="41">
        <f>IF($L471="","",SUM($G$442:$G471))</f>
        <v/>
      </c>
      <c r="I471" s="42">
        <f>IF($L471="","",IF(INT(($L471-INT($L471/10000000)*10000000)/1000000)=0,"Bloomberg projection",IF($P471=1,"ANNOUNCED","ANNOUNCED - amount TBA")))</f>
        <v/>
      </c>
      <c r="J471" s="43">
        <f>IF($L471="","",IF((OV_SWITCH="ON")*(COUNTIFS(OVR_TICKERS,INDEX(HSCEI!$C$7:$C$66,$N471),OVR_BASE,"&gt;=0")&gt;0)&gt;0,"stock overridden",""))</f>
        <v/>
      </c>
      <c r="L471" s="35">
        <f>IFERROR(IF(SMALL(Grids!$EE$160:$GQ$219,$M$439+30)&gt;=PEND_TO,"",SMALL(Grids!$EE$160:$GQ$219,$M$439+30)),"")</f>
        <v/>
      </c>
      <c r="M471" s="35">
        <f>IF($L471="","",INT($L471/1000000000))</f>
        <v/>
      </c>
      <c r="N471" s="35">
        <f>IF($L471="","",INT(($L471-INT($L471/1000000)*1000000)/1000))</f>
        <v/>
      </c>
      <c r="O471" s="35">
        <f>IF($L471="","",$L471-INT($L471/1000)*1000)</f>
        <v/>
      </c>
      <c r="P471" s="35">
        <f>IF($L471="","",INT(($L471-INT($L471/1000000000)*1000000000)/100000000))</f>
        <v/>
      </c>
    </row>
    <row r="472">
      <c r="B472" s="39">
        <f>IF($L472="","",$M472)</f>
        <v/>
      </c>
      <c r="C472" s="18">
        <f>IF($L472="","",INDEX(HSCEI!$C$7:$C$66,$N472))</f>
        <v/>
      </c>
      <c r="D472" s="18">
        <f>IF($L472="","",INDEX(HSCEI!$D$7:$D$66,$N472))</f>
        <v/>
      </c>
      <c r="E472" s="40">
        <f>IF($L472="","",IF($P472=0,"TBA",IFERROR(INDEX(Grids!$C$160:$BO$219,$N472,$O472),"-")))</f>
        <v/>
      </c>
      <c r="F472" s="18">
        <f>IF($L472="","",INDEX(HSCEI!$F$7:$F$66,$N472))</f>
        <v/>
      </c>
      <c r="G472" s="40">
        <f>IF($L472="","",IF($P472=0,"TBA",IFERROR(INDEX(Grids!$BQ$160:$EC$219,$N472,$O472),"-")))</f>
        <v/>
      </c>
      <c r="H472" s="41">
        <f>IF($L472="","",SUM($G$442:$G472))</f>
        <v/>
      </c>
      <c r="I472" s="42">
        <f>IF($L472="","",IF(INT(($L472-INT($L472/10000000)*10000000)/1000000)=0,"Bloomberg projection",IF($P472=1,"ANNOUNCED","ANNOUNCED - amount TBA")))</f>
        <v/>
      </c>
      <c r="J472" s="43">
        <f>IF($L472="","",IF((OV_SWITCH="ON")*(COUNTIFS(OVR_TICKERS,INDEX(HSCEI!$C$7:$C$66,$N472),OVR_BASE,"&gt;=0")&gt;0)&gt;0,"stock overridden",""))</f>
        <v/>
      </c>
      <c r="L472" s="35">
        <f>IFERROR(IF(SMALL(Grids!$EE$160:$GQ$219,$M$439+31)&gt;=PEND_TO,"",SMALL(Grids!$EE$160:$GQ$219,$M$439+31)),"")</f>
        <v/>
      </c>
      <c r="M472" s="35">
        <f>IF($L472="","",INT($L472/1000000000))</f>
        <v/>
      </c>
      <c r="N472" s="35">
        <f>IF($L472="","",INT(($L472-INT($L472/1000000)*1000000)/1000))</f>
        <v/>
      </c>
      <c r="O472" s="35">
        <f>IF($L472="","",$L472-INT($L472/1000)*1000)</f>
        <v/>
      </c>
      <c r="P472" s="35">
        <f>IF($L472="","",INT(($L472-INT($L472/1000000000)*1000000000)/100000000))</f>
        <v/>
      </c>
    </row>
    <row r="473">
      <c r="B473" s="39">
        <f>IF($L473="","",$M473)</f>
        <v/>
      </c>
      <c r="C473" s="18">
        <f>IF($L473="","",INDEX(HSCEI!$C$7:$C$66,$N473))</f>
        <v/>
      </c>
      <c r="D473" s="18">
        <f>IF($L473="","",INDEX(HSCEI!$D$7:$D$66,$N473))</f>
        <v/>
      </c>
      <c r="E473" s="40">
        <f>IF($L473="","",IF($P473=0,"TBA",IFERROR(INDEX(Grids!$C$160:$BO$219,$N473,$O473),"-")))</f>
        <v/>
      </c>
      <c r="F473" s="18">
        <f>IF($L473="","",INDEX(HSCEI!$F$7:$F$66,$N473))</f>
        <v/>
      </c>
      <c r="G473" s="40">
        <f>IF($L473="","",IF($P473=0,"TBA",IFERROR(INDEX(Grids!$BQ$160:$EC$219,$N473,$O473),"-")))</f>
        <v/>
      </c>
      <c r="H473" s="41">
        <f>IF($L473="","",SUM($G$442:$G473))</f>
        <v/>
      </c>
      <c r="I473" s="42">
        <f>IF($L473="","",IF(INT(($L473-INT($L473/10000000)*10000000)/1000000)=0,"Bloomberg projection",IF($P473=1,"ANNOUNCED","ANNOUNCED - amount TBA")))</f>
        <v/>
      </c>
      <c r="J473" s="43">
        <f>IF($L473="","",IF((OV_SWITCH="ON")*(COUNTIFS(OVR_TICKERS,INDEX(HSCEI!$C$7:$C$66,$N473),OVR_BASE,"&gt;=0")&gt;0)&gt;0,"stock overridden",""))</f>
        <v/>
      </c>
      <c r="L473" s="35">
        <f>IFERROR(IF(SMALL(Grids!$EE$160:$GQ$219,$M$439+32)&gt;=PEND_TO,"",SMALL(Grids!$EE$160:$GQ$219,$M$439+32)),"")</f>
        <v/>
      </c>
      <c r="M473" s="35">
        <f>IF($L473="","",INT($L473/1000000000))</f>
        <v/>
      </c>
      <c r="N473" s="35">
        <f>IF($L473="","",INT(($L473-INT($L473/1000000)*1000000)/1000))</f>
        <v/>
      </c>
      <c r="O473" s="35">
        <f>IF($L473="","",$L473-INT($L473/1000)*1000)</f>
        <v/>
      </c>
      <c r="P473" s="35">
        <f>IF($L473="","",INT(($L473-INT($L473/1000000000)*1000000000)/100000000))</f>
        <v/>
      </c>
    </row>
    <row r="474">
      <c r="B474" s="39">
        <f>IF($L474="","",$M474)</f>
        <v/>
      </c>
      <c r="C474" s="18">
        <f>IF($L474="","",INDEX(HSCEI!$C$7:$C$66,$N474))</f>
        <v/>
      </c>
      <c r="D474" s="18">
        <f>IF($L474="","",INDEX(HSCEI!$D$7:$D$66,$N474))</f>
        <v/>
      </c>
      <c r="E474" s="40">
        <f>IF($L474="","",IF($P474=0,"TBA",IFERROR(INDEX(Grids!$C$160:$BO$219,$N474,$O474),"-")))</f>
        <v/>
      </c>
      <c r="F474" s="18">
        <f>IF($L474="","",INDEX(HSCEI!$F$7:$F$66,$N474))</f>
        <v/>
      </c>
      <c r="G474" s="40">
        <f>IF($L474="","",IF($P474=0,"TBA",IFERROR(INDEX(Grids!$BQ$160:$EC$219,$N474,$O474),"-")))</f>
        <v/>
      </c>
      <c r="H474" s="41">
        <f>IF($L474="","",SUM($G$442:$G474))</f>
        <v/>
      </c>
      <c r="I474" s="42">
        <f>IF($L474="","",IF(INT(($L474-INT($L474/10000000)*10000000)/1000000)=0,"Bloomberg projection",IF($P474=1,"ANNOUNCED","ANNOUNCED - amount TBA")))</f>
        <v/>
      </c>
      <c r="J474" s="43">
        <f>IF($L474="","",IF((OV_SWITCH="ON")*(COUNTIFS(OVR_TICKERS,INDEX(HSCEI!$C$7:$C$66,$N474),OVR_BASE,"&gt;=0")&gt;0)&gt;0,"stock overridden",""))</f>
        <v/>
      </c>
      <c r="L474" s="35">
        <f>IFERROR(IF(SMALL(Grids!$EE$160:$GQ$219,$M$439+33)&gt;=PEND_TO,"",SMALL(Grids!$EE$160:$GQ$219,$M$439+33)),"")</f>
        <v/>
      </c>
      <c r="M474" s="35">
        <f>IF($L474="","",INT($L474/1000000000))</f>
        <v/>
      </c>
      <c r="N474" s="35">
        <f>IF($L474="","",INT(($L474-INT($L474/1000000)*1000000)/1000))</f>
        <v/>
      </c>
      <c r="O474" s="35">
        <f>IF($L474="","",$L474-INT($L474/1000)*1000)</f>
        <v/>
      </c>
      <c r="P474" s="35">
        <f>IF($L474="","",INT(($L474-INT($L474/1000000000)*1000000000)/100000000))</f>
        <v/>
      </c>
    </row>
    <row r="475">
      <c r="B475" s="39">
        <f>IF($L475="","",$M475)</f>
        <v/>
      </c>
      <c r="C475" s="18">
        <f>IF($L475="","",INDEX(HSCEI!$C$7:$C$66,$N475))</f>
        <v/>
      </c>
      <c r="D475" s="18">
        <f>IF($L475="","",INDEX(HSCEI!$D$7:$D$66,$N475))</f>
        <v/>
      </c>
      <c r="E475" s="40">
        <f>IF($L475="","",IF($P475=0,"TBA",IFERROR(INDEX(Grids!$C$160:$BO$219,$N475,$O475),"-")))</f>
        <v/>
      </c>
      <c r="F475" s="18">
        <f>IF($L475="","",INDEX(HSCEI!$F$7:$F$66,$N475))</f>
        <v/>
      </c>
      <c r="G475" s="40">
        <f>IF($L475="","",IF($P475=0,"TBA",IFERROR(INDEX(Grids!$BQ$160:$EC$219,$N475,$O475),"-")))</f>
        <v/>
      </c>
      <c r="H475" s="41">
        <f>IF($L475="","",SUM($G$442:$G475))</f>
        <v/>
      </c>
      <c r="I475" s="42">
        <f>IF($L475="","",IF(INT(($L475-INT($L475/10000000)*10000000)/1000000)=0,"Bloomberg projection",IF($P475=1,"ANNOUNCED","ANNOUNCED - amount TBA")))</f>
        <v/>
      </c>
      <c r="J475" s="43">
        <f>IF($L475="","",IF((OV_SWITCH="ON")*(COUNTIFS(OVR_TICKERS,INDEX(HSCEI!$C$7:$C$66,$N475),OVR_BASE,"&gt;=0")&gt;0)&gt;0,"stock overridden",""))</f>
        <v/>
      </c>
      <c r="L475" s="35">
        <f>IFERROR(IF(SMALL(Grids!$EE$160:$GQ$219,$M$439+34)&gt;=PEND_TO,"",SMALL(Grids!$EE$160:$GQ$219,$M$439+34)),"")</f>
        <v/>
      </c>
      <c r="M475" s="35">
        <f>IF($L475="","",INT($L475/1000000000))</f>
        <v/>
      </c>
      <c r="N475" s="35">
        <f>IF($L475="","",INT(($L475-INT($L475/1000000)*1000000)/1000))</f>
        <v/>
      </c>
      <c r="O475" s="35">
        <f>IF($L475="","",$L475-INT($L475/1000)*1000)</f>
        <v/>
      </c>
      <c r="P475" s="35">
        <f>IF($L475="","",INT(($L475-INT($L475/1000000000)*1000000000)/100000000))</f>
        <v/>
      </c>
    </row>
    <row r="476">
      <c r="B476" s="39">
        <f>IF($L476="","",$M476)</f>
        <v/>
      </c>
      <c r="C476" s="18">
        <f>IF($L476="","",INDEX(HSCEI!$C$7:$C$66,$N476))</f>
        <v/>
      </c>
      <c r="D476" s="18">
        <f>IF($L476="","",INDEX(HSCEI!$D$7:$D$66,$N476))</f>
        <v/>
      </c>
      <c r="E476" s="40">
        <f>IF($L476="","",IF($P476=0,"TBA",IFERROR(INDEX(Grids!$C$160:$BO$219,$N476,$O476),"-")))</f>
        <v/>
      </c>
      <c r="F476" s="18">
        <f>IF($L476="","",INDEX(HSCEI!$F$7:$F$66,$N476))</f>
        <v/>
      </c>
      <c r="G476" s="40">
        <f>IF($L476="","",IF($P476=0,"TBA",IFERROR(INDEX(Grids!$BQ$160:$EC$219,$N476,$O476),"-")))</f>
        <v/>
      </c>
      <c r="H476" s="41">
        <f>IF($L476="","",SUM($G$442:$G476))</f>
        <v/>
      </c>
      <c r="I476" s="42">
        <f>IF($L476="","",IF(INT(($L476-INT($L476/10000000)*10000000)/1000000)=0,"Bloomberg projection",IF($P476=1,"ANNOUNCED","ANNOUNCED - amount TBA")))</f>
        <v/>
      </c>
      <c r="J476" s="43">
        <f>IF($L476="","",IF((OV_SWITCH="ON")*(COUNTIFS(OVR_TICKERS,INDEX(HSCEI!$C$7:$C$66,$N476),OVR_BASE,"&gt;=0")&gt;0)&gt;0,"stock overridden",""))</f>
        <v/>
      </c>
      <c r="L476" s="35">
        <f>IFERROR(IF(SMALL(Grids!$EE$160:$GQ$219,$M$439+35)&gt;=PEND_TO,"",SMALL(Grids!$EE$160:$GQ$219,$M$439+35)),"")</f>
        <v/>
      </c>
      <c r="M476" s="35">
        <f>IF($L476="","",INT($L476/1000000000))</f>
        <v/>
      </c>
      <c r="N476" s="35">
        <f>IF($L476="","",INT(($L476-INT($L476/1000000)*1000000)/1000))</f>
        <v/>
      </c>
      <c r="O476" s="35">
        <f>IF($L476="","",$L476-INT($L476/1000)*1000)</f>
        <v/>
      </c>
      <c r="P476" s="35">
        <f>IF($L476="","",INT(($L476-INT($L476/1000000000)*1000000000)/100000000))</f>
        <v/>
      </c>
    </row>
    <row r="477">
      <c r="B477" s="39">
        <f>IF($L477="","",$M477)</f>
        <v/>
      </c>
      <c r="C477" s="18">
        <f>IF($L477="","",INDEX(HSCEI!$C$7:$C$66,$N477))</f>
        <v/>
      </c>
      <c r="D477" s="18">
        <f>IF($L477="","",INDEX(HSCEI!$D$7:$D$66,$N477))</f>
        <v/>
      </c>
      <c r="E477" s="40">
        <f>IF($L477="","",IF($P477=0,"TBA",IFERROR(INDEX(Grids!$C$160:$BO$219,$N477,$O477),"-")))</f>
        <v/>
      </c>
      <c r="F477" s="18">
        <f>IF($L477="","",INDEX(HSCEI!$F$7:$F$66,$N477))</f>
        <v/>
      </c>
      <c r="G477" s="40">
        <f>IF($L477="","",IF($P477=0,"TBA",IFERROR(INDEX(Grids!$BQ$160:$EC$219,$N477,$O477),"-")))</f>
        <v/>
      </c>
      <c r="H477" s="41">
        <f>IF($L477="","",SUM($G$442:$G477))</f>
        <v/>
      </c>
      <c r="I477" s="42">
        <f>IF($L477="","",IF(INT(($L477-INT($L477/10000000)*10000000)/1000000)=0,"Bloomberg projection",IF($P477=1,"ANNOUNCED","ANNOUNCED - amount TBA")))</f>
        <v/>
      </c>
      <c r="J477" s="43">
        <f>IF($L477="","",IF((OV_SWITCH="ON")*(COUNTIFS(OVR_TICKERS,INDEX(HSCEI!$C$7:$C$66,$N477),OVR_BASE,"&gt;=0")&gt;0)&gt;0,"stock overridden",""))</f>
        <v/>
      </c>
      <c r="L477" s="35">
        <f>IFERROR(IF(SMALL(Grids!$EE$160:$GQ$219,$M$439+36)&gt;=PEND_TO,"",SMALL(Grids!$EE$160:$GQ$219,$M$439+36)),"")</f>
        <v/>
      </c>
      <c r="M477" s="35">
        <f>IF($L477="","",INT($L477/1000000000))</f>
        <v/>
      </c>
      <c r="N477" s="35">
        <f>IF($L477="","",INT(($L477-INT($L477/1000000)*1000000)/1000))</f>
        <v/>
      </c>
      <c r="O477" s="35">
        <f>IF($L477="","",$L477-INT($L477/1000)*1000)</f>
        <v/>
      </c>
      <c r="P477" s="35">
        <f>IF($L477="","",INT(($L477-INT($L477/1000000000)*1000000000)/100000000))</f>
        <v/>
      </c>
    </row>
    <row r="478">
      <c r="B478" s="39">
        <f>IF($L478="","",$M478)</f>
        <v/>
      </c>
      <c r="C478" s="18">
        <f>IF($L478="","",INDEX(HSCEI!$C$7:$C$66,$N478))</f>
        <v/>
      </c>
      <c r="D478" s="18">
        <f>IF($L478="","",INDEX(HSCEI!$D$7:$D$66,$N478))</f>
        <v/>
      </c>
      <c r="E478" s="40">
        <f>IF($L478="","",IF($P478=0,"TBA",IFERROR(INDEX(Grids!$C$160:$BO$219,$N478,$O478),"-")))</f>
        <v/>
      </c>
      <c r="F478" s="18">
        <f>IF($L478="","",INDEX(HSCEI!$F$7:$F$66,$N478))</f>
        <v/>
      </c>
      <c r="G478" s="40">
        <f>IF($L478="","",IF($P478=0,"TBA",IFERROR(INDEX(Grids!$BQ$160:$EC$219,$N478,$O478),"-")))</f>
        <v/>
      </c>
      <c r="H478" s="41">
        <f>IF($L478="","",SUM($G$442:$G478))</f>
        <v/>
      </c>
      <c r="I478" s="42">
        <f>IF($L478="","",IF(INT(($L478-INT($L478/10000000)*10000000)/1000000)=0,"Bloomberg projection",IF($P478=1,"ANNOUNCED","ANNOUNCED - amount TBA")))</f>
        <v/>
      </c>
      <c r="J478" s="43">
        <f>IF($L478="","",IF((OV_SWITCH="ON")*(COUNTIFS(OVR_TICKERS,INDEX(HSCEI!$C$7:$C$66,$N478),OVR_BASE,"&gt;=0")&gt;0)&gt;0,"stock overridden",""))</f>
        <v/>
      </c>
      <c r="L478" s="35">
        <f>IFERROR(IF(SMALL(Grids!$EE$160:$GQ$219,$M$439+37)&gt;=PEND_TO,"",SMALL(Grids!$EE$160:$GQ$219,$M$439+37)),"")</f>
        <v/>
      </c>
      <c r="M478" s="35">
        <f>IF($L478="","",INT($L478/1000000000))</f>
        <v/>
      </c>
      <c r="N478" s="35">
        <f>IF($L478="","",INT(($L478-INT($L478/1000000)*1000000)/1000))</f>
        <v/>
      </c>
      <c r="O478" s="35">
        <f>IF($L478="","",$L478-INT($L478/1000)*1000)</f>
        <v/>
      </c>
      <c r="P478" s="35">
        <f>IF($L478="","",INT(($L478-INT($L478/1000000000)*1000000000)/100000000))</f>
        <v/>
      </c>
    </row>
    <row r="479">
      <c r="B479" s="39">
        <f>IF($L479="","",$M479)</f>
        <v/>
      </c>
      <c r="C479" s="18">
        <f>IF($L479="","",INDEX(HSCEI!$C$7:$C$66,$N479))</f>
        <v/>
      </c>
      <c r="D479" s="18">
        <f>IF($L479="","",INDEX(HSCEI!$D$7:$D$66,$N479))</f>
        <v/>
      </c>
      <c r="E479" s="40">
        <f>IF($L479="","",IF($P479=0,"TBA",IFERROR(INDEX(Grids!$C$160:$BO$219,$N479,$O479),"-")))</f>
        <v/>
      </c>
      <c r="F479" s="18">
        <f>IF($L479="","",INDEX(HSCEI!$F$7:$F$66,$N479))</f>
        <v/>
      </c>
      <c r="G479" s="40">
        <f>IF($L479="","",IF($P479=0,"TBA",IFERROR(INDEX(Grids!$BQ$160:$EC$219,$N479,$O479),"-")))</f>
        <v/>
      </c>
      <c r="H479" s="41">
        <f>IF($L479="","",SUM($G$442:$G479))</f>
        <v/>
      </c>
      <c r="I479" s="42">
        <f>IF($L479="","",IF(INT(($L479-INT($L479/10000000)*10000000)/1000000)=0,"Bloomberg projection",IF($P479=1,"ANNOUNCED","ANNOUNCED - amount TBA")))</f>
        <v/>
      </c>
      <c r="J479" s="43">
        <f>IF($L479="","",IF((OV_SWITCH="ON")*(COUNTIFS(OVR_TICKERS,INDEX(HSCEI!$C$7:$C$66,$N479),OVR_BASE,"&gt;=0")&gt;0)&gt;0,"stock overridden",""))</f>
        <v/>
      </c>
      <c r="L479" s="35">
        <f>IFERROR(IF(SMALL(Grids!$EE$160:$GQ$219,$M$439+38)&gt;=PEND_TO,"",SMALL(Grids!$EE$160:$GQ$219,$M$439+38)),"")</f>
        <v/>
      </c>
      <c r="M479" s="35">
        <f>IF($L479="","",INT($L479/1000000000))</f>
        <v/>
      </c>
      <c r="N479" s="35">
        <f>IF($L479="","",INT(($L479-INT($L479/1000000)*1000000)/1000))</f>
        <v/>
      </c>
      <c r="O479" s="35">
        <f>IF($L479="","",$L479-INT($L479/1000)*1000)</f>
        <v/>
      </c>
      <c r="P479" s="35">
        <f>IF($L479="","",INT(($L479-INT($L479/1000000000)*1000000000)/100000000))</f>
        <v/>
      </c>
    </row>
    <row r="480">
      <c r="B480" s="39">
        <f>IF($L480="","",$M480)</f>
        <v/>
      </c>
      <c r="C480" s="18">
        <f>IF($L480="","",INDEX(HSCEI!$C$7:$C$66,$N480))</f>
        <v/>
      </c>
      <c r="D480" s="18">
        <f>IF($L480="","",INDEX(HSCEI!$D$7:$D$66,$N480))</f>
        <v/>
      </c>
      <c r="E480" s="40">
        <f>IF($L480="","",IF($P480=0,"TBA",IFERROR(INDEX(Grids!$C$160:$BO$219,$N480,$O480),"-")))</f>
        <v/>
      </c>
      <c r="F480" s="18">
        <f>IF($L480="","",INDEX(HSCEI!$F$7:$F$66,$N480))</f>
        <v/>
      </c>
      <c r="G480" s="40">
        <f>IF($L480="","",IF($P480=0,"TBA",IFERROR(INDEX(Grids!$BQ$160:$EC$219,$N480,$O480),"-")))</f>
        <v/>
      </c>
      <c r="H480" s="41">
        <f>IF($L480="","",SUM($G$442:$G480))</f>
        <v/>
      </c>
      <c r="I480" s="42">
        <f>IF($L480="","",IF(INT(($L480-INT($L480/10000000)*10000000)/1000000)=0,"Bloomberg projection",IF($P480=1,"ANNOUNCED","ANNOUNCED - amount TBA")))</f>
        <v/>
      </c>
      <c r="J480" s="43">
        <f>IF($L480="","",IF((OV_SWITCH="ON")*(COUNTIFS(OVR_TICKERS,INDEX(HSCEI!$C$7:$C$66,$N480),OVR_BASE,"&gt;=0")&gt;0)&gt;0,"stock overridden",""))</f>
        <v/>
      </c>
      <c r="L480" s="35">
        <f>IFERROR(IF(SMALL(Grids!$EE$160:$GQ$219,$M$439+39)&gt;=PEND_TO,"",SMALL(Grids!$EE$160:$GQ$219,$M$439+39)),"")</f>
        <v/>
      </c>
      <c r="M480" s="35">
        <f>IF($L480="","",INT($L480/1000000000))</f>
        <v/>
      </c>
      <c r="N480" s="35">
        <f>IF($L480="","",INT(($L480-INT($L480/1000000)*1000000)/1000))</f>
        <v/>
      </c>
      <c r="O480" s="35">
        <f>IF($L480="","",$L480-INT($L480/1000)*1000)</f>
        <v/>
      </c>
      <c r="P480" s="35">
        <f>IF($L480="","",INT(($L480-INT($L480/1000000000)*1000000000)/100000000))</f>
        <v/>
      </c>
    </row>
    <row r="481">
      <c r="B481" s="39">
        <f>IF($L481="","",$M481)</f>
        <v/>
      </c>
      <c r="C481" s="18">
        <f>IF($L481="","",INDEX(HSCEI!$C$7:$C$66,$N481))</f>
        <v/>
      </c>
      <c r="D481" s="18">
        <f>IF($L481="","",INDEX(HSCEI!$D$7:$D$66,$N481))</f>
        <v/>
      </c>
      <c r="E481" s="40">
        <f>IF($L481="","",IF($P481=0,"TBA",IFERROR(INDEX(Grids!$C$160:$BO$219,$N481,$O481),"-")))</f>
        <v/>
      </c>
      <c r="F481" s="18">
        <f>IF($L481="","",INDEX(HSCEI!$F$7:$F$66,$N481))</f>
        <v/>
      </c>
      <c r="G481" s="40">
        <f>IF($L481="","",IF($P481=0,"TBA",IFERROR(INDEX(Grids!$BQ$160:$EC$219,$N481,$O481),"-")))</f>
        <v/>
      </c>
      <c r="H481" s="41">
        <f>IF($L481="","",SUM($G$442:$G481))</f>
        <v/>
      </c>
      <c r="I481" s="42">
        <f>IF($L481="","",IF(INT(($L481-INT($L481/10000000)*10000000)/1000000)=0,"Bloomberg projection",IF($P481=1,"ANNOUNCED","ANNOUNCED - amount TBA")))</f>
        <v/>
      </c>
      <c r="J481" s="43">
        <f>IF($L481="","",IF((OV_SWITCH="ON")*(COUNTIFS(OVR_TICKERS,INDEX(HSCEI!$C$7:$C$66,$N481),OVR_BASE,"&gt;=0")&gt;0)&gt;0,"stock overridden",""))</f>
        <v/>
      </c>
      <c r="L481" s="35">
        <f>IFERROR(IF(SMALL(Grids!$EE$160:$GQ$219,$M$439+40)&gt;=PEND_TO,"",SMALL(Grids!$EE$160:$GQ$219,$M$439+40)),"")</f>
        <v/>
      </c>
      <c r="M481" s="35">
        <f>IF($L481="","",INT($L481/1000000000))</f>
        <v/>
      </c>
      <c r="N481" s="35">
        <f>IF($L481="","",INT(($L481-INT($L481/1000000)*1000000)/1000))</f>
        <v/>
      </c>
      <c r="O481" s="35">
        <f>IF($L481="","",$L481-INT($L481/1000)*1000)</f>
        <v/>
      </c>
      <c r="P481" s="35">
        <f>IF($L481="","",INT(($L481-INT($L481/1000000000)*1000000000)/100000000))</f>
        <v/>
      </c>
    </row>
    <row r="482">
      <c r="B482" s="39">
        <f>IF($L482="","",$M482)</f>
        <v/>
      </c>
      <c r="C482" s="18">
        <f>IF($L482="","",INDEX(HSCEI!$C$7:$C$66,$N482))</f>
        <v/>
      </c>
      <c r="D482" s="18">
        <f>IF($L482="","",INDEX(HSCEI!$D$7:$D$66,$N482))</f>
        <v/>
      </c>
      <c r="E482" s="40">
        <f>IF($L482="","",IF($P482=0,"TBA",IFERROR(INDEX(Grids!$C$160:$BO$219,$N482,$O482),"-")))</f>
        <v/>
      </c>
      <c r="F482" s="18">
        <f>IF($L482="","",INDEX(HSCEI!$F$7:$F$66,$N482))</f>
        <v/>
      </c>
      <c r="G482" s="40">
        <f>IF($L482="","",IF($P482=0,"TBA",IFERROR(INDEX(Grids!$BQ$160:$EC$219,$N482,$O482),"-")))</f>
        <v/>
      </c>
      <c r="H482" s="41">
        <f>IF($L482="","",SUM($G$442:$G482))</f>
        <v/>
      </c>
      <c r="I482" s="42">
        <f>IF($L482="","",IF(INT(($L482-INT($L482/10000000)*10000000)/1000000)=0,"Bloomberg projection",IF($P482=1,"ANNOUNCED","ANNOUNCED - amount TBA")))</f>
        <v/>
      </c>
      <c r="J482" s="43">
        <f>IF($L482="","",IF((OV_SWITCH="ON")*(COUNTIFS(OVR_TICKERS,INDEX(HSCEI!$C$7:$C$66,$N482),OVR_BASE,"&gt;=0")&gt;0)&gt;0,"stock overridden",""))</f>
        <v/>
      </c>
      <c r="L482" s="35">
        <f>IFERROR(IF(SMALL(Grids!$EE$160:$GQ$219,$M$439+41)&gt;=PEND_TO,"",SMALL(Grids!$EE$160:$GQ$219,$M$439+41)),"")</f>
        <v/>
      </c>
      <c r="M482" s="35">
        <f>IF($L482="","",INT($L482/1000000000))</f>
        <v/>
      </c>
      <c r="N482" s="35">
        <f>IF($L482="","",INT(($L482-INT($L482/1000000)*1000000)/1000))</f>
        <v/>
      </c>
      <c r="O482" s="35">
        <f>IF($L482="","",$L482-INT($L482/1000)*1000)</f>
        <v/>
      </c>
      <c r="P482" s="35">
        <f>IF($L482="","",INT(($L482-INT($L482/1000000000)*1000000000)/100000000))</f>
        <v/>
      </c>
    </row>
    <row r="483">
      <c r="B483" s="39">
        <f>IF($L483="","",$M483)</f>
        <v/>
      </c>
      <c r="C483" s="18">
        <f>IF($L483="","",INDEX(HSCEI!$C$7:$C$66,$N483))</f>
        <v/>
      </c>
      <c r="D483" s="18">
        <f>IF($L483="","",INDEX(HSCEI!$D$7:$D$66,$N483))</f>
        <v/>
      </c>
      <c r="E483" s="40">
        <f>IF($L483="","",IF($P483=0,"TBA",IFERROR(INDEX(Grids!$C$160:$BO$219,$N483,$O483),"-")))</f>
        <v/>
      </c>
      <c r="F483" s="18">
        <f>IF($L483="","",INDEX(HSCEI!$F$7:$F$66,$N483))</f>
        <v/>
      </c>
      <c r="G483" s="40">
        <f>IF($L483="","",IF($P483=0,"TBA",IFERROR(INDEX(Grids!$BQ$160:$EC$219,$N483,$O483),"-")))</f>
        <v/>
      </c>
      <c r="H483" s="41">
        <f>IF($L483="","",SUM($G$442:$G483))</f>
        <v/>
      </c>
      <c r="I483" s="42">
        <f>IF($L483="","",IF(INT(($L483-INT($L483/10000000)*10000000)/1000000)=0,"Bloomberg projection",IF($P483=1,"ANNOUNCED","ANNOUNCED - amount TBA")))</f>
        <v/>
      </c>
      <c r="J483" s="43">
        <f>IF($L483="","",IF((OV_SWITCH="ON")*(COUNTIFS(OVR_TICKERS,INDEX(HSCEI!$C$7:$C$66,$N483),OVR_BASE,"&gt;=0")&gt;0)&gt;0,"stock overridden",""))</f>
        <v/>
      </c>
      <c r="L483" s="35">
        <f>IFERROR(IF(SMALL(Grids!$EE$160:$GQ$219,$M$439+42)&gt;=PEND_TO,"",SMALL(Grids!$EE$160:$GQ$219,$M$439+42)),"")</f>
        <v/>
      </c>
      <c r="M483" s="35">
        <f>IF($L483="","",INT($L483/1000000000))</f>
        <v/>
      </c>
      <c r="N483" s="35">
        <f>IF($L483="","",INT(($L483-INT($L483/1000000)*1000000)/1000))</f>
        <v/>
      </c>
      <c r="O483" s="35">
        <f>IF($L483="","",$L483-INT($L483/1000)*1000)</f>
        <v/>
      </c>
      <c r="P483" s="35">
        <f>IF($L483="","",INT(($L483-INT($L483/1000000000)*1000000000)/100000000))</f>
        <v/>
      </c>
    </row>
    <row r="484">
      <c r="B484" s="39">
        <f>IF($L484="","",$M484)</f>
        <v/>
      </c>
      <c r="C484" s="18">
        <f>IF($L484="","",INDEX(HSCEI!$C$7:$C$66,$N484))</f>
        <v/>
      </c>
      <c r="D484" s="18">
        <f>IF($L484="","",INDEX(HSCEI!$D$7:$D$66,$N484))</f>
        <v/>
      </c>
      <c r="E484" s="40">
        <f>IF($L484="","",IF($P484=0,"TBA",IFERROR(INDEX(Grids!$C$160:$BO$219,$N484,$O484),"-")))</f>
        <v/>
      </c>
      <c r="F484" s="18">
        <f>IF($L484="","",INDEX(HSCEI!$F$7:$F$66,$N484))</f>
        <v/>
      </c>
      <c r="G484" s="40">
        <f>IF($L484="","",IF($P484=0,"TBA",IFERROR(INDEX(Grids!$BQ$160:$EC$219,$N484,$O484),"-")))</f>
        <v/>
      </c>
      <c r="H484" s="41">
        <f>IF($L484="","",SUM($G$442:$G484))</f>
        <v/>
      </c>
      <c r="I484" s="42">
        <f>IF($L484="","",IF(INT(($L484-INT($L484/10000000)*10000000)/1000000)=0,"Bloomberg projection",IF($P484=1,"ANNOUNCED","ANNOUNCED - amount TBA")))</f>
        <v/>
      </c>
      <c r="J484" s="43">
        <f>IF($L484="","",IF((OV_SWITCH="ON")*(COUNTIFS(OVR_TICKERS,INDEX(HSCEI!$C$7:$C$66,$N484),OVR_BASE,"&gt;=0")&gt;0)&gt;0,"stock overridden",""))</f>
        <v/>
      </c>
      <c r="L484" s="35">
        <f>IFERROR(IF(SMALL(Grids!$EE$160:$GQ$219,$M$439+43)&gt;=PEND_TO,"",SMALL(Grids!$EE$160:$GQ$219,$M$439+43)),"")</f>
        <v/>
      </c>
      <c r="M484" s="35">
        <f>IF($L484="","",INT($L484/1000000000))</f>
        <v/>
      </c>
      <c r="N484" s="35">
        <f>IF($L484="","",INT(($L484-INT($L484/1000000)*1000000)/1000))</f>
        <v/>
      </c>
      <c r="O484" s="35">
        <f>IF($L484="","",$L484-INT($L484/1000)*1000)</f>
        <v/>
      </c>
      <c r="P484" s="35">
        <f>IF($L484="","",INT(($L484-INT($L484/1000000000)*1000000000)/100000000))</f>
        <v/>
      </c>
    </row>
    <row r="485">
      <c r="B485" s="39">
        <f>IF($L485="","",$M485)</f>
        <v/>
      </c>
      <c r="C485" s="18">
        <f>IF($L485="","",INDEX(HSCEI!$C$7:$C$66,$N485))</f>
        <v/>
      </c>
      <c r="D485" s="18">
        <f>IF($L485="","",INDEX(HSCEI!$D$7:$D$66,$N485))</f>
        <v/>
      </c>
      <c r="E485" s="40">
        <f>IF($L485="","",IF($P485=0,"TBA",IFERROR(INDEX(Grids!$C$160:$BO$219,$N485,$O485),"-")))</f>
        <v/>
      </c>
      <c r="F485" s="18">
        <f>IF($L485="","",INDEX(HSCEI!$F$7:$F$66,$N485))</f>
        <v/>
      </c>
      <c r="G485" s="40">
        <f>IF($L485="","",IF($P485=0,"TBA",IFERROR(INDEX(Grids!$BQ$160:$EC$219,$N485,$O485),"-")))</f>
        <v/>
      </c>
      <c r="H485" s="41">
        <f>IF($L485="","",SUM($G$442:$G485))</f>
        <v/>
      </c>
      <c r="I485" s="42">
        <f>IF($L485="","",IF(INT(($L485-INT($L485/10000000)*10000000)/1000000)=0,"Bloomberg projection",IF($P485=1,"ANNOUNCED","ANNOUNCED - amount TBA")))</f>
        <v/>
      </c>
      <c r="J485" s="43">
        <f>IF($L485="","",IF((OV_SWITCH="ON")*(COUNTIFS(OVR_TICKERS,INDEX(HSCEI!$C$7:$C$66,$N485),OVR_BASE,"&gt;=0")&gt;0)&gt;0,"stock overridden",""))</f>
        <v/>
      </c>
      <c r="L485" s="35">
        <f>IFERROR(IF(SMALL(Grids!$EE$160:$GQ$219,$M$439+44)&gt;=PEND_TO,"",SMALL(Grids!$EE$160:$GQ$219,$M$439+44)),"")</f>
        <v/>
      </c>
      <c r="M485" s="35">
        <f>IF($L485="","",INT($L485/1000000000))</f>
        <v/>
      </c>
      <c r="N485" s="35">
        <f>IF($L485="","",INT(($L485-INT($L485/1000000)*1000000)/1000))</f>
        <v/>
      </c>
      <c r="O485" s="35">
        <f>IF($L485="","",$L485-INT($L485/1000)*1000)</f>
        <v/>
      </c>
      <c r="P485" s="35">
        <f>IF($L485="","",INT(($L485-INT($L485/1000000000)*1000000000)/100000000))</f>
        <v/>
      </c>
    </row>
    <row r="486">
      <c r="B486" s="39">
        <f>IF($L486="","",$M486)</f>
        <v/>
      </c>
      <c r="C486" s="18">
        <f>IF($L486="","",INDEX(HSCEI!$C$7:$C$66,$N486))</f>
        <v/>
      </c>
      <c r="D486" s="18">
        <f>IF($L486="","",INDEX(HSCEI!$D$7:$D$66,$N486))</f>
        <v/>
      </c>
      <c r="E486" s="40">
        <f>IF($L486="","",IF($P486=0,"TBA",IFERROR(INDEX(Grids!$C$160:$BO$219,$N486,$O486),"-")))</f>
        <v/>
      </c>
      <c r="F486" s="18">
        <f>IF($L486="","",INDEX(HSCEI!$F$7:$F$66,$N486))</f>
        <v/>
      </c>
      <c r="G486" s="40">
        <f>IF($L486="","",IF($P486=0,"TBA",IFERROR(INDEX(Grids!$BQ$160:$EC$219,$N486,$O486),"-")))</f>
        <v/>
      </c>
      <c r="H486" s="41">
        <f>IF($L486="","",SUM($G$442:$G486))</f>
        <v/>
      </c>
      <c r="I486" s="42">
        <f>IF($L486="","",IF(INT(($L486-INT($L486/10000000)*10000000)/1000000)=0,"Bloomberg projection",IF($P486=1,"ANNOUNCED","ANNOUNCED - amount TBA")))</f>
        <v/>
      </c>
      <c r="J486" s="43">
        <f>IF($L486="","",IF((OV_SWITCH="ON")*(COUNTIFS(OVR_TICKERS,INDEX(HSCEI!$C$7:$C$66,$N486),OVR_BASE,"&gt;=0")&gt;0)&gt;0,"stock overridden",""))</f>
        <v/>
      </c>
      <c r="L486" s="35">
        <f>IFERROR(IF(SMALL(Grids!$EE$160:$GQ$219,$M$439+45)&gt;=PEND_TO,"",SMALL(Grids!$EE$160:$GQ$219,$M$439+45)),"")</f>
        <v/>
      </c>
      <c r="M486" s="35">
        <f>IF($L486="","",INT($L486/1000000000))</f>
        <v/>
      </c>
      <c r="N486" s="35">
        <f>IF($L486="","",INT(($L486-INT($L486/1000000)*1000000)/1000))</f>
        <v/>
      </c>
      <c r="O486" s="35">
        <f>IF($L486="","",$L486-INT($L486/1000)*1000)</f>
        <v/>
      </c>
      <c r="P486" s="35">
        <f>IF($L486="","",INT(($L486-INT($L486/1000000000)*1000000000)/100000000))</f>
        <v/>
      </c>
    </row>
    <row r="487">
      <c r="B487" s="39">
        <f>IF($L487="","",$M487)</f>
        <v/>
      </c>
      <c r="C487" s="18">
        <f>IF($L487="","",INDEX(HSCEI!$C$7:$C$66,$N487))</f>
        <v/>
      </c>
      <c r="D487" s="18">
        <f>IF($L487="","",INDEX(HSCEI!$D$7:$D$66,$N487))</f>
        <v/>
      </c>
      <c r="E487" s="40">
        <f>IF($L487="","",IF($P487=0,"TBA",IFERROR(INDEX(Grids!$C$160:$BO$219,$N487,$O487),"-")))</f>
        <v/>
      </c>
      <c r="F487" s="18">
        <f>IF($L487="","",INDEX(HSCEI!$F$7:$F$66,$N487))</f>
        <v/>
      </c>
      <c r="G487" s="40">
        <f>IF($L487="","",IF($P487=0,"TBA",IFERROR(INDEX(Grids!$BQ$160:$EC$219,$N487,$O487),"-")))</f>
        <v/>
      </c>
      <c r="H487" s="41">
        <f>IF($L487="","",SUM($G$442:$G487))</f>
        <v/>
      </c>
      <c r="I487" s="42">
        <f>IF($L487="","",IF(INT(($L487-INT($L487/10000000)*10000000)/1000000)=0,"Bloomberg projection",IF($P487=1,"ANNOUNCED","ANNOUNCED - amount TBA")))</f>
        <v/>
      </c>
      <c r="J487" s="43">
        <f>IF($L487="","",IF((OV_SWITCH="ON")*(COUNTIFS(OVR_TICKERS,INDEX(HSCEI!$C$7:$C$66,$N487),OVR_BASE,"&gt;=0")&gt;0)&gt;0,"stock overridden",""))</f>
        <v/>
      </c>
      <c r="L487" s="35">
        <f>IFERROR(IF(SMALL(Grids!$EE$160:$GQ$219,$M$439+46)&gt;=PEND_TO,"",SMALL(Grids!$EE$160:$GQ$219,$M$439+46)),"")</f>
        <v/>
      </c>
      <c r="M487" s="35">
        <f>IF($L487="","",INT($L487/1000000000))</f>
        <v/>
      </c>
      <c r="N487" s="35">
        <f>IF($L487="","",INT(($L487-INT($L487/1000000)*1000000)/1000))</f>
        <v/>
      </c>
      <c r="O487" s="35">
        <f>IF($L487="","",$L487-INT($L487/1000)*1000)</f>
        <v/>
      </c>
      <c r="P487" s="35">
        <f>IF($L487="","",INT(($L487-INT($L487/1000000000)*1000000000)/100000000))</f>
        <v/>
      </c>
    </row>
    <row r="488">
      <c r="B488" s="39">
        <f>IF($L488="","",$M488)</f>
        <v/>
      </c>
      <c r="C488" s="18">
        <f>IF($L488="","",INDEX(HSCEI!$C$7:$C$66,$N488))</f>
        <v/>
      </c>
      <c r="D488" s="18">
        <f>IF($L488="","",INDEX(HSCEI!$D$7:$D$66,$N488))</f>
        <v/>
      </c>
      <c r="E488" s="40">
        <f>IF($L488="","",IF($P488=0,"TBA",IFERROR(INDEX(Grids!$C$160:$BO$219,$N488,$O488),"-")))</f>
        <v/>
      </c>
      <c r="F488" s="18">
        <f>IF($L488="","",INDEX(HSCEI!$F$7:$F$66,$N488))</f>
        <v/>
      </c>
      <c r="G488" s="40">
        <f>IF($L488="","",IF($P488=0,"TBA",IFERROR(INDEX(Grids!$BQ$160:$EC$219,$N488,$O488),"-")))</f>
        <v/>
      </c>
      <c r="H488" s="41">
        <f>IF($L488="","",SUM($G$442:$G488))</f>
        <v/>
      </c>
      <c r="I488" s="42">
        <f>IF($L488="","",IF(INT(($L488-INT($L488/10000000)*10000000)/1000000)=0,"Bloomberg projection",IF($P488=1,"ANNOUNCED","ANNOUNCED - amount TBA")))</f>
        <v/>
      </c>
      <c r="J488" s="43">
        <f>IF($L488="","",IF((OV_SWITCH="ON")*(COUNTIFS(OVR_TICKERS,INDEX(HSCEI!$C$7:$C$66,$N488),OVR_BASE,"&gt;=0")&gt;0)&gt;0,"stock overridden",""))</f>
        <v/>
      </c>
      <c r="L488" s="35">
        <f>IFERROR(IF(SMALL(Grids!$EE$160:$GQ$219,$M$439+47)&gt;=PEND_TO,"",SMALL(Grids!$EE$160:$GQ$219,$M$439+47)),"")</f>
        <v/>
      </c>
      <c r="M488" s="35">
        <f>IF($L488="","",INT($L488/1000000000))</f>
        <v/>
      </c>
      <c r="N488" s="35">
        <f>IF($L488="","",INT(($L488-INT($L488/1000000)*1000000)/1000))</f>
        <v/>
      </c>
      <c r="O488" s="35">
        <f>IF($L488="","",$L488-INT($L488/1000)*1000)</f>
        <v/>
      </c>
      <c r="P488" s="35">
        <f>IF($L488="","",INT(($L488-INT($L488/1000000000)*1000000000)/100000000))</f>
        <v/>
      </c>
    </row>
    <row r="489">
      <c r="B489" s="39">
        <f>IF($L489="","",$M489)</f>
        <v/>
      </c>
      <c r="C489" s="18">
        <f>IF($L489="","",INDEX(HSCEI!$C$7:$C$66,$N489))</f>
        <v/>
      </c>
      <c r="D489" s="18">
        <f>IF($L489="","",INDEX(HSCEI!$D$7:$D$66,$N489))</f>
        <v/>
      </c>
      <c r="E489" s="40">
        <f>IF($L489="","",IF($P489=0,"TBA",IFERROR(INDEX(Grids!$C$160:$BO$219,$N489,$O489),"-")))</f>
        <v/>
      </c>
      <c r="F489" s="18">
        <f>IF($L489="","",INDEX(HSCEI!$F$7:$F$66,$N489))</f>
        <v/>
      </c>
      <c r="G489" s="40">
        <f>IF($L489="","",IF($P489=0,"TBA",IFERROR(INDEX(Grids!$BQ$160:$EC$219,$N489,$O489),"-")))</f>
        <v/>
      </c>
      <c r="H489" s="41">
        <f>IF($L489="","",SUM($G$442:$G489))</f>
        <v/>
      </c>
      <c r="I489" s="42">
        <f>IF($L489="","",IF(INT(($L489-INT($L489/10000000)*10000000)/1000000)=0,"Bloomberg projection",IF($P489=1,"ANNOUNCED","ANNOUNCED - amount TBA")))</f>
        <v/>
      </c>
      <c r="J489" s="43">
        <f>IF($L489="","",IF((OV_SWITCH="ON")*(COUNTIFS(OVR_TICKERS,INDEX(HSCEI!$C$7:$C$66,$N489),OVR_BASE,"&gt;=0")&gt;0)&gt;0,"stock overridden",""))</f>
        <v/>
      </c>
      <c r="L489" s="35">
        <f>IFERROR(IF(SMALL(Grids!$EE$160:$GQ$219,$M$439+48)&gt;=PEND_TO,"",SMALL(Grids!$EE$160:$GQ$219,$M$439+48)),"")</f>
        <v/>
      </c>
      <c r="M489" s="35">
        <f>IF($L489="","",INT($L489/1000000000))</f>
        <v/>
      </c>
      <c r="N489" s="35">
        <f>IF($L489="","",INT(($L489-INT($L489/1000000)*1000000)/1000))</f>
        <v/>
      </c>
      <c r="O489" s="35">
        <f>IF($L489="","",$L489-INT($L489/1000)*1000)</f>
        <v/>
      </c>
      <c r="P489" s="35">
        <f>IF($L489="","",INT(($L489-INT($L489/1000000000)*1000000000)/100000000))</f>
        <v/>
      </c>
    </row>
    <row r="490">
      <c r="B490" s="39">
        <f>IF($L490="","",$M490)</f>
        <v/>
      </c>
      <c r="C490" s="18">
        <f>IF($L490="","",INDEX(HSCEI!$C$7:$C$66,$N490))</f>
        <v/>
      </c>
      <c r="D490" s="18">
        <f>IF($L490="","",INDEX(HSCEI!$D$7:$D$66,$N490))</f>
        <v/>
      </c>
      <c r="E490" s="40">
        <f>IF($L490="","",IF($P490=0,"TBA",IFERROR(INDEX(Grids!$C$160:$BO$219,$N490,$O490),"-")))</f>
        <v/>
      </c>
      <c r="F490" s="18">
        <f>IF($L490="","",INDEX(HSCEI!$F$7:$F$66,$N490))</f>
        <v/>
      </c>
      <c r="G490" s="40">
        <f>IF($L490="","",IF($P490=0,"TBA",IFERROR(INDEX(Grids!$BQ$160:$EC$219,$N490,$O490),"-")))</f>
        <v/>
      </c>
      <c r="H490" s="41">
        <f>IF($L490="","",SUM($G$442:$G490))</f>
        <v/>
      </c>
      <c r="I490" s="42">
        <f>IF($L490="","",IF(INT(($L490-INT($L490/10000000)*10000000)/1000000)=0,"Bloomberg projection",IF($P490=1,"ANNOUNCED","ANNOUNCED - amount TBA")))</f>
        <v/>
      </c>
      <c r="J490" s="43">
        <f>IF($L490="","",IF((OV_SWITCH="ON")*(COUNTIFS(OVR_TICKERS,INDEX(HSCEI!$C$7:$C$66,$N490),OVR_BASE,"&gt;=0")&gt;0)&gt;0,"stock overridden",""))</f>
        <v/>
      </c>
      <c r="L490" s="35">
        <f>IFERROR(IF(SMALL(Grids!$EE$160:$GQ$219,$M$439+49)&gt;=PEND_TO,"",SMALL(Grids!$EE$160:$GQ$219,$M$439+49)),"")</f>
        <v/>
      </c>
      <c r="M490" s="35">
        <f>IF($L490="","",INT($L490/1000000000))</f>
        <v/>
      </c>
      <c r="N490" s="35">
        <f>IF($L490="","",INT(($L490-INT($L490/1000000)*1000000)/1000))</f>
        <v/>
      </c>
      <c r="O490" s="35">
        <f>IF($L490="","",$L490-INT($L490/1000)*1000)</f>
        <v/>
      </c>
      <c r="P490" s="35">
        <f>IF($L490="","",INT(($L490-INT($L490/1000000000)*1000000000)/100000000))</f>
        <v/>
      </c>
    </row>
    <row r="491">
      <c r="B491" s="39">
        <f>IF($L491="","",$M491)</f>
        <v/>
      </c>
      <c r="C491" s="18">
        <f>IF($L491="","",INDEX(HSCEI!$C$7:$C$66,$N491))</f>
        <v/>
      </c>
      <c r="D491" s="18">
        <f>IF($L491="","",INDEX(HSCEI!$D$7:$D$66,$N491))</f>
        <v/>
      </c>
      <c r="E491" s="40">
        <f>IF($L491="","",IF($P491=0,"TBA",IFERROR(INDEX(Grids!$C$160:$BO$219,$N491,$O491),"-")))</f>
        <v/>
      </c>
      <c r="F491" s="18">
        <f>IF($L491="","",INDEX(HSCEI!$F$7:$F$66,$N491))</f>
        <v/>
      </c>
      <c r="G491" s="40">
        <f>IF($L491="","",IF($P491=0,"TBA",IFERROR(INDEX(Grids!$BQ$160:$EC$219,$N491,$O491),"-")))</f>
        <v/>
      </c>
      <c r="H491" s="41">
        <f>IF($L491="","",SUM($G$442:$G491))</f>
        <v/>
      </c>
      <c r="I491" s="42">
        <f>IF($L491="","",IF(INT(($L491-INT($L491/10000000)*10000000)/1000000)=0,"Bloomberg projection",IF($P491=1,"ANNOUNCED","ANNOUNCED - amount TBA")))</f>
        <v/>
      </c>
      <c r="J491" s="43">
        <f>IF($L491="","",IF((OV_SWITCH="ON")*(COUNTIFS(OVR_TICKERS,INDEX(HSCEI!$C$7:$C$66,$N491),OVR_BASE,"&gt;=0")&gt;0)&gt;0,"stock overridden",""))</f>
        <v/>
      </c>
      <c r="L491" s="35">
        <f>IFERROR(IF(SMALL(Grids!$EE$160:$GQ$219,$M$439+50)&gt;=PEND_TO,"",SMALL(Grids!$EE$160:$GQ$219,$M$439+50)),"")</f>
        <v/>
      </c>
      <c r="M491" s="35">
        <f>IF($L491="","",INT($L491/1000000000))</f>
        <v/>
      </c>
      <c r="N491" s="35">
        <f>IF($L491="","",INT(($L491-INT($L491/1000000)*1000000)/1000))</f>
        <v/>
      </c>
      <c r="O491" s="35">
        <f>IF($L491="","",$L491-INT($L491/1000)*1000)</f>
        <v/>
      </c>
      <c r="P491" s="35">
        <f>IF($L491="","",INT(($L491-INT($L491/1000000000)*1000000000)/100000000))</f>
        <v/>
      </c>
    </row>
    <row r="492">
      <c r="B492" s="39">
        <f>IF($L492="","",$M492)</f>
        <v/>
      </c>
      <c r="C492" s="18">
        <f>IF($L492="","",INDEX(HSCEI!$C$7:$C$66,$N492))</f>
        <v/>
      </c>
      <c r="D492" s="18">
        <f>IF($L492="","",INDEX(HSCEI!$D$7:$D$66,$N492))</f>
        <v/>
      </c>
      <c r="E492" s="40">
        <f>IF($L492="","",IF($P492=0,"TBA",IFERROR(INDEX(Grids!$C$160:$BO$219,$N492,$O492),"-")))</f>
        <v/>
      </c>
      <c r="F492" s="18">
        <f>IF($L492="","",INDEX(HSCEI!$F$7:$F$66,$N492))</f>
        <v/>
      </c>
      <c r="G492" s="40">
        <f>IF($L492="","",IF($P492=0,"TBA",IFERROR(INDEX(Grids!$BQ$160:$EC$219,$N492,$O492),"-")))</f>
        <v/>
      </c>
      <c r="H492" s="41">
        <f>IF($L492="","",SUM($G$442:$G492))</f>
        <v/>
      </c>
      <c r="I492" s="42">
        <f>IF($L492="","",IF(INT(($L492-INT($L492/10000000)*10000000)/1000000)=0,"Bloomberg projection",IF($P492=1,"ANNOUNCED","ANNOUNCED - amount TBA")))</f>
        <v/>
      </c>
      <c r="J492" s="43">
        <f>IF($L492="","",IF((OV_SWITCH="ON")*(COUNTIFS(OVR_TICKERS,INDEX(HSCEI!$C$7:$C$66,$N492),OVR_BASE,"&gt;=0")&gt;0)&gt;0,"stock overridden",""))</f>
        <v/>
      </c>
      <c r="L492" s="35">
        <f>IFERROR(IF(SMALL(Grids!$EE$160:$GQ$219,$M$439+51)&gt;=PEND_TO,"",SMALL(Grids!$EE$160:$GQ$219,$M$439+51)),"")</f>
        <v/>
      </c>
      <c r="M492" s="35">
        <f>IF($L492="","",INT($L492/1000000000))</f>
        <v/>
      </c>
      <c r="N492" s="35">
        <f>IF($L492="","",INT(($L492-INT($L492/1000000)*1000000)/1000))</f>
        <v/>
      </c>
      <c r="O492" s="35">
        <f>IF($L492="","",$L492-INT($L492/1000)*1000)</f>
        <v/>
      </c>
      <c r="P492" s="35">
        <f>IF($L492="","",INT(($L492-INT($L492/1000000000)*1000000000)/100000000))</f>
        <v/>
      </c>
    </row>
    <row r="493">
      <c r="B493" s="39">
        <f>IF($L493="","",$M493)</f>
        <v/>
      </c>
      <c r="C493" s="18">
        <f>IF($L493="","",INDEX(HSCEI!$C$7:$C$66,$N493))</f>
        <v/>
      </c>
      <c r="D493" s="18">
        <f>IF($L493="","",INDEX(HSCEI!$D$7:$D$66,$N493))</f>
        <v/>
      </c>
      <c r="E493" s="40">
        <f>IF($L493="","",IF($P493=0,"TBA",IFERROR(INDEX(Grids!$C$160:$BO$219,$N493,$O493),"-")))</f>
        <v/>
      </c>
      <c r="F493" s="18">
        <f>IF($L493="","",INDEX(HSCEI!$F$7:$F$66,$N493))</f>
        <v/>
      </c>
      <c r="G493" s="40">
        <f>IF($L493="","",IF($P493=0,"TBA",IFERROR(INDEX(Grids!$BQ$160:$EC$219,$N493,$O493),"-")))</f>
        <v/>
      </c>
      <c r="H493" s="41">
        <f>IF($L493="","",SUM($G$442:$G493))</f>
        <v/>
      </c>
      <c r="I493" s="42">
        <f>IF($L493="","",IF(INT(($L493-INT($L493/10000000)*10000000)/1000000)=0,"Bloomberg projection",IF($P493=1,"ANNOUNCED","ANNOUNCED - amount TBA")))</f>
        <v/>
      </c>
      <c r="J493" s="43">
        <f>IF($L493="","",IF((OV_SWITCH="ON")*(COUNTIFS(OVR_TICKERS,INDEX(HSCEI!$C$7:$C$66,$N493),OVR_BASE,"&gt;=0")&gt;0)&gt;0,"stock overridden",""))</f>
        <v/>
      </c>
      <c r="L493" s="35">
        <f>IFERROR(IF(SMALL(Grids!$EE$160:$GQ$219,$M$439+52)&gt;=PEND_TO,"",SMALL(Grids!$EE$160:$GQ$219,$M$439+52)),"")</f>
        <v/>
      </c>
      <c r="M493" s="35">
        <f>IF($L493="","",INT($L493/1000000000))</f>
        <v/>
      </c>
      <c r="N493" s="35">
        <f>IF($L493="","",INT(($L493-INT($L493/1000000)*1000000)/1000))</f>
        <v/>
      </c>
      <c r="O493" s="35">
        <f>IF($L493="","",$L493-INT($L493/1000)*1000)</f>
        <v/>
      </c>
      <c r="P493" s="35">
        <f>IF($L493="","",INT(($L493-INT($L493/1000000000)*1000000000)/100000000))</f>
        <v/>
      </c>
    </row>
    <row r="494">
      <c r="B494" s="39">
        <f>IF($L494="","",$M494)</f>
        <v/>
      </c>
      <c r="C494" s="18">
        <f>IF($L494="","",INDEX(HSCEI!$C$7:$C$66,$N494))</f>
        <v/>
      </c>
      <c r="D494" s="18">
        <f>IF($L494="","",INDEX(HSCEI!$D$7:$D$66,$N494))</f>
        <v/>
      </c>
      <c r="E494" s="40">
        <f>IF($L494="","",IF($P494=0,"TBA",IFERROR(INDEX(Grids!$C$160:$BO$219,$N494,$O494),"-")))</f>
        <v/>
      </c>
      <c r="F494" s="18">
        <f>IF($L494="","",INDEX(HSCEI!$F$7:$F$66,$N494))</f>
        <v/>
      </c>
      <c r="G494" s="40">
        <f>IF($L494="","",IF($P494=0,"TBA",IFERROR(INDEX(Grids!$BQ$160:$EC$219,$N494,$O494),"-")))</f>
        <v/>
      </c>
      <c r="H494" s="41">
        <f>IF($L494="","",SUM($G$442:$G494))</f>
        <v/>
      </c>
      <c r="I494" s="42">
        <f>IF($L494="","",IF(INT(($L494-INT($L494/10000000)*10000000)/1000000)=0,"Bloomberg projection",IF($P494=1,"ANNOUNCED","ANNOUNCED - amount TBA")))</f>
        <v/>
      </c>
      <c r="J494" s="43">
        <f>IF($L494="","",IF((OV_SWITCH="ON")*(COUNTIFS(OVR_TICKERS,INDEX(HSCEI!$C$7:$C$66,$N494),OVR_BASE,"&gt;=0")&gt;0)&gt;0,"stock overridden",""))</f>
        <v/>
      </c>
      <c r="L494" s="35">
        <f>IFERROR(IF(SMALL(Grids!$EE$160:$GQ$219,$M$439+53)&gt;=PEND_TO,"",SMALL(Grids!$EE$160:$GQ$219,$M$439+53)),"")</f>
        <v/>
      </c>
      <c r="M494" s="35">
        <f>IF($L494="","",INT($L494/1000000000))</f>
        <v/>
      </c>
      <c r="N494" s="35">
        <f>IF($L494="","",INT(($L494-INT($L494/1000000)*1000000)/1000))</f>
        <v/>
      </c>
      <c r="O494" s="35">
        <f>IF($L494="","",$L494-INT($L494/1000)*1000)</f>
        <v/>
      </c>
      <c r="P494" s="35">
        <f>IF($L494="","",INT(($L494-INT($L494/1000000000)*1000000000)/100000000))</f>
        <v/>
      </c>
    </row>
    <row r="495">
      <c r="B495" s="39">
        <f>IF($L495="","",$M495)</f>
        <v/>
      </c>
      <c r="C495" s="18">
        <f>IF($L495="","",INDEX(HSCEI!$C$7:$C$66,$N495))</f>
        <v/>
      </c>
      <c r="D495" s="18">
        <f>IF($L495="","",INDEX(HSCEI!$D$7:$D$66,$N495))</f>
        <v/>
      </c>
      <c r="E495" s="40">
        <f>IF($L495="","",IF($P495=0,"TBA",IFERROR(INDEX(Grids!$C$160:$BO$219,$N495,$O495),"-")))</f>
        <v/>
      </c>
      <c r="F495" s="18">
        <f>IF($L495="","",INDEX(HSCEI!$F$7:$F$66,$N495))</f>
        <v/>
      </c>
      <c r="G495" s="40">
        <f>IF($L495="","",IF($P495=0,"TBA",IFERROR(INDEX(Grids!$BQ$160:$EC$219,$N495,$O495),"-")))</f>
        <v/>
      </c>
      <c r="H495" s="41">
        <f>IF($L495="","",SUM($G$442:$G495))</f>
        <v/>
      </c>
      <c r="I495" s="42">
        <f>IF($L495="","",IF(INT(($L495-INT($L495/10000000)*10000000)/1000000)=0,"Bloomberg projection",IF($P495=1,"ANNOUNCED","ANNOUNCED - amount TBA")))</f>
        <v/>
      </c>
      <c r="J495" s="43">
        <f>IF($L495="","",IF((OV_SWITCH="ON")*(COUNTIFS(OVR_TICKERS,INDEX(HSCEI!$C$7:$C$66,$N495),OVR_BASE,"&gt;=0")&gt;0)&gt;0,"stock overridden",""))</f>
        <v/>
      </c>
      <c r="L495" s="35">
        <f>IFERROR(IF(SMALL(Grids!$EE$160:$GQ$219,$M$439+54)&gt;=PEND_TO,"",SMALL(Grids!$EE$160:$GQ$219,$M$439+54)),"")</f>
        <v/>
      </c>
      <c r="M495" s="35">
        <f>IF($L495="","",INT($L495/1000000000))</f>
        <v/>
      </c>
      <c r="N495" s="35">
        <f>IF($L495="","",INT(($L495-INT($L495/1000000)*1000000)/1000))</f>
        <v/>
      </c>
      <c r="O495" s="35">
        <f>IF($L495="","",$L495-INT($L495/1000)*1000)</f>
        <v/>
      </c>
      <c r="P495" s="35">
        <f>IF($L495="","",INT(($L495-INT($L495/1000000000)*1000000000)/100000000))</f>
        <v/>
      </c>
    </row>
    <row r="496">
      <c r="B496" s="39">
        <f>IF($L496="","",$M496)</f>
        <v/>
      </c>
      <c r="C496" s="18">
        <f>IF($L496="","",INDEX(HSCEI!$C$7:$C$66,$N496))</f>
        <v/>
      </c>
      <c r="D496" s="18">
        <f>IF($L496="","",INDEX(HSCEI!$D$7:$D$66,$N496))</f>
        <v/>
      </c>
      <c r="E496" s="40">
        <f>IF($L496="","",IF($P496=0,"TBA",IFERROR(INDEX(Grids!$C$160:$BO$219,$N496,$O496),"-")))</f>
        <v/>
      </c>
      <c r="F496" s="18">
        <f>IF($L496="","",INDEX(HSCEI!$F$7:$F$66,$N496))</f>
        <v/>
      </c>
      <c r="G496" s="40">
        <f>IF($L496="","",IF($P496=0,"TBA",IFERROR(INDEX(Grids!$BQ$160:$EC$219,$N496,$O496),"-")))</f>
        <v/>
      </c>
      <c r="H496" s="41">
        <f>IF($L496="","",SUM($G$442:$G496))</f>
        <v/>
      </c>
      <c r="I496" s="42">
        <f>IF($L496="","",IF(INT(($L496-INT($L496/10000000)*10000000)/1000000)=0,"Bloomberg projection",IF($P496=1,"ANNOUNCED","ANNOUNCED - amount TBA")))</f>
        <v/>
      </c>
      <c r="J496" s="43">
        <f>IF($L496="","",IF((OV_SWITCH="ON")*(COUNTIFS(OVR_TICKERS,INDEX(HSCEI!$C$7:$C$66,$N496),OVR_BASE,"&gt;=0")&gt;0)&gt;0,"stock overridden",""))</f>
        <v/>
      </c>
      <c r="L496" s="35">
        <f>IFERROR(IF(SMALL(Grids!$EE$160:$GQ$219,$M$439+55)&gt;=PEND_TO,"",SMALL(Grids!$EE$160:$GQ$219,$M$439+55)),"")</f>
        <v/>
      </c>
      <c r="M496" s="35">
        <f>IF($L496="","",INT($L496/1000000000))</f>
        <v/>
      </c>
      <c r="N496" s="35">
        <f>IF($L496="","",INT(($L496-INT($L496/1000000)*1000000)/1000))</f>
        <v/>
      </c>
      <c r="O496" s="35">
        <f>IF($L496="","",$L496-INT($L496/1000)*1000)</f>
        <v/>
      </c>
      <c r="P496" s="35">
        <f>IF($L496="","",INT(($L496-INT($L496/1000000000)*1000000000)/100000000))</f>
        <v/>
      </c>
    </row>
    <row r="497">
      <c r="B497" s="39">
        <f>IF($L497="","",$M497)</f>
        <v/>
      </c>
      <c r="C497" s="18">
        <f>IF($L497="","",INDEX(HSCEI!$C$7:$C$66,$N497))</f>
        <v/>
      </c>
      <c r="D497" s="18">
        <f>IF($L497="","",INDEX(HSCEI!$D$7:$D$66,$N497))</f>
        <v/>
      </c>
      <c r="E497" s="40">
        <f>IF($L497="","",IF($P497=0,"TBA",IFERROR(INDEX(Grids!$C$160:$BO$219,$N497,$O497),"-")))</f>
        <v/>
      </c>
      <c r="F497" s="18">
        <f>IF($L497="","",INDEX(HSCEI!$F$7:$F$66,$N497))</f>
        <v/>
      </c>
      <c r="G497" s="40">
        <f>IF($L497="","",IF($P497=0,"TBA",IFERROR(INDEX(Grids!$BQ$160:$EC$219,$N497,$O497),"-")))</f>
        <v/>
      </c>
      <c r="H497" s="41">
        <f>IF($L497="","",SUM($G$442:$G497))</f>
        <v/>
      </c>
      <c r="I497" s="42">
        <f>IF($L497="","",IF(INT(($L497-INT($L497/10000000)*10000000)/1000000)=0,"Bloomberg projection",IF($P497=1,"ANNOUNCED","ANNOUNCED - amount TBA")))</f>
        <v/>
      </c>
      <c r="J497" s="43">
        <f>IF($L497="","",IF((OV_SWITCH="ON")*(COUNTIFS(OVR_TICKERS,INDEX(HSCEI!$C$7:$C$66,$N497),OVR_BASE,"&gt;=0")&gt;0)&gt;0,"stock overridden",""))</f>
        <v/>
      </c>
      <c r="L497" s="35">
        <f>IFERROR(IF(SMALL(Grids!$EE$160:$GQ$219,$M$439+56)&gt;=PEND_TO,"",SMALL(Grids!$EE$160:$GQ$219,$M$439+56)),"")</f>
        <v/>
      </c>
      <c r="M497" s="35">
        <f>IF($L497="","",INT($L497/1000000000))</f>
        <v/>
      </c>
      <c r="N497" s="35">
        <f>IF($L497="","",INT(($L497-INT($L497/1000000)*1000000)/1000))</f>
        <v/>
      </c>
      <c r="O497" s="35">
        <f>IF($L497="","",$L497-INT($L497/1000)*1000)</f>
        <v/>
      </c>
      <c r="P497" s="35">
        <f>IF($L497="","",INT(($L497-INT($L497/1000000000)*1000000000)/100000000))</f>
        <v/>
      </c>
    </row>
    <row r="498">
      <c r="B498" s="39">
        <f>IF($L498="","",$M498)</f>
        <v/>
      </c>
      <c r="C498" s="18">
        <f>IF($L498="","",INDEX(HSCEI!$C$7:$C$66,$N498))</f>
        <v/>
      </c>
      <c r="D498" s="18">
        <f>IF($L498="","",INDEX(HSCEI!$D$7:$D$66,$N498))</f>
        <v/>
      </c>
      <c r="E498" s="40">
        <f>IF($L498="","",IF($P498=0,"TBA",IFERROR(INDEX(Grids!$C$160:$BO$219,$N498,$O498),"-")))</f>
        <v/>
      </c>
      <c r="F498" s="18">
        <f>IF($L498="","",INDEX(HSCEI!$F$7:$F$66,$N498))</f>
        <v/>
      </c>
      <c r="G498" s="40">
        <f>IF($L498="","",IF($P498=0,"TBA",IFERROR(INDEX(Grids!$BQ$160:$EC$219,$N498,$O498),"-")))</f>
        <v/>
      </c>
      <c r="H498" s="41">
        <f>IF($L498="","",SUM($G$442:$G498))</f>
        <v/>
      </c>
      <c r="I498" s="42">
        <f>IF($L498="","",IF(INT(($L498-INT($L498/10000000)*10000000)/1000000)=0,"Bloomberg projection",IF($P498=1,"ANNOUNCED","ANNOUNCED - amount TBA")))</f>
        <v/>
      </c>
      <c r="J498" s="43">
        <f>IF($L498="","",IF((OV_SWITCH="ON")*(COUNTIFS(OVR_TICKERS,INDEX(HSCEI!$C$7:$C$66,$N498),OVR_BASE,"&gt;=0")&gt;0)&gt;0,"stock overridden",""))</f>
        <v/>
      </c>
      <c r="L498" s="35">
        <f>IFERROR(IF(SMALL(Grids!$EE$160:$GQ$219,$M$439+57)&gt;=PEND_TO,"",SMALL(Grids!$EE$160:$GQ$219,$M$439+57)),"")</f>
        <v/>
      </c>
      <c r="M498" s="35">
        <f>IF($L498="","",INT($L498/1000000000))</f>
        <v/>
      </c>
      <c r="N498" s="35">
        <f>IF($L498="","",INT(($L498-INT($L498/1000000)*1000000)/1000))</f>
        <v/>
      </c>
      <c r="O498" s="35">
        <f>IF($L498="","",$L498-INT($L498/1000)*1000)</f>
        <v/>
      </c>
      <c r="P498" s="35">
        <f>IF($L498="","",INT(($L498-INT($L498/1000000000)*1000000000)/100000000))</f>
        <v/>
      </c>
    </row>
    <row r="499">
      <c r="B499" s="39">
        <f>IF($L499="","",$M499)</f>
        <v/>
      </c>
      <c r="C499" s="18">
        <f>IF($L499="","",INDEX(HSCEI!$C$7:$C$66,$N499))</f>
        <v/>
      </c>
      <c r="D499" s="18">
        <f>IF($L499="","",INDEX(HSCEI!$D$7:$D$66,$N499))</f>
        <v/>
      </c>
      <c r="E499" s="40">
        <f>IF($L499="","",IF($P499=0,"TBA",IFERROR(INDEX(Grids!$C$160:$BO$219,$N499,$O499),"-")))</f>
        <v/>
      </c>
      <c r="F499" s="18">
        <f>IF($L499="","",INDEX(HSCEI!$F$7:$F$66,$N499))</f>
        <v/>
      </c>
      <c r="G499" s="40">
        <f>IF($L499="","",IF($P499=0,"TBA",IFERROR(INDEX(Grids!$BQ$160:$EC$219,$N499,$O499),"-")))</f>
        <v/>
      </c>
      <c r="H499" s="41">
        <f>IF($L499="","",SUM($G$442:$G499))</f>
        <v/>
      </c>
      <c r="I499" s="42">
        <f>IF($L499="","",IF(INT(($L499-INT($L499/10000000)*10000000)/1000000)=0,"Bloomberg projection",IF($P499=1,"ANNOUNCED","ANNOUNCED - amount TBA")))</f>
        <v/>
      </c>
      <c r="J499" s="43">
        <f>IF($L499="","",IF((OV_SWITCH="ON")*(COUNTIFS(OVR_TICKERS,INDEX(HSCEI!$C$7:$C$66,$N499),OVR_BASE,"&gt;=0")&gt;0)&gt;0,"stock overridden",""))</f>
        <v/>
      </c>
      <c r="L499" s="35">
        <f>IFERROR(IF(SMALL(Grids!$EE$160:$GQ$219,$M$439+58)&gt;=PEND_TO,"",SMALL(Grids!$EE$160:$GQ$219,$M$439+58)),"")</f>
        <v/>
      </c>
      <c r="M499" s="35">
        <f>IF($L499="","",INT($L499/1000000000))</f>
        <v/>
      </c>
      <c r="N499" s="35">
        <f>IF($L499="","",INT(($L499-INT($L499/1000000)*1000000)/1000))</f>
        <v/>
      </c>
      <c r="O499" s="35">
        <f>IF($L499="","",$L499-INT($L499/1000)*1000)</f>
        <v/>
      </c>
      <c r="P499" s="35">
        <f>IF($L499="","",INT(($L499-INT($L499/1000000000)*1000000000)/100000000))</f>
        <v/>
      </c>
    </row>
    <row r="500">
      <c r="B500" s="39">
        <f>IF($L500="","",$M500)</f>
        <v/>
      </c>
      <c r="C500" s="18">
        <f>IF($L500="","",INDEX(HSCEI!$C$7:$C$66,$N500))</f>
        <v/>
      </c>
      <c r="D500" s="18">
        <f>IF($L500="","",INDEX(HSCEI!$D$7:$D$66,$N500))</f>
        <v/>
      </c>
      <c r="E500" s="40">
        <f>IF($L500="","",IF($P500=0,"TBA",IFERROR(INDEX(Grids!$C$160:$BO$219,$N500,$O500),"-")))</f>
        <v/>
      </c>
      <c r="F500" s="18">
        <f>IF($L500="","",INDEX(HSCEI!$F$7:$F$66,$N500))</f>
        <v/>
      </c>
      <c r="G500" s="40">
        <f>IF($L500="","",IF($P500=0,"TBA",IFERROR(INDEX(Grids!$BQ$160:$EC$219,$N500,$O500),"-")))</f>
        <v/>
      </c>
      <c r="H500" s="41">
        <f>IF($L500="","",SUM($G$442:$G500))</f>
        <v/>
      </c>
      <c r="I500" s="42">
        <f>IF($L500="","",IF(INT(($L500-INT($L500/10000000)*10000000)/1000000)=0,"Bloomberg projection",IF($P500=1,"ANNOUNCED","ANNOUNCED - amount TBA")))</f>
        <v/>
      </c>
      <c r="J500" s="43">
        <f>IF($L500="","",IF((OV_SWITCH="ON")*(COUNTIFS(OVR_TICKERS,INDEX(HSCEI!$C$7:$C$66,$N500),OVR_BASE,"&gt;=0")&gt;0)&gt;0,"stock overridden",""))</f>
        <v/>
      </c>
      <c r="L500" s="35">
        <f>IFERROR(IF(SMALL(Grids!$EE$160:$GQ$219,$M$439+59)&gt;=PEND_TO,"",SMALL(Grids!$EE$160:$GQ$219,$M$439+59)),"")</f>
        <v/>
      </c>
      <c r="M500" s="35">
        <f>IF($L500="","",INT($L500/1000000000))</f>
        <v/>
      </c>
      <c r="N500" s="35">
        <f>IF($L500="","",INT(($L500-INT($L500/1000000)*1000000)/1000))</f>
        <v/>
      </c>
      <c r="O500" s="35">
        <f>IF($L500="","",$L500-INT($L500/1000)*1000)</f>
        <v/>
      </c>
      <c r="P500" s="35">
        <f>IF($L500="","",INT(($L500-INT($L500/1000000000)*1000000000)/100000000))</f>
        <v/>
      </c>
    </row>
    <row r="501">
      <c r="B501" s="39">
        <f>IF($L501="","",$M501)</f>
        <v/>
      </c>
      <c r="C501" s="18">
        <f>IF($L501="","",INDEX(HSCEI!$C$7:$C$66,$N501))</f>
        <v/>
      </c>
      <c r="D501" s="18">
        <f>IF($L501="","",INDEX(HSCEI!$D$7:$D$66,$N501))</f>
        <v/>
      </c>
      <c r="E501" s="40">
        <f>IF($L501="","",IF($P501=0,"TBA",IFERROR(INDEX(Grids!$C$160:$BO$219,$N501,$O501),"-")))</f>
        <v/>
      </c>
      <c r="F501" s="18">
        <f>IF($L501="","",INDEX(HSCEI!$F$7:$F$66,$N501))</f>
        <v/>
      </c>
      <c r="G501" s="40">
        <f>IF($L501="","",IF($P501=0,"TBA",IFERROR(INDEX(Grids!$BQ$160:$EC$219,$N501,$O501),"-")))</f>
        <v/>
      </c>
      <c r="H501" s="41">
        <f>IF($L501="","",SUM($G$442:$G501))</f>
        <v/>
      </c>
      <c r="I501" s="42">
        <f>IF($L501="","",IF(INT(($L501-INT($L501/10000000)*10000000)/1000000)=0,"Bloomberg projection",IF($P501=1,"ANNOUNCED","ANNOUNCED - amount TBA")))</f>
        <v/>
      </c>
      <c r="J501" s="43">
        <f>IF($L501="","",IF((OV_SWITCH="ON")*(COUNTIFS(OVR_TICKERS,INDEX(HSCEI!$C$7:$C$66,$N501),OVR_BASE,"&gt;=0")&gt;0)&gt;0,"stock overridden",""))</f>
        <v/>
      </c>
      <c r="L501" s="35">
        <f>IFERROR(IF(SMALL(Grids!$EE$160:$GQ$219,$M$439+60)&gt;=PEND_TO,"",SMALL(Grids!$EE$160:$GQ$219,$M$439+60)),"")</f>
        <v/>
      </c>
      <c r="M501" s="35">
        <f>IF($L501="","",INT($L501/1000000000))</f>
        <v/>
      </c>
      <c r="N501" s="35">
        <f>IF($L501="","",INT(($L501-INT($L501/1000000)*1000000)/1000))</f>
        <v/>
      </c>
      <c r="O501" s="35">
        <f>IF($L501="","",$L501-INT($L501/1000)*1000)</f>
        <v/>
      </c>
      <c r="P501" s="35">
        <f>IF($L501="","",INT(($L501-INT($L501/1000000000)*1000000000)/100000000))</f>
        <v/>
      </c>
    </row>
    <row r="502">
      <c r="B502" s="39">
        <f>IF($L502="","",$M502)</f>
        <v/>
      </c>
      <c r="C502" s="18">
        <f>IF($L502="","",INDEX(HSCEI!$C$7:$C$66,$N502))</f>
        <v/>
      </c>
      <c r="D502" s="18">
        <f>IF($L502="","",INDEX(HSCEI!$D$7:$D$66,$N502))</f>
        <v/>
      </c>
      <c r="E502" s="40">
        <f>IF($L502="","",IF($P502=0,"TBA",IFERROR(INDEX(Grids!$C$160:$BO$219,$N502,$O502),"-")))</f>
        <v/>
      </c>
      <c r="F502" s="18">
        <f>IF($L502="","",INDEX(HSCEI!$F$7:$F$66,$N502))</f>
        <v/>
      </c>
      <c r="G502" s="40">
        <f>IF($L502="","",IF($P502=0,"TBA",IFERROR(INDEX(Grids!$BQ$160:$EC$219,$N502,$O502),"-")))</f>
        <v/>
      </c>
      <c r="H502" s="41">
        <f>IF($L502="","",SUM($G$442:$G502))</f>
        <v/>
      </c>
      <c r="I502" s="42">
        <f>IF($L502="","",IF(INT(($L502-INT($L502/10000000)*10000000)/1000000)=0,"Bloomberg projection",IF($P502=1,"ANNOUNCED","ANNOUNCED - amount TBA")))</f>
        <v/>
      </c>
      <c r="J502" s="43">
        <f>IF($L502="","",IF((OV_SWITCH="ON")*(COUNTIFS(OVR_TICKERS,INDEX(HSCEI!$C$7:$C$66,$N502),OVR_BASE,"&gt;=0")&gt;0)&gt;0,"stock overridden",""))</f>
        <v/>
      </c>
      <c r="L502" s="35">
        <f>IFERROR(IF(SMALL(Grids!$EE$160:$GQ$219,$M$439+61)&gt;=PEND_TO,"",SMALL(Grids!$EE$160:$GQ$219,$M$439+61)),"")</f>
        <v/>
      </c>
      <c r="M502" s="35">
        <f>IF($L502="","",INT($L502/1000000000))</f>
        <v/>
      </c>
      <c r="N502" s="35">
        <f>IF($L502="","",INT(($L502-INT($L502/1000000)*1000000)/1000))</f>
        <v/>
      </c>
      <c r="O502" s="35">
        <f>IF($L502="","",$L502-INT($L502/1000)*1000)</f>
        <v/>
      </c>
      <c r="P502" s="35">
        <f>IF($L502="","",INT(($L502-INT($L502/1000000000)*1000000000)/100000000))</f>
        <v/>
      </c>
    </row>
    <row r="503">
      <c r="B503" s="39">
        <f>IF($L503="","",$M503)</f>
        <v/>
      </c>
      <c r="C503" s="18">
        <f>IF($L503="","",INDEX(HSCEI!$C$7:$C$66,$N503))</f>
        <v/>
      </c>
      <c r="D503" s="18">
        <f>IF($L503="","",INDEX(HSCEI!$D$7:$D$66,$N503))</f>
        <v/>
      </c>
      <c r="E503" s="40">
        <f>IF($L503="","",IF($P503=0,"TBA",IFERROR(INDEX(Grids!$C$160:$BO$219,$N503,$O503),"-")))</f>
        <v/>
      </c>
      <c r="F503" s="18">
        <f>IF($L503="","",INDEX(HSCEI!$F$7:$F$66,$N503))</f>
        <v/>
      </c>
      <c r="G503" s="40">
        <f>IF($L503="","",IF($P503=0,"TBA",IFERROR(INDEX(Grids!$BQ$160:$EC$219,$N503,$O503),"-")))</f>
        <v/>
      </c>
      <c r="H503" s="41">
        <f>IF($L503="","",SUM($G$442:$G503))</f>
        <v/>
      </c>
      <c r="I503" s="42">
        <f>IF($L503="","",IF(INT(($L503-INT($L503/10000000)*10000000)/1000000)=0,"Bloomberg projection",IF($P503=1,"ANNOUNCED","ANNOUNCED - amount TBA")))</f>
        <v/>
      </c>
      <c r="J503" s="43">
        <f>IF($L503="","",IF((OV_SWITCH="ON")*(COUNTIFS(OVR_TICKERS,INDEX(HSCEI!$C$7:$C$66,$N503),OVR_BASE,"&gt;=0")&gt;0)&gt;0,"stock overridden",""))</f>
        <v/>
      </c>
      <c r="L503" s="35">
        <f>IFERROR(IF(SMALL(Grids!$EE$160:$GQ$219,$M$439+62)&gt;=PEND_TO,"",SMALL(Grids!$EE$160:$GQ$219,$M$439+62)),"")</f>
        <v/>
      </c>
      <c r="M503" s="35">
        <f>IF($L503="","",INT($L503/1000000000))</f>
        <v/>
      </c>
      <c r="N503" s="35">
        <f>IF($L503="","",INT(($L503-INT($L503/1000000)*1000000)/1000))</f>
        <v/>
      </c>
      <c r="O503" s="35">
        <f>IF($L503="","",$L503-INT($L503/1000)*1000)</f>
        <v/>
      </c>
      <c r="P503" s="35">
        <f>IF($L503="","",INT(($L503-INT($L503/1000000000)*1000000000)/100000000))</f>
        <v/>
      </c>
    </row>
    <row r="504">
      <c r="B504" s="39">
        <f>IF($L504="","",$M504)</f>
        <v/>
      </c>
      <c r="C504" s="18">
        <f>IF($L504="","",INDEX(HSCEI!$C$7:$C$66,$N504))</f>
        <v/>
      </c>
      <c r="D504" s="18">
        <f>IF($L504="","",INDEX(HSCEI!$D$7:$D$66,$N504))</f>
        <v/>
      </c>
      <c r="E504" s="40">
        <f>IF($L504="","",IF($P504=0,"TBA",IFERROR(INDEX(Grids!$C$160:$BO$219,$N504,$O504),"-")))</f>
        <v/>
      </c>
      <c r="F504" s="18">
        <f>IF($L504="","",INDEX(HSCEI!$F$7:$F$66,$N504))</f>
        <v/>
      </c>
      <c r="G504" s="40">
        <f>IF($L504="","",IF($P504=0,"TBA",IFERROR(INDEX(Grids!$BQ$160:$EC$219,$N504,$O504),"-")))</f>
        <v/>
      </c>
      <c r="H504" s="41">
        <f>IF($L504="","",SUM($G$442:$G504))</f>
        <v/>
      </c>
      <c r="I504" s="42">
        <f>IF($L504="","",IF(INT(($L504-INT($L504/10000000)*10000000)/1000000)=0,"Bloomberg projection",IF($P504=1,"ANNOUNCED","ANNOUNCED - amount TBA")))</f>
        <v/>
      </c>
      <c r="J504" s="43">
        <f>IF($L504="","",IF((OV_SWITCH="ON")*(COUNTIFS(OVR_TICKERS,INDEX(HSCEI!$C$7:$C$66,$N504),OVR_BASE,"&gt;=0")&gt;0)&gt;0,"stock overridden",""))</f>
        <v/>
      </c>
      <c r="L504" s="35">
        <f>IFERROR(IF(SMALL(Grids!$EE$160:$GQ$219,$M$439+63)&gt;=PEND_TO,"",SMALL(Grids!$EE$160:$GQ$219,$M$439+63)),"")</f>
        <v/>
      </c>
      <c r="M504" s="35">
        <f>IF($L504="","",INT($L504/1000000000))</f>
        <v/>
      </c>
      <c r="N504" s="35">
        <f>IF($L504="","",INT(($L504-INT($L504/1000000)*1000000)/1000))</f>
        <v/>
      </c>
      <c r="O504" s="35">
        <f>IF($L504="","",$L504-INT($L504/1000)*1000)</f>
        <v/>
      </c>
      <c r="P504" s="35">
        <f>IF($L504="","",INT(($L504-INT($L504/1000000000)*1000000000)/100000000))</f>
        <v/>
      </c>
    </row>
    <row r="505">
      <c r="B505" s="39">
        <f>IF($L505="","",$M505)</f>
        <v/>
      </c>
      <c r="C505" s="18">
        <f>IF($L505="","",INDEX(HSCEI!$C$7:$C$66,$N505))</f>
        <v/>
      </c>
      <c r="D505" s="18">
        <f>IF($L505="","",INDEX(HSCEI!$D$7:$D$66,$N505))</f>
        <v/>
      </c>
      <c r="E505" s="40">
        <f>IF($L505="","",IF($P505=0,"TBA",IFERROR(INDEX(Grids!$C$160:$BO$219,$N505,$O505),"-")))</f>
        <v/>
      </c>
      <c r="F505" s="18">
        <f>IF($L505="","",INDEX(HSCEI!$F$7:$F$66,$N505))</f>
        <v/>
      </c>
      <c r="G505" s="40">
        <f>IF($L505="","",IF($P505=0,"TBA",IFERROR(INDEX(Grids!$BQ$160:$EC$219,$N505,$O505),"-")))</f>
        <v/>
      </c>
      <c r="H505" s="41">
        <f>IF($L505="","",SUM($G$442:$G505))</f>
        <v/>
      </c>
      <c r="I505" s="42">
        <f>IF($L505="","",IF(INT(($L505-INT($L505/10000000)*10000000)/1000000)=0,"Bloomberg projection",IF($P505=1,"ANNOUNCED","ANNOUNCED - amount TBA")))</f>
        <v/>
      </c>
      <c r="J505" s="43">
        <f>IF($L505="","",IF((OV_SWITCH="ON")*(COUNTIFS(OVR_TICKERS,INDEX(HSCEI!$C$7:$C$66,$N505),OVR_BASE,"&gt;=0")&gt;0)&gt;0,"stock overridden",""))</f>
        <v/>
      </c>
      <c r="L505" s="35">
        <f>IFERROR(IF(SMALL(Grids!$EE$160:$GQ$219,$M$439+64)&gt;=PEND_TO,"",SMALL(Grids!$EE$160:$GQ$219,$M$439+64)),"")</f>
        <v/>
      </c>
      <c r="M505" s="35">
        <f>IF($L505="","",INT($L505/1000000000))</f>
        <v/>
      </c>
      <c r="N505" s="35">
        <f>IF($L505="","",INT(($L505-INT($L505/1000000)*1000000)/1000))</f>
        <v/>
      </c>
      <c r="O505" s="35">
        <f>IF($L505="","",$L505-INT($L505/1000)*1000)</f>
        <v/>
      </c>
      <c r="P505" s="35">
        <f>IF($L505="","",INT(($L505-INT($L505/1000000000)*1000000000)/100000000))</f>
        <v/>
      </c>
    </row>
    <row r="506">
      <c r="B506" s="39">
        <f>IF($L506="","",$M506)</f>
        <v/>
      </c>
      <c r="C506" s="18">
        <f>IF($L506="","",INDEX(HSCEI!$C$7:$C$66,$N506))</f>
        <v/>
      </c>
      <c r="D506" s="18">
        <f>IF($L506="","",INDEX(HSCEI!$D$7:$D$66,$N506))</f>
        <v/>
      </c>
      <c r="E506" s="40">
        <f>IF($L506="","",IF($P506=0,"TBA",IFERROR(INDEX(Grids!$C$160:$BO$219,$N506,$O506),"-")))</f>
        <v/>
      </c>
      <c r="F506" s="18">
        <f>IF($L506="","",INDEX(HSCEI!$F$7:$F$66,$N506))</f>
        <v/>
      </c>
      <c r="G506" s="40">
        <f>IF($L506="","",IF($P506=0,"TBA",IFERROR(INDEX(Grids!$BQ$160:$EC$219,$N506,$O506),"-")))</f>
        <v/>
      </c>
      <c r="H506" s="41">
        <f>IF($L506="","",SUM($G$442:$G506))</f>
        <v/>
      </c>
      <c r="I506" s="42">
        <f>IF($L506="","",IF(INT(($L506-INT($L506/10000000)*10000000)/1000000)=0,"Bloomberg projection",IF($P506=1,"ANNOUNCED","ANNOUNCED - amount TBA")))</f>
        <v/>
      </c>
      <c r="J506" s="43">
        <f>IF($L506="","",IF((OV_SWITCH="ON")*(COUNTIFS(OVR_TICKERS,INDEX(HSCEI!$C$7:$C$66,$N506),OVR_BASE,"&gt;=0")&gt;0)&gt;0,"stock overridden",""))</f>
        <v/>
      </c>
      <c r="L506" s="35">
        <f>IFERROR(IF(SMALL(Grids!$EE$160:$GQ$219,$M$439+65)&gt;=PEND_TO,"",SMALL(Grids!$EE$160:$GQ$219,$M$439+65)),"")</f>
        <v/>
      </c>
      <c r="M506" s="35">
        <f>IF($L506="","",INT($L506/1000000000))</f>
        <v/>
      </c>
      <c r="N506" s="35">
        <f>IF($L506="","",INT(($L506-INT($L506/1000000)*1000000)/1000))</f>
        <v/>
      </c>
      <c r="O506" s="35">
        <f>IF($L506="","",$L506-INT($L506/1000)*1000)</f>
        <v/>
      </c>
      <c r="P506" s="35">
        <f>IF($L506="","",INT(($L506-INT($L506/1000000000)*1000000000)/100000000))</f>
        <v/>
      </c>
    </row>
    <row r="507">
      <c r="B507" s="39">
        <f>IF($L507="","",$M507)</f>
        <v/>
      </c>
      <c r="C507" s="18">
        <f>IF($L507="","",INDEX(HSCEI!$C$7:$C$66,$N507))</f>
        <v/>
      </c>
      <c r="D507" s="18">
        <f>IF($L507="","",INDEX(HSCEI!$D$7:$D$66,$N507))</f>
        <v/>
      </c>
      <c r="E507" s="40">
        <f>IF($L507="","",IF($P507=0,"TBA",IFERROR(INDEX(Grids!$C$160:$BO$219,$N507,$O507),"-")))</f>
        <v/>
      </c>
      <c r="F507" s="18">
        <f>IF($L507="","",INDEX(HSCEI!$F$7:$F$66,$N507))</f>
        <v/>
      </c>
      <c r="G507" s="40">
        <f>IF($L507="","",IF($P507=0,"TBA",IFERROR(INDEX(Grids!$BQ$160:$EC$219,$N507,$O507),"-")))</f>
        <v/>
      </c>
      <c r="H507" s="41">
        <f>IF($L507="","",SUM($G$442:$G507))</f>
        <v/>
      </c>
      <c r="I507" s="42">
        <f>IF($L507="","",IF(INT(($L507-INT($L507/10000000)*10000000)/1000000)=0,"Bloomberg projection",IF($P507=1,"ANNOUNCED","ANNOUNCED - amount TBA")))</f>
        <v/>
      </c>
      <c r="J507" s="43">
        <f>IF($L507="","",IF((OV_SWITCH="ON")*(COUNTIFS(OVR_TICKERS,INDEX(HSCEI!$C$7:$C$66,$N507),OVR_BASE,"&gt;=0")&gt;0)&gt;0,"stock overridden",""))</f>
        <v/>
      </c>
      <c r="L507" s="35">
        <f>IFERROR(IF(SMALL(Grids!$EE$160:$GQ$219,$M$439+66)&gt;=PEND_TO,"",SMALL(Grids!$EE$160:$GQ$219,$M$439+66)),"")</f>
        <v/>
      </c>
      <c r="M507" s="35">
        <f>IF($L507="","",INT($L507/1000000000))</f>
        <v/>
      </c>
      <c r="N507" s="35">
        <f>IF($L507="","",INT(($L507-INT($L507/1000000)*1000000)/1000))</f>
        <v/>
      </c>
      <c r="O507" s="35">
        <f>IF($L507="","",$L507-INT($L507/1000)*1000)</f>
        <v/>
      </c>
      <c r="P507" s="35">
        <f>IF($L507="","",INT(($L507-INT($L507/1000000000)*1000000000)/100000000))</f>
        <v/>
      </c>
    </row>
    <row r="508">
      <c r="B508" s="39">
        <f>IF($L508="","",$M508)</f>
        <v/>
      </c>
      <c r="C508" s="18">
        <f>IF($L508="","",INDEX(HSCEI!$C$7:$C$66,$N508))</f>
        <v/>
      </c>
      <c r="D508" s="18">
        <f>IF($L508="","",INDEX(HSCEI!$D$7:$D$66,$N508))</f>
        <v/>
      </c>
      <c r="E508" s="40">
        <f>IF($L508="","",IF($P508=0,"TBA",IFERROR(INDEX(Grids!$C$160:$BO$219,$N508,$O508),"-")))</f>
        <v/>
      </c>
      <c r="F508" s="18">
        <f>IF($L508="","",INDEX(HSCEI!$F$7:$F$66,$N508))</f>
        <v/>
      </c>
      <c r="G508" s="40">
        <f>IF($L508="","",IF($P508=0,"TBA",IFERROR(INDEX(Grids!$BQ$160:$EC$219,$N508,$O508),"-")))</f>
        <v/>
      </c>
      <c r="H508" s="41">
        <f>IF($L508="","",SUM($G$442:$G508))</f>
        <v/>
      </c>
      <c r="I508" s="42">
        <f>IF($L508="","",IF(INT(($L508-INT($L508/10000000)*10000000)/1000000)=0,"Bloomberg projection",IF($P508=1,"ANNOUNCED","ANNOUNCED - amount TBA")))</f>
        <v/>
      </c>
      <c r="J508" s="43">
        <f>IF($L508="","",IF((OV_SWITCH="ON")*(COUNTIFS(OVR_TICKERS,INDEX(HSCEI!$C$7:$C$66,$N508),OVR_BASE,"&gt;=0")&gt;0)&gt;0,"stock overridden",""))</f>
        <v/>
      </c>
      <c r="L508" s="35">
        <f>IFERROR(IF(SMALL(Grids!$EE$160:$GQ$219,$M$439+67)&gt;=PEND_TO,"",SMALL(Grids!$EE$160:$GQ$219,$M$439+67)),"")</f>
        <v/>
      </c>
      <c r="M508" s="35">
        <f>IF($L508="","",INT($L508/1000000000))</f>
        <v/>
      </c>
      <c r="N508" s="35">
        <f>IF($L508="","",INT(($L508-INT($L508/1000000)*1000000)/1000))</f>
        <v/>
      </c>
      <c r="O508" s="35">
        <f>IF($L508="","",$L508-INT($L508/1000)*1000)</f>
        <v/>
      </c>
      <c r="P508" s="35">
        <f>IF($L508="","",INT(($L508-INT($L508/1000000000)*1000000000)/100000000))</f>
        <v/>
      </c>
    </row>
    <row r="509">
      <c r="B509" s="39">
        <f>IF($L509="","",$M509)</f>
        <v/>
      </c>
      <c r="C509" s="18">
        <f>IF($L509="","",INDEX(HSCEI!$C$7:$C$66,$N509))</f>
        <v/>
      </c>
      <c r="D509" s="18">
        <f>IF($L509="","",INDEX(HSCEI!$D$7:$D$66,$N509))</f>
        <v/>
      </c>
      <c r="E509" s="40">
        <f>IF($L509="","",IF($P509=0,"TBA",IFERROR(INDEX(Grids!$C$160:$BO$219,$N509,$O509),"-")))</f>
        <v/>
      </c>
      <c r="F509" s="18">
        <f>IF($L509="","",INDEX(HSCEI!$F$7:$F$66,$N509))</f>
        <v/>
      </c>
      <c r="G509" s="40">
        <f>IF($L509="","",IF($P509=0,"TBA",IFERROR(INDEX(Grids!$BQ$160:$EC$219,$N509,$O509),"-")))</f>
        <v/>
      </c>
      <c r="H509" s="41">
        <f>IF($L509="","",SUM($G$442:$G509))</f>
        <v/>
      </c>
      <c r="I509" s="42">
        <f>IF($L509="","",IF(INT(($L509-INT($L509/10000000)*10000000)/1000000)=0,"Bloomberg projection",IF($P509=1,"ANNOUNCED","ANNOUNCED - amount TBA")))</f>
        <v/>
      </c>
      <c r="J509" s="43">
        <f>IF($L509="","",IF((OV_SWITCH="ON")*(COUNTIFS(OVR_TICKERS,INDEX(HSCEI!$C$7:$C$66,$N509),OVR_BASE,"&gt;=0")&gt;0)&gt;0,"stock overridden",""))</f>
        <v/>
      </c>
      <c r="L509" s="35">
        <f>IFERROR(IF(SMALL(Grids!$EE$160:$GQ$219,$M$439+68)&gt;=PEND_TO,"",SMALL(Grids!$EE$160:$GQ$219,$M$439+68)),"")</f>
        <v/>
      </c>
      <c r="M509" s="35">
        <f>IF($L509="","",INT($L509/1000000000))</f>
        <v/>
      </c>
      <c r="N509" s="35">
        <f>IF($L509="","",INT(($L509-INT($L509/1000000)*1000000)/1000))</f>
        <v/>
      </c>
      <c r="O509" s="35">
        <f>IF($L509="","",$L509-INT($L509/1000)*1000)</f>
        <v/>
      </c>
      <c r="P509" s="35">
        <f>IF($L509="","",INT(($L509-INT($L509/1000000000)*1000000000)/100000000))</f>
        <v/>
      </c>
    </row>
    <row r="510">
      <c r="B510" s="39">
        <f>IF($L510="","",$M510)</f>
        <v/>
      </c>
      <c r="C510" s="18">
        <f>IF($L510="","",INDEX(HSCEI!$C$7:$C$66,$N510))</f>
        <v/>
      </c>
      <c r="D510" s="18">
        <f>IF($L510="","",INDEX(HSCEI!$D$7:$D$66,$N510))</f>
        <v/>
      </c>
      <c r="E510" s="40">
        <f>IF($L510="","",IF($P510=0,"TBA",IFERROR(INDEX(Grids!$C$160:$BO$219,$N510,$O510),"-")))</f>
        <v/>
      </c>
      <c r="F510" s="18">
        <f>IF($L510="","",INDEX(HSCEI!$F$7:$F$66,$N510))</f>
        <v/>
      </c>
      <c r="G510" s="40">
        <f>IF($L510="","",IF($P510=0,"TBA",IFERROR(INDEX(Grids!$BQ$160:$EC$219,$N510,$O510),"-")))</f>
        <v/>
      </c>
      <c r="H510" s="41">
        <f>IF($L510="","",SUM($G$442:$G510))</f>
        <v/>
      </c>
      <c r="I510" s="42">
        <f>IF($L510="","",IF(INT(($L510-INT($L510/10000000)*10000000)/1000000)=0,"Bloomberg projection",IF($P510=1,"ANNOUNCED","ANNOUNCED - amount TBA")))</f>
        <v/>
      </c>
      <c r="J510" s="43">
        <f>IF($L510="","",IF((OV_SWITCH="ON")*(COUNTIFS(OVR_TICKERS,INDEX(HSCEI!$C$7:$C$66,$N510),OVR_BASE,"&gt;=0")&gt;0)&gt;0,"stock overridden",""))</f>
        <v/>
      </c>
      <c r="L510" s="35">
        <f>IFERROR(IF(SMALL(Grids!$EE$160:$GQ$219,$M$439+69)&gt;=PEND_TO,"",SMALL(Grids!$EE$160:$GQ$219,$M$439+69)),"")</f>
        <v/>
      </c>
      <c r="M510" s="35">
        <f>IF($L510="","",INT($L510/1000000000))</f>
        <v/>
      </c>
      <c r="N510" s="35">
        <f>IF($L510="","",INT(($L510-INT($L510/1000000)*1000000)/1000))</f>
        <v/>
      </c>
      <c r="O510" s="35">
        <f>IF($L510="","",$L510-INT($L510/1000)*1000)</f>
        <v/>
      </c>
      <c r="P510" s="35">
        <f>IF($L510="","",INT(($L510-INT($L510/1000000000)*1000000000)/100000000))</f>
        <v/>
      </c>
    </row>
    <row r="511">
      <c r="B511" s="39">
        <f>IF($L511="","",$M511)</f>
        <v/>
      </c>
      <c r="C511" s="18">
        <f>IF($L511="","",INDEX(HSCEI!$C$7:$C$66,$N511))</f>
        <v/>
      </c>
      <c r="D511" s="18">
        <f>IF($L511="","",INDEX(HSCEI!$D$7:$D$66,$N511))</f>
        <v/>
      </c>
      <c r="E511" s="40">
        <f>IF($L511="","",IF($P511=0,"TBA",IFERROR(INDEX(Grids!$C$160:$BO$219,$N511,$O511),"-")))</f>
        <v/>
      </c>
      <c r="F511" s="18">
        <f>IF($L511="","",INDEX(HSCEI!$F$7:$F$66,$N511))</f>
        <v/>
      </c>
      <c r="G511" s="40">
        <f>IF($L511="","",IF($P511=0,"TBA",IFERROR(INDEX(Grids!$BQ$160:$EC$219,$N511,$O511),"-")))</f>
        <v/>
      </c>
      <c r="H511" s="41">
        <f>IF($L511="","",SUM($G$442:$G511))</f>
        <v/>
      </c>
      <c r="I511" s="42">
        <f>IF($L511="","",IF(INT(($L511-INT($L511/10000000)*10000000)/1000000)=0,"Bloomberg projection",IF($P511=1,"ANNOUNCED","ANNOUNCED - amount TBA")))</f>
        <v/>
      </c>
      <c r="J511" s="43">
        <f>IF($L511="","",IF((OV_SWITCH="ON")*(COUNTIFS(OVR_TICKERS,INDEX(HSCEI!$C$7:$C$66,$N511),OVR_BASE,"&gt;=0")&gt;0)&gt;0,"stock overridden",""))</f>
        <v/>
      </c>
      <c r="L511" s="35">
        <f>IFERROR(IF(SMALL(Grids!$EE$160:$GQ$219,$M$439+70)&gt;=PEND_TO,"",SMALL(Grids!$EE$160:$GQ$219,$M$439+70)),"")</f>
        <v/>
      </c>
      <c r="M511" s="35">
        <f>IF($L511="","",INT($L511/1000000000))</f>
        <v/>
      </c>
      <c r="N511" s="35">
        <f>IF($L511="","",INT(($L511-INT($L511/1000000)*1000000)/1000))</f>
        <v/>
      </c>
      <c r="O511" s="35">
        <f>IF($L511="","",$L511-INT($L511/1000)*1000)</f>
        <v/>
      </c>
      <c r="P511" s="35">
        <f>IF($L511="","",INT(($L511-INT($L511/1000000000)*1000000000)/100000000))</f>
        <v/>
      </c>
    </row>
    <row r="512">
      <c r="B512" s="39">
        <f>IF($L512="","",$M512)</f>
        <v/>
      </c>
      <c r="C512" s="18">
        <f>IF($L512="","",INDEX(HSCEI!$C$7:$C$66,$N512))</f>
        <v/>
      </c>
      <c r="D512" s="18">
        <f>IF($L512="","",INDEX(HSCEI!$D$7:$D$66,$N512))</f>
        <v/>
      </c>
      <c r="E512" s="40">
        <f>IF($L512="","",IF($P512=0,"TBA",IFERROR(INDEX(Grids!$C$160:$BO$219,$N512,$O512),"-")))</f>
        <v/>
      </c>
      <c r="F512" s="18">
        <f>IF($L512="","",INDEX(HSCEI!$F$7:$F$66,$N512))</f>
        <v/>
      </c>
      <c r="G512" s="40">
        <f>IF($L512="","",IF($P512=0,"TBA",IFERROR(INDEX(Grids!$BQ$160:$EC$219,$N512,$O512),"-")))</f>
        <v/>
      </c>
      <c r="H512" s="41">
        <f>IF($L512="","",SUM($G$442:$G512))</f>
        <v/>
      </c>
      <c r="I512" s="42">
        <f>IF($L512="","",IF(INT(($L512-INT($L512/10000000)*10000000)/1000000)=0,"Bloomberg projection",IF($P512=1,"ANNOUNCED","ANNOUNCED - amount TBA")))</f>
        <v/>
      </c>
      <c r="J512" s="43">
        <f>IF($L512="","",IF((OV_SWITCH="ON")*(COUNTIFS(OVR_TICKERS,INDEX(HSCEI!$C$7:$C$66,$N512),OVR_BASE,"&gt;=0")&gt;0)&gt;0,"stock overridden",""))</f>
        <v/>
      </c>
      <c r="L512" s="35">
        <f>IFERROR(IF(SMALL(Grids!$EE$160:$GQ$219,$M$439+71)&gt;=PEND_TO,"",SMALL(Grids!$EE$160:$GQ$219,$M$439+71)),"")</f>
        <v/>
      </c>
      <c r="M512" s="35">
        <f>IF($L512="","",INT($L512/1000000000))</f>
        <v/>
      </c>
      <c r="N512" s="35">
        <f>IF($L512="","",INT(($L512-INT($L512/1000000)*1000000)/1000))</f>
        <v/>
      </c>
      <c r="O512" s="35">
        <f>IF($L512="","",$L512-INT($L512/1000)*1000)</f>
        <v/>
      </c>
      <c r="P512" s="35">
        <f>IF($L512="","",INT(($L512-INT($L512/1000000000)*1000000000)/100000000))</f>
        <v/>
      </c>
    </row>
    <row r="513">
      <c r="B513" s="39">
        <f>IF($L513="","",$M513)</f>
        <v/>
      </c>
      <c r="C513" s="18">
        <f>IF($L513="","",INDEX(HSCEI!$C$7:$C$66,$N513))</f>
        <v/>
      </c>
      <c r="D513" s="18">
        <f>IF($L513="","",INDEX(HSCEI!$D$7:$D$66,$N513))</f>
        <v/>
      </c>
      <c r="E513" s="40">
        <f>IF($L513="","",IF($P513=0,"TBA",IFERROR(INDEX(Grids!$C$160:$BO$219,$N513,$O513),"-")))</f>
        <v/>
      </c>
      <c r="F513" s="18">
        <f>IF($L513="","",INDEX(HSCEI!$F$7:$F$66,$N513))</f>
        <v/>
      </c>
      <c r="G513" s="40">
        <f>IF($L513="","",IF($P513=0,"TBA",IFERROR(INDEX(Grids!$BQ$160:$EC$219,$N513,$O513),"-")))</f>
        <v/>
      </c>
      <c r="H513" s="41">
        <f>IF($L513="","",SUM($G$442:$G513))</f>
        <v/>
      </c>
      <c r="I513" s="42">
        <f>IF($L513="","",IF(INT(($L513-INT($L513/10000000)*10000000)/1000000)=0,"Bloomberg projection",IF($P513=1,"ANNOUNCED","ANNOUNCED - amount TBA")))</f>
        <v/>
      </c>
      <c r="J513" s="43">
        <f>IF($L513="","",IF((OV_SWITCH="ON")*(COUNTIFS(OVR_TICKERS,INDEX(HSCEI!$C$7:$C$66,$N513),OVR_BASE,"&gt;=0")&gt;0)&gt;0,"stock overridden",""))</f>
        <v/>
      </c>
      <c r="L513" s="35">
        <f>IFERROR(IF(SMALL(Grids!$EE$160:$GQ$219,$M$439+72)&gt;=PEND_TO,"",SMALL(Grids!$EE$160:$GQ$219,$M$439+72)),"")</f>
        <v/>
      </c>
      <c r="M513" s="35">
        <f>IF($L513="","",INT($L513/1000000000))</f>
        <v/>
      </c>
      <c r="N513" s="35">
        <f>IF($L513="","",INT(($L513-INT($L513/1000000)*1000000)/1000))</f>
        <v/>
      </c>
      <c r="O513" s="35">
        <f>IF($L513="","",$L513-INT($L513/1000)*1000)</f>
        <v/>
      </c>
      <c r="P513" s="35">
        <f>IF($L513="","",INT(($L513-INT($L513/1000000000)*1000000000)/100000000))</f>
        <v/>
      </c>
    </row>
    <row r="514">
      <c r="B514" s="39">
        <f>IF($L514="","",$M514)</f>
        <v/>
      </c>
      <c r="C514" s="18">
        <f>IF($L514="","",INDEX(HSCEI!$C$7:$C$66,$N514))</f>
        <v/>
      </c>
      <c r="D514" s="18">
        <f>IF($L514="","",INDEX(HSCEI!$D$7:$D$66,$N514))</f>
        <v/>
      </c>
      <c r="E514" s="40">
        <f>IF($L514="","",IF($P514=0,"TBA",IFERROR(INDEX(Grids!$C$160:$BO$219,$N514,$O514),"-")))</f>
        <v/>
      </c>
      <c r="F514" s="18">
        <f>IF($L514="","",INDEX(HSCEI!$F$7:$F$66,$N514))</f>
        <v/>
      </c>
      <c r="G514" s="40">
        <f>IF($L514="","",IF($P514=0,"TBA",IFERROR(INDEX(Grids!$BQ$160:$EC$219,$N514,$O514),"-")))</f>
        <v/>
      </c>
      <c r="H514" s="41">
        <f>IF($L514="","",SUM($G$442:$G514))</f>
        <v/>
      </c>
      <c r="I514" s="42">
        <f>IF($L514="","",IF(INT(($L514-INT($L514/10000000)*10000000)/1000000)=0,"Bloomberg projection",IF($P514=1,"ANNOUNCED","ANNOUNCED - amount TBA")))</f>
        <v/>
      </c>
      <c r="J514" s="43">
        <f>IF($L514="","",IF((OV_SWITCH="ON")*(COUNTIFS(OVR_TICKERS,INDEX(HSCEI!$C$7:$C$66,$N514),OVR_BASE,"&gt;=0")&gt;0)&gt;0,"stock overridden",""))</f>
        <v/>
      </c>
      <c r="L514" s="35">
        <f>IFERROR(IF(SMALL(Grids!$EE$160:$GQ$219,$M$439+73)&gt;=PEND_TO,"",SMALL(Grids!$EE$160:$GQ$219,$M$439+73)),"")</f>
        <v/>
      </c>
      <c r="M514" s="35">
        <f>IF($L514="","",INT($L514/1000000000))</f>
        <v/>
      </c>
      <c r="N514" s="35">
        <f>IF($L514="","",INT(($L514-INT($L514/1000000)*1000000)/1000))</f>
        <v/>
      </c>
      <c r="O514" s="35">
        <f>IF($L514="","",$L514-INT($L514/1000)*1000)</f>
        <v/>
      </c>
      <c r="P514" s="35">
        <f>IF($L514="","",INT(($L514-INT($L514/1000000000)*1000000000)/100000000))</f>
        <v/>
      </c>
    </row>
    <row r="515">
      <c r="B515" s="39">
        <f>IF($L515="","",$M515)</f>
        <v/>
      </c>
      <c r="C515" s="18">
        <f>IF($L515="","",INDEX(HSCEI!$C$7:$C$66,$N515))</f>
        <v/>
      </c>
      <c r="D515" s="18">
        <f>IF($L515="","",INDEX(HSCEI!$D$7:$D$66,$N515))</f>
        <v/>
      </c>
      <c r="E515" s="40">
        <f>IF($L515="","",IF($P515=0,"TBA",IFERROR(INDEX(Grids!$C$160:$BO$219,$N515,$O515),"-")))</f>
        <v/>
      </c>
      <c r="F515" s="18">
        <f>IF($L515="","",INDEX(HSCEI!$F$7:$F$66,$N515))</f>
        <v/>
      </c>
      <c r="G515" s="40">
        <f>IF($L515="","",IF($P515=0,"TBA",IFERROR(INDEX(Grids!$BQ$160:$EC$219,$N515,$O515),"-")))</f>
        <v/>
      </c>
      <c r="H515" s="41">
        <f>IF($L515="","",SUM($G$442:$G515))</f>
        <v/>
      </c>
      <c r="I515" s="42">
        <f>IF($L515="","",IF(INT(($L515-INT($L515/10000000)*10000000)/1000000)=0,"Bloomberg projection",IF($P515=1,"ANNOUNCED","ANNOUNCED - amount TBA")))</f>
        <v/>
      </c>
      <c r="J515" s="43">
        <f>IF($L515="","",IF((OV_SWITCH="ON")*(COUNTIFS(OVR_TICKERS,INDEX(HSCEI!$C$7:$C$66,$N515),OVR_BASE,"&gt;=0")&gt;0)&gt;0,"stock overridden",""))</f>
        <v/>
      </c>
      <c r="L515" s="35">
        <f>IFERROR(IF(SMALL(Grids!$EE$160:$GQ$219,$M$439+74)&gt;=PEND_TO,"",SMALL(Grids!$EE$160:$GQ$219,$M$439+74)),"")</f>
        <v/>
      </c>
      <c r="M515" s="35">
        <f>IF($L515="","",INT($L515/1000000000))</f>
        <v/>
      </c>
      <c r="N515" s="35">
        <f>IF($L515="","",INT(($L515-INT($L515/1000000)*1000000)/1000))</f>
        <v/>
      </c>
      <c r="O515" s="35">
        <f>IF($L515="","",$L515-INT($L515/1000)*1000)</f>
        <v/>
      </c>
      <c r="P515" s="35">
        <f>IF($L515="","",INT(($L515-INT($L515/1000000000)*1000000000)/100000000))</f>
        <v/>
      </c>
    </row>
    <row r="516">
      <c r="B516" s="39">
        <f>IF($L516="","",$M516)</f>
        <v/>
      </c>
      <c r="C516" s="18">
        <f>IF($L516="","",INDEX(HSCEI!$C$7:$C$66,$N516))</f>
        <v/>
      </c>
      <c r="D516" s="18">
        <f>IF($L516="","",INDEX(HSCEI!$D$7:$D$66,$N516))</f>
        <v/>
      </c>
      <c r="E516" s="40">
        <f>IF($L516="","",IF($P516=0,"TBA",IFERROR(INDEX(Grids!$C$160:$BO$219,$N516,$O516),"-")))</f>
        <v/>
      </c>
      <c r="F516" s="18">
        <f>IF($L516="","",INDEX(HSCEI!$F$7:$F$66,$N516))</f>
        <v/>
      </c>
      <c r="G516" s="40">
        <f>IF($L516="","",IF($P516=0,"TBA",IFERROR(INDEX(Grids!$BQ$160:$EC$219,$N516,$O516),"-")))</f>
        <v/>
      </c>
      <c r="H516" s="41">
        <f>IF($L516="","",SUM($G$442:$G516))</f>
        <v/>
      </c>
      <c r="I516" s="42">
        <f>IF($L516="","",IF(INT(($L516-INT($L516/10000000)*10000000)/1000000)=0,"Bloomberg projection",IF($P516=1,"ANNOUNCED","ANNOUNCED - amount TBA")))</f>
        <v/>
      </c>
      <c r="J516" s="43">
        <f>IF($L516="","",IF((OV_SWITCH="ON")*(COUNTIFS(OVR_TICKERS,INDEX(HSCEI!$C$7:$C$66,$N516),OVR_BASE,"&gt;=0")&gt;0)&gt;0,"stock overridden",""))</f>
        <v/>
      </c>
      <c r="L516" s="35">
        <f>IFERROR(IF(SMALL(Grids!$EE$160:$GQ$219,$M$439+75)&gt;=PEND_TO,"",SMALL(Grids!$EE$160:$GQ$219,$M$439+75)),"")</f>
        <v/>
      </c>
      <c r="M516" s="35">
        <f>IF($L516="","",INT($L516/1000000000))</f>
        <v/>
      </c>
      <c r="N516" s="35">
        <f>IF($L516="","",INT(($L516-INT($L516/1000000)*1000000)/1000))</f>
        <v/>
      </c>
      <c r="O516" s="35">
        <f>IF($L516="","",$L516-INT($L516/1000)*1000)</f>
        <v/>
      </c>
      <c r="P516" s="35">
        <f>IF($L516="","",INT(($L516-INT($L516/1000000000)*1000000000)/100000000))</f>
        <v/>
      </c>
    </row>
    <row r="517">
      <c r="B517" s="39">
        <f>IF($L517="","",$M517)</f>
        <v/>
      </c>
      <c r="C517" s="18">
        <f>IF($L517="","",INDEX(HSCEI!$C$7:$C$66,$N517))</f>
        <v/>
      </c>
      <c r="D517" s="18">
        <f>IF($L517="","",INDEX(HSCEI!$D$7:$D$66,$N517))</f>
        <v/>
      </c>
      <c r="E517" s="40">
        <f>IF($L517="","",IF($P517=0,"TBA",IFERROR(INDEX(Grids!$C$160:$BO$219,$N517,$O517),"-")))</f>
        <v/>
      </c>
      <c r="F517" s="18">
        <f>IF($L517="","",INDEX(HSCEI!$F$7:$F$66,$N517))</f>
        <v/>
      </c>
      <c r="G517" s="40">
        <f>IF($L517="","",IF($P517=0,"TBA",IFERROR(INDEX(Grids!$BQ$160:$EC$219,$N517,$O517),"-")))</f>
        <v/>
      </c>
      <c r="H517" s="41">
        <f>IF($L517="","",SUM($G$442:$G517))</f>
        <v/>
      </c>
      <c r="I517" s="42">
        <f>IF($L517="","",IF(INT(($L517-INT($L517/10000000)*10000000)/1000000)=0,"Bloomberg projection",IF($P517=1,"ANNOUNCED","ANNOUNCED - amount TBA")))</f>
        <v/>
      </c>
      <c r="J517" s="43">
        <f>IF($L517="","",IF((OV_SWITCH="ON")*(COUNTIFS(OVR_TICKERS,INDEX(HSCEI!$C$7:$C$66,$N517),OVR_BASE,"&gt;=0")&gt;0)&gt;0,"stock overridden",""))</f>
        <v/>
      </c>
      <c r="L517" s="35">
        <f>IFERROR(IF(SMALL(Grids!$EE$160:$GQ$219,$M$439+76)&gt;=PEND_TO,"",SMALL(Grids!$EE$160:$GQ$219,$M$439+76)),"")</f>
        <v/>
      </c>
      <c r="M517" s="35">
        <f>IF($L517="","",INT($L517/1000000000))</f>
        <v/>
      </c>
      <c r="N517" s="35">
        <f>IF($L517="","",INT(($L517-INT($L517/1000000)*1000000)/1000))</f>
        <v/>
      </c>
      <c r="O517" s="35">
        <f>IF($L517="","",$L517-INT($L517/1000)*1000)</f>
        <v/>
      </c>
      <c r="P517" s="35">
        <f>IF($L517="","",INT(($L517-INT($L517/1000000000)*1000000000)/100000000))</f>
        <v/>
      </c>
    </row>
    <row r="518">
      <c r="B518" s="39">
        <f>IF($L518="","",$M518)</f>
        <v/>
      </c>
      <c r="C518" s="18">
        <f>IF($L518="","",INDEX(HSCEI!$C$7:$C$66,$N518))</f>
        <v/>
      </c>
      <c r="D518" s="18">
        <f>IF($L518="","",INDEX(HSCEI!$D$7:$D$66,$N518))</f>
        <v/>
      </c>
      <c r="E518" s="40">
        <f>IF($L518="","",IF($P518=0,"TBA",IFERROR(INDEX(Grids!$C$160:$BO$219,$N518,$O518),"-")))</f>
        <v/>
      </c>
      <c r="F518" s="18">
        <f>IF($L518="","",INDEX(HSCEI!$F$7:$F$66,$N518))</f>
        <v/>
      </c>
      <c r="G518" s="40">
        <f>IF($L518="","",IF($P518=0,"TBA",IFERROR(INDEX(Grids!$BQ$160:$EC$219,$N518,$O518),"-")))</f>
        <v/>
      </c>
      <c r="H518" s="41">
        <f>IF($L518="","",SUM($G$442:$G518))</f>
        <v/>
      </c>
      <c r="I518" s="42">
        <f>IF($L518="","",IF(INT(($L518-INT($L518/10000000)*10000000)/1000000)=0,"Bloomberg projection",IF($P518=1,"ANNOUNCED","ANNOUNCED - amount TBA")))</f>
        <v/>
      </c>
      <c r="J518" s="43">
        <f>IF($L518="","",IF((OV_SWITCH="ON")*(COUNTIFS(OVR_TICKERS,INDEX(HSCEI!$C$7:$C$66,$N518),OVR_BASE,"&gt;=0")&gt;0)&gt;0,"stock overridden",""))</f>
        <v/>
      </c>
      <c r="L518" s="35">
        <f>IFERROR(IF(SMALL(Grids!$EE$160:$GQ$219,$M$439+77)&gt;=PEND_TO,"",SMALL(Grids!$EE$160:$GQ$219,$M$439+77)),"")</f>
        <v/>
      </c>
      <c r="M518" s="35">
        <f>IF($L518="","",INT($L518/1000000000))</f>
        <v/>
      </c>
      <c r="N518" s="35">
        <f>IF($L518="","",INT(($L518-INT($L518/1000000)*1000000)/1000))</f>
        <v/>
      </c>
      <c r="O518" s="35">
        <f>IF($L518="","",$L518-INT($L518/1000)*1000)</f>
        <v/>
      </c>
      <c r="P518" s="35">
        <f>IF($L518="","",INT(($L518-INT($L518/1000000000)*1000000000)/100000000))</f>
        <v/>
      </c>
    </row>
    <row r="519">
      <c r="B519" s="39">
        <f>IF($L519="","",$M519)</f>
        <v/>
      </c>
      <c r="C519" s="18">
        <f>IF($L519="","",INDEX(HSCEI!$C$7:$C$66,$N519))</f>
        <v/>
      </c>
      <c r="D519" s="18">
        <f>IF($L519="","",INDEX(HSCEI!$D$7:$D$66,$N519))</f>
        <v/>
      </c>
      <c r="E519" s="40">
        <f>IF($L519="","",IF($P519=0,"TBA",IFERROR(INDEX(Grids!$C$160:$BO$219,$N519,$O519),"-")))</f>
        <v/>
      </c>
      <c r="F519" s="18">
        <f>IF($L519="","",INDEX(HSCEI!$F$7:$F$66,$N519))</f>
        <v/>
      </c>
      <c r="G519" s="40">
        <f>IF($L519="","",IF($P519=0,"TBA",IFERROR(INDEX(Grids!$BQ$160:$EC$219,$N519,$O519),"-")))</f>
        <v/>
      </c>
      <c r="H519" s="41">
        <f>IF($L519="","",SUM($G$442:$G519))</f>
        <v/>
      </c>
      <c r="I519" s="42">
        <f>IF($L519="","",IF(INT(($L519-INT($L519/10000000)*10000000)/1000000)=0,"Bloomberg projection",IF($P519=1,"ANNOUNCED","ANNOUNCED - amount TBA")))</f>
        <v/>
      </c>
      <c r="J519" s="43">
        <f>IF($L519="","",IF((OV_SWITCH="ON")*(COUNTIFS(OVR_TICKERS,INDEX(HSCEI!$C$7:$C$66,$N519),OVR_BASE,"&gt;=0")&gt;0)&gt;0,"stock overridden",""))</f>
        <v/>
      </c>
      <c r="L519" s="35">
        <f>IFERROR(IF(SMALL(Grids!$EE$160:$GQ$219,$M$439+78)&gt;=PEND_TO,"",SMALL(Grids!$EE$160:$GQ$219,$M$439+78)),"")</f>
        <v/>
      </c>
      <c r="M519" s="35">
        <f>IF($L519="","",INT($L519/1000000000))</f>
        <v/>
      </c>
      <c r="N519" s="35">
        <f>IF($L519="","",INT(($L519-INT($L519/1000000)*1000000)/1000))</f>
        <v/>
      </c>
      <c r="O519" s="35">
        <f>IF($L519="","",$L519-INT($L519/1000)*1000)</f>
        <v/>
      </c>
      <c r="P519" s="35">
        <f>IF($L519="","",INT(($L519-INT($L519/1000000000)*1000000000)/100000000))</f>
        <v/>
      </c>
    </row>
    <row r="520">
      <c r="B520" s="39">
        <f>IF($L520="","",$M520)</f>
        <v/>
      </c>
      <c r="C520" s="18">
        <f>IF($L520="","",INDEX(HSCEI!$C$7:$C$66,$N520))</f>
        <v/>
      </c>
      <c r="D520" s="18">
        <f>IF($L520="","",INDEX(HSCEI!$D$7:$D$66,$N520))</f>
        <v/>
      </c>
      <c r="E520" s="40">
        <f>IF($L520="","",IF($P520=0,"TBA",IFERROR(INDEX(Grids!$C$160:$BO$219,$N520,$O520),"-")))</f>
        <v/>
      </c>
      <c r="F520" s="18">
        <f>IF($L520="","",INDEX(HSCEI!$F$7:$F$66,$N520))</f>
        <v/>
      </c>
      <c r="G520" s="40">
        <f>IF($L520="","",IF($P520=0,"TBA",IFERROR(INDEX(Grids!$BQ$160:$EC$219,$N520,$O520),"-")))</f>
        <v/>
      </c>
      <c r="H520" s="41">
        <f>IF($L520="","",SUM($G$442:$G520))</f>
        <v/>
      </c>
      <c r="I520" s="42">
        <f>IF($L520="","",IF(INT(($L520-INT($L520/10000000)*10000000)/1000000)=0,"Bloomberg projection",IF($P520=1,"ANNOUNCED","ANNOUNCED - amount TBA")))</f>
        <v/>
      </c>
      <c r="J520" s="43">
        <f>IF($L520="","",IF((OV_SWITCH="ON")*(COUNTIFS(OVR_TICKERS,INDEX(HSCEI!$C$7:$C$66,$N520),OVR_BASE,"&gt;=0")&gt;0)&gt;0,"stock overridden",""))</f>
        <v/>
      </c>
      <c r="L520" s="35">
        <f>IFERROR(IF(SMALL(Grids!$EE$160:$GQ$219,$M$439+79)&gt;=PEND_TO,"",SMALL(Grids!$EE$160:$GQ$219,$M$439+79)),"")</f>
        <v/>
      </c>
      <c r="M520" s="35">
        <f>IF($L520="","",INT($L520/1000000000))</f>
        <v/>
      </c>
      <c r="N520" s="35">
        <f>IF($L520="","",INT(($L520-INT($L520/1000000)*1000000)/1000))</f>
        <v/>
      </c>
      <c r="O520" s="35">
        <f>IF($L520="","",$L520-INT($L520/1000)*1000)</f>
        <v/>
      </c>
      <c r="P520" s="35">
        <f>IF($L520="","",INT(($L520-INT($L520/1000000000)*1000000000)/100000000))</f>
        <v/>
      </c>
    </row>
    <row r="521">
      <c r="B521" s="39">
        <f>IF($L521="","",$M521)</f>
        <v/>
      </c>
      <c r="C521" s="18">
        <f>IF($L521="","",INDEX(HSCEI!$C$7:$C$66,$N521))</f>
        <v/>
      </c>
      <c r="D521" s="18">
        <f>IF($L521="","",INDEX(HSCEI!$D$7:$D$66,$N521))</f>
        <v/>
      </c>
      <c r="E521" s="40">
        <f>IF($L521="","",IF($P521=0,"TBA",IFERROR(INDEX(Grids!$C$160:$BO$219,$N521,$O521),"-")))</f>
        <v/>
      </c>
      <c r="F521" s="18">
        <f>IF($L521="","",INDEX(HSCEI!$F$7:$F$66,$N521))</f>
        <v/>
      </c>
      <c r="G521" s="40">
        <f>IF($L521="","",IF($P521=0,"TBA",IFERROR(INDEX(Grids!$BQ$160:$EC$219,$N521,$O521),"-")))</f>
        <v/>
      </c>
      <c r="H521" s="41">
        <f>IF($L521="","",SUM($G$442:$G521))</f>
        <v/>
      </c>
      <c r="I521" s="42">
        <f>IF($L521="","",IF(INT(($L521-INT($L521/10000000)*10000000)/1000000)=0,"Bloomberg projection",IF($P521=1,"ANNOUNCED","ANNOUNCED - amount TBA")))</f>
        <v/>
      </c>
      <c r="J521" s="43">
        <f>IF($L521="","",IF((OV_SWITCH="ON")*(COUNTIFS(OVR_TICKERS,INDEX(HSCEI!$C$7:$C$66,$N521),OVR_BASE,"&gt;=0")&gt;0)&gt;0,"stock overridden",""))</f>
        <v/>
      </c>
      <c r="L521" s="35">
        <f>IFERROR(IF(SMALL(Grids!$EE$160:$GQ$219,$M$439+80)&gt;=PEND_TO,"",SMALL(Grids!$EE$160:$GQ$219,$M$439+80)),"")</f>
        <v/>
      </c>
      <c r="M521" s="35">
        <f>IF($L521="","",INT($L521/1000000000))</f>
        <v/>
      </c>
      <c r="N521" s="35">
        <f>IF($L521="","",INT(($L521-INT($L521/1000000)*1000000)/1000))</f>
        <v/>
      </c>
      <c r="O521" s="35">
        <f>IF($L521="","",$L521-INT($L521/1000)*1000)</f>
        <v/>
      </c>
      <c r="P521" s="35">
        <f>IF($L521="","",INT(($L521-INT($L521/1000000000)*1000000000)/100000000))</f>
        <v/>
      </c>
    </row>
    <row r="522">
      <c r="B522" s="39">
        <f>IF($L522="","",$M522)</f>
        <v/>
      </c>
      <c r="C522" s="18">
        <f>IF($L522="","",INDEX(HSCEI!$C$7:$C$66,$N522))</f>
        <v/>
      </c>
      <c r="D522" s="18">
        <f>IF($L522="","",INDEX(HSCEI!$D$7:$D$66,$N522))</f>
        <v/>
      </c>
      <c r="E522" s="40">
        <f>IF($L522="","",IF($P522=0,"TBA",IFERROR(INDEX(Grids!$C$160:$BO$219,$N522,$O522),"-")))</f>
        <v/>
      </c>
      <c r="F522" s="18">
        <f>IF($L522="","",INDEX(HSCEI!$F$7:$F$66,$N522))</f>
        <v/>
      </c>
      <c r="G522" s="40">
        <f>IF($L522="","",IF($P522=0,"TBA",IFERROR(INDEX(Grids!$BQ$160:$EC$219,$N522,$O522),"-")))</f>
        <v/>
      </c>
      <c r="H522" s="41">
        <f>IF($L522="","",SUM($G$442:$G522))</f>
        <v/>
      </c>
      <c r="I522" s="42">
        <f>IF($L522="","",IF(INT(($L522-INT($L522/10000000)*10000000)/1000000)=0,"Bloomberg projection",IF($P522=1,"ANNOUNCED","ANNOUNCED - amount TBA")))</f>
        <v/>
      </c>
      <c r="J522" s="43">
        <f>IF($L522="","",IF((OV_SWITCH="ON")*(COUNTIFS(OVR_TICKERS,INDEX(HSCEI!$C$7:$C$66,$N522),OVR_BASE,"&gt;=0")&gt;0)&gt;0,"stock overridden",""))</f>
        <v/>
      </c>
      <c r="L522" s="35">
        <f>IFERROR(IF(SMALL(Grids!$EE$160:$GQ$219,$M$439+81)&gt;=PEND_TO,"",SMALL(Grids!$EE$160:$GQ$219,$M$439+81)),"")</f>
        <v/>
      </c>
      <c r="M522" s="35">
        <f>IF($L522="","",INT($L522/1000000000))</f>
        <v/>
      </c>
      <c r="N522" s="35">
        <f>IF($L522="","",INT(($L522-INT($L522/1000000)*1000000)/1000))</f>
        <v/>
      </c>
      <c r="O522" s="35">
        <f>IF($L522="","",$L522-INT($L522/1000)*1000)</f>
        <v/>
      </c>
      <c r="P522" s="35">
        <f>IF($L522="","",INT(($L522-INT($L522/1000000000)*1000000000)/100000000))</f>
        <v/>
      </c>
    </row>
    <row r="523">
      <c r="B523" s="39">
        <f>IF($L523="","",$M523)</f>
        <v/>
      </c>
      <c r="C523" s="18">
        <f>IF($L523="","",INDEX(HSCEI!$C$7:$C$66,$N523))</f>
        <v/>
      </c>
      <c r="D523" s="18">
        <f>IF($L523="","",INDEX(HSCEI!$D$7:$D$66,$N523))</f>
        <v/>
      </c>
      <c r="E523" s="40">
        <f>IF($L523="","",IF($P523=0,"TBA",IFERROR(INDEX(Grids!$C$160:$BO$219,$N523,$O523),"-")))</f>
        <v/>
      </c>
      <c r="F523" s="18">
        <f>IF($L523="","",INDEX(HSCEI!$F$7:$F$66,$N523))</f>
        <v/>
      </c>
      <c r="G523" s="40">
        <f>IF($L523="","",IF($P523=0,"TBA",IFERROR(INDEX(Grids!$BQ$160:$EC$219,$N523,$O523),"-")))</f>
        <v/>
      </c>
      <c r="H523" s="41">
        <f>IF($L523="","",SUM($G$442:$G523))</f>
        <v/>
      </c>
      <c r="I523" s="42">
        <f>IF($L523="","",IF(INT(($L523-INT($L523/10000000)*10000000)/1000000)=0,"Bloomberg projection",IF($P523=1,"ANNOUNCED","ANNOUNCED - amount TBA")))</f>
        <v/>
      </c>
      <c r="J523" s="43">
        <f>IF($L523="","",IF((OV_SWITCH="ON")*(COUNTIFS(OVR_TICKERS,INDEX(HSCEI!$C$7:$C$66,$N523),OVR_BASE,"&gt;=0")&gt;0)&gt;0,"stock overridden",""))</f>
        <v/>
      </c>
      <c r="L523" s="35">
        <f>IFERROR(IF(SMALL(Grids!$EE$160:$GQ$219,$M$439+82)&gt;=PEND_TO,"",SMALL(Grids!$EE$160:$GQ$219,$M$439+82)),"")</f>
        <v/>
      </c>
      <c r="M523" s="35">
        <f>IF($L523="","",INT($L523/1000000000))</f>
        <v/>
      </c>
      <c r="N523" s="35">
        <f>IF($L523="","",INT(($L523-INT($L523/1000000)*1000000)/1000))</f>
        <v/>
      </c>
      <c r="O523" s="35">
        <f>IF($L523="","",$L523-INT($L523/1000)*1000)</f>
        <v/>
      </c>
      <c r="P523" s="35">
        <f>IF($L523="","",INT(($L523-INT($L523/1000000000)*1000000000)/100000000))</f>
        <v/>
      </c>
    </row>
    <row r="524">
      <c r="B524" s="39">
        <f>IF($L524="","",$M524)</f>
        <v/>
      </c>
      <c r="C524" s="18">
        <f>IF($L524="","",INDEX(HSCEI!$C$7:$C$66,$N524))</f>
        <v/>
      </c>
      <c r="D524" s="18">
        <f>IF($L524="","",INDEX(HSCEI!$D$7:$D$66,$N524))</f>
        <v/>
      </c>
      <c r="E524" s="40">
        <f>IF($L524="","",IF($P524=0,"TBA",IFERROR(INDEX(Grids!$C$160:$BO$219,$N524,$O524),"-")))</f>
        <v/>
      </c>
      <c r="F524" s="18">
        <f>IF($L524="","",INDEX(HSCEI!$F$7:$F$66,$N524))</f>
        <v/>
      </c>
      <c r="G524" s="40">
        <f>IF($L524="","",IF($P524=0,"TBA",IFERROR(INDEX(Grids!$BQ$160:$EC$219,$N524,$O524),"-")))</f>
        <v/>
      </c>
      <c r="H524" s="41">
        <f>IF($L524="","",SUM($G$442:$G524))</f>
        <v/>
      </c>
      <c r="I524" s="42">
        <f>IF($L524="","",IF(INT(($L524-INT($L524/10000000)*10000000)/1000000)=0,"Bloomberg projection",IF($P524=1,"ANNOUNCED","ANNOUNCED - amount TBA")))</f>
        <v/>
      </c>
      <c r="J524" s="43">
        <f>IF($L524="","",IF((OV_SWITCH="ON")*(COUNTIFS(OVR_TICKERS,INDEX(HSCEI!$C$7:$C$66,$N524),OVR_BASE,"&gt;=0")&gt;0)&gt;0,"stock overridden",""))</f>
        <v/>
      </c>
      <c r="L524" s="35">
        <f>IFERROR(IF(SMALL(Grids!$EE$160:$GQ$219,$M$439+83)&gt;=PEND_TO,"",SMALL(Grids!$EE$160:$GQ$219,$M$439+83)),"")</f>
        <v/>
      </c>
      <c r="M524" s="35">
        <f>IF($L524="","",INT($L524/1000000000))</f>
        <v/>
      </c>
      <c r="N524" s="35">
        <f>IF($L524="","",INT(($L524-INT($L524/1000000)*1000000)/1000))</f>
        <v/>
      </c>
      <c r="O524" s="35">
        <f>IF($L524="","",$L524-INT($L524/1000)*1000)</f>
        <v/>
      </c>
      <c r="P524" s="35">
        <f>IF($L524="","",INT(($L524-INT($L524/1000000000)*1000000000)/100000000))</f>
        <v/>
      </c>
    </row>
    <row r="525">
      <c r="B525" s="39">
        <f>IF($L525="","",$M525)</f>
        <v/>
      </c>
      <c r="C525" s="18">
        <f>IF($L525="","",INDEX(HSCEI!$C$7:$C$66,$N525))</f>
        <v/>
      </c>
      <c r="D525" s="18">
        <f>IF($L525="","",INDEX(HSCEI!$D$7:$D$66,$N525))</f>
        <v/>
      </c>
      <c r="E525" s="40">
        <f>IF($L525="","",IF($P525=0,"TBA",IFERROR(INDEX(Grids!$C$160:$BO$219,$N525,$O525),"-")))</f>
        <v/>
      </c>
      <c r="F525" s="18">
        <f>IF($L525="","",INDEX(HSCEI!$F$7:$F$66,$N525))</f>
        <v/>
      </c>
      <c r="G525" s="40">
        <f>IF($L525="","",IF($P525=0,"TBA",IFERROR(INDEX(Grids!$BQ$160:$EC$219,$N525,$O525),"-")))</f>
        <v/>
      </c>
      <c r="H525" s="41">
        <f>IF($L525="","",SUM($G$442:$G525))</f>
        <v/>
      </c>
      <c r="I525" s="42">
        <f>IF($L525="","",IF(INT(($L525-INT($L525/10000000)*10000000)/1000000)=0,"Bloomberg projection",IF($P525=1,"ANNOUNCED","ANNOUNCED - amount TBA")))</f>
        <v/>
      </c>
      <c r="J525" s="43">
        <f>IF($L525="","",IF((OV_SWITCH="ON")*(COUNTIFS(OVR_TICKERS,INDEX(HSCEI!$C$7:$C$66,$N525),OVR_BASE,"&gt;=0")&gt;0)&gt;0,"stock overridden",""))</f>
        <v/>
      </c>
      <c r="L525" s="35">
        <f>IFERROR(IF(SMALL(Grids!$EE$160:$GQ$219,$M$439+84)&gt;=PEND_TO,"",SMALL(Grids!$EE$160:$GQ$219,$M$439+84)),"")</f>
        <v/>
      </c>
      <c r="M525" s="35">
        <f>IF($L525="","",INT($L525/1000000000))</f>
        <v/>
      </c>
      <c r="N525" s="35">
        <f>IF($L525="","",INT(($L525-INT($L525/1000000)*1000000)/1000))</f>
        <v/>
      </c>
      <c r="O525" s="35">
        <f>IF($L525="","",$L525-INT($L525/1000)*1000)</f>
        <v/>
      </c>
      <c r="P525" s="35">
        <f>IF($L525="","",INT(($L525-INT($L525/1000000000)*1000000000)/100000000))</f>
        <v/>
      </c>
    </row>
    <row r="526">
      <c r="B526" s="39">
        <f>IF($L526="","",$M526)</f>
        <v/>
      </c>
      <c r="C526" s="18">
        <f>IF($L526="","",INDEX(HSCEI!$C$7:$C$66,$N526))</f>
        <v/>
      </c>
      <c r="D526" s="18">
        <f>IF($L526="","",INDEX(HSCEI!$D$7:$D$66,$N526))</f>
        <v/>
      </c>
      <c r="E526" s="40">
        <f>IF($L526="","",IF($P526=0,"TBA",IFERROR(INDEX(Grids!$C$160:$BO$219,$N526,$O526),"-")))</f>
        <v/>
      </c>
      <c r="F526" s="18">
        <f>IF($L526="","",INDEX(HSCEI!$F$7:$F$66,$N526))</f>
        <v/>
      </c>
      <c r="G526" s="40">
        <f>IF($L526="","",IF($P526=0,"TBA",IFERROR(INDEX(Grids!$BQ$160:$EC$219,$N526,$O526),"-")))</f>
        <v/>
      </c>
      <c r="H526" s="41">
        <f>IF($L526="","",SUM($G$442:$G526))</f>
        <v/>
      </c>
      <c r="I526" s="42">
        <f>IF($L526="","",IF(INT(($L526-INT($L526/10000000)*10000000)/1000000)=0,"Bloomberg projection",IF($P526=1,"ANNOUNCED","ANNOUNCED - amount TBA")))</f>
        <v/>
      </c>
      <c r="J526" s="43">
        <f>IF($L526="","",IF((OV_SWITCH="ON")*(COUNTIFS(OVR_TICKERS,INDEX(HSCEI!$C$7:$C$66,$N526),OVR_BASE,"&gt;=0")&gt;0)&gt;0,"stock overridden",""))</f>
        <v/>
      </c>
      <c r="L526" s="35">
        <f>IFERROR(IF(SMALL(Grids!$EE$160:$GQ$219,$M$439+85)&gt;=PEND_TO,"",SMALL(Grids!$EE$160:$GQ$219,$M$439+85)),"")</f>
        <v/>
      </c>
      <c r="M526" s="35">
        <f>IF($L526="","",INT($L526/1000000000))</f>
        <v/>
      </c>
      <c r="N526" s="35">
        <f>IF($L526="","",INT(($L526-INT($L526/1000000)*1000000)/1000))</f>
        <v/>
      </c>
      <c r="O526" s="35">
        <f>IF($L526="","",$L526-INT($L526/1000)*1000)</f>
        <v/>
      </c>
      <c r="P526" s="35">
        <f>IF($L526="","",INT(($L526-INT($L526/1000000000)*1000000000)/100000000))</f>
        <v/>
      </c>
    </row>
    <row r="527">
      <c r="B527" s="39">
        <f>IF($L527="","",$M527)</f>
        <v/>
      </c>
      <c r="C527" s="18">
        <f>IF($L527="","",INDEX(HSCEI!$C$7:$C$66,$N527))</f>
        <v/>
      </c>
      <c r="D527" s="18">
        <f>IF($L527="","",INDEX(HSCEI!$D$7:$D$66,$N527))</f>
        <v/>
      </c>
      <c r="E527" s="40">
        <f>IF($L527="","",IF($P527=0,"TBA",IFERROR(INDEX(Grids!$C$160:$BO$219,$N527,$O527),"-")))</f>
        <v/>
      </c>
      <c r="F527" s="18">
        <f>IF($L527="","",INDEX(HSCEI!$F$7:$F$66,$N527))</f>
        <v/>
      </c>
      <c r="G527" s="40">
        <f>IF($L527="","",IF($P527=0,"TBA",IFERROR(INDEX(Grids!$BQ$160:$EC$219,$N527,$O527),"-")))</f>
        <v/>
      </c>
      <c r="H527" s="41">
        <f>IF($L527="","",SUM($G$442:$G527))</f>
        <v/>
      </c>
      <c r="I527" s="42">
        <f>IF($L527="","",IF(INT(($L527-INT($L527/10000000)*10000000)/1000000)=0,"Bloomberg projection",IF($P527=1,"ANNOUNCED","ANNOUNCED - amount TBA")))</f>
        <v/>
      </c>
      <c r="J527" s="43">
        <f>IF($L527="","",IF((OV_SWITCH="ON")*(COUNTIFS(OVR_TICKERS,INDEX(HSCEI!$C$7:$C$66,$N527),OVR_BASE,"&gt;=0")&gt;0)&gt;0,"stock overridden",""))</f>
        <v/>
      </c>
      <c r="L527" s="35">
        <f>IFERROR(IF(SMALL(Grids!$EE$160:$GQ$219,$M$439+86)&gt;=PEND_TO,"",SMALL(Grids!$EE$160:$GQ$219,$M$439+86)),"")</f>
        <v/>
      </c>
      <c r="M527" s="35">
        <f>IF($L527="","",INT($L527/1000000000))</f>
        <v/>
      </c>
      <c r="N527" s="35">
        <f>IF($L527="","",INT(($L527-INT($L527/1000000)*1000000)/1000))</f>
        <v/>
      </c>
      <c r="O527" s="35">
        <f>IF($L527="","",$L527-INT($L527/1000)*1000)</f>
        <v/>
      </c>
      <c r="P527" s="35">
        <f>IF($L527="","",INT(($L527-INT($L527/1000000000)*1000000000)/100000000))</f>
        <v/>
      </c>
    </row>
    <row r="528">
      <c r="B528" s="39">
        <f>IF($L528="","",$M528)</f>
        <v/>
      </c>
      <c r="C528" s="18">
        <f>IF($L528="","",INDEX(HSCEI!$C$7:$C$66,$N528))</f>
        <v/>
      </c>
      <c r="D528" s="18">
        <f>IF($L528="","",INDEX(HSCEI!$D$7:$D$66,$N528))</f>
        <v/>
      </c>
      <c r="E528" s="40">
        <f>IF($L528="","",IF($P528=0,"TBA",IFERROR(INDEX(Grids!$C$160:$BO$219,$N528,$O528),"-")))</f>
        <v/>
      </c>
      <c r="F528" s="18">
        <f>IF($L528="","",INDEX(HSCEI!$F$7:$F$66,$N528))</f>
        <v/>
      </c>
      <c r="G528" s="40">
        <f>IF($L528="","",IF($P528=0,"TBA",IFERROR(INDEX(Grids!$BQ$160:$EC$219,$N528,$O528),"-")))</f>
        <v/>
      </c>
      <c r="H528" s="41">
        <f>IF($L528="","",SUM($G$442:$G528))</f>
        <v/>
      </c>
      <c r="I528" s="42">
        <f>IF($L528="","",IF(INT(($L528-INT($L528/10000000)*10000000)/1000000)=0,"Bloomberg projection",IF($P528=1,"ANNOUNCED","ANNOUNCED - amount TBA")))</f>
        <v/>
      </c>
      <c r="J528" s="43">
        <f>IF($L528="","",IF((OV_SWITCH="ON")*(COUNTIFS(OVR_TICKERS,INDEX(HSCEI!$C$7:$C$66,$N528),OVR_BASE,"&gt;=0")&gt;0)&gt;0,"stock overridden",""))</f>
        <v/>
      </c>
      <c r="L528" s="35">
        <f>IFERROR(IF(SMALL(Grids!$EE$160:$GQ$219,$M$439+87)&gt;=PEND_TO,"",SMALL(Grids!$EE$160:$GQ$219,$M$439+87)),"")</f>
        <v/>
      </c>
      <c r="M528" s="35">
        <f>IF($L528="","",INT($L528/1000000000))</f>
        <v/>
      </c>
      <c r="N528" s="35">
        <f>IF($L528="","",INT(($L528-INT($L528/1000000)*1000000)/1000))</f>
        <v/>
      </c>
      <c r="O528" s="35">
        <f>IF($L528="","",$L528-INT($L528/1000)*1000)</f>
        <v/>
      </c>
      <c r="P528" s="35">
        <f>IF($L528="","",INT(($L528-INT($L528/1000000000)*1000000000)/100000000))</f>
        <v/>
      </c>
    </row>
    <row r="529">
      <c r="B529" s="39">
        <f>IF($L529="","",$M529)</f>
        <v/>
      </c>
      <c r="C529" s="18">
        <f>IF($L529="","",INDEX(HSCEI!$C$7:$C$66,$N529))</f>
        <v/>
      </c>
      <c r="D529" s="18">
        <f>IF($L529="","",INDEX(HSCEI!$D$7:$D$66,$N529))</f>
        <v/>
      </c>
      <c r="E529" s="40">
        <f>IF($L529="","",IF($P529=0,"TBA",IFERROR(INDEX(Grids!$C$160:$BO$219,$N529,$O529),"-")))</f>
        <v/>
      </c>
      <c r="F529" s="18">
        <f>IF($L529="","",INDEX(HSCEI!$F$7:$F$66,$N529))</f>
        <v/>
      </c>
      <c r="G529" s="40">
        <f>IF($L529="","",IF($P529=0,"TBA",IFERROR(INDEX(Grids!$BQ$160:$EC$219,$N529,$O529),"-")))</f>
        <v/>
      </c>
      <c r="H529" s="41">
        <f>IF($L529="","",SUM($G$442:$G529))</f>
        <v/>
      </c>
      <c r="I529" s="42">
        <f>IF($L529="","",IF(INT(($L529-INT($L529/10000000)*10000000)/1000000)=0,"Bloomberg projection",IF($P529=1,"ANNOUNCED","ANNOUNCED - amount TBA")))</f>
        <v/>
      </c>
      <c r="J529" s="43">
        <f>IF($L529="","",IF((OV_SWITCH="ON")*(COUNTIFS(OVR_TICKERS,INDEX(HSCEI!$C$7:$C$66,$N529),OVR_BASE,"&gt;=0")&gt;0)&gt;0,"stock overridden",""))</f>
        <v/>
      </c>
      <c r="L529" s="35">
        <f>IFERROR(IF(SMALL(Grids!$EE$160:$GQ$219,$M$439+88)&gt;=PEND_TO,"",SMALL(Grids!$EE$160:$GQ$219,$M$439+88)),"")</f>
        <v/>
      </c>
      <c r="M529" s="35">
        <f>IF($L529="","",INT($L529/1000000000))</f>
        <v/>
      </c>
      <c r="N529" s="35">
        <f>IF($L529="","",INT(($L529-INT($L529/1000000)*1000000)/1000))</f>
        <v/>
      </c>
      <c r="O529" s="35">
        <f>IF($L529="","",$L529-INT($L529/1000)*1000)</f>
        <v/>
      </c>
      <c r="P529" s="35">
        <f>IF($L529="","",INT(($L529-INT($L529/1000000000)*1000000000)/100000000))</f>
        <v/>
      </c>
    </row>
    <row r="530">
      <c r="B530" s="39">
        <f>IF($L530="","",$M530)</f>
        <v/>
      </c>
      <c r="C530" s="18">
        <f>IF($L530="","",INDEX(HSCEI!$C$7:$C$66,$N530))</f>
        <v/>
      </c>
      <c r="D530" s="18">
        <f>IF($L530="","",INDEX(HSCEI!$D$7:$D$66,$N530))</f>
        <v/>
      </c>
      <c r="E530" s="40">
        <f>IF($L530="","",IF($P530=0,"TBA",IFERROR(INDEX(Grids!$C$160:$BO$219,$N530,$O530),"-")))</f>
        <v/>
      </c>
      <c r="F530" s="18">
        <f>IF($L530="","",INDEX(HSCEI!$F$7:$F$66,$N530))</f>
        <v/>
      </c>
      <c r="G530" s="40">
        <f>IF($L530="","",IF($P530=0,"TBA",IFERROR(INDEX(Grids!$BQ$160:$EC$219,$N530,$O530),"-")))</f>
        <v/>
      </c>
      <c r="H530" s="41">
        <f>IF($L530="","",SUM($G$442:$G530))</f>
        <v/>
      </c>
      <c r="I530" s="42">
        <f>IF($L530="","",IF(INT(($L530-INT($L530/10000000)*10000000)/1000000)=0,"Bloomberg projection",IF($P530=1,"ANNOUNCED","ANNOUNCED - amount TBA")))</f>
        <v/>
      </c>
      <c r="J530" s="43">
        <f>IF($L530="","",IF((OV_SWITCH="ON")*(COUNTIFS(OVR_TICKERS,INDEX(HSCEI!$C$7:$C$66,$N530),OVR_BASE,"&gt;=0")&gt;0)&gt;0,"stock overridden",""))</f>
        <v/>
      </c>
      <c r="L530" s="35">
        <f>IFERROR(IF(SMALL(Grids!$EE$160:$GQ$219,$M$439+89)&gt;=PEND_TO,"",SMALL(Grids!$EE$160:$GQ$219,$M$439+89)),"")</f>
        <v/>
      </c>
      <c r="M530" s="35">
        <f>IF($L530="","",INT($L530/1000000000))</f>
        <v/>
      </c>
      <c r="N530" s="35">
        <f>IF($L530="","",INT(($L530-INT($L530/1000000)*1000000)/1000))</f>
        <v/>
      </c>
      <c r="O530" s="35">
        <f>IF($L530="","",$L530-INT($L530/1000)*1000)</f>
        <v/>
      </c>
      <c r="P530" s="35">
        <f>IF($L530="","",INT(($L530-INT($L530/1000000000)*1000000000)/100000000))</f>
        <v/>
      </c>
    </row>
    <row r="531">
      <c r="B531" s="39">
        <f>IF($L531="","",$M531)</f>
        <v/>
      </c>
      <c r="C531" s="18">
        <f>IF($L531="","",INDEX(HSCEI!$C$7:$C$66,$N531))</f>
        <v/>
      </c>
      <c r="D531" s="18">
        <f>IF($L531="","",INDEX(HSCEI!$D$7:$D$66,$N531))</f>
        <v/>
      </c>
      <c r="E531" s="40">
        <f>IF($L531="","",IF($P531=0,"TBA",IFERROR(INDEX(Grids!$C$160:$BO$219,$N531,$O531),"-")))</f>
        <v/>
      </c>
      <c r="F531" s="18">
        <f>IF($L531="","",INDEX(HSCEI!$F$7:$F$66,$N531))</f>
        <v/>
      </c>
      <c r="G531" s="40">
        <f>IF($L531="","",IF($P531=0,"TBA",IFERROR(INDEX(Grids!$BQ$160:$EC$219,$N531,$O531),"-")))</f>
        <v/>
      </c>
      <c r="H531" s="41">
        <f>IF($L531="","",SUM($G$442:$G531))</f>
        <v/>
      </c>
      <c r="I531" s="42">
        <f>IF($L531="","",IF(INT(($L531-INT($L531/10000000)*10000000)/1000000)=0,"Bloomberg projection",IF($P531=1,"ANNOUNCED","ANNOUNCED - amount TBA")))</f>
        <v/>
      </c>
      <c r="J531" s="43">
        <f>IF($L531="","",IF((OV_SWITCH="ON")*(COUNTIFS(OVR_TICKERS,INDEX(HSCEI!$C$7:$C$66,$N531),OVR_BASE,"&gt;=0")&gt;0)&gt;0,"stock overridden",""))</f>
        <v/>
      </c>
      <c r="L531" s="35">
        <f>IFERROR(IF(SMALL(Grids!$EE$160:$GQ$219,$M$439+90)&gt;=PEND_TO,"",SMALL(Grids!$EE$160:$GQ$219,$M$439+90)),"")</f>
        <v/>
      </c>
      <c r="M531" s="35">
        <f>IF($L531="","",INT($L531/1000000000))</f>
        <v/>
      </c>
      <c r="N531" s="35">
        <f>IF($L531="","",INT(($L531-INT($L531/1000000)*1000000)/1000))</f>
        <v/>
      </c>
      <c r="O531" s="35">
        <f>IF($L531="","",$L531-INT($L531/1000)*1000)</f>
        <v/>
      </c>
      <c r="P531" s="35">
        <f>IF($L531="","",INT(($L531-INT($L531/1000000000)*1000000000)/100000000))</f>
        <v/>
      </c>
    </row>
    <row r="532">
      <c r="B532" s="39">
        <f>IF($L532="","",$M532)</f>
        <v/>
      </c>
      <c r="C532" s="18">
        <f>IF($L532="","",INDEX(HSCEI!$C$7:$C$66,$N532))</f>
        <v/>
      </c>
      <c r="D532" s="18">
        <f>IF($L532="","",INDEX(HSCEI!$D$7:$D$66,$N532))</f>
        <v/>
      </c>
      <c r="E532" s="40">
        <f>IF($L532="","",IF($P532=0,"TBA",IFERROR(INDEX(Grids!$C$160:$BO$219,$N532,$O532),"-")))</f>
        <v/>
      </c>
      <c r="F532" s="18">
        <f>IF($L532="","",INDEX(HSCEI!$F$7:$F$66,$N532))</f>
        <v/>
      </c>
      <c r="G532" s="40">
        <f>IF($L532="","",IF($P532=0,"TBA",IFERROR(INDEX(Grids!$BQ$160:$EC$219,$N532,$O532),"-")))</f>
        <v/>
      </c>
      <c r="H532" s="41">
        <f>IF($L532="","",SUM($G$442:$G532))</f>
        <v/>
      </c>
      <c r="I532" s="42">
        <f>IF($L532="","",IF(INT(($L532-INT($L532/10000000)*10000000)/1000000)=0,"Bloomberg projection",IF($P532=1,"ANNOUNCED","ANNOUNCED - amount TBA")))</f>
        <v/>
      </c>
      <c r="J532" s="43">
        <f>IF($L532="","",IF((OV_SWITCH="ON")*(COUNTIFS(OVR_TICKERS,INDEX(HSCEI!$C$7:$C$66,$N532),OVR_BASE,"&gt;=0")&gt;0)&gt;0,"stock overridden",""))</f>
        <v/>
      </c>
      <c r="L532" s="35">
        <f>IFERROR(IF(SMALL(Grids!$EE$160:$GQ$219,$M$439+91)&gt;=PEND_TO,"",SMALL(Grids!$EE$160:$GQ$219,$M$439+91)),"")</f>
        <v/>
      </c>
      <c r="M532" s="35">
        <f>IF($L532="","",INT($L532/1000000000))</f>
        <v/>
      </c>
      <c r="N532" s="35">
        <f>IF($L532="","",INT(($L532-INT($L532/1000000)*1000000)/1000))</f>
        <v/>
      </c>
      <c r="O532" s="35">
        <f>IF($L532="","",$L532-INT($L532/1000)*1000)</f>
        <v/>
      </c>
      <c r="P532" s="35">
        <f>IF($L532="","",INT(($L532-INT($L532/1000000000)*1000000000)/100000000))</f>
        <v/>
      </c>
    </row>
    <row r="533">
      <c r="B533" s="39">
        <f>IF($L533="","",$M533)</f>
        <v/>
      </c>
      <c r="C533" s="18">
        <f>IF($L533="","",INDEX(HSCEI!$C$7:$C$66,$N533))</f>
        <v/>
      </c>
      <c r="D533" s="18">
        <f>IF($L533="","",INDEX(HSCEI!$D$7:$D$66,$N533))</f>
        <v/>
      </c>
      <c r="E533" s="40">
        <f>IF($L533="","",IF($P533=0,"TBA",IFERROR(INDEX(Grids!$C$160:$BO$219,$N533,$O533),"-")))</f>
        <v/>
      </c>
      <c r="F533" s="18">
        <f>IF($L533="","",INDEX(HSCEI!$F$7:$F$66,$N533))</f>
        <v/>
      </c>
      <c r="G533" s="40">
        <f>IF($L533="","",IF($P533=0,"TBA",IFERROR(INDEX(Grids!$BQ$160:$EC$219,$N533,$O533),"-")))</f>
        <v/>
      </c>
      <c r="H533" s="41">
        <f>IF($L533="","",SUM($G$442:$G533))</f>
        <v/>
      </c>
      <c r="I533" s="42">
        <f>IF($L533="","",IF(INT(($L533-INT($L533/10000000)*10000000)/1000000)=0,"Bloomberg projection",IF($P533=1,"ANNOUNCED","ANNOUNCED - amount TBA")))</f>
        <v/>
      </c>
      <c r="J533" s="43">
        <f>IF($L533="","",IF((OV_SWITCH="ON")*(COUNTIFS(OVR_TICKERS,INDEX(HSCEI!$C$7:$C$66,$N533),OVR_BASE,"&gt;=0")&gt;0)&gt;0,"stock overridden",""))</f>
        <v/>
      </c>
      <c r="L533" s="35">
        <f>IFERROR(IF(SMALL(Grids!$EE$160:$GQ$219,$M$439+92)&gt;=PEND_TO,"",SMALL(Grids!$EE$160:$GQ$219,$M$439+92)),"")</f>
        <v/>
      </c>
      <c r="M533" s="35">
        <f>IF($L533="","",INT($L533/1000000000))</f>
        <v/>
      </c>
      <c r="N533" s="35">
        <f>IF($L533="","",INT(($L533-INT($L533/1000000)*1000000)/1000))</f>
        <v/>
      </c>
      <c r="O533" s="35">
        <f>IF($L533="","",$L533-INT($L533/1000)*1000)</f>
        <v/>
      </c>
      <c r="P533" s="35">
        <f>IF($L533="","",INT(($L533-INT($L533/1000000000)*1000000000)/100000000))</f>
        <v/>
      </c>
    </row>
    <row r="534">
      <c r="B534" s="39">
        <f>IF($L534="","",$M534)</f>
        <v/>
      </c>
      <c r="C534" s="18">
        <f>IF($L534="","",INDEX(HSCEI!$C$7:$C$66,$N534))</f>
        <v/>
      </c>
      <c r="D534" s="18">
        <f>IF($L534="","",INDEX(HSCEI!$D$7:$D$66,$N534))</f>
        <v/>
      </c>
      <c r="E534" s="40">
        <f>IF($L534="","",IF($P534=0,"TBA",IFERROR(INDEX(Grids!$C$160:$BO$219,$N534,$O534),"-")))</f>
        <v/>
      </c>
      <c r="F534" s="18">
        <f>IF($L534="","",INDEX(HSCEI!$F$7:$F$66,$N534))</f>
        <v/>
      </c>
      <c r="G534" s="40">
        <f>IF($L534="","",IF($P534=0,"TBA",IFERROR(INDEX(Grids!$BQ$160:$EC$219,$N534,$O534),"-")))</f>
        <v/>
      </c>
      <c r="H534" s="41">
        <f>IF($L534="","",SUM($G$442:$G534))</f>
        <v/>
      </c>
      <c r="I534" s="42">
        <f>IF($L534="","",IF(INT(($L534-INT($L534/10000000)*10000000)/1000000)=0,"Bloomberg projection",IF($P534=1,"ANNOUNCED","ANNOUNCED - amount TBA")))</f>
        <v/>
      </c>
      <c r="J534" s="43">
        <f>IF($L534="","",IF((OV_SWITCH="ON")*(COUNTIFS(OVR_TICKERS,INDEX(HSCEI!$C$7:$C$66,$N534),OVR_BASE,"&gt;=0")&gt;0)&gt;0,"stock overridden",""))</f>
        <v/>
      </c>
      <c r="L534" s="35">
        <f>IFERROR(IF(SMALL(Grids!$EE$160:$GQ$219,$M$439+93)&gt;=PEND_TO,"",SMALL(Grids!$EE$160:$GQ$219,$M$439+93)),"")</f>
        <v/>
      </c>
      <c r="M534" s="35">
        <f>IF($L534="","",INT($L534/1000000000))</f>
        <v/>
      </c>
      <c r="N534" s="35">
        <f>IF($L534="","",INT(($L534-INT($L534/1000000)*1000000)/1000))</f>
        <v/>
      </c>
      <c r="O534" s="35">
        <f>IF($L534="","",$L534-INT($L534/1000)*1000)</f>
        <v/>
      </c>
      <c r="P534" s="35">
        <f>IF($L534="","",INT(($L534-INT($L534/1000000000)*1000000000)/100000000))</f>
        <v/>
      </c>
    </row>
    <row r="535">
      <c r="B535" s="39">
        <f>IF($L535="","",$M535)</f>
        <v/>
      </c>
      <c r="C535" s="18">
        <f>IF($L535="","",INDEX(HSCEI!$C$7:$C$66,$N535))</f>
        <v/>
      </c>
      <c r="D535" s="18">
        <f>IF($L535="","",INDEX(HSCEI!$D$7:$D$66,$N535))</f>
        <v/>
      </c>
      <c r="E535" s="40">
        <f>IF($L535="","",IF($P535=0,"TBA",IFERROR(INDEX(Grids!$C$160:$BO$219,$N535,$O535),"-")))</f>
        <v/>
      </c>
      <c r="F535" s="18">
        <f>IF($L535="","",INDEX(HSCEI!$F$7:$F$66,$N535))</f>
        <v/>
      </c>
      <c r="G535" s="40">
        <f>IF($L535="","",IF($P535=0,"TBA",IFERROR(INDEX(Grids!$BQ$160:$EC$219,$N535,$O535),"-")))</f>
        <v/>
      </c>
      <c r="H535" s="41">
        <f>IF($L535="","",SUM($G$442:$G535))</f>
        <v/>
      </c>
      <c r="I535" s="42">
        <f>IF($L535="","",IF(INT(($L535-INT($L535/10000000)*10000000)/1000000)=0,"Bloomberg projection",IF($P535=1,"ANNOUNCED","ANNOUNCED - amount TBA")))</f>
        <v/>
      </c>
      <c r="J535" s="43">
        <f>IF($L535="","",IF((OV_SWITCH="ON")*(COUNTIFS(OVR_TICKERS,INDEX(HSCEI!$C$7:$C$66,$N535),OVR_BASE,"&gt;=0")&gt;0)&gt;0,"stock overridden",""))</f>
        <v/>
      </c>
      <c r="L535" s="35">
        <f>IFERROR(IF(SMALL(Grids!$EE$160:$GQ$219,$M$439+94)&gt;=PEND_TO,"",SMALL(Grids!$EE$160:$GQ$219,$M$439+94)),"")</f>
        <v/>
      </c>
      <c r="M535" s="35">
        <f>IF($L535="","",INT($L535/1000000000))</f>
        <v/>
      </c>
      <c r="N535" s="35">
        <f>IF($L535="","",INT(($L535-INT($L535/1000000)*1000000)/1000))</f>
        <v/>
      </c>
      <c r="O535" s="35">
        <f>IF($L535="","",$L535-INT($L535/1000)*1000)</f>
        <v/>
      </c>
      <c r="P535" s="35">
        <f>IF($L535="","",INT(($L535-INT($L535/1000000000)*1000000000)/100000000))</f>
        <v/>
      </c>
    </row>
    <row r="536">
      <c r="B536" s="39">
        <f>IF($L536="","",$M536)</f>
        <v/>
      </c>
      <c r="C536" s="18">
        <f>IF($L536="","",INDEX(HSCEI!$C$7:$C$66,$N536))</f>
        <v/>
      </c>
      <c r="D536" s="18">
        <f>IF($L536="","",INDEX(HSCEI!$D$7:$D$66,$N536))</f>
        <v/>
      </c>
      <c r="E536" s="40">
        <f>IF($L536="","",IF($P536=0,"TBA",IFERROR(INDEX(Grids!$C$160:$BO$219,$N536,$O536),"-")))</f>
        <v/>
      </c>
      <c r="F536" s="18">
        <f>IF($L536="","",INDEX(HSCEI!$F$7:$F$66,$N536))</f>
        <v/>
      </c>
      <c r="G536" s="40">
        <f>IF($L536="","",IF($P536=0,"TBA",IFERROR(INDEX(Grids!$BQ$160:$EC$219,$N536,$O536),"-")))</f>
        <v/>
      </c>
      <c r="H536" s="41">
        <f>IF($L536="","",SUM($G$442:$G536))</f>
        <v/>
      </c>
      <c r="I536" s="42">
        <f>IF($L536="","",IF(INT(($L536-INT($L536/10000000)*10000000)/1000000)=0,"Bloomberg projection",IF($P536=1,"ANNOUNCED","ANNOUNCED - amount TBA")))</f>
        <v/>
      </c>
      <c r="J536" s="43">
        <f>IF($L536="","",IF((OV_SWITCH="ON")*(COUNTIFS(OVR_TICKERS,INDEX(HSCEI!$C$7:$C$66,$N536),OVR_BASE,"&gt;=0")&gt;0)&gt;0,"stock overridden",""))</f>
        <v/>
      </c>
      <c r="L536" s="35">
        <f>IFERROR(IF(SMALL(Grids!$EE$160:$GQ$219,$M$439+95)&gt;=PEND_TO,"",SMALL(Grids!$EE$160:$GQ$219,$M$439+95)),"")</f>
        <v/>
      </c>
      <c r="M536" s="35">
        <f>IF($L536="","",INT($L536/1000000000))</f>
        <v/>
      </c>
      <c r="N536" s="35">
        <f>IF($L536="","",INT(($L536-INT($L536/1000000)*1000000)/1000))</f>
        <v/>
      </c>
      <c r="O536" s="35">
        <f>IF($L536="","",$L536-INT($L536/1000)*1000)</f>
        <v/>
      </c>
      <c r="P536" s="35">
        <f>IF($L536="","",INT(($L536-INT($L536/1000000000)*1000000000)/100000000))</f>
        <v/>
      </c>
    </row>
    <row r="537">
      <c r="B537" s="39">
        <f>IF($L537="","",$M537)</f>
        <v/>
      </c>
      <c r="C537" s="18">
        <f>IF($L537="","",INDEX(HSCEI!$C$7:$C$66,$N537))</f>
        <v/>
      </c>
      <c r="D537" s="18">
        <f>IF($L537="","",INDEX(HSCEI!$D$7:$D$66,$N537))</f>
        <v/>
      </c>
      <c r="E537" s="40">
        <f>IF($L537="","",IF($P537=0,"TBA",IFERROR(INDEX(Grids!$C$160:$BO$219,$N537,$O537),"-")))</f>
        <v/>
      </c>
      <c r="F537" s="18">
        <f>IF($L537="","",INDEX(HSCEI!$F$7:$F$66,$N537))</f>
        <v/>
      </c>
      <c r="G537" s="40">
        <f>IF($L537="","",IF($P537=0,"TBA",IFERROR(INDEX(Grids!$BQ$160:$EC$219,$N537,$O537),"-")))</f>
        <v/>
      </c>
      <c r="H537" s="41">
        <f>IF($L537="","",SUM($G$442:$G537))</f>
        <v/>
      </c>
      <c r="I537" s="42">
        <f>IF($L537="","",IF(INT(($L537-INT($L537/10000000)*10000000)/1000000)=0,"Bloomberg projection",IF($P537=1,"ANNOUNCED","ANNOUNCED - amount TBA")))</f>
        <v/>
      </c>
      <c r="J537" s="43">
        <f>IF($L537="","",IF((OV_SWITCH="ON")*(COUNTIFS(OVR_TICKERS,INDEX(HSCEI!$C$7:$C$66,$N537),OVR_BASE,"&gt;=0")&gt;0)&gt;0,"stock overridden",""))</f>
        <v/>
      </c>
      <c r="L537" s="35">
        <f>IFERROR(IF(SMALL(Grids!$EE$160:$GQ$219,$M$439+96)&gt;=PEND_TO,"",SMALL(Grids!$EE$160:$GQ$219,$M$439+96)),"")</f>
        <v/>
      </c>
      <c r="M537" s="35">
        <f>IF($L537="","",INT($L537/1000000000))</f>
        <v/>
      </c>
      <c r="N537" s="35">
        <f>IF($L537="","",INT(($L537-INT($L537/1000000)*1000000)/1000))</f>
        <v/>
      </c>
      <c r="O537" s="35">
        <f>IF($L537="","",$L537-INT($L537/1000)*1000)</f>
        <v/>
      </c>
      <c r="P537" s="35">
        <f>IF($L537="","",INT(($L537-INT($L537/1000000000)*1000000000)/100000000))</f>
        <v/>
      </c>
    </row>
    <row r="538">
      <c r="B538" s="39">
        <f>IF($L538="","",$M538)</f>
        <v/>
      </c>
      <c r="C538" s="18">
        <f>IF($L538="","",INDEX(HSCEI!$C$7:$C$66,$N538))</f>
        <v/>
      </c>
      <c r="D538" s="18">
        <f>IF($L538="","",INDEX(HSCEI!$D$7:$D$66,$N538))</f>
        <v/>
      </c>
      <c r="E538" s="40">
        <f>IF($L538="","",IF($P538=0,"TBA",IFERROR(INDEX(Grids!$C$160:$BO$219,$N538,$O538),"-")))</f>
        <v/>
      </c>
      <c r="F538" s="18">
        <f>IF($L538="","",INDEX(HSCEI!$F$7:$F$66,$N538))</f>
        <v/>
      </c>
      <c r="G538" s="40">
        <f>IF($L538="","",IF($P538=0,"TBA",IFERROR(INDEX(Grids!$BQ$160:$EC$219,$N538,$O538),"-")))</f>
        <v/>
      </c>
      <c r="H538" s="41">
        <f>IF($L538="","",SUM($G$442:$G538))</f>
        <v/>
      </c>
      <c r="I538" s="42">
        <f>IF($L538="","",IF(INT(($L538-INT($L538/10000000)*10000000)/1000000)=0,"Bloomberg projection",IF($P538=1,"ANNOUNCED","ANNOUNCED - amount TBA")))</f>
        <v/>
      </c>
      <c r="J538" s="43">
        <f>IF($L538="","",IF((OV_SWITCH="ON")*(COUNTIFS(OVR_TICKERS,INDEX(HSCEI!$C$7:$C$66,$N538),OVR_BASE,"&gt;=0")&gt;0)&gt;0,"stock overridden",""))</f>
        <v/>
      </c>
      <c r="L538" s="35">
        <f>IFERROR(IF(SMALL(Grids!$EE$160:$GQ$219,$M$439+97)&gt;=PEND_TO,"",SMALL(Grids!$EE$160:$GQ$219,$M$439+97)),"")</f>
        <v/>
      </c>
      <c r="M538" s="35">
        <f>IF($L538="","",INT($L538/1000000000))</f>
        <v/>
      </c>
      <c r="N538" s="35">
        <f>IF($L538="","",INT(($L538-INT($L538/1000000)*1000000)/1000))</f>
        <v/>
      </c>
      <c r="O538" s="35">
        <f>IF($L538="","",$L538-INT($L538/1000)*1000)</f>
        <v/>
      </c>
      <c r="P538" s="35">
        <f>IF($L538="","",INT(($L538-INT($L538/1000000000)*1000000000)/100000000))</f>
        <v/>
      </c>
    </row>
    <row r="539">
      <c r="B539" s="39">
        <f>IF($L539="","",$M539)</f>
        <v/>
      </c>
      <c r="C539" s="18">
        <f>IF($L539="","",INDEX(HSCEI!$C$7:$C$66,$N539))</f>
        <v/>
      </c>
      <c r="D539" s="18">
        <f>IF($L539="","",INDEX(HSCEI!$D$7:$D$66,$N539))</f>
        <v/>
      </c>
      <c r="E539" s="40">
        <f>IF($L539="","",IF($P539=0,"TBA",IFERROR(INDEX(Grids!$C$160:$BO$219,$N539,$O539),"-")))</f>
        <v/>
      </c>
      <c r="F539" s="18">
        <f>IF($L539="","",INDEX(HSCEI!$F$7:$F$66,$N539))</f>
        <v/>
      </c>
      <c r="G539" s="40">
        <f>IF($L539="","",IF($P539=0,"TBA",IFERROR(INDEX(Grids!$BQ$160:$EC$219,$N539,$O539),"-")))</f>
        <v/>
      </c>
      <c r="H539" s="41">
        <f>IF($L539="","",SUM($G$442:$G539))</f>
        <v/>
      </c>
      <c r="I539" s="42">
        <f>IF($L539="","",IF(INT(($L539-INT($L539/10000000)*10000000)/1000000)=0,"Bloomberg projection",IF($P539=1,"ANNOUNCED","ANNOUNCED - amount TBA")))</f>
        <v/>
      </c>
      <c r="J539" s="43">
        <f>IF($L539="","",IF((OV_SWITCH="ON")*(COUNTIFS(OVR_TICKERS,INDEX(HSCEI!$C$7:$C$66,$N539),OVR_BASE,"&gt;=0")&gt;0)&gt;0,"stock overridden",""))</f>
        <v/>
      </c>
      <c r="L539" s="35">
        <f>IFERROR(IF(SMALL(Grids!$EE$160:$GQ$219,$M$439+98)&gt;=PEND_TO,"",SMALL(Grids!$EE$160:$GQ$219,$M$439+98)),"")</f>
        <v/>
      </c>
      <c r="M539" s="35">
        <f>IF($L539="","",INT($L539/1000000000))</f>
        <v/>
      </c>
      <c r="N539" s="35">
        <f>IF($L539="","",INT(($L539-INT($L539/1000000)*1000000)/1000))</f>
        <v/>
      </c>
      <c r="O539" s="35">
        <f>IF($L539="","",$L539-INT($L539/1000)*1000)</f>
        <v/>
      </c>
      <c r="P539" s="35">
        <f>IF($L539="","",INT(($L539-INT($L539/1000000000)*1000000000)/100000000))</f>
        <v/>
      </c>
    </row>
    <row r="540">
      <c r="B540" s="39">
        <f>IF($L540="","",$M540)</f>
        <v/>
      </c>
      <c r="C540" s="18">
        <f>IF($L540="","",INDEX(HSCEI!$C$7:$C$66,$N540))</f>
        <v/>
      </c>
      <c r="D540" s="18">
        <f>IF($L540="","",INDEX(HSCEI!$D$7:$D$66,$N540))</f>
        <v/>
      </c>
      <c r="E540" s="40">
        <f>IF($L540="","",IF($P540=0,"TBA",IFERROR(INDEX(Grids!$C$160:$BO$219,$N540,$O540),"-")))</f>
        <v/>
      </c>
      <c r="F540" s="18">
        <f>IF($L540="","",INDEX(HSCEI!$F$7:$F$66,$N540))</f>
        <v/>
      </c>
      <c r="G540" s="40">
        <f>IF($L540="","",IF($P540=0,"TBA",IFERROR(INDEX(Grids!$BQ$160:$EC$219,$N540,$O540),"-")))</f>
        <v/>
      </c>
      <c r="H540" s="41">
        <f>IF($L540="","",SUM($G$442:$G540))</f>
        <v/>
      </c>
      <c r="I540" s="42">
        <f>IF($L540="","",IF(INT(($L540-INT($L540/10000000)*10000000)/1000000)=0,"Bloomberg projection",IF($P540=1,"ANNOUNCED","ANNOUNCED - amount TBA")))</f>
        <v/>
      </c>
      <c r="J540" s="43">
        <f>IF($L540="","",IF((OV_SWITCH="ON")*(COUNTIFS(OVR_TICKERS,INDEX(HSCEI!$C$7:$C$66,$N540),OVR_BASE,"&gt;=0")&gt;0)&gt;0,"stock overridden",""))</f>
        <v/>
      </c>
      <c r="L540" s="35">
        <f>IFERROR(IF(SMALL(Grids!$EE$160:$GQ$219,$M$439+99)&gt;=PEND_TO,"",SMALL(Grids!$EE$160:$GQ$219,$M$439+99)),"")</f>
        <v/>
      </c>
      <c r="M540" s="35">
        <f>IF($L540="","",INT($L540/1000000000))</f>
        <v/>
      </c>
      <c r="N540" s="35">
        <f>IF($L540="","",INT(($L540-INT($L540/1000000)*1000000)/1000))</f>
        <v/>
      </c>
      <c r="O540" s="35">
        <f>IF($L540="","",$L540-INT($L540/1000)*1000)</f>
        <v/>
      </c>
      <c r="P540" s="35">
        <f>IF($L540="","",INT(($L540-INT($L540/1000000000)*1000000000)/100000000))</f>
        <v/>
      </c>
    </row>
    <row r="541">
      <c r="B541" s="39">
        <f>IF($L541="","",$M541)</f>
        <v/>
      </c>
      <c r="C541" s="18">
        <f>IF($L541="","",INDEX(HSCEI!$C$7:$C$66,$N541))</f>
        <v/>
      </c>
      <c r="D541" s="18">
        <f>IF($L541="","",INDEX(HSCEI!$D$7:$D$66,$N541))</f>
        <v/>
      </c>
      <c r="E541" s="40">
        <f>IF($L541="","",IF($P541=0,"TBA",IFERROR(INDEX(Grids!$C$160:$BO$219,$N541,$O541),"-")))</f>
        <v/>
      </c>
      <c r="F541" s="18">
        <f>IF($L541="","",INDEX(HSCEI!$F$7:$F$66,$N541))</f>
        <v/>
      </c>
      <c r="G541" s="40">
        <f>IF($L541="","",IF($P541=0,"TBA",IFERROR(INDEX(Grids!$BQ$160:$EC$219,$N541,$O541),"-")))</f>
        <v/>
      </c>
      <c r="H541" s="41">
        <f>IF($L541="","",SUM($G$442:$G541))</f>
        <v/>
      </c>
      <c r="I541" s="42">
        <f>IF($L541="","",IF(INT(($L541-INT($L541/10000000)*10000000)/1000000)=0,"Bloomberg projection",IF($P541=1,"ANNOUNCED","ANNOUNCED - amount TBA")))</f>
        <v/>
      </c>
      <c r="J541" s="43">
        <f>IF($L541="","",IF((OV_SWITCH="ON")*(COUNTIFS(OVR_TICKERS,INDEX(HSCEI!$C$7:$C$66,$N541),OVR_BASE,"&gt;=0")&gt;0)&gt;0,"stock overridden",""))</f>
        <v/>
      </c>
      <c r="L541" s="35">
        <f>IFERROR(IF(SMALL(Grids!$EE$160:$GQ$219,$M$439+100)&gt;=PEND_TO,"",SMALL(Grids!$EE$160:$GQ$219,$M$439+100)),"")</f>
        <v/>
      </c>
      <c r="M541" s="35">
        <f>IF($L541="","",INT($L541/1000000000))</f>
        <v/>
      </c>
      <c r="N541" s="35">
        <f>IF($L541="","",INT(($L541-INT($L541/1000000)*1000000)/1000))</f>
        <v/>
      </c>
      <c r="O541" s="35">
        <f>IF($L541="","",$L541-INT($L541/1000)*1000)</f>
        <v/>
      </c>
      <c r="P541" s="35">
        <f>IF($L541="","",INT(($L541-INT($L541/1000000000)*1000000000)/100000000))</f>
        <v/>
      </c>
    </row>
    <row r="542">
      <c r="B542" s="39">
        <f>IF($L542="","",$M542)</f>
        <v/>
      </c>
      <c r="C542" s="18">
        <f>IF($L542="","",INDEX(HSCEI!$C$7:$C$66,$N542))</f>
        <v/>
      </c>
      <c r="D542" s="18">
        <f>IF($L542="","",INDEX(HSCEI!$D$7:$D$66,$N542))</f>
        <v/>
      </c>
      <c r="E542" s="40">
        <f>IF($L542="","",IF($P542=0,"TBA",IFERROR(INDEX(Grids!$C$160:$BO$219,$N542,$O542),"-")))</f>
        <v/>
      </c>
      <c r="F542" s="18">
        <f>IF($L542="","",INDEX(HSCEI!$F$7:$F$66,$N542))</f>
        <v/>
      </c>
      <c r="G542" s="40">
        <f>IF($L542="","",IF($P542=0,"TBA",IFERROR(INDEX(Grids!$BQ$160:$EC$219,$N542,$O542),"-")))</f>
        <v/>
      </c>
      <c r="H542" s="41">
        <f>IF($L542="","",SUM($G$442:$G542))</f>
        <v/>
      </c>
      <c r="I542" s="42">
        <f>IF($L542="","",IF(INT(($L542-INT($L542/10000000)*10000000)/1000000)=0,"Bloomberg projection",IF($P542=1,"ANNOUNCED","ANNOUNCED - amount TBA")))</f>
        <v/>
      </c>
      <c r="J542" s="43">
        <f>IF($L542="","",IF((OV_SWITCH="ON")*(COUNTIFS(OVR_TICKERS,INDEX(HSCEI!$C$7:$C$66,$N542),OVR_BASE,"&gt;=0")&gt;0)&gt;0,"stock overridden",""))</f>
        <v/>
      </c>
      <c r="L542" s="35">
        <f>IFERROR(IF(SMALL(Grids!$EE$160:$GQ$219,$M$439+101)&gt;=PEND_TO,"",SMALL(Grids!$EE$160:$GQ$219,$M$439+101)),"")</f>
        <v/>
      </c>
      <c r="M542" s="35">
        <f>IF($L542="","",INT($L542/1000000000))</f>
        <v/>
      </c>
      <c r="N542" s="35">
        <f>IF($L542="","",INT(($L542-INT($L542/1000000)*1000000)/1000))</f>
        <v/>
      </c>
      <c r="O542" s="35">
        <f>IF($L542="","",$L542-INT($L542/1000)*1000)</f>
        <v/>
      </c>
      <c r="P542" s="35">
        <f>IF($L542="","",INT(($L542-INT($L542/1000000000)*1000000000)/100000000))</f>
        <v/>
      </c>
    </row>
    <row r="543">
      <c r="B543" s="39">
        <f>IF($L543="","",$M543)</f>
        <v/>
      </c>
      <c r="C543" s="18">
        <f>IF($L543="","",INDEX(HSCEI!$C$7:$C$66,$N543))</f>
        <v/>
      </c>
      <c r="D543" s="18">
        <f>IF($L543="","",INDEX(HSCEI!$D$7:$D$66,$N543))</f>
        <v/>
      </c>
      <c r="E543" s="40">
        <f>IF($L543="","",IF($P543=0,"TBA",IFERROR(INDEX(Grids!$C$160:$BO$219,$N543,$O543),"-")))</f>
        <v/>
      </c>
      <c r="F543" s="18">
        <f>IF($L543="","",INDEX(HSCEI!$F$7:$F$66,$N543))</f>
        <v/>
      </c>
      <c r="G543" s="40">
        <f>IF($L543="","",IF($P543=0,"TBA",IFERROR(INDEX(Grids!$BQ$160:$EC$219,$N543,$O543),"-")))</f>
        <v/>
      </c>
      <c r="H543" s="41">
        <f>IF($L543="","",SUM($G$442:$G543))</f>
        <v/>
      </c>
      <c r="I543" s="42">
        <f>IF($L543="","",IF(INT(($L543-INT($L543/10000000)*10000000)/1000000)=0,"Bloomberg projection",IF($P543=1,"ANNOUNCED","ANNOUNCED - amount TBA")))</f>
        <v/>
      </c>
      <c r="J543" s="43">
        <f>IF($L543="","",IF((OV_SWITCH="ON")*(COUNTIFS(OVR_TICKERS,INDEX(HSCEI!$C$7:$C$66,$N543),OVR_BASE,"&gt;=0")&gt;0)&gt;0,"stock overridden",""))</f>
        <v/>
      </c>
      <c r="L543" s="35">
        <f>IFERROR(IF(SMALL(Grids!$EE$160:$GQ$219,$M$439+102)&gt;=PEND_TO,"",SMALL(Grids!$EE$160:$GQ$219,$M$439+102)),"")</f>
        <v/>
      </c>
      <c r="M543" s="35">
        <f>IF($L543="","",INT($L543/1000000000))</f>
        <v/>
      </c>
      <c r="N543" s="35">
        <f>IF($L543="","",INT(($L543-INT($L543/1000000)*1000000)/1000))</f>
        <v/>
      </c>
      <c r="O543" s="35">
        <f>IF($L543="","",$L543-INT($L543/1000)*1000)</f>
        <v/>
      </c>
      <c r="P543" s="35">
        <f>IF($L543="","",INT(($L543-INT($L543/1000000000)*1000000000)/100000000))</f>
        <v/>
      </c>
    </row>
    <row r="544">
      <c r="B544" s="39">
        <f>IF($L544="","",$M544)</f>
        <v/>
      </c>
      <c r="C544" s="18">
        <f>IF($L544="","",INDEX(HSCEI!$C$7:$C$66,$N544))</f>
        <v/>
      </c>
      <c r="D544" s="18">
        <f>IF($L544="","",INDEX(HSCEI!$D$7:$D$66,$N544))</f>
        <v/>
      </c>
      <c r="E544" s="40">
        <f>IF($L544="","",IF($P544=0,"TBA",IFERROR(INDEX(Grids!$C$160:$BO$219,$N544,$O544),"-")))</f>
        <v/>
      </c>
      <c r="F544" s="18">
        <f>IF($L544="","",INDEX(HSCEI!$F$7:$F$66,$N544))</f>
        <v/>
      </c>
      <c r="G544" s="40">
        <f>IF($L544="","",IF($P544=0,"TBA",IFERROR(INDEX(Grids!$BQ$160:$EC$219,$N544,$O544),"-")))</f>
        <v/>
      </c>
      <c r="H544" s="41">
        <f>IF($L544="","",SUM($G$442:$G544))</f>
        <v/>
      </c>
      <c r="I544" s="42">
        <f>IF($L544="","",IF(INT(($L544-INT($L544/10000000)*10000000)/1000000)=0,"Bloomberg projection",IF($P544=1,"ANNOUNCED","ANNOUNCED - amount TBA")))</f>
        <v/>
      </c>
      <c r="J544" s="43">
        <f>IF($L544="","",IF((OV_SWITCH="ON")*(COUNTIFS(OVR_TICKERS,INDEX(HSCEI!$C$7:$C$66,$N544),OVR_BASE,"&gt;=0")&gt;0)&gt;0,"stock overridden",""))</f>
        <v/>
      </c>
      <c r="L544" s="35">
        <f>IFERROR(IF(SMALL(Grids!$EE$160:$GQ$219,$M$439+103)&gt;=PEND_TO,"",SMALL(Grids!$EE$160:$GQ$219,$M$439+103)),"")</f>
        <v/>
      </c>
      <c r="M544" s="35">
        <f>IF($L544="","",INT($L544/1000000000))</f>
        <v/>
      </c>
      <c r="N544" s="35">
        <f>IF($L544="","",INT(($L544-INT($L544/1000000)*1000000)/1000))</f>
        <v/>
      </c>
      <c r="O544" s="35">
        <f>IF($L544="","",$L544-INT($L544/1000)*1000)</f>
        <v/>
      </c>
      <c r="P544" s="35">
        <f>IF($L544="","",INT(($L544-INT($L544/1000000000)*1000000000)/100000000))</f>
        <v/>
      </c>
    </row>
    <row r="545">
      <c r="B545" s="39">
        <f>IF($L545="","",$M545)</f>
        <v/>
      </c>
      <c r="C545" s="18">
        <f>IF($L545="","",INDEX(HSCEI!$C$7:$C$66,$N545))</f>
        <v/>
      </c>
      <c r="D545" s="18">
        <f>IF($L545="","",INDEX(HSCEI!$D$7:$D$66,$N545))</f>
        <v/>
      </c>
      <c r="E545" s="40">
        <f>IF($L545="","",IF($P545=0,"TBA",IFERROR(INDEX(Grids!$C$160:$BO$219,$N545,$O545),"-")))</f>
        <v/>
      </c>
      <c r="F545" s="18">
        <f>IF($L545="","",INDEX(HSCEI!$F$7:$F$66,$N545))</f>
        <v/>
      </c>
      <c r="G545" s="40">
        <f>IF($L545="","",IF($P545=0,"TBA",IFERROR(INDEX(Grids!$BQ$160:$EC$219,$N545,$O545),"-")))</f>
        <v/>
      </c>
      <c r="H545" s="41">
        <f>IF($L545="","",SUM($G$442:$G545))</f>
        <v/>
      </c>
      <c r="I545" s="42">
        <f>IF($L545="","",IF(INT(($L545-INT($L545/10000000)*10000000)/1000000)=0,"Bloomberg projection",IF($P545=1,"ANNOUNCED","ANNOUNCED - amount TBA")))</f>
        <v/>
      </c>
      <c r="J545" s="43">
        <f>IF($L545="","",IF((OV_SWITCH="ON")*(COUNTIFS(OVR_TICKERS,INDEX(HSCEI!$C$7:$C$66,$N545),OVR_BASE,"&gt;=0")&gt;0)&gt;0,"stock overridden",""))</f>
        <v/>
      </c>
      <c r="L545" s="35">
        <f>IFERROR(IF(SMALL(Grids!$EE$160:$GQ$219,$M$439+104)&gt;=PEND_TO,"",SMALL(Grids!$EE$160:$GQ$219,$M$439+104)),"")</f>
        <v/>
      </c>
      <c r="M545" s="35">
        <f>IF($L545="","",INT($L545/1000000000))</f>
        <v/>
      </c>
      <c r="N545" s="35">
        <f>IF($L545="","",INT(($L545-INT($L545/1000000)*1000000)/1000))</f>
        <v/>
      </c>
      <c r="O545" s="35">
        <f>IF($L545="","",$L545-INT($L545/1000)*1000)</f>
        <v/>
      </c>
      <c r="P545" s="35">
        <f>IF($L545="","",INT(($L545-INT($L545/1000000000)*1000000000)/100000000))</f>
        <v/>
      </c>
    </row>
    <row r="546">
      <c r="B546" s="39">
        <f>IF($L546="","",$M546)</f>
        <v/>
      </c>
      <c r="C546" s="18">
        <f>IF($L546="","",INDEX(HSCEI!$C$7:$C$66,$N546))</f>
        <v/>
      </c>
      <c r="D546" s="18">
        <f>IF($L546="","",INDEX(HSCEI!$D$7:$D$66,$N546))</f>
        <v/>
      </c>
      <c r="E546" s="40">
        <f>IF($L546="","",IF($P546=0,"TBA",IFERROR(INDEX(Grids!$C$160:$BO$219,$N546,$O546),"-")))</f>
        <v/>
      </c>
      <c r="F546" s="18">
        <f>IF($L546="","",INDEX(HSCEI!$F$7:$F$66,$N546))</f>
        <v/>
      </c>
      <c r="G546" s="40">
        <f>IF($L546="","",IF($P546=0,"TBA",IFERROR(INDEX(Grids!$BQ$160:$EC$219,$N546,$O546),"-")))</f>
        <v/>
      </c>
      <c r="H546" s="41">
        <f>IF($L546="","",SUM($G$442:$G546))</f>
        <v/>
      </c>
      <c r="I546" s="42">
        <f>IF($L546="","",IF(INT(($L546-INT($L546/10000000)*10000000)/1000000)=0,"Bloomberg projection",IF($P546=1,"ANNOUNCED","ANNOUNCED - amount TBA")))</f>
        <v/>
      </c>
      <c r="J546" s="43">
        <f>IF($L546="","",IF((OV_SWITCH="ON")*(COUNTIFS(OVR_TICKERS,INDEX(HSCEI!$C$7:$C$66,$N546),OVR_BASE,"&gt;=0")&gt;0)&gt;0,"stock overridden",""))</f>
        <v/>
      </c>
      <c r="L546" s="35">
        <f>IFERROR(IF(SMALL(Grids!$EE$160:$GQ$219,$M$439+105)&gt;=PEND_TO,"",SMALL(Grids!$EE$160:$GQ$219,$M$439+105)),"")</f>
        <v/>
      </c>
      <c r="M546" s="35">
        <f>IF($L546="","",INT($L546/1000000000))</f>
        <v/>
      </c>
      <c r="N546" s="35">
        <f>IF($L546="","",INT(($L546-INT($L546/1000000)*1000000)/1000))</f>
        <v/>
      </c>
      <c r="O546" s="35">
        <f>IF($L546="","",$L546-INT($L546/1000)*1000)</f>
        <v/>
      </c>
      <c r="P546" s="35">
        <f>IF($L546="","",INT(($L546-INT($L546/1000000000)*1000000000)/100000000))</f>
        <v/>
      </c>
    </row>
    <row r="547">
      <c r="B547" s="39">
        <f>IF($L547="","",$M547)</f>
        <v/>
      </c>
      <c r="C547" s="18">
        <f>IF($L547="","",INDEX(HSCEI!$C$7:$C$66,$N547))</f>
        <v/>
      </c>
      <c r="D547" s="18">
        <f>IF($L547="","",INDEX(HSCEI!$D$7:$D$66,$N547))</f>
        <v/>
      </c>
      <c r="E547" s="40">
        <f>IF($L547="","",IF($P547=0,"TBA",IFERROR(INDEX(Grids!$C$160:$BO$219,$N547,$O547),"-")))</f>
        <v/>
      </c>
      <c r="F547" s="18">
        <f>IF($L547="","",INDEX(HSCEI!$F$7:$F$66,$N547))</f>
        <v/>
      </c>
      <c r="G547" s="40">
        <f>IF($L547="","",IF($P547=0,"TBA",IFERROR(INDEX(Grids!$BQ$160:$EC$219,$N547,$O547),"-")))</f>
        <v/>
      </c>
      <c r="H547" s="41">
        <f>IF($L547="","",SUM($G$442:$G547))</f>
        <v/>
      </c>
      <c r="I547" s="42">
        <f>IF($L547="","",IF(INT(($L547-INT($L547/10000000)*10000000)/1000000)=0,"Bloomberg projection",IF($P547=1,"ANNOUNCED","ANNOUNCED - amount TBA")))</f>
        <v/>
      </c>
      <c r="J547" s="43">
        <f>IF($L547="","",IF((OV_SWITCH="ON")*(COUNTIFS(OVR_TICKERS,INDEX(HSCEI!$C$7:$C$66,$N547),OVR_BASE,"&gt;=0")&gt;0)&gt;0,"stock overridden",""))</f>
        <v/>
      </c>
      <c r="L547" s="35">
        <f>IFERROR(IF(SMALL(Grids!$EE$160:$GQ$219,$M$439+106)&gt;=PEND_TO,"",SMALL(Grids!$EE$160:$GQ$219,$M$439+106)),"")</f>
        <v/>
      </c>
      <c r="M547" s="35">
        <f>IF($L547="","",INT($L547/1000000000))</f>
        <v/>
      </c>
      <c r="N547" s="35">
        <f>IF($L547="","",INT(($L547-INT($L547/1000000)*1000000)/1000))</f>
        <v/>
      </c>
      <c r="O547" s="35">
        <f>IF($L547="","",$L547-INT($L547/1000)*1000)</f>
        <v/>
      </c>
      <c r="P547" s="35">
        <f>IF($L547="","",INT(($L547-INT($L547/1000000000)*1000000000)/100000000))</f>
        <v/>
      </c>
    </row>
    <row r="548">
      <c r="B548" s="39">
        <f>IF($L548="","",$M548)</f>
        <v/>
      </c>
      <c r="C548" s="18">
        <f>IF($L548="","",INDEX(HSCEI!$C$7:$C$66,$N548))</f>
        <v/>
      </c>
      <c r="D548" s="18">
        <f>IF($L548="","",INDEX(HSCEI!$D$7:$D$66,$N548))</f>
        <v/>
      </c>
      <c r="E548" s="40">
        <f>IF($L548="","",IF($P548=0,"TBA",IFERROR(INDEX(Grids!$C$160:$BO$219,$N548,$O548),"-")))</f>
        <v/>
      </c>
      <c r="F548" s="18">
        <f>IF($L548="","",INDEX(HSCEI!$F$7:$F$66,$N548))</f>
        <v/>
      </c>
      <c r="G548" s="40">
        <f>IF($L548="","",IF($P548=0,"TBA",IFERROR(INDEX(Grids!$BQ$160:$EC$219,$N548,$O548),"-")))</f>
        <v/>
      </c>
      <c r="H548" s="41">
        <f>IF($L548="","",SUM($G$442:$G548))</f>
        <v/>
      </c>
      <c r="I548" s="42">
        <f>IF($L548="","",IF(INT(($L548-INT($L548/10000000)*10000000)/1000000)=0,"Bloomberg projection",IF($P548=1,"ANNOUNCED","ANNOUNCED - amount TBA")))</f>
        <v/>
      </c>
      <c r="J548" s="43">
        <f>IF($L548="","",IF((OV_SWITCH="ON")*(COUNTIFS(OVR_TICKERS,INDEX(HSCEI!$C$7:$C$66,$N548),OVR_BASE,"&gt;=0")&gt;0)&gt;0,"stock overridden",""))</f>
        <v/>
      </c>
      <c r="L548" s="35">
        <f>IFERROR(IF(SMALL(Grids!$EE$160:$GQ$219,$M$439+107)&gt;=PEND_TO,"",SMALL(Grids!$EE$160:$GQ$219,$M$439+107)),"")</f>
        <v/>
      </c>
      <c r="M548" s="35">
        <f>IF($L548="","",INT($L548/1000000000))</f>
        <v/>
      </c>
      <c r="N548" s="35">
        <f>IF($L548="","",INT(($L548-INT($L548/1000000)*1000000)/1000))</f>
        <v/>
      </c>
      <c r="O548" s="35">
        <f>IF($L548="","",$L548-INT($L548/1000)*1000)</f>
        <v/>
      </c>
      <c r="P548" s="35">
        <f>IF($L548="","",INT(($L548-INT($L548/1000000000)*1000000000)/100000000))</f>
        <v/>
      </c>
    </row>
    <row r="549">
      <c r="B549" s="39">
        <f>IF($L549="","",$M549)</f>
        <v/>
      </c>
      <c r="C549" s="18">
        <f>IF($L549="","",INDEX(HSCEI!$C$7:$C$66,$N549))</f>
        <v/>
      </c>
      <c r="D549" s="18">
        <f>IF($L549="","",INDEX(HSCEI!$D$7:$D$66,$N549))</f>
        <v/>
      </c>
      <c r="E549" s="40">
        <f>IF($L549="","",IF($P549=0,"TBA",IFERROR(INDEX(Grids!$C$160:$BO$219,$N549,$O549),"-")))</f>
        <v/>
      </c>
      <c r="F549" s="18">
        <f>IF($L549="","",INDEX(HSCEI!$F$7:$F$66,$N549))</f>
        <v/>
      </c>
      <c r="G549" s="40">
        <f>IF($L549="","",IF($P549=0,"TBA",IFERROR(INDEX(Grids!$BQ$160:$EC$219,$N549,$O549),"-")))</f>
        <v/>
      </c>
      <c r="H549" s="41">
        <f>IF($L549="","",SUM($G$442:$G549))</f>
        <v/>
      </c>
      <c r="I549" s="42">
        <f>IF($L549="","",IF(INT(($L549-INT($L549/10000000)*10000000)/1000000)=0,"Bloomberg projection",IF($P549=1,"ANNOUNCED","ANNOUNCED - amount TBA")))</f>
        <v/>
      </c>
      <c r="J549" s="43">
        <f>IF($L549="","",IF((OV_SWITCH="ON")*(COUNTIFS(OVR_TICKERS,INDEX(HSCEI!$C$7:$C$66,$N549),OVR_BASE,"&gt;=0")&gt;0)&gt;0,"stock overridden",""))</f>
        <v/>
      </c>
      <c r="L549" s="35">
        <f>IFERROR(IF(SMALL(Grids!$EE$160:$GQ$219,$M$439+108)&gt;=PEND_TO,"",SMALL(Grids!$EE$160:$GQ$219,$M$439+108)),"")</f>
        <v/>
      </c>
      <c r="M549" s="35">
        <f>IF($L549="","",INT($L549/1000000000))</f>
        <v/>
      </c>
      <c r="N549" s="35">
        <f>IF($L549="","",INT(($L549-INT($L549/1000000)*1000000)/1000))</f>
        <v/>
      </c>
      <c r="O549" s="35">
        <f>IF($L549="","",$L549-INT($L549/1000)*1000)</f>
        <v/>
      </c>
      <c r="P549" s="35">
        <f>IF($L549="","",INT(($L549-INT($L549/1000000000)*1000000000)/100000000))</f>
        <v/>
      </c>
    </row>
    <row r="550">
      <c r="B550" s="39">
        <f>IF($L550="","",$M550)</f>
        <v/>
      </c>
      <c r="C550" s="18">
        <f>IF($L550="","",INDEX(HSCEI!$C$7:$C$66,$N550))</f>
        <v/>
      </c>
      <c r="D550" s="18">
        <f>IF($L550="","",INDEX(HSCEI!$D$7:$D$66,$N550))</f>
        <v/>
      </c>
      <c r="E550" s="40">
        <f>IF($L550="","",IF($P550=0,"TBA",IFERROR(INDEX(Grids!$C$160:$BO$219,$N550,$O550),"-")))</f>
        <v/>
      </c>
      <c r="F550" s="18">
        <f>IF($L550="","",INDEX(HSCEI!$F$7:$F$66,$N550))</f>
        <v/>
      </c>
      <c r="G550" s="40">
        <f>IF($L550="","",IF($P550=0,"TBA",IFERROR(INDEX(Grids!$BQ$160:$EC$219,$N550,$O550),"-")))</f>
        <v/>
      </c>
      <c r="H550" s="41">
        <f>IF($L550="","",SUM($G$442:$G550))</f>
        <v/>
      </c>
      <c r="I550" s="42">
        <f>IF($L550="","",IF(INT(($L550-INT($L550/10000000)*10000000)/1000000)=0,"Bloomberg projection",IF($P550=1,"ANNOUNCED","ANNOUNCED - amount TBA")))</f>
        <v/>
      </c>
      <c r="J550" s="43">
        <f>IF($L550="","",IF((OV_SWITCH="ON")*(COUNTIFS(OVR_TICKERS,INDEX(HSCEI!$C$7:$C$66,$N550),OVR_BASE,"&gt;=0")&gt;0)&gt;0,"stock overridden",""))</f>
        <v/>
      </c>
      <c r="L550" s="35">
        <f>IFERROR(IF(SMALL(Grids!$EE$160:$GQ$219,$M$439+109)&gt;=PEND_TO,"",SMALL(Grids!$EE$160:$GQ$219,$M$439+109)),"")</f>
        <v/>
      </c>
      <c r="M550" s="35">
        <f>IF($L550="","",INT($L550/1000000000))</f>
        <v/>
      </c>
      <c r="N550" s="35">
        <f>IF($L550="","",INT(($L550-INT($L550/1000000)*1000000)/1000))</f>
        <v/>
      </c>
      <c r="O550" s="35">
        <f>IF($L550="","",$L550-INT($L550/1000)*1000)</f>
        <v/>
      </c>
      <c r="P550" s="35">
        <f>IF($L550="","",INT(($L550-INT($L550/1000000000)*1000000000)/100000000))</f>
        <v/>
      </c>
    </row>
    <row r="551">
      <c r="B551" s="39">
        <f>IF($L551="","",$M551)</f>
        <v/>
      </c>
      <c r="C551" s="18">
        <f>IF($L551="","",INDEX(HSCEI!$C$7:$C$66,$N551))</f>
        <v/>
      </c>
      <c r="D551" s="18">
        <f>IF($L551="","",INDEX(HSCEI!$D$7:$D$66,$N551))</f>
        <v/>
      </c>
      <c r="E551" s="40">
        <f>IF($L551="","",IF($P551=0,"TBA",IFERROR(INDEX(Grids!$C$160:$BO$219,$N551,$O551),"-")))</f>
        <v/>
      </c>
      <c r="F551" s="18">
        <f>IF($L551="","",INDEX(HSCEI!$F$7:$F$66,$N551))</f>
        <v/>
      </c>
      <c r="G551" s="40">
        <f>IF($L551="","",IF($P551=0,"TBA",IFERROR(INDEX(Grids!$BQ$160:$EC$219,$N551,$O551),"-")))</f>
        <v/>
      </c>
      <c r="H551" s="41">
        <f>IF($L551="","",SUM($G$442:$G551))</f>
        <v/>
      </c>
      <c r="I551" s="42">
        <f>IF($L551="","",IF(INT(($L551-INT($L551/10000000)*10000000)/1000000)=0,"Bloomberg projection",IF($P551=1,"ANNOUNCED","ANNOUNCED - amount TBA")))</f>
        <v/>
      </c>
      <c r="J551" s="43">
        <f>IF($L551="","",IF((OV_SWITCH="ON")*(COUNTIFS(OVR_TICKERS,INDEX(HSCEI!$C$7:$C$66,$N551),OVR_BASE,"&gt;=0")&gt;0)&gt;0,"stock overridden",""))</f>
        <v/>
      </c>
      <c r="L551" s="35">
        <f>IFERROR(IF(SMALL(Grids!$EE$160:$GQ$219,$M$439+110)&gt;=PEND_TO,"",SMALL(Grids!$EE$160:$GQ$219,$M$439+110)),"")</f>
        <v/>
      </c>
      <c r="M551" s="35">
        <f>IF($L551="","",INT($L551/1000000000))</f>
        <v/>
      </c>
      <c r="N551" s="35">
        <f>IF($L551="","",INT(($L551-INT($L551/1000000)*1000000)/1000))</f>
        <v/>
      </c>
      <c r="O551" s="35">
        <f>IF($L551="","",$L551-INT($L551/1000)*1000)</f>
        <v/>
      </c>
      <c r="P551" s="35">
        <f>IF($L551="","",INT(($L551-INT($L551/1000000000)*1000000000)/100000000))</f>
        <v/>
      </c>
    </row>
    <row r="552">
      <c r="B552" s="39">
        <f>IF($L552="","",$M552)</f>
        <v/>
      </c>
      <c r="C552" s="18">
        <f>IF($L552="","",INDEX(HSCEI!$C$7:$C$66,$N552))</f>
        <v/>
      </c>
      <c r="D552" s="18">
        <f>IF($L552="","",INDEX(HSCEI!$D$7:$D$66,$N552))</f>
        <v/>
      </c>
      <c r="E552" s="40">
        <f>IF($L552="","",IF($P552=0,"TBA",IFERROR(INDEX(Grids!$C$160:$BO$219,$N552,$O552),"-")))</f>
        <v/>
      </c>
      <c r="F552" s="18">
        <f>IF($L552="","",INDEX(HSCEI!$F$7:$F$66,$N552))</f>
        <v/>
      </c>
      <c r="G552" s="40">
        <f>IF($L552="","",IF($P552=0,"TBA",IFERROR(INDEX(Grids!$BQ$160:$EC$219,$N552,$O552),"-")))</f>
        <v/>
      </c>
      <c r="H552" s="41">
        <f>IF($L552="","",SUM($G$442:$G552))</f>
        <v/>
      </c>
      <c r="I552" s="42">
        <f>IF($L552="","",IF(INT(($L552-INT($L552/10000000)*10000000)/1000000)=0,"Bloomberg projection",IF($P552=1,"ANNOUNCED","ANNOUNCED - amount TBA")))</f>
        <v/>
      </c>
      <c r="J552" s="43">
        <f>IF($L552="","",IF((OV_SWITCH="ON")*(COUNTIFS(OVR_TICKERS,INDEX(HSCEI!$C$7:$C$66,$N552),OVR_BASE,"&gt;=0")&gt;0)&gt;0,"stock overridden",""))</f>
        <v/>
      </c>
      <c r="L552" s="35">
        <f>IFERROR(IF(SMALL(Grids!$EE$160:$GQ$219,$M$439+111)&gt;=PEND_TO,"",SMALL(Grids!$EE$160:$GQ$219,$M$439+111)),"")</f>
        <v/>
      </c>
      <c r="M552" s="35">
        <f>IF($L552="","",INT($L552/1000000000))</f>
        <v/>
      </c>
      <c r="N552" s="35">
        <f>IF($L552="","",INT(($L552-INT($L552/1000000)*1000000)/1000))</f>
        <v/>
      </c>
      <c r="O552" s="35">
        <f>IF($L552="","",$L552-INT($L552/1000)*1000)</f>
        <v/>
      </c>
      <c r="P552" s="35">
        <f>IF($L552="","",INT(($L552-INT($L552/1000000000)*1000000000)/100000000))</f>
        <v/>
      </c>
    </row>
    <row r="553">
      <c r="B553" s="39">
        <f>IF($L553="","",$M553)</f>
        <v/>
      </c>
      <c r="C553" s="18">
        <f>IF($L553="","",INDEX(HSCEI!$C$7:$C$66,$N553))</f>
        <v/>
      </c>
      <c r="D553" s="18">
        <f>IF($L553="","",INDEX(HSCEI!$D$7:$D$66,$N553))</f>
        <v/>
      </c>
      <c r="E553" s="40">
        <f>IF($L553="","",IF($P553=0,"TBA",IFERROR(INDEX(Grids!$C$160:$BO$219,$N553,$O553),"-")))</f>
        <v/>
      </c>
      <c r="F553" s="18">
        <f>IF($L553="","",INDEX(HSCEI!$F$7:$F$66,$N553))</f>
        <v/>
      </c>
      <c r="G553" s="40">
        <f>IF($L553="","",IF($P553=0,"TBA",IFERROR(INDEX(Grids!$BQ$160:$EC$219,$N553,$O553),"-")))</f>
        <v/>
      </c>
      <c r="H553" s="41">
        <f>IF($L553="","",SUM($G$442:$G553))</f>
        <v/>
      </c>
      <c r="I553" s="42">
        <f>IF($L553="","",IF(INT(($L553-INT($L553/10000000)*10000000)/1000000)=0,"Bloomberg projection",IF($P553=1,"ANNOUNCED","ANNOUNCED - amount TBA")))</f>
        <v/>
      </c>
      <c r="J553" s="43">
        <f>IF($L553="","",IF((OV_SWITCH="ON")*(COUNTIFS(OVR_TICKERS,INDEX(HSCEI!$C$7:$C$66,$N553),OVR_BASE,"&gt;=0")&gt;0)&gt;0,"stock overridden",""))</f>
        <v/>
      </c>
      <c r="L553" s="35">
        <f>IFERROR(IF(SMALL(Grids!$EE$160:$GQ$219,$M$439+112)&gt;=PEND_TO,"",SMALL(Grids!$EE$160:$GQ$219,$M$439+112)),"")</f>
        <v/>
      </c>
      <c r="M553" s="35">
        <f>IF($L553="","",INT($L553/1000000000))</f>
        <v/>
      </c>
      <c r="N553" s="35">
        <f>IF($L553="","",INT(($L553-INT($L553/1000000)*1000000)/1000))</f>
        <v/>
      </c>
      <c r="O553" s="35">
        <f>IF($L553="","",$L553-INT($L553/1000)*1000)</f>
        <v/>
      </c>
      <c r="P553" s="35">
        <f>IF($L553="","",INT(($L553-INT($L553/1000000000)*1000000000)/100000000))</f>
        <v/>
      </c>
    </row>
    <row r="554">
      <c r="B554" s="39">
        <f>IF($L554="","",$M554)</f>
        <v/>
      </c>
      <c r="C554" s="18">
        <f>IF($L554="","",INDEX(HSCEI!$C$7:$C$66,$N554))</f>
        <v/>
      </c>
      <c r="D554" s="18">
        <f>IF($L554="","",INDEX(HSCEI!$D$7:$D$66,$N554))</f>
        <v/>
      </c>
      <c r="E554" s="40">
        <f>IF($L554="","",IF($P554=0,"TBA",IFERROR(INDEX(Grids!$C$160:$BO$219,$N554,$O554),"-")))</f>
        <v/>
      </c>
      <c r="F554" s="18">
        <f>IF($L554="","",INDEX(HSCEI!$F$7:$F$66,$N554))</f>
        <v/>
      </c>
      <c r="G554" s="40">
        <f>IF($L554="","",IF($P554=0,"TBA",IFERROR(INDEX(Grids!$BQ$160:$EC$219,$N554,$O554),"-")))</f>
        <v/>
      </c>
      <c r="H554" s="41">
        <f>IF($L554="","",SUM($G$442:$G554))</f>
        <v/>
      </c>
      <c r="I554" s="42">
        <f>IF($L554="","",IF(INT(($L554-INT($L554/10000000)*10000000)/1000000)=0,"Bloomberg projection",IF($P554=1,"ANNOUNCED","ANNOUNCED - amount TBA")))</f>
        <v/>
      </c>
      <c r="J554" s="43">
        <f>IF($L554="","",IF((OV_SWITCH="ON")*(COUNTIFS(OVR_TICKERS,INDEX(HSCEI!$C$7:$C$66,$N554),OVR_BASE,"&gt;=0")&gt;0)&gt;0,"stock overridden",""))</f>
        <v/>
      </c>
      <c r="L554" s="35">
        <f>IFERROR(IF(SMALL(Grids!$EE$160:$GQ$219,$M$439+113)&gt;=PEND_TO,"",SMALL(Grids!$EE$160:$GQ$219,$M$439+113)),"")</f>
        <v/>
      </c>
      <c r="M554" s="35">
        <f>IF($L554="","",INT($L554/1000000000))</f>
        <v/>
      </c>
      <c r="N554" s="35">
        <f>IF($L554="","",INT(($L554-INT($L554/1000000)*1000000)/1000))</f>
        <v/>
      </c>
      <c r="O554" s="35">
        <f>IF($L554="","",$L554-INT($L554/1000)*1000)</f>
        <v/>
      </c>
      <c r="P554" s="35">
        <f>IF($L554="","",INT(($L554-INT($L554/1000000000)*1000000000)/100000000))</f>
        <v/>
      </c>
    </row>
    <row r="555">
      <c r="B555" s="39">
        <f>IF($L555="","",$M555)</f>
        <v/>
      </c>
      <c r="C555" s="18">
        <f>IF($L555="","",INDEX(HSCEI!$C$7:$C$66,$N555))</f>
        <v/>
      </c>
      <c r="D555" s="18">
        <f>IF($L555="","",INDEX(HSCEI!$D$7:$D$66,$N555))</f>
        <v/>
      </c>
      <c r="E555" s="40">
        <f>IF($L555="","",IF($P555=0,"TBA",IFERROR(INDEX(Grids!$C$160:$BO$219,$N555,$O555),"-")))</f>
        <v/>
      </c>
      <c r="F555" s="18">
        <f>IF($L555="","",INDEX(HSCEI!$F$7:$F$66,$N555))</f>
        <v/>
      </c>
      <c r="G555" s="40">
        <f>IF($L555="","",IF($P555=0,"TBA",IFERROR(INDEX(Grids!$BQ$160:$EC$219,$N555,$O555),"-")))</f>
        <v/>
      </c>
      <c r="H555" s="41">
        <f>IF($L555="","",SUM($G$442:$G555))</f>
        <v/>
      </c>
      <c r="I555" s="42">
        <f>IF($L555="","",IF(INT(($L555-INT($L555/10000000)*10000000)/1000000)=0,"Bloomberg projection",IF($P555=1,"ANNOUNCED","ANNOUNCED - amount TBA")))</f>
        <v/>
      </c>
      <c r="J555" s="43">
        <f>IF($L555="","",IF((OV_SWITCH="ON")*(COUNTIFS(OVR_TICKERS,INDEX(HSCEI!$C$7:$C$66,$N555),OVR_BASE,"&gt;=0")&gt;0)&gt;0,"stock overridden",""))</f>
        <v/>
      </c>
      <c r="L555" s="35">
        <f>IFERROR(IF(SMALL(Grids!$EE$160:$GQ$219,$M$439+114)&gt;=PEND_TO,"",SMALL(Grids!$EE$160:$GQ$219,$M$439+114)),"")</f>
        <v/>
      </c>
      <c r="M555" s="35">
        <f>IF($L555="","",INT($L555/1000000000))</f>
        <v/>
      </c>
      <c r="N555" s="35">
        <f>IF($L555="","",INT(($L555-INT($L555/1000000)*1000000)/1000))</f>
        <v/>
      </c>
      <c r="O555" s="35">
        <f>IF($L555="","",$L555-INT($L555/1000)*1000)</f>
        <v/>
      </c>
      <c r="P555" s="35">
        <f>IF($L555="","",INT(($L555-INT($L555/1000000000)*1000000000)/100000000))</f>
        <v/>
      </c>
    </row>
    <row r="556">
      <c r="B556" s="39">
        <f>IF($L556="","",$M556)</f>
        <v/>
      </c>
      <c r="C556" s="18">
        <f>IF($L556="","",INDEX(HSCEI!$C$7:$C$66,$N556))</f>
        <v/>
      </c>
      <c r="D556" s="18">
        <f>IF($L556="","",INDEX(HSCEI!$D$7:$D$66,$N556))</f>
        <v/>
      </c>
      <c r="E556" s="40">
        <f>IF($L556="","",IF($P556=0,"TBA",IFERROR(INDEX(Grids!$C$160:$BO$219,$N556,$O556),"-")))</f>
        <v/>
      </c>
      <c r="F556" s="18">
        <f>IF($L556="","",INDEX(HSCEI!$F$7:$F$66,$N556))</f>
        <v/>
      </c>
      <c r="G556" s="40">
        <f>IF($L556="","",IF($P556=0,"TBA",IFERROR(INDEX(Grids!$BQ$160:$EC$219,$N556,$O556),"-")))</f>
        <v/>
      </c>
      <c r="H556" s="41">
        <f>IF($L556="","",SUM($G$442:$G556))</f>
        <v/>
      </c>
      <c r="I556" s="42">
        <f>IF($L556="","",IF(INT(($L556-INT($L556/10000000)*10000000)/1000000)=0,"Bloomberg projection",IF($P556=1,"ANNOUNCED","ANNOUNCED - amount TBA")))</f>
        <v/>
      </c>
      <c r="J556" s="43">
        <f>IF($L556="","",IF((OV_SWITCH="ON")*(COUNTIFS(OVR_TICKERS,INDEX(HSCEI!$C$7:$C$66,$N556),OVR_BASE,"&gt;=0")&gt;0)&gt;0,"stock overridden",""))</f>
        <v/>
      </c>
      <c r="L556" s="35">
        <f>IFERROR(IF(SMALL(Grids!$EE$160:$GQ$219,$M$439+115)&gt;=PEND_TO,"",SMALL(Grids!$EE$160:$GQ$219,$M$439+115)),"")</f>
        <v/>
      </c>
      <c r="M556" s="35">
        <f>IF($L556="","",INT($L556/1000000000))</f>
        <v/>
      </c>
      <c r="N556" s="35">
        <f>IF($L556="","",INT(($L556-INT($L556/1000000)*1000000)/1000))</f>
        <v/>
      </c>
      <c r="O556" s="35">
        <f>IF($L556="","",$L556-INT($L556/1000)*1000)</f>
        <v/>
      </c>
      <c r="P556" s="35">
        <f>IF($L556="","",INT(($L556-INT($L556/1000000000)*1000000000)/100000000))</f>
        <v/>
      </c>
    </row>
    <row r="557">
      <c r="B557" s="39">
        <f>IF($L557="","",$M557)</f>
        <v/>
      </c>
      <c r="C557" s="18">
        <f>IF($L557="","",INDEX(HSCEI!$C$7:$C$66,$N557))</f>
        <v/>
      </c>
      <c r="D557" s="18">
        <f>IF($L557="","",INDEX(HSCEI!$D$7:$D$66,$N557))</f>
        <v/>
      </c>
      <c r="E557" s="40">
        <f>IF($L557="","",IF($P557=0,"TBA",IFERROR(INDEX(Grids!$C$160:$BO$219,$N557,$O557),"-")))</f>
        <v/>
      </c>
      <c r="F557" s="18">
        <f>IF($L557="","",INDEX(HSCEI!$F$7:$F$66,$N557))</f>
        <v/>
      </c>
      <c r="G557" s="40">
        <f>IF($L557="","",IF($P557=0,"TBA",IFERROR(INDEX(Grids!$BQ$160:$EC$219,$N557,$O557),"-")))</f>
        <v/>
      </c>
      <c r="H557" s="41">
        <f>IF($L557="","",SUM($G$442:$G557))</f>
        <v/>
      </c>
      <c r="I557" s="42">
        <f>IF($L557="","",IF(INT(($L557-INT($L557/10000000)*10000000)/1000000)=0,"Bloomberg projection",IF($P557=1,"ANNOUNCED","ANNOUNCED - amount TBA")))</f>
        <v/>
      </c>
      <c r="J557" s="43">
        <f>IF($L557="","",IF((OV_SWITCH="ON")*(COUNTIFS(OVR_TICKERS,INDEX(HSCEI!$C$7:$C$66,$N557),OVR_BASE,"&gt;=0")&gt;0)&gt;0,"stock overridden",""))</f>
        <v/>
      </c>
      <c r="L557" s="35">
        <f>IFERROR(IF(SMALL(Grids!$EE$160:$GQ$219,$M$439+116)&gt;=PEND_TO,"",SMALL(Grids!$EE$160:$GQ$219,$M$439+116)),"")</f>
        <v/>
      </c>
      <c r="M557" s="35">
        <f>IF($L557="","",INT($L557/1000000000))</f>
        <v/>
      </c>
      <c r="N557" s="35">
        <f>IF($L557="","",INT(($L557-INT($L557/1000000)*1000000)/1000))</f>
        <v/>
      </c>
      <c r="O557" s="35">
        <f>IF($L557="","",$L557-INT($L557/1000)*1000)</f>
        <v/>
      </c>
      <c r="P557" s="35">
        <f>IF($L557="","",INT(($L557-INT($L557/1000000000)*1000000000)/100000000))</f>
        <v/>
      </c>
    </row>
    <row r="558">
      <c r="B558" s="39">
        <f>IF($L558="","",$M558)</f>
        <v/>
      </c>
      <c r="C558" s="18">
        <f>IF($L558="","",INDEX(HSCEI!$C$7:$C$66,$N558))</f>
        <v/>
      </c>
      <c r="D558" s="18">
        <f>IF($L558="","",INDEX(HSCEI!$D$7:$D$66,$N558))</f>
        <v/>
      </c>
      <c r="E558" s="40">
        <f>IF($L558="","",IF($P558=0,"TBA",IFERROR(INDEX(Grids!$C$160:$BO$219,$N558,$O558),"-")))</f>
        <v/>
      </c>
      <c r="F558" s="18">
        <f>IF($L558="","",INDEX(HSCEI!$F$7:$F$66,$N558))</f>
        <v/>
      </c>
      <c r="G558" s="40">
        <f>IF($L558="","",IF($P558=0,"TBA",IFERROR(INDEX(Grids!$BQ$160:$EC$219,$N558,$O558),"-")))</f>
        <v/>
      </c>
      <c r="H558" s="41">
        <f>IF($L558="","",SUM($G$442:$G558))</f>
        <v/>
      </c>
      <c r="I558" s="42">
        <f>IF($L558="","",IF(INT(($L558-INT($L558/10000000)*10000000)/1000000)=0,"Bloomberg projection",IF($P558=1,"ANNOUNCED","ANNOUNCED - amount TBA")))</f>
        <v/>
      </c>
      <c r="J558" s="43">
        <f>IF($L558="","",IF((OV_SWITCH="ON")*(COUNTIFS(OVR_TICKERS,INDEX(HSCEI!$C$7:$C$66,$N558),OVR_BASE,"&gt;=0")&gt;0)&gt;0,"stock overridden",""))</f>
        <v/>
      </c>
      <c r="L558" s="35">
        <f>IFERROR(IF(SMALL(Grids!$EE$160:$GQ$219,$M$439+117)&gt;=PEND_TO,"",SMALL(Grids!$EE$160:$GQ$219,$M$439+117)),"")</f>
        <v/>
      </c>
      <c r="M558" s="35">
        <f>IF($L558="","",INT($L558/1000000000))</f>
        <v/>
      </c>
      <c r="N558" s="35">
        <f>IF($L558="","",INT(($L558-INT($L558/1000000)*1000000)/1000))</f>
        <v/>
      </c>
      <c r="O558" s="35">
        <f>IF($L558="","",$L558-INT($L558/1000)*1000)</f>
        <v/>
      </c>
      <c r="P558" s="35">
        <f>IF($L558="","",INT(($L558-INT($L558/1000000000)*1000000000)/100000000))</f>
        <v/>
      </c>
    </row>
    <row r="559">
      <c r="B559" s="39">
        <f>IF($L559="","",$M559)</f>
        <v/>
      </c>
      <c r="C559" s="18">
        <f>IF($L559="","",INDEX(HSCEI!$C$7:$C$66,$N559))</f>
        <v/>
      </c>
      <c r="D559" s="18">
        <f>IF($L559="","",INDEX(HSCEI!$D$7:$D$66,$N559))</f>
        <v/>
      </c>
      <c r="E559" s="40">
        <f>IF($L559="","",IF($P559=0,"TBA",IFERROR(INDEX(Grids!$C$160:$BO$219,$N559,$O559),"-")))</f>
        <v/>
      </c>
      <c r="F559" s="18">
        <f>IF($L559="","",INDEX(HSCEI!$F$7:$F$66,$N559))</f>
        <v/>
      </c>
      <c r="G559" s="40">
        <f>IF($L559="","",IF($P559=0,"TBA",IFERROR(INDEX(Grids!$BQ$160:$EC$219,$N559,$O559),"-")))</f>
        <v/>
      </c>
      <c r="H559" s="41">
        <f>IF($L559="","",SUM($G$442:$G559))</f>
        <v/>
      </c>
      <c r="I559" s="42">
        <f>IF($L559="","",IF(INT(($L559-INT($L559/10000000)*10000000)/1000000)=0,"Bloomberg projection",IF($P559=1,"ANNOUNCED","ANNOUNCED - amount TBA")))</f>
        <v/>
      </c>
      <c r="J559" s="43">
        <f>IF($L559="","",IF((OV_SWITCH="ON")*(COUNTIFS(OVR_TICKERS,INDEX(HSCEI!$C$7:$C$66,$N559),OVR_BASE,"&gt;=0")&gt;0)&gt;0,"stock overridden",""))</f>
        <v/>
      </c>
      <c r="L559" s="35">
        <f>IFERROR(IF(SMALL(Grids!$EE$160:$GQ$219,$M$439+118)&gt;=PEND_TO,"",SMALL(Grids!$EE$160:$GQ$219,$M$439+118)),"")</f>
        <v/>
      </c>
      <c r="M559" s="35">
        <f>IF($L559="","",INT($L559/1000000000))</f>
        <v/>
      </c>
      <c r="N559" s="35">
        <f>IF($L559="","",INT(($L559-INT($L559/1000000)*1000000)/1000))</f>
        <v/>
      </c>
      <c r="O559" s="35">
        <f>IF($L559="","",$L559-INT($L559/1000)*1000)</f>
        <v/>
      </c>
      <c r="P559" s="35">
        <f>IF($L559="","",INT(($L559-INT($L559/1000000000)*1000000000)/100000000))</f>
        <v/>
      </c>
    </row>
    <row r="560">
      <c r="B560" s="39">
        <f>IF($L560="","",$M560)</f>
        <v/>
      </c>
      <c r="C560" s="18">
        <f>IF($L560="","",INDEX(HSCEI!$C$7:$C$66,$N560))</f>
        <v/>
      </c>
      <c r="D560" s="18">
        <f>IF($L560="","",INDEX(HSCEI!$D$7:$D$66,$N560))</f>
        <v/>
      </c>
      <c r="E560" s="40">
        <f>IF($L560="","",IF($P560=0,"TBA",IFERROR(INDEX(Grids!$C$160:$BO$219,$N560,$O560),"-")))</f>
        <v/>
      </c>
      <c r="F560" s="18">
        <f>IF($L560="","",INDEX(HSCEI!$F$7:$F$66,$N560))</f>
        <v/>
      </c>
      <c r="G560" s="40">
        <f>IF($L560="","",IF($P560=0,"TBA",IFERROR(INDEX(Grids!$BQ$160:$EC$219,$N560,$O560),"-")))</f>
        <v/>
      </c>
      <c r="H560" s="41">
        <f>IF($L560="","",SUM($G$442:$G560))</f>
        <v/>
      </c>
      <c r="I560" s="42">
        <f>IF($L560="","",IF(INT(($L560-INT($L560/10000000)*10000000)/1000000)=0,"Bloomberg projection",IF($P560=1,"ANNOUNCED","ANNOUNCED - amount TBA")))</f>
        <v/>
      </c>
      <c r="J560" s="43">
        <f>IF($L560="","",IF((OV_SWITCH="ON")*(COUNTIFS(OVR_TICKERS,INDEX(HSCEI!$C$7:$C$66,$N560),OVR_BASE,"&gt;=0")&gt;0)&gt;0,"stock overridden",""))</f>
        <v/>
      </c>
      <c r="L560" s="35">
        <f>IFERROR(IF(SMALL(Grids!$EE$160:$GQ$219,$M$439+119)&gt;=PEND_TO,"",SMALL(Grids!$EE$160:$GQ$219,$M$439+119)),"")</f>
        <v/>
      </c>
      <c r="M560" s="35">
        <f>IF($L560="","",INT($L560/1000000000))</f>
        <v/>
      </c>
      <c r="N560" s="35">
        <f>IF($L560="","",INT(($L560-INT($L560/1000000)*1000000)/1000))</f>
        <v/>
      </c>
      <c r="O560" s="35">
        <f>IF($L560="","",$L560-INT($L560/1000)*1000)</f>
        <v/>
      </c>
      <c r="P560" s="35">
        <f>IF($L560="","",INT(($L560-INT($L560/1000000000)*1000000000)/100000000))</f>
        <v/>
      </c>
    </row>
    <row r="561">
      <c r="B561" s="39">
        <f>IF($L561="","",$M561)</f>
        <v/>
      </c>
      <c r="C561" s="18">
        <f>IF($L561="","",INDEX(HSCEI!$C$7:$C$66,$N561))</f>
        <v/>
      </c>
      <c r="D561" s="18">
        <f>IF($L561="","",INDEX(HSCEI!$D$7:$D$66,$N561))</f>
        <v/>
      </c>
      <c r="E561" s="40">
        <f>IF($L561="","",IF($P561=0,"TBA",IFERROR(INDEX(Grids!$C$160:$BO$219,$N561,$O561),"-")))</f>
        <v/>
      </c>
      <c r="F561" s="18">
        <f>IF($L561="","",INDEX(HSCEI!$F$7:$F$66,$N561))</f>
        <v/>
      </c>
      <c r="G561" s="40">
        <f>IF($L561="","",IF($P561=0,"TBA",IFERROR(INDEX(Grids!$BQ$160:$EC$219,$N561,$O561),"-")))</f>
        <v/>
      </c>
      <c r="H561" s="41">
        <f>IF($L561="","",SUM($G$442:$G561))</f>
        <v/>
      </c>
      <c r="I561" s="42">
        <f>IF($L561="","",IF(INT(($L561-INT($L561/10000000)*10000000)/1000000)=0,"Bloomberg projection",IF($P561=1,"ANNOUNCED","ANNOUNCED - amount TBA")))</f>
        <v/>
      </c>
      <c r="J561" s="43">
        <f>IF($L561="","",IF((OV_SWITCH="ON")*(COUNTIFS(OVR_TICKERS,INDEX(HSCEI!$C$7:$C$66,$N561),OVR_BASE,"&gt;=0")&gt;0)&gt;0,"stock overridden",""))</f>
        <v/>
      </c>
      <c r="L561" s="35">
        <f>IFERROR(IF(SMALL(Grids!$EE$160:$GQ$219,$M$439+120)&gt;=PEND_TO,"",SMALL(Grids!$EE$160:$GQ$219,$M$439+120)),"")</f>
        <v/>
      </c>
      <c r="M561" s="35">
        <f>IF($L561="","",INT($L561/1000000000))</f>
        <v/>
      </c>
      <c r="N561" s="35">
        <f>IF($L561="","",INT(($L561-INT($L561/1000000)*1000000)/1000))</f>
        <v/>
      </c>
      <c r="O561" s="35">
        <f>IF($L561="","",$L561-INT($L561/1000)*1000)</f>
        <v/>
      </c>
      <c r="P561" s="35">
        <f>IF($L561="","",INT(($L561-INT($L561/1000000000)*1000000000)/100000000))</f>
        <v/>
      </c>
    </row>
    <row r="562">
      <c r="B562" s="39">
        <f>IF($L562="","",$M562)</f>
        <v/>
      </c>
      <c r="C562" s="18">
        <f>IF($L562="","",INDEX(HSCEI!$C$7:$C$66,$N562))</f>
        <v/>
      </c>
      <c r="D562" s="18">
        <f>IF($L562="","",INDEX(HSCEI!$D$7:$D$66,$N562))</f>
        <v/>
      </c>
      <c r="E562" s="40">
        <f>IF($L562="","",IF($P562=0,"TBA",IFERROR(INDEX(Grids!$C$160:$BO$219,$N562,$O562),"-")))</f>
        <v/>
      </c>
      <c r="F562" s="18">
        <f>IF($L562="","",INDEX(HSCEI!$F$7:$F$66,$N562))</f>
        <v/>
      </c>
      <c r="G562" s="40">
        <f>IF($L562="","",IF($P562=0,"TBA",IFERROR(INDEX(Grids!$BQ$160:$EC$219,$N562,$O562),"-")))</f>
        <v/>
      </c>
      <c r="H562" s="41">
        <f>IF($L562="","",SUM($G$442:$G562))</f>
        <v/>
      </c>
      <c r="I562" s="42">
        <f>IF($L562="","",IF(INT(($L562-INT($L562/10000000)*10000000)/1000000)=0,"Bloomberg projection",IF($P562=1,"ANNOUNCED","ANNOUNCED - amount TBA")))</f>
        <v/>
      </c>
      <c r="J562" s="43">
        <f>IF($L562="","",IF((OV_SWITCH="ON")*(COUNTIFS(OVR_TICKERS,INDEX(HSCEI!$C$7:$C$66,$N562),OVR_BASE,"&gt;=0")&gt;0)&gt;0,"stock overridden",""))</f>
        <v/>
      </c>
      <c r="L562" s="35">
        <f>IFERROR(IF(SMALL(Grids!$EE$160:$GQ$219,$M$439+121)&gt;=PEND_TO,"",SMALL(Grids!$EE$160:$GQ$219,$M$439+121)),"")</f>
        <v/>
      </c>
      <c r="M562" s="35">
        <f>IF($L562="","",INT($L562/1000000000))</f>
        <v/>
      </c>
      <c r="N562" s="35">
        <f>IF($L562="","",INT(($L562-INT($L562/1000000)*1000000)/1000))</f>
        <v/>
      </c>
      <c r="O562" s="35">
        <f>IF($L562="","",$L562-INT($L562/1000)*1000)</f>
        <v/>
      </c>
      <c r="P562" s="35">
        <f>IF($L562="","",INT(($L562-INT($L562/1000000000)*1000000000)/100000000))</f>
        <v/>
      </c>
    </row>
    <row r="563">
      <c r="B563" s="39">
        <f>IF($L563="","",$M563)</f>
        <v/>
      </c>
      <c r="C563" s="18">
        <f>IF($L563="","",INDEX(HSCEI!$C$7:$C$66,$N563))</f>
        <v/>
      </c>
      <c r="D563" s="18">
        <f>IF($L563="","",INDEX(HSCEI!$D$7:$D$66,$N563))</f>
        <v/>
      </c>
      <c r="E563" s="40">
        <f>IF($L563="","",IF($P563=0,"TBA",IFERROR(INDEX(Grids!$C$160:$BO$219,$N563,$O563),"-")))</f>
        <v/>
      </c>
      <c r="F563" s="18">
        <f>IF($L563="","",INDEX(HSCEI!$F$7:$F$66,$N563))</f>
        <v/>
      </c>
      <c r="G563" s="40">
        <f>IF($L563="","",IF($P563=0,"TBA",IFERROR(INDEX(Grids!$BQ$160:$EC$219,$N563,$O563),"-")))</f>
        <v/>
      </c>
      <c r="H563" s="41">
        <f>IF($L563="","",SUM($G$442:$G563))</f>
        <v/>
      </c>
      <c r="I563" s="42">
        <f>IF($L563="","",IF(INT(($L563-INT($L563/10000000)*10000000)/1000000)=0,"Bloomberg projection",IF($P563=1,"ANNOUNCED","ANNOUNCED - amount TBA")))</f>
        <v/>
      </c>
      <c r="J563" s="43">
        <f>IF($L563="","",IF((OV_SWITCH="ON")*(COUNTIFS(OVR_TICKERS,INDEX(HSCEI!$C$7:$C$66,$N563),OVR_BASE,"&gt;=0")&gt;0)&gt;0,"stock overridden",""))</f>
        <v/>
      </c>
      <c r="L563" s="35">
        <f>IFERROR(IF(SMALL(Grids!$EE$160:$GQ$219,$M$439+122)&gt;=PEND_TO,"",SMALL(Grids!$EE$160:$GQ$219,$M$439+122)),"")</f>
        <v/>
      </c>
      <c r="M563" s="35">
        <f>IF($L563="","",INT($L563/1000000000))</f>
        <v/>
      </c>
      <c r="N563" s="35">
        <f>IF($L563="","",INT(($L563-INT($L563/1000000)*1000000)/1000))</f>
        <v/>
      </c>
      <c r="O563" s="35">
        <f>IF($L563="","",$L563-INT($L563/1000)*1000)</f>
        <v/>
      </c>
      <c r="P563" s="35">
        <f>IF($L563="","",INT(($L563-INT($L563/1000000000)*1000000000)/100000000))</f>
        <v/>
      </c>
    </row>
    <row r="564">
      <c r="B564" s="39">
        <f>IF($L564="","",$M564)</f>
        <v/>
      </c>
      <c r="C564" s="18">
        <f>IF($L564="","",INDEX(HSCEI!$C$7:$C$66,$N564))</f>
        <v/>
      </c>
      <c r="D564" s="18">
        <f>IF($L564="","",INDEX(HSCEI!$D$7:$D$66,$N564))</f>
        <v/>
      </c>
      <c r="E564" s="40">
        <f>IF($L564="","",IF($P564=0,"TBA",IFERROR(INDEX(Grids!$C$160:$BO$219,$N564,$O564),"-")))</f>
        <v/>
      </c>
      <c r="F564" s="18">
        <f>IF($L564="","",INDEX(HSCEI!$F$7:$F$66,$N564))</f>
        <v/>
      </c>
      <c r="G564" s="40">
        <f>IF($L564="","",IF($P564=0,"TBA",IFERROR(INDEX(Grids!$BQ$160:$EC$219,$N564,$O564),"-")))</f>
        <v/>
      </c>
      <c r="H564" s="41">
        <f>IF($L564="","",SUM($G$442:$G564))</f>
        <v/>
      </c>
      <c r="I564" s="42">
        <f>IF($L564="","",IF(INT(($L564-INT($L564/10000000)*10000000)/1000000)=0,"Bloomberg projection",IF($P564=1,"ANNOUNCED","ANNOUNCED - amount TBA")))</f>
        <v/>
      </c>
      <c r="J564" s="43">
        <f>IF($L564="","",IF((OV_SWITCH="ON")*(COUNTIFS(OVR_TICKERS,INDEX(HSCEI!$C$7:$C$66,$N564),OVR_BASE,"&gt;=0")&gt;0)&gt;0,"stock overridden",""))</f>
        <v/>
      </c>
      <c r="L564" s="35">
        <f>IFERROR(IF(SMALL(Grids!$EE$160:$GQ$219,$M$439+123)&gt;=PEND_TO,"",SMALL(Grids!$EE$160:$GQ$219,$M$439+123)),"")</f>
        <v/>
      </c>
      <c r="M564" s="35">
        <f>IF($L564="","",INT($L564/1000000000))</f>
        <v/>
      </c>
      <c r="N564" s="35">
        <f>IF($L564="","",INT(($L564-INT($L564/1000000)*1000000)/1000))</f>
        <v/>
      </c>
      <c r="O564" s="35">
        <f>IF($L564="","",$L564-INT($L564/1000)*1000)</f>
        <v/>
      </c>
      <c r="P564" s="35">
        <f>IF($L564="","",INT(($L564-INT($L564/1000000000)*1000000000)/100000000))</f>
        <v/>
      </c>
    </row>
    <row r="565">
      <c r="B565" s="39">
        <f>IF($L565="","",$M565)</f>
        <v/>
      </c>
      <c r="C565" s="18">
        <f>IF($L565="","",INDEX(HSCEI!$C$7:$C$66,$N565))</f>
        <v/>
      </c>
      <c r="D565" s="18">
        <f>IF($L565="","",INDEX(HSCEI!$D$7:$D$66,$N565))</f>
        <v/>
      </c>
      <c r="E565" s="40">
        <f>IF($L565="","",IF($P565=0,"TBA",IFERROR(INDEX(Grids!$C$160:$BO$219,$N565,$O565),"-")))</f>
        <v/>
      </c>
      <c r="F565" s="18">
        <f>IF($L565="","",INDEX(HSCEI!$F$7:$F$66,$N565))</f>
        <v/>
      </c>
      <c r="G565" s="40">
        <f>IF($L565="","",IF($P565=0,"TBA",IFERROR(INDEX(Grids!$BQ$160:$EC$219,$N565,$O565),"-")))</f>
        <v/>
      </c>
      <c r="H565" s="41">
        <f>IF($L565="","",SUM($G$442:$G565))</f>
        <v/>
      </c>
      <c r="I565" s="42">
        <f>IF($L565="","",IF(INT(($L565-INT($L565/10000000)*10000000)/1000000)=0,"Bloomberg projection",IF($P565=1,"ANNOUNCED","ANNOUNCED - amount TBA")))</f>
        <v/>
      </c>
      <c r="J565" s="43">
        <f>IF($L565="","",IF((OV_SWITCH="ON")*(COUNTIFS(OVR_TICKERS,INDEX(HSCEI!$C$7:$C$66,$N565),OVR_BASE,"&gt;=0")&gt;0)&gt;0,"stock overridden",""))</f>
        <v/>
      </c>
      <c r="L565" s="35">
        <f>IFERROR(IF(SMALL(Grids!$EE$160:$GQ$219,$M$439+124)&gt;=PEND_TO,"",SMALL(Grids!$EE$160:$GQ$219,$M$439+124)),"")</f>
        <v/>
      </c>
      <c r="M565" s="35">
        <f>IF($L565="","",INT($L565/1000000000))</f>
        <v/>
      </c>
      <c r="N565" s="35">
        <f>IF($L565="","",INT(($L565-INT($L565/1000000)*1000000)/1000))</f>
        <v/>
      </c>
      <c r="O565" s="35">
        <f>IF($L565="","",$L565-INT($L565/1000)*1000)</f>
        <v/>
      </c>
      <c r="P565" s="35">
        <f>IF($L565="","",INT(($L565-INT($L565/1000000000)*1000000000)/100000000))</f>
        <v/>
      </c>
    </row>
    <row r="566">
      <c r="B566" s="39">
        <f>IF($L566="","",$M566)</f>
        <v/>
      </c>
      <c r="C566" s="18">
        <f>IF($L566="","",INDEX(HSCEI!$C$7:$C$66,$N566))</f>
        <v/>
      </c>
      <c r="D566" s="18">
        <f>IF($L566="","",INDEX(HSCEI!$D$7:$D$66,$N566))</f>
        <v/>
      </c>
      <c r="E566" s="40">
        <f>IF($L566="","",IF($P566=0,"TBA",IFERROR(INDEX(Grids!$C$160:$BO$219,$N566,$O566),"-")))</f>
        <v/>
      </c>
      <c r="F566" s="18">
        <f>IF($L566="","",INDEX(HSCEI!$F$7:$F$66,$N566))</f>
        <v/>
      </c>
      <c r="G566" s="40">
        <f>IF($L566="","",IF($P566=0,"TBA",IFERROR(INDEX(Grids!$BQ$160:$EC$219,$N566,$O566),"-")))</f>
        <v/>
      </c>
      <c r="H566" s="41">
        <f>IF($L566="","",SUM($G$442:$G566))</f>
        <v/>
      </c>
      <c r="I566" s="42">
        <f>IF($L566="","",IF(INT(($L566-INT($L566/10000000)*10000000)/1000000)=0,"Bloomberg projection",IF($P566=1,"ANNOUNCED","ANNOUNCED - amount TBA")))</f>
        <v/>
      </c>
      <c r="J566" s="43">
        <f>IF($L566="","",IF((OV_SWITCH="ON")*(COUNTIFS(OVR_TICKERS,INDEX(HSCEI!$C$7:$C$66,$N566),OVR_BASE,"&gt;=0")&gt;0)&gt;0,"stock overridden",""))</f>
        <v/>
      </c>
      <c r="L566" s="35">
        <f>IFERROR(IF(SMALL(Grids!$EE$160:$GQ$219,$M$439+125)&gt;=PEND_TO,"",SMALL(Grids!$EE$160:$GQ$219,$M$439+125)),"")</f>
        <v/>
      </c>
      <c r="M566" s="35">
        <f>IF($L566="","",INT($L566/1000000000))</f>
        <v/>
      </c>
      <c r="N566" s="35">
        <f>IF($L566="","",INT(($L566-INT($L566/1000000)*1000000)/1000))</f>
        <v/>
      </c>
      <c r="O566" s="35">
        <f>IF($L566="","",$L566-INT($L566/1000)*1000)</f>
        <v/>
      </c>
      <c r="P566" s="35">
        <f>IF($L566="","",INT(($L566-INT($L566/1000000000)*1000000000)/100000000))</f>
        <v/>
      </c>
    </row>
    <row r="567">
      <c r="B567" s="39">
        <f>IF($L567="","",$M567)</f>
        <v/>
      </c>
      <c r="C567" s="18">
        <f>IF($L567="","",INDEX(HSCEI!$C$7:$C$66,$N567))</f>
        <v/>
      </c>
      <c r="D567" s="18">
        <f>IF($L567="","",INDEX(HSCEI!$D$7:$D$66,$N567))</f>
        <v/>
      </c>
      <c r="E567" s="40">
        <f>IF($L567="","",IF($P567=0,"TBA",IFERROR(INDEX(Grids!$C$160:$BO$219,$N567,$O567),"-")))</f>
        <v/>
      </c>
      <c r="F567" s="18">
        <f>IF($L567="","",INDEX(HSCEI!$F$7:$F$66,$N567))</f>
        <v/>
      </c>
      <c r="G567" s="40">
        <f>IF($L567="","",IF($P567=0,"TBA",IFERROR(INDEX(Grids!$BQ$160:$EC$219,$N567,$O567),"-")))</f>
        <v/>
      </c>
      <c r="H567" s="41">
        <f>IF($L567="","",SUM($G$442:$G567))</f>
        <v/>
      </c>
      <c r="I567" s="42">
        <f>IF($L567="","",IF(INT(($L567-INT($L567/10000000)*10000000)/1000000)=0,"Bloomberg projection",IF($P567=1,"ANNOUNCED","ANNOUNCED - amount TBA")))</f>
        <v/>
      </c>
      <c r="J567" s="43">
        <f>IF($L567="","",IF((OV_SWITCH="ON")*(COUNTIFS(OVR_TICKERS,INDEX(HSCEI!$C$7:$C$66,$N567),OVR_BASE,"&gt;=0")&gt;0)&gt;0,"stock overridden",""))</f>
        <v/>
      </c>
      <c r="L567" s="35">
        <f>IFERROR(IF(SMALL(Grids!$EE$160:$GQ$219,$M$439+126)&gt;=PEND_TO,"",SMALL(Grids!$EE$160:$GQ$219,$M$439+126)),"")</f>
        <v/>
      </c>
      <c r="M567" s="35">
        <f>IF($L567="","",INT($L567/1000000000))</f>
        <v/>
      </c>
      <c r="N567" s="35">
        <f>IF($L567="","",INT(($L567-INT($L567/1000000)*1000000)/1000))</f>
        <v/>
      </c>
      <c r="O567" s="35">
        <f>IF($L567="","",$L567-INT($L567/1000)*1000)</f>
        <v/>
      </c>
      <c r="P567" s="35">
        <f>IF($L567="","",INT(($L567-INT($L567/1000000000)*1000000000)/100000000))</f>
        <v/>
      </c>
    </row>
    <row r="568">
      <c r="B568" s="39">
        <f>IF($L568="","",$M568)</f>
        <v/>
      </c>
      <c r="C568" s="18">
        <f>IF($L568="","",INDEX(HSCEI!$C$7:$C$66,$N568))</f>
        <v/>
      </c>
      <c r="D568" s="18">
        <f>IF($L568="","",INDEX(HSCEI!$D$7:$D$66,$N568))</f>
        <v/>
      </c>
      <c r="E568" s="40">
        <f>IF($L568="","",IF($P568=0,"TBA",IFERROR(INDEX(Grids!$C$160:$BO$219,$N568,$O568),"-")))</f>
        <v/>
      </c>
      <c r="F568" s="18">
        <f>IF($L568="","",INDEX(HSCEI!$F$7:$F$66,$N568))</f>
        <v/>
      </c>
      <c r="G568" s="40">
        <f>IF($L568="","",IF($P568=0,"TBA",IFERROR(INDEX(Grids!$BQ$160:$EC$219,$N568,$O568),"-")))</f>
        <v/>
      </c>
      <c r="H568" s="41">
        <f>IF($L568="","",SUM($G$442:$G568))</f>
        <v/>
      </c>
      <c r="I568" s="42">
        <f>IF($L568="","",IF(INT(($L568-INT($L568/10000000)*10000000)/1000000)=0,"Bloomberg projection",IF($P568=1,"ANNOUNCED","ANNOUNCED - amount TBA")))</f>
        <v/>
      </c>
      <c r="J568" s="43">
        <f>IF($L568="","",IF((OV_SWITCH="ON")*(COUNTIFS(OVR_TICKERS,INDEX(HSCEI!$C$7:$C$66,$N568),OVR_BASE,"&gt;=0")&gt;0)&gt;0,"stock overridden",""))</f>
        <v/>
      </c>
      <c r="L568" s="35">
        <f>IFERROR(IF(SMALL(Grids!$EE$160:$GQ$219,$M$439+127)&gt;=PEND_TO,"",SMALL(Grids!$EE$160:$GQ$219,$M$439+127)),"")</f>
        <v/>
      </c>
      <c r="M568" s="35">
        <f>IF($L568="","",INT($L568/1000000000))</f>
        <v/>
      </c>
      <c r="N568" s="35">
        <f>IF($L568="","",INT(($L568-INT($L568/1000000)*1000000)/1000))</f>
        <v/>
      </c>
      <c r="O568" s="35">
        <f>IF($L568="","",$L568-INT($L568/1000)*1000)</f>
        <v/>
      </c>
      <c r="P568" s="35">
        <f>IF($L568="","",INT(($L568-INT($L568/1000000000)*1000000000)/100000000))</f>
        <v/>
      </c>
    </row>
    <row r="569">
      <c r="B569" s="39">
        <f>IF($L569="","",$M569)</f>
        <v/>
      </c>
      <c r="C569" s="18">
        <f>IF($L569="","",INDEX(HSCEI!$C$7:$C$66,$N569))</f>
        <v/>
      </c>
      <c r="D569" s="18">
        <f>IF($L569="","",INDEX(HSCEI!$D$7:$D$66,$N569))</f>
        <v/>
      </c>
      <c r="E569" s="40">
        <f>IF($L569="","",IF($P569=0,"TBA",IFERROR(INDEX(Grids!$C$160:$BO$219,$N569,$O569),"-")))</f>
        <v/>
      </c>
      <c r="F569" s="18">
        <f>IF($L569="","",INDEX(HSCEI!$F$7:$F$66,$N569))</f>
        <v/>
      </c>
      <c r="G569" s="40">
        <f>IF($L569="","",IF($P569=0,"TBA",IFERROR(INDEX(Grids!$BQ$160:$EC$219,$N569,$O569),"-")))</f>
        <v/>
      </c>
      <c r="H569" s="41">
        <f>IF($L569="","",SUM($G$442:$G569))</f>
        <v/>
      </c>
      <c r="I569" s="42">
        <f>IF($L569="","",IF(INT(($L569-INT($L569/10000000)*10000000)/1000000)=0,"Bloomberg projection",IF($P569=1,"ANNOUNCED","ANNOUNCED - amount TBA")))</f>
        <v/>
      </c>
      <c r="J569" s="43">
        <f>IF($L569="","",IF((OV_SWITCH="ON")*(COUNTIFS(OVR_TICKERS,INDEX(HSCEI!$C$7:$C$66,$N569),OVR_BASE,"&gt;=0")&gt;0)&gt;0,"stock overridden",""))</f>
        <v/>
      </c>
      <c r="L569" s="35">
        <f>IFERROR(IF(SMALL(Grids!$EE$160:$GQ$219,$M$439+128)&gt;=PEND_TO,"",SMALL(Grids!$EE$160:$GQ$219,$M$439+128)),"")</f>
        <v/>
      </c>
      <c r="M569" s="35">
        <f>IF($L569="","",INT($L569/1000000000))</f>
        <v/>
      </c>
      <c r="N569" s="35">
        <f>IF($L569="","",INT(($L569-INT($L569/1000000)*1000000)/1000))</f>
        <v/>
      </c>
      <c r="O569" s="35">
        <f>IF($L569="","",$L569-INT($L569/1000)*1000)</f>
        <v/>
      </c>
      <c r="P569" s="35">
        <f>IF($L569="","",INT(($L569-INT($L569/1000000000)*1000000000)/100000000))</f>
        <v/>
      </c>
    </row>
    <row r="570">
      <c r="B570" s="39">
        <f>IF($L570="","",$M570)</f>
        <v/>
      </c>
      <c r="C570" s="18">
        <f>IF($L570="","",INDEX(HSCEI!$C$7:$C$66,$N570))</f>
        <v/>
      </c>
      <c r="D570" s="18">
        <f>IF($L570="","",INDEX(HSCEI!$D$7:$D$66,$N570))</f>
        <v/>
      </c>
      <c r="E570" s="40">
        <f>IF($L570="","",IF($P570=0,"TBA",IFERROR(INDEX(Grids!$C$160:$BO$219,$N570,$O570),"-")))</f>
        <v/>
      </c>
      <c r="F570" s="18">
        <f>IF($L570="","",INDEX(HSCEI!$F$7:$F$66,$N570))</f>
        <v/>
      </c>
      <c r="G570" s="40">
        <f>IF($L570="","",IF($P570=0,"TBA",IFERROR(INDEX(Grids!$BQ$160:$EC$219,$N570,$O570),"-")))</f>
        <v/>
      </c>
      <c r="H570" s="41">
        <f>IF($L570="","",SUM($G$442:$G570))</f>
        <v/>
      </c>
      <c r="I570" s="42">
        <f>IF($L570="","",IF(INT(($L570-INT($L570/10000000)*10000000)/1000000)=0,"Bloomberg projection",IF($P570=1,"ANNOUNCED","ANNOUNCED - amount TBA")))</f>
        <v/>
      </c>
      <c r="J570" s="43">
        <f>IF($L570="","",IF((OV_SWITCH="ON")*(COUNTIFS(OVR_TICKERS,INDEX(HSCEI!$C$7:$C$66,$N570),OVR_BASE,"&gt;=0")&gt;0)&gt;0,"stock overridden",""))</f>
        <v/>
      </c>
      <c r="L570" s="35">
        <f>IFERROR(IF(SMALL(Grids!$EE$160:$GQ$219,$M$439+129)&gt;=PEND_TO,"",SMALL(Grids!$EE$160:$GQ$219,$M$439+129)),"")</f>
        <v/>
      </c>
      <c r="M570" s="35">
        <f>IF($L570="","",INT($L570/1000000000))</f>
        <v/>
      </c>
      <c r="N570" s="35">
        <f>IF($L570="","",INT(($L570-INT($L570/1000000)*1000000)/1000))</f>
        <v/>
      </c>
      <c r="O570" s="35">
        <f>IF($L570="","",$L570-INT($L570/1000)*1000)</f>
        <v/>
      </c>
      <c r="P570" s="35">
        <f>IF($L570="","",INT(($L570-INT($L570/1000000000)*1000000000)/100000000))</f>
        <v/>
      </c>
    </row>
    <row r="571">
      <c r="B571" s="39">
        <f>IF($L571="","",$M571)</f>
        <v/>
      </c>
      <c r="C571" s="18">
        <f>IF($L571="","",INDEX(HSCEI!$C$7:$C$66,$N571))</f>
        <v/>
      </c>
      <c r="D571" s="18">
        <f>IF($L571="","",INDEX(HSCEI!$D$7:$D$66,$N571))</f>
        <v/>
      </c>
      <c r="E571" s="40">
        <f>IF($L571="","",IF($P571=0,"TBA",IFERROR(INDEX(Grids!$C$160:$BO$219,$N571,$O571),"-")))</f>
        <v/>
      </c>
      <c r="F571" s="18">
        <f>IF($L571="","",INDEX(HSCEI!$F$7:$F$66,$N571))</f>
        <v/>
      </c>
      <c r="G571" s="40">
        <f>IF($L571="","",IF($P571=0,"TBA",IFERROR(INDEX(Grids!$BQ$160:$EC$219,$N571,$O571),"-")))</f>
        <v/>
      </c>
      <c r="H571" s="41">
        <f>IF($L571="","",SUM($G$442:$G571))</f>
        <v/>
      </c>
      <c r="I571" s="42">
        <f>IF($L571="","",IF(INT(($L571-INT($L571/10000000)*10000000)/1000000)=0,"Bloomberg projection",IF($P571=1,"ANNOUNCED","ANNOUNCED - amount TBA")))</f>
        <v/>
      </c>
      <c r="J571" s="43">
        <f>IF($L571="","",IF((OV_SWITCH="ON")*(COUNTIFS(OVR_TICKERS,INDEX(HSCEI!$C$7:$C$66,$N571),OVR_BASE,"&gt;=0")&gt;0)&gt;0,"stock overridden",""))</f>
        <v/>
      </c>
      <c r="L571" s="35">
        <f>IFERROR(IF(SMALL(Grids!$EE$160:$GQ$219,$M$439+130)&gt;=PEND_TO,"",SMALL(Grids!$EE$160:$GQ$219,$M$439+130)),"")</f>
        <v/>
      </c>
      <c r="M571" s="35">
        <f>IF($L571="","",INT($L571/1000000000))</f>
        <v/>
      </c>
      <c r="N571" s="35">
        <f>IF($L571="","",INT(($L571-INT($L571/1000000)*1000000)/1000))</f>
        <v/>
      </c>
      <c r="O571" s="35">
        <f>IF($L571="","",$L571-INT($L571/1000)*1000)</f>
        <v/>
      </c>
      <c r="P571" s="35">
        <f>IF($L571="","",INT(($L571-INT($L571/1000000000)*1000000000)/100000000))</f>
        <v/>
      </c>
    </row>
    <row r="572">
      <c r="B572" s="39">
        <f>IF($L572="","",$M572)</f>
        <v/>
      </c>
      <c r="C572" s="18">
        <f>IF($L572="","",INDEX(HSCEI!$C$7:$C$66,$N572))</f>
        <v/>
      </c>
      <c r="D572" s="18">
        <f>IF($L572="","",INDEX(HSCEI!$D$7:$D$66,$N572))</f>
        <v/>
      </c>
      <c r="E572" s="40">
        <f>IF($L572="","",IF($P572=0,"TBA",IFERROR(INDEX(Grids!$C$160:$BO$219,$N572,$O572),"-")))</f>
        <v/>
      </c>
      <c r="F572" s="18">
        <f>IF($L572="","",INDEX(HSCEI!$F$7:$F$66,$N572))</f>
        <v/>
      </c>
      <c r="G572" s="40">
        <f>IF($L572="","",IF($P572=0,"TBA",IFERROR(INDEX(Grids!$BQ$160:$EC$219,$N572,$O572),"-")))</f>
        <v/>
      </c>
      <c r="H572" s="41">
        <f>IF($L572="","",SUM($G$442:$G572))</f>
        <v/>
      </c>
      <c r="I572" s="42">
        <f>IF($L572="","",IF(INT(($L572-INT($L572/10000000)*10000000)/1000000)=0,"Bloomberg projection",IF($P572=1,"ANNOUNCED","ANNOUNCED - amount TBA")))</f>
        <v/>
      </c>
      <c r="J572" s="43">
        <f>IF($L572="","",IF((OV_SWITCH="ON")*(COUNTIFS(OVR_TICKERS,INDEX(HSCEI!$C$7:$C$66,$N572),OVR_BASE,"&gt;=0")&gt;0)&gt;0,"stock overridden",""))</f>
        <v/>
      </c>
      <c r="L572" s="35">
        <f>IFERROR(IF(SMALL(Grids!$EE$160:$GQ$219,$M$439+131)&gt;=PEND_TO,"",SMALL(Grids!$EE$160:$GQ$219,$M$439+131)),"")</f>
        <v/>
      </c>
      <c r="M572" s="35">
        <f>IF($L572="","",INT($L572/1000000000))</f>
        <v/>
      </c>
      <c r="N572" s="35">
        <f>IF($L572="","",INT(($L572-INT($L572/1000000)*1000000)/1000))</f>
        <v/>
      </c>
      <c r="O572" s="35">
        <f>IF($L572="","",$L572-INT($L572/1000)*1000)</f>
        <v/>
      </c>
      <c r="P572" s="35">
        <f>IF($L572="","",INT(($L572-INT($L572/1000000000)*1000000000)/100000000))</f>
        <v/>
      </c>
    </row>
    <row r="573">
      <c r="B573" s="39">
        <f>IF($L573="","",$M573)</f>
        <v/>
      </c>
      <c r="C573" s="18">
        <f>IF($L573="","",INDEX(HSCEI!$C$7:$C$66,$N573))</f>
        <v/>
      </c>
      <c r="D573" s="18">
        <f>IF($L573="","",INDEX(HSCEI!$D$7:$D$66,$N573))</f>
        <v/>
      </c>
      <c r="E573" s="40">
        <f>IF($L573="","",IF($P573=0,"TBA",IFERROR(INDEX(Grids!$C$160:$BO$219,$N573,$O573),"-")))</f>
        <v/>
      </c>
      <c r="F573" s="18">
        <f>IF($L573="","",INDEX(HSCEI!$F$7:$F$66,$N573))</f>
        <v/>
      </c>
      <c r="G573" s="40">
        <f>IF($L573="","",IF($P573=0,"TBA",IFERROR(INDEX(Grids!$BQ$160:$EC$219,$N573,$O573),"-")))</f>
        <v/>
      </c>
      <c r="H573" s="41">
        <f>IF($L573="","",SUM($G$442:$G573))</f>
        <v/>
      </c>
      <c r="I573" s="42">
        <f>IF($L573="","",IF(INT(($L573-INT($L573/10000000)*10000000)/1000000)=0,"Bloomberg projection",IF($P573=1,"ANNOUNCED","ANNOUNCED - amount TBA")))</f>
        <v/>
      </c>
      <c r="J573" s="43">
        <f>IF($L573="","",IF((OV_SWITCH="ON")*(COUNTIFS(OVR_TICKERS,INDEX(HSCEI!$C$7:$C$66,$N573),OVR_BASE,"&gt;=0")&gt;0)&gt;0,"stock overridden",""))</f>
        <v/>
      </c>
      <c r="L573" s="35">
        <f>IFERROR(IF(SMALL(Grids!$EE$160:$GQ$219,$M$439+132)&gt;=PEND_TO,"",SMALL(Grids!$EE$160:$GQ$219,$M$439+132)),"")</f>
        <v/>
      </c>
      <c r="M573" s="35">
        <f>IF($L573="","",INT($L573/1000000000))</f>
        <v/>
      </c>
      <c r="N573" s="35">
        <f>IF($L573="","",INT(($L573-INT($L573/1000000)*1000000)/1000))</f>
        <v/>
      </c>
      <c r="O573" s="35">
        <f>IF($L573="","",$L573-INT($L573/1000)*1000)</f>
        <v/>
      </c>
      <c r="P573" s="35">
        <f>IF($L573="","",INT(($L573-INT($L573/1000000000)*1000000000)/100000000))</f>
        <v/>
      </c>
    </row>
    <row r="574">
      <c r="B574" s="39">
        <f>IF($L574="","",$M574)</f>
        <v/>
      </c>
      <c r="C574" s="18">
        <f>IF($L574="","",INDEX(HSCEI!$C$7:$C$66,$N574))</f>
        <v/>
      </c>
      <c r="D574" s="18">
        <f>IF($L574="","",INDEX(HSCEI!$D$7:$D$66,$N574))</f>
        <v/>
      </c>
      <c r="E574" s="40">
        <f>IF($L574="","",IF($P574=0,"TBA",IFERROR(INDEX(Grids!$C$160:$BO$219,$N574,$O574),"-")))</f>
        <v/>
      </c>
      <c r="F574" s="18">
        <f>IF($L574="","",INDEX(HSCEI!$F$7:$F$66,$N574))</f>
        <v/>
      </c>
      <c r="G574" s="40">
        <f>IF($L574="","",IF($P574=0,"TBA",IFERROR(INDEX(Grids!$BQ$160:$EC$219,$N574,$O574),"-")))</f>
        <v/>
      </c>
      <c r="H574" s="41">
        <f>IF($L574="","",SUM($G$442:$G574))</f>
        <v/>
      </c>
      <c r="I574" s="42">
        <f>IF($L574="","",IF(INT(($L574-INT($L574/10000000)*10000000)/1000000)=0,"Bloomberg projection",IF($P574=1,"ANNOUNCED","ANNOUNCED - amount TBA")))</f>
        <v/>
      </c>
      <c r="J574" s="43">
        <f>IF($L574="","",IF((OV_SWITCH="ON")*(COUNTIFS(OVR_TICKERS,INDEX(HSCEI!$C$7:$C$66,$N574),OVR_BASE,"&gt;=0")&gt;0)&gt;0,"stock overridden",""))</f>
        <v/>
      </c>
      <c r="L574" s="35">
        <f>IFERROR(IF(SMALL(Grids!$EE$160:$GQ$219,$M$439+133)&gt;=PEND_TO,"",SMALL(Grids!$EE$160:$GQ$219,$M$439+133)),"")</f>
        <v/>
      </c>
      <c r="M574" s="35">
        <f>IF($L574="","",INT($L574/1000000000))</f>
        <v/>
      </c>
      <c r="N574" s="35">
        <f>IF($L574="","",INT(($L574-INT($L574/1000000)*1000000)/1000))</f>
        <v/>
      </c>
      <c r="O574" s="35">
        <f>IF($L574="","",$L574-INT($L574/1000)*1000)</f>
        <v/>
      </c>
      <c r="P574" s="35">
        <f>IF($L574="","",INT(($L574-INT($L574/1000000000)*1000000000)/100000000))</f>
        <v/>
      </c>
    </row>
    <row r="575">
      <c r="B575" s="39">
        <f>IF($L575="","",$M575)</f>
        <v/>
      </c>
      <c r="C575" s="18">
        <f>IF($L575="","",INDEX(HSCEI!$C$7:$C$66,$N575))</f>
        <v/>
      </c>
      <c r="D575" s="18">
        <f>IF($L575="","",INDEX(HSCEI!$D$7:$D$66,$N575))</f>
        <v/>
      </c>
      <c r="E575" s="40">
        <f>IF($L575="","",IF($P575=0,"TBA",IFERROR(INDEX(Grids!$C$160:$BO$219,$N575,$O575),"-")))</f>
        <v/>
      </c>
      <c r="F575" s="18">
        <f>IF($L575="","",INDEX(HSCEI!$F$7:$F$66,$N575))</f>
        <v/>
      </c>
      <c r="G575" s="40">
        <f>IF($L575="","",IF($P575=0,"TBA",IFERROR(INDEX(Grids!$BQ$160:$EC$219,$N575,$O575),"-")))</f>
        <v/>
      </c>
      <c r="H575" s="41">
        <f>IF($L575="","",SUM($G$442:$G575))</f>
        <v/>
      </c>
      <c r="I575" s="42">
        <f>IF($L575="","",IF(INT(($L575-INT($L575/10000000)*10000000)/1000000)=0,"Bloomberg projection",IF($P575=1,"ANNOUNCED","ANNOUNCED - amount TBA")))</f>
        <v/>
      </c>
      <c r="J575" s="43">
        <f>IF($L575="","",IF((OV_SWITCH="ON")*(COUNTIFS(OVR_TICKERS,INDEX(HSCEI!$C$7:$C$66,$N575),OVR_BASE,"&gt;=0")&gt;0)&gt;0,"stock overridden",""))</f>
        <v/>
      </c>
      <c r="L575" s="35">
        <f>IFERROR(IF(SMALL(Grids!$EE$160:$GQ$219,$M$439+134)&gt;=PEND_TO,"",SMALL(Grids!$EE$160:$GQ$219,$M$439+134)),"")</f>
        <v/>
      </c>
      <c r="M575" s="35">
        <f>IF($L575="","",INT($L575/1000000000))</f>
        <v/>
      </c>
      <c r="N575" s="35">
        <f>IF($L575="","",INT(($L575-INT($L575/1000000)*1000000)/1000))</f>
        <v/>
      </c>
      <c r="O575" s="35">
        <f>IF($L575="","",$L575-INT($L575/1000)*1000)</f>
        <v/>
      </c>
      <c r="P575" s="35">
        <f>IF($L575="","",INT(($L575-INT($L575/1000000000)*1000000000)/100000000))</f>
        <v/>
      </c>
    </row>
    <row r="576">
      <c r="B576" s="39">
        <f>IF($L576="","",$M576)</f>
        <v/>
      </c>
      <c r="C576" s="18">
        <f>IF($L576="","",INDEX(HSCEI!$C$7:$C$66,$N576))</f>
        <v/>
      </c>
      <c r="D576" s="18">
        <f>IF($L576="","",INDEX(HSCEI!$D$7:$D$66,$N576))</f>
        <v/>
      </c>
      <c r="E576" s="40">
        <f>IF($L576="","",IF($P576=0,"TBA",IFERROR(INDEX(Grids!$C$160:$BO$219,$N576,$O576),"-")))</f>
        <v/>
      </c>
      <c r="F576" s="18">
        <f>IF($L576="","",INDEX(HSCEI!$F$7:$F$66,$N576))</f>
        <v/>
      </c>
      <c r="G576" s="40">
        <f>IF($L576="","",IF($P576=0,"TBA",IFERROR(INDEX(Grids!$BQ$160:$EC$219,$N576,$O576),"-")))</f>
        <v/>
      </c>
      <c r="H576" s="41">
        <f>IF($L576="","",SUM($G$442:$G576))</f>
        <v/>
      </c>
      <c r="I576" s="42">
        <f>IF($L576="","",IF(INT(($L576-INT($L576/10000000)*10000000)/1000000)=0,"Bloomberg projection",IF($P576=1,"ANNOUNCED","ANNOUNCED - amount TBA")))</f>
        <v/>
      </c>
      <c r="J576" s="43">
        <f>IF($L576="","",IF((OV_SWITCH="ON")*(COUNTIFS(OVR_TICKERS,INDEX(HSCEI!$C$7:$C$66,$N576),OVR_BASE,"&gt;=0")&gt;0)&gt;0,"stock overridden",""))</f>
        <v/>
      </c>
      <c r="L576" s="35">
        <f>IFERROR(IF(SMALL(Grids!$EE$160:$GQ$219,$M$439+135)&gt;=PEND_TO,"",SMALL(Grids!$EE$160:$GQ$219,$M$439+135)),"")</f>
        <v/>
      </c>
      <c r="M576" s="35">
        <f>IF($L576="","",INT($L576/1000000000))</f>
        <v/>
      </c>
      <c r="N576" s="35">
        <f>IF($L576="","",INT(($L576-INT($L576/1000000)*1000000)/1000))</f>
        <v/>
      </c>
      <c r="O576" s="35">
        <f>IF($L576="","",$L576-INT($L576/1000)*1000)</f>
        <v/>
      </c>
      <c r="P576" s="35">
        <f>IF($L576="","",INT(($L576-INT($L576/1000000000)*1000000000)/100000000))</f>
        <v/>
      </c>
    </row>
    <row r="577">
      <c r="B577" s="39">
        <f>IF($L577="","",$M577)</f>
        <v/>
      </c>
      <c r="C577" s="18">
        <f>IF($L577="","",INDEX(HSCEI!$C$7:$C$66,$N577))</f>
        <v/>
      </c>
      <c r="D577" s="18">
        <f>IF($L577="","",INDEX(HSCEI!$D$7:$D$66,$N577))</f>
        <v/>
      </c>
      <c r="E577" s="40">
        <f>IF($L577="","",IF($P577=0,"TBA",IFERROR(INDEX(Grids!$C$160:$BO$219,$N577,$O577),"-")))</f>
        <v/>
      </c>
      <c r="F577" s="18">
        <f>IF($L577="","",INDEX(HSCEI!$F$7:$F$66,$N577))</f>
        <v/>
      </c>
      <c r="G577" s="40">
        <f>IF($L577="","",IF($P577=0,"TBA",IFERROR(INDEX(Grids!$BQ$160:$EC$219,$N577,$O577),"-")))</f>
        <v/>
      </c>
      <c r="H577" s="41">
        <f>IF($L577="","",SUM($G$442:$G577))</f>
        <v/>
      </c>
      <c r="I577" s="42">
        <f>IF($L577="","",IF(INT(($L577-INT($L577/10000000)*10000000)/1000000)=0,"Bloomberg projection",IF($P577=1,"ANNOUNCED","ANNOUNCED - amount TBA")))</f>
        <v/>
      </c>
      <c r="J577" s="43">
        <f>IF($L577="","",IF((OV_SWITCH="ON")*(COUNTIFS(OVR_TICKERS,INDEX(HSCEI!$C$7:$C$66,$N577),OVR_BASE,"&gt;=0")&gt;0)&gt;0,"stock overridden",""))</f>
        <v/>
      </c>
      <c r="L577" s="35">
        <f>IFERROR(IF(SMALL(Grids!$EE$160:$GQ$219,$M$439+136)&gt;=PEND_TO,"",SMALL(Grids!$EE$160:$GQ$219,$M$439+136)),"")</f>
        <v/>
      </c>
      <c r="M577" s="35">
        <f>IF($L577="","",INT($L577/1000000000))</f>
        <v/>
      </c>
      <c r="N577" s="35">
        <f>IF($L577="","",INT(($L577-INT($L577/1000000)*1000000)/1000))</f>
        <v/>
      </c>
      <c r="O577" s="35">
        <f>IF($L577="","",$L577-INT($L577/1000)*1000)</f>
        <v/>
      </c>
      <c r="P577" s="35">
        <f>IF($L577="","",INT(($L577-INT($L577/1000000000)*1000000000)/100000000))</f>
        <v/>
      </c>
    </row>
    <row r="578">
      <c r="B578" s="39">
        <f>IF($L578="","",$M578)</f>
        <v/>
      </c>
      <c r="C578" s="18">
        <f>IF($L578="","",INDEX(HSCEI!$C$7:$C$66,$N578))</f>
        <v/>
      </c>
      <c r="D578" s="18">
        <f>IF($L578="","",INDEX(HSCEI!$D$7:$D$66,$N578))</f>
        <v/>
      </c>
      <c r="E578" s="40">
        <f>IF($L578="","",IF($P578=0,"TBA",IFERROR(INDEX(Grids!$C$160:$BO$219,$N578,$O578),"-")))</f>
        <v/>
      </c>
      <c r="F578" s="18">
        <f>IF($L578="","",INDEX(HSCEI!$F$7:$F$66,$N578))</f>
        <v/>
      </c>
      <c r="G578" s="40">
        <f>IF($L578="","",IF($P578=0,"TBA",IFERROR(INDEX(Grids!$BQ$160:$EC$219,$N578,$O578),"-")))</f>
        <v/>
      </c>
      <c r="H578" s="41">
        <f>IF($L578="","",SUM($G$442:$G578))</f>
        <v/>
      </c>
      <c r="I578" s="42">
        <f>IF($L578="","",IF(INT(($L578-INT($L578/10000000)*10000000)/1000000)=0,"Bloomberg projection",IF($P578=1,"ANNOUNCED","ANNOUNCED - amount TBA")))</f>
        <v/>
      </c>
      <c r="J578" s="43">
        <f>IF($L578="","",IF((OV_SWITCH="ON")*(COUNTIFS(OVR_TICKERS,INDEX(HSCEI!$C$7:$C$66,$N578),OVR_BASE,"&gt;=0")&gt;0)&gt;0,"stock overridden",""))</f>
        <v/>
      </c>
      <c r="L578" s="35">
        <f>IFERROR(IF(SMALL(Grids!$EE$160:$GQ$219,$M$439+137)&gt;=PEND_TO,"",SMALL(Grids!$EE$160:$GQ$219,$M$439+137)),"")</f>
        <v/>
      </c>
      <c r="M578" s="35">
        <f>IF($L578="","",INT($L578/1000000000))</f>
        <v/>
      </c>
      <c r="N578" s="35">
        <f>IF($L578="","",INT(($L578-INT($L578/1000000)*1000000)/1000))</f>
        <v/>
      </c>
      <c r="O578" s="35">
        <f>IF($L578="","",$L578-INT($L578/1000)*1000)</f>
        <v/>
      </c>
      <c r="P578" s="35">
        <f>IF($L578="","",INT(($L578-INT($L578/1000000000)*1000000000)/100000000))</f>
        <v/>
      </c>
    </row>
    <row r="579">
      <c r="B579" s="39">
        <f>IF($L579="","",$M579)</f>
        <v/>
      </c>
      <c r="C579" s="18">
        <f>IF($L579="","",INDEX(HSCEI!$C$7:$C$66,$N579))</f>
        <v/>
      </c>
      <c r="D579" s="18">
        <f>IF($L579="","",INDEX(HSCEI!$D$7:$D$66,$N579))</f>
        <v/>
      </c>
      <c r="E579" s="40">
        <f>IF($L579="","",IF($P579=0,"TBA",IFERROR(INDEX(Grids!$C$160:$BO$219,$N579,$O579),"-")))</f>
        <v/>
      </c>
      <c r="F579" s="18">
        <f>IF($L579="","",INDEX(HSCEI!$F$7:$F$66,$N579))</f>
        <v/>
      </c>
      <c r="G579" s="40">
        <f>IF($L579="","",IF($P579=0,"TBA",IFERROR(INDEX(Grids!$BQ$160:$EC$219,$N579,$O579),"-")))</f>
        <v/>
      </c>
      <c r="H579" s="41">
        <f>IF($L579="","",SUM($G$442:$G579))</f>
        <v/>
      </c>
      <c r="I579" s="42">
        <f>IF($L579="","",IF(INT(($L579-INT($L579/10000000)*10000000)/1000000)=0,"Bloomberg projection",IF($P579=1,"ANNOUNCED","ANNOUNCED - amount TBA")))</f>
        <v/>
      </c>
      <c r="J579" s="43">
        <f>IF($L579="","",IF((OV_SWITCH="ON")*(COUNTIFS(OVR_TICKERS,INDEX(HSCEI!$C$7:$C$66,$N579),OVR_BASE,"&gt;=0")&gt;0)&gt;0,"stock overridden",""))</f>
        <v/>
      </c>
      <c r="L579" s="35">
        <f>IFERROR(IF(SMALL(Grids!$EE$160:$GQ$219,$M$439+138)&gt;=PEND_TO,"",SMALL(Grids!$EE$160:$GQ$219,$M$439+138)),"")</f>
        <v/>
      </c>
      <c r="M579" s="35">
        <f>IF($L579="","",INT($L579/1000000000))</f>
        <v/>
      </c>
      <c r="N579" s="35">
        <f>IF($L579="","",INT(($L579-INT($L579/1000000)*1000000)/1000))</f>
        <v/>
      </c>
      <c r="O579" s="35">
        <f>IF($L579="","",$L579-INT($L579/1000)*1000)</f>
        <v/>
      </c>
      <c r="P579" s="35">
        <f>IF($L579="","",INT(($L579-INT($L579/1000000000)*1000000000)/100000000))</f>
        <v/>
      </c>
    </row>
    <row r="580">
      <c r="B580" s="39">
        <f>IF($L580="","",$M580)</f>
        <v/>
      </c>
      <c r="C580" s="18">
        <f>IF($L580="","",INDEX(HSCEI!$C$7:$C$66,$N580))</f>
        <v/>
      </c>
      <c r="D580" s="18">
        <f>IF($L580="","",INDEX(HSCEI!$D$7:$D$66,$N580))</f>
        <v/>
      </c>
      <c r="E580" s="40">
        <f>IF($L580="","",IF($P580=0,"TBA",IFERROR(INDEX(Grids!$C$160:$BO$219,$N580,$O580),"-")))</f>
        <v/>
      </c>
      <c r="F580" s="18">
        <f>IF($L580="","",INDEX(HSCEI!$F$7:$F$66,$N580))</f>
        <v/>
      </c>
      <c r="G580" s="40">
        <f>IF($L580="","",IF($P580=0,"TBA",IFERROR(INDEX(Grids!$BQ$160:$EC$219,$N580,$O580),"-")))</f>
        <v/>
      </c>
      <c r="H580" s="41">
        <f>IF($L580="","",SUM($G$442:$G580))</f>
        <v/>
      </c>
      <c r="I580" s="42">
        <f>IF($L580="","",IF(INT(($L580-INT($L580/10000000)*10000000)/1000000)=0,"Bloomberg projection",IF($P580=1,"ANNOUNCED","ANNOUNCED - amount TBA")))</f>
        <v/>
      </c>
      <c r="J580" s="43">
        <f>IF($L580="","",IF((OV_SWITCH="ON")*(COUNTIFS(OVR_TICKERS,INDEX(HSCEI!$C$7:$C$66,$N580),OVR_BASE,"&gt;=0")&gt;0)&gt;0,"stock overridden",""))</f>
        <v/>
      </c>
      <c r="L580" s="35">
        <f>IFERROR(IF(SMALL(Grids!$EE$160:$GQ$219,$M$439+139)&gt;=PEND_TO,"",SMALL(Grids!$EE$160:$GQ$219,$M$439+139)),"")</f>
        <v/>
      </c>
      <c r="M580" s="35">
        <f>IF($L580="","",INT($L580/1000000000))</f>
        <v/>
      </c>
      <c r="N580" s="35">
        <f>IF($L580="","",INT(($L580-INT($L580/1000000)*1000000)/1000))</f>
        <v/>
      </c>
      <c r="O580" s="35">
        <f>IF($L580="","",$L580-INT($L580/1000)*1000)</f>
        <v/>
      </c>
      <c r="P580" s="35">
        <f>IF($L580="","",INT(($L580-INT($L580/1000000000)*1000000000)/100000000))</f>
        <v/>
      </c>
    </row>
    <row r="581">
      <c r="B581" s="39">
        <f>IF($L581="","",$M581)</f>
        <v/>
      </c>
      <c r="C581" s="18">
        <f>IF($L581="","",INDEX(HSCEI!$C$7:$C$66,$N581))</f>
        <v/>
      </c>
      <c r="D581" s="18">
        <f>IF($L581="","",INDEX(HSCEI!$D$7:$D$66,$N581))</f>
        <v/>
      </c>
      <c r="E581" s="40">
        <f>IF($L581="","",IF($P581=0,"TBA",IFERROR(INDEX(Grids!$C$160:$BO$219,$N581,$O581),"-")))</f>
        <v/>
      </c>
      <c r="F581" s="18">
        <f>IF($L581="","",INDEX(HSCEI!$F$7:$F$66,$N581))</f>
        <v/>
      </c>
      <c r="G581" s="40">
        <f>IF($L581="","",IF($P581=0,"TBA",IFERROR(INDEX(Grids!$BQ$160:$EC$219,$N581,$O581),"-")))</f>
        <v/>
      </c>
      <c r="H581" s="41">
        <f>IF($L581="","",SUM($G$442:$G581))</f>
        <v/>
      </c>
      <c r="I581" s="42">
        <f>IF($L581="","",IF(INT(($L581-INT($L581/10000000)*10000000)/1000000)=0,"Bloomberg projection",IF($P581=1,"ANNOUNCED","ANNOUNCED - amount TBA")))</f>
        <v/>
      </c>
      <c r="J581" s="43">
        <f>IF($L581="","",IF((OV_SWITCH="ON")*(COUNTIFS(OVR_TICKERS,INDEX(HSCEI!$C$7:$C$66,$N581),OVR_BASE,"&gt;=0")&gt;0)&gt;0,"stock overridden",""))</f>
        <v/>
      </c>
      <c r="L581" s="35">
        <f>IFERROR(IF(SMALL(Grids!$EE$160:$GQ$219,$M$439+140)&gt;=PEND_TO,"",SMALL(Grids!$EE$160:$GQ$219,$M$439+140)),"")</f>
        <v/>
      </c>
      <c r="M581" s="35">
        <f>IF($L581="","",INT($L581/1000000000))</f>
        <v/>
      </c>
      <c r="N581" s="35">
        <f>IF($L581="","",INT(($L581-INT($L581/1000000)*1000000)/1000))</f>
        <v/>
      </c>
      <c r="O581" s="35">
        <f>IF($L581="","",$L581-INT($L581/1000)*1000)</f>
        <v/>
      </c>
      <c r="P581" s="35">
        <f>IF($L581="","",INT(($L581-INT($L581/1000000000)*1000000000)/100000000))</f>
        <v/>
      </c>
    </row>
    <row r="582">
      <c r="B582" s="39">
        <f>IF($L582="","",$M582)</f>
        <v/>
      </c>
      <c r="C582" s="18">
        <f>IF($L582="","",INDEX(HSCEI!$C$7:$C$66,$N582))</f>
        <v/>
      </c>
      <c r="D582" s="18">
        <f>IF($L582="","",INDEX(HSCEI!$D$7:$D$66,$N582))</f>
        <v/>
      </c>
      <c r="E582" s="40">
        <f>IF($L582="","",IF($P582=0,"TBA",IFERROR(INDEX(Grids!$C$160:$BO$219,$N582,$O582),"-")))</f>
        <v/>
      </c>
      <c r="F582" s="18">
        <f>IF($L582="","",INDEX(HSCEI!$F$7:$F$66,$N582))</f>
        <v/>
      </c>
      <c r="G582" s="40">
        <f>IF($L582="","",IF($P582=0,"TBA",IFERROR(INDEX(Grids!$BQ$160:$EC$219,$N582,$O582),"-")))</f>
        <v/>
      </c>
      <c r="H582" s="41">
        <f>IF($L582="","",SUM($G$442:$G582))</f>
        <v/>
      </c>
      <c r="I582" s="42">
        <f>IF($L582="","",IF(INT(($L582-INT($L582/10000000)*10000000)/1000000)=0,"Bloomberg projection",IF($P582=1,"ANNOUNCED","ANNOUNCED - amount TBA")))</f>
        <v/>
      </c>
      <c r="J582" s="43">
        <f>IF($L582="","",IF((OV_SWITCH="ON")*(COUNTIFS(OVR_TICKERS,INDEX(HSCEI!$C$7:$C$66,$N582),OVR_BASE,"&gt;=0")&gt;0)&gt;0,"stock overridden",""))</f>
        <v/>
      </c>
      <c r="L582" s="35">
        <f>IFERROR(IF(SMALL(Grids!$EE$160:$GQ$219,$M$439+141)&gt;=PEND_TO,"",SMALL(Grids!$EE$160:$GQ$219,$M$439+141)),"")</f>
        <v/>
      </c>
      <c r="M582" s="35">
        <f>IF($L582="","",INT($L582/1000000000))</f>
        <v/>
      </c>
      <c r="N582" s="35">
        <f>IF($L582="","",INT(($L582-INT($L582/1000000)*1000000)/1000))</f>
        <v/>
      </c>
      <c r="O582" s="35">
        <f>IF($L582="","",$L582-INT($L582/1000)*1000)</f>
        <v/>
      </c>
      <c r="P582" s="35">
        <f>IF($L582="","",INT(($L582-INT($L582/1000000000)*1000000000)/100000000))</f>
        <v/>
      </c>
    </row>
    <row r="583">
      <c r="B583" s="39">
        <f>IF($L583="","",$M583)</f>
        <v/>
      </c>
      <c r="C583" s="18">
        <f>IF($L583="","",INDEX(HSCEI!$C$7:$C$66,$N583))</f>
        <v/>
      </c>
      <c r="D583" s="18">
        <f>IF($L583="","",INDEX(HSCEI!$D$7:$D$66,$N583))</f>
        <v/>
      </c>
      <c r="E583" s="40">
        <f>IF($L583="","",IF($P583=0,"TBA",IFERROR(INDEX(Grids!$C$160:$BO$219,$N583,$O583),"-")))</f>
        <v/>
      </c>
      <c r="F583" s="18">
        <f>IF($L583="","",INDEX(HSCEI!$F$7:$F$66,$N583))</f>
        <v/>
      </c>
      <c r="G583" s="40">
        <f>IF($L583="","",IF($P583=0,"TBA",IFERROR(INDEX(Grids!$BQ$160:$EC$219,$N583,$O583),"-")))</f>
        <v/>
      </c>
      <c r="H583" s="41">
        <f>IF($L583="","",SUM($G$442:$G583))</f>
        <v/>
      </c>
      <c r="I583" s="42">
        <f>IF($L583="","",IF(INT(($L583-INT($L583/10000000)*10000000)/1000000)=0,"Bloomberg projection",IF($P583=1,"ANNOUNCED","ANNOUNCED - amount TBA")))</f>
        <v/>
      </c>
      <c r="J583" s="43">
        <f>IF($L583="","",IF((OV_SWITCH="ON")*(COUNTIFS(OVR_TICKERS,INDEX(HSCEI!$C$7:$C$66,$N583),OVR_BASE,"&gt;=0")&gt;0)&gt;0,"stock overridden",""))</f>
        <v/>
      </c>
      <c r="L583" s="35">
        <f>IFERROR(IF(SMALL(Grids!$EE$160:$GQ$219,$M$439+142)&gt;=PEND_TO,"",SMALL(Grids!$EE$160:$GQ$219,$M$439+142)),"")</f>
        <v/>
      </c>
      <c r="M583" s="35">
        <f>IF($L583="","",INT($L583/1000000000))</f>
        <v/>
      </c>
      <c r="N583" s="35">
        <f>IF($L583="","",INT(($L583-INT($L583/1000000)*1000000)/1000))</f>
        <v/>
      </c>
      <c r="O583" s="35">
        <f>IF($L583="","",$L583-INT($L583/1000)*1000)</f>
        <v/>
      </c>
      <c r="P583" s="35">
        <f>IF($L583="","",INT(($L583-INT($L583/1000000000)*1000000000)/100000000))</f>
        <v/>
      </c>
    </row>
    <row r="584">
      <c r="B584" s="39">
        <f>IF($L584="","",$M584)</f>
        <v/>
      </c>
      <c r="C584" s="18">
        <f>IF($L584="","",INDEX(HSCEI!$C$7:$C$66,$N584))</f>
        <v/>
      </c>
      <c r="D584" s="18">
        <f>IF($L584="","",INDEX(HSCEI!$D$7:$D$66,$N584))</f>
        <v/>
      </c>
      <c r="E584" s="40">
        <f>IF($L584="","",IF($P584=0,"TBA",IFERROR(INDEX(Grids!$C$160:$BO$219,$N584,$O584),"-")))</f>
        <v/>
      </c>
      <c r="F584" s="18">
        <f>IF($L584="","",INDEX(HSCEI!$F$7:$F$66,$N584))</f>
        <v/>
      </c>
      <c r="G584" s="40">
        <f>IF($L584="","",IF($P584=0,"TBA",IFERROR(INDEX(Grids!$BQ$160:$EC$219,$N584,$O584),"-")))</f>
        <v/>
      </c>
      <c r="H584" s="41">
        <f>IF($L584="","",SUM($G$442:$G584))</f>
        <v/>
      </c>
      <c r="I584" s="42">
        <f>IF($L584="","",IF(INT(($L584-INT($L584/10000000)*10000000)/1000000)=0,"Bloomberg projection",IF($P584=1,"ANNOUNCED","ANNOUNCED - amount TBA")))</f>
        <v/>
      </c>
      <c r="J584" s="43">
        <f>IF($L584="","",IF((OV_SWITCH="ON")*(COUNTIFS(OVR_TICKERS,INDEX(HSCEI!$C$7:$C$66,$N584),OVR_BASE,"&gt;=0")&gt;0)&gt;0,"stock overridden",""))</f>
        <v/>
      </c>
      <c r="L584" s="35">
        <f>IFERROR(IF(SMALL(Grids!$EE$160:$GQ$219,$M$439+143)&gt;=PEND_TO,"",SMALL(Grids!$EE$160:$GQ$219,$M$439+143)),"")</f>
        <v/>
      </c>
      <c r="M584" s="35">
        <f>IF($L584="","",INT($L584/1000000000))</f>
        <v/>
      </c>
      <c r="N584" s="35">
        <f>IF($L584="","",INT(($L584-INT($L584/1000000)*1000000)/1000))</f>
        <v/>
      </c>
      <c r="O584" s="35">
        <f>IF($L584="","",$L584-INT($L584/1000)*1000)</f>
        <v/>
      </c>
      <c r="P584" s="35">
        <f>IF($L584="","",INT(($L584-INT($L584/1000000000)*1000000000)/100000000))</f>
        <v/>
      </c>
    </row>
    <row r="585">
      <c r="B585" s="39">
        <f>IF($L585="","",$M585)</f>
        <v/>
      </c>
      <c r="C585" s="18">
        <f>IF($L585="","",INDEX(HSCEI!$C$7:$C$66,$N585))</f>
        <v/>
      </c>
      <c r="D585" s="18">
        <f>IF($L585="","",INDEX(HSCEI!$D$7:$D$66,$N585))</f>
        <v/>
      </c>
      <c r="E585" s="40">
        <f>IF($L585="","",IF($P585=0,"TBA",IFERROR(INDEX(Grids!$C$160:$BO$219,$N585,$O585),"-")))</f>
        <v/>
      </c>
      <c r="F585" s="18">
        <f>IF($L585="","",INDEX(HSCEI!$F$7:$F$66,$N585))</f>
        <v/>
      </c>
      <c r="G585" s="40">
        <f>IF($L585="","",IF($P585=0,"TBA",IFERROR(INDEX(Grids!$BQ$160:$EC$219,$N585,$O585),"-")))</f>
        <v/>
      </c>
      <c r="H585" s="41">
        <f>IF($L585="","",SUM($G$442:$G585))</f>
        <v/>
      </c>
      <c r="I585" s="42">
        <f>IF($L585="","",IF(INT(($L585-INT($L585/10000000)*10000000)/1000000)=0,"Bloomberg projection",IF($P585=1,"ANNOUNCED","ANNOUNCED - amount TBA")))</f>
        <v/>
      </c>
      <c r="J585" s="43">
        <f>IF($L585="","",IF((OV_SWITCH="ON")*(COUNTIFS(OVR_TICKERS,INDEX(HSCEI!$C$7:$C$66,$N585),OVR_BASE,"&gt;=0")&gt;0)&gt;0,"stock overridden",""))</f>
        <v/>
      </c>
      <c r="L585" s="35">
        <f>IFERROR(IF(SMALL(Grids!$EE$160:$GQ$219,$M$439+144)&gt;=PEND_TO,"",SMALL(Grids!$EE$160:$GQ$219,$M$439+144)),"")</f>
        <v/>
      </c>
      <c r="M585" s="35">
        <f>IF($L585="","",INT($L585/1000000000))</f>
        <v/>
      </c>
      <c r="N585" s="35">
        <f>IF($L585="","",INT(($L585-INT($L585/1000000)*1000000)/1000))</f>
        <v/>
      </c>
      <c r="O585" s="35">
        <f>IF($L585="","",$L585-INT($L585/1000)*1000)</f>
        <v/>
      </c>
      <c r="P585" s="35">
        <f>IF($L585="","",INT(($L585-INT($L585/1000000000)*1000000000)/100000000))</f>
        <v/>
      </c>
    </row>
    <row r="586">
      <c r="B586" s="39">
        <f>IF($L586="","",$M586)</f>
        <v/>
      </c>
      <c r="C586" s="18">
        <f>IF($L586="","",INDEX(HSCEI!$C$7:$C$66,$N586))</f>
        <v/>
      </c>
      <c r="D586" s="18">
        <f>IF($L586="","",INDEX(HSCEI!$D$7:$D$66,$N586))</f>
        <v/>
      </c>
      <c r="E586" s="40">
        <f>IF($L586="","",IF($P586=0,"TBA",IFERROR(INDEX(Grids!$C$160:$BO$219,$N586,$O586),"-")))</f>
        <v/>
      </c>
      <c r="F586" s="18">
        <f>IF($L586="","",INDEX(HSCEI!$F$7:$F$66,$N586))</f>
        <v/>
      </c>
      <c r="G586" s="40">
        <f>IF($L586="","",IF($P586=0,"TBA",IFERROR(INDEX(Grids!$BQ$160:$EC$219,$N586,$O586),"-")))</f>
        <v/>
      </c>
      <c r="H586" s="41">
        <f>IF($L586="","",SUM($G$442:$G586))</f>
        <v/>
      </c>
      <c r="I586" s="42">
        <f>IF($L586="","",IF(INT(($L586-INT($L586/10000000)*10000000)/1000000)=0,"Bloomberg projection",IF($P586=1,"ANNOUNCED","ANNOUNCED - amount TBA")))</f>
        <v/>
      </c>
      <c r="J586" s="43">
        <f>IF($L586="","",IF((OV_SWITCH="ON")*(COUNTIFS(OVR_TICKERS,INDEX(HSCEI!$C$7:$C$66,$N586),OVR_BASE,"&gt;=0")&gt;0)&gt;0,"stock overridden",""))</f>
        <v/>
      </c>
      <c r="L586" s="35">
        <f>IFERROR(IF(SMALL(Grids!$EE$160:$GQ$219,$M$439+145)&gt;=PEND_TO,"",SMALL(Grids!$EE$160:$GQ$219,$M$439+145)),"")</f>
        <v/>
      </c>
      <c r="M586" s="35">
        <f>IF($L586="","",INT($L586/1000000000))</f>
        <v/>
      </c>
      <c r="N586" s="35">
        <f>IF($L586="","",INT(($L586-INT($L586/1000000)*1000000)/1000))</f>
        <v/>
      </c>
      <c r="O586" s="35">
        <f>IF($L586="","",$L586-INT($L586/1000)*1000)</f>
        <v/>
      </c>
      <c r="P586" s="35">
        <f>IF($L586="","",INT(($L586-INT($L586/1000000000)*1000000000)/100000000))</f>
        <v/>
      </c>
    </row>
    <row r="587">
      <c r="B587" s="39">
        <f>IF($L587="","",$M587)</f>
        <v/>
      </c>
      <c r="C587" s="18">
        <f>IF($L587="","",INDEX(HSCEI!$C$7:$C$66,$N587))</f>
        <v/>
      </c>
      <c r="D587" s="18">
        <f>IF($L587="","",INDEX(HSCEI!$D$7:$D$66,$N587))</f>
        <v/>
      </c>
      <c r="E587" s="40">
        <f>IF($L587="","",IF($P587=0,"TBA",IFERROR(INDEX(Grids!$C$160:$BO$219,$N587,$O587),"-")))</f>
        <v/>
      </c>
      <c r="F587" s="18">
        <f>IF($L587="","",INDEX(HSCEI!$F$7:$F$66,$N587))</f>
        <v/>
      </c>
      <c r="G587" s="40">
        <f>IF($L587="","",IF($P587=0,"TBA",IFERROR(INDEX(Grids!$BQ$160:$EC$219,$N587,$O587),"-")))</f>
        <v/>
      </c>
      <c r="H587" s="41">
        <f>IF($L587="","",SUM($G$442:$G587))</f>
        <v/>
      </c>
      <c r="I587" s="42">
        <f>IF($L587="","",IF(INT(($L587-INT($L587/10000000)*10000000)/1000000)=0,"Bloomberg projection",IF($P587=1,"ANNOUNCED","ANNOUNCED - amount TBA")))</f>
        <v/>
      </c>
      <c r="J587" s="43">
        <f>IF($L587="","",IF((OV_SWITCH="ON")*(COUNTIFS(OVR_TICKERS,INDEX(HSCEI!$C$7:$C$66,$N587),OVR_BASE,"&gt;=0")&gt;0)&gt;0,"stock overridden",""))</f>
        <v/>
      </c>
      <c r="L587" s="35">
        <f>IFERROR(IF(SMALL(Grids!$EE$160:$GQ$219,$M$439+146)&gt;=PEND_TO,"",SMALL(Grids!$EE$160:$GQ$219,$M$439+146)),"")</f>
        <v/>
      </c>
      <c r="M587" s="35">
        <f>IF($L587="","",INT($L587/1000000000))</f>
        <v/>
      </c>
      <c r="N587" s="35">
        <f>IF($L587="","",INT(($L587-INT($L587/1000000)*1000000)/1000))</f>
        <v/>
      </c>
      <c r="O587" s="35">
        <f>IF($L587="","",$L587-INT($L587/1000)*1000)</f>
        <v/>
      </c>
      <c r="P587" s="35">
        <f>IF($L587="","",INT(($L587-INT($L587/1000000000)*1000000000)/100000000))</f>
        <v/>
      </c>
    </row>
    <row r="588">
      <c r="B588" s="39">
        <f>IF($L588="","",$M588)</f>
        <v/>
      </c>
      <c r="C588" s="18">
        <f>IF($L588="","",INDEX(HSCEI!$C$7:$C$66,$N588))</f>
        <v/>
      </c>
      <c r="D588" s="18">
        <f>IF($L588="","",INDEX(HSCEI!$D$7:$D$66,$N588))</f>
        <v/>
      </c>
      <c r="E588" s="40">
        <f>IF($L588="","",IF($P588=0,"TBA",IFERROR(INDEX(Grids!$C$160:$BO$219,$N588,$O588),"-")))</f>
        <v/>
      </c>
      <c r="F588" s="18">
        <f>IF($L588="","",INDEX(HSCEI!$F$7:$F$66,$N588))</f>
        <v/>
      </c>
      <c r="G588" s="40">
        <f>IF($L588="","",IF($P588=0,"TBA",IFERROR(INDEX(Grids!$BQ$160:$EC$219,$N588,$O588),"-")))</f>
        <v/>
      </c>
      <c r="H588" s="41">
        <f>IF($L588="","",SUM($G$442:$G588))</f>
        <v/>
      </c>
      <c r="I588" s="42">
        <f>IF($L588="","",IF(INT(($L588-INT($L588/10000000)*10000000)/1000000)=0,"Bloomberg projection",IF($P588=1,"ANNOUNCED","ANNOUNCED - amount TBA")))</f>
        <v/>
      </c>
      <c r="J588" s="43">
        <f>IF($L588="","",IF((OV_SWITCH="ON")*(COUNTIFS(OVR_TICKERS,INDEX(HSCEI!$C$7:$C$66,$N588),OVR_BASE,"&gt;=0")&gt;0)&gt;0,"stock overridden",""))</f>
        <v/>
      </c>
      <c r="L588" s="35">
        <f>IFERROR(IF(SMALL(Grids!$EE$160:$GQ$219,$M$439+147)&gt;=PEND_TO,"",SMALL(Grids!$EE$160:$GQ$219,$M$439+147)),"")</f>
        <v/>
      </c>
      <c r="M588" s="35">
        <f>IF($L588="","",INT($L588/1000000000))</f>
        <v/>
      </c>
      <c r="N588" s="35">
        <f>IF($L588="","",INT(($L588-INT($L588/1000000)*1000000)/1000))</f>
        <v/>
      </c>
      <c r="O588" s="35">
        <f>IF($L588="","",$L588-INT($L588/1000)*1000)</f>
        <v/>
      </c>
      <c r="P588" s="35">
        <f>IF($L588="","",INT(($L588-INT($L588/1000000000)*1000000000)/100000000))</f>
        <v/>
      </c>
    </row>
    <row r="589">
      <c r="B589" s="39">
        <f>IF($L589="","",$M589)</f>
        <v/>
      </c>
      <c r="C589" s="18">
        <f>IF($L589="","",INDEX(HSCEI!$C$7:$C$66,$N589))</f>
        <v/>
      </c>
      <c r="D589" s="18">
        <f>IF($L589="","",INDEX(HSCEI!$D$7:$D$66,$N589))</f>
        <v/>
      </c>
      <c r="E589" s="40">
        <f>IF($L589="","",IF($P589=0,"TBA",IFERROR(INDEX(Grids!$C$160:$BO$219,$N589,$O589),"-")))</f>
        <v/>
      </c>
      <c r="F589" s="18">
        <f>IF($L589="","",INDEX(HSCEI!$F$7:$F$66,$N589))</f>
        <v/>
      </c>
      <c r="G589" s="40">
        <f>IF($L589="","",IF($P589=0,"TBA",IFERROR(INDEX(Grids!$BQ$160:$EC$219,$N589,$O589),"-")))</f>
        <v/>
      </c>
      <c r="H589" s="41">
        <f>IF($L589="","",SUM($G$442:$G589))</f>
        <v/>
      </c>
      <c r="I589" s="42">
        <f>IF($L589="","",IF(INT(($L589-INT($L589/10000000)*10000000)/1000000)=0,"Bloomberg projection",IF($P589=1,"ANNOUNCED","ANNOUNCED - amount TBA")))</f>
        <v/>
      </c>
      <c r="J589" s="43">
        <f>IF($L589="","",IF((OV_SWITCH="ON")*(COUNTIFS(OVR_TICKERS,INDEX(HSCEI!$C$7:$C$66,$N589),OVR_BASE,"&gt;=0")&gt;0)&gt;0,"stock overridden",""))</f>
        <v/>
      </c>
      <c r="L589" s="35">
        <f>IFERROR(IF(SMALL(Grids!$EE$160:$GQ$219,$M$439+148)&gt;=PEND_TO,"",SMALL(Grids!$EE$160:$GQ$219,$M$439+148)),"")</f>
        <v/>
      </c>
      <c r="M589" s="35">
        <f>IF($L589="","",INT($L589/1000000000))</f>
        <v/>
      </c>
      <c r="N589" s="35">
        <f>IF($L589="","",INT(($L589-INT($L589/1000000)*1000000)/1000))</f>
        <v/>
      </c>
      <c r="O589" s="35">
        <f>IF($L589="","",$L589-INT($L589/1000)*1000)</f>
        <v/>
      </c>
      <c r="P589" s="35">
        <f>IF($L589="","",INT(($L589-INT($L589/1000000000)*1000000000)/100000000))</f>
        <v/>
      </c>
    </row>
    <row r="590">
      <c r="B590" s="39">
        <f>IF($L590="","",$M590)</f>
        <v/>
      </c>
      <c r="C590" s="18">
        <f>IF($L590="","",INDEX(HSCEI!$C$7:$C$66,$N590))</f>
        <v/>
      </c>
      <c r="D590" s="18">
        <f>IF($L590="","",INDEX(HSCEI!$D$7:$D$66,$N590))</f>
        <v/>
      </c>
      <c r="E590" s="40">
        <f>IF($L590="","",IF($P590=0,"TBA",IFERROR(INDEX(Grids!$C$160:$BO$219,$N590,$O590),"-")))</f>
        <v/>
      </c>
      <c r="F590" s="18">
        <f>IF($L590="","",INDEX(HSCEI!$F$7:$F$66,$N590))</f>
        <v/>
      </c>
      <c r="G590" s="40">
        <f>IF($L590="","",IF($P590=0,"TBA",IFERROR(INDEX(Grids!$BQ$160:$EC$219,$N590,$O590),"-")))</f>
        <v/>
      </c>
      <c r="H590" s="41">
        <f>IF($L590="","",SUM($G$442:$G590))</f>
        <v/>
      </c>
      <c r="I590" s="42">
        <f>IF($L590="","",IF(INT(($L590-INT($L590/10000000)*10000000)/1000000)=0,"Bloomberg projection",IF($P590=1,"ANNOUNCED","ANNOUNCED - amount TBA")))</f>
        <v/>
      </c>
      <c r="J590" s="43">
        <f>IF($L590="","",IF((OV_SWITCH="ON")*(COUNTIFS(OVR_TICKERS,INDEX(HSCEI!$C$7:$C$66,$N590),OVR_BASE,"&gt;=0")&gt;0)&gt;0,"stock overridden",""))</f>
        <v/>
      </c>
      <c r="L590" s="35">
        <f>IFERROR(IF(SMALL(Grids!$EE$160:$GQ$219,$M$439+149)&gt;=PEND_TO,"",SMALL(Grids!$EE$160:$GQ$219,$M$439+149)),"")</f>
        <v/>
      </c>
      <c r="M590" s="35">
        <f>IF($L590="","",INT($L590/1000000000))</f>
        <v/>
      </c>
      <c r="N590" s="35">
        <f>IF($L590="","",INT(($L590-INT($L590/1000000)*1000000)/1000))</f>
        <v/>
      </c>
      <c r="O590" s="35">
        <f>IF($L590="","",$L590-INT($L590/1000)*1000)</f>
        <v/>
      </c>
      <c r="P590" s="35">
        <f>IF($L590="","",INT(($L590-INT($L590/1000000000)*1000000000)/100000000))</f>
        <v/>
      </c>
    </row>
    <row r="591">
      <c r="B591" s="39">
        <f>IF($L591="","",$M591)</f>
        <v/>
      </c>
      <c r="C591" s="18">
        <f>IF($L591="","",INDEX(HSCEI!$C$7:$C$66,$N591))</f>
        <v/>
      </c>
      <c r="D591" s="18">
        <f>IF($L591="","",INDEX(HSCEI!$D$7:$D$66,$N591))</f>
        <v/>
      </c>
      <c r="E591" s="40">
        <f>IF($L591="","",IF($P591=0,"TBA",IFERROR(INDEX(Grids!$C$160:$BO$219,$N591,$O591),"-")))</f>
        <v/>
      </c>
      <c r="F591" s="18">
        <f>IF($L591="","",INDEX(HSCEI!$F$7:$F$66,$N591))</f>
        <v/>
      </c>
      <c r="G591" s="40">
        <f>IF($L591="","",IF($P591=0,"TBA",IFERROR(INDEX(Grids!$BQ$160:$EC$219,$N591,$O591),"-")))</f>
        <v/>
      </c>
      <c r="H591" s="41">
        <f>IF($L591="","",SUM($G$442:$G591))</f>
        <v/>
      </c>
      <c r="I591" s="42">
        <f>IF($L591="","",IF(INT(($L591-INT($L591/10000000)*10000000)/1000000)=0,"Bloomberg projection",IF($P591=1,"ANNOUNCED","ANNOUNCED - amount TBA")))</f>
        <v/>
      </c>
      <c r="J591" s="43">
        <f>IF($L591="","",IF((OV_SWITCH="ON")*(COUNTIFS(OVR_TICKERS,INDEX(HSCEI!$C$7:$C$66,$N591),OVR_BASE,"&gt;=0")&gt;0)&gt;0,"stock overridden",""))</f>
        <v/>
      </c>
      <c r="L591" s="35">
        <f>IFERROR(IF(SMALL(Grids!$EE$160:$GQ$219,$M$439+150)&gt;=PEND_TO,"",SMALL(Grids!$EE$160:$GQ$219,$M$439+150)),"")</f>
        <v/>
      </c>
      <c r="M591" s="35">
        <f>IF($L591="","",INT($L591/1000000000))</f>
        <v/>
      </c>
      <c r="N591" s="35">
        <f>IF($L591="","",INT(($L591-INT($L591/1000000)*1000000)/1000))</f>
        <v/>
      </c>
      <c r="O591" s="35">
        <f>IF($L591="","",$L591-INT($L591/1000)*1000)</f>
        <v/>
      </c>
      <c r="P591" s="35">
        <f>IF($L591="","",INT(($L591-INT($L591/1000000000)*1000000000)/100000000))</f>
        <v/>
      </c>
    </row>
    <row r="592">
      <c r="B592" s="39">
        <f>IF($L592="","",$M592)</f>
        <v/>
      </c>
      <c r="C592" s="18">
        <f>IF($L592="","",INDEX(HSCEI!$C$7:$C$66,$N592))</f>
        <v/>
      </c>
      <c r="D592" s="18">
        <f>IF($L592="","",INDEX(HSCEI!$D$7:$D$66,$N592))</f>
        <v/>
      </c>
      <c r="E592" s="40">
        <f>IF($L592="","",IF($P592=0,"TBA",IFERROR(INDEX(Grids!$C$160:$BO$219,$N592,$O592),"-")))</f>
        <v/>
      </c>
      <c r="F592" s="18">
        <f>IF($L592="","",INDEX(HSCEI!$F$7:$F$66,$N592))</f>
        <v/>
      </c>
      <c r="G592" s="40">
        <f>IF($L592="","",IF($P592=0,"TBA",IFERROR(INDEX(Grids!$BQ$160:$EC$219,$N592,$O592),"-")))</f>
        <v/>
      </c>
      <c r="H592" s="41">
        <f>IF($L592="","",SUM($G$442:$G592))</f>
        <v/>
      </c>
      <c r="I592" s="42">
        <f>IF($L592="","",IF(INT(($L592-INT($L592/10000000)*10000000)/1000000)=0,"Bloomberg projection",IF($P592=1,"ANNOUNCED","ANNOUNCED - amount TBA")))</f>
        <v/>
      </c>
      <c r="J592" s="43">
        <f>IF($L592="","",IF((OV_SWITCH="ON")*(COUNTIFS(OVR_TICKERS,INDEX(HSCEI!$C$7:$C$66,$N592),OVR_BASE,"&gt;=0")&gt;0)&gt;0,"stock overridden",""))</f>
        <v/>
      </c>
      <c r="L592" s="35">
        <f>IFERROR(IF(SMALL(Grids!$EE$160:$GQ$219,$M$439+151)&gt;=PEND_TO,"",SMALL(Grids!$EE$160:$GQ$219,$M$439+151)),"")</f>
        <v/>
      </c>
      <c r="M592" s="35">
        <f>IF($L592="","",INT($L592/1000000000))</f>
        <v/>
      </c>
      <c r="N592" s="35">
        <f>IF($L592="","",INT(($L592-INT($L592/1000000)*1000000)/1000))</f>
        <v/>
      </c>
      <c r="O592" s="35">
        <f>IF($L592="","",$L592-INT($L592/1000)*1000)</f>
        <v/>
      </c>
      <c r="P592" s="35">
        <f>IF($L592="","",INT(($L592-INT($L592/1000000000)*1000000000)/100000000))</f>
        <v/>
      </c>
    </row>
    <row r="593">
      <c r="B593" s="39">
        <f>IF($L593="","",$M593)</f>
        <v/>
      </c>
      <c r="C593" s="18">
        <f>IF($L593="","",INDEX(HSCEI!$C$7:$C$66,$N593))</f>
        <v/>
      </c>
      <c r="D593" s="18">
        <f>IF($L593="","",INDEX(HSCEI!$D$7:$D$66,$N593))</f>
        <v/>
      </c>
      <c r="E593" s="40">
        <f>IF($L593="","",IF($P593=0,"TBA",IFERROR(INDEX(Grids!$C$160:$BO$219,$N593,$O593),"-")))</f>
        <v/>
      </c>
      <c r="F593" s="18">
        <f>IF($L593="","",INDEX(HSCEI!$F$7:$F$66,$N593))</f>
        <v/>
      </c>
      <c r="G593" s="40">
        <f>IF($L593="","",IF($P593=0,"TBA",IFERROR(INDEX(Grids!$BQ$160:$EC$219,$N593,$O593),"-")))</f>
        <v/>
      </c>
      <c r="H593" s="41">
        <f>IF($L593="","",SUM($G$442:$G593))</f>
        <v/>
      </c>
      <c r="I593" s="42">
        <f>IF($L593="","",IF(INT(($L593-INT($L593/10000000)*10000000)/1000000)=0,"Bloomberg projection",IF($P593=1,"ANNOUNCED","ANNOUNCED - amount TBA")))</f>
        <v/>
      </c>
      <c r="J593" s="43">
        <f>IF($L593="","",IF((OV_SWITCH="ON")*(COUNTIFS(OVR_TICKERS,INDEX(HSCEI!$C$7:$C$66,$N593),OVR_BASE,"&gt;=0")&gt;0)&gt;0,"stock overridden",""))</f>
        <v/>
      </c>
      <c r="L593" s="35">
        <f>IFERROR(IF(SMALL(Grids!$EE$160:$GQ$219,$M$439+152)&gt;=PEND_TO,"",SMALL(Grids!$EE$160:$GQ$219,$M$439+152)),"")</f>
        <v/>
      </c>
      <c r="M593" s="35">
        <f>IF($L593="","",INT($L593/1000000000))</f>
        <v/>
      </c>
      <c r="N593" s="35">
        <f>IF($L593="","",INT(($L593-INT($L593/1000000)*1000000)/1000))</f>
        <v/>
      </c>
      <c r="O593" s="35">
        <f>IF($L593="","",$L593-INT($L593/1000)*1000)</f>
        <v/>
      </c>
      <c r="P593" s="35">
        <f>IF($L593="","",INT(($L593-INT($L593/1000000000)*1000000000)/100000000))</f>
        <v/>
      </c>
    </row>
    <row r="594">
      <c r="B594" s="39">
        <f>IF($L594="","",$M594)</f>
        <v/>
      </c>
      <c r="C594" s="18">
        <f>IF($L594="","",INDEX(HSCEI!$C$7:$C$66,$N594))</f>
        <v/>
      </c>
      <c r="D594" s="18">
        <f>IF($L594="","",INDEX(HSCEI!$D$7:$D$66,$N594))</f>
        <v/>
      </c>
      <c r="E594" s="40">
        <f>IF($L594="","",IF($P594=0,"TBA",IFERROR(INDEX(Grids!$C$160:$BO$219,$N594,$O594),"-")))</f>
        <v/>
      </c>
      <c r="F594" s="18">
        <f>IF($L594="","",INDEX(HSCEI!$F$7:$F$66,$N594))</f>
        <v/>
      </c>
      <c r="G594" s="40">
        <f>IF($L594="","",IF($P594=0,"TBA",IFERROR(INDEX(Grids!$BQ$160:$EC$219,$N594,$O594),"-")))</f>
        <v/>
      </c>
      <c r="H594" s="41">
        <f>IF($L594="","",SUM($G$442:$G594))</f>
        <v/>
      </c>
      <c r="I594" s="42">
        <f>IF($L594="","",IF(INT(($L594-INT($L594/10000000)*10000000)/1000000)=0,"Bloomberg projection",IF($P594=1,"ANNOUNCED","ANNOUNCED - amount TBA")))</f>
        <v/>
      </c>
      <c r="J594" s="43">
        <f>IF($L594="","",IF((OV_SWITCH="ON")*(COUNTIFS(OVR_TICKERS,INDEX(HSCEI!$C$7:$C$66,$N594),OVR_BASE,"&gt;=0")&gt;0)&gt;0,"stock overridden",""))</f>
        <v/>
      </c>
      <c r="L594" s="35">
        <f>IFERROR(IF(SMALL(Grids!$EE$160:$GQ$219,$M$439+153)&gt;=PEND_TO,"",SMALL(Grids!$EE$160:$GQ$219,$M$439+153)),"")</f>
        <v/>
      </c>
      <c r="M594" s="35">
        <f>IF($L594="","",INT($L594/1000000000))</f>
        <v/>
      </c>
      <c r="N594" s="35">
        <f>IF($L594="","",INT(($L594-INT($L594/1000000)*1000000)/1000))</f>
        <v/>
      </c>
      <c r="O594" s="35">
        <f>IF($L594="","",$L594-INT($L594/1000)*1000)</f>
        <v/>
      </c>
      <c r="P594" s="35">
        <f>IF($L594="","",INT(($L594-INT($L594/1000000000)*1000000000)/100000000))</f>
        <v/>
      </c>
    </row>
    <row r="595">
      <c r="B595" s="39">
        <f>IF($L595="","",$M595)</f>
        <v/>
      </c>
      <c r="C595" s="18">
        <f>IF($L595="","",INDEX(HSCEI!$C$7:$C$66,$N595))</f>
        <v/>
      </c>
      <c r="D595" s="18">
        <f>IF($L595="","",INDEX(HSCEI!$D$7:$D$66,$N595))</f>
        <v/>
      </c>
      <c r="E595" s="40">
        <f>IF($L595="","",IF($P595=0,"TBA",IFERROR(INDEX(Grids!$C$160:$BO$219,$N595,$O595),"-")))</f>
        <v/>
      </c>
      <c r="F595" s="18">
        <f>IF($L595="","",INDEX(HSCEI!$F$7:$F$66,$N595))</f>
        <v/>
      </c>
      <c r="G595" s="40">
        <f>IF($L595="","",IF($P595=0,"TBA",IFERROR(INDEX(Grids!$BQ$160:$EC$219,$N595,$O595),"-")))</f>
        <v/>
      </c>
      <c r="H595" s="41">
        <f>IF($L595="","",SUM($G$442:$G595))</f>
        <v/>
      </c>
      <c r="I595" s="42">
        <f>IF($L595="","",IF(INT(($L595-INT($L595/10000000)*10000000)/1000000)=0,"Bloomberg projection",IF($P595=1,"ANNOUNCED","ANNOUNCED - amount TBA")))</f>
        <v/>
      </c>
      <c r="J595" s="43">
        <f>IF($L595="","",IF((OV_SWITCH="ON")*(COUNTIFS(OVR_TICKERS,INDEX(HSCEI!$C$7:$C$66,$N595),OVR_BASE,"&gt;=0")&gt;0)&gt;0,"stock overridden",""))</f>
        <v/>
      </c>
      <c r="L595" s="35">
        <f>IFERROR(IF(SMALL(Grids!$EE$160:$GQ$219,$M$439+154)&gt;=PEND_TO,"",SMALL(Grids!$EE$160:$GQ$219,$M$439+154)),"")</f>
        <v/>
      </c>
      <c r="M595" s="35">
        <f>IF($L595="","",INT($L595/1000000000))</f>
        <v/>
      </c>
      <c r="N595" s="35">
        <f>IF($L595="","",INT(($L595-INT($L595/1000000)*1000000)/1000))</f>
        <v/>
      </c>
      <c r="O595" s="35">
        <f>IF($L595="","",$L595-INT($L595/1000)*1000)</f>
        <v/>
      </c>
      <c r="P595" s="35">
        <f>IF($L595="","",INT(($L595-INT($L595/1000000000)*1000000000)/100000000))</f>
        <v/>
      </c>
    </row>
    <row r="596">
      <c r="B596" s="39">
        <f>IF($L596="","",$M596)</f>
        <v/>
      </c>
      <c r="C596" s="18">
        <f>IF($L596="","",INDEX(HSCEI!$C$7:$C$66,$N596))</f>
        <v/>
      </c>
      <c r="D596" s="18">
        <f>IF($L596="","",INDEX(HSCEI!$D$7:$D$66,$N596))</f>
        <v/>
      </c>
      <c r="E596" s="40">
        <f>IF($L596="","",IF($P596=0,"TBA",IFERROR(INDEX(Grids!$C$160:$BO$219,$N596,$O596),"-")))</f>
        <v/>
      </c>
      <c r="F596" s="18">
        <f>IF($L596="","",INDEX(HSCEI!$F$7:$F$66,$N596))</f>
        <v/>
      </c>
      <c r="G596" s="40">
        <f>IF($L596="","",IF($P596=0,"TBA",IFERROR(INDEX(Grids!$BQ$160:$EC$219,$N596,$O596),"-")))</f>
        <v/>
      </c>
      <c r="H596" s="41">
        <f>IF($L596="","",SUM($G$442:$G596))</f>
        <v/>
      </c>
      <c r="I596" s="42">
        <f>IF($L596="","",IF(INT(($L596-INT($L596/10000000)*10000000)/1000000)=0,"Bloomberg projection",IF($P596=1,"ANNOUNCED","ANNOUNCED - amount TBA")))</f>
        <v/>
      </c>
      <c r="J596" s="43">
        <f>IF($L596="","",IF((OV_SWITCH="ON")*(COUNTIFS(OVR_TICKERS,INDEX(HSCEI!$C$7:$C$66,$N596),OVR_BASE,"&gt;=0")&gt;0)&gt;0,"stock overridden",""))</f>
        <v/>
      </c>
      <c r="L596" s="35">
        <f>IFERROR(IF(SMALL(Grids!$EE$160:$GQ$219,$M$439+155)&gt;=PEND_TO,"",SMALL(Grids!$EE$160:$GQ$219,$M$439+155)),"")</f>
        <v/>
      </c>
      <c r="M596" s="35">
        <f>IF($L596="","",INT($L596/1000000000))</f>
        <v/>
      </c>
      <c r="N596" s="35">
        <f>IF($L596="","",INT(($L596-INT($L596/1000000)*1000000)/1000))</f>
        <v/>
      </c>
      <c r="O596" s="35">
        <f>IF($L596="","",$L596-INT($L596/1000)*1000)</f>
        <v/>
      </c>
      <c r="P596" s="35">
        <f>IF($L596="","",INT(($L596-INT($L596/1000000000)*1000000000)/100000000))</f>
        <v/>
      </c>
    </row>
    <row r="597">
      <c r="B597" s="39">
        <f>IF($L597="","",$M597)</f>
        <v/>
      </c>
      <c r="C597" s="18">
        <f>IF($L597="","",INDEX(HSCEI!$C$7:$C$66,$N597))</f>
        <v/>
      </c>
      <c r="D597" s="18">
        <f>IF($L597="","",INDEX(HSCEI!$D$7:$D$66,$N597))</f>
        <v/>
      </c>
      <c r="E597" s="40">
        <f>IF($L597="","",IF($P597=0,"TBA",IFERROR(INDEX(Grids!$C$160:$BO$219,$N597,$O597),"-")))</f>
        <v/>
      </c>
      <c r="F597" s="18">
        <f>IF($L597="","",INDEX(HSCEI!$F$7:$F$66,$N597))</f>
        <v/>
      </c>
      <c r="G597" s="40">
        <f>IF($L597="","",IF($P597=0,"TBA",IFERROR(INDEX(Grids!$BQ$160:$EC$219,$N597,$O597),"-")))</f>
        <v/>
      </c>
      <c r="H597" s="41">
        <f>IF($L597="","",SUM($G$442:$G597))</f>
        <v/>
      </c>
      <c r="I597" s="42">
        <f>IF($L597="","",IF(INT(($L597-INT($L597/10000000)*10000000)/1000000)=0,"Bloomberg projection",IF($P597=1,"ANNOUNCED","ANNOUNCED - amount TBA")))</f>
        <v/>
      </c>
      <c r="J597" s="43">
        <f>IF($L597="","",IF((OV_SWITCH="ON")*(COUNTIFS(OVR_TICKERS,INDEX(HSCEI!$C$7:$C$66,$N597),OVR_BASE,"&gt;=0")&gt;0)&gt;0,"stock overridden",""))</f>
        <v/>
      </c>
      <c r="L597" s="35">
        <f>IFERROR(IF(SMALL(Grids!$EE$160:$GQ$219,$M$439+156)&gt;=PEND_TO,"",SMALL(Grids!$EE$160:$GQ$219,$M$439+156)),"")</f>
        <v/>
      </c>
      <c r="M597" s="35">
        <f>IF($L597="","",INT($L597/1000000000))</f>
        <v/>
      </c>
      <c r="N597" s="35">
        <f>IF($L597="","",INT(($L597-INT($L597/1000000)*1000000)/1000))</f>
        <v/>
      </c>
      <c r="O597" s="35">
        <f>IF($L597="","",$L597-INT($L597/1000)*1000)</f>
        <v/>
      </c>
      <c r="P597" s="35">
        <f>IF($L597="","",INT(($L597-INT($L597/1000000000)*1000000000)/100000000))</f>
        <v/>
      </c>
    </row>
    <row r="598">
      <c r="B598" s="39">
        <f>IF($L598="","",$M598)</f>
        <v/>
      </c>
      <c r="C598" s="18">
        <f>IF($L598="","",INDEX(HSCEI!$C$7:$C$66,$N598))</f>
        <v/>
      </c>
      <c r="D598" s="18">
        <f>IF($L598="","",INDEX(HSCEI!$D$7:$D$66,$N598))</f>
        <v/>
      </c>
      <c r="E598" s="40">
        <f>IF($L598="","",IF($P598=0,"TBA",IFERROR(INDEX(Grids!$C$160:$BO$219,$N598,$O598),"-")))</f>
        <v/>
      </c>
      <c r="F598" s="18">
        <f>IF($L598="","",INDEX(HSCEI!$F$7:$F$66,$N598))</f>
        <v/>
      </c>
      <c r="G598" s="40">
        <f>IF($L598="","",IF($P598=0,"TBA",IFERROR(INDEX(Grids!$BQ$160:$EC$219,$N598,$O598),"-")))</f>
        <v/>
      </c>
      <c r="H598" s="41">
        <f>IF($L598="","",SUM($G$442:$G598))</f>
        <v/>
      </c>
      <c r="I598" s="42">
        <f>IF($L598="","",IF(INT(($L598-INT($L598/10000000)*10000000)/1000000)=0,"Bloomberg projection",IF($P598=1,"ANNOUNCED","ANNOUNCED - amount TBA")))</f>
        <v/>
      </c>
      <c r="J598" s="43">
        <f>IF($L598="","",IF((OV_SWITCH="ON")*(COUNTIFS(OVR_TICKERS,INDEX(HSCEI!$C$7:$C$66,$N598),OVR_BASE,"&gt;=0")&gt;0)&gt;0,"stock overridden",""))</f>
        <v/>
      </c>
      <c r="L598" s="35">
        <f>IFERROR(IF(SMALL(Grids!$EE$160:$GQ$219,$M$439+157)&gt;=PEND_TO,"",SMALL(Grids!$EE$160:$GQ$219,$M$439+157)),"")</f>
        <v/>
      </c>
      <c r="M598" s="35">
        <f>IF($L598="","",INT($L598/1000000000))</f>
        <v/>
      </c>
      <c r="N598" s="35">
        <f>IF($L598="","",INT(($L598-INT($L598/1000000)*1000000)/1000))</f>
        <v/>
      </c>
      <c r="O598" s="35">
        <f>IF($L598="","",$L598-INT($L598/1000)*1000)</f>
        <v/>
      </c>
      <c r="P598" s="35">
        <f>IF($L598="","",INT(($L598-INT($L598/1000000000)*1000000000)/100000000))</f>
        <v/>
      </c>
    </row>
    <row r="599">
      <c r="B599" s="39">
        <f>IF($L599="","",$M599)</f>
        <v/>
      </c>
      <c r="C599" s="18">
        <f>IF($L599="","",INDEX(HSCEI!$C$7:$C$66,$N599))</f>
        <v/>
      </c>
      <c r="D599" s="18">
        <f>IF($L599="","",INDEX(HSCEI!$D$7:$D$66,$N599))</f>
        <v/>
      </c>
      <c r="E599" s="40">
        <f>IF($L599="","",IF($P599=0,"TBA",IFERROR(INDEX(Grids!$C$160:$BO$219,$N599,$O599),"-")))</f>
        <v/>
      </c>
      <c r="F599" s="18">
        <f>IF($L599="","",INDEX(HSCEI!$F$7:$F$66,$N599))</f>
        <v/>
      </c>
      <c r="G599" s="40">
        <f>IF($L599="","",IF($P599=0,"TBA",IFERROR(INDEX(Grids!$BQ$160:$EC$219,$N599,$O599),"-")))</f>
        <v/>
      </c>
      <c r="H599" s="41">
        <f>IF($L599="","",SUM($G$442:$G599))</f>
        <v/>
      </c>
      <c r="I599" s="42">
        <f>IF($L599="","",IF(INT(($L599-INT($L599/10000000)*10000000)/1000000)=0,"Bloomberg projection",IF($P599=1,"ANNOUNCED","ANNOUNCED - amount TBA")))</f>
        <v/>
      </c>
      <c r="J599" s="43">
        <f>IF($L599="","",IF((OV_SWITCH="ON")*(COUNTIFS(OVR_TICKERS,INDEX(HSCEI!$C$7:$C$66,$N599),OVR_BASE,"&gt;=0")&gt;0)&gt;0,"stock overridden",""))</f>
        <v/>
      </c>
      <c r="L599" s="35">
        <f>IFERROR(IF(SMALL(Grids!$EE$160:$GQ$219,$M$439+158)&gt;=PEND_TO,"",SMALL(Grids!$EE$160:$GQ$219,$M$439+158)),"")</f>
        <v/>
      </c>
      <c r="M599" s="35">
        <f>IF($L599="","",INT($L599/1000000000))</f>
        <v/>
      </c>
      <c r="N599" s="35">
        <f>IF($L599="","",INT(($L599-INT($L599/1000000)*1000000)/1000))</f>
        <v/>
      </c>
      <c r="O599" s="35">
        <f>IF($L599="","",$L599-INT($L599/1000)*1000)</f>
        <v/>
      </c>
      <c r="P599" s="35">
        <f>IF($L599="","",INT(($L599-INT($L599/1000000000)*1000000000)/100000000))</f>
        <v/>
      </c>
    </row>
    <row r="600">
      <c r="B600" s="39">
        <f>IF($L600="","",$M600)</f>
        <v/>
      </c>
      <c r="C600" s="18">
        <f>IF($L600="","",INDEX(HSCEI!$C$7:$C$66,$N600))</f>
        <v/>
      </c>
      <c r="D600" s="18">
        <f>IF($L600="","",INDEX(HSCEI!$D$7:$D$66,$N600))</f>
        <v/>
      </c>
      <c r="E600" s="40">
        <f>IF($L600="","",IF($P600=0,"TBA",IFERROR(INDEX(Grids!$C$160:$BO$219,$N600,$O600),"-")))</f>
        <v/>
      </c>
      <c r="F600" s="18">
        <f>IF($L600="","",INDEX(HSCEI!$F$7:$F$66,$N600))</f>
        <v/>
      </c>
      <c r="G600" s="40">
        <f>IF($L600="","",IF($P600=0,"TBA",IFERROR(INDEX(Grids!$BQ$160:$EC$219,$N600,$O600),"-")))</f>
        <v/>
      </c>
      <c r="H600" s="41">
        <f>IF($L600="","",SUM($G$442:$G600))</f>
        <v/>
      </c>
      <c r="I600" s="42">
        <f>IF($L600="","",IF(INT(($L600-INT($L600/10000000)*10000000)/1000000)=0,"Bloomberg projection",IF($P600=1,"ANNOUNCED","ANNOUNCED - amount TBA")))</f>
        <v/>
      </c>
      <c r="J600" s="43">
        <f>IF($L600="","",IF((OV_SWITCH="ON")*(COUNTIFS(OVR_TICKERS,INDEX(HSCEI!$C$7:$C$66,$N600),OVR_BASE,"&gt;=0")&gt;0)&gt;0,"stock overridden",""))</f>
        <v/>
      </c>
      <c r="L600" s="35">
        <f>IFERROR(IF(SMALL(Grids!$EE$160:$GQ$219,$M$439+159)&gt;=PEND_TO,"",SMALL(Grids!$EE$160:$GQ$219,$M$439+159)),"")</f>
        <v/>
      </c>
      <c r="M600" s="35">
        <f>IF($L600="","",INT($L600/1000000000))</f>
        <v/>
      </c>
      <c r="N600" s="35">
        <f>IF($L600="","",INT(($L600-INT($L600/1000000)*1000000)/1000))</f>
        <v/>
      </c>
      <c r="O600" s="35">
        <f>IF($L600="","",$L600-INT($L600/1000)*1000)</f>
        <v/>
      </c>
      <c r="P600" s="35">
        <f>IF($L600="","",INT(($L600-INT($L600/1000000000)*1000000000)/100000000))</f>
        <v/>
      </c>
    </row>
    <row r="601">
      <c r="B601" s="39">
        <f>IF($L601="","",$M601)</f>
        <v/>
      </c>
      <c r="C601" s="18">
        <f>IF($L601="","",INDEX(HSCEI!$C$7:$C$66,$N601))</f>
        <v/>
      </c>
      <c r="D601" s="18">
        <f>IF($L601="","",INDEX(HSCEI!$D$7:$D$66,$N601))</f>
        <v/>
      </c>
      <c r="E601" s="40">
        <f>IF($L601="","",IF($P601=0,"TBA",IFERROR(INDEX(Grids!$C$160:$BO$219,$N601,$O601),"-")))</f>
        <v/>
      </c>
      <c r="F601" s="18">
        <f>IF($L601="","",INDEX(HSCEI!$F$7:$F$66,$N601))</f>
        <v/>
      </c>
      <c r="G601" s="40">
        <f>IF($L601="","",IF($P601=0,"TBA",IFERROR(INDEX(Grids!$BQ$160:$EC$219,$N601,$O601),"-")))</f>
        <v/>
      </c>
      <c r="H601" s="41">
        <f>IF($L601="","",SUM($G$442:$G601))</f>
        <v/>
      </c>
      <c r="I601" s="42">
        <f>IF($L601="","",IF(INT(($L601-INT($L601/10000000)*10000000)/1000000)=0,"Bloomberg projection",IF($P601=1,"ANNOUNCED","ANNOUNCED - amount TBA")))</f>
        <v/>
      </c>
      <c r="J601" s="43">
        <f>IF($L601="","",IF((OV_SWITCH="ON")*(COUNTIFS(OVR_TICKERS,INDEX(HSCEI!$C$7:$C$66,$N601),OVR_BASE,"&gt;=0")&gt;0)&gt;0,"stock overridden",""))</f>
        <v/>
      </c>
      <c r="L601" s="35">
        <f>IFERROR(IF(SMALL(Grids!$EE$160:$GQ$219,$M$439+160)&gt;=PEND_TO,"",SMALL(Grids!$EE$160:$GQ$219,$M$439+160)),"")</f>
        <v/>
      </c>
      <c r="M601" s="35">
        <f>IF($L601="","",INT($L601/1000000000))</f>
        <v/>
      </c>
      <c r="N601" s="35">
        <f>IF($L601="","",INT(($L601-INT($L601/1000000)*1000000)/1000))</f>
        <v/>
      </c>
      <c r="O601" s="35">
        <f>IF($L601="","",$L601-INT($L601/1000)*1000)</f>
        <v/>
      </c>
      <c r="P601" s="35">
        <f>IF($L601="","",INT(($L601-INT($L601/1000000000)*1000000000)/100000000))</f>
        <v/>
      </c>
    </row>
    <row r="602">
      <c r="B602" s="39">
        <f>IF($L602="","",$M602)</f>
        <v/>
      </c>
      <c r="C602" s="18">
        <f>IF($L602="","",INDEX(HSCEI!$C$7:$C$66,$N602))</f>
        <v/>
      </c>
      <c r="D602" s="18">
        <f>IF($L602="","",INDEX(HSCEI!$D$7:$D$66,$N602))</f>
        <v/>
      </c>
      <c r="E602" s="40">
        <f>IF($L602="","",IF($P602=0,"TBA",IFERROR(INDEX(Grids!$C$160:$BO$219,$N602,$O602),"-")))</f>
        <v/>
      </c>
      <c r="F602" s="18">
        <f>IF($L602="","",INDEX(HSCEI!$F$7:$F$66,$N602))</f>
        <v/>
      </c>
      <c r="G602" s="40">
        <f>IF($L602="","",IF($P602=0,"TBA",IFERROR(INDEX(Grids!$BQ$160:$EC$219,$N602,$O602),"-")))</f>
        <v/>
      </c>
      <c r="H602" s="41">
        <f>IF($L602="","",SUM($G$442:$G602))</f>
        <v/>
      </c>
      <c r="I602" s="42">
        <f>IF($L602="","",IF(INT(($L602-INT($L602/10000000)*10000000)/1000000)=0,"Bloomberg projection",IF($P602=1,"ANNOUNCED","ANNOUNCED - amount TBA")))</f>
        <v/>
      </c>
      <c r="J602" s="43">
        <f>IF($L602="","",IF((OV_SWITCH="ON")*(COUNTIFS(OVR_TICKERS,INDEX(HSCEI!$C$7:$C$66,$N602),OVR_BASE,"&gt;=0")&gt;0)&gt;0,"stock overridden",""))</f>
        <v/>
      </c>
      <c r="L602" s="35">
        <f>IFERROR(IF(SMALL(Grids!$EE$160:$GQ$219,$M$439+161)&gt;=PEND_TO,"",SMALL(Grids!$EE$160:$GQ$219,$M$439+161)),"")</f>
        <v/>
      </c>
      <c r="M602" s="35">
        <f>IF($L602="","",INT($L602/1000000000))</f>
        <v/>
      </c>
      <c r="N602" s="35">
        <f>IF($L602="","",INT(($L602-INT($L602/1000000)*1000000)/1000))</f>
        <v/>
      </c>
      <c r="O602" s="35">
        <f>IF($L602="","",$L602-INT($L602/1000)*1000)</f>
        <v/>
      </c>
      <c r="P602" s="35">
        <f>IF($L602="","",INT(($L602-INT($L602/1000000000)*1000000000)/100000000))</f>
        <v/>
      </c>
    </row>
    <row r="603">
      <c r="B603" s="39">
        <f>IF($L603="","",$M603)</f>
        <v/>
      </c>
      <c r="C603" s="18">
        <f>IF($L603="","",INDEX(HSCEI!$C$7:$C$66,$N603))</f>
        <v/>
      </c>
      <c r="D603" s="18">
        <f>IF($L603="","",INDEX(HSCEI!$D$7:$D$66,$N603))</f>
        <v/>
      </c>
      <c r="E603" s="40">
        <f>IF($L603="","",IF($P603=0,"TBA",IFERROR(INDEX(Grids!$C$160:$BO$219,$N603,$O603),"-")))</f>
        <v/>
      </c>
      <c r="F603" s="18">
        <f>IF($L603="","",INDEX(HSCEI!$F$7:$F$66,$N603))</f>
        <v/>
      </c>
      <c r="G603" s="40">
        <f>IF($L603="","",IF($P603=0,"TBA",IFERROR(INDEX(Grids!$BQ$160:$EC$219,$N603,$O603),"-")))</f>
        <v/>
      </c>
      <c r="H603" s="41">
        <f>IF($L603="","",SUM($G$442:$G603))</f>
        <v/>
      </c>
      <c r="I603" s="42">
        <f>IF($L603="","",IF(INT(($L603-INT($L603/10000000)*10000000)/1000000)=0,"Bloomberg projection",IF($P603=1,"ANNOUNCED","ANNOUNCED - amount TBA")))</f>
        <v/>
      </c>
      <c r="J603" s="43">
        <f>IF($L603="","",IF((OV_SWITCH="ON")*(COUNTIFS(OVR_TICKERS,INDEX(HSCEI!$C$7:$C$66,$N603),OVR_BASE,"&gt;=0")&gt;0)&gt;0,"stock overridden",""))</f>
        <v/>
      </c>
      <c r="L603" s="35">
        <f>IFERROR(IF(SMALL(Grids!$EE$160:$GQ$219,$M$439+162)&gt;=PEND_TO,"",SMALL(Grids!$EE$160:$GQ$219,$M$439+162)),"")</f>
        <v/>
      </c>
      <c r="M603" s="35">
        <f>IF($L603="","",INT($L603/1000000000))</f>
        <v/>
      </c>
      <c r="N603" s="35">
        <f>IF($L603="","",INT(($L603-INT($L603/1000000)*1000000)/1000))</f>
        <v/>
      </c>
      <c r="O603" s="35">
        <f>IF($L603="","",$L603-INT($L603/1000)*1000)</f>
        <v/>
      </c>
      <c r="P603" s="35">
        <f>IF($L603="","",INT(($L603-INT($L603/1000000000)*1000000000)/100000000))</f>
        <v/>
      </c>
    </row>
    <row r="604">
      <c r="B604" s="39">
        <f>IF($L604="","",$M604)</f>
        <v/>
      </c>
      <c r="C604" s="18">
        <f>IF($L604="","",INDEX(HSCEI!$C$7:$C$66,$N604))</f>
        <v/>
      </c>
      <c r="D604" s="18">
        <f>IF($L604="","",INDEX(HSCEI!$D$7:$D$66,$N604))</f>
        <v/>
      </c>
      <c r="E604" s="40">
        <f>IF($L604="","",IF($P604=0,"TBA",IFERROR(INDEX(Grids!$C$160:$BO$219,$N604,$O604),"-")))</f>
        <v/>
      </c>
      <c r="F604" s="18">
        <f>IF($L604="","",INDEX(HSCEI!$F$7:$F$66,$N604))</f>
        <v/>
      </c>
      <c r="G604" s="40">
        <f>IF($L604="","",IF($P604=0,"TBA",IFERROR(INDEX(Grids!$BQ$160:$EC$219,$N604,$O604),"-")))</f>
        <v/>
      </c>
      <c r="H604" s="41">
        <f>IF($L604="","",SUM($G$442:$G604))</f>
        <v/>
      </c>
      <c r="I604" s="42">
        <f>IF($L604="","",IF(INT(($L604-INT($L604/10000000)*10000000)/1000000)=0,"Bloomberg projection",IF($P604=1,"ANNOUNCED","ANNOUNCED - amount TBA")))</f>
        <v/>
      </c>
      <c r="J604" s="43">
        <f>IF($L604="","",IF((OV_SWITCH="ON")*(COUNTIFS(OVR_TICKERS,INDEX(HSCEI!$C$7:$C$66,$N604),OVR_BASE,"&gt;=0")&gt;0)&gt;0,"stock overridden",""))</f>
        <v/>
      </c>
      <c r="L604" s="35">
        <f>IFERROR(IF(SMALL(Grids!$EE$160:$GQ$219,$M$439+163)&gt;=PEND_TO,"",SMALL(Grids!$EE$160:$GQ$219,$M$439+163)),"")</f>
        <v/>
      </c>
      <c r="M604" s="35">
        <f>IF($L604="","",INT($L604/1000000000))</f>
        <v/>
      </c>
      <c r="N604" s="35">
        <f>IF($L604="","",INT(($L604-INT($L604/1000000)*1000000)/1000))</f>
        <v/>
      </c>
      <c r="O604" s="35">
        <f>IF($L604="","",$L604-INT($L604/1000)*1000)</f>
        <v/>
      </c>
      <c r="P604" s="35">
        <f>IF($L604="","",INT(($L604-INT($L604/1000000000)*1000000000)/100000000))</f>
        <v/>
      </c>
    </row>
    <row r="605">
      <c r="B605" s="39">
        <f>IF($L605="","",$M605)</f>
        <v/>
      </c>
      <c r="C605" s="18">
        <f>IF($L605="","",INDEX(HSCEI!$C$7:$C$66,$N605))</f>
        <v/>
      </c>
      <c r="D605" s="18">
        <f>IF($L605="","",INDEX(HSCEI!$D$7:$D$66,$N605))</f>
        <v/>
      </c>
      <c r="E605" s="40">
        <f>IF($L605="","",IF($P605=0,"TBA",IFERROR(INDEX(Grids!$C$160:$BO$219,$N605,$O605),"-")))</f>
        <v/>
      </c>
      <c r="F605" s="18">
        <f>IF($L605="","",INDEX(HSCEI!$F$7:$F$66,$N605))</f>
        <v/>
      </c>
      <c r="G605" s="40">
        <f>IF($L605="","",IF($P605=0,"TBA",IFERROR(INDEX(Grids!$BQ$160:$EC$219,$N605,$O605),"-")))</f>
        <v/>
      </c>
      <c r="H605" s="41">
        <f>IF($L605="","",SUM($G$442:$G605))</f>
        <v/>
      </c>
      <c r="I605" s="42">
        <f>IF($L605="","",IF(INT(($L605-INT($L605/10000000)*10000000)/1000000)=0,"Bloomberg projection",IF($P605=1,"ANNOUNCED","ANNOUNCED - amount TBA")))</f>
        <v/>
      </c>
      <c r="J605" s="43">
        <f>IF($L605="","",IF((OV_SWITCH="ON")*(COUNTIFS(OVR_TICKERS,INDEX(HSCEI!$C$7:$C$66,$N605),OVR_BASE,"&gt;=0")&gt;0)&gt;0,"stock overridden",""))</f>
        <v/>
      </c>
      <c r="L605" s="35">
        <f>IFERROR(IF(SMALL(Grids!$EE$160:$GQ$219,$M$439+164)&gt;=PEND_TO,"",SMALL(Grids!$EE$160:$GQ$219,$M$439+164)),"")</f>
        <v/>
      </c>
      <c r="M605" s="35">
        <f>IF($L605="","",INT($L605/1000000000))</f>
        <v/>
      </c>
      <c r="N605" s="35">
        <f>IF($L605="","",INT(($L605-INT($L605/1000000)*1000000)/1000))</f>
        <v/>
      </c>
      <c r="O605" s="35">
        <f>IF($L605="","",$L605-INT($L605/1000)*1000)</f>
        <v/>
      </c>
      <c r="P605" s="35">
        <f>IF($L605="","",INT(($L605-INT($L605/1000000000)*1000000000)/100000000))</f>
        <v/>
      </c>
    </row>
    <row r="606">
      <c r="B606" s="39">
        <f>IF($L606="","",$M606)</f>
        <v/>
      </c>
      <c r="C606" s="18">
        <f>IF($L606="","",INDEX(HSCEI!$C$7:$C$66,$N606))</f>
        <v/>
      </c>
      <c r="D606" s="18">
        <f>IF($L606="","",INDEX(HSCEI!$D$7:$D$66,$N606))</f>
        <v/>
      </c>
      <c r="E606" s="40">
        <f>IF($L606="","",IF($P606=0,"TBA",IFERROR(INDEX(Grids!$C$160:$BO$219,$N606,$O606),"-")))</f>
        <v/>
      </c>
      <c r="F606" s="18">
        <f>IF($L606="","",INDEX(HSCEI!$F$7:$F$66,$N606))</f>
        <v/>
      </c>
      <c r="G606" s="40">
        <f>IF($L606="","",IF($P606=0,"TBA",IFERROR(INDEX(Grids!$BQ$160:$EC$219,$N606,$O606),"-")))</f>
        <v/>
      </c>
      <c r="H606" s="41">
        <f>IF($L606="","",SUM($G$442:$G606))</f>
        <v/>
      </c>
      <c r="I606" s="42">
        <f>IF($L606="","",IF(INT(($L606-INT($L606/10000000)*10000000)/1000000)=0,"Bloomberg projection",IF($P606=1,"ANNOUNCED","ANNOUNCED - amount TBA")))</f>
        <v/>
      </c>
      <c r="J606" s="43">
        <f>IF($L606="","",IF((OV_SWITCH="ON")*(COUNTIFS(OVR_TICKERS,INDEX(HSCEI!$C$7:$C$66,$N606),OVR_BASE,"&gt;=0")&gt;0)&gt;0,"stock overridden",""))</f>
        <v/>
      </c>
      <c r="L606" s="35">
        <f>IFERROR(IF(SMALL(Grids!$EE$160:$GQ$219,$M$439+165)&gt;=PEND_TO,"",SMALL(Grids!$EE$160:$GQ$219,$M$439+165)),"")</f>
        <v/>
      </c>
      <c r="M606" s="35">
        <f>IF($L606="","",INT($L606/1000000000))</f>
        <v/>
      </c>
      <c r="N606" s="35">
        <f>IF($L606="","",INT(($L606-INT($L606/1000000)*1000000)/1000))</f>
        <v/>
      </c>
      <c r="O606" s="35">
        <f>IF($L606="","",$L606-INT($L606/1000)*1000)</f>
        <v/>
      </c>
      <c r="P606" s="35">
        <f>IF($L606="","",INT(($L606-INT($L606/1000000000)*1000000000)/100000000))</f>
        <v/>
      </c>
    </row>
    <row r="607">
      <c r="B607" s="39">
        <f>IF($L607="","",$M607)</f>
        <v/>
      </c>
      <c r="C607" s="18">
        <f>IF($L607="","",INDEX(HSCEI!$C$7:$C$66,$N607))</f>
        <v/>
      </c>
      <c r="D607" s="18">
        <f>IF($L607="","",INDEX(HSCEI!$D$7:$D$66,$N607))</f>
        <v/>
      </c>
      <c r="E607" s="40">
        <f>IF($L607="","",IF($P607=0,"TBA",IFERROR(INDEX(Grids!$C$160:$BO$219,$N607,$O607),"-")))</f>
        <v/>
      </c>
      <c r="F607" s="18">
        <f>IF($L607="","",INDEX(HSCEI!$F$7:$F$66,$N607))</f>
        <v/>
      </c>
      <c r="G607" s="40">
        <f>IF($L607="","",IF($P607=0,"TBA",IFERROR(INDEX(Grids!$BQ$160:$EC$219,$N607,$O607),"-")))</f>
        <v/>
      </c>
      <c r="H607" s="41">
        <f>IF($L607="","",SUM($G$442:$G607))</f>
        <v/>
      </c>
      <c r="I607" s="42">
        <f>IF($L607="","",IF(INT(($L607-INT($L607/10000000)*10000000)/1000000)=0,"Bloomberg projection",IF($P607=1,"ANNOUNCED","ANNOUNCED - amount TBA")))</f>
        <v/>
      </c>
      <c r="J607" s="43">
        <f>IF($L607="","",IF((OV_SWITCH="ON")*(COUNTIFS(OVR_TICKERS,INDEX(HSCEI!$C$7:$C$66,$N607),OVR_BASE,"&gt;=0")&gt;0)&gt;0,"stock overridden",""))</f>
        <v/>
      </c>
      <c r="L607" s="35">
        <f>IFERROR(IF(SMALL(Grids!$EE$160:$GQ$219,$M$439+166)&gt;=PEND_TO,"",SMALL(Grids!$EE$160:$GQ$219,$M$439+166)),"")</f>
        <v/>
      </c>
      <c r="M607" s="35">
        <f>IF($L607="","",INT($L607/1000000000))</f>
        <v/>
      </c>
      <c r="N607" s="35">
        <f>IF($L607="","",INT(($L607-INT($L607/1000000)*1000000)/1000))</f>
        <v/>
      </c>
      <c r="O607" s="35">
        <f>IF($L607="","",$L607-INT($L607/1000)*1000)</f>
        <v/>
      </c>
      <c r="P607" s="35">
        <f>IF($L607="","",INT(($L607-INT($L607/1000000000)*1000000000)/100000000))</f>
        <v/>
      </c>
    </row>
    <row r="608">
      <c r="B608" s="39">
        <f>IF($L608="","",$M608)</f>
        <v/>
      </c>
      <c r="C608" s="18">
        <f>IF($L608="","",INDEX(HSCEI!$C$7:$C$66,$N608))</f>
        <v/>
      </c>
      <c r="D608" s="18">
        <f>IF($L608="","",INDEX(HSCEI!$D$7:$D$66,$N608))</f>
        <v/>
      </c>
      <c r="E608" s="40">
        <f>IF($L608="","",IF($P608=0,"TBA",IFERROR(INDEX(Grids!$C$160:$BO$219,$N608,$O608),"-")))</f>
        <v/>
      </c>
      <c r="F608" s="18">
        <f>IF($L608="","",INDEX(HSCEI!$F$7:$F$66,$N608))</f>
        <v/>
      </c>
      <c r="G608" s="40">
        <f>IF($L608="","",IF($P608=0,"TBA",IFERROR(INDEX(Grids!$BQ$160:$EC$219,$N608,$O608),"-")))</f>
        <v/>
      </c>
      <c r="H608" s="41">
        <f>IF($L608="","",SUM($G$442:$G608))</f>
        <v/>
      </c>
      <c r="I608" s="42">
        <f>IF($L608="","",IF(INT(($L608-INT($L608/10000000)*10000000)/1000000)=0,"Bloomberg projection",IF($P608=1,"ANNOUNCED","ANNOUNCED - amount TBA")))</f>
        <v/>
      </c>
      <c r="J608" s="43">
        <f>IF($L608="","",IF((OV_SWITCH="ON")*(COUNTIFS(OVR_TICKERS,INDEX(HSCEI!$C$7:$C$66,$N608),OVR_BASE,"&gt;=0")&gt;0)&gt;0,"stock overridden",""))</f>
        <v/>
      </c>
      <c r="L608" s="35">
        <f>IFERROR(IF(SMALL(Grids!$EE$160:$GQ$219,$M$439+167)&gt;=PEND_TO,"",SMALL(Grids!$EE$160:$GQ$219,$M$439+167)),"")</f>
        <v/>
      </c>
      <c r="M608" s="35">
        <f>IF($L608="","",INT($L608/1000000000))</f>
        <v/>
      </c>
      <c r="N608" s="35">
        <f>IF($L608="","",INT(($L608-INT($L608/1000000)*1000000)/1000))</f>
        <v/>
      </c>
      <c r="O608" s="35">
        <f>IF($L608="","",$L608-INT($L608/1000)*1000)</f>
        <v/>
      </c>
      <c r="P608" s="35">
        <f>IF($L608="","",INT(($L608-INT($L608/1000000000)*1000000000)/100000000))</f>
        <v/>
      </c>
    </row>
    <row r="609">
      <c r="B609" s="39">
        <f>IF($L609="","",$M609)</f>
        <v/>
      </c>
      <c r="C609" s="18">
        <f>IF($L609="","",INDEX(HSCEI!$C$7:$C$66,$N609))</f>
        <v/>
      </c>
      <c r="D609" s="18">
        <f>IF($L609="","",INDEX(HSCEI!$D$7:$D$66,$N609))</f>
        <v/>
      </c>
      <c r="E609" s="40">
        <f>IF($L609="","",IF($P609=0,"TBA",IFERROR(INDEX(Grids!$C$160:$BO$219,$N609,$O609),"-")))</f>
        <v/>
      </c>
      <c r="F609" s="18">
        <f>IF($L609="","",INDEX(HSCEI!$F$7:$F$66,$N609))</f>
        <v/>
      </c>
      <c r="G609" s="40">
        <f>IF($L609="","",IF($P609=0,"TBA",IFERROR(INDEX(Grids!$BQ$160:$EC$219,$N609,$O609),"-")))</f>
        <v/>
      </c>
      <c r="H609" s="41">
        <f>IF($L609="","",SUM($G$442:$G609))</f>
        <v/>
      </c>
      <c r="I609" s="42">
        <f>IF($L609="","",IF(INT(($L609-INT($L609/10000000)*10000000)/1000000)=0,"Bloomberg projection",IF($P609=1,"ANNOUNCED","ANNOUNCED - amount TBA")))</f>
        <v/>
      </c>
      <c r="J609" s="43">
        <f>IF($L609="","",IF((OV_SWITCH="ON")*(COUNTIFS(OVR_TICKERS,INDEX(HSCEI!$C$7:$C$66,$N609),OVR_BASE,"&gt;=0")&gt;0)&gt;0,"stock overridden",""))</f>
        <v/>
      </c>
      <c r="L609" s="35">
        <f>IFERROR(IF(SMALL(Grids!$EE$160:$GQ$219,$M$439+168)&gt;=PEND_TO,"",SMALL(Grids!$EE$160:$GQ$219,$M$439+168)),"")</f>
        <v/>
      </c>
      <c r="M609" s="35">
        <f>IF($L609="","",INT($L609/1000000000))</f>
        <v/>
      </c>
      <c r="N609" s="35">
        <f>IF($L609="","",INT(($L609-INT($L609/1000000)*1000000)/1000))</f>
        <v/>
      </c>
      <c r="O609" s="35">
        <f>IF($L609="","",$L609-INT($L609/1000)*1000)</f>
        <v/>
      </c>
      <c r="P609" s="35">
        <f>IF($L609="","",INT(($L609-INT($L609/1000000000)*1000000000)/100000000))</f>
        <v/>
      </c>
    </row>
    <row r="610">
      <c r="B610" s="39">
        <f>IF($L610="","",$M610)</f>
        <v/>
      </c>
      <c r="C610" s="18">
        <f>IF($L610="","",INDEX(HSCEI!$C$7:$C$66,$N610))</f>
        <v/>
      </c>
      <c r="D610" s="18">
        <f>IF($L610="","",INDEX(HSCEI!$D$7:$D$66,$N610))</f>
        <v/>
      </c>
      <c r="E610" s="40">
        <f>IF($L610="","",IF($P610=0,"TBA",IFERROR(INDEX(Grids!$C$160:$BO$219,$N610,$O610),"-")))</f>
        <v/>
      </c>
      <c r="F610" s="18">
        <f>IF($L610="","",INDEX(HSCEI!$F$7:$F$66,$N610))</f>
        <v/>
      </c>
      <c r="G610" s="40">
        <f>IF($L610="","",IF($P610=0,"TBA",IFERROR(INDEX(Grids!$BQ$160:$EC$219,$N610,$O610),"-")))</f>
        <v/>
      </c>
      <c r="H610" s="41">
        <f>IF($L610="","",SUM($G$442:$G610))</f>
        <v/>
      </c>
      <c r="I610" s="42">
        <f>IF($L610="","",IF(INT(($L610-INT($L610/10000000)*10000000)/1000000)=0,"Bloomberg projection",IF($P610=1,"ANNOUNCED","ANNOUNCED - amount TBA")))</f>
        <v/>
      </c>
      <c r="J610" s="43">
        <f>IF($L610="","",IF((OV_SWITCH="ON")*(COUNTIFS(OVR_TICKERS,INDEX(HSCEI!$C$7:$C$66,$N610),OVR_BASE,"&gt;=0")&gt;0)&gt;0,"stock overridden",""))</f>
        <v/>
      </c>
      <c r="L610" s="35">
        <f>IFERROR(IF(SMALL(Grids!$EE$160:$GQ$219,$M$439+169)&gt;=PEND_TO,"",SMALL(Grids!$EE$160:$GQ$219,$M$439+169)),"")</f>
        <v/>
      </c>
      <c r="M610" s="35">
        <f>IF($L610="","",INT($L610/1000000000))</f>
        <v/>
      </c>
      <c r="N610" s="35">
        <f>IF($L610="","",INT(($L610-INT($L610/1000000)*1000000)/1000))</f>
        <v/>
      </c>
      <c r="O610" s="35">
        <f>IF($L610="","",$L610-INT($L610/1000)*1000)</f>
        <v/>
      </c>
      <c r="P610" s="35">
        <f>IF($L610="","",INT(($L610-INT($L610/1000000000)*1000000000)/100000000))</f>
        <v/>
      </c>
    </row>
    <row r="611">
      <c r="B611" s="39">
        <f>IF($L611="","",$M611)</f>
        <v/>
      </c>
      <c r="C611" s="18">
        <f>IF($L611="","",INDEX(HSCEI!$C$7:$C$66,$N611))</f>
        <v/>
      </c>
      <c r="D611" s="18">
        <f>IF($L611="","",INDEX(HSCEI!$D$7:$D$66,$N611))</f>
        <v/>
      </c>
      <c r="E611" s="40">
        <f>IF($L611="","",IF($P611=0,"TBA",IFERROR(INDEX(Grids!$C$160:$BO$219,$N611,$O611),"-")))</f>
        <v/>
      </c>
      <c r="F611" s="18">
        <f>IF($L611="","",INDEX(HSCEI!$F$7:$F$66,$N611))</f>
        <v/>
      </c>
      <c r="G611" s="40">
        <f>IF($L611="","",IF($P611=0,"TBA",IFERROR(INDEX(Grids!$BQ$160:$EC$219,$N611,$O611),"-")))</f>
        <v/>
      </c>
      <c r="H611" s="41">
        <f>IF($L611="","",SUM($G$442:$G611))</f>
        <v/>
      </c>
      <c r="I611" s="42">
        <f>IF($L611="","",IF(INT(($L611-INT($L611/10000000)*10000000)/1000000)=0,"Bloomberg projection",IF($P611=1,"ANNOUNCED","ANNOUNCED - amount TBA")))</f>
        <v/>
      </c>
      <c r="J611" s="43">
        <f>IF($L611="","",IF((OV_SWITCH="ON")*(COUNTIFS(OVR_TICKERS,INDEX(HSCEI!$C$7:$C$66,$N611),OVR_BASE,"&gt;=0")&gt;0)&gt;0,"stock overridden",""))</f>
        <v/>
      </c>
      <c r="L611" s="35">
        <f>IFERROR(IF(SMALL(Grids!$EE$160:$GQ$219,$M$439+170)&gt;=PEND_TO,"",SMALL(Grids!$EE$160:$GQ$219,$M$439+170)),"")</f>
        <v/>
      </c>
      <c r="M611" s="35">
        <f>IF($L611="","",INT($L611/1000000000))</f>
        <v/>
      </c>
      <c r="N611" s="35">
        <f>IF($L611="","",INT(($L611-INT($L611/1000000)*1000000)/1000))</f>
        <v/>
      </c>
      <c r="O611" s="35">
        <f>IF($L611="","",$L611-INT($L611/1000)*1000)</f>
        <v/>
      </c>
      <c r="P611" s="35">
        <f>IF($L611="","",INT(($L611-INT($L611/1000000000)*1000000000)/100000000))</f>
        <v/>
      </c>
    </row>
    <row r="612">
      <c r="B612" s="39">
        <f>IF($L612="","",$M612)</f>
        <v/>
      </c>
      <c r="C612" s="18">
        <f>IF($L612="","",INDEX(HSCEI!$C$7:$C$66,$N612))</f>
        <v/>
      </c>
      <c r="D612" s="18">
        <f>IF($L612="","",INDEX(HSCEI!$D$7:$D$66,$N612))</f>
        <v/>
      </c>
      <c r="E612" s="40">
        <f>IF($L612="","",IF($P612=0,"TBA",IFERROR(INDEX(Grids!$C$160:$BO$219,$N612,$O612),"-")))</f>
        <v/>
      </c>
      <c r="F612" s="18">
        <f>IF($L612="","",INDEX(HSCEI!$F$7:$F$66,$N612))</f>
        <v/>
      </c>
      <c r="G612" s="40">
        <f>IF($L612="","",IF($P612=0,"TBA",IFERROR(INDEX(Grids!$BQ$160:$EC$219,$N612,$O612),"-")))</f>
        <v/>
      </c>
      <c r="H612" s="41">
        <f>IF($L612="","",SUM($G$442:$G612))</f>
        <v/>
      </c>
      <c r="I612" s="42">
        <f>IF($L612="","",IF(INT(($L612-INT($L612/10000000)*10000000)/1000000)=0,"Bloomberg projection",IF($P612=1,"ANNOUNCED","ANNOUNCED - amount TBA")))</f>
        <v/>
      </c>
      <c r="J612" s="43">
        <f>IF($L612="","",IF((OV_SWITCH="ON")*(COUNTIFS(OVR_TICKERS,INDEX(HSCEI!$C$7:$C$66,$N612),OVR_BASE,"&gt;=0")&gt;0)&gt;0,"stock overridden",""))</f>
        <v/>
      </c>
      <c r="L612" s="35">
        <f>IFERROR(IF(SMALL(Grids!$EE$160:$GQ$219,$M$439+171)&gt;=PEND_TO,"",SMALL(Grids!$EE$160:$GQ$219,$M$439+171)),"")</f>
        <v/>
      </c>
      <c r="M612" s="35">
        <f>IF($L612="","",INT($L612/1000000000))</f>
        <v/>
      </c>
      <c r="N612" s="35">
        <f>IF($L612="","",INT(($L612-INT($L612/1000000)*1000000)/1000))</f>
        <v/>
      </c>
      <c r="O612" s="35">
        <f>IF($L612="","",$L612-INT($L612/1000)*1000)</f>
        <v/>
      </c>
      <c r="P612" s="35">
        <f>IF($L612="","",INT(($L612-INT($L612/1000000000)*1000000000)/100000000))</f>
        <v/>
      </c>
    </row>
    <row r="613">
      <c r="B613" s="39">
        <f>IF($L613="","",$M613)</f>
        <v/>
      </c>
      <c r="C613" s="18">
        <f>IF($L613="","",INDEX(HSCEI!$C$7:$C$66,$N613))</f>
        <v/>
      </c>
      <c r="D613" s="18">
        <f>IF($L613="","",INDEX(HSCEI!$D$7:$D$66,$N613))</f>
        <v/>
      </c>
      <c r="E613" s="40">
        <f>IF($L613="","",IF($P613=0,"TBA",IFERROR(INDEX(Grids!$C$160:$BO$219,$N613,$O613),"-")))</f>
        <v/>
      </c>
      <c r="F613" s="18">
        <f>IF($L613="","",INDEX(HSCEI!$F$7:$F$66,$N613))</f>
        <v/>
      </c>
      <c r="G613" s="40">
        <f>IF($L613="","",IF($P613=0,"TBA",IFERROR(INDEX(Grids!$BQ$160:$EC$219,$N613,$O613),"-")))</f>
        <v/>
      </c>
      <c r="H613" s="41">
        <f>IF($L613="","",SUM($G$442:$G613))</f>
        <v/>
      </c>
      <c r="I613" s="42">
        <f>IF($L613="","",IF(INT(($L613-INT($L613/10000000)*10000000)/1000000)=0,"Bloomberg projection",IF($P613=1,"ANNOUNCED","ANNOUNCED - amount TBA")))</f>
        <v/>
      </c>
      <c r="J613" s="43">
        <f>IF($L613="","",IF((OV_SWITCH="ON")*(COUNTIFS(OVR_TICKERS,INDEX(HSCEI!$C$7:$C$66,$N613),OVR_BASE,"&gt;=0")&gt;0)&gt;0,"stock overridden",""))</f>
        <v/>
      </c>
      <c r="L613" s="35">
        <f>IFERROR(IF(SMALL(Grids!$EE$160:$GQ$219,$M$439+172)&gt;=PEND_TO,"",SMALL(Grids!$EE$160:$GQ$219,$M$439+172)),"")</f>
        <v/>
      </c>
      <c r="M613" s="35">
        <f>IF($L613="","",INT($L613/1000000000))</f>
        <v/>
      </c>
      <c r="N613" s="35">
        <f>IF($L613="","",INT(($L613-INT($L613/1000000)*1000000)/1000))</f>
        <v/>
      </c>
      <c r="O613" s="35">
        <f>IF($L613="","",$L613-INT($L613/1000)*1000)</f>
        <v/>
      </c>
      <c r="P613" s="35">
        <f>IF($L613="","",INT(($L613-INT($L613/1000000000)*1000000000)/100000000))</f>
        <v/>
      </c>
    </row>
    <row r="614">
      <c r="B614" s="39">
        <f>IF($L614="","",$M614)</f>
        <v/>
      </c>
      <c r="C614" s="18">
        <f>IF($L614="","",INDEX(HSCEI!$C$7:$C$66,$N614))</f>
        <v/>
      </c>
      <c r="D614" s="18">
        <f>IF($L614="","",INDEX(HSCEI!$D$7:$D$66,$N614))</f>
        <v/>
      </c>
      <c r="E614" s="40">
        <f>IF($L614="","",IF($P614=0,"TBA",IFERROR(INDEX(Grids!$C$160:$BO$219,$N614,$O614),"-")))</f>
        <v/>
      </c>
      <c r="F614" s="18">
        <f>IF($L614="","",INDEX(HSCEI!$F$7:$F$66,$N614))</f>
        <v/>
      </c>
      <c r="G614" s="40">
        <f>IF($L614="","",IF($P614=0,"TBA",IFERROR(INDEX(Grids!$BQ$160:$EC$219,$N614,$O614),"-")))</f>
        <v/>
      </c>
      <c r="H614" s="41">
        <f>IF($L614="","",SUM($G$442:$G614))</f>
        <v/>
      </c>
      <c r="I614" s="42">
        <f>IF($L614="","",IF(INT(($L614-INT($L614/10000000)*10000000)/1000000)=0,"Bloomberg projection",IF($P614=1,"ANNOUNCED","ANNOUNCED - amount TBA")))</f>
        <v/>
      </c>
      <c r="J614" s="43">
        <f>IF($L614="","",IF((OV_SWITCH="ON")*(COUNTIFS(OVR_TICKERS,INDEX(HSCEI!$C$7:$C$66,$N614),OVR_BASE,"&gt;=0")&gt;0)&gt;0,"stock overridden",""))</f>
        <v/>
      </c>
      <c r="L614" s="35">
        <f>IFERROR(IF(SMALL(Grids!$EE$160:$GQ$219,$M$439+173)&gt;=PEND_TO,"",SMALL(Grids!$EE$160:$GQ$219,$M$439+173)),"")</f>
        <v/>
      </c>
      <c r="M614" s="35">
        <f>IF($L614="","",INT($L614/1000000000))</f>
        <v/>
      </c>
      <c r="N614" s="35">
        <f>IF($L614="","",INT(($L614-INT($L614/1000000)*1000000)/1000))</f>
        <v/>
      </c>
      <c r="O614" s="35">
        <f>IF($L614="","",$L614-INT($L614/1000)*1000)</f>
        <v/>
      </c>
      <c r="P614" s="35">
        <f>IF($L614="","",INT(($L614-INT($L614/1000000000)*1000000000)/100000000))</f>
        <v/>
      </c>
    </row>
    <row r="615">
      <c r="B615" s="39">
        <f>IF($L615="","",$M615)</f>
        <v/>
      </c>
      <c r="C615" s="18">
        <f>IF($L615="","",INDEX(HSCEI!$C$7:$C$66,$N615))</f>
        <v/>
      </c>
      <c r="D615" s="18">
        <f>IF($L615="","",INDEX(HSCEI!$D$7:$D$66,$N615))</f>
        <v/>
      </c>
      <c r="E615" s="40">
        <f>IF($L615="","",IF($P615=0,"TBA",IFERROR(INDEX(Grids!$C$160:$BO$219,$N615,$O615),"-")))</f>
        <v/>
      </c>
      <c r="F615" s="18">
        <f>IF($L615="","",INDEX(HSCEI!$F$7:$F$66,$N615))</f>
        <v/>
      </c>
      <c r="G615" s="40">
        <f>IF($L615="","",IF($P615=0,"TBA",IFERROR(INDEX(Grids!$BQ$160:$EC$219,$N615,$O615),"-")))</f>
        <v/>
      </c>
      <c r="H615" s="41">
        <f>IF($L615="","",SUM($G$442:$G615))</f>
        <v/>
      </c>
      <c r="I615" s="42">
        <f>IF($L615="","",IF(INT(($L615-INT($L615/10000000)*10000000)/1000000)=0,"Bloomberg projection",IF($P615=1,"ANNOUNCED","ANNOUNCED - amount TBA")))</f>
        <v/>
      </c>
      <c r="J615" s="43">
        <f>IF($L615="","",IF((OV_SWITCH="ON")*(COUNTIFS(OVR_TICKERS,INDEX(HSCEI!$C$7:$C$66,$N615),OVR_BASE,"&gt;=0")&gt;0)&gt;0,"stock overridden",""))</f>
        <v/>
      </c>
      <c r="L615" s="35">
        <f>IFERROR(IF(SMALL(Grids!$EE$160:$GQ$219,$M$439+174)&gt;=PEND_TO,"",SMALL(Grids!$EE$160:$GQ$219,$M$439+174)),"")</f>
        <v/>
      </c>
      <c r="M615" s="35">
        <f>IF($L615="","",INT($L615/1000000000))</f>
        <v/>
      </c>
      <c r="N615" s="35">
        <f>IF($L615="","",INT(($L615-INT($L615/1000000)*1000000)/1000))</f>
        <v/>
      </c>
      <c r="O615" s="35">
        <f>IF($L615="","",$L615-INT($L615/1000)*1000)</f>
        <v/>
      </c>
      <c r="P615" s="35">
        <f>IF($L615="","",INT(($L615-INT($L615/1000000000)*1000000000)/100000000))</f>
        <v/>
      </c>
    </row>
    <row r="616">
      <c r="B616" s="39">
        <f>IF($L616="","",$M616)</f>
        <v/>
      </c>
      <c r="C616" s="18">
        <f>IF($L616="","",INDEX(HSCEI!$C$7:$C$66,$N616))</f>
        <v/>
      </c>
      <c r="D616" s="18">
        <f>IF($L616="","",INDEX(HSCEI!$D$7:$D$66,$N616))</f>
        <v/>
      </c>
      <c r="E616" s="40">
        <f>IF($L616="","",IF($P616=0,"TBA",IFERROR(INDEX(Grids!$C$160:$BO$219,$N616,$O616),"-")))</f>
        <v/>
      </c>
      <c r="F616" s="18">
        <f>IF($L616="","",INDEX(HSCEI!$F$7:$F$66,$N616))</f>
        <v/>
      </c>
      <c r="G616" s="40">
        <f>IF($L616="","",IF($P616=0,"TBA",IFERROR(INDEX(Grids!$BQ$160:$EC$219,$N616,$O616),"-")))</f>
        <v/>
      </c>
      <c r="H616" s="41">
        <f>IF($L616="","",SUM($G$442:$G616))</f>
        <v/>
      </c>
      <c r="I616" s="42">
        <f>IF($L616="","",IF(INT(($L616-INT($L616/10000000)*10000000)/1000000)=0,"Bloomberg projection",IF($P616=1,"ANNOUNCED","ANNOUNCED - amount TBA")))</f>
        <v/>
      </c>
      <c r="J616" s="43">
        <f>IF($L616="","",IF((OV_SWITCH="ON")*(COUNTIFS(OVR_TICKERS,INDEX(HSCEI!$C$7:$C$66,$N616),OVR_BASE,"&gt;=0")&gt;0)&gt;0,"stock overridden",""))</f>
        <v/>
      </c>
      <c r="L616" s="35">
        <f>IFERROR(IF(SMALL(Grids!$EE$160:$GQ$219,$M$439+175)&gt;=PEND_TO,"",SMALL(Grids!$EE$160:$GQ$219,$M$439+175)),"")</f>
        <v/>
      </c>
      <c r="M616" s="35">
        <f>IF($L616="","",INT($L616/1000000000))</f>
        <v/>
      </c>
      <c r="N616" s="35">
        <f>IF($L616="","",INT(($L616-INT($L616/1000000)*1000000)/1000))</f>
        <v/>
      </c>
      <c r="O616" s="35">
        <f>IF($L616="","",$L616-INT($L616/1000)*1000)</f>
        <v/>
      </c>
      <c r="P616" s="35">
        <f>IF($L616="","",INT(($L616-INT($L616/1000000000)*1000000000)/100000000))</f>
        <v/>
      </c>
    </row>
    <row r="617">
      <c r="B617" s="39">
        <f>IF($L617="","",$M617)</f>
        <v/>
      </c>
      <c r="C617" s="18">
        <f>IF($L617="","",INDEX(HSCEI!$C$7:$C$66,$N617))</f>
        <v/>
      </c>
      <c r="D617" s="18">
        <f>IF($L617="","",INDEX(HSCEI!$D$7:$D$66,$N617))</f>
        <v/>
      </c>
      <c r="E617" s="40">
        <f>IF($L617="","",IF($P617=0,"TBA",IFERROR(INDEX(Grids!$C$160:$BO$219,$N617,$O617),"-")))</f>
        <v/>
      </c>
      <c r="F617" s="18">
        <f>IF($L617="","",INDEX(HSCEI!$F$7:$F$66,$N617))</f>
        <v/>
      </c>
      <c r="G617" s="40">
        <f>IF($L617="","",IF($P617=0,"TBA",IFERROR(INDEX(Grids!$BQ$160:$EC$219,$N617,$O617),"-")))</f>
        <v/>
      </c>
      <c r="H617" s="41">
        <f>IF($L617="","",SUM($G$442:$G617))</f>
        <v/>
      </c>
      <c r="I617" s="42">
        <f>IF($L617="","",IF(INT(($L617-INT($L617/10000000)*10000000)/1000000)=0,"Bloomberg projection",IF($P617=1,"ANNOUNCED","ANNOUNCED - amount TBA")))</f>
        <v/>
      </c>
      <c r="J617" s="43">
        <f>IF($L617="","",IF((OV_SWITCH="ON")*(COUNTIFS(OVR_TICKERS,INDEX(HSCEI!$C$7:$C$66,$N617),OVR_BASE,"&gt;=0")&gt;0)&gt;0,"stock overridden",""))</f>
        <v/>
      </c>
      <c r="L617" s="35">
        <f>IFERROR(IF(SMALL(Grids!$EE$160:$GQ$219,$M$439+176)&gt;=PEND_TO,"",SMALL(Grids!$EE$160:$GQ$219,$M$439+176)),"")</f>
        <v/>
      </c>
      <c r="M617" s="35">
        <f>IF($L617="","",INT($L617/1000000000))</f>
        <v/>
      </c>
      <c r="N617" s="35">
        <f>IF($L617="","",INT(($L617-INT($L617/1000000)*1000000)/1000))</f>
        <v/>
      </c>
      <c r="O617" s="35">
        <f>IF($L617="","",$L617-INT($L617/1000)*1000)</f>
        <v/>
      </c>
      <c r="P617" s="35">
        <f>IF($L617="","",INT(($L617-INT($L617/1000000000)*1000000000)/100000000))</f>
        <v/>
      </c>
    </row>
    <row r="618">
      <c r="B618" s="39">
        <f>IF($L618="","",$M618)</f>
        <v/>
      </c>
      <c r="C618" s="18">
        <f>IF($L618="","",INDEX(HSCEI!$C$7:$C$66,$N618))</f>
        <v/>
      </c>
      <c r="D618" s="18">
        <f>IF($L618="","",INDEX(HSCEI!$D$7:$D$66,$N618))</f>
        <v/>
      </c>
      <c r="E618" s="40">
        <f>IF($L618="","",IF($P618=0,"TBA",IFERROR(INDEX(Grids!$C$160:$BO$219,$N618,$O618),"-")))</f>
        <v/>
      </c>
      <c r="F618" s="18">
        <f>IF($L618="","",INDEX(HSCEI!$F$7:$F$66,$N618))</f>
        <v/>
      </c>
      <c r="G618" s="40">
        <f>IF($L618="","",IF($P618=0,"TBA",IFERROR(INDEX(Grids!$BQ$160:$EC$219,$N618,$O618),"-")))</f>
        <v/>
      </c>
      <c r="H618" s="41">
        <f>IF($L618="","",SUM($G$442:$G618))</f>
        <v/>
      </c>
      <c r="I618" s="42">
        <f>IF($L618="","",IF(INT(($L618-INT($L618/10000000)*10000000)/1000000)=0,"Bloomberg projection",IF($P618=1,"ANNOUNCED","ANNOUNCED - amount TBA")))</f>
        <v/>
      </c>
      <c r="J618" s="43">
        <f>IF($L618="","",IF((OV_SWITCH="ON")*(COUNTIFS(OVR_TICKERS,INDEX(HSCEI!$C$7:$C$66,$N618),OVR_BASE,"&gt;=0")&gt;0)&gt;0,"stock overridden",""))</f>
        <v/>
      </c>
      <c r="L618" s="35">
        <f>IFERROR(IF(SMALL(Grids!$EE$160:$GQ$219,$M$439+177)&gt;=PEND_TO,"",SMALL(Grids!$EE$160:$GQ$219,$M$439+177)),"")</f>
        <v/>
      </c>
      <c r="M618" s="35">
        <f>IF($L618="","",INT($L618/1000000000))</f>
        <v/>
      </c>
      <c r="N618" s="35">
        <f>IF($L618="","",INT(($L618-INT($L618/1000000)*1000000)/1000))</f>
        <v/>
      </c>
      <c r="O618" s="35">
        <f>IF($L618="","",$L618-INT($L618/1000)*1000)</f>
        <v/>
      </c>
      <c r="P618" s="35">
        <f>IF($L618="","",INT(($L618-INT($L618/1000000000)*1000000000)/100000000))</f>
        <v/>
      </c>
    </row>
    <row r="619">
      <c r="B619" s="39">
        <f>IF($L619="","",$M619)</f>
        <v/>
      </c>
      <c r="C619" s="18">
        <f>IF($L619="","",INDEX(HSCEI!$C$7:$C$66,$N619))</f>
        <v/>
      </c>
      <c r="D619" s="18">
        <f>IF($L619="","",INDEX(HSCEI!$D$7:$D$66,$N619))</f>
        <v/>
      </c>
      <c r="E619" s="40">
        <f>IF($L619="","",IF($P619=0,"TBA",IFERROR(INDEX(Grids!$C$160:$BO$219,$N619,$O619),"-")))</f>
        <v/>
      </c>
      <c r="F619" s="18">
        <f>IF($L619="","",INDEX(HSCEI!$F$7:$F$66,$N619))</f>
        <v/>
      </c>
      <c r="G619" s="40">
        <f>IF($L619="","",IF($P619=0,"TBA",IFERROR(INDEX(Grids!$BQ$160:$EC$219,$N619,$O619),"-")))</f>
        <v/>
      </c>
      <c r="H619" s="41">
        <f>IF($L619="","",SUM($G$442:$G619))</f>
        <v/>
      </c>
      <c r="I619" s="42">
        <f>IF($L619="","",IF(INT(($L619-INT($L619/10000000)*10000000)/1000000)=0,"Bloomberg projection",IF($P619=1,"ANNOUNCED","ANNOUNCED - amount TBA")))</f>
        <v/>
      </c>
      <c r="J619" s="43">
        <f>IF($L619="","",IF((OV_SWITCH="ON")*(COUNTIFS(OVR_TICKERS,INDEX(HSCEI!$C$7:$C$66,$N619),OVR_BASE,"&gt;=0")&gt;0)&gt;0,"stock overridden",""))</f>
        <v/>
      </c>
      <c r="L619" s="35">
        <f>IFERROR(IF(SMALL(Grids!$EE$160:$GQ$219,$M$439+178)&gt;=PEND_TO,"",SMALL(Grids!$EE$160:$GQ$219,$M$439+178)),"")</f>
        <v/>
      </c>
      <c r="M619" s="35">
        <f>IF($L619="","",INT($L619/1000000000))</f>
        <v/>
      </c>
      <c r="N619" s="35">
        <f>IF($L619="","",INT(($L619-INT($L619/1000000)*1000000)/1000))</f>
        <v/>
      </c>
      <c r="O619" s="35">
        <f>IF($L619="","",$L619-INT($L619/1000)*1000)</f>
        <v/>
      </c>
      <c r="P619" s="35">
        <f>IF($L619="","",INT(($L619-INT($L619/1000000000)*1000000000)/100000000))</f>
        <v/>
      </c>
    </row>
    <row r="620">
      <c r="B620" s="39">
        <f>IF($L620="","",$M620)</f>
        <v/>
      </c>
      <c r="C620" s="18">
        <f>IF($L620="","",INDEX(HSCEI!$C$7:$C$66,$N620))</f>
        <v/>
      </c>
      <c r="D620" s="18">
        <f>IF($L620="","",INDEX(HSCEI!$D$7:$D$66,$N620))</f>
        <v/>
      </c>
      <c r="E620" s="40">
        <f>IF($L620="","",IF($P620=0,"TBA",IFERROR(INDEX(Grids!$C$160:$BO$219,$N620,$O620),"-")))</f>
        <v/>
      </c>
      <c r="F620" s="18">
        <f>IF($L620="","",INDEX(HSCEI!$F$7:$F$66,$N620))</f>
        <v/>
      </c>
      <c r="G620" s="40">
        <f>IF($L620="","",IF($P620=0,"TBA",IFERROR(INDEX(Grids!$BQ$160:$EC$219,$N620,$O620),"-")))</f>
        <v/>
      </c>
      <c r="H620" s="41">
        <f>IF($L620="","",SUM($G$442:$G620))</f>
        <v/>
      </c>
      <c r="I620" s="42">
        <f>IF($L620="","",IF(INT(($L620-INT($L620/10000000)*10000000)/1000000)=0,"Bloomberg projection",IF($P620=1,"ANNOUNCED","ANNOUNCED - amount TBA")))</f>
        <v/>
      </c>
      <c r="J620" s="43">
        <f>IF($L620="","",IF((OV_SWITCH="ON")*(COUNTIFS(OVR_TICKERS,INDEX(HSCEI!$C$7:$C$66,$N620),OVR_BASE,"&gt;=0")&gt;0)&gt;0,"stock overridden",""))</f>
        <v/>
      </c>
      <c r="L620" s="35">
        <f>IFERROR(IF(SMALL(Grids!$EE$160:$GQ$219,$M$439+179)&gt;=PEND_TO,"",SMALL(Grids!$EE$160:$GQ$219,$M$439+179)),"")</f>
        <v/>
      </c>
      <c r="M620" s="35">
        <f>IF($L620="","",INT($L620/1000000000))</f>
        <v/>
      </c>
      <c r="N620" s="35">
        <f>IF($L620="","",INT(($L620-INT($L620/1000000)*1000000)/1000))</f>
        <v/>
      </c>
      <c r="O620" s="35">
        <f>IF($L620="","",$L620-INT($L620/1000)*1000)</f>
        <v/>
      </c>
      <c r="P620" s="35">
        <f>IF($L620="","",INT(($L620-INT($L620/1000000000)*1000000000)/100000000))</f>
        <v/>
      </c>
    </row>
    <row r="621">
      <c r="B621" s="39">
        <f>IF($L621="","",$M621)</f>
        <v/>
      </c>
      <c r="C621" s="18">
        <f>IF($L621="","",INDEX(HSCEI!$C$7:$C$66,$N621))</f>
        <v/>
      </c>
      <c r="D621" s="18">
        <f>IF($L621="","",INDEX(HSCEI!$D$7:$D$66,$N621))</f>
        <v/>
      </c>
      <c r="E621" s="40">
        <f>IF($L621="","",IF($P621=0,"TBA",IFERROR(INDEX(Grids!$C$160:$BO$219,$N621,$O621),"-")))</f>
        <v/>
      </c>
      <c r="F621" s="18">
        <f>IF($L621="","",INDEX(HSCEI!$F$7:$F$66,$N621))</f>
        <v/>
      </c>
      <c r="G621" s="40">
        <f>IF($L621="","",IF($P621=0,"TBA",IFERROR(INDEX(Grids!$BQ$160:$EC$219,$N621,$O621),"-")))</f>
        <v/>
      </c>
      <c r="H621" s="41">
        <f>IF($L621="","",SUM($G$442:$G621))</f>
        <v/>
      </c>
      <c r="I621" s="42">
        <f>IF($L621="","",IF(INT(($L621-INT($L621/10000000)*10000000)/1000000)=0,"Bloomberg projection",IF($P621=1,"ANNOUNCED","ANNOUNCED - amount TBA")))</f>
        <v/>
      </c>
      <c r="J621" s="43">
        <f>IF($L621="","",IF((OV_SWITCH="ON")*(COUNTIFS(OVR_TICKERS,INDEX(HSCEI!$C$7:$C$66,$N621),OVR_BASE,"&gt;=0")&gt;0)&gt;0,"stock overridden",""))</f>
        <v/>
      </c>
      <c r="L621" s="35">
        <f>IFERROR(IF(SMALL(Grids!$EE$160:$GQ$219,$M$439+180)&gt;=PEND_TO,"",SMALL(Grids!$EE$160:$GQ$219,$M$439+180)),"")</f>
        <v/>
      </c>
      <c r="M621" s="35">
        <f>IF($L621="","",INT($L621/1000000000))</f>
        <v/>
      </c>
      <c r="N621" s="35">
        <f>IF($L621="","",INT(($L621-INT($L621/1000000)*1000000)/1000))</f>
        <v/>
      </c>
      <c r="O621" s="35">
        <f>IF($L621="","",$L621-INT($L621/1000)*1000)</f>
        <v/>
      </c>
      <c r="P621" s="35">
        <f>IF($L621="","",INT(($L621-INT($L621/1000000000)*1000000000)/100000000))</f>
        <v/>
      </c>
    </row>
  </sheetData>
  <conditionalFormatting sqref="I10:I309">
    <cfRule type="expression" priority="1" dxfId="0">
      <formula>ISNUMBER(SEARCH("TBA",$I10))</formula>
    </cfRule>
  </conditionalFormatting>
  <conditionalFormatting sqref="I316:I435">
    <cfRule type="expression" priority="2" dxfId="0">
      <formula>ISNUMBER(SEARCH("TBA",$I316))</formula>
    </cfRule>
  </conditionalFormatting>
  <conditionalFormatting sqref="I442:I621">
    <cfRule type="expression" priority="3" dxfId="0">
      <formula>ISNUMBER(SEARCH("TBA",$I442))</formula>
    </cfRule>
  </conditionalFormatting>
  <pageMargins left="0.75" right="0.75" top="1" bottom="1" header="0.5" footer="0.5"/>
</worksheet>
</file>

<file path=xl/worksheets/sheet4.xml><?xml version="1.0" encoding="utf-8"?>
<worksheet xmlns="http://schemas.openxmlformats.org/spreadsheetml/2006/main">
  <sheetPr>
    <tabColor rgb="00A9D08E"/>
    <outlinePr summaryBelow="1" summaryRight="1"/>
    <pageSetUpPr/>
  </sheetPr>
  <dimension ref="B1:P39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1" customWidth="1" min="3" max="3"/>
    <col width="11" customWidth="1" min="4" max="4"/>
    <col width="11" customWidth="1" min="5" max="5"/>
    <col width="11" customWidth="1" min="6" max="6"/>
    <col width="11" customWidth="1" min="7" max="7"/>
    <col width="11" customWidth="1" min="8" max="8"/>
    <col width="3" customWidth="1" min="9" max="9"/>
    <col width="9" customWidth="1" min="10" max="10"/>
    <col width="11" customWidth="1" min="11" max="11"/>
    <col width="11" customWidth="1" min="12" max="12"/>
    <col width="11" customWidth="1" min="13" max="13"/>
    <col width="11" customWidth="1" min="14" max="14"/>
    <col width="11" customWidth="1" min="15" max="15"/>
    <col width="11" customWidth="1" min="16" max="16"/>
  </cols>
  <sheetData>
    <row r="1">
      <c r="B1" s="1" t="inlineStr">
        <is>
          <t>DIVIDEND FLOW - WHEN THE POINTS GO EX</t>
        </is>
      </c>
    </row>
    <row r="2">
      <c r="B2" s="2" t="inlineStr">
        <is>
          <t>Year Y by ex-date. Up to the valuation date = realized, after it = still to come. Bloomberg's event view (with your cash-type rules).</t>
        </is>
      </c>
    </row>
    <row r="4">
      <c r="B4" s="6" t="inlineStr">
        <is>
          <t>Year</t>
        </is>
      </c>
      <c r="C4" s="44">
        <f>YEAR_Y</f>
        <v/>
      </c>
      <c r="D4" s="6" t="inlineStr">
        <is>
          <t>Valuation</t>
        </is>
      </c>
      <c r="E4" s="45">
        <f>VAL_DATE</f>
        <v/>
      </c>
    </row>
    <row r="6">
      <c r="B6" s="3" t="inlineStr">
        <is>
          <t>YEAR TOTALS (index points)</t>
        </is>
      </c>
      <c r="C6" s="4" t="n"/>
      <c r="D6" s="4" t="n"/>
      <c r="E6" s="4" t="n"/>
      <c r="F6" s="4" t="n"/>
      <c r="G6" s="4" t="n"/>
      <c r="H6" s="4" t="n"/>
    </row>
    <row r="7">
      <c r="C7" s="2" t="inlineStr">
        <is>
          <t>Realized</t>
        </is>
      </c>
      <c r="D7" s="2" t="inlineStr">
        <is>
          <t>Still to come</t>
        </is>
      </c>
      <c r="E7" s="2" t="inlineStr">
        <is>
          <t>YEAR TOTAL</t>
        </is>
      </c>
      <c r="J7" s="3" t="inlineStr">
        <is>
          <t>BY MONTH (realized vs still to come)</t>
        </is>
      </c>
      <c r="K7" s="4" t="n"/>
      <c r="L7" s="4" t="n"/>
      <c r="M7" s="4" t="n"/>
      <c r="N7" s="4" t="n"/>
      <c r="O7" s="4" t="n"/>
      <c r="P7" s="4" t="n"/>
    </row>
    <row r="8">
      <c r="B8" s="9" t="inlineStr">
        <is>
          <t>HSI</t>
        </is>
      </c>
      <c r="C8" s="21">
        <f>HSI!$O$5</f>
        <v/>
      </c>
      <c r="D8" s="21">
        <f>HSI!$P$5</f>
        <v/>
      </c>
      <c r="E8" s="46">
        <f>HSI!$Q$5</f>
        <v/>
      </c>
      <c r="J8" s="19" t="inlineStr">
        <is>
          <t>Month</t>
        </is>
      </c>
      <c r="K8" s="19" t="inlineStr">
        <is>
          <t>HSI
realized</t>
        </is>
      </c>
      <c r="L8" s="19" t="inlineStr">
        <is>
          <t>HSI
to come</t>
        </is>
      </c>
      <c r="M8" s="19" t="inlineStr">
        <is>
          <t>HSTECH
realized</t>
        </is>
      </c>
      <c r="N8" s="19" t="inlineStr">
        <is>
          <t>HSTECH
to come</t>
        </is>
      </c>
      <c r="O8" s="19" t="inlineStr">
        <is>
          <t>HSCEI
realized</t>
        </is>
      </c>
      <c r="P8" s="19" t="inlineStr">
        <is>
          <t>HSCEI
to come</t>
        </is>
      </c>
    </row>
    <row r="9">
      <c r="B9" s="9" t="inlineStr">
        <is>
          <t>HSTECH</t>
        </is>
      </c>
      <c r="C9" s="21">
        <f>HSTECH!$O$5</f>
        <v/>
      </c>
      <c r="D9" s="21">
        <f>HSTECH!$P$5</f>
        <v/>
      </c>
      <c r="E9" s="46">
        <f>HSTECH!$Q$5</f>
        <v/>
      </c>
      <c r="J9" s="42">
        <f>TEXT(DATE(YEAR_Y,1,1),"mmm")</f>
        <v/>
      </c>
      <c r="K9" s="47">
        <f>SUMIFS($C$26:$C$395,$B$26:$B$395,"&gt;="&amp;DATE(YEAR_Y,1,1),$B$26:$B$395,"&lt;"&amp;DATE(YEAR_Y+(1=12),MOD(1,12)+1,1),$B$26:$B$395,"&lt;="&amp;VAL_DATE)</f>
        <v/>
      </c>
      <c r="L9" s="47">
        <f>SUMIFS($C$26:$C$395,$B$26:$B$395,"&gt;="&amp;DATE(YEAR_Y,1,1),$B$26:$B$395,"&lt;"&amp;DATE(YEAR_Y+(1=12),MOD(1,12)+1,1),$B$26:$B$395,"&gt;"&amp;VAL_DATE)</f>
        <v/>
      </c>
      <c r="M9" s="47">
        <f>SUMIFS($D$26:$D$395,$B$26:$B$395,"&gt;="&amp;DATE(YEAR_Y,1,1),$B$26:$B$395,"&lt;"&amp;DATE(YEAR_Y+(1=12),MOD(1,12)+1,1),$B$26:$B$395,"&lt;="&amp;VAL_DATE)</f>
        <v/>
      </c>
      <c r="N9" s="47">
        <f>SUMIFS($D$26:$D$395,$B$26:$B$395,"&gt;="&amp;DATE(YEAR_Y,1,1),$B$26:$B$395,"&lt;"&amp;DATE(YEAR_Y+(1=12),MOD(1,12)+1,1),$B$26:$B$395,"&gt;"&amp;VAL_DATE)</f>
        <v/>
      </c>
      <c r="O9" s="47">
        <f>SUMIFS($E$26:$E$395,$B$26:$B$395,"&gt;="&amp;DATE(YEAR_Y,1,1),$B$26:$B$395,"&lt;"&amp;DATE(YEAR_Y+(1=12),MOD(1,12)+1,1),$B$26:$B$395,"&lt;="&amp;VAL_DATE)</f>
        <v/>
      </c>
      <c r="P9" s="47">
        <f>SUMIFS($E$26:$E$395,$B$26:$B$395,"&gt;="&amp;DATE(YEAR_Y,1,1),$B$26:$B$395,"&lt;"&amp;DATE(YEAR_Y+(1=12),MOD(1,12)+1,1),$B$26:$B$395,"&gt;"&amp;VAL_DATE)</f>
        <v/>
      </c>
    </row>
    <row r="10">
      <c r="B10" s="9" t="inlineStr">
        <is>
          <t>HSCEI</t>
        </is>
      </c>
      <c r="C10" s="21">
        <f>HSCEI!$O$5</f>
        <v/>
      </c>
      <c r="D10" s="21">
        <f>HSCEI!$P$5</f>
        <v/>
      </c>
      <c r="E10" s="46">
        <f>HSCEI!$Q$5</f>
        <v/>
      </c>
      <c r="J10" s="42">
        <f>TEXT(DATE(YEAR_Y,2,1),"mmm")</f>
        <v/>
      </c>
      <c r="K10" s="47">
        <f>SUMIFS($C$26:$C$395,$B$26:$B$395,"&gt;="&amp;DATE(YEAR_Y,2,1),$B$26:$B$395,"&lt;"&amp;DATE(YEAR_Y+(2=12),MOD(2,12)+1,1),$B$26:$B$395,"&lt;="&amp;VAL_DATE)</f>
        <v/>
      </c>
      <c r="L10" s="47">
        <f>SUMIFS($C$26:$C$395,$B$26:$B$395,"&gt;="&amp;DATE(YEAR_Y,2,1),$B$26:$B$395,"&lt;"&amp;DATE(YEAR_Y+(2=12),MOD(2,12)+1,1),$B$26:$B$395,"&gt;"&amp;VAL_DATE)</f>
        <v/>
      </c>
      <c r="M10" s="47">
        <f>SUMIFS($D$26:$D$395,$B$26:$B$395,"&gt;="&amp;DATE(YEAR_Y,2,1),$B$26:$B$395,"&lt;"&amp;DATE(YEAR_Y+(2=12),MOD(2,12)+1,1),$B$26:$B$395,"&lt;="&amp;VAL_DATE)</f>
        <v/>
      </c>
      <c r="N10" s="47">
        <f>SUMIFS($D$26:$D$395,$B$26:$B$395,"&gt;="&amp;DATE(YEAR_Y,2,1),$B$26:$B$395,"&lt;"&amp;DATE(YEAR_Y+(2=12),MOD(2,12)+1,1),$B$26:$B$395,"&gt;"&amp;VAL_DATE)</f>
        <v/>
      </c>
      <c r="O10" s="47">
        <f>SUMIFS($E$26:$E$395,$B$26:$B$395,"&gt;="&amp;DATE(YEAR_Y,2,1),$B$26:$B$395,"&lt;"&amp;DATE(YEAR_Y+(2=12),MOD(2,12)+1,1),$B$26:$B$395,"&lt;="&amp;VAL_DATE)</f>
        <v/>
      </c>
      <c r="P10" s="47">
        <f>SUMIFS($E$26:$E$395,$B$26:$B$395,"&gt;="&amp;DATE(YEAR_Y,2,1),$B$26:$B$395,"&lt;"&amp;DATE(YEAR_Y+(2=12),MOD(2,12)+1,1),$B$26:$B$395,"&gt;"&amp;VAL_DATE)</f>
        <v/>
      </c>
    </row>
    <row r="11">
      <c r="J11" s="42">
        <f>TEXT(DATE(YEAR_Y,3,1),"mmm")</f>
        <v/>
      </c>
      <c r="K11" s="47">
        <f>SUMIFS($C$26:$C$395,$B$26:$B$395,"&gt;="&amp;DATE(YEAR_Y,3,1),$B$26:$B$395,"&lt;"&amp;DATE(YEAR_Y+(3=12),MOD(3,12)+1,1),$B$26:$B$395,"&lt;="&amp;VAL_DATE)</f>
        <v/>
      </c>
      <c r="L11" s="47">
        <f>SUMIFS($C$26:$C$395,$B$26:$B$395,"&gt;="&amp;DATE(YEAR_Y,3,1),$B$26:$B$395,"&lt;"&amp;DATE(YEAR_Y+(3=12),MOD(3,12)+1,1),$B$26:$B$395,"&gt;"&amp;VAL_DATE)</f>
        <v/>
      </c>
      <c r="M11" s="47">
        <f>SUMIFS($D$26:$D$395,$B$26:$B$395,"&gt;="&amp;DATE(YEAR_Y,3,1),$B$26:$B$395,"&lt;"&amp;DATE(YEAR_Y+(3=12),MOD(3,12)+1,1),$B$26:$B$395,"&lt;="&amp;VAL_DATE)</f>
        <v/>
      </c>
      <c r="N11" s="47">
        <f>SUMIFS($D$26:$D$395,$B$26:$B$395,"&gt;="&amp;DATE(YEAR_Y,3,1),$B$26:$B$395,"&lt;"&amp;DATE(YEAR_Y+(3=12),MOD(3,12)+1,1),$B$26:$B$395,"&gt;"&amp;VAL_DATE)</f>
        <v/>
      </c>
      <c r="O11" s="47">
        <f>SUMIFS($E$26:$E$395,$B$26:$B$395,"&gt;="&amp;DATE(YEAR_Y,3,1),$B$26:$B$395,"&lt;"&amp;DATE(YEAR_Y+(3=12),MOD(3,12)+1,1),$B$26:$B$395,"&lt;="&amp;VAL_DATE)</f>
        <v/>
      </c>
      <c r="P11" s="47">
        <f>SUMIFS($E$26:$E$395,$B$26:$B$395,"&gt;="&amp;DATE(YEAR_Y,3,1),$B$26:$B$395,"&lt;"&amp;DATE(YEAR_Y+(3=12),MOD(3,12)+1,1),$B$26:$B$395,"&gt;"&amp;VAL_DATE)</f>
        <v/>
      </c>
    </row>
    <row r="12">
      <c r="J12" s="42">
        <f>TEXT(DATE(YEAR_Y,4,1),"mmm")</f>
        <v/>
      </c>
      <c r="K12" s="47">
        <f>SUMIFS($C$26:$C$395,$B$26:$B$395,"&gt;="&amp;DATE(YEAR_Y,4,1),$B$26:$B$395,"&lt;"&amp;DATE(YEAR_Y+(4=12),MOD(4,12)+1,1),$B$26:$B$395,"&lt;="&amp;VAL_DATE)</f>
        <v/>
      </c>
      <c r="L12" s="47">
        <f>SUMIFS($C$26:$C$395,$B$26:$B$395,"&gt;="&amp;DATE(YEAR_Y,4,1),$B$26:$B$395,"&lt;"&amp;DATE(YEAR_Y+(4=12),MOD(4,12)+1,1),$B$26:$B$395,"&gt;"&amp;VAL_DATE)</f>
        <v/>
      </c>
      <c r="M12" s="47">
        <f>SUMIFS($D$26:$D$395,$B$26:$B$395,"&gt;="&amp;DATE(YEAR_Y,4,1),$B$26:$B$395,"&lt;"&amp;DATE(YEAR_Y+(4=12),MOD(4,12)+1,1),$B$26:$B$395,"&lt;="&amp;VAL_DATE)</f>
        <v/>
      </c>
      <c r="N12" s="47">
        <f>SUMIFS($D$26:$D$395,$B$26:$B$395,"&gt;="&amp;DATE(YEAR_Y,4,1),$B$26:$B$395,"&lt;"&amp;DATE(YEAR_Y+(4=12),MOD(4,12)+1,1),$B$26:$B$395,"&gt;"&amp;VAL_DATE)</f>
        <v/>
      </c>
      <c r="O12" s="47">
        <f>SUMIFS($E$26:$E$395,$B$26:$B$395,"&gt;="&amp;DATE(YEAR_Y,4,1),$B$26:$B$395,"&lt;"&amp;DATE(YEAR_Y+(4=12),MOD(4,12)+1,1),$B$26:$B$395,"&lt;="&amp;VAL_DATE)</f>
        <v/>
      </c>
      <c r="P12" s="47">
        <f>SUMIFS($E$26:$E$395,$B$26:$B$395,"&gt;="&amp;DATE(YEAR_Y,4,1),$B$26:$B$395,"&lt;"&amp;DATE(YEAR_Y+(4=12),MOD(4,12)+1,1),$B$26:$B$395,"&gt;"&amp;VAL_DATE)</f>
        <v/>
      </c>
    </row>
    <row r="13">
      <c r="J13" s="42">
        <f>TEXT(DATE(YEAR_Y,5,1),"mmm")</f>
        <v/>
      </c>
      <c r="K13" s="47">
        <f>SUMIFS($C$26:$C$395,$B$26:$B$395,"&gt;="&amp;DATE(YEAR_Y,5,1),$B$26:$B$395,"&lt;"&amp;DATE(YEAR_Y+(5=12),MOD(5,12)+1,1),$B$26:$B$395,"&lt;="&amp;VAL_DATE)</f>
        <v/>
      </c>
      <c r="L13" s="47">
        <f>SUMIFS($C$26:$C$395,$B$26:$B$395,"&gt;="&amp;DATE(YEAR_Y,5,1),$B$26:$B$395,"&lt;"&amp;DATE(YEAR_Y+(5=12),MOD(5,12)+1,1),$B$26:$B$395,"&gt;"&amp;VAL_DATE)</f>
        <v/>
      </c>
      <c r="M13" s="47">
        <f>SUMIFS($D$26:$D$395,$B$26:$B$395,"&gt;="&amp;DATE(YEAR_Y,5,1),$B$26:$B$395,"&lt;"&amp;DATE(YEAR_Y+(5=12),MOD(5,12)+1,1),$B$26:$B$395,"&lt;="&amp;VAL_DATE)</f>
        <v/>
      </c>
      <c r="N13" s="47">
        <f>SUMIFS($D$26:$D$395,$B$26:$B$395,"&gt;="&amp;DATE(YEAR_Y,5,1),$B$26:$B$395,"&lt;"&amp;DATE(YEAR_Y+(5=12),MOD(5,12)+1,1),$B$26:$B$395,"&gt;"&amp;VAL_DATE)</f>
        <v/>
      </c>
      <c r="O13" s="47">
        <f>SUMIFS($E$26:$E$395,$B$26:$B$395,"&gt;="&amp;DATE(YEAR_Y,5,1),$B$26:$B$395,"&lt;"&amp;DATE(YEAR_Y+(5=12),MOD(5,12)+1,1),$B$26:$B$395,"&lt;="&amp;VAL_DATE)</f>
        <v/>
      </c>
      <c r="P13" s="47">
        <f>SUMIFS($E$26:$E$395,$B$26:$B$395,"&gt;="&amp;DATE(YEAR_Y,5,1),$B$26:$B$395,"&lt;"&amp;DATE(YEAR_Y+(5=12),MOD(5,12)+1,1),$B$26:$B$395,"&gt;"&amp;VAL_DATE)</f>
        <v/>
      </c>
    </row>
    <row r="14">
      <c r="J14" s="42">
        <f>TEXT(DATE(YEAR_Y,6,1),"mmm")</f>
        <v/>
      </c>
      <c r="K14" s="47">
        <f>SUMIFS($C$26:$C$395,$B$26:$B$395,"&gt;="&amp;DATE(YEAR_Y,6,1),$B$26:$B$395,"&lt;"&amp;DATE(YEAR_Y+(6=12),MOD(6,12)+1,1),$B$26:$B$395,"&lt;="&amp;VAL_DATE)</f>
        <v/>
      </c>
      <c r="L14" s="47">
        <f>SUMIFS($C$26:$C$395,$B$26:$B$395,"&gt;="&amp;DATE(YEAR_Y,6,1),$B$26:$B$395,"&lt;"&amp;DATE(YEAR_Y+(6=12),MOD(6,12)+1,1),$B$26:$B$395,"&gt;"&amp;VAL_DATE)</f>
        <v/>
      </c>
      <c r="M14" s="47">
        <f>SUMIFS($D$26:$D$395,$B$26:$B$395,"&gt;="&amp;DATE(YEAR_Y,6,1),$B$26:$B$395,"&lt;"&amp;DATE(YEAR_Y+(6=12),MOD(6,12)+1,1),$B$26:$B$395,"&lt;="&amp;VAL_DATE)</f>
        <v/>
      </c>
      <c r="N14" s="47">
        <f>SUMIFS($D$26:$D$395,$B$26:$B$395,"&gt;="&amp;DATE(YEAR_Y,6,1),$B$26:$B$395,"&lt;"&amp;DATE(YEAR_Y+(6=12),MOD(6,12)+1,1),$B$26:$B$395,"&gt;"&amp;VAL_DATE)</f>
        <v/>
      </c>
      <c r="O14" s="47">
        <f>SUMIFS($E$26:$E$395,$B$26:$B$395,"&gt;="&amp;DATE(YEAR_Y,6,1),$B$26:$B$395,"&lt;"&amp;DATE(YEAR_Y+(6=12),MOD(6,12)+1,1),$B$26:$B$395,"&lt;="&amp;VAL_DATE)</f>
        <v/>
      </c>
      <c r="P14" s="47">
        <f>SUMIFS($E$26:$E$395,$B$26:$B$395,"&gt;="&amp;DATE(YEAR_Y,6,1),$B$26:$B$395,"&lt;"&amp;DATE(YEAR_Y+(6=12),MOD(6,12)+1,1),$B$26:$B$395,"&gt;"&amp;VAL_DATE)</f>
        <v/>
      </c>
    </row>
    <row r="15">
      <c r="J15" s="42">
        <f>TEXT(DATE(YEAR_Y,7,1),"mmm")</f>
        <v/>
      </c>
      <c r="K15" s="47">
        <f>SUMIFS($C$26:$C$395,$B$26:$B$395,"&gt;="&amp;DATE(YEAR_Y,7,1),$B$26:$B$395,"&lt;"&amp;DATE(YEAR_Y+(7=12),MOD(7,12)+1,1),$B$26:$B$395,"&lt;="&amp;VAL_DATE)</f>
        <v/>
      </c>
      <c r="L15" s="47">
        <f>SUMIFS($C$26:$C$395,$B$26:$B$395,"&gt;="&amp;DATE(YEAR_Y,7,1),$B$26:$B$395,"&lt;"&amp;DATE(YEAR_Y+(7=12),MOD(7,12)+1,1),$B$26:$B$395,"&gt;"&amp;VAL_DATE)</f>
        <v/>
      </c>
      <c r="M15" s="47">
        <f>SUMIFS($D$26:$D$395,$B$26:$B$395,"&gt;="&amp;DATE(YEAR_Y,7,1),$B$26:$B$395,"&lt;"&amp;DATE(YEAR_Y+(7=12),MOD(7,12)+1,1),$B$26:$B$395,"&lt;="&amp;VAL_DATE)</f>
        <v/>
      </c>
      <c r="N15" s="47">
        <f>SUMIFS($D$26:$D$395,$B$26:$B$395,"&gt;="&amp;DATE(YEAR_Y,7,1),$B$26:$B$395,"&lt;"&amp;DATE(YEAR_Y+(7=12),MOD(7,12)+1,1),$B$26:$B$395,"&gt;"&amp;VAL_DATE)</f>
        <v/>
      </c>
      <c r="O15" s="47">
        <f>SUMIFS($E$26:$E$395,$B$26:$B$395,"&gt;="&amp;DATE(YEAR_Y,7,1),$B$26:$B$395,"&lt;"&amp;DATE(YEAR_Y+(7=12),MOD(7,12)+1,1),$B$26:$B$395,"&lt;="&amp;VAL_DATE)</f>
        <v/>
      </c>
      <c r="P15" s="47">
        <f>SUMIFS($E$26:$E$395,$B$26:$B$395,"&gt;="&amp;DATE(YEAR_Y,7,1),$B$26:$B$395,"&lt;"&amp;DATE(YEAR_Y+(7=12),MOD(7,12)+1,1),$B$26:$B$395,"&gt;"&amp;VAL_DATE)</f>
        <v/>
      </c>
    </row>
    <row r="16">
      <c r="J16" s="42">
        <f>TEXT(DATE(YEAR_Y,8,1),"mmm")</f>
        <v/>
      </c>
      <c r="K16" s="47">
        <f>SUMIFS($C$26:$C$395,$B$26:$B$395,"&gt;="&amp;DATE(YEAR_Y,8,1),$B$26:$B$395,"&lt;"&amp;DATE(YEAR_Y+(8=12),MOD(8,12)+1,1),$B$26:$B$395,"&lt;="&amp;VAL_DATE)</f>
        <v/>
      </c>
      <c r="L16" s="47">
        <f>SUMIFS($C$26:$C$395,$B$26:$B$395,"&gt;="&amp;DATE(YEAR_Y,8,1),$B$26:$B$395,"&lt;"&amp;DATE(YEAR_Y+(8=12),MOD(8,12)+1,1),$B$26:$B$395,"&gt;"&amp;VAL_DATE)</f>
        <v/>
      </c>
      <c r="M16" s="47">
        <f>SUMIFS($D$26:$D$395,$B$26:$B$395,"&gt;="&amp;DATE(YEAR_Y,8,1),$B$26:$B$395,"&lt;"&amp;DATE(YEAR_Y+(8=12),MOD(8,12)+1,1),$B$26:$B$395,"&lt;="&amp;VAL_DATE)</f>
        <v/>
      </c>
      <c r="N16" s="47">
        <f>SUMIFS($D$26:$D$395,$B$26:$B$395,"&gt;="&amp;DATE(YEAR_Y,8,1),$B$26:$B$395,"&lt;"&amp;DATE(YEAR_Y+(8=12),MOD(8,12)+1,1),$B$26:$B$395,"&gt;"&amp;VAL_DATE)</f>
        <v/>
      </c>
      <c r="O16" s="47">
        <f>SUMIFS($E$26:$E$395,$B$26:$B$395,"&gt;="&amp;DATE(YEAR_Y,8,1),$B$26:$B$395,"&lt;"&amp;DATE(YEAR_Y+(8=12),MOD(8,12)+1,1),$B$26:$B$395,"&lt;="&amp;VAL_DATE)</f>
        <v/>
      </c>
      <c r="P16" s="47">
        <f>SUMIFS($E$26:$E$395,$B$26:$B$395,"&gt;="&amp;DATE(YEAR_Y,8,1),$B$26:$B$395,"&lt;"&amp;DATE(YEAR_Y+(8=12),MOD(8,12)+1,1),$B$26:$B$395,"&gt;"&amp;VAL_DATE)</f>
        <v/>
      </c>
    </row>
    <row r="17">
      <c r="J17" s="42">
        <f>TEXT(DATE(YEAR_Y,9,1),"mmm")</f>
        <v/>
      </c>
      <c r="K17" s="47">
        <f>SUMIFS($C$26:$C$395,$B$26:$B$395,"&gt;="&amp;DATE(YEAR_Y,9,1),$B$26:$B$395,"&lt;"&amp;DATE(YEAR_Y+(9=12),MOD(9,12)+1,1),$B$26:$B$395,"&lt;="&amp;VAL_DATE)</f>
        <v/>
      </c>
      <c r="L17" s="47">
        <f>SUMIFS($C$26:$C$395,$B$26:$B$395,"&gt;="&amp;DATE(YEAR_Y,9,1),$B$26:$B$395,"&lt;"&amp;DATE(YEAR_Y+(9=12),MOD(9,12)+1,1),$B$26:$B$395,"&gt;"&amp;VAL_DATE)</f>
        <v/>
      </c>
      <c r="M17" s="47">
        <f>SUMIFS($D$26:$D$395,$B$26:$B$395,"&gt;="&amp;DATE(YEAR_Y,9,1),$B$26:$B$395,"&lt;"&amp;DATE(YEAR_Y+(9=12),MOD(9,12)+1,1),$B$26:$B$395,"&lt;="&amp;VAL_DATE)</f>
        <v/>
      </c>
      <c r="N17" s="47">
        <f>SUMIFS($D$26:$D$395,$B$26:$B$395,"&gt;="&amp;DATE(YEAR_Y,9,1),$B$26:$B$395,"&lt;"&amp;DATE(YEAR_Y+(9=12),MOD(9,12)+1,1),$B$26:$B$395,"&gt;"&amp;VAL_DATE)</f>
        <v/>
      </c>
      <c r="O17" s="47">
        <f>SUMIFS($E$26:$E$395,$B$26:$B$395,"&gt;="&amp;DATE(YEAR_Y,9,1),$B$26:$B$395,"&lt;"&amp;DATE(YEAR_Y+(9=12),MOD(9,12)+1,1),$B$26:$B$395,"&lt;="&amp;VAL_DATE)</f>
        <v/>
      </c>
      <c r="P17" s="47">
        <f>SUMIFS($E$26:$E$395,$B$26:$B$395,"&gt;="&amp;DATE(YEAR_Y,9,1),$B$26:$B$395,"&lt;"&amp;DATE(YEAR_Y+(9=12),MOD(9,12)+1,1),$B$26:$B$395,"&gt;"&amp;VAL_DATE)</f>
        <v/>
      </c>
    </row>
    <row r="18">
      <c r="J18" s="42">
        <f>TEXT(DATE(YEAR_Y,10,1),"mmm")</f>
        <v/>
      </c>
      <c r="K18" s="47">
        <f>SUMIFS($C$26:$C$395,$B$26:$B$395,"&gt;="&amp;DATE(YEAR_Y,10,1),$B$26:$B$395,"&lt;"&amp;DATE(YEAR_Y+(10=12),MOD(10,12)+1,1),$B$26:$B$395,"&lt;="&amp;VAL_DATE)</f>
        <v/>
      </c>
      <c r="L18" s="47">
        <f>SUMIFS($C$26:$C$395,$B$26:$B$395,"&gt;="&amp;DATE(YEAR_Y,10,1),$B$26:$B$395,"&lt;"&amp;DATE(YEAR_Y+(10=12),MOD(10,12)+1,1),$B$26:$B$395,"&gt;"&amp;VAL_DATE)</f>
        <v/>
      </c>
      <c r="M18" s="47">
        <f>SUMIFS($D$26:$D$395,$B$26:$B$395,"&gt;="&amp;DATE(YEAR_Y,10,1),$B$26:$B$395,"&lt;"&amp;DATE(YEAR_Y+(10=12),MOD(10,12)+1,1),$B$26:$B$395,"&lt;="&amp;VAL_DATE)</f>
        <v/>
      </c>
      <c r="N18" s="47">
        <f>SUMIFS($D$26:$D$395,$B$26:$B$395,"&gt;="&amp;DATE(YEAR_Y,10,1),$B$26:$B$395,"&lt;"&amp;DATE(YEAR_Y+(10=12),MOD(10,12)+1,1),$B$26:$B$395,"&gt;"&amp;VAL_DATE)</f>
        <v/>
      </c>
      <c r="O18" s="47">
        <f>SUMIFS($E$26:$E$395,$B$26:$B$395,"&gt;="&amp;DATE(YEAR_Y,10,1),$B$26:$B$395,"&lt;"&amp;DATE(YEAR_Y+(10=12),MOD(10,12)+1,1),$B$26:$B$395,"&lt;="&amp;VAL_DATE)</f>
        <v/>
      </c>
      <c r="P18" s="47">
        <f>SUMIFS($E$26:$E$395,$B$26:$B$395,"&gt;="&amp;DATE(YEAR_Y,10,1),$B$26:$B$395,"&lt;"&amp;DATE(YEAR_Y+(10=12),MOD(10,12)+1,1),$B$26:$B$395,"&gt;"&amp;VAL_DATE)</f>
        <v/>
      </c>
    </row>
    <row r="19">
      <c r="J19" s="42">
        <f>TEXT(DATE(YEAR_Y,11,1),"mmm")</f>
        <v/>
      </c>
      <c r="K19" s="47">
        <f>SUMIFS($C$26:$C$395,$B$26:$B$395,"&gt;="&amp;DATE(YEAR_Y,11,1),$B$26:$B$395,"&lt;"&amp;DATE(YEAR_Y+(11=12),MOD(11,12)+1,1),$B$26:$B$395,"&lt;="&amp;VAL_DATE)</f>
        <v/>
      </c>
      <c r="L19" s="47">
        <f>SUMIFS($C$26:$C$395,$B$26:$B$395,"&gt;="&amp;DATE(YEAR_Y,11,1),$B$26:$B$395,"&lt;"&amp;DATE(YEAR_Y+(11=12),MOD(11,12)+1,1),$B$26:$B$395,"&gt;"&amp;VAL_DATE)</f>
        <v/>
      </c>
      <c r="M19" s="47">
        <f>SUMIFS($D$26:$D$395,$B$26:$B$395,"&gt;="&amp;DATE(YEAR_Y,11,1),$B$26:$B$395,"&lt;"&amp;DATE(YEAR_Y+(11=12),MOD(11,12)+1,1),$B$26:$B$395,"&lt;="&amp;VAL_DATE)</f>
        <v/>
      </c>
      <c r="N19" s="47">
        <f>SUMIFS($D$26:$D$395,$B$26:$B$395,"&gt;="&amp;DATE(YEAR_Y,11,1),$B$26:$B$395,"&lt;"&amp;DATE(YEAR_Y+(11=12),MOD(11,12)+1,1),$B$26:$B$395,"&gt;"&amp;VAL_DATE)</f>
        <v/>
      </c>
      <c r="O19" s="47">
        <f>SUMIFS($E$26:$E$395,$B$26:$B$395,"&gt;="&amp;DATE(YEAR_Y,11,1),$B$26:$B$395,"&lt;"&amp;DATE(YEAR_Y+(11=12),MOD(11,12)+1,1),$B$26:$B$395,"&lt;="&amp;VAL_DATE)</f>
        <v/>
      </c>
      <c r="P19" s="47">
        <f>SUMIFS($E$26:$E$395,$B$26:$B$395,"&gt;="&amp;DATE(YEAR_Y,11,1),$B$26:$B$395,"&lt;"&amp;DATE(YEAR_Y+(11=12),MOD(11,12)+1,1),$B$26:$B$395,"&gt;"&amp;VAL_DATE)</f>
        <v/>
      </c>
    </row>
    <row r="20">
      <c r="J20" s="42">
        <f>TEXT(DATE(YEAR_Y,12,1),"mmm")</f>
        <v/>
      </c>
      <c r="K20" s="47">
        <f>SUMIFS($C$26:$C$395,$B$26:$B$395,"&gt;="&amp;DATE(YEAR_Y,12,1),$B$26:$B$395,"&lt;"&amp;DATE(YEAR_Y+(12=12),MOD(12,12)+1,1),$B$26:$B$395,"&lt;="&amp;VAL_DATE)</f>
        <v/>
      </c>
      <c r="L20" s="47">
        <f>SUMIFS($C$26:$C$395,$B$26:$B$395,"&gt;="&amp;DATE(YEAR_Y,12,1),$B$26:$B$395,"&lt;"&amp;DATE(YEAR_Y+(12=12),MOD(12,12)+1,1),$B$26:$B$395,"&gt;"&amp;VAL_DATE)</f>
        <v/>
      </c>
      <c r="M20" s="47">
        <f>SUMIFS($D$26:$D$395,$B$26:$B$395,"&gt;="&amp;DATE(YEAR_Y,12,1),$B$26:$B$395,"&lt;"&amp;DATE(YEAR_Y+(12=12),MOD(12,12)+1,1),$B$26:$B$395,"&lt;="&amp;VAL_DATE)</f>
        <v/>
      </c>
      <c r="N20" s="47">
        <f>SUMIFS($D$26:$D$395,$B$26:$B$395,"&gt;="&amp;DATE(YEAR_Y,12,1),$B$26:$B$395,"&lt;"&amp;DATE(YEAR_Y+(12=12),MOD(12,12)+1,1),$B$26:$B$395,"&gt;"&amp;VAL_DATE)</f>
        <v/>
      </c>
      <c r="O20" s="47">
        <f>SUMIFS($E$26:$E$395,$B$26:$B$395,"&gt;="&amp;DATE(YEAR_Y,12,1),$B$26:$B$395,"&lt;"&amp;DATE(YEAR_Y+(12=12),MOD(12,12)+1,1),$B$26:$B$395,"&lt;="&amp;VAL_DATE)</f>
        <v/>
      </c>
      <c r="P20" s="47">
        <f>SUMIFS($E$26:$E$395,$B$26:$B$395,"&gt;="&amp;DATE(YEAR_Y,12,1),$B$26:$B$395,"&lt;"&amp;DATE(YEAR_Y+(12=12),MOD(12,12)+1,1),$B$26:$B$395,"&gt;"&amp;VAL_DATE)</f>
        <v/>
      </c>
    </row>
    <row r="24">
      <c r="B24" s="3" t="inlineStr">
        <is>
          <t>BY DAY</t>
        </is>
      </c>
      <c r="C24" s="4" t="n"/>
      <c r="D24" s="4" t="n"/>
      <c r="E24" s="4" t="n"/>
      <c r="F24" s="4" t="n"/>
      <c r="G24" s="4" t="n"/>
      <c r="H24" s="4" t="n"/>
    </row>
    <row r="25">
      <c r="B25" s="19" t="inlineStr">
        <is>
          <t>Date</t>
        </is>
      </c>
      <c r="C25" s="19" t="inlineStr">
        <is>
          <t>HSI
pts</t>
        </is>
      </c>
      <c r="D25" s="19" t="inlineStr">
        <is>
          <t>HSTECH
pts</t>
        </is>
      </c>
      <c r="E25" s="19" t="inlineStr">
        <is>
          <t>HSCEI
pts</t>
        </is>
      </c>
      <c r="F25" s="19" t="inlineStr">
        <is>
          <t>HSI
cumulative</t>
        </is>
      </c>
      <c r="G25" s="19" t="inlineStr">
        <is>
          <t>HSTECH
cumulative</t>
        </is>
      </c>
      <c r="H25" s="19" t="inlineStr">
        <is>
          <t>HSCEI
cumulative</t>
        </is>
      </c>
    </row>
    <row r="26">
      <c r="B26" s="48">
        <f>IF(DATE(YEAR_Y,1,1)+0&gt;DATE(YEAR_Y,12,31),"",DATE(YEAR_Y,1,1)+0)</f>
        <v/>
      </c>
      <c r="C26" s="49">
        <f>IF($B26="","",SUMIFS(Grids!$BQ$12:$EC$111,Grids!$EE$12:$GQ$111,"&gt;="&amp;$B26*1000000000,Grids!$EE$12:$GQ$111,"&lt;"&amp;($B26+1)*1000000000))</f>
        <v/>
      </c>
      <c r="D26" s="49">
        <f>IF($B26="","",SUMIFS(Grids!$BQ$116:$EC$155,Grids!$EE$116:$GQ$155,"&gt;="&amp;$B26*1000000000,Grids!$EE$116:$GQ$155,"&lt;"&amp;($B26+1)*1000000000))</f>
        <v/>
      </c>
      <c r="E26" s="49">
        <f>IF($B26="","",SUMIFS(Grids!$BQ$160:$EC$219,Grids!$EE$160:$GQ$219,"&gt;="&amp;$B26*1000000000,Grids!$EE$160:$GQ$219,"&lt;"&amp;($B26+1)*1000000000))</f>
        <v/>
      </c>
      <c r="F26" s="50">
        <f>IF($B26="","",SUM($C$26:$C26))</f>
        <v/>
      </c>
      <c r="G26" s="50">
        <f>IF($B26="","",SUM($D$26:$D26))</f>
        <v/>
      </c>
      <c r="H26" s="50">
        <f>IF($B26="","",SUM($E$26:$E26))</f>
        <v/>
      </c>
    </row>
    <row r="27">
      <c r="B27" s="48">
        <f>IF(DATE(YEAR_Y,1,1)+1&gt;DATE(YEAR_Y,12,31),"",DATE(YEAR_Y,1,1)+1)</f>
        <v/>
      </c>
      <c r="C27" s="49">
        <f>IF($B27="","",SUMIFS(Grids!$BQ$12:$EC$111,Grids!$EE$12:$GQ$111,"&gt;="&amp;$B27*1000000000,Grids!$EE$12:$GQ$111,"&lt;"&amp;($B27+1)*1000000000))</f>
        <v/>
      </c>
      <c r="D27" s="49">
        <f>IF($B27="","",SUMIFS(Grids!$BQ$116:$EC$155,Grids!$EE$116:$GQ$155,"&gt;="&amp;$B27*1000000000,Grids!$EE$116:$GQ$155,"&lt;"&amp;($B27+1)*1000000000))</f>
        <v/>
      </c>
      <c r="E27" s="49">
        <f>IF($B27="","",SUMIFS(Grids!$BQ$160:$EC$219,Grids!$EE$160:$GQ$219,"&gt;="&amp;$B27*1000000000,Grids!$EE$160:$GQ$219,"&lt;"&amp;($B27+1)*1000000000))</f>
        <v/>
      </c>
      <c r="F27" s="50">
        <f>IF($B27="","",SUM($C$26:$C27))</f>
        <v/>
      </c>
      <c r="G27" s="50">
        <f>IF($B27="","",SUM($D$26:$D27))</f>
        <v/>
      </c>
      <c r="H27" s="50">
        <f>IF($B27="","",SUM($E$26:$E27))</f>
        <v/>
      </c>
    </row>
    <row r="28">
      <c r="B28" s="48">
        <f>IF(DATE(YEAR_Y,1,1)+2&gt;DATE(YEAR_Y,12,31),"",DATE(YEAR_Y,1,1)+2)</f>
        <v/>
      </c>
      <c r="C28" s="49">
        <f>IF($B28="","",SUMIFS(Grids!$BQ$12:$EC$111,Grids!$EE$12:$GQ$111,"&gt;="&amp;$B28*1000000000,Grids!$EE$12:$GQ$111,"&lt;"&amp;($B28+1)*1000000000))</f>
        <v/>
      </c>
      <c r="D28" s="49">
        <f>IF($B28="","",SUMIFS(Grids!$BQ$116:$EC$155,Grids!$EE$116:$GQ$155,"&gt;="&amp;$B28*1000000000,Grids!$EE$116:$GQ$155,"&lt;"&amp;($B28+1)*1000000000))</f>
        <v/>
      </c>
      <c r="E28" s="49">
        <f>IF($B28="","",SUMIFS(Grids!$BQ$160:$EC$219,Grids!$EE$160:$GQ$219,"&gt;="&amp;$B28*1000000000,Grids!$EE$160:$GQ$219,"&lt;"&amp;($B28+1)*1000000000))</f>
        <v/>
      </c>
      <c r="F28" s="50">
        <f>IF($B28="","",SUM($C$26:$C28))</f>
        <v/>
      </c>
      <c r="G28" s="50">
        <f>IF($B28="","",SUM($D$26:$D28))</f>
        <v/>
      </c>
      <c r="H28" s="50">
        <f>IF($B28="","",SUM($E$26:$E28))</f>
        <v/>
      </c>
    </row>
    <row r="29">
      <c r="B29" s="48">
        <f>IF(DATE(YEAR_Y,1,1)+3&gt;DATE(YEAR_Y,12,31),"",DATE(YEAR_Y,1,1)+3)</f>
        <v/>
      </c>
      <c r="C29" s="49">
        <f>IF($B29="","",SUMIFS(Grids!$BQ$12:$EC$111,Grids!$EE$12:$GQ$111,"&gt;="&amp;$B29*1000000000,Grids!$EE$12:$GQ$111,"&lt;"&amp;($B29+1)*1000000000))</f>
        <v/>
      </c>
      <c r="D29" s="49">
        <f>IF($B29="","",SUMIFS(Grids!$BQ$116:$EC$155,Grids!$EE$116:$GQ$155,"&gt;="&amp;$B29*1000000000,Grids!$EE$116:$GQ$155,"&lt;"&amp;($B29+1)*1000000000))</f>
        <v/>
      </c>
      <c r="E29" s="49">
        <f>IF($B29="","",SUMIFS(Grids!$BQ$160:$EC$219,Grids!$EE$160:$GQ$219,"&gt;="&amp;$B29*1000000000,Grids!$EE$160:$GQ$219,"&lt;"&amp;($B29+1)*1000000000))</f>
        <v/>
      </c>
      <c r="F29" s="50">
        <f>IF($B29="","",SUM($C$26:$C29))</f>
        <v/>
      </c>
      <c r="G29" s="50">
        <f>IF($B29="","",SUM($D$26:$D29))</f>
        <v/>
      </c>
      <c r="H29" s="50">
        <f>IF($B29="","",SUM($E$26:$E29))</f>
        <v/>
      </c>
    </row>
    <row r="30">
      <c r="B30" s="48">
        <f>IF(DATE(YEAR_Y,1,1)+4&gt;DATE(YEAR_Y,12,31),"",DATE(YEAR_Y,1,1)+4)</f>
        <v/>
      </c>
      <c r="C30" s="49">
        <f>IF($B30="","",SUMIFS(Grids!$BQ$12:$EC$111,Grids!$EE$12:$GQ$111,"&gt;="&amp;$B30*1000000000,Grids!$EE$12:$GQ$111,"&lt;"&amp;($B30+1)*1000000000))</f>
        <v/>
      </c>
      <c r="D30" s="49">
        <f>IF($B30="","",SUMIFS(Grids!$BQ$116:$EC$155,Grids!$EE$116:$GQ$155,"&gt;="&amp;$B30*1000000000,Grids!$EE$116:$GQ$155,"&lt;"&amp;($B30+1)*1000000000))</f>
        <v/>
      </c>
      <c r="E30" s="49">
        <f>IF($B30="","",SUMIFS(Grids!$BQ$160:$EC$219,Grids!$EE$160:$GQ$219,"&gt;="&amp;$B30*1000000000,Grids!$EE$160:$GQ$219,"&lt;"&amp;($B30+1)*1000000000))</f>
        <v/>
      </c>
      <c r="F30" s="50">
        <f>IF($B30="","",SUM($C$26:$C30))</f>
        <v/>
      </c>
      <c r="G30" s="50">
        <f>IF($B30="","",SUM($D$26:$D30))</f>
        <v/>
      </c>
      <c r="H30" s="50">
        <f>IF($B30="","",SUM($E$26:$E30))</f>
        <v/>
      </c>
    </row>
    <row r="31">
      <c r="B31" s="48">
        <f>IF(DATE(YEAR_Y,1,1)+5&gt;DATE(YEAR_Y,12,31),"",DATE(YEAR_Y,1,1)+5)</f>
        <v/>
      </c>
      <c r="C31" s="49">
        <f>IF($B31="","",SUMIFS(Grids!$BQ$12:$EC$111,Grids!$EE$12:$GQ$111,"&gt;="&amp;$B31*1000000000,Grids!$EE$12:$GQ$111,"&lt;"&amp;($B31+1)*1000000000))</f>
        <v/>
      </c>
      <c r="D31" s="49">
        <f>IF($B31="","",SUMIFS(Grids!$BQ$116:$EC$155,Grids!$EE$116:$GQ$155,"&gt;="&amp;$B31*1000000000,Grids!$EE$116:$GQ$155,"&lt;"&amp;($B31+1)*1000000000))</f>
        <v/>
      </c>
      <c r="E31" s="49">
        <f>IF($B31="","",SUMIFS(Grids!$BQ$160:$EC$219,Grids!$EE$160:$GQ$219,"&gt;="&amp;$B31*1000000000,Grids!$EE$160:$GQ$219,"&lt;"&amp;($B31+1)*1000000000))</f>
        <v/>
      </c>
      <c r="F31" s="50">
        <f>IF($B31="","",SUM($C$26:$C31))</f>
        <v/>
      </c>
      <c r="G31" s="50">
        <f>IF($B31="","",SUM($D$26:$D31))</f>
        <v/>
      </c>
      <c r="H31" s="50">
        <f>IF($B31="","",SUM($E$26:$E31))</f>
        <v/>
      </c>
    </row>
    <row r="32">
      <c r="B32" s="48">
        <f>IF(DATE(YEAR_Y,1,1)+6&gt;DATE(YEAR_Y,12,31),"",DATE(YEAR_Y,1,1)+6)</f>
        <v/>
      </c>
      <c r="C32" s="49">
        <f>IF($B32="","",SUMIFS(Grids!$BQ$12:$EC$111,Grids!$EE$12:$GQ$111,"&gt;="&amp;$B32*1000000000,Grids!$EE$12:$GQ$111,"&lt;"&amp;($B32+1)*1000000000))</f>
        <v/>
      </c>
      <c r="D32" s="49">
        <f>IF($B32="","",SUMIFS(Grids!$BQ$116:$EC$155,Grids!$EE$116:$GQ$155,"&gt;="&amp;$B32*1000000000,Grids!$EE$116:$GQ$155,"&lt;"&amp;($B32+1)*1000000000))</f>
        <v/>
      </c>
      <c r="E32" s="49">
        <f>IF($B32="","",SUMIFS(Grids!$BQ$160:$EC$219,Grids!$EE$160:$GQ$219,"&gt;="&amp;$B32*1000000000,Grids!$EE$160:$GQ$219,"&lt;"&amp;($B32+1)*1000000000))</f>
        <v/>
      </c>
      <c r="F32" s="50">
        <f>IF($B32="","",SUM($C$26:$C32))</f>
        <v/>
      </c>
      <c r="G32" s="50">
        <f>IF($B32="","",SUM($D$26:$D32))</f>
        <v/>
      </c>
      <c r="H32" s="50">
        <f>IF($B32="","",SUM($E$26:$E32))</f>
        <v/>
      </c>
    </row>
    <row r="33">
      <c r="B33" s="48">
        <f>IF(DATE(YEAR_Y,1,1)+7&gt;DATE(YEAR_Y,12,31),"",DATE(YEAR_Y,1,1)+7)</f>
        <v/>
      </c>
      <c r="C33" s="49">
        <f>IF($B33="","",SUMIFS(Grids!$BQ$12:$EC$111,Grids!$EE$12:$GQ$111,"&gt;="&amp;$B33*1000000000,Grids!$EE$12:$GQ$111,"&lt;"&amp;($B33+1)*1000000000))</f>
        <v/>
      </c>
      <c r="D33" s="49">
        <f>IF($B33="","",SUMIFS(Grids!$BQ$116:$EC$155,Grids!$EE$116:$GQ$155,"&gt;="&amp;$B33*1000000000,Grids!$EE$116:$GQ$155,"&lt;"&amp;($B33+1)*1000000000))</f>
        <v/>
      </c>
      <c r="E33" s="49">
        <f>IF($B33="","",SUMIFS(Grids!$BQ$160:$EC$219,Grids!$EE$160:$GQ$219,"&gt;="&amp;$B33*1000000000,Grids!$EE$160:$GQ$219,"&lt;"&amp;($B33+1)*1000000000))</f>
        <v/>
      </c>
      <c r="F33" s="50">
        <f>IF($B33="","",SUM($C$26:$C33))</f>
        <v/>
      </c>
      <c r="G33" s="50">
        <f>IF($B33="","",SUM($D$26:$D33))</f>
        <v/>
      </c>
      <c r="H33" s="50">
        <f>IF($B33="","",SUM($E$26:$E33))</f>
        <v/>
      </c>
    </row>
    <row r="34">
      <c r="B34" s="48">
        <f>IF(DATE(YEAR_Y,1,1)+8&gt;DATE(YEAR_Y,12,31),"",DATE(YEAR_Y,1,1)+8)</f>
        <v/>
      </c>
      <c r="C34" s="49">
        <f>IF($B34="","",SUMIFS(Grids!$BQ$12:$EC$111,Grids!$EE$12:$GQ$111,"&gt;="&amp;$B34*1000000000,Grids!$EE$12:$GQ$111,"&lt;"&amp;($B34+1)*1000000000))</f>
        <v/>
      </c>
      <c r="D34" s="49">
        <f>IF($B34="","",SUMIFS(Grids!$BQ$116:$EC$155,Grids!$EE$116:$GQ$155,"&gt;="&amp;$B34*1000000000,Grids!$EE$116:$GQ$155,"&lt;"&amp;($B34+1)*1000000000))</f>
        <v/>
      </c>
      <c r="E34" s="49">
        <f>IF($B34="","",SUMIFS(Grids!$BQ$160:$EC$219,Grids!$EE$160:$GQ$219,"&gt;="&amp;$B34*1000000000,Grids!$EE$160:$GQ$219,"&lt;"&amp;($B34+1)*1000000000))</f>
        <v/>
      </c>
      <c r="F34" s="50">
        <f>IF($B34="","",SUM($C$26:$C34))</f>
        <v/>
      </c>
      <c r="G34" s="50">
        <f>IF($B34="","",SUM($D$26:$D34))</f>
        <v/>
      </c>
      <c r="H34" s="50">
        <f>IF($B34="","",SUM($E$26:$E34))</f>
        <v/>
      </c>
    </row>
    <row r="35">
      <c r="B35" s="48">
        <f>IF(DATE(YEAR_Y,1,1)+9&gt;DATE(YEAR_Y,12,31),"",DATE(YEAR_Y,1,1)+9)</f>
        <v/>
      </c>
      <c r="C35" s="49">
        <f>IF($B35="","",SUMIFS(Grids!$BQ$12:$EC$111,Grids!$EE$12:$GQ$111,"&gt;="&amp;$B35*1000000000,Grids!$EE$12:$GQ$111,"&lt;"&amp;($B35+1)*1000000000))</f>
        <v/>
      </c>
      <c r="D35" s="49">
        <f>IF($B35="","",SUMIFS(Grids!$BQ$116:$EC$155,Grids!$EE$116:$GQ$155,"&gt;="&amp;$B35*1000000000,Grids!$EE$116:$GQ$155,"&lt;"&amp;($B35+1)*1000000000))</f>
        <v/>
      </c>
      <c r="E35" s="49">
        <f>IF($B35="","",SUMIFS(Grids!$BQ$160:$EC$219,Grids!$EE$160:$GQ$219,"&gt;="&amp;$B35*1000000000,Grids!$EE$160:$GQ$219,"&lt;"&amp;($B35+1)*1000000000))</f>
        <v/>
      </c>
      <c r="F35" s="50">
        <f>IF($B35="","",SUM($C$26:$C35))</f>
        <v/>
      </c>
      <c r="G35" s="50">
        <f>IF($B35="","",SUM($D$26:$D35))</f>
        <v/>
      </c>
      <c r="H35" s="50">
        <f>IF($B35="","",SUM($E$26:$E35))</f>
        <v/>
      </c>
    </row>
    <row r="36">
      <c r="B36" s="48">
        <f>IF(DATE(YEAR_Y,1,1)+10&gt;DATE(YEAR_Y,12,31),"",DATE(YEAR_Y,1,1)+10)</f>
        <v/>
      </c>
      <c r="C36" s="49">
        <f>IF($B36="","",SUMIFS(Grids!$BQ$12:$EC$111,Grids!$EE$12:$GQ$111,"&gt;="&amp;$B36*1000000000,Grids!$EE$12:$GQ$111,"&lt;"&amp;($B36+1)*1000000000))</f>
        <v/>
      </c>
      <c r="D36" s="49">
        <f>IF($B36="","",SUMIFS(Grids!$BQ$116:$EC$155,Grids!$EE$116:$GQ$155,"&gt;="&amp;$B36*1000000000,Grids!$EE$116:$GQ$155,"&lt;"&amp;($B36+1)*1000000000))</f>
        <v/>
      </c>
      <c r="E36" s="49">
        <f>IF($B36="","",SUMIFS(Grids!$BQ$160:$EC$219,Grids!$EE$160:$GQ$219,"&gt;="&amp;$B36*1000000000,Grids!$EE$160:$GQ$219,"&lt;"&amp;($B36+1)*1000000000))</f>
        <v/>
      </c>
      <c r="F36" s="50">
        <f>IF($B36="","",SUM($C$26:$C36))</f>
        <v/>
      </c>
      <c r="G36" s="50">
        <f>IF($B36="","",SUM($D$26:$D36))</f>
        <v/>
      </c>
      <c r="H36" s="50">
        <f>IF($B36="","",SUM($E$26:$E36))</f>
        <v/>
      </c>
    </row>
    <row r="37">
      <c r="B37" s="48">
        <f>IF(DATE(YEAR_Y,1,1)+11&gt;DATE(YEAR_Y,12,31),"",DATE(YEAR_Y,1,1)+11)</f>
        <v/>
      </c>
      <c r="C37" s="49">
        <f>IF($B37="","",SUMIFS(Grids!$BQ$12:$EC$111,Grids!$EE$12:$GQ$111,"&gt;="&amp;$B37*1000000000,Grids!$EE$12:$GQ$111,"&lt;"&amp;($B37+1)*1000000000))</f>
        <v/>
      </c>
      <c r="D37" s="49">
        <f>IF($B37="","",SUMIFS(Grids!$BQ$116:$EC$155,Grids!$EE$116:$GQ$155,"&gt;="&amp;$B37*1000000000,Grids!$EE$116:$GQ$155,"&lt;"&amp;($B37+1)*1000000000))</f>
        <v/>
      </c>
      <c r="E37" s="49">
        <f>IF($B37="","",SUMIFS(Grids!$BQ$160:$EC$219,Grids!$EE$160:$GQ$219,"&gt;="&amp;$B37*1000000000,Grids!$EE$160:$GQ$219,"&lt;"&amp;($B37+1)*1000000000))</f>
        <v/>
      </c>
      <c r="F37" s="50">
        <f>IF($B37="","",SUM($C$26:$C37))</f>
        <v/>
      </c>
      <c r="G37" s="50">
        <f>IF($B37="","",SUM($D$26:$D37))</f>
        <v/>
      </c>
      <c r="H37" s="50">
        <f>IF($B37="","",SUM($E$26:$E37))</f>
        <v/>
      </c>
    </row>
    <row r="38">
      <c r="B38" s="48">
        <f>IF(DATE(YEAR_Y,1,1)+12&gt;DATE(YEAR_Y,12,31),"",DATE(YEAR_Y,1,1)+12)</f>
        <v/>
      </c>
      <c r="C38" s="49">
        <f>IF($B38="","",SUMIFS(Grids!$BQ$12:$EC$111,Grids!$EE$12:$GQ$111,"&gt;="&amp;$B38*1000000000,Grids!$EE$12:$GQ$111,"&lt;"&amp;($B38+1)*1000000000))</f>
        <v/>
      </c>
      <c r="D38" s="49">
        <f>IF($B38="","",SUMIFS(Grids!$BQ$116:$EC$155,Grids!$EE$116:$GQ$155,"&gt;="&amp;$B38*1000000000,Grids!$EE$116:$GQ$155,"&lt;"&amp;($B38+1)*1000000000))</f>
        <v/>
      </c>
      <c r="E38" s="49">
        <f>IF($B38="","",SUMIFS(Grids!$BQ$160:$EC$219,Grids!$EE$160:$GQ$219,"&gt;="&amp;$B38*1000000000,Grids!$EE$160:$GQ$219,"&lt;"&amp;($B38+1)*1000000000))</f>
        <v/>
      </c>
      <c r="F38" s="50">
        <f>IF($B38="","",SUM($C$26:$C38))</f>
        <v/>
      </c>
      <c r="G38" s="50">
        <f>IF($B38="","",SUM($D$26:$D38))</f>
        <v/>
      </c>
      <c r="H38" s="50">
        <f>IF($B38="","",SUM($E$26:$E38))</f>
        <v/>
      </c>
    </row>
    <row r="39">
      <c r="B39" s="48">
        <f>IF(DATE(YEAR_Y,1,1)+13&gt;DATE(YEAR_Y,12,31),"",DATE(YEAR_Y,1,1)+13)</f>
        <v/>
      </c>
      <c r="C39" s="49">
        <f>IF($B39="","",SUMIFS(Grids!$BQ$12:$EC$111,Grids!$EE$12:$GQ$111,"&gt;="&amp;$B39*1000000000,Grids!$EE$12:$GQ$111,"&lt;"&amp;($B39+1)*1000000000))</f>
        <v/>
      </c>
      <c r="D39" s="49">
        <f>IF($B39="","",SUMIFS(Grids!$BQ$116:$EC$155,Grids!$EE$116:$GQ$155,"&gt;="&amp;$B39*1000000000,Grids!$EE$116:$GQ$155,"&lt;"&amp;($B39+1)*1000000000))</f>
        <v/>
      </c>
      <c r="E39" s="49">
        <f>IF($B39="","",SUMIFS(Grids!$BQ$160:$EC$219,Grids!$EE$160:$GQ$219,"&gt;="&amp;$B39*1000000000,Grids!$EE$160:$GQ$219,"&lt;"&amp;($B39+1)*1000000000))</f>
        <v/>
      </c>
      <c r="F39" s="50">
        <f>IF($B39="","",SUM($C$26:$C39))</f>
        <v/>
      </c>
      <c r="G39" s="50">
        <f>IF($B39="","",SUM($D$26:$D39))</f>
        <v/>
      </c>
      <c r="H39" s="50">
        <f>IF($B39="","",SUM($E$26:$E39))</f>
        <v/>
      </c>
    </row>
    <row r="40">
      <c r="B40" s="48">
        <f>IF(DATE(YEAR_Y,1,1)+14&gt;DATE(YEAR_Y,12,31),"",DATE(YEAR_Y,1,1)+14)</f>
        <v/>
      </c>
      <c r="C40" s="49">
        <f>IF($B40="","",SUMIFS(Grids!$BQ$12:$EC$111,Grids!$EE$12:$GQ$111,"&gt;="&amp;$B40*1000000000,Grids!$EE$12:$GQ$111,"&lt;"&amp;($B40+1)*1000000000))</f>
        <v/>
      </c>
      <c r="D40" s="49">
        <f>IF($B40="","",SUMIFS(Grids!$BQ$116:$EC$155,Grids!$EE$116:$GQ$155,"&gt;="&amp;$B40*1000000000,Grids!$EE$116:$GQ$155,"&lt;"&amp;($B40+1)*1000000000))</f>
        <v/>
      </c>
      <c r="E40" s="49">
        <f>IF($B40="","",SUMIFS(Grids!$BQ$160:$EC$219,Grids!$EE$160:$GQ$219,"&gt;="&amp;$B40*1000000000,Grids!$EE$160:$GQ$219,"&lt;"&amp;($B40+1)*1000000000))</f>
        <v/>
      </c>
      <c r="F40" s="50">
        <f>IF($B40="","",SUM($C$26:$C40))</f>
        <v/>
      </c>
      <c r="G40" s="50">
        <f>IF($B40="","",SUM($D$26:$D40))</f>
        <v/>
      </c>
      <c r="H40" s="50">
        <f>IF($B40="","",SUM($E$26:$E40))</f>
        <v/>
      </c>
    </row>
    <row r="41">
      <c r="B41" s="48">
        <f>IF(DATE(YEAR_Y,1,1)+15&gt;DATE(YEAR_Y,12,31),"",DATE(YEAR_Y,1,1)+15)</f>
        <v/>
      </c>
      <c r="C41" s="49">
        <f>IF($B41="","",SUMIFS(Grids!$BQ$12:$EC$111,Grids!$EE$12:$GQ$111,"&gt;="&amp;$B41*1000000000,Grids!$EE$12:$GQ$111,"&lt;"&amp;($B41+1)*1000000000))</f>
        <v/>
      </c>
      <c r="D41" s="49">
        <f>IF($B41="","",SUMIFS(Grids!$BQ$116:$EC$155,Grids!$EE$116:$GQ$155,"&gt;="&amp;$B41*1000000000,Grids!$EE$116:$GQ$155,"&lt;"&amp;($B41+1)*1000000000))</f>
        <v/>
      </c>
      <c r="E41" s="49">
        <f>IF($B41="","",SUMIFS(Grids!$BQ$160:$EC$219,Grids!$EE$160:$GQ$219,"&gt;="&amp;$B41*1000000000,Grids!$EE$160:$GQ$219,"&lt;"&amp;($B41+1)*1000000000))</f>
        <v/>
      </c>
      <c r="F41" s="50">
        <f>IF($B41="","",SUM($C$26:$C41))</f>
        <v/>
      </c>
      <c r="G41" s="50">
        <f>IF($B41="","",SUM($D$26:$D41))</f>
        <v/>
      </c>
      <c r="H41" s="50">
        <f>IF($B41="","",SUM($E$26:$E41))</f>
        <v/>
      </c>
    </row>
    <row r="42">
      <c r="B42" s="48">
        <f>IF(DATE(YEAR_Y,1,1)+16&gt;DATE(YEAR_Y,12,31),"",DATE(YEAR_Y,1,1)+16)</f>
        <v/>
      </c>
      <c r="C42" s="49">
        <f>IF($B42="","",SUMIFS(Grids!$BQ$12:$EC$111,Grids!$EE$12:$GQ$111,"&gt;="&amp;$B42*1000000000,Grids!$EE$12:$GQ$111,"&lt;"&amp;($B42+1)*1000000000))</f>
        <v/>
      </c>
      <c r="D42" s="49">
        <f>IF($B42="","",SUMIFS(Grids!$BQ$116:$EC$155,Grids!$EE$116:$GQ$155,"&gt;="&amp;$B42*1000000000,Grids!$EE$116:$GQ$155,"&lt;"&amp;($B42+1)*1000000000))</f>
        <v/>
      </c>
      <c r="E42" s="49">
        <f>IF($B42="","",SUMIFS(Grids!$BQ$160:$EC$219,Grids!$EE$160:$GQ$219,"&gt;="&amp;$B42*1000000000,Grids!$EE$160:$GQ$219,"&lt;"&amp;($B42+1)*1000000000))</f>
        <v/>
      </c>
      <c r="F42" s="50">
        <f>IF($B42="","",SUM($C$26:$C42))</f>
        <v/>
      </c>
      <c r="G42" s="50">
        <f>IF($B42="","",SUM($D$26:$D42))</f>
        <v/>
      </c>
      <c r="H42" s="50">
        <f>IF($B42="","",SUM($E$26:$E42))</f>
        <v/>
      </c>
    </row>
    <row r="43">
      <c r="B43" s="48">
        <f>IF(DATE(YEAR_Y,1,1)+17&gt;DATE(YEAR_Y,12,31),"",DATE(YEAR_Y,1,1)+17)</f>
        <v/>
      </c>
      <c r="C43" s="49">
        <f>IF($B43="","",SUMIFS(Grids!$BQ$12:$EC$111,Grids!$EE$12:$GQ$111,"&gt;="&amp;$B43*1000000000,Grids!$EE$12:$GQ$111,"&lt;"&amp;($B43+1)*1000000000))</f>
        <v/>
      </c>
      <c r="D43" s="49">
        <f>IF($B43="","",SUMIFS(Grids!$BQ$116:$EC$155,Grids!$EE$116:$GQ$155,"&gt;="&amp;$B43*1000000000,Grids!$EE$116:$GQ$155,"&lt;"&amp;($B43+1)*1000000000))</f>
        <v/>
      </c>
      <c r="E43" s="49">
        <f>IF($B43="","",SUMIFS(Grids!$BQ$160:$EC$219,Grids!$EE$160:$GQ$219,"&gt;="&amp;$B43*1000000000,Grids!$EE$160:$GQ$219,"&lt;"&amp;($B43+1)*1000000000))</f>
        <v/>
      </c>
      <c r="F43" s="50">
        <f>IF($B43="","",SUM($C$26:$C43))</f>
        <v/>
      </c>
      <c r="G43" s="50">
        <f>IF($B43="","",SUM($D$26:$D43))</f>
        <v/>
      </c>
      <c r="H43" s="50">
        <f>IF($B43="","",SUM($E$26:$E43))</f>
        <v/>
      </c>
    </row>
    <row r="44">
      <c r="B44" s="48">
        <f>IF(DATE(YEAR_Y,1,1)+18&gt;DATE(YEAR_Y,12,31),"",DATE(YEAR_Y,1,1)+18)</f>
        <v/>
      </c>
      <c r="C44" s="49">
        <f>IF($B44="","",SUMIFS(Grids!$BQ$12:$EC$111,Grids!$EE$12:$GQ$111,"&gt;="&amp;$B44*1000000000,Grids!$EE$12:$GQ$111,"&lt;"&amp;($B44+1)*1000000000))</f>
        <v/>
      </c>
      <c r="D44" s="49">
        <f>IF($B44="","",SUMIFS(Grids!$BQ$116:$EC$155,Grids!$EE$116:$GQ$155,"&gt;="&amp;$B44*1000000000,Grids!$EE$116:$GQ$155,"&lt;"&amp;($B44+1)*1000000000))</f>
        <v/>
      </c>
      <c r="E44" s="49">
        <f>IF($B44="","",SUMIFS(Grids!$BQ$160:$EC$219,Grids!$EE$160:$GQ$219,"&gt;="&amp;$B44*1000000000,Grids!$EE$160:$GQ$219,"&lt;"&amp;($B44+1)*1000000000))</f>
        <v/>
      </c>
      <c r="F44" s="50">
        <f>IF($B44="","",SUM($C$26:$C44))</f>
        <v/>
      </c>
      <c r="G44" s="50">
        <f>IF($B44="","",SUM($D$26:$D44))</f>
        <v/>
      </c>
      <c r="H44" s="50">
        <f>IF($B44="","",SUM($E$26:$E44))</f>
        <v/>
      </c>
    </row>
    <row r="45">
      <c r="B45" s="48">
        <f>IF(DATE(YEAR_Y,1,1)+19&gt;DATE(YEAR_Y,12,31),"",DATE(YEAR_Y,1,1)+19)</f>
        <v/>
      </c>
      <c r="C45" s="49">
        <f>IF($B45="","",SUMIFS(Grids!$BQ$12:$EC$111,Grids!$EE$12:$GQ$111,"&gt;="&amp;$B45*1000000000,Grids!$EE$12:$GQ$111,"&lt;"&amp;($B45+1)*1000000000))</f>
        <v/>
      </c>
      <c r="D45" s="49">
        <f>IF($B45="","",SUMIFS(Grids!$BQ$116:$EC$155,Grids!$EE$116:$GQ$155,"&gt;="&amp;$B45*1000000000,Grids!$EE$116:$GQ$155,"&lt;"&amp;($B45+1)*1000000000))</f>
        <v/>
      </c>
      <c r="E45" s="49">
        <f>IF($B45="","",SUMIFS(Grids!$BQ$160:$EC$219,Grids!$EE$160:$GQ$219,"&gt;="&amp;$B45*1000000000,Grids!$EE$160:$GQ$219,"&lt;"&amp;($B45+1)*1000000000))</f>
        <v/>
      </c>
      <c r="F45" s="50">
        <f>IF($B45="","",SUM($C$26:$C45))</f>
        <v/>
      </c>
      <c r="G45" s="50">
        <f>IF($B45="","",SUM($D$26:$D45))</f>
        <v/>
      </c>
      <c r="H45" s="50">
        <f>IF($B45="","",SUM($E$26:$E45))</f>
        <v/>
      </c>
    </row>
    <row r="46">
      <c r="B46" s="48">
        <f>IF(DATE(YEAR_Y,1,1)+20&gt;DATE(YEAR_Y,12,31),"",DATE(YEAR_Y,1,1)+20)</f>
        <v/>
      </c>
      <c r="C46" s="49">
        <f>IF($B46="","",SUMIFS(Grids!$BQ$12:$EC$111,Grids!$EE$12:$GQ$111,"&gt;="&amp;$B46*1000000000,Grids!$EE$12:$GQ$111,"&lt;"&amp;($B46+1)*1000000000))</f>
        <v/>
      </c>
      <c r="D46" s="49">
        <f>IF($B46="","",SUMIFS(Grids!$BQ$116:$EC$155,Grids!$EE$116:$GQ$155,"&gt;="&amp;$B46*1000000000,Grids!$EE$116:$GQ$155,"&lt;"&amp;($B46+1)*1000000000))</f>
        <v/>
      </c>
      <c r="E46" s="49">
        <f>IF($B46="","",SUMIFS(Grids!$BQ$160:$EC$219,Grids!$EE$160:$GQ$219,"&gt;="&amp;$B46*1000000000,Grids!$EE$160:$GQ$219,"&lt;"&amp;($B46+1)*1000000000))</f>
        <v/>
      </c>
      <c r="F46" s="50">
        <f>IF($B46="","",SUM($C$26:$C46))</f>
        <v/>
      </c>
      <c r="G46" s="50">
        <f>IF($B46="","",SUM($D$26:$D46))</f>
        <v/>
      </c>
      <c r="H46" s="50">
        <f>IF($B46="","",SUM($E$26:$E46))</f>
        <v/>
      </c>
    </row>
    <row r="47">
      <c r="B47" s="48">
        <f>IF(DATE(YEAR_Y,1,1)+21&gt;DATE(YEAR_Y,12,31),"",DATE(YEAR_Y,1,1)+21)</f>
        <v/>
      </c>
      <c r="C47" s="49">
        <f>IF($B47="","",SUMIFS(Grids!$BQ$12:$EC$111,Grids!$EE$12:$GQ$111,"&gt;="&amp;$B47*1000000000,Grids!$EE$12:$GQ$111,"&lt;"&amp;($B47+1)*1000000000))</f>
        <v/>
      </c>
      <c r="D47" s="49">
        <f>IF($B47="","",SUMIFS(Grids!$BQ$116:$EC$155,Grids!$EE$116:$GQ$155,"&gt;="&amp;$B47*1000000000,Grids!$EE$116:$GQ$155,"&lt;"&amp;($B47+1)*1000000000))</f>
        <v/>
      </c>
      <c r="E47" s="49">
        <f>IF($B47="","",SUMIFS(Grids!$BQ$160:$EC$219,Grids!$EE$160:$GQ$219,"&gt;="&amp;$B47*1000000000,Grids!$EE$160:$GQ$219,"&lt;"&amp;($B47+1)*1000000000))</f>
        <v/>
      </c>
      <c r="F47" s="50">
        <f>IF($B47="","",SUM($C$26:$C47))</f>
        <v/>
      </c>
      <c r="G47" s="50">
        <f>IF($B47="","",SUM($D$26:$D47))</f>
        <v/>
      </c>
      <c r="H47" s="50">
        <f>IF($B47="","",SUM($E$26:$E47))</f>
        <v/>
      </c>
    </row>
    <row r="48">
      <c r="B48" s="48">
        <f>IF(DATE(YEAR_Y,1,1)+22&gt;DATE(YEAR_Y,12,31),"",DATE(YEAR_Y,1,1)+22)</f>
        <v/>
      </c>
      <c r="C48" s="49">
        <f>IF($B48="","",SUMIFS(Grids!$BQ$12:$EC$111,Grids!$EE$12:$GQ$111,"&gt;="&amp;$B48*1000000000,Grids!$EE$12:$GQ$111,"&lt;"&amp;($B48+1)*1000000000))</f>
        <v/>
      </c>
      <c r="D48" s="49">
        <f>IF($B48="","",SUMIFS(Grids!$BQ$116:$EC$155,Grids!$EE$116:$GQ$155,"&gt;="&amp;$B48*1000000000,Grids!$EE$116:$GQ$155,"&lt;"&amp;($B48+1)*1000000000))</f>
        <v/>
      </c>
      <c r="E48" s="49">
        <f>IF($B48="","",SUMIFS(Grids!$BQ$160:$EC$219,Grids!$EE$160:$GQ$219,"&gt;="&amp;$B48*1000000000,Grids!$EE$160:$GQ$219,"&lt;"&amp;($B48+1)*1000000000))</f>
        <v/>
      </c>
      <c r="F48" s="50">
        <f>IF($B48="","",SUM($C$26:$C48))</f>
        <v/>
      </c>
      <c r="G48" s="50">
        <f>IF($B48="","",SUM($D$26:$D48))</f>
        <v/>
      </c>
      <c r="H48" s="50">
        <f>IF($B48="","",SUM($E$26:$E48))</f>
        <v/>
      </c>
    </row>
    <row r="49">
      <c r="B49" s="48">
        <f>IF(DATE(YEAR_Y,1,1)+23&gt;DATE(YEAR_Y,12,31),"",DATE(YEAR_Y,1,1)+23)</f>
        <v/>
      </c>
      <c r="C49" s="49">
        <f>IF($B49="","",SUMIFS(Grids!$BQ$12:$EC$111,Grids!$EE$12:$GQ$111,"&gt;="&amp;$B49*1000000000,Grids!$EE$12:$GQ$111,"&lt;"&amp;($B49+1)*1000000000))</f>
        <v/>
      </c>
      <c r="D49" s="49">
        <f>IF($B49="","",SUMIFS(Grids!$BQ$116:$EC$155,Grids!$EE$116:$GQ$155,"&gt;="&amp;$B49*1000000000,Grids!$EE$116:$GQ$155,"&lt;"&amp;($B49+1)*1000000000))</f>
        <v/>
      </c>
      <c r="E49" s="49">
        <f>IF($B49="","",SUMIFS(Grids!$BQ$160:$EC$219,Grids!$EE$160:$GQ$219,"&gt;="&amp;$B49*1000000000,Grids!$EE$160:$GQ$219,"&lt;"&amp;($B49+1)*1000000000))</f>
        <v/>
      </c>
      <c r="F49" s="50">
        <f>IF($B49="","",SUM($C$26:$C49))</f>
        <v/>
      </c>
      <c r="G49" s="50">
        <f>IF($B49="","",SUM($D$26:$D49))</f>
        <v/>
      </c>
      <c r="H49" s="50">
        <f>IF($B49="","",SUM($E$26:$E49))</f>
        <v/>
      </c>
    </row>
    <row r="50">
      <c r="B50" s="48">
        <f>IF(DATE(YEAR_Y,1,1)+24&gt;DATE(YEAR_Y,12,31),"",DATE(YEAR_Y,1,1)+24)</f>
        <v/>
      </c>
      <c r="C50" s="49">
        <f>IF($B50="","",SUMIFS(Grids!$BQ$12:$EC$111,Grids!$EE$12:$GQ$111,"&gt;="&amp;$B50*1000000000,Grids!$EE$12:$GQ$111,"&lt;"&amp;($B50+1)*1000000000))</f>
        <v/>
      </c>
      <c r="D50" s="49">
        <f>IF($B50="","",SUMIFS(Grids!$BQ$116:$EC$155,Grids!$EE$116:$GQ$155,"&gt;="&amp;$B50*1000000000,Grids!$EE$116:$GQ$155,"&lt;"&amp;($B50+1)*1000000000))</f>
        <v/>
      </c>
      <c r="E50" s="49">
        <f>IF($B50="","",SUMIFS(Grids!$BQ$160:$EC$219,Grids!$EE$160:$GQ$219,"&gt;="&amp;$B50*1000000000,Grids!$EE$160:$GQ$219,"&lt;"&amp;($B50+1)*1000000000))</f>
        <v/>
      </c>
      <c r="F50" s="50">
        <f>IF($B50="","",SUM($C$26:$C50))</f>
        <v/>
      </c>
      <c r="G50" s="50">
        <f>IF($B50="","",SUM($D$26:$D50))</f>
        <v/>
      </c>
      <c r="H50" s="50">
        <f>IF($B50="","",SUM($E$26:$E50))</f>
        <v/>
      </c>
    </row>
    <row r="51">
      <c r="B51" s="48">
        <f>IF(DATE(YEAR_Y,1,1)+25&gt;DATE(YEAR_Y,12,31),"",DATE(YEAR_Y,1,1)+25)</f>
        <v/>
      </c>
      <c r="C51" s="49">
        <f>IF($B51="","",SUMIFS(Grids!$BQ$12:$EC$111,Grids!$EE$12:$GQ$111,"&gt;="&amp;$B51*1000000000,Grids!$EE$12:$GQ$111,"&lt;"&amp;($B51+1)*1000000000))</f>
        <v/>
      </c>
      <c r="D51" s="49">
        <f>IF($B51="","",SUMIFS(Grids!$BQ$116:$EC$155,Grids!$EE$116:$GQ$155,"&gt;="&amp;$B51*1000000000,Grids!$EE$116:$GQ$155,"&lt;"&amp;($B51+1)*1000000000))</f>
        <v/>
      </c>
      <c r="E51" s="49">
        <f>IF($B51="","",SUMIFS(Grids!$BQ$160:$EC$219,Grids!$EE$160:$GQ$219,"&gt;="&amp;$B51*1000000000,Grids!$EE$160:$GQ$219,"&lt;"&amp;($B51+1)*1000000000))</f>
        <v/>
      </c>
      <c r="F51" s="50">
        <f>IF($B51="","",SUM($C$26:$C51))</f>
        <v/>
      </c>
      <c r="G51" s="50">
        <f>IF($B51="","",SUM($D$26:$D51))</f>
        <v/>
      </c>
      <c r="H51" s="50">
        <f>IF($B51="","",SUM($E$26:$E51))</f>
        <v/>
      </c>
    </row>
    <row r="52">
      <c r="B52" s="48">
        <f>IF(DATE(YEAR_Y,1,1)+26&gt;DATE(YEAR_Y,12,31),"",DATE(YEAR_Y,1,1)+26)</f>
        <v/>
      </c>
      <c r="C52" s="49">
        <f>IF($B52="","",SUMIFS(Grids!$BQ$12:$EC$111,Grids!$EE$12:$GQ$111,"&gt;="&amp;$B52*1000000000,Grids!$EE$12:$GQ$111,"&lt;"&amp;($B52+1)*1000000000))</f>
        <v/>
      </c>
      <c r="D52" s="49">
        <f>IF($B52="","",SUMIFS(Grids!$BQ$116:$EC$155,Grids!$EE$116:$GQ$155,"&gt;="&amp;$B52*1000000000,Grids!$EE$116:$GQ$155,"&lt;"&amp;($B52+1)*1000000000))</f>
        <v/>
      </c>
      <c r="E52" s="49">
        <f>IF($B52="","",SUMIFS(Grids!$BQ$160:$EC$219,Grids!$EE$160:$GQ$219,"&gt;="&amp;$B52*1000000000,Grids!$EE$160:$GQ$219,"&lt;"&amp;($B52+1)*1000000000))</f>
        <v/>
      </c>
      <c r="F52" s="50">
        <f>IF($B52="","",SUM($C$26:$C52))</f>
        <v/>
      </c>
      <c r="G52" s="50">
        <f>IF($B52="","",SUM($D$26:$D52))</f>
        <v/>
      </c>
      <c r="H52" s="50">
        <f>IF($B52="","",SUM($E$26:$E52))</f>
        <v/>
      </c>
    </row>
    <row r="53">
      <c r="B53" s="48">
        <f>IF(DATE(YEAR_Y,1,1)+27&gt;DATE(YEAR_Y,12,31),"",DATE(YEAR_Y,1,1)+27)</f>
        <v/>
      </c>
      <c r="C53" s="49">
        <f>IF($B53="","",SUMIFS(Grids!$BQ$12:$EC$111,Grids!$EE$12:$GQ$111,"&gt;="&amp;$B53*1000000000,Grids!$EE$12:$GQ$111,"&lt;"&amp;($B53+1)*1000000000))</f>
        <v/>
      </c>
      <c r="D53" s="49">
        <f>IF($B53="","",SUMIFS(Grids!$BQ$116:$EC$155,Grids!$EE$116:$GQ$155,"&gt;="&amp;$B53*1000000000,Grids!$EE$116:$GQ$155,"&lt;"&amp;($B53+1)*1000000000))</f>
        <v/>
      </c>
      <c r="E53" s="49">
        <f>IF($B53="","",SUMIFS(Grids!$BQ$160:$EC$219,Grids!$EE$160:$GQ$219,"&gt;="&amp;$B53*1000000000,Grids!$EE$160:$GQ$219,"&lt;"&amp;($B53+1)*1000000000))</f>
        <v/>
      </c>
      <c r="F53" s="50">
        <f>IF($B53="","",SUM($C$26:$C53))</f>
        <v/>
      </c>
      <c r="G53" s="50">
        <f>IF($B53="","",SUM($D$26:$D53))</f>
        <v/>
      </c>
      <c r="H53" s="50">
        <f>IF($B53="","",SUM($E$26:$E53))</f>
        <v/>
      </c>
    </row>
    <row r="54">
      <c r="B54" s="48">
        <f>IF(DATE(YEAR_Y,1,1)+28&gt;DATE(YEAR_Y,12,31),"",DATE(YEAR_Y,1,1)+28)</f>
        <v/>
      </c>
      <c r="C54" s="49">
        <f>IF($B54="","",SUMIFS(Grids!$BQ$12:$EC$111,Grids!$EE$12:$GQ$111,"&gt;="&amp;$B54*1000000000,Grids!$EE$12:$GQ$111,"&lt;"&amp;($B54+1)*1000000000))</f>
        <v/>
      </c>
      <c r="D54" s="49">
        <f>IF($B54="","",SUMIFS(Grids!$BQ$116:$EC$155,Grids!$EE$116:$GQ$155,"&gt;="&amp;$B54*1000000000,Grids!$EE$116:$GQ$155,"&lt;"&amp;($B54+1)*1000000000))</f>
        <v/>
      </c>
      <c r="E54" s="49">
        <f>IF($B54="","",SUMIFS(Grids!$BQ$160:$EC$219,Grids!$EE$160:$GQ$219,"&gt;="&amp;$B54*1000000000,Grids!$EE$160:$GQ$219,"&lt;"&amp;($B54+1)*1000000000))</f>
        <v/>
      </c>
      <c r="F54" s="50">
        <f>IF($B54="","",SUM($C$26:$C54))</f>
        <v/>
      </c>
      <c r="G54" s="50">
        <f>IF($B54="","",SUM($D$26:$D54))</f>
        <v/>
      </c>
      <c r="H54" s="50">
        <f>IF($B54="","",SUM($E$26:$E54))</f>
        <v/>
      </c>
    </row>
    <row r="55">
      <c r="B55" s="48">
        <f>IF(DATE(YEAR_Y,1,1)+29&gt;DATE(YEAR_Y,12,31),"",DATE(YEAR_Y,1,1)+29)</f>
        <v/>
      </c>
      <c r="C55" s="49">
        <f>IF($B55="","",SUMIFS(Grids!$BQ$12:$EC$111,Grids!$EE$12:$GQ$111,"&gt;="&amp;$B55*1000000000,Grids!$EE$12:$GQ$111,"&lt;"&amp;($B55+1)*1000000000))</f>
        <v/>
      </c>
      <c r="D55" s="49">
        <f>IF($B55="","",SUMIFS(Grids!$BQ$116:$EC$155,Grids!$EE$116:$GQ$155,"&gt;="&amp;$B55*1000000000,Grids!$EE$116:$GQ$155,"&lt;"&amp;($B55+1)*1000000000))</f>
        <v/>
      </c>
      <c r="E55" s="49">
        <f>IF($B55="","",SUMIFS(Grids!$BQ$160:$EC$219,Grids!$EE$160:$GQ$219,"&gt;="&amp;$B55*1000000000,Grids!$EE$160:$GQ$219,"&lt;"&amp;($B55+1)*1000000000))</f>
        <v/>
      </c>
      <c r="F55" s="50">
        <f>IF($B55="","",SUM($C$26:$C55))</f>
        <v/>
      </c>
      <c r="G55" s="50">
        <f>IF($B55="","",SUM($D$26:$D55))</f>
        <v/>
      </c>
      <c r="H55" s="50">
        <f>IF($B55="","",SUM($E$26:$E55))</f>
        <v/>
      </c>
    </row>
    <row r="56">
      <c r="B56" s="48">
        <f>IF(DATE(YEAR_Y,1,1)+30&gt;DATE(YEAR_Y,12,31),"",DATE(YEAR_Y,1,1)+30)</f>
        <v/>
      </c>
      <c r="C56" s="49">
        <f>IF($B56="","",SUMIFS(Grids!$BQ$12:$EC$111,Grids!$EE$12:$GQ$111,"&gt;="&amp;$B56*1000000000,Grids!$EE$12:$GQ$111,"&lt;"&amp;($B56+1)*1000000000))</f>
        <v/>
      </c>
      <c r="D56" s="49">
        <f>IF($B56="","",SUMIFS(Grids!$BQ$116:$EC$155,Grids!$EE$116:$GQ$155,"&gt;="&amp;$B56*1000000000,Grids!$EE$116:$GQ$155,"&lt;"&amp;($B56+1)*1000000000))</f>
        <v/>
      </c>
      <c r="E56" s="49">
        <f>IF($B56="","",SUMIFS(Grids!$BQ$160:$EC$219,Grids!$EE$160:$GQ$219,"&gt;="&amp;$B56*1000000000,Grids!$EE$160:$GQ$219,"&lt;"&amp;($B56+1)*1000000000))</f>
        <v/>
      </c>
      <c r="F56" s="50">
        <f>IF($B56="","",SUM($C$26:$C56))</f>
        <v/>
      </c>
      <c r="G56" s="50">
        <f>IF($B56="","",SUM($D$26:$D56))</f>
        <v/>
      </c>
      <c r="H56" s="50">
        <f>IF($B56="","",SUM($E$26:$E56))</f>
        <v/>
      </c>
    </row>
    <row r="57">
      <c r="B57" s="48">
        <f>IF(DATE(YEAR_Y,1,1)+31&gt;DATE(YEAR_Y,12,31),"",DATE(YEAR_Y,1,1)+31)</f>
        <v/>
      </c>
      <c r="C57" s="49">
        <f>IF($B57="","",SUMIFS(Grids!$BQ$12:$EC$111,Grids!$EE$12:$GQ$111,"&gt;="&amp;$B57*1000000000,Grids!$EE$12:$GQ$111,"&lt;"&amp;($B57+1)*1000000000))</f>
        <v/>
      </c>
      <c r="D57" s="49">
        <f>IF($B57="","",SUMIFS(Grids!$BQ$116:$EC$155,Grids!$EE$116:$GQ$155,"&gt;="&amp;$B57*1000000000,Grids!$EE$116:$GQ$155,"&lt;"&amp;($B57+1)*1000000000))</f>
        <v/>
      </c>
      <c r="E57" s="49">
        <f>IF($B57="","",SUMIFS(Grids!$BQ$160:$EC$219,Grids!$EE$160:$GQ$219,"&gt;="&amp;$B57*1000000000,Grids!$EE$160:$GQ$219,"&lt;"&amp;($B57+1)*1000000000))</f>
        <v/>
      </c>
      <c r="F57" s="50">
        <f>IF($B57="","",SUM($C$26:$C57))</f>
        <v/>
      </c>
      <c r="G57" s="50">
        <f>IF($B57="","",SUM($D$26:$D57))</f>
        <v/>
      </c>
      <c r="H57" s="50">
        <f>IF($B57="","",SUM($E$26:$E57))</f>
        <v/>
      </c>
    </row>
    <row r="58">
      <c r="B58" s="48">
        <f>IF(DATE(YEAR_Y,1,1)+32&gt;DATE(YEAR_Y,12,31),"",DATE(YEAR_Y,1,1)+32)</f>
        <v/>
      </c>
      <c r="C58" s="49">
        <f>IF($B58="","",SUMIFS(Grids!$BQ$12:$EC$111,Grids!$EE$12:$GQ$111,"&gt;="&amp;$B58*1000000000,Grids!$EE$12:$GQ$111,"&lt;"&amp;($B58+1)*1000000000))</f>
        <v/>
      </c>
      <c r="D58" s="49">
        <f>IF($B58="","",SUMIFS(Grids!$BQ$116:$EC$155,Grids!$EE$116:$GQ$155,"&gt;="&amp;$B58*1000000000,Grids!$EE$116:$GQ$155,"&lt;"&amp;($B58+1)*1000000000))</f>
        <v/>
      </c>
      <c r="E58" s="49">
        <f>IF($B58="","",SUMIFS(Grids!$BQ$160:$EC$219,Grids!$EE$160:$GQ$219,"&gt;="&amp;$B58*1000000000,Grids!$EE$160:$GQ$219,"&lt;"&amp;($B58+1)*1000000000))</f>
        <v/>
      </c>
      <c r="F58" s="50">
        <f>IF($B58="","",SUM($C$26:$C58))</f>
        <v/>
      </c>
      <c r="G58" s="50">
        <f>IF($B58="","",SUM($D$26:$D58))</f>
        <v/>
      </c>
      <c r="H58" s="50">
        <f>IF($B58="","",SUM($E$26:$E58))</f>
        <v/>
      </c>
    </row>
    <row r="59">
      <c r="B59" s="48">
        <f>IF(DATE(YEAR_Y,1,1)+33&gt;DATE(YEAR_Y,12,31),"",DATE(YEAR_Y,1,1)+33)</f>
        <v/>
      </c>
      <c r="C59" s="49">
        <f>IF($B59="","",SUMIFS(Grids!$BQ$12:$EC$111,Grids!$EE$12:$GQ$111,"&gt;="&amp;$B59*1000000000,Grids!$EE$12:$GQ$111,"&lt;"&amp;($B59+1)*1000000000))</f>
        <v/>
      </c>
      <c r="D59" s="49">
        <f>IF($B59="","",SUMIFS(Grids!$BQ$116:$EC$155,Grids!$EE$116:$GQ$155,"&gt;="&amp;$B59*1000000000,Grids!$EE$116:$GQ$155,"&lt;"&amp;($B59+1)*1000000000))</f>
        <v/>
      </c>
      <c r="E59" s="49">
        <f>IF($B59="","",SUMIFS(Grids!$BQ$160:$EC$219,Grids!$EE$160:$GQ$219,"&gt;="&amp;$B59*1000000000,Grids!$EE$160:$GQ$219,"&lt;"&amp;($B59+1)*1000000000))</f>
        <v/>
      </c>
      <c r="F59" s="50">
        <f>IF($B59="","",SUM($C$26:$C59))</f>
        <v/>
      </c>
      <c r="G59" s="50">
        <f>IF($B59="","",SUM($D$26:$D59))</f>
        <v/>
      </c>
      <c r="H59" s="50">
        <f>IF($B59="","",SUM($E$26:$E59))</f>
        <v/>
      </c>
    </row>
    <row r="60">
      <c r="B60" s="48">
        <f>IF(DATE(YEAR_Y,1,1)+34&gt;DATE(YEAR_Y,12,31),"",DATE(YEAR_Y,1,1)+34)</f>
        <v/>
      </c>
      <c r="C60" s="49">
        <f>IF($B60="","",SUMIFS(Grids!$BQ$12:$EC$111,Grids!$EE$12:$GQ$111,"&gt;="&amp;$B60*1000000000,Grids!$EE$12:$GQ$111,"&lt;"&amp;($B60+1)*1000000000))</f>
        <v/>
      </c>
      <c r="D60" s="49">
        <f>IF($B60="","",SUMIFS(Grids!$BQ$116:$EC$155,Grids!$EE$116:$GQ$155,"&gt;="&amp;$B60*1000000000,Grids!$EE$116:$GQ$155,"&lt;"&amp;($B60+1)*1000000000))</f>
        <v/>
      </c>
      <c r="E60" s="49">
        <f>IF($B60="","",SUMIFS(Grids!$BQ$160:$EC$219,Grids!$EE$160:$GQ$219,"&gt;="&amp;$B60*1000000000,Grids!$EE$160:$GQ$219,"&lt;"&amp;($B60+1)*1000000000))</f>
        <v/>
      </c>
      <c r="F60" s="50">
        <f>IF($B60="","",SUM($C$26:$C60))</f>
        <v/>
      </c>
      <c r="G60" s="50">
        <f>IF($B60="","",SUM($D$26:$D60))</f>
        <v/>
      </c>
      <c r="H60" s="50">
        <f>IF($B60="","",SUM($E$26:$E60))</f>
        <v/>
      </c>
    </row>
    <row r="61">
      <c r="B61" s="48">
        <f>IF(DATE(YEAR_Y,1,1)+35&gt;DATE(YEAR_Y,12,31),"",DATE(YEAR_Y,1,1)+35)</f>
        <v/>
      </c>
      <c r="C61" s="49">
        <f>IF($B61="","",SUMIFS(Grids!$BQ$12:$EC$111,Grids!$EE$12:$GQ$111,"&gt;="&amp;$B61*1000000000,Grids!$EE$12:$GQ$111,"&lt;"&amp;($B61+1)*1000000000))</f>
        <v/>
      </c>
      <c r="D61" s="49">
        <f>IF($B61="","",SUMIFS(Grids!$BQ$116:$EC$155,Grids!$EE$116:$GQ$155,"&gt;="&amp;$B61*1000000000,Grids!$EE$116:$GQ$155,"&lt;"&amp;($B61+1)*1000000000))</f>
        <v/>
      </c>
      <c r="E61" s="49">
        <f>IF($B61="","",SUMIFS(Grids!$BQ$160:$EC$219,Grids!$EE$160:$GQ$219,"&gt;="&amp;$B61*1000000000,Grids!$EE$160:$GQ$219,"&lt;"&amp;($B61+1)*1000000000))</f>
        <v/>
      </c>
      <c r="F61" s="50">
        <f>IF($B61="","",SUM($C$26:$C61))</f>
        <v/>
      </c>
      <c r="G61" s="50">
        <f>IF($B61="","",SUM($D$26:$D61))</f>
        <v/>
      </c>
      <c r="H61" s="50">
        <f>IF($B61="","",SUM($E$26:$E61))</f>
        <v/>
      </c>
    </row>
    <row r="62">
      <c r="B62" s="48">
        <f>IF(DATE(YEAR_Y,1,1)+36&gt;DATE(YEAR_Y,12,31),"",DATE(YEAR_Y,1,1)+36)</f>
        <v/>
      </c>
      <c r="C62" s="49">
        <f>IF($B62="","",SUMIFS(Grids!$BQ$12:$EC$111,Grids!$EE$12:$GQ$111,"&gt;="&amp;$B62*1000000000,Grids!$EE$12:$GQ$111,"&lt;"&amp;($B62+1)*1000000000))</f>
        <v/>
      </c>
      <c r="D62" s="49">
        <f>IF($B62="","",SUMIFS(Grids!$BQ$116:$EC$155,Grids!$EE$116:$GQ$155,"&gt;="&amp;$B62*1000000000,Grids!$EE$116:$GQ$155,"&lt;"&amp;($B62+1)*1000000000))</f>
        <v/>
      </c>
      <c r="E62" s="49">
        <f>IF($B62="","",SUMIFS(Grids!$BQ$160:$EC$219,Grids!$EE$160:$GQ$219,"&gt;="&amp;$B62*1000000000,Grids!$EE$160:$GQ$219,"&lt;"&amp;($B62+1)*1000000000))</f>
        <v/>
      </c>
      <c r="F62" s="50">
        <f>IF($B62="","",SUM($C$26:$C62))</f>
        <v/>
      </c>
      <c r="G62" s="50">
        <f>IF($B62="","",SUM($D$26:$D62))</f>
        <v/>
      </c>
      <c r="H62" s="50">
        <f>IF($B62="","",SUM($E$26:$E62))</f>
        <v/>
      </c>
    </row>
    <row r="63">
      <c r="B63" s="48">
        <f>IF(DATE(YEAR_Y,1,1)+37&gt;DATE(YEAR_Y,12,31),"",DATE(YEAR_Y,1,1)+37)</f>
        <v/>
      </c>
      <c r="C63" s="49">
        <f>IF($B63="","",SUMIFS(Grids!$BQ$12:$EC$111,Grids!$EE$12:$GQ$111,"&gt;="&amp;$B63*1000000000,Grids!$EE$12:$GQ$111,"&lt;"&amp;($B63+1)*1000000000))</f>
        <v/>
      </c>
      <c r="D63" s="49">
        <f>IF($B63="","",SUMIFS(Grids!$BQ$116:$EC$155,Grids!$EE$116:$GQ$155,"&gt;="&amp;$B63*1000000000,Grids!$EE$116:$GQ$155,"&lt;"&amp;($B63+1)*1000000000))</f>
        <v/>
      </c>
      <c r="E63" s="49">
        <f>IF($B63="","",SUMIFS(Grids!$BQ$160:$EC$219,Grids!$EE$160:$GQ$219,"&gt;="&amp;$B63*1000000000,Grids!$EE$160:$GQ$219,"&lt;"&amp;($B63+1)*1000000000))</f>
        <v/>
      </c>
      <c r="F63" s="50">
        <f>IF($B63="","",SUM($C$26:$C63))</f>
        <v/>
      </c>
      <c r="G63" s="50">
        <f>IF($B63="","",SUM($D$26:$D63))</f>
        <v/>
      </c>
      <c r="H63" s="50">
        <f>IF($B63="","",SUM($E$26:$E63))</f>
        <v/>
      </c>
    </row>
    <row r="64">
      <c r="B64" s="48">
        <f>IF(DATE(YEAR_Y,1,1)+38&gt;DATE(YEAR_Y,12,31),"",DATE(YEAR_Y,1,1)+38)</f>
        <v/>
      </c>
      <c r="C64" s="49">
        <f>IF($B64="","",SUMIFS(Grids!$BQ$12:$EC$111,Grids!$EE$12:$GQ$111,"&gt;="&amp;$B64*1000000000,Grids!$EE$12:$GQ$111,"&lt;"&amp;($B64+1)*1000000000))</f>
        <v/>
      </c>
      <c r="D64" s="49">
        <f>IF($B64="","",SUMIFS(Grids!$BQ$116:$EC$155,Grids!$EE$116:$GQ$155,"&gt;="&amp;$B64*1000000000,Grids!$EE$116:$GQ$155,"&lt;"&amp;($B64+1)*1000000000))</f>
        <v/>
      </c>
      <c r="E64" s="49">
        <f>IF($B64="","",SUMIFS(Grids!$BQ$160:$EC$219,Grids!$EE$160:$GQ$219,"&gt;="&amp;$B64*1000000000,Grids!$EE$160:$GQ$219,"&lt;"&amp;($B64+1)*1000000000))</f>
        <v/>
      </c>
      <c r="F64" s="50">
        <f>IF($B64="","",SUM($C$26:$C64))</f>
        <v/>
      </c>
      <c r="G64" s="50">
        <f>IF($B64="","",SUM($D$26:$D64))</f>
        <v/>
      </c>
      <c r="H64" s="50">
        <f>IF($B64="","",SUM($E$26:$E64))</f>
        <v/>
      </c>
    </row>
    <row r="65">
      <c r="B65" s="48">
        <f>IF(DATE(YEAR_Y,1,1)+39&gt;DATE(YEAR_Y,12,31),"",DATE(YEAR_Y,1,1)+39)</f>
        <v/>
      </c>
      <c r="C65" s="49">
        <f>IF($B65="","",SUMIFS(Grids!$BQ$12:$EC$111,Grids!$EE$12:$GQ$111,"&gt;="&amp;$B65*1000000000,Grids!$EE$12:$GQ$111,"&lt;"&amp;($B65+1)*1000000000))</f>
        <v/>
      </c>
      <c r="D65" s="49">
        <f>IF($B65="","",SUMIFS(Grids!$BQ$116:$EC$155,Grids!$EE$116:$GQ$155,"&gt;="&amp;$B65*1000000000,Grids!$EE$116:$GQ$155,"&lt;"&amp;($B65+1)*1000000000))</f>
        <v/>
      </c>
      <c r="E65" s="49">
        <f>IF($B65="","",SUMIFS(Grids!$BQ$160:$EC$219,Grids!$EE$160:$GQ$219,"&gt;="&amp;$B65*1000000000,Grids!$EE$160:$GQ$219,"&lt;"&amp;($B65+1)*1000000000))</f>
        <v/>
      </c>
      <c r="F65" s="50">
        <f>IF($B65="","",SUM($C$26:$C65))</f>
        <v/>
      </c>
      <c r="G65" s="50">
        <f>IF($B65="","",SUM($D$26:$D65))</f>
        <v/>
      </c>
      <c r="H65" s="50">
        <f>IF($B65="","",SUM($E$26:$E65))</f>
        <v/>
      </c>
    </row>
    <row r="66">
      <c r="B66" s="48">
        <f>IF(DATE(YEAR_Y,1,1)+40&gt;DATE(YEAR_Y,12,31),"",DATE(YEAR_Y,1,1)+40)</f>
        <v/>
      </c>
      <c r="C66" s="49">
        <f>IF($B66="","",SUMIFS(Grids!$BQ$12:$EC$111,Grids!$EE$12:$GQ$111,"&gt;="&amp;$B66*1000000000,Grids!$EE$12:$GQ$111,"&lt;"&amp;($B66+1)*1000000000))</f>
        <v/>
      </c>
      <c r="D66" s="49">
        <f>IF($B66="","",SUMIFS(Grids!$BQ$116:$EC$155,Grids!$EE$116:$GQ$155,"&gt;="&amp;$B66*1000000000,Grids!$EE$116:$GQ$155,"&lt;"&amp;($B66+1)*1000000000))</f>
        <v/>
      </c>
      <c r="E66" s="49">
        <f>IF($B66="","",SUMIFS(Grids!$BQ$160:$EC$219,Grids!$EE$160:$GQ$219,"&gt;="&amp;$B66*1000000000,Grids!$EE$160:$GQ$219,"&lt;"&amp;($B66+1)*1000000000))</f>
        <v/>
      </c>
      <c r="F66" s="50">
        <f>IF($B66="","",SUM($C$26:$C66))</f>
        <v/>
      </c>
      <c r="G66" s="50">
        <f>IF($B66="","",SUM($D$26:$D66))</f>
        <v/>
      </c>
      <c r="H66" s="50">
        <f>IF($B66="","",SUM($E$26:$E66))</f>
        <v/>
      </c>
    </row>
    <row r="67">
      <c r="B67" s="48">
        <f>IF(DATE(YEAR_Y,1,1)+41&gt;DATE(YEAR_Y,12,31),"",DATE(YEAR_Y,1,1)+41)</f>
        <v/>
      </c>
      <c r="C67" s="49">
        <f>IF($B67="","",SUMIFS(Grids!$BQ$12:$EC$111,Grids!$EE$12:$GQ$111,"&gt;="&amp;$B67*1000000000,Grids!$EE$12:$GQ$111,"&lt;"&amp;($B67+1)*1000000000))</f>
        <v/>
      </c>
      <c r="D67" s="49">
        <f>IF($B67="","",SUMIFS(Grids!$BQ$116:$EC$155,Grids!$EE$116:$GQ$155,"&gt;="&amp;$B67*1000000000,Grids!$EE$116:$GQ$155,"&lt;"&amp;($B67+1)*1000000000))</f>
        <v/>
      </c>
      <c r="E67" s="49">
        <f>IF($B67="","",SUMIFS(Grids!$BQ$160:$EC$219,Grids!$EE$160:$GQ$219,"&gt;="&amp;$B67*1000000000,Grids!$EE$160:$GQ$219,"&lt;"&amp;($B67+1)*1000000000))</f>
        <v/>
      </c>
      <c r="F67" s="50">
        <f>IF($B67="","",SUM($C$26:$C67))</f>
        <v/>
      </c>
      <c r="G67" s="50">
        <f>IF($B67="","",SUM($D$26:$D67))</f>
        <v/>
      </c>
      <c r="H67" s="50">
        <f>IF($B67="","",SUM($E$26:$E67))</f>
        <v/>
      </c>
    </row>
    <row r="68">
      <c r="B68" s="48">
        <f>IF(DATE(YEAR_Y,1,1)+42&gt;DATE(YEAR_Y,12,31),"",DATE(YEAR_Y,1,1)+42)</f>
        <v/>
      </c>
      <c r="C68" s="49">
        <f>IF($B68="","",SUMIFS(Grids!$BQ$12:$EC$111,Grids!$EE$12:$GQ$111,"&gt;="&amp;$B68*1000000000,Grids!$EE$12:$GQ$111,"&lt;"&amp;($B68+1)*1000000000))</f>
        <v/>
      </c>
      <c r="D68" s="49">
        <f>IF($B68="","",SUMIFS(Grids!$BQ$116:$EC$155,Grids!$EE$116:$GQ$155,"&gt;="&amp;$B68*1000000000,Grids!$EE$116:$GQ$155,"&lt;"&amp;($B68+1)*1000000000))</f>
        <v/>
      </c>
      <c r="E68" s="49">
        <f>IF($B68="","",SUMIFS(Grids!$BQ$160:$EC$219,Grids!$EE$160:$GQ$219,"&gt;="&amp;$B68*1000000000,Grids!$EE$160:$GQ$219,"&lt;"&amp;($B68+1)*1000000000))</f>
        <v/>
      </c>
      <c r="F68" s="50">
        <f>IF($B68="","",SUM($C$26:$C68))</f>
        <v/>
      </c>
      <c r="G68" s="50">
        <f>IF($B68="","",SUM($D$26:$D68))</f>
        <v/>
      </c>
      <c r="H68" s="50">
        <f>IF($B68="","",SUM($E$26:$E68))</f>
        <v/>
      </c>
    </row>
    <row r="69">
      <c r="B69" s="48">
        <f>IF(DATE(YEAR_Y,1,1)+43&gt;DATE(YEAR_Y,12,31),"",DATE(YEAR_Y,1,1)+43)</f>
        <v/>
      </c>
      <c r="C69" s="49">
        <f>IF($B69="","",SUMIFS(Grids!$BQ$12:$EC$111,Grids!$EE$12:$GQ$111,"&gt;="&amp;$B69*1000000000,Grids!$EE$12:$GQ$111,"&lt;"&amp;($B69+1)*1000000000))</f>
        <v/>
      </c>
      <c r="D69" s="49">
        <f>IF($B69="","",SUMIFS(Grids!$BQ$116:$EC$155,Grids!$EE$116:$GQ$155,"&gt;="&amp;$B69*1000000000,Grids!$EE$116:$GQ$155,"&lt;"&amp;($B69+1)*1000000000))</f>
        <v/>
      </c>
      <c r="E69" s="49">
        <f>IF($B69="","",SUMIFS(Grids!$BQ$160:$EC$219,Grids!$EE$160:$GQ$219,"&gt;="&amp;$B69*1000000000,Grids!$EE$160:$GQ$219,"&lt;"&amp;($B69+1)*1000000000))</f>
        <v/>
      </c>
      <c r="F69" s="50">
        <f>IF($B69="","",SUM($C$26:$C69))</f>
        <v/>
      </c>
      <c r="G69" s="50">
        <f>IF($B69="","",SUM($D$26:$D69))</f>
        <v/>
      </c>
      <c r="H69" s="50">
        <f>IF($B69="","",SUM($E$26:$E69))</f>
        <v/>
      </c>
    </row>
    <row r="70">
      <c r="B70" s="48">
        <f>IF(DATE(YEAR_Y,1,1)+44&gt;DATE(YEAR_Y,12,31),"",DATE(YEAR_Y,1,1)+44)</f>
        <v/>
      </c>
      <c r="C70" s="49">
        <f>IF($B70="","",SUMIFS(Grids!$BQ$12:$EC$111,Grids!$EE$12:$GQ$111,"&gt;="&amp;$B70*1000000000,Grids!$EE$12:$GQ$111,"&lt;"&amp;($B70+1)*1000000000))</f>
        <v/>
      </c>
      <c r="D70" s="49">
        <f>IF($B70="","",SUMIFS(Grids!$BQ$116:$EC$155,Grids!$EE$116:$GQ$155,"&gt;="&amp;$B70*1000000000,Grids!$EE$116:$GQ$155,"&lt;"&amp;($B70+1)*1000000000))</f>
        <v/>
      </c>
      <c r="E70" s="49">
        <f>IF($B70="","",SUMIFS(Grids!$BQ$160:$EC$219,Grids!$EE$160:$GQ$219,"&gt;="&amp;$B70*1000000000,Grids!$EE$160:$GQ$219,"&lt;"&amp;($B70+1)*1000000000))</f>
        <v/>
      </c>
      <c r="F70" s="50">
        <f>IF($B70="","",SUM($C$26:$C70))</f>
        <v/>
      </c>
      <c r="G70" s="50">
        <f>IF($B70="","",SUM($D$26:$D70))</f>
        <v/>
      </c>
      <c r="H70" s="50">
        <f>IF($B70="","",SUM($E$26:$E70))</f>
        <v/>
      </c>
    </row>
    <row r="71">
      <c r="B71" s="48">
        <f>IF(DATE(YEAR_Y,1,1)+45&gt;DATE(YEAR_Y,12,31),"",DATE(YEAR_Y,1,1)+45)</f>
        <v/>
      </c>
      <c r="C71" s="49">
        <f>IF($B71="","",SUMIFS(Grids!$BQ$12:$EC$111,Grids!$EE$12:$GQ$111,"&gt;="&amp;$B71*1000000000,Grids!$EE$12:$GQ$111,"&lt;"&amp;($B71+1)*1000000000))</f>
        <v/>
      </c>
      <c r="D71" s="49">
        <f>IF($B71="","",SUMIFS(Grids!$BQ$116:$EC$155,Grids!$EE$116:$GQ$155,"&gt;="&amp;$B71*1000000000,Grids!$EE$116:$GQ$155,"&lt;"&amp;($B71+1)*1000000000))</f>
        <v/>
      </c>
      <c r="E71" s="49">
        <f>IF($B71="","",SUMIFS(Grids!$BQ$160:$EC$219,Grids!$EE$160:$GQ$219,"&gt;="&amp;$B71*1000000000,Grids!$EE$160:$GQ$219,"&lt;"&amp;($B71+1)*1000000000))</f>
        <v/>
      </c>
      <c r="F71" s="50">
        <f>IF($B71="","",SUM($C$26:$C71))</f>
        <v/>
      </c>
      <c r="G71" s="50">
        <f>IF($B71="","",SUM($D$26:$D71))</f>
        <v/>
      </c>
      <c r="H71" s="50">
        <f>IF($B71="","",SUM($E$26:$E71))</f>
        <v/>
      </c>
    </row>
    <row r="72">
      <c r="B72" s="48">
        <f>IF(DATE(YEAR_Y,1,1)+46&gt;DATE(YEAR_Y,12,31),"",DATE(YEAR_Y,1,1)+46)</f>
        <v/>
      </c>
      <c r="C72" s="49">
        <f>IF($B72="","",SUMIFS(Grids!$BQ$12:$EC$111,Grids!$EE$12:$GQ$111,"&gt;="&amp;$B72*1000000000,Grids!$EE$12:$GQ$111,"&lt;"&amp;($B72+1)*1000000000))</f>
        <v/>
      </c>
      <c r="D72" s="49">
        <f>IF($B72="","",SUMIFS(Grids!$BQ$116:$EC$155,Grids!$EE$116:$GQ$155,"&gt;="&amp;$B72*1000000000,Grids!$EE$116:$GQ$155,"&lt;"&amp;($B72+1)*1000000000))</f>
        <v/>
      </c>
      <c r="E72" s="49">
        <f>IF($B72="","",SUMIFS(Grids!$BQ$160:$EC$219,Grids!$EE$160:$GQ$219,"&gt;="&amp;$B72*1000000000,Grids!$EE$160:$GQ$219,"&lt;"&amp;($B72+1)*1000000000))</f>
        <v/>
      </c>
      <c r="F72" s="50">
        <f>IF($B72="","",SUM($C$26:$C72))</f>
        <v/>
      </c>
      <c r="G72" s="50">
        <f>IF($B72="","",SUM($D$26:$D72))</f>
        <v/>
      </c>
      <c r="H72" s="50">
        <f>IF($B72="","",SUM($E$26:$E72))</f>
        <v/>
      </c>
    </row>
    <row r="73">
      <c r="B73" s="48">
        <f>IF(DATE(YEAR_Y,1,1)+47&gt;DATE(YEAR_Y,12,31),"",DATE(YEAR_Y,1,1)+47)</f>
        <v/>
      </c>
      <c r="C73" s="49">
        <f>IF($B73="","",SUMIFS(Grids!$BQ$12:$EC$111,Grids!$EE$12:$GQ$111,"&gt;="&amp;$B73*1000000000,Grids!$EE$12:$GQ$111,"&lt;"&amp;($B73+1)*1000000000))</f>
        <v/>
      </c>
      <c r="D73" s="49">
        <f>IF($B73="","",SUMIFS(Grids!$BQ$116:$EC$155,Grids!$EE$116:$GQ$155,"&gt;="&amp;$B73*1000000000,Grids!$EE$116:$GQ$155,"&lt;"&amp;($B73+1)*1000000000))</f>
        <v/>
      </c>
      <c r="E73" s="49">
        <f>IF($B73="","",SUMIFS(Grids!$BQ$160:$EC$219,Grids!$EE$160:$GQ$219,"&gt;="&amp;$B73*1000000000,Grids!$EE$160:$GQ$219,"&lt;"&amp;($B73+1)*1000000000))</f>
        <v/>
      </c>
      <c r="F73" s="50">
        <f>IF($B73="","",SUM($C$26:$C73))</f>
        <v/>
      </c>
      <c r="G73" s="50">
        <f>IF($B73="","",SUM($D$26:$D73))</f>
        <v/>
      </c>
      <c r="H73" s="50">
        <f>IF($B73="","",SUM($E$26:$E73))</f>
        <v/>
      </c>
    </row>
    <row r="74">
      <c r="B74" s="48">
        <f>IF(DATE(YEAR_Y,1,1)+48&gt;DATE(YEAR_Y,12,31),"",DATE(YEAR_Y,1,1)+48)</f>
        <v/>
      </c>
      <c r="C74" s="49">
        <f>IF($B74="","",SUMIFS(Grids!$BQ$12:$EC$111,Grids!$EE$12:$GQ$111,"&gt;="&amp;$B74*1000000000,Grids!$EE$12:$GQ$111,"&lt;"&amp;($B74+1)*1000000000))</f>
        <v/>
      </c>
      <c r="D74" s="49">
        <f>IF($B74="","",SUMIFS(Grids!$BQ$116:$EC$155,Grids!$EE$116:$GQ$155,"&gt;="&amp;$B74*1000000000,Grids!$EE$116:$GQ$155,"&lt;"&amp;($B74+1)*1000000000))</f>
        <v/>
      </c>
      <c r="E74" s="49">
        <f>IF($B74="","",SUMIFS(Grids!$BQ$160:$EC$219,Grids!$EE$160:$GQ$219,"&gt;="&amp;$B74*1000000000,Grids!$EE$160:$GQ$219,"&lt;"&amp;($B74+1)*1000000000))</f>
        <v/>
      </c>
      <c r="F74" s="50">
        <f>IF($B74="","",SUM($C$26:$C74))</f>
        <v/>
      </c>
      <c r="G74" s="50">
        <f>IF($B74="","",SUM($D$26:$D74))</f>
        <v/>
      </c>
      <c r="H74" s="50">
        <f>IF($B74="","",SUM($E$26:$E74))</f>
        <v/>
      </c>
    </row>
    <row r="75">
      <c r="B75" s="48">
        <f>IF(DATE(YEAR_Y,1,1)+49&gt;DATE(YEAR_Y,12,31),"",DATE(YEAR_Y,1,1)+49)</f>
        <v/>
      </c>
      <c r="C75" s="49">
        <f>IF($B75="","",SUMIFS(Grids!$BQ$12:$EC$111,Grids!$EE$12:$GQ$111,"&gt;="&amp;$B75*1000000000,Grids!$EE$12:$GQ$111,"&lt;"&amp;($B75+1)*1000000000))</f>
        <v/>
      </c>
      <c r="D75" s="49">
        <f>IF($B75="","",SUMIFS(Grids!$BQ$116:$EC$155,Grids!$EE$116:$GQ$155,"&gt;="&amp;$B75*1000000000,Grids!$EE$116:$GQ$155,"&lt;"&amp;($B75+1)*1000000000))</f>
        <v/>
      </c>
      <c r="E75" s="49">
        <f>IF($B75="","",SUMIFS(Grids!$BQ$160:$EC$219,Grids!$EE$160:$GQ$219,"&gt;="&amp;$B75*1000000000,Grids!$EE$160:$GQ$219,"&lt;"&amp;($B75+1)*1000000000))</f>
        <v/>
      </c>
      <c r="F75" s="50">
        <f>IF($B75="","",SUM($C$26:$C75))</f>
        <v/>
      </c>
      <c r="G75" s="50">
        <f>IF($B75="","",SUM($D$26:$D75))</f>
        <v/>
      </c>
      <c r="H75" s="50">
        <f>IF($B75="","",SUM($E$26:$E75))</f>
        <v/>
      </c>
    </row>
    <row r="76">
      <c r="B76" s="48">
        <f>IF(DATE(YEAR_Y,1,1)+50&gt;DATE(YEAR_Y,12,31),"",DATE(YEAR_Y,1,1)+50)</f>
        <v/>
      </c>
      <c r="C76" s="49">
        <f>IF($B76="","",SUMIFS(Grids!$BQ$12:$EC$111,Grids!$EE$12:$GQ$111,"&gt;="&amp;$B76*1000000000,Grids!$EE$12:$GQ$111,"&lt;"&amp;($B76+1)*1000000000))</f>
        <v/>
      </c>
      <c r="D76" s="49">
        <f>IF($B76="","",SUMIFS(Grids!$BQ$116:$EC$155,Grids!$EE$116:$GQ$155,"&gt;="&amp;$B76*1000000000,Grids!$EE$116:$GQ$155,"&lt;"&amp;($B76+1)*1000000000))</f>
        <v/>
      </c>
      <c r="E76" s="49">
        <f>IF($B76="","",SUMIFS(Grids!$BQ$160:$EC$219,Grids!$EE$160:$GQ$219,"&gt;="&amp;$B76*1000000000,Grids!$EE$160:$GQ$219,"&lt;"&amp;($B76+1)*1000000000))</f>
        <v/>
      </c>
      <c r="F76" s="50">
        <f>IF($B76="","",SUM($C$26:$C76))</f>
        <v/>
      </c>
      <c r="G76" s="50">
        <f>IF($B76="","",SUM($D$26:$D76))</f>
        <v/>
      </c>
      <c r="H76" s="50">
        <f>IF($B76="","",SUM($E$26:$E76))</f>
        <v/>
      </c>
    </row>
    <row r="77">
      <c r="B77" s="48">
        <f>IF(DATE(YEAR_Y,1,1)+51&gt;DATE(YEAR_Y,12,31),"",DATE(YEAR_Y,1,1)+51)</f>
        <v/>
      </c>
      <c r="C77" s="49">
        <f>IF($B77="","",SUMIFS(Grids!$BQ$12:$EC$111,Grids!$EE$12:$GQ$111,"&gt;="&amp;$B77*1000000000,Grids!$EE$12:$GQ$111,"&lt;"&amp;($B77+1)*1000000000))</f>
        <v/>
      </c>
      <c r="D77" s="49">
        <f>IF($B77="","",SUMIFS(Grids!$BQ$116:$EC$155,Grids!$EE$116:$GQ$155,"&gt;="&amp;$B77*1000000000,Grids!$EE$116:$GQ$155,"&lt;"&amp;($B77+1)*1000000000))</f>
        <v/>
      </c>
      <c r="E77" s="49">
        <f>IF($B77="","",SUMIFS(Grids!$BQ$160:$EC$219,Grids!$EE$160:$GQ$219,"&gt;="&amp;$B77*1000000000,Grids!$EE$160:$GQ$219,"&lt;"&amp;($B77+1)*1000000000))</f>
        <v/>
      </c>
      <c r="F77" s="50">
        <f>IF($B77="","",SUM($C$26:$C77))</f>
        <v/>
      </c>
      <c r="G77" s="50">
        <f>IF($B77="","",SUM($D$26:$D77))</f>
        <v/>
      </c>
      <c r="H77" s="50">
        <f>IF($B77="","",SUM($E$26:$E77))</f>
        <v/>
      </c>
    </row>
    <row r="78">
      <c r="B78" s="48">
        <f>IF(DATE(YEAR_Y,1,1)+52&gt;DATE(YEAR_Y,12,31),"",DATE(YEAR_Y,1,1)+52)</f>
        <v/>
      </c>
      <c r="C78" s="49">
        <f>IF($B78="","",SUMIFS(Grids!$BQ$12:$EC$111,Grids!$EE$12:$GQ$111,"&gt;="&amp;$B78*1000000000,Grids!$EE$12:$GQ$111,"&lt;"&amp;($B78+1)*1000000000))</f>
        <v/>
      </c>
      <c r="D78" s="49">
        <f>IF($B78="","",SUMIFS(Grids!$BQ$116:$EC$155,Grids!$EE$116:$GQ$155,"&gt;="&amp;$B78*1000000000,Grids!$EE$116:$GQ$155,"&lt;"&amp;($B78+1)*1000000000))</f>
        <v/>
      </c>
      <c r="E78" s="49">
        <f>IF($B78="","",SUMIFS(Grids!$BQ$160:$EC$219,Grids!$EE$160:$GQ$219,"&gt;="&amp;$B78*1000000000,Grids!$EE$160:$GQ$219,"&lt;"&amp;($B78+1)*1000000000))</f>
        <v/>
      </c>
      <c r="F78" s="50">
        <f>IF($B78="","",SUM($C$26:$C78))</f>
        <v/>
      </c>
      <c r="G78" s="50">
        <f>IF($B78="","",SUM($D$26:$D78))</f>
        <v/>
      </c>
      <c r="H78" s="50">
        <f>IF($B78="","",SUM($E$26:$E78))</f>
        <v/>
      </c>
    </row>
    <row r="79">
      <c r="B79" s="48">
        <f>IF(DATE(YEAR_Y,1,1)+53&gt;DATE(YEAR_Y,12,31),"",DATE(YEAR_Y,1,1)+53)</f>
        <v/>
      </c>
      <c r="C79" s="49">
        <f>IF($B79="","",SUMIFS(Grids!$BQ$12:$EC$111,Grids!$EE$12:$GQ$111,"&gt;="&amp;$B79*1000000000,Grids!$EE$12:$GQ$111,"&lt;"&amp;($B79+1)*1000000000))</f>
        <v/>
      </c>
      <c r="D79" s="49">
        <f>IF($B79="","",SUMIFS(Grids!$BQ$116:$EC$155,Grids!$EE$116:$GQ$155,"&gt;="&amp;$B79*1000000000,Grids!$EE$116:$GQ$155,"&lt;"&amp;($B79+1)*1000000000))</f>
        <v/>
      </c>
      <c r="E79" s="49">
        <f>IF($B79="","",SUMIFS(Grids!$BQ$160:$EC$219,Grids!$EE$160:$GQ$219,"&gt;="&amp;$B79*1000000000,Grids!$EE$160:$GQ$219,"&lt;"&amp;($B79+1)*1000000000))</f>
        <v/>
      </c>
      <c r="F79" s="50">
        <f>IF($B79="","",SUM($C$26:$C79))</f>
        <v/>
      </c>
      <c r="G79" s="50">
        <f>IF($B79="","",SUM($D$26:$D79))</f>
        <v/>
      </c>
      <c r="H79" s="50">
        <f>IF($B79="","",SUM($E$26:$E79))</f>
        <v/>
      </c>
    </row>
    <row r="80">
      <c r="B80" s="48">
        <f>IF(DATE(YEAR_Y,1,1)+54&gt;DATE(YEAR_Y,12,31),"",DATE(YEAR_Y,1,1)+54)</f>
        <v/>
      </c>
      <c r="C80" s="49">
        <f>IF($B80="","",SUMIFS(Grids!$BQ$12:$EC$111,Grids!$EE$12:$GQ$111,"&gt;="&amp;$B80*1000000000,Grids!$EE$12:$GQ$111,"&lt;"&amp;($B80+1)*1000000000))</f>
        <v/>
      </c>
      <c r="D80" s="49">
        <f>IF($B80="","",SUMIFS(Grids!$BQ$116:$EC$155,Grids!$EE$116:$GQ$155,"&gt;="&amp;$B80*1000000000,Grids!$EE$116:$GQ$155,"&lt;"&amp;($B80+1)*1000000000))</f>
        <v/>
      </c>
      <c r="E80" s="49">
        <f>IF($B80="","",SUMIFS(Grids!$BQ$160:$EC$219,Grids!$EE$160:$GQ$219,"&gt;="&amp;$B80*1000000000,Grids!$EE$160:$GQ$219,"&lt;"&amp;($B80+1)*1000000000))</f>
        <v/>
      </c>
      <c r="F80" s="50">
        <f>IF($B80="","",SUM($C$26:$C80))</f>
        <v/>
      </c>
      <c r="G80" s="50">
        <f>IF($B80="","",SUM($D$26:$D80))</f>
        <v/>
      </c>
      <c r="H80" s="50">
        <f>IF($B80="","",SUM($E$26:$E80))</f>
        <v/>
      </c>
    </row>
    <row r="81">
      <c r="B81" s="48">
        <f>IF(DATE(YEAR_Y,1,1)+55&gt;DATE(YEAR_Y,12,31),"",DATE(YEAR_Y,1,1)+55)</f>
        <v/>
      </c>
      <c r="C81" s="49">
        <f>IF($B81="","",SUMIFS(Grids!$BQ$12:$EC$111,Grids!$EE$12:$GQ$111,"&gt;="&amp;$B81*1000000000,Grids!$EE$12:$GQ$111,"&lt;"&amp;($B81+1)*1000000000))</f>
        <v/>
      </c>
      <c r="D81" s="49">
        <f>IF($B81="","",SUMIFS(Grids!$BQ$116:$EC$155,Grids!$EE$116:$GQ$155,"&gt;="&amp;$B81*1000000000,Grids!$EE$116:$GQ$155,"&lt;"&amp;($B81+1)*1000000000))</f>
        <v/>
      </c>
      <c r="E81" s="49">
        <f>IF($B81="","",SUMIFS(Grids!$BQ$160:$EC$219,Grids!$EE$160:$GQ$219,"&gt;="&amp;$B81*1000000000,Grids!$EE$160:$GQ$219,"&lt;"&amp;($B81+1)*1000000000))</f>
        <v/>
      </c>
      <c r="F81" s="50">
        <f>IF($B81="","",SUM($C$26:$C81))</f>
        <v/>
      </c>
      <c r="G81" s="50">
        <f>IF($B81="","",SUM($D$26:$D81))</f>
        <v/>
      </c>
      <c r="H81" s="50">
        <f>IF($B81="","",SUM($E$26:$E81))</f>
        <v/>
      </c>
    </row>
    <row r="82">
      <c r="B82" s="48">
        <f>IF(DATE(YEAR_Y,1,1)+56&gt;DATE(YEAR_Y,12,31),"",DATE(YEAR_Y,1,1)+56)</f>
        <v/>
      </c>
      <c r="C82" s="49">
        <f>IF($B82="","",SUMIFS(Grids!$BQ$12:$EC$111,Grids!$EE$12:$GQ$111,"&gt;="&amp;$B82*1000000000,Grids!$EE$12:$GQ$111,"&lt;"&amp;($B82+1)*1000000000))</f>
        <v/>
      </c>
      <c r="D82" s="49">
        <f>IF($B82="","",SUMIFS(Grids!$BQ$116:$EC$155,Grids!$EE$116:$GQ$155,"&gt;="&amp;$B82*1000000000,Grids!$EE$116:$GQ$155,"&lt;"&amp;($B82+1)*1000000000))</f>
        <v/>
      </c>
      <c r="E82" s="49">
        <f>IF($B82="","",SUMIFS(Grids!$BQ$160:$EC$219,Grids!$EE$160:$GQ$219,"&gt;="&amp;$B82*1000000000,Grids!$EE$160:$GQ$219,"&lt;"&amp;($B82+1)*1000000000))</f>
        <v/>
      </c>
      <c r="F82" s="50">
        <f>IF($B82="","",SUM($C$26:$C82))</f>
        <v/>
      </c>
      <c r="G82" s="50">
        <f>IF($B82="","",SUM($D$26:$D82))</f>
        <v/>
      </c>
      <c r="H82" s="50">
        <f>IF($B82="","",SUM($E$26:$E82))</f>
        <v/>
      </c>
    </row>
    <row r="83">
      <c r="B83" s="48">
        <f>IF(DATE(YEAR_Y,1,1)+57&gt;DATE(YEAR_Y,12,31),"",DATE(YEAR_Y,1,1)+57)</f>
        <v/>
      </c>
      <c r="C83" s="49">
        <f>IF($B83="","",SUMIFS(Grids!$BQ$12:$EC$111,Grids!$EE$12:$GQ$111,"&gt;="&amp;$B83*1000000000,Grids!$EE$12:$GQ$111,"&lt;"&amp;($B83+1)*1000000000))</f>
        <v/>
      </c>
      <c r="D83" s="49">
        <f>IF($B83="","",SUMIFS(Grids!$BQ$116:$EC$155,Grids!$EE$116:$GQ$155,"&gt;="&amp;$B83*1000000000,Grids!$EE$116:$GQ$155,"&lt;"&amp;($B83+1)*1000000000))</f>
        <v/>
      </c>
      <c r="E83" s="49">
        <f>IF($B83="","",SUMIFS(Grids!$BQ$160:$EC$219,Grids!$EE$160:$GQ$219,"&gt;="&amp;$B83*1000000000,Grids!$EE$160:$GQ$219,"&lt;"&amp;($B83+1)*1000000000))</f>
        <v/>
      </c>
      <c r="F83" s="50">
        <f>IF($B83="","",SUM($C$26:$C83))</f>
        <v/>
      </c>
      <c r="G83" s="50">
        <f>IF($B83="","",SUM($D$26:$D83))</f>
        <v/>
      </c>
      <c r="H83" s="50">
        <f>IF($B83="","",SUM($E$26:$E83))</f>
        <v/>
      </c>
    </row>
    <row r="84">
      <c r="B84" s="48">
        <f>IF(DATE(YEAR_Y,1,1)+58&gt;DATE(YEAR_Y,12,31),"",DATE(YEAR_Y,1,1)+58)</f>
        <v/>
      </c>
      <c r="C84" s="49">
        <f>IF($B84="","",SUMIFS(Grids!$BQ$12:$EC$111,Grids!$EE$12:$GQ$111,"&gt;="&amp;$B84*1000000000,Grids!$EE$12:$GQ$111,"&lt;"&amp;($B84+1)*1000000000))</f>
        <v/>
      </c>
      <c r="D84" s="49">
        <f>IF($B84="","",SUMIFS(Grids!$BQ$116:$EC$155,Grids!$EE$116:$GQ$155,"&gt;="&amp;$B84*1000000000,Grids!$EE$116:$GQ$155,"&lt;"&amp;($B84+1)*1000000000))</f>
        <v/>
      </c>
      <c r="E84" s="49">
        <f>IF($B84="","",SUMIFS(Grids!$BQ$160:$EC$219,Grids!$EE$160:$GQ$219,"&gt;="&amp;$B84*1000000000,Grids!$EE$160:$GQ$219,"&lt;"&amp;($B84+1)*1000000000))</f>
        <v/>
      </c>
      <c r="F84" s="50">
        <f>IF($B84="","",SUM($C$26:$C84))</f>
        <v/>
      </c>
      <c r="G84" s="50">
        <f>IF($B84="","",SUM($D$26:$D84))</f>
        <v/>
      </c>
      <c r="H84" s="50">
        <f>IF($B84="","",SUM($E$26:$E84))</f>
        <v/>
      </c>
    </row>
    <row r="85">
      <c r="B85" s="48">
        <f>IF(DATE(YEAR_Y,1,1)+59&gt;DATE(YEAR_Y,12,31),"",DATE(YEAR_Y,1,1)+59)</f>
        <v/>
      </c>
      <c r="C85" s="49">
        <f>IF($B85="","",SUMIFS(Grids!$BQ$12:$EC$111,Grids!$EE$12:$GQ$111,"&gt;="&amp;$B85*1000000000,Grids!$EE$12:$GQ$111,"&lt;"&amp;($B85+1)*1000000000))</f>
        <v/>
      </c>
      <c r="D85" s="49">
        <f>IF($B85="","",SUMIFS(Grids!$BQ$116:$EC$155,Grids!$EE$116:$GQ$155,"&gt;="&amp;$B85*1000000000,Grids!$EE$116:$GQ$155,"&lt;"&amp;($B85+1)*1000000000))</f>
        <v/>
      </c>
      <c r="E85" s="49">
        <f>IF($B85="","",SUMIFS(Grids!$BQ$160:$EC$219,Grids!$EE$160:$GQ$219,"&gt;="&amp;$B85*1000000000,Grids!$EE$160:$GQ$219,"&lt;"&amp;($B85+1)*1000000000))</f>
        <v/>
      </c>
      <c r="F85" s="50">
        <f>IF($B85="","",SUM($C$26:$C85))</f>
        <v/>
      </c>
      <c r="G85" s="50">
        <f>IF($B85="","",SUM($D$26:$D85))</f>
        <v/>
      </c>
      <c r="H85" s="50">
        <f>IF($B85="","",SUM($E$26:$E85))</f>
        <v/>
      </c>
    </row>
    <row r="86">
      <c r="B86" s="48">
        <f>IF(DATE(YEAR_Y,1,1)+60&gt;DATE(YEAR_Y,12,31),"",DATE(YEAR_Y,1,1)+60)</f>
        <v/>
      </c>
      <c r="C86" s="49">
        <f>IF($B86="","",SUMIFS(Grids!$BQ$12:$EC$111,Grids!$EE$12:$GQ$111,"&gt;="&amp;$B86*1000000000,Grids!$EE$12:$GQ$111,"&lt;"&amp;($B86+1)*1000000000))</f>
        <v/>
      </c>
      <c r="D86" s="49">
        <f>IF($B86="","",SUMIFS(Grids!$BQ$116:$EC$155,Grids!$EE$116:$GQ$155,"&gt;="&amp;$B86*1000000000,Grids!$EE$116:$GQ$155,"&lt;"&amp;($B86+1)*1000000000))</f>
        <v/>
      </c>
      <c r="E86" s="49">
        <f>IF($B86="","",SUMIFS(Grids!$BQ$160:$EC$219,Grids!$EE$160:$GQ$219,"&gt;="&amp;$B86*1000000000,Grids!$EE$160:$GQ$219,"&lt;"&amp;($B86+1)*1000000000))</f>
        <v/>
      </c>
      <c r="F86" s="50">
        <f>IF($B86="","",SUM($C$26:$C86))</f>
        <v/>
      </c>
      <c r="G86" s="50">
        <f>IF($B86="","",SUM($D$26:$D86))</f>
        <v/>
      </c>
      <c r="H86" s="50">
        <f>IF($B86="","",SUM($E$26:$E86))</f>
        <v/>
      </c>
    </row>
    <row r="87">
      <c r="B87" s="48">
        <f>IF(DATE(YEAR_Y,1,1)+61&gt;DATE(YEAR_Y,12,31),"",DATE(YEAR_Y,1,1)+61)</f>
        <v/>
      </c>
      <c r="C87" s="49">
        <f>IF($B87="","",SUMIFS(Grids!$BQ$12:$EC$111,Grids!$EE$12:$GQ$111,"&gt;="&amp;$B87*1000000000,Grids!$EE$12:$GQ$111,"&lt;"&amp;($B87+1)*1000000000))</f>
        <v/>
      </c>
      <c r="D87" s="49">
        <f>IF($B87="","",SUMIFS(Grids!$BQ$116:$EC$155,Grids!$EE$116:$GQ$155,"&gt;="&amp;$B87*1000000000,Grids!$EE$116:$GQ$155,"&lt;"&amp;($B87+1)*1000000000))</f>
        <v/>
      </c>
      <c r="E87" s="49">
        <f>IF($B87="","",SUMIFS(Grids!$BQ$160:$EC$219,Grids!$EE$160:$GQ$219,"&gt;="&amp;$B87*1000000000,Grids!$EE$160:$GQ$219,"&lt;"&amp;($B87+1)*1000000000))</f>
        <v/>
      </c>
      <c r="F87" s="50">
        <f>IF($B87="","",SUM($C$26:$C87))</f>
        <v/>
      </c>
      <c r="G87" s="50">
        <f>IF($B87="","",SUM($D$26:$D87))</f>
        <v/>
      </c>
      <c r="H87" s="50">
        <f>IF($B87="","",SUM($E$26:$E87))</f>
        <v/>
      </c>
    </row>
    <row r="88">
      <c r="B88" s="48">
        <f>IF(DATE(YEAR_Y,1,1)+62&gt;DATE(YEAR_Y,12,31),"",DATE(YEAR_Y,1,1)+62)</f>
        <v/>
      </c>
      <c r="C88" s="49">
        <f>IF($B88="","",SUMIFS(Grids!$BQ$12:$EC$111,Grids!$EE$12:$GQ$111,"&gt;="&amp;$B88*1000000000,Grids!$EE$12:$GQ$111,"&lt;"&amp;($B88+1)*1000000000))</f>
        <v/>
      </c>
      <c r="D88" s="49">
        <f>IF($B88="","",SUMIFS(Grids!$BQ$116:$EC$155,Grids!$EE$116:$GQ$155,"&gt;="&amp;$B88*1000000000,Grids!$EE$116:$GQ$155,"&lt;"&amp;($B88+1)*1000000000))</f>
        <v/>
      </c>
      <c r="E88" s="49">
        <f>IF($B88="","",SUMIFS(Grids!$BQ$160:$EC$219,Grids!$EE$160:$GQ$219,"&gt;="&amp;$B88*1000000000,Grids!$EE$160:$GQ$219,"&lt;"&amp;($B88+1)*1000000000))</f>
        <v/>
      </c>
      <c r="F88" s="50">
        <f>IF($B88="","",SUM($C$26:$C88))</f>
        <v/>
      </c>
      <c r="G88" s="50">
        <f>IF($B88="","",SUM($D$26:$D88))</f>
        <v/>
      </c>
      <c r="H88" s="50">
        <f>IF($B88="","",SUM($E$26:$E88))</f>
        <v/>
      </c>
    </row>
    <row r="89">
      <c r="B89" s="48">
        <f>IF(DATE(YEAR_Y,1,1)+63&gt;DATE(YEAR_Y,12,31),"",DATE(YEAR_Y,1,1)+63)</f>
        <v/>
      </c>
      <c r="C89" s="49">
        <f>IF($B89="","",SUMIFS(Grids!$BQ$12:$EC$111,Grids!$EE$12:$GQ$111,"&gt;="&amp;$B89*1000000000,Grids!$EE$12:$GQ$111,"&lt;"&amp;($B89+1)*1000000000))</f>
        <v/>
      </c>
      <c r="D89" s="49">
        <f>IF($B89="","",SUMIFS(Grids!$BQ$116:$EC$155,Grids!$EE$116:$GQ$155,"&gt;="&amp;$B89*1000000000,Grids!$EE$116:$GQ$155,"&lt;"&amp;($B89+1)*1000000000))</f>
        <v/>
      </c>
      <c r="E89" s="49">
        <f>IF($B89="","",SUMIFS(Grids!$BQ$160:$EC$219,Grids!$EE$160:$GQ$219,"&gt;="&amp;$B89*1000000000,Grids!$EE$160:$GQ$219,"&lt;"&amp;($B89+1)*1000000000))</f>
        <v/>
      </c>
      <c r="F89" s="50">
        <f>IF($B89="","",SUM($C$26:$C89))</f>
        <v/>
      </c>
      <c r="G89" s="50">
        <f>IF($B89="","",SUM($D$26:$D89))</f>
        <v/>
      </c>
      <c r="H89" s="50">
        <f>IF($B89="","",SUM($E$26:$E89))</f>
        <v/>
      </c>
    </row>
    <row r="90">
      <c r="B90" s="48">
        <f>IF(DATE(YEAR_Y,1,1)+64&gt;DATE(YEAR_Y,12,31),"",DATE(YEAR_Y,1,1)+64)</f>
        <v/>
      </c>
      <c r="C90" s="49">
        <f>IF($B90="","",SUMIFS(Grids!$BQ$12:$EC$111,Grids!$EE$12:$GQ$111,"&gt;="&amp;$B90*1000000000,Grids!$EE$12:$GQ$111,"&lt;"&amp;($B90+1)*1000000000))</f>
        <v/>
      </c>
      <c r="D90" s="49">
        <f>IF($B90="","",SUMIFS(Grids!$BQ$116:$EC$155,Grids!$EE$116:$GQ$155,"&gt;="&amp;$B90*1000000000,Grids!$EE$116:$GQ$155,"&lt;"&amp;($B90+1)*1000000000))</f>
        <v/>
      </c>
      <c r="E90" s="49">
        <f>IF($B90="","",SUMIFS(Grids!$BQ$160:$EC$219,Grids!$EE$160:$GQ$219,"&gt;="&amp;$B90*1000000000,Grids!$EE$160:$GQ$219,"&lt;"&amp;($B90+1)*1000000000))</f>
        <v/>
      </c>
      <c r="F90" s="50">
        <f>IF($B90="","",SUM($C$26:$C90))</f>
        <v/>
      </c>
      <c r="G90" s="50">
        <f>IF($B90="","",SUM($D$26:$D90))</f>
        <v/>
      </c>
      <c r="H90" s="50">
        <f>IF($B90="","",SUM($E$26:$E90))</f>
        <v/>
      </c>
    </row>
    <row r="91">
      <c r="B91" s="48">
        <f>IF(DATE(YEAR_Y,1,1)+65&gt;DATE(YEAR_Y,12,31),"",DATE(YEAR_Y,1,1)+65)</f>
        <v/>
      </c>
      <c r="C91" s="49">
        <f>IF($B91="","",SUMIFS(Grids!$BQ$12:$EC$111,Grids!$EE$12:$GQ$111,"&gt;="&amp;$B91*1000000000,Grids!$EE$12:$GQ$111,"&lt;"&amp;($B91+1)*1000000000))</f>
        <v/>
      </c>
      <c r="D91" s="49">
        <f>IF($B91="","",SUMIFS(Grids!$BQ$116:$EC$155,Grids!$EE$116:$GQ$155,"&gt;="&amp;$B91*1000000000,Grids!$EE$116:$GQ$155,"&lt;"&amp;($B91+1)*1000000000))</f>
        <v/>
      </c>
      <c r="E91" s="49">
        <f>IF($B91="","",SUMIFS(Grids!$BQ$160:$EC$219,Grids!$EE$160:$GQ$219,"&gt;="&amp;$B91*1000000000,Grids!$EE$160:$GQ$219,"&lt;"&amp;($B91+1)*1000000000))</f>
        <v/>
      </c>
      <c r="F91" s="50">
        <f>IF($B91="","",SUM($C$26:$C91))</f>
        <v/>
      </c>
      <c r="G91" s="50">
        <f>IF($B91="","",SUM($D$26:$D91))</f>
        <v/>
      </c>
      <c r="H91" s="50">
        <f>IF($B91="","",SUM($E$26:$E91))</f>
        <v/>
      </c>
    </row>
    <row r="92">
      <c r="B92" s="48">
        <f>IF(DATE(YEAR_Y,1,1)+66&gt;DATE(YEAR_Y,12,31),"",DATE(YEAR_Y,1,1)+66)</f>
        <v/>
      </c>
      <c r="C92" s="49">
        <f>IF($B92="","",SUMIFS(Grids!$BQ$12:$EC$111,Grids!$EE$12:$GQ$111,"&gt;="&amp;$B92*1000000000,Grids!$EE$12:$GQ$111,"&lt;"&amp;($B92+1)*1000000000))</f>
        <v/>
      </c>
      <c r="D92" s="49">
        <f>IF($B92="","",SUMIFS(Grids!$BQ$116:$EC$155,Grids!$EE$116:$GQ$155,"&gt;="&amp;$B92*1000000000,Grids!$EE$116:$GQ$155,"&lt;"&amp;($B92+1)*1000000000))</f>
        <v/>
      </c>
      <c r="E92" s="49">
        <f>IF($B92="","",SUMIFS(Grids!$BQ$160:$EC$219,Grids!$EE$160:$GQ$219,"&gt;="&amp;$B92*1000000000,Grids!$EE$160:$GQ$219,"&lt;"&amp;($B92+1)*1000000000))</f>
        <v/>
      </c>
      <c r="F92" s="50">
        <f>IF($B92="","",SUM($C$26:$C92))</f>
        <v/>
      </c>
      <c r="G92" s="50">
        <f>IF($B92="","",SUM($D$26:$D92))</f>
        <v/>
      </c>
      <c r="H92" s="50">
        <f>IF($B92="","",SUM($E$26:$E92))</f>
        <v/>
      </c>
    </row>
    <row r="93">
      <c r="B93" s="48">
        <f>IF(DATE(YEAR_Y,1,1)+67&gt;DATE(YEAR_Y,12,31),"",DATE(YEAR_Y,1,1)+67)</f>
        <v/>
      </c>
      <c r="C93" s="49">
        <f>IF($B93="","",SUMIFS(Grids!$BQ$12:$EC$111,Grids!$EE$12:$GQ$111,"&gt;="&amp;$B93*1000000000,Grids!$EE$12:$GQ$111,"&lt;"&amp;($B93+1)*1000000000))</f>
        <v/>
      </c>
      <c r="D93" s="49">
        <f>IF($B93="","",SUMIFS(Grids!$BQ$116:$EC$155,Grids!$EE$116:$GQ$155,"&gt;="&amp;$B93*1000000000,Grids!$EE$116:$GQ$155,"&lt;"&amp;($B93+1)*1000000000))</f>
        <v/>
      </c>
      <c r="E93" s="49">
        <f>IF($B93="","",SUMIFS(Grids!$BQ$160:$EC$219,Grids!$EE$160:$GQ$219,"&gt;="&amp;$B93*1000000000,Grids!$EE$160:$GQ$219,"&lt;"&amp;($B93+1)*1000000000))</f>
        <v/>
      </c>
      <c r="F93" s="50">
        <f>IF($B93="","",SUM($C$26:$C93))</f>
        <v/>
      </c>
      <c r="G93" s="50">
        <f>IF($B93="","",SUM($D$26:$D93))</f>
        <v/>
      </c>
      <c r="H93" s="50">
        <f>IF($B93="","",SUM($E$26:$E93))</f>
        <v/>
      </c>
    </row>
    <row r="94">
      <c r="B94" s="48">
        <f>IF(DATE(YEAR_Y,1,1)+68&gt;DATE(YEAR_Y,12,31),"",DATE(YEAR_Y,1,1)+68)</f>
        <v/>
      </c>
      <c r="C94" s="49">
        <f>IF($B94="","",SUMIFS(Grids!$BQ$12:$EC$111,Grids!$EE$12:$GQ$111,"&gt;="&amp;$B94*1000000000,Grids!$EE$12:$GQ$111,"&lt;"&amp;($B94+1)*1000000000))</f>
        <v/>
      </c>
      <c r="D94" s="49">
        <f>IF($B94="","",SUMIFS(Grids!$BQ$116:$EC$155,Grids!$EE$116:$GQ$155,"&gt;="&amp;$B94*1000000000,Grids!$EE$116:$GQ$155,"&lt;"&amp;($B94+1)*1000000000))</f>
        <v/>
      </c>
      <c r="E94" s="49">
        <f>IF($B94="","",SUMIFS(Grids!$BQ$160:$EC$219,Grids!$EE$160:$GQ$219,"&gt;="&amp;$B94*1000000000,Grids!$EE$160:$GQ$219,"&lt;"&amp;($B94+1)*1000000000))</f>
        <v/>
      </c>
      <c r="F94" s="50">
        <f>IF($B94="","",SUM($C$26:$C94))</f>
        <v/>
      </c>
      <c r="G94" s="50">
        <f>IF($B94="","",SUM($D$26:$D94))</f>
        <v/>
      </c>
      <c r="H94" s="50">
        <f>IF($B94="","",SUM($E$26:$E94))</f>
        <v/>
      </c>
    </row>
    <row r="95">
      <c r="B95" s="48">
        <f>IF(DATE(YEAR_Y,1,1)+69&gt;DATE(YEAR_Y,12,31),"",DATE(YEAR_Y,1,1)+69)</f>
        <v/>
      </c>
      <c r="C95" s="49">
        <f>IF($B95="","",SUMIFS(Grids!$BQ$12:$EC$111,Grids!$EE$12:$GQ$111,"&gt;="&amp;$B95*1000000000,Grids!$EE$12:$GQ$111,"&lt;"&amp;($B95+1)*1000000000))</f>
        <v/>
      </c>
      <c r="D95" s="49">
        <f>IF($B95="","",SUMIFS(Grids!$BQ$116:$EC$155,Grids!$EE$116:$GQ$155,"&gt;="&amp;$B95*1000000000,Grids!$EE$116:$GQ$155,"&lt;"&amp;($B95+1)*1000000000))</f>
        <v/>
      </c>
      <c r="E95" s="49">
        <f>IF($B95="","",SUMIFS(Grids!$BQ$160:$EC$219,Grids!$EE$160:$GQ$219,"&gt;="&amp;$B95*1000000000,Grids!$EE$160:$GQ$219,"&lt;"&amp;($B95+1)*1000000000))</f>
        <v/>
      </c>
      <c r="F95" s="50">
        <f>IF($B95="","",SUM($C$26:$C95))</f>
        <v/>
      </c>
      <c r="G95" s="50">
        <f>IF($B95="","",SUM($D$26:$D95))</f>
        <v/>
      </c>
      <c r="H95" s="50">
        <f>IF($B95="","",SUM($E$26:$E95))</f>
        <v/>
      </c>
    </row>
    <row r="96">
      <c r="B96" s="48">
        <f>IF(DATE(YEAR_Y,1,1)+70&gt;DATE(YEAR_Y,12,31),"",DATE(YEAR_Y,1,1)+70)</f>
        <v/>
      </c>
      <c r="C96" s="49">
        <f>IF($B96="","",SUMIFS(Grids!$BQ$12:$EC$111,Grids!$EE$12:$GQ$111,"&gt;="&amp;$B96*1000000000,Grids!$EE$12:$GQ$111,"&lt;"&amp;($B96+1)*1000000000))</f>
        <v/>
      </c>
      <c r="D96" s="49">
        <f>IF($B96="","",SUMIFS(Grids!$BQ$116:$EC$155,Grids!$EE$116:$GQ$155,"&gt;="&amp;$B96*1000000000,Grids!$EE$116:$GQ$155,"&lt;"&amp;($B96+1)*1000000000))</f>
        <v/>
      </c>
      <c r="E96" s="49">
        <f>IF($B96="","",SUMIFS(Grids!$BQ$160:$EC$219,Grids!$EE$160:$GQ$219,"&gt;="&amp;$B96*1000000000,Grids!$EE$160:$GQ$219,"&lt;"&amp;($B96+1)*1000000000))</f>
        <v/>
      </c>
      <c r="F96" s="50">
        <f>IF($B96="","",SUM($C$26:$C96))</f>
        <v/>
      </c>
      <c r="G96" s="50">
        <f>IF($B96="","",SUM($D$26:$D96))</f>
        <v/>
      </c>
      <c r="H96" s="50">
        <f>IF($B96="","",SUM($E$26:$E96))</f>
        <v/>
      </c>
    </row>
    <row r="97">
      <c r="B97" s="48">
        <f>IF(DATE(YEAR_Y,1,1)+71&gt;DATE(YEAR_Y,12,31),"",DATE(YEAR_Y,1,1)+71)</f>
        <v/>
      </c>
      <c r="C97" s="49">
        <f>IF($B97="","",SUMIFS(Grids!$BQ$12:$EC$111,Grids!$EE$12:$GQ$111,"&gt;="&amp;$B97*1000000000,Grids!$EE$12:$GQ$111,"&lt;"&amp;($B97+1)*1000000000))</f>
        <v/>
      </c>
      <c r="D97" s="49">
        <f>IF($B97="","",SUMIFS(Grids!$BQ$116:$EC$155,Grids!$EE$116:$GQ$155,"&gt;="&amp;$B97*1000000000,Grids!$EE$116:$GQ$155,"&lt;"&amp;($B97+1)*1000000000))</f>
        <v/>
      </c>
      <c r="E97" s="49">
        <f>IF($B97="","",SUMIFS(Grids!$BQ$160:$EC$219,Grids!$EE$160:$GQ$219,"&gt;="&amp;$B97*1000000000,Grids!$EE$160:$GQ$219,"&lt;"&amp;($B97+1)*1000000000))</f>
        <v/>
      </c>
      <c r="F97" s="50">
        <f>IF($B97="","",SUM($C$26:$C97))</f>
        <v/>
      </c>
      <c r="G97" s="50">
        <f>IF($B97="","",SUM($D$26:$D97))</f>
        <v/>
      </c>
      <c r="H97" s="50">
        <f>IF($B97="","",SUM($E$26:$E97))</f>
        <v/>
      </c>
    </row>
    <row r="98">
      <c r="B98" s="48">
        <f>IF(DATE(YEAR_Y,1,1)+72&gt;DATE(YEAR_Y,12,31),"",DATE(YEAR_Y,1,1)+72)</f>
        <v/>
      </c>
      <c r="C98" s="49">
        <f>IF($B98="","",SUMIFS(Grids!$BQ$12:$EC$111,Grids!$EE$12:$GQ$111,"&gt;="&amp;$B98*1000000000,Grids!$EE$12:$GQ$111,"&lt;"&amp;($B98+1)*1000000000))</f>
        <v/>
      </c>
      <c r="D98" s="49">
        <f>IF($B98="","",SUMIFS(Grids!$BQ$116:$EC$155,Grids!$EE$116:$GQ$155,"&gt;="&amp;$B98*1000000000,Grids!$EE$116:$GQ$155,"&lt;"&amp;($B98+1)*1000000000))</f>
        <v/>
      </c>
      <c r="E98" s="49">
        <f>IF($B98="","",SUMIFS(Grids!$BQ$160:$EC$219,Grids!$EE$160:$GQ$219,"&gt;="&amp;$B98*1000000000,Grids!$EE$160:$GQ$219,"&lt;"&amp;($B98+1)*1000000000))</f>
        <v/>
      </c>
      <c r="F98" s="50">
        <f>IF($B98="","",SUM($C$26:$C98))</f>
        <v/>
      </c>
      <c r="G98" s="50">
        <f>IF($B98="","",SUM($D$26:$D98))</f>
        <v/>
      </c>
      <c r="H98" s="50">
        <f>IF($B98="","",SUM($E$26:$E98))</f>
        <v/>
      </c>
    </row>
    <row r="99">
      <c r="B99" s="48">
        <f>IF(DATE(YEAR_Y,1,1)+73&gt;DATE(YEAR_Y,12,31),"",DATE(YEAR_Y,1,1)+73)</f>
        <v/>
      </c>
      <c r="C99" s="49">
        <f>IF($B99="","",SUMIFS(Grids!$BQ$12:$EC$111,Grids!$EE$12:$GQ$111,"&gt;="&amp;$B99*1000000000,Grids!$EE$12:$GQ$111,"&lt;"&amp;($B99+1)*1000000000))</f>
        <v/>
      </c>
      <c r="D99" s="49">
        <f>IF($B99="","",SUMIFS(Grids!$BQ$116:$EC$155,Grids!$EE$116:$GQ$155,"&gt;="&amp;$B99*1000000000,Grids!$EE$116:$GQ$155,"&lt;"&amp;($B99+1)*1000000000))</f>
        <v/>
      </c>
      <c r="E99" s="49">
        <f>IF($B99="","",SUMIFS(Grids!$BQ$160:$EC$219,Grids!$EE$160:$GQ$219,"&gt;="&amp;$B99*1000000000,Grids!$EE$160:$GQ$219,"&lt;"&amp;($B99+1)*1000000000))</f>
        <v/>
      </c>
      <c r="F99" s="50">
        <f>IF($B99="","",SUM($C$26:$C99))</f>
        <v/>
      </c>
      <c r="G99" s="50">
        <f>IF($B99="","",SUM($D$26:$D99))</f>
        <v/>
      </c>
      <c r="H99" s="50">
        <f>IF($B99="","",SUM($E$26:$E99))</f>
        <v/>
      </c>
    </row>
    <row r="100">
      <c r="B100" s="48">
        <f>IF(DATE(YEAR_Y,1,1)+74&gt;DATE(YEAR_Y,12,31),"",DATE(YEAR_Y,1,1)+74)</f>
        <v/>
      </c>
      <c r="C100" s="49">
        <f>IF($B100="","",SUMIFS(Grids!$BQ$12:$EC$111,Grids!$EE$12:$GQ$111,"&gt;="&amp;$B100*1000000000,Grids!$EE$12:$GQ$111,"&lt;"&amp;($B100+1)*1000000000))</f>
        <v/>
      </c>
      <c r="D100" s="49">
        <f>IF($B100="","",SUMIFS(Grids!$BQ$116:$EC$155,Grids!$EE$116:$GQ$155,"&gt;="&amp;$B100*1000000000,Grids!$EE$116:$GQ$155,"&lt;"&amp;($B100+1)*1000000000))</f>
        <v/>
      </c>
      <c r="E100" s="49">
        <f>IF($B100="","",SUMIFS(Grids!$BQ$160:$EC$219,Grids!$EE$160:$GQ$219,"&gt;="&amp;$B100*1000000000,Grids!$EE$160:$GQ$219,"&lt;"&amp;($B100+1)*1000000000))</f>
        <v/>
      </c>
      <c r="F100" s="50">
        <f>IF($B100="","",SUM($C$26:$C100))</f>
        <v/>
      </c>
      <c r="G100" s="50">
        <f>IF($B100="","",SUM($D$26:$D100))</f>
        <v/>
      </c>
      <c r="H100" s="50">
        <f>IF($B100="","",SUM($E$26:$E100))</f>
        <v/>
      </c>
    </row>
    <row r="101">
      <c r="B101" s="48">
        <f>IF(DATE(YEAR_Y,1,1)+75&gt;DATE(YEAR_Y,12,31),"",DATE(YEAR_Y,1,1)+75)</f>
        <v/>
      </c>
      <c r="C101" s="49">
        <f>IF($B101="","",SUMIFS(Grids!$BQ$12:$EC$111,Grids!$EE$12:$GQ$111,"&gt;="&amp;$B101*1000000000,Grids!$EE$12:$GQ$111,"&lt;"&amp;($B101+1)*1000000000))</f>
        <v/>
      </c>
      <c r="D101" s="49">
        <f>IF($B101="","",SUMIFS(Grids!$BQ$116:$EC$155,Grids!$EE$116:$GQ$155,"&gt;="&amp;$B101*1000000000,Grids!$EE$116:$GQ$155,"&lt;"&amp;($B101+1)*1000000000))</f>
        <v/>
      </c>
      <c r="E101" s="49">
        <f>IF($B101="","",SUMIFS(Grids!$BQ$160:$EC$219,Grids!$EE$160:$GQ$219,"&gt;="&amp;$B101*1000000000,Grids!$EE$160:$GQ$219,"&lt;"&amp;($B101+1)*1000000000))</f>
        <v/>
      </c>
      <c r="F101" s="50">
        <f>IF($B101="","",SUM($C$26:$C101))</f>
        <v/>
      </c>
      <c r="G101" s="50">
        <f>IF($B101="","",SUM($D$26:$D101))</f>
        <v/>
      </c>
      <c r="H101" s="50">
        <f>IF($B101="","",SUM($E$26:$E101))</f>
        <v/>
      </c>
    </row>
    <row r="102">
      <c r="B102" s="48">
        <f>IF(DATE(YEAR_Y,1,1)+76&gt;DATE(YEAR_Y,12,31),"",DATE(YEAR_Y,1,1)+76)</f>
        <v/>
      </c>
      <c r="C102" s="49">
        <f>IF($B102="","",SUMIFS(Grids!$BQ$12:$EC$111,Grids!$EE$12:$GQ$111,"&gt;="&amp;$B102*1000000000,Grids!$EE$12:$GQ$111,"&lt;"&amp;($B102+1)*1000000000))</f>
        <v/>
      </c>
      <c r="D102" s="49">
        <f>IF($B102="","",SUMIFS(Grids!$BQ$116:$EC$155,Grids!$EE$116:$GQ$155,"&gt;="&amp;$B102*1000000000,Grids!$EE$116:$GQ$155,"&lt;"&amp;($B102+1)*1000000000))</f>
        <v/>
      </c>
      <c r="E102" s="49">
        <f>IF($B102="","",SUMIFS(Grids!$BQ$160:$EC$219,Grids!$EE$160:$GQ$219,"&gt;="&amp;$B102*1000000000,Grids!$EE$160:$GQ$219,"&lt;"&amp;($B102+1)*1000000000))</f>
        <v/>
      </c>
      <c r="F102" s="50">
        <f>IF($B102="","",SUM($C$26:$C102))</f>
        <v/>
      </c>
      <c r="G102" s="50">
        <f>IF($B102="","",SUM($D$26:$D102))</f>
        <v/>
      </c>
      <c r="H102" s="50">
        <f>IF($B102="","",SUM($E$26:$E102))</f>
        <v/>
      </c>
    </row>
    <row r="103">
      <c r="B103" s="48">
        <f>IF(DATE(YEAR_Y,1,1)+77&gt;DATE(YEAR_Y,12,31),"",DATE(YEAR_Y,1,1)+77)</f>
        <v/>
      </c>
      <c r="C103" s="49">
        <f>IF($B103="","",SUMIFS(Grids!$BQ$12:$EC$111,Grids!$EE$12:$GQ$111,"&gt;="&amp;$B103*1000000000,Grids!$EE$12:$GQ$111,"&lt;"&amp;($B103+1)*1000000000))</f>
        <v/>
      </c>
      <c r="D103" s="49">
        <f>IF($B103="","",SUMIFS(Grids!$BQ$116:$EC$155,Grids!$EE$116:$GQ$155,"&gt;="&amp;$B103*1000000000,Grids!$EE$116:$GQ$155,"&lt;"&amp;($B103+1)*1000000000))</f>
        <v/>
      </c>
      <c r="E103" s="49">
        <f>IF($B103="","",SUMIFS(Grids!$BQ$160:$EC$219,Grids!$EE$160:$GQ$219,"&gt;="&amp;$B103*1000000000,Grids!$EE$160:$GQ$219,"&lt;"&amp;($B103+1)*1000000000))</f>
        <v/>
      </c>
      <c r="F103" s="50">
        <f>IF($B103="","",SUM($C$26:$C103))</f>
        <v/>
      </c>
      <c r="G103" s="50">
        <f>IF($B103="","",SUM($D$26:$D103))</f>
        <v/>
      </c>
      <c r="H103" s="50">
        <f>IF($B103="","",SUM($E$26:$E103))</f>
        <v/>
      </c>
    </row>
    <row r="104">
      <c r="B104" s="48">
        <f>IF(DATE(YEAR_Y,1,1)+78&gt;DATE(YEAR_Y,12,31),"",DATE(YEAR_Y,1,1)+78)</f>
        <v/>
      </c>
      <c r="C104" s="49">
        <f>IF($B104="","",SUMIFS(Grids!$BQ$12:$EC$111,Grids!$EE$12:$GQ$111,"&gt;="&amp;$B104*1000000000,Grids!$EE$12:$GQ$111,"&lt;"&amp;($B104+1)*1000000000))</f>
        <v/>
      </c>
      <c r="D104" s="49">
        <f>IF($B104="","",SUMIFS(Grids!$BQ$116:$EC$155,Grids!$EE$116:$GQ$155,"&gt;="&amp;$B104*1000000000,Grids!$EE$116:$GQ$155,"&lt;"&amp;($B104+1)*1000000000))</f>
        <v/>
      </c>
      <c r="E104" s="49">
        <f>IF($B104="","",SUMIFS(Grids!$BQ$160:$EC$219,Grids!$EE$160:$GQ$219,"&gt;="&amp;$B104*1000000000,Grids!$EE$160:$GQ$219,"&lt;"&amp;($B104+1)*1000000000))</f>
        <v/>
      </c>
      <c r="F104" s="50">
        <f>IF($B104="","",SUM($C$26:$C104))</f>
        <v/>
      </c>
      <c r="G104" s="50">
        <f>IF($B104="","",SUM($D$26:$D104))</f>
        <v/>
      </c>
      <c r="H104" s="50">
        <f>IF($B104="","",SUM($E$26:$E104))</f>
        <v/>
      </c>
    </row>
    <row r="105">
      <c r="B105" s="48">
        <f>IF(DATE(YEAR_Y,1,1)+79&gt;DATE(YEAR_Y,12,31),"",DATE(YEAR_Y,1,1)+79)</f>
        <v/>
      </c>
      <c r="C105" s="49">
        <f>IF($B105="","",SUMIFS(Grids!$BQ$12:$EC$111,Grids!$EE$12:$GQ$111,"&gt;="&amp;$B105*1000000000,Grids!$EE$12:$GQ$111,"&lt;"&amp;($B105+1)*1000000000))</f>
        <v/>
      </c>
      <c r="D105" s="49">
        <f>IF($B105="","",SUMIFS(Grids!$BQ$116:$EC$155,Grids!$EE$116:$GQ$155,"&gt;="&amp;$B105*1000000000,Grids!$EE$116:$GQ$155,"&lt;"&amp;($B105+1)*1000000000))</f>
        <v/>
      </c>
      <c r="E105" s="49">
        <f>IF($B105="","",SUMIFS(Grids!$BQ$160:$EC$219,Grids!$EE$160:$GQ$219,"&gt;="&amp;$B105*1000000000,Grids!$EE$160:$GQ$219,"&lt;"&amp;($B105+1)*1000000000))</f>
        <v/>
      </c>
      <c r="F105" s="50">
        <f>IF($B105="","",SUM($C$26:$C105))</f>
        <v/>
      </c>
      <c r="G105" s="50">
        <f>IF($B105="","",SUM($D$26:$D105))</f>
        <v/>
      </c>
      <c r="H105" s="50">
        <f>IF($B105="","",SUM($E$26:$E105))</f>
        <v/>
      </c>
    </row>
    <row r="106">
      <c r="B106" s="48">
        <f>IF(DATE(YEAR_Y,1,1)+80&gt;DATE(YEAR_Y,12,31),"",DATE(YEAR_Y,1,1)+80)</f>
        <v/>
      </c>
      <c r="C106" s="49">
        <f>IF($B106="","",SUMIFS(Grids!$BQ$12:$EC$111,Grids!$EE$12:$GQ$111,"&gt;="&amp;$B106*1000000000,Grids!$EE$12:$GQ$111,"&lt;"&amp;($B106+1)*1000000000))</f>
        <v/>
      </c>
      <c r="D106" s="49">
        <f>IF($B106="","",SUMIFS(Grids!$BQ$116:$EC$155,Grids!$EE$116:$GQ$155,"&gt;="&amp;$B106*1000000000,Grids!$EE$116:$GQ$155,"&lt;"&amp;($B106+1)*1000000000))</f>
        <v/>
      </c>
      <c r="E106" s="49">
        <f>IF($B106="","",SUMIFS(Grids!$BQ$160:$EC$219,Grids!$EE$160:$GQ$219,"&gt;="&amp;$B106*1000000000,Grids!$EE$160:$GQ$219,"&lt;"&amp;($B106+1)*1000000000))</f>
        <v/>
      </c>
      <c r="F106" s="50">
        <f>IF($B106="","",SUM($C$26:$C106))</f>
        <v/>
      </c>
      <c r="G106" s="50">
        <f>IF($B106="","",SUM($D$26:$D106))</f>
        <v/>
      </c>
      <c r="H106" s="50">
        <f>IF($B106="","",SUM($E$26:$E106))</f>
        <v/>
      </c>
    </row>
    <row r="107">
      <c r="B107" s="48">
        <f>IF(DATE(YEAR_Y,1,1)+81&gt;DATE(YEAR_Y,12,31),"",DATE(YEAR_Y,1,1)+81)</f>
        <v/>
      </c>
      <c r="C107" s="49">
        <f>IF($B107="","",SUMIFS(Grids!$BQ$12:$EC$111,Grids!$EE$12:$GQ$111,"&gt;="&amp;$B107*1000000000,Grids!$EE$12:$GQ$111,"&lt;"&amp;($B107+1)*1000000000))</f>
        <v/>
      </c>
      <c r="D107" s="49">
        <f>IF($B107="","",SUMIFS(Grids!$BQ$116:$EC$155,Grids!$EE$116:$GQ$155,"&gt;="&amp;$B107*1000000000,Grids!$EE$116:$GQ$155,"&lt;"&amp;($B107+1)*1000000000))</f>
        <v/>
      </c>
      <c r="E107" s="49">
        <f>IF($B107="","",SUMIFS(Grids!$BQ$160:$EC$219,Grids!$EE$160:$GQ$219,"&gt;="&amp;$B107*1000000000,Grids!$EE$160:$GQ$219,"&lt;"&amp;($B107+1)*1000000000))</f>
        <v/>
      </c>
      <c r="F107" s="50">
        <f>IF($B107="","",SUM($C$26:$C107))</f>
        <v/>
      </c>
      <c r="G107" s="50">
        <f>IF($B107="","",SUM($D$26:$D107))</f>
        <v/>
      </c>
      <c r="H107" s="50">
        <f>IF($B107="","",SUM($E$26:$E107))</f>
        <v/>
      </c>
    </row>
    <row r="108">
      <c r="B108" s="48">
        <f>IF(DATE(YEAR_Y,1,1)+82&gt;DATE(YEAR_Y,12,31),"",DATE(YEAR_Y,1,1)+82)</f>
        <v/>
      </c>
      <c r="C108" s="49">
        <f>IF($B108="","",SUMIFS(Grids!$BQ$12:$EC$111,Grids!$EE$12:$GQ$111,"&gt;="&amp;$B108*1000000000,Grids!$EE$12:$GQ$111,"&lt;"&amp;($B108+1)*1000000000))</f>
        <v/>
      </c>
      <c r="D108" s="49">
        <f>IF($B108="","",SUMIFS(Grids!$BQ$116:$EC$155,Grids!$EE$116:$GQ$155,"&gt;="&amp;$B108*1000000000,Grids!$EE$116:$GQ$155,"&lt;"&amp;($B108+1)*1000000000))</f>
        <v/>
      </c>
      <c r="E108" s="49">
        <f>IF($B108="","",SUMIFS(Grids!$BQ$160:$EC$219,Grids!$EE$160:$GQ$219,"&gt;="&amp;$B108*1000000000,Grids!$EE$160:$GQ$219,"&lt;"&amp;($B108+1)*1000000000))</f>
        <v/>
      </c>
      <c r="F108" s="50">
        <f>IF($B108="","",SUM($C$26:$C108))</f>
        <v/>
      </c>
      <c r="G108" s="50">
        <f>IF($B108="","",SUM($D$26:$D108))</f>
        <v/>
      </c>
      <c r="H108" s="50">
        <f>IF($B108="","",SUM($E$26:$E108))</f>
        <v/>
      </c>
    </row>
    <row r="109">
      <c r="B109" s="48">
        <f>IF(DATE(YEAR_Y,1,1)+83&gt;DATE(YEAR_Y,12,31),"",DATE(YEAR_Y,1,1)+83)</f>
        <v/>
      </c>
      <c r="C109" s="49">
        <f>IF($B109="","",SUMIFS(Grids!$BQ$12:$EC$111,Grids!$EE$12:$GQ$111,"&gt;="&amp;$B109*1000000000,Grids!$EE$12:$GQ$111,"&lt;"&amp;($B109+1)*1000000000))</f>
        <v/>
      </c>
      <c r="D109" s="49">
        <f>IF($B109="","",SUMIFS(Grids!$BQ$116:$EC$155,Grids!$EE$116:$GQ$155,"&gt;="&amp;$B109*1000000000,Grids!$EE$116:$GQ$155,"&lt;"&amp;($B109+1)*1000000000))</f>
        <v/>
      </c>
      <c r="E109" s="49">
        <f>IF($B109="","",SUMIFS(Grids!$BQ$160:$EC$219,Grids!$EE$160:$GQ$219,"&gt;="&amp;$B109*1000000000,Grids!$EE$160:$GQ$219,"&lt;"&amp;($B109+1)*1000000000))</f>
        <v/>
      </c>
      <c r="F109" s="50">
        <f>IF($B109="","",SUM($C$26:$C109))</f>
        <v/>
      </c>
      <c r="G109" s="50">
        <f>IF($B109="","",SUM($D$26:$D109))</f>
        <v/>
      </c>
      <c r="H109" s="50">
        <f>IF($B109="","",SUM($E$26:$E109))</f>
        <v/>
      </c>
    </row>
    <row r="110">
      <c r="B110" s="48">
        <f>IF(DATE(YEAR_Y,1,1)+84&gt;DATE(YEAR_Y,12,31),"",DATE(YEAR_Y,1,1)+84)</f>
        <v/>
      </c>
      <c r="C110" s="49">
        <f>IF($B110="","",SUMIFS(Grids!$BQ$12:$EC$111,Grids!$EE$12:$GQ$111,"&gt;="&amp;$B110*1000000000,Grids!$EE$12:$GQ$111,"&lt;"&amp;($B110+1)*1000000000))</f>
        <v/>
      </c>
      <c r="D110" s="49">
        <f>IF($B110="","",SUMIFS(Grids!$BQ$116:$EC$155,Grids!$EE$116:$GQ$155,"&gt;="&amp;$B110*1000000000,Grids!$EE$116:$GQ$155,"&lt;"&amp;($B110+1)*1000000000))</f>
        <v/>
      </c>
      <c r="E110" s="49">
        <f>IF($B110="","",SUMIFS(Grids!$BQ$160:$EC$219,Grids!$EE$160:$GQ$219,"&gt;="&amp;$B110*1000000000,Grids!$EE$160:$GQ$219,"&lt;"&amp;($B110+1)*1000000000))</f>
        <v/>
      </c>
      <c r="F110" s="50">
        <f>IF($B110="","",SUM($C$26:$C110))</f>
        <v/>
      </c>
      <c r="G110" s="50">
        <f>IF($B110="","",SUM($D$26:$D110))</f>
        <v/>
      </c>
      <c r="H110" s="50">
        <f>IF($B110="","",SUM($E$26:$E110))</f>
        <v/>
      </c>
    </row>
    <row r="111">
      <c r="B111" s="48">
        <f>IF(DATE(YEAR_Y,1,1)+85&gt;DATE(YEAR_Y,12,31),"",DATE(YEAR_Y,1,1)+85)</f>
        <v/>
      </c>
      <c r="C111" s="49">
        <f>IF($B111="","",SUMIFS(Grids!$BQ$12:$EC$111,Grids!$EE$12:$GQ$111,"&gt;="&amp;$B111*1000000000,Grids!$EE$12:$GQ$111,"&lt;"&amp;($B111+1)*1000000000))</f>
        <v/>
      </c>
      <c r="D111" s="49">
        <f>IF($B111="","",SUMIFS(Grids!$BQ$116:$EC$155,Grids!$EE$116:$GQ$155,"&gt;="&amp;$B111*1000000000,Grids!$EE$116:$GQ$155,"&lt;"&amp;($B111+1)*1000000000))</f>
        <v/>
      </c>
      <c r="E111" s="49">
        <f>IF($B111="","",SUMIFS(Grids!$BQ$160:$EC$219,Grids!$EE$160:$GQ$219,"&gt;="&amp;$B111*1000000000,Grids!$EE$160:$GQ$219,"&lt;"&amp;($B111+1)*1000000000))</f>
        <v/>
      </c>
      <c r="F111" s="50">
        <f>IF($B111="","",SUM($C$26:$C111))</f>
        <v/>
      </c>
      <c r="G111" s="50">
        <f>IF($B111="","",SUM($D$26:$D111))</f>
        <v/>
      </c>
      <c r="H111" s="50">
        <f>IF($B111="","",SUM($E$26:$E111))</f>
        <v/>
      </c>
    </row>
    <row r="112">
      <c r="B112" s="48">
        <f>IF(DATE(YEAR_Y,1,1)+86&gt;DATE(YEAR_Y,12,31),"",DATE(YEAR_Y,1,1)+86)</f>
        <v/>
      </c>
      <c r="C112" s="49">
        <f>IF($B112="","",SUMIFS(Grids!$BQ$12:$EC$111,Grids!$EE$12:$GQ$111,"&gt;="&amp;$B112*1000000000,Grids!$EE$12:$GQ$111,"&lt;"&amp;($B112+1)*1000000000))</f>
        <v/>
      </c>
      <c r="D112" s="49">
        <f>IF($B112="","",SUMIFS(Grids!$BQ$116:$EC$155,Grids!$EE$116:$GQ$155,"&gt;="&amp;$B112*1000000000,Grids!$EE$116:$GQ$155,"&lt;"&amp;($B112+1)*1000000000))</f>
        <v/>
      </c>
      <c r="E112" s="49">
        <f>IF($B112="","",SUMIFS(Grids!$BQ$160:$EC$219,Grids!$EE$160:$GQ$219,"&gt;="&amp;$B112*1000000000,Grids!$EE$160:$GQ$219,"&lt;"&amp;($B112+1)*1000000000))</f>
        <v/>
      </c>
      <c r="F112" s="50">
        <f>IF($B112="","",SUM($C$26:$C112))</f>
        <v/>
      </c>
      <c r="G112" s="50">
        <f>IF($B112="","",SUM($D$26:$D112))</f>
        <v/>
      </c>
      <c r="H112" s="50">
        <f>IF($B112="","",SUM($E$26:$E112))</f>
        <v/>
      </c>
    </row>
    <row r="113">
      <c r="B113" s="48">
        <f>IF(DATE(YEAR_Y,1,1)+87&gt;DATE(YEAR_Y,12,31),"",DATE(YEAR_Y,1,1)+87)</f>
        <v/>
      </c>
      <c r="C113" s="49">
        <f>IF($B113="","",SUMIFS(Grids!$BQ$12:$EC$111,Grids!$EE$12:$GQ$111,"&gt;="&amp;$B113*1000000000,Grids!$EE$12:$GQ$111,"&lt;"&amp;($B113+1)*1000000000))</f>
        <v/>
      </c>
      <c r="D113" s="49">
        <f>IF($B113="","",SUMIFS(Grids!$BQ$116:$EC$155,Grids!$EE$116:$GQ$155,"&gt;="&amp;$B113*1000000000,Grids!$EE$116:$GQ$155,"&lt;"&amp;($B113+1)*1000000000))</f>
        <v/>
      </c>
      <c r="E113" s="49">
        <f>IF($B113="","",SUMIFS(Grids!$BQ$160:$EC$219,Grids!$EE$160:$GQ$219,"&gt;="&amp;$B113*1000000000,Grids!$EE$160:$GQ$219,"&lt;"&amp;($B113+1)*1000000000))</f>
        <v/>
      </c>
      <c r="F113" s="50">
        <f>IF($B113="","",SUM($C$26:$C113))</f>
        <v/>
      </c>
      <c r="G113" s="50">
        <f>IF($B113="","",SUM($D$26:$D113))</f>
        <v/>
      </c>
      <c r="H113" s="50">
        <f>IF($B113="","",SUM($E$26:$E113))</f>
        <v/>
      </c>
    </row>
    <row r="114">
      <c r="B114" s="48">
        <f>IF(DATE(YEAR_Y,1,1)+88&gt;DATE(YEAR_Y,12,31),"",DATE(YEAR_Y,1,1)+88)</f>
        <v/>
      </c>
      <c r="C114" s="49">
        <f>IF($B114="","",SUMIFS(Grids!$BQ$12:$EC$111,Grids!$EE$12:$GQ$111,"&gt;="&amp;$B114*1000000000,Grids!$EE$12:$GQ$111,"&lt;"&amp;($B114+1)*1000000000))</f>
        <v/>
      </c>
      <c r="D114" s="49">
        <f>IF($B114="","",SUMIFS(Grids!$BQ$116:$EC$155,Grids!$EE$116:$GQ$155,"&gt;="&amp;$B114*1000000000,Grids!$EE$116:$GQ$155,"&lt;"&amp;($B114+1)*1000000000))</f>
        <v/>
      </c>
      <c r="E114" s="49">
        <f>IF($B114="","",SUMIFS(Grids!$BQ$160:$EC$219,Grids!$EE$160:$GQ$219,"&gt;="&amp;$B114*1000000000,Grids!$EE$160:$GQ$219,"&lt;"&amp;($B114+1)*1000000000))</f>
        <v/>
      </c>
      <c r="F114" s="50">
        <f>IF($B114="","",SUM($C$26:$C114))</f>
        <v/>
      </c>
      <c r="G114" s="50">
        <f>IF($B114="","",SUM($D$26:$D114))</f>
        <v/>
      </c>
      <c r="H114" s="50">
        <f>IF($B114="","",SUM($E$26:$E114))</f>
        <v/>
      </c>
    </row>
    <row r="115">
      <c r="B115" s="48">
        <f>IF(DATE(YEAR_Y,1,1)+89&gt;DATE(YEAR_Y,12,31),"",DATE(YEAR_Y,1,1)+89)</f>
        <v/>
      </c>
      <c r="C115" s="49">
        <f>IF($B115="","",SUMIFS(Grids!$BQ$12:$EC$111,Grids!$EE$12:$GQ$111,"&gt;="&amp;$B115*1000000000,Grids!$EE$12:$GQ$111,"&lt;"&amp;($B115+1)*1000000000))</f>
        <v/>
      </c>
      <c r="D115" s="49">
        <f>IF($B115="","",SUMIFS(Grids!$BQ$116:$EC$155,Grids!$EE$116:$GQ$155,"&gt;="&amp;$B115*1000000000,Grids!$EE$116:$GQ$155,"&lt;"&amp;($B115+1)*1000000000))</f>
        <v/>
      </c>
      <c r="E115" s="49">
        <f>IF($B115="","",SUMIFS(Grids!$BQ$160:$EC$219,Grids!$EE$160:$GQ$219,"&gt;="&amp;$B115*1000000000,Grids!$EE$160:$GQ$219,"&lt;"&amp;($B115+1)*1000000000))</f>
        <v/>
      </c>
      <c r="F115" s="50">
        <f>IF($B115="","",SUM($C$26:$C115))</f>
        <v/>
      </c>
      <c r="G115" s="50">
        <f>IF($B115="","",SUM($D$26:$D115))</f>
        <v/>
      </c>
      <c r="H115" s="50">
        <f>IF($B115="","",SUM($E$26:$E115))</f>
        <v/>
      </c>
    </row>
    <row r="116">
      <c r="B116" s="48">
        <f>IF(DATE(YEAR_Y,1,1)+90&gt;DATE(YEAR_Y,12,31),"",DATE(YEAR_Y,1,1)+90)</f>
        <v/>
      </c>
      <c r="C116" s="49">
        <f>IF($B116="","",SUMIFS(Grids!$BQ$12:$EC$111,Grids!$EE$12:$GQ$111,"&gt;="&amp;$B116*1000000000,Grids!$EE$12:$GQ$111,"&lt;"&amp;($B116+1)*1000000000))</f>
        <v/>
      </c>
      <c r="D116" s="49">
        <f>IF($B116="","",SUMIFS(Grids!$BQ$116:$EC$155,Grids!$EE$116:$GQ$155,"&gt;="&amp;$B116*1000000000,Grids!$EE$116:$GQ$155,"&lt;"&amp;($B116+1)*1000000000))</f>
        <v/>
      </c>
      <c r="E116" s="49">
        <f>IF($B116="","",SUMIFS(Grids!$BQ$160:$EC$219,Grids!$EE$160:$GQ$219,"&gt;="&amp;$B116*1000000000,Grids!$EE$160:$GQ$219,"&lt;"&amp;($B116+1)*1000000000))</f>
        <v/>
      </c>
      <c r="F116" s="50">
        <f>IF($B116="","",SUM($C$26:$C116))</f>
        <v/>
      </c>
      <c r="G116" s="50">
        <f>IF($B116="","",SUM($D$26:$D116))</f>
        <v/>
      </c>
      <c r="H116" s="50">
        <f>IF($B116="","",SUM($E$26:$E116))</f>
        <v/>
      </c>
    </row>
    <row r="117">
      <c r="B117" s="48">
        <f>IF(DATE(YEAR_Y,1,1)+91&gt;DATE(YEAR_Y,12,31),"",DATE(YEAR_Y,1,1)+91)</f>
        <v/>
      </c>
      <c r="C117" s="49">
        <f>IF($B117="","",SUMIFS(Grids!$BQ$12:$EC$111,Grids!$EE$12:$GQ$111,"&gt;="&amp;$B117*1000000000,Grids!$EE$12:$GQ$111,"&lt;"&amp;($B117+1)*1000000000))</f>
        <v/>
      </c>
      <c r="D117" s="49">
        <f>IF($B117="","",SUMIFS(Grids!$BQ$116:$EC$155,Grids!$EE$116:$GQ$155,"&gt;="&amp;$B117*1000000000,Grids!$EE$116:$GQ$155,"&lt;"&amp;($B117+1)*1000000000))</f>
        <v/>
      </c>
      <c r="E117" s="49">
        <f>IF($B117="","",SUMIFS(Grids!$BQ$160:$EC$219,Grids!$EE$160:$GQ$219,"&gt;="&amp;$B117*1000000000,Grids!$EE$160:$GQ$219,"&lt;"&amp;($B117+1)*1000000000))</f>
        <v/>
      </c>
      <c r="F117" s="50">
        <f>IF($B117="","",SUM($C$26:$C117))</f>
        <v/>
      </c>
      <c r="G117" s="50">
        <f>IF($B117="","",SUM($D$26:$D117))</f>
        <v/>
      </c>
      <c r="H117" s="50">
        <f>IF($B117="","",SUM($E$26:$E117))</f>
        <v/>
      </c>
    </row>
    <row r="118">
      <c r="B118" s="48">
        <f>IF(DATE(YEAR_Y,1,1)+92&gt;DATE(YEAR_Y,12,31),"",DATE(YEAR_Y,1,1)+92)</f>
        <v/>
      </c>
      <c r="C118" s="49">
        <f>IF($B118="","",SUMIFS(Grids!$BQ$12:$EC$111,Grids!$EE$12:$GQ$111,"&gt;="&amp;$B118*1000000000,Grids!$EE$12:$GQ$111,"&lt;"&amp;($B118+1)*1000000000))</f>
        <v/>
      </c>
      <c r="D118" s="49">
        <f>IF($B118="","",SUMIFS(Grids!$BQ$116:$EC$155,Grids!$EE$116:$GQ$155,"&gt;="&amp;$B118*1000000000,Grids!$EE$116:$GQ$155,"&lt;"&amp;($B118+1)*1000000000))</f>
        <v/>
      </c>
      <c r="E118" s="49">
        <f>IF($B118="","",SUMIFS(Grids!$BQ$160:$EC$219,Grids!$EE$160:$GQ$219,"&gt;="&amp;$B118*1000000000,Grids!$EE$160:$GQ$219,"&lt;"&amp;($B118+1)*1000000000))</f>
        <v/>
      </c>
      <c r="F118" s="50">
        <f>IF($B118="","",SUM($C$26:$C118))</f>
        <v/>
      </c>
      <c r="G118" s="50">
        <f>IF($B118="","",SUM($D$26:$D118))</f>
        <v/>
      </c>
      <c r="H118" s="50">
        <f>IF($B118="","",SUM($E$26:$E118))</f>
        <v/>
      </c>
    </row>
    <row r="119">
      <c r="B119" s="48">
        <f>IF(DATE(YEAR_Y,1,1)+93&gt;DATE(YEAR_Y,12,31),"",DATE(YEAR_Y,1,1)+93)</f>
        <v/>
      </c>
      <c r="C119" s="49">
        <f>IF($B119="","",SUMIFS(Grids!$BQ$12:$EC$111,Grids!$EE$12:$GQ$111,"&gt;="&amp;$B119*1000000000,Grids!$EE$12:$GQ$111,"&lt;"&amp;($B119+1)*1000000000))</f>
        <v/>
      </c>
      <c r="D119" s="49">
        <f>IF($B119="","",SUMIFS(Grids!$BQ$116:$EC$155,Grids!$EE$116:$GQ$155,"&gt;="&amp;$B119*1000000000,Grids!$EE$116:$GQ$155,"&lt;"&amp;($B119+1)*1000000000))</f>
        <v/>
      </c>
      <c r="E119" s="49">
        <f>IF($B119="","",SUMIFS(Grids!$BQ$160:$EC$219,Grids!$EE$160:$GQ$219,"&gt;="&amp;$B119*1000000000,Grids!$EE$160:$GQ$219,"&lt;"&amp;($B119+1)*1000000000))</f>
        <v/>
      </c>
      <c r="F119" s="50">
        <f>IF($B119="","",SUM($C$26:$C119))</f>
        <v/>
      </c>
      <c r="G119" s="50">
        <f>IF($B119="","",SUM($D$26:$D119))</f>
        <v/>
      </c>
      <c r="H119" s="50">
        <f>IF($B119="","",SUM($E$26:$E119))</f>
        <v/>
      </c>
    </row>
    <row r="120">
      <c r="B120" s="48">
        <f>IF(DATE(YEAR_Y,1,1)+94&gt;DATE(YEAR_Y,12,31),"",DATE(YEAR_Y,1,1)+94)</f>
        <v/>
      </c>
      <c r="C120" s="49">
        <f>IF($B120="","",SUMIFS(Grids!$BQ$12:$EC$111,Grids!$EE$12:$GQ$111,"&gt;="&amp;$B120*1000000000,Grids!$EE$12:$GQ$111,"&lt;"&amp;($B120+1)*1000000000))</f>
        <v/>
      </c>
      <c r="D120" s="49">
        <f>IF($B120="","",SUMIFS(Grids!$BQ$116:$EC$155,Grids!$EE$116:$GQ$155,"&gt;="&amp;$B120*1000000000,Grids!$EE$116:$GQ$155,"&lt;"&amp;($B120+1)*1000000000))</f>
        <v/>
      </c>
      <c r="E120" s="49">
        <f>IF($B120="","",SUMIFS(Grids!$BQ$160:$EC$219,Grids!$EE$160:$GQ$219,"&gt;="&amp;$B120*1000000000,Grids!$EE$160:$GQ$219,"&lt;"&amp;($B120+1)*1000000000))</f>
        <v/>
      </c>
      <c r="F120" s="50">
        <f>IF($B120="","",SUM($C$26:$C120))</f>
        <v/>
      </c>
      <c r="G120" s="50">
        <f>IF($B120="","",SUM($D$26:$D120))</f>
        <v/>
      </c>
      <c r="H120" s="50">
        <f>IF($B120="","",SUM($E$26:$E120))</f>
        <v/>
      </c>
    </row>
    <row r="121">
      <c r="B121" s="48">
        <f>IF(DATE(YEAR_Y,1,1)+95&gt;DATE(YEAR_Y,12,31),"",DATE(YEAR_Y,1,1)+95)</f>
        <v/>
      </c>
      <c r="C121" s="49">
        <f>IF($B121="","",SUMIFS(Grids!$BQ$12:$EC$111,Grids!$EE$12:$GQ$111,"&gt;="&amp;$B121*1000000000,Grids!$EE$12:$GQ$111,"&lt;"&amp;($B121+1)*1000000000))</f>
        <v/>
      </c>
      <c r="D121" s="49">
        <f>IF($B121="","",SUMIFS(Grids!$BQ$116:$EC$155,Grids!$EE$116:$GQ$155,"&gt;="&amp;$B121*1000000000,Grids!$EE$116:$GQ$155,"&lt;"&amp;($B121+1)*1000000000))</f>
        <v/>
      </c>
      <c r="E121" s="49">
        <f>IF($B121="","",SUMIFS(Grids!$BQ$160:$EC$219,Grids!$EE$160:$GQ$219,"&gt;="&amp;$B121*1000000000,Grids!$EE$160:$GQ$219,"&lt;"&amp;($B121+1)*1000000000))</f>
        <v/>
      </c>
      <c r="F121" s="50">
        <f>IF($B121="","",SUM($C$26:$C121))</f>
        <v/>
      </c>
      <c r="G121" s="50">
        <f>IF($B121="","",SUM($D$26:$D121))</f>
        <v/>
      </c>
      <c r="H121" s="50">
        <f>IF($B121="","",SUM($E$26:$E121))</f>
        <v/>
      </c>
    </row>
    <row r="122">
      <c r="B122" s="48">
        <f>IF(DATE(YEAR_Y,1,1)+96&gt;DATE(YEAR_Y,12,31),"",DATE(YEAR_Y,1,1)+96)</f>
        <v/>
      </c>
      <c r="C122" s="49">
        <f>IF($B122="","",SUMIFS(Grids!$BQ$12:$EC$111,Grids!$EE$12:$GQ$111,"&gt;="&amp;$B122*1000000000,Grids!$EE$12:$GQ$111,"&lt;"&amp;($B122+1)*1000000000))</f>
        <v/>
      </c>
      <c r="D122" s="49">
        <f>IF($B122="","",SUMIFS(Grids!$BQ$116:$EC$155,Grids!$EE$116:$GQ$155,"&gt;="&amp;$B122*1000000000,Grids!$EE$116:$GQ$155,"&lt;"&amp;($B122+1)*1000000000))</f>
        <v/>
      </c>
      <c r="E122" s="49">
        <f>IF($B122="","",SUMIFS(Grids!$BQ$160:$EC$219,Grids!$EE$160:$GQ$219,"&gt;="&amp;$B122*1000000000,Grids!$EE$160:$GQ$219,"&lt;"&amp;($B122+1)*1000000000))</f>
        <v/>
      </c>
      <c r="F122" s="50">
        <f>IF($B122="","",SUM($C$26:$C122))</f>
        <v/>
      </c>
      <c r="G122" s="50">
        <f>IF($B122="","",SUM($D$26:$D122))</f>
        <v/>
      </c>
      <c r="H122" s="50">
        <f>IF($B122="","",SUM($E$26:$E122))</f>
        <v/>
      </c>
    </row>
    <row r="123">
      <c r="B123" s="48">
        <f>IF(DATE(YEAR_Y,1,1)+97&gt;DATE(YEAR_Y,12,31),"",DATE(YEAR_Y,1,1)+97)</f>
        <v/>
      </c>
      <c r="C123" s="49">
        <f>IF($B123="","",SUMIFS(Grids!$BQ$12:$EC$111,Grids!$EE$12:$GQ$111,"&gt;="&amp;$B123*1000000000,Grids!$EE$12:$GQ$111,"&lt;"&amp;($B123+1)*1000000000))</f>
        <v/>
      </c>
      <c r="D123" s="49">
        <f>IF($B123="","",SUMIFS(Grids!$BQ$116:$EC$155,Grids!$EE$116:$GQ$155,"&gt;="&amp;$B123*1000000000,Grids!$EE$116:$GQ$155,"&lt;"&amp;($B123+1)*1000000000))</f>
        <v/>
      </c>
      <c r="E123" s="49">
        <f>IF($B123="","",SUMIFS(Grids!$BQ$160:$EC$219,Grids!$EE$160:$GQ$219,"&gt;="&amp;$B123*1000000000,Grids!$EE$160:$GQ$219,"&lt;"&amp;($B123+1)*1000000000))</f>
        <v/>
      </c>
      <c r="F123" s="50">
        <f>IF($B123="","",SUM($C$26:$C123))</f>
        <v/>
      </c>
      <c r="G123" s="50">
        <f>IF($B123="","",SUM($D$26:$D123))</f>
        <v/>
      </c>
      <c r="H123" s="50">
        <f>IF($B123="","",SUM($E$26:$E123))</f>
        <v/>
      </c>
    </row>
    <row r="124">
      <c r="B124" s="48">
        <f>IF(DATE(YEAR_Y,1,1)+98&gt;DATE(YEAR_Y,12,31),"",DATE(YEAR_Y,1,1)+98)</f>
        <v/>
      </c>
      <c r="C124" s="49">
        <f>IF($B124="","",SUMIFS(Grids!$BQ$12:$EC$111,Grids!$EE$12:$GQ$111,"&gt;="&amp;$B124*1000000000,Grids!$EE$12:$GQ$111,"&lt;"&amp;($B124+1)*1000000000))</f>
        <v/>
      </c>
      <c r="D124" s="49">
        <f>IF($B124="","",SUMIFS(Grids!$BQ$116:$EC$155,Grids!$EE$116:$GQ$155,"&gt;="&amp;$B124*1000000000,Grids!$EE$116:$GQ$155,"&lt;"&amp;($B124+1)*1000000000))</f>
        <v/>
      </c>
      <c r="E124" s="49">
        <f>IF($B124="","",SUMIFS(Grids!$BQ$160:$EC$219,Grids!$EE$160:$GQ$219,"&gt;="&amp;$B124*1000000000,Grids!$EE$160:$GQ$219,"&lt;"&amp;($B124+1)*1000000000))</f>
        <v/>
      </c>
      <c r="F124" s="50">
        <f>IF($B124="","",SUM($C$26:$C124))</f>
        <v/>
      </c>
      <c r="G124" s="50">
        <f>IF($B124="","",SUM($D$26:$D124))</f>
        <v/>
      </c>
      <c r="H124" s="50">
        <f>IF($B124="","",SUM($E$26:$E124))</f>
        <v/>
      </c>
    </row>
    <row r="125">
      <c r="B125" s="48">
        <f>IF(DATE(YEAR_Y,1,1)+99&gt;DATE(YEAR_Y,12,31),"",DATE(YEAR_Y,1,1)+99)</f>
        <v/>
      </c>
      <c r="C125" s="49">
        <f>IF($B125="","",SUMIFS(Grids!$BQ$12:$EC$111,Grids!$EE$12:$GQ$111,"&gt;="&amp;$B125*1000000000,Grids!$EE$12:$GQ$111,"&lt;"&amp;($B125+1)*1000000000))</f>
        <v/>
      </c>
      <c r="D125" s="49">
        <f>IF($B125="","",SUMIFS(Grids!$BQ$116:$EC$155,Grids!$EE$116:$GQ$155,"&gt;="&amp;$B125*1000000000,Grids!$EE$116:$GQ$155,"&lt;"&amp;($B125+1)*1000000000))</f>
        <v/>
      </c>
      <c r="E125" s="49">
        <f>IF($B125="","",SUMIFS(Grids!$BQ$160:$EC$219,Grids!$EE$160:$GQ$219,"&gt;="&amp;$B125*1000000000,Grids!$EE$160:$GQ$219,"&lt;"&amp;($B125+1)*1000000000))</f>
        <v/>
      </c>
      <c r="F125" s="50">
        <f>IF($B125="","",SUM($C$26:$C125))</f>
        <v/>
      </c>
      <c r="G125" s="50">
        <f>IF($B125="","",SUM($D$26:$D125))</f>
        <v/>
      </c>
      <c r="H125" s="50">
        <f>IF($B125="","",SUM($E$26:$E125))</f>
        <v/>
      </c>
    </row>
    <row r="126">
      <c r="B126" s="48">
        <f>IF(DATE(YEAR_Y,1,1)+100&gt;DATE(YEAR_Y,12,31),"",DATE(YEAR_Y,1,1)+100)</f>
        <v/>
      </c>
      <c r="C126" s="49">
        <f>IF($B126="","",SUMIFS(Grids!$BQ$12:$EC$111,Grids!$EE$12:$GQ$111,"&gt;="&amp;$B126*1000000000,Grids!$EE$12:$GQ$111,"&lt;"&amp;($B126+1)*1000000000))</f>
        <v/>
      </c>
      <c r="D126" s="49">
        <f>IF($B126="","",SUMIFS(Grids!$BQ$116:$EC$155,Grids!$EE$116:$GQ$155,"&gt;="&amp;$B126*1000000000,Grids!$EE$116:$GQ$155,"&lt;"&amp;($B126+1)*1000000000))</f>
        <v/>
      </c>
      <c r="E126" s="49">
        <f>IF($B126="","",SUMIFS(Grids!$BQ$160:$EC$219,Grids!$EE$160:$GQ$219,"&gt;="&amp;$B126*1000000000,Grids!$EE$160:$GQ$219,"&lt;"&amp;($B126+1)*1000000000))</f>
        <v/>
      </c>
      <c r="F126" s="50">
        <f>IF($B126="","",SUM($C$26:$C126))</f>
        <v/>
      </c>
      <c r="G126" s="50">
        <f>IF($B126="","",SUM($D$26:$D126))</f>
        <v/>
      </c>
      <c r="H126" s="50">
        <f>IF($B126="","",SUM($E$26:$E126))</f>
        <v/>
      </c>
    </row>
    <row r="127">
      <c r="B127" s="48">
        <f>IF(DATE(YEAR_Y,1,1)+101&gt;DATE(YEAR_Y,12,31),"",DATE(YEAR_Y,1,1)+101)</f>
        <v/>
      </c>
      <c r="C127" s="49">
        <f>IF($B127="","",SUMIFS(Grids!$BQ$12:$EC$111,Grids!$EE$12:$GQ$111,"&gt;="&amp;$B127*1000000000,Grids!$EE$12:$GQ$111,"&lt;"&amp;($B127+1)*1000000000))</f>
        <v/>
      </c>
      <c r="D127" s="49">
        <f>IF($B127="","",SUMIFS(Grids!$BQ$116:$EC$155,Grids!$EE$116:$GQ$155,"&gt;="&amp;$B127*1000000000,Grids!$EE$116:$GQ$155,"&lt;"&amp;($B127+1)*1000000000))</f>
        <v/>
      </c>
      <c r="E127" s="49">
        <f>IF($B127="","",SUMIFS(Grids!$BQ$160:$EC$219,Grids!$EE$160:$GQ$219,"&gt;="&amp;$B127*1000000000,Grids!$EE$160:$GQ$219,"&lt;"&amp;($B127+1)*1000000000))</f>
        <v/>
      </c>
      <c r="F127" s="50">
        <f>IF($B127="","",SUM($C$26:$C127))</f>
        <v/>
      </c>
      <c r="G127" s="50">
        <f>IF($B127="","",SUM($D$26:$D127))</f>
        <v/>
      </c>
      <c r="H127" s="50">
        <f>IF($B127="","",SUM($E$26:$E127))</f>
        <v/>
      </c>
    </row>
    <row r="128">
      <c r="B128" s="48">
        <f>IF(DATE(YEAR_Y,1,1)+102&gt;DATE(YEAR_Y,12,31),"",DATE(YEAR_Y,1,1)+102)</f>
        <v/>
      </c>
      <c r="C128" s="49">
        <f>IF($B128="","",SUMIFS(Grids!$BQ$12:$EC$111,Grids!$EE$12:$GQ$111,"&gt;="&amp;$B128*1000000000,Grids!$EE$12:$GQ$111,"&lt;"&amp;($B128+1)*1000000000))</f>
        <v/>
      </c>
      <c r="D128" s="49">
        <f>IF($B128="","",SUMIFS(Grids!$BQ$116:$EC$155,Grids!$EE$116:$GQ$155,"&gt;="&amp;$B128*1000000000,Grids!$EE$116:$GQ$155,"&lt;"&amp;($B128+1)*1000000000))</f>
        <v/>
      </c>
      <c r="E128" s="49">
        <f>IF($B128="","",SUMIFS(Grids!$BQ$160:$EC$219,Grids!$EE$160:$GQ$219,"&gt;="&amp;$B128*1000000000,Grids!$EE$160:$GQ$219,"&lt;"&amp;($B128+1)*1000000000))</f>
        <v/>
      </c>
      <c r="F128" s="50">
        <f>IF($B128="","",SUM($C$26:$C128))</f>
        <v/>
      </c>
      <c r="G128" s="50">
        <f>IF($B128="","",SUM($D$26:$D128))</f>
        <v/>
      </c>
      <c r="H128" s="50">
        <f>IF($B128="","",SUM($E$26:$E128))</f>
        <v/>
      </c>
    </row>
    <row r="129">
      <c r="B129" s="48">
        <f>IF(DATE(YEAR_Y,1,1)+103&gt;DATE(YEAR_Y,12,31),"",DATE(YEAR_Y,1,1)+103)</f>
        <v/>
      </c>
      <c r="C129" s="49">
        <f>IF($B129="","",SUMIFS(Grids!$BQ$12:$EC$111,Grids!$EE$12:$GQ$111,"&gt;="&amp;$B129*1000000000,Grids!$EE$12:$GQ$111,"&lt;"&amp;($B129+1)*1000000000))</f>
        <v/>
      </c>
      <c r="D129" s="49">
        <f>IF($B129="","",SUMIFS(Grids!$BQ$116:$EC$155,Grids!$EE$116:$GQ$155,"&gt;="&amp;$B129*1000000000,Grids!$EE$116:$GQ$155,"&lt;"&amp;($B129+1)*1000000000))</f>
        <v/>
      </c>
      <c r="E129" s="49">
        <f>IF($B129="","",SUMIFS(Grids!$BQ$160:$EC$219,Grids!$EE$160:$GQ$219,"&gt;="&amp;$B129*1000000000,Grids!$EE$160:$GQ$219,"&lt;"&amp;($B129+1)*1000000000))</f>
        <v/>
      </c>
      <c r="F129" s="50">
        <f>IF($B129="","",SUM($C$26:$C129))</f>
        <v/>
      </c>
      <c r="G129" s="50">
        <f>IF($B129="","",SUM($D$26:$D129))</f>
        <v/>
      </c>
      <c r="H129" s="50">
        <f>IF($B129="","",SUM($E$26:$E129))</f>
        <v/>
      </c>
    </row>
    <row r="130">
      <c r="B130" s="48">
        <f>IF(DATE(YEAR_Y,1,1)+104&gt;DATE(YEAR_Y,12,31),"",DATE(YEAR_Y,1,1)+104)</f>
        <v/>
      </c>
      <c r="C130" s="49">
        <f>IF($B130="","",SUMIFS(Grids!$BQ$12:$EC$111,Grids!$EE$12:$GQ$111,"&gt;="&amp;$B130*1000000000,Grids!$EE$12:$GQ$111,"&lt;"&amp;($B130+1)*1000000000))</f>
        <v/>
      </c>
      <c r="D130" s="49">
        <f>IF($B130="","",SUMIFS(Grids!$BQ$116:$EC$155,Grids!$EE$116:$GQ$155,"&gt;="&amp;$B130*1000000000,Grids!$EE$116:$GQ$155,"&lt;"&amp;($B130+1)*1000000000))</f>
        <v/>
      </c>
      <c r="E130" s="49">
        <f>IF($B130="","",SUMIFS(Grids!$BQ$160:$EC$219,Grids!$EE$160:$GQ$219,"&gt;="&amp;$B130*1000000000,Grids!$EE$160:$GQ$219,"&lt;"&amp;($B130+1)*1000000000))</f>
        <v/>
      </c>
      <c r="F130" s="50">
        <f>IF($B130="","",SUM($C$26:$C130))</f>
        <v/>
      </c>
      <c r="G130" s="50">
        <f>IF($B130="","",SUM($D$26:$D130))</f>
        <v/>
      </c>
      <c r="H130" s="50">
        <f>IF($B130="","",SUM($E$26:$E130))</f>
        <v/>
      </c>
    </row>
    <row r="131">
      <c r="B131" s="48">
        <f>IF(DATE(YEAR_Y,1,1)+105&gt;DATE(YEAR_Y,12,31),"",DATE(YEAR_Y,1,1)+105)</f>
        <v/>
      </c>
      <c r="C131" s="49">
        <f>IF($B131="","",SUMIFS(Grids!$BQ$12:$EC$111,Grids!$EE$12:$GQ$111,"&gt;="&amp;$B131*1000000000,Grids!$EE$12:$GQ$111,"&lt;"&amp;($B131+1)*1000000000))</f>
        <v/>
      </c>
      <c r="D131" s="49">
        <f>IF($B131="","",SUMIFS(Grids!$BQ$116:$EC$155,Grids!$EE$116:$GQ$155,"&gt;="&amp;$B131*1000000000,Grids!$EE$116:$GQ$155,"&lt;"&amp;($B131+1)*1000000000))</f>
        <v/>
      </c>
      <c r="E131" s="49">
        <f>IF($B131="","",SUMIFS(Grids!$BQ$160:$EC$219,Grids!$EE$160:$GQ$219,"&gt;="&amp;$B131*1000000000,Grids!$EE$160:$GQ$219,"&lt;"&amp;($B131+1)*1000000000))</f>
        <v/>
      </c>
      <c r="F131" s="50">
        <f>IF($B131="","",SUM($C$26:$C131))</f>
        <v/>
      </c>
      <c r="G131" s="50">
        <f>IF($B131="","",SUM($D$26:$D131))</f>
        <v/>
      </c>
      <c r="H131" s="50">
        <f>IF($B131="","",SUM($E$26:$E131))</f>
        <v/>
      </c>
    </row>
    <row r="132">
      <c r="B132" s="48">
        <f>IF(DATE(YEAR_Y,1,1)+106&gt;DATE(YEAR_Y,12,31),"",DATE(YEAR_Y,1,1)+106)</f>
        <v/>
      </c>
      <c r="C132" s="49">
        <f>IF($B132="","",SUMIFS(Grids!$BQ$12:$EC$111,Grids!$EE$12:$GQ$111,"&gt;="&amp;$B132*1000000000,Grids!$EE$12:$GQ$111,"&lt;"&amp;($B132+1)*1000000000))</f>
        <v/>
      </c>
      <c r="D132" s="49">
        <f>IF($B132="","",SUMIFS(Grids!$BQ$116:$EC$155,Grids!$EE$116:$GQ$155,"&gt;="&amp;$B132*1000000000,Grids!$EE$116:$GQ$155,"&lt;"&amp;($B132+1)*1000000000))</f>
        <v/>
      </c>
      <c r="E132" s="49">
        <f>IF($B132="","",SUMIFS(Grids!$BQ$160:$EC$219,Grids!$EE$160:$GQ$219,"&gt;="&amp;$B132*1000000000,Grids!$EE$160:$GQ$219,"&lt;"&amp;($B132+1)*1000000000))</f>
        <v/>
      </c>
      <c r="F132" s="50">
        <f>IF($B132="","",SUM($C$26:$C132))</f>
        <v/>
      </c>
      <c r="G132" s="50">
        <f>IF($B132="","",SUM($D$26:$D132))</f>
        <v/>
      </c>
      <c r="H132" s="50">
        <f>IF($B132="","",SUM($E$26:$E132))</f>
        <v/>
      </c>
    </row>
    <row r="133">
      <c r="B133" s="48">
        <f>IF(DATE(YEAR_Y,1,1)+107&gt;DATE(YEAR_Y,12,31),"",DATE(YEAR_Y,1,1)+107)</f>
        <v/>
      </c>
      <c r="C133" s="49">
        <f>IF($B133="","",SUMIFS(Grids!$BQ$12:$EC$111,Grids!$EE$12:$GQ$111,"&gt;="&amp;$B133*1000000000,Grids!$EE$12:$GQ$111,"&lt;"&amp;($B133+1)*1000000000))</f>
        <v/>
      </c>
      <c r="D133" s="49">
        <f>IF($B133="","",SUMIFS(Grids!$BQ$116:$EC$155,Grids!$EE$116:$GQ$155,"&gt;="&amp;$B133*1000000000,Grids!$EE$116:$GQ$155,"&lt;"&amp;($B133+1)*1000000000))</f>
        <v/>
      </c>
      <c r="E133" s="49">
        <f>IF($B133="","",SUMIFS(Grids!$BQ$160:$EC$219,Grids!$EE$160:$GQ$219,"&gt;="&amp;$B133*1000000000,Grids!$EE$160:$GQ$219,"&lt;"&amp;($B133+1)*1000000000))</f>
        <v/>
      </c>
      <c r="F133" s="50">
        <f>IF($B133="","",SUM($C$26:$C133))</f>
        <v/>
      </c>
      <c r="G133" s="50">
        <f>IF($B133="","",SUM($D$26:$D133))</f>
        <v/>
      </c>
      <c r="H133" s="50">
        <f>IF($B133="","",SUM($E$26:$E133))</f>
        <v/>
      </c>
    </row>
    <row r="134">
      <c r="B134" s="48">
        <f>IF(DATE(YEAR_Y,1,1)+108&gt;DATE(YEAR_Y,12,31),"",DATE(YEAR_Y,1,1)+108)</f>
        <v/>
      </c>
      <c r="C134" s="49">
        <f>IF($B134="","",SUMIFS(Grids!$BQ$12:$EC$111,Grids!$EE$12:$GQ$111,"&gt;="&amp;$B134*1000000000,Grids!$EE$12:$GQ$111,"&lt;"&amp;($B134+1)*1000000000))</f>
        <v/>
      </c>
      <c r="D134" s="49">
        <f>IF($B134="","",SUMIFS(Grids!$BQ$116:$EC$155,Grids!$EE$116:$GQ$155,"&gt;="&amp;$B134*1000000000,Grids!$EE$116:$GQ$155,"&lt;"&amp;($B134+1)*1000000000))</f>
        <v/>
      </c>
      <c r="E134" s="49">
        <f>IF($B134="","",SUMIFS(Grids!$BQ$160:$EC$219,Grids!$EE$160:$GQ$219,"&gt;="&amp;$B134*1000000000,Grids!$EE$160:$GQ$219,"&lt;"&amp;($B134+1)*1000000000))</f>
        <v/>
      </c>
      <c r="F134" s="50">
        <f>IF($B134="","",SUM($C$26:$C134))</f>
        <v/>
      </c>
      <c r="G134" s="50">
        <f>IF($B134="","",SUM($D$26:$D134))</f>
        <v/>
      </c>
      <c r="H134" s="50">
        <f>IF($B134="","",SUM($E$26:$E134))</f>
        <v/>
      </c>
    </row>
    <row r="135">
      <c r="B135" s="48">
        <f>IF(DATE(YEAR_Y,1,1)+109&gt;DATE(YEAR_Y,12,31),"",DATE(YEAR_Y,1,1)+109)</f>
        <v/>
      </c>
      <c r="C135" s="49">
        <f>IF($B135="","",SUMIFS(Grids!$BQ$12:$EC$111,Grids!$EE$12:$GQ$111,"&gt;="&amp;$B135*1000000000,Grids!$EE$12:$GQ$111,"&lt;"&amp;($B135+1)*1000000000))</f>
        <v/>
      </c>
      <c r="D135" s="49">
        <f>IF($B135="","",SUMIFS(Grids!$BQ$116:$EC$155,Grids!$EE$116:$GQ$155,"&gt;="&amp;$B135*1000000000,Grids!$EE$116:$GQ$155,"&lt;"&amp;($B135+1)*1000000000))</f>
        <v/>
      </c>
      <c r="E135" s="49">
        <f>IF($B135="","",SUMIFS(Grids!$BQ$160:$EC$219,Grids!$EE$160:$GQ$219,"&gt;="&amp;$B135*1000000000,Grids!$EE$160:$GQ$219,"&lt;"&amp;($B135+1)*1000000000))</f>
        <v/>
      </c>
      <c r="F135" s="50">
        <f>IF($B135="","",SUM($C$26:$C135))</f>
        <v/>
      </c>
      <c r="G135" s="50">
        <f>IF($B135="","",SUM($D$26:$D135))</f>
        <v/>
      </c>
      <c r="H135" s="50">
        <f>IF($B135="","",SUM($E$26:$E135))</f>
        <v/>
      </c>
    </row>
    <row r="136">
      <c r="B136" s="48">
        <f>IF(DATE(YEAR_Y,1,1)+110&gt;DATE(YEAR_Y,12,31),"",DATE(YEAR_Y,1,1)+110)</f>
        <v/>
      </c>
      <c r="C136" s="49">
        <f>IF($B136="","",SUMIFS(Grids!$BQ$12:$EC$111,Grids!$EE$12:$GQ$111,"&gt;="&amp;$B136*1000000000,Grids!$EE$12:$GQ$111,"&lt;"&amp;($B136+1)*1000000000))</f>
        <v/>
      </c>
      <c r="D136" s="49">
        <f>IF($B136="","",SUMIFS(Grids!$BQ$116:$EC$155,Grids!$EE$116:$GQ$155,"&gt;="&amp;$B136*1000000000,Grids!$EE$116:$GQ$155,"&lt;"&amp;($B136+1)*1000000000))</f>
        <v/>
      </c>
      <c r="E136" s="49">
        <f>IF($B136="","",SUMIFS(Grids!$BQ$160:$EC$219,Grids!$EE$160:$GQ$219,"&gt;="&amp;$B136*1000000000,Grids!$EE$160:$GQ$219,"&lt;"&amp;($B136+1)*1000000000))</f>
        <v/>
      </c>
      <c r="F136" s="50">
        <f>IF($B136="","",SUM($C$26:$C136))</f>
        <v/>
      </c>
      <c r="G136" s="50">
        <f>IF($B136="","",SUM($D$26:$D136))</f>
        <v/>
      </c>
      <c r="H136" s="50">
        <f>IF($B136="","",SUM($E$26:$E136))</f>
        <v/>
      </c>
    </row>
    <row r="137">
      <c r="B137" s="48">
        <f>IF(DATE(YEAR_Y,1,1)+111&gt;DATE(YEAR_Y,12,31),"",DATE(YEAR_Y,1,1)+111)</f>
        <v/>
      </c>
      <c r="C137" s="49">
        <f>IF($B137="","",SUMIFS(Grids!$BQ$12:$EC$111,Grids!$EE$12:$GQ$111,"&gt;="&amp;$B137*1000000000,Grids!$EE$12:$GQ$111,"&lt;"&amp;($B137+1)*1000000000))</f>
        <v/>
      </c>
      <c r="D137" s="49">
        <f>IF($B137="","",SUMIFS(Grids!$BQ$116:$EC$155,Grids!$EE$116:$GQ$155,"&gt;="&amp;$B137*1000000000,Grids!$EE$116:$GQ$155,"&lt;"&amp;($B137+1)*1000000000))</f>
        <v/>
      </c>
      <c r="E137" s="49">
        <f>IF($B137="","",SUMIFS(Grids!$BQ$160:$EC$219,Grids!$EE$160:$GQ$219,"&gt;="&amp;$B137*1000000000,Grids!$EE$160:$GQ$219,"&lt;"&amp;($B137+1)*1000000000))</f>
        <v/>
      </c>
      <c r="F137" s="50">
        <f>IF($B137="","",SUM($C$26:$C137))</f>
        <v/>
      </c>
      <c r="G137" s="50">
        <f>IF($B137="","",SUM($D$26:$D137))</f>
        <v/>
      </c>
      <c r="H137" s="50">
        <f>IF($B137="","",SUM($E$26:$E137))</f>
        <v/>
      </c>
    </row>
    <row r="138">
      <c r="B138" s="48">
        <f>IF(DATE(YEAR_Y,1,1)+112&gt;DATE(YEAR_Y,12,31),"",DATE(YEAR_Y,1,1)+112)</f>
        <v/>
      </c>
      <c r="C138" s="49">
        <f>IF($B138="","",SUMIFS(Grids!$BQ$12:$EC$111,Grids!$EE$12:$GQ$111,"&gt;="&amp;$B138*1000000000,Grids!$EE$12:$GQ$111,"&lt;"&amp;($B138+1)*1000000000))</f>
        <v/>
      </c>
      <c r="D138" s="49">
        <f>IF($B138="","",SUMIFS(Grids!$BQ$116:$EC$155,Grids!$EE$116:$GQ$155,"&gt;="&amp;$B138*1000000000,Grids!$EE$116:$GQ$155,"&lt;"&amp;($B138+1)*1000000000))</f>
        <v/>
      </c>
      <c r="E138" s="49">
        <f>IF($B138="","",SUMIFS(Grids!$BQ$160:$EC$219,Grids!$EE$160:$GQ$219,"&gt;="&amp;$B138*1000000000,Grids!$EE$160:$GQ$219,"&lt;"&amp;($B138+1)*1000000000))</f>
        <v/>
      </c>
      <c r="F138" s="50">
        <f>IF($B138="","",SUM($C$26:$C138))</f>
        <v/>
      </c>
      <c r="G138" s="50">
        <f>IF($B138="","",SUM($D$26:$D138))</f>
        <v/>
      </c>
      <c r="H138" s="50">
        <f>IF($B138="","",SUM($E$26:$E138))</f>
        <v/>
      </c>
    </row>
    <row r="139">
      <c r="B139" s="48">
        <f>IF(DATE(YEAR_Y,1,1)+113&gt;DATE(YEAR_Y,12,31),"",DATE(YEAR_Y,1,1)+113)</f>
        <v/>
      </c>
      <c r="C139" s="49">
        <f>IF($B139="","",SUMIFS(Grids!$BQ$12:$EC$111,Grids!$EE$12:$GQ$111,"&gt;="&amp;$B139*1000000000,Grids!$EE$12:$GQ$111,"&lt;"&amp;($B139+1)*1000000000))</f>
        <v/>
      </c>
      <c r="D139" s="49">
        <f>IF($B139="","",SUMIFS(Grids!$BQ$116:$EC$155,Grids!$EE$116:$GQ$155,"&gt;="&amp;$B139*1000000000,Grids!$EE$116:$GQ$155,"&lt;"&amp;($B139+1)*1000000000))</f>
        <v/>
      </c>
      <c r="E139" s="49">
        <f>IF($B139="","",SUMIFS(Grids!$BQ$160:$EC$219,Grids!$EE$160:$GQ$219,"&gt;="&amp;$B139*1000000000,Grids!$EE$160:$GQ$219,"&lt;"&amp;($B139+1)*1000000000))</f>
        <v/>
      </c>
      <c r="F139" s="50">
        <f>IF($B139="","",SUM($C$26:$C139))</f>
        <v/>
      </c>
      <c r="G139" s="50">
        <f>IF($B139="","",SUM($D$26:$D139))</f>
        <v/>
      </c>
      <c r="H139" s="50">
        <f>IF($B139="","",SUM($E$26:$E139))</f>
        <v/>
      </c>
    </row>
    <row r="140">
      <c r="B140" s="48">
        <f>IF(DATE(YEAR_Y,1,1)+114&gt;DATE(YEAR_Y,12,31),"",DATE(YEAR_Y,1,1)+114)</f>
        <v/>
      </c>
      <c r="C140" s="49">
        <f>IF($B140="","",SUMIFS(Grids!$BQ$12:$EC$111,Grids!$EE$12:$GQ$111,"&gt;="&amp;$B140*1000000000,Grids!$EE$12:$GQ$111,"&lt;"&amp;($B140+1)*1000000000))</f>
        <v/>
      </c>
      <c r="D140" s="49">
        <f>IF($B140="","",SUMIFS(Grids!$BQ$116:$EC$155,Grids!$EE$116:$GQ$155,"&gt;="&amp;$B140*1000000000,Grids!$EE$116:$GQ$155,"&lt;"&amp;($B140+1)*1000000000))</f>
        <v/>
      </c>
      <c r="E140" s="49">
        <f>IF($B140="","",SUMIFS(Grids!$BQ$160:$EC$219,Grids!$EE$160:$GQ$219,"&gt;="&amp;$B140*1000000000,Grids!$EE$160:$GQ$219,"&lt;"&amp;($B140+1)*1000000000))</f>
        <v/>
      </c>
      <c r="F140" s="50">
        <f>IF($B140="","",SUM($C$26:$C140))</f>
        <v/>
      </c>
      <c r="G140" s="50">
        <f>IF($B140="","",SUM($D$26:$D140))</f>
        <v/>
      </c>
      <c r="H140" s="50">
        <f>IF($B140="","",SUM($E$26:$E140))</f>
        <v/>
      </c>
    </row>
    <row r="141">
      <c r="B141" s="48">
        <f>IF(DATE(YEAR_Y,1,1)+115&gt;DATE(YEAR_Y,12,31),"",DATE(YEAR_Y,1,1)+115)</f>
        <v/>
      </c>
      <c r="C141" s="49">
        <f>IF($B141="","",SUMIFS(Grids!$BQ$12:$EC$111,Grids!$EE$12:$GQ$111,"&gt;="&amp;$B141*1000000000,Grids!$EE$12:$GQ$111,"&lt;"&amp;($B141+1)*1000000000))</f>
        <v/>
      </c>
      <c r="D141" s="49">
        <f>IF($B141="","",SUMIFS(Grids!$BQ$116:$EC$155,Grids!$EE$116:$GQ$155,"&gt;="&amp;$B141*1000000000,Grids!$EE$116:$GQ$155,"&lt;"&amp;($B141+1)*1000000000))</f>
        <v/>
      </c>
      <c r="E141" s="49">
        <f>IF($B141="","",SUMIFS(Grids!$BQ$160:$EC$219,Grids!$EE$160:$GQ$219,"&gt;="&amp;$B141*1000000000,Grids!$EE$160:$GQ$219,"&lt;"&amp;($B141+1)*1000000000))</f>
        <v/>
      </c>
      <c r="F141" s="50">
        <f>IF($B141="","",SUM($C$26:$C141))</f>
        <v/>
      </c>
      <c r="G141" s="50">
        <f>IF($B141="","",SUM($D$26:$D141))</f>
        <v/>
      </c>
      <c r="H141" s="50">
        <f>IF($B141="","",SUM($E$26:$E141))</f>
        <v/>
      </c>
    </row>
    <row r="142">
      <c r="B142" s="48">
        <f>IF(DATE(YEAR_Y,1,1)+116&gt;DATE(YEAR_Y,12,31),"",DATE(YEAR_Y,1,1)+116)</f>
        <v/>
      </c>
      <c r="C142" s="49">
        <f>IF($B142="","",SUMIFS(Grids!$BQ$12:$EC$111,Grids!$EE$12:$GQ$111,"&gt;="&amp;$B142*1000000000,Grids!$EE$12:$GQ$111,"&lt;"&amp;($B142+1)*1000000000))</f>
        <v/>
      </c>
      <c r="D142" s="49">
        <f>IF($B142="","",SUMIFS(Grids!$BQ$116:$EC$155,Grids!$EE$116:$GQ$155,"&gt;="&amp;$B142*1000000000,Grids!$EE$116:$GQ$155,"&lt;"&amp;($B142+1)*1000000000))</f>
        <v/>
      </c>
      <c r="E142" s="49">
        <f>IF($B142="","",SUMIFS(Grids!$BQ$160:$EC$219,Grids!$EE$160:$GQ$219,"&gt;="&amp;$B142*1000000000,Grids!$EE$160:$GQ$219,"&lt;"&amp;($B142+1)*1000000000))</f>
        <v/>
      </c>
      <c r="F142" s="50">
        <f>IF($B142="","",SUM($C$26:$C142))</f>
        <v/>
      </c>
      <c r="G142" s="50">
        <f>IF($B142="","",SUM($D$26:$D142))</f>
        <v/>
      </c>
      <c r="H142" s="50">
        <f>IF($B142="","",SUM($E$26:$E142))</f>
        <v/>
      </c>
    </row>
    <row r="143">
      <c r="B143" s="48">
        <f>IF(DATE(YEAR_Y,1,1)+117&gt;DATE(YEAR_Y,12,31),"",DATE(YEAR_Y,1,1)+117)</f>
        <v/>
      </c>
      <c r="C143" s="49">
        <f>IF($B143="","",SUMIFS(Grids!$BQ$12:$EC$111,Grids!$EE$12:$GQ$111,"&gt;="&amp;$B143*1000000000,Grids!$EE$12:$GQ$111,"&lt;"&amp;($B143+1)*1000000000))</f>
        <v/>
      </c>
      <c r="D143" s="49">
        <f>IF($B143="","",SUMIFS(Grids!$BQ$116:$EC$155,Grids!$EE$116:$GQ$155,"&gt;="&amp;$B143*1000000000,Grids!$EE$116:$GQ$155,"&lt;"&amp;($B143+1)*1000000000))</f>
        <v/>
      </c>
      <c r="E143" s="49">
        <f>IF($B143="","",SUMIFS(Grids!$BQ$160:$EC$219,Grids!$EE$160:$GQ$219,"&gt;="&amp;$B143*1000000000,Grids!$EE$160:$GQ$219,"&lt;"&amp;($B143+1)*1000000000))</f>
        <v/>
      </c>
      <c r="F143" s="50">
        <f>IF($B143="","",SUM($C$26:$C143))</f>
        <v/>
      </c>
      <c r="G143" s="50">
        <f>IF($B143="","",SUM($D$26:$D143))</f>
        <v/>
      </c>
      <c r="H143" s="50">
        <f>IF($B143="","",SUM($E$26:$E143))</f>
        <v/>
      </c>
    </row>
    <row r="144">
      <c r="B144" s="48">
        <f>IF(DATE(YEAR_Y,1,1)+118&gt;DATE(YEAR_Y,12,31),"",DATE(YEAR_Y,1,1)+118)</f>
        <v/>
      </c>
      <c r="C144" s="49">
        <f>IF($B144="","",SUMIFS(Grids!$BQ$12:$EC$111,Grids!$EE$12:$GQ$111,"&gt;="&amp;$B144*1000000000,Grids!$EE$12:$GQ$111,"&lt;"&amp;($B144+1)*1000000000))</f>
        <v/>
      </c>
      <c r="D144" s="49">
        <f>IF($B144="","",SUMIFS(Grids!$BQ$116:$EC$155,Grids!$EE$116:$GQ$155,"&gt;="&amp;$B144*1000000000,Grids!$EE$116:$GQ$155,"&lt;"&amp;($B144+1)*1000000000))</f>
        <v/>
      </c>
      <c r="E144" s="49">
        <f>IF($B144="","",SUMIFS(Grids!$BQ$160:$EC$219,Grids!$EE$160:$GQ$219,"&gt;="&amp;$B144*1000000000,Grids!$EE$160:$GQ$219,"&lt;"&amp;($B144+1)*1000000000))</f>
        <v/>
      </c>
      <c r="F144" s="50">
        <f>IF($B144="","",SUM($C$26:$C144))</f>
        <v/>
      </c>
      <c r="G144" s="50">
        <f>IF($B144="","",SUM($D$26:$D144))</f>
        <v/>
      </c>
      <c r="H144" s="50">
        <f>IF($B144="","",SUM($E$26:$E144))</f>
        <v/>
      </c>
    </row>
    <row r="145">
      <c r="B145" s="48">
        <f>IF(DATE(YEAR_Y,1,1)+119&gt;DATE(YEAR_Y,12,31),"",DATE(YEAR_Y,1,1)+119)</f>
        <v/>
      </c>
      <c r="C145" s="49">
        <f>IF($B145="","",SUMIFS(Grids!$BQ$12:$EC$111,Grids!$EE$12:$GQ$111,"&gt;="&amp;$B145*1000000000,Grids!$EE$12:$GQ$111,"&lt;"&amp;($B145+1)*1000000000))</f>
        <v/>
      </c>
      <c r="D145" s="49">
        <f>IF($B145="","",SUMIFS(Grids!$BQ$116:$EC$155,Grids!$EE$116:$GQ$155,"&gt;="&amp;$B145*1000000000,Grids!$EE$116:$GQ$155,"&lt;"&amp;($B145+1)*1000000000))</f>
        <v/>
      </c>
      <c r="E145" s="49">
        <f>IF($B145="","",SUMIFS(Grids!$BQ$160:$EC$219,Grids!$EE$160:$GQ$219,"&gt;="&amp;$B145*1000000000,Grids!$EE$160:$GQ$219,"&lt;"&amp;($B145+1)*1000000000))</f>
        <v/>
      </c>
      <c r="F145" s="50">
        <f>IF($B145="","",SUM($C$26:$C145))</f>
        <v/>
      </c>
      <c r="G145" s="50">
        <f>IF($B145="","",SUM($D$26:$D145))</f>
        <v/>
      </c>
      <c r="H145" s="50">
        <f>IF($B145="","",SUM($E$26:$E145))</f>
        <v/>
      </c>
    </row>
    <row r="146">
      <c r="B146" s="48">
        <f>IF(DATE(YEAR_Y,1,1)+120&gt;DATE(YEAR_Y,12,31),"",DATE(YEAR_Y,1,1)+120)</f>
        <v/>
      </c>
      <c r="C146" s="49">
        <f>IF($B146="","",SUMIFS(Grids!$BQ$12:$EC$111,Grids!$EE$12:$GQ$111,"&gt;="&amp;$B146*1000000000,Grids!$EE$12:$GQ$111,"&lt;"&amp;($B146+1)*1000000000))</f>
        <v/>
      </c>
      <c r="D146" s="49">
        <f>IF($B146="","",SUMIFS(Grids!$BQ$116:$EC$155,Grids!$EE$116:$GQ$155,"&gt;="&amp;$B146*1000000000,Grids!$EE$116:$GQ$155,"&lt;"&amp;($B146+1)*1000000000))</f>
        <v/>
      </c>
      <c r="E146" s="49">
        <f>IF($B146="","",SUMIFS(Grids!$BQ$160:$EC$219,Grids!$EE$160:$GQ$219,"&gt;="&amp;$B146*1000000000,Grids!$EE$160:$GQ$219,"&lt;"&amp;($B146+1)*1000000000))</f>
        <v/>
      </c>
      <c r="F146" s="50">
        <f>IF($B146="","",SUM($C$26:$C146))</f>
        <v/>
      </c>
      <c r="G146" s="50">
        <f>IF($B146="","",SUM($D$26:$D146))</f>
        <v/>
      </c>
      <c r="H146" s="50">
        <f>IF($B146="","",SUM($E$26:$E146))</f>
        <v/>
      </c>
    </row>
    <row r="147">
      <c r="B147" s="48">
        <f>IF(DATE(YEAR_Y,1,1)+121&gt;DATE(YEAR_Y,12,31),"",DATE(YEAR_Y,1,1)+121)</f>
        <v/>
      </c>
      <c r="C147" s="49">
        <f>IF($B147="","",SUMIFS(Grids!$BQ$12:$EC$111,Grids!$EE$12:$GQ$111,"&gt;="&amp;$B147*1000000000,Grids!$EE$12:$GQ$111,"&lt;"&amp;($B147+1)*1000000000))</f>
        <v/>
      </c>
      <c r="D147" s="49">
        <f>IF($B147="","",SUMIFS(Grids!$BQ$116:$EC$155,Grids!$EE$116:$GQ$155,"&gt;="&amp;$B147*1000000000,Grids!$EE$116:$GQ$155,"&lt;"&amp;($B147+1)*1000000000))</f>
        <v/>
      </c>
      <c r="E147" s="49">
        <f>IF($B147="","",SUMIFS(Grids!$BQ$160:$EC$219,Grids!$EE$160:$GQ$219,"&gt;="&amp;$B147*1000000000,Grids!$EE$160:$GQ$219,"&lt;"&amp;($B147+1)*1000000000))</f>
        <v/>
      </c>
      <c r="F147" s="50">
        <f>IF($B147="","",SUM($C$26:$C147))</f>
        <v/>
      </c>
      <c r="G147" s="50">
        <f>IF($B147="","",SUM($D$26:$D147))</f>
        <v/>
      </c>
      <c r="H147" s="50">
        <f>IF($B147="","",SUM($E$26:$E147))</f>
        <v/>
      </c>
    </row>
    <row r="148">
      <c r="B148" s="48">
        <f>IF(DATE(YEAR_Y,1,1)+122&gt;DATE(YEAR_Y,12,31),"",DATE(YEAR_Y,1,1)+122)</f>
        <v/>
      </c>
      <c r="C148" s="49">
        <f>IF($B148="","",SUMIFS(Grids!$BQ$12:$EC$111,Grids!$EE$12:$GQ$111,"&gt;="&amp;$B148*1000000000,Grids!$EE$12:$GQ$111,"&lt;"&amp;($B148+1)*1000000000))</f>
        <v/>
      </c>
      <c r="D148" s="49">
        <f>IF($B148="","",SUMIFS(Grids!$BQ$116:$EC$155,Grids!$EE$116:$GQ$155,"&gt;="&amp;$B148*1000000000,Grids!$EE$116:$GQ$155,"&lt;"&amp;($B148+1)*1000000000))</f>
        <v/>
      </c>
      <c r="E148" s="49">
        <f>IF($B148="","",SUMIFS(Grids!$BQ$160:$EC$219,Grids!$EE$160:$GQ$219,"&gt;="&amp;$B148*1000000000,Grids!$EE$160:$GQ$219,"&lt;"&amp;($B148+1)*1000000000))</f>
        <v/>
      </c>
      <c r="F148" s="50">
        <f>IF($B148="","",SUM($C$26:$C148))</f>
        <v/>
      </c>
      <c r="G148" s="50">
        <f>IF($B148="","",SUM($D$26:$D148))</f>
        <v/>
      </c>
      <c r="H148" s="50">
        <f>IF($B148="","",SUM($E$26:$E148))</f>
        <v/>
      </c>
    </row>
    <row r="149">
      <c r="B149" s="48">
        <f>IF(DATE(YEAR_Y,1,1)+123&gt;DATE(YEAR_Y,12,31),"",DATE(YEAR_Y,1,1)+123)</f>
        <v/>
      </c>
      <c r="C149" s="49">
        <f>IF($B149="","",SUMIFS(Grids!$BQ$12:$EC$111,Grids!$EE$12:$GQ$111,"&gt;="&amp;$B149*1000000000,Grids!$EE$12:$GQ$111,"&lt;"&amp;($B149+1)*1000000000))</f>
        <v/>
      </c>
      <c r="D149" s="49">
        <f>IF($B149="","",SUMIFS(Grids!$BQ$116:$EC$155,Grids!$EE$116:$GQ$155,"&gt;="&amp;$B149*1000000000,Grids!$EE$116:$GQ$155,"&lt;"&amp;($B149+1)*1000000000))</f>
        <v/>
      </c>
      <c r="E149" s="49">
        <f>IF($B149="","",SUMIFS(Grids!$BQ$160:$EC$219,Grids!$EE$160:$GQ$219,"&gt;="&amp;$B149*1000000000,Grids!$EE$160:$GQ$219,"&lt;"&amp;($B149+1)*1000000000))</f>
        <v/>
      </c>
      <c r="F149" s="50">
        <f>IF($B149="","",SUM($C$26:$C149))</f>
        <v/>
      </c>
      <c r="G149" s="50">
        <f>IF($B149="","",SUM($D$26:$D149))</f>
        <v/>
      </c>
      <c r="H149" s="50">
        <f>IF($B149="","",SUM($E$26:$E149))</f>
        <v/>
      </c>
    </row>
    <row r="150">
      <c r="B150" s="48">
        <f>IF(DATE(YEAR_Y,1,1)+124&gt;DATE(YEAR_Y,12,31),"",DATE(YEAR_Y,1,1)+124)</f>
        <v/>
      </c>
      <c r="C150" s="49">
        <f>IF($B150="","",SUMIFS(Grids!$BQ$12:$EC$111,Grids!$EE$12:$GQ$111,"&gt;="&amp;$B150*1000000000,Grids!$EE$12:$GQ$111,"&lt;"&amp;($B150+1)*1000000000))</f>
        <v/>
      </c>
      <c r="D150" s="49">
        <f>IF($B150="","",SUMIFS(Grids!$BQ$116:$EC$155,Grids!$EE$116:$GQ$155,"&gt;="&amp;$B150*1000000000,Grids!$EE$116:$GQ$155,"&lt;"&amp;($B150+1)*1000000000))</f>
        <v/>
      </c>
      <c r="E150" s="49">
        <f>IF($B150="","",SUMIFS(Grids!$BQ$160:$EC$219,Grids!$EE$160:$GQ$219,"&gt;="&amp;$B150*1000000000,Grids!$EE$160:$GQ$219,"&lt;"&amp;($B150+1)*1000000000))</f>
        <v/>
      </c>
      <c r="F150" s="50">
        <f>IF($B150="","",SUM($C$26:$C150))</f>
        <v/>
      </c>
      <c r="G150" s="50">
        <f>IF($B150="","",SUM($D$26:$D150))</f>
        <v/>
      </c>
      <c r="H150" s="50">
        <f>IF($B150="","",SUM($E$26:$E150))</f>
        <v/>
      </c>
    </row>
    <row r="151">
      <c r="B151" s="48">
        <f>IF(DATE(YEAR_Y,1,1)+125&gt;DATE(YEAR_Y,12,31),"",DATE(YEAR_Y,1,1)+125)</f>
        <v/>
      </c>
      <c r="C151" s="49">
        <f>IF($B151="","",SUMIFS(Grids!$BQ$12:$EC$111,Grids!$EE$12:$GQ$111,"&gt;="&amp;$B151*1000000000,Grids!$EE$12:$GQ$111,"&lt;"&amp;($B151+1)*1000000000))</f>
        <v/>
      </c>
      <c r="D151" s="49">
        <f>IF($B151="","",SUMIFS(Grids!$BQ$116:$EC$155,Grids!$EE$116:$GQ$155,"&gt;="&amp;$B151*1000000000,Grids!$EE$116:$GQ$155,"&lt;"&amp;($B151+1)*1000000000))</f>
        <v/>
      </c>
      <c r="E151" s="49">
        <f>IF($B151="","",SUMIFS(Grids!$BQ$160:$EC$219,Grids!$EE$160:$GQ$219,"&gt;="&amp;$B151*1000000000,Grids!$EE$160:$GQ$219,"&lt;"&amp;($B151+1)*1000000000))</f>
        <v/>
      </c>
      <c r="F151" s="50">
        <f>IF($B151="","",SUM($C$26:$C151))</f>
        <v/>
      </c>
      <c r="G151" s="50">
        <f>IF($B151="","",SUM($D$26:$D151))</f>
        <v/>
      </c>
      <c r="H151" s="50">
        <f>IF($B151="","",SUM($E$26:$E151))</f>
        <v/>
      </c>
    </row>
    <row r="152">
      <c r="B152" s="48">
        <f>IF(DATE(YEAR_Y,1,1)+126&gt;DATE(YEAR_Y,12,31),"",DATE(YEAR_Y,1,1)+126)</f>
        <v/>
      </c>
      <c r="C152" s="49">
        <f>IF($B152="","",SUMIFS(Grids!$BQ$12:$EC$111,Grids!$EE$12:$GQ$111,"&gt;="&amp;$B152*1000000000,Grids!$EE$12:$GQ$111,"&lt;"&amp;($B152+1)*1000000000))</f>
        <v/>
      </c>
      <c r="D152" s="49">
        <f>IF($B152="","",SUMIFS(Grids!$BQ$116:$EC$155,Grids!$EE$116:$GQ$155,"&gt;="&amp;$B152*1000000000,Grids!$EE$116:$GQ$155,"&lt;"&amp;($B152+1)*1000000000))</f>
        <v/>
      </c>
      <c r="E152" s="49">
        <f>IF($B152="","",SUMIFS(Grids!$BQ$160:$EC$219,Grids!$EE$160:$GQ$219,"&gt;="&amp;$B152*1000000000,Grids!$EE$160:$GQ$219,"&lt;"&amp;($B152+1)*1000000000))</f>
        <v/>
      </c>
      <c r="F152" s="50">
        <f>IF($B152="","",SUM($C$26:$C152))</f>
        <v/>
      </c>
      <c r="G152" s="50">
        <f>IF($B152="","",SUM($D$26:$D152))</f>
        <v/>
      </c>
      <c r="H152" s="50">
        <f>IF($B152="","",SUM($E$26:$E152))</f>
        <v/>
      </c>
    </row>
    <row r="153">
      <c r="B153" s="48">
        <f>IF(DATE(YEAR_Y,1,1)+127&gt;DATE(YEAR_Y,12,31),"",DATE(YEAR_Y,1,1)+127)</f>
        <v/>
      </c>
      <c r="C153" s="49">
        <f>IF($B153="","",SUMIFS(Grids!$BQ$12:$EC$111,Grids!$EE$12:$GQ$111,"&gt;="&amp;$B153*1000000000,Grids!$EE$12:$GQ$111,"&lt;"&amp;($B153+1)*1000000000))</f>
        <v/>
      </c>
      <c r="D153" s="49">
        <f>IF($B153="","",SUMIFS(Grids!$BQ$116:$EC$155,Grids!$EE$116:$GQ$155,"&gt;="&amp;$B153*1000000000,Grids!$EE$116:$GQ$155,"&lt;"&amp;($B153+1)*1000000000))</f>
        <v/>
      </c>
      <c r="E153" s="49">
        <f>IF($B153="","",SUMIFS(Grids!$BQ$160:$EC$219,Grids!$EE$160:$GQ$219,"&gt;="&amp;$B153*1000000000,Grids!$EE$160:$GQ$219,"&lt;"&amp;($B153+1)*1000000000))</f>
        <v/>
      </c>
      <c r="F153" s="50">
        <f>IF($B153="","",SUM($C$26:$C153))</f>
        <v/>
      </c>
      <c r="G153" s="50">
        <f>IF($B153="","",SUM($D$26:$D153))</f>
        <v/>
      </c>
      <c r="H153" s="50">
        <f>IF($B153="","",SUM($E$26:$E153))</f>
        <v/>
      </c>
    </row>
    <row r="154">
      <c r="B154" s="48">
        <f>IF(DATE(YEAR_Y,1,1)+128&gt;DATE(YEAR_Y,12,31),"",DATE(YEAR_Y,1,1)+128)</f>
        <v/>
      </c>
      <c r="C154" s="49">
        <f>IF($B154="","",SUMIFS(Grids!$BQ$12:$EC$111,Grids!$EE$12:$GQ$111,"&gt;="&amp;$B154*1000000000,Grids!$EE$12:$GQ$111,"&lt;"&amp;($B154+1)*1000000000))</f>
        <v/>
      </c>
      <c r="D154" s="49">
        <f>IF($B154="","",SUMIFS(Grids!$BQ$116:$EC$155,Grids!$EE$116:$GQ$155,"&gt;="&amp;$B154*1000000000,Grids!$EE$116:$GQ$155,"&lt;"&amp;($B154+1)*1000000000))</f>
        <v/>
      </c>
      <c r="E154" s="49">
        <f>IF($B154="","",SUMIFS(Grids!$BQ$160:$EC$219,Grids!$EE$160:$GQ$219,"&gt;="&amp;$B154*1000000000,Grids!$EE$160:$GQ$219,"&lt;"&amp;($B154+1)*1000000000))</f>
        <v/>
      </c>
      <c r="F154" s="50">
        <f>IF($B154="","",SUM($C$26:$C154))</f>
        <v/>
      </c>
      <c r="G154" s="50">
        <f>IF($B154="","",SUM($D$26:$D154))</f>
        <v/>
      </c>
      <c r="H154" s="50">
        <f>IF($B154="","",SUM($E$26:$E154))</f>
        <v/>
      </c>
    </row>
    <row r="155">
      <c r="B155" s="48">
        <f>IF(DATE(YEAR_Y,1,1)+129&gt;DATE(YEAR_Y,12,31),"",DATE(YEAR_Y,1,1)+129)</f>
        <v/>
      </c>
      <c r="C155" s="49">
        <f>IF($B155="","",SUMIFS(Grids!$BQ$12:$EC$111,Grids!$EE$12:$GQ$111,"&gt;="&amp;$B155*1000000000,Grids!$EE$12:$GQ$111,"&lt;"&amp;($B155+1)*1000000000))</f>
        <v/>
      </c>
      <c r="D155" s="49">
        <f>IF($B155="","",SUMIFS(Grids!$BQ$116:$EC$155,Grids!$EE$116:$GQ$155,"&gt;="&amp;$B155*1000000000,Grids!$EE$116:$GQ$155,"&lt;"&amp;($B155+1)*1000000000))</f>
        <v/>
      </c>
      <c r="E155" s="49">
        <f>IF($B155="","",SUMIFS(Grids!$BQ$160:$EC$219,Grids!$EE$160:$GQ$219,"&gt;="&amp;$B155*1000000000,Grids!$EE$160:$GQ$219,"&lt;"&amp;($B155+1)*1000000000))</f>
        <v/>
      </c>
      <c r="F155" s="50">
        <f>IF($B155="","",SUM($C$26:$C155))</f>
        <v/>
      </c>
      <c r="G155" s="50">
        <f>IF($B155="","",SUM($D$26:$D155))</f>
        <v/>
      </c>
      <c r="H155" s="50">
        <f>IF($B155="","",SUM($E$26:$E155))</f>
        <v/>
      </c>
    </row>
    <row r="156">
      <c r="B156" s="48">
        <f>IF(DATE(YEAR_Y,1,1)+130&gt;DATE(YEAR_Y,12,31),"",DATE(YEAR_Y,1,1)+130)</f>
        <v/>
      </c>
      <c r="C156" s="49">
        <f>IF($B156="","",SUMIFS(Grids!$BQ$12:$EC$111,Grids!$EE$12:$GQ$111,"&gt;="&amp;$B156*1000000000,Grids!$EE$12:$GQ$111,"&lt;"&amp;($B156+1)*1000000000))</f>
        <v/>
      </c>
      <c r="D156" s="49">
        <f>IF($B156="","",SUMIFS(Grids!$BQ$116:$EC$155,Grids!$EE$116:$GQ$155,"&gt;="&amp;$B156*1000000000,Grids!$EE$116:$GQ$155,"&lt;"&amp;($B156+1)*1000000000))</f>
        <v/>
      </c>
      <c r="E156" s="49">
        <f>IF($B156="","",SUMIFS(Grids!$BQ$160:$EC$219,Grids!$EE$160:$GQ$219,"&gt;="&amp;$B156*1000000000,Grids!$EE$160:$GQ$219,"&lt;"&amp;($B156+1)*1000000000))</f>
        <v/>
      </c>
      <c r="F156" s="50">
        <f>IF($B156="","",SUM($C$26:$C156))</f>
        <v/>
      </c>
      <c r="G156" s="50">
        <f>IF($B156="","",SUM($D$26:$D156))</f>
        <v/>
      </c>
      <c r="H156" s="50">
        <f>IF($B156="","",SUM($E$26:$E156))</f>
        <v/>
      </c>
    </row>
    <row r="157">
      <c r="B157" s="48">
        <f>IF(DATE(YEAR_Y,1,1)+131&gt;DATE(YEAR_Y,12,31),"",DATE(YEAR_Y,1,1)+131)</f>
        <v/>
      </c>
      <c r="C157" s="49">
        <f>IF($B157="","",SUMIFS(Grids!$BQ$12:$EC$111,Grids!$EE$12:$GQ$111,"&gt;="&amp;$B157*1000000000,Grids!$EE$12:$GQ$111,"&lt;"&amp;($B157+1)*1000000000))</f>
        <v/>
      </c>
      <c r="D157" s="49">
        <f>IF($B157="","",SUMIFS(Grids!$BQ$116:$EC$155,Grids!$EE$116:$GQ$155,"&gt;="&amp;$B157*1000000000,Grids!$EE$116:$GQ$155,"&lt;"&amp;($B157+1)*1000000000))</f>
        <v/>
      </c>
      <c r="E157" s="49">
        <f>IF($B157="","",SUMIFS(Grids!$BQ$160:$EC$219,Grids!$EE$160:$GQ$219,"&gt;="&amp;$B157*1000000000,Grids!$EE$160:$GQ$219,"&lt;"&amp;($B157+1)*1000000000))</f>
        <v/>
      </c>
      <c r="F157" s="50">
        <f>IF($B157="","",SUM($C$26:$C157))</f>
        <v/>
      </c>
      <c r="G157" s="50">
        <f>IF($B157="","",SUM($D$26:$D157))</f>
        <v/>
      </c>
      <c r="H157" s="50">
        <f>IF($B157="","",SUM($E$26:$E157))</f>
        <v/>
      </c>
    </row>
    <row r="158">
      <c r="B158" s="48">
        <f>IF(DATE(YEAR_Y,1,1)+132&gt;DATE(YEAR_Y,12,31),"",DATE(YEAR_Y,1,1)+132)</f>
        <v/>
      </c>
      <c r="C158" s="49">
        <f>IF($B158="","",SUMIFS(Grids!$BQ$12:$EC$111,Grids!$EE$12:$GQ$111,"&gt;="&amp;$B158*1000000000,Grids!$EE$12:$GQ$111,"&lt;"&amp;($B158+1)*1000000000))</f>
        <v/>
      </c>
      <c r="D158" s="49">
        <f>IF($B158="","",SUMIFS(Grids!$BQ$116:$EC$155,Grids!$EE$116:$GQ$155,"&gt;="&amp;$B158*1000000000,Grids!$EE$116:$GQ$155,"&lt;"&amp;($B158+1)*1000000000))</f>
        <v/>
      </c>
      <c r="E158" s="49">
        <f>IF($B158="","",SUMIFS(Grids!$BQ$160:$EC$219,Grids!$EE$160:$GQ$219,"&gt;="&amp;$B158*1000000000,Grids!$EE$160:$GQ$219,"&lt;"&amp;($B158+1)*1000000000))</f>
        <v/>
      </c>
      <c r="F158" s="50">
        <f>IF($B158="","",SUM($C$26:$C158))</f>
        <v/>
      </c>
      <c r="G158" s="50">
        <f>IF($B158="","",SUM($D$26:$D158))</f>
        <v/>
      </c>
      <c r="H158" s="50">
        <f>IF($B158="","",SUM($E$26:$E158))</f>
        <v/>
      </c>
    </row>
    <row r="159">
      <c r="B159" s="48">
        <f>IF(DATE(YEAR_Y,1,1)+133&gt;DATE(YEAR_Y,12,31),"",DATE(YEAR_Y,1,1)+133)</f>
        <v/>
      </c>
      <c r="C159" s="49">
        <f>IF($B159="","",SUMIFS(Grids!$BQ$12:$EC$111,Grids!$EE$12:$GQ$111,"&gt;="&amp;$B159*1000000000,Grids!$EE$12:$GQ$111,"&lt;"&amp;($B159+1)*1000000000))</f>
        <v/>
      </c>
      <c r="D159" s="49">
        <f>IF($B159="","",SUMIFS(Grids!$BQ$116:$EC$155,Grids!$EE$116:$GQ$155,"&gt;="&amp;$B159*1000000000,Grids!$EE$116:$GQ$155,"&lt;"&amp;($B159+1)*1000000000))</f>
        <v/>
      </c>
      <c r="E159" s="49">
        <f>IF($B159="","",SUMIFS(Grids!$BQ$160:$EC$219,Grids!$EE$160:$GQ$219,"&gt;="&amp;$B159*1000000000,Grids!$EE$160:$GQ$219,"&lt;"&amp;($B159+1)*1000000000))</f>
        <v/>
      </c>
      <c r="F159" s="50">
        <f>IF($B159="","",SUM($C$26:$C159))</f>
        <v/>
      </c>
      <c r="G159" s="50">
        <f>IF($B159="","",SUM($D$26:$D159))</f>
        <v/>
      </c>
      <c r="H159" s="50">
        <f>IF($B159="","",SUM($E$26:$E159))</f>
        <v/>
      </c>
    </row>
    <row r="160">
      <c r="B160" s="48">
        <f>IF(DATE(YEAR_Y,1,1)+134&gt;DATE(YEAR_Y,12,31),"",DATE(YEAR_Y,1,1)+134)</f>
        <v/>
      </c>
      <c r="C160" s="49">
        <f>IF($B160="","",SUMIFS(Grids!$BQ$12:$EC$111,Grids!$EE$12:$GQ$111,"&gt;="&amp;$B160*1000000000,Grids!$EE$12:$GQ$111,"&lt;"&amp;($B160+1)*1000000000))</f>
        <v/>
      </c>
      <c r="D160" s="49">
        <f>IF($B160="","",SUMIFS(Grids!$BQ$116:$EC$155,Grids!$EE$116:$GQ$155,"&gt;="&amp;$B160*1000000000,Grids!$EE$116:$GQ$155,"&lt;"&amp;($B160+1)*1000000000))</f>
        <v/>
      </c>
      <c r="E160" s="49">
        <f>IF($B160="","",SUMIFS(Grids!$BQ$160:$EC$219,Grids!$EE$160:$GQ$219,"&gt;="&amp;$B160*1000000000,Grids!$EE$160:$GQ$219,"&lt;"&amp;($B160+1)*1000000000))</f>
        <v/>
      </c>
      <c r="F160" s="50">
        <f>IF($B160="","",SUM($C$26:$C160))</f>
        <v/>
      </c>
      <c r="G160" s="50">
        <f>IF($B160="","",SUM($D$26:$D160))</f>
        <v/>
      </c>
      <c r="H160" s="50">
        <f>IF($B160="","",SUM($E$26:$E160))</f>
        <v/>
      </c>
    </row>
    <row r="161">
      <c r="B161" s="48">
        <f>IF(DATE(YEAR_Y,1,1)+135&gt;DATE(YEAR_Y,12,31),"",DATE(YEAR_Y,1,1)+135)</f>
        <v/>
      </c>
      <c r="C161" s="49">
        <f>IF($B161="","",SUMIFS(Grids!$BQ$12:$EC$111,Grids!$EE$12:$GQ$111,"&gt;="&amp;$B161*1000000000,Grids!$EE$12:$GQ$111,"&lt;"&amp;($B161+1)*1000000000))</f>
        <v/>
      </c>
      <c r="D161" s="49">
        <f>IF($B161="","",SUMIFS(Grids!$BQ$116:$EC$155,Grids!$EE$116:$GQ$155,"&gt;="&amp;$B161*1000000000,Grids!$EE$116:$GQ$155,"&lt;"&amp;($B161+1)*1000000000))</f>
        <v/>
      </c>
      <c r="E161" s="49">
        <f>IF($B161="","",SUMIFS(Grids!$BQ$160:$EC$219,Grids!$EE$160:$GQ$219,"&gt;="&amp;$B161*1000000000,Grids!$EE$160:$GQ$219,"&lt;"&amp;($B161+1)*1000000000))</f>
        <v/>
      </c>
      <c r="F161" s="50">
        <f>IF($B161="","",SUM($C$26:$C161))</f>
        <v/>
      </c>
      <c r="G161" s="50">
        <f>IF($B161="","",SUM($D$26:$D161))</f>
        <v/>
      </c>
      <c r="H161" s="50">
        <f>IF($B161="","",SUM($E$26:$E161))</f>
        <v/>
      </c>
    </row>
    <row r="162">
      <c r="B162" s="48">
        <f>IF(DATE(YEAR_Y,1,1)+136&gt;DATE(YEAR_Y,12,31),"",DATE(YEAR_Y,1,1)+136)</f>
        <v/>
      </c>
      <c r="C162" s="49">
        <f>IF($B162="","",SUMIFS(Grids!$BQ$12:$EC$111,Grids!$EE$12:$GQ$111,"&gt;="&amp;$B162*1000000000,Grids!$EE$12:$GQ$111,"&lt;"&amp;($B162+1)*1000000000))</f>
        <v/>
      </c>
      <c r="D162" s="49">
        <f>IF($B162="","",SUMIFS(Grids!$BQ$116:$EC$155,Grids!$EE$116:$GQ$155,"&gt;="&amp;$B162*1000000000,Grids!$EE$116:$GQ$155,"&lt;"&amp;($B162+1)*1000000000))</f>
        <v/>
      </c>
      <c r="E162" s="49">
        <f>IF($B162="","",SUMIFS(Grids!$BQ$160:$EC$219,Grids!$EE$160:$GQ$219,"&gt;="&amp;$B162*1000000000,Grids!$EE$160:$GQ$219,"&lt;"&amp;($B162+1)*1000000000))</f>
        <v/>
      </c>
      <c r="F162" s="50">
        <f>IF($B162="","",SUM($C$26:$C162))</f>
        <v/>
      </c>
      <c r="G162" s="50">
        <f>IF($B162="","",SUM($D$26:$D162))</f>
        <v/>
      </c>
      <c r="H162" s="50">
        <f>IF($B162="","",SUM($E$26:$E162))</f>
        <v/>
      </c>
    </row>
    <row r="163">
      <c r="B163" s="48">
        <f>IF(DATE(YEAR_Y,1,1)+137&gt;DATE(YEAR_Y,12,31),"",DATE(YEAR_Y,1,1)+137)</f>
        <v/>
      </c>
      <c r="C163" s="49">
        <f>IF($B163="","",SUMIFS(Grids!$BQ$12:$EC$111,Grids!$EE$12:$GQ$111,"&gt;="&amp;$B163*1000000000,Grids!$EE$12:$GQ$111,"&lt;"&amp;($B163+1)*1000000000))</f>
        <v/>
      </c>
      <c r="D163" s="49">
        <f>IF($B163="","",SUMIFS(Grids!$BQ$116:$EC$155,Grids!$EE$116:$GQ$155,"&gt;="&amp;$B163*1000000000,Grids!$EE$116:$GQ$155,"&lt;"&amp;($B163+1)*1000000000))</f>
        <v/>
      </c>
      <c r="E163" s="49">
        <f>IF($B163="","",SUMIFS(Grids!$BQ$160:$EC$219,Grids!$EE$160:$GQ$219,"&gt;="&amp;$B163*1000000000,Grids!$EE$160:$GQ$219,"&lt;"&amp;($B163+1)*1000000000))</f>
        <v/>
      </c>
      <c r="F163" s="50">
        <f>IF($B163="","",SUM($C$26:$C163))</f>
        <v/>
      </c>
      <c r="G163" s="50">
        <f>IF($B163="","",SUM($D$26:$D163))</f>
        <v/>
      </c>
      <c r="H163" s="50">
        <f>IF($B163="","",SUM($E$26:$E163))</f>
        <v/>
      </c>
    </row>
    <row r="164">
      <c r="B164" s="48">
        <f>IF(DATE(YEAR_Y,1,1)+138&gt;DATE(YEAR_Y,12,31),"",DATE(YEAR_Y,1,1)+138)</f>
        <v/>
      </c>
      <c r="C164" s="49">
        <f>IF($B164="","",SUMIFS(Grids!$BQ$12:$EC$111,Grids!$EE$12:$GQ$111,"&gt;="&amp;$B164*1000000000,Grids!$EE$12:$GQ$111,"&lt;"&amp;($B164+1)*1000000000))</f>
        <v/>
      </c>
      <c r="D164" s="49">
        <f>IF($B164="","",SUMIFS(Grids!$BQ$116:$EC$155,Grids!$EE$116:$GQ$155,"&gt;="&amp;$B164*1000000000,Grids!$EE$116:$GQ$155,"&lt;"&amp;($B164+1)*1000000000))</f>
        <v/>
      </c>
      <c r="E164" s="49">
        <f>IF($B164="","",SUMIFS(Grids!$BQ$160:$EC$219,Grids!$EE$160:$GQ$219,"&gt;="&amp;$B164*1000000000,Grids!$EE$160:$GQ$219,"&lt;"&amp;($B164+1)*1000000000))</f>
        <v/>
      </c>
      <c r="F164" s="50">
        <f>IF($B164="","",SUM($C$26:$C164))</f>
        <v/>
      </c>
      <c r="G164" s="50">
        <f>IF($B164="","",SUM($D$26:$D164))</f>
        <v/>
      </c>
      <c r="H164" s="50">
        <f>IF($B164="","",SUM($E$26:$E164))</f>
        <v/>
      </c>
    </row>
    <row r="165">
      <c r="B165" s="48">
        <f>IF(DATE(YEAR_Y,1,1)+139&gt;DATE(YEAR_Y,12,31),"",DATE(YEAR_Y,1,1)+139)</f>
        <v/>
      </c>
      <c r="C165" s="49">
        <f>IF($B165="","",SUMIFS(Grids!$BQ$12:$EC$111,Grids!$EE$12:$GQ$111,"&gt;="&amp;$B165*1000000000,Grids!$EE$12:$GQ$111,"&lt;"&amp;($B165+1)*1000000000))</f>
        <v/>
      </c>
      <c r="D165" s="49">
        <f>IF($B165="","",SUMIFS(Grids!$BQ$116:$EC$155,Grids!$EE$116:$GQ$155,"&gt;="&amp;$B165*1000000000,Grids!$EE$116:$GQ$155,"&lt;"&amp;($B165+1)*1000000000))</f>
        <v/>
      </c>
      <c r="E165" s="49">
        <f>IF($B165="","",SUMIFS(Grids!$BQ$160:$EC$219,Grids!$EE$160:$GQ$219,"&gt;="&amp;$B165*1000000000,Grids!$EE$160:$GQ$219,"&lt;"&amp;($B165+1)*1000000000))</f>
        <v/>
      </c>
      <c r="F165" s="50">
        <f>IF($B165="","",SUM($C$26:$C165))</f>
        <v/>
      </c>
      <c r="G165" s="50">
        <f>IF($B165="","",SUM($D$26:$D165))</f>
        <v/>
      </c>
      <c r="H165" s="50">
        <f>IF($B165="","",SUM($E$26:$E165))</f>
        <v/>
      </c>
    </row>
    <row r="166">
      <c r="B166" s="48">
        <f>IF(DATE(YEAR_Y,1,1)+140&gt;DATE(YEAR_Y,12,31),"",DATE(YEAR_Y,1,1)+140)</f>
        <v/>
      </c>
      <c r="C166" s="49">
        <f>IF($B166="","",SUMIFS(Grids!$BQ$12:$EC$111,Grids!$EE$12:$GQ$111,"&gt;="&amp;$B166*1000000000,Grids!$EE$12:$GQ$111,"&lt;"&amp;($B166+1)*1000000000))</f>
        <v/>
      </c>
      <c r="D166" s="49">
        <f>IF($B166="","",SUMIFS(Grids!$BQ$116:$EC$155,Grids!$EE$116:$GQ$155,"&gt;="&amp;$B166*1000000000,Grids!$EE$116:$GQ$155,"&lt;"&amp;($B166+1)*1000000000))</f>
        <v/>
      </c>
      <c r="E166" s="49">
        <f>IF($B166="","",SUMIFS(Grids!$BQ$160:$EC$219,Grids!$EE$160:$GQ$219,"&gt;="&amp;$B166*1000000000,Grids!$EE$160:$GQ$219,"&lt;"&amp;($B166+1)*1000000000))</f>
        <v/>
      </c>
      <c r="F166" s="50">
        <f>IF($B166="","",SUM($C$26:$C166))</f>
        <v/>
      </c>
      <c r="G166" s="50">
        <f>IF($B166="","",SUM($D$26:$D166))</f>
        <v/>
      </c>
      <c r="H166" s="50">
        <f>IF($B166="","",SUM($E$26:$E166))</f>
        <v/>
      </c>
    </row>
    <row r="167">
      <c r="B167" s="48">
        <f>IF(DATE(YEAR_Y,1,1)+141&gt;DATE(YEAR_Y,12,31),"",DATE(YEAR_Y,1,1)+141)</f>
        <v/>
      </c>
      <c r="C167" s="49">
        <f>IF($B167="","",SUMIFS(Grids!$BQ$12:$EC$111,Grids!$EE$12:$GQ$111,"&gt;="&amp;$B167*1000000000,Grids!$EE$12:$GQ$111,"&lt;"&amp;($B167+1)*1000000000))</f>
        <v/>
      </c>
      <c r="D167" s="49">
        <f>IF($B167="","",SUMIFS(Grids!$BQ$116:$EC$155,Grids!$EE$116:$GQ$155,"&gt;="&amp;$B167*1000000000,Grids!$EE$116:$GQ$155,"&lt;"&amp;($B167+1)*1000000000))</f>
        <v/>
      </c>
      <c r="E167" s="49">
        <f>IF($B167="","",SUMIFS(Grids!$BQ$160:$EC$219,Grids!$EE$160:$GQ$219,"&gt;="&amp;$B167*1000000000,Grids!$EE$160:$GQ$219,"&lt;"&amp;($B167+1)*1000000000))</f>
        <v/>
      </c>
      <c r="F167" s="50">
        <f>IF($B167="","",SUM($C$26:$C167))</f>
        <v/>
      </c>
      <c r="G167" s="50">
        <f>IF($B167="","",SUM($D$26:$D167))</f>
        <v/>
      </c>
      <c r="H167" s="50">
        <f>IF($B167="","",SUM($E$26:$E167))</f>
        <v/>
      </c>
    </row>
    <row r="168">
      <c r="B168" s="48">
        <f>IF(DATE(YEAR_Y,1,1)+142&gt;DATE(YEAR_Y,12,31),"",DATE(YEAR_Y,1,1)+142)</f>
        <v/>
      </c>
      <c r="C168" s="49">
        <f>IF($B168="","",SUMIFS(Grids!$BQ$12:$EC$111,Grids!$EE$12:$GQ$111,"&gt;="&amp;$B168*1000000000,Grids!$EE$12:$GQ$111,"&lt;"&amp;($B168+1)*1000000000))</f>
        <v/>
      </c>
      <c r="D168" s="49">
        <f>IF($B168="","",SUMIFS(Grids!$BQ$116:$EC$155,Grids!$EE$116:$GQ$155,"&gt;="&amp;$B168*1000000000,Grids!$EE$116:$GQ$155,"&lt;"&amp;($B168+1)*1000000000))</f>
        <v/>
      </c>
      <c r="E168" s="49">
        <f>IF($B168="","",SUMIFS(Grids!$BQ$160:$EC$219,Grids!$EE$160:$GQ$219,"&gt;="&amp;$B168*1000000000,Grids!$EE$160:$GQ$219,"&lt;"&amp;($B168+1)*1000000000))</f>
        <v/>
      </c>
      <c r="F168" s="50">
        <f>IF($B168="","",SUM($C$26:$C168))</f>
        <v/>
      </c>
      <c r="G168" s="50">
        <f>IF($B168="","",SUM($D$26:$D168))</f>
        <v/>
      </c>
      <c r="H168" s="50">
        <f>IF($B168="","",SUM($E$26:$E168))</f>
        <v/>
      </c>
    </row>
    <row r="169">
      <c r="B169" s="48">
        <f>IF(DATE(YEAR_Y,1,1)+143&gt;DATE(YEAR_Y,12,31),"",DATE(YEAR_Y,1,1)+143)</f>
        <v/>
      </c>
      <c r="C169" s="49">
        <f>IF($B169="","",SUMIFS(Grids!$BQ$12:$EC$111,Grids!$EE$12:$GQ$111,"&gt;="&amp;$B169*1000000000,Grids!$EE$12:$GQ$111,"&lt;"&amp;($B169+1)*1000000000))</f>
        <v/>
      </c>
      <c r="D169" s="49">
        <f>IF($B169="","",SUMIFS(Grids!$BQ$116:$EC$155,Grids!$EE$116:$GQ$155,"&gt;="&amp;$B169*1000000000,Grids!$EE$116:$GQ$155,"&lt;"&amp;($B169+1)*1000000000))</f>
        <v/>
      </c>
      <c r="E169" s="49">
        <f>IF($B169="","",SUMIFS(Grids!$BQ$160:$EC$219,Grids!$EE$160:$GQ$219,"&gt;="&amp;$B169*1000000000,Grids!$EE$160:$GQ$219,"&lt;"&amp;($B169+1)*1000000000))</f>
        <v/>
      </c>
      <c r="F169" s="50">
        <f>IF($B169="","",SUM($C$26:$C169))</f>
        <v/>
      </c>
      <c r="G169" s="50">
        <f>IF($B169="","",SUM($D$26:$D169))</f>
        <v/>
      </c>
      <c r="H169" s="50">
        <f>IF($B169="","",SUM($E$26:$E169))</f>
        <v/>
      </c>
    </row>
    <row r="170">
      <c r="B170" s="48">
        <f>IF(DATE(YEAR_Y,1,1)+144&gt;DATE(YEAR_Y,12,31),"",DATE(YEAR_Y,1,1)+144)</f>
        <v/>
      </c>
      <c r="C170" s="49">
        <f>IF($B170="","",SUMIFS(Grids!$BQ$12:$EC$111,Grids!$EE$12:$GQ$111,"&gt;="&amp;$B170*1000000000,Grids!$EE$12:$GQ$111,"&lt;"&amp;($B170+1)*1000000000))</f>
        <v/>
      </c>
      <c r="D170" s="49">
        <f>IF($B170="","",SUMIFS(Grids!$BQ$116:$EC$155,Grids!$EE$116:$GQ$155,"&gt;="&amp;$B170*1000000000,Grids!$EE$116:$GQ$155,"&lt;"&amp;($B170+1)*1000000000))</f>
        <v/>
      </c>
      <c r="E170" s="49">
        <f>IF($B170="","",SUMIFS(Grids!$BQ$160:$EC$219,Grids!$EE$160:$GQ$219,"&gt;="&amp;$B170*1000000000,Grids!$EE$160:$GQ$219,"&lt;"&amp;($B170+1)*1000000000))</f>
        <v/>
      </c>
      <c r="F170" s="50">
        <f>IF($B170="","",SUM($C$26:$C170))</f>
        <v/>
      </c>
      <c r="G170" s="50">
        <f>IF($B170="","",SUM($D$26:$D170))</f>
        <v/>
      </c>
      <c r="H170" s="50">
        <f>IF($B170="","",SUM($E$26:$E170))</f>
        <v/>
      </c>
    </row>
    <row r="171">
      <c r="B171" s="48">
        <f>IF(DATE(YEAR_Y,1,1)+145&gt;DATE(YEAR_Y,12,31),"",DATE(YEAR_Y,1,1)+145)</f>
        <v/>
      </c>
      <c r="C171" s="49">
        <f>IF($B171="","",SUMIFS(Grids!$BQ$12:$EC$111,Grids!$EE$12:$GQ$111,"&gt;="&amp;$B171*1000000000,Grids!$EE$12:$GQ$111,"&lt;"&amp;($B171+1)*1000000000))</f>
        <v/>
      </c>
      <c r="D171" s="49">
        <f>IF($B171="","",SUMIFS(Grids!$BQ$116:$EC$155,Grids!$EE$116:$GQ$155,"&gt;="&amp;$B171*1000000000,Grids!$EE$116:$GQ$155,"&lt;"&amp;($B171+1)*1000000000))</f>
        <v/>
      </c>
      <c r="E171" s="49">
        <f>IF($B171="","",SUMIFS(Grids!$BQ$160:$EC$219,Grids!$EE$160:$GQ$219,"&gt;="&amp;$B171*1000000000,Grids!$EE$160:$GQ$219,"&lt;"&amp;($B171+1)*1000000000))</f>
        <v/>
      </c>
      <c r="F171" s="50">
        <f>IF($B171="","",SUM($C$26:$C171))</f>
        <v/>
      </c>
      <c r="G171" s="50">
        <f>IF($B171="","",SUM($D$26:$D171))</f>
        <v/>
      </c>
      <c r="H171" s="50">
        <f>IF($B171="","",SUM($E$26:$E171))</f>
        <v/>
      </c>
    </row>
    <row r="172">
      <c r="B172" s="48">
        <f>IF(DATE(YEAR_Y,1,1)+146&gt;DATE(YEAR_Y,12,31),"",DATE(YEAR_Y,1,1)+146)</f>
        <v/>
      </c>
      <c r="C172" s="49">
        <f>IF($B172="","",SUMIFS(Grids!$BQ$12:$EC$111,Grids!$EE$12:$GQ$111,"&gt;="&amp;$B172*1000000000,Grids!$EE$12:$GQ$111,"&lt;"&amp;($B172+1)*1000000000))</f>
        <v/>
      </c>
      <c r="D172" s="49">
        <f>IF($B172="","",SUMIFS(Grids!$BQ$116:$EC$155,Grids!$EE$116:$GQ$155,"&gt;="&amp;$B172*1000000000,Grids!$EE$116:$GQ$155,"&lt;"&amp;($B172+1)*1000000000))</f>
        <v/>
      </c>
      <c r="E172" s="49">
        <f>IF($B172="","",SUMIFS(Grids!$BQ$160:$EC$219,Grids!$EE$160:$GQ$219,"&gt;="&amp;$B172*1000000000,Grids!$EE$160:$GQ$219,"&lt;"&amp;($B172+1)*1000000000))</f>
        <v/>
      </c>
      <c r="F172" s="50">
        <f>IF($B172="","",SUM($C$26:$C172))</f>
        <v/>
      </c>
      <c r="G172" s="50">
        <f>IF($B172="","",SUM($D$26:$D172))</f>
        <v/>
      </c>
      <c r="H172" s="50">
        <f>IF($B172="","",SUM($E$26:$E172))</f>
        <v/>
      </c>
    </row>
    <row r="173">
      <c r="B173" s="48">
        <f>IF(DATE(YEAR_Y,1,1)+147&gt;DATE(YEAR_Y,12,31),"",DATE(YEAR_Y,1,1)+147)</f>
        <v/>
      </c>
      <c r="C173" s="49">
        <f>IF($B173="","",SUMIFS(Grids!$BQ$12:$EC$111,Grids!$EE$12:$GQ$111,"&gt;="&amp;$B173*1000000000,Grids!$EE$12:$GQ$111,"&lt;"&amp;($B173+1)*1000000000))</f>
        <v/>
      </c>
      <c r="D173" s="49">
        <f>IF($B173="","",SUMIFS(Grids!$BQ$116:$EC$155,Grids!$EE$116:$GQ$155,"&gt;="&amp;$B173*1000000000,Grids!$EE$116:$GQ$155,"&lt;"&amp;($B173+1)*1000000000))</f>
        <v/>
      </c>
      <c r="E173" s="49">
        <f>IF($B173="","",SUMIFS(Grids!$BQ$160:$EC$219,Grids!$EE$160:$GQ$219,"&gt;="&amp;$B173*1000000000,Grids!$EE$160:$GQ$219,"&lt;"&amp;($B173+1)*1000000000))</f>
        <v/>
      </c>
      <c r="F173" s="50">
        <f>IF($B173="","",SUM($C$26:$C173))</f>
        <v/>
      </c>
      <c r="G173" s="50">
        <f>IF($B173="","",SUM($D$26:$D173))</f>
        <v/>
      </c>
      <c r="H173" s="50">
        <f>IF($B173="","",SUM($E$26:$E173))</f>
        <v/>
      </c>
    </row>
    <row r="174">
      <c r="B174" s="48">
        <f>IF(DATE(YEAR_Y,1,1)+148&gt;DATE(YEAR_Y,12,31),"",DATE(YEAR_Y,1,1)+148)</f>
        <v/>
      </c>
      <c r="C174" s="49">
        <f>IF($B174="","",SUMIFS(Grids!$BQ$12:$EC$111,Grids!$EE$12:$GQ$111,"&gt;="&amp;$B174*1000000000,Grids!$EE$12:$GQ$111,"&lt;"&amp;($B174+1)*1000000000))</f>
        <v/>
      </c>
      <c r="D174" s="49">
        <f>IF($B174="","",SUMIFS(Grids!$BQ$116:$EC$155,Grids!$EE$116:$GQ$155,"&gt;="&amp;$B174*1000000000,Grids!$EE$116:$GQ$155,"&lt;"&amp;($B174+1)*1000000000))</f>
        <v/>
      </c>
      <c r="E174" s="49">
        <f>IF($B174="","",SUMIFS(Grids!$BQ$160:$EC$219,Grids!$EE$160:$GQ$219,"&gt;="&amp;$B174*1000000000,Grids!$EE$160:$GQ$219,"&lt;"&amp;($B174+1)*1000000000))</f>
        <v/>
      </c>
      <c r="F174" s="50">
        <f>IF($B174="","",SUM($C$26:$C174))</f>
        <v/>
      </c>
      <c r="G174" s="50">
        <f>IF($B174="","",SUM($D$26:$D174))</f>
        <v/>
      </c>
      <c r="H174" s="50">
        <f>IF($B174="","",SUM($E$26:$E174))</f>
        <v/>
      </c>
    </row>
    <row r="175">
      <c r="B175" s="48">
        <f>IF(DATE(YEAR_Y,1,1)+149&gt;DATE(YEAR_Y,12,31),"",DATE(YEAR_Y,1,1)+149)</f>
        <v/>
      </c>
      <c r="C175" s="49">
        <f>IF($B175="","",SUMIFS(Grids!$BQ$12:$EC$111,Grids!$EE$12:$GQ$111,"&gt;="&amp;$B175*1000000000,Grids!$EE$12:$GQ$111,"&lt;"&amp;($B175+1)*1000000000))</f>
        <v/>
      </c>
      <c r="D175" s="49">
        <f>IF($B175="","",SUMIFS(Grids!$BQ$116:$EC$155,Grids!$EE$116:$GQ$155,"&gt;="&amp;$B175*1000000000,Grids!$EE$116:$GQ$155,"&lt;"&amp;($B175+1)*1000000000))</f>
        <v/>
      </c>
      <c r="E175" s="49">
        <f>IF($B175="","",SUMIFS(Grids!$BQ$160:$EC$219,Grids!$EE$160:$GQ$219,"&gt;="&amp;$B175*1000000000,Grids!$EE$160:$GQ$219,"&lt;"&amp;($B175+1)*1000000000))</f>
        <v/>
      </c>
      <c r="F175" s="50">
        <f>IF($B175="","",SUM($C$26:$C175))</f>
        <v/>
      </c>
      <c r="G175" s="50">
        <f>IF($B175="","",SUM($D$26:$D175))</f>
        <v/>
      </c>
      <c r="H175" s="50">
        <f>IF($B175="","",SUM($E$26:$E175))</f>
        <v/>
      </c>
    </row>
    <row r="176">
      <c r="B176" s="48">
        <f>IF(DATE(YEAR_Y,1,1)+150&gt;DATE(YEAR_Y,12,31),"",DATE(YEAR_Y,1,1)+150)</f>
        <v/>
      </c>
      <c r="C176" s="49">
        <f>IF($B176="","",SUMIFS(Grids!$BQ$12:$EC$111,Grids!$EE$12:$GQ$111,"&gt;="&amp;$B176*1000000000,Grids!$EE$12:$GQ$111,"&lt;"&amp;($B176+1)*1000000000))</f>
        <v/>
      </c>
      <c r="D176" s="49">
        <f>IF($B176="","",SUMIFS(Grids!$BQ$116:$EC$155,Grids!$EE$116:$GQ$155,"&gt;="&amp;$B176*1000000000,Grids!$EE$116:$GQ$155,"&lt;"&amp;($B176+1)*1000000000))</f>
        <v/>
      </c>
      <c r="E176" s="49">
        <f>IF($B176="","",SUMIFS(Grids!$BQ$160:$EC$219,Grids!$EE$160:$GQ$219,"&gt;="&amp;$B176*1000000000,Grids!$EE$160:$GQ$219,"&lt;"&amp;($B176+1)*1000000000))</f>
        <v/>
      </c>
      <c r="F176" s="50">
        <f>IF($B176="","",SUM($C$26:$C176))</f>
        <v/>
      </c>
      <c r="G176" s="50">
        <f>IF($B176="","",SUM($D$26:$D176))</f>
        <v/>
      </c>
      <c r="H176" s="50">
        <f>IF($B176="","",SUM($E$26:$E176))</f>
        <v/>
      </c>
    </row>
    <row r="177">
      <c r="B177" s="48">
        <f>IF(DATE(YEAR_Y,1,1)+151&gt;DATE(YEAR_Y,12,31),"",DATE(YEAR_Y,1,1)+151)</f>
        <v/>
      </c>
      <c r="C177" s="49">
        <f>IF($B177="","",SUMIFS(Grids!$BQ$12:$EC$111,Grids!$EE$12:$GQ$111,"&gt;="&amp;$B177*1000000000,Grids!$EE$12:$GQ$111,"&lt;"&amp;($B177+1)*1000000000))</f>
        <v/>
      </c>
      <c r="D177" s="49">
        <f>IF($B177="","",SUMIFS(Grids!$BQ$116:$EC$155,Grids!$EE$116:$GQ$155,"&gt;="&amp;$B177*1000000000,Grids!$EE$116:$GQ$155,"&lt;"&amp;($B177+1)*1000000000))</f>
        <v/>
      </c>
      <c r="E177" s="49">
        <f>IF($B177="","",SUMIFS(Grids!$BQ$160:$EC$219,Grids!$EE$160:$GQ$219,"&gt;="&amp;$B177*1000000000,Grids!$EE$160:$GQ$219,"&lt;"&amp;($B177+1)*1000000000))</f>
        <v/>
      </c>
      <c r="F177" s="50">
        <f>IF($B177="","",SUM($C$26:$C177))</f>
        <v/>
      </c>
      <c r="G177" s="50">
        <f>IF($B177="","",SUM($D$26:$D177))</f>
        <v/>
      </c>
      <c r="H177" s="50">
        <f>IF($B177="","",SUM($E$26:$E177))</f>
        <v/>
      </c>
    </row>
    <row r="178">
      <c r="B178" s="48">
        <f>IF(DATE(YEAR_Y,1,1)+152&gt;DATE(YEAR_Y,12,31),"",DATE(YEAR_Y,1,1)+152)</f>
        <v/>
      </c>
      <c r="C178" s="49">
        <f>IF($B178="","",SUMIFS(Grids!$BQ$12:$EC$111,Grids!$EE$12:$GQ$111,"&gt;="&amp;$B178*1000000000,Grids!$EE$12:$GQ$111,"&lt;"&amp;($B178+1)*1000000000))</f>
        <v/>
      </c>
      <c r="D178" s="49">
        <f>IF($B178="","",SUMIFS(Grids!$BQ$116:$EC$155,Grids!$EE$116:$GQ$155,"&gt;="&amp;$B178*1000000000,Grids!$EE$116:$GQ$155,"&lt;"&amp;($B178+1)*1000000000))</f>
        <v/>
      </c>
      <c r="E178" s="49">
        <f>IF($B178="","",SUMIFS(Grids!$BQ$160:$EC$219,Grids!$EE$160:$GQ$219,"&gt;="&amp;$B178*1000000000,Grids!$EE$160:$GQ$219,"&lt;"&amp;($B178+1)*1000000000))</f>
        <v/>
      </c>
      <c r="F178" s="50">
        <f>IF($B178="","",SUM($C$26:$C178))</f>
        <v/>
      </c>
      <c r="G178" s="50">
        <f>IF($B178="","",SUM($D$26:$D178))</f>
        <v/>
      </c>
      <c r="H178" s="50">
        <f>IF($B178="","",SUM($E$26:$E178))</f>
        <v/>
      </c>
    </row>
    <row r="179">
      <c r="B179" s="48">
        <f>IF(DATE(YEAR_Y,1,1)+153&gt;DATE(YEAR_Y,12,31),"",DATE(YEAR_Y,1,1)+153)</f>
        <v/>
      </c>
      <c r="C179" s="49">
        <f>IF($B179="","",SUMIFS(Grids!$BQ$12:$EC$111,Grids!$EE$12:$GQ$111,"&gt;="&amp;$B179*1000000000,Grids!$EE$12:$GQ$111,"&lt;"&amp;($B179+1)*1000000000))</f>
        <v/>
      </c>
      <c r="D179" s="49">
        <f>IF($B179="","",SUMIFS(Grids!$BQ$116:$EC$155,Grids!$EE$116:$GQ$155,"&gt;="&amp;$B179*1000000000,Grids!$EE$116:$GQ$155,"&lt;"&amp;($B179+1)*1000000000))</f>
        <v/>
      </c>
      <c r="E179" s="49">
        <f>IF($B179="","",SUMIFS(Grids!$BQ$160:$EC$219,Grids!$EE$160:$GQ$219,"&gt;="&amp;$B179*1000000000,Grids!$EE$160:$GQ$219,"&lt;"&amp;($B179+1)*1000000000))</f>
        <v/>
      </c>
      <c r="F179" s="50">
        <f>IF($B179="","",SUM($C$26:$C179))</f>
        <v/>
      </c>
      <c r="G179" s="50">
        <f>IF($B179="","",SUM($D$26:$D179))</f>
        <v/>
      </c>
      <c r="H179" s="50">
        <f>IF($B179="","",SUM($E$26:$E179))</f>
        <v/>
      </c>
    </row>
    <row r="180">
      <c r="B180" s="48">
        <f>IF(DATE(YEAR_Y,1,1)+154&gt;DATE(YEAR_Y,12,31),"",DATE(YEAR_Y,1,1)+154)</f>
        <v/>
      </c>
      <c r="C180" s="49">
        <f>IF($B180="","",SUMIFS(Grids!$BQ$12:$EC$111,Grids!$EE$12:$GQ$111,"&gt;="&amp;$B180*1000000000,Grids!$EE$12:$GQ$111,"&lt;"&amp;($B180+1)*1000000000))</f>
        <v/>
      </c>
      <c r="D180" s="49">
        <f>IF($B180="","",SUMIFS(Grids!$BQ$116:$EC$155,Grids!$EE$116:$GQ$155,"&gt;="&amp;$B180*1000000000,Grids!$EE$116:$GQ$155,"&lt;"&amp;($B180+1)*1000000000))</f>
        <v/>
      </c>
      <c r="E180" s="49">
        <f>IF($B180="","",SUMIFS(Grids!$BQ$160:$EC$219,Grids!$EE$160:$GQ$219,"&gt;="&amp;$B180*1000000000,Grids!$EE$160:$GQ$219,"&lt;"&amp;($B180+1)*1000000000))</f>
        <v/>
      </c>
      <c r="F180" s="50">
        <f>IF($B180="","",SUM($C$26:$C180))</f>
        <v/>
      </c>
      <c r="G180" s="50">
        <f>IF($B180="","",SUM($D$26:$D180))</f>
        <v/>
      </c>
      <c r="H180" s="50">
        <f>IF($B180="","",SUM($E$26:$E180))</f>
        <v/>
      </c>
    </row>
    <row r="181">
      <c r="B181" s="48">
        <f>IF(DATE(YEAR_Y,1,1)+155&gt;DATE(YEAR_Y,12,31),"",DATE(YEAR_Y,1,1)+155)</f>
        <v/>
      </c>
      <c r="C181" s="49">
        <f>IF($B181="","",SUMIFS(Grids!$BQ$12:$EC$111,Grids!$EE$12:$GQ$111,"&gt;="&amp;$B181*1000000000,Grids!$EE$12:$GQ$111,"&lt;"&amp;($B181+1)*1000000000))</f>
        <v/>
      </c>
      <c r="D181" s="49">
        <f>IF($B181="","",SUMIFS(Grids!$BQ$116:$EC$155,Grids!$EE$116:$GQ$155,"&gt;="&amp;$B181*1000000000,Grids!$EE$116:$GQ$155,"&lt;"&amp;($B181+1)*1000000000))</f>
        <v/>
      </c>
      <c r="E181" s="49">
        <f>IF($B181="","",SUMIFS(Grids!$BQ$160:$EC$219,Grids!$EE$160:$GQ$219,"&gt;="&amp;$B181*1000000000,Grids!$EE$160:$GQ$219,"&lt;"&amp;($B181+1)*1000000000))</f>
        <v/>
      </c>
      <c r="F181" s="50">
        <f>IF($B181="","",SUM($C$26:$C181))</f>
        <v/>
      </c>
      <c r="G181" s="50">
        <f>IF($B181="","",SUM($D$26:$D181))</f>
        <v/>
      </c>
      <c r="H181" s="50">
        <f>IF($B181="","",SUM($E$26:$E181))</f>
        <v/>
      </c>
    </row>
    <row r="182">
      <c r="B182" s="48">
        <f>IF(DATE(YEAR_Y,1,1)+156&gt;DATE(YEAR_Y,12,31),"",DATE(YEAR_Y,1,1)+156)</f>
        <v/>
      </c>
      <c r="C182" s="49">
        <f>IF($B182="","",SUMIFS(Grids!$BQ$12:$EC$111,Grids!$EE$12:$GQ$111,"&gt;="&amp;$B182*1000000000,Grids!$EE$12:$GQ$111,"&lt;"&amp;($B182+1)*1000000000))</f>
        <v/>
      </c>
      <c r="D182" s="49">
        <f>IF($B182="","",SUMIFS(Grids!$BQ$116:$EC$155,Grids!$EE$116:$GQ$155,"&gt;="&amp;$B182*1000000000,Grids!$EE$116:$GQ$155,"&lt;"&amp;($B182+1)*1000000000))</f>
        <v/>
      </c>
      <c r="E182" s="49">
        <f>IF($B182="","",SUMIFS(Grids!$BQ$160:$EC$219,Grids!$EE$160:$GQ$219,"&gt;="&amp;$B182*1000000000,Grids!$EE$160:$GQ$219,"&lt;"&amp;($B182+1)*1000000000))</f>
        <v/>
      </c>
      <c r="F182" s="50">
        <f>IF($B182="","",SUM($C$26:$C182))</f>
        <v/>
      </c>
      <c r="G182" s="50">
        <f>IF($B182="","",SUM($D$26:$D182))</f>
        <v/>
      </c>
      <c r="H182" s="50">
        <f>IF($B182="","",SUM($E$26:$E182))</f>
        <v/>
      </c>
    </row>
    <row r="183">
      <c r="B183" s="48">
        <f>IF(DATE(YEAR_Y,1,1)+157&gt;DATE(YEAR_Y,12,31),"",DATE(YEAR_Y,1,1)+157)</f>
        <v/>
      </c>
      <c r="C183" s="49">
        <f>IF($B183="","",SUMIFS(Grids!$BQ$12:$EC$111,Grids!$EE$12:$GQ$111,"&gt;="&amp;$B183*1000000000,Grids!$EE$12:$GQ$111,"&lt;"&amp;($B183+1)*1000000000))</f>
        <v/>
      </c>
      <c r="D183" s="49">
        <f>IF($B183="","",SUMIFS(Grids!$BQ$116:$EC$155,Grids!$EE$116:$GQ$155,"&gt;="&amp;$B183*1000000000,Grids!$EE$116:$GQ$155,"&lt;"&amp;($B183+1)*1000000000))</f>
        <v/>
      </c>
      <c r="E183" s="49">
        <f>IF($B183="","",SUMIFS(Grids!$BQ$160:$EC$219,Grids!$EE$160:$GQ$219,"&gt;="&amp;$B183*1000000000,Grids!$EE$160:$GQ$219,"&lt;"&amp;($B183+1)*1000000000))</f>
        <v/>
      </c>
      <c r="F183" s="50">
        <f>IF($B183="","",SUM($C$26:$C183))</f>
        <v/>
      </c>
      <c r="G183" s="50">
        <f>IF($B183="","",SUM($D$26:$D183))</f>
        <v/>
      </c>
      <c r="H183" s="50">
        <f>IF($B183="","",SUM($E$26:$E183))</f>
        <v/>
      </c>
    </row>
    <row r="184">
      <c r="B184" s="48">
        <f>IF(DATE(YEAR_Y,1,1)+158&gt;DATE(YEAR_Y,12,31),"",DATE(YEAR_Y,1,1)+158)</f>
        <v/>
      </c>
      <c r="C184" s="49">
        <f>IF($B184="","",SUMIFS(Grids!$BQ$12:$EC$111,Grids!$EE$12:$GQ$111,"&gt;="&amp;$B184*1000000000,Grids!$EE$12:$GQ$111,"&lt;"&amp;($B184+1)*1000000000))</f>
        <v/>
      </c>
      <c r="D184" s="49">
        <f>IF($B184="","",SUMIFS(Grids!$BQ$116:$EC$155,Grids!$EE$116:$GQ$155,"&gt;="&amp;$B184*1000000000,Grids!$EE$116:$GQ$155,"&lt;"&amp;($B184+1)*1000000000))</f>
        <v/>
      </c>
      <c r="E184" s="49">
        <f>IF($B184="","",SUMIFS(Grids!$BQ$160:$EC$219,Grids!$EE$160:$GQ$219,"&gt;="&amp;$B184*1000000000,Grids!$EE$160:$GQ$219,"&lt;"&amp;($B184+1)*1000000000))</f>
        <v/>
      </c>
      <c r="F184" s="50">
        <f>IF($B184="","",SUM($C$26:$C184))</f>
        <v/>
      </c>
      <c r="G184" s="50">
        <f>IF($B184="","",SUM($D$26:$D184))</f>
        <v/>
      </c>
      <c r="H184" s="50">
        <f>IF($B184="","",SUM($E$26:$E184))</f>
        <v/>
      </c>
    </row>
    <row r="185">
      <c r="B185" s="48">
        <f>IF(DATE(YEAR_Y,1,1)+159&gt;DATE(YEAR_Y,12,31),"",DATE(YEAR_Y,1,1)+159)</f>
        <v/>
      </c>
      <c r="C185" s="49">
        <f>IF($B185="","",SUMIFS(Grids!$BQ$12:$EC$111,Grids!$EE$12:$GQ$111,"&gt;="&amp;$B185*1000000000,Grids!$EE$12:$GQ$111,"&lt;"&amp;($B185+1)*1000000000))</f>
        <v/>
      </c>
      <c r="D185" s="49">
        <f>IF($B185="","",SUMIFS(Grids!$BQ$116:$EC$155,Grids!$EE$116:$GQ$155,"&gt;="&amp;$B185*1000000000,Grids!$EE$116:$GQ$155,"&lt;"&amp;($B185+1)*1000000000))</f>
        <v/>
      </c>
      <c r="E185" s="49">
        <f>IF($B185="","",SUMIFS(Grids!$BQ$160:$EC$219,Grids!$EE$160:$GQ$219,"&gt;="&amp;$B185*1000000000,Grids!$EE$160:$GQ$219,"&lt;"&amp;($B185+1)*1000000000))</f>
        <v/>
      </c>
      <c r="F185" s="50">
        <f>IF($B185="","",SUM($C$26:$C185))</f>
        <v/>
      </c>
      <c r="G185" s="50">
        <f>IF($B185="","",SUM($D$26:$D185))</f>
        <v/>
      </c>
      <c r="H185" s="50">
        <f>IF($B185="","",SUM($E$26:$E185))</f>
        <v/>
      </c>
    </row>
    <row r="186">
      <c r="B186" s="48">
        <f>IF(DATE(YEAR_Y,1,1)+160&gt;DATE(YEAR_Y,12,31),"",DATE(YEAR_Y,1,1)+160)</f>
        <v/>
      </c>
      <c r="C186" s="49">
        <f>IF($B186="","",SUMIFS(Grids!$BQ$12:$EC$111,Grids!$EE$12:$GQ$111,"&gt;="&amp;$B186*1000000000,Grids!$EE$12:$GQ$111,"&lt;"&amp;($B186+1)*1000000000))</f>
        <v/>
      </c>
      <c r="D186" s="49">
        <f>IF($B186="","",SUMIFS(Grids!$BQ$116:$EC$155,Grids!$EE$116:$GQ$155,"&gt;="&amp;$B186*1000000000,Grids!$EE$116:$GQ$155,"&lt;"&amp;($B186+1)*1000000000))</f>
        <v/>
      </c>
      <c r="E186" s="49">
        <f>IF($B186="","",SUMIFS(Grids!$BQ$160:$EC$219,Grids!$EE$160:$GQ$219,"&gt;="&amp;$B186*1000000000,Grids!$EE$160:$GQ$219,"&lt;"&amp;($B186+1)*1000000000))</f>
        <v/>
      </c>
      <c r="F186" s="50">
        <f>IF($B186="","",SUM($C$26:$C186))</f>
        <v/>
      </c>
      <c r="G186" s="50">
        <f>IF($B186="","",SUM($D$26:$D186))</f>
        <v/>
      </c>
      <c r="H186" s="50">
        <f>IF($B186="","",SUM($E$26:$E186))</f>
        <v/>
      </c>
    </row>
    <row r="187">
      <c r="B187" s="48">
        <f>IF(DATE(YEAR_Y,1,1)+161&gt;DATE(YEAR_Y,12,31),"",DATE(YEAR_Y,1,1)+161)</f>
        <v/>
      </c>
      <c r="C187" s="49">
        <f>IF($B187="","",SUMIFS(Grids!$BQ$12:$EC$111,Grids!$EE$12:$GQ$111,"&gt;="&amp;$B187*1000000000,Grids!$EE$12:$GQ$111,"&lt;"&amp;($B187+1)*1000000000))</f>
        <v/>
      </c>
      <c r="D187" s="49">
        <f>IF($B187="","",SUMIFS(Grids!$BQ$116:$EC$155,Grids!$EE$116:$GQ$155,"&gt;="&amp;$B187*1000000000,Grids!$EE$116:$GQ$155,"&lt;"&amp;($B187+1)*1000000000))</f>
        <v/>
      </c>
      <c r="E187" s="49">
        <f>IF($B187="","",SUMIFS(Grids!$BQ$160:$EC$219,Grids!$EE$160:$GQ$219,"&gt;="&amp;$B187*1000000000,Grids!$EE$160:$GQ$219,"&lt;"&amp;($B187+1)*1000000000))</f>
        <v/>
      </c>
      <c r="F187" s="50">
        <f>IF($B187="","",SUM($C$26:$C187))</f>
        <v/>
      </c>
      <c r="G187" s="50">
        <f>IF($B187="","",SUM($D$26:$D187))</f>
        <v/>
      </c>
      <c r="H187" s="50">
        <f>IF($B187="","",SUM($E$26:$E187))</f>
        <v/>
      </c>
    </row>
    <row r="188">
      <c r="B188" s="48">
        <f>IF(DATE(YEAR_Y,1,1)+162&gt;DATE(YEAR_Y,12,31),"",DATE(YEAR_Y,1,1)+162)</f>
        <v/>
      </c>
      <c r="C188" s="49">
        <f>IF($B188="","",SUMIFS(Grids!$BQ$12:$EC$111,Grids!$EE$12:$GQ$111,"&gt;="&amp;$B188*1000000000,Grids!$EE$12:$GQ$111,"&lt;"&amp;($B188+1)*1000000000))</f>
        <v/>
      </c>
      <c r="D188" s="49">
        <f>IF($B188="","",SUMIFS(Grids!$BQ$116:$EC$155,Grids!$EE$116:$GQ$155,"&gt;="&amp;$B188*1000000000,Grids!$EE$116:$GQ$155,"&lt;"&amp;($B188+1)*1000000000))</f>
        <v/>
      </c>
      <c r="E188" s="49">
        <f>IF($B188="","",SUMIFS(Grids!$BQ$160:$EC$219,Grids!$EE$160:$GQ$219,"&gt;="&amp;$B188*1000000000,Grids!$EE$160:$GQ$219,"&lt;"&amp;($B188+1)*1000000000))</f>
        <v/>
      </c>
      <c r="F188" s="50">
        <f>IF($B188="","",SUM($C$26:$C188))</f>
        <v/>
      </c>
      <c r="G188" s="50">
        <f>IF($B188="","",SUM($D$26:$D188))</f>
        <v/>
      </c>
      <c r="H188" s="50">
        <f>IF($B188="","",SUM($E$26:$E188))</f>
        <v/>
      </c>
    </row>
    <row r="189">
      <c r="B189" s="48">
        <f>IF(DATE(YEAR_Y,1,1)+163&gt;DATE(YEAR_Y,12,31),"",DATE(YEAR_Y,1,1)+163)</f>
        <v/>
      </c>
      <c r="C189" s="49">
        <f>IF($B189="","",SUMIFS(Grids!$BQ$12:$EC$111,Grids!$EE$12:$GQ$111,"&gt;="&amp;$B189*1000000000,Grids!$EE$12:$GQ$111,"&lt;"&amp;($B189+1)*1000000000))</f>
        <v/>
      </c>
      <c r="D189" s="49">
        <f>IF($B189="","",SUMIFS(Grids!$BQ$116:$EC$155,Grids!$EE$116:$GQ$155,"&gt;="&amp;$B189*1000000000,Grids!$EE$116:$GQ$155,"&lt;"&amp;($B189+1)*1000000000))</f>
        <v/>
      </c>
      <c r="E189" s="49">
        <f>IF($B189="","",SUMIFS(Grids!$BQ$160:$EC$219,Grids!$EE$160:$GQ$219,"&gt;="&amp;$B189*1000000000,Grids!$EE$160:$GQ$219,"&lt;"&amp;($B189+1)*1000000000))</f>
        <v/>
      </c>
      <c r="F189" s="50">
        <f>IF($B189="","",SUM($C$26:$C189))</f>
        <v/>
      </c>
      <c r="G189" s="50">
        <f>IF($B189="","",SUM($D$26:$D189))</f>
        <v/>
      </c>
      <c r="H189" s="50">
        <f>IF($B189="","",SUM($E$26:$E189))</f>
        <v/>
      </c>
    </row>
    <row r="190">
      <c r="B190" s="48">
        <f>IF(DATE(YEAR_Y,1,1)+164&gt;DATE(YEAR_Y,12,31),"",DATE(YEAR_Y,1,1)+164)</f>
        <v/>
      </c>
      <c r="C190" s="49">
        <f>IF($B190="","",SUMIFS(Grids!$BQ$12:$EC$111,Grids!$EE$12:$GQ$111,"&gt;="&amp;$B190*1000000000,Grids!$EE$12:$GQ$111,"&lt;"&amp;($B190+1)*1000000000))</f>
        <v/>
      </c>
      <c r="D190" s="49">
        <f>IF($B190="","",SUMIFS(Grids!$BQ$116:$EC$155,Grids!$EE$116:$GQ$155,"&gt;="&amp;$B190*1000000000,Grids!$EE$116:$GQ$155,"&lt;"&amp;($B190+1)*1000000000))</f>
        <v/>
      </c>
      <c r="E190" s="49">
        <f>IF($B190="","",SUMIFS(Grids!$BQ$160:$EC$219,Grids!$EE$160:$GQ$219,"&gt;="&amp;$B190*1000000000,Grids!$EE$160:$GQ$219,"&lt;"&amp;($B190+1)*1000000000))</f>
        <v/>
      </c>
      <c r="F190" s="50">
        <f>IF($B190="","",SUM($C$26:$C190))</f>
        <v/>
      </c>
      <c r="G190" s="50">
        <f>IF($B190="","",SUM($D$26:$D190))</f>
        <v/>
      </c>
      <c r="H190" s="50">
        <f>IF($B190="","",SUM($E$26:$E190))</f>
        <v/>
      </c>
    </row>
    <row r="191">
      <c r="B191" s="48">
        <f>IF(DATE(YEAR_Y,1,1)+165&gt;DATE(YEAR_Y,12,31),"",DATE(YEAR_Y,1,1)+165)</f>
        <v/>
      </c>
      <c r="C191" s="49">
        <f>IF($B191="","",SUMIFS(Grids!$BQ$12:$EC$111,Grids!$EE$12:$GQ$111,"&gt;="&amp;$B191*1000000000,Grids!$EE$12:$GQ$111,"&lt;"&amp;($B191+1)*1000000000))</f>
        <v/>
      </c>
      <c r="D191" s="49">
        <f>IF($B191="","",SUMIFS(Grids!$BQ$116:$EC$155,Grids!$EE$116:$GQ$155,"&gt;="&amp;$B191*1000000000,Grids!$EE$116:$GQ$155,"&lt;"&amp;($B191+1)*1000000000))</f>
        <v/>
      </c>
      <c r="E191" s="49">
        <f>IF($B191="","",SUMIFS(Grids!$BQ$160:$EC$219,Grids!$EE$160:$GQ$219,"&gt;="&amp;$B191*1000000000,Grids!$EE$160:$GQ$219,"&lt;"&amp;($B191+1)*1000000000))</f>
        <v/>
      </c>
      <c r="F191" s="50">
        <f>IF($B191="","",SUM($C$26:$C191))</f>
        <v/>
      </c>
      <c r="G191" s="50">
        <f>IF($B191="","",SUM($D$26:$D191))</f>
        <v/>
      </c>
      <c r="H191" s="50">
        <f>IF($B191="","",SUM($E$26:$E191))</f>
        <v/>
      </c>
    </row>
    <row r="192">
      <c r="B192" s="48">
        <f>IF(DATE(YEAR_Y,1,1)+166&gt;DATE(YEAR_Y,12,31),"",DATE(YEAR_Y,1,1)+166)</f>
        <v/>
      </c>
      <c r="C192" s="49">
        <f>IF($B192="","",SUMIFS(Grids!$BQ$12:$EC$111,Grids!$EE$12:$GQ$111,"&gt;="&amp;$B192*1000000000,Grids!$EE$12:$GQ$111,"&lt;"&amp;($B192+1)*1000000000))</f>
        <v/>
      </c>
      <c r="D192" s="49">
        <f>IF($B192="","",SUMIFS(Grids!$BQ$116:$EC$155,Grids!$EE$116:$GQ$155,"&gt;="&amp;$B192*1000000000,Grids!$EE$116:$GQ$155,"&lt;"&amp;($B192+1)*1000000000))</f>
        <v/>
      </c>
      <c r="E192" s="49">
        <f>IF($B192="","",SUMIFS(Grids!$BQ$160:$EC$219,Grids!$EE$160:$GQ$219,"&gt;="&amp;$B192*1000000000,Grids!$EE$160:$GQ$219,"&lt;"&amp;($B192+1)*1000000000))</f>
        <v/>
      </c>
      <c r="F192" s="50">
        <f>IF($B192="","",SUM($C$26:$C192))</f>
        <v/>
      </c>
      <c r="G192" s="50">
        <f>IF($B192="","",SUM($D$26:$D192))</f>
        <v/>
      </c>
      <c r="H192" s="50">
        <f>IF($B192="","",SUM($E$26:$E192))</f>
        <v/>
      </c>
    </row>
    <row r="193">
      <c r="B193" s="48">
        <f>IF(DATE(YEAR_Y,1,1)+167&gt;DATE(YEAR_Y,12,31),"",DATE(YEAR_Y,1,1)+167)</f>
        <v/>
      </c>
      <c r="C193" s="49">
        <f>IF($B193="","",SUMIFS(Grids!$BQ$12:$EC$111,Grids!$EE$12:$GQ$111,"&gt;="&amp;$B193*1000000000,Grids!$EE$12:$GQ$111,"&lt;"&amp;($B193+1)*1000000000))</f>
        <v/>
      </c>
      <c r="D193" s="49">
        <f>IF($B193="","",SUMIFS(Grids!$BQ$116:$EC$155,Grids!$EE$116:$GQ$155,"&gt;="&amp;$B193*1000000000,Grids!$EE$116:$GQ$155,"&lt;"&amp;($B193+1)*1000000000))</f>
        <v/>
      </c>
      <c r="E193" s="49">
        <f>IF($B193="","",SUMIFS(Grids!$BQ$160:$EC$219,Grids!$EE$160:$GQ$219,"&gt;="&amp;$B193*1000000000,Grids!$EE$160:$GQ$219,"&lt;"&amp;($B193+1)*1000000000))</f>
        <v/>
      </c>
      <c r="F193" s="50">
        <f>IF($B193="","",SUM($C$26:$C193))</f>
        <v/>
      </c>
      <c r="G193" s="50">
        <f>IF($B193="","",SUM($D$26:$D193))</f>
        <v/>
      </c>
      <c r="H193" s="50">
        <f>IF($B193="","",SUM($E$26:$E193))</f>
        <v/>
      </c>
    </row>
    <row r="194">
      <c r="B194" s="48">
        <f>IF(DATE(YEAR_Y,1,1)+168&gt;DATE(YEAR_Y,12,31),"",DATE(YEAR_Y,1,1)+168)</f>
        <v/>
      </c>
      <c r="C194" s="49">
        <f>IF($B194="","",SUMIFS(Grids!$BQ$12:$EC$111,Grids!$EE$12:$GQ$111,"&gt;="&amp;$B194*1000000000,Grids!$EE$12:$GQ$111,"&lt;"&amp;($B194+1)*1000000000))</f>
        <v/>
      </c>
      <c r="D194" s="49">
        <f>IF($B194="","",SUMIFS(Grids!$BQ$116:$EC$155,Grids!$EE$116:$GQ$155,"&gt;="&amp;$B194*1000000000,Grids!$EE$116:$GQ$155,"&lt;"&amp;($B194+1)*1000000000))</f>
        <v/>
      </c>
      <c r="E194" s="49">
        <f>IF($B194="","",SUMIFS(Grids!$BQ$160:$EC$219,Grids!$EE$160:$GQ$219,"&gt;="&amp;$B194*1000000000,Grids!$EE$160:$GQ$219,"&lt;"&amp;($B194+1)*1000000000))</f>
        <v/>
      </c>
      <c r="F194" s="50">
        <f>IF($B194="","",SUM($C$26:$C194))</f>
        <v/>
      </c>
      <c r="G194" s="50">
        <f>IF($B194="","",SUM($D$26:$D194))</f>
        <v/>
      </c>
      <c r="H194" s="50">
        <f>IF($B194="","",SUM($E$26:$E194))</f>
        <v/>
      </c>
    </row>
    <row r="195">
      <c r="B195" s="48">
        <f>IF(DATE(YEAR_Y,1,1)+169&gt;DATE(YEAR_Y,12,31),"",DATE(YEAR_Y,1,1)+169)</f>
        <v/>
      </c>
      <c r="C195" s="49">
        <f>IF($B195="","",SUMIFS(Grids!$BQ$12:$EC$111,Grids!$EE$12:$GQ$111,"&gt;="&amp;$B195*1000000000,Grids!$EE$12:$GQ$111,"&lt;"&amp;($B195+1)*1000000000))</f>
        <v/>
      </c>
      <c r="D195" s="49">
        <f>IF($B195="","",SUMIFS(Grids!$BQ$116:$EC$155,Grids!$EE$116:$GQ$155,"&gt;="&amp;$B195*1000000000,Grids!$EE$116:$GQ$155,"&lt;"&amp;($B195+1)*1000000000))</f>
        <v/>
      </c>
      <c r="E195" s="49">
        <f>IF($B195="","",SUMIFS(Grids!$BQ$160:$EC$219,Grids!$EE$160:$GQ$219,"&gt;="&amp;$B195*1000000000,Grids!$EE$160:$GQ$219,"&lt;"&amp;($B195+1)*1000000000))</f>
        <v/>
      </c>
      <c r="F195" s="50">
        <f>IF($B195="","",SUM($C$26:$C195))</f>
        <v/>
      </c>
      <c r="G195" s="50">
        <f>IF($B195="","",SUM($D$26:$D195))</f>
        <v/>
      </c>
      <c r="H195" s="50">
        <f>IF($B195="","",SUM($E$26:$E195))</f>
        <v/>
      </c>
    </row>
    <row r="196">
      <c r="B196" s="48">
        <f>IF(DATE(YEAR_Y,1,1)+170&gt;DATE(YEAR_Y,12,31),"",DATE(YEAR_Y,1,1)+170)</f>
        <v/>
      </c>
      <c r="C196" s="49">
        <f>IF($B196="","",SUMIFS(Grids!$BQ$12:$EC$111,Grids!$EE$12:$GQ$111,"&gt;="&amp;$B196*1000000000,Grids!$EE$12:$GQ$111,"&lt;"&amp;($B196+1)*1000000000))</f>
        <v/>
      </c>
      <c r="D196" s="49">
        <f>IF($B196="","",SUMIFS(Grids!$BQ$116:$EC$155,Grids!$EE$116:$GQ$155,"&gt;="&amp;$B196*1000000000,Grids!$EE$116:$GQ$155,"&lt;"&amp;($B196+1)*1000000000))</f>
        <v/>
      </c>
      <c r="E196" s="49">
        <f>IF($B196="","",SUMIFS(Grids!$BQ$160:$EC$219,Grids!$EE$160:$GQ$219,"&gt;="&amp;$B196*1000000000,Grids!$EE$160:$GQ$219,"&lt;"&amp;($B196+1)*1000000000))</f>
        <v/>
      </c>
      <c r="F196" s="50">
        <f>IF($B196="","",SUM($C$26:$C196))</f>
        <v/>
      </c>
      <c r="G196" s="50">
        <f>IF($B196="","",SUM($D$26:$D196))</f>
        <v/>
      </c>
      <c r="H196" s="50">
        <f>IF($B196="","",SUM($E$26:$E196))</f>
        <v/>
      </c>
    </row>
    <row r="197">
      <c r="B197" s="48">
        <f>IF(DATE(YEAR_Y,1,1)+171&gt;DATE(YEAR_Y,12,31),"",DATE(YEAR_Y,1,1)+171)</f>
        <v/>
      </c>
      <c r="C197" s="49">
        <f>IF($B197="","",SUMIFS(Grids!$BQ$12:$EC$111,Grids!$EE$12:$GQ$111,"&gt;="&amp;$B197*1000000000,Grids!$EE$12:$GQ$111,"&lt;"&amp;($B197+1)*1000000000))</f>
        <v/>
      </c>
      <c r="D197" s="49">
        <f>IF($B197="","",SUMIFS(Grids!$BQ$116:$EC$155,Grids!$EE$116:$GQ$155,"&gt;="&amp;$B197*1000000000,Grids!$EE$116:$GQ$155,"&lt;"&amp;($B197+1)*1000000000))</f>
        <v/>
      </c>
      <c r="E197" s="49">
        <f>IF($B197="","",SUMIFS(Grids!$BQ$160:$EC$219,Grids!$EE$160:$GQ$219,"&gt;="&amp;$B197*1000000000,Grids!$EE$160:$GQ$219,"&lt;"&amp;($B197+1)*1000000000))</f>
        <v/>
      </c>
      <c r="F197" s="50">
        <f>IF($B197="","",SUM($C$26:$C197))</f>
        <v/>
      </c>
      <c r="G197" s="50">
        <f>IF($B197="","",SUM($D$26:$D197))</f>
        <v/>
      </c>
      <c r="H197" s="50">
        <f>IF($B197="","",SUM($E$26:$E197))</f>
        <v/>
      </c>
    </row>
    <row r="198">
      <c r="B198" s="48">
        <f>IF(DATE(YEAR_Y,1,1)+172&gt;DATE(YEAR_Y,12,31),"",DATE(YEAR_Y,1,1)+172)</f>
        <v/>
      </c>
      <c r="C198" s="49">
        <f>IF($B198="","",SUMIFS(Grids!$BQ$12:$EC$111,Grids!$EE$12:$GQ$111,"&gt;="&amp;$B198*1000000000,Grids!$EE$12:$GQ$111,"&lt;"&amp;($B198+1)*1000000000))</f>
        <v/>
      </c>
      <c r="D198" s="49">
        <f>IF($B198="","",SUMIFS(Grids!$BQ$116:$EC$155,Grids!$EE$116:$GQ$155,"&gt;="&amp;$B198*1000000000,Grids!$EE$116:$GQ$155,"&lt;"&amp;($B198+1)*1000000000))</f>
        <v/>
      </c>
      <c r="E198" s="49">
        <f>IF($B198="","",SUMIFS(Grids!$BQ$160:$EC$219,Grids!$EE$160:$GQ$219,"&gt;="&amp;$B198*1000000000,Grids!$EE$160:$GQ$219,"&lt;"&amp;($B198+1)*1000000000))</f>
        <v/>
      </c>
      <c r="F198" s="50">
        <f>IF($B198="","",SUM($C$26:$C198))</f>
        <v/>
      </c>
      <c r="G198" s="50">
        <f>IF($B198="","",SUM($D$26:$D198))</f>
        <v/>
      </c>
      <c r="H198" s="50">
        <f>IF($B198="","",SUM($E$26:$E198))</f>
        <v/>
      </c>
    </row>
    <row r="199">
      <c r="B199" s="48">
        <f>IF(DATE(YEAR_Y,1,1)+173&gt;DATE(YEAR_Y,12,31),"",DATE(YEAR_Y,1,1)+173)</f>
        <v/>
      </c>
      <c r="C199" s="49">
        <f>IF($B199="","",SUMIFS(Grids!$BQ$12:$EC$111,Grids!$EE$12:$GQ$111,"&gt;="&amp;$B199*1000000000,Grids!$EE$12:$GQ$111,"&lt;"&amp;($B199+1)*1000000000))</f>
        <v/>
      </c>
      <c r="D199" s="49">
        <f>IF($B199="","",SUMIFS(Grids!$BQ$116:$EC$155,Grids!$EE$116:$GQ$155,"&gt;="&amp;$B199*1000000000,Grids!$EE$116:$GQ$155,"&lt;"&amp;($B199+1)*1000000000))</f>
        <v/>
      </c>
      <c r="E199" s="49">
        <f>IF($B199="","",SUMIFS(Grids!$BQ$160:$EC$219,Grids!$EE$160:$GQ$219,"&gt;="&amp;$B199*1000000000,Grids!$EE$160:$GQ$219,"&lt;"&amp;($B199+1)*1000000000))</f>
        <v/>
      </c>
      <c r="F199" s="50">
        <f>IF($B199="","",SUM($C$26:$C199))</f>
        <v/>
      </c>
      <c r="G199" s="50">
        <f>IF($B199="","",SUM($D$26:$D199))</f>
        <v/>
      </c>
      <c r="H199" s="50">
        <f>IF($B199="","",SUM($E$26:$E199))</f>
        <v/>
      </c>
    </row>
    <row r="200">
      <c r="B200" s="48">
        <f>IF(DATE(YEAR_Y,1,1)+174&gt;DATE(YEAR_Y,12,31),"",DATE(YEAR_Y,1,1)+174)</f>
        <v/>
      </c>
      <c r="C200" s="49">
        <f>IF($B200="","",SUMIFS(Grids!$BQ$12:$EC$111,Grids!$EE$12:$GQ$111,"&gt;="&amp;$B200*1000000000,Grids!$EE$12:$GQ$111,"&lt;"&amp;($B200+1)*1000000000))</f>
        <v/>
      </c>
      <c r="D200" s="49">
        <f>IF($B200="","",SUMIFS(Grids!$BQ$116:$EC$155,Grids!$EE$116:$GQ$155,"&gt;="&amp;$B200*1000000000,Grids!$EE$116:$GQ$155,"&lt;"&amp;($B200+1)*1000000000))</f>
        <v/>
      </c>
      <c r="E200" s="49">
        <f>IF($B200="","",SUMIFS(Grids!$BQ$160:$EC$219,Grids!$EE$160:$GQ$219,"&gt;="&amp;$B200*1000000000,Grids!$EE$160:$GQ$219,"&lt;"&amp;($B200+1)*1000000000))</f>
        <v/>
      </c>
      <c r="F200" s="50">
        <f>IF($B200="","",SUM($C$26:$C200))</f>
        <v/>
      </c>
      <c r="G200" s="50">
        <f>IF($B200="","",SUM($D$26:$D200))</f>
        <v/>
      </c>
      <c r="H200" s="50">
        <f>IF($B200="","",SUM($E$26:$E200))</f>
        <v/>
      </c>
    </row>
    <row r="201">
      <c r="B201" s="48">
        <f>IF(DATE(YEAR_Y,1,1)+175&gt;DATE(YEAR_Y,12,31),"",DATE(YEAR_Y,1,1)+175)</f>
        <v/>
      </c>
      <c r="C201" s="49">
        <f>IF($B201="","",SUMIFS(Grids!$BQ$12:$EC$111,Grids!$EE$12:$GQ$111,"&gt;="&amp;$B201*1000000000,Grids!$EE$12:$GQ$111,"&lt;"&amp;($B201+1)*1000000000))</f>
        <v/>
      </c>
      <c r="D201" s="49">
        <f>IF($B201="","",SUMIFS(Grids!$BQ$116:$EC$155,Grids!$EE$116:$GQ$155,"&gt;="&amp;$B201*1000000000,Grids!$EE$116:$GQ$155,"&lt;"&amp;($B201+1)*1000000000))</f>
        <v/>
      </c>
      <c r="E201" s="49">
        <f>IF($B201="","",SUMIFS(Grids!$BQ$160:$EC$219,Grids!$EE$160:$GQ$219,"&gt;="&amp;$B201*1000000000,Grids!$EE$160:$GQ$219,"&lt;"&amp;($B201+1)*1000000000))</f>
        <v/>
      </c>
      <c r="F201" s="50">
        <f>IF($B201="","",SUM($C$26:$C201))</f>
        <v/>
      </c>
      <c r="G201" s="50">
        <f>IF($B201="","",SUM($D$26:$D201))</f>
        <v/>
      </c>
      <c r="H201" s="50">
        <f>IF($B201="","",SUM($E$26:$E201))</f>
        <v/>
      </c>
    </row>
    <row r="202">
      <c r="B202" s="48">
        <f>IF(DATE(YEAR_Y,1,1)+176&gt;DATE(YEAR_Y,12,31),"",DATE(YEAR_Y,1,1)+176)</f>
        <v/>
      </c>
      <c r="C202" s="49">
        <f>IF($B202="","",SUMIFS(Grids!$BQ$12:$EC$111,Grids!$EE$12:$GQ$111,"&gt;="&amp;$B202*1000000000,Grids!$EE$12:$GQ$111,"&lt;"&amp;($B202+1)*1000000000))</f>
        <v/>
      </c>
      <c r="D202" s="49">
        <f>IF($B202="","",SUMIFS(Grids!$BQ$116:$EC$155,Grids!$EE$116:$GQ$155,"&gt;="&amp;$B202*1000000000,Grids!$EE$116:$GQ$155,"&lt;"&amp;($B202+1)*1000000000))</f>
        <v/>
      </c>
      <c r="E202" s="49">
        <f>IF($B202="","",SUMIFS(Grids!$BQ$160:$EC$219,Grids!$EE$160:$GQ$219,"&gt;="&amp;$B202*1000000000,Grids!$EE$160:$GQ$219,"&lt;"&amp;($B202+1)*1000000000))</f>
        <v/>
      </c>
      <c r="F202" s="50">
        <f>IF($B202="","",SUM($C$26:$C202))</f>
        <v/>
      </c>
      <c r="G202" s="50">
        <f>IF($B202="","",SUM($D$26:$D202))</f>
        <v/>
      </c>
      <c r="H202" s="50">
        <f>IF($B202="","",SUM($E$26:$E202))</f>
        <v/>
      </c>
    </row>
    <row r="203">
      <c r="B203" s="48">
        <f>IF(DATE(YEAR_Y,1,1)+177&gt;DATE(YEAR_Y,12,31),"",DATE(YEAR_Y,1,1)+177)</f>
        <v/>
      </c>
      <c r="C203" s="49">
        <f>IF($B203="","",SUMIFS(Grids!$BQ$12:$EC$111,Grids!$EE$12:$GQ$111,"&gt;="&amp;$B203*1000000000,Grids!$EE$12:$GQ$111,"&lt;"&amp;($B203+1)*1000000000))</f>
        <v/>
      </c>
      <c r="D203" s="49">
        <f>IF($B203="","",SUMIFS(Grids!$BQ$116:$EC$155,Grids!$EE$116:$GQ$155,"&gt;="&amp;$B203*1000000000,Grids!$EE$116:$GQ$155,"&lt;"&amp;($B203+1)*1000000000))</f>
        <v/>
      </c>
      <c r="E203" s="49">
        <f>IF($B203="","",SUMIFS(Grids!$BQ$160:$EC$219,Grids!$EE$160:$GQ$219,"&gt;="&amp;$B203*1000000000,Grids!$EE$160:$GQ$219,"&lt;"&amp;($B203+1)*1000000000))</f>
        <v/>
      </c>
      <c r="F203" s="50">
        <f>IF($B203="","",SUM($C$26:$C203))</f>
        <v/>
      </c>
      <c r="G203" s="50">
        <f>IF($B203="","",SUM($D$26:$D203))</f>
        <v/>
      </c>
      <c r="H203" s="50">
        <f>IF($B203="","",SUM($E$26:$E203))</f>
        <v/>
      </c>
    </row>
    <row r="204">
      <c r="B204" s="48">
        <f>IF(DATE(YEAR_Y,1,1)+178&gt;DATE(YEAR_Y,12,31),"",DATE(YEAR_Y,1,1)+178)</f>
        <v/>
      </c>
      <c r="C204" s="49">
        <f>IF($B204="","",SUMIFS(Grids!$BQ$12:$EC$111,Grids!$EE$12:$GQ$111,"&gt;="&amp;$B204*1000000000,Grids!$EE$12:$GQ$111,"&lt;"&amp;($B204+1)*1000000000))</f>
        <v/>
      </c>
      <c r="D204" s="49">
        <f>IF($B204="","",SUMIFS(Grids!$BQ$116:$EC$155,Grids!$EE$116:$GQ$155,"&gt;="&amp;$B204*1000000000,Grids!$EE$116:$GQ$155,"&lt;"&amp;($B204+1)*1000000000))</f>
        <v/>
      </c>
      <c r="E204" s="49">
        <f>IF($B204="","",SUMIFS(Grids!$BQ$160:$EC$219,Grids!$EE$160:$GQ$219,"&gt;="&amp;$B204*1000000000,Grids!$EE$160:$GQ$219,"&lt;"&amp;($B204+1)*1000000000))</f>
        <v/>
      </c>
      <c r="F204" s="50">
        <f>IF($B204="","",SUM($C$26:$C204))</f>
        <v/>
      </c>
      <c r="G204" s="50">
        <f>IF($B204="","",SUM($D$26:$D204))</f>
        <v/>
      </c>
      <c r="H204" s="50">
        <f>IF($B204="","",SUM($E$26:$E204))</f>
        <v/>
      </c>
    </row>
    <row r="205">
      <c r="B205" s="48">
        <f>IF(DATE(YEAR_Y,1,1)+179&gt;DATE(YEAR_Y,12,31),"",DATE(YEAR_Y,1,1)+179)</f>
        <v/>
      </c>
      <c r="C205" s="49">
        <f>IF($B205="","",SUMIFS(Grids!$BQ$12:$EC$111,Grids!$EE$12:$GQ$111,"&gt;="&amp;$B205*1000000000,Grids!$EE$12:$GQ$111,"&lt;"&amp;($B205+1)*1000000000))</f>
        <v/>
      </c>
      <c r="D205" s="49">
        <f>IF($B205="","",SUMIFS(Grids!$BQ$116:$EC$155,Grids!$EE$116:$GQ$155,"&gt;="&amp;$B205*1000000000,Grids!$EE$116:$GQ$155,"&lt;"&amp;($B205+1)*1000000000))</f>
        <v/>
      </c>
      <c r="E205" s="49">
        <f>IF($B205="","",SUMIFS(Grids!$BQ$160:$EC$219,Grids!$EE$160:$GQ$219,"&gt;="&amp;$B205*1000000000,Grids!$EE$160:$GQ$219,"&lt;"&amp;($B205+1)*1000000000))</f>
        <v/>
      </c>
      <c r="F205" s="50">
        <f>IF($B205="","",SUM($C$26:$C205))</f>
        <v/>
      </c>
      <c r="G205" s="50">
        <f>IF($B205="","",SUM($D$26:$D205))</f>
        <v/>
      </c>
      <c r="H205" s="50">
        <f>IF($B205="","",SUM($E$26:$E205))</f>
        <v/>
      </c>
    </row>
    <row r="206">
      <c r="B206" s="48">
        <f>IF(DATE(YEAR_Y,1,1)+180&gt;DATE(YEAR_Y,12,31),"",DATE(YEAR_Y,1,1)+180)</f>
        <v/>
      </c>
      <c r="C206" s="49">
        <f>IF($B206="","",SUMIFS(Grids!$BQ$12:$EC$111,Grids!$EE$12:$GQ$111,"&gt;="&amp;$B206*1000000000,Grids!$EE$12:$GQ$111,"&lt;"&amp;($B206+1)*1000000000))</f>
        <v/>
      </c>
      <c r="D206" s="49">
        <f>IF($B206="","",SUMIFS(Grids!$BQ$116:$EC$155,Grids!$EE$116:$GQ$155,"&gt;="&amp;$B206*1000000000,Grids!$EE$116:$GQ$155,"&lt;"&amp;($B206+1)*1000000000))</f>
        <v/>
      </c>
      <c r="E206" s="49">
        <f>IF($B206="","",SUMIFS(Grids!$BQ$160:$EC$219,Grids!$EE$160:$GQ$219,"&gt;="&amp;$B206*1000000000,Grids!$EE$160:$GQ$219,"&lt;"&amp;($B206+1)*1000000000))</f>
        <v/>
      </c>
      <c r="F206" s="50">
        <f>IF($B206="","",SUM($C$26:$C206))</f>
        <v/>
      </c>
      <c r="G206" s="50">
        <f>IF($B206="","",SUM($D$26:$D206))</f>
        <v/>
      </c>
      <c r="H206" s="50">
        <f>IF($B206="","",SUM($E$26:$E206))</f>
        <v/>
      </c>
    </row>
    <row r="207">
      <c r="B207" s="48">
        <f>IF(DATE(YEAR_Y,1,1)+181&gt;DATE(YEAR_Y,12,31),"",DATE(YEAR_Y,1,1)+181)</f>
        <v/>
      </c>
      <c r="C207" s="49">
        <f>IF($B207="","",SUMIFS(Grids!$BQ$12:$EC$111,Grids!$EE$12:$GQ$111,"&gt;="&amp;$B207*1000000000,Grids!$EE$12:$GQ$111,"&lt;"&amp;($B207+1)*1000000000))</f>
        <v/>
      </c>
      <c r="D207" s="49">
        <f>IF($B207="","",SUMIFS(Grids!$BQ$116:$EC$155,Grids!$EE$116:$GQ$155,"&gt;="&amp;$B207*1000000000,Grids!$EE$116:$GQ$155,"&lt;"&amp;($B207+1)*1000000000))</f>
        <v/>
      </c>
      <c r="E207" s="49">
        <f>IF($B207="","",SUMIFS(Grids!$BQ$160:$EC$219,Grids!$EE$160:$GQ$219,"&gt;="&amp;$B207*1000000000,Grids!$EE$160:$GQ$219,"&lt;"&amp;($B207+1)*1000000000))</f>
        <v/>
      </c>
      <c r="F207" s="50">
        <f>IF($B207="","",SUM($C$26:$C207))</f>
        <v/>
      </c>
      <c r="G207" s="50">
        <f>IF($B207="","",SUM($D$26:$D207))</f>
        <v/>
      </c>
      <c r="H207" s="50">
        <f>IF($B207="","",SUM($E$26:$E207))</f>
        <v/>
      </c>
    </row>
    <row r="208">
      <c r="B208" s="48">
        <f>IF(DATE(YEAR_Y,1,1)+182&gt;DATE(YEAR_Y,12,31),"",DATE(YEAR_Y,1,1)+182)</f>
        <v/>
      </c>
      <c r="C208" s="49">
        <f>IF($B208="","",SUMIFS(Grids!$BQ$12:$EC$111,Grids!$EE$12:$GQ$111,"&gt;="&amp;$B208*1000000000,Grids!$EE$12:$GQ$111,"&lt;"&amp;($B208+1)*1000000000))</f>
        <v/>
      </c>
      <c r="D208" s="49">
        <f>IF($B208="","",SUMIFS(Grids!$BQ$116:$EC$155,Grids!$EE$116:$GQ$155,"&gt;="&amp;$B208*1000000000,Grids!$EE$116:$GQ$155,"&lt;"&amp;($B208+1)*1000000000))</f>
        <v/>
      </c>
      <c r="E208" s="49">
        <f>IF($B208="","",SUMIFS(Grids!$BQ$160:$EC$219,Grids!$EE$160:$GQ$219,"&gt;="&amp;$B208*1000000000,Grids!$EE$160:$GQ$219,"&lt;"&amp;($B208+1)*1000000000))</f>
        <v/>
      </c>
      <c r="F208" s="50">
        <f>IF($B208="","",SUM($C$26:$C208))</f>
        <v/>
      </c>
      <c r="G208" s="50">
        <f>IF($B208="","",SUM($D$26:$D208))</f>
        <v/>
      </c>
      <c r="H208" s="50">
        <f>IF($B208="","",SUM($E$26:$E208))</f>
        <v/>
      </c>
    </row>
    <row r="209">
      <c r="B209" s="48">
        <f>IF(DATE(YEAR_Y,1,1)+183&gt;DATE(YEAR_Y,12,31),"",DATE(YEAR_Y,1,1)+183)</f>
        <v/>
      </c>
      <c r="C209" s="49">
        <f>IF($B209="","",SUMIFS(Grids!$BQ$12:$EC$111,Grids!$EE$12:$GQ$111,"&gt;="&amp;$B209*1000000000,Grids!$EE$12:$GQ$111,"&lt;"&amp;($B209+1)*1000000000))</f>
        <v/>
      </c>
      <c r="D209" s="49">
        <f>IF($B209="","",SUMIFS(Grids!$BQ$116:$EC$155,Grids!$EE$116:$GQ$155,"&gt;="&amp;$B209*1000000000,Grids!$EE$116:$GQ$155,"&lt;"&amp;($B209+1)*1000000000))</f>
        <v/>
      </c>
      <c r="E209" s="49">
        <f>IF($B209="","",SUMIFS(Grids!$BQ$160:$EC$219,Grids!$EE$160:$GQ$219,"&gt;="&amp;$B209*1000000000,Grids!$EE$160:$GQ$219,"&lt;"&amp;($B209+1)*1000000000))</f>
        <v/>
      </c>
      <c r="F209" s="50">
        <f>IF($B209="","",SUM($C$26:$C209))</f>
        <v/>
      </c>
      <c r="G209" s="50">
        <f>IF($B209="","",SUM($D$26:$D209))</f>
        <v/>
      </c>
      <c r="H209" s="50">
        <f>IF($B209="","",SUM($E$26:$E209))</f>
        <v/>
      </c>
    </row>
    <row r="210">
      <c r="B210" s="48">
        <f>IF(DATE(YEAR_Y,1,1)+184&gt;DATE(YEAR_Y,12,31),"",DATE(YEAR_Y,1,1)+184)</f>
        <v/>
      </c>
      <c r="C210" s="49">
        <f>IF($B210="","",SUMIFS(Grids!$BQ$12:$EC$111,Grids!$EE$12:$GQ$111,"&gt;="&amp;$B210*1000000000,Grids!$EE$12:$GQ$111,"&lt;"&amp;($B210+1)*1000000000))</f>
        <v/>
      </c>
      <c r="D210" s="49">
        <f>IF($B210="","",SUMIFS(Grids!$BQ$116:$EC$155,Grids!$EE$116:$GQ$155,"&gt;="&amp;$B210*1000000000,Grids!$EE$116:$GQ$155,"&lt;"&amp;($B210+1)*1000000000))</f>
        <v/>
      </c>
      <c r="E210" s="49">
        <f>IF($B210="","",SUMIFS(Grids!$BQ$160:$EC$219,Grids!$EE$160:$GQ$219,"&gt;="&amp;$B210*1000000000,Grids!$EE$160:$GQ$219,"&lt;"&amp;($B210+1)*1000000000))</f>
        <v/>
      </c>
      <c r="F210" s="50">
        <f>IF($B210="","",SUM($C$26:$C210))</f>
        <v/>
      </c>
      <c r="G210" s="50">
        <f>IF($B210="","",SUM($D$26:$D210))</f>
        <v/>
      </c>
      <c r="H210" s="50">
        <f>IF($B210="","",SUM($E$26:$E210))</f>
        <v/>
      </c>
    </row>
    <row r="211">
      <c r="B211" s="48">
        <f>IF(DATE(YEAR_Y,1,1)+185&gt;DATE(YEAR_Y,12,31),"",DATE(YEAR_Y,1,1)+185)</f>
        <v/>
      </c>
      <c r="C211" s="49">
        <f>IF($B211="","",SUMIFS(Grids!$BQ$12:$EC$111,Grids!$EE$12:$GQ$111,"&gt;="&amp;$B211*1000000000,Grids!$EE$12:$GQ$111,"&lt;"&amp;($B211+1)*1000000000))</f>
        <v/>
      </c>
      <c r="D211" s="49">
        <f>IF($B211="","",SUMIFS(Grids!$BQ$116:$EC$155,Grids!$EE$116:$GQ$155,"&gt;="&amp;$B211*1000000000,Grids!$EE$116:$GQ$155,"&lt;"&amp;($B211+1)*1000000000))</f>
        <v/>
      </c>
      <c r="E211" s="49">
        <f>IF($B211="","",SUMIFS(Grids!$BQ$160:$EC$219,Grids!$EE$160:$GQ$219,"&gt;="&amp;$B211*1000000000,Grids!$EE$160:$GQ$219,"&lt;"&amp;($B211+1)*1000000000))</f>
        <v/>
      </c>
      <c r="F211" s="50">
        <f>IF($B211="","",SUM($C$26:$C211))</f>
        <v/>
      </c>
      <c r="G211" s="50">
        <f>IF($B211="","",SUM($D$26:$D211))</f>
        <v/>
      </c>
      <c r="H211" s="50">
        <f>IF($B211="","",SUM($E$26:$E211))</f>
        <v/>
      </c>
    </row>
    <row r="212">
      <c r="B212" s="48">
        <f>IF(DATE(YEAR_Y,1,1)+186&gt;DATE(YEAR_Y,12,31),"",DATE(YEAR_Y,1,1)+186)</f>
        <v/>
      </c>
      <c r="C212" s="49">
        <f>IF($B212="","",SUMIFS(Grids!$BQ$12:$EC$111,Grids!$EE$12:$GQ$111,"&gt;="&amp;$B212*1000000000,Grids!$EE$12:$GQ$111,"&lt;"&amp;($B212+1)*1000000000))</f>
        <v/>
      </c>
      <c r="D212" s="49">
        <f>IF($B212="","",SUMIFS(Grids!$BQ$116:$EC$155,Grids!$EE$116:$GQ$155,"&gt;="&amp;$B212*1000000000,Grids!$EE$116:$GQ$155,"&lt;"&amp;($B212+1)*1000000000))</f>
        <v/>
      </c>
      <c r="E212" s="49">
        <f>IF($B212="","",SUMIFS(Grids!$BQ$160:$EC$219,Grids!$EE$160:$GQ$219,"&gt;="&amp;$B212*1000000000,Grids!$EE$160:$GQ$219,"&lt;"&amp;($B212+1)*1000000000))</f>
        <v/>
      </c>
      <c r="F212" s="50">
        <f>IF($B212="","",SUM($C$26:$C212))</f>
        <v/>
      </c>
      <c r="G212" s="50">
        <f>IF($B212="","",SUM($D$26:$D212))</f>
        <v/>
      </c>
      <c r="H212" s="50">
        <f>IF($B212="","",SUM($E$26:$E212))</f>
        <v/>
      </c>
    </row>
    <row r="213">
      <c r="B213" s="48">
        <f>IF(DATE(YEAR_Y,1,1)+187&gt;DATE(YEAR_Y,12,31),"",DATE(YEAR_Y,1,1)+187)</f>
        <v/>
      </c>
      <c r="C213" s="49">
        <f>IF($B213="","",SUMIFS(Grids!$BQ$12:$EC$111,Grids!$EE$12:$GQ$111,"&gt;="&amp;$B213*1000000000,Grids!$EE$12:$GQ$111,"&lt;"&amp;($B213+1)*1000000000))</f>
        <v/>
      </c>
      <c r="D213" s="49">
        <f>IF($B213="","",SUMIFS(Grids!$BQ$116:$EC$155,Grids!$EE$116:$GQ$155,"&gt;="&amp;$B213*1000000000,Grids!$EE$116:$GQ$155,"&lt;"&amp;($B213+1)*1000000000))</f>
        <v/>
      </c>
      <c r="E213" s="49">
        <f>IF($B213="","",SUMIFS(Grids!$BQ$160:$EC$219,Grids!$EE$160:$GQ$219,"&gt;="&amp;$B213*1000000000,Grids!$EE$160:$GQ$219,"&lt;"&amp;($B213+1)*1000000000))</f>
        <v/>
      </c>
      <c r="F213" s="50">
        <f>IF($B213="","",SUM($C$26:$C213))</f>
        <v/>
      </c>
      <c r="G213" s="50">
        <f>IF($B213="","",SUM($D$26:$D213))</f>
        <v/>
      </c>
      <c r="H213" s="50">
        <f>IF($B213="","",SUM($E$26:$E213))</f>
        <v/>
      </c>
    </row>
    <row r="214">
      <c r="B214" s="48">
        <f>IF(DATE(YEAR_Y,1,1)+188&gt;DATE(YEAR_Y,12,31),"",DATE(YEAR_Y,1,1)+188)</f>
        <v/>
      </c>
      <c r="C214" s="49">
        <f>IF($B214="","",SUMIFS(Grids!$BQ$12:$EC$111,Grids!$EE$12:$GQ$111,"&gt;="&amp;$B214*1000000000,Grids!$EE$12:$GQ$111,"&lt;"&amp;($B214+1)*1000000000))</f>
        <v/>
      </c>
      <c r="D214" s="49">
        <f>IF($B214="","",SUMIFS(Grids!$BQ$116:$EC$155,Grids!$EE$116:$GQ$155,"&gt;="&amp;$B214*1000000000,Grids!$EE$116:$GQ$155,"&lt;"&amp;($B214+1)*1000000000))</f>
        <v/>
      </c>
      <c r="E214" s="49">
        <f>IF($B214="","",SUMIFS(Grids!$BQ$160:$EC$219,Grids!$EE$160:$GQ$219,"&gt;="&amp;$B214*1000000000,Grids!$EE$160:$GQ$219,"&lt;"&amp;($B214+1)*1000000000))</f>
        <v/>
      </c>
      <c r="F214" s="50">
        <f>IF($B214="","",SUM($C$26:$C214))</f>
        <v/>
      </c>
      <c r="G214" s="50">
        <f>IF($B214="","",SUM($D$26:$D214))</f>
        <v/>
      </c>
      <c r="H214" s="50">
        <f>IF($B214="","",SUM($E$26:$E214))</f>
        <v/>
      </c>
    </row>
    <row r="215">
      <c r="B215" s="48">
        <f>IF(DATE(YEAR_Y,1,1)+189&gt;DATE(YEAR_Y,12,31),"",DATE(YEAR_Y,1,1)+189)</f>
        <v/>
      </c>
      <c r="C215" s="49">
        <f>IF($B215="","",SUMIFS(Grids!$BQ$12:$EC$111,Grids!$EE$12:$GQ$111,"&gt;="&amp;$B215*1000000000,Grids!$EE$12:$GQ$111,"&lt;"&amp;($B215+1)*1000000000))</f>
        <v/>
      </c>
      <c r="D215" s="49">
        <f>IF($B215="","",SUMIFS(Grids!$BQ$116:$EC$155,Grids!$EE$116:$GQ$155,"&gt;="&amp;$B215*1000000000,Grids!$EE$116:$GQ$155,"&lt;"&amp;($B215+1)*1000000000))</f>
        <v/>
      </c>
      <c r="E215" s="49">
        <f>IF($B215="","",SUMIFS(Grids!$BQ$160:$EC$219,Grids!$EE$160:$GQ$219,"&gt;="&amp;$B215*1000000000,Grids!$EE$160:$GQ$219,"&lt;"&amp;($B215+1)*1000000000))</f>
        <v/>
      </c>
      <c r="F215" s="50">
        <f>IF($B215="","",SUM($C$26:$C215))</f>
        <v/>
      </c>
      <c r="G215" s="50">
        <f>IF($B215="","",SUM($D$26:$D215))</f>
        <v/>
      </c>
      <c r="H215" s="50">
        <f>IF($B215="","",SUM($E$26:$E215))</f>
        <v/>
      </c>
    </row>
    <row r="216">
      <c r="B216" s="48">
        <f>IF(DATE(YEAR_Y,1,1)+190&gt;DATE(YEAR_Y,12,31),"",DATE(YEAR_Y,1,1)+190)</f>
        <v/>
      </c>
      <c r="C216" s="49">
        <f>IF($B216="","",SUMIFS(Grids!$BQ$12:$EC$111,Grids!$EE$12:$GQ$111,"&gt;="&amp;$B216*1000000000,Grids!$EE$12:$GQ$111,"&lt;"&amp;($B216+1)*1000000000))</f>
        <v/>
      </c>
      <c r="D216" s="49">
        <f>IF($B216="","",SUMIFS(Grids!$BQ$116:$EC$155,Grids!$EE$116:$GQ$155,"&gt;="&amp;$B216*1000000000,Grids!$EE$116:$GQ$155,"&lt;"&amp;($B216+1)*1000000000))</f>
        <v/>
      </c>
      <c r="E216" s="49">
        <f>IF($B216="","",SUMIFS(Grids!$BQ$160:$EC$219,Grids!$EE$160:$GQ$219,"&gt;="&amp;$B216*1000000000,Grids!$EE$160:$GQ$219,"&lt;"&amp;($B216+1)*1000000000))</f>
        <v/>
      </c>
      <c r="F216" s="50">
        <f>IF($B216="","",SUM($C$26:$C216))</f>
        <v/>
      </c>
      <c r="G216" s="50">
        <f>IF($B216="","",SUM($D$26:$D216))</f>
        <v/>
      </c>
      <c r="H216" s="50">
        <f>IF($B216="","",SUM($E$26:$E216))</f>
        <v/>
      </c>
    </row>
    <row r="217">
      <c r="B217" s="48">
        <f>IF(DATE(YEAR_Y,1,1)+191&gt;DATE(YEAR_Y,12,31),"",DATE(YEAR_Y,1,1)+191)</f>
        <v/>
      </c>
      <c r="C217" s="49">
        <f>IF($B217="","",SUMIFS(Grids!$BQ$12:$EC$111,Grids!$EE$12:$GQ$111,"&gt;="&amp;$B217*1000000000,Grids!$EE$12:$GQ$111,"&lt;"&amp;($B217+1)*1000000000))</f>
        <v/>
      </c>
      <c r="D217" s="49">
        <f>IF($B217="","",SUMIFS(Grids!$BQ$116:$EC$155,Grids!$EE$116:$GQ$155,"&gt;="&amp;$B217*1000000000,Grids!$EE$116:$GQ$155,"&lt;"&amp;($B217+1)*1000000000))</f>
        <v/>
      </c>
      <c r="E217" s="49">
        <f>IF($B217="","",SUMIFS(Grids!$BQ$160:$EC$219,Grids!$EE$160:$GQ$219,"&gt;="&amp;$B217*1000000000,Grids!$EE$160:$GQ$219,"&lt;"&amp;($B217+1)*1000000000))</f>
        <v/>
      </c>
      <c r="F217" s="50">
        <f>IF($B217="","",SUM($C$26:$C217))</f>
        <v/>
      </c>
      <c r="G217" s="50">
        <f>IF($B217="","",SUM($D$26:$D217))</f>
        <v/>
      </c>
      <c r="H217" s="50">
        <f>IF($B217="","",SUM($E$26:$E217))</f>
        <v/>
      </c>
    </row>
    <row r="218">
      <c r="B218" s="48">
        <f>IF(DATE(YEAR_Y,1,1)+192&gt;DATE(YEAR_Y,12,31),"",DATE(YEAR_Y,1,1)+192)</f>
        <v/>
      </c>
      <c r="C218" s="49">
        <f>IF($B218="","",SUMIFS(Grids!$BQ$12:$EC$111,Grids!$EE$12:$GQ$111,"&gt;="&amp;$B218*1000000000,Grids!$EE$12:$GQ$111,"&lt;"&amp;($B218+1)*1000000000))</f>
        <v/>
      </c>
      <c r="D218" s="49">
        <f>IF($B218="","",SUMIFS(Grids!$BQ$116:$EC$155,Grids!$EE$116:$GQ$155,"&gt;="&amp;$B218*1000000000,Grids!$EE$116:$GQ$155,"&lt;"&amp;($B218+1)*1000000000))</f>
        <v/>
      </c>
      <c r="E218" s="49">
        <f>IF($B218="","",SUMIFS(Grids!$BQ$160:$EC$219,Grids!$EE$160:$GQ$219,"&gt;="&amp;$B218*1000000000,Grids!$EE$160:$GQ$219,"&lt;"&amp;($B218+1)*1000000000))</f>
        <v/>
      </c>
      <c r="F218" s="50">
        <f>IF($B218="","",SUM($C$26:$C218))</f>
        <v/>
      </c>
      <c r="G218" s="50">
        <f>IF($B218="","",SUM($D$26:$D218))</f>
        <v/>
      </c>
      <c r="H218" s="50">
        <f>IF($B218="","",SUM($E$26:$E218))</f>
        <v/>
      </c>
    </row>
    <row r="219">
      <c r="B219" s="48">
        <f>IF(DATE(YEAR_Y,1,1)+193&gt;DATE(YEAR_Y,12,31),"",DATE(YEAR_Y,1,1)+193)</f>
        <v/>
      </c>
      <c r="C219" s="49">
        <f>IF($B219="","",SUMIFS(Grids!$BQ$12:$EC$111,Grids!$EE$12:$GQ$111,"&gt;="&amp;$B219*1000000000,Grids!$EE$12:$GQ$111,"&lt;"&amp;($B219+1)*1000000000))</f>
        <v/>
      </c>
      <c r="D219" s="49">
        <f>IF($B219="","",SUMIFS(Grids!$BQ$116:$EC$155,Grids!$EE$116:$GQ$155,"&gt;="&amp;$B219*1000000000,Grids!$EE$116:$GQ$155,"&lt;"&amp;($B219+1)*1000000000))</f>
        <v/>
      </c>
      <c r="E219" s="49">
        <f>IF($B219="","",SUMIFS(Grids!$BQ$160:$EC$219,Grids!$EE$160:$GQ$219,"&gt;="&amp;$B219*1000000000,Grids!$EE$160:$GQ$219,"&lt;"&amp;($B219+1)*1000000000))</f>
        <v/>
      </c>
      <c r="F219" s="50">
        <f>IF($B219="","",SUM($C$26:$C219))</f>
        <v/>
      </c>
      <c r="G219" s="50">
        <f>IF($B219="","",SUM($D$26:$D219))</f>
        <v/>
      </c>
      <c r="H219" s="50">
        <f>IF($B219="","",SUM($E$26:$E219))</f>
        <v/>
      </c>
    </row>
    <row r="220">
      <c r="B220" s="48">
        <f>IF(DATE(YEAR_Y,1,1)+194&gt;DATE(YEAR_Y,12,31),"",DATE(YEAR_Y,1,1)+194)</f>
        <v/>
      </c>
      <c r="C220" s="49">
        <f>IF($B220="","",SUMIFS(Grids!$BQ$12:$EC$111,Grids!$EE$12:$GQ$111,"&gt;="&amp;$B220*1000000000,Grids!$EE$12:$GQ$111,"&lt;"&amp;($B220+1)*1000000000))</f>
        <v/>
      </c>
      <c r="D220" s="49">
        <f>IF($B220="","",SUMIFS(Grids!$BQ$116:$EC$155,Grids!$EE$116:$GQ$155,"&gt;="&amp;$B220*1000000000,Grids!$EE$116:$GQ$155,"&lt;"&amp;($B220+1)*1000000000))</f>
        <v/>
      </c>
      <c r="E220" s="49">
        <f>IF($B220="","",SUMIFS(Grids!$BQ$160:$EC$219,Grids!$EE$160:$GQ$219,"&gt;="&amp;$B220*1000000000,Grids!$EE$160:$GQ$219,"&lt;"&amp;($B220+1)*1000000000))</f>
        <v/>
      </c>
      <c r="F220" s="50">
        <f>IF($B220="","",SUM($C$26:$C220))</f>
        <v/>
      </c>
      <c r="G220" s="50">
        <f>IF($B220="","",SUM($D$26:$D220))</f>
        <v/>
      </c>
      <c r="H220" s="50">
        <f>IF($B220="","",SUM($E$26:$E220))</f>
        <v/>
      </c>
    </row>
    <row r="221">
      <c r="B221" s="48">
        <f>IF(DATE(YEAR_Y,1,1)+195&gt;DATE(YEAR_Y,12,31),"",DATE(YEAR_Y,1,1)+195)</f>
        <v/>
      </c>
      <c r="C221" s="49">
        <f>IF($B221="","",SUMIFS(Grids!$BQ$12:$EC$111,Grids!$EE$12:$GQ$111,"&gt;="&amp;$B221*1000000000,Grids!$EE$12:$GQ$111,"&lt;"&amp;($B221+1)*1000000000))</f>
        <v/>
      </c>
      <c r="D221" s="49">
        <f>IF($B221="","",SUMIFS(Grids!$BQ$116:$EC$155,Grids!$EE$116:$GQ$155,"&gt;="&amp;$B221*1000000000,Grids!$EE$116:$GQ$155,"&lt;"&amp;($B221+1)*1000000000))</f>
        <v/>
      </c>
      <c r="E221" s="49">
        <f>IF($B221="","",SUMIFS(Grids!$BQ$160:$EC$219,Grids!$EE$160:$GQ$219,"&gt;="&amp;$B221*1000000000,Grids!$EE$160:$GQ$219,"&lt;"&amp;($B221+1)*1000000000))</f>
        <v/>
      </c>
      <c r="F221" s="50">
        <f>IF($B221="","",SUM($C$26:$C221))</f>
        <v/>
      </c>
      <c r="G221" s="50">
        <f>IF($B221="","",SUM($D$26:$D221))</f>
        <v/>
      </c>
      <c r="H221" s="50">
        <f>IF($B221="","",SUM($E$26:$E221))</f>
        <v/>
      </c>
    </row>
    <row r="222">
      <c r="B222" s="48">
        <f>IF(DATE(YEAR_Y,1,1)+196&gt;DATE(YEAR_Y,12,31),"",DATE(YEAR_Y,1,1)+196)</f>
        <v/>
      </c>
      <c r="C222" s="49">
        <f>IF($B222="","",SUMIFS(Grids!$BQ$12:$EC$111,Grids!$EE$12:$GQ$111,"&gt;="&amp;$B222*1000000000,Grids!$EE$12:$GQ$111,"&lt;"&amp;($B222+1)*1000000000))</f>
        <v/>
      </c>
      <c r="D222" s="49">
        <f>IF($B222="","",SUMIFS(Grids!$BQ$116:$EC$155,Grids!$EE$116:$GQ$155,"&gt;="&amp;$B222*1000000000,Grids!$EE$116:$GQ$155,"&lt;"&amp;($B222+1)*1000000000))</f>
        <v/>
      </c>
      <c r="E222" s="49">
        <f>IF($B222="","",SUMIFS(Grids!$BQ$160:$EC$219,Grids!$EE$160:$GQ$219,"&gt;="&amp;$B222*1000000000,Grids!$EE$160:$GQ$219,"&lt;"&amp;($B222+1)*1000000000))</f>
        <v/>
      </c>
      <c r="F222" s="50">
        <f>IF($B222="","",SUM($C$26:$C222))</f>
        <v/>
      </c>
      <c r="G222" s="50">
        <f>IF($B222="","",SUM($D$26:$D222))</f>
        <v/>
      </c>
      <c r="H222" s="50">
        <f>IF($B222="","",SUM($E$26:$E222))</f>
        <v/>
      </c>
    </row>
    <row r="223">
      <c r="B223" s="48">
        <f>IF(DATE(YEAR_Y,1,1)+197&gt;DATE(YEAR_Y,12,31),"",DATE(YEAR_Y,1,1)+197)</f>
        <v/>
      </c>
      <c r="C223" s="49">
        <f>IF($B223="","",SUMIFS(Grids!$BQ$12:$EC$111,Grids!$EE$12:$GQ$111,"&gt;="&amp;$B223*1000000000,Grids!$EE$12:$GQ$111,"&lt;"&amp;($B223+1)*1000000000))</f>
        <v/>
      </c>
      <c r="D223" s="49">
        <f>IF($B223="","",SUMIFS(Grids!$BQ$116:$EC$155,Grids!$EE$116:$GQ$155,"&gt;="&amp;$B223*1000000000,Grids!$EE$116:$GQ$155,"&lt;"&amp;($B223+1)*1000000000))</f>
        <v/>
      </c>
      <c r="E223" s="49">
        <f>IF($B223="","",SUMIFS(Grids!$BQ$160:$EC$219,Grids!$EE$160:$GQ$219,"&gt;="&amp;$B223*1000000000,Grids!$EE$160:$GQ$219,"&lt;"&amp;($B223+1)*1000000000))</f>
        <v/>
      </c>
      <c r="F223" s="50">
        <f>IF($B223="","",SUM($C$26:$C223))</f>
        <v/>
      </c>
      <c r="G223" s="50">
        <f>IF($B223="","",SUM($D$26:$D223))</f>
        <v/>
      </c>
      <c r="H223" s="50">
        <f>IF($B223="","",SUM($E$26:$E223))</f>
        <v/>
      </c>
    </row>
    <row r="224">
      <c r="B224" s="48">
        <f>IF(DATE(YEAR_Y,1,1)+198&gt;DATE(YEAR_Y,12,31),"",DATE(YEAR_Y,1,1)+198)</f>
        <v/>
      </c>
      <c r="C224" s="49">
        <f>IF($B224="","",SUMIFS(Grids!$BQ$12:$EC$111,Grids!$EE$12:$GQ$111,"&gt;="&amp;$B224*1000000000,Grids!$EE$12:$GQ$111,"&lt;"&amp;($B224+1)*1000000000))</f>
        <v/>
      </c>
      <c r="D224" s="49">
        <f>IF($B224="","",SUMIFS(Grids!$BQ$116:$EC$155,Grids!$EE$116:$GQ$155,"&gt;="&amp;$B224*1000000000,Grids!$EE$116:$GQ$155,"&lt;"&amp;($B224+1)*1000000000))</f>
        <v/>
      </c>
      <c r="E224" s="49">
        <f>IF($B224="","",SUMIFS(Grids!$BQ$160:$EC$219,Grids!$EE$160:$GQ$219,"&gt;="&amp;$B224*1000000000,Grids!$EE$160:$GQ$219,"&lt;"&amp;($B224+1)*1000000000))</f>
        <v/>
      </c>
      <c r="F224" s="50">
        <f>IF($B224="","",SUM($C$26:$C224))</f>
        <v/>
      </c>
      <c r="G224" s="50">
        <f>IF($B224="","",SUM($D$26:$D224))</f>
        <v/>
      </c>
      <c r="H224" s="50">
        <f>IF($B224="","",SUM($E$26:$E224))</f>
        <v/>
      </c>
    </row>
    <row r="225">
      <c r="B225" s="48">
        <f>IF(DATE(YEAR_Y,1,1)+199&gt;DATE(YEAR_Y,12,31),"",DATE(YEAR_Y,1,1)+199)</f>
        <v/>
      </c>
      <c r="C225" s="49">
        <f>IF($B225="","",SUMIFS(Grids!$BQ$12:$EC$111,Grids!$EE$12:$GQ$111,"&gt;="&amp;$B225*1000000000,Grids!$EE$12:$GQ$111,"&lt;"&amp;($B225+1)*1000000000))</f>
        <v/>
      </c>
      <c r="D225" s="49">
        <f>IF($B225="","",SUMIFS(Grids!$BQ$116:$EC$155,Grids!$EE$116:$GQ$155,"&gt;="&amp;$B225*1000000000,Grids!$EE$116:$GQ$155,"&lt;"&amp;($B225+1)*1000000000))</f>
        <v/>
      </c>
      <c r="E225" s="49">
        <f>IF($B225="","",SUMIFS(Grids!$BQ$160:$EC$219,Grids!$EE$160:$GQ$219,"&gt;="&amp;$B225*1000000000,Grids!$EE$160:$GQ$219,"&lt;"&amp;($B225+1)*1000000000))</f>
        <v/>
      </c>
      <c r="F225" s="50">
        <f>IF($B225="","",SUM($C$26:$C225))</f>
        <v/>
      </c>
      <c r="G225" s="50">
        <f>IF($B225="","",SUM($D$26:$D225))</f>
        <v/>
      </c>
      <c r="H225" s="50">
        <f>IF($B225="","",SUM($E$26:$E225))</f>
        <v/>
      </c>
    </row>
    <row r="226">
      <c r="B226" s="48">
        <f>IF(DATE(YEAR_Y,1,1)+200&gt;DATE(YEAR_Y,12,31),"",DATE(YEAR_Y,1,1)+200)</f>
        <v/>
      </c>
      <c r="C226" s="49">
        <f>IF($B226="","",SUMIFS(Grids!$BQ$12:$EC$111,Grids!$EE$12:$GQ$111,"&gt;="&amp;$B226*1000000000,Grids!$EE$12:$GQ$111,"&lt;"&amp;($B226+1)*1000000000))</f>
        <v/>
      </c>
      <c r="D226" s="49">
        <f>IF($B226="","",SUMIFS(Grids!$BQ$116:$EC$155,Grids!$EE$116:$GQ$155,"&gt;="&amp;$B226*1000000000,Grids!$EE$116:$GQ$155,"&lt;"&amp;($B226+1)*1000000000))</f>
        <v/>
      </c>
      <c r="E226" s="49">
        <f>IF($B226="","",SUMIFS(Grids!$BQ$160:$EC$219,Grids!$EE$160:$GQ$219,"&gt;="&amp;$B226*1000000000,Grids!$EE$160:$GQ$219,"&lt;"&amp;($B226+1)*1000000000))</f>
        <v/>
      </c>
      <c r="F226" s="50">
        <f>IF($B226="","",SUM($C$26:$C226))</f>
        <v/>
      </c>
      <c r="G226" s="50">
        <f>IF($B226="","",SUM($D$26:$D226))</f>
        <v/>
      </c>
      <c r="H226" s="50">
        <f>IF($B226="","",SUM($E$26:$E226))</f>
        <v/>
      </c>
    </row>
    <row r="227">
      <c r="B227" s="48">
        <f>IF(DATE(YEAR_Y,1,1)+201&gt;DATE(YEAR_Y,12,31),"",DATE(YEAR_Y,1,1)+201)</f>
        <v/>
      </c>
      <c r="C227" s="49">
        <f>IF($B227="","",SUMIFS(Grids!$BQ$12:$EC$111,Grids!$EE$12:$GQ$111,"&gt;="&amp;$B227*1000000000,Grids!$EE$12:$GQ$111,"&lt;"&amp;($B227+1)*1000000000))</f>
        <v/>
      </c>
      <c r="D227" s="49">
        <f>IF($B227="","",SUMIFS(Grids!$BQ$116:$EC$155,Grids!$EE$116:$GQ$155,"&gt;="&amp;$B227*1000000000,Grids!$EE$116:$GQ$155,"&lt;"&amp;($B227+1)*1000000000))</f>
        <v/>
      </c>
      <c r="E227" s="49">
        <f>IF($B227="","",SUMIFS(Grids!$BQ$160:$EC$219,Grids!$EE$160:$GQ$219,"&gt;="&amp;$B227*1000000000,Grids!$EE$160:$GQ$219,"&lt;"&amp;($B227+1)*1000000000))</f>
        <v/>
      </c>
      <c r="F227" s="50">
        <f>IF($B227="","",SUM($C$26:$C227))</f>
        <v/>
      </c>
      <c r="G227" s="50">
        <f>IF($B227="","",SUM($D$26:$D227))</f>
        <v/>
      </c>
      <c r="H227" s="50">
        <f>IF($B227="","",SUM($E$26:$E227))</f>
        <v/>
      </c>
    </row>
    <row r="228">
      <c r="B228" s="48">
        <f>IF(DATE(YEAR_Y,1,1)+202&gt;DATE(YEAR_Y,12,31),"",DATE(YEAR_Y,1,1)+202)</f>
        <v/>
      </c>
      <c r="C228" s="49">
        <f>IF($B228="","",SUMIFS(Grids!$BQ$12:$EC$111,Grids!$EE$12:$GQ$111,"&gt;="&amp;$B228*1000000000,Grids!$EE$12:$GQ$111,"&lt;"&amp;($B228+1)*1000000000))</f>
        <v/>
      </c>
      <c r="D228" s="49">
        <f>IF($B228="","",SUMIFS(Grids!$BQ$116:$EC$155,Grids!$EE$116:$GQ$155,"&gt;="&amp;$B228*1000000000,Grids!$EE$116:$GQ$155,"&lt;"&amp;($B228+1)*1000000000))</f>
        <v/>
      </c>
      <c r="E228" s="49">
        <f>IF($B228="","",SUMIFS(Grids!$BQ$160:$EC$219,Grids!$EE$160:$GQ$219,"&gt;="&amp;$B228*1000000000,Grids!$EE$160:$GQ$219,"&lt;"&amp;($B228+1)*1000000000))</f>
        <v/>
      </c>
      <c r="F228" s="50">
        <f>IF($B228="","",SUM($C$26:$C228))</f>
        <v/>
      </c>
      <c r="G228" s="50">
        <f>IF($B228="","",SUM($D$26:$D228))</f>
        <v/>
      </c>
      <c r="H228" s="50">
        <f>IF($B228="","",SUM($E$26:$E228))</f>
        <v/>
      </c>
    </row>
    <row r="229">
      <c r="B229" s="48">
        <f>IF(DATE(YEAR_Y,1,1)+203&gt;DATE(YEAR_Y,12,31),"",DATE(YEAR_Y,1,1)+203)</f>
        <v/>
      </c>
      <c r="C229" s="49">
        <f>IF($B229="","",SUMIFS(Grids!$BQ$12:$EC$111,Grids!$EE$12:$GQ$111,"&gt;="&amp;$B229*1000000000,Grids!$EE$12:$GQ$111,"&lt;"&amp;($B229+1)*1000000000))</f>
        <v/>
      </c>
      <c r="D229" s="49">
        <f>IF($B229="","",SUMIFS(Grids!$BQ$116:$EC$155,Grids!$EE$116:$GQ$155,"&gt;="&amp;$B229*1000000000,Grids!$EE$116:$GQ$155,"&lt;"&amp;($B229+1)*1000000000))</f>
        <v/>
      </c>
      <c r="E229" s="49">
        <f>IF($B229="","",SUMIFS(Grids!$BQ$160:$EC$219,Grids!$EE$160:$GQ$219,"&gt;="&amp;$B229*1000000000,Grids!$EE$160:$GQ$219,"&lt;"&amp;($B229+1)*1000000000))</f>
        <v/>
      </c>
      <c r="F229" s="50">
        <f>IF($B229="","",SUM($C$26:$C229))</f>
        <v/>
      </c>
      <c r="G229" s="50">
        <f>IF($B229="","",SUM($D$26:$D229))</f>
        <v/>
      </c>
      <c r="H229" s="50">
        <f>IF($B229="","",SUM($E$26:$E229))</f>
        <v/>
      </c>
    </row>
    <row r="230">
      <c r="B230" s="48">
        <f>IF(DATE(YEAR_Y,1,1)+204&gt;DATE(YEAR_Y,12,31),"",DATE(YEAR_Y,1,1)+204)</f>
        <v/>
      </c>
      <c r="C230" s="49">
        <f>IF($B230="","",SUMIFS(Grids!$BQ$12:$EC$111,Grids!$EE$12:$GQ$111,"&gt;="&amp;$B230*1000000000,Grids!$EE$12:$GQ$111,"&lt;"&amp;($B230+1)*1000000000))</f>
        <v/>
      </c>
      <c r="D230" s="49">
        <f>IF($B230="","",SUMIFS(Grids!$BQ$116:$EC$155,Grids!$EE$116:$GQ$155,"&gt;="&amp;$B230*1000000000,Grids!$EE$116:$GQ$155,"&lt;"&amp;($B230+1)*1000000000))</f>
        <v/>
      </c>
      <c r="E230" s="49">
        <f>IF($B230="","",SUMIFS(Grids!$BQ$160:$EC$219,Grids!$EE$160:$GQ$219,"&gt;="&amp;$B230*1000000000,Grids!$EE$160:$GQ$219,"&lt;"&amp;($B230+1)*1000000000))</f>
        <v/>
      </c>
      <c r="F230" s="50">
        <f>IF($B230="","",SUM($C$26:$C230))</f>
        <v/>
      </c>
      <c r="G230" s="50">
        <f>IF($B230="","",SUM($D$26:$D230))</f>
        <v/>
      </c>
      <c r="H230" s="50">
        <f>IF($B230="","",SUM($E$26:$E230))</f>
        <v/>
      </c>
    </row>
    <row r="231">
      <c r="B231" s="48">
        <f>IF(DATE(YEAR_Y,1,1)+205&gt;DATE(YEAR_Y,12,31),"",DATE(YEAR_Y,1,1)+205)</f>
        <v/>
      </c>
      <c r="C231" s="49">
        <f>IF($B231="","",SUMIFS(Grids!$BQ$12:$EC$111,Grids!$EE$12:$GQ$111,"&gt;="&amp;$B231*1000000000,Grids!$EE$12:$GQ$111,"&lt;"&amp;($B231+1)*1000000000))</f>
        <v/>
      </c>
      <c r="D231" s="49">
        <f>IF($B231="","",SUMIFS(Grids!$BQ$116:$EC$155,Grids!$EE$116:$GQ$155,"&gt;="&amp;$B231*1000000000,Grids!$EE$116:$GQ$155,"&lt;"&amp;($B231+1)*1000000000))</f>
        <v/>
      </c>
      <c r="E231" s="49">
        <f>IF($B231="","",SUMIFS(Grids!$BQ$160:$EC$219,Grids!$EE$160:$GQ$219,"&gt;="&amp;$B231*1000000000,Grids!$EE$160:$GQ$219,"&lt;"&amp;($B231+1)*1000000000))</f>
        <v/>
      </c>
      <c r="F231" s="50">
        <f>IF($B231="","",SUM($C$26:$C231))</f>
        <v/>
      </c>
      <c r="G231" s="50">
        <f>IF($B231="","",SUM($D$26:$D231))</f>
        <v/>
      </c>
      <c r="H231" s="50">
        <f>IF($B231="","",SUM($E$26:$E231))</f>
        <v/>
      </c>
    </row>
    <row r="232">
      <c r="B232" s="48">
        <f>IF(DATE(YEAR_Y,1,1)+206&gt;DATE(YEAR_Y,12,31),"",DATE(YEAR_Y,1,1)+206)</f>
        <v/>
      </c>
      <c r="C232" s="49">
        <f>IF($B232="","",SUMIFS(Grids!$BQ$12:$EC$111,Grids!$EE$12:$GQ$111,"&gt;="&amp;$B232*1000000000,Grids!$EE$12:$GQ$111,"&lt;"&amp;($B232+1)*1000000000))</f>
        <v/>
      </c>
      <c r="D232" s="49">
        <f>IF($B232="","",SUMIFS(Grids!$BQ$116:$EC$155,Grids!$EE$116:$GQ$155,"&gt;="&amp;$B232*1000000000,Grids!$EE$116:$GQ$155,"&lt;"&amp;($B232+1)*1000000000))</f>
        <v/>
      </c>
      <c r="E232" s="49">
        <f>IF($B232="","",SUMIFS(Grids!$BQ$160:$EC$219,Grids!$EE$160:$GQ$219,"&gt;="&amp;$B232*1000000000,Grids!$EE$160:$GQ$219,"&lt;"&amp;($B232+1)*1000000000))</f>
        <v/>
      </c>
      <c r="F232" s="50">
        <f>IF($B232="","",SUM($C$26:$C232))</f>
        <v/>
      </c>
      <c r="G232" s="50">
        <f>IF($B232="","",SUM($D$26:$D232))</f>
        <v/>
      </c>
      <c r="H232" s="50">
        <f>IF($B232="","",SUM($E$26:$E232))</f>
        <v/>
      </c>
    </row>
    <row r="233">
      <c r="B233" s="48">
        <f>IF(DATE(YEAR_Y,1,1)+207&gt;DATE(YEAR_Y,12,31),"",DATE(YEAR_Y,1,1)+207)</f>
        <v/>
      </c>
      <c r="C233" s="49">
        <f>IF($B233="","",SUMIFS(Grids!$BQ$12:$EC$111,Grids!$EE$12:$GQ$111,"&gt;="&amp;$B233*1000000000,Grids!$EE$12:$GQ$111,"&lt;"&amp;($B233+1)*1000000000))</f>
        <v/>
      </c>
      <c r="D233" s="49">
        <f>IF($B233="","",SUMIFS(Grids!$BQ$116:$EC$155,Grids!$EE$116:$GQ$155,"&gt;="&amp;$B233*1000000000,Grids!$EE$116:$GQ$155,"&lt;"&amp;($B233+1)*1000000000))</f>
        <v/>
      </c>
      <c r="E233" s="49">
        <f>IF($B233="","",SUMIFS(Grids!$BQ$160:$EC$219,Grids!$EE$160:$GQ$219,"&gt;="&amp;$B233*1000000000,Grids!$EE$160:$GQ$219,"&lt;"&amp;($B233+1)*1000000000))</f>
        <v/>
      </c>
      <c r="F233" s="50">
        <f>IF($B233="","",SUM($C$26:$C233))</f>
        <v/>
      </c>
      <c r="G233" s="50">
        <f>IF($B233="","",SUM($D$26:$D233))</f>
        <v/>
      </c>
      <c r="H233" s="50">
        <f>IF($B233="","",SUM($E$26:$E233))</f>
        <v/>
      </c>
    </row>
    <row r="234">
      <c r="B234" s="48">
        <f>IF(DATE(YEAR_Y,1,1)+208&gt;DATE(YEAR_Y,12,31),"",DATE(YEAR_Y,1,1)+208)</f>
        <v/>
      </c>
      <c r="C234" s="49">
        <f>IF($B234="","",SUMIFS(Grids!$BQ$12:$EC$111,Grids!$EE$12:$GQ$111,"&gt;="&amp;$B234*1000000000,Grids!$EE$12:$GQ$111,"&lt;"&amp;($B234+1)*1000000000))</f>
        <v/>
      </c>
      <c r="D234" s="49">
        <f>IF($B234="","",SUMIFS(Grids!$BQ$116:$EC$155,Grids!$EE$116:$GQ$155,"&gt;="&amp;$B234*1000000000,Grids!$EE$116:$GQ$155,"&lt;"&amp;($B234+1)*1000000000))</f>
        <v/>
      </c>
      <c r="E234" s="49">
        <f>IF($B234="","",SUMIFS(Grids!$BQ$160:$EC$219,Grids!$EE$160:$GQ$219,"&gt;="&amp;$B234*1000000000,Grids!$EE$160:$GQ$219,"&lt;"&amp;($B234+1)*1000000000))</f>
        <v/>
      </c>
      <c r="F234" s="50">
        <f>IF($B234="","",SUM($C$26:$C234))</f>
        <v/>
      </c>
      <c r="G234" s="50">
        <f>IF($B234="","",SUM($D$26:$D234))</f>
        <v/>
      </c>
      <c r="H234" s="50">
        <f>IF($B234="","",SUM($E$26:$E234))</f>
        <v/>
      </c>
    </row>
    <row r="235">
      <c r="B235" s="48">
        <f>IF(DATE(YEAR_Y,1,1)+209&gt;DATE(YEAR_Y,12,31),"",DATE(YEAR_Y,1,1)+209)</f>
        <v/>
      </c>
      <c r="C235" s="49">
        <f>IF($B235="","",SUMIFS(Grids!$BQ$12:$EC$111,Grids!$EE$12:$GQ$111,"&gt;="&amp;$B235*1000000000,Grids!$EE$12:$GQ$111,"&lt;"&amp;($B235+1)*1000000000))</f>
        <v/>
      </c>
      <c r="D235" s="49">
        <f>IF($B235="","",SUMIFS(Grids!$BQ$116:$EC$155,Grids!$EE$116:$GQ$155,"&gt;="&amp;$B235*1000000000,Grids!$EE$116:$GQ$155,"&lt;"&amp;($B235+1)*1000000000))</f>
        <v/>
      </c>
      <c r="E235" s="49">
        <f>IF($B235="","",SUMIFS(Grids!$BQ$160:$EC$219,Grids!$EE$160:$GQ$219,"&gt;="&amp;$B235*1000000000,Grids!$EE$160:$GQ$219,"&lt;"&amp;($B235+1)*1000000000))</f>
        <v/>
      </c>
      <c r="F235" s="50">
        <f>IF($B235="","",SUM($C$26:$C235))</f>
        <v/>
      </c>
      <c r="G235" s="50">
        <f>IF($B235="","",SUM($D$26:$D235))</f>
        <v/>
      </c>
      <c r="H235" s="50">
        <f>IF($B235="","",SUM($E$26:$E235))</f>
        <v/>
      </c>
    </row>
    <row r="236">
      <c r="B236" s="48">
        <f>IF(DATE(YEAR_Y,1,1)+210&gt;DATE(YEAR_Y,12,31),"",DATE(YEAR_Y,1,1)+210)</f>
        <v/>
      </c>
      <c r="C236" s="49">
        <f>IF($B236="","",SUMIFS(Grids!$BQ$12:$EC$111,Grids!$EE$12:$GQ$111,"&gt;="&amp;$B236*1000000000,Grids!$EE$12:$GQ$111,"&lt;"&amp;($B236+1)*1000000000))</f>
        <v/>
      </c>
      <c r="D236" s="49">
        <f>IF($B236="","",SUMIFS(Grids!$BQ$116:$EC$155,Grids!$EE$116:$GQ$155,"&gt;="&amp;$B236*1000000000,Grids!$EE$116:$GQ$155,"&lt;"&amp;($B236+1)*1000000000))</f>
        <v/>
      </c>
      <c r="E236" s="49">
        <f>IF($B236="","",SUMIFS(Grids!$BQ$160:$EC$219,Grids!$EE$160:$GQ$219,"&gt;="&amp;$B236*1000000000,Grids!$EE$160:$GQ$219,"&lt;"&amp;($B236+1)*1000000000))</f>
        <v/>
      </c>
      <c r="F236" s="50">
        <f>IF($B236="","",SUM($C$26:$C236))</f>
        <v/>
      </c>
      <c r="G236" s="50">
        <f>IF($B236="","",SUM($D$26:$D236))</f>
        <v/>
      </c>
      <c r="H236" s="50">
        <f>IF($B236="","",SUM($E$26:$E236))</f>
        <v/>
      </c>
    </row>
    <row r="237">
      <c r="B237" s="48">
        <f>IF(DATE(YEAR_Y,1,1)+211&gt;DATE(YEAR_Y,12,31),"",DATE(YEAR_Y,1,1)+211)</f>
        <v/>
      </c>
      <c r="C237" s="49">
        <f>IF($B237="","",SUMIFS(Grids!$BQ$12:$EC$111,Grids!$EE$12:$GQ$111,"&gt;="&amp;$B237*1000000000,Grids!$EE$12:$GQ$111,"&lt;"&amp;($B237+1)*1000000000))</f>
        <v/>
      </c>
      <c r="D237" s="49">
        <f>IF($B237="","",SUMIFS(Grids!$BQ$116:$EC$155,Grids!$EE$116:$GQ$155,"&gt;="&amp;$B237*1000000000,Grids!$EE$116:$GQ$155,"&lt;"&amp;($B237+1)*1000000000))</f>
        <v/>
      </c>
      <c r="E237" s="49">
        <f>IF($B237="","",SUMIFS(Grids!$BQ$160:$EC$219,Grids!$EE$160:$GQ$219,"&gt;="&amp;$B237*1000000000,Grids!$EE$160:$GQ$219,"&lt;"&amp;($B237+1)*1000000000))</f>
        <v/>
      </c>
      <c r="F237" s="50">
        <f>IF($B237="","",SUM($C$26:$C237))</f>
        <v/>
      </c>
      <c r="G237" s="50">
        <f>IF($B237="","",SUM($D$26:$D237))</f>
        <v/>
      </c>
      <c r="H237" s="50">
        <f>IF($B237="","",SUM($E$26:$E237))</f>
        <v/>
      </c>
    </row>
    <row r="238">
      <c r="B238" s="48">
        <f>IF(DATE(YEAR_Y,1,1)+212&gt;DATE(YEAR_Y,12,31),"",DATE(YEAR_Y,1,1)+212)</f>
        <v/>
      </c>
      <c r="C238" s="49">
        <f>IF($B238="","",SUMIFS(Grids!$BQ$12:$EC$111,Grids!$EE$12:$GQ$111,"&gt;="&amp;$B238*1000000000,Grids!$EE$12:$GQ$111,"&lt;"&amp;($B238+1)*1000000000))</f>
        <v/>
      </c>
      <c r="D238" s="49">
        <f>IF($B238="","",SUMIFS(Grids!$BQ$116:$EC$155,Grids!$EE$116:$GQ$155,"&gt;="&amp;$B238*1000000000,Grids!$EE$116:$GQ$155,"&lt;"&amp;($B238+1)*1000000000))</f>
        <v/>
      </c>
      <c r="E238" s="49">
        <f>IF($B238="","",SUMIFS(Grids!$BQ$160:$EC$219,Grids!$EE$160:$GQ$219,"&gt;="&amp;$B238*1000000000,Grids!$EE$160:$GQ$219,"&lt;"&amp;($B238+1)*1000000000))</f>
        <v/>
      </c>
      <c r="F238" s="50">
        <f>IF($B238="","",SUM($C$26:$C238))</f>
        <v/>
      </c>
      <c r="G238" s="50">
        <f>IF($B238="","",SUM($D$26:$D238))</f>
        <v/>
      </c>
      <c r="H238" s="50">
        <f>IF($B238="","",SUM($E$26:$E238))</f>
        <v/>
      </c>
    </row>
    <row r="239">
      <c r="B239" s="48">
        <f>IF(DATE(YEAR_Y,1,1)+213&gt;DATE(YEAR_Y,12,31),"",DATE(YEAR_Y,1,1)+213)</f>
        <v/>
      </c>
      <c r="C239" s="49">
        <f>IF($B239="","",SUMIFS(Grids!$BQ$12:$EC$111,Grids!$EE$12:$GQ$111,"&gt;="&amp;$B239*1000000000,Grids!$EE$12:$GQ$111,"&lt;"&amp;($B239+1)*1000000000))</f>
        <v/>
      </c>
      <c r="D239" s="49">
        <f>IF($B239="","",SUMIFS(Grids!$BQ$116:$EC$155,Grids!$EE$116:$GQ$155,"&gt;="&amp;$B239*1000000000,Grids!$EE$116:$GQ$155,"&lt;"&amp;($B239+1)*1000000000))</f>
        <v/>
      </c>
      <c r="E239" s="49">
        <f>IF($B239="","",SUMIFS(Grids!$BQ$160:$EC$219,Grids!$EE$160:$GQ$219,"&gt;="&amp;$B239*1000000000,Grids!$EE$160:$GQ$219,"&lt;"&amp;($B239+1)*1000000000))</f>
        <v/>
      </c>
      <c r="F239" s="50">
        <f>IF($B239="","",SUM($C$26:$C239))</f>
        <v/>
      </c>
      <c r="G239" s="50">
        <f>IF($B239="","",SUM($D$26:$D239))</f>
        <v/>
      </c>
      <c r="H239" s="50">
        <f>IF($B239="","",SUM($E$26:$E239))</f>
        <v/>
      </c>
    </row>
    <row r="240">
      <c r="B240" s="48">
        <f>IF(DATE(YEAR_Y,1,1)+214&gt;DATE(YEAR_Y,12,31),"",DATE(YEAR_Y,1,1)+214)</f>
        <v/>
      </c>
      <c r="C240" s="49">
        <f>IF($B240="","",SUMIFS(Grids!$BQ$12:$EC$111,Grids!$EE$12:$GQ$111,"&gt;="&amp;$B240*1000000000,Grids!$EE$12:$GQ$111,"&lt;"&amp;($B240+1)*1000000000))</f>
        <v/>
      </c>
      <c r="D240" s="49">
        <f>IF($B240="","",SUMIFS(Grids!$BQ$116:$EC$155,Grids!$EE$116:$GQ$155,"&gt;="&amp;$B240*1000000000,Grids!$EE$116:$GQ$155,"&lt;"&amp;($B240+1)*1000000000))</f>
        <v/>
      </c>
      <c r="E240" s="49">
        <f>IF($B240="","",SUMIFS(Grids!$BQ$160:$EC$219,Grids!$EE$160:$GQ$219,"&gt;="&amp;$B240*1000000000,Grids!$EE$160:$GQ$219,"&lt;"&amp;($B240+1)*1000000000))</f>
        <v/>
      </c>
      <c r="F240" s="50">
        <f>IF($B240="","",SUM($C$26:$C240))</f>
        <v/>
      </c>
      <c r="G240" s="50">
        <f>IF($B240="","",SUM($D$26:$D240))</f>
        <v/>
      </c>
      <c r="H240" s="50">
        <f>IF($B240="","",SUM($E$26:$E240))</f>
        <v/>
      </c>
    </row>
    <row r="241">
      <c r="B241" s="48">
        <f>IF(DATE(YEAR_Y,1,1)+215&gt;DATE(YEAR_Y,12,31),"",DATE(YEAR_Y,1,1)+215)</f>
        <v/>
      </c>
      <c r="C241" s="49">
        <f>IF($B241="","",SUMIFS(Grids!$BQ$12:$EC$111,Grids!$EE$12:$GQ$111,"&gt;="&amp;$B241*1000000000,Grids!$EE$12:$GQ$111,"&lt;"&amp;($B241+1)*1000000000))</f>
        <v/>
      </c>
      <c r="D241" s="49">
        <f>IF($B241="","",SUMIFS(Grids!$BQ$116:$EC$155,Grids!$EE$116:$GQ$155,"&gt;="&amp;$B241*1000000000,Grids!$EE$116:$GQ$155,"&lt;"&amp;($B241+1)*1000000000))</f>
        <v/>
      </c>
      <c r="E241" s="49">
        <f>IF($B241="","",SUMIFS(Grids!$BQ$160:$EC$219,Grids!$EE$160:$GQ$219,"&gt;="&amp;$B241*1000000000,Grids!$EE$160:$GQ$219,"&lt;"&amp;($B241+1)*1000000000))</f>
        <v/>
      </c>
      <c r="F241" s="50">
        <f>IF($B241="","",SUM($C$26:$C241))</f>
        <v/>
      </c>
      <c r="G241" s="50">
        <f>IF($B241="","",SUM($D$26:$D241))</f>
        <v/>
      </c>
      <c r="H241" s="50">
        <f>IF($B241="","",SUM($E$26:$E241))</f>
        <v/>
      </c>
    </row>
    <row r="242">
      <c r="B242" s="48">
        <f>IF(DATE(YEAR_Y,1,1)+216&gt;DATE(YEAR_Y,12,31),"",DATE(YEAR_Y,1,1)+216)</f>
        <v/>
      </c>
      <c r="C242" s="49">
        <f>IF($B242="","",SUMIFS(Grids!$BQ$12:$EC$111,Grids!$EE$12:$GQ$111,"&gt;="&amp;$B242*1000000000,Grids!$EE$12:$GQ$111,"&lt;"&amp;($B242+1)*1000000000))</f>
        <v/>
      </c>
      <c r="D242" s="49">
        <f>IF($B242="","",SUMIFS(Grids!$BQ$116:$EC$155,Grids!$EE$116:$GQ$155,"&gt;="&amp;$B242*1000000000,Grids!$EE$116:$GQ$155,"&lt;"&amp;($B242+1)*1000000000))</f>
        <v/>
      </c>
      <c r="E242" s="49">
        <f>IF($B242="","",SUMIFS(Grids!$BQ$160:$EC$219,Grids!$EE$160:$GQ$219,"&gt;="&amp;$B242*1000000000,Grids!$EE$160:$GQ$219,"&lt;"&amp;($B242+1)*1000000000))</f>
        <v/>
      </c>
      <c r="F242" s="50">
        <f>IF($B242="","",SUM($C$26:$C242))</f>
        <v/>
      </c>
      <c r="G242" s="50">
        <f>IF($B242="","",SUM($D$26:$D242))</f>
        <v/>
      </c>
      <c r="H242" s="50">
        <f>IF($B242="","",SUM($E$26:$E242))</f>
        <v/>
      </c>
    </row>
    <row r="243">
      <c r="B243" s="48">
        <f>IF(DATE(YEAR_Y,1,1)+217&gt;DATE(YEAR_Y,12,31),"",DATE(YEAR_Y,1,1)+217)</f>
        <v/>
      </c>
      <c r="C243" s="49">
        <f>IF($B243="","",SUMIFS(Grids!$BQ$12:$EC$111,Grids!$EE$12:$GQ$111,"&gt;="&amp;$B243*1000000000,Grids!$EE$12:$GQ$111,"&lt;"&amp;($B243+1)*1000000000))</f>
        <v/>
      </c>
      <c r="D243" s="49">
        <f>IF($B243="","",SUMIFS(Grids!$BQ$116:$EC$155,Grids!$EE$116:$GQ$155,"&gt;="&amp;$B243*1000000000,Grids!$EE$116:$GQ$155,"&lt;"&amp;($B243+1)*1000000000))</f>
        <v/>
      </c>
      <c r="E243" s="49">
        <f>IF($B243="","",SUMIFS(Grids!$BQ$160:$EC$219,Grids!$EE$160:$GQ$219,"&gt;="&amp;$B243*1000000000,Grids!$EE$160:$GQ$219,"&lt;"&amp;($B243+1)*1000000000))</f>
        <v/>
      </c>
      <c r="F243" s="50">
        <f>IF($B243="","",SUM($C$26:$C243))</f>
        <v/>
      </c>
      <c r="G243" s="50">
        <f>IF($B243="","",SUM($D$26:$D243))</f>
        <v/>
      </c>
      <c r="H243" s="50">
        <f>IF($B243="","",SUM($E$26:$E243))</f>
        <v/>
      </c>
    </row>
    <row r="244">
      <c r="B244" s="48">
        <f>IF(DATE(YEAR_Y,1,1)+218&gt;DATE(YEAR_Y,12,31),"",DATE(YEAR_Y,1,1)+218)</f>
        <v/>
      </c>
      <c r="C244" s="49">
        <f>IF($B244="","",SUMIFS(Grids!$BQ$12:$EC$111,Grids!$EE$12:$GQ$111,"&gt;="&amp;$B244*1000000000,Grids!$EE$12:$GQ$111,"&lt;"&amp;($B244+1)*1000000000))</f>
        <v/>
      </c>
      <c r="D244" s="49">
        <f>IF($B244="","",SUMIFS(Grids!$BQ$116:$EC$155,Grids!$EE$116:$GQ$155,"&gt;="&amp;$B244*1000000000,Grids!$EE$116:$GQ$155,"&lt;"&amp;($B244+1)*1000000000))</f>
        <v/>
      </c>
      <c r="E244" s="49">
        <f>IF($B244="","",SUMIFS(Grids!$BQ$160:$EC$219,Grids!$EE$160:$GQ$219,"&gt;="&amp;$B244*1000000000,Grids!$EE$160:$GQ$219,"&lt;"&amp;($B244+1)*1000000000))</f>
        <v/>
      </c>
      <c r="F244" s="50">
        <f>IF($B244="","",SUM($C$26:$C244))</f>
        <v/>
      </c>
      <c r="G244" s="50">
        <f>IF($B244="","",SUM($D$26:$D244))</f>
        <v/>
      </c>
      <c r="H244" s="50">
        <f>IF($B244="","",SUM($E$26:$E244))</f>
        <v/>
      </c>
    </row>
    <row r="245">
      <c r="B245" s="48">
        <f>IF(DATE(YEAR_Y,1,1)+219&gt;DATE(YEAR_Y,12,31),"",DATE(YEAR_Y,1,1)+219)</f>
        <v/>
      </c>
      <c r="C245" s="49">
        <f>IF($B245="","",SUMIFS(Grids!$BQ$12:$EC$111,Grids!$EE$12:$GQ$111,"&gt;="&amp;$B245*1000000000,Grids!$EE$12:$GQ$111,"&lt;"&amp;($B245+1)*1000000000))</f>
        <v/>
      </c>
      <c r="D245" s="49">
        <f>IF($B245="","",SUMIFS(Grids!$BQ$116:$EC$155,Grids!$EE$116:$GQ$155,"&gt;="&amp;$B245*1000000000,Grids!$EE$116:$GQ$155,"&lt;"&amp;($B245+1)*1000000000))</f>
        <v/>
      </c>
      <c r="E245" s="49">
        <f>IF($B245="","",SUMIFS(Grids!$BQ$160:$EC$219,Grids!$EE$160:$GQ$219,"&gt;="&amp;$B245*1000000000,Grids!$EE$160:$GQ$219,"&lt;"&amp;($B245+1)*1000000000))</f>
        <v/>
      </c>
      <c r="F245" s="50">
        <f>IF($B245="","",SUM($C$26:$C245))</f>
        <v/>
      </c>
      <c r="G245" s="50">
        <f>IF($B245="","",SUM($D$26:$D245))</f>
        <v/>
      </c>
      <c r="H245" s="50">
        <f>IF($B245="","",SUM($E$26:$E245))</f>
        <v/>
      </c>
    </row>
    <row r="246">
      <c r="B246" s="48">
        <f>IF(DATE(YEAR_Y,1,1)+220&gt;DATE(YEAR_Y,12,31),"",DATE(YEAR_Y,1,1)+220)</f>
        <v/>
      </c>
      <c r="C246" s="49">
        <f>IF($B246="","",SUMIFS(Grids!$BQ$12:$EC$111,Grids!$EE$12:$GQ$111,"&gt;="&amp;$B246*1000000000,Grids!$EE$12:$GQ$111,"&lt;"&amp;($B246+1)*1000000000))</f>
        <v/>
      </c>
      <c r="D246" s="49">
        <f>IF($B246="","",SUMIFS(Grids!$BQ$116:$EC$155,Grids!$EE$116:$GQ$155,"&gt;="&amp;$B246*1000000000,Grids!$EE$116:$GQ$155,"&lt;"&amp;($B246+1)*1000000000))</f>
        <v/>
      </c>
      <c r="E246" s="49">
        <f>IF($B246="","",SUMIFS(Grids!$BQ$160:$EC$219,Grids!$EE$160:$GQ$219,"&gt;="&amp;$B246*1000000000,Grids!$EE$160:$GQ$219,"&lt;"&amp;($B246+1)*1000000000))</f>
        <v/>
      </c>
      <c r="F246" s="50">
        <f>IF($B246="","",SUM($C$26:$C246))</f>
        <v/>
      </c>
      <c r="G246" s="50">
        <f>IF($B246="","",SUM($D$26:$D246))</f>
        <v/>
      </c>
      <c r="H246" s="50">
        <f>IF($B246="","",SUM($E$26:$E246))</f>
        <v/>
      </c>
    </row>
    <row r="247">
      <c r="B247" s="48">
        <f>IF(DATE(YEAR_Y,1,1)+221&gt;DATE(YEAR_Y,12,31),"",DATE(YEAR_Y,1,1)+221)</f>
        <v/>
      </c>
      <c r="C247" s="49">
        <f>IF($B247="","",SUMIFS(Grids!$BQ$12:$EC$111,Grids!$EE$12:$GQ$111,"&gt;="&amp;$B247*1000000000,Grids!$EE$12:$GQ$111,"&lt;"&amp;($B247+1)*1000000000))</f>
        <v/>
      </c>
      <c r="D247" s="49">
        <f>IF($B247="","",SUMIFS(Grids!$BQ$116:$EC$155,Grids!$EE$116:$GQ$155,"&gt;="&amp;$B247*1000000000,Grids!$EE$116:$GQ$155,"&lt;"&amp;($B247+1)*1000000000))</f>
        <v/>
      </c>
      <c r="E247" s="49">
        <f>IF($B247="","",SUMIFS(Grids!$BQ$160:$EC$219,Grids!$EE$160:$GQ$219,"&gt;="&amp;$B247*1000000000,Grids!$EE$160:$GQ$219,"&lt;"&amp;($B247+1)*1000000000))</f>
        <v/>
      </c>
      <c r="F247" s="50">
        <f>IF($B247="","",SUM($C$26:$C247))</f>
        <v/>
      </c>
      <c r="G247" s="50">
        <f>IF($B247="","",SUM($D$26:$D247))</f>
        <v/>
      </c>
      <c r="H247" s="50">
        <f>IF($B247="","",SUM($E$26:$E247))</f>
        <v/>
      </c>
    </row>
    <row r="248">
      <c r="B248" s="48">
        <f>IF(DATE(YEAR_Y,1,1)+222&gt;DATE(YEAR_Y,12,31),"",DATE(YEAR_Y,1,1)+222)</f>
        <v/>
      </c>
      <c r="C248" s="49">
        <f>IF($B248="","",SUMIFS(Grids!$BQ$12:$EC$111,Grids!$EE$12:$GQ$111,"&gt;="&amp;$B248*1000000000,Grids!$EE$12:$GQ$111,"&lt;"&amp;($B248+1)*1000000000))</f>
        <v/>
      </c>
      <c r="D248" s="49">
        <f>IF($B248="","",SUMIFS(Grids!$BQ$116:$EC$155,Grids!$EE$116:$GQ$155,"&gt;="&amp;$B248*1000000000,Grids!$EE$116:$GQ$155,"&lt;"&amp;($B248+1)*1000000000))</f>
        <v/>
      </c>
      <c r="E248" s="49">
        <f>IF($B248="","",SUMIFS(Grids!$BQ$160:$EC$219,Grids!$EE$160:$GQ$219,"&gt;="&amp;$B248*1000000000,Grids!$EE$160:$GQ$219,"&lt;"&amp;($B248+1)*1000000000))</f>
        <v/>
      </c>
      <c r="F248" s="50">
        <f>IF($B248="","",SUM($C$26:$C248))</f>
        <v/>
      </c>
      <c r="G248" s="50">
        <f>IF($B248="","",SUM($D$26:$D248))</f>
        <v/>
      </c>
      <c r="H248" s="50">
        <f>IF($B248="","",SUM($E$26:$E248))</f>
        <v/>
      </c>
    </row>
    <row r="249">
      <c r="B249" s="48">
        <f>IF(DATE(YEAR_Y,1,1)+223&gt;DATE(YEAR_Y,12,31),"",DATE(YEAR_Y,1,1)+223)</f>
        <v/>
      </c>
      <c r="C249" s="49">
        <f>IF($B249="","",SUMIFS(Grids!$BQ$12:$EC$111,Grids!$EE$12:$GQ$111,"&gt;="&amp;$B249*1000000000,Grids!$EE$12:$GQ$111,"&lt;"&amp;($B249+1)*1000000000))</f>
        <v/>
      </c>
      <c r="D249" s="49">
        <f>IF($B249="","",SUMIFS(Grids!$BQ$116:$EC$155,Grids!$EE$116:$GQ$155,"&gt;="&amp;$B249*1000000000,Grids!$EE$116:$GQ$155,"&lt;"&amp;($B249+1)*1000000000))</f>
        <v/>
      </c>
      <c r="E249" s="49">
        <f>IF($B249="","",SUMIFS(Grids!$BQ$160:$EC$219,Grids!$EE$160:$GQ$219,"&gt;="&amp;$B249*1000000000,Grids!$EE$160:$GQ$219,"&lt;"&amp;($B249+1)*1000000000))</f>
        <v/>
      </c>
      <c r="F249" s="50">
        <f>IF($B249="","",SUM($C$26:$C249))</f>
        <v/>
      </c>
      <c r="G249" s="50">
        <f>IF($B249="","",SUM($D$26:$D249))</f>
        <v/>
      </c>
      <c r="H249" s="50">
        <f>IF($B249="","",SUM($E$26:$E249))</f>
        <v/>
      </c>
    </row>
    <row r="250">
      <c r="B250" s="48">
        <f>IF(DATE(YEAR_Y,1,1)+224&gt;DATE(YEAR_Y,12,31),"",DATE(YEAR_Y,1,1)+224)</f>
        <v/>
      </c>
      <c r="C250" s="49">
        <f>IF($B250="","",SUMIFS(Grids!$BQ$12:$EC$111,Grids!$EE$12:$GQ$111,"&gt;="&amp;$B250*1000000000,Grids!$EE$12:$GQ$111,"&lt;"&amp;($B250+1)*1000000000))</f>
        <v/>
      </c>
      <c r="D250" s="49">
        <f>IF($B250="","",SUMIFS(Grids!$BQ$116:$EC$155,Grids!$EE$116:$GQ$155,"&gt;="&amp;$B250*1000000000,Grids!$EE$116:$GQ$155,"&lt;"&amp;($B250+1)*1000000000))</f>
        <v/>
      </c>
      <c r="E250" s="49">
        <f>IF($B250="","",SUMIFS(Grids!$BQ$160:$EC$219,Grids!$EE$160:$GQ$219,"&gt;="&amp;$B250*1000000000,Grids!$EE$160:$GQ$219,"&lt;"&amp;($B250+1)*1000000000))</f>
        <v/>
      </c>
      <c r="F250" s="50">
        <f>IF($B250="","",SUM($C$26:$C250))</f>
        <v/>
      </c>
      <c r="G250" s="50">
        <f>IF($B250="","",SUM($D$26:$D250))</f>
        <v/>
      </c>
      <c r="H250" s="50">
        <f>IF($B250="","",SUM($E$26:$E250))</f>
        <v/>
      </c>
    </row>
    <row r="251">
      <c r="B251" s="48">
        <f>IF(DATE(YEAR_Y,1,1)+225&gt;DATE(YEAR_Y,12,31),"",DATE(YEAR_Y,1,1)+225)</f>
        <v/>
      </c>
      <c r="C251" s="49">
        <f>IF($B251="","",SUMIFS(Grids!$BQ$12:$EC$111,Grids!$EE$12:$GQ$111,"&gt;="&amp;$B251*1000000000,Grids!$EE$12:$GQ$111,"&lt;"&amp;($B251+1)*1000000000))</f>
        <v/>
      </c>
      <c r="D251" s="49">
        <f>IF($B251="","",SUMIFS(Grids!$BQ$116:$EC$155,Grids!$EE$116:$GQ$155,"&gt;="&amp;$B251*1000000000,Grids!$EE$116:$GQ$155,"&lt;"&amp;($B251+1)*1000000000))</f>
        <v/>
      </c>
      <c r="E251" s="49">
        <f>IF($B251="","",SUMIFS(Grids!$BQ$160:$EC$219,Grids!$EE$160:$GQ$219,"&gt;="&amp;$B251*1000000000,Grids!$EE$160:$GQ$219,"&lt;"&amp;($B251+1)*1000000000))</f>
        <v/>
      </c>
      <c r="F251" s="50">
        <f>IF($B251="","",SUM($C$26:$C251))</f>
        <v/>
      </c>
      <c r="G251" s="50">
        <f>IF($B251="","",SUM($D$26:$D251))</f>
        <v/>
      </c>
      <c r="H251" s="50">
        <f>IF($B251="","",SUM($E$26:$E251))</f>
        <v/>
      </c>
    </row>
    <row r="252">
      <c r="B252" s="48">
        <f>IF(DATE(YEAR_Y,1,1)+226&gt;DATE(YEAR_Y,12,31),"",DATE(YEAR_Y,1,1)+226)</f>
        <v/>
      </c>
      <c r="C252" s="49">
        <f>IF($B252="","",SUMIFS(Grids!$BQ$12:$EC$111,Grids!$EE$12:$GQ$111,"&gt;="&amp;$B252*1000000000,Grids!$EE$12:$GQ$111,"&lt;"&amp;($B252+1)*1000000000))</f>
        <v/>
      </c>
      <c r="D252" s="49">
        <f>IF($B252="","",SUMIFS(Grids!$BQ$116:$EC$155,Grids!$EE$116:$GQ$155,"&gt;="&amp;$B252*1000000000,Grids!$EE$116:$GQ$155,"&lt;"&amp;($B252+1)*1000000000))</f>
        <v/>
      </c>
      <c r="E252" s="49">
        <f>IF($B252="","",SUMIFS(Grids!$BQ$160:$EC$219,Grids!$EE$160:$GQ$219,"&gt;="&amp;$B252*1000000000,Grids!$EE$160:$GQ$219,"&lt;"&amp;($B252+1)*1000000000))</f>
        <v/>
      </c>
      <c r="F252" s="50">
        <f>IF($B252="","",SUM($C$26:$C252))</f>
        <v/>
      </c>
      <c r="G252" s="50">
        <f>IF($B252="","",SUM($D$26:$D252))</f>
        <v/>
      </c>
      <c r="H252" s="50">
        <f>IF($B252="","",SUM($E$26:$E252))</f>
        <v/>
      </c>
    </row>
    <row r="253">
      <c r="B253" s="48">
        <f>IF(DATE(YEAR_Y,1,1)+227&gt;DATE(YEAR_Y,12,31),"",DATE(YEAR_Y,1,1)+227)</f>
        <v/>
      </c>
      <c r="C253" s="49">
        <f>IF($B253="","",SUMIFS(Grids!$BQ$12:$EC$111,Grids!$EE$12:$GQ$111,"&gt;="&amp;$B253*1000000000,Grids!$EE$12:$GQ$111,"&lt;"&amp;($B253+1)*1000000000))</f>
        <v/>
      </c>
      <c r="D253" s="49">
        <f>IF($B253="","",SUMIFS(Grids!$BQ$116:$EC$155,Grids!$EE$116:$GQ$155,"&gt;="&amp;$B253*1000000000,Grids!$EE$116:$GQ$155,"&lt;"&amp;($B253+1)*1000000000))</f>
        <v/>
      </c>
      <c r="E253" s="49">
        <f>IF($B253="","",SUMIFS(Grids!$BQ$160:$EC$219,Grids!$EE$160:$GQ$219,"&gt;="&amp;$B253*1000000000,Grids!$EE$160:$GQ$219,"&lt;"&amp;($B253+1)*1000000000))</f>
        <v/>
      </c>
      <c r="F253" s="50">
        <f>IF($B253="","",SUM($C$26:$C253))</f>
        <v/>
      </c>
      <c r="G253" s="50">
        <f>IF($B253="","",SUM($D$26:$D253))</f>
        <v/>
      </c>
      <c r="H253" s="50">
        <f>IF($B253="","",SUM($E$26:$E253))</f>
        <v/>
      </c>
    </row>
    <row r="254">
      <c r="B254" s="48">
        <f>IF(DATE(YEAR_Y,1,1)+228&gt;DATE(YEAR_Y,12,31),"",DATE(YEAR_Y,1,1)+228)</f>
        <v/>
      </c>
      <c r="C254" s="49">
        <f>IF($B254="","",SUMIFS(Grids!$BQ$12:$EC$111,Grids!$EE$12:$GQ$111,"&gt;="&amp;$B254*1000000000,Grids!$EE$12:$GQ$111,"&lt;"&amp;($B254+1)*1000000000))</f>
        <v/>
      </c>
      <c r="D254" s="49">
        <f>IF($B254="","",SUMIFS(Grids!$BQ$116:$EC$155,Grids!$EE$116:$GQ$155,"&gt;="&amp;$B254*1000000000,Grids!$EE$116:$GQ$155,"&lt;"&amp;($B254+1)*1000000000))</f>
        <v/>
      </c>
      <c r="E254" s="49">
        <f>IF($B254="","",SUMIFS(Grids!$BQ$160:$EC$219,Grids!$EE$160:$GQ$219,"&gt;="&amp;$B254*1000000000,Grids!$EE$160:$GQ$219,"&lt;"&amp;($B254+1)*1000000000))</f>
        <v/>
      </c>
      <c r="F254" s="50">
        <f>IF($B254="","",SUM($C$26:$C254))</f>
        <v/>
      </c>
      <c r="G254" s="50">
        <f>IF($B254="","",SUM($D$26:$D254))</f>
        <v/>
      </c>
      <c r="H254" s="50">
        <f>IF($B254="","",SUM($E$26:$E254))</f>
        <v/>
      </c>
    </row>
    <row r="255">
      <c r="B255" s="48">
        <f>IF(DATE(YEAR_Y,1,1)+229&gt;DATE(YEAR_Y,12,31),"",DATE(YEAR_Y,1,1)+229)</f>
        <v/>
      </c>
      <c r="C255" s="49">
        <f>IF($B255="","",SUMIFS(Grids!$BQ$12:$EC$111,Grids!$EE$12:$GQ$111,"&gt;="&amp;$B255*1000000000,Grids!$EE$12:$GQ$111,"&lt;"&amp;($B255+1)*1000000000))</f>
        <v/>
      </c>
      <c r="D255" s="49">
        <f>IF($B255="","",SUMIFS(Grids!$BQ$116:$EC$155,Grids!$EE$116:$GQ$155,"&gt;="&amp;$B255*1000000000,Grids!$EE$116:$GQ$155,"&lt;"&amp;($B255+1)*1000000000))</f>
        <v/>
      </c>
      <c r="E255" s="49">
        <f>IF($B255="","",SUMIFS(Grids!$BQ$160:$EC$219,Grids!$EE$160:$GQ$219,"&gt;="&amp;$B255*1000000000,Grids!$EE$160:$GQ$219,"&lt;"&amp;($B255+1)*1000000000))</f>
        <v/>
      </c>
      <c r="F255" s="50">
        <f>IF($B255="","",SUM($C$26:$C255))</f>
        <v/>
      </c>
      <c r="G255" s="50">
        <f>IF($B255="","",SUM($D$26:$D255))</f>
        <v/>
      </c>
      <c r="H255" s="50">
        <f>IF($B255="","",SUM($E$26:$E255))</f>
        <v/>
      </c>
    </row>
    <row r="256">
      <c r="B256" s="48">
        <f>IF(DATE(YEAR_Y,1,1)+230&gt;DATE(YEAR_Y,12,31),"",DATE(YEAR_Y,1,1)+230)</f>
        <v/>
      </c>
      <c r="C256" s="49">
        <f>IF($B256="","",SUMIFS(Grids!$BQ$12:$EC$111,Grids!$EE$12:$GQ$111,"&gt;="&amp;$B256*1000000000,Grids!$EE$12:$GQ$111,"&lt;"&amp;($B256+1)*1000000000))</f>
        <v/>
      </c>
      <c r="D256" s="49">
        <f>IF($B256="","",SUMIFS(Grids!$BQ$116:$EC$155,Grids!$EE$116:$GQ$155,"&gt;="&amp;$B256*1000000000,Grids!$EE$116:$GQ$155,"&lt;"&amp;($B256+1)*1000000000))</f>
        <v/>
      </c>
      <c r="E256" s="49">
        <f>IF($B256="","",SUMIFS(Grids!$BQ$160:$EC$219,Grids!$EE$160:$GQ$219,"&gt;="&amp;$B256*1000000000,Grids!$EE$160:$GQ$219,"&lt;"&amp;($B256+1)*1000000000))</f>
        <v/>
      </c>
      <c r="F256" s="50">
        <f>IF($B256="","",SUM($C$26:$C256))</f>
        <v/>
      </c>
      <c r="G256" s="50">
        <f>IF($B256="","",SUM($D$26:$D256))</f>
        <v/>
      </c>
      <c r="H256" s="50">
        <f>IF($B256="","",SUM($E$26:$E256))</f>
        <v/>
      </c>
    </row>
    <row r="257">
      <c r="B257" s="48">
        <f>IF(DATE(YEAR_Y,1,1)+231&gt;DATE(YEAR_Y,12,31),"",DATE(YEAR_Y,1,1)+231)</f>
        <v/>
      </c>
      <c r="C257" s="49">
        <f>IF($B257="","",SUMIFS(Grids!$BQ$12:$EC$111,Grids!$EE$12:$GQ$111,"&gt;="&amp;$B257*1000000000,Grids!$EE$12:$GQ$111,"&lt;"&amp;($B257+1)*1000000000))</f>
        <v/>
      </c>
      <c r="D257" s="49">
        <f>IF($B257="","",SUMIFS(Grids!$BQ$116:$EC$155,Grids!$EE$116:$GQ$155,"&gt;="&amp;$B257*1000000000,Grids!$EE$116:$GQ$155,"&lt;"&amp;($B257+1)*1000000000))</f>
        <v/>
      </c>
      <c r="E257" s="49">
        <f>IF($B257="","",SUMIFS(Grids!$BQ$160:$EC$219,Grids!$EE$160:$GQ$219,"&gt;="&amp;$B257*1000000000,Grids!$EE$160:$GQ$219,"&lt;"&amp;($B257+1)*1000000000))</f>
        <v/>
      </c>
      <c r="F257" s="50">
        <f>IF($B257="","",SUM($C$26:$C257))</f>
        <v/>
      </c>
      <c r="G257" s="50">
        <f>IF($B257="","",SUM($D$26:$D257))</f>
        <v/>
      </c>
      <c r="H257" s="50">
        <f>IF($B257="","",SUM($E$26:$E257))</f>
        <v/>
      </c>
    </row>
    <row r="258">
      <c r="B258" s="48">
        <f>IF(DATE(YEAR_Y,1,1)+232&gt;DATE(YEAR_Y,12,31),"",DATE(YEAR_Y,1,1)+232)</f>
        <v/>
      </c>
      <c r="C258" s="49">
        <f>IF($B258="","",SUMIFS(Grids!$BQ$12:$EC$111,Grids!$EE$12:$GQ$111,"&gt;="&amp;$B258*1000000000,Grids!$EE$12:$GQ$111,"&lt;"&amp;($B258+1)*1000000000))</f>
        <v/>
      </c>
      <c r="D258" s="49">
        <f>IF($B258="","",SUMIFS(Grids!$BQ$116:$EC$155,Grids!$EE$116:$GQ$155,"&gt;="&amp;$B258*1000000000,Grids!$EE$116:$GQ$155,"&lt;"&amp;($B258+1)*1000000000))</f>
        <v/>
      </c>
      <c r="E258" s="49">
        <f>IF($B258="","",SUMIFS(Grids!$BQ$160:$EC$219,Grids!$EE$160:$GQ$219,"&gt;="&amp;$B258*1000000000,Grids!$EE$160:$GQ$219,"&lt;"&amp;($B258+1)*1000000000))</f>
        <v/>
      </c>
      <c r="F258" s="50">
        <f>IF($B258="","",SUM($C$26:$C258))</f>
        <v/>
      </c>
      <c r="G258" s="50">
        <f>IF($B258="","",SUM($D$26:$D258))</f>
        <v/>
      </c>
      <c r="H258" s="50">
        <f>IF($B258="","",SUM($E$26:$E258))</f>
        <v/>
      </c>
    </row>
    <row r="259">
      <c r="B259" s="48">
        <f>IF(DATE(YEAR_Y,1,1)+233&gt;DATE(YEAR_Y,12,31),"",DATE(YEAR_Y,1,1)+233)</f>
        <v/>
      </c>
      <c r="C259" s="49">
        <f>IF($B259="","",SUMIFS(Grids!$BQ$12:$EC$111,Grids!$EE$12:$GQ$111,"&gt;="&amp;$B259*1000000000,Grids!$EE$12:$GQ$111,"&lt;"&amp;($B259+1)*1000000000))</f>
        <v/>
      </c>
      <c r="D259" s="49">
        <f>IF($B259="","",SUMIFS(Grids!$BQ$116:$EC$155,Grids!$EE$116:$GQ$155,"&gt;="&amp;$B259*1000000000,Grids!$EE$116:$GQ$155,"&lt;"&amp;($B259+1)*1000000000))</f>
        <v/>
      </c>
      <c r="E259" s="49">
        <f>IF($B259="","",SUMIFS(Grids!$BQ$160:$EC$219,Grids!$EE$160:$GQ$219,"&gt;="&amp;$B259*1000000000,Grids!$EE$160:$GQ$219,"&lt;"&amp;($B259+1)*1000000000))</f>
        <v/>
      </c>
      <c r="F259" s="50">
        <f>IF($B259="","",SUM($C$26:$C259))</f>
        <v/>
      </c>
      <c r="G259" s="50">
        <f>IF($B259="","",SUM($D$26:$D259))</f>
        <v/>
      </c>
      <c r="H259" s="50">
        <f>IF($B259="","",SUM($E$26:$E259))</f>
        <v/>
      </c>
    </row>
    <row r="260">
      <c r="B260" s="48">
        <f>IF(DATE(YEAR_Y,1,1)+234&gt;DATE(YEAR_Y,12,31),"",DATE(YEAR_Y,1,1)+234)</f>
        <v/>
      </c>
      <c r="C260" s="49">
        <f>IF($B260="","",SUMIFS(Grids!$BQ$12:$EC$111,Grids!$EE$12:$GQ$111,"&gt;="&amp;$B260*1000000000,Grids!$EE$12:$GQ$111,"&lt;"&amp;($B260+1)*1000000000))</f>
        <v/>
      </c>
      <c r="D260" s="49">
        <f>IF($B260="","",SUMIFS(Grids!$BQ$116:$EC$155,Grids!$EE$116:$GQ$155,"&gt;="&amp;$B260*1000000000,Grids!$EE$116:$GQ$155,"&lt;"&amp;($B260+1)*1000000000))</f>
        <v/>
      </c>
      <c r="E260" s="49">
        <f>IF($B260="","",SUMIFS(Grids!$BQ$160:$EC$219,Grids!$EE$160:$GQ$219,"&gt;="&amp;$B260*1000000000,Grids!$EE$160:$GQ$219,"&lt;"&amp;($B260+1)*1000000000))</f>
        <v/>
      </c>
      <c r="F260" s="50">
        <f>IF($B260="","",SUM($C$26:$C260))</f>
        <v/>
      </c>
      <c r="G260" s="50">
        <f>IF($B260="","",SUM($D$26:$D260))</f>
        <v/>
      </c>
      <c r="H260" s="50">
        <f>IF($B260="","",SUM($E$26:$E260))</f>
        <v/>
      </c>
    </row>
    <row r="261">
      <c r="B261" s="48">
        <f>IF(DATE(YEAR_Y,1,1)+235&gt;DATE(YEAR_Y,12,31),"",DATE(YEAR_Y,1,1)+235)</f>
        <v/>
      </c>
      <c r="C261" s="49">
        <f>IF($B261="","",SUMIFS(Grids!$BQ$12:$EC$111,Grids!$EE$12:$GQ$111,"&gt;="&amp;$B261*1000000000,Grids!$EE$12:$GQ$111,"&lt;"&amp;($B261+1)*1000000000))</f>
        <v/>
      </c>
      <c r="D261" s="49">
        <f>IF($B261="","",SUMIFS(Grids!$BQ$116:$EC$155,Grids!$EE$116:$GQ$155,"&gt;="&amp;$B261*1000000000,Grids!$EE$116:$GQ$155,"&lt;"&amp;($B261+1)*1000000000))</f>
        <v/>
      </c>
      <c r="E261" s="49">
        <f>IF($B261="","",SUMIFS(Grids!$BQ$160:$EC$219,Grids!$EE$160:$GQ$219,"&gt;="&amp;$B261*1000000000,Grids!$EE$160:$GQ$219,"&lt;"&amp;($B261+1)*1000000000))</f>
        <v/>
      </c>
      <c r="F261" s="50">
        <f>IF($B261="","",SUM($C$26:$C261))</f>
        <v/>
      </c>
      <c r="G261" s="50">
        <f>IF($B261="","",SUM($D$26:$D261))</f>
        <v/>
      </c>
      <c r="H261" s="50">
        <f>IF($B261="","",SUM($E$26:$E261))</f>
        <v/>
      </c>
    </row>
    <row r="262">
      <c r="B262" s="48">
        <f>IF(DATE(YEAR_Y,1,1)+236&gt;DATE(YEAR_Y,12,31),"",DATE(YEAR_Y,1,1)+236)</f>
        <v/>
      </c>
      <c r="C262" s="49">
        <f>IF($B262="","",SUMIFS(Grids!$BQ$12:$EC$111,Grids!$EE$12:$GQ$111,"&gt;="&amp;$B262*1000000000,Grids!$EE$12:$GQ$111,"&lt;"&amp;($B262+1)*1000000000))</f>
        <v/>
      </c>
      <c r="D262" s="49">
        <f>IF($B262="","",SUMIFS(Grids!$BQ$116:$EC$155,Grids!$EE$116:$GQ$155,"&gt;="&amp;$B262*1000000000,Grids!$EE$116:$GQ$155,"&lt;"&amp;($B262+1)*1000000000))</f>
        <v/>
      </c>
      <c r="E262" s="49">
        <f>IF($B262="","",SUMIFS(Grids!$BQ$160:$EC$219,Grids!$EE$160:$GQ$219,"&gt;="&amp;$B262*1000000000,Grids!$EE$160:$GQ$219,"&lt;"&amp;($B262+1)*1000000000))</f>
        <v/>
      </c>
      <c r="F262" s="50">
        <f>IF($B262="","",SUM($C$26:$C262))</f>
        <v/>
      </c>
      <c r="G262" s="50">
        <f>IF($B262="","",SUM($D$26:$D262))</f>
        <v/>
      </c>
      <c r="H262" s="50">
        <f>IF($B262="","",SUM($E$26:$E262))</f>
        <v/>
      </c>
    </row>
    <row r="263">
      <c r="B263" s="48">
        <f>IF(DATE(YEAR_Y,1,1)+237&gt;DATE(YEAR_Y,12,31),"",DATE(YEAR_Y,1,1)+237)</f>
        <v/>
      </c>
      <c r="C263" s="49">
        <f>IF($B263="","",SUMIFS(Grids!$BQ$12:$EC$111,Grids!$EE$12:$GQ$111,"&gt;="&amp;$B263*1000000000,Grids!$EE$12:$GQ$111,"&lt;"&amp;($B263+1)*1000000000))</f>
        <v/>
      </c>
      <c r="D263" s="49">
        <f>IF($B263="","",SUMIFS(Grids!$BQ$116:$EC$155,Grids!$EE$116:$GQ$155,"&gt;="&amp;$B263*1000000000,Grids!$EE$116:$GQ$155,"&lt;"&amp;($B263+1)*1000000000))</f>
        <v/>
      </c>
      <c r="E263" s="49">
        <f>IF($B263="","",SUMIFS(Grids!$BQ$160:$EC$219,Grids!$EE$160:$GQ$219,"&gt;="&amp;$B263*1000000000,Grids!$EE$160:$GQ$219,"&lt;"&amp;($B263+1)*1000000000))</f>
        <v/>
      </c>
      <c r="F263" s="50">
        <f>IF($B263="","",SUM($C$26:$C263))</f>
        <v/>
      </c>
      <c r="G263" s="50">
        <f>IF($B263="","",SUM($D$26:$D263))</f>
        <v/>
      </c>
      <c r="H263" s="50">
        <f>IF($B263="","",SUM($E$26:$E263))</f>
        <v/>
      </c>
    </row>
    <row r="264">
      <c r="B264" s="48">
        <f>IF(DATE(YEAR_Y,1,1)+238&gt;DATE(YEAR_Y,12,31),"",DATE(YEAR_Y,1,1)+238)</f>
        <v/>
      </c>
      <c r="C264" s="49">
        <f>IF($B264="","",SUMIFS(Grids!$BQ$12:$EC$111,Grids!$EE$12:$GQ$111,"&gt;="&amp;$B264*1000000000,Grids!$EE$12:$GQ$111,"&lt;"&amp;($B264+1)*1000000000))</f>
        <v/>
      </c>
      <c r="D264" s="49">
        <f>IF($B264="","",SUMIFS(Grids!$BQ$116:$EC$155,Grids!$EE$116:$GQ$155,"&gt;="&amp;$B264*1000000000,Grids!$EE$116:$GQ$155,"&lt;"&amp;($B264+1)*1000000000))</f>
        <v/>
      </c>
      <c r="E264" s="49">
        <f>IF($B264="","",SUMIFS(Grids!$BQ$160:$EC$219,Grids!$EE$160:$GQ$219,"&gt;="&amp;$B264*1000000000,Grids!$EE$160:$GQ$219,"&lt;"&amp;($B264+1)*1000000000))</f>
        <v/>
      </c>
      <c r="F264" s="50">
        <f>IF($B264="","",SUM($C$26:$C264))</f>
        <v/>
      </c>
      <c r="G264" s="50">
        <f>IF($B264="","",SUM($D$26:$D264))</f>
        <v/>
      </c>
      <c r="H264" s="50">
        <f>IF($B264="","",SUM($E$26:$E264))</f>
        <v/>
      </c>
    </row>
    <row r="265">
      <c r="B265" s="48">
        <f>IF(DATE(YEAR_Y,1,1)+239&gt;DATE(YEAR_Y,12,31),"",DATE(YEAR_Y,1,1)+239)</f>
        <v/>
      </c>
      <c r="C265" s="49">
        <f>IF($B265="","",SUMIFS(Grids!$BQ$12:$EC$111,Grids!$EE$12:$GQ$111,"&gt;="&amp;$B265*1000000000,Grids!$EE$12:$GQ$111,"&lt;"&amp;($B265+1)*1000000000))</f>
        <v/>
      </c>
      <c r="D265" s="49">
        <f>IF($B265="","",SUMIFS(Grids!$BQ$116:$EC$155,Grids!$EE$116:$GQ$155,"&gt;="&amp;$B265*1000000000,Grids!$EE$116:$GQ$155,"&lt;"&amp;($B265+1)*1000000000))</f>
        <v/>
      </c>
      <c r="E265" s="49">
        <f>IF($B265="","",SUMIFS(Grids!$BQ$160:$EC$219,Grids!$EE$160:$GQ$219,"&gt;="&amp;$B265*1000000000,Grids!$EE$160:$GQ$219,"&lt;"&amp;($B265+1)*1000000000))</f>
        <v/>
      </c>
      <c r="F265" s="50">
        <f>IF($B265="","",SUM($C$26:$C265))</f>
        <v/>
      </c>
      <c r="G265" s="50">
        <f>IF($B265="","",SUM($D$26:$D265))</f>
        <v/>
      </c>
      <c r="H265" s="50">
        <f>IF($B265="","",SUM($E$26:$E265))</f>
        <v/>
      </c>
    </row>
    <row r="266">
      <c r="B266" s="48">
        <f>IF(DATE(YEAR_Y,1,1)+240&gt;DATE(YEAR_Y,12,31),"",DATE(YEAR_Y,1,1)+240)</f>
        <v/>
      </c>
      <c r="C266" s="49">
        <f>IF($B266="","",SUMIFS(Grids!$BQ$12:$EC$111,Grids!$EE$12:$GQ$111,"&gt;="&amp;$B266*1000000000,Grids!$EE$12:$GQ$111,"&lt;"&amp;($B266+1)*1000000000))</f>
        <v/>
      </c>
      <c r="D266" s="49">
        <f>IF($B266="","",SUMIFS(Grids!$BQ$116:$EC$155,Grids!$EE$116:$GQ$155,"&gt;="&amp;$B266*1000000000,Grids!$EE$116:$GQ$155,"&lt;"&amp;($B266+1)*1000000000))</f>
        <v/>
      </c>
      <c r="E266" s="49">
        <f>IF($B266="","",SUMIFS(Grids!$BQ$160:$EC$219,Grids!$EE$160:$GQ$219,"&gt;="&amp;$B266*1000000000,Grids!$EE$160:$GQ$219,"&lt;"&amp;($B266+1)*1000000000))</f>
        <v/>
      </c>
      <c r="F266" s="50">
        <f>IF($B266="","",SUM($C$26:$C266))</f>
        <v/>
      </c>
      <c r="G266" s="50">
        <f>IF($B266="","",SUM($D$26:$D266))</f>
        <v/>
      </c>
      <c r="H266" s="50">
        <f>IF($B266="","",SUM($E$26:$E266))</f>
        <v/>
      </c>
    </row>
    <row r="267">
      <c r="B267" s="48">
        <f>IF(DATE(YEAR_Y,1,1)+241&gt;DATE(YEAR_Y,12,31),"",DATE(YEAR_Y,1,1)+241)</f>
        <v/>
      </c>
      <c r="C267" s="49">
        <f>IF($B267="","",SUMIFS(Grids!$BQ$12:$EC$111,Grids!$EE$12:$GQ$111,"&gt;="&amp;$B267*1000000000,Grids!$EE$12:$GQ$111,"&lt;"&amp;($B267+1)*1000000000))</f>
        <v/>
      </c>
      <c r="D267" s="49">
        <f>IF($B267="","",SUMIFS(Grids!$BQ$116:$EC$155,Grids!$EE$116:$GQ$155,"&gt;="&amp;$B267*1000000000,Grids!$EE$116:$GQ$155,"&lt;"&amp;($B267+1)*1000000000))</f>
        <v/>
      </c>
      <c r="E267" s="49">
        <f>IF($B267="","",SUMIFS(Grids!$BQ$160:$EC$219,Grids!$EE$160:$GQ$219,"&gt;="&amp;$B267*1000000000,Grids!$EE$160:$GQ$219,"&lt;"&amp;($B267+1)*1000000000))</f>
        <v/>
      </c>
      <c r="F267" s="50">
        <f>IF($B267="","",SUM($C$26:$C267))</f>
        <v/>
      </c>
      <c r="G267" s="50">
        <f>IF($B267="","",SUM($D$26:$D267))</f>
        <v/>
      </c>
      <c r="H267" s="50">
        <f>IF($B267="","",SUM($E$26:$E267))</f>
        <v/>
      </c>
    </row>
    <row r="268">
      <c r="B268" s="48">
        <f>IF(DATE(YEAR_Y,1,1)+242&gt;DATE(YEAR_Y,12,31),"",DATE(YEAR_Y,1,1)+242)</f>
        <v/>
      </c>
      <c r="C268" s="49">
        <f>IF($B268="","",SUMIFS(Grids!$BQ$12:$EC$111,Grids!$EE$12:$GQ$111,"&gt;="&amp;$B268*1000000000,Grids!$EE$12:$GQ$111,"&lt;"&amp;($B268+1)*1000000000))</f>
        <v/>
      </c>
      <c r="D268" s="49">
        <f>IF($B268="","",SUMIFS(Grids!$BQ$116:$EC$155,Grids!$EE$116:$GQ$155,"&gt;="&amp;$B268*1000000000,Grids!$EE$116:$GQ$155,"&lt;"&amp;($B268+1)*1000000000))</f>
        <v/>
      </c>
      <c r="E268" s="49">
        <f>IF($B268="","",SUMIFS(Grids!$BQ$160:$EC$219,Grids!$EE$160:$GQ$219,"&gt;="&amp;$B268*1000000000,Grids!$EE$160:$GQ$219,"&lt;"&amp;($B268+1)*1000000000))</f>
        <v/>
      </c>
      <c r="F268" s="50">
        <f>IF($B268="","",SUM($C$26:$C268))</f>
        <v/>
      </c>
      <c r="G268" s="50">
        <f>IF($B268="","",SUM($D$26:$D268))</f>
        <v/>
      </c>
      <c r="H268" s="50">
        <f>IF($B268="","",SUM($E$26:$E268))</f>
        <v/>
      </c>
    </row>
    <row r="269">
      <c r="B269" s="48">
        <f>IF(DATE(YEAR_Y,1,1)+243&gt;DATE(YEAR_Y,12,31),"",DATE(YEAR_Y,1,1)+243)</f>
        <v/>
      </c>
      <c r="C269" s="49">
        <f>IF($B269="","",SUMIFS(Grids!$BQ$12:$EC$111,Grids!$EE$12:$GQ$111,"&gt;="&amp;$B269*1000000000,Grids!$EE$12:$GQ$111,"&lt;"&amp;($B269+1)*1000000000))</f>
        <v/>
      </c>
      <c r="D269" s="49">
        <f>IF($B269="","",SUMIFS(Grids!$BQ$116:$EC$155,Grids!$EE$116:$GQ$155,"&gt;="&amp;$B269*1000000000,Grids!$EE$116:$GQ$155,"&lt;"&amp;($B269+1)*1000000000))</f>
        <v/>
      </c>
      <c r="E269" s="49">
        <f>IF($B269="","",SUMIFS(Grids!$BQ$160:$EC$219,Grids!$EE$160:$GQ$219,"&gt;="&amp;$B269*1000000000,Grids!$EE$160:$GQ$219,"&lt;"&amp;($B269+1)*1000000000))</f>
        <v/>
      </c>
      <c r="F269" s="50">
        <f>IF($B269="","",SUM($C$26:$C269))</f>
        <v/>
      </c>
      <c r="G269" s="50">
        <f>IF($B269="","",SUM($D$26:$D269))</f>
        <v/>
      </c>
      <c r="H269" s="50">
        <f>IF($B269="","",SUM($E$26:$E269))</f>
        <v/>
      </c>
    </row>
    <row r="270">
      <c r="B270" s="48">
        <f>IF(DATE(YEAR_Y,1,1)+244&gt;DATE(YEAR_Y,12,31),"",DATE(YEAR_Y,1,1)+244)</f>
        <v/>
      </c>
      <c r="C270" s="49">
        <f>IF($B270="","",SUMIFS(Grids!$BQ$12:$EC$111,Grids!$EE$12:$GQ$111,"&gt;="&amp;$B270*1000000000,Grids!$EE$12:$GQ$111,"&lt;"&amp;($B270+1)*1000000000))</f>
        <v/>
      </c>
      <c r="D270" s="49">
        <f>IF($B270="","",SUMIFS(Grids!$BQ$116:$EC$155,Grids!$EE$116:$GQ$155,"&gt;="&amp;$B270*1000000000,Grids!$EE$116:$GQ$155,"&lt;"&amp;($B270+1)*1000000000))</f>
        <v/>
      </c>
      <c r="E270" s="49">
        <f>IF($B270="","",SUMIFS(Grids!$BQ$160:$EC$219,Grids!$EE$160:$GQ$219,"&gt;="&amp;$B270*1000000000,Grids!$EE$160:$GQ$219,"&lt;"&amp;($B270+1)*1000000000))</f>
        <v/>
      </c>
      <c r="F270" s="50">
        <f>IF($B270="","",SUM($C$26:$C270))</f>
        <v/>
      </c>
      <c r="G270" s="50">
        <f>IF($B270="","",SUM($D$26:$D270))</f>
        <v/>
      </c>
      <c r="H270" s="50">
        <f>IF($B270="","",SUM($E$26:$E270))</f>
        <v/>
      </c>
    </row>
    <row r="271">
      <c r="B271" s="48">
        <f>IF(DATE(YEAR_Y,1,1)+245&gt;DATE(YEAR_Y,12,31),"",DATE(YEAR_Y,1,1)+245)</f>
        <v/>
      </c>
      <c r="C271" s="49">
        <f>IF($B271="","",SUMIFS(Grids!$BQ$12:$EC$111,Grids!$EE$12:$GQ$111,"&gt;="&amp;$B271*1000000000,Grids!$EE$12:$GQ$111,"&lt;"&amp;($B271+1)*1000000000))</f>
        <v/>
      </c>
      <c r="D271" s="49">
        <f>IF($B271="","",SUMIFS(Grids!$BQ$116:$EC$155,Grids!$EE$116:$GQ$155,"&gt;="&amp;$B271*1000000000,Grids!$EE$116:$GQ$155,"&lt;"&amp;($B271+1)*1000000000))</f>
        <v/>
      </c>
      <c r="E271" s="49">
        <f>IF($B271="","",SUMIFS(Grids!$BQ$160:$EC$219,Grids!$EE$160:$GQ$219,"&gt;="&amp;$B271*1000000000,Grids!$EE$160:$GQ$219,"&lt;"&amp;($B271+1)*1000000000))</f>
        <v/>
      </c>
      <c r="F271" s="50">
        <f>IF($B271="","",SUM($C$26:$C271))</f>
        <v/>
      </c>
      <c r="G271" s="50">
        <f>IF($B271="","",SUM($D$26:$D271))</f>
        <v/>
      </c>
      <c r="H271" s="50">
        <f>IF($B271="","",SUM($E$26:$E271))</f>
        <v/>
      </c>
    </row>
    <row r="272">
      <c r="B272" s="48">
        <f>IF(DATE(YEAR_Y,1,1)+246&gt;DATE(YEAR_Y,12,31),"",DATE(YEAR_Y,1,1)+246)</f>
        <v/>
      </c>
      <c r="C272" s="49">
        <f>IF($B272="","",SUMIFS(Grids!$BQ$12:$EC$111,Grids!$EE$12:$GQ$111,"&gt;="&amp;$B272*1000000000,Grids!$EE$12:$GQ$111,"&lt;"&amp;($B272+1)*1000000000))</f>
        <v/>
      </c>
      <c r="D272" s="49">
        <f>IF($B272="","",SUMIFS(Grids!$BQ$116:$EC$155,Grids!$EE$116:$GQ$155,"&gt;="&amp;$B272*1000000000,Grids!$EE$116:$GQ$155,"&lt;"&amp;($B272+1)*1000000000))</f>
        <v/>
      </c>
      <c r="E272" s="49">
        <f>IF($B272="","",SUMIFS(Grids!$BQ$160:$EC$219,Grids!$EE$160:$GQ$219,"&gt;="&amp;$B272*1000000000,Grids!$EE$160:$GQ$219,"&lt;"&amp;($B272+1)*1000000000))</f>
        <v/>
      </c>
      <c r="F272" s="50">
        <f>IF($B272="","",SUM($C$26:$C272))</f>
        <v/>
      </c>
      <c r="G272" s="50">
        <f>IF($B272="","",SUM($D$26:$D272))</f>
        <v/>
      </c>
      <c r="H272" s="50">
        <f>IF($B272="","",SUM($E$26:$E272))</f>
        <v/>
      </c>
    </row>
    <row r="273">
      <c r="B273" s="48">
        <f>IF(DATE(YEAR_Y,1,1)+247&gt;DATE(YEAR_Y,12,31),"",DATE(YEAR_Y,1,1)+247)</f>
        <v/>
      </c>
      <c r="C273" s="49">
        <f>IF($B273="","",SUMIFS(Grids!$BQ$12:$EC$111,Grids!$EE$12:$GQ$111,"&gt;="&amp;$B273*1000000000,Grids!$EE$12:$GQ$111,"&lt;"&amp;($B273+1)*1000000000))</f>
        <v/>
      </c>
      <c r="D273" s="49">
        <f>IF($B273="","",SUMIFS(Grids!$BQ$116:$EC$155,Grids!$EE$116:$GQ$155,"&gt;="&amp;$B273*1000000000,Grids!$EE$116:$GQ$155,"&lt;"&amp;($B273+1)*1000000000))</f>
        <v/>
      </c>
      <c r="E273" s="49">
        <f>IF($B273="","",SUMIFS(Grids!$BQ$160:$EC$219,Grids!$EE$160:$GQ$219,"&gt;="&amp;$B273*1000000000,Grids!$EE$160:$GQ$219,"&lt;"&amp;($B273+1)*1000000000))</f>
        <v/>
      </c>
      <c r="F273" s="50">
        <f>IF($B273="","",SUM($C$26:$C273))</f>
        <v/>
      </c>
      <c r="G273" s="50">
        <f>IF($B273="","",SUM($D$26:$D273))</f>
        <v/>
      </c>
      <c r="H273" s="50">
        <f>IF($B273="","",SUM($E$26:$E273))</f>
        <v/>
      </c>
    </row>
    <row r="274">
      <c r="B274" s="48">
        <f>IF(DATE(YEAR_Y,1,1)+248&gt;DATE(YEAR_Y,12,31),"",DATE(YEAR_Y,1,1)+248)</f>
        <v/>
      </c>
      <c r="C274" s="49">
        <f>IF($B274="","",SUMIFS(Grids!$BQ$12:$EC$111,Grids!$EE$12:$GQ$111,"&gt;="&amp;$B274*1000000000,Grids!$EE$12:$GQ$111,"&lt;"&amp;($B274+1)*1000000000))</f>
        <v/>
      </c>
      <c r="D274" s="49">
        <f>IF($B274="","",SUMIFS(Grids!$BQ$116:$EC$155,Grids!$EE$116:$GQ$155,"&gt;="&amp;$B274*1000000000,Grids!$EE$116:$GQ$155,"&lt;"&amp;($B274+1)*1000000000))</f>
        <v/>
      </c>
      <c r="E274" s="49">
        <f>IF($B274="","",SUMIFS(Grids!$BQ$160:$EC$219,Grids!$EE$160:$GQ$219,"&gt;="&amp;$B274*1000000000,Grids!$EE$160:$GQ$219,"&lt;"&amp;($B274+1)*1000000000))</f>
        <v/>
      </c>
      <c r="F274" s="50">
        <f>IF($B274="","",SUM($C$26:$C274))</f>
        <v/>
      </c>
      <c r="G274" s="50">
        <f>IF($B274="","",SUM($D$26:$D274))</f>
        <v/>
      </c>
      <c r="H274" s="50">
        <f>IF($B274="","",SUM($E$26:$E274))</f>
        <v/>
      </c>
    </row>
    <row r="275">
      <c r="B275" s="48">
        <f>IF(DATE(YEAR_Y,1,1)+249&gt;DATE(YEAR_Y,12,31),"",DATE(YEAR_Y,1,1)+249)</f>
        <v/>
      </c>
      <c r="C275" s="49">
        <f>IF($B275="","",SUMIFS(Grids!$BQ$12:$EC$111,Grids!$EE$12:$GQ$111,"&gt;="&amp;$B275*1000000000,Grids!$EE$12:$GQ$111,"&lt;"&amp;($B275+1)*1000000000))</f>
        <v/>
      </c>
      <c r="D275" s="49">
        <f>IF($B275="","",SUMIFS(Grids!$BQ$116:$EC$155,Grids!$EE$116:$GQ$155,"&gt;="&amp;$B275*1000000000,Grids!$EE$116:$GQ$155,"&lt;"&amp;($B275+1)*1000000000))</f>
        <v/>
      </c>
      <c r="E275" s="49">
        <f>IF($B275="","",SUMIFS(Grids!$BQ$160:$EC$219,Grids!$EE$160:$GQ$219,"&gt;="&amp;$B275*1000000000,Grids!$EE$160:$GQ$219,"&lt;"&amp;($B275+1)*1000000000))</f>
        <v/>
      </c>
      <c r="F275" s="50">
        <f>IF($B275="","",SUM($C$26:$C275))</f>
        <v/>
      </c>
      <c r="G275" s="50">
        <f>IF($B275="","",SUM($D$26:$D275))</f>
        <v/>
      </c>
      <c r="H275" s="50">
        <f>IF($B275="","",SUM($E$26:$E275))</f>
        <v/>
      </c>
    </row>
    <row r="276">
      <c r="B276" s="48">
        <f>IF(DATE(YEAR_Y,1,1)+250&gt;DATE(YEAR_Y,12,31),"",DATE(YEAR_Y,1,1)+250)</f>
        <v/>
      </c>
      <c r="C276" s="49">
        <f>IF($B276="","",SUMIFS(Grids!$BQ$12:$EC$111,Grids!$EE$12:$GQ$111,"&gt;="&amp;$B276*1000000000,Grids!$EE$12:$GQ$111,"&lt;"&amp;($B276+1)*1000000000))</f>
        <v/>
      </c>
      <c r="D276" s="49">
        <f>IF($B276="","",SUMIFS(Grids!$BQ$116:$EC$155,Grids!$EE$116:$GQ$155,"&gt;="&amp;$B276*1000000000,Grids!$EE$116:$GQ$155,"&lt;"&amp;($B276+1)*1000000000))</f>
        <v/>
      </c>
      <c r="E276" s="49">
        <f>IF($B276="","",SUMIFS(Grids!$BQ$160:$EC$219,Grids!$EE$160:$GQ$219,"&gt;="&amp;$B276*1000000000,Grids!$EE$160:$GQ$219,"&lt;"&amp;($B276+1)*1000000000))</f>
        <v/>
      </c>
      <c r="F276" s="50">
        <f>IF($B276="","",SUM($C$26:$C276))</f>
        <v/>
      </c>
      <c r="G276" s="50">
        <f>IF($B276="","",SUM($D$26:$D276))</f>
        <v/>
      </c>
      <c r="H276" s="50">
        <f>IF($B276="","",SUM($E$26:$E276))</f>
        <v/>
      </c>
    </row>
    <row r="277">
      <c r="B277" s="48">
        <f>IF(DATE(YEAR_Y,1,1)+251&gt;DATE(YEAR_Y,12,31),"",DATE(YEAR_Y,1,1)+251)</f>
        <v/>
      </c>
      <c r="C277" s="49">
        <f>IF($B277="","",SUMIFS(Grids!$BQ$12:$EC$111,Grids!$EE$12:$GQ$111,"&gt;="&amp;$B277*1000000000,Grids!$EE$12:$GQ$111,"&lt;"&amp;($B277+1)*1000000000))</f>
        <v/>
      </c>
      <c r="D277" s="49">
        <f>IF($B277="","",SUMIFS(Grids!$BQ$116:$EC$155,Grids!$EE$116:$GQ$155,"&gt;="&amp;$B277*1000000000,Grids!$EE$116:$GQ$155,"&lt;"&amp;($B277+1)*1000000000))</f>
        <v/>
      </c>
      <c r="E277" s="49">
        <f>IF($B277="","",SUMIFS(Grids!$BQ$160:$EC$219,Grids!$EE$160:$GQ$219,"&gt;="&amp;$B277*1000000000,Grids!$EE$160:$GQ$219,"&lt;"&amp;($B277+1)*1000000000))</f>
        <v/>
      </c>
      <c r="F277" s="50">
        <f>IF($B277="","",SUM($C$26:$C277))</f>
        <v/>
      </c>
      <c r="G277" s="50">
        <f>IF($B277="","",SUM($D$26:$D277))</f>
        <v/>
      </c>
      <c r="H277" s="50">
        <f>IF($B277="","",SUM($E$26:$E277))</f>
        <v/>
      </c>
    </row>
    <row r="278">
      <c r="B278" s="48">
        <f>IF(DATE(YEAR_Y,1,1)+252&gt;DATE(YEAR_Y,12,31),"",DATE(YEAR_Y,1,1)+252)</f>
        <v/>
      </c>
      <c r="C278" s="49">
        <f>IF($B278="","",SUMIFS(Grids!$BQ$12:$EC$111,Grids!$EE$12:$GQ$111,"&gt;="&amp;$B278*1000000000,Grids!$EE$12:$GQ$111,"&lt;"&amp;($B278+1)*1000000000))</f>
        <v/>
      </c>
      <c r="D278" s="49">
        <f>IF($B278="","",SUMIFS(Grids!$BQ$116:$EC$155,Grids!$EE$116:$GQ$155,"&gt;="&amp;$B278*1000000000,Grids!$EE$116:$GQ$155,"&lt;"&amp;($B278+1)*1000000000))</f>
        <v/>
      </c>
      <c r="E278" s="49">
        <f>IF($B278="","",SUMIFS(Grids!$BQ$160:$EC$219,Grids!$EE$160:$GQ$219,"&gt;="&amp;$B278*1000000000,Grids!$EE$160:$GQ$219,"&lt;"&amp;($B278+1)*1000000000))</f>
        <v/>
      </c>
      <c r="F278" s="50">
        <f>IF($B278="","",SUM($C$26:$C278))</f>
        <v/>
      </c>
      <c r="G278" s="50">
        <f>IF($B278="","",SUM($D$26:$D278))</f>
        <v/>
      </c>
      <c r="H278" s="50">
        <f>IF($B278="","",SUM($E$26:$E278))</f>
        <v/>
      </c>
    </row>
    <row r="279">
      <c r="B279" s="48">
        <f>IF(DATE(YEAR_Y,1,1)+253&gt;DATE(YEAR_Y,12,31),"",DATE(YEAR_Y,1,1)+253)</f>
        <v/>
      </c>
      <c r="C279" s="49">
        <f>IF($B279="","",SUMIFS(Grids!$BQ$12:$EC$111,Grids!$EE$12:$GQ$111,"&gt;="&amp;$B279*1000000000,Grids!$EE$12:$GQ$111,"&lt;"&amp;($B279+1)*1000000000))</f>
        <v/>
      </c>
      <c r="D279" s="49">
        <f>IF($B279="","",SUMIFS(Grids!$BQ$116:$EC$155,Grids!$EE$116:$GQ$155,"&gt;="&amp;$B279*1000000000,Grids!$EE$116:$GQ$155,"&lt;"&amp;($B279+1)*1000000000))</f>
        <v/>
      </c>
      <c r="E279" s="49">
        <f>IF($B279="","",SUMIFS(Grids!$BQ$160:$EC$219,Grids!$EE$160:$GQ$219,"&gt;="&amp;$B279*1000000000,Grids!$EE$160:$GQ$219,"&lt;"&amp;($B279+1)*1000000000))</f>
        <v/>
      </c>
      <c r="F279" s="50">
        <f>IF($B279="","",SUM($C$26:$C279))</f>
        <v/>
      </c>
      <c r="G279" s="50">
        <f>IF($B279="","",SUM($D$26:$D279))</f>
        <v/>
      </c>
      <c r="H279" s="50">
        <f>IF($B279="","",SUM($E$26:$E279))</f>
        <v/>
      </c>
    </row>
    <row r="280">
      <c r="B280" s="48">
        <f>IF(DATE(YEAR_Y,1,1)+254&gt;DATE(YEAR_Y,12,31),"",DATE(YEAR_Y,1,1)+254)</f>
        <v/>
      </c>
      <c r="C280" s="49">
        <f>IF($B280="","",SUMIFS(Grids!$BQ$12:$EC$111,Grids!$EE$12:$GQ$111,"&gt;="&amp;$B280*1000000000,Grids!$EE$12:$GQ$111,"&lt;"&amp;($B280+1)*1000000000))</f>
        <v/>
      </c>
      <c r="D280" s="49">
        <f>IF($B280="","",SUMIFS(Grids!$BQ$116:$EC$155,Grids!$EE$116:$GQ$155,"&gt;="&amp;$B280*1000000000,Grids!$EE$116:$GQ$155,"&lt;"&amp;($B280+1)*1000000000))</f>
        <v/>
      </c>
      <c r="E280" s="49">
        <f>IF($B280="","",SUMIFS(Grids!$BQ$160:$EC$219,Grids!$EE$160:$GQ$219,"&gt;="&amp;$B280*1000000000,Grids!$EE$160:$GQ$219,"&lt;"&amp;($B280+1)*1000000000))</f>
        <v/>
      </c>
      <c r="F280" s="50">
        <f>IF($B280="","",SUM($C$26:$C280))</f>
        <v/>
      </c>
      <c r="G280" s="50">
        <f>IF($B280="","",SUM($D$26:$D280))</f>
        <v/>
      </c>
      <c r="H280" s="50">
        <f>IF($B280="","",SUM($E$26:$E280))</f>
        <v/>
      </c>
    </row>
    <row r="281">
      <c r="B281" s="48">
        <f>IF(DATE(YEAR_Y,1,1)+255&gt;DATE(YEAR_Y,12,31),"",DATE(YEAR_Y,1,1)+255)</f>
        <v/>
      </c>
      <c r="C281" s="49">
        <f>IF($B281="","",SUMIFS(Grids!$BQ$12:$EC$111,Grids!$EE$12:$GQ$111,"&gt;="&amp;$B281*1000000000,Grids!$EE$12:$GQ$111,"&lt;"&amp;($B281+1)*1000000000))</f>
        <v/>
      </c>
      <c r="D281" s="49">
        <f>IF($B281="","",SUMIFS(Grids!$BQ$116:$EC$155,Grids!$EE$116:$GQ$155,"&gt;="&amp;$B281*1000000000,Grids!$EE$116:$GQ$155,"&lt;"&amp;($B281+1)*1000000000))</f>
        <v/>
      </c>
      <c r="E281" s="49">
        <f>IF($B281="","",SUMIFS(Grids!$BQ$160:$EC$219,Grids!$EE$160:$GQ$219,"&gt;="&amp;$B281*1000000000,Grids!$EE$160:$GQ$219,"&lt;"&amp;($B281+1)*1000000000))</f>
        <v/>
      </c>
      <c r="F281" s="50">
        <f>IF($B281="","",SUM($C$26:$C281))</f>
        <v/>
      </c>
      <c r="G281" s="50">
        <f>IF($B281="","",SUM($D$26:$D281))</f>
        <v/>
      </c>
      <c r="H281" s="50">
        <f>IF($B281="","",SUM($E$26:$E281))</f>
        <v/>
      </c>
    </row>
    <row r="282">
      <c r="B282" s="48">
        <f>IF(DATE(YEAR_Y,1,1)+256&gt;DATE(YEAR_Y,12,31),"",DATE(YEAR_Y,1,1)+256)</f>
        <v/>
      </c>
      <c r="C282" s="49">
        <f>IF($B282="","",SUMIFS(Grids!$BQ$12:$EC$111,Grids!$EE$12:$GQ$111,"&gt;="&amp;$B282*1000000000,Grids!$EE$12:$GQ$111,"&lt;"&amp;($B282+1)*1000000000))</f>
        <v/>
      </c>
      <c r="D282" s="49">
        <f>IF($B282="","",SUMIFS(Grids!$BQ$116:$EC$155,Grids!$EE$116:$GQ$155,"&gt;="&amp;$B282*1000000000,Grids!$EE$116:$GQ$155,"&lt;"&amp;($B282+1)*1000000000))</f>
        <v/>
      </c>
      <c r="E282" s="49">
        <f>IF($B282="","",SUMIFS(Grids!$BQ$160:$EC$219,Grids!$EE$160:$GQ$219,"&gt;="&amp;$B282*1000000000,Grids!$EE$160:$GQ$219,"&lt;"&amp;($B282+1)*1000000000))</f>
        <v/>
      </c>
      <c r="F282" s="50">
        <f>IF($B282="","",SUM($C$26:$C282))</f>
        <v/>
      </c>
      <c r="G282" s="50">
        <f>IF($B282="","",SUM($D$26:$D282))</f>
        <v/>
      </c>
      <c r="H282" s="50">
        <f>IF($B282="","",SUM($E$26:$E282))</f>
        <v/>
      </c>
    </row>
    <row r="283">
      <c r="B283" s="48">
        <f>IF(DATE(YEAR_Y,1,1)+257&gt;DATE(YEAR_Y,12,31),"",DATE(YEAR_Y,1,1)+257)</f>
        <v/>
      </c>
      <c r="C283" s="49">
        <f>IF($B283="","",SUMIFS(Grids!$BQ$12:$EC$111,Grids!$EE$12:$GQ$111,"&gt;="&amp;$B283*1000000000,Grids!$EE$12:$GQ$111,"&lt;"&amp;($B283+1)*1000000000))</f>
        <v/>
      </c>
      <c r="D283" s="49">
        <f>IF($B283="","",SUMIFS(Grids!$BQ$116:$EC$155,Grids!$EE$116:$GQ$155,"&gt;="&amp;$B283*1000000000,Grids!$EE$116:$GQ$155,"&lt;"&amp;($B283+1)*1000000000))</f>
        <v/>
      </c>
      <c r="E283" s="49">
        <f>IF($B283="","",SUMIFS(Grids!$BQ$160:$EC$219,Grids!$EE$160:$GQ$219,"&gt;="&amp;$B283*1000000000,Grids!$EE$160:$GQ$219,"&lt;"&amp;($B283+1)*1000000000))</f>
        <v/>
      </c>
      <c r="F283" s="50">
        <f>IF($B283="","",SUM($C$26:$C283))</f>
        <v/>
      </c>
      <c r="G283" s="50">
        <f>IF($B283="","",SUM($D$26:$D283))</f>
        <v/>
      </c>
      <c r="H283" s="50">
        <f>IF($B283="","",SUM($E$26:$E283))</f>
        <v/>
      </c>
    </row>
    <row r="284">
      <c r="B284" s="48">
        <f>IF(DATE(YEAR_Y,1,1)+258&gt;DATE(YEAR_Y,12,31),"",DATE(YEAR_Y,1,1)+258)</f>
        <v/>
      </c>
      <c r="C284" s="49">
        <f>IF($B284="","",SUMIFS(Grids!$BQ$12:$EC$111,Grids!$EE$12:$GQ$111,"&gt;="&amp;$B284*1000000000,Grids!$EE$12:$GQ$111,"&lt;"&amp;($B284+1)*1000000000))</f>
        <v/>
      </c>
      <c r="D284" s="49">
        <f>IF($B284="","",SUMIFS(Grids!$BQ$116:$EC$155,Grids!$EE$116:$GQ$155,"&gt;="&amp;$B284*1000000000,Grids!$EE$116:$GQ$155,"&lt;"&amp;($B284+1)*1000000000))</f>
        <v/>
      </c>
      <c r="E284" s="49">
        <f>IF($B284="","",SUMIFS(Grids!$BQ$160:$EC$219,Grids!$EE$160:$GQ$219,"&gt;="&amp;$B284*1000000000,Grids!$EE$160:$GQ$219,"&lt;"&amp;($B284+1)*1000000000))</f>
        <v/>
      </c>
      <c r="F284" s="50">
        <f>IF($B284="","",SUM($C$26:$C284))</f>
        <v/>
      </c>
      <c r="G284" s="50">
        <f>IF($B284="","",SUM($D$26:$D284))</f>
        <v/>
      </c>
      <c r="H284" s="50">
        <f>IF($B284="","",SUM($E$26:$E284))</f>
        <v/>
      </c>
    </row>
    <row r="285">
      <c r="B285" s="48">
        <f>IF(DATE(YEAR_Y,1,1)+259&gt;DATE(YEAR_Y,12,31),"",DATE(YEAR_Y,1,1)+259)</f>
        <v/>
      </c>
      <c r="C285" s="49">
        <f>IF($B285="","",SUMIFS(Grids!$BQ$12:$EC$111,Grids!$EE$12:$GQ$111,"&gt;="&amp;$B285*1000000000,Grids!$EE$12:$GQ$111,"&lt;"&amp;($B285+1)*1000000000))</f>
        <v/>
      </c>
      <c r="D285" s="49">
        <f>IF($B285="","",SUMIFS(Grids!$BQ$116:$EC$155,Grids!$EE$116:$GQ$155,"&gt;="&amp;$B285*1000000000,Grids!$EE$116:$GQ$155,"&lt;"&amp;($B285+1)*1000000000))</f>
        <v/>
      </c>
      <c r="E285" s="49">
        <f>IF($B285="","",SUMIFS(Grids!$BQ$160:$EC$219,Grids!$EE$160:$GQ$219,"&gt;="&amp;$B285*1000000000,Grids!$EE$160:$GQ$219,"&lt;"&amp;($B285+1)*1000000000))</f>
        <v/>
      </c>
      <c r="F285" s="50">
        <f>IF($B285="","",SUM($C$26:$C285))</f>
        <v/>
      </c>
      <c r="G285" s="50">
        <f>IF($B285="","",SUM($D$26:$D285))</f>
        <v/>
      </c>
      <c r="H285" s="50">
        <f>IF($B285="","",SUM($E$26:$E285))</f>
        <v/>
      </c>
    </row>
    <row r="286">
      <c r="B286" s="48">
        <f>IF(DATE(YEAR_Y,1,1)+260&gt;DATE(YEAR_Y,12,31),"",DATE(YEAR_Y,1,1)+260)</f>
        <v/>
      </c>
      <c r="C286" s="49">
        <f>IF($B286="","",SUMIFS(Grids!$BQ$12:$EC$111,Grids!$EE$12:$GQ$111,"&gt;="&amp;$B286*1000000000,Grids!$EE$12:$GQ$111,"&lt;"&amp;($B286+1)*1000000000))</f>
        <v/>
      </c>
      <c r="D286" s="49">
        <f>IF($B286="","",SUMIFS(Grids!$BQ$116:$EC$155,Grids!$EE$116:$GQ$155,"&gt;="&amp;$B286*1000000000,Grids!$EE$116:$GQ$155,"&lt;"&amp;($B286+1)*1000000000))</f>
        <v/>
      </c>
      <c r="E286" s="49">
        <f>IF($B286="","",SUMIFS(Grids!$BQ$160:$EC$219,Grids!$EE$160:$GQ$219,"&gt;="&amp;$B286*1000000000,Grids!$EE$160:$GQ$219,"&lt;"&amp;($B286+1)*1000000000))</f>
        <v/>
      </c>
      <c r="F286" s="50">
        <f>IF($B286="","",SUM($C$26:$C286))</f>
        <v/>
      </c>
      <c r="G286" s="50">
        <f>IF($B286="","",SUM($D$26:$D286))</f>
        <v/>
      </c>
      <c r="H286" s="50">
        <f>IF($B286="","",SUM($E$26:$E286))</f>
        <v/>
      </c>
    </row>
    <row r="287">
      <c r="B287" s="48">
        <f>IF(DATE(YEAR_Y,1,1)+261&gt;DATE(YEAR_Y,12,31),"",DATE(YEAR_Y,1,1)+261)</f>
        <v/>
      </c>
      <c r="C287" s="49">
        <f>IF($B287="","",SUMIFS(Grids!$BQ$12:$EC$111,Grids!$EE$12:$GQ$111,"&gt;="&amp;$B287*1000000000,Grids!$EE$12:$GQ$111,"&lt;"&amp;($B287+1)*1000000000))</f>
        <v/>
      </c>
      <c r="D287" s="49">
        <f>IF($B287="","",SUMIFS(Grids!$BQ$116:$EC$155,Grids!$EE$116:$GQ$155,"&gt;="&amp;$B287*1000000000,Grids!$EE$116:$GQ$155,"&lt;"&amp;($B287+1)*1000000000))</f>
        <v/>
      </c>
      <c r="E287" s="49">
        <f>IF($B287="","",SUMIFS(Grids!$BQ$160:$EC$219,Grids!$EE$160:$GQ$219,"&gt;="&amp;$B287*1000000000,Grids!$EE$160:$GQ$219,"&lt;"&amp;($B287+1)*1000000000))</f>
        <v/>
      </c>
      <c r="F287" s="50">
        <f>IF($B287="","",SUM($C$26:$C287))</f>
        <v/>
      </c>
      <c r="G287" s="50">
        <f>IF($B287="","",SUM($D$26:$D287))</f>
        <v/>
      </c>
      <c r="H287" s="50">
        <f>IF($B287="","",SUM($E$26:$E287))</f>
        <v/>
      </c>
    </row>
    <row r="288">
      <c r="B288" s="48">
        <f>IF(DATE(YEAR_Y,1,1)+262&gt;DATE(YEAR_Y,12,31),"",DATE(YEAR_Y,1,1)+262)</f>
        <v/>
      </c>
      <c r="C288" s="49">
        <f>IF($B288="","",SUMIFS(Grids!$BQ$12:$EC$111,Grids!$EE$12:$GQ$111,"&gt;="&amp;$B288*1000000000,Grids!$EE$12:$GQ$111,"&lt;"&amp;($B288+1)*1000000000))</f>
        <v/>
      </c>
      <c r="D288" s="49">
        <f>IF($B288="","",SUMIFS(Grids!$BQ$116:$EC$155,Grids!$EE$116:$GQ$155,"&gt;="&amp;$B288*1000000000,Grids!$EE$116:$GQ$155,"&lt;"&amp;($B288+1)*1000000000))</f>
        <v/>
      </c>
      <c r="E288" s="49">
        <f>IF($B288="","",SUMIFS(Grids!$BQ$160:$EC$219,Grids!$EE$160:$GQ$219,"&gt;="&amp;$B288*1000000000,Grids!$EE$160:$GQ$219,"&lt;"&amp;($B288+1)*1000000000))</f>
        <v/>
      </c>
      <c r="F288" s="50">
        <f>IF($B288="","",SUM($C$26:$C288))</f>
        <v/>
      </c>
      <c r="G288" s="50">
        <f>IF($B288="","",SUM($D$26:$D288))</f>
        <v/>
      </c>
      <c r="H288" s="50">
        <f>IF($B288="","",SUM($E$26:$E288))</f>
        <v/>
      </c>
    </row>
    <row r="289">
      <c r="B289" s="48">
        <f>IF(DATE(YEAR_Y,1,1)+263&gt;DATE(YEAR_Y,12,31),"",DATE(YEAR_Y,1,1)+263)</f>
        <v/>
      </c>
      <c r="C289" s="49">
        <f>IF($B289="","",SUMIFS(Grids!$BQ$12:$EC$111,Grids!$EE$12:$GQ$111,"&gt;="&amp;$B289*1000000000,Grids!$EE$12:$GQ$111,"&lt;"&amp;($B289+1)*1000000000))</f>
        <v/>
      </c>
      <c r="D289" s="49">
        <f>IF($B289="","",SUMIFS(Grids!$BQ$116:$EC$155,Grids!$EE$116:$GQ$155,"&gt;="&amp;$B289*1000000000,Grids!$EE$116:$GQ$155,"&lt;"&amp;($B289+1)*1000000000))</f>
        <v/>
      </c>
      <c r="E289" s="49">
        <f>IF($B289="","",SUMIFS(Grids!$BQ$160:$EC$219,Grids!$EE$160:$GQ$219,"&gt;="&amp;$B289*1000000000,Grids!$EE$160:$GQ$219,"&lt;"&amp;($B289+1)*1000000000))</f>
        <v/>
      </c>
      <c r="F289" s="50">
        <f>IF($B289="","",SUM($C$26:$C289))</f>
        <v/>
      </c>
      <c r="G289" s="50">
        <f>IF($B289="","",SUM($D$26:$D289))</f>
        <v/>
      </c>
      <c r="H289" s="50">
        <f>IF($B289="","",SUM($E$26:$E289))</f>
        <v/>
      </c>
    </row>
    <row r="290">
      <c r="B290" s="48">
        <f>IF(DATE(YEAR_Y,1,1)+264&gt;DATE(YEAR_Y,12,31),"",DATE(YEAR_Y,1,1)+264)</f>
        <v/>
      </c>
      <c r="C290" s="49">
        <f>IF($B290="","",SUMIFS(Grids!$BQ$12:$EC$111,Grids!$EE$12:$GQ$111,"&gt;="&amp;$B290*1000000000,Grids!$EE$12:$GQ$111,"&lt;"&amp;($B290+1)*1000000000))</f>
        <v/>
      </c>
      <c r="D290" s="49">
        <f>IF($B290="","",SUMIFS(Grids!$BQ$116:$EC$155,Grids!$EE$116:$GQ$155,"&gt;="&amp;$B290*1000000000,Grids!$EE$116:$GQ$155,"&lt;"&amp;($B290+1)*1000000000))</f>
        <v/>
      </c>
      <c r="E290" s="49">
        <f>IF($B290="","",SUMIFS(Grids!$BQ$160:$EC$219,Grids!$EE$160:$GQ$219,"&gt;="&amp;$B290*1000000000,Grids!$EE$160:$GQ$219,"&lt;"&amp;($B290+1)*1000000000))</f>
        <v/>
      </c>
      <c r="F290" s="50">
        <f>IF($B290="","",SUM($C$26:$C290))</f>
        <v/>
      </c>
      <c r="G290" s="50">
        <f>IF($B290="","",SUM($D$26:$D290))</f>
        <v/>
      </c>
      <c r="H290" s="50">
        <f>IF($B290="","",SUM($E$26:$E290))</f>
        <v/>
      </c>
    </row>
    <row r="291">
      <c r="B291" s="48">
        <f>IF(DATE(YEAR_Y,1,1)+265&gt;DATE(YEAR_Y,12,31),"",DATE(YEAR_Y,1,1)+265)</f>
        <v/>
      </c>
      <c r="C291" s="49">
        <f>IF($B291="","",SUMIFS(Grids!$BQ$12:$EC$111,Grids!$EE$12:$GQ$111,"&gt;="&amp;$B291*1000000000,Grids!$EE$12:$GQ$111,"&lt;"&amp;($B291+1)*1000000000))</f>
        <v/>
      </c>
      <c r="D291" s="49">
        <f>IF($B291="","",SUMIFS(Grids!$BQ$116:$EC$155,Grids!$EE$116:$GQ$155,"&gt;="&amp;$B291*1000000000,Grids!$EE$116:$GQ$155,"&lt;"&amp;($B291+1)*1000000000))</f>
        <v/>
      </c>
      <c r="E291" s="49">
        <f>IF($B291="","",SUMIFS(Grids!$BQ$160:$EC$219,Grids!$EE$160:$GQ$219,"&gt;="&amp;$B291*1000000000,Grids!$EE$160:$GQ$219,"&lt;"&amp;($B291+1)*1000000000))</f>
        <v/>
      </c>
      <c r="F291" s="50">
        <f>IF($B291="","",SUM($C$26:$C291))</f>
        <v/>
      </c>
      <c r="G291" s="50">
        <f>IF($B291="","",SUM($D$26:$D291))</f>
        <v/>
      </c>
      <c r="H291" s="50">
        <f>IF($B291="","",SUM($E$26:$E291))</f>
        <v/>
      </c>
    </row>
    <row r="292">
      <c r="B292" s="48">
        <f>IF(DATE(YEAR_Y,1,1)+266&gt;DATE(YEAR_Y,12,31),"",DATE(YEAR_Y,1,1)+266)</f>
        <v/>
      </c>
      <c r="C292" s="49">
        <f>IF($B292="","",SUMIFS(Grids!$BQ$12:$EC$111,Grids!$EE$12:$GQ$111,"&gt;="&amp;$B292*1000000000,Grids!$EE$12:$GQ$111,"&lt;"&amp;($B292+1)*1000000000))</f>
        <v/>
      </c>
      <c r="D292" s="49">
        <f>IF($B292="","",SUMIFS(Grids!$BQ$116:$EC$155,Grids!$EE$116:$GQ$155,"&gt;="&amp;$B292*1000000000,Grids!$EE$116:$GQ$155,"&lt;"&amp;($B292+1)*1000000000))</f>
        <v/>
      </c>
      <c r="E292" s="49">
        <f>IF($B292="","",SUMIFS(Grids!$BQ$160:$EC$219,Grids!$EE$160:$GQ$219,"&gt;="&amp;$B292*1000000000,Grids!$EE$160:$GQ$219,"&lt;"&amp;($B292+1)*1000000000))</f>
        <v/>
      </c>
      <c r="F292" s="50">
        <f>IF($B292="","",SUM($C$26:$C292))</f>
        <v/>
      </c>
      <c r="G292" s="50">
        <f>IF($B292="","",SUM($D$26:$D292))</f>
        <v/>
      </c>
      <c r="H292" s="50">
        <f>IF($B292="","",SUM($E$26:$E292))</f>
        <v/>
      </c>
    </row>
    <row r="293">
      <c r="B293" s="48">
        <f>IF(DATE(YEAR_Y,1,1)+267&gt;DATE(YEAR_Y,12,31),"",DATE(YEAR_Y,1,1)+267)</f>
        <v/>
      </c>
      <c r="C293" s="49">
        <f>IF($B293="","",SUMIFS(Grids!$BQ$12:$EC$111,Grids!$EE$12:$GQ$111,"&gt;="&amp;$B293*1000000000,Grids!$EE$12:$GQ$111,"&lt;"&amp;($B293+1)*1000000000))</f>
        <v/>
      </c>
      <c r="D293" s="49">
        <f>IF($B293="","",SUMIFS(Grids!$BQ$116:$EC$155,Grids!$EE$116:$GQ$155,"&gt;="&amp;$B293*1000000000,Grids!$EE$116:$GQ$155,"&lt;"&amp;($B293+1)*1000000000))</f>
        <v/>
      </c>
      <c r="E293" s="49">
        <f>IF($B293="","",SUMIFS(Grids!$BQ$160:$EC$219,Grids!$EE$160:$GQ$219,"&gt;="&amp;$B293*1000000000,Grids!$EE$160:$GQ$219,"&lt;"&amp;($B293+1)*1000000000))</f>
        <v/>
      </c>
      <c r="F293" s="50">
        <f>IF($B293="","",SUM($C$26:$C293))</f>
        <v/>
      </c>
      <c r="G293" s="50">
        <f>IF($B293="","",SUM($D$26:$D293))</f>
        <v/>
      </c>
      <c r="H293" s="50">
        <f>IF($B293="","",SUM($E$26:$E293))</f>
        <v/>
      </c>
    </row>
    <row r="294">
      <c r="B294" s="48">
        <f>IF(DATE(YEAR_Y,1,1)+268&gt;DATE(YEAR_Y,12,31),"",DATE(YEAR_Y,1,1)+268)</f>
        <v/>
      </c>
      <c r="C294" s="49">
        <f>IF($B294="","",SUMIFS(Grids!$BQ$12:$EC$111,Grids!$EE$12:$GQ$111,"&gt;="&amp;$B294*1000000000,Grids!$EE$12:$GQ$111,"&lt;"&amp;($B294+1)*1000000000))</f>
        <v/>
      </c>
      <c r="D294" s="49">
        <f>IF($B294="","",SUMIFS(Grids!$BQ$116:$EC$155,Grids!$EE$116:$GQ$155,"&gt;="&amp;$B294*1000000000,Grids!$EE$116:$GQ$155,"&lt;"&amp;($B294+1)*1000000000))</f>
        <v/>
      </c>
      <c r="E294" s="49">
        <f>IF($B294="","",SUMIFS(Grids!$BQ$160:$EC$219,Grids!$EE$160:$GQ$219,"&gt;="&amp;$B294*1000000000,Grids!$EE$160:$GQ$219,"&lt;"&amp;($B294+1)*1000000000))</f>
        <v/>
      </c>
      <c r="F294" s="50">
        <f>IF($B294="","",SUM($C$26:$C294))</f>
        <v/>
      </c>
      <c r="G294" s="50">
        <f>IF($B294="","",SUM($D$26:$D294))</f>
        <v/>
      </c>
      <c r="H294" s="50">
        <f>IF($B294="","",SUM($E$26:$E294))</f>
        <v/>
      </c>
    </row>
    <row r="295">
      <c r="B295" s="48">
        <f>IF(DATE(YEAR_Y,1,1)+269&gt;DATE(YEAR_Y,12,31),"",DATE(YEAR_Y,1,1)+269)</f>
        <v/>
      </c>
      <c r="C295" s="49">
        <f>IF($B295="","",SUMIFS(Grids!$BQ$12:$EC$111,Grids!$EE$12:$GQ$111,"&gt;="&amp;$B295*1000000000,Grids!$EE$12:$GQ$111,"&lt;"&amp;($B295+1)*1000000000))</f>
        <v/>
      </c>
      <c r="D295" s="49">
        <f>IF($B295="","",SUMIFS(Grids!$BQ$116:$EC$155,Grids!$EE$116:$GQ$155,"&gt;="&amp;$B295*1000000000,Grids!$EE$116:$GQ$155,"&lt;"&amp;($B295+1)*1000000000))</f>
        <v/>
      </c>
      <c r="E295" s="49">
        <f>IF($B295="","",SUMIFS(Grids!$BQ$160:$EC$219,Grids!$EE$160:$GQ$219,"&gt;="&amp;$B295*1000000000,Grids!$EE$160:$GQ$219,"&lt;"&amp;($B295+1)*1000000000))</f>
        <v/>
      </c>
      <c r="F295" s="50">
        <f>IF($B295="","",SUM($C$26:$C295))</f>
        <v/>
      </c>
      <c r="G295" s="50">
        <f>IF($B295="","",SUM($D$26:$D295))</f>
        <v/>
      </c>
      <c r="H295" s="50">
        <f>IF($B295="","",SUM($E$26:$E295))</f>
        <v/>
      </c>
    </row>
    <row r="296">
      <c r="B296" s="48">
        <f>IF(DATE(YEAR_Y,1,1)+270&gt;DATE(YEAR_Y,12,31),"",DATE(YEAR_Y,1,1)+270)</f>
        <v/>
      </c>
      <c r="C296" s="49">
        <f>IF($B296="","",SUMIFS(Grids!$BQ$12:$EC$111,Grids!$EE$12:$GQ$111,"&gt;="&amp;$B296*1000000000,Grids!$EE$12:$GQ$111,"&lt;"&amp;($B296+1)*1000000000))</f>
        <v/>
      </c>
      <c r="D296" s="49">
        <f>IF($B296="","",SUMIFS(Grids!$BQ$116:$EC$155,Grids!$EE$116:$GQ$155,"&gt;="&amp;$B296*1000000000,Grids!$EE$116:$GQ$155,"&lt;"&amp;($B296+1)*1000000000))</f>
        <v/>
      </c>
      <c r="E296" s="49">
        <f>IF($B296="","",SUMIFS(Grids!$BQ$160:$EC$219,Grids!$EE$160:$GQ$219,"&gt;="&amp;$B296*1000000000,Grids!$EE$160:$GQ$219,"&lt;"&amp;($B296+1)*1000000000))</f>
        <v/>
      </c>
      <c r="F296" s="50">
        <f>IF($B296="","",SUM($C$26:$C296))</f>
        <v/>
      </c>
      <c r="G296" s="50">
        <f>IF($B296="","",SUM($D$26:$D296))</f>
        <v/>
      </c>
      <c r="H296" s="50">
        <f>IF($B296="","",SUM($E$26:$E296))</f>
        <v/>
      </c>
    </row>
    <row r="297">
      <c r="B297" s="48">
        <f>IF(DATE(YEAR_Y,1,1)+271&gt;DATE(YEAR_Y,12,31),"",DATE(YEAR_Y,1,1)+271)</f>
        <v/>
      </c>
      <c r="C297" s="49">
        <f>IF($B297="","",SUMIFS(Grids!$BQ$12:$EC$111,Grids!$EE$12:$GQ$111,"&gt;="&amp;$B297*1000000000,Grids!$EE$12:$GQ$111,"&lt;"&amp;($B297+1)*1000000000))</f>
        <v/>
      </c>
      <c r="D297" s="49">
        <f>IF($B297="","",SUMIFS(Grids!$BQ$116:$EC$155,Grids!$EE$116:$GQ$155,"&gt;="&amp;$B297*1000000000,Grids!$EE$116:$GQ$155,"&lt;"&amp;($B297+1)*1000000000))</f>
        <v/>
      </c>
      <c r="E297" s="49">
        <f>IF($B297="","",SUMIFS(Grids!$BQ$160:$EC$219,Grids!$EE$160:$GQ$219,"&gt;="&amp;$B297*1000000000,Grids!$EE$160:$GQ$219,"&lt;"&amp;($B297+1)*1000000000))</f>
        <v/>
      </c>
      <c r="F297" s="50">
        <f>IF($B297="","",SUM($C$26:$C297))</f>
        <v/>
      </c>
      <c r="G297" s="50">
        <f>IF($B297="","",SUM($D$26:$D297))</f>
        <v/>
      </c>
      <c r="H297" s="50">
        <f>IF($B297="","",SUM($E$26:$E297))</f>
        <v/>
      </c>
    </row>
    <row r="298">
      <c r="B298" s="48">
        <f>IF(DATE(YEAR_Y,1,1)+272&gt;DATE(YEAR_Y,12,31),"",DATE(YEAR_Y,1,1)+272)</f>
        <v/>
      </c>
      <c r="C298" s="49">
        <f>IF($B298="","",SUMIFS(Grids!$BQ$12:$EC$111,Grids!$EE$12:$GQ$111,"&gt;="&amp;$B298*1000000000,Grids!$EE$12:$GQ$111,"&lt;"&amp;($B298+1)*1000000000))</f>
        <v/>
      </c>
      <c r="D298" s="49">
        <f>IF($B298="","",SUMIFS(Grids!$BQ$116:$EC$155,Grids!$EE$116:$GQ$155,"&gt;="&amp;$B298*1000000000,Grids!$EE$116:$GQ$155,"&lt;"&amp;($B298+1)*1000000000))</f>
        <v/>
      </c>
      <c r="E298" s="49">
        <f>IF($B298="","",SUMIFS(Grids!$BQ$160:$EC$219,Grids!$EE$160:$GQ$219,"&gt;="&amp;$B298*1000000000,Grids!$EE$160:$GQ$219,"&lt;"&amp;($B298+1)*1000000000))</f>
        <v/>
      </c>
      <c r="F298" s="50">
        <f>IF($B298="","",SUM($C$26:$C298))</f>
        <v/>
      </c>
      <c r="G298" s="50">
        <f>IF($B298="","",SUM($D$26:$D298))</f>
        <v/>
      </c>
      <c r="H298" s="50">
        <f>IF($B298="","",SUM($E$26:$E298))</f>
        <v/>
      </c>
    </row>
    <row r="299">
      <c r="B299" s="48">
        <f>IF(DATE(YEAR_Y,1,1)+273&gt;DATE(YEAR_Y,12,31),"",DATE(YEAR_Y,1,1)+273)</f>
        <v/>
      </c>
      <c r="C299" s="49">
        <f>IF($B299="","",SUMIFS(Grids!$BQ$12:$EC$111,Grids!$EE$12:$GQ$111,"&gt;="&amp;$B299*1000000000,Grids!$EE$12:$GQ$111,"&lt;"&amp;($B299+1)*1000000000))</f>
        <v/>
      </c>
      <c r="D299" s="49">
        <f>IF($B299="","",SUMIFS(Grids!$BQ$116:$EC$155,Grids!$EE$116:$GQ$155,"&gt;="&amp;$B299*1000000000,Grids!$EE$116:$GQ$155,"&lt;"&amp;($B299+1)*1000000000))</f>
        <v/>
      </c>
      <c r="E299" s="49">
        <f>IF($B299="","",SUMIFS(Grids!$BQ$160:$EC$219,Grids!$EE$160:$GQ$219,"&gt;="&amp;$B299*1000000000,Grids!$EE$160:$GQ$219,"&lt;"&amp;($B299+1)*1000000000))</f>
        <v/>
      </c>
      <c r="F299" s="50">
        <f>IF($B299="","",SUM($C$26:$C299))</f>
        <v/>
      </c>
      <c r="G299" s="50">
        <f>IF($B299="","",SUM($D$26:$D299))</f>
        <v/>
      </c>
      <c r="H299" s="50">
        <f>IF($B299="","",SUM($E$26:$E299))</f>
        <v/>
      </c>
    </row>
    <row r="300">
      <c r="B300" s="48">
        <f>IF(DATE(YEAR_Y,1,1)+274&gt;DATE(YEAR_Y,12,31),"",DATE(YEAR_Y,1,1)+274)</f>
        <v/>
      </c>
      <c r="C300" s="49">
        <f>IF($B300="","",SUMIFS(Grids!$BQ$12:$EC$111,Grids!$EE$12:$GQ$111,"&gt;="&amp;$B300*1000000000,Grids!$EE$12:$GQ$111,"&lt;"&amp;($B300+1)*1000000000))</f>
        <v/>
      </c>
      <c r="D300" s="49">
        <f>IF($B300="","",SUMIFS(Grids!$BQ$116:$EC$155,Grids!$EE$116:$GQ$155,"&gt;="&amp;$B300*1000000000,Grids!$EE$116:$GQ$155,"&lt;"&amp;($B300+1)*1000000000))</f>
        <v/>
      </c>
      <c r="E300" s="49">
        <f>IF($B300="","",SUMIFS(Grids!$BQ$160:$EC$219,Grids!$EE$160:$GQ$219,"&gt;="&amp;$B300*1000000000,Grids!$EE$160:$GQ$219,"&lt;"&amp;($B300+1)*1000000000))</f>
        <v/>
      </c>
      <c r="F300" s="50">
        <f>IF($B300="","",SUM($C$26:$C300))</f>
        <v/>
      </c>
      <c r="G300" s="50">
        <f>IF($B300="","",SUM($D$26:$D300))</f>
        <v/>
      </c>
      <c r="H300" s="50">
        <f>IF($B300="","",SUM($E$26:$E300))</f>
        <v/>
      </c>
    </row>
    <row r="301">
      <c r="B301" s="48">
        <f>IF(DATE(YEAR_Y,1,1)+275&gt;DATE(YEAR_Y,12,31),"",DATE(YEAR_Y,1,1)+275)</f>
        <v/>
      </c>
      <c r="C301" s="49">
        <f>IF($B301="","",SUMIFS(Grids!$BQ$12:$EC$111,Grids!$EE$12:$GQ$111,"&gt;="&amp;$B301*1000000000,Grids!$EE$12:$GQ$111,"&lt;"&amp;($B301+1)*1000000000))</f>
        <v/>
      </c>
      <c r="D301" s="49">
        <f>IF($B301="","",SUMIFS(Grids!$BQ$116:$EC$155,Grids!$EE$116:$GQ$155,"&gt;="&amp;$B301*1000000000,Grids!$EE$116:$GQ$155,"&lt;"&amp;($B301+1)*1000000000))</f>
        <v/>
      </c>
      <c r="E301" s="49">
        <f>IF($B301="","",SUMIFS(Grids!$BQ$160:$EC$219,Grids!$EE$160:$GQ$219,"&gt;="&amp;$B301*1000000000,Grids!$EE$160:$GQ$219,"&lt;"&amp;($B301+1)*1000000000))</f>
        <v/>
      </c>
      <c r="F301" s="50">
        <f>IF($B301="","",SUM($C$26:$C301))</f>
        <v/>
      </c>
      <c r="G301" s="50">
        <f>IF($B301="","",SUM($D$26:$D301))</f>
        <v/>
      </c>
      <c r="H301" s="50">
        <f>IF($B301="","",SUM($E$26:$E301))</f>
        <v/>
      </c>
    </row>
    <row r="302">
      <c r="B302" s="48">
        <f>IF(DATE(YEAR_Y,1,1)+276&gt;DATE(YEAR_Y,12,31),"",DATE(YEAR_Y,1,1)+276)</f>
        <v/>
      </c>
      <c r="C302" s="49">
        <f>IF($B302="","",SUMIFS(Grids!$BQ$12:$EC$111,Grids!$EE$12:$GQ$111,"&gt;="&amp;$B302*1000000000,Grids!$EE$12:$GQ$111,"&lt;"&amp;($B302+1)*1000000000))</f>
        <v/>
      </c>
      <c r="D302" s="49">
        <f>IF($B302="","",SUMIFS(Grids!$BQ$116:$EC$155,Grids!$EE$116:$GQ$155,"&gt;="&amp;$B302*1000000000,Grids!$EE$116:$GQ$155,"&lt;"&amp;($B302+1)*1000000000))</f>
        <v/>
      </c>
      <c r="E302" s="49">
        <f>IF($B302="","",SUMIFS(Grids!$BQ$160:$EC$219,Grids!$EE$160:$GQ$219,"&gt;="&amp;$B302*1000000000,Grids!$EE$160:$GQ$219,"&lt;"&amp;($B302+1)*1000000000))</f>
        <v/>
      </c>
      <c r="F302" s="50">
        <f>IF($B302="","",SUM($C$26:$C302))</f>
        <v/>
      </c>
      <c r="G302" s="50">
        <f>IF($B302="","",SUM($D$26:$D302))</f>
        <v/>
      </c>
      <c r="H302" s="50">
        <f>IF($B302="","",SUM($E$26:$E302))</f>
        <v/>
      </c>
    </row>
    <row r="303">
      <c r="B303" s="48">
        <f>IF(DATE(YEAR_Y,1,1)+277&gt;DATE(YEAR_Y,12,31),"",DATE(YEAR_Y,1,1)+277)</f>
        <v/>
      </c>
      <c r="C303" s="49">
        <f>IF($B303="","",SUMIFS(Grids!$BQ$12:$EC$111,Grids!$EE$12:$GQ$111,"&gt;="&amp;$B303*1000000000,Grids!$EE$12:$GQ$111,"&lt;"&amp;($B303+1)*1000000000))</f>
        <v/>
      </c>
      <c r="D303" s="49">
        <f>IF($B303="","",SUMIFS(Grids!$BQ$116:$EC$155,Grids!$EE$116:$GQ$155,"&gt;="&amp;$B303*1000000000,Grids!$EE$116:$GQ$155,"&lt;"&amp;($B303+1)*1000000000))</f>
        <v/>
      </c>
      <c r="E303" s="49">
        <f>IF($B303="","",SUMIFS(Grids!$BQ$160:$EC$219,Grids!$EE$160:$GQ$219,"&gt;="&amp;$B303*1000000000,Grids!$EE$160:$GQ$219,"&lt;"&amp;($B303+1)*1000000000))</f>
        <v/>
      </c>
      <c r="F303" s="50">
        <f>IF($B303="","",SUM($C$26:$C303))</f>
        <v/>
      </c>
      <c r="G303" s="50">
        <f>IF($B303="","",SUM($D$26:$D303))</f>
        <v/>
      </c>
      <c r="H303" s="50">
        <f>IF($B303="","",SUM($E$26:$E303))</f>
        <v/>
      </c>
    </row>
    <row r="304">
      <c r="B304" s="48">
        <f>IF(DATE(YEAR_Y,1,1)+278&gt;DATE(YEAR_Y,12,31),"",DATE(YEAR_Y,1,1)+278)</f>
        <v/>
      </c>
      <c r="C304" s="49">
        <f>IF($B304="","",SUMIFS(Grids!$BQ$12:$EC$111,Grids!$EE$12:$GQ$111,"&gt;="&amp;$B304*1000000000,Grids!$EE$12:$GQ$111,"&lt;"&amp;($B304+1)*1000000000))</f>
        <v/>
      </c>
      <c r="D304" s="49">
        <f>IF($B304="","",SUMIFS(Grids!$BQ$116:$EC$155,Grids!$EE$116:$GQ$155,"&gt;="&amp;$B304*1000000000,Grids!$EE$116:$GQ$155,"&lt;"&amp;($B304+1)*1000000000))</f>
        <v/>
      </c>
      <c r="E304" s="49">
        <f>IF($B304="","",SUMIFS(Grids!$BQ$160:$EC$219,Grids!$EE$160:$GQ$219,"&gt;="&amp;$B304*1000000000,Grids!$EE$160:$GQ$219,"&lt;"&amp;($B304+1)*1000000000))</f>
        <v/>
      </c>
      <c r="F304" s="50">
        <f>IF($B304="","",SUM($C$26:$C304))</f>
        <v/>
      </c>
      <c r="G304" s="50">
        <f>IF($B304="","",SUM($D$26:$D304))</f>
        <v/>
      </c>
      <c r="H304" s="50">
        <f>IF($B304="","",SUM($E$26:$E304))</f>
        <v/>
      </c>
    </row>
    <row r="305">
      <c r="B305" s="48">
        <f>IF(DATE(YEAR_Y,1,1)+279&gt;DATE(YEAR_Y,12,31),"",DATE(YEAR_Y,1,1)+279)</f>
        <v/>
      </c>
      <c r="C305" s="49">
        <f>IF($B305="","",SUMIFS(Grids!$BQ$12:$EC$111,Grids!$EE$12:$GQ$111,"&gt;="&amp;$B305*1000000000,Grids!$EE$12:$GQ$111,"&lt;"&amp;($B305+1)*1000000000))</f>
        <v/>
      </c>
      <c r="D305" s="49">
        <f>IF($B305="","",SUMIFS(Grids!$BQ$116:$EC$155,Grids!$EE$116:$GQ$155,"&gt;="&amp;$B305*1000000000,Grids!$EE$116:$GQ$155,"&lt;"&amp;($B305+1)*1000000000))</f>
        <v/>
      </c>
      <c r="E305" s="49">
        <f>IF($B305="","",SUMIFS(Grids!$BQ$160:$EC$219,Grids!$EE$160:$GQ$219,"&gt;="&amp;$B305*1000000000,Grids!$EE$160:$GQ$219,"&lt;"&amp;($B305+1)*1000000000))</f>
        <v/>
      </c>
      <c r="F305" s="50">
        <f>IF($B305="","",SUM($C$26:$C305))</f>
        <v/>
      </c>
      <c r="G305" s="50">
        <f>IF($B305="","",SUM($D$26:$D305))</f>
        <v/>
      </c>
      <c r="H305" s="50">
        <f>IF($B305="","",SUM($E$26:$E305))</f>
        <v/>
      </c>
    </row>
    <row r="306">
      <c r="B306" s="48">
        <f>IF(DATE(YEAR_Y,1,1)+280&gt;DATE(YEAR_Y,12,31),"",DATE(YEAR_Y,1,1)+280)</f>
        <v/>
      </c>
      <c r="C306" s="49">
        <f>IF($B306="","",SUMIFS(Grids!$BQ$12:$EC$111,Grids!$EE$12:$GQ$111,"&gt;="&amp;$B306*1000000000,Grids!$EE$12:$GQ$111,"&lt;"&amp;($B306+1)*1000000000))</f>
        <v/>
      </c>
      <c r="D306" s="49">
        <f>IF($B306="","",SUMIFS(Grids!$BQ$116:$EC$155,Grids!$EE$116:$GQ$155,"&gt;="&amp;$B306*1000000000,Grids!$EE$116:$GQ$155,"&lt;"&amp;($B306+1)*1000000000))</f>
        <v/>
      </c>
      <c r="E306" s="49">
        <f>IF($B306="","",SUMIFS(Grids!$BQ$160:$EC$219,Grids!$EE$160:$GQ$219,"&gt;="&amp;$B306*1000000000,Grids!$EE$160:$GQ$219,"&lt;"&amp;($B306+1)*1000000000))</f>
        <v/>
      </c>
      <c r="F306" s="50">
        <f>IF($B306="","",SUM($C$26:$C306))</f>
        <v/>
      </c>
      <c r="G306" s="50">
        <f>IF($B306="","",SUM($D$26:$D306))</f>
        <v/>
      </c>
      <c r="H306" s="50">
        <f>IF($B306="","",SUM($E$26:$E306))</f>
        <v/>
      </c>
    </row>
    <row r="307">
      <c r="B307" s="48">
        <f>IF(DATE(YEAR_Y,1,1)+281&gt;DATE(YEAR_Y,12,31),"",DATE(YEAR_Y,1,1)+281)</f>
        <v/>
      </c>
      <c r="C307" s="49">
        <f>IF($B307="","",SUMIFS(Grids!$BQ$12:$EC$111,Grids!$EE$12:$GQ$111,"&gt;="&amp;$B307*1000000000,Grids!$EE$12:$GQ$111,"&lt;"&amp;($B307+1)*1000000000))</f>
        <v/>
      </c>
      <c r="D307" s="49">
        <f>IF($B307="","",SUMIFS(Grids!$BQ$116:$EC$155,Grids!$EE$116:$GQ$155,"&gt;="&amp;$B307*1000000000,Grids!$EE$116:$GQ$155,"&lt;"&amp;($B307+1)*1000000000))</f>
        <v/>
      </c>
      <c r="E307" s="49">
        <f>IF($B307="","",SUMIFS(Grids!$BQ$160:$EC$219,Grids!$EE$160:$GQ$219,"&gt;="&amp;$B307*1000000000,Grids!$EE$160:$GQ$219,"&lt;"&amp;($B307+1)*1000000000))</f>
        <v/>
      </c>
      <c r="F307" s="50">
        <f>IF($B307="","",SUM($C$26:$C307))</f>
        <v/>
      </c>
      <c r="G307" s="50">
        <f>IF($B307="","",SUM($D$26:$D307))</f>
        <v/>
      </c>
      <c r="H307" s="50">
        <f>IF($B307="","",SUM($E$26:$E307))</f>
        <v/>
      </c>
    </row>
    <row r="308">
      <c r="B308" s="48">
        <f>IF(DATE(YEAR_Y,1,1)+282&gt;DATE(YEAR_Y,12,31),"",DATE(YEAR_Y,1,1)+282)</f>
        <v/>
      </c>
      <c r="C308" s="49">
        <f>IF($B308="","",SUMIFS(Grids!$BQ$12:$EC$111,Grids!$EE$12:$GQ$111,"&gt;="&amp;$B308*1000000000,Grids!$EE$12:$GQ$111,"&lt;"&amp;($B308+1)*1000000000))</f>
        <v/>
      </c>
      <c r="D308" s="49">
        <f>IF($B308="","",SUMIFS(Grids!$BQ$116:$EC$155,Grids!$EE$116:$GQ$155,"&gt;="&amp;$B308*1000000000,Grids!$EE$116:$GQ$155,"&lt;"&amp;($B308+1)*1000000000))</f>
        <v/>
      </c>
      <c r="E308" s="49">
        <f>IF($B308="","",SUMIFS(Grids!$BQ$160:$EC$219,Grids!$EE$160:$GQ$219,"&gt;="&amp;$B308*1000000000,Grids!$EE$160:$GQ$219,"&lt;"&amp;($B308+1)*1000000000))</f>
        <v/>
      </c>
      <c r="F308" s="50">
        <f>IF($B308="","",SUM($C$26:$C308))</f>
        <v/>
      </c>
      <c r="G308" s="50">
        <f>IF($B308="","",SUM($D$26:$D308))</f>
        <v/>
      </c>
      <c r="H308" s="50">
        <f>IF($B308="","",SUM($E$26:$E308))</f>
        <v/>
      </c>
    </row>
    <row r="309">
      <c r="B309" s="48">
        <f>IF(DATE(YEAR_Y,1,1)+283&gt;DATE(YEAR_Y,12,31),"",DATE(YEAR_Y,1,1)+283)</f>
        <v/>
      </c>
      <c r="C309" s="49">
        <f>IF($B309="","",SUMIFS(Grids!$BQ$12:$EC$111,Grids!$EE$12:$GQ$111,"&gt;="&amp;$B309*1000000000,Grids!$EE$12:$GQ$111,"&lt;"&amp;($B309+1)*1000000000))</f>
        <v/>
      </c>
      <c r="D309" s="49">
        <f>IF($B309="","",SUMIFS(Grids!$BQ$116:$EC$155,Grids!$EE$116:$GQ$155,"&gt;="&amp;$B309*1000000000,Grids!$EE$116:$GQ$155,"&lt;"&amp;($B309+1)*1000000000))</f>
        <v/>
      </c>
      <c r="E309" s="49">
        <f>IF($B309="","",SUMIFS(Grids!$BQ$160:$EC$219,Grids!$EE$160:$GQ$219,"&gt;="&amp;$B309*1000000000,Grids!$EE$160:$GQ$219,"&lt;"&amp;($B309+1)*1000000000))</f>
        <v/>
      </c>
      <c r="F309" s="50">
        <f>IF($B309="","",SUM($C$26:$C309))</f>
        <v/>
      </c>
      <c r="G309" s="50">
        <f>IF($B309="","",SUM($D$26:$D309))</f>
        <v/>
      </c>
      <c r="H309" s="50">
        <f>IF($B309="","",SUM($E$26:$E309))</f>
        <v/>
      </c>
    </row>
    <row r="310">
      <c r="B310" s="48">
        <f>IF(DATE(YEAR_Y,1,1)+284&gt;DATE(YEAR_Y,12,31),"",DATE(YEAR_Y,1,1)+284)</f>
        <v/>
      </c>
      <c r="C310" s="49">
        <f>IF($B310="","",SUMIFS(Grids!$BQ$12:$EC$111,Grids!$EE$12:$GQ$111,"&gt;="&amp;$B310*1000000000,Grids!$EE$12:$GQ$111,"&lt;"&amp;($B310+1)*1000000000))</f>
        <v/>
      </c>
      <c r="D310" s="49">
        <f>IF($B310="","",SUMIFS(Grids!$BQ$116:$EC$155,Grids!$EE$116:$GQ$155,"&gt;="&amp;$B310*1000000000,Grids!$EE$116:$GQ$155,"&lt;"&amp;($B310+1)*1000000000))</f>
        <v/>
      </c>
      <c r="E310" s="49">
        <f>IF($B310="","",SUMIFS(Grids!$BQ$160:$EC$219,Grids!$EE$160:$GQ$219,"&gt;="&amp;$B310*1000000000,Grids!$EE$160:$GQ$219,"&lt;"&amp;($B310+1)*1000000000))</f>
        <v/>
      </c>
      <c r="F310" s="50">
        <f>IF($B310="","",SUM($C$26:$C310))</f>
        <v/>
      </c>
      <c r="G310" s="50">
        <f>IF($B310="","",SUM($D$26:$D310))</f>
        <v/>
      </c>
      <c r="H310" s="50">
        <f>IF($B310="","",SUM($E$26:$E310))</f>
        <v/>
      </c>
    </row>
    <row r="311">
      <c r="B311" s="48">
        <f>IF(DATE(YEAR_Y,1,1)+285&gt;DATE(YEAR_Y,12,31),"",DATE(YEAR_Y,1,1)+285)</f>
        <v/>
      </c>
      <c r="C311" s="49">
        <f>IF($B311="","",SUMIFS(Grids!$BQ$12:$EC$111,Grids!$EE$12:$GQ$111,"&gt;="&amp;$B311*1000000000,Grids!$EE$12:$GQ$111,"&lt;"&amp;($B311+1)*1000000000))</f>
        <v/>
      </c>
      <c r="D311" s="49">
        <f>IF($B311="","",SUMIFS(Grids!$BQ$116:$EC$155,Grids!$EE$116:$GQ$155,"&gt;="&amp;$B311*1000000000,Grids!$EE$116:$GQ$155,"&lt;"&amp;($B311+1)*1000000000))</f>
        <v/>
      </c>
      <c r="E311" s="49">
        <f>IF($B311="","",SUMIFS(Grids!$BQ$160:$EC$219,Grids!$EE$160:$GQ$219,"&gt;="&amp;$B311*1000000000,Grids!$EE$160:$GQ$219,"&lt;"&amp;($B311+1)*1000000000))</f>
        <v/>
      </c>
      <c r="F311" s="50">
        <f>IF($B311="","",SUM($C$26:$C311))</f>
        <v/>
      </c>
      <c r="G311" s="50">
        <f>IF($B311="","",SUM($D$26:$D311))</f>
        <v/>
      </c>
      <c r="H311" s="50">
        <f>IF($B311="","",SUM($E$26:$E311))</f>
        <v/>
      </c>
    </row>
    <row r="312">
      <c r="B312" s="48">
        <f>IF(DATE(YEAR_Y,1,1)+286&gt;DATE(YEAR_Y,12,31),"",DATE(YEAR_Y,1,1)+286)</f>
        <v/>
      </c>
      <c r="C312" s="49">
        <f>IF($B312="","",SUMIFS(Grids!$BQ$12:$EC$111,Grids!$EE$12:$GQ$111,"&gt;="&amp;$B312*1000000000,Grids!$EE$12:$GQ$111,"&lt;"&amp;($B312+1)*1000000000))</f>
        <v/>
      </c>
      <c r="D312" s="49">
        <f>IF($B312="","",SUMIFS(Grids!$BQ$116:$EC$155,Grids!$EE$116:$GQ$155,"&gt;="&amp;$B312*1000000000,Grids!$EE$116:$GQ$155,"&lt;"&amp;($B312+1)*1000000000))</f>
        <v/>
      </c>
      <c r="E312" s="49">
        <f>IF($B312="","",SUMIFS(Grids!$BQ$160:$EC$219,Grids!$EE$160:$GQ$219,"&gt;="&amp;$B312*1000000000,Grids!$EE$160:$GQ$219,"&lt;"&amp;($B312+1)*1000000000))</f>
        <v/>
      </c>
      <c r="F312" s="50">
        <f>IF($B312="","",SUM($C$26:$C312))</f>
        <v/>
      </c>
      <c r="G312" s="50">
        <f>IF($B312="","",SUM($D$26:$D312))</f>
        <v/>
      </c>
      <c r="H312" s="50">
        <f>IF($B312="","",SUM($E$26:$E312))</f>
        <v/>
      </c>
    </row>
    <row r="313">
      <c r="B313" s="48">
        <f>IF(DATE(YEAR_Y,1,1)+287&gt;DATE(YEAR_Y,12,31),"",DATE(YEAR_Y,1,1)+287)</f>
        <v/>
      </c>
      <c r="C313" s="49">
        <f>IF($B313="","",SUMIFS(Grids!$BQ$12:$EC$111,Grids!$EE$12:$GQ$111,"&gt;="&amp;$B313*1000000000,Grids!$EE$12:$GQ$111,"&lt;"&amp;($B313+1)*1000000000))</f>
        <v/>
      </c>
      <c r="D313" s="49">
        <f>IF($B313="","",SUMIFS(Grids!$BQ$116:$EC$155,Grids!$EE$116:$GQ$155,"&gt;="&amp;$B313*1000000000,Grids!$EE$116:$GQ$155,"&lt;"&amp;($B313+1)*1000000000))</f>
        <v/>
      </c>
      <c r="E313" s="49">
        <f>IF($B313="","",SUMIFS(Grids!$BQ$160:$EC$219,Grids!$EE$160:$GQ$219,"&gt;="&amp;$B313*1000000000,Grids!$EE$160:$GQ$219,"&lt;"&amp;($B313+1)*1000000000))</f>
        <v/>
      </c>
      <c r="F313" s="50">
        <f>IF($B313="","",SUM($C$26:$C313))</f>
        <v/>
      </c>
      <c r="G313" s="50">
        <f>IF($B313="","",SUM($D$26:$D313))</f>
        <v/>
      </c>
      <c r="H313" s="50">
        <f>IF($B313="","",SUM($E$26:$E313))</f>
        <v/>
      </c>
    </row>
    <row r="314">
      <c r="B314" s="48">
        <f>IF(DATE(YEAR_Y,1,1)+288&gt;DATE(YEAR_Y,12,31),"",DATE(YEAR_Y,1,1)+288)</f>
        <v/>
      </c>
      <c r="C314" s="49">
        <f>IF($B314="","",SUMIFS(Grids!$BQ$12:$EC$111,Grids!$EE$12:$GQ$111,"&gt;="&amp;$B314*1000000000,Grids!$EE$12:$GQ$111,"&lt;"&amp;($B314+1)*1000000000))</f>
        <v/>
      </c>
      <c r="D314" s="49">
        <f>IF($B314="","",SUMIFS(Grids!$BQ$116:$EC$155,Grids!$EE$116:$GQ$155,"&gt;="&amp;$B314*1000000000,Grids!$EE$116:$GQ$155,"&lt;"&amp;($B314+1)*1000000000))</f>
        <v/>
      </c>
      <c r="E314" s="49">
        <f>IF($B314="","",SUMIFS(Grids!$BQ$160:$EC$219,Grids!$EE$160:$GQ$219,"&gt;="&amp;$B314*1000000000,Grids!$EE$160:$GQ$219,"&lt;"&amp;($B314+1)*1000000000))</f>
        <v/>
      </c>
      <c r="F314" s="50">
        <f>IF($B314="","",SUM($C$26:$C314))</f>
        <v/>
      </c>
      <c r="G314" s="50">
        <f>IF($B314="","",SUM($D$26:$D314))</f>
        <v/>
      </c>
      <c r="H314" s="50">
        <f>IF($B314="","",SUM($E$26:$E314))</f>
        <v/>
      </c>
    </row>
    <row r="315">
      <c r="B315" s="48">
        <f>IF(DATE(YEAR_Y,1,1)+289&gt;DATE(YEAR_Y,12,31),"",DATE(YEAR_Y,1,1)+289)</f>
        <v/>
      </c>
      <c r="C315" s="49">
        <f>IF($B315="","",SUMIFS(Grids!$BQ$12:$EC$111,Grids!$EE$12:$GQ$111,"&gt;="&amp;$B315*1000000000,Grids!$EE$12:$GQ$111,"&lt;"&amp;($B315+1)*1000000000))</f>
        <v/>
      </c>
      <c r="D315" s="49">
        <f>IF($B315="","",SUMIFS(Grids!$BQ$116:$EC$155,Grids!$EE$116:$GQ$155,"&gt;="&amp;$B315*1000000000,Grids!$EE$116:$GQ$155,"&lt;"&amp;($B315+1)*1000000000))</f>
        <v/>
      </c>
      <c r="E315" s="49">
        <f>IF($B315="","",SUMIFS(Grids!$BQ$160:$EC$219,Grids!$EE$160:$GQ$219,"&gt;="&amp;$B315*1000000000,Grids!$EE$160:$GQ$219,"&lt;"&amp;($B315+1)*1000000000))</f>
        <v/>
      </c>
      <c r="F315" s="50">
        <f>IF($B315="","",SUM($C$26:$C315))</f>
        <v/>
      </c>
      <c r="G315" s="50">
        <f>IF($B315="","",SUM($D$26:$D315))</f>
        <v/>
      </c>
      <c r="H315" s="50">
        <f>IF($B315="","",SUM($E$26:$E315))</f>
        <v/>
      </c>
    </row>
    <row r="316">
      <c r="B316" s="48">
        <f>IF(DATE(YEAR_Y,1,1)+290&gt;DATE(YEAR_Y,12,31),"",DATE(YEAR_Y,1,1)+290)</f>
        <v/>
      </c>
      <c r="C316" s="49">
        <f>IF($B316="","",SUMIFS(Grids!$BQ$12:$EC$111,Grids!$EE$12:$GQ$111,"&gt;="&amp;$B316*1000000000,Grids!$EE$12:$GQ$111,"&lt;"&amp;($B316+1)*1000000000))</f>
        <v/>
      </c>
      <c r="D316" s="49">
        <f>IF($B316="","",SUMIFS(Grids!$BQ$116:$EC$155,Grids!$EE$116:$GQ$155,"&gt;="&amp;$B316*1000000000,Grids!$EE$116:$GQ$155,"&lt;"&amp;($B316+1)*1000000000))</f>
        <v/>
      </c>
      <c r="E316" s="49">
        <f>IF($B316="","",SUMIFS(Grids!$BQ$160:$EC$219,Grids!$EE$160:$GQ$219,"&gt;="&amp;$B316*1000000000,Grids!$EE$160:$GQ$219,"&lt;"&amp;($B316+1)*1000000000))</f>
        <v/>
      </c>
      <c r="F316" s="50">
        <f>IF($B316="","",SUM($C$26:$C316))</f>
        <v/>
      </c>
      <c r="G316" s="50">
        <f>IF($B316="","",SUM($D$26:$D316))</f>
        <v/>
      </c>
      <c r="H316" s="50">
        <f>IF($B316="","",SUM($E$26:$E316))</f>
        <v/>
      </c>
    </row>
    <row r="317">
      <c r="B317" s="48">
        <f>IF(DATE(YEAR_Y,1,1)+291&gt;DATE(YEAR_Y,12,31),"",DATE(YEAR_Y,1,1)+291)</f>
        <v/>
      </c>
      <c r="C317" s="49">
        <f>IF($B317="","",SUMIFS(Grids!$BQ$12:$EC$111,Grids!$EE$12:$GQ$111,"&gt;="&amp;$B317*1000000000,Grids!$EE$12:$GQ$111,"&lt;"&amp;($B317+1)*1000000000))</f>
        <v/>
      </c>
      <c r="D317" s="49">
        <f>IF($B317="","",SUMIFS(Grids!$BQ$116:$EC$155,Grids!$EE$116:$GQ$155,"&gt;="&amp;$B317*1000000000,Grids!$EE$116:$GQ$155,"&lt;"&amp;($B317+1)*1000000000))</f>
        <v/>
      </c>
      <c r="E317" s="49">
        <f>IF($B317="","",SUMIFS(Grids!$BQ$160:$EC$219,Grids!$EE$160:$GQ$219,"&gt;="&amp;$B317*1000000000,Grids!$EE$160:$GQ$219,"&lt;"&amp;($B317+1)*1000000000))</f>
        <v/>
      </c>
      <c r="F317" s="50">
        <f>IF($B317="","",SUM($C$26:$C317))</f>
        <v/>
      </c>
      <c r="G317" s="50">
        <f>IF($B317="","",SUM($D$26:$D317))</f>
        <v/>
      </c>
      <c r="H317" s="50">
        <f>IF($B317="","",SUM($E$26:$E317))</f>
        <v/>
      </c>
    </row>
    <row r="318">
      <c r="B318" s="48">
        <f>IF(DATE(YEAR_Y,1,1)+292&gt;DATE(YEAR_Y,12,31),"",DATE(YEAR_Y,1,1)+292)</f>
        <v/>
      </c>
      <c r="C318" s="49">
        <f>IF($B318="","",SUMIFS(Grids!$BQ$12:$EC$111,Grids!$EE$12:$GQ$111,"&gt;="&amp;$B318*1000000000,Grids!$EE$12:$GQ$111,"&lt;"&amp;($B318+1)*1000000000))</f>
        <v/>
      </c>
      <c r="D318" s="49">
        <f>IF($B318="","",SUMIFS(Grids!$BQ$116:$EC$155,Grids!$EE$116:$GQ$155,"&gt;="&amp;$B318*1000000000,Grids!$EE$116:$GQ$155,"&lt;"&amp;($B318+1)*1000000000))</f>
        <v/>
      </c>
      <c r="E318" s="49">
        <f>IF($B318="","",SUMIFS(Grids!$BQ$160:$EC$219,Grids!$EE$160:$GQ$219,"&gt;="&amp;$B318*1000000000,Grids!$EE$160:$GQ$219,"&lt;"&amp;($B318+1)*1000000000))</f>
        <v/>
      </c>
      <c r="F318" s="50">
        <f>IF($B318="","",SUM($C$26:$C318))</f>
        <v/>
      </c>
      <c r="G318" s="50">
        <f>IF($B318="","",SUM($D$26:$D318))</f>
        <v/>
      </c>
      <c r="H318" s="50">
        <f>IF($B318="","",SUM($E$26:$E318))</f>
        <v/>
      </c>
    </row>
    <row r="319">
      <c r="B319" s="48">
        <f>IF(DATE(YEAR_Y,1,1)+293&gt;DATE(YEAR_Y,12,31),"",DATE(YEAR_Y,1,1)+293)</f>
        <v/>
      </c>
      <c r="C319" s="49">
        <f>IF($B319="","",SUMIFS(Grids!$BQ$12:$EC$111,Grids!$EE$12:$GQ$111,"&gt;="&amp;$B319*1000000000,Grids!$EE$12:$GQ$111,"&lt;"&amp;($B319+1)*1000000000))</f>
        <v/>
      </c>
      <c r="D319" s="49">
        <f>IF($B319="","",SUMIFS(Grids!$BQ$116:$EC$155,Grids!$EE$116:$GQ$155,"&gt;="&amp;$B319*1000000000,Grids!$EE$116:$GQ$155,"&lt;"&amp;($B319+1)*1000000000))</f>
        <v/>
      </c>
      <c r="E319" s="49">
        <f>IF($B319="","",SUMIFS(Grids!$BQ$160:$EC$219,Grids!$EE$160:$GQ$219,"&gt;="&amp;$B319*1000000000,Grids!$EE$160:$GQ$219,"&lt;"&amp;($B319+1)*1000000000))</f>
        <v/>
      </c>
      <c r="F319" s="50">
        <f>IF($B319="","",SUM($C$26:$C319))</f>
        <v/>
      </c>
      <c r="G319" s="50">
        <f>IF($B319="","",SUM($D$26:$D319))</f>
        <v/>
      </c>
      <c r="H319" s="50">
        <f>IF($B319="","",SUM($E$26:$E319))</f>
        <v/>
      </c>
    </row>
    <row r="320">
      <c r="B320" s="48">
        <f>IF(DATE(YEAR_Y,1,1)+294&gt;DATE(YEAR_Y,12,31),"",DATE(YEAR_Y,1,1)+294)</f>
        <v/>
      </c>
      <c r="C320" s="49">
        <f>IF($B320="","",SUMIFS(Grids!$BQ$12:$EC$111,Grids!$EE$12:$GQ$111,"&gt;="&amp;$B320*1000000000,Grids!$EE$12:$GQ$111,"&lt;"&amp;($B320+1)*1000000000))</f>
        <v/>
      </c>
      <c r="D320" s="49">
        <f>IF($B320="","",SUMIFS(Grids!$BQ$116:$EC$155,Grids!$EE$116:$GQ$155,"&gt;="&amp;$B320*1000000000,Grids!$EE$116:$GQ$155,"&lt;"&amp;($B320+1)*1000000000))</f>
        <v/>
      </c>
      <c r="E320" s="49">
        <f>IF($B320="","",SUMIFS(Grids!$BQ$160:$EC$219,Grids!$EE$160:$GQ$219,"&gt;="&amp;$B320*1000000000,Grids!$EE$160:$GQ$219,"&lt;"&amp;($B320+1)*1000000000))</f>
        <v/>
      </c>
      <c r="F320" s="50">
        <f>IF($B320="","",SUM($C$26:$C320))</f>
        <v/>
      </c>
      <c r="G320" s="50">
        <f>IF($B320="","",SUM($D$26:$D320))</f>
        <v/>
      </c>
      <c r="H320" s="50">
        <f>IF($B320="","",SUM($E$26:$E320))</f>
        <v/>
      </c>
    </row>
    <row r="321">
      <c r="B321" s="48">
        <f>IF(DATE(YEAR_Y,1,1)+295&gt;DATE(YEAR_Y,12,31),"",DATE(YEAR_Y,1,1)+295)</f>
        <v/>
      </c>
      <c r="C321" s="49">
        <f>IF($B321="","",SUMIFS(Grids!$BQ$12:$EC$111,Grids!$EE$12:$GQ$111,"&gt;="&amp;$B321*1000000000,Grids!$EE$12:$GQ$111,"&lt;"&amp;($B321+1)*1000000000))</f>
        <v/>
      </c>
      <c r="D321" s="49">
        <f>IF($B321="","",SUMIFS(Grids!$BQ$116:$EC$155,Grids!$EE$116:$GQ$155,"&gt;="&amp;$B321*1000000000,Grids!$EE$116:$GQ$155,"&lt;"&amp;($B321+1)*1000000000))</f>
        <v/>
      </c>
      <c r="E321" s="49">
        <f>IF($B321="","",SUMIFS(Grids!$BQ$160:$EC$219,Grids!$EE$160:$GQ$219,"&gt;="&amp;$B321*1000000000,Grids!$EE$160:$GQ$219,"&lt;"&amp;($B321+1)*1000000000))</f>
        <v/>
      </c>
      <c r="F321" s="50">
        <f>IF($B321="","",SUM($C$26:$C321))</f>
        <v/>
      </c>
      <c r="G321" s="50">
        <f>IF($B321="","",SUM($D$26:$D321))</f>
        <v/>
      </c>
      <c r="H321" s="50">
        <f>IF($B321="","",SUM($E$26:$E321))</f>
        <v/>
      </c>
    </row>
    <row r="322">
      <c r="B322" s="48">
        <f>IF(DATE(YEAR_Y,1,1)+296&gt;DATE(YEAR_Y,12,31),"",DATE(YEAR_Y,1,1)+296)</f>
        <v/>
      </c>
      <c r="C322" s="49">
        <f>IF($B322="","",SUMIFS(Grids!$BQ$12:$EC$111,Grids!$EE$12:$GQ$111,"&gt;="&amp;$B322*1000000000,Grids!$EE$12:$GQ$111,"&lt;"&amp;($B322+1)*1000000000))</f>
        <v/>
      </c>
      <c r="D322" s="49">
        <f>IF($B322="","",SUMIFS(Grids!$BQ$116:$EC$155,Grids!$EE$116:$GQ$155,"&gt;="&amp;$B322*1000000000,Grids!$EE$116:$GQ$155,"&lt;"&amp;($B322+1)*1000000000))</f>
        <v/>
      </c>
      <c r="E322" s="49">
        <f>IF($B322="","",SUMIFS(Grids!$BQ$160:$EC$219,Grids!$EE$160:$GQ$219,"&gt;="&amp;$B322*1000000000,Grids!$EE$160:$GQ$219,"&lt;"&amp;($B322+1)*1000000000))</f>
        <v/>
      </c>
      <c r="F322" s="50">
        <f>IF($B322="","",SUM($C$26:$C322))</f>
        <v/>
      </c>
      <c r="G322" s="50">
        <f>IF($B322="","",SUM($D$26:$D322))</f>
        <v/>
      </c>
      <c r="H322" s="50">
        <f>IF($B322="","",SUM($E$26:$E322))</f>
        <v/>
      </c>
    </row>
    <row r="323">
      <c r="B323" s="48">
        <f>IF(DATE(YEAR_Y,1,1)+297&gt;DATE(YEAR_Y,12,31),"",DATE(YEAR_Y,1,1)+297)</f>
        <v/>
      </c>
      <c r="C323" s="49">
        <f>IF($B323="","",SUMIFS(Grids!$BQ$12:$EC$111,Grids!$EE$12:$GQ$111,"&gt;="&amp;$B323*1000000000,Grids!$EE$12:$GQ$111,"&lt;"&amp;($B323+1)*1000000000))</f>
        <v/>
      </c>
      <c r="D323" s="49">
        <f>IF($B323="","",SUMIFS(Grids!$BQ$116:$EC$155,Grids!$EE$116:$GQ$155,"&gt;="&amp;$B323*1000000000,Grids!$EE$116:$GQ$155,"&lt;"&amp;($B323+1)*1000000000))</f>
        <v/>
      </c>
      <c r="E323" s="49">
        <f>IF($B323="","",SUMIFS(Grids!$BQ$160:$EC$219,Grids!$EE$160:$GQ$219,"&gt;="&amp;$B323*1000000000,Grids!$EE$160:$GQ$219,"&lt;"&amp;($B323+1)*1000000000))</f>
        <v/>
      </c>
      <c r="F323" s="50">
        <f>IF($B323="","",SUM($C$26:$C323))</f>
        <v/>
      </c>
      <c r="G323" s="50">
        <f>IF($B323="","",SUM($D$26:$D323))</f>
        <v/>
      </c>
      <c r="H323" s="50">
        <f>IF($B323="","",SUM($E$26:$E323))</f>
        <v/>
      </c>
    </row>
    <row r="324">
      <c r="B324" s="48">
        <f>IF(DATE(YEAR_Y,1,1)+298&gt;DATE(YEAR_Y,12,31),"",DATE(YEAR_Y,1,1)+298)</f>
        <v/>
      </c>
      <c r="C324" s="49">
        <f>IF($B324="","",SUMIFS(Grids!$BQ$12:$EC$111,Grids!$EE$12:$GQ$111,"&gt;="&amp;$B324*1000000000,Grids!$EE$12:$GQ$111,"&lt;"&amp;($B324+1)*1000000000))</f>
        <v/>
      </c>
      <c r="D324" s="49">
        <f>IF($B324="","",SUMIFS(Grids!$BQ$116:$EC$155,Grids!$EE$116:$GQ$155,"&gt;="&amp;$B324*1000000000,Grids!$EE$116:$GQ$155,"&lt;"&amp;($B324+1)*1000000000))</f>
        <v/>
      </c>
      <c r="E324" s="49">
        <f>IF($B324="","",SUMIFS(Grids!$BQ$160:$EC$219,Grids!$EE$160:$GQ$219,"&gt;="&amp;$B324*1000000000,Grids!$EE$160:$GQ$219,"&lt;"&amp;($B324+1)*1000000000))</f>
        <v/>
      </c>
      <c r="F324" s="50">
        <f>IF($B324="","",SUM($C$26:$C324))</f>
        <v/>
      </c>
      <c r="G324" s="50">
        <f>IF($B324="","",SUM($D$26:$D324))</f>
        <v/>
      </c>
      <c r="H324" s="50">
        <f>IF($B324="","",SUM($E$26:$E324))</f>
        <v/>
      </c>
    </row>
    <row r="325">
      <c r="B325" s="48">
        <f>IF(DATE(YEAR_Y,1,1)+299&gt;DATE(YEAR_Y,12,31),"",DATE(YEAR_Y,1,1)+299)</f>
        <v/>
      </c>
      <c r="C325" s="49">
        <f>IF($B325="","",SUMIFS(Grids!$BQ$12:$EC$111,Grids!$EE$12:$GQ$111,"&gt;="&amp;$B325*1000000000,Grids!$EE$12:$GQ$111,"&lt;"&amp;($B325+1)*1000000000))</f>
        <v/>
      </c>
      <c r="D325" s="49">
        <f>IF($B325="","",SUMIFS(Grids!$BQ$116:$EC$155,Grids!$EE$116:$GQ$155,"&gt;="&amp;$B325*1000000000,Grids!$EE$116:$GQ$155,"&lt;"&amp;($B325+1)*1000000000))</f>
        <v/>
      </c>
      <c r="E325" s="49">
        <f>IF($B325="","",SUMIFS(Grids!$BQ$160:$EC$219,Grids!$EE$160:$GQ$219,"&gt;="&amp;$B325*1000000000,Grids!$EE$160:$GQ$219,"&lt;"&amp;($B325+1)*1000000000))</f>
        <v/>
      </c>
      <c r="F325" s="50">
        <f>IF($B325="","",SUM($C$26:$C325))</f>
        <v/>
      </c>
      <c r="G325" s="50">
        <f>IF($B325="","",SUM($D$26:$D325))</f>
        <v/>
      </c>
      <c r="H325" s="50">
        <f>IF($B325="","",SUM($E$26:$E325))</f>
        <v/>
      </c>
    </row>
    <row r="326">
      <c r="B326" s="48">
        <f>IF(DATE(YEAR_Y,1,1)+300&gt;DATE(YEAR_Y,12,31),"",DATE(YEAR_Y,1,1)+300)</f>
        <v/>
      </c>
      <c r="C326" s="49">
        <f>IF($B326="","",SUMIFS(Grids!$BQ$12:$EC$111,Grids!$EE$12:$GQ$111,"&gt;="&amp;$B326*1000000000,Grids!$EE$12:$GQ$111,"&lt;"&amp;($B326+1)*1000000000))</f>
        <v/>
      </c>
      <c r="D326" s="49">
        <f>IF($B326="","",SUMIFS(Grids!$BQ$116:$EC$155,Grids!$EE$116:$GQ$155,"&gt;="&amp;$B326*1000000000,Grids!$EE$116:$GQ$155,"&lt;"&amp;($B326+1)*1000000000))</f>
        <v/>
      </c>
      <c r="E326" s="49">
        <f>IF($B326="","",SUMIFS(Grids!$BQ$160:$EC$219,Grids!$EE$160:$GQ$219,"&gt;="&amp;$B326*1000000000,Grids!$EE$160:$GQ$219,"&lt;"&amp;($B326+1)*1000000000))</f>
        <v/>
      </c>
      <c r="F326" s="50">
        <f>IF($B326="","",SUM($C$26:$C326))</f>
        <v/>
      </c>
      <c r="G326" s="50">
        <f>IF($B326="","",SUM($D$26:$D326))</f>
        <v/>
      </c>
      <c r="H326" s="50">
        <f>IF($B326="","",SUM($E$26:$E326))</f>
        <v/>
      </c>
    </row>
    <row r="327">
      <c r="B327" s="48">
        <f>IF(DATE(YEAR_Y,1,1)+301&gt;DATE(YEAR_Y,12,31),"",DATE(YEAR_Y,1,1)+301)</f>
        <v/>
      </c>
      <c r="C327" s="49">
        <f>IF($B327="","",SUMIFS(Grids!$BQ$12:$EC$111,Grids!$EE$12:$GQ$111,"&gt;="&amp;$B327*1000000000,Grids!$EE$12:$GQ$111,"&lt;"&amp;($B327+1)*1000000000))</f>
        <v/>
      </c>
      <c r="D327" s="49">
        <f>IF($B327="","",SUMIFS(Grids!$BQ$116:$EC$155,Grids!$EE$116:$GQ$155,"&gt;="&amp;$B327*1000000000,Grids!$EE$116:$GQ$155,"&lt;"&amp;($B327+1)*1000000000))</f>
        <v/>
      </c>
      <c r="E327" s="49">
        <f>IF($B327="","",SUMIFS(Grids!$BQ$160:$EC$219,Grids!$EE$160:$GQ$219,"&gt;="&amp;$B327*1000000000,Grids!$EE$160:$GQ$219,"&lt;"&amp;($B327+1)*1000000000))</f>
        <v/>
      </c>
      <c r="F327" s="50">
        <f>IF($B327="","",SUM($C$26:$C327))</f>
        <v/>
      </c>
      <c r="G327" s="50">
        <f>IF($B327="","",SUM($D$26:$D327))</f>
        <v/>
      </c>
      <c r="H327" s="50">
        <f>IF($B327="","",SUM($E$26:$E327))</f>
        <v/>
      </c>
    </row>
    <row r="328">
      <c r="B328" s="48">
        <f>IF(DATE(YEAR_Y,1,1)+302&gt;DATE(YEAR_Y,12,31),"",DATE(YEAR_Y,1,1)+302)</f>
        <v/>
      </c>
      <c r="C328" s="49">
        <f>IF($B328="","",SUMIFS(Grids!$BQ$12:$EC$111,Grids!$EE$12:$GQ$111,"&gt;="&amp;$B328*1000000000,Grids!$EE$12:$GQ$111,"&lt;"&amp;($B328+1)*1000000000))</f>
        <v/>
      </c>
      <c r="D328" s="49">
        <f>IF($B328="","",SUMIFS(Grids!$BQ$116:$EC$155,Grids!$EE$116:$GQ$155,"&gt;="&amp;$B328*1000000000,Grids!$EE$116:$GQ$155,"&lt;"&amp;($B328+1)*1000000000))</f>
        <v/>
      </c>
      <c r="E328" s="49">
        <f>IF($B328="","",SUMIFS(Grids!$BQ$160:$EC$219,Grids!$EE$160:$GQ$219,"&gt;="&amp;$B328*1000000000,Grids!$EE$160:$GQ$219,"&lt;"&amp;($B328+1)*1000000000))</f>
        <v/>
      </c>
      <c r="F328" s="50">
        <f>IF($B328="","",SUM($C$26:$C328))</f>
        <v/>
      </c>
      <c r="G328" s="50">
        <f>IF($B328="","",SUM($D$26:$D328))</f>
        <v/>
      </c>
      <c r="H328" s="50">
        <f>IF($B328="","",SUM($E$26:$E328))</f>
        <v/>
      </c>
    </row>
    <row r="329">
      <c r="B329" s="48">
        <f>IF(DATE(YEAR_Y,1,1)+303&gt;DATE(YEAR_Y,12,31),"",DATE(YEAR_Y,1,1)+303)</f>
        <v/>
      </c>
      <c r="C329" s="49">
        <f>IF($B329="","",SUMIFS(Grids!$BQ$12:$EC$111,Grids!$EE$12:$GQ$111,"&gt;="&amp;$B329*1000000000,Grids!$EE$12:$GQ$111,"&lt;"&amp;($B329+1)*1000000000))</f>
        <v/>
      </c>
      <c r="D329" s="49">
        <f>IF($B329="","",SUMIFS(Grids!$BQ$116:$EC$155,Grids!$EE$116:$GQ$155,"&gt;="&amp;$B329*1000000000,Grids!$EE$116:$GQ$155,"&lt;"&amp;($B329+1)*1000000000))</f>
        <v/>
      </c>
      <c r="E329" s="49">
        <f>IF($B329="","",SUMIFS(Grids!$BQ$160:$EC$219,Grids!$EE$160:$GQ$219,"&gt;="&amp;$B329*1000000000,Grids!$EE$160:$GQ$219,"&lt;"&amp;($B329+1)*1000000000))</f>
        <v/>
      </c>
      <c r="F329" s="50">
        <f>IF($B329="","",SUM($C$26:$C329))</f>
        <v/>
      </c>
      <c r="G329" s="50">
        <f>IF($B329="","",SUM($D$26:$D329))</f>
        <v/>
      </c>
      <c r="H329" s="50">
        <f>IF($B329="","",SUM($E$26:$E329))</f>
        <v/>
      </c>
    </row>
    <row r="330">
      <c r="B330" s="48">
        <f>IF(DATE(YEAR_Y,1,1)+304&gt;DATE(YEAR_Y,12,31),"",DATE(YEAR_Y,1,1)+304)</f>
        <v/>
      </c>
      <c r="C330" s="49">
        <f>IF($B330="","",SUMIFS(Grids!$BQ$12:$EC$111,Grids!$EE$12:$GQ$111,"&gt;="&amp;$B330*1000000000,Grids!$EE$12:$GQ$111,"&lt;"&amp;($B330+1)*1000000000))</f>
        <v/>
      </c>
      <c r="D330" s="49">
        <f>IF($B330="","",SUMIFS(Grids!$BQ$116:$EC$155,Grids!$EE$116:$GQ$155,"&gt;="&amp;$B330*1000000000,Grids!$EE$116:$GQ$155,"&lt;"&amp;($B330+1)*1000000000))</f>
        <v/>
      </c>
      <c r="E330" s="49">
        <f>IF($B330="","",SUMIFS(Grids!$BQ$160:$EC$219,Grids!$EE$160:$GQ$219,"&gt;="&amp;$B330*1000000000,Grids!$EE$160:$GQ$219,"&lt;"&amp;($B330+1)*1000000000))</f>
        <v/>
      </c>
      <c r="F330" s="50">
        <f>IF($B330="","",SUM($C$26:$C330))</f>
        <v/>
      </c>
      <c r="G330" s="50">
        <f>IF($B330="","",SUM($D$26:$D330))</f>
        <v/>
      </c>
      <c r="H330" s="50">
        <f>IF($B330="","",SUM($E$26:$E330))</f>
        <v/>
      </c>
    </row>
    <row r="331">
      <c r="B331" s="48">
        <f>IF(DATE(YEAR_Y,1,1)+305&gt;DATE(YEAR_Y,12,31),"",DATE(YEAR_Y,1,1)+305)</f>
        <v/>
      </c>
      <c r="C331" s="49">
        <f>IF($B331="","",SUMIFS(Grids!$BQ$12:$EC$111,Grids!$EE$12:$GQ$111,"&gt;="&amp;$B331*1000000000,Grids!$EE$12:$GQ$111,"&lt;"&amp;($B331+1)*1000000000))</f>
        <v/>
      </c>
      <c r="D331" s="49">
        <f>IF($B331="","",SUMIFS(Grids!$BQ$116:$EC$155,Grids!$EE$116:$GQ$155,"&gt;="&amp;$B331*1000000000,Grids!$EE$116:$GQ$155,"&lt;"&amp;($B331+1)*1000000000))</f>
        <v/>
      </c>
      <c r="E331" s="49">
        <f>IF($B331="","",SUMIFS(Grids!$BQ$160:$EC$219,Grids!$EE$160:$GQ$219,"&gt;="&amp;$B331*1000000000,Grids!$EE$160:$GQ$219,"&lt;"&amp;($B331+1)*1000000000))</f>
        <v/>
      </c>
      <c r="F331" s="50">
        <f>IF($B331="","",SUM($C$26:$C331))</f>
        <v/>
      </c>
      <c r="G331" s="50">
        <f>IF($B331="","",SUM($D$26:$D331))</f>
        <v/>
      </c>
      <c r="H331" s="50">
        <f>IF($B331="","",SUM($E$26:$E331))</f>
        <v/>
      </c>
    </row>
    <row r="332">
      <c r="B332" s="48">
        <f>IF(DATE(YEAR_Y,1,1)+306&gt;DATE(YEAR_Y,12,31),"",DATE(YEAR_Y,1,1)+306)</f>
        <v/>
      </c>
      <c r="C332" s="49">
        <f>IF($B332="","",SUMIFS(Grids!$BQ$12:$EC$111,Grids!$EE$12:$GQ$111,"&gt;="&amp;$B332*1000000000,Grids!$EE$12:$GQ$111,"&lt;"&amp;($B332+1)*1000000000))</f>
        <v/>
      </c>
      <c r="D332" s="49">
        <f>IF($B332="","",SUMIFS(Grids!$BQ$116:$EC$155,Grids!$EE$116:$GQ$155,"&gt;="&amp;$B332*1000000000,Grids!$EE$116:$GQ$155,"&lt;"&amp;($B332+1)*1000000000))</f>
        <v/>
      </c>
      <c r="E332" s="49">
        <f>IF($B332="","",SUMIFS(Grids!$BQ$160:$EC$219,Grids!$EE$160:$GQ$219,"&gt;="&amp;$B332*1000000000,Grids!$EE$160:$GQ$219,"&lt;"&amp;($B332+1)*1000000000))</f>
        <v/>
      </c>
      <c r="F332" s="50">
        <f>IF($B332="","",SUM($C$26:$C332))</f>
        <v/>
      </c>
      <c r="G332" s="50">
        <f>IF($B332="","",SUM($D$26:$D332))</f>
        <v/>
      </c>
      <c r="H332" s="50">
        <f>IF($B332="","",SUM($E$26:$E332))</f>
        <v/>
      </c>
    </row>
    <row r="333">
      <c r="B333" s="48">
        <f>IF(DATE(YEAR_Y,1,1)+307&gt;DATE(YEAR_Y,12,31),"",DATE(YEAR_Y,1,1)+307)</f>
        <v/>
      </c>
      <c r="C333" s="49">
        <f>IF($B333="","",SUMIFS(Grids!$BQ$12:$EC$111,Grids!$EE$12:$GQ$111,"&gt;="&amp;$B333*1000000000,Grids!$EE$12:$GQ$111,"&lt;"&amp;($B333+1)*1000000000))</f>
        <v/>
      </c>
      <c r="D333" s="49">
        <f>IF($B333="","",SUMIFS(Grids!$BQ$116:$EC$155,Grids!$EE$116:$GQ$155,"&gt;="&amp;$B333*1000000000,Grids!$EE$116:$GQ$155,"&lt;"&amp;($B333+1)*1000000000))</f>
        <v/>
      </c>
      <c r="E333" s="49">
        <f>IF($B333="","",SUMIFS(Grids!$BQ$160:$EC$219,Grids!$EE$160:$GQ$219,"&gt;="&amp;$B333*1000000000,Grids!$EE$160:$GQ$219,"&lt;"&amp;($B333+1)*1000000000))</f>
        <v/>
      </c>
      <c r="F333" s="50">
        <f>IF($B333="","",SUM($C$26:$C333))</f>
        <v/>
      </c>
      <c r="G333" s="50">
        <f>IF($B333="","",SUM($D$26:$D333))</f>
        <v/>
      </c>
      <c r="H333" s="50">
        <f>IF($B333="","",SUM($E$26:$E333))</f>
        <v/>
      </c>
    </row>
    <row r="334">
      <c r="B334" s="48">
        <f>IF(DATE(YEAR_Y,1,1)+308&gt;DATE(YEAR_Y,12,31),"",DATE(YEAR_Y,1,1)+308)</f>
        <v/>
      </c>
      <c r="C334" s="49">
        <f>IF($B334="","",SUMIFS(Grids!$BQ$12:$EC$111,Grids!$EE$12:$GQ$111,"&gt;="&amp;$B334*1000000000,Grids!$EE$12:$GQ$111,"&lt;"&amp;($B334+1)*1000000000))</f>
        <v/>
      </c>
      <c r="D334" s="49">
        <f>IF($B334="","",SUMIFS(Grids!$BQ$116:$EC$155,Grids!$EE$116:$GQ$155,"&gt;="&amp;$B334*1000000000,Grids!$EE$116:$GQ$155,"&lt;"&amp;($B334+1)*1000000000))</f>
        <v/>
      </c>
      <c r="E334" s="49">
        <f>IF($B334="","",SUMIFS(Grids!$BQ$160:$EC$219,Grids!$EE$160:$GQ$219,"&gt;="&amp;$B334*1000000000,Grids!$EE$160:$GQ$219,"&lt;"&amp;($B334+1)*1000000000))</f>
        <v/>
      </c>
      <c r="F334" s="50">
        <f>IF($B334="","",SUM($C$26:$C334))</f>
        <v/>
      </c>
      <c r="G334" s="50">
        <f>IF($B334="","",SUM($D$26:$D334))</f>
        <v/>
      </c>
      <c r="H334" s="50">
        <f>IF($B334="","",SUM($E$26:$E334))</f>
        <v/>
      </c>
    </row>
    <row r="335">
      <c r="B335" s="48">
        <f>IF(DATE(YEAR_Y,1,1)+309&gt;DATE(YEAR_Y,12,31),"",DATE(YEAR_Y,1,1)+309)</f>
        <v/>
      </c>
      <c r="C335" s="49">
        <f>IF($B335="","",SUMIFS(Grids!$BQ$12:$EC$111,Grids!$EE$12:$GQ$111,"&gt;="&amp;$B335*1000000000,Grids!$EE$12:$GQ$111,"&lt;"&amp;($B335+1)*1000000000))</f>
        <v/>
      </c>
      <c r="D335" s="49">
        <f>IF($B335="","",SUMIFS(Grids!$BQ$116:$EC$155,Grids!$EE$116:$GQ$155,"&gt;="&amp;$B335*1000000000,Grids!$EE$116:$GQ$155,"&lt;"&amp;($B335+1)*1000000000))</f>
        <v/>
      </c>
      <c r="E335" s="49">
        <f>IF($B335="","",SUMIFS(Grids!$BQ$160:$EC$219,Grids!$EE$160:$GQ$219,"&gt;="&amp;$B335*1000000000,Grids!$EE$160:$GQ$219,"&lt;"&amp;($B335+1)*1000000000))</f>
        <v/>
      </c>
      <c r="F335" s="50">
        <f>IF($B335="","",SUM($C$26:$C335))</f>
        <v/>
      </c>
      <c r="G335" s="50">
        <f>IF($B335="","",SUM($D$26:$D335))</f>
        <v/>
      </c>
      <c r="H335" s="50">
        <f>IF($B335="","",SUM($E$26:$E335))</f>
        <v/>
      </c>
    </row>
    <row r="336">
      <c r="B336" s="48">
        <f>IF(DATE(YEAR_Y,1,1)+310&gt;DATE(YEAR_Y,12,31),"",DATE(YEAR_Y,1,1)+310)</f>
        <v/>
      </c>
      <c r="C336" s="49">
        <f>IF($B336="","",SUMIFS(Grids!$BQ$12:$EC$111,Grids!$EE$12:$GQ$111,"&gt;="&amp;$B336*1000000000,Grids!$EE$12:$GQ$111,"&lt;"&amp;($B336+1)*1000000000))</f>
        <v/>
      </c>
      <c r="D336" s="49">
        <f>IF($B336="","",SUMIFS(Grids!$BQ$116:$EC$155,Grids!$EE$116:$GQ$155,"&gt;="&amp;$B336*1000000000,Grids!$EE$116:$GQ$155,"&lt;"&amp;($B336+1)*1000000000))</f>
        <v/>
      </c>
      <c r="E336" s="49">
        <f>IF($B336="","",SUMIFS(Grids!$BQ$160:$EC$219,Grids!$EE$160:$GQ$219,"&gt;="&amp;$B336*1000000000,Grids!$EE$160:$GQ$219,"&lt;"&amp;($B336+1)*1000000000))</f>
        <v/>
      </c>
      <c r="F336" s="50">
        <f>IF($B336="","",SUM($C$26:$C336))</f>
        <v/>
      </c>
      <c r="G336" s="50">
        <f>IF($B336="","",SUM($D$26:$D336))</f>
        <v/>
      </c>
      <c r="H336" s="50">
        <f>IF($B336="","",SUM($E$26:$E336))</f>
        <v/>
      </c>
    </row>
    <row r="337">
      <c r="B337" s="48">
        <f>IF(DATE(YEAR_Y,1,1)+311&gt;DATE(YEAR_Y,12,31),"",DATE(YEAR_Y,1,1)+311)</f>
        <v/>
      </c>
      <c r="C337" s="49">
        <f>IF($B337="","",SUMIFS(Grids!$BQ$12:$EC$111,Grids!$EE$12:$GQ$111,"&gt;="&amp;$B337*1000000000,Grids!$EE$12:$GQ$111,"&lt;"&amp;($B337+1)*1000000000))</f>
        <v/>
      </c>
      <c r="D337" s="49">
        <f>IF($B337="","",SUMIFS(Grids!$BQ$116:$EC$155,Grids!$EE$116:$GQ$155,"&gt;="&amp;$B337*1000000000,Grids!$EE$116:$GQ$155,"&lt;"&amp;($B337+1)*1000000000))</f>
        <v/>
      </c>
      <c r="E337" s="49">
        <f>IF($B337="","",SUMIFS(Grids!$BQ$160:$EC$219,Grids!$EE$160:$GQ$219,"&gt;="&amp;$B337*1000000000,Grids!$EE$160:$GQ$219,"&lt;"&amp;($B337+1)*1000000000))</f>
        <v/>
      </c>
      <c r="F337" s="50">
        <f>IF($B337="","",SUM($C$26:$C337))</f>
        <v/>
      </c>
      <c r="G337" s="50">
        <f>IF($B337="","",SUM($D$26:$D337))</f>
        <v/>
      </c>
      <c r="H337" s="50">
        <f>IF($B337="","",SUM($E$26:$E337))</f>
        <v/>
      </c>
    </row>
    <row r="338">
      <c r="B338" s="48">
        <f>IF(DATE(YEAR_Y,1,1)+312&gt;DATE(YEAR_Y,12,31),"",DATE(YEAR_Y,1,1)+312)</f>
        <v/>
      </c>
      <c r="C338" s="49">
        <f>IF($B338="","",SUMIFS(Grids!$BQ$12:$EC$111,Grids!$EE$12:$GQ$111,"&gt;="&amp;$B338*1000000000,Grids!$EE$12:$GQ$111,"&lt;"&amp;($B338+1)*1000000000))</f>
        <v/>
      </c>
      <c r="D338" s="49">
        <f>IF($B338="","",SUMIFS(Grids!$BQ$116:$EC$155,Grids!$EE$116:$GQ$155,"&gt;="&amp;$B338*1000000000,Grids!$EE$116:$GQ$155,"&lt;"&amp;($B338+1)*1000000000))</f>
        <v/>
      </c>
      <c r="E338" s="49">
        <f>IF($B338="","",SUMIFS(Grids!$BQ$160:$EC$219,Grids!$EE$160:$GQ$219,"&gt;="&amp;$B338*1000000000,Grids!$EE$160:$GQ$219,"&lt;"&amp;($B338+1)*1000000000))</f>
        <v/>
      </c>
      <c r="F338" s="50">
        <f>IF($B338="","",SUM($C$26:$C338))</f>
        <v/>
      </c>
      <c r="G338" s="50">
        <f>IF($B338="","",SUM($D$26:$D338))</f>
        <v/>
      </c>
      <c r="H338" s="50">
        <f>IF($B338="","",SUM($E$26:$E338))</f>
        <v/>
      </c>
    </row>
    <row r="339">
      <c r="B339" s="48">
        <f>IF(DATE(YEAR_Y,1,1)+313&gt;DATE(YEAR_Y,12,31),"",DATE(YEAR_Y,1,1)+313)</f>
        <v/>
      </c>
      <c r="C339" s="49">
        <f>IF($B339="","",SUMIFS(Grids!$BQ$12:$EC$111,Grids!$EE$12:$GQ$111,"&gt;="&amp;$B339*1000000000,Grids!$EE$12:$GQ$111,"&lt;"&amp;($B339+1)*1000000000))</f>
        <v/>
      </c>
      <c r="D339" s="49">
        <f>IF($B339="","",SUMIFS(Grids!$BQ$116:$EC$155,Grids!$EE$116:$GQ$155,"&gt;="&amp;$B339*1000000000,Grids!$EE$116:$GQ$155,"&lt;"&amp;($B339+1)*1000000000))</f>
        <v/>
      </c>
      <c r="E339" s="49">
        <f>IF($B339="","",SUMIFS(Grids!$BQ$160:$EC$219,Grids!$EE$160:$GQ$219,"&gt;="&amp;$B339*1000000000,Grids!$EE$160:$GQ$219,"&lt;"&amp;($B339+1)*1000000000))</f>
        <v/>
      </c>
      <c r="F339" s="50">
        <f>IF($B339="","",SUM($C$26:$C339))</f>
        <v/>
      </c>
      <c r="G339" s="50">
        <f>IF($B339="","",SUM($D$26:$D339))</f>
        <v/>
      </c>
      <c r="H339" s="50">
        <f>IF($B339="","",SUM($E$26:$E339))</f>
        <v/>
      </c>
    </row>
    <row r="340">
      <c r="B340" s="48">
        <f>IF(DATE(YEAR_Y,1,1)+314&gt;DATE(YEAR_Y,12,31),"",DATE(YEAR_Y,1,1)+314)</f>
        <v/>
      </c>
      <c r="C340" s="49">
        <f>IF($B340="","",SUMIFS(Grids!$BQ$12:$EC$111,Grids!$EE$12:$GQ$111,"&gt;="&amp;$B340*1000000000,Grids!$EE$12:$GQ$111,"&lt;"&amp;($B340+1)*1000000000))</f>
        <v/>
      </c>
      <c r="D340" s="49">
        <f>IF($B340="","",SUMIFS(Grids!$BQ$116:$EC$155,Grids!$EE$116:$GQ$155,"&gt;="&amp;$B340*1000000000,Grids!$EE$116:$GQ$155,"&lt;"&amp;($B340+1)*1000000000))</f>
        <v/>
      </c>
      <c r="E340" s="49">
        <f>IF($B340="","",SUMIFS(Grids!$BQ$160:$EC$219,Grids!$EE$160:$GQ$219,"&gt;="&amp;$B340*1000000000,Grids!$EE$160:$GQ$219,"&lt;"&amp;($B340+1)*1000000000))</f>
        <v/>
      </c>
      <c r="F340" s="50">
        <f>IF($B340="","",SUM($C$26:$C340))</f>
        <v/>
      </c>
      <c r="G340" s="50">
        <f>IF($B340="","",SUM($D$26:$D340))</f>
        <v/>
      </c>
      <c r="H340" s="50">
        <f>IF($B340="","",SUM($E$26:$E340))</f>
        <v/>
      </c>
    </row>
    <row r="341">
      <c r="B341" s="48">
        <f>IF(DATE(YEAR_Y,1,1)+315&gt;DATE(YEAR_Y,12,31),"",DATE(YEAR_Y,1,1)+315)</f>
        <v/>
      </c>
      <c r="C341" s="49">
        <f>IF($B341="","",SUMIFS(Grids!$BQ$12:$EC$111,Grids!$EE$12:$GQ$111,"&gt;="&amp;$B341*1000000000,Grids!$EE$12:$GQ$111,"&lt;"&amp;($B341+1)*1000000000))</f>
        <v/>
      </c>
      <c r="D341" s="49">
        <f>IF($B341="","",SUMIFS(Grids!$BQ$116:$EC$155,Grids!$EE$116:$GQ$155,"&gt;="&amp;$B341*1000000000,Grids!$EE$116:$GQ$155,"&lt;"&amp;($B341+1)*1000000000))</f>
        <v/>
      </c>
      <c r="E341" s="49">
        <f>IF($B341="","",SUMIFS(Grids!$BQ$160:$EC$219,Grids!$EE$160:$GQ$219,"&gt;="&amp;$B341*1000000000,Grids!$EE$160:$GQ$219,"&lt;"&amp;($B341+1)*1000000000))</f>
        <v/>
      </c>
      <c r="F341" s="50">
        <f>IF($B341="","",SUM($C$26:$C341))</f>
        <v/>
      </c>
      <c r="G341" s="50">
        <f>IF($B341="","",SUM($D$26:$D341))</f>
        <v/>
      </c>
      <c r="H341" s="50">
        <f>IF($B341="","",SUM($E$26:$E341))</f>
        <v/>
      </c>
    </row>
    <row r="342">
      <c r="B342" s="48">
        <f>IF(DATE(YEAR_Y,1,1)+316&gt;DATE(YEAR_Y,12,31),"",DATE(YEAR_Y,1,1)+316)</f>
        <v/>
      </c>
      <c r="C342" s="49">
        <f>IF($B342="","",SUMIFS(Grids!$BQ$12:$EC$111,Grids!$EE$12:$GQ$111,"&gt;="&amp;$B342*1000000000,Grids!$EE$12:$GQ$111,"&lt;"&amp;($B342+1)*1000000000))</f>
        <v/>
      </c>
      <c r="D342" s="49">
        <f>IF($B342="","",SUMIFS(Grids!$BQ$116:$EC$155,Grids!$EE$116:$GQ$155,"&gt;="&amp;$B342*1000000000,Grids!$EE$116:$GQ$155,"&lt;"&amp;($B342+1)*1000000000))</f>
        <v/>
      </c>
      <c r="E342" s="49">
        <f>IF($B342="","",SUMIFS(Grids!$BQ$160:$EC$219,Grids!$EE$160:$GQ$219,"&gt;="&amp;$B342*1000000000,Grids!$EE$160:$GQ$219,"&lt;"&amp;($B342+1)*1000000000))</f>
        <v/>
      </c>
      <c r="F342" s="50">
        <f>IF($B342="","",SUM($C$26:$C342))</f>
        <v/>
      </c>
      <c r="G342" s="50">
        <f>IF($B342="","",SUM($D$26:$D342))</f>
        <v/>
      </c>
      <c r="H342" s="50">
        <f>IF($B342="","",SUM($E$26:$E342))</f>
        <v/>
      </c>
    </row>
    <row r="343">
      <c r="B343" s="48">
        <f>IF(DATE(YEAR_Y,1,1)+317&gt;DATE(YEAR_Y,12,31),"",DATE(YEAR_Y,1,1)+317)</f>
        <v/>
      </c>
      <c r="C343" s="49">
        <f>IF($B343="","",SUMIFS(Grids!$BQ$12:$EC$111,Grids!$EE$12:$GQ$111,"&gt;="&amp;$B343*1000000000,Grids!$EE$12:$GQ$111,"&lt;"&amp;($B343+1)*1000000000))</f>
        <v/>
      </c>
      <c r="D343" s="49">
        <f>IF($B343="","",SUMIFS(Grids!$BQ$116:$EC$155,Grids!$EE$116:$GQ$155,"&gt;="&amp;$B343*1000000000,Grids!$EE$116:$GQ$155,"&lt;"&amp;($B343+1)*1000000000))</f>
        <v/>
      </c>
      <c r="E343" s="49">
        <f>IF($B343="","",SUMIFS(Grids!$BQ$160:$EC$219,Grids!$EE$160:$GQ$219,"&gt;="&amp;$B343*1000000000,Grids!$EE$160:$GQ$219,"&lt;"&amp;($B343+1)*1000000000))</f>
        <v/>
      </c>
      <c r="F343" s="50">
        <f>IF($B343="","",SUM($C$26:$C343))</f>
        <v/>
      </c>
      <c r="G343" s="50">
        <f>IF($B343="","",SUM($D$26:$D343))</f>
        <v/>
      </c>
      <c r="H343" s="50">
        <f>IF($B343="","",SUM($E$26:$E343))</f>
        <v/>
      </c>
    </row>
    <row r="344">
      <c r="B344" s="48">
        <f>IF(DATE(YEAR_Y,1,1)+318&gt;DATE(YEAR_Y,12,31),"",DATE(YEAR_Y,1,1)+318)</f>
        <v/>
      </c>
      <c r="C344" s="49">
        <f>IF($B344="","",SUMIFS(Grids!$BQ$12:$EC$111,Grids!$EE$12:$GQ$111,"&gt;="&amp;$B344*1000000000,Grids!$EE$12:$GQ$111,"&lt;"&amp;($B344+1)*1000000000))</f>
        <v/>
      </c>
      <c r="D344" s="49">
        <f>IF($B344="","",SUMIFS(Grids!$BQ$116:$EC$155,Grids!$EE$116:$GQ$155,"&gt;="&amp;$B344*1000000000,Grids!$EE$116:$GQ$155,"&lt;"&amp;($B344+1)*1000000000))</f>
        <v/>
      </c>
      <c r="E344" s="49">
        <f>IF($B344="","",SUMIFS(Grids!$BQ$160:$EC$219,Grids!$EE$160:$GQ$219,"&gt;="&amp;$B344*1000000000,Grids!$EE$160:$GQ$219,"&lt;"&amp;($B344+1)*1000000000))</f>
        <v/>
      </c>
      <c r="F344" s="50">
        <f>IF($B344="","",SUM($C$26:$C344))</f>
        <v/>
      </c>
      <c r="G344" s="50">
        <f>IF($B344="","",SUM($D$26:$D344))</f>
        <v/>
      </c>
      <c r="H344" s="50">
        <f>IF($B344="","",SUM($E$26:$E344))</f>
        <v/>
      </c>
    </row>
    <row r="345">
      <c r="B345" s="48">
        <f>IF(DATE(YEAR_Y,1,1)+319&gt;DATE(YEAR_Y,12,31),"",DATE(YEAR_Y,1,1)+319)</f>
        <v/>
      </c>
      <c r="C345" s="49">
        <f>IF($B345="","",SUMIFS(Grids!$BQ$12:$EC$111,Grids!$EE$12:$GQ$111,"&gt;="&amp;$B345*1000000000,Grids!$EE$12:$GQ$111,"&lt;"&amp;($B345+1)*1000000000))</f>
        <v/>
      </c>
      <c r="D345" s="49">
        <f>IF($B345="","",SUMIFS(Grids!$BQ$116:$EC$155,Grids!$EE$116:$GQ$155,"&gt;="&amp;$B345*1000000000,Grids!$EE$116:$GQ$155,"&lt;"&amp;($B345+1)*1000000000))</f>
        <v/>
      </c>
      <c r="E345" s="49">
        <f>IF($B345="","",SUMIFS(Grids!$BQ$160:$EC$219,Grids!$EE$160:$GQ$219,"&gt;="&amp;$B345*1000000000,Grids!$EE$160:$GQ$219,"&lt;"&amp;($B345+1)*1000000000))</f>
        <v/>
      </c>
      <c r="F345" s="50">
        <f>IF($B345="","",SUM($C$26:$C345))</f>
        <v/>
      </c>
      <c r="G345" s="50">
        <f>IF($B345="","",SUM($D$26:$D345))</f>
        <v/>
      </c>
      <c r="H345" s="50">
        <f>IF($B345="","",SUM($E$26:$E345))</f>
        <v/>
      </c>
    </row>
    <row r="346">
      <c r="B346" s="48">
        <f>IF(DATE(YEAR_Y,1,1)+320&gt;DATE(YEAR_Y,12,31),"",DATE(YEAR_Y,1,1)+320)</f>
        <v/>
      </c>
      <c r="C346" s="49">
        <f>IF($B346="","",SUMIFS(Grids!$BQ$12:$EC$111,Grids!$EE$12:$GQ$111,"&gt;="&amp;$B346*1000000000,Grids!$EE$12:$GQ$111,"&lt;"&amp;($B346+1)*1000000000))</f>
        <v/>
      </c>
      <c r="D346" s="49">
        <f>IF($B346="","",SUMIFS(Grids!$BQ$116:$EC$155,Grids!$EE$116:$GQ$155,"&gt;="&amp;$B346*1000000000,Grids!$EE$116:$GQ$155,"&lt;"&amp;($B346+1)*1000000000))</f>
        <v/>
      </c>
      <c r="E346" s="49">
        <f>IF($B346="","",SUMIFS(Grids!$BQ$160:$EC$219,Grids!$EE$160:$GQ$219,"&gt;="&amp;$B346*1000000000,Grids!$EE$160:$GQ$219,"&lt;"&amp;($B346+1)*1000000000))</f>
        <v/>
      </c>
      <c r="F346" s="50">
        <f>IF($B346="","",SUM($C$26:$C346))</f>
        <v/>
      </c>
      <c r="G346" s="50">
        <f>IF($B346="","",SUM($D$26:$D346))</f>
        <v/>
      </c>
      <c r="H346" s="50">
        <f>IF($B346="","",SUM($E$26:$E346))</f>
        <v/>
      </c>
    </row>
    <row r="347">
      <c r="B347" s="48">
        <f>IF(DATE(YEAR_Y,1,1)+321&gt;DATE(YEAR_Y,12,31),"",DATE(YEAR_Y,1,1)+321)</f>
        <v/>
      </c>
      <c r="C347" s="49">
        <f>IF($B347="","",SUMIFS(Grids!$BQ$12:$EC$111,Grids!$EE$12:$GQ$111,"&gt;="&amp;$B347*1000000000,Grids!$EE$12:$GQ$111,"&lt;"&amp;($B347+1)*1000000000))</f>
        <v/>
      </c>
      <c r="D347" s="49">
        <f>IF($B347="","",SUMIFS(Grids!$BQ$116:$EC$155,Grids!$EE$116:$GQ$155,"&gt;="&amp;$B347*1000000000,Grids!$EE$116:$GQ$155,"&lt;"&amp;($B347+1)*1000000000))</f>
        <v/>
      </c>
      <c r="E347" s="49">
        <f>IF($B347="","",SUMIFS(Grids!$BQ$160:$EC$219,Grids!$EE$160:$GQ$219,"&gt;="&amp;$B347*1000000000,Grids!$EE$160:$GQ$219,"&lt;"&amp;($B347+1)*1000000000))</f>
        <v/>
      </c>
      <c r="F347" s="50">
        <f>IF($B347="","",SUM($C$26:$C347))</f>
        <v/>
      </c>
      <c r="G347" s="50">
        <f>IF($B347="","",SUM($D$26:$D347))</f>
        <v/>
      </c>
      <c r="H347" s="50">
        <f>IF($B347="","",SUM($E$26:$E347))</f>
        <v/>
      </c>
    </row>
    <row r="348">
      <c r="B348" s="48">
        <f>IF(DATE(YEAR_Y,1,1)+322&gt;DATE(YEAR_Y,12,31),"",DATE(YEAR_Y,1,1)+322)</f>
        <v/>
      </c>
      <c r="C348" s="49">
        <f>IF($B348="","",SUMIFS(Grids!$BQ$12:$EC$111,Grids!$EE$12:$GQ$111,"&gt;="&amp;$B348*1000000000,Grids!$EE$12:$GQ$111,"&lt;"&amp;($B348+1)*1000000000))</f>
        <v/>
      </c>
      <c r="D348" s="49">
        <f>IF($B348="","",SUMIFS(Grids!$BQ$116:$EC$155,Grids!$EE$116:$GQ$155,"&gt;="&amp;$B348*1000000000,Grids!$EE$116:$GQ$155,"&lt;"&amp;($B348+1)*1000000000))</f>
        <v/>
      </c>
      <c r="E348" s="49">
        <f>IF($B348="","",SUMIFS(Grids!$BQ$160:$EC$219,Grids!$EE$160:$GQ$219,"&gt;="&amp;$B348*1000000000,Grids!$EE$160:$GQ$219,"&lt;"&amp;($B348+1)*1000000000))</f>
        <v/>
      </c>
      <c r="F348" s="50">
        <f>IF($B348="","",SUM($C$26:$C348))</f>
        <v/>
      </c>
      <c r="G348" s="50">
        <f>IF($B348="","",SUM($D$26:$D348))</f>
        <v/>
      </c>
      <c r="H348" s="50">
        <f>IF($B348="","",SUM($E$26:$E348))</f>
        <v/>
      </c>
    </row>
    <row r="349">
      <c r="B349" s="48">
        <f>IF(DATE(YEAR_Y,1,1)+323&gt;DATE(YEAR_Y,12,31),"",DATE(YEAR_Y,1,1)+323)</f>
        <v/>
      </c>
      <c r="C349" s="49">
        <f>IF($B349="","",SUMIFS(Grids!$BQ$12:$EC$111,Grids!$EE$12:$GQ$111,"&gt;="&amp;$B349*1000000000,Grids!$EE$12:$GQ$111,"&lt;"&amp;($B349+1)*1000000000))</f>
        <v/>
      </c>
      <c r="D349" s="49">
        <f>IF($B349="","",SUMIFS(Grids!$BQ$116:$EC$155,Grids!$EE$116:$GQ$155,"&gt;="&amp;$B349*1000000000,Grids!$EE$116:$GQ$155,"&lt;"&amp;($B349+1)*1000000000))</f>
        <v/>
      </c>
      <c r="E349" s="49">
        <f>IF($B349="","",SUMIFS(Grids!$BQ$160:$EC$219,Grids!$EE$160:$GQ$219,"&gt;="&amp;$B349*1000000000,Grids!$EE$160:$GQ$219,"&lt;"&amp;($B349+1)*1000000000))</f>
        <v/>
      </c>
      <c r="F349" s="50">
        <f>IF($B349="","",SUM($C$26:$C349))</f>
        <v/>
      </c>
      <c r="G349" s="50">
        <f>IF($B349="","",SUM($D$26:$D349))</f>
        <v/>
      </c>
      <c r="H349" s="50">
        <f>IF($B349="","",SUM($E$26:$E349))</f>
        <v/>
      </c>
    </row>
    <row r="350">
      <c r="B350" s="48">
        <f>IF(DATE(YEAR_Y,1,1)+324&gt;DATE(YEAR_Y,12,31),"",DATE(YEAR_Y,1,1)+324)</f>
        <v/>
      </c>
      <c r="C350" s="49">
        <f>IF($B350="","",SUMIFS(Grids!$BQ$12:$EC$111,Grids!$EE$12:$GQ$111,"&gt;="&amp;$B350*1000000000,Grids!$EE$12:$GQ$111,"&lt;"&amp;($B350+1)*1000000000))</f>
        <v/>
      </c>
      <c r="D350" s="49">
        <f>IF($B350="","",SUMIFS(Grids!$BQ$116:$EC$155,Grids!$EE$116:$GQ$155,"&gt;="&amp;$B350*1000000000,Grids!$EE$116:$GQ$155,"&lt;"&amp;($B350+1)*1000000000))</f>
        <v/>
      </c>
      <c r="E350" s="49">
        <f>IF($B350="","",SUMIFS(Grids!$BQ$160:$EC$219,Grids!$EE$160:$GQ$219,"&gt;="&amp;$B350*1000000000,Grids!$EE$160:$GQ$219,"&lt;"&amp;($B350+1)*1000000000))</f>
        <v/>
      </c>
      <c r="F350" s="50">
        <f>IF($B350="","",SUM($C$26:$C350))</f>
        <v/>
      </c>
      <c r="G350" s="50">
        <f>IF($B350="","",SUM($D$26:$D350))</f>
        <v/>
      </c>
      <c r="H350" s="50">
        <f>IF($B350="","",SUM($E$26:$E350))</f>
        <v/>
      </c>
    </row>
    <row r="351">
      <c r="B351" s="48">
        <f>IF(DATE(YEAR_Y,1,1)+325&gt;DATE(YEAR_Y,12,31),"",DATE(YEAR_Y,1,1)+325)</f>
        <v/>
      </c>
      <c r="C351" s="49">
        <f>IF($B351="","",SUMIFS(Grids!$BQ$12:$EC$111,Grids!$EE$12:$GQ$111,"&gt;="&amp;$B351*1000000000,Grids!$EE$12:$GQ$111,"&lt;"&amp;($B351+1)*1000000000))</f>
        <v/>
      </c>
      <c r="D351" s="49">
        <f>IF($B351="","",SUMIFS(Grids!$BQ$116:$EC$155,Grids!$EE$116:$GQ$155,"&gt;="&amp;$B351*1000000000,Grids!$EE$116:$GQ$155,"&lt;"&amp;($B351+1)*1000000000))</f>
        <v/>
      </c>
      <c r="E351" s="49">
        <f>IF($B351="","",SUMIFS(Grids!$BQ$160:$EC$219,Grids!$EE$160:$GQ$219,"&gt;="&amp;$B351*1000000000,Grids!$EE$160:$GQ$219,"&lt;"&amp;($B351+1)*1000000000))</f>
        <v/>
      </c>
      <c r="F351" s="50">
        <f>IF($B351="","",SUM($C$26:$C351))</f>
        <v/>
      </c>
      <c r="G351" s="50">
        <f>IF($B351="","",SUM($D$26:$D351))</f>
        <v/>
      </c>
      <c r="H351" s="50">
        <f>IF($B351="","",SUM($E$26:$E351))</f>
        <v/>
      </c>
    </row>
    <row r="352">
      <c r="B352" s="48">
        <f>IF(DATE(YEAR_Y,1,1)+326&gt;DATE(YEAR_Y,12,31),"",DATE(YEAR_Y,1,1)+326)</f>
        <v/>
      </c>
      <c r="C352" s="49">
        <f>IF($B352="","",SUMIFS(Grids!$BQ$12:$EC$111,Grids!$EE$12:$GQ$111,"&gt;="&amp;$B352*1000000000,Grids!$EE$12:$GQ$111,"&lt;"&amp;($B352+1)*1000000000))</f>
        <v/>
      </c>
      <c r="D352" s="49">
        <f>IF($B352="","",SUMIFS(Grids!$BQ$116:$EC$155,Grids!$EE$116:$GQ$155,"&gt;="&amp;$B352*1000000000,Grids!$EE$116:$GQ$155,"&lt;"&amp;($B352+1)*1000000000))</f>
        <v/>
      </c>
      <c r="E352" s="49">
        <f>IF($B352="","",SUMIFS(Grids!$BQ$160:$EC$219,Grids!$EE$160:$GQ$219,"&gt;="&amp;$B352*1000000000,Grids!$EE$160:$GQ$219,"&lt;"&amp;($B352+1)*1000000000))</f>
        <v/>
      </c>
      <c r="F352" s="50">
        <f>IF($B352="","",SUM($C$26:$C352))</f>
        <v/>
      </c>
      <c r="G352" s="50">
        <f>IF($B352="","",SUM($D$26:$D352))</f>
        <v/>
      </c>
      <c r="H352" s="50">
        <f>IF($B352="","",SUM($E$26:$E352))</f>
        <v/>
      </c>
    </row>
    <row r="353">
      <c r="B353" s="48">
        <f>IF(DATE(YEAR_Y,1,1)+327&gt;DATE(YEAR_Y,12,31),"",DATE(YEAR_Y,1,1)+327)</f>
        <v/>
      </c>
      <c r="C353" s="49">
        <f>IF($B353="","",SUMIFS(Grids!$BQ$12:$EC$111,Grids!$EE$12:$GQ$111,"&gt;="&amp;$B353*1000000000,Grids!$EE$12:$GQ$111,"&lt;"&amp;($B353+1)*1000000000))</f>
        <v/>
      </c>
      <c r="D353" s="49">
        <f>IF($B353="","",SUMIFS(Grids!$BQ$116:$EC$155,Grids!$EE$116:$GQ$155,"&gt;="&amp;$B353*1000000000,Grids!$EE$116:$GQ$155,"&lt;"&amp;($B353+1)*1000000000))</f>
        <v/>
      </c>
      <c r="E353" s="49">
        <f>IF($B353="","",SUMIFS(Grids!$BQ$160:$EC$219,Grids!$EE$160:$GQ$219,"&gt;="&amp;$B353*1000000000,Grids!$EE$160:$GQ$219,"&lt;"&amp;($B353+1)*1000000000))</f>
        <v/>
      </c>
      <c r="F353" s="50">
        <f>IF($B353="","",SUM($C$26:$C353))</f>
        <v/>
      </c>
      <c r="G353" s="50">
        <f>IF($B353="","",SUM($D$26:$D353))</f>
        <v/>
      </c>
      <c r="H353" s="50">
        <f>IF($B353="","",SUM($E$26:$E353))</f>
        <v/>
      </c>
    </row>
    <row r="354">
      <c r="B354" s="48">
        <f>IF(DATE(YEAR_Y,1,1)+328&gt;DATE(YEAR_Y,12,31),"",DATE(YEAR_Y,1,1)+328)</f>
        <v/>
      </c>
      <c r="C354" s="49">
        <f>IF($B354="","",SUMIFS(Grids!$BQ$12:$EC$111,Grids!$EE$12:$GQ$111,"&gt;="&amp;$B354*1000000000,Grids!$EE$12:$GQ$111,"&lt;"&amp;($B354+1)*1000000000))</f>
        <v/>
      </c>
      <c r="D354" s="49">
        <f>IF($B354="","",SUMIFS(Grids!$BQ$116:$EC$155,Grids!$EE$116:$GQ$155,"&gt;="&amp;$B354*1000000000,Grids!$EE$116:$GQ$155,"&lt;"&amp;($B354+1)*1000000000))</f>
        <v/>
      </c>
      <c r="E354" s="49">
        <f>IF($B354="","",SUMIFS(Grids!$BQ$160:$EC$219,Grids!$EE$160:$GQ$219,"&gt;="&amp;$B354*1000000000,Grids!$EE$160:$GQ$219,"&lt;"&amp;($B354+1)*1000000000))</f>
        <v/>
      </c>
      <c r="F354" s="50">
        <f>IF($B354="","",SUM($C$26:$C354))</f>
        <v/>
      </c>
      <c r="G354" s="50">
        <f>IF($B354="","",SUM($D$26:$D354))</f>
        <v/>
      </c>
      <c r="H354" s="50">
        <f>IF($B354="","",SUM($E$26:$E354))</f>
        <v/>
      </c>
    </row>
    <row r="355">
      <c r="B355" s="48">
        <f>IF(DATE(YEAR_Y,1,1)+329&gt;DATE(YEAR_Y,12,31),"",DATE(YEAR_Y,1,1)+329)</f>
        <v/>
      </c>
      <c r="C355" s="49">
        <f>IF($B355="","",SUMIFS(Grids!$BQ$12:$EC$111,Grids!$EE$12:$GQ$111,"&gt;="&amp;$B355*1000000000,Grids!$EE$12:$GQ$111,"&lt;"&amp;($B355+1)*1000000000))</f>
        <v/>
      </c>
      <c r="D355" s="49">
        <f>IF($B355="","",SUMIFS(Grids!$BQ$116:$EC$155,Grids!$EE$116:$GQ$155,"&gt;="&amp;$B355*1000000000,Grids!$EE$116:$GQ$155,"&lt;"&amp;($B355+1)*1000000000))</f>
        <v/>
      </c>
      <c r="E355" s="49">
        <f>IF($B355="","",SUMIFS(Grids!$BQ$160:$EC$219,Grids!$EE$160:$GQ$219,"&gt;="&amp;$B355*1000000000,Grids!$EE$160:$GQ$219,"&lt;"&amp;($B355+1)*1000000000))</f>
        <v/>
      </c>
      <c r="F355" s="50">
        <f>IF($B355="","",SUM($C$26:$C355))</f>
        <v/>
      </c>
      <c r="G355" s="50">
        <f>IF($B355="","",SUM($D$26:$D355))</f>
        <v/>
      </c>
      <c r="H355" s="50">
        <f>IF($B355="","",SUM($E$26:$E355))</f>
        <v/>
      </c>
    </row>
    <row r="356">
      <c r="B356" s="48">
        <f>IF(DATE(YEAR_Y,1,1)+330&gt;DATE(YEAR_Y,12,31),"",DATE(YEAR_Y,1,1)+330)</f>
        <v/>
      </c>
      <c r="C356" s="49">
        <f>IF($B356="","",SUMIFS(Grids!$BQ$12:$EC$111,Grids!$EE$12:$GQ$111,"&gt;="&amp;$B356*1000000000,Grids!$EE$12:$GQ$111,"&lt;"&amp;($B356+1)*1000000000))</f>
        <v/>
      </c>
      <c r="D356" s="49">
        <f>IF($B356="","",SUMIFS(Grids!$BQ$116:$EC$155,Grids!$EE$116:$GQ$155,"&gt;="&amp;$B356*1000000000,Grids!$EE$116:$GQ$155,"&lt;"&amp;($B356+1)*1000000000))</f>
        <v/>
      </c>
      <c r="E356" s="49">
        <f>IF($B356="","",SUMIFS(Grids!$BQ$160:$EC$219,Grids!$EE$160:$GQ$219,"&gt;="&amp;$B356*1000000000,Grids!$EE$160:$GQ$219,"&lt;"&amp;($B356+1)*1000000000))</f>
        <v/>
      </c>
      <c r="F356" s="50">
        <f>IF($B356="","",SUM($C$26:$C356))</f>
        <v/>
      </c>
      <c r="G356" s="50">
        <f>IF($B356="","",SUM($D$26:$D356))</f>
        <v/>
      </c>
      <c r="H356" s="50">
        <f>IF($B356="","",SUM($E$26:$E356))</f>
        <v/>
      </c>
    </row>
    <row r="357">
      <c r="B357" s="48">
        <f>IF(DATE(YEAR_Y,1,1)+331&gt;DATE(YEAR_Y,12,31),"",DATE(YEAR_Y,1,1)+331)</f>
        <v/>
      </c>
      <c r="C357" s="49">
        <f>IF($B357="","",SUMIFS(Grids!$BQ$12:$EC$111,Grids!$EE$12:$GQ$111,"&gt;="&amp;$B357*1000000000,Grids!$EE$12:$GQ$111,"&lt;"&amp;($B357+1)*1000000000))</f>
        <v/>
      </c>
      <c r="D357" s="49">
        <f>IF($B357="","",SUMIFS(Grids!$BQ$116:$EC$155,Grids!$EE$116:$GQ$155,"&gt;="&amp;$B357*1000000000,Grids!$EE$116:$GQ$155,"&lt;"&amp;($B357+1)*1000000000))</f>
        <v/>
      </c>
      <c r="E357" s="49">
        <f>IF($B357="","",SUMIFS(Grids!$BQ$160:$EC$219,Grids!$EE$160:$GQ$219,"&gt;="&amp;$B357*1000000000,Grids!$EE$160:$GQ$219,"&lt;"&amp;($B357+1)*1000000000))</f>
        <v/>
      </c>
      <c r="F357" s="50">
        <f>IF($B357="","",SUM($C$26:$C357))</f>
        <v/>
      </c>
      <c r="G357" s="50">
        <f>IF($B357="","",SUM($D$26:$D357))</f>
        <v/>
      </c>
      <c r="H357" s="50">
        <f>IF($B357="","",SUM($E$26:$E357))</f>
        <v/>
      </c>
    </row>
    <row r="358">
      <c r="B358" s="48">
        <f>IF(DATE(YEAR_Y,1,1)+332&gt;DATE(YEAR_Y,12,31),"",DATE(YEAR_Y,1,1)+332)</f>
        <v/>
      </c>
      <c r="C358" s="49">
        <f>IF($B358="","",SUMIFS(Grids!$BQ$12:$EC$111,Grids!$EE$12:$GQ$111,"&gt;="&amp;$B358*1000000000,Grids!$EE$12:$GQ$111,"&lt;"&amp;($B358+1)*1000000000))</f>
        <v/>
      </c>
      <c r="D358" s="49">
        <f>IF($B358="","",SUMIFS(Grids!$BQ$116:$EC$155,Grids!$EE$116:$GQ$155,"&gt;="&amp;$B358*1000000000,Grids!$EE$116:$GQ$155,"&lt;"&amp;($B358+1)*1000000000))</f>
        <v/>
      </c>
      <c r="E358" s="49">
        <f>IF($B358="","",SUMIFS(Grids!$BQ$160:$EC$219,Grids!$EE$160:$GQ$219,"&gt;="&amp;$B358*1000000000,Grids!$EE$160:$GQ$219,"&lt;"&amp;($B358+1)*1000000000))</f>
        <v/>
      </c>
      <c r="F358" s="50">
        <f>IF($B358="","",SUM($C$26:$C358))</f>
        <v/>
      </c>
      <c r="G358" s="50">
        <f>IF($B358="","",SUM($D$26:$D358))</f>
        <v/>
      </c>
      <c r="H358" s="50">
        <f>IF($B358="","",SUM($E$26:$E358))</f>
        <v/>
      </c>
    </row>
    <row r="359">
      <c r="B359" s="48">
        <f>IF(DATE(YEAR_Y,1,1)+333&gt;DATE(YEAR_Y,12,31),"",DATE(YEAR_Y,1,1)+333)</f>
        <v/>
      </c>
      <c r="C359" s="49">
        <f>IF($B359="","",SUMIFS(Grids!$BQ$12:$EC$111,Grids!$EE$12:$GQ$111,"&gt;="&amp;$B359*1000000000,Grids!$EE$12:$GQ$111,"&lt;"&amp;($B359+1)*1000000000))</f>
        <v/>
      </c>
      <c r="D359" s="49">
        <f>IF($B359="","",SUMIFS(Grids!$BQ$116:$EC$155,Grids!$EE$116:$GQ$155,"&gt;="&amp;$B359*1000000000,Grids!$EE$116:$GQ$155,"&lt;"&amp;($B359+1)*1000000000))</f>
        <v/>
      </c>
      <c r="E359" s="49">
        <f>IF($B359="","",SUMIFS(Grids!$BQ$160:$EC$219,Grids!$EE$160:$GQ$219,"&gt;="&amp;$B359*1000000000,Grids!$EE$160:$GQ$219,"&lt;"&amp;($B359+1)*1000000000))</f>
        <v/>
      </c>
      <c r="F359" s="50">
        <f>IF($B359="","",SUM($C$26:$C359))</f>
        <v/>
      </c>
      <c r="G359" s="50">
        <f>IF($B359="","",SUM($D$26:$D359))</f>
        <v/>
      </c>
      <c r="H359" s="50">
        <f>IF($B359="","",SUM($E$26:$E359))</f>
        <v/>
      </c>
    </row>
    <row r="360">
      <c r="B360" s="48">
        <f>IF(DATE(YEAR_Y,1,1)+334&gt;DATE(YEAR_Y,12,31),"",DATE(YEAR_Y,1,1)+334)</f>
        <v/>
      </c>
      <c r="C360" s="49">
        <f>IF($B360="","",SUMIFS(Grids!$BQ$12:$EC$111,Grids!$EE$12:$GQ$111,"&gt;="&amp;$B360*1000000000,Grids!$EE$12:$GQ$111,"&lt;"&amp;($B360+1)*1000000000))</f>
        <v/>
      </c>
      <c r="D360" s="49">
        <f>IF($B360="","",SUMIFS(Grids!$BQ$116:$EC$155,Grids!$EE$116:$GQ$155,"&gt;="&amp;$B360*1000000000,Grids!$EE$116:$GQ$155,"&lt;"&amp;($B360+1)*1000000000))</f>
        <v/>
      </c>
      <c r="E360" s="49">
        <f>IF($B360="","",SUMIFS(Grids!$BQ$160:$EC$219,Grids!$EE$160:$GQ$219,"&gt;="&amp;$B360*1000000000,Grids!$EE$160:$GQ$219,"&lt;"&amp;($B360+1)*1000000000))</f>
        <v/>
      </c>
      <c r="F360" s="50">
        <f>IF($B360="","",SUM($C$26:$C360))</f>
        <v/>
      </c>
      <c r="G360" s="50">
        <f>IF($B360="","",SUM($D$26:$D360))</f>
        <v/>
      </c>
      <c r="H360" s="50">
        <f>IF($B360="","",SUM($E$26:$E360))</f>
        <v/>
      </c>
    </row>
    <row r="361">
      <c r="B361" s="48">
        <f>IF(DATE(YEAR_Y,1,1)+335&gt;DATE(YEAR_Y,12,31),"",DATE(YEAR_Y,1,1)+335)</f>
        <v/>
      </c>
      <c r="C361" s="49">
        <f>IF($B361="","",SUMIFS(Grids!$BQ$12:$EC$111,Grids!$EE$12:$GQ$111,"&gt;="&amp;$B361*1000000000,Grids!$EE$12:$GQ$111,"&lt;"&amp;($B361+1)*1000000000))</f>
        <v/>
      </c>
      <c r="D361" s="49">
        <f>IF($B361="","",SUMIFS(Grids!$BQ$116:$EC$155,Grids!$EE$116:$GQ$155,"&gt;="&amp;$B361*1000000000,Grids!$EE$116:$GQ$155,"&lt;"&amp;($B361+1)*1000000000))</f>
        <v/>
      </c>
      <c r="E361" s="49">
        <f>IF($B361="","",SUMIFS(Grids!$BQ$160:$EC$219,Grids!$EE$160:$GQ$219,"&gt;="&amp;$B361*1000000000,Grids!$EE$160:$GQ$219,"&lt;"&amp;($B361+1)*1000000000))</f>
        <v/>
      </c>
      <c r="F361" s="50">
        <f>IF($B361="","",SUM($C$26:$C361))</f>
        <v/>
      </c>
      <c r="G361" s="50">
        <f>IF($B361="","",SUM($D$26:$D361))</f>
        <v/>
      </c>
      <c r="H361" s="50">
        <f>IF($B361="","",SUM($E$26:$E361))</f>
        <v/>
      </c>
    </row>
    <row r="362">
      <c r="B362" s="48">
        <f>IF(DATE(YEAR_Y,1,1)+336&gt;DATE(YEAR_Y,12,31),"",DATE(YEAR_Y,1,1)+336)</f>
        <v/>
      </c>
      <c r="C362" s="49">
        <f>IF($B362="","",SUMIFS(Grids!$BQ$12:$EC$111,Grids!$EE$12:$GQ$111,"&gt;="&amp;$B362*1000000000,Grids!$EE$12:$GQ$111,"&lt;"&amp;($B362+1)*1000000000))</f>
        <v/>
      </c>
      <c r="D362" s="49">
        <f>IF($B362="","",SUMIFS(Grids!$BQ$116:$EC$155,Grids!$EE$116:$GQ$155,"&gt;="&amp;$B362*1000000000,Grids!$EE$116:$GQ$155,"&lt;"&amp;($B362+1)*1000000000))</f>
        <v/>
      </c>
      <c r="E362" s="49">
        <f>IF($B362="","",SUMIFS(Grids!$BQ$160:$EC$219,Grids!$EE$160:$GQ$219,"&gt;="&amp;$B362*1000000000,Grids!$EE$160:$GQ$219,"&lt;"&amp;($B362+1)*1000000000))</f>
        <v/>
      </c>
      <c r="F362" s="50">
        <f>IF($B362="","",SUM($C$26:$C362))</f>
        <v/>
      </c>
      <c r="G362" s="50">
        <f>IF($B362="","",SUM($D$26:$D362))</f>
        <v/>
      </c>
      <c r="H362" s="50">
        <f>IF($B362="","",SUM($E$26:$E362))</f>
        <v/>
      </c>
    </row>
    <row r="363">
      <c r="B363" s="48">
        <f>IF(DATE(YEAR_Y,1,1)+337&gt;DATE(YEAR_Y,12,31),"",DATE(YEAR_Y,1,1)+337)</f>
        <v/>
      </c>
      <c r="C363" s="49">
        <f>IF($B363="","",SUMIFS(Grids!$BQ$12:$EC$111,Grids!$EE$12:$GQ$111,"&gt;="&amp;$B363*1000000000,Grids!$EE$12:$GQ$111,"&lt;"&amp;($B363+1)*1000000000))</f>
        <v/>
      </c>
      <c r="D363" s="49">
        <f>IF($B363="","",SUMIFS(Grids!$BQ$116:$EC$155,Grids!$EE$116:$GQ$155,"&gt;="&amp;$B363*1000000000,Grids!$EE$116:$GQ$155,"&lt;"&amp;($B363+1)*1000000000))</f>
        <v/>
      </c>
      <c r="E363" s="49">
        <f>IF($B363="","",SUMIFS(Grids!$BQ$160:$EC$219,Grids!$EE$160:$GQ$219,"&gt;="&amp;$B363*1000000000,Grids!$EE$160:$GQ$219,"&lt;"&amp;($B363+1)*1000000000))</f>
        <v/>
      </c>
      <c r="F363" s="50">
        <f>IF($B363="","",SUM($C$26:$C363))</f>
        <v/>
      </c>
      <c r="G363" s="50">
        <f>IF($B363="","",SUM($D$26:$D363))</f>
        <v/>
      </c>
      <c r="H363" s="50">
        <f>IF($B363="","",SUM($E$26:$E363))</f>
        <v/>
      </c>
    </row>
    <row r="364">
      <c r="B364" s="48">
        <f>IF(DATE(YEAR_Y,1,1)+338&gt;DATE(YEAR_Y,12,31),"",DATE(YEAR_Y,1,1)+338)</f>
        <v/>
      </c>
      <c r="C364" s="49">
        <f>IF($B364="","",SUMIFS(Grids!$BQ$12:$EC$111,Grids!$EE$12:$GQ$111,"&gt;="&amp;$B364*1000000000,Grids!$EE$12:$GQ$111,"&lt;"&amp;($B364+1)*1000000000))</f>
        <v/>
      </c>
      <c r="D364" s="49">
        <f>IF($B364="","",SUMIFS(Grids!$BQ$116:$EC$155,Grids!$EE$116:$GQ$155,"&gt;="&amp;$B364*1000000000,Grids!$EE$116:$GQ$155,"&lt;"&amp;($B364+1)*1000000000))</f>
        <v/>
      </c>
      <c r="E364" s="49">
        <f>IF($B364="","",SUMIFS(Grids!$BQ$160:$EC$219,Grids!$EE$160:$GQ$219,"&gt;="&amp;$B364*1000000000,Grids!$EE$160:$GQ$219,"&lt;"&amp;($B364+1)*1000000000))</f>
        <v/>
      </c>
      <c r="F364" s="50">
        <f>IF($B364="","",SUM($C$26:$C364))</f>
        <v/>
      </c>
      <c r="G364" s="50">
        <f>IF($B364="","",SUM($D$26:$D364))</f>
        <v/>
      </c>
      <c r="H364" s="50">
        <f>IF($B364="","",SUM($E$26:$E364))</f>
        <v/>
      </c>
    </row>
    <row r="365">
      <c r="B365" s="48">
        <f>IF(DATE(YEAR_Y,1,1)+339&gt;DATE(YEAR_Y,12,31),"",DATE(YEAR_Y,1,1)+339)</f>
        <v/>
      </c>
      <c r="C365" s="49">
        <f>IF($B365="","",SUMIFS(Grids!$BQ$12:$EC$111,Grids!$EE$12:$GQ$111,"&gt;="&amp;$B365*1000000000,Grids!$EE$12:$GQ$111,"&lt;"&amp;($B365+1)*1000000000))</f>
        <v/>
      </c>
      <c r="D365" s="49">
        <f>IF($B365="","",SUMIFS(Grids!$BQ$116:$EC$155,Grids!$EE$116:$GQ$155,"&gt;="&amp;$B365*1000000000,Grids!$EE$116:$GQ$155,"&lt;"&amp;($B365+1)*1000000000))</f>
        <v/>
      </c>
      <c r="E365" s="49">
        <f>IF($B365="","",SUMIFS(Grids!$BQ$160:$EC$219,Grids!$EE$160:$GQ$219,"&gt;="&amp;$B365*1000000000,Grids!$EE$160:$GQ$219,"&lt;"&amp;($B365+1)*1000000000))</f>
        <v/>
      </c>
      <c r="F365" s="50">
        <f>IF($B365="","",SUM($C$26:$C365))</f>
        <v/>
      </c>
      <c r="G365" s="50">
        <f>IF($B365="","",SUM($D$26:$D365))</f>
        <v/>
      </c>
      <c r="H365" s="50">
        <f>IF($B365="","",SUM($E$26:$E365))</f>
        <v/>
      </c>
    </row>
    <row r="366">
      <c r="B366" s="48">
        <f>IF(DATE(YEAR_Y,1,1)+340&gt;DATE(YEAR_Y,12,31),"",DATE(YEAR_Y,1,1)+340)</f>
        <v/>
      </c>
      <c r="C366" s="49">
        <f>IF($B366="","",SUMIFS(Grids!$BQ$12:$EC$111,Grids!$EE$12:$GQ$111,"&gt;="&amp;$B366*1000000000,Grids!$EE$12:$GQ$111,"&lt;"&amp;($B366+1)*1000000000))</f>
        <v/>
      </c>
      <c r="D366" s="49">
        <f>IF($B366="","",SUMIFS(Grids!$BQ$116:$EC$155,Grids!$EE$116:$GQ$155,"&gt;="&amp;$B366*1000000000,Grids!$EE$116:$GQ$155,"&lt;"&amp;($B366+1)*1000000000))</f>
        <v/>
      </c>
      <c r="E366" s="49">
        <f>IF($B366="","",SUMIFS(Grids!$BQ$160:$EC$219,Grids!$EE$160:$GQ$219,"&gt;="&amp;$B366*1000000000,Grids!$EE$160:$GQ$219,"&lt;"&amp;($B366+1)*1000000000))</f>
        <v/>
      </c>
      <c r="F366" s="50">
        <f>IF($B366="","",SUM($C$26:$C366))</f>
        <v/>
      </c>
      <c r="G366" s="50">
        <f>IF($B366="","",SUM($D$26:$D366))</f>
        <v/>
      </c>
      <c r="H366" s="50">
        <f>IF($B366="","",SUM($E$26:$E366))</f>
        <v/>
      </c>
    </row>
    <row r="367">
      <c r="B367" s="48">
        <f>IF(DATE(YEAR_Y,1,1)+341&gt;DATE(YEAR_Y,12,31),"",DATE(YEAR_Y,1,1)+341)</f>
        <v/>
      </c>
      <c r="C367" s="49">
        <f>IF($B367="","",SUMIFS(Grids!$BQ$12:$EC$111,Grids!$EE$12:$GQ$111,"&gt;="&amp;$B367*1000000000,Grids!$EE$12:$GQ$111,"&lt;"&amp;($B367+1)*1000000000))</f>
        <v/>
      </c>
      <c r="D367" s="49">
        <f>IF($B367="","",SUMIFS(Grids!$BQ$116:$EC$155,Grids!$EE$116:$GQ$155,"&gt;="&amp;$B367*1000000000,Grids!$EE$116:$GQ$155,"&lt;"&amp;($B367+1)*1000000000))</f>
        <v/>
      </c>
      <c r="E367" s="49">
        <f>IF($B367="","",SUMIFS(Grids!$BQ$160:$EC$219,Grids!$EE$160:$GQ$219,"&gt;="&amp;$B367*1000000000,Grids!$EE$160:$GQ$219,"&lt;"&amp;($B367+1)*1000000000))</f>
        <v/>
      </c>
      <c r="F367" s="50">
        <f>IF($B367="","",SUM($C$26:$C367))</f>
        <v/>
      </c>
      <c r="G367" s="50">
        <f>IF($B367="","",SUM($D$26:$D367))</f>
        <v/>
      </c>
      <c r="H367" s="50">
        <f>IF($B367="","",SUM($E$26:$E367))</f>
        <v/>
      </c>
    </row>
    <row r="368">
      <c r="B368" s="48">
        <f>IF(DATE(YEAR_Y,1,1)+342&gt;DATE(YEAR_Y,12,31),"",DATE(YEAR_Y,1,1)+342)</f>
        <v/>
      </c>
      <c r="C368" s="49">
        <f>IF($B368="","",SUMIFS(Grids!$BQ$12:$EC$111,Grids!$EE$12:$GQ$111,"&gt;="&amp;$B368*1000000000,Grids!$EE$12:$GQ$111,"&lt;"&amp;($B368+1)*1000000000))</f>
        <v/>
      </c>
      <c r="D368" s="49">
        <f>IF($B368="","",SUMIFS(Grids!$BQ$116:$EC$155,Grids!$EE$116:$GQ$155,"&gt;="&amp;$B368*1000000000,Grids!$EE$116:$GQ$155,"&lt;"&amp;($B368+1)*1000000000))</f>
        <v/>
      </c>
      <c r="E368" s="49">
        <f>IF($B368="","",SUMIFS(Grids!$BQ$160:$EC$219,Grids!$EE$160:$GQ$219,"&gt;="&amp;$B368*1000000000,Grids!$EE$160:$GQ$219,"&lt;"&amp;($B368+1)*1000000000))</f>
        <v/>
      </c>
      <c r="F368" s="50">
        <f>IF($B368="","",SUM($C$26:$C368))</f>
        <v/>
      </c>
      <c r="G368" s="50">
        <f>IF($B368="","",SUM($D$26:$D368))</f>
        <v/>
      </c>
      <c r="H368" s="50">
        <f>IF($B368="","",SUM($E$26:$E368))</f>
        <v/>
      </c>
    </row>
    <row r="369">
      <c r="B369" s="48">
        <f>IF(DATE(YEAR_Y,1,1)+343&gt;DATE(YEAR_Y,12,31),"",DATE(YEAR_Y,1,1)+343)</f>
        <v/>
      </c>
      <c r="C369" s="49">
        <f>IF($B369="","",SUMIFS(Grids!$BQ$12:$EC$111,Grids!$EE$12:$GQ$111,"&gt;="&amp;$B369*1000000000,Grids!$EE$12:$GQ$111,"&lt;"&amp;($B369+1)*1000000000))</f>
        <v/>
      </c>
      <c r="D369" s="49">
        <f>IF($B369="","",SUMIFS(Grids!$BQ$116:$EC$155,Grids!$EE$116:$GQ$155,"&gt;="&amp;$B369*1000000000,Grids!$EE$116:$GQ$155,"&lt;"&amp;($B369+1)*1000000000))</f>
        <v/>
      </c>
      <c r="E369" s="49">
        <f>IF($B369="","",SUMIFS(Grids!$BQ$160:$EC$219,Grids!$EE$160:$GQ$219,"&gt;="&amp;$B369*1000000000,Grids!$EE$160:$GQ$219,"&lt;"&amp;($B369+1)*1000000000))</f>
        <v/>
      </c>
      <c r="F369" s="50">
        <f>IF($B369="","",SUM($C$26:$C369))</f>
        <v/>
      </c>
      <c r="G369" s="50">
        <f>IF($B369="","",SUM($D$26:$D369))</f>
        <v/>
      </c>
      <c r="H369" s="50">
        <f>IF($B369="","",SUM($E$26:$E369))</f>
        <v/>
      </c>
    </row>
    <row r="370">
      <c r="B370" s="48">
        <f>IF(DATE(YEAR_Y,1,1)+344&gt;DATE(YEAR_Y,12,31),"",DATE(YEAR_Y,1,1)+344)</f>
        <v/>
      </c>
      <c r="C370" s="49">
        <f>IF($B370="","",SUMIFS(Grids!$BQ$12:$EC$111,Grids!$EE$12:$GQ$111,"&gt;="&amp;$B370*1000000000,Grids!$EE$12:$GQ$111,"&lt;"&amp;($B370+1)*1000000000))</f>
        <v/>
      </c>
      <c r="D370" s="49">
        <f>IF($B370="","",SUMIFS(Grids!$BQ$116:$EC$155,Grids!$EE$116:$GQ$155,"&gt;="&amp;$B370*1000000000,Grids!$EE$116:$GQ$155,"&lt;"&amp;($B370+1)*1000000000))</f>
        <v/>
      </c>
      <c r="E370" s="49">
        <f>IF($B370="","",SUMIFS(Grids!$BQ$160:$EC$219,Grids!$EE$160:$GQ$219,"&gt;="&amp;$B370*1000000000,Grids!$EE$160:$GQ$219,"&lt;"&amp;($B370+1)*1000000000))</f>
        <v/>
      </c>
      <c r="F370" s="50">
        <f>IF($B370="","",SUM($C$26:$C370))</f>
        <v/>
      </c>
      <c r="G370" s="50">
        <f>IF($B370="","",SUM($D$26:$D370))</f>
        <v/>
      </c>
      <c r="H370" s="50">
        <f>IF($B370="","",SUM($E$26:$E370))</f>
        <v/>
      </c>
    </row>
    <row r="371">
      <c r="B371" s="48">
        <f>IF(DATE(YEAR_Y,1,1)+345&gt;DATE(YEAR_Y,12,31),"",DATE(YEAR_Y,1,1)+345)</f>
        <v/>
      </c>
      <c r="C371" s="49">
        <f>IF($B371="","",SUMIFS(Grids!$BQ$12:$EC$111,Grids!$EE$12:$GQ$111,"&gt;="&amp;$B371*1000000000,Grids!$EE$12:$GQ$111,"&lt;"&amp;($B371+1)*1000000000))</f>
        <v/>
      </c>
      <c r="D371" s="49">
        <f>IF($B371="","",SUMIFS(Grids!$BQ$116:$EC$155,Grids!$EE$116:$GQ$155,"&gt;="&amp;$B371*1000000000,Grids!$EE$116:$GQ$155,"&lt;"&amp;($B371+1)*1000000000))</f>
        <v/>
      </c>
      <c r="E371" s="49">
        <f>IF($B371="","",SUMIFS(Grids!$BQ$160:$EC$219,Grids!$EE$160:$GQ$219,"&gt;="&amp;$B371*1000000000,Grids!$EE$160:$GQ$219,"&lt;"&amp;($B371+1)*1000000000))</f>
        <v/>
      </c>
      <c r="F371" s="50">
        <f>IF($B371="","",SUM($C$26:$C371))</f>
        <v/>
      </c>
      <c r="G371" s="50">
        <f>IF($B371="","",SUM($D$26:$D371))</f>
        <v/>
      </c>
      <c r="H371" s="50">
        <f>IF($B371="","",SUM($E$26:$E371))</f>
        <v/>
      </c>
    </row>
    <row r="372">
      <c r="B372" s="48">
        <f>IF(DATE(YEAR_Y,1,1)+346&gt;DATE(YEAR_Y,12,31),"",DATE(YEAR_Y,1,1)+346)</f>
        <v/>
      </c>
      <c r="C372" s="49">
        <f>IF($B372="","",SUMIFS(Grids!$BQ$12:$EC$111,Grids!$EE$12:$GQ$111,"&gt;="&amp;$B372*1000000000,Grids!$EE$12:$GQ$111,"&lt;"&amp;($B372+1)*1000000000))</f>
        <v/>
      </c>
      <c r="D372" s="49">
        <f>IF($B372="","",SUMIFS(Grids!$BQ$116:$EC$155,Grids!$EE$116:$GQ$155,"&gt;="&amp;$B372*1000000000,Grids!$EE$116:$GQ$155,"&lt;"&amp;($B372+1)*1000000000))</f>
        <v/>
      </c>
      <c r="E372" s="49">
        <f>IF($B372="","",SUMIFS(Grids!$BQ$160:$EC$219,Grids!$EE$160:$GQ$219,"&gt;="&amp;$B372*1000000000,Grids!$EE$160:$GQ$219,"&lt;"&amp;($B372+1)*1000000000))</f>
        <v/>
      </c>
      <c r="F372" s="50">
        <f>IF($B372="","",SUM($C$26:$C372))</f>
        <v/>
      </c>
      <c r="G372" s="50">
        <f>IF($B372="","",SUM($D$26:$D372))</f>
        <v/>
      </c>
      <c r="H372" s="50">
        <f>IF($B372="","",SUM($E$26:$E372))</f>
        <v/>
      </c>
    </row>
    <row r="373">
      <c r="B373" s="48">
        <f>IF(DATE(YEAR_Y,1,1)+347&gt;DATE(YEAR_Y,12,31),"",DATE(YEAR_Y,1,1)+347)</f>
        <v/>
      </c>
      <c r="C373" s="49">
        <f>IF($B373="","",SUMIFS(Grids!$BQ$12:$EC$111,Grids!$EE$12:$GQ$111,"&gt;="&amp;$B373*1000000000,Grids!$EE$12:$GQ$111,"&lt;"&amp;($B373+1)*1000000000))</f>
        <v/>
      </c>
      <c r="D373" s="49">
        <f>IF($B373="","",SUMIFS(Grids!$BQ$116:$EC$155,Grids!$EE$116:$GQ$155,"&gt;="&amp;$B373*1000000000,Grids!$EE$116:$GQ$155,"&lt;"&amp;($B373+1)*1000000000))</f>
        <v/>
      </c>
      <c r="E373" s="49">
        <f>IF($B373="","",SUMIFS(Grids!$BQ$160:$EC$219,Grids!$EE$160:$GQ$219,"&gt;="&amp;$B373*1000000000,Grids!$EE$160:$GQ$219,"&lt;"&amp;($B373+1)*1000000000))</f>
        <v/>
      </c>
      <c r="F373" s="50">
        <f>IF($B373="","",SUM($C$26:$C373))</f>
        <v/>
      </c>
      <c r="G373" s="50">
        <f>IF($B373="","",SUM($D$26:$D373))</f>
        <v/>
      </c>
      <c r="H373" s="50">
        <f>IF($B373="","",SUM($E$26:$E373))</f>
        <v/>
      </c>
    </row>
    <row r="374">
      <c r="B374" s="48">
        <f>IF(DATE(YEAR_Y,1,1)+348&gt;DATE(YEAR_Y,12,31),"",DATE(YEAR_Y,1,1)+348)</f>
        <v/>
      </c>
      <c r="C374" s="49">
        <f>IF($B374="","",SUMIFS(Grids!$BQ$12:$EC$111,Grids!$EE$12:$GQ$111,"&gt;="&amp;$B374*1000000000,Grids!$EE$12:$GQ$111,"&lt;"&amp;($B374+1)*1000000000))</f>
        <v/>
      </c>
      <c r="D374" s="49">
        <f>IF($B374="","",SUMIFS(Grids!$BQ$116:$EC$155,Grids!$EE$116:$GQ$155,"&gt;="&amp;$B374*1000000000,Grids!$EE$116:$GQ$155,"&lt;"&amp;($B374+1)*1000000000))</f>
        <v/>
      </c>
      <c r="E374" s="49">
        <f>IF($B374="","",SUMIFS(Grids!$BQ$160:$EC$219,Grids!$EE$160:$GQ$219,"&gt;="&amp;$B374*1000000000,Grids!$EE$160:$GQ$219,"&lt;"&amp;($B374+1)*1000000000))</f>
        <v/>
      </c>
      <c r="F374" s="50">
        <f>IF($B374="","",SUM($C$26:$C374))</f>
        <v/>
      </c>
      <c r="G374" s="50">
        <f>IF($B374="","",SUM($D$26:$D374))</f>
        <v/>
      </c>
      <c r="H374" s="50">
        <f>IF($B374="","",SUM($E$26:$E374))</f>
        <v/>
      </c>
    </row>
    <row r="375">
      <c r="B375" s="48">
        <f>IF(DATE(YEAR_Y,1,1)+349&gt;DATE(YEAR_Y,12,31),"",DATE(YEAR_Y,1,1)+349)</f>
        <v/>
      </c>
      <c r="C375" s="49">
        <f>IF($B375="","",SUMIFS(Grids!$BQ$12:$EC$111,Grids!$EE$12:$GQ$111,"&gt;="&amp;$B375*1000000000,Grids!$EE$12:$GQ$111,"&lt;"&amp;($B375+1)*1000000000))</f>
        <v/>
      </c>
      <c r="D375" s="49">
        <f>IF($B375="","",SUMIFS(Grids!$BQ$116:$EC$155,Grids!$EE$116:$GQ$155,"&gt;="&amp;$B375*1000000000,Grids!$EE$116:$GQ$155,"&lt;"&amp;($B375+1)*1000000000))</f>
        <v/>
      </c>
      <c r="E375" s="49">
        <f>IF($B375="","",SUMIFS(Grids!$BQ$160:$EC$219,Grids!$EE$160:$GQ$219,"&gt;="&amp;$B375*1000000000,Grids!$EE$160:$GQ$219,"&lt;"&amp;($B375+1)*1000000000))</f>
        <v/>
      </c>
      <c r="F375" s="50">
        <f>IF($B375="","",SUM($C$26:$C375))</f>
        <v/>
      </c>
      <c r="G375" s="50">
        <f>IF($B375="","",SUM($D$26:$D375))</f>
        <v/>
      </c>
      <c r="H375" s="50">
        <f>IF($B375="","",SUM($E$26:$E375))</f>
        <v/>
      </c>
    </row>
    <row r="376">
      <c r="B376" s="48">
        <f>IF(DATE(YEAR_Y,1,1)+350&gt;DATE(YEAR_Y,12,31),"",DATE(YEAR_Y,1,1)+350)</f>
        <v/>
      </c>
      <c r="C376" s="49">
        <f>IF($B376="","",SUMIFS(Grids!$BQ$12:$EC$111,Grids!$EE$12:$GQ$111,"&gt;="&amp;$B376*1000000000,Grids!$EE$12:$GQ$111,"&lt;"&amp;($B376+1)*1000000000))</f>
        <v/>
      </c>
      <c r="D376" s="49">
        <f>IF($B376="","",SUMIFS(Grids!$BQ$116:$EC$155,Grids!$EE$116:$GQ$155,"&gt;="&amp;$B376*1000000000,Grids!$EE$116:$GQ$155,"&lt;"&amp;($B376+1)*1000000000))</f>
        <v/>
      </c>
      <c r="E376" s="49">
        <f>IF($B376="","",SUMIFS(Grids!$BQ$160:$EC$219,Grids!$EE$160:$GQ$219,"&gt;="&amp;$B376*1000000000,Grids!$EE$160:$GQ$219,"&lt;"&amp;($B376+1)*1000000000))</f>
        <v/>
      </c>
      <c r="F376" s="50">
        <f>IF($B376="","",SUM($C$26:$C376))</f>
        <v/>
      </c>
      <c r="G376" s="50">
        <f>IF($B376="","",SUM($D$26:$D376))</f>
        <v/>
      </c>
      <c r="H376" s="50">
        <f>IF($B376="","",SUM($E$26:$E376))</f>
        <v/>
      </c>
    </row>
    <row r="377">
      <c r="B377" s="48">
        <f>IF(DATE(YEAR_Y,1,1)+351&gt;DATE(YEAR_Y,12,31),"",DATE(YEAR_Y,1,1)+351)</f>
        <v/>
      </c>
      <c r="C377" s="49">
        <f>IF($B377="","",SUMIFS(Grids!$BQ$12:$EC$111,Grids!$EE$12:$GQ$111,"&gt;="&amp;$B377*1000000000,Grids!$EE$12:$GQ$111,"&lt;"&amp;($B377+1)*1000000000))</f>
        <v/>
      </c>
      <c r="D377" s="49">
        <f>IF($B377="","",SUMIFS(Grids!$BQ$116:$EC$155,Grids!$EE$116:$GQ$155,"&gt;="&amp;$B377*1000000000,Grids!$EE$116:$GQ$155,"&lt;"&amp;($B377+1)*1000000000))</f>
        <v/>
      </c>
      <c r="E377" s="49">
        <f>IF($B377="","",SUMIFS(Grids!$BQ$160:$EC$219,Grids!$EE$160:$GQ$219,"&gt;="&amp;$B377*1000000000,Grids!$EE$160:$GQ$219,"&lt;"&amp;($B377+1)*1000000000))</f>
        <v/>
      </c>
      <c r="F377" s="50">
        <f>IF($B377="","",SUM($C$26:$C377))</f>
        <v/>
      </c>
      <c r="G377" s="50">
        <f>IF($B377="","",SUM($D$26:$D377))</f>
        <v/>
      </c>
      <c r="H377" s="50">
        <f>IF($B377="","",SUM($E$26:$E377))</f>
        <v/>
      </c>
    </row>
    <row r="378">
      <c r="B378" s="48">
        <f>IF(DATE(YEAR_Y,1,1)+352&gt;DATE(YEAR_Y,12,31),"",DATE(YEAR_Y,1,1)+352)</f>
        <v/>
      </c>
      <c r="C378" s="49">
        <f>IF($B378="","",SUMIFS(Grids!$BQ$12:$EC$111,Grids!$EE$12:$GQ$111,"&gt;="&amp;$B378*1000000000,Grids!$EE$12:$GQ$111,"&lt;"&amp;($B378+1)*1000000000))</f>
        <v/>
      </c>
      <c r="D378" s="49">
        <f>IF($B378="","",SUMIFS(Grids!$BQ$116:$EC$155,Grids!$EE$116:$GQ$155,"&gt;="&amp;$B378*1000000000,Grids!$EE$116:$GQ$155,"&lt;"&amp;($B378+1)*1000000000))</f>
        <v/>
      </c>
      <c r="E378" s="49">
        <f>IF($B378="","",SUMIFS(Grids!$BQ$160:$EC$219,Grids!$EE$160:$GQ$219,"&gt;="&amp;$B378*1000000000,Grids!$EE$160:$GQ$219,"&lt;"&amp;($B378+1)*1000000000))</f>
        <v/>
      </c>
      <c r="F378" s="50">
        <f>IF($B378="","",SUM($C$26:$C378))</f>
        <v/>
      </c>
      <c r="G378" s="50">
        <f>IF($B378="","",SUM($D$26:$D378))</f>
        <v/>
      </c>
      <c r="H378" s="50">
        <f>IF($B378="","",SUM($E$26:$E378))</f>
        <v/>
      </c>
    </row>
    <row r="379">
      <c r="B379" s="48">
        <f>IF(DATE(YEAR_Y,1,1)+353&gt;DATE(YEAR_Y,12,31),"",DATE(YEAR_Y,1,1)+353)</f>
        <v/>
      </c>
      <c r="C379" s="49">
        <f>IF($B379="","",SUMIFS(Grids!$BQ$12:$EC$111,Grids!$EE$12:$GQ$111,"&gt;="&amp;$B379*1000000000,Grids!$EE$12:$GQ$111,"&lt;"&amp;($B379+1)*1000000000))</f>
        <v/>
      </c>
      <c r="D379" s="49">
        <f>IF($B379="","",SUMIFS(Grids!$BQ$116:$EC$155,Grids!$EE$116:$GQ$155,"&gt;="&amp;$B379*1000000000,Grids!$EE$116:$GQ$155,"&lt;"&amp;($B379+1)*1000000000))</f>
        <v/>
      </c>
      <c r="E379" s="49">
        <f>IF($B379="","",SUMIFS(Grids!$BQ$160:$EC$219,Grids!$EE$160:$GQ$219,"&gt;="&amp;$B379*1000000000,Grids!$EE$160:$GQ$219,"&lt;"&amp;($B379+1)*1000000000))</f>
        <v/>
      </c>
      <c r="F379" s="50">
        <f>IF($B379="","",SUM($C$26:$C379))</f>
        <v/>
      </c>
      <c r="G379" s="50">
        <f>IF($B379="","",SUM($D$26:$D379))</f>
        <v/>
      </c>
      <c r="H379" s="50">
        <f>IF($B379="","",SUM($E$26:$E379))</f>
        <v/>
      </c>
    </row>
    <row r="380">
      <c r="B380" s="48">
        <f>IF(DATE(YEAR_Y,1,1)+354&gt;DATE(YEAR_Y,12,31),"",DATE(YEAR_Y,1,1)+354)</f>
        <v/>
      </c>
      <c r="C380" s="49">
        <f>IF($B380="","",SUMIFS(Grids!$BQ$12:$EC$111,Grids!$EE$12:$GQ$111,"&gt;="&amp;$B380*1000000000,Grids!$EE$12:$GQ$111,"&lt;"&amp;($B380+1)*1000000000))</f>
        <v/>
      </c>
      <c r="D380" s="49">
        <f>IF($B380="","",SUMIFS(Grids!$BQ$116:$EC$155,Grids!$EE$116:$GQ$155,"&gt;="&amp;$B380*1000000000,Grids!$EE$116:$GQ$155,"&lt;"&amp;($B380+1)*1000000000))</f>
        <v/>
      </c>
      <c r="E380" s="49">
        <f>IF($B380="","",SUMIFS(Grids!$BQ$160:$EC$219,Grids!$EE$160:$GQ$219,"&gt;="&amp;$B380*1000000000,Grids!$EE$160:$GQ$219,"&lt;"&amp;($B380+1)*1000000000))</f>
        <v/>
      </c>
      <c r="F380" s="50">
        <f>IF($B380="","",SUM($C$26:$C380))</f>
        <v/>
      </c>
      <c r="G380" s="50">
        <f>IF($B380="","",SUM($D$26:$D380))</f>
        <v/>
      </c>
      <c r="H380" s="50">
        <f>IF($B380="","",SUM($E$26:$E380))</f>
        <v/>
      </c>
    </row>
    <row r="381">
      <c r="B381" s="48">
        <f>IF(DATE(YEAR_Y,1,1)+355&gt;DATE(YEAR_Y,12,31),"",DATE(YEAR_Y,1,1)+355)</f>
        <v/>
      </c>
      <c r="C381" s="49">
        <f>IF($B381="","",SUMIFS(Grids!$BQ$12:$EC$111,Grids!$EE$12:$GQ$111,"&gt;="&amp;$B381*1000000000,Grids!$EE$12:$GQ$111,"&lt;"&amp;($B381+1)*1000000000))</f>
        <v/>
      </c>
      <c r="D381" s="49">
        <f>IF($B381="","",SUMIFS(Grids!$BQ$116:$EC$155,Grids!$EE$116:$GQ$155,"&gt;="&amp;$B381*1000000000,Grids!$EE$116:$GQ$155,"&lt;"&amp;($B381+1)*1000000000))</f>
        <v/>
      </c>
      <c r="E381" s="49">
        <f>IF($B381="","",SUMIFS(Grids!$BQ$160:$EC$219,Grids!$EE$160:$GQ$219,"&gt;="&amp;$B381*1000000000,Grids!$EE$160:$GQ$219,"&lt;"&amp;($B381+1)*1000000000))</f>
        <v/>
      </c>
      <c r="F381" s="50">
        <f>IF($B381="","",SUM($C$26:$C381))</f>
        <v/>
      </c>
      <c r="G381" s="50">
        <f>IF($B381="","",SUM($D$26:$D381))</f>
        <v/>
      </c>
      <c r="H381" s="50">
        <f>IF($B381="","",SUM($E$26:$E381))</f>
        <v/>
      </c>
    </row>
    <row r="382">
      <c r="B382" s="48">
        <f>IF(DATE(YEAR_Y,1,1)+356&gt;DATE(YEAR_Y,12,31),"",DATE(YEAR_Y,1,1)+356)</f>
        <v/>
      </c>
      <c r="C382" s="49">
        <f>IF($B382="","",SUMIFS(Grids!$BQ$12:$EC$111,Grids!$EE$12:$GQ$111,"&gt;="&amp;$B382*1000000000,Grids!$EE$12:$GQ$111,"&lt;"&amp;($B382+1)*1000000000))</f>
        <v/>
      </c>
      <c r="D382" s="49">
        <f>IF($B382="","",SUMIFS(Grids!$BQ$116:$EC$155,Grids!$EE$116:$GQ$155,"&gt;="&amp;$B382*1000000000,Grids!$EE$116:$GQ$155,"&lt;"&amp;($B382+1)*1000000000))</f>
        <v/>
      </c>
      <c r="E382" s="49">
        <f>IF($B382="","",SUMIFS(Grids!$BQ$160:$EC$219,Grids!$EE$160:$GQ$219,"&gt;="&amp;$B382*1000000000,Grids!$EE$160:$GQ$219,"&lt;"&amp;($B382+1)*1000000000))</f>
        <v/>
      </c>
      <c r="F382" s="50">
        <f>IF($B382="","",SUM($C$26:$C382))</f>
        <v/>
      </c>
      <c r="G382" s="50">
        <f>IF($B382="","",SUM($D$26:$D382))</f>
        <v/>
      </c>
      <c r="H382" s="50">
        <f>IF($B382="","",SUM($E$26:$E382))</f>
        <v/>
      </c>
    </row>
    <row r="383">
      <c r="B383" s="48">
        <f>IF(DATE(YEAR_Y,1,1)+357&gt;DATE(YEAR_Y,12,31),"",DATE(YEAR_Y,1,1)+357)</f>
        <v/>
      </c>
      <c r="C383" s="49">
        <f>IF($B383="","",SUMIFS(Grids!$BQ$12:$EC$111,Grids!$EE$12:$GQ$111,"&gt;="&amp;$B383*1000000000,Grids!$EE$12:$GQ$111,"&lt;"&amp;($B383+1)*1000000000))</f>
        <v/>
      </c>
      <c r="D383" s="49">
        <f>IF($B383="","",SUMIFS(Grids!$BQ$116:$EC$155,Grids!$EE$116:$GQ$155,"&gt;="&amp;$B383*1000000000,Grids!$EE$116:$GQ$155,"&lt;"&amp;($B383+1)*1000000000))</f>
        <v/>
      </c>
      <c r="E383" s="49">
        <f>IF($B383="","",SUMIFS(Grids!$BQ$160:$EC$219,Grids!$EE$160:$GQ$219,"&gt;="&amp;$B383*1000000000,Grids!$EE$160:$GQ$219,"&lt;"&amp;($B383+1)*1000000000))</f>
        <v/>
      </c>
      <c r="F383" s="50">
        <f>IF($B383="","",SUM($C$26:$C383))</f>
        <v/>
      </c>
      <c r="G383" s="50">
        <f>IF($B383="","",SUM($D$26:$D383))</f>
        <v/>
      </c>
      <c r="H383" s="50">
        <f>IF($B383="","",SUM($E$26:$E383))</f>
        <v/>
      </c>
    </row>
    <row r="384">
      <c r="B384" s="48">
        <f>IF(DATE(YEAR_Y,1,1)+358&gt;DATE(YEAR_Y,12,31),"",DATE(YEAR_Y,1,1)+358)</f>
        <v/>
      </c>
      <c r="C384" s="49">
        <f>IF($B384="","",SUMIFS(Grids!$BQ$12:$EC$111,Grids!$EE$12:$GQ$111,"&gt;="&amp;$B384*1000000000,Grids!$EE$12:$GQ$111,"&lt;"&amp;($B384+1)*1000000000))</f>
        <v/>
      </c>
      <c r="D384" s="49">
        <f>IF($B384="","",SUMIFS(Grids!$BQ$116:$EC$155,Grids!$EE$116:$GQ$155,"&gt;="&amp;$B384*1000000000,Grids!$EE$116:$GQ$155,"&lt;"&amp;($B384+1)*1000000000))</f>
        <v/>
      </c>
      <c r="E384" s="49">
        <f>IF($B384="","",SUMIFS(Grids!$BQ$160:$EC$219,Grids!$EE$160:$GQ$219,"&gt;="&amp;$B384*1000000000,Grids!$EE$160:$GQ$219,"&lt;"&amp;($B384+1)*1000000000))</f>
        <v/>
      </c>
      <c r="F384" s="50">
        <f>IF($B384="","",SUM($C$26:$C384))</f>
        <v/>
      </c>
      <c r="G384" s="50">
        <f>IF($B384="","",SUM($D$26:$D384))</f>
        <v/>
      </c>
      <c r="H384" s="50">
        <f>IF($B384="","",SUM($E$26:$E384))</f>
        <v/>
      </c>
    </row>
    <row r="385">
      <c r="B385" s="48">
        <f>IF(DATE(YEAR_Y,1,1)+359&gt;DATE(YEAR_Y,12,31),"",DATE(YEAR_Y,1,1)+359)</f>
        <v/>
      </c>
      <c r="C385" s="49">
        <f>IF($B385="","",SUMIFS(Grids!$BQ$12:$EC$111,Grids!$EE$12:$GQ$111,"&gt;="&amp;$B385*1000000000,Grids!$EE$12:$GQ$111,"&lt;"&amp;($B385+1)*1000000000))</f>
        <v/>
      </c>
      <c r="D385" s="49">
        <f>IF($B385="","",SUMIFS(Grids!$BQ$116:$EC$155,Grids!$EE$116:$GQ$155,"&gt;="&amp;$B385*1000000000,Grids!$EE$116:$GQ$155,"&lt;"&amp;($B385+1)*1000000000))</f>
        <v/>
      </c>
      <c r="E385" s="49">
        <f>IF($B385="","",SUMIFS(Grids!$BQ$160:$EC$219,Grids!$EE$160:$GQ$219,"&gt;="&amp;$B385*1000000000,Grids!$EE$160:$GQ$219,"&lt;"&amp;($B385+1)*1000000000))</f>
        <v/>
      </c>
      <c r="F385" s="50">
        <f>IF($B385="","",SUM($C$26:$C385))</f>
        <v/>
      </c>
      <c r="G385" s="50">
        <f>IF($B385="","",SUM($D$26:$D385))</f>
        <v/>
      </c>
      <c r="H385" s="50">
        <f>IF($B385="","",SUM($E$26:$E385))</f>
        <v/>
      </c>
    </row>
    <row r="386">
      <c r="B386" s="48">
        <f>IF(DATE(YEAR_Y,1,1)+360&gt;DATE(YEAR_Y,12,31),"",DATE(YEAR_Y,1,1)+360)</f>
        <v/>
      </c>
      <c r="C386" s="49">
        <f>IF($B386="","",SUMIFS(Grids!$BQ$12:$EC$111,Grids!$EE$12:$GQ$111,"&gt;="&amp;$B386*1000000000,Grids!$EE$12:$GQ$111,"&lt;"&amp;($B386+1)*1000000000))</f>
        <v/>
      </c>
      <c r="D386" s="49">
        <f>IF($B386="","",SUMIFS(Grids!$BQ$116:$EC$155,Grids!$EE$116:$GQ$155,"&gt;="&amp;$B386*1000000000,Grids!$EE$116:$GQ$155,"&lt;"&amp;($B386+1)*1000000000))</f>
        <v/>
      </c>
      <c r="E386" s="49">
        <f>IF($B386="","",SUMIFS(Grids!$BQ$160:$EC$219,Grids!$EE$160:$GQ$219,"&gt;="&amp;$B386*1000000000,Grids!$EE$160:$GQ$219,"&lt;"&amp;($B386+1)*1000000000))</f>
        <v/>
      </c>
      <c r="F386" s="50">
        <f>IF($B386="","",SUM($C$26:$C386))</f>
        <v/>
      </c>
      <c r="G386" s="50">
        <f>IF($B386="","",SUM($D$26:$D386))</f>
        <v/>
      </c>
      <c r="H386" s="50">
        <f>IF($B386="","",SUM($E$26:$E386))</f>
        <v/>
      </c>
    </row>
    <row r="387">
      <c r="B387" s="48">
        <f>IF(DATE(YEAR_Y,1,1)+361&gt;DATE(YEAR_Y,12,31),"",DATE(YEAR_Y,1,1)+361)</f>
        <v/>
      </c>
      <c r="C387" s="49">
        <f>IF($B387="","",SUMIFS(Grids!$BQ$12:$EC$111,Grids!$EE$12:$GQ$111,"&gt;="&amp;$B387*1000000000,Grids!$EE$12:$GQ$111,"&lt;"&amp;($B387+1)*1000000000))</f>
        <v/>
      </c>
      <c r="D387" s="49">
        <f>IF($B387="","",SUMIFS(Grids!$BQ$116:$EC$155,Grids!$EE$116:$GQ$155,"&gt;="&amp;$B387*1000000000,Grids!$EE$116:$GQ$155,"&lt;"&amp;($B387+1)*1000000000))</f>
        <v/>
      </c>
      <c r="E387" s="49">
        <f>IF($B387="","",SUMIFS(Grids!$BQ$160:$EC$219,Grids!$EE$160:$GQ$219,"&gt;="&amp;$B387*1000000000,Grids!$EE$160:$GQ$219,"&lt;"&amp;($B387+1)*1000000000))</f>
        <v/>
      </c>
      <c r="F387" s="50">
        <f>IF($B387="","",SUM($C$26:$C387))</f>
        <v/>
      </c>
      <c r="G387" s="50">
        <f>IF($B387="","",SUM($D$26:$D387))</f>
        <v/>
      </c>
      <c r="H387" s="50">
        <f>IF($B387="","",SUM($E$26:$E387))</f>
        <v/>
      </c>
    </row>
    <row r="388">
      <c r="B388" s="48">
        <f>IF(DATE(YEAR_Y,1,1)+362&gt;DATE(YEAR_Y,12,31),"",DATE(YEAR_Y,1,1)+362)</f>
        <v/>
      </c>
      <c r="C388" s="49">
        <f>IF($B388="","",SUMIFS(Grids!$BQ$12:$EC$111,Grids!$EE$12:$GQ$111,"&gt;="&amp;$B388*1000000000,Grids!$EE$12:$GQ$111,"&lt;"&amp;($B388+1)*1000000000))</f>
        <v/>
      </c>
      <c r="D388" s="49">
        <f>IF($B388="","",SUMIFS(Grids!$BQ$116:$EC$155,Grids!$EE$116:$GQ$155,"&gt;="&amp;$B388*1000000000,Grids!$EE$116:$GQ$155,"&lt;"&amp;($B388+1)*1000000000))</f>
        <v/>
      </c>
      <c r="E388" s="49">
        <f>IF($B388="","",SUMIFS(Grids!$BQ$160:$EC$219,Grids!$EE$160:$GQ$219,"&gt;="&amp;$B388*1000000000,Grids!$EE$160:$GQ$219,"&lt;"&amp;($B388+1)*1000000000))</f>
        <v/>
      </c>
      <c r="F388" s="50">
        <f>IF($B388="","",SUM($C$26:$C388))</f>
        <v/>
      </c>
      <c r="G388" s="50">
        <f>IF($B388="","",SUM($D$26:$D388))</f>
        <v/>
      </c>
      <c r="H388" s="50">
        <f>IF($B388="","",SUM($E$26:$E388))</f>
        <v/>
      </c>
    </row>
    <row r="389">
      <c r="B389" s="48">
        <f>IF(DATE(YEAR_Y,1,1)+363&gt;DATE(YEAR_Y,12,31),"",DATE(YEAR_Y,1,1)+363)</f>
        <v/>
      </c>
      <c r="C389" s="49">
        <f>IF($B389="","",SUMIFS(Grids!$BQ$12:$EC$111,Grids!$EE$12:$GQ$111,"&gt;="&amp;$B389*1000000000,Grids!$EE$12:$GQ$111,"&lt;"&amp;($B389+1)*1000000000))</f>
        <v/>
      </c>
      <c r="D389" s="49">
        <f>IF($B389="","",SUMIFS(Grids!$BQ$116:$EC$155,Grids!$EE$116:$GQ$155,"&gt;="&amp;$B389*1000000000,Grids!$EE$116:$GQ$155,"&lt;"&amp;($B389+1)*1000000000))</f>
        <v/>
      </c>
      <c r="E389" s="49">
        <f>IF($B389="","",SUMIFS(Grids!$BQ$160:$EC$219,Grids!$EE$160:$GQ$219,"&gt;="&amp;$B389*1000000000,Grids!$EE$160:$GQ$219,"&lt;"&amp;($B389+1)*1000000000))</f>
        <v/>
      </c>
      <c r="F389" s="50">
        <f>IF($B389="","",SUM($C$26:$C389))</f>
        <v/>
      </c>
      <c r="G389" s="50">
        <f>IF($B389="","",SUM($D$26:$D389))</f>
        <v/>
      </c>
      <c r="H389" s="50">
        <f>IF($B389="","",SUM($E$26:$E389))</f>
        <v/>
      </c>
    </row>
    <row r="390">
      <c r="B390" s="48">
        <f>IF(DATE(YEAR_Y,1,1)+364&gt;DATE(YEAR_Y,12,31),"",DATE(YEAR_Y,1,1)+364)</f>
        <v/>
      </c>
      <c r="C390" s="49">
        <f>IF($B390="","",SUMIFS(Grids!$BQ$12:$EC$111,Grids!$EE$12:$GQ$111,"&gt;="&amp;$B390*1000000000,Grids!$EE$12:$GQ$111,"&lt;"&amp;($B390+1)*1000000000))</f>
        <v/>
      </c>
      <c r="D390" s="49">
        <f>IF($B390="","",SUMIFS(Grids!$BQ$116:$EC$155,Grids!$EE$116:$GQ$155,"&gt;="&amp;$B390*1000000000,Grids!$EE$116:$GQ$155,"&lt;"&amp;($B390+1)*1000000000))</f>
        <v/>
      </c>
      <c r="E390" s="49">
        <f>IF($B390="","",SUMIFS(Grids!$BQ$160:$EC$219,Grids!$EE$160:$GQ$219,"&gt;="&amp;$B390*1000000000,Grids!$EE$160:$GQ$219,"&lt;"&amp;($B390+1)*1000000000))</f>
        <v/>
      </c>
      <c r="F390" s="50">
        <f>IF($B390="","",SUM($C$26:$C390))</f>
        <v/>
      </c>
      <c r="G390" s="50">
        <f>IF($B390="","",SUM($D$26:$D390))</f>
        <v/>
      </c>
      <c r="H390" s="50">
        <f>IF($B390="","",SUM($E$26:$E390))</f>
        <v/>
      </c>
    </row>
    <row r="391">
      <c r="B391" s="48">
        <f>IF(DATE(YEAR_Y,1,1)+365&gt;DATE(YEAR_Y,12,31),"",DATE(YEAR_Y,1,1)+365)</f>
        <v/>
      </c>
      <c r="C391" s="49">
        <f>IF($B391="","",SUMIFS(Grids!$BQ$12:$EC$111,Grids!$EE$12:$GQ$111,"&gt;="&amp;$B391*1000000000,Grids!$EE$12:$GQ$111,"&lt;"&amp;($B391+1)*1000000000))</f>
        <v/>
      </c>
      <c r="D391" s="49">
        <f>IF($B391="","",SUMIFS(Grids!$BQ$116:$EC$155,Grids!$EE$116:$GQ$155,"&gt;="&amp;$B391*1000000000,Grids!$EE$116:$GQ$155,"&lt;"&amp;($B391+1)*1000000000))</f>
        <v/>
      </c>
      <c r="E391" s="49">
        <f>IF($B391="","",SUMIFS(Grids!$BQ$160:$EC$219,Grids!$EE$160:$GQ$219,"&gt;="&amp;$B391*1000000000,Grids!$EE$160:$GQ$219,"&lt;"&amp;($B391+1)*1000000000))</f>
        <v/>
      </c>
      <c r="F391" s="50">
        <f>IF($B391="","",SUM($C$26:$C391))</f>
        <v/>
      </c>
      <c r="G391" s="50">
        <f>IF($B391="","",SUM($D$26:$D391))</f>
        <v/>
      </c>
      <c r="H391" s="50">
        <f>IF($B391="","",SUM($E$26:$E391))</f>
        <v/>
      </c>
    </row>
    <row r="392">
      <c r="B392" s="48">
        <f>IF(DATE(YEAR_Y,1,1)+366&gt;DATE(YEAR_Y,12,31),"",DATE(YEAR_Y,1,1)+366)</f>
        <v/>
      </c>
      <c r="C392" s="49">
        <f>IF($B392="","",SUMIFS(Grids!$BQ$12:$EC$111,Grids!$EE$12:$GQ$111,"&gt;="&amp;$B392*1000000000,Grids!$EE$12:$GQ$111,"&lt;"&amp;($B392+1)*1000000000))</f>
        <v/>
      </c>
      <c r="D392" s="49">
        <f>IF($B392="","",SUMIFS(Grids!$BQ$116:$EC$155,Grids!$EE$116:$GQ$155,"&gt;="&amp;$B392*1000000000,Grids!$EE$116:$GQ$155,"&lt;"&amp;($B392+1)*1000000000))</f>
        <v/>
      </c>
      <c r="E392" s="49">
        <f>IF($B392="","",SUMIFS(Grids!$BQ$160:$EC$219,Grids!$EE$160:$GQ$219,"&gt;="&amp;$B392*1000000000,Grids!$EE$160:$GQ$219,"&lt;"&amp;($B392+1)*1000000000))</f>
        <v/>
      </c>
      <c r="F392" s="50">
        <f>IF($B392="","",SUM($C$26:$C392))</f>
        <v/>
      </c>
      <c r="G392" s="50">
        <f>IF($B392="","",SUM($D$26:$D392))</f>
        <v/>
      </c>
      <c r="H392" s="50">
        <f>IF($B392="","",SUM($E$26:$E392))</f>
        <v/>
      </c>
    </row>
    <row r="393">
      <c r="B393" s="48">
        <f>IF(DATE(YEAR_Y,1,1)+367&gt;DATE(YEAR_Y,12,31),"",DATE(YEAR_Y,1,1)+367)</f>
        <v/>
      </c>
      <c r="C393" s="49">
        <f>IF($B393="","",SUMIFS(Grids!$BQ$12:$EC$111,Grids!$EE$12:$GQ$111,"&gt;="&amp;$B393*1000000000,Grids!$EE$12:$GQ$111,"&lt;"&amp;($B393+1)*1000000000))</f>
        <v/>
      </c>
      <c r="D393" s="49">
        <f>IF($B393="","",SUMIFS(Grids!$BQ$116:$EC$155,Grids!$EE$116:$GQ$155,"&gt;="&amp;$B393*1000000000,Grids!$EE$116:$GQ$155,"&lt;"&amp;($B393+1)*1000000000))</f>
        <v/>
      </c>
      <c r="E393" s="49">
        <f>IF($B393="","",SUMIFS(Grids!$BQ$160:$EC$219,Grids!$EE$160:$GQ$219,"&gt;="&amp;$B393*1000000000,Grids!$EE$160:$GQ$219,"&lt;"&amp;($B393+1)*1000000000))</f>
        <v/>
      </c>
      <c r="F393" s="50">
        <f>IF($B393="","",SUM($C$26:$C393))</f>
        <v/>
      </c>
      <c r="G393" s="50">
        <f>IF($B393="","",SUM($D$26:$D393))</f>
        <v/>
      </c>
      <c r="H393" s="50">
        <f>IF($B393="","",SUM($E$26:$E393))</f>
        <v/>
      </c>
    </row>
    <row r="394">
      <c r="B394" s="48">
        <f>IF(DATE(YEAR_Y,1,1)+368&gt;DATE(YEAR_Y,12,31),"",DATE(YEAR_Y,1,1)+368)</f>
        <v/>
      </c>
      <c r="C394" s="49">
        <f>IF($B394="","",SUMIFS(Grids!$BQ$12:$EC$111,Grids!$EE$12:$GQ$111,"&gt;="&amp;$B394*1000000000,Grids!$EE$12:$GQ$111,"&lt;"&amp;($B394+1)*1000000000))</f>
        <v/>
      </c>
      <c r="D394" s="49">
        <f>IF($B394="","",SUMIFS(Grids!$BQ$116:$EC$155,Grids!$EE$116:$GQ$155,"&gt;="&amp;$B394*1000000000,Grids!$EE$116:$GQ$155,"&lt;"&amp;($B394+1)*1000000000))</f>
        <v/>
      </c>
      <c r="E394" s="49">
        <f>IF($B394="","",SUMIFS(Grids!$BQ$160:$EC$219,Grids!$EE$160:$GQ$219,"&gt;="&amp;$B394*1000000000,Grids!$EE$160:$GQ$219,"&lt;"&amp;($B394+1)*1000000000))</f>
        <v/>
      </c>
      <c r="F394" s="50">
        <f>IF($B394="","",SUM($C$26:$C394))</f>
        <v/>
      </c>
      <c r="G394" s="50">
        <f>IF($B394="","",SUM($D$26:$D394))</f>
        <v/>
      </c>
      <c r="H394" s="50">
        <f>IF($B394="","",SUM($E$26:$E394))</f>
        <v/>
      </c>
    </row>
    <row r="395">
      <c r="B395" s="48">
        <f>IF(DATE(YEAR_Y,1,1)+369&gt;DATE(YEAR_Y,12,31),"",DATE(YEAR_Y,1,1)+369)</f>
        <v/>
      </c>
      <c r="C395" s="49">
        <f>IF($B395="","",SUMIFS(Grids!$BQ$12:$EC$111,Grids!$EE$12:$GQ$111,"&gt;="&amp;$B395*1000000000,Grids!$EE$12:$GQ$111,"&lt;"&amp;($B395+1)*1000000000))</f>
        <v/>
      </c>
      <c r="D395" s="49">
        <f>IF($B395="","",SUMIFS(Grids!$BQ$116:$EC$155,Grids!$EE$116:$GQ$155,"&gt;="&amp;$B395*1000000000,Grids!$EE$116:$GQ$155,"&lt;"&amp;($B395+1)*1000000000))</f>
        <v/>
      </c>
      <c r="E395" s="49">
        <f>IF($B395="","",SUMIFS(Grids!$BQ$160:$EC$219,Grids!$EE$160:$GQ$219,"&gt;="&amp;$B395*1000000000,Grids!$EE$160:$GQ$219,"&lt;"&amp;($B395+1)*1000000000))</f>
        <v/>
      </c>
      <c r="F395" s="50">
        <f>IF($B395="","",SUM($C$26:$C395))</f>
        <v/>
      </c>
      <c r="G395" s="50">
        <f>IF($B395="","",SUM($D$26:$D395))</f>
        <v/>
      </c>
      <c r="H395" s="50">
        <f>IF($B395="","",SUM($E$26:$E395))</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A9D08E"/>
    <outlinePr summaryBelow="1" summaryRight="1"/>
    <pageSetUpPr/>
  </sheetPr>
  <dimension ref="B1:AQ259"/>
  <sheetViews>
    <sheetView workbookViewId="0">
      <pane xSplit="5" ySplit="11" topLeftCell="F12"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5" customWidth="1" min="3" max="3"/>
    <col width="22"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24" customWidth="1" min="42" max="42"/>
    <col width="8" customWidth="1" min="43" max="43"/>
  </cols>
  <sheetData>
    <row r="1">
      <c r="B1" s="1" t="inlineStr">
        <is>
          <t>FUNDAMENTALS - WHAT PAYS THE DIVIDEND</t>
        </is>
      </c>
    </row>
    <row r="2">
      <c r="B2" s="2" t="inlineStr">
        <is>
          <t>One row per member, one colour block per concept. Dividends are on an EX-DATE basis (what the futures pay); EPS and payout are on a FISCAL basis (what the company reports) - different clocks by design. Filter with the header arrows; never sort.</t>
        </is>
      </c>
    </row>
    <row r="4">
      <c r="B4" s="9" t="inlineStr">
        <is>
          <t>Flag thresholds</t>
        </is>
      </c>
      <c r="C4" s="6" t="inlineStr">
        <is>
          <t>payout above</t>
        </is>
      </c>
      <c r="D4" s="51" t="n">
        <v>1</v>
      </c>
      <c r="E4" s="6" t="inlineStr">
        <is>
          <t>FCF cover below</t>
        </is>
      </c>
      <c r="F4" s="52" t="n">
        <v>1</v>
      </c>
      <c r="G4" s="6" t="inlineStr">
        <is>
          <t>ND/EBITDA above</t>
        </is>
      </c>
      <c r="H4" s="52" t="n">
        <v>3</v>
      </c>
      <c r="J4" s="2" t="inlineStr">
        <is>
          <t>&lt;- these drive the Watch column only.</t>
        </is>
      </c>
    </row>
    <row r="5">
      <c r="B5" s="6" t="inlineStr">
        <is>
          <t>Fundamentals pulls</t>
        </is>
      </c>
      <c r="C5" s="15">
        <f>IF(PULL_FUND="Y","ON - amber columns live","OFF - amber columns blank (Summary C16)")</f>
        <v/>
      </c>
      <c r="D5" s="16" t="n"/>
      <c r="E5" s="16" t="n"/>
      <c r="F5" s="16" t="n"/>
      <c r="G5" s="16" t="n"/>
      <c r="H5" s="17" t="n"/>
    </row>
    <row r="7">
      <c r="B7" s="2" t="inlineStr">
        <is>
          <t>Colour guide:</t>
        </is>
      </c>
      <c r="C7" s="2" t="inlineStr">
        <is>
          <t>amber cells = live Bloomberg fundamentals (a BLANK amber cell = pulls OFF on Summary C16, or Bloomberg has no data - the status above says which)  |  grey = derived  |  colour scales run green (comfortable) to red (stretched)</t>
        </is>
      </c>
    </row>
    <row r="8">
      <c r="B8" s="2" t="inlineStr">
        <is>
          <t>Jump to:</t>
        </is>
      </c>
      <c r="C8" s="7" t="inlineStr">
        <is>
          <t>DPS</t>
        </is>
      </c>
      <c r="D8" s="7" t="inlineStr">
        <is>
          <t>EPS &amp; payout</t>
        </is>
      </c>
      <c r="E8" s="7" t="inlineStr">
        <is>
          <t>Forward</t>
        </is>
      </c>
      <c r="F8" s="7" t="inlineStr">
        <is>
          <t>Buybacks</t>
        </is>
      </c>
      <c r="G8" s="7" t="inlineStr">
        <is>
          <t>Balance sheet</t>
        </is>
      </c>
      <c r="H8" s="7" t="inlineStr">
        <is>
          <t>Sector tables</t>
        </is>
      </c>
    </row>
    <row r="10">
      <c r="B10" s="3" t="inlineStr">
        <is>
          <t>WHO</t>
        </is>
      </c>
      <c r="C10" s="4" t="n"/>
      <c r="D10" s="4" t="n"/>
      <c r="E10" s="4" t="n"/>
      <c r="F10" s="53" t="inlineStr">
        <is>
          <t>DPS BY EX-DATE YEAR  (cash types only)</t>
        </is>
      </c>
      <c r="G10" s="54" t="n"/>
      <c r="H10" s="54" t="n"/>
      <c r="I10" s="54" t="n"/>
      <c r="J10" s="54" t="n"/>
      <c r="K10" s="54" t="n"/>
      <c r="L10" s="54" t="n"/>
      <c r="M10" s="54" t="n"/>
      <c r="N10" s="3" t="inlineStr">
        <is>
          <t>EPS &amp; PAYOUT BY FISCAL YEAR</t>
        </is>
      </c>
      <c r="O10" s="4" t="n"/>
      <c r="P10" s="4" t="n"/>
      <c r="Q10" s="4" t="n"/>
      <c r="R10" s="4" t="n"/>
      <c r="S10" s="4" t="n"/>
      <c r="T10" s="4" t="n"/>
      <c r="U10" s="4" t="n"/>
      <c r="V10" s="4" t="n"/>
      <c r="W10" s="4" t="n"/>
      <c r="X10" s="4" t="n"/>
      <c r="Y10" s="55" t="inlineStr">
        <is>
          <t>FORWARD (consensus, year Y)</t>
        </is>
      </c>
      <c r="Z10" s="56" t="n"/>
      <c r="AA10" s="56" t="n"/>
      <c r="AB10" s="56" t="n"/>
      <c r="AC10" s="53" t="inlineStr">
        <is>
          <t>BUYBACKS (LTM / mkt cap)</t>
        </is>
      </c>
      <c r="AD10" s="54" t="n"/>
      <c r="AE10" s="54" t="n"/>
      <c r="AF10" s="54" t="n"/>
      <c r="AG10" s="54" t="n"/>
      <c r="AH10" s="55" t="inlineStr">
        <is>
          <t>BALANCE SHEET &amp; CASH</t>
        </is>
      </c>
      <c r="AI10" s="56" t="n"/>
      <c r="AJ10" s="56" t="n"/>
      <c r="AK10" s="56" t="n"/>
      <c r="AL10" s="56" t="n"/>
      <c r="AM10" s="56" t="n"/>
      <c r="AN10" s="56" t="n"/>
      <c r="AO10" s="56" t="n"/>
    </row>
    <row r="11">
      <c r="B11" s="19" t="inlineStr">
        <is>
          <t>Index</t>
        </is>
      </c>
      <c r="C11" s="19" t="inlineStr">
        <is>
          <t>Ticker</t>
        </is>
      </c>
      <c r="D11" s="19" t="inlineStr">
        <is>
          <t>Name</t>
        </is>
      </c>
      <c r="E11" s="19" t="inlineStr">
        <is>
          <t>GICS Sector</t>
        </is>
      </c>
      <c r="F11" s="57" t="inlineStr">
        <is>
          <t>DPS
Y-5</t>
        </is>
      </c>
      <c r="G11" s="58" t="inlineStr">
        <is>
          <t>DPS
Y-4</t>
        </is>
      </c>
      <c r="H11" s="58" t="inlineStr">
        <is>
          <t>DPS
Y-3</t>
        </is>
      </c>
      <c r="I11" s="58" t="inlineStr">
        <is>
          <t>DPS
Y-2</t>
        </is>
      </c>
      <c r="J11" s="58" t="inlineStr">
        <is>
          <t>DPS
Y-1</t>
        </is>
      </c>
      <c r="K11" s="58" t="inlineStr">
        <is>
          <t>DPS
YTD</t>
        </is>
      </c>
      <c r="L11" s="58" t="inlineStr">
        <is>
          <t>DPS to
come</t>
        </is>
      </c>
      <c r="M11" s="58" t="inlineStr">
        <is>
          <t>5Y avg
DPS</t>
        </is>
      </c>
      <c r="N11" s="59" t="inlineStr">
        <is>
          <t>EPS
Y-5</t>
        </is>
      </c>
      <c r="O11" s="19" t="inlineStr">
        <is>
          <t>EPS
Y-4</t>
        </is>
      </c>
      <c r="P11" s="19" t="inlineStr">
        <is>
          <t>EPS
Y-3</t>
        </is>
      </c>
      <c r="Q11" s="19" t="inlineStr">
        <is>
          <t>EPS
Y-2</t>
        </is>
      </c>
      <c r="R11" s="19" t="inlineStr">
        <is>
          <t>EPS
Y-1</t>
        </is>
      </c>
      <c r="S11" s="19" t="inlineStr">
        <is>
          <t>Payout
Y-5</t>
        </is>
      </c>
      <c r="T11" s="19" t="inlineStr">
        <is>
          <t>Payout
Y-4</t>
        </is>
      </c>
      <c r="U11" s="19" t="inlineStr">
        <is>
          <t>Payout
Y-3</t>
        </is>
      </c>
      <c r="V11" s="19" t="inlineStr">
        <is>
          <t>Payout
Y-2</t>
        </is>
      </c>
      <c r="W11" s="19" t="inlineStr">
        <is>
          <t>Payout
Y-1</t>
        </is>
      </c>
      <c r="X11" s="19" t="inlineStr">
        <is>
          <t>5Y avg
payout</t>
        </is>
      </c>
      <c r="Y11" s="60" t="inlineStr">
        <is>
          <t>Fwd EPS
(Y)</t>
        </is>
      </c>
      <c r="Z11" s="61" t="inlineStr">
        <is>
          <t>Fwd DPS
(Y)</t>
        </is>
      </c>
      <c r="AA11" s="61" t="inlineStr">
        <is>
          <t>Fwd
payout</t>
        </is>
      </c>
      <c r="AB11" s="61" t="inlineStr">
        <is>
          <t>Model DPS
yr Y</t>
        </is>
      </c>
      <c r="AC11" s="57" t="inlineStr">
        <is>
          <t>Buyback
Y-4</t>
        </is>
      </c>
      <c r="AD11" s="58" t="inlineStr">
        <is>
          <t>Buyback
Y-3</t>
        </is>
      </c>
      <c r="AE11" s="58" t="inlineStr">
        <is>
          <t>Buyback
Y-2</t>
        </is>
      </c>
      <c r="AF11" s="58" t="inlineStr">
        <is>
          <t>Buyback
Y-1</t>
        </is>
      </c>
      <c r="AG11" s="58" t="inlineStr">
        <is>
          <t>Bb+dvd
yield</t>
        </is>
      </c>
      <c r="AH11" s="60" t="inlineStr">
        <is>
          <t>ND/E
Y-2</t>
        </is>
      </c>
      <c r="AI11" s="61" t="inlineStr">
        <is>
          <t>ND/E
Y-1</t>
        </is>
      </c>
      <c r="AJ11" s="61" t="inlineStr">
        <is>
          <t>Net debt
/EBITDA</t>
        </is>
      </c>
      <c r="AK11" s="61" t="inlineStr">
        <is>
          <t>EBITDA
/interest</t>
        </is>
      </c>
      <c r="AL11" s="61" t="inlineStr">
        <is>
          <t>FCF
yld</t>
        </is>
      </c>
      <c r="AM11" s="61" t="inlineStr">
        <is>
          <t>Dvd yld
12M</t>
        </is>
      </c>
      <c r="AN11" s="61" t="inlineStr">
        <is>
          <t>FCF
cover</t>
        </is>
      </c>
      <c r="AO11" s="61" t="inlineStr">
        <is>
          <t>Payout
trend</t>
        </is>
      </c>
      <c r="AP11" s="59" t="inlineStr">
        <is>
          <t>Watch</t>
        </is>
      </c>
      <c r="AQ11" s="19" t="inlineStr">
        <is>
          <t>Dvd
ccy</t>
        </is>
      </c>
    </row>
    <row r="12">
      <c r="B12" s="62" t="inlineStr">
        <is>
          <t>HSI</t>
        </is>
      </c>
      <c r="C12" s="6">
        <f>IF(HSI!$C$7="","",HSI!$C$7)</f>
        <v/>
      </c>
      <c r="D12" s="6">
        <f>IF($C12="","",HSI!$D$7)</f>
        <v/>
      </c>
      <c r="E12" s="6">
        <f>IF($C12="","",HSI!$E$7)</f>
        <v/>
      </c>
      <c r="F12" s="63">
        <f>IF($C12="","",SUMPRODUCT(('Dvd Calendar'!$E$11:$AR$11&gt;=DATE(YEAR_Y-5,1,1))*('Dvd Calendar'!$E$11:$AR$11&lt;=DATE(YEAR_Y-5,12,31))*'Dvd Calendar'!$E$14:$AR$14*(('Dvd Calendar'!$E$16:$AR$16=TYPE1)*(TYPE1&lt;&gt;"")+('Dvd Calendar'!$E$16:$AR$16=TYPE2)*(TYPE2&lt;&gt;"")+('Dvd Calendar'!$E$16:$AR$16=TYPE3)*(TYPE3&lt;&gt;"")+('Dvd Calendar'!$E$16:$AR$16=TYPE4)*(TYPE4&lt;&gt;"")+('Dvd Calendar'!$E$16:$AR$16=SPECIAL_LBL)*(INC_SPECIALS="Y"))))</f>
        <v/>
      </c>
      <c r="G12" s="64">
        <f>IF($C12="","",SUMPRODUCT(('Dvd Calendar'!$E$11:$AR$11&gt;=DATE(YEAR_Y-4,1,1))*('Dvd Calendar'!$E$11:$AR$11&lt;=DATE(YEAR_Y-4,12,31))*'Dvd Calendar'!$E$14:$AR$14*(('Dvd Calendar'!$E$16:$AR$16=TYPE1)*(TYPE1&lt;&gt;"")+('Dvd Calendar'!$E$16:$AR$16=TYPE2)*(TYPE2&lt;&gt;"")+('Dvd Calendar'!$E$16:$AR$16=TYPE3)*(TYPE3&lt;&gt;"")+('Dvd Calendar'!$E$16:$AR$16=TYPE4)*(TYPE4&lt;&gt;"")+('Dvd Calendar'!$E$16:$AR$16=SPECIAL_LBL)*(INC_SPECIALS="Y"))))</f>
        <v/>
      </c>
      <c r="H12" s="64">
        <f>IF($C12="","",SUMPRODUCT(('Dvd Calendar'!$E$11:$AR$11&gt;=DATE(YEAR_Y-3,1,1))*('Dvd Calendar'!$E$11:$AR$11&lt;=DATE(YEAR_Y-3,12,31))*'Dvd Calendar'!$E$14:$AR$14*(('Dvd Calendar'!$E$16:$AR$16=TYPE1)*(TYPE1&lt;&gt;"")+('Dvd Calendar'!$E$16:$AR$16=TYPE2)*(TYPE2&lt;&gt;"")+('Dvd Calendar'!$E$16:$AR$16=TYPE3)*(TYPE3&lt;&gt;"")+('Dvd Calendar'!$E$16:$AR$16=TYPE4)*(TYPE4&lt;&gt;"")+('Dvd Calendar'!$E$16:$AR$16=SPECIAL_LBL)*(INC_SPECIALS="Y"))))</f>
        <v/>
      </c>
      <c r="I12" s="64">
        <f>IF($C12="","",SUMPRODUCT(('Dvd Calendar'!$E$11:$AR$11&gt;=DATE(YEAR_Y-2,1,1))*('Dvd Calendar'!$E$11:$AR$11&lt;=DATE(YEAR_Y-2,12,31))*'Dvd Calendar'!$E$14:$AR$14*(('Dvd Calendar'!$E$16:$AR$16=TYPE1)*(TYPE1&lt;&gt;"")+('Dvd Calendar'!$E$16:$AR$16=TYPE2)*(TYPE2&lt;&gt;"")+('Dvd Calendar'!$E$16:$AR$16=TYPE3)*(TYPE3&lt;&gt;"")+('Dvd Calendar'!$E$16:$AR$16=TYPE4)*(TYPE4&lt;&gt;"")+('Dvd Calendar'!$E$16:$AR$16=SPECIAL_LBL)*(INC_SPECIALS="Y"))))</f>
        <v/>
      </c>
      <c r="J12" s="64">
        <f>IF($C12="","",SUMPRODUCT(('Dvd Calendar'!$E$11:$AR$11&gt;=DATE(YEAR_Y-1,1,1))*('Dvd Calendar'!$E$11:$AR$11&lt;=DATE(YEAR_Y-1,12,31))*'Dvd Calendar'!$E$14:$AR$14*(('Dvd Calendar'!$E$16:$AR$16=TYPE1)*(TYPE1&lt;&gt;"")+('Dvd Calendar'!$E$16:$AR$16=TYPE2)*(TYPE2&lt;&gt;"")+('Dvd Calendar'!$E$16:$AR$16=TYPE3)*(TYPE3&lt;&gt;"")+('Dvd Calendar'!$E$16:$AR$16=TYPE4)*(TYPE4&lt;&gt;"")+('Dvd Calendar'!$E$16:$AR$16=SPECIAL_LBL)*(INC_SPECIALS="Y"))))</f>
        <v/>
      </c>
      <c r="K12" s="65">
        <f>IF($C12="","",HSI!$J$7)</f>
        <v/>
      </c>
      <c r="L12" s="65">
        <f>IF($C12="","",HSI!$K$7)</f>
        <v/>
      </c>
      <c r="M12" s="41">
        <f>IF($C12="","",AVERAGE(F12:J12))</f>
        <v/>
      </c>
      <c r="N12" s="66">
        <f>IF($C12="","",IF(PULL_FUND="N","",IFERROR(BDP($C12,EPS_FIELD,YR_OVERRIDE,TEXT(YEAR_Y-5,"0")),"")))</f>
        <v/>
      </c>
      <c r="O12" s="67">
        <f>IF($C12="","",IF(PULL_FUND="N","",IFERROR(BDP($C12,EPS_FIELD,YR_OVERRIDE,TEXT(YEAR_Y-4,"0")),"")))</f>
        <v/>
      </c>
      <c r="P12" s="67">
        <f>IF($C12="","",IF(PULL_FUND="N","",IFERROR(BDP($C12,EPS_FIELD,YR_OVERRIDE,TEXT(YEAR_Y-3,"0")),"")))</f>
        <v/>
      </c>
      <c r="Q12" s="67">
        <f>IF($C12="","",IF(PULL_FUND="N","",IFERROR(BDP($C12,EPS_FIELD,YR_OVERRIDE,TEXT(YEAR_Y-2,"0")),"")))</f>
        <v/>
      </c>
      <c r="R12" s="67">
        <f>IF($C12="","",IF(PULL_FUND="N","",IFERROR(BDP($C12,EPS_FIELD,YR_OVERRIDE,TEXT(YEAR_Y-1,"0")),"")))</f>
        <v/>
      </c>
      <c r="S12" s="68">
        <f>IF($C12="","",IF(PULL_FUND="N","",IFERROR(BDP($C12,PAYOUT_FIELD,YR_OVERRIDE,TEXT(YEAR_Y-5,"0"))/100,"")))</f>
        <v/>
      </c>
      <c r="T12" s="68">
        <f>IF($C12="","",IF(PULL_FUND="N","",IFERROR(BDP($C12,PAYOUT_FIELD,YR_OVERRIDE,TEXT(YEAR_Y-4,"0"))/100,"")))</f>
        <v/>
      </c>
      <c r="U12" s="68">
        <f>IF($C12="","",IF(PULL_FUND="N","",IFERROR(BDP($C12,PAYOUT_FIELD,YR_OVERRIDE,TEXT(YEAR_Y-3,"0"))/100,"")))</f>
        <v/>
      </c>
      <c r="V12" s="68">
        <f>IF($C12="","",IF(PULL_FUND="N","",IFERROR(BDP($C12,PAYOUT_FIELD,YR_OVERRIDE,TEXT(YEAR_Y-2,"0"))/100,"")))</f>
        <v/>
      </c>
      <c r="W12" s="68">
        <f>IF($C12="","",IF(PULL_FUND="N","",IFERROR(BDP($C12,PAYOUT_FIELD,YR_OVERRIDE,TEXT(YEAR_Y-1,"0"))/100,"")))</f>
        <v/>
      </c>
      <c r="X12" s="69">
        <f>IF($C12="","",IFERROR(AVERAGE(S12:W12),""))</f>
        <v/>
      </c>
      <c r="Y12" s="66">
        <f>IF($C12="","",IF(PULL_FUND="N","",IFERROR(BDP($C12,BESTEPS_FIELD,FWD_OVERRIDE,TEXT(MOD(YEAR_Y,100),"00")&amp;"Y"),"")))</f>
        <v/>
      </c>
      <c r="Z12" s="70">
        <f>IF($C12="","",IF(PULL_FUND="N","",IFERROR(BDP($C12,BESTDPS_FIELD,FWD_OVERRIDE,TEXT(MOD(YEAR_Y,100),"00")&amp;"Y"),"")))</f>
        <v/>
      </c>
      <c r="AA12" s="71">
        <f>IF($C12="","",IF(ISNUMBER($Y12)*ISNUMBER($Z12)*($Y12&lt;&gt;0)=0,"",$Z12/$Y12))</f>
        <v/>
      </c>
      <c r="AB12" s="41">
        <f>IF($C12="","",HSI!$J$7+HSI!$L$7)</f>
        <v/>
      </c>
      <c r="AC12" s="72">
        <f>IF($C12="","",IF(PULL_FUND="N","",IF(COUNTIFS('Fund History'!$G$8:$G$12,"&gt;="&amp;DATE(YEAR_Y-4,1,1),'Fund History'!$G$8:$G$12,"&lt;="&amp;DATE(YEAR_Y-4,12,31))=0,"",SUMIFS('Fund History'!$H$8:$H$12,'Fund History'!$G$8:$G$12,"&gt;="&amp;DATE(YEAR_Y-4,1,1),'Fund History'!$G$8:$G$12,"&lt;="&amp;DATE(YEAR_Y-4,12,31))/100)))</f>
        <v/>
      </c>
      <c r="AD12" s="73">
        <f>IF($C12="","",IF(PULL_FUND="N","",IF(COUNTIFS('Fund History'!$G$8:$G$12,"&gt;="&amp;DATE(YEAR_Y-3,1,1),'Fund History'!$G$8:$G$12,"&lt;="&amp;DATE(YEAR_Y-3,12,31))=0,"",SUMIFS('Fund History'!$H$8:$H$12,'Fund History'!$G$8:$G$12,"&gt;="&amp;DATE(YEAR_Y-3,1,1),'Fund History'!$G$8:$G$12,"&lt;="&amp;DATE(YEAR_Y-3,12,31))/100)))</f>
        <v/>
      </c>
      <c r="AE12" s="73">
        <f>IF($C12="","",IF(PULL_FUND="N","",IF(COUNTIFS('Fund History'!$G$8:$G$12,"&gt;="&amp;DATE(YEAR_Y-2,1,1),'Fund History'!$G$8:$G$12,"&lt;="&amp;DATE(YEAR_Y-2,12,31))=0,"",SUMIFS('Fund History'!$H$8:$H$12,'Fund History'!$G$8:$G$12,"&gt;="&amp;DATE(YEAR_Y-2,1,1),'Fund History'!$G$8:$G$12,"&lt;="&amp;DATE(YEAR_Y-2,12,31))/100)))</f>
        <v/>
      </c>
      <c r="AF12" s="73">
        <f>IF($C12="","",IF(PULL_FUND="N","",IF(COUNTIFS('Fund History'!$G$8:$G$12,"&gt;="&amp;DATE(YEAR_Y-1,1,1),'Fund History'!$G$8:$G$12,"&lt;="&amp;DATE(YEAR_Y-1,12,31))=0,"",SUMIFS('Fund History'!$H$8:$H$12,'Fund History'!$G$8:$G$12,"&gt;="&amp;DATE(YEAR_Y-1,1,1),'Fund History'!$G$8:$G$12,"&lt;="&amp;DATE(YEAR_Y-1,12,31))/100)))</f>
        <v/>
      </c>
      <c r="AG12" s="74">
        <f>IF($C12="","",IF(N($AF12)+N(HSI!$I$7)=0,"",N($AF12)+N(HSI!$I$7)/100))</f>
        <v/>
      </c>
      <c r="AH12" s="66">
        <f>IF($C12="","",IF(PULL_FUND="N","",IF(COUNTIFS('Fund History'!$D$8:$D$12,"&gt;="&amp;DATE(YEAR_Y-2,1,1),'Fund History'!$D$8:$D$12,"&lt;="&amp;DATE(YEAR_Y-2,12,31))=0,"",SUMIFS('Fund History'!$E$8:$E$12,'Fund History'!$D$8:$D$12,"&gt;="&amp;DATE(YEAR_Y-2,1,1),'Fund History'!$D$8:$D$12,"&lt;="&amp;DATE(YEAR_Y-2,12,31)))))</f>
        <v/>
      </c>
      <c r="AI12" s="67">
        <f>IF($C12="","",IF(PULL_FUND="N","",IF(COUNTIFS('Fund History'!$D$8:$D$12,"&gt;="&amp;DATE(YEAR_Y-1,1,1),'Fund History'!$D$8:$D$12,"&lt;="&amp;DATE(YEAR_Y-1,12,31))=0,"",SUMIFS('Fund History'!$E$8:$E$12,'Fund History'!$D$8:$D$12,"&gt;="&amp;DATE(YEAR_Y-1,1,1),'Fund History'!$D$8:$D$12,"&lt;="&amp;DATE(YEAR_Y-1,12,31)))))</f>
        <v/>
      </c>
      <c r="AJ12" s="67">
        <f>IF($C12="","",IF(PULL_FUND="N","",IFERROR(BDP($C12,NDEBITDA_FIELD),"")))</f>
        <v/>
      </c>
      <c r="AK12" s="75">
        <f>IF($C12="","",IF(PULL_FUND="N","",IFERROR(BDP($C12,EBINT_FIELD),"")))</f>
        <v/>
      </c>
      <c r="AL12" s="73">
        <f>IF($C12="","",IF(PULL_FUND="N","",IFERROR(BDP($C12,FCF_FIELD)/100,"")))</f>
        <v/>
      </c>
      <c r="AM12" s="76">
        <f>IF($C12="","",IF(ISNUMBER(HSI!$I$7),HSI!$I$7/100,""))</f>
        <v/>
      </c>
      <c r="AN12" s="47">
        <f>IF($C12="","",IF(N($AM12)=0,"",IFERROR($AL12/$AM12,"")))</f>
        <v/>
      </c>
      <c r="AO12" s="33">
        <f>IF($C12="","",IF(ISNUMBER($S12)*ISNUMBER($W12)=0,"",IF($W12&gt;$S12+0.05,"rising",IF($W12&lt;$S12-0.05,"falling","stable"))))</f>
        <v/>
      </c>
      <c r="AP12" s="77">
        <f>IF($C12="","",TRIM(IF(ISNUMBER($X12)*(N($X12)&gt;$D$4)&gt;0,"payout high  ","")&amp;IF(ISNUMBER($AN12)*(N($AN12)&lt;$F$4)&gt;0,"FCF below dvd  ","")&amp;IF(ISNUMBER($AJ12)*(N($AJ12)&gt;$H$4)&gt;0,"leverage high","")))</f>
        <v/>
      </c>
      <c r="AQ12" s="78">
        <f>IF($C12="","",IF(HSI!$F$7="HKD","",HSI!$F$7))</f>
        <v/>
      </c>
    </row>
    <row r="13">
      <c r="B13" s="62" t="inlineStr">
        <is>
          <t>HSI</t>
        </is>
      </c>
      <c r="C13" s="6">
        <f>IF(HSI!$C$8="","",HSI!$C$8)</f>
        <v/>
      </c>
      <c r="D13" s="6">
        <f>IF($C13="","",HSI!$D$8)</f>
        <v/>
      </c>
      <c r="E13" s="6">
        <f>IF($C13="","",HSI!$E$8)</f>
        <v/>
      </c>
      <c r="F13" s="63">
        <f>IF($C13="","",SUMPRODUCT(('Dvd Calendar'!$E$22:$AR$22&gt;=DATE(YEAR_Y-5,1,1))*('Dvd Calendar'!$E$22:$AR$22&lt;=DATE(YEAR_Y-5,12,31))*'Dvd Calendar'!$E$25:$AR$25*(('Dvd Calendar'!$E$27:$AR$27=TYPE1)*(TYPE1&lt;&gt;"")+('Dvd Calendar'!$E$27:$AR$27=TYPE2)*(TYPE2&lt;&gt;"")+('Dvd Calendar'!$E$27:$AR$27=TYPE3)*(TYPE3&lt;&gt;"")+('Dvd Calendar'!$E$27:$AR$27=TYPE4)*(TYPE4&lt;&gt;"")+('Dvd Calendar'!$E$27:$AR$27=SPECIAL_LBL)*(INC_SPECIALS="Y"))))</f>
        <v/>
      </c>
      <c r="G13" s="64">
        <f>IF($C13="","",SUMPRODUCT(('Dvd Calendar'!$E$22:$AR$22&gt;=DATE(YEAR_Y-4,1,1))*('Dvd Calendar'!$E$22:$AR$22&lt;=DATE(YEAR_Y-4,12,31))*'Dvd Calendar'!$E$25:$AR$25*(('Dvd Calendar'!$E$27:$AR$27=TYPE1)*(TYPE1&lt;&gt;"")+('Dvd Calendar'!$E$27:$AR$27=TYPE2)*(TYPE2&lt;&gt;"")+('Dvd Calendar'!$E$27:$AR$27=TYPE3)*(TYPE3&lt;&gt;"")+('Dvd Calendar'!$E$27:$AR$27=TYPE4)*(TYPE4&lt;&gt;"")+('Dvd Calendar'!$E$27:$AR$27=SPECIAL_LBL)*(INC_SPECIALS="Y"))))</f>
        <v/>
      </c>
      <c r="H13" s="64">
        <f>IF($C13="","",SUMPRODUCT(('Dvd Calendar'!$E$22:$AR$22&gt;=DATE(YEAR_Y-3,1,1))*('Dvd Calendar'!$E$22:$AR$22&lt;=DATE(YEAR_Y-3,12,31))*'Dvd Calendar'!$E$25:$AR$25*(('Dvd Calendar'!$E$27:$AR$27=TYPE1)*(TYPE1&lt;&gt;"")+('Dvd Calendar'!$E$27:$AR$27=TYPE2)*(TYPE2&lt;&gt;"")+('Dvd Calendar'!$E$27:$AR$27=TYPE3)*(TYPE3&lt;&gt;"")+('Dvd Calendar'!$E$27:$AR$27=TYPE4)*(TYPE4&lt;&gt;"")+('Dvd Calendar'!$E$27:$AR$27=SPECIAL_LBL)*(INC_SPECIALS="Y"))))</f>
        <v/>
      </c>
      <c r="I13" s="64">
        <f>IF($C13="","",SUMPRODUCT(('Dvd Calendar'!$E$22:$AR$22&gt;=DATE(YEAR_Y-2,1,1))*('Dvd Calendar'!$E$22:$AR$22&lt;=DATE(YEAR_Y-2,12,31))*'Dvd Calendar'!$E$25:$AR$25*(('Dvd Calendar'!$E$27:$AR$27=TYPE1)*(TYPE1&lt;&gt;"")+('Dvd Calendar'!$E$27:$AR$27=TYPE2)*(TYPE2&lt;&gt;"")+('Dvd Calendar'!$E$27:$AR$27=TYPE3)*(TYPE3&lt;&gt;"")+('Dvd Calendar'!$E$27:$AR$27=TYPE4)*(TYPE4&lt;&gt;"")+('Dvd Calendar'!$E$27:$AR$27=SPECIAL_LBL)*(INC_SPECIALS="Y"))))</f>
        <v/>
      </c>
      <c r="J13" s="64">
        <f>IF($C13="","",SUMPRODUCT(('Dvd Calendar'!$E$22:$AR$22&gt;=DATE(YEAR_Y-1,1,1))*('Dvd Calendar'!$E$22:$AR$22&lt;=DATE(YEAR_Y-1,12,31))*'Dvd Calendar'!$E$25:$AR$25*(('Dvd Calendar'!$E$27:$AR$27=TYPE1)*(TYPE1&lt;&gt;"")+('Dvd Calendar'!$E$27:$AR$27=TYPE2)*(TYPE2&lt;&gt;"")+('Dvd Calendar'!$E$27:$AR$27=TYPE3)*(TYPE3&lt;&gt;"")+('Dvd Calendar'!$E$27:$AR$27=TYPE4)*(TYPE4&lt;&gt;"")+('Dvd Calendar'!$E$27:$AR$27=SPECIAL_LBL)*(INC_SPECIALS="Y"))))</f>
        <v/>
      </c>
      <c r="K13" s="65">
        <f>IF($C13="","",HSI!$J$8)</f>
        <v/>
      </c>
      <c r="L13" s="65">
        <f>IF($C13="","",HSI!$K$8)</f>
        <v/>
      </c>
      <c r="M13" s="41">
        <f>IF($C13="","",AVERAGE(F13:J13))</f>
        <v/>
      </c>
      <c r="N13" s="66">
        <f>IF($C13="","",IF(PULL_FUND="N","",IFERROR(BDP($C13,EPS_FIELD,YR_OVERRIDE,TEXT(YEAR_Y-5,"0")),"")))</f>
        <v/>
      </c>
      <c r="O13" s="67">
        <f>IF($C13="","",IF(PULL_FUND="N","",IFERROR(BDP($C13,EPS_FIELD,YR_OVERRIDE,TEXT(YEAR_Y-4,"0")),"")))</f>
        <v/>
      </c>
      <c r="P13" s="67">
        <f>IF($C13="","",IF(PULL_FUND="N","",IFERROR(BDP($C13,EPS_FIELD,YR_OVERRIDE,TEXT(YEAR_Y-3,"0")),"")))</f>
        <v/>
      </c>
      <c r="Q13" s="67">
        <f>IF($C13="","",IF(PULL_FUND="N","",IFERROR(BDP($C13,EPS_FIELD,YR_OVERRIDE,TEXT(YEAR_Y-2,"0")),"")))</f>
        <v/>
      </c>
      <c r="R13" s="67">
        <f>IF($C13="","",IF(PULL_FUND="N","",IFERROR(BDP($C13,EPS_FIELD,YR_OVERRIDE,TEXT(YEAR_Y-1,"0")),"")))</f>
        <v/>
      </c>
      <c r="S13" s="68">
        <f>IF($C13="","",IF(PULL_FUND="N","",IFERROR(BDP($C13,PAYOUT_FIELD,YR_OVERRIDE,TEXT(YEAR_Y-5,"0"))/100,"")))</f>
        <v/>
      </c>
      <c r="T13" s="68">
        <f>IF($C13="","",IF(PULL_FUND="N","",IFERROR(BDP($C13,PAYOUT_FIELD,YR_OVERRIDE,TEXT(YEAR_Y-4,"0"))/100,"")))</f>
        <v/>
      </c>
      <c r="U13" s="68">
        <f>IF($C13="","",IF(PULL_FUND="N","",IFERROR(BDP($C13,PAYOUT_FIELD,YR_OVERRIDE,TEXT(YEAR_Y-3,"0"))/100,"")))</f>
        <v/>
      </c>
      <c r="V13" s="68">
        <f>IF($C13="","",IF(PULL_FUND="N","",IFERROR(BDP($C13,PAYOUT_FIELD,YR_OVERRIDE,TEXT(YEAR_Y-2,"0"))/100,"")))</f>
        <v/>
      </c>
      <c r="W13" s="68">
        <f>IF($C13="","",IF(PULL_FUND="N","",IFERROR(BDP($C13,PAYOUT_FIELD,YR_OVERRIDE,TEXT(YEAR_Y-1,"0"))/100,"")))</f>
        <v/>
      </c>
      <c r="X13" s="69">
        <f>IF($C13="","",IFERROR(AVERAGE(S13:W13),""))</f>
        <v/>
      </c>
      <c r="Y13" s="66">
        <f>IF($C13="","",IF(PULL_FUND="N","",IFERROR(BDP($C13,BESTEPS_FIELD,FWD_OVERRIDE,TEXT(MOD(YEAR_Y,100),"00")&amp;"Y"),"")))</f>
        <v/>
      </c>
      <c r="Z13" s="70">
        <f>IF($C13="","",IF(PULL_FUND="N","",IFERROR(BDP($C13,BESTDPS_FIELD,FWD_OVERRIDE,TEXT(MOD(YEAR_Y,100),"00")&amp;"Y"),"")))</f>
        <v/>
      </c>
      <c r="AA13" s="71">
        <f>IF($C13="","",IF(ISNUMBER($Y13)*ISNUMBER($Z13)*($Y13&lt;&gt;0)=0,"",$Z13/$Y13))</f>
        <v/>
      </c>
      <c r="AB13" s="41">
        <f>IF($C13="","",HSI!$J$8+HSI!$L$8)</f>
        <v/>
      </c>
      <c r="AC13" s="72">
        <f>IF($C13="","",IF(PULL_FUND="N","",IF(COUNTIFS('Fund History'!$G$14:$G$18,"&gt;="&amp;DATE(YEAR_Y-4,1,1),'Fund History'!$G$14:$G$18,"&lt;="&amp;DATE(YEAR_Y-4,12,31))=0,"",SUMIFS('Fund History'!$H$14:$H$18,'Fund History'!$G$14:$G$18,"&gt;="&amp;DATE(YEAR_Y-4,1,1),'Fund History'!$G$14:$G$18,"&lt;="&amp;DATE(YEAR_Y-4,12,31))/100)))</f>
        <v/>
      </c>
      <c r="AD13" s="73">
        <f>IF($C13="","",IF(PULL_FUND="N","",IF(COUNTIFS('Fund History'!$G$14:$G$18,"&gt;="&amp;DATE(YEAR_Y-3,1,1),'Fund History'!$G$14:$G$18,"&lt;="&amp;DATE(YEAR_Y-3,12,31))=0,"",SUMIFS('Fund History'!$H$14:$H$18,'Fund History'!$G$14:$G$18,"&gt;="&amp;DATE(YEAR_Y-3,1,1),'Fund History'!$G$14:$G$18,"&lt;="&amp;DATE(YEAR_Y-3,12,31))/100)))</f>
        <v/>
      </c>
      <c r="AE13" s="73">
        <f>IF($C13="","",IF(PULL_FUND="N","",IF(COUNTIFS('Fund History'!$G$14:$G$18,"&gt;="&amp;DATE(YEAR_Y-2,1,1),'Fund History'!$G$14:$G$18,"&lt;="&amp;DATE(YEAR_Y-2,12,31))=0,"",SUMIFS('Fund History'!$H$14:$H$18,'Fund History'!$G$14:$G$18,"&gt;="&amp;DATE(YEAR_Y-2,1,1),'Fund History'!$G$14:$G$18,"&lt;="&amp;DATE(YEAR_Y-2,12,31))/100)))</f>
        <v/>
      </c>
      <c r="AF13" s="73">
        <f>IF($C13="","",IF(PULL_FUND="N","",IF(COUNTIFS('Fund History'!$G$14:$G$18,"&gt;="&amp;DATE(YEAR_Y-1,1,1),'Fund History'!$G$14:$G$18,"&lt;="&amp;DATE(YEAR_Y-1,12,31))=0,"",SUMIFS('Fund History'!$H$14:$H$18,'Fund History'!$G$14:$G$18,"&gt;="&amp;DATE(YEAR_Y-1,1,1),'Fund History'!$G$14:$G$18,"&lt;="&amp;DATE(YEAR_Y-1,12,31))/100)))</f>
        <v/>
      </c>
      <c r="AG13" s="74">
        <f>IF($C13="","",IF(N($AF13)+N(HSI!$I$8)=0,"",N($AF13)+N(HSI!$I$8)/100))</f>
        <v/>
      </c>
      <c r="AH13" s="66">
        <f>IF($C13="","",IF(PULL_FUND="N","",IF(COUNTIFS('Fund History'!$D$14:$D$18,"&gt;="&amp;DATE(YEAR_Y-2,1,1),'Fund History'!$D$14:$D$18,"&lt;="&amp;DATE(YEAR_Y-2,12,31))=0,"",SUMIFS('Fund History'!$E$14:$E$18,'Fund History'!$D$14:$D$18,"&gt;="&amp;DATE(YEAR_Y-2,1,1),'Fund History'!$D$14:$D$18,"&lt;="&amp;DATE(YEAR_Y-2,12,31)))))</f>
        <v/>
      </c>
      <c r="AI13" s="67">
        <f>IF($C13="","",IF(PULL_FUND="N","",IF(COUNTIFS('Fund History'!$D$14:$D$18,"&gt;="&amp;DATE(YEAR_Y-1,1,1),'Fund History'!$D$14:$D$18,"&lt;="&amp;DATE(YEAR_Y-1,12,31))=0,"",SUMIFS('Fund History'!$E$14:$E$18,'Fund History'!$D$14:$D$18,"&gt;="&amp;DATE(YEAR_Y-1,1,1),'Fund History'!$D$14:$D$18,"&lt;="&amp;DATE(YEAR_Y-1,12,31)))))</f>
        <v/>
      </c>
      <c r="AJ13" s="67">
        <f>IF($C13="","",IF(PULL_FUND="N","",IFERROR(BDP($C13,NDEBITDA_FIELD),"")))</f>
        <v/>
      </c>
      <c r="AK13" s="75">
        <f>IF($C13="","",IF(PULL_FUND="N","",IFERROR(BDP($C13,EBINT_FIELD),"")))</f>
        <v/>
      </c>
      <c r="AL13" s="73">
        <f>IF($C13="","",IF(PULL_FUND="N","",IFERROR(BDP($C13,FCF_FIELD)/100,"")))</f>
        <v/>
      </c>
      <c r="AM13" s="76">
        <f>IF($C13="","",IF(ISNUMBER(HSI!$I$8),HSI!$I$8/100,""))</f>
        <v/>
      </c>
      <c r="AN13" s="47">
        <f>IF($C13="","",IF(N($AM13)=0,"",IFERROR($AL13/$AM13,"")))</f>
        <v/>
      </c>
      <c r="AO13" s="33">
        <f>IF($C13="","",IF(ISNUMBER($S13)*ISNUMBER($W13)=0,"",IF($W13&gt;$S13+0.05,"rising",IF($W13&lt;$S13-0.05,"falling","stable"))))</f>
        <v/>
      </c>
      <c r="AP13" s="77">
        <f>IF($C13="","",TRIM(IF(ISNUMBER($X13)*(N($X13)&gt;$D$4)&gt;0,"payout high  ","")&amp;IF(ISNUMBER($AN13)*(N($AN13)&lt;$F$4)&gt;0,"FCF below dvd  ","")&amp;IF(ISNUMBER($AJ13)*(N($AJ13)&gt;$H$4)&gt;0,"leverage high","")))</f>
        <v/>
      </c>
      <c r="AQ13" s="78">
        <f>IF($C13="","",IF(HSI!$F$8="HKD","",HSI!$F$8))</f>
        <v/>
      </c>
    </row>
    <row r="14">
      <c r="B14" s="62" t="inlineStr">
        <is>
          <t>HSI</t>
        </is>
      </c>
      <c r="C14" s="6">
        <f>IF(HSI!$C$9="","",HSI!$C$9)</f>
        <v/>
      </c>
      <c r="D14" s="6">
        <f>IF($C14="","",HSI!$D$9)</f>
        <v/>
      </c>
      <c r="E14" s="6">
        <f>IF($C14="","",HSI!$E$9)</f>
        <v/>
      </c>
      <c r="F14" s="63">
        <f>IF($C14="","",SUMPRODUCT(('Dvd Calendar'!$E$33:$AR$33&gt;=DATE(YEAR_Y-5,1,1))*('Dvd Calendar'!$E$33:$AR$33&lt;=DATE(YEAR_Y-5,12,31))*'Dvd Calendar'!$E$36:$AR$36*(('Dvd Calendar'!$E$38:$AR$38=TYPE1)*(TYPE1&lt;&gt;"")+('Dvd Calendar'!$E$38:$AR$38=TYPE2)*(TYPE2&lt;&gt;"")+('Dvd Calendar'!$E$38:$AR$38=TYPE3)*(TYPE3&lt;&gt;"")+('Dvd Calendar'!$E$38:$AR$38=TYPE4)*(TYPE4&lt;&gt;"")+('Dvd Calendar'!$E$38:$AR$38=SPECIAL_LBL)*(INC_SPECIALS="Y"))))</f>
        <v/>
      </c>
      <c r="G14" s="64">
        <f>IF($C14="","",SUMPRODUCT(('Dvd Calendar'!$E$33:$AR$33&gt;=DATE(YEAR_Y-4,1,1))*('Dvd Calendar'!$E$33:$AR$33&lt;=DATE(YEAR_Y-4,12,31))*'Dvd Calendar'!$E$36:$AR$36*(('Dvd Calendar'!$E$38:$AR$38=TYPE1)*(TYPE1&lt;&gt;"")+('Dvd Calendar'!$E$38:$AR$38=TYPE2)*(TYPE2&lt;&gt;"")+('Dvd Calendar'!$E$38:$AR$38=TYPE3)*(TYPE3&lt;&gt;"")+('Dvd Calendar'!$E$38:$AR$38=TYPE4)*(TYPE4&lt;&gt;"")+('Dvd Calendar'!$E$38:$AR$38=SPECIAL_LBL)*(INC_SPECIALS="Y"))))</f>
        <v/>
      </c>
      <c r="H14" s="64">
        <f>IF($C14="","",SUMPRODUCT(('Dvd Calendar'!$E$33:$AR$33&gt;=DATE(YEAR_Y-3,1,1))*('Dvd Calendar'!$E$33:$AR$33&lt;=DATE(YEAR_Y-3,12,31))*'Dvd Calendar'!$E$36:$AR$36*(('Dvd Calendar'!$E$38:$AR$38=TYPE1)*(TYPE1&lt;&gt;"")+('Dvd Calendar'!$E$38:$AR$38=TYPE2)*(TYPE2&lt;&gt;"")+('Dvd Calendar'!$E$38:$AR$38=TYPE3)*(TYPE3&lt;&gt;"")+('Dvd Calendar'!$E$38:$AR$38=TYPE4)*(TYPE4&lt;&gt;"")+('Dvd Calendar'!$E$38:$AR$38=SPECIAL_LBL)*(INC_SPECIALS="Y"))))</f>
        <v/>
      </c>
      <c r="I14" s="64">
        <f>IF($C14="","",SUMPRODUCT(('Dvd Calendar'!$E$33:$AR$33&gt;=DATE(YEAR_Y-2,1,1))*('Dvd Calendar'!$E$33:$AR$33&lt;=DATE(YEAR_Y-2,12,31))*'Dvd Calendar'!$E$36:$AR$36*(('Dvd Calendar'!$E$38:$AR$38=TYPE1)*(TYPE1&lt;&gt;"")+('Dvd Calendar'!$E$38:$AR$38=TYPE2)*(TYPE2&lt;&gt;"")+('Dvd Calendar'!$E$38:$AR$38=TYPE3)*(TYPE3&lt;&gt;"")+('Dvd Calendar'!$E$38:$AR$38=TYPE4)*(TYPE4&lt;&gt;"")+('Dvd Calendar'!$E$38:$AR$38=SPECIAL_LBL)*(INC_SPECIALS="Y"))))</f>
        <v/>
      </c>
      <c r="J14" s="64">
        <f>IF($C14="","",SUMPRODUCT(('Dvd Calendar'!$E$33:$AR$33&gt;=DATE(YEAR_Y-1,1,1))*('Dvd Calendar'!$E$33:$AR$33&lt;=DATE(YEAR_Y-1,12,31))*'Dvd Calendar'!$E$36:$AR$36*(('Dvd Calendar'!$E$38:$AR$38=TYPE1)*(TYPE1&lt;&gt;"")+('Dvd Calendar'!$E$38:$AR$38=TYPE2)*(TYPE2&lt;&gt;"")+('Dvd Calendar'!$E$38:$AR$38=TYPE3)*(TYPE3&lt;&gt;"")+('Dvd Calendar'!$E$38:$AR$38=TYPE4)*(TYPE4&lt;&gt;"")+('Dvd Calendar'!$E$38:$AR$38=SPECIAL_LBL)*(INC_SPECIALS="Y"))))</f>
        <v/>
      </c>
      <c r="K14" s="65">
        <f>IF($C14="","",HSI!$J$9)</f>
        <v/>
      </c>
      <c r="L14" s="65">
        <f>IF($C14="","",HSI!$K$9)</f>
        <v/>
      </c>
      <c r="M14" s="41">
        <f>IF($C14="","",AVERAGE(F14:J14))</f>
        <v/>
      </c>
      <c r="N14" s="66">
        <f>IF($C14="","",IF(PULL_FUND="N","",IFERROR(BDP($C14,EPS_FIELD,YR_OVERRIDE,TEXT(YEAR_Y-5,"0")),"")))</f>
        <v/>
      </c>
      <c r="O14" s="67">
        <f>IF($C14="","",IF(PULL_FUND="N","",IFERROR(BDP($C14,EPS_FIELD,YR_OVERRIDE,TEXT(YEAR_Y-4,"0")),"")))</f>
        <v/>
      </c>
      <c r="P14" s="67">
        <f>IF($C14="","",IF(PULL_FUND="N","",IFERROR(BDP($C14,EPS_FIELD,YR_OVERRIDE,TEXT(YEAR_Y-3,"0")),"")))</f>
        <v/>
      </c>
      <c r="Q14" s="67">
        <f>IF($C14="","",IF(PULL_FUND="N","",IFERROR(BDP($C14,EPS_FIELD,YR_OVERRIDE,TEXT(YEAR_Y-2,"0")),"")))</f>
        <v/>
      </c>
      <c r="R14" s="67">
        <f>IF($C14="","",IF(PULL_FUND="N","",IFERROR(BDP($C14,EPS_FIELD,YR_OVERRIDE,TEXT(YEAR_Y-1,"0")),"")))</f>
        <v/>
      </c>
      <c r="S14" s="68">
        <f>IF($C14="","",IF(PULL_FUND="N","",IFERROR(BDP($C14,PAYOUT_FIELD,YR_OVERRIDE,TEXT(YEAR_Y-5,"0"))/100,"")))</f>
        <v/>
      </c>
      <c r="T14" s="68">
        <f>IF($C14="","",IF(PULL_FUND="N","",IFERROR(BDP($C14,PAYOUT_FIELD,YR_OVERRIDE,TEXT(YEAR_Y-4,"0"))/100,"")))</f>
        <v/>
      </c>
      <c r="U14" s="68">
        <f>IF($C14="","",IF(PULL_FUND="N","",IFERROR(BDP($C14,PAYOUT_FIELD,YR_OVERRIDE,TEXT(YEAR_Y-3,"0"))/100,"")))</f>
        <v/>
      </c>
      <c r="V14" s="68">
        <f>IF($C14="","",IF(PULL_FUND="N","",IFERROR(BDP($C14,PAYOUT_FIELD,YR_OVERRIDE,TEXT(YEAR_Y-2,"0"))/100,"")))</f>
        <v/>
      </c>
      <c r="W14" s="68">
        <f>IF($C14="","",IF(PULL_FUND="N","",IFERROR(BDP($C14,PAYOUT_FIELD,YR_OVERRIDE,TEXT(YEAR_Y-1,"0"))/100,"")))</f>
        <v/>
      </c>
      <c r="X14" s="69">
        <f>IF($C14="","",IFERROR(AVERAGE(S14:W14),""))</f>
        <v/>
      </c>
      <c r="Y14" s="66">
        <f>IF($C14="","",IF(PULL_FUND="N","",IFERROR(BDP($C14,BESTEPS_FIELD,FWD_OVERRIDE,TEXT(MOD(YEAR_Y,100),"00")&amp;"Y"),"")))</f>
        <v/>
      </c>
      <c r="Z14" s="70">
        <f>IF($C14="","",IF(PULL_FUND="N","",IFERROR(BDP($C14,BESTDPS_FIELD,FWD_OVERRIDE,TEXT(MOD(YEAR_Y,100),"00")&amp;"Y"),"")))</f>
        <v/>
      </c>
      <c r="AA14" s="71">
        <f>IF($C14="","",IF(ISNUMBER($Y14)*ISNUMBER($Z14)*($Y14&lt;&gt;0)=0,"",$Z14/$Y14))</f>
        <v/>
      </c>
      <c r="AB14" s="41">
        <f>IF($C14="","",HSI!$J$9+HSI!$L$9)</f>
        <v/>
      </c>
      <c r="AC14" s="72">
        <f>IF($C14="","",IF(PULL_FUND="N","",IF(COUNTIFS('Fund History'!$G$20:$G$24,"&gt;="&amp;DATE(YEAR_Y-4,1,1),'Fund History'!$G$20:$G$24,"&lt;="&amp;DATE(YEAR_Y-4,12,31))=0,"",SUMIFS('Fund History'!$H$20:$H$24,'Fund History'!$G$20:$G$24,"&gt;="&amp;DATE(YEAR_Y-4,1,1),'Fund History'!$G$20:$G$24,"&lt;="&amp;DATE(YEAR_Y-4,12,31))/100)))</f>
        <v/>
      </c>
      <c r="AD14" s="73">
        <f>IF($C14="","",IF(PULL_FUND="N","",IF(COUNTIFS('Fund History'!$G$20:$G$24,"&gt;="&amp;DATE(YEAR_Y-3,1,1),'Fund History'!$G$20:$G$24,"&lt;="&amp;DATE(YEAR_Y-3,12,31))=0,"",SUMIFS('Fund History'!$H$20:$H$24,'Fund History'!$G$20:$G$24,"&gt;="&amp;DATE(YEAR_Y-3,1,1),'Fund History'!$G$20:$G$24,"&lt;="&amp;DATE(YEAR_Y-3,12,31))/100)))</f>
        <v/>
      </c>
      <c r="AE14" s="73">
        <f>IF($C14="","",IF(PULL_FUND="N","",IF(COUNTIFS('Fund History'!$G$20:$G$24,"&gt;="&amp;DATE(YEAR_Y-2,1,1),'Fund History'!$G$20:$G$24,"&lt;="&amp;DATE(YEAR_Y-2,12,31))=0,"",SUMIFS('Fund History'!$H$20:$H$24,'Fund History'!$G$20:$G$24,"&gt;="&amp;DATE(YEAR_Y-2,1,1),'Fund History'!$G$20:$G$24,"&lt;="&amp;DATE(YEAR_Y-2,12,31))/100)))</f>
        <v/>
      </c>
      <c r="AF14" s="73">
        <f>IF($C14="","",IF(PULL_FUND="N","",IF(COUNTIFS('Fund History'!$G$20:$G$24,"&gt;="&amp;DATE(YEAR_Y-1,1,1),'Fund History'!$G$20:$G$24,"&lt;="&amp;DATE(YEAR_Y-1,12,31))=0,"",SUMIFS('Fund History'!$H$20:$H$24,'Fund History'!$G$20:$G$24,"&gt;="&amp;DATE(YEAR_Y-1,1,1),'Fund History'!$G$20:$G$24,"&lt;="&amp;DATE(YEAR_Y-1,12,31))/100)))</f>
        <v/>
      </c>
      <c r="AG14" s="74">
        <f>IF($C14="","",IF(N($AF14)+N(HSI!$I$9)=0,"",N($AF14)+N(HSI!$I$9)/100))</f>
        <v/>
      </c>
      <c r="AH14" s="66">
        <f>IF($C14="","",IF(PULL_FUND="N","",IF(COUNTIFS('Fund History'!$D$20:$D$24,"&gt;="&amp;DATE(YEAR_Y-2,1,1),'Fund History'!$D$20:$D$24,"&lt;="&amp;DATE(YEAR_Y-2,12,31))=0,"",SUMIFS('Fund History'!$E$20:$E$24,'Fund History'!$D$20:$D$24,"&gt;="&amp;DATE(YEAR_Y-2,1,1),'Fund History'!$D$20:$D$24,"&lt;="&amp;DATE(YEAR_Y-2,12,31)))))</f>
        <v/>
      </c>
      <c r="AI14" s="67">
        <f>IF($C14="","",IF(PULL_FUND="N","",IF(COUNTIFS('Fund History'!$D$20:$D$24,"&gt;="&amp;DATE(YEAR_Y-1,1,1),'Fund History'!$D$20:$D$24,"&lt;="&amp;DATE(YEAR_Y-1,12,31))=0,"",SUMIFS('Fund History'!$E$20:$E$24,'Fund History'!$D$20:$D$24,"&gt;="&amp;DATE(YEAR_Y-1,1,1),'Fund History'!$D$20:$D$24,"&lt;="&amp;DATE(YEAR_Y-1,12,31)))))</f>
        <v/>
      </c>
      <c r="AJ14" s="67">
        <f>IF($C14="","",IF(PULL_FUND="N","",IFERROR(BDP($C14,NDEBITDA_FIELD),"")))</f>
        <v/>
      </c>
      <c r="AK14" s="75">
        <f>IF($C14="","",IF(PULL_FUND="N","",IFERROR(BDP($C14,EBINT_FIELD),"")))</f>
        <v/>
      </c>
      <c r="AL14" s="73">
        <f>IF($C14="","",IF(PULL_FUND="N","",IFERROR(BDP($C14,FCF_FIELD)/100,"")))</f>
        <v/>
      </c>
      <c r="AM14" s="76">
        <f>IF($C14="","",IF(ISNUMBER(HSI!$I$9),HSI!$I$9/100,""))</f>
        <v/>
      </c>
      <c r="AN14" s="47">
        <f>IF($C14="","",IF(N($AM14)=0,"",IFERROR($AL14/$AM14,"")))</f>
        <v/>
      </c>
      <c r="AO14" s="33">
        <f>IF($C14="","",IF(ISNUMBER($S14)*ISNUMBER($W14)=0,"",IF($W14&gt;$S14+0.05,"rising",IF($W14&lt;$S14-0.05,"falling","stable"))))</f>
        <v/>
      </c>
      <c r="AP14" s="77">
        <f>IF($C14="","",TRIM(IF(ISNUMBER($X14)*(N($X14)&gt;$D$4)&gt;0,"payout high  ","")&amp;IF(ISNUMBER($AN14)*(N($AN14)&lt;$F$4)&gt;0,"FCF below dvd  ","")&amp;IF(ISNUMBER($AJ14)*(N($AJ14)&gt;$H$4)&gt;0,"leverage high","")))</f>
        <v/>
      </c>
      <c r="AQ14" s="78">
        <f>IF($C14="","",IF(HSI!$F$9="HKD","",HSI!$F$9))</f>
        <v/>
      </c>
    </row>
    <row r="15">
      <c r="B15" s="62" t="inlineStr">
        <is>
          <t>HSI</t>
        </is>
      </c>
      <c r="C15" s="6">
        <f>IF(HSI!$C$10="","",HSI!$C$10)</f>
        <v/>
      </c>
      <c r="D15" s="6">
        <f>IF($C15="","",HSI!$D$10)</f>
        <v/>
      </c>
      <c r="E15" s="6">
        <f>IF($C15="","",HSI!$E$10)</f>
        <v/>
      </c>
      <c r="F15" s="63">
        <f>IF($C15="","",SUMPRODUCT(('Dvd Calendar'!$E$44:$AR$44&gt;=DATE(YEAR_Y-5,1,1))*('Dvd Calendar'!$E$44:$AR$44&lt;=DATE(YEAR_Y-5,12,31))*'Dvd Calendar'!$E$47:$AR$47*(('Dvd Calendar'!$E$49:$AR$49=TYPE1)*(TYPE1&lt;&gt;"")+('Dvd Calendar'!$E$49:$AR$49=TYPE2)*(TYPE2&lt;&gt;"")+('Dvd Calendar'!$E$49:$AR$49=TYPE3)*(TYPE3&lt;&gt;"")+('Dvd Calendar'!$E$49:$AR$49=TYPE4)*(TYPE4&lt;&gt;"")+('Dvd Calendar'!$E$49:$AR$49=SPECIAL_LBL)*(INC_SPECIALS="Y"))))</f>
        <v/>
      </c>
      <c r="G15" s="64">
        <f>IF($C15="","",SUMPRODUCT(('Dvd Calendar'!$E$44:$AR$44&gt;=DATE(YEAR_Y-4,1,1))*('Dvd Calendar'!$E$44:$AR$44&lt;=DATE(YEAR_Y-4,12,31))*'Dvd Calendar'!$E$47:$AR$47*(('Dvd Calendar'!$E$49:$AR$49=TYPE1)*(TYPE1&lt;&gt;"")+('Dvd Calendar'!$E$49:$AR$49=TYPE2)*(TYPE2&lt;&gt;"")+('Dvd Calendar'!$E$49:$AR$49=TYPE3)*(TYPE3&lt;&gt;"")+('Dvd Calendar'!$E$49:$AR$49=TYPE4)*(TYPE4&lt;&gt;"")+('Dvd Calendar'!$E$49:$AR$49=SPECIAL_LBL)*(INC_SPECIALS="Y"))))</f>
        <v/>
      </c>
      <c r="H15" s="64">
        <f>IF($C15="","",SUMPRODUCT(('Dvd Calendar'!$E$44:$AR$44&gt;=DATE(YEAR_Y-3,1,1))*('Dvd Calendar'!$E$44:$AR$44&lt;=DATE(YEAR_Y-3,12,31))*'Dvd Calendar'!$E$47:$AR$47*(('Dvd Calendar'!$E$49:$AR$49=TYPE1)*(TYPE1&lt;&gt;"")+('Dvd Calendar'!$E$49:$AR$49=TYPE2)*(TYPE2&lt;&gt;"")+('Dvd Calendar'!$E$49:$AR$49=TYPE3)*(TYPE3&lt;&gt;"")+('Dvd Calendar'!$E$49:$AR$49=TYPE4)*(TYPE4&lt;&gt;"")+('Dvd Calendar'!$E$49:$AR$49=SPECIAL_LBL)*(INC_SPECIALS="Y"))))</f>
        <v/>
      </c>
      <c r="I15" s="64">
        <f>IF($C15="","",SUMPRODUCT(('Dvd Calendar'!$E$44:$AR$44&gt;=DATE(YEAR_Y-2,1,1))*('Dvd Calendar'!$E$44:$AR$44&lt;=DATE(YEAR_Y-2,12,31))*'Dvd Calendar'!$E$47:$AR$47*(('Dvd Calendar'!$E$49:$AR$49=TYPE1)*(TYPE1&lt;&gt;"")+('Dvd Calendar'!$E$49:$AR$49=TYPE2)*(TYPE2&lt;&gt;"")+('Dvd Calendar'!$E$49:$AR$49=TYPE3)*(TYPE3&lt;&gt;"")+('Dvd Calendar'!$E$49:$AR$49=TYPE4)*(TYPE4&lt;&gt;"")+('Dvd Calendar'!$E$49:$AR$49=SPECIAL_LBL)*(INC_SPECIALS="Y"))))</f>
        <v/>
      </c>
      <c r="J15" s="64">
        <f>IF($C15="","",SUMPRODUCT(('Dvd Calendar'!$E$44:$AR$44&gt;=DATE(YEAR_Y-1,1,1))*('Dvd Calendar'!$E$44:$AR$44&lt;=DATE(YEAR_Y-1,12,31))*'Dvd Calendar'!$E$47:$AR$47*(('Dvd Calendar'!$E$49:$AR$49=TYPE1)*(TYPE1&lt;&gt;"")+('Dvd Calendar'!$E$49:$AR$49=TYPE2)*(TYPE2&lt;&gt;"")+('Dvd Calendar'!$E$49:$AR$49=TYPE3)*(TYPE3&lt;&gt;"")+('Dvd Calendar'!$E$49:$AR$49=TYPE4)*(TYPE4&lt;&gt;"")+('Dvd Calendar'!$E$49:$AR$49=SPECIAL_LBL)*(INC_SPECIALS="Y"))))</f>
        <v/>
      </c>
      <c r="K15" s="65">
        <f>IF($C15="","",HSI!$J$10)</f>
        <v/>
      </c>
      <c r="L15" s="65">
        <f>IF($C15="","",HSI!$K$10)</f>
        <v/>
      </c>
      <c r="M15" s="41">
        <f>IF($C15="","",AVERAGE(F15:J15))</f>
        <v/>
      </c>
      <c r="N15" s="66">
        <f>IF($C15="","",IF(PULL_FUND="N","",IFERROR(BDP($C15,EPS_FIELD,YR_OVERRIDE,TEXT(YEAR_Y-5,"0")),"")))</f>
        <v/>
      </c>
      <c r="O15" s="67">
        <f>IF($C15="","",IF(PULL_FUND="N","",IFERROR(BDP($C15,EPS_FIELD,YR_OVERRIDE,TEXT(YEAR_Y-4,"0")),"")))</f>
        <v/>
      </c>
      <c r="P15" s="67">
        <f>IF($C15="","",IF(PULL_FUND="N","",IFERROR(BDP($C15,EPS_FIELD,YR_OVERRIDE,TEXT(YEAR_Y-3,"0")),"")))</f>
        <v/>
      </c>
      <c r="Q15" s="67">
        <f>IF($C15="","",IF(PULL_FUND="N","",IFERROR(BDP($C15,EPS_FIELD,YR_OVERRIDE,TEXT(YEAR_Y-2,"0")),"")))</f>
        <v/>
      </c>
      <c r="R15" s="67">
        <f>IF($C15="","",IF(PULL_FUND="N","",IFERROR(BDP($C15,EPS_FIELD,YR_OVERRIDE,TEXT(YEAR_Y-1,"0")),"")))</f>
        <v/>
      </c>
      <c r="S15" s="68">
        <f>IF($C15="","",IF(PULL_FUND="N","",IFERROR(BDP($C15,PAYOUT_FIELD,YR_OVERRIDE,TEXT(YEAR_Y-5,"0"))/100,"")))</f>
        <v/>
      </c>
      <c r="T15" s="68">
        <f>IF($C15="","",IF(PULL_FUND="N","",IFERROR(BDP($C15,PAYOUT_FIELD,YR_OVERRIDE,TEXT(YEAR_Y-4,"0"))/100,"")))</f>
        <v/>
      </c>
      <c r="U15" s="68">
        <f>IF($C15="","",IF(PULL_FUND="N","",IFERROR(BDP($C15,PAYOUT_FIELD,YR_OVERRIDE,TEXT(YEAR_Y-3,"0"))/100,"")))</f>
        <v/>
      </c>
      <c r="V15" s="68">
        <f>IF($C15="","",IF(PULL_FUND="N","",IFERROR(BDP($C15,PAYOUT_FIELD,YR_OVERRIDE,TEXT(YEAR_Y-2,"0"))/100,"")))</f>
        <v/>
      </c>
      <c r="W15" s="68">
        <f>IF($C15="","",IF(PULL_FUND="N","",IFERROR(BDP($C15,PAYOUT_FIELD,YR_OVERRIDE,TEXT(YEAR_Y-1,"0"))/100,"")))</f>
        <v/>
      </c>
      <c r="X15" s="69">
        <f>IF($C15="","",IFERROR(AVERAGE(S15:W15),""))</f>
        <v/>
      </c>
      <c r="Y15" s="66">
        <f>IF($C15="","",IF(PULL_FUND="N","",IFERROR(BDP($C15,BESTEPS_FIELD,FWD_OVERRIDE,TEXT(MOD(YEAR_Y,100),"00")&amp;"Y"),"")))</f>
        <v/>
      </c>
      <c r="Z15" s="70">
        <f>IF($C15="","",IF(PULL_FUND="N","",IFERROR(BDP($C15,BESTDPS_FIELD,FWD_OVERRIDE,TEXT(MOD(YEAR_Y,100),"00")&amp;"Y"),"")))</f>
        <v/>
      </c>
      <c r="AA15" s="71">
        <f>IF($C15="","",IF(ISNUMBER($Y15)*ISNUMBER($Z15)*($Y15&lt;&gt;0)=0,"",$Z15/$Y15))</f>
        <v/>
      </c>
      <c r="AB15" s="41">
        <f>IF($C15="","",HSI!$J$10+HSI!$L$10)</f>
        <v/>
      </c>
      <c r="AC15" s="72">
        <f>IF($C15="","",IF(PULL_FUND="N","",IF(COUNTIFS('Fund History'!$G$26:$G$30,"&gt;="&amp;DATE(YEAR_Y-4,1,1),'Fund History'!$G$26:$G$30,"&lt;="&amp;DATE(YEAR_Y-4,12,31))=0,"",SUMIFS('Fund History'!$H$26:$H$30,'Fund History'!$G$26:$G$30,"&gt;="&amp;DATE(YEAR_Y-4,1,1),'Fund History'!$G$26:$G$30,"&lt;="&amp;DATE(YEAR_Y-4,12,31))/100)))</f>
        <v/>
      </c>
      <c r="AD15" s="73">
        <f>IF($C15="","",IF(PULL_FUND="N","",IF(COUNTIFS('Fund History'!$G$26:$G$30,"&gt;="&amp;DATE(YEAR_Y-3,1,1),'Fund History'!$G$26:$G$30,"&lt;="&amp;DATE(YEAR_Y-3,12,31))=0,"",SUMIFS('Fund History'!$H$26:$H$30,'Fund History'!$G$26:$G$30,"&gt;="&amp;DATE(YEAR_Y-3,1,1),'Fund History'!$G$26:$G$30,"&lt;="&amp;DATE(YEAR_Y-3,12,31))/100)))</f>
        <v/>
      </c>
      <c r="AE15" s="73">
        <f>IF($C15="","",IF(PULL_FUND="N","",IF(COUNTIFS('Fund History'!$G$26:$G$30,"&gt;="&amp;DATE(YEAR_Y-2,1,1),'Fund History'!$G$26:$G$30,"&lt;="&amp;DATE(YEAR_Y-2,12,31))=0,"",SUMIFS('Fund History'!$H$26:$H$30,'Fund History'!$G$26:$G$30,"&gt;="&amp;DATE(YEAR_Y-2,1,1),'Fund History'!$G$26:$G$30,"&lt;="&amp;DATE(YEAR_Y-2,12,31))/100)))</f>
        <v/>
      </c>
      <c r="AF15" s="73">
        <f>IF($C15="","",IF(PULL_FUND="N","",IF(COUNTIFS('Fund History'!$G$26:$G$30,"&gt;="&amp;DATE(YEAR_Y-1,1,1),'Fund History'!$G$26:$G$30,"&lt;="&amp;DATE(YEAR_Y-1,12,31))=0,"",SUMIFS('Fund History'!$H$26:$H$30,'Fund History'!$G$26:$G$30,"&gt;="&amp;DATE(YEAR_Y-1,1,1),'Fund History'!$G$26:$G$30,"&lt;="&amp;DATE(YEAR_Y-1,12,31))/100)))</f>
        <v/>
      </c>
      <c r="AG15" s="74">
        <f>IF($C15="","",IF(N($AF15)+N(HSI!$I$10)=0,"",N($AF15)+N(HSI!$I$10)/100))</f>
        <v/>
      </c>
      <c r="AH15" s="66">
        <f>IF($C15="","",IF(PULL_FUND="N","",IF(COUNTIFS('Fund History'!$D$26:$D$30,"&gt;="&amp;DATE(YEAR_Y-2,1,1),'Fund History'!$D$26:$D$30,"&lt;="&amp;DATE(YEAR_Y-2,12,31))=0,"",SUMIFS('Fund History'!$E$26:$E$30,'Fund History'!$D$26:$D$30,"&gt;="&amp;DATE(YEAR_Y-2,1,1),'Fund History'!$D$26:$D$30,"&lt;="&amp;DATE(YEAR_Y-2,12,31)))))</f>
        <v/>
      </c>
      <c r="AI15" s="67">
        <f>IF($C15="","",IF(PULL_FUND="N","",IF(COUNTIFS('Fund History'!$D$26:$D$30,"&gt;="&amp;DATE(YEAR_Y-1,1,1),'Fund History'!$D$26:$D$30,"&lt;="&amp;DATE(YEAR_Y-1,12,31))=0,"",SUMIFS('Fund History'!$E$26:$E$30,'Fund History'!$D$26:$D$30,"&gt;="&amp;DATE(YEAR_Y-1,1,1),'Fund History'!$D$26:$D$30,"&lt;="&amp;DATE(YEAR_Y-1,12,31)))))</f>
        <v/>
      </c>
      <c r="AJ15" s="67">
        <f>IF($C15="","",IF(PULL_FUND="N","",IFERROR(BDP($C15,NDEBITDA_FIELD),"")))</f>
        <v/>
      </c>
      <c r="AK15" s="75">
        <f>IF($C15="","",IF(PULL_FUND="N","",IFERROR(BDP($C15,EBINT_FIELD),"")))</f>
        <v/>
      </c>
      <c r="AL15" s="73">
        <f>IF($C15="","",IF(PULL_FUND="N","",IFERROR(BDP($C15,FCF_FIELD)/100,"")))</f>
        <v/>
      </c>
      <c r="AM15" s="76">
        <f>IF($C15="","",IF(ISNUMBER(HSI!$I$10),HSI!$I$10/100,""))</f>
        <v/>
      </c>
      <c r="AN15" s="47">
        <f>IF($C15="","",IF(N($AM15)=0,"",IFERROR($AL15/$AM15,"")))</f>
        <v/>
      </c>
      <c r="AO15" s="33">
        <f>IF($C15="","",IF(ISNUMBER($S15)*ISNUMBER($W15)=0,"",IF($W15&gt;$S15+0.05,"rising",IF($W15&lt;$S15-0.05,"falling","stable"))))</f>
        <v/>
      </c>
      <c r="AP15" s="77">
        <f>IF($C15="","",TRIM(IF(ISNUMBER($X15)*(N($X15)&gt;$D$4)&gt;0,"payout high  ","")&amp;IF(ISNUMBER($AN15)*(N($AN15)&lt;$F$4)&gt;0,"FCF below dvd  ","")&amp;IF(ISNUMBER($AJ15)*(N($AJ15)&gt;$H$4)&gt;0,"leverage high","")))</f>
        <v/>
      </c>
      <c r="AQ15" s="78">
        <f>IF($C15="","",IF(HSI!$F$10="HKD","",HSI!$F$10))</f>
        <v/>
      </c>
    </row>
    <row r="16">
      <c r="B16" s="62" t="inlineStr">
        <is>
          <t>HSI</t>
        </is>
      </c>
      <c r="C16" s="6">
        <f>IF(HSI!$C$11="","",HSI!$C$11)</f>
        <v/>
      </c>
      <c r="D16" s="6">
        <f>IF($C16="","",HSI!$D$11)</f>
        <v/>
      </c>
      <c r="E16" s="6">
        <f>IF($C16="","",HSI!$E$11)</f>
        <v/>
      </c>
      <c r="F16" s="63">
        <f>IF($C16="","",SUMPRODUCT(('Dvd Calendar'!$E$55:$AR$55&gt;=DATE(YEAR_Y-5,1,1))*('Dvd Calendar'!$E$55:$AR$55&lt;=DATE(YEAR_Y-5,12,31))*'Dvd Calendar'!$E$58:$AR$58*(('Dvd Calendar'!$E$60:$AR$60=TYPE1)*(TYPE1&lt;&gt;"")+('Dvd Calendar'!$E$60:$AR$60=TYPE2)*(TYPE2&lt;&gt;"")+('Dvd Calendar'!$E$60:$AR$60=TYPE3)*(TYPE3&lt;&gt;"")+('Dvd Calendar'!$E$60:$AR$60=TYPE4)*(TYPE4&lt;&gt;"")+('Dvd Calendar'!$E$60:$AR$60=SPECIAL_LBL)*(INC_SPECIALS="Y"))))</f>
        <v/>
      </c>
      <c r="G16" s="64">
        <f>IF($C16="","",SUMPRODUCT(('Dvd Calendar'!$E$55:$AR$55&gt;=DATE(YEAR_Y-4,1,1))*('Dvd Calendar'!$E$55:$AR$55&lt;=DATE(YEAR_Y-4,12,31))*'Dvd Calendar'!$E$58:$AR$58*(('Dvd Calendar'!$E$60:$AR$60=TYPE1)*(TYPE1&lt;&gt;"")+('Dvd Calendar'!$E$60:$AR$60=TYPE2)*(TYPE2&lt;&gt;"")+('Dvd Calendar'!$E$60:$AR$60=TYPE3)*(TYPE3&lt;&gt;"")+('Dvd Calendar'!$E$60:$AR$60=TYPE4)*(TYPE4&lt;&gt;"")+('Dvd Calendar'!$E$60:$AR$60=SPECIAL_LBL)*(INC_SPECIALS="Y"))))</f>
        <v/>
      </c>
      <c r="H16" s="64">
        <f>IF($C16="","",SUMPRODUCT(('Dvd Calendar'!$E$55:$AR$55&gt;=DATE(YEAR_Y-3,1,1))*('Dvd Calendar'!$E$55:$AR$55&lt;=DATE(YEAR_Y-3,12,31))*'Dvd Calendar'!$E$58:$AR$58*(('Dvd Calendar'!$E$60:$AR$60=TYPE1)*(TYPE1&lt;&gt;"")+('Dvd Calendar'!$E$60:$AR$60=TYPE2)*(TYPE2&lt;&gt;"")+('Dvd Calendar'!$E$60:$AR$60=TYPE3)*(TYPE3&lt;&gt;"")+('Dvd Calendar'!$E$60:$AR$60=TYPE4)*(TYPE4&lt;&gt;"")+('Dvd Calendar'!$E$60:$AR$60=SPECIAL_LBL)*(INC_SPECIALS="Y"))))</f>
        <v/>
      </c>
      <c r="I16" s="64">
        <f>IF($C16="","",SUMPRODUCT(('Dvd Calendar'!$E$55:$AR$55&gt;=DATE(YEAR_Y-2,1,1))*('Dvd Calendar'!$E$55:$AR$55&lt;=DATE(YEAR_Y-2,12,31))*'Dvd Calendar'!$E$58:$AR$58*(('Dvd Calendar'!$E$60:$AR$60=TYPE1)*(TYPE1&lt;&gt;"")+('Dvd Calendar'!$E$60:$AR$60=TYPE2)*(TYPE2&lt;&gt;"")+('Dvd Calendar'!$E$60:$AR$60=TYPE3)*(TYPE3&lt;&gt;"")+('Dvd Calendar'!$E$60:$AR$60=TYPE4)*(TYPE4&lt;&gt;"")+('Dvd Calendar'!$E$60:$AR$60=SPECIAL_LBL)*(INC_SPECIALS="Y"))))</f>
        <v/>
      </c>
      <c r="J16" s="64">
        <f>IF($C16="","",SUMPRODUCT(('Dvd Calendar'!$E$55:$AR$55&gt;=DATE(YEAR_Y-1,1,1))*('Dvd Calendar'!$E$55:$AR$55&lt;=DATE(YEAR_Y-1,12,31))*'Dvd Calendar'!$E$58:$AR$58*(('Dvd Calendar'!$E$60:$AR$60=TYPE1)*(TYPE1&lt;&gt;"")+('Dvd Calendar'!$E$60:$AR$60=TYPE2)*(TYPE2&lt;&gt;"")+('Dvd Calendar'!$E$60:$AR$60=TYPE3)*(TYPE3&lt;&gt;"")+('Dvd Calendar'!$E$60:$AR$60=TYPE4)*(TYPE4&lt;&gt;"")+('Dvd Calendar'!$E$60:$AR$60=SPECIAL_LBL)*(INC_SPECIALS="Y"))))</f>
        <v/>
      </c>
      <c r="K16" s="65">
        <f>IF($C16="","",HSI!$J$11)</f>
        <v/>
      </c>
      <c r="L16" s="65">
        <f>IF($C16="","",HSI!$K$11)</f>
        <v/>
      </c>
      <c r="M16" s="41">
        <f>IF($C16="","",AVERAGE(F16:J16))</f>
        <v/>
      </c>
      <c r="N16" s="66">
        <f>IF($C16="","",IF(PULL_FUND="N","",IFERROR(BDP($C16,EPS_FIELD,YR_OVERRIDE,TEXT(YEAR_Y-5,"0")),"")))</f>
        <v/>
      </c>
      <c r="O16" s="67">
        <f>IF($C16="","",IF(PULL_FUND="N","",IFERROR(BDP($C16,EPS_FIELD,YR_OVERRIDE,TEXT(YEAR_Y-4,"0")),"")))</f>
        <v/>
      </c>
      <c r="P16" s="67">
        <f>IF($C16="","",IF(PULL_FUND="N","",IFERROR(BDP($C16,EPS_FIELD,YR_OVERRIDE,TEXT(YEAR_Y-3,"0")),"")))</f>
        <v/>
      </c>
      <c r="Q16" s="67">
        <f>IF($C16="","",IF(PULL_FUND="N","",IFERROR(BDP($C16,EPS_FIELD,YR_OVERRIDE,TEXT(YEAR_Y-2,"0")),"")))</f>
        <v/>
      </c>
      <c r="R16" s="67">
        <f>IF($C16="","",IF(PULL_FUND="N","",IFERROR(BDP($C16,EPS_FIELD,YR_OVERRIDE,TEXT(YEAR_Y-1,"0")),"")))</f>
        <v/>
      </c>
      <c r="S16" s="68">
        <f>IF($C16="","",IF(PULL_FUND="N","",IFERROR(BDP($C16,PAYOUT_FIELD,YR_OVERRIDE,TEXT(YEAR_Y-5,"0"))/100,"")))</f>
        <v/>
      </c>
      <c r="T16" s="68">
        <f>IF($C16="","",IF(PULL_FUND="N","",IFERROR(BDP($C16,PAYOUT_FIELD,YR_OVERRIDE,TEXT(YEAR_Y-4,"0"))/100,"")))</f>
        <v/>
      </c>
      <c r="U16" s="68">
        <f>IF($C16="","",IF(PULL_FUND="N","",IFERROR(BDP($C16,PAYOUT_FIELD,YR_OVERRIDE,TEXT(YEAR_Y-3,"0"))/100,"")))</f>
        <v/>
      </c>
      <c r="V16" s="68">
        <f>IF($C16="","",IF(PULL_FUND="N","",IFERROR(BDP($C16,PAYOUT_FIELD,YR_OVERRIDE,TEXT(YEAR_Y-2,"0"))/100,"")))</f>
        <v/>
      </c>
      <c r="W16" s="68">
        <f>IF($C16="","",IF(PULL_FUND="N","",IFERROR(BDP($C16,PAYOUT_FIELD,YR_OVERRIDE,TEXT(YEAR_Y-1,"0"))/100,"")))</f>
        <v/>
      </c>
      <c r="X16" s="69">
        <f>IF($C16="","",IFERROR(AVERAGE(S16:W16),""))</f>
        <v/>
      </c>
      <c r="Y16" s="66">
        <f>IF($C16="","",IF(PULL_FUND="N","",IFERROR(BDP($C16,BESTEPS_FIELD,FWD_OVERRIDE,TEXT(MOD(YEAR_Y,100),"00")&amp;"Y"),"")))</f>
        <v/>
      </c>
      <c r="Z16" s="70">
        <f>IF($C16="","",IF(PULL_FUND="N","",IFERROR(BDP($C16,BESTDPS_FIELD,FWD_OVERRIDE,TEXT(MOD(YEAR_Y,100),"00")&amp;"Y"),"")))</f>
        <v/>
      </c>
      <c r="AA16" s="71">
        <f>IF($C16="","",IF(ISNUMBER($Y16)*ISNUMBER($Z16)*($Y16&lt;&gt;0)=0,"",$Z16/$Y16))</f>
        <v/>
      </c>
      <c r="AB16" s="41">
        <f>IF($C16="","",HSI!$J$11+HSI!$L$11)</f>
        <v/>
      </c>
      <c r="AC16" s="72">
        <f>IF($C16="","",IF(PULL_FUND="N","",IF(COUNTIFS('Fund History'!$G$32:$G$36,"&gt;="&amp;DATE(YEAR_Y-4,1,1),'Fund History'!$G$32:$G$36,"&lt;="&amp;DATE(YEAR_Y-4,12,31))=0,"",SUMIFS('Fund History'!$H$32:$H$36,'Fund History'!$G$32:$G$36,"&gt;="&amp;DATE(YEAR_Y-4,1,1),'Fund History'!$G$32:$G$36,"&lt;="&amp;DATE(YEAR_Y-4,12,31))/100)))</f>
        <v/>
      </c>
      <c r="AD16" s="73">
        <f>IF($C16="","",IF(PULL_FUND="N","",IF(COUNTIFS('Fund History'!$G$32:$G$36,"&gt;="&amp;DATE(YEAR_Y-3,1,1),'Fund History'!$G$32:$G$36,"&lt;="&amp;DATE(YEAR_Y-3,12,31))=0,"",SUMIFS('Fund History'!$H$32:$H$36,'Fund History'!$G$32:$G$36,"&gt;="&amp;DATE(YEAR_Y-3,1,1),'Fund History'!$G$32:$G$36,"&lt;="&amp;DATE(YEAR_Y-3,12,31))/100)))</f>
        <v/>
      </c>
      <c r="AE16" s="73">
        <f>IF($C16="","",IF(PULL_FUND="N","",IF(COUNTIFS('Fund History'!$G$32:$G$36,"&gt;="&amp;DATE(YEAR_Y-2,1,1),'Fund History'!$G$32:$G$36,"&lt;="&amp;DATE(YEAR_Y-2,12,31))=0,"",SUMIFS('Fund History'!$H$32:$H$36,'Fund History'!$G$32:$G$36,"&gt;="&amp;DATE(YEAR_Y-2,1,1),'Fund History'!$G$32:$G$36,"&lt;="&amp;DATE(YEAR_Y-2,12,31))/100)))</f>
        <v/>
      </c>
      <c r="AF16" s="73">
        <f>IF($C16="","",IF(PULL_FUND="N","",IF(COUNTIFS('Fund History'!$G$32:$G$36,"&gt;="&amp;DATE(YEAR_Y-1,1,1),'Fund History'!$G$32:$G$36,"&lt;="&amp;DATE(YEAR_Y-1,12,31))=0,"",SUMIFS('Fund History'!$H$32:$H$36,'Fund History'!$G$32:$G$36,"&gt;="&amp;DATE(YEAR_Y-1,1,1),'Fund History'!$G$32:$G$36,"&lt;="&amp;DATE(YEAR_Y-1,12,31))/100)))</f>
        <v/>
      </c>
      <c r="AG16" s="74">
        <f>IF($C16="","",IF(N($AF16)+N(HSI!$I$11)=0,"",N($AF16)+N(HSI!$I$11)/100))</f>
        <v/>
      </c>
      <c r="AH16" s="66">
        <f>IF($C16="","",IF(PULL_FUND="N","",IF(COUNTIFS('Fund History'!$D$32:$D$36,"&gt;="&amp;DATE(YEAR_Y-2,1,1),'Fund History'!$D$32:$D$36,"&lt;="&amp;DATE(YEAR_Y-2,12,31))=0,"",SUMIFS('Fund History'!$E$32:$E$36,'Fund History'!$D$32:$D$36,"&gt;="&amp;DATE(YEAR_Y-2,1,1),'Fund History'!$D$32:$D$36,"&lt;="&amp;DATE(YEAR_Y-2,12,31)))))</f>
        <v/>
      </c>
      <c r="AI16" s="67">
        <f>IF($C16="","",IF(PULL_FUND="N","",IF(COUNTIFS('Fund History'!$D$32:$D$36,"&gt;="&amp;DATE(YEAR_Y-1,1,1),'Fund History'!$D$32:$D$36,"&lt;="&amp;DATE(YEAR_Y-1,12,31))=0,"",SUMIFS('Fund History'!$E$32:$E$36,'Fund History'!$D$32:$D$36,"&gt;="&amp;DATE(YEAR_Y-1,1,1),'Fund History'!$D$32:$D$36,"&lt;="&amp;DATE(YEAR_Y-1,12,31)))))</f>
        <v/>
      </c>
      <c r="AJ16" s="67">
        <f>IF($C16="","",IF(PULL_FUND="N","",IFERROR(BDP($C16,NDEBITDA_FIELD),"")))</f>
        <v/>
      </c>
      <c r="AK16" s="75">
        <f>IF($C16="","",IF(PULL_FUND="N","",IFERROR(BDP($C16,EBINT_FIELD),"")))</f>
        <v/>
      </c>
      <c r="AL16" s="73">
        <f>IF($C16="","",IF(PULL_FUND="N","",IFERROR(BDP($C16,FCF_FIELD)/100,"")))</f>
        <v/>
      </c>
      <c r="AM16" s="76">
        <f>IF($C16="","",IF(ISNUMBER(HSI!$I$11),HSI!$I$11/100,""))</f>
        <v/>
      </c>
      <c r="AN16" s="47">
        <f>IF($C16="","",IF(N($AM16)=0,"",IFERROR($AL16/$AM16,"")))</f>
        <v/>
      </c>
      <c r="AO16" s="33">
        <f>IF($C16="","",IF(ISNUMBER($S16)*ISNUMBER($W16)=0,"",IF($W16&gt;$S16+0.05,"rising",IF($W16&lt;$S16-0.05,"falling","stable"))))</f>
        <v/>
      </c>
      <c r="AP16" s="77">
        <f>IF($C16="","",TRIM(IF(ISNUMBER($X16)*(N($X16)&gt;$D$4)&gt;0,"payout high  ","")&amp;IF(ISNUMBER($AN16)*(N($AN16)&lt;$F$4)&gt;0,"FCF below dvd  ","")&amp;IF(ISNUMBER($AJ16)*(N($AJ16)&gt;$H$4)&gt;0,"leverage high","")))</f>
        <v/>
      </c>
      <c r="AQ16" s="78">
        <f>IF($C16="","",IF(HSI!$F$11="HKD","",HSI!$F$11))</f>
        <v/>
      </c>
    </row>
    <row r="17">
      <c r="B17" s="62" t="inlineStr">
        <is>
          <t>HSI</t>
        </is>
      </c>
      <c r="C17" s="6">
        <f>IF(HSI!$C$12="","",HSI!$C$12)</f>
        <v/>
      </c>
      <c r="D17" s="6">
        <f>IF($C17="","",HSI!$D$12)</f>
        <v/>
      </c>
      <c r="E17" s="6">
        <f>IF($C17="","",HSI!$E$12)</f>
        <v/>
      </c>
      <c r="F17" s="63">
        <f>IF($C17="","",SUMPRODUCT(('Dvd Calendar'!$E$66:$AR$66&gt;=DATE(YEAR_Y-5,1,1))*('Dvd Calendar'!$E$66:$AR$66&lt;=DATE(YEAR_Y-5,12,31))*'Dvd Calendar'!$E$69:$AR$69*(('Dvd Calendar'!$E$71:$AR$71=TYPE1)*(TYPE1&lt;&gt;"")+('Dvd Calendar'!$E$71:$AR$71=TYPE2)*(TYPE2&lt;&gt;"")+('Dvd Calendar'!$E$71:$AR$71=TYPE3)*(TYPE3&lt;&gt;"")+('Dvd Calendar'!$E$71:$AR$71=TYPE4)*(TYPE4&lt;&gt;"")+('Dvd Calendar'!$E$71:$AR$71=SPECIAL_LBL)*(INC_SPECIALS="Y"))))</f>
        <v/>
      </c>
      <c r="G17" s="64">
        <f>IF($C17="","",SUMPRODUCT(('Dvd Calendar'!$E$66:$AR$66&gt;=DATE(YEAR_Y-4,1,1))*('Dvd Calendar'!$E$66:$AR$66&lt;=DATE(YEAR_Y-4,12,31))*'Dvd Calendar'!$E$69:$AR$69*(('Dvd Calendar'!$E$71:$AR$71=TYPE1)*(TYPE1&lt;&gt;"")+('Dvd Calendar'!$E$71:$AR$71=TYPE2)*(TYPE2&lt;&gt;"")+('Dvd Calendar'!$E$71:$AR$71=TYPE3)*(TYPE3&lt;&gt;"")+('Dvd Calendar'!$E$71:$AR$71=TYPE4)*(TYPE4&lt;&gt;"")+('Dvd Calendar'!$E$71:$AR$71=SPECIAL_LBL)*(INC_SPECIALS="Y"))))</f>
        <v/>
      </c>
      <c r="H17" s="64">
        <f>IF($C17="","",SUMPRODUCT(('Dvd Calendar'!$E$66:$AR$66&gt;=DATE(YEAR_Y-3,1,1))*('Dvd Calendar'!$E$66:$AR$66&lt;=DATE(YEAR_Y-3,12,31))*'Dvd Calendar'!$E$69:$AR$69*(('Dvd Calendar'!$E$71:$AR$71=TYPE1)*(TYPE1&lt;&gt;"")+('Dvd Calendar'!$E$71:$AR$71=TYPE2)*(TYPE2&lt;&gt;"")+('Dvd Calendar'!$E$71:$AR$71=TYPE3)*(TYPE3&lt;&gt;"")+('Dvd Calendar'!$E$71:$AR$71=TYPE4)*(TYPE4&lt;&gt;"")+('Dvd Calendar'!$E$71:$AR$71=SPECIAL_LBL)*(INC_SPECIALS="Y"))))</f>
        <v/>
      </c>
      <c r="I17" s="64">
        <f>IF($C17="","",SUMPRODUCT(('Dvd Calendar'!$E$66:$AR$66&gt;=DATE(YEAR_Y-2,1,1))*('Dvd Calendar'!$E$66:$AR$66&lt;=DATE(YEAR_Y-2,12,31))*'Dvd Calendar'!$E$69:$AR$69*(('Dvd Calendar'!$E$71:$AR$71=TYPE1)*(TYPE1&lt;&gt;"")+('Dvd Calendar'!$E$71:$AR$71=TYPE2)*(TYPE2&lt;&gt;"")+('Dvd Calendar'!$E$71:$AR$71=TYPE3)*(TYPE3&lt;&gt;"")+('Dvd Calendar'!$E$71:$AR$71=TYPE4)*(TYPE4&lt;&gt;"")+('Dvd Calendar'!$E$71:$AR$71=SPECIAL_LBL)*(INC_SPECIALS="Y"))))</f>
        <v/>
      </c>
      <c r="J17" s="64">
        <f>IF($C17="","",SUMPRODUCT(('Dvd Calendar'!$E$66:$AR$66&gt;=DATE(YEAR_Y-1,1,1))*('Dvd Calendar'!$E$66:$AR$66&lt;=DATE(YEAR_Y-1,12,31))*'Dvd Calendar'!$E$69:$AR$69*(('Dvd Calendar'!$E$71:$AR$71=TYPE1)*(TYPE1&lt;&gt;"")+('Dvd Calendar'!$E$71:$AR$71=TYPE2)*(TYPE2&lt;&gt;"")+('Dvd Calendar'!$E$71:$AR$71=TYPE3)*(TYPE3&lt;&gt;"")+('Dvd Calendar'!$E$71:$AR$71=TYPE4)*(TYPE4&lt;&gt;"")+('Dvd Calendar'!$E$71:$AR$71=SPECIAL_LBL)*(INC_SPECIALS="Y"))))</f>
        <v/>
      </c>
      <c r="K17" s="65">
        <f>IF($C17="","",HSI!$J$12)</f>
        <v/>
      </c>
      <c r="L17" s="65">
        <f>IF($C17="","",HSI!$K$12)</f>
        <v/>
      </c>
      <c r="M17" s="41">
        <f>IF($C17="","",AVERAGE(F17:J17))</f>
        <v/>
      </c>
      <c r="N17" s="66">
        <f>IF($C17="","",IF(PULL_FUND="N","",IFERROR(BDP($C17,EPS_FIELD,YR_OVERRIDE,TEXT(YEAR_Y-5,"0")),"")))</f>
        <v/>
      </c>
      <c r="O17" s="67">
        <f>IF($C17="","",IF(PULL_FUND="N","",IFERROR(BDP($C17,EPS_FIELD,YR_OVERRIDE,TEXT(YEAR_Y-4,"0")),"")))</f>
        <v/>
      </c>
      <c r="P17" s="67">
        <f>IF($C17="","",IF(PULL_FUND="N","",IFERROR(BDP($C17,EPS_FIELD,YR_OVERRIDE,TEXT(YEAR_Y-3,"0")),"")))</f>
        <v/>
      </c>
      <c r="Q17" s="67">
        <f>IF($C17="","",IF(PULL_FUND="N","",IFERROR(BDP($C17,EPS_FIELD,YR_OVERRIDE,TEXT(YEAR_Y-2,"0")),"")))</f>
        <v/>
      </c>
      <c r="R17" s="67">
        <f>IF($C17="","",IF(PULL_FUND="N","",IFERROR(BDP($C17,EPS_FIELD,YR_OVERRIDE,TEXT(YEAR_Y-1,"0")),"")))</f>
        <v/>
      </c>
      <c r="S17" s="68">
        <f>IF($C17="","",IF(PULL_FUND="N","",IFERROR(BDP($C17,PAYOUT_FIELD,YR_OVERRIDE,TEXT(YEAR_Y-5,"0"))/100,"")))</f>
        <v/>
      </c>
      <c r="T17" s="68">
        <f>IF($C17="","",IF(PULL_FUND="N","",IFERROR(BDP($C17,PAYOUT_FIELD,YR_OVERRIDE,TEXT(YEAR_Y-4,"0"))/100,"")))</f>
        <v/>
      </c>
      <c r="U17" s="68">
        <f>IF($C17="","",IF(PULL_FUND="N","",IFERROR(BDP($C17,PAYOUT_FIELD,YR_OVERRIDE,TEXT(YEAR_Y-3,"0"))/100,"")))</f>
        <v/>
      </c>
      <c r="V17" s="68">
        <f>IF($C17="","",IF(PULL_FUND="N","",IFERROR(BDP($C17,PAYOUT_FIELD,YR_OVERRIDE,TEXT(YEAR_Y-2,"0"))/100,"")))</f>
        <v/>
      </c>
      <c r="W17" s="68">
        <f>IF($C17="","",IF(PULL_FUND="N","",IFERROR(BDP($C17,PAYOUT_FIELD,YR_OVERRIDE,TEXT(YEAR_Y-1,"0"))/100,"")))</f>
        <v/>
      </c>
      <c r="X17" s="69">
        <f>IF($C17="","",IFERROR(AVERAGE(S17:W17),""))</f>
        <v/>
      </c>
      <c r="Y17" s="66">
        <f>IF($C17="","",IF(PULL_FUND="N","",IFERROR(BDP($C17,BESTEPS_FIELD,FWD_OVERRIDE,TEXT(MOD(YEAR_Y,100),"00")&amp;"Y"),"")))</f>
        <v/>
      </c>
      <c r="Z17" s="70">
        <f>IF($C17="","",IF(PULL_FUND="N","",IFERROR(BDP($C17,BESTDPS_FIELD,FWD_OVERRIDE,TEXT(MOD(YEAR_Y,100),"00")&amp;"Y"),"")))</f>
        <v/>
      </c>
      <c r="AA17" s="71">
        <f>IF($C17="","",IF(ISNUMBER($Y17)*ISNUMBER($Z17)*($Y17&lt;&gt;0)=0,"",$Z17/$Y17))</f>
        <v/>
      </c>
      <c r="AB17" s="41">
        <f>IF($C17="","",HSI!$J$12+HSI!$L$12)</f>
        <v/>
      </c>
      <c r="AC17" s="72">
        <f>IF($C17="","",IF(PULL_FUND="N","",IF(COUNTIFS('Fund History'!$G$38:$G$42,"&gt;="&amp;DATE(YEAR_Y-4,1,1),'Fund History'!$G$38:$G$42,"&lt;="&amp;DATE(YEAR_Y-4,12,31))=0,"",SUMIFS('Fund History'!$H$38:$H$42,'Fund History'!$G$38:$G$42,"&gt;="&amp;DATE(YEAR_Y-4,1,1),'Fund History'!$G$38:$G$42,"&lt;="&amp;DATE(YEAR_Y-4,12,31))/100)))</f>
        <v/>
      </c>
      <c r="AD17" s="73">
        <f>IF($C17="","",IF(PULL_FUND="N","",IF(COUNTIFS('Fund History'!$G$38:$G$42,"&gt;="&amp;DATE(YEAR_Y-3,1,1),'Fund History'!$G$38:$G$42,"&lt;="&amp;DATE(YEAR_Y-3,12,31))=0,"",SUMIFS('Fund History'!$H$38:$H$42,'Fund History'!$G$38:$G$42,"&gt;="&amp;DATE(YEAR_Y-3,1,1),'Fund History'!$G$38:$G$42,"&lt;="&amp;DATE(YEAR_Y-3,12,31))/100)))</f>
        <v/>
      </c>
      <c r="AE17" s="73">
        <f>IF($C17="","",IF(PULL_FUND="N","",IF(COUNTIFS('Fund History'!$G$38:$G$42,"&gt;="&amp;DATE(YEAR_Y-2,1,1),'Fund History'!$G$38:$G$42,"&lt;="&amp;DATE(YEAR_Y-2,12,31))=0,"",SUMIFS('Fund History'!$H$38:$H$42,'Fund History'!$G$38:$G$42,"&gt;="&amp;DATE(YEAR_Y-2,1,1),'Fund History'!$G$38:$G$42,"&lt;="&amp;DATE(YEAR_Y-2,12,31))/100)))</f>
        <v/>
      </c>
      <c r="AF17" s="73">
        <f>IF($C17="","",IF(PULL_FUND="N","",IF(COUNTIFS('Fund History'!$G$38:$G$42,"&gt;="&amp;DATE(YEAR_Y-1,1,1),'Fund History'!$G$38:$G$42,"&lt;="&amp;DATE(YEAR_Y-1,12,31))=0,"",SUMIFS('Fund History'!$H$38:$H$42,'Fund History'!$G$38:$G$42,"&gt;="&amp;DATE(YEAR_Y-1,1,1),'Fund History'!$G$38:$G$42,"&lt;="&amp;DATE(YEAR_Y-1,12,31))/100)))</f>
        <v/>
      </c>
      <c r="AG17" s="74">
        <f>IF($C17="","",IF(N($AF17)+N(HSI!$I$12)=0,"",N($AF17)+N(HSI!$I$12)/100))</f>
        <v/>
      </c>
      <c r="AH17" s="66">
        <f>IF($C17="","",IF(PULL_FUND="N","",IF(COUNTIFS('Fund History'!$D$38:$D$42,"&gt;="&amp;DATE(YEAR_Y-2,1,1),'Fund History'!$D$38:$D$42,"&lt;="&amp;DATE(YEAR_Y-2,12,31))=0,"",SUMIFS('Fund History'!$E$38:$E$42,'Fund History'!$D$38:$D$42,"&gt;="&amp;DATE(YEAR_Y-2,1,1),'Fund History'!$D$38:$D$42,"&lt;="&amp;DATE(YEAR_Y-2,12,31)))))</f>
        <v/>
      </c>
      <c r="AI17" s="67">
        <f>IF($C17="","",IF(PULL_FUND="N","",IF(COUNTIFS('Fund History'!$D$38:$D$42,"&gt;="&amp;DATE(YEAR_Y-1,1,1),'Fund History'!$D$38:$D$42,"&lt;="&amp;DATE(YEAR_Y-1,12,31))=0,"",SUMIFS('Fund History'!$E$38:$E$42,'Fund History'!$D$38:$D$42,"&gt;="&amp;DATE(YEAR_Y-1,1,1),'Fund History'!$D$38:$D$42,"&lt;="&amp;DATE(YEAR_Y-1,12,31)))))</f>
        <v/>
      </c>
      <c r="AJ17" s="67">
        <f>IF($C17="","",IF(PULL_FUND="N","",IFERROR(BDP($C17,NDEBITDA_FIELD),"")))</f>
        <v/>
      </c>
      <c r="AK17" s="75">
        <f>IF($C17="","",IF(PULL_FUND="N","",IFERROR(BDP($C17,EBINT_FIELD),"")))</f>
        <v/>
      </c>
      <c r="AL17" s="73">
        <f>IF($C17="","",IF(PULL_FUND="N","",IFERROR(BDP($C17,FCF_FIELD)/100,"")))</f>
        <v/>
      </c>
      <c r="AM17" s="76">
        <f>IF($C17="","",IF(ISNUMBER(HSI!$I$12),HSI!$I$12/100,""))</f>
        <v/>
      </c>
      <c r="AN17" s="47">
        <f>IF($C17="","",IF(N($AM17)=0,"",IFERROR($AL17/$AM17,"")))</f>
        <v/>
      </c>
      <c r="AO17" s="33">
        <f>IF($C17="","",IF(ISNUMBER($S17)*ISNUMBER($W17)=0,"",IF($W17&gt;$S17+0.05,"rising",IF($W17&lt;$S17-0.05,"falling","stable"))))</f>
        <v/>
      </c>
      <c r="AP17" s="77">
        <f>IF($C17="","",TRIM(IF(ISNUMBER($X17)*(N($X17)&gt;$D$4)&gt;0,"payout high  ","")&amp;IF(ISNUMBER($AN17)*(N($AN17)&lt;$F$4)&gt;0,"FCF below dvd  ","")&amp;IF(ISNUMBER($AJ17)*(N($AJ17)&gt;$H$4)&gt;0,"leverage high","")))</f>
        <v/>
      </c>
      <c r="AQ17" s="78">
        <f>IF($C17="","",IF(HSI!$F$12="HKD","",HSI!$F$12))</f>
        <v/>
      </c>
    </row>
    <row r="18">
      <c r="B18" s="62" t="inlineStr">
        <is>
          <t>HSI</t>
        </is>
      </c>
      <c r="C18" s="6">
        <f>IF(HSI!$C$13="","",HSI!$C$13)</f>
        <v/>
      </c>
      <c r="D18" s="6">
        <f>IF($C18="","",HSI!$D$13)</f>
        <v/>
      </c>
      <c r="E18" s="6">
        <f>IF($C18="","",HSI!$E$13)</f>
        <v/>
      </c>
      <c r="F18" s="63">
        <f>IF($C18="","",SUMPRODUCT(('Dvd Calendar'!$E$77:$AR$77&gt;=DATE(YEAR_Y-5,1,1))*('Dvd Calendar'!$E$77:$AR$77&lt;=DATE(YEAR_Y-5,12,31))*'Dvd Calendar'!$E$80:$AR$80*(('Dvd Calendar'!$E$82:$AR$82=TYPE1)*(TYPE1&lt;&gt;"")+('Dvd Calendar'!$E$82:$AR$82=TYPE2)*(TYPE2&lt;&gt;"")+('Dvd Calendar'!$E$82:$AR$82=TYPE3)*(TYPE3&lt;&gt;"")+('Dvd Calendar'!$E$82:$AR$82=TYPE4)*(TYPE4&lt;&gt;"")+('Dvd Calendar'!$E$82:$AR$82=SPECIAL_LBL)*(INC_SPECIALS="Y"))))</f>
        <v/>
      </c>
      <c r="G18" s="64">
        <f>IF($C18="","",SUMPRODUCT(('Dvd Calendar'!$E$77:$AR$77&gt;=DATE(YEAR_Y-4,1,1))*('Dvd Calendar'!$E$77:$AR$77&lt;=DATE(YEAR_Y-4,12,31))*'Dvd Calendar'!$E$80:$AR$80*(('Dvd Calendar'!$E$82:$AR$82=TYPE1)*(TYPE1&lt;&gt;"")+('Dvd Calendar'!$E$82:$AR$82=TYPE2)*(TYPE2&lt;&gt;"")+('Dvd Calendar'!$E$82:$AR$82=TYPE3)*(TYPE3&lt;&gt;"")+('Dvd Calendar'!$E$82:$AR$82=TYPE4)*(TYPE4&lt;&gt;"")+('Dvd Calendar'!$E$82:$AR$82=SPECIAL_LBL)*(INC_SPECIALS="Y"))))</f>
        <v/>
      </c>
      <c r="H18" s="64">
        <f>IF($C18="","",SUMPRODUCT(('Dvd Calendar'!$E$77:$AR$77&gt;=DATE(YEAR_Y-3,1,1))*('Dvd Calendar'!$E$77:$AR$77&lt;=DATE(YEAR_Y-3,12,31))*'Dvd Calendar'!$E$80:$AR$80*(('Dvd Calendar'!$E$82:$AR$82=TYPE1)*(TYPE1&lt;&gt;"")+('Dvd Calendar'!$E$82:$AR$82=TYPE2)*(TYPE2&lt;&gt;"")+('Dvd Calendar'!$E$82:$AR$82=TYPE3)*(TYPE3&lt;&gt;"")+('Dvd Calendar'!$E$82:$AR$82=TYPE4)*(TYPE4&lt;&gt;"")+('Dvd Calendar'!$E$82:$AR$82=SPECIAL_LBL)*(INC_SPECIALS="Y"))))</f>
        <v/>
      </c>
      <c r="I18" s="64">
        <f>IF($C18="","",SUMPRODUCT(('Dvd Calendar'!$E$77:$AR$77&gt;=DATE(YEAR_Y-2,1,1))*('Dvd Calendar'!$E$77:$AR$77&lt;=DATE(YEAR_Y-2,12,31))*'Dvd Calendar'!$E$80:$AR$80*(('Dvd Calendar'!$E$82:$AR$82=TYPE1)*(TYPE1&lt;&gt;"")+('Dvd Calendar'!$E$82:$AR$82=TYPE2)*(TYPE2&lt;&gt;"")+('Dvd Calendar'!$E$82:$AR$82=TYPE3)*(TYPE3&lt;&gt;"")+('Dvd Calendar'!$E$82:$AR$82=TYPE4)*(TYPE4&lt;&gt;"")+('Dvd Calendar'!$E$82:$AR$82=SPECIAL_LBL)*(INC_SPECIALS="Y"))))</f>
        <v/>
      </c>
      <c r="J18" s="64">
        <f>IF($C18="","",SUMPRODUCT(('Dvd Calendar'!$E$77:$AR$77&gt;=DATE(YEAR_Y-1,1,1))*('Dvd Calendar'!$E$77:$AR$77&lt;=DATE(YEAR_Y-1,12,31))*'Dvd Calendar'!$E$80:$AR$80*(('Dvd Calendar'!$E$82:$AR$82=TYPE1)*(TYPE1&lt;&gt;"")+('Dvd Calendar'!$E$82:$AR$82=TYPE2)*(TYPE2&lt;&gt;"")+('Dvd Calendar'!$E$82:$AR$82=TYPE3)*(TYPE3&lt;&gt;"")+('Dvd Calendar'!$E$82:$AR$82=TYPE4)*(TYPE4&lt;&gt;"")+('Dvd Calendar'!$E$82:$AR$82=SPECIAL_LBL)*(INC_SPECIALS="Y"))))</f>
        <v/>
      </c>
      <c r="K18" s="65">
        <f>IF($C18="","",HSI!$J$13)</f>
        <v/>
      </c>
      <c r="L18" s="65">
        <f>IF($C18="","",HSI!$K$13)</f>
        <v/>
      </c>
      <c r="M18" s="41">
        <f>IF($C18="","",AVERAGE(F18:J18))</f>
        <v/>
      </c>
      <c r="N18" s="66">
        <f>IF($C18="","",IF(PULL_FUND="N","",IFERROR(BDP($C18,EPS_FIELD,YR_OVERRIDE,TEXT(YEAR_Y-5,"0")),"")))</f>
        <v/>
      </c>
      <c r="O18" s="67">
        <f>IF($C18="","",IF(PULL_FUND="N","",IFERROR(BDP($C18,EPS_FIELD,YR_OVERRIDE,TEXT(YEAR_Y-4,"0")),"")))</f>
        <v/>
      </c>
      <c r="P18" s="67">
        <f>IF($C18="","",IF(PULL_FUND="N","",IFERROR(BDP($C18,EPS_FIELD,YR_OVERRIDE,TEXT(YEAR_Y-3,"0")),"")))</f>
        <v/>
      </c>
      <c r="Q18" s="67">
        <f>IF($C18="","",IF(PULL_FUND="N","",IFERROR(BDP($C18,EPS_FIELD,YR_OVERRIDE,TEXT(YEAR_Y-2,"0")),"")))</f>
        <v/>
      </c>
      <c r="R18" s="67">
        <f>IF($C18="","",IF(PULL_FUND="N","",IFERROR(BDP($C18,EPS_FIELD,YR_OVERRIDE,TEXT(YEAR_Y-1,"0")),"")))</f>
        <v/>
      </c>
      <c r="S18" s="68">
        <f>IF($C18="","",IF(PULL_FUND="N","",IFERROR(BDP($C18,PAYOUT_FIELD,YR_OVERRIDE,TEXT(YEAR_Y-5,"0"))/100,"")))</f>
        <v/>
      </c>
      <c r="T18" s="68">
        <f>IF($C18="","",IF(PULL_FUND="N","",IFERROR(BDP($C18,PAYOUT_FIELD,YR_OVERRIDE,TEXT(YEAR_Y-4,"0"))/100,"")))</f>
        <v/>
      </c>
      <c r="U18" s="68">
        <f>IF($C18="","",IF(PULL_FUND="N","",IFERROR(BDP($C18,PAYOUT_FIELD,YR_OVERRIDE,TEXT(YEAR_Y-3,"0"))/100,"")))</f>
        <v/>
      </c>
      <c r="V18" s="68">
        <f>IF($C18="","",IF(PULL_FUND="N","",IFERROR(BDP($C18,PAYOUT_FIELD,YR_OVERRIDE,TEXT(YEAR_Y-2,"0"))/100,"")))</f>
        <v/>
      </c>
      <c r="W18" s="68">
        <f>IF($C18="","",IF(PULL_FUND="N","",IFERROR(BDP($C18,PAYOUT_FIELD,YR_OVERRIDE,TEXT(YEAR_Y-1,"0"))/100,"")))</f>
        <v/>
      </c>
      <c r="X18" s="69">
        <f>IF($C18="","",IFERROR(AVERAGE(S18:W18),""))</f>
        <v/>
      </c>
      <c r="Y18" s="66">
        <f>IF($C18="","",IF(PULL_FUND="N","",IFERROR(BDP($C18,BESTEPS_FIELD,FWD_OVERRIDE,TEXT(MOD(YEAR_Y,100),"00")&amp;"Y"),"")))</f>
        <v/>
      </c>
      <c r="Z18" s="70">
        <f>IF($C18="","",IF(PULL_FUND="N","",IFERROR(BDP($C18,BESTDPS_FIELD,FWD_OVERRIDE,TEXT(MOD(YEAR_Y,100),"00")&amp;"Y"),"")))</f>
        <v/>
      </c>
      <c r="AA18" s="71">
        <f>IF($C18="","",IF(ISNUMBER($Y18)*ISNUMBER($Z18)*($Y18&lt;&gt;0)=0,"",$Z18/$Y18))</f>
        <v/>
      </c>
      <c r="AB18" s="41">
        <f>IF($C18="","",HSI!$J$13+HSI!$L$13)</f>
        <v/>
      </c>
      <c r="AC18" s="72">
        <f>IF($C18="","",IF(PULL_FUND="N","",IF(COUNTIFS('Fund History'!$G$44:$G$48,"&gt;="&amp;DATE(YEAR_Y-4,1,1),'Fund History'!$G$44:$G$48,"&lt;="&amp;DATE(YEAR_Y-4,12,31))=0,"",SUMIFS('Fund History'!$H$44:$H$48,'Fund History'!$G$44:$G$48,"&gt;="&amp;DATE(YEAR_Y-4,1,1),'Fund History'!$G$44:$G$48,"&lt;="&amp;DATE(YEAR_Y-4,12,31))/100)))</f>
        <v/>
      </c>
      <c r="AD18" s="73">
        <f>IF($C18="","",IF(PULL_FUND="N","",IF(COUNTIFS('Fund History'!$G$44:$G$48,"&gt;="&amp;DATE(YEAR_Y-3,1,1),'Fund History'!$G$44:$G$48,"&lt;="&amp;DATE(YEAR_Y-3,12,31))=0,"",SUMIFS('Fund History'!$H$44:$H$48,'Fund History'!$G$44:$G$48,"&gt;="&amp;DATE(YEAR_Y-3,1,1),'Fund History'!$G$44:$G$48,"&lt;="&amp;DATE(YEAR_Y-3,12,31))/100)))</f>
        <v/>
      </c>
      <c r="AE18" s="73">
        <f>IF($C18="","",IF(PULL_FUND="N","",IF(COUNTIFS('Fund History'!$G$44:$G$48,"&gt;="&amp;DATE(YEAR_Y-2,1,1),'Fund History'!$G$44:$G$48,"&lt;="&amp;DATE(YEAR_Y-2,12,31))=0,"",SUMIFS('Fund History'!$H$44:$H$48,'Fund History'!$G$44:$G$48,"&gt;="&amp;DATE(YEAR_Y-2,1,1),'Fund History'!$G$44:$G$48,"&lt;="&amp;DATE(YEAR_Y-2,12,31))/100)))</f>
        <v/>
      </c>
      <c r="AF18" s="73">
        <f>IF($C18="","",IF(PULL_FUND="N","",IF(COUNTIFS('Fund History'!$G$44:$G$48,"&gt;="&amp;DATE(YEAR_Y-1,1,1),'Fund History'!$G$44:$G$48,"&lt;="&amp;DATE(YEAR_Y-1,12,31))=0,"",SUMIFS('Fund History'!$H$44:$H$48,'Fund History'!$G$44:$G$48,"&gt;="&amp;DATE(YEAR_Y-1,1,1),'Fund History'!$G$44:$G$48,"&lt;="&amp;DATE(YEAR_Y-1,12,31))/100)))</f>
        <v/>
      </c>
      <c r="AG18" s="74">
        <f>IF($C18="","",IF(N($AF18)+N(HSI!$I$13)=0,"",N($AF18)+N(HSI!$I$13)/100))</f>
        <v/>
      </c>
      <c r="AH18" s="66">
        <f>IF($C18="","",IF(PULL_FUND="N","",IF(COUNTIFS('Fund History'!$D$44:$D$48,"&gt;="&amp;DATE(YEAR_Y-2,1,1),'Fund History'!$D$44:$D$48,"&lt;="&amp;DATE(YEAR_Y-2,12,31))=0,"",SUMIFS('Fund History'!$E$44:$E$48,'Fund History'!$D$44:$D$48,"&gt;="&amp;DATE(YEAR_Y-2,1,1),'Fund History'!$D$44:$D$48,"&lt;="&amp;DATE(YEAR_Y-2,12,31)))))</f>
        <v/>
      </c>
      <c r="AI18" s="67">
        <f>IF($C18="","",IF(PULL_FUND="N","",IF(COUNTIFS('Fund History'!$D$44:$D$48,"&gt;="&amp;DATE(YEAR_Y-1,1,1),'Fund History'!$D$44:$D$48,"&lt;="&amp;DATE(YEAR_Y-1,12,31))=0,"",SUMIFS('Fund History'!$E$44:$E$48,'Fund History'!$D$44:$D$48,"&gt;="&amp;DATE(YEAR_Y-1,1,1),'Fund History'!$D$44:$D$48,"&lt;="&amp;DATE(YEAR_Y-1,12,31)))))</f>
        <v/>
      </c>
      <c r="AJ18" s="67">
        <f>IF($C18="","",IF(PULL_FUND="N","",IFERROR(BDP($C18,NDEBITDA_FIELD),"")))</f>
        <v/>
      </c>
      <c r="AK18" s="75">
        <f>IF($C18="","",IF(PULL_FUND="N","",IFERROR(BDP($C18,EBINT_FIELD),"")))</f>
        <v/>
      </c>
      <c r="AL18" s="73">
        <f>IF($C18="","",IF(PULL_FUND="N","",IFERROR(BDP($C18,FCF_FIELD)/100,"")))</f>
        <v/>
      </c>
      <c r="AM18" s="76">
        <f>IF($C18="","",IF(ISNUMBER(HSI!$I$13),HSI!$I$13/100,""))</f>
        <v/>
      </c>
      <c r="AN18" s="47">
        <f>IF($C18="","",IF(N($AM18)=0,"",IFERROR($AL18/$AM18,"")))</f>
        <v/>
      </c>
      <c r="AO18" s="33">
        <f>IF($C18="","",IF(ISNUMBER($S18)*ISNUMBER($W18)=0,"",IF($W18&gt;$S18+0.05,"rising",IF($W18&lt;$S18-0.05,"falling","stable"))))</f>
        <v/>
      </c>
      <c r="AP18" s="77">
        <f>IF($C18="","",TRIM(IF(ISNUMBER($X18)*(N($X18)&gt;$D$4)&gt;0,"payout high  ","")&amp;IF(ISNUMBER($AN18)*(N($AN18)&lt;$F$4)&gt;0,"FCF below dvd  ","")&amp;IF(ISNUMBER($AJ18)*(N($AJ18)&gt;$H$4)&gt;0,"leverage high","")))</f>
        <v/>
      </c>
      <c r="AQ18" s="78">
        <f>IF($C18="","",IF(HSI!$F$13="HKD","",HSI!$F$13))</f>
        <v/>
      </c>
    </row>
    <row r="19">
      <c r="B19" s="62" t="inlineStr">
        <is>
          <t>HSI</t>
        </is>
      </c>
      <c r="C19" s="6">
        <f>IF(HSI!$C$14="","",HSI!$C$14)</f>
        <v/>
      </c>
      <c r="D19" s="6">
        <f>IF($C19="","",HSI!$D$14)</f>
        <v/>
      </c>
      <c r="E19" s="6">
        <f>IF($C19="","",HSI!$E$14)</f>
        <v/>
      </c>
      <c r="F19" s="63">
        <f>IF($C19="","",SUMPRODUCT(('Dvd Calendar'!$E$88:$AR$88&gt;=DATE(YEAR_Y-5,1,1))*('Dvd Calendar'!$E$88:$AR$88&lt;=DATE(YEAR_Y-5,12,31))*'Dvd Calendar'!$E$91:$AR$91*(('Dvd Calendar'!$E$93:$AR$93=TYPE1)*(TYPE1&lt;&gt;"")+('Dvd Calendar'!$E$93:$AR$93=TYPE2)*(TYPE2&lt;&gt;"")+('Dvd Calendar'!$E$93:$AR$93=TYPE3)*(TYPE3&lt;&gt;"")+('Dvd Calendar'!$E$93:$AR$93=TYPE4)*(TYPE4&lt;&gt;"")+('Dvd Calendar'!$E$93:$AR$93=SPECIAL_LBL)*(INC_SPECIALS="Y"))))</f>
        <v/>
      </c>
      <c r="G19" s="64">
        <f>IF($C19="","",SUMPRODUCT(('Dvd Calendar'!$E$88:$AR$88&gt;=DATE(YEAR_Y-4,1,1))*('Dvd Calendar'!$E$88:$AR$88&lt;=DATE(YEAR_Y-4,12,31))*'Dvd Calendar'!$E$91:$AR$91*(('Dvd Calendar'!$E$93:$AR$93=TYPE1)*(TYPE1&lt;&gt;"")+('Dvd Calendar'!$E$93:$AR$93=TYPE2)*(TYPE2&lt;&gt;"")+('Dvd Calendar'!$E$93:$AR$93=TYPE3)*(TYPE3&lt;&gt;"")+('Dvd Calendar'!$E$93:$AR$93=TYPE4)*(TYPE4&lt;&gt;"")+('Dvd Calendar'!$E$93:$AR$93=SPECIAL_LBL)*(INC_SPECIALS="Y"))))</f>
        <v/>
      </c>
      <c r="H19" s="64">
        <f>IF($C19="","",SUMPRODUCT(('Dvd Calendar'!$E$88:$AR$88&gt;=DATE(YEAR_Y-3,1,1))*('Dvd Calendar'!$E$88:$AR$88&lt;=DATE(YEAR_Y-3,12,31))*'Dvd Calendar'!$E$91:$AR$91*(('Dvd Calendar'!$E$93:$AR$93=TYPE1)*(TYPE1&lt;&gt;"")+('Dvd Calendar'!$E$93:$AR$93=TYPE2)*(TYPE2&lt;&gt;"")+('Dvd Calendar'!$E$93:$AR$93=TYPE3)*(TYPE3&lt;&gt;"")+('Dvd Calendar'!$E$93:$AR$93=TYPE4)*(TYPE4&lt;&gt;"")+('Dvd Calendar'!$E$93:$AR$93=SPECIAL_LBL)*(INC_SPECIALS="Y"))))</f>
        <v/>
      </c>
      <c r="I19" s="64">
        <f>IF($C19="","",SUMPRODUCT(('Dvd Calendar'!$E$88:$AR$88&gt;=DATE(YEAR_Y-2,1,1))*('Dvd Calendar'!$E$88:$AR$88&lt;=DATE(YEAR_Y-2,12,31))*'Dvd Calendar'!$E$91:$AR$91*(('Dvd Calendar'!$E$93:$AR$93=TYPE1)*(TYPE1&lt;&gt;"")+('Dvd Calendar'!$E$93:$AR$93=TYPE2)*(TYPE2&lt;&gt;"")+('Dvd Calendar'!$E$93:$AR$93=TYPE3)*(TYPE3&lt;&gt;"")+('Dvd Calendar'!$E$93:$AR$93=TYPE4)*(TYPE4&lt;&gt;"")+('Dvd Calendar'!$E$93:$AR$93=SPECIAL_LBL)*(INC_SPECIALS="Y"))))</f>
        <v/>
      </c>
      <c r="J19" s="64">
        <f>IF($C19="","",SUMPRODUCT(('Dvd Calendar'!$E$88:$AR$88&gt;=DATE(YEAR_Y-1,1,1))*('Dvd Calendar'!$E$88:$AR$88&lt;=DATE(YEAR_Y-1,12,31))*'Dvd Calendar'!$E$91:$AR$91*(('Dvd Calendar'!$E$93:$AR$93=TYPE1)*(TYPE1&lt;&gt;"")+('Dvd Calendar'!$E$93:$AR$93=TYPE2)*(TYPE2&lt;&gt;"")+('Dvd Calendar'!$E$93:$AR$93=TYPE3)*(TYPE3&lt;&gt;"")+('Dvd Calendar'!$E$93:$AR$93=TYPE4)*(TYPE4&lt;&gt;"")+('Dvd Calendar'!$E$93:$AR$93=SPECIAL_LBL)*(INC_SPECIALS="Y"))))</f>
        <v/>
      </c>
      <c r="K19" s="65">
        <f>IF($C19="","",HSI!$J$14)</f>
        <v/>
      </c>
      <c r="L19" s="65">
        <f>IF($C19="","",HSI!$K$14)</f>
        <v/>
      </c>
      <c r="M19" s="41">
        <f>IF($C19="","",AVERAGE(F19:J19))</f>
        <v/>
      </c>
      <c r="N19" s="66">
        <f>IF($C19="","",IF(PULL_FUND="N","",IFERROR(BDP($C19,EPS_FIELD,YR_OVERRIDE,TEXT(YEAR_Y-5,"0")),"")))</f>
        <v/>
      </c>
      <c r="O19" s="67">
        <f>IF($C19="","",IF(PULL_FUND="N","",IFERROR(BDP($C19,EPS_FIELD,YR_OVERRIDE,TEXT(YEAR_Y-4,"0")),"")))</f>
        <v/>
      </c>
      <c r="P19" s="67">
        <f>IF($C19="","",IF(PULL_FUND="N","",IFERROR(BDP($C19,EPS_FIELD,YR_OVERRIDE,TEXT(YEAR_Y-3,"0")),"")))</f>
        <v/>
      </c>
      <c r="Q19" s="67">
        <f>IF($C19="","",IF(PULL_FUND="N","",IFERROR(BDP($C19,EPS_FIELD,YR_OVERRIDE,TEXT(YEAR_Y-2,"0")),"")))</f>
        <v/>
      </c>
      <c r="R19" s="67">
        <f>IF($C19="","",IF(PULL_FUND="N","",IFERROR(BDP($C19,EPS_FIELD,YR_OVERRIDE,TEXT(YEAR_Y-1,"0")),"")))</f>
        <v/>
      </c>
      <c r="S19" s="68">
        <f>IF($C19="","",IF(PULL_FUND="N","",IFERROR(BDP($C19,PAYOUT_FIELD,YR_OVERRIDE,TEXT(YEAR_Y-5,"0"))/100,"")))</f>
        <v/>
      </c>
      <c r="T19" s="68">
        <f>IF($C19="","",IF(PULL_FUND="N","",IFERROR(BDP($C19,PAYOUT_FIELD,YR_OVERRIDE,TEXT(YEAR_Y-4,"0"))/100,"")))</f>
        <v/>
      </c>
      <c r="U19" s="68">
        <f>IF($C19="","",IF(PULL_FUND="N","",IFERROR(BDP($C19,PAYOUT_FIELD,YR_OVERRIDE,TEXT(YEAR_Y-3,"0"))/100,"")))</f>
        <v/>
      </c>
      <c r="V19" s="68">
        <f>IF($C19="","",IF(PULL_FUND="N","",IFERROR(BDP($C19,PAYOUT_FIELD,YR_OVERRIDE,TEXT(YEAR_Y-2,"0"))/100,"")))</f>
        <v/>
      </c>
      <c r="W19" s="68">
        <f>IF($C19="","",IF(PULL_FUND="N","",IFERROR(BDP($C19,PAYOUT_FIELD,YR_OVERRIDE,TEXT(YEAR_Y-1,"0"))/100,"")))</f>
        <v/>
      </c>
      <c r="X19" s="69">
        <f>IF($C19="","",IFERROR(AVERAGE(S19:W19),""))</f>
        <v/>
      </c>
      <c r="Y19" s="66">
        <f>IF($C19="","",IF(PULL_FUND="N","",IFERROR(BDP($C19,BESTEPS_FIELD,FWD_OVERRIDE,TEXT(MOD(YEAR_Y,100),"00")&amp;"Y"),"")))</f>
        <v/>
      </c>
      <c r="Z19" s="70">
        <f>IF($C19="","",IF(PULL_FUND="N","",IFERROR(BDP($C19,BESTDPS_FIELD,FWD_OVERRIDE,TEXT(MOD(YEAR_Y,100),"00")&amp;"Y"),"")))</f>
        <v/>
      </c>
      <c r="AA19" s="71">
        <f>IF($C19="","",IF(ISNUMBER($Y19)*ISNUMBER($Z19)*($Y19&lt;&gt;0)=0,"",$Z19/$Y19))</f>
        <v/>
      </c>
      <c r="AB19" s="41">
        <f>IF($C19="","",HSI!$J$14+HSI!$L$14)</f>
        <v/>
      </c>
      <c r="AC19" s="72">
        <f>IF($C19="","",IF(PULL_FUND="N","",IF(COUNTIFS('Fund History'!$G$50:$G$54,"&gt;="&amp;DATE(YEAR_Y-4,1,1),'Fund History'!$G$50:$G$54,"&lt;="&amp;DATE(YEAR_Y-4,12,31))=0,"",SUMIFS('Fund History'!$H$50:$H$54,'Fund History'!$G$50:$G$54,"&gt;="&amp;DATE(YEAR_Y-4,1,1),'Fund History'!$G$50:$G$54,"&lt;="&amp;DATE(YEAR_Y-4,12,31))/100)))</f>
        <v/>
      </c>
      <c r="AD19" s="73">
        <f>IF($C19="","",IF(PULL_FUND="N","",IF(COUNTIFS('Fund History'!$G$50:$G$54,"&gt;="&amp;DATE(YEAR_Y-3,1,1),'Fund History'!$G$50:$G$54,"&lt;="&amp;DATE(YEAR_Y-3,12,31))=0,"",SUMIFS('Fund History'!$H$50:$H$54,'Fund History'!$G$50:$G$54,"&gt;="&amp;DATE(YEAR_Y-3,1,1),'Fund History'!$G$50:$G$54,"&lt;="&amp;DATE(YEAR_Y-3,12,31))/100)))</f>
        <v/>
      </c>
      <c r="AE19" s="73">
        <f>IF($C19="","",IF(PULL_FUND="N","",IF(COUNTIFS('Fund History'!$G$50:$G$54,"&gt;="&amp;DATE(YEAR_Y-2,1,1),'Fund History'!$G$50:$G$54,"&lt;="&amp;DATE(YEAR_Y-2,12,31))=0,"",SUMIFS('Fund History'!$H$50:$H$54,'Fund History'!$G$50:$G$54,"&gt;="&amp;DATE(YEAR_Y-2,1,1),'Fund History'!$G$50:$G$54,"&lt;="&amp;DATE(YEAR_Y-2,12,31))/100)))</f>
        <v/>
      </c>
      <c r="AF19" s="73">
        <f>IF($C19="","",IF(PULL_FUND="N","",IF(COUNTIFS('Fund History'!$G$50:$G$54,"&gt;="&amp;DATE(YEAR_Y-1,1,1),'Fund History'!$G$50:$G$54,"&lt;="&amp;DATE(YEAR_Y-1,12,31))=0,"",SUMIFS('Fund History'!$H$50:$H$54,'Fund History'!$G$50:$G$54,"&gt;="&amp;DATE(YEAR_Y-1,1,1),'Fund History'!$G$50:$G$54,"&lt;="&amp;DATE(YEAR_Y-1,12,31))/100)))</f>
        <v/>
      </c>
      <c r="AG19" s="74">
        <f>IF($C19="","",IF(N($AF19)+N(HSI!$I$14)=0,"",N($AF19)+N(HSI!$I$14)/100))</f>
        <v/>
      </c>
      <c r="AH19" s="66">
        <f>IF($C19="","",IF(PULL_FUND="N","",IF(COUNTIFS('Fund History'!$D$50:$D$54,"&gt;="&amp;DATE(YEAR_Y-2,1,1),'Fund History'!$D$50:$D$54,"&lt;="&amp;DATE(YEAR_Y-2,12,31))=0,"",SUMIFS('Fund History'!$E$50:$E$54,'Fund History'!$D$50:$D$54,"&gt;="&amp;DATE(YEAR_Y-2,1,1),'Fund History'!$D$50:$D$54,"&lt;="&amp;DATE(YEAR_Y-2,12,31)))))</f>
        <v/>
      </c>
      <c r="AI19" s="67">
        <f>IF($C19="","",IF(PULL_FUND="N","",IF(COUNTIFS('Fund History'!$D$50:$D$54,"&gt;="&amp;DATE(YEAR_Y-1,1,1),'Fund History'!$D$50:$D$54,"&lt;="&amp;DATE(YEAR_Y-1,12,31))=0,"",SUMIFS('Fund History'!$E$50:$E$54,'Fund History'!$D$50:$D$54,"&gt;="&amp;DATE(YEAR_Y-1,1,1),'Fund History'!$D$50:$D$54,"&lt;="&amp;DATE(YEAR_Y-1,12,31)))))</f>
        <v/>
      </c>
      <c r="AJ19" s="67">
        <f>IF($C19="","",IF(PULL_FUND="N","",IFERROR(BDP($C19,NDEBITDA_FIELD),"")))</f>
        <v/>
      </c>
      <c r="AK19" s="75">
        <f>IF($C19="","",IF(PULL_FUND="N","",IFERROR(BDP($C19,EBINT_FIELD),"")))</f>
        <v/>
      </c>
      <c r="AL19" s="73">
        <f>IF($C19="","",IF(PULL_FUND="N","",IFERROR(BDP($C19,FCF_FIELD)/100,"")))</f>
        <v/>
      </c>
      <c r="AM19" s="76">
        <f>IF($C19="","",IF(ISNUMBER(HSI!$I$14),HSI!$I$14/100,""))</f>
        <v/>
      </c>
      <c r="AN19" s="47">
        <f>IF($C19="","",IF(N($AM19)=0,"",IFERROR($AL19/$AM19,"")))</f>
        <v/>
      </c>
      <c r="AO19" s="33">
        <f>IF($C19="","",IF(ISNUMBER($S19)*ISNUMBER($W19)=0,"",IF($W19&gt;$S19+0.05,"rising",IF($W19&lt;$S19-0.05,"falling","stable"))))</f>
        <v/>
      </c>
      <c r="AP19" s="77">
        <f>IF($C19="","",TRIM(IF(ISNUMBER($X19)*(N($X19)&gt;$D$4)&gt;0,"payout high  ","")&amp;IF(ISNUMBER($AN19)*(N($AN19)&lt;$F$4)&gt;0,"FCF below dvd  ","")&amp;IF(ISNUMBER($AJ19)*(N($AJ19)&gt;$H$4)&gt;0,"leverage high","")))</f>
        <v/>
      </c>
      <c r="AQ19" s="78">
        <f>IF($C19="","",IF(HSI!$F$14="HKD","",HSI!$F$14))</f>
        <v/>
      </c>
    </row>
    <row r="20">
      <c r="B20" s="62" t="inlineStr">
        <is>
          <t>HSI</t>
        </is>
      </c>
      <c r="C20" s="6">
        <f>IF(HSI!$C$15="","",HSI!$C$15)</f>
        <v/>
      </c>
      <c r="D20" s="6">
        <f>IF($C20="","",HSI!$D$15)</f>
        <v/>
      </c>
      <c r="E20" s="6">
        <f>IF($C20="","",HSI!$E$15)</f>
        <v/>
      </c>
      <c r="F20" s="63">
        <f>IF($C20="","",SUMPRODUCT(('Dvd Calendar'!$E$99:$AR$99&gt;=DATE(YEAR_Y-5,1,1))*('Dvd Calendar'!$E$99:$AR$99&lt;=DATE(YEAR_Y-5,12,31))*'Dvd Calendar'!$E$102:$AR$102*(('Dvd Calendar'!$E$104:$AR$104=TYPE1)*(TYPE1&lt;&gt;"")+('Dvd Calendar'!$E$104:$AR$104=TYPE2)*(TYPE2&lt;&gt;"")+('Dvd Calendar'!$E$104:$AR$104=TYPE3)*(TYPE3&lt;&gt;"")+('Dvd Calendar'!$E$104:$AR$104=TYPE4)*(TYPE4&lt;&gt;"")+('Dvd Calendar'!$E$104:$AR$104=SPECIAL_LBL)*(INC_SPECIALS="Y"))))</f>
        <v/>
      </c>
      <c r="G20" s="64">
        <f>IF($C20="","",SUMPRODUCT(('Dvd Calendar'!$E$99:$AR$99&gt;=DATE(YEAR_Y-4,1,1))*('Dvd Calendar'!$E$99:$AR$99&lt;=DATE(YEAR_Y-4,12,31))*'Dvd Calendar'!$E$102:$AR$102*(('Dvd Calendar'!$E$104:$AR$104=TYPE1)*(TYPE1&lt;&gt;"")+('Dvd Calendar'!$E$104:$AR$104=TYPE2)*(TYPE2&lt;&gt;"")+('Dvd Calendar'!$E$104:$AR$104=TYPE3)*(TYPE3&lt;&gt;"")+('Dvd Calendar'!$E$104:$AR$104=TYPE4)*(TYPE4&lt;&gt;"")+('Dvd Calendar'!$E$104:$AR$104=SPECIAL_LBL)*(INC_SPECIALS="Y"))))</f>
        <v/>
      </c>
      <c r="H20" s="64">
        <f>IF($C20="","",SUMPRODUCT(('Dvd Calendar'!$E$99:$AR$99&gt;=DATE(YEAR_Y-3,1,1))*('Dvd Calendar'!$E$99:$AR$99&lt;=DATE(YEAR_Y-3,12,31))*'Dvd Calendar'!$E$102:$AR$102*(('Dvd Calendar'!$E$104:$AR$104=TYPE1)*(TYPE1&lt;&gt;"")+('Dvd Calendar'!$E$104:$AR$104=TYPE2)*(TYPE2&lt;&gt;"")+('Dvd Calendar'!$E$104:$AR$104=TYPE3)*(TYPE3&lt;&gt;"")+('Dvd Calendar'!$E$104:$AR$104=TYPE4)*(TYPE4&lt;&gt;"")+('Dvd Calendar'!$E$104:$AR$104=SPECIAL_LBL)*(INC_SPECIALS="Y"))))</f>
        <v/>
      </c>
      <c r="I20" s="64">
        <f>IF($C20="","",SUMPRODUCT(('Dvd Calendar'!$E$99:$AR$99&gt;=DATE(YEAR_Y-2,1,1))*('Dvd Calendar'!$E$99:$AR$99&lt;=DATE(YEAR_Y-2,12,31))*'Dvd Calendar'!$E$102:$AR$102*(('Dvd Calendar'!$E$104:$AR$104=TYPE1)*(TYPE1&lt;&gt;"")+('Dvd Calendar'!$E$104:$AR$104=TYPE2)*(TYPE2&lt;&gt;"")+('Dvd Calendar'!$E$104:$AR$104=TYPE3)*(TYPE3&lt;&gt;"")+('Dvd Calendar'!$E$104:$AR$104=TYPE4)*(TYPE4&lt;&gt;"")+('Dvd Calendar'!$E$104:$AR$104=SPECIAL_LBL)*(INC_SPECIALS="Y"))))</f>
        <v/>
      </c>
      <c r="J20" s="64">
        <f>IF($C20="","",SUMPRODUCT(('Dvd Calendar'!$E$99:$AR$99&gt;=DATE(YEAR_Y-1,1,1))*('Dvd Calendar'!$E$99:$AR$99&lt;=DATE(YEAR_Y-1,12,31))*'Dvd Calendar'!$E$102:$AR$102*(('Dvd Calendar'!$E$104:$AR$104=TYPE1)*(TYPE1&lt;&gt;"")+('Dvd Calendar'!$E$104:$AR$104=TYPE2)*(TYPE2&lt;&gt;"")+('Dvd Calendar'!$E$104:$AR$104=TYPE3)*(TYPE3&lt;&gt;"")+('Dvd Calendar'!$E$104:$AR$104=TYPE4)*(TYPE4&lt;&gt;"")+('Dvd Calendar'!$E$104:$AR$104=SPECIAL_LBL)*(INC_SPECIALS="Y"))))</f>
        <v/>
      </c>
      <c r="K20" s="65">
        <f>IF($C20="","",HSI!$J$15)</f>
        <v/>
      </c>
      <c r="L20" s="65">
        <f>IF($C20="","",HSI!$K$15)</f>
        <v/>
      </c>
      <c r="M20" s="41">
        <f>IF($C20="","",AVERAGE(F20:J20))</f>
        <v/>
      </c>
      <c r="N20" s="66">
        <f>IF($C20="","",IF(PULL_FUND="N","",IFERROR(BDP($C20,EPS_FIELD,YR_OVERRIDE,TEXT(YEAR_Y-5,"0")),"")))</f>
        <v/>
      </c>
      <c r="O20" s="67">
        <f>IF($C20="","",IF(PULL_FUND="N","",IFERROR(BDP($C20,EPS_FIELD,YR_OVERRIDE,TEXT(YEAR_Y-4,"0")),"")))</f>
        <v/>
      </c>
      <c r="P20" s="67">
        <f>IF($C20="","",IF(PULL_FUND="N","",IFERROR(BDP($C20,EPS_FIELD,YR_OVERRIDE,TEXT(YEAR_Y-3,"0")),"")))</f>
        <v/>
      </c>
      <c r="Q20" s="67">
        <f>IF($C20="","",IF(PULL_FUND="N","",IFERROR(BDP($C20,EPS_FIELD,YR_OVERRIDE,TEXT(YEAR_Y-2,"0")),"")))</f>
        <v/>
      </c>
      <c r="R20" s="67">
        <f>IF($C20="","",IF(PULL_FUND="N","",IFERROR(BDP($C20,EPS_FIELD,YR_OVERRIDE,TEXT(YEAR_Y-1,"0")),"")))</f>
        <v/>
      </c>
      <c r="S20" s="68">
        <f>IF($C20="","",IF(PULL_FUND="N","",IFERROR(BDP($C20,PAYOUT_FIELD,YR_OVERRIDE,TEXT(YEAR_Y-5,"0"))/100,"")))</f>
        <v/>
      </c>
      <c r="T20" s="68">
        <f>IF($C20="","",IF(PULL_FUND="N","",IFERROR(BDP($C20,PAYOUT_FIELD,YR_OVERRIDE,TEXT(YEAR_Y-4,"0"))/100,"")))</f>
        <v/>
      </c>
      <c r="U20" s="68">
        <f>IF($C20="","",IF(PULL_FUND="N","",IFERROR(BDP($C20,PAYOUT_FIELD,YR_OVERRIDE,TEXT(YEAR_Y-3,"0"))/100,"")))</f>
        <v/>
      </c>
      <c r="V20" s="68">
        <f>IF($C20="","",IF(PULL_FUND="N","",IFERROR(BDP($C20,PAYOUT_FIELD,YR_OVERRIDE,TEXT(YEAR_Y-2,"0"))/100,"")))</f>
        <v/>
      </c>
      <c r="W20" s="68">
        <f>IF($C20="","",IF(PULL_FUND="N","",IFERROR(BDP($C20,PAYOUT_FIELD,YR_OVERRIDE,TEXT(YEAR_Y-1,"0"))/100,"")))</f>
        <v/>
      </c>
      <c r="X20" s="69">
        <f>IF($C20="","",IFERROR(AVERAGE(S20:W20),""))</f>
        <v/>
      </c>
      <c r="Y20" s="66">
        <f>IF($C20="","",IF(PULL_FUND="N","",IFERROR(BDP($C20,BESTEPS_FIELD,FWD_OVERRIDE,TEXT(MOD(YEAR_Y,100),"00")&amp;"Y"),"")))</f>
        <v/>
      </c>
      <c r="Z20" s="70">
        <f>IF($C20="","",IF(PULL_FUND="N","",IFERROR(BDP($C20,BESTDPS_FIELD,FWD_OVERRIDE,TEXT(MOD(YEAR_Y,100),"00")&amp;"Y"),"")))</f>
        <v/>
      </c>
      <c r="AA20" s="71">
        <f>IF($C20="","",IF(ISNUMBER($Y20)*ISNUMBER($Z20)*($Y20&lt;&gt;0)=0,"",$Z20/$Y20))</f>
        <v/>
      </c>
      <c r="AB20" s="41">
        <f>IF($C20="","",HSI!$J$15+HSI!$L$15)</f>
        <v/>
      </c>
      <c r="AC20" s="72">
        <f>IF($C20="","",IF(PULL_FUND="N","",IF(COUNTIFS('Fund History'!$G$56:$G$60,"&gt;="&amp;DATE(YEAR_Y-4,1,1),'Fund History'!$G$56:$G$60,"&lt;="&amp;DATE(YEAR_Y-4,12,31))=0,"",SUMIFS('Fund History'!$H$56:$H$60,'Fund History'!$G$56:$G$60,"&gt;="&amp;DATE(YEAR_Y-4,1,1),'Fund History'!$G$56:$G$60,"&lt;="&amp;DATE(YEAR_Y-4,12,31))/100)))</f>
        <v/>
      </c>
      <c r="AD20" s="73">
        <f>IF($C20="","",IF(PULL_FUND="N","",IF(COUNTIFS('Fund History'!$G$56:$G$60,"&gt;="&amp;DATE(YEAR_Y-3,1,1),'Fund History'!$G$56:$G$60,"&lt;="&amp;DATE(YEAR_Y-3,12,31))=0,"",SUMIFS('Fund History'!$H$56:$H$60,'Fund History'!$G$56:$G$60,"&gt;="&amp;DATE(YEAR_Y-3,1,1),'Fund History'!$G$56:$G$60,"&lt;="&amp;DATE(YEAR_Y-3,12,31))/100)))</f>
        <v/>
      </c>
      <c r="AE20" s="73">
        <f>IF($C20="","",IF(PULL_FUND="N","",IF(COUNTIFS('Fund History'!$G$56:$G$60,"&gt;="&amp;DATE(YEAR_Y-2,1,1),'Fund History'!$G$56:$G$60,"&lt;="&amp;DATE(YEAR_Y-2,12,31))=0,"",SUMIFS('Fund History'!$H$56:$H$60,'Fund History'!$G$56:$G$60,"&gt;="&amp;DATE(YEAR_Y-2,1,1),'Fund History'!$G$56:$G$60,"&lt;="&amp;DATE(YEAR_Y-2,12,31))/100)))</f>
        <v/>
      </c>
      <c r="AF20" s="73">
        <f>IF($C20="","",IF(PULL_FUND="N","",IF(COUNTIFS('Fund History'!$G$56:$G$60,"&gt;="&amp;DATE(YEAR_Y-1,1,1),'Fund History'!$G$56:$G$60,"&lt;="&amp;DATE(YEAR_Y-1,12,31))=0,"",SUMIFS('Fund History'!$H$56:$H$60,'Fund History'!$G$56:$G$60,"&gt;="&amp;DATE(YEAR_Y-1,1,1),'Fund History'!$G$56:$G$60,"&lt;="&amp;DATE(YEAR_Y-1,12,31))/100)))</f>
        <v/>
      </c>
      <c r="AG20" s="74">
        <f>IF($C20="","",IF(N($AF20)+N(HSI!$I$15)=0,"",N($AF20)+N(HSI!$I$15)/100))</f>
        <v/>
      </c>
      <c r="AH20" s="66">
        <f>IF($C20="","",IF(PULL_FUND="N","",IF(COUNTIFS('Fund History'!$D$56:$D$60,"&gt;="&amp;DATE(YEAR_Y-2,1,1),'Fund History'!$D$56:$D$60,"&lt;="&amp;DATE(YEAR_Y-2,12,31))=0,"",SUMIFS('Fund History'!$E$56:$E$60,'Fund History'!$D$56:$D$60,"&gt;="&amp;DATE(YEAR_Y-2,1,1),'Fund History'!$D$56:$D$60,"&lt;="&amp;DATE(YEAR_Y-2,12,31)))))</f>
        <v/>
      </c>
      <c r="AI20" s="67">
        <f>IF($C20="","",IF(PULL_FUND="N","",IF(COUNTIFS('Fund History'!$D$56:$D$60,"&gt;="&amp;DATE(YEAR_Y-1,1,1),'Fund History'!$D$56:$D$60,"&lt;="&amp;DATE(YEAR_Y-1,12,31))=0,"",SUMIFS('Fund History'!$E$56:$E$60,'Fund History'!$D$56:$D$60,"&gt;="&amp;DATE(YEAR_Y-1,1,1),'Fund History'!$D$56:$D$60,"&lt;="&amp;DATE(YEAR_Y-1,12,31)))))</f>
        <v/>
      </c>
      <c r="AJ20" s="67">
        <f>IF($C20="","",IF(PULL_FUND="N","",IFERROR(BDP($C20,NDEBITDA_FIELD),"")))</f>
        <v/>
      </c>
      <c r="AK20" s="75">
        <f>IF($C20="","",IF(PULL_FUND="N","",IFERROR(BDP($C20,EBINT_FIELD),"")))</f>
        <v/>
      </c>
      <c r="AL20" s="73">
        <f>IF($C20="","",IF(PULL_FUND="N","",IFERROR(BDP($C20,FCF_FIELD)/100,"")))</f>
        <v/>
      </c>
      <c r="AM20" s="76">
        <f>IF($C20="","",IF(ISNUMBER(HSI!$I$15),HSI!$I$15/100,""))</f>
        <v/>
      </c>
      <c r="AN20" s="47">
        <f>IF($C20="","",IF(N($AM20)=0,"",IFERROR($AL20/$AM20,"")))</f>
        <v/>
      </c>
      <c r="AO20" s="33">
        <f>IF($C20="","",IF(ISNUMBER($S20)*ISNUMBER($W20)=0,"",IF($W20&gt;$S20+0.05,"rising",IF($W20&lt;$S20-0.05,"falling","stable"))))</f>
        <v/>
      </c>
      <c r="AP20" s="77">
        <f>IF($C20="","",TRIM(IF(ISNUMBER($X20)*(N($X20)&gt;$D$4)&gt;0,"payout high  ","")&amp;IF(ISNUMBER($AN20)*(N($AN20)&lt;$F$4)&gt;0,"FCF below dvd  ","")&amp;IF(ISNUMBER($AJ20)*(N($AJ20)&gt;$H$4)&gt;0,"leverage high","")))</f>
        <v/>
      </c>
      <c r="AQ20" s="78">
        <f>IF($C20="","",IF(HSI!$F$15="HKD","",HSI!$F$15))</f>
        <v/>
      </c>
    </row>
    <row r="21">
      <c r="B21" s="62" t="inlineStr">
        <is>
          <t>HSI</t>
        </is>
      </c>
      <c r="C21" s="6">
        <f>IF(HSI!$C$16="","",HSI!$C$16)</f>
        <v/>
      </c>
      <c r="D21" s="6">
        <f>IF($C21="","",HSI!$D$16)</f>
        <v/>
      </c>
      <c r="E21" s="6">
        <f>IF($C21="","",HSI!$E$16)</f>
        <v/>
      </c>
      <c r="F21" s="63">
        <f>IF($C21="","",SUMPRODUCT(('Dvd Calendar'!$E$110:$AR$110&gt;=DATE(YEAR_Y-5,1,1))*('Dvd Calendar'!$E$110:$AR$110&lt;=DATE(YEAR_Y-5,12,31))*'Dvd Calendar'!$E$113:$AR$113*(('Dvd Calendar'!$E$115:$AR$115=TYPE1)*(TYPE1&lt;&gt;"")+('Dvd Calendar'!$E$115:$AR$115=TYPE2)*(TYPE2&lt;&gt;"")+('Dvd Calendar'!$E$115:$AR$115=TYPE3)*(TYPE3&lt;&gt;"")+('Dvd Calendar'!$E$115:$AR$115=TYPE4)*(TYPE4&lt;&gt;"")+('Dvd Calendar'!$E$115:$AR$115=SPECIAL_LBL)*(INC_SPECIALS="Y"))))</f>
        <v/>
      </c>
      <c r="G21" s="64">
        <f>IF($C21="","",SUMPRODUCT(('Dvd Calendar'!$E$110:$AR$110&gt;=DATE(YEAR_Y-4,1,1))*('Dvd Calendar'!$E$110:$AR$110&lt;=DATE(YEAR_Y-4,12,31))*'Dvd Calendar'!$E$113:$AR$113*(('Dvd Calendar'!$E$115:$AR$115=TYPE1)*(TYPE1&lt;&gt;"")+('Dvd Calendar'!$E$115:$AR$115=TYPE2)*(TYPE2&lt;&gt;"")+('Dvd Calendar'!$E$115:$AR$115=TYPE3)*(TYPE3&lt;&gt;"")+('Dvd Calendar'!$E$115:$AR$115=TYPE4)*(TYPE4&lt;&gt;"")+('Dvd Calendar'!$E$115:$AR$115=SPECIAL_LBL)*(INC_SPECIALS="Y"))))</f>
        <v/>
      </c>
      <c r="H21" s="64">
        <f>IF($C21="","",SUMPRODUCT(('Dvd Calendar'!$E$110:$AR$110&gt;=DATE(YEAR_Y-3,1,1))*('Dvd Calendar'!$E$110:$AR$110&lt;=DATE(YEAR_Y-3,12,31))*'Dvd Calendar'!$E$113:$AR$113*(('Dvd Calendar'!$E$115:$AR$115=TYPE1)*(TYPE1&lt;&gt;"")+('Dvd Calendar'!$E$115:$AR$115=TYPE2)*(TYPE2&lt;&gt;"")+('Dvd Calendar'!$E$115:$AR$115=TYPE3)*(TYPE3&lt;&gt;"")+('Dvd Calendar'!$E$115:$AR$115=TYPE4)*(TYPE4&lt;&gt;"")+('Dvd Calendar'!$E$115:$AR$115=SPECIAL_LBL)*(INC_SPECIALS="Y"))))</f>
        <v/>
      </c>
      <c r="I21" s="64">
        <f>IF($C21="","",SUMPRODUCT(('Dvd Calendar'!$E$110:$AR$110&gt;=DATE(YEAR_Y-2,1,1))*('Dvd Calendar'!$E$110:$AR$110&lt;=DATE(YEAR_Y-2,12,31))*'Dvd Calendar'!$E$113:$AR$113*(('Dvd Calendar'!$E$115:$AR$115=TYPE1)*(TYPE1&lt;&gt;"")+('Dvd Calendar'!$E$115:$AR$115=TYPE2)*(TYPE2&lt;&gt;"")+('Dvd Calendar'!$E$115:$AR$115=TYPE3)*(TYPE3&lt;&gt;"")+('Dvd Calendar'!$E$115:$AR$115=TYPE4)*(TYPE4&lt;&gt;"")+('Dvd Calendar'!$E$115:$AR$115=SPECIAL_LBL)*(INC_SPECIALS="Y"))))</f>
        <v/>
      </c>
      <c r="J21" s="64">
        <f>IF($C21="","",SUMPRODUCT(('Dvd Calendar'!$E$110:$AR$110&gt;=DATE(YEAR_Y-1,1,1))*('Dvd Calendar'!$E$110:$AR$110&lt;=DATE(YEAR_Y-1,12,31))*'Dvd Calendar'!$E$113:$AR$113*(('Dvd Calendar'!$E$115:$AR$115=TYPE1)*(TYPE1&lt;&gt;"")+('Dvd Calendar'!$E$115:$AR$115=TYPE2)*(TYPE2&lt;&gt;"")+('Dvd Calendar'!$E$115:$AR$115=TYPE3)*(TYPE3&lt;&gt;"")+('Dvd Calendar'!$E$115:$AR$115=TYPE4)*(TYPE4&lt;&gt;"")+('Dvd Calendar'!$E$115:$AR$115=SPECIAL_LBL)*(INC_SPECIALS="Y"))))</f>
        <v/>
      </c>
      <c r="K21" s="65">
        <f>IF($C21="","",HSI!$J$16)</f>
        <v/>
      </c>
      <c r="L21" s="65">
        <f>IF($C21="","",HSI!$K$16)</f>
        <v/>
      </c>
      <c r="M21" s="41">
        <f>IF($C21="","",AVERAGE(F21:J21))</f>
        <v/>
      </c>
      <c r="N21" s="66">
        <f>IF($C21="","",IF(PULL_FUND="N","",IFERROR(BDP($C21,EPS_FIELD,YR_OVERRIDE,TEXT(YEAR_Y-5,"0")),"")))</f>
        <v/>
      </c>
      <c r="O21" s="67">
        <f>IF($C21="","",IF(PULL_FUND="N","",IFERROR(BDP($C21,EPS_FIELD,YR_OVERRIDE,TEXT(YEAR_Y-4,"0")),"")))</f>
        <v/>
      </c>
      <c r="P21" s="67">
        <f>IF($C21="","",IF(PULL_FUND="N","",IFERROR(BDP($C21,EPS_FIELD,YR_OVERRIDE,TEXT(YEAR_Y-3,"0")),"")))</f>
        <v/>
      </c>
      <c r="Q21" s="67">
        <f>IF($C21="","",IF(PULL_FUND="N","",IFERROR(BDP($C21,EPS_FIELD,YR_OVERRIDE,TEXT(YEAR_Y-2,"0")),"")))</f>
        <v/>
      </c>
      <c r="R21" s="67">
        <f>IF($C21="","",IF(PULL_FUND="N","",IFERROR(BDP($C21,EPS_FIELD,YR_OVERRIDE,TEXT(YEAR_Y-1,"0")),"")))</f>
        <v/>
      </c>
      <c r="S21" s="68">
        <f>IF($C21="","",IF(PULL_FUND="N","",IFERROR(BDP($C21,PAYOUT_FIELD,YR_OVERRIDE,TEXT(YEAR_Y-5,"0"))/100,"")))</f>
        <v/>
      </c>
      <c r="T21" s="68">
        <f>IF($C21="","",IF(PULL_FUND="N","",IFERROR(BDP($C21,PAYOUT_FIELD,YR_OVERRIDE,TEXT(YEAR_Y-4,"0"))/100,"")))</f>
        <v/>
      </c>
      <c r="U21" s="68">
        <f>IF($C21="","",IF(PULL_FUND="N","",IFERROR(BDP($C21,PAYOUT_FIELD,YR_OVERRIDE,TEXT(YEAR_Y-3,"0"))/100,"")))</f>
        <v/>
      </c>
      <c r="V21" s="68">
        <f>IF($C21="","",IF(PULL_FUND="N","",IFERROR(BDP($C21,PAYOUT_FIELD,YR_OVERRIDE,TEXT(YEAR_Y-2,"0"))/100,"")))</f>
        <v/>
      </c>
      <c r="W21" s="68">
        <f>IF($C21="","",IF(PULL_FUND="N","",IFERROR(BDP($C21,PAYOUT_FIELD,YR_OVERRIDE,TEXT(YEAR_Y-1,"0"))/100,"")))</f>
        <v/>
      </c>
      <c r="X21" s="69">
        <f>IF($C21="","",IFERROR(AVERAGE(S21:W21),""))</f>
        <v/>
      </c>
      <c r="Y21" s="66">
        <f>IF($C21="","",IF(PULL_FUND="N","",IFERROR(BDP($C21,BESTEPS_FIELD,FWD_OVERRIDE,TEXT(MOD(YEAR_Y,100),"00")&amp;"Y"),"")))</f>
        <v/>
      </c>
      <c r="Z21" s="70">
        <f>IF($C21="","",IF(PULL_FUND="N","",IFERROR(BDP($C21,BESTDPS_FIELD,FWD_OVERRIDE,TEXT(MOD(YEAR_Y,100),"00")&amp;"Y"),"")))</f>
        <v/>
      </c>
      <c r="AA21" s="71">
        <f>IF($C21="","",IF(ISNUMBER($Y21)*ISNUMBER($Z21)*($Y21&lt;&gt;0)=0,"",$Z21/$Y21))</f>
        <v/>
      </c>
      <c r="AB21" s="41">
        <f>IF($C21="","",HSI!$J$16+HSI!$L$16)</f>
        <v/>
      </c>
      <c r="AC21" s="72">
        <f>IF($C21="","",IF(PULL_FUND="N","",IF(COUNTIFS('Fund History'!$G$62:$G$66,"&gt;="&amp;DATE(YEAR_Y-4,1,1),'Fund History'!$G$62:$G$66,"&lt;="&amp;DATE(YEAR_Y-4,12,31))=0,"",SUMIFS('Fund History'!$H$62:$H$66,'Fund History'!$G$62:$G$66,"&gt;="&amp;DATE(YEAR_Y-4,1,1),'Fund History'!$G$62:$G$66,"&lt;="&amp;DATE(YEAR_Y-4,12,31))/100)))</f>
        <v/>
      </c>
      <c r="AD21" s="73">
        <f>IF($C21="","",IF(PULL_FUND="N","",IF(COUNTIFS('Fund History'!$G$62:$G$66,"&gt;="&amp;DATE(YEAR_Y-3,1,1),'Fund History'!$G$62:$G$66,"&lt;="&amp;DATE(YEAR_Y-3,12,31))=0,"",SUMIFS('Fund History'!$H$62:$H$66,'Fund History'!$G$62:$G$66,"&gt;="&amp;DATE(YEAR_Y-3,1,1),'Fund History'!$G$62:$G$66,"&lt;="&amp;DATE(YEAR_Y-3,12,31))/100)))</f>
        <v/>
      </c>
      <c r="AE21" s="73">
        <f>IF($C21="","",IF(PULL_FUND="N","",IF(COUNTIFS('Fund History'!$G$62:$G$66,"&gt;="&amp;DATE(YEAR_Y-2,1,1),'Fund History'!$G$62:$G$66,"&lt;="&amp;DATE(YEAR_Y-2,12,31))=0,"",SUMIFS('Fund History'!$H$62:$H$66,'Fund History'!$G$62:$G$66,"&gt;="&amp;DATE(YEAR_Y-2,1,1),'Fund History'!$G$62:$G$66,"&lt;="&amp;DATE(YEAR_Y-2,12,31))/100)))</f>
        <v/>
      </c>
      <c r="AF21" s="73">
        <f>IF($C21="","",IF(PULL_FUND="N","",IF(COUNTIFS('Fund History'!$G$62:$G$66,"&gt;="&amp;DATE(YEAR_Y-1,1,1),'Fund History'!$G$62:$G$66,"&lt;="&amp;DATE(YEAR_Y-1,12,31))=0,"",SUMIFS('Fund History'!$H$62:$H$66,'Fund History'!$G$62:$G$66,"&gt;="&amp;DATE(YEAR_Y-1,1,1),'Fund History'!$G$62:$G$66,"&lt;="&amp;DATE(YEAR_Y-1,12,31))/100)))</f>
        <v/>
      </c>
      <c r="AG21" s="74">
        <f>IF($C21="","",IF(N($AF21)+N(HSI!$I$16)=0,"",N($AF21)+N(HSI!$I$16)/100))</f>
        <v/>
      </c>
      <c r="AH21" s="66">
        <f>IF($C21="","",IF(PULL_FUND="N","",IF(COUNTIFS('Fund History'!$D$62:$D$66,"&gt;="&amp;DATE(YEAR_Y-2,1,1),'Fund History'!$D$62:$D$66,"&lt;="&amp;DATE(YEAR_Y-2,12,31))=0,"",SUMIFS('Fund History'!$E$62:$E$66,'Fund History'!$D$62:$D$66,"&gt;="&amp;DATE(YEAR_Y-2,1,1),'Fund History'!$D$62:$D$66,"&lt;="&amp;DATE(YEAR_Y-2,12,31)))))</f>
        <v/>
      </c>
      <c r="AI21" s="67">
        <f>IF($C21="","",IF(PULL_FUND="N","",IF(COUNTIFS('Fund History'!$D$62:$D$66,"&gt;="&amp;DATE(YEAR_Y-1,1,1),'Fund History'!$D$62:$D$66,"&lt;="&amp;DATE(YEAR_Y-1,12,31))=0,"",SUMIFS('Fund History'!$E$62:$E$66,'Fund History'!$D$62:$D$66,"&gt;="&amp;DATE(YEAR_Y-1,1,1),'Fund History'!$D$62:$D$66,"&lt;="&amp;DATE(YEAR_Y-1,12,31)))))</f>
        <v/>
      </c>
      <c r="AJ21" s="67">
        <f>IF($C21="","",IF(PULL_FUND="N","",IFERROR(BDP($C21,NDEBITDA_FIELD),"")))</f>
        <v/>
      </c>
      <c r="AK21" s="75">
        <f>IF($C21="","",IF(PULL_FUND="N","",IFERROR(BDP($C21,EBINT_FIELD),"")))</f>
        <v/>
      </c>
      <c r="AL21" s="73">
        <f>IF($C21="","",IF(PULL_FUND="N","",IFERROR(BDP($C21,FCF_FIELD)/100,"")))</f>
        <v/>
      </c>
      <c r="AM21" s="76">
        <f>IF($C21="","",IF(ISNUMBER(HSI!$I$16),HSI!$I$16/100,""))</f>
        <v/>
      </c>
      <c r="AN21" s="47">
        <f>IF($C21="","",IF(N($AM21)=0,"",IFERROR($AL21/$AM21,"")))</f>
        <v/>
      </c>
      <c r="AO21" s="33">
        <f>IF($C21="","",IF(ISNUMBER($S21)*ISNUMBER($W21)=0,"",IF($W21&gt;$S21+0.05,"rising",IF($W21&lt;$S21-0.05,"falling","stable"))))</f>
        <v/>
      </c>
      <c r="AP21" s="77">
        <f>IF($C21="","",TRIM(IF(ISNUMBER($X21)*(N($X21)&gt;$D$4)&gt;0,"payout high  ","")&amp;IF(ISNUMBER($AN21)*(N($AN21)&lt;$F$4)&gt;0,"FCF below dvd  ","")&amp;IF(ISNUMBER($AJ21)*(N($AJ21)&gt;$H$4)&gt;0,"leverage high","")))</f>
        <v/>
      </c>
      <c r="AQ21" s="78">
        <f>IF($C21="","",IF(HSI!$F$16="HKD","",HSI!$F$16))</f>
        <v/>
      </c>
    </row>
    <row r="22">
      <c r="B22" s="62" t="inlineStr">
        <is>
          <t>HSI</t>
        </is>
      </c>
      <c r="C22" s="6">
        <f>IF(HSI!$C$17="","",HSI!$C$17)</f>
        <v/>
      </c>
      <c r="D22" s="6">
        <f>IF($C22="","",HSI!$D$17)</f>
        <v/>
      </c>
      <c r="E22" s="6">
        <f>IF($C22="","",HSI!$E$17)</f>
        <v/>
      </c>
      <c r="F22" s="63">
        <f>IF($C22="","",SUMPRODUCT(('Dvd Calendar'!$E$121:$AR$121&gt;=DATE(YEAR_Y-5,1,1))*('Dvd Calendar'!$E$121:$AR$121&lt;=DATE(YEAR_Y-5,12,31))*'Dvd Calendar'!$E$124:$AR$124*(('Dvd Calendar'!$E$126:$AR$126=TYPE1)*(TYPE1&lt;&gt;"")+('Dvd Calendar'!$E$126:$AR$126=TYPE2)*(TYPE2&lt;&gt;"")+('Dvd Calendar'!$E$126:$AR$126=TYPE3)*(TYPE3&lt;&gt;"")+('Dvd Calendar'!$E$126:$AR$126=TYPE4)*(TYPE4&lt;&gt;"")+('Dvd Calendar'!$E$126:$AR$126=SPECIAL_LBL)*(INC_SPECIALS="Y"))))</f>
        <v/>
      </c>
      <c r="G22" s="64">
        <f>IF($C22="","",SUMPRODUCT(('Dvd Calendar'!$E$121:$AR$121&gt;=DATE(YEAR_Y-4,1,1))*('Dvd Calendar'!$E$121:$AR$121&lt;=DATE(YEAR_Y-4,12,31))*'Dvd Calendar'!$E$124:$AR$124*(('Dvd Calendar'!$E$126:$AR$126=TYPE1)*(TYPE1&lt;&gt;"")+('Dvd Calendar'!$E$126:$AR$126=TYPE2)*(TYPE2&lt;&gt;"")+('Dvd Calendar'!$E$126:$AR$126=TYPE3)*(TYPE3&lt;&gt;"")+('Dvd Calendar'!$E$126:$AR$126=TYPE4)*(TYPE4&lt;&gt;"")+('Dvd Calendar'!$E$126:$AR$126=SPECIAL_LBL)*(INC_SPECIALS="Y"))))</f>
        <v/>
      </c>
      <c r="H22" s="64">
        <f>IF($C22="","",SUMPRODUCT(('Dvd Calendar'!$E$121:$AR$121&gt;=DATE(YEAR_Y-3,1,1))*('Dvd Calendar'!$E$121:$AR$121&lt;=DATE(YEAR_Y-3,12,31))*'Dvd Calendar'!$E$124:$AR$124*(('Dvd Calendar'!$E$126:$AR$126=TYPE1)*(TYPE1&lt;&gt;"")+('Dvd Calendar'!$E$126:$AR$126=TYPE2)*(TYPE2&lt;&gt;"")+('Dvd Calendar'!$E$126:$AR$126=TYPE3)*(TYPE3&lt;&gt;"")+('Dvd Calendar'!$E$126:$AR$126=TYPE4)*(TYPE4&lt;&gt;"")+('Dvd Calendar'!$E$126:$AR$126=SPECIAL_LBL)*(INC_SPECIALS="Y"))))</f>
        <v/>
      </c>
      <c r="I22" s="64">
        <f>IF($C22="","",SUMPRODUCT(('Dvd Calendar'!$E$121:$AR$121&gt;=DATE(YEAR_Y-2,1,1))*('Dvd Calendar'!$E$121:$AR$121&lt;=DATE(YEAR_Y-2,12,31))*'Dvd Calendar'!$E$124:$AR$124*(('Dvd Calendar'!$E$126:$AR$126=TYPE1)*(TYPE1&lt;&gt;"")+('Dvd Calendar'!$E$126:$AR$126=TYPE2)*(TYPE2&lt;&gt;"")+('Dvd Calendar'!$E$126:$AR$126=TYPE3)*(TYPE3&lt;&gt;"")+('Dvd Calendar'!$E$126:$AR$126=TYPE4)*(TYPE4&lt;&gt;"")+('Dvd Calendar'!$E$126:$AR$126=SPECIAL_LBL)*(INC_SPECIALS="Y"))))</f>
        <v/>
      </c>
      <c r="J22" s="64">
        <f>IF($C22="","",SUMPRODUCT(('Dvd Calendar'!$E$121:$AR$121&gt;=DATE(YEAR_Y-1,1,1))*('Dvd Calendar'!$E$121:$AR$121&lt;=DATE(YEAR_Y-1,12,31))*'Dvd Calendar'!$E$124:$AR$124*(('Dvd Calendar'!$E$126:$AR$126=TYPE1)*(TYPE1&lt;&gt;"")+('Dvd Calendar'!$E$126:$AR$126=TYPE2)*(TYPE2&lt;&gt;"")+('Dvd Calendar'!$E$126:$AR$126=TYPE3)*(TYPE3&lt;&gt;"")+('Dvd Calendar'!$E$126:$AR$126=TYPE4)*(TYPE4&lt;&gt;"")+('Dvd Calendar'!$E$126:$AR$126=SPECIAL_LBL)*(INC_SPECIALS="Y"))))</f>
        <v/>
      </c>
      <c r="K22" s="65">
        <f>IF($C22="","",HSI!$J$17)</f>
        <v/>
      </c>
      <c r="L22" s="65">
        <f>IF($C22="","",HSI!$K$17)</f>
        <v/>
      </c>
      <c r="M22" s="41">
        <f>IF($C22="","",AVERAGE(F22:J22))</f>
        <v/>
      </c>
      <c r="N22" s="66">
        <f>IF($C22="","",IF(PULL_FUND="N","",IFERROR(BDP($C22,EPS_FIELD,YR_OVERRIDE,TEXT(YEAR_Y-5,"0")),"")))</f>
        <v/>
      </c>
      <c r="O22" s="67">
        <f>IF($C22="","",IF(PULL_FUND="N","",IFERROR(BDP($C22,EPS_FIELD,YR_OVERRIDE,TEXT(YEAR_Y-4,"0")),"")))</f>
        <v/>
      </c>
      <c r="P22" s="67">
        <f>IF($C22="","",IF(PULL_FUND="N","",IFERROR(BDP($C22,EPS_FIELD,YR_OVERRIDE,TEXT(YEAR_Y-3,"0")),"")))</f>
        <v/>
      </c>
      <c r="Q22" s="67">
        <f>IF($C22="","",IF(PULL_FUND="N","",IFERROR(BDP($C22,EPS_FIELD,YR_OVERRIDE,TEXT(YEAR_Y-2,"0")),"")))</f>
        <v/>
      </c>
      <c r="R22" s="67">
        <f>IF($C22="","",IF(PULL_FUND="N","",IFERROR(BDP($C22,EPS_FIELD,YR_OVERRIDE,TEXT(YEAR_Y-1,"0")),"")))</f>
        <v/>
      </c>
      <c r="S22" s="68">
        <f>IF($C22="","",IF(PULL_FUND="N","",IFERROR(BDP($C22,PAYOUT_FIELD,YR_OVERRIDE,TEXT(YEAR_Y-5,"0"))/100,"")))</f>
        <v/>
      </c>
      <c r="T22" s="68">
        <f>IF($C22="","",IF(PULL_FUND="N","",IFERROR(BDP($C22,PAYOUT_FIELD,YR_OVERRIDE,TEXT(YEAR_Y-4,"0"))/100,"")))</f>
        <v/>
      </c>
      <c r="U22" s="68">
        <f>IF($C22="","",IF(PULL_FUND="N","",IFERROR(BDP($C22,PAYOUT_FIELD,YR_OVERRIDE,TEXT(YEAR_Y-3,"0"))/100,"")))</f>
        <v/>
      </c>
      <c r="V22" s="68">
        <f>IF($C22="","",IF(PULL_FUND="N","",IFERROR(BDP($C22,PAYOUT_FIELD,YR_OVERRIDE,TEXT(YEAR_Y-2,"0"))/100,"")))</f>
        <v/>
      </c>
      <c r="W22" s="68">
        <f>IF($C22="","",IF(PULL_FUND="N","",IFERROR(BDP($C22,PAYOUT_FIELD,YR_OVERRIDE,TEXT(YEAR_Y-1,"0"))/100,"")))</f>
        <v/>
      </c>
      <c r="X22" s="69">
        <f>IF($C22="","",IFERROR(AVERAGE(S22:W22),""))</f>
        <v/>
      </c>
      <c r="Y22" s="66">
        <f>IF($C22="","",IF(PULL_FUND="N","",IFERROR(BDP($C22,BESTEPS_FIELD,FWD_OVERRIDE,TEXT(MOD(YEAR_Y,100),"00")&amp;"Y"),"")))</f>
        <v/>
      </c>
      <c r="Z22" s="70">
        <f>IF($C22="","",IF(PULL_FUND="N","",IFERROR(BDP($C22,BESTDPS_FIELD,FWD_OVERRIDE,TEXT(MOD(YEAR_Y,100),"00")&amp;"Y"),"")))</f>
        <v/>
      </c>
      <c r="AA22" s="71">
        <f>IF($C22="","",IF(ISNUMBER($Y22)*ISNUMBER($Z22)*($Y22&lt;&gt;0)=0,"",$Z22/$Y22))</f>
        <v/>
      </c>
      <c r="AB22" s="41">
        <f>IF($C22="","",HSI!$J$17+HSI!$L$17)</f>
        <v/>
      </c>
      <c r="AC22" s="72">
        <f>IF($C22="","",IF(PULL_FUND="N","",IF(COUNTIFS('Fund History'!$G$68:$G$72,"&gt;="&amp;DATE(YEAR_Y-4,1,1),'Fund History'!$G$68:$G$72,"&lt;="&amp;DATE(YEAR_Y-4,12,31))=0,"",SUMIFS('Fund History'!$H$68:$H$72,'Fund History'!$G$68:$G$72,"&gt;="&amp;DATE(YEAR_Y-4,1,1),'Fund History'!$G$68:$G$72,"&lt;="&amp;DATE(YEAR_Y-4,12,31))/100)))</f>
        <v/>
      </c>
      <c r="AD22" s="73">
        <f>IF($C22="","",IF(PULL_FUND="N","",IF(COUNTIFS('Fund History'!$G$68:$G$72,"&gt;="&amp;DATE(YEAR_Y-3,1,1),'Fund History'!$G$68:$G$72,"&lt;="&amp;DATE(YEAR_Y-3,12,31))=0,"",SUMIFS('Fund History'!$H$68:$H$72,'Fund History'!$G$68:$G$72,"&gt;="&amp;DATE(YEAR_Y-3,1,1),'Fund History'!$G$68:$G$72,"&lt;="&amp;DATE(YEAR_Y-3,12,31))/100)))</f>
        <v/>
      </c>
      <c r="AE22" s="73">
        <f>IF($C22="","",IF(PULL_FUND="N","",IF(COUNTIFS('Fund History'!$G$68:$G$72,"&gt;="&amp;DATE(YEAR_Y-2,1,1),'Fund History'!$G$68:$G$72,"&lt;="&amp;DATE(YEAR_Y-2,12,31))=0,"",SUMIFS('Fund History'!$H$68:$H$72,'Fund History'!$G$68:$G$72,"&gt;="&amp;DATE(YEAR_Y-2,1,1),'Fund History'!$G$68:$G$72,"&lt;="&amp;DATE(YEAR_Y-2,12,31))/100)))</f>
        <v/>
      </c>
      <c r="AF22" s="73">
        <f>IF($C22="","",IF(PULL_FUND="N","",IF(COUNTIFS('Fund History'!$G$68:$G$72,"&gt;="&amp;DATE(YEAR_Y-1,1,1),'Fund History'!$G$68:$G$72,"&lt;="&amp;DATE(YEAR_Y-1,12,31))=0,"",SUMIFS('Fund History'!$H$68:$H$72,'Fund History'!$G$68:$G$72,"&gt;="&amp;DATE(YEAR_Y-1,1,1),'Fund History'!$G$68:$G$72,"&lt;="&amp;DATE(YEAR_Y-1,12,31))/100)))</f>
        <v/>
      </c>
      <c r="AG22" s="74">
        <f>IF($C22="","",IF(N($AF22)+N(HSI!$I$17)=0,"",N($AF22)+N(HSI!$I$17)/100))</f>
        <v/>
      </c>
      <c r="AH22" s="66">
        <f>IF($C22="","",IF(PULL_FUND="N","",IF(COUNTIFS('Fund History'!$D$68:$D$72,"&gt;="&amp;DATE(YEAR_Y-2,1,1),'Fund History'!$D$68:$D$72,"&lt;="&amp;DATE(YEAR_Y-2,12,31))=0,"",SUMIFS('Fund History'!$E$68:$E$72,'Fund History'!$D$68:$D$72,"&gt;="&amp;DATE(YEAR_Y-2,1,1),'Fund History'!$D$68:$D$72,"&lt;="&amp;DATE(YEAR_Y-2,12,31)))))</f>
        <v/>
      </c>
      <c r="AI22" s="67">
        <f>IF($C22="","",IF(PULL_FUND="N","",IF(COUNTIFS('Fund History'!$D$68:$D$72,"&gt;="&amp;DATE(YEAR_Y-1,1,1),'Fund History'!$D$68:$D$72,"&lt;="&amp;DATE(YEAR_Y-1,12,31))=0,"",SUMIFS('Fund History'!$E$68:$E$72,'Fund History'!$D$68:$D$72,"&gt;="&amp;DATE(YEAR_Y-1,1,1),'Fund History'!$D$68:$D$72,"&lt;="&amp;DATE(YEAR_Y-1,12,31)))))</f>
        <v/>
      </c>
      <c r="AJ22" s="67">
        <f>IF($C22="","",IF(PULL_FUND="N","",IFERROR(BDP($C22,NDEBITDA_FIELD),"")))</f>
        <v/>
      </c>
      <c r="AK22" s="75">
        <f>IF($C22="","",IF(PULL_FUND="N","",IFERROR(BDP($C22,EBINT_FIELD),"")))</f>
        <v/>
      </c>
      <c r="AL22" s="73">
        <f>IF($C22="","",IF(PULL_FUND="N","",IFERROR(BDP($C22,FCF_FIELD)/100,"")))</f>
        <v/>
      </c>
      <c r="AM22" s="76">
        <f>IF($C22="","",IF(ISNUMBER(HSI!$I$17),HSI!$I$17/100,""))</f>
        <v/>
      </c>
      <c r="AN22" s="47">
        <f>IF($C22="","",IF(N($AM22)=0,"",IFERROR($AL22/$AM22,"")))</f>
        <v/>
      </c>
      <c r="AO22" s="33">
        <f>IF($C22="","",IF(ISNUMBER($S22)*ISNUMBER($W22)=0,"",IF($W22&gt;$S22+0.05,"rising",IF($W22&lt;$S22-0.05,"falling","stable"))))</f>
        <v/>
      </c>
      <c r="AP22" s="77">
        <f>IF($C22="","",TRIM(IF(ISNUMBER($X22)*(N($X22)&gt;$D$4)&gt;0,"payout high  ","")&amp;IF(ISNUMBER($AN22)*(N($AN22)&lt;$F$4)&gt;0,"FCF below dvd  ","")&amp;IF(ISNUMBER($AJ22)*(N($AJ22)&gt;$H$4)&gt;0,"leverage high","")))</f>
        <v/>
      </c>
      <c r="AQ22" s="78">
        <f>IF($C22="","",IF(HSI!$F$17="HKD","",HSI!$F$17))</f>
        <v/>
      </c>
    </row>
    <row r="23">
      <c r="B23" s="62" t="inlineStr">
        <is>
          <t>HSI</t>
        </is>
      </c>
      <c r="C23" s="6">
        <f>IF(HSI!$C$18="","",HSI!$C$18)</f>
        <v/>
      </c>
      <c r="D23" s="6">
        <f>IF($C23="","",HSI!$D$18)</f>
        <v/>
      </c>
      <c r="E23" s="6">
        <f>IF($C23="","",HSI!$E$18)</f>
        <v/>
      </c>
      <c r="F23" s="63">
        <f>IF($C23="","",SUMPRODUCT(('Dvd Calendar'!$E$132:$AR$132&gt;=DATE(YEAR_Y-5,1,1))*('Dvd Calendar'!$E$132:$AR$132&lt;=DATE(YEAR_Y-5,12,31))*'Dvd Calendar'!$E$135:$AR$135*(('Dvd Calendar'!$E$137:$AR$137=TYPE1)*(TYPE1&lt;&gt;"")+('Dvd Calendar'!$E$137:$AR$137=TYPE2)*(TYPE2&lt;&gt;"")+('Dvd Calendar'!$E$137:$AR$137=TYPE3)*(TYPE3&lt;&gt;"")+('Dvd Calendar'!$E$137:$AR$137=TYPE4)*(TYPE4&lt;&gt;"")+('Dvd Calendar'!$E$137:$AR$137=SPECIAL_LBL)*(INC_SPECIALS="Y"))))</f>
        <v/>
      </c>
      <c r="G23" s="64">
        <f>IF($C23="","",SUMPRODUCT(('Dvd Calendar'!$E$132:$AR$132&gt;=DATE(YEAR_Y-4,1,1))*('Dvd Calendar'!$E$132:$AR$132&lt;=DATE(YEAR_Y-4,12,31))*'Dvd Calendar'!$E$135:$AR$135*(('Dvd Calendar'!$E$137:$AR$137=TYPE1)*(TYPE1&lt;&gt;"")+('Dvd Calendar'!$E$137:$AR$137=TYPE2)*(TYPE2&lt;&gt;"")+('Dvd Calendar'!$E$137:$AR$137=TYPE3)*(TYPE3&lt;&gt;"")+('Dvd Calendar'!$E$137:$AR$137=TYPE4)*(TYPE4&lt;&gt;"")+('Dvd Calendar'!$E$137:$AR$137=SPECIAL_LBL)*(INC_SPECIALS="Y"))))</f>
        <v/>
      </c>
      <c r="H23" s="64">
        <f>IF($C23="","",SUMPRODUCT(('Dvd Calendar'!$E$132:$AR$132&gt;=DATE(YEAR_Y-3,1,1))*('Dvd Calendar'!$E$132:$AR$132&lt;=DATE(YEAR_Y-3,12,31))*'Dvd Calendar'!$E$135:$AR$135*(('Dvd Calendar'!$E$137:$AR$137=TYPE1)*(TYPE1&lt;&gt;"")+('Dvd Calendar'!$E$137:$AR$137=TYPE2)*(TYPE2&lt;&gt;"")+('Dvd Calendar'!$E$137:$AR$137=TYPE3)*(TYPE3&lt;&gt;"")+('Dvd Calendar'!$E$137:$AR$137=TYPE4)*(TYPE4&lt;&gt;"")+('Dvd Calendar'!$E$137:$AR$137=SPECIAL_LBL)*(INC_SPECIALS="Y"))))</f>
        <v/>
      </c>
      <c r="I23" s="64">
        <f>IF($C23="","",SUMPRODUCT(('Dvd Calendar'!$E$132:$AR$132&gt;=DATE(YEAR_Y-2,1,1))*('Dvd Calendar'!$E$132:$AR$132&lt;=DATE(YEAR_Y-2,12,31))*'Dvd Calendar'!$E$135:$AR$135*(('Dvd Calendar'!$E$137:$AR$137=TYPE1)*(TYPE1&lt;&gt;"")+('Dvd Calendar'!$E$137:$AR$137=TYPE2)*(TYPE2&lt;&gt;"")+('Dvd Calendar'!$E$137:$AR$137=TYPE3)*(TYPE3&lt;&gt;"")+('Dvd Calendar'!$E$137:$AR$137=TYPE4)*(TYPE4&lt;&gt;"")+('Dvd Calendar'!$E$137:$AR$137=SPECIAL_LBL)*(INC_SPECIALS="Y"))))</f>
        <v/>
      </c>
      <c r="J23" s="64">
        <f>IF($C23="","",SUMPRODUCT(('Dvd Calendar'!$E$132:$AR$132&gt;=DATE(YEAR_Y-1,1,1))*('Dvd Calendar'!$E$132:$AR$132&lt;=DATE(YEAR_Y-1,12,31))*'Dvd Calendar'!$E$135:$AR$135*(('Dvd Calendar'!$E$137:$AR$137=TYPE1)*(TYPE1&lt;&gt;"")+('Dvd Calendar'!$E$137:$AR$137=TYPE2)*(TYPE2&lt;&gt;"")+('Dvd Calendar'!$E$137:$AR$137=TYPE3)*(TYPE3&lt;&gt;"")+('Dvd Calendar'!$E$137:$AR$137=TYPE4)*(TYPE4&lt;&gt;"")+('Dvd Calendar'!$E$137:$AR$137=SPECIAL_LBL)*(INC_SPECIALS="Y"))))</f>
        <v/>
      </c>
      <c r="K23" s="65">
        <f>IF($C23="","",HSI!$J$18)</f>
        <v/>
      </c>
      <c r="L23" s="65">
        <f>IF($C23="","",HSI!$K$18)</f>
        <v/>
      </c>
      <c r="M23" s="41">
        <f>IF($C23="","",AVERAGE(F23:J23))</f>
        <v/>
      </c>
      <c r="N23" s="66">
        <f>IF($C23="","",IF(PULL_FUND="N","",IFERROR(BDP($C23,EPS_FIELD,YR_OVERRIDE,TEXT(YEAR_Y-5,"0")),"")))</f>
        <v/>
      </c>
      <c r="O23" s="67">
        <f>IF($C23="","",IF(PULL_FUND="N","",IFERROR(BDP($C23,EPS_FIELD,YR_OVERRIDE,TEXT(YEAR_Y-4,"0")),"")))</f>
        <v/>
      </c>
      <c r="P23" s="67">
        <f>IF($C23="","",IF(PULL_FUND="N","",IFERROR(BDP($C23,EPS_FIELD,YR_OVERRIDE,TEXT(YEAR_Y-3,"0")),"")))</f>
        <v/>
      </c>
      <c r="Q23" s="67">
        <f>IF($C23="","",IF(PULL_FUND="N","",IFERROR(BDP($C23,EPS_FIELD,YR_OVERRIDE,TEXT(YEAR_Y-2,"0")),"")))</f>
        <v/>
      </c>
      <c r="R23" s="67">
        <f>IF($C23="","",IF(PULL_FUND="N","",IFERROR(BDP($C23,EPS_FIELD,YR_OVERRIDE,TEXT(YEAR_Y-1,"0")),"")))</f>
        <v/>
      </c>
      <c r="S23" s="68">
        <f>IF($C23="","",IF(PULL_FUND="N","",IFERROR(BDP($C23,PAYOUT_FIELD,YR_OVERRIDE,TEXT(YEAR_Y-5,"0"))/100,"")))</f>
        <v/>
      </c>
      <c r="T23" s="68">
        <f>IF($C23="","",IF(PULL_FUND="N","",IFERROR(BDP($C23,PAYOUT_FIELD,YR_OVERRIDE,TEXT(YEAR_Y-4,"0"))/100,"")))</f>
        <v/>
      </c>
      <c r="U23" s="68">
        <f>IF($C23="","",IF(PULL_FUND="N","",IFERROR(BDP($C23,PAYOUT_FIELD,YR_OVERRIDE,TEXT(YEAR_Y-3,"0"))/100,"")))</f>
        <v/>
      </c>
      <c r="V23" s="68">
        <f>IF($C23="","",IF(PULL_FUND="N","",IFERROR(BDP($C23,PAYOUT_FIELD,YR_OVERRIDE,TEXT(YEAR_Y-2,"0"))/100,"")))</f>
        <v/>
      </c>
      <c r="W23" s="68">
        <f>IF($C23="","",IF(PULL_FUND="N","",IFERROR(BDP($C23,PAYOUT_FIELD,YR_OVERRIDE,TEXT(YEAR_Y-1,"0"))/100,"")))</f>
        <v/>
      </c>
      <c r="X23" s="69">
        <f>IF($C23="","",IFERROR(AVERAGE(S23:W23),""))</f>
        <v/>
      </c>
      <c r="Y23" s="66">
        <f>IF($C23="","",IF(PULL_FUND="N","",IFERROR(BDP($C23,BESTEPS_FIELD,FWD_OVERRIDE,TEXT(MOD(YEAR_Y,100),"00")&amp;"Y"),"")))</f>
        <v/>
      </c>
      <c r="Z23" s="70">
        <f>IF($C23="","",IF(PULL_FUND="N","",IFERROR(BDP($C23,BESTDPS_FIELD,FWD_OVERRIDE,TEXT(MOD(YEAR_Y,100),"00")&amp;"Y"),"")))</f>
        <v/>
      </c>
      <c r="AA23" s="71">
        <f>IF($C23="","",IF(ISNUMBER($Y23)*ISNUMBER($Z23)*($Y23&lt;&gt;0)=0,"",$Z23/$Y23))</f>
        <v/>
      </c>
      <c r="AB23" s="41">
        <f>IF($C23="","",HSI!$J$18+HSI!$L$18)</f>
        <v/>
      </c>
      <c r="AC23" s="72">
        <f>IF($C23="","",IF(PULL_FUND="N","",IF(COUNTIFS('Fund History'!$G$74:$G$78,"&gt;="&amp;DATE(YEAR_Y-4,1,1),'Fund History'!$G$74:$G$78,"&lt;="&amp;DATE(YEAR_Y-4,12,31))=0,"",SUMIFS('Fund History'!$H$74:$H$78,'Fund History'!$G$74:$G$78,"&gt;="&amp;DATE(YEAR_Y-4,1,1),'Fund History'!$G$74:$G$78,"&lt;="&amp;DATE(YEAR_Y-4,12,31))/100)))</f>
        <v/>
      </c>
      <c r="AD23" s="73">
        <f>IF($C23="","",IF(PULL_FUND="N","",IF(COUNTIFS('Fund History'!$G$74:$G$78,"&gt;="&amp;DATE(YEAR_Y-3,1,1),'Fund History'!$G$74:$G$78,"&lt;="&amp;DATE(YEAR_Y-3,12,31))=0,"",SUMIFS('Fund History'!$H$74:$H$78,'Fund History'!$G$74:$G$78,"&gt;="&amp;DATE(YEAR_Y-3,1,1),'Fund History'!$G$74:$G$78,"&lt;="&amp;DATE(YEAR_Y-3,12,31))/100)))</f>
        <v/>
      </c>
      <c r="AE23" s="73">
        <f>IF($C23="","",IF(PULL_FUND="N","",IF(COUNTIFS('Fund History'!$G$74:$G$78,"&gt;="&amp;DATE(YEAR_Y-2,1,1),'Fund History'!$G$74:$G$78,"&lt;="&amp;DATE(YEAR_Y-2,12,31))=0,"",SUMIFS('Fund History'!$H$74:$H$78,'Fund History'!$G$74:$G$78,"&gt;="&amp;DATE(YEAR_Y-2,1,1),'Fund History'!$G$74:$G$78,"&lt;="&amp;DATE(YEAR_Y-2,12,31))/100)))</f>
        <v/>
      </c>
      <c r="AF23" s="73">
        <f>IF($C23="","",IF(PULL_FUND="N","",IF(COUNTIFS('Fund History'!$G$74:$G$78,"&gt;="&amp;DATE(YEAR_Y-1,1,1),'Fund History'!$G$74:$G$78,"&lt;="&amp;DATE(YEAR_Y-1,12,31))=0,"",SUMIFS('Fund History'!$H$74:$H$78,'Fund History'!$G$74:$G$78,"&gt;="&amp;DATE(YEAR_Y-1,1,1),'Fund History'!$G$74:$G$78,"&lt;="&amp;DATE(YEAR_Y-1,12,31))/100)))</f>
        <v/>
      </c>
      <c r="AG23" s="74">
        <f>IF($C23="","",IF(N($AF23)+N(HSI!$I$18)=0,"",N($AF23)+N(HSI!$I$18)/100))</f>
        <v/>
      </c>
      <c r="AH23" s="66">
        <f>IF($C23="","",IF(PULL_FUND="N","",IF(COUNTIFS('Fund History'!$D$74:$D$78,"&gt;="&amp;DATE(YEAR_Y-2,1,1),'Fund History'!$D$74:$D$78,"&lt;="&amp;DATE(YEAR_Y-2,12,31))=0,"",SUMIFS('Fund History'!$E$74:$E$78,'Fund History'!$D$74:$D$78,"&gt;="&amp;DATE(YEAR_Y-2,1,1),'Fund History'!$D$74:$D$78,"&lt;="&amp;DATE(YEAR_Y-2,12,31)))))</f>
        <v/>
      </c>
      <c r="AI23" s="67">
        <f>IF($C23="","",IF(PULL_FUND="N","",IF(COUNTIFS('Fund History'!$D$74:$D$78,"&gt;="&amp;DATE(YEAR_Y-1,1,1),'Fund History'!$D$74:$D$78,"&lt;="&amp;DATE(YEAR_Y-1,12,31))=0,"",SUMIFS('Fund History'!$E$74:$E$78,'Fund History'!$D$74:$D$78,"&gt;="&amp;DATE(YEAR_Y-1,1,1),'Fund History'!$D$74:$D$78,"&lt;="&amp;DATE(YEAR_Y-1,12,31)))))</f>
        <v/>
      </c>
      <c r="AJ23" s="67">
        <f>IF($C23="","",IF(PULL_FUND="N","",IFERROR(BDP($C23,NDEBITDA_FIELD),"")))</f>
        <v/>
      </c>
      <c r="AK23" s="75">
        <f>IF($C23="","",IF(PULL_FUND="N","",IFERROR(BDP($C23,EBINT_FIELD),"")))</f>
        <v/>
      </c>
      <c r="AL23" s="73">
        <f>IF($C23="","",IF(PULL_FUND="N","",IFERROR(BDP($C23,FCF_FIELD)/100,"")))</f>
        <v/>
      </c>
      <c r="AM23" s="76">
        <f>IF($C23="","",IF(ISNUMBER(HSI!$I$18),HSI!$I$18/100,""))</f>
        <v/>
      </c>
      <c r="AN23" s="47">
        <f>IF($C23="","",IF(N($AM23)=0,"",IFERROR($AL23/$AM23,"")))</f>
        <v/>
      </c>
      <c r="AO23" s="33">
        <f>IF($C23="","",IF(ISNUMBER($S23)*ISNUMBER($W23)=0,"",IF($W23&gt;$S23+0.05,"rising",IF($W23&lt;$S23-0.05,"falling","stable"))))</f>
        <v/>
      </c>
      <c r="AP23" s="77">
        <f>IF($C23="","",TRIM(IF(ISNUMBER($X23)*(N($X23)&gt;$D$4)&gt;0,"payout high  ","")&amp;IF(ISNUMBER($AN23)*(N($AN23)&lt;$F$4)&gt;0,"FCF below dvd  ","")&amp;IF(ISNUMBER($AJ23)*(N($AJ23)&gt;$H$4)&gt;0,"leverage high","")))</f>
        <v/>
      </c>
      <c r="AQ23" s="78">
        <f>IF($C23="","",IF(HSI!$F$18="HKD","",HSI!$F$18))</f>
        <v/>
      </c>
    </row>
    <row r="24">
      <c r="B24" s="62" t="inlineStr">
        <is>
          <t>HSI</t>
        </is>
      </c>
      <c r="C24" s="6">
        <f>IF(HSI!$C$19="","",HSI!$C$19)</f>
        <v/>
      </c>
      <c r="D24" s="6">
        <f>IF($C24="","",HSI!$D$19)</f>
        <v/>
      </c>
      <c r="E24" s="6">
        <f>IF($C24="","",HSI!$E$19)</f>
        <v/>
      </c>
      <c r="F24" s="63">
        <f>IF($C24="","",SUMPRODUCT(('Dvd Calendar'!$E$143:$AR$143&gt;=DATE(YEAR_Y-5,1,1))*('Dvd Calendar'!$E$143:$AR$143&lt;=DATE(YEAR_Y-5,12,31))*'Dvd Calendar'!$E$146:$AR$146*(('Dvd Calendar'!$E$148:$AR$148=TYPE1)*(TYPE1&lt;&gt;"")+('Dvd Calendar'!$E$148:$AR$148=TYPE2)*(TYPE2&lt;&gt;"")+('Dvd Calendar'!$E$148:$AR$148=TYPE3)*(TYPE3&lt;&gt;"")+('Dvd Calendar'!$E$148:$AR$148=TYPE4)*(TYPE4&lt;&gt;"")+('Dvd Calendar'!$E$148:$AR$148=SPECIAL_LBL)*(INC_SPECIALS="Y"))))</f>
        <v/>
      </c>
      <c r="G24" s="64">
        <f>IF($C24="","",SUMPRODUCT(('Dvd Calendar'!$E$143:$AR$143&gt;=DATE(YEAR_Y-4,1,1))*('Dvd Calendar'!$E$143:$AR$143&lt;=DATE(YEAR_Y-4,12,31))*'Dvd Calendar'!$E$146:$AR$146*(('Dvd Calendar'!$E$148:$AR$148=TYPE1)*(TYPE1&lt;&gt;"")+('Dvd Calendar'!$E$148:$AR$148=TYPE2)*(TYPE2&lt;&gt;"")+('Dvd Calendar'!$E$148:$AR$148=TYPE3)*(TYPE3&lt;&gt;"")+('Dvd Calendar'!$E$148:$AR$148=TYPE4)*(TYPE4&lt;&gt;"")+('Dvd Calendar'!$E$148:$AR$148=SPECIAL_LBL)*(INC_SPECIALS="Y"))))</f>
        <v/>
      </c>
      <c r="H24" s="64">
        <f>IF($C24="","",SUMPRODUCT(('Dvd Calendar'!$E$143:$AR$143&gt;=DATE(YEAR_Y-3,1,1))*('Dvd Calendar'!$E$143:$AR$143&lt;=DATE(YEAR_Y-3,12,31))*'Dvd Calendar'!$E$146:$AR$146*(('Dvd Calendar'!$E$148:$AR$148=TYPE1)*(TYPE1&lt;&gt;"")+('Dvd Calendar'!$E$148:$AR$148=TYPE2)*(TYPE2&lt;&gt;"")+('Dvd Calendar'!$E$148:$AR$148=TYPE3)*(TYPE3&lt;&gt;"")+('Dvd Calendar'!$E$148:$AR$148=TYPE4)*(TYPE4&lt;&gt;"")+('Dvd Calendar'!$E$148:$AR$148=SPECIAL_LBL)*(INC_SPECIALS="Y"))))</f>
        <v/>
      </c>
      <c r="I24" s="64">
        <f>IF($C24="","",SUMPRODUCT(('Dvd Calendar'!$E$143:$AR$143&gt;=DATE(YEAR_Y-2,1,1))*('Dvd Calendar'!$E$143:$AR$143&lt;=DATE(YEAR_Y-2,12,31))*'Dvd Calendar'!$E$146:$AR$146*(('Dvd Calendar'!$E$148:$AR$148=TYPE1)*(TYPE1&lt;&gt;"")+('Dvd Calendar'!$E$148:$AR$148=TYPE2)*(TYPE2&lt;&gt;"")+('Dvd Calendar'!$E$148:$AR$148=TYPE3)*(TYPE3&lt;&gt;"")+('Dvd Calendar'!$E$148:$AR$148=TYPE4)*(TYPE4&lt;&gt;"")+('Dvd Calendar'!$E$148:$AR$148=SPECIAL_LBL)*(INC_SPECIALS="Y"))))</f>
        <v/>
      </c>
      <c r="J24" s="64">
        <f>IF($C24="","",SUMPRODUCT(('Dvd Calendar'!$E$143:$AR$143&gt;=DATE(YEAR_Y-1,1,1))*('Dvd Calendar'!$E$143:$AR$143&lt;=DATE(YEAR_Y-1,12,31))*'Dvd Calendar'!$E$146:$AR$146*(('Dvd Calendar'!$E$148:$AR$148=TYPE1)*(TYPE1&lt;&gt;"")+('Dvd Calendar'!$E$148:$AR$148=TYPE2)*(TYPE2&lt;&gt;"")+('Dvd Calendar'!$E$148:$AR$148=TYPE3)*(TYPE3&lt;&gt;"")+('Dvd Calendar'!$E$148:$AR$148=TYPE4)*(TYPE4&lt;&gt;"")+('Dvd Calendar'!$E$148:$AR$148=SPECIAL_LBL)*(INC_SPECIALS="Y"))))</f>
        <v/>
      </c>
      <c r="K24" s="65">
        <f>IF($C24="","",HSI!$J$19)</f>
        <v/>
      </c>
      <c r="L24" s="65">
        <f>IF($C24="","",HSI!$K$19)</f>
        <v/>
      </c>
      <c r="M24" s="41">
        <f>IF($C24="","",AVERAGE(F24:J24))</f>
        <v/>
      </c>
      <c r="N24" s="66">
        <f>IF($C24="","",IF(PULL_FUND="N","",IFERROR(BDP($C24,EPS_FIELD,YR_OVERRIDE,TEXT(YEAR_Y-5,"0")),"")))</f>
        <v/>
      </c>
      <c r="O24" s="67">
        <f>IF($C24="","",IF(PULL_FUND="N","",IFERROR(BDP($C24,EPS_FIELD,YR_OVERRIDE,TEXT(YEAR_Y-4,"0")),"")))</f>
        <v/>
      </c>
      <c r="P24" s="67">
        <f>IF($C24="","",IF(PULL_FUND="N","",IFERROR(BDP($C24,EPS_FIELD,YR_OVERRIDE,TEXT(YEAR_Y-3,"0")),"")))</f>
        <v/>
      </c>
      <c r="Q24" s="67">
        <f>IF($C24="","",IF(PULL_FUND="N","",IFERROR(BDP($C24,EPS_FIELD,YR_OVERRIDE,TEXT(YEAR_Y-2,"0")),"")))</f>
        <v/>
      </c>
      <c r="R24" s="67">
        <f>IF($C24="","",IF(PULL_FUND="N","",IFERROR(BDP($C24,EPS_FIELD,YR_OVERRIDE,TEXT(YEAR_Y-1,"0")),"")))</f>
        <v/>
      </c>
      <c r="S24" s="68">
        <f>IF($C24="","",IF(PULL_FUND="N","",IFERROR(BDP($C24,PAYOUT_FIELD,YR_OVERRIDE,TEXT(YEAR_Y-5,"0"))/100,"")))</f>
        <v/>
      </c>
      <c r="T24" s="68">
        <f>IF($C24="","",IF(PULL_FUND="N","",IFERROR(BDP($C24,PAYOUT_FIELD,YR_OVERRIDE,TEXT(YEAR_Y-4,"0"))/100,"")))</f>
        <v/>
      </c>
      <c r="U24" s="68">
        <f>IF($C24="","",IF(PULL_FUND="N","",IFERROR(BDP($C24,PAYOUT_FIELD,YR_OVERRIDE,TEXT(YEAR_Y-3,"0"))/100,"")))</f>
        <v/>
      </c>
      <c r="V24" s="68">
        <f>IF($C24="","",IF(PULL_FUND="N","",IFERROR(BDP($C24,PAYOUT_FIELD,YR_OVERRIDE,TEXT(YEAR_Y-2,"0"))/100,"")))</f>
        <v/>
      </c>
      <c r="W24" s="68">
        <f>IF($C24="","",IF(PULL_FUND="N","",IFERROR(BDP($C24,PAYOUT_FIELD,YR_OVERRIDE,TEXT(YEAR_Y-1,"0"))/100,"")))</f>
        <v/>
      </c>
      <c r="X24" s="69">
        <f>IF($C24="","",IFERROR(AVERAGE(S24:W24),""))</f>
        <v/>
      </c>
      <c r="Y24" s="66">
        <f>IF($C24="","",IF(PULL_FUND="N","",IFERROR(BDP($C24,BESTEPS_FIELD,FWD_OVERRIDE,TEXT(MOD(YEAR_Y,100),"00")&amp;"Y"),"")))</f>
        <v/>
      </c>
      <c r="Z24" s="70">
        <f>IF($C24="","",IF(PULL_FUND="N","",IFERROR(BDP($C24,BESTDPS_FIELD,FWD_OVERRIDE,TEXT(MOD(YEAR_Y,100),"00")&amp;"Y"),"")))</f>
        <v/>
      </c>
      <c r="AA24" s="71">
        <f>IF($C24="","",IF(ISNUMBER($Y24)*ISNUMBER($Z24)*($Y24&lt;&gt;0)=0,"",$Z24/$Y24))</f>
        <v/>
      </c>
      <c r="AB24" s="41">
        <f>IF($C24="","",HSI!$J$19+HSI!$L$19)</f>
        <v/>
      </c>
      <c r="AC24" s="72">
        <f>IF($C24="","",IF(PULL_FUND="N","",IF(COUNTIFS('Fund History'!$G$80:$G$84,"&gt;="&amp;DATE(YEAR_Y-4,1,1),'Fund History'!$G$80:$G$84,"&lt;="&amp;DATE(YEAR_Y-4,12,31))=0,"",SUMIFS('Fund History'!$H$80:$H$84,'Fund History'!$G$80:$G$84,"&gt;="&amp;DATE(YEAR_Y-4,1,1),'Fund History'!$G$80:$G$84,"&lt;="&amp;DATE(YEAR_Y-4,12,31))/100)))</f>
        <v/>
      </c>
      <c r="AD24" s="73">
        <f>IF($C24="","",IF(PULL_FUND="N","",IF(COUNTIFS('Fund History'!$G$80:$G$84,"&gt;="&amp;DATE(YEAR_Y-3,1,1),'Fund History'!$G$80:$G$84,"&lt;="&amp;DATE(YEAR_Y-3,12,31))=0,"",SUMIFS('Fund History'!$H$80:$H$84,'Fund History'!$G$80:$G$84,"&gt;="&amp;DATE(YEAR_Y-3,1,1),'Fund History'!$G$80:$G$84,"&lt;="&amp;DATE(YEAR_Y-3,12,31))/100)))</f>
        <v/>
      </c>
      <c r="AE24" s="73">
        <f>IF($C24="","",IF(PULL_FUND="N","",IF(COUNTIFS('Fund History'!$G$80:$G$84,"&gt;="&amp;DATE(YEAR_Y-2,1,1),'Fund History'!$G$80:$G$84,"&lt;="&amp;DATE(YEAR_Y-2,12,31))=0,"",SUMIFS('Fund History'!$H$80:$H$84,'Fund History'!$G$80:$G$84,"&gt;="&amp;DATE(YEAR_Y-2,1,1),'Fund History'!$G$80:$G$84,"&lt;="&amp;DATE(YEAR_Y-2,12,31))/100)))</f>
        <v/>
      </c>
      <c r="AF24" s="73">
        <f>IF($C24="","",IF(PULL_FUND="N","",IF(COUNTIFS('Fund History'!$G$80:$G$84,"&gt;="&amp;DATE(YEAR_Y-1,1,1),'Fund History'!$G$80:$G$84,"&lt;="&amp;DATE(YEAR_Y-1,12,31))=0,"",SUMIFS('Fund History'!$H$80:$H$84,'Fund History'!$G$80:$G$84,"&gt;="&amp;DATE(YEAR_Y-1,1,1),'Fund History'!$G$80:$G$84,"&lt;="&amp;DATE(YEAR_Y-1,12,31))/100)))</f>
        <v/>
      </c>
      <c r="AG24" s="74">
        <f>IF($C24="","",IF(N($AF24)+N(HSI!$I$19)=0,"",N($AF24)+N(HSI!$I$19)/100))</f>
        <v/>
      </c>
      <c r="AH24" s="66">
        <f>IF($C24="","",IF(PULL_FUND="N","",IF(COUNTIFS('Fund History'!$D$80:$D$84,"&gt;="&amp;DATE(YEAR_Y-2,1,1),'Fund History'!$D$80:$D$84,"&lt;="&amp;DATE(YEAR_Y-2,12,31))=0,"",SUMIFS('Fund History'!$E$80:$E$84,'Fund History'!$D$80:$D$84,"&gt;="&amp;DATE(YEAR_Y-2,1,1),'Fund History'!$D$80:$D$84,"&lt;="&amp;DATE(YEAR_Y-2,12,31)))))</f>
        <v/>
      </c>
      <c r="AI24" s="67">
        <f>IF($C24="","",IF(PULL_FUND="N","",IF(COUNTIFS('Fund History'!$D$80:$D$84,"&gt;="&amp;DATE(YEAR_Y-1,1,1),'Fund History'!$D$80:$D$84,"&lt;="&amp;DATE(YEAR_Y-1,12,31))=0,"",SUMIFS('Fund History'!$E$80:$E$84,'Fund History'!$D$80:$D$84,"&gt;="&amp;DATE(YEAR_Y-1,1,1),'Fund History'!$D$80:$D$84,"&lt;="&amp;DATE(YEAR_Y-1,12,31)))))</f>
        <v/>
      </c>
      <c r="AJ24" s="67">
        <f>IF($C24="","",IF(PULL_FUND="N","",IFERROR(BDP($C24,NDEBITDA_FIELD),"")))</f>
        <v/>
      </c>
      <c r="AK24" s="75">
        <f>IF($C24="","",IF(PULL_FUND="N","",IFERROR(BDP($C24,EBINT_FIELD),"")))</f>
        <v/>
      </c>
      <c r="AL24" s="73">
        <f>IF($C24="","",IF(PULL_FUND="N","",IFERROR(BDP($C24,FCF_FIELD)/100,"")))</f>
        <v/>
      </c>
      <c r="AM24" s="76">
        <f>IF($C24="","",IF(ISNUMBER(HSI!$I$19),HSI!$I$19/100,""))</f>
        <v/>
      </c>
      <c r="AN24" s="47">
        <f>IF($C24="","",IF(N($AM24)=0,"",IFERROR($AL24/$AM24,"")))</f>
        <v/>
      </c>
      <c r="AO24" s="33">
        <f>IF($C24="","",IF(ISNUMBER($S24)*ISNUMBER($W24)=0,"",IF($W24&gt;$S24+0.05,"rising",IF($W24&lt;$S24-0.05,"falling","stable"))))</f>
        <v/>
      </c>
      <c r="AP24" s="77">
        <f>IF($C24="","",TRIM(IF(ISNUMBER($X24)*(N($X24)&gt;$D$4)&gt;0,"payout high  ","")&amp;IF(ISNUMBER($AN24)*(N($AN24)&lt;$F$4)&gt;0,"FCF below dvd  ","")&amp;IF(ISNUMBER($AJ24)*(N($AJ24)&gt;$H$4)&gt;0,"leverage high","")))</f>
        <v/>
      </c>
      <c r="AQ24" s="78">
        <f>IF($C24="","",IF(HSI!$F$19="HKD","",HSI!$F$19))</f>
        <v/>
      </c>
    </row>
    <row r="25">
      <c r="B25" s="62" t="inlineStr">
        <is>
          <t>HSI</t>
        </is>
      </c>
      <c r="C25" s="6">
        <f>IF(HSI!$C$20="","",HSI!$C$20)</f>
        <v/>
      </c>
      <c r="D25" s="6">
        <f>IF($C25="","",HSI!$D$20)</f>
        <v/>
      </c>
      <c r="E25" s="6">
        <f>IF($C25="","",HSI!$E$20)</f>
        <v/>
      </c>
      <c r="F25" s="63">
        <f>IF($C25="","",SUMPRODUCT(('Dvd Calendar'!$E$154:$AR$154&gt;=DATE(YEAR_Y-5,1,1))*('Dvd Calendar'!$E$154:$AR$154&lt;=DATE(YEAR_Y-5,12,31))*'Dvd Calendar'!$E$157:$AR$157*(('Dvd Calendar'!$E$159:$AR$159=TYPE1)*(TYPE1&lt;&gt;"")+('Dvd Calendar'!$E$159:$AR$159=TYPE2)*(TYPE2&lt;&gt;"")+('Dvd Calendar'!$E$159:$AR$159=TYPE3)*(TYPE3&lt;&gt;"")+('Dvd Calendar'!$E$159:$AR$159=TYPE4)*(TYPE4&lt;&gt;"")+('Dvd Calendar'!$E$159:$AR$159=SPECIAL_LBL)*(INC_SPECIALS="Y"))))</f>
        <v/>
      </c>
      <c r="G25" s="64">
        <f>IF($C25="","",SUMPRODUCT(('Dvd Calendar'!$E$154:$AR$154&gt;=DATE(YEAR_Y-4,1,1))*('Dvd Calendar'!$E$154:$AR$154&lt;=DATE(YEAR_Y-4,12,31))*'Dvd Calendar'!$E$157:$AR$157*(('Dvd Calendar'!$E$159:$AR$159=TYPE1)*(TYPE1&lt;&gt;"")+('Dvd Calendar'!$E$159:$AR$159=TYPE2)*(TYPE2&lt;&gt;"")+('Dvd Calendar'!$E$159:$AR$159=TYPE3)*(TYPE3&lt;&gt;"")+('Dvd Calendar'!$E$159:$AR$159=TYPE4)*(TYPE4&lt;&gt;"")+('Dvd Calendar'!$E$159:$AR$159=SPECIAL_LBL)*(INC_SPECIALS="Y"))))</f>
        <v/>
      </c>
      <c r="H25" s="64">
        <f>IF($C25="","",SUMPRODUCT(('Dvd Calendar'!$E$154:$AR$154&gt;=DATE(YEAR_Y-3,1,1))*('Dvd Calendar'!$E$154:$AR$154&lt;=DATE(YEAR_Y-3,12,31))*'Dvd Calendar'!$E$157:$AR$157*(('Dvd Calendar'!$E$159:$AR$159=TYPE1)*(TYPE1&lt;&gt;"")+('Dvd Calendar'!$E$159:$AR$159=TYPE2)*(TYPE2&lt;&gt;"")+('Dvd Calendar'!$E$159:$AR$159=TYPE3)*(TYPE3&lt;&gt;"")+('Dvd Calendar'!$E$159:$AR$159=TYPE4)*(TYPE4&lt;&gt;"")+('Dvd Calendar'!$E$159:$AR$159=SPECIAL_LBL)*(INC_SPECIALS="Y"))))</f>
        <v/>
      </c>
      <c r="I25" s="64">
        <f>IF($C25="","",SUMPRODUCT(('Dvd Calendar'!$E$154:$AR$154&gt;=DATE(YEAR_Y-2,1,1))*('Dvd Calendar'!$E$154:$AR$154&lt;=DATE(YEAR_Y-2,12,31))*'Dvd Calendar'!$E$157:$AR$157*(('Dvd Calendar'!$E$159:$AR$159=TYPE1)*(TYPE1&lt;&gt;"")+('Dvd Calendar'!$E$159:$AR$159=TYPE2)*(TYPE2&lt;&gt;"")+('Dvd Calendar'!$E$159:$AR$159=TYPE3)*(TYPE3&lt;&gt;"")+('Dvd Calendar'!$E$159:$AR$159=TYPE4)*(TYPE4&lt;&gt;"")+('Dvd Calendar'!$E$159:$AR$159=SPECIAL_LBL)*(INC_SPECIALS="Y"))))</f>
        <v/>
      </c>
      <c r="J25" s="64">
        <f>IF($C25="","",SUMPRODUCT(('Dvd Calendar'!$E$154:$AR$154&gt;=DATE(YEAR_Y-1,1,1))*('Dvd Calendar'!$E$154:$AR$154&lt;=DATE(YEAR_Y-1,12,31))*'Dvd Calendar'!$E$157:$AR$157*(('Dvd Calendar'!$E$159:$AR$159=TYPE1)*(TYPE1&lt;&gt;"")+('Dvd Calendar'!$E$159:$AR$159=TYPE2)*(TYPE2&lt;&gt;"")+('Dvd Calendar'!$E$159:$AR$159=TYPE3)*(TYPE3&lt;&gt;"")+('Dvd Calendar'!$E$159:$AR$159=TYPE4)*(TYPE4&lt;&gt;"")+('Dvd Calendar'!$E$159:$AR$159=SPECIAL_LBL)*(INC_SPECIALS="Y"))))</f>
        <v/>
      </c>
      <c r="K25" s="65">
        <f>IF($C25="","",HSI!$J$20)</f>
        <v/>
      </c>
      <c r="L25" s="65">
        <f>IF($C25="","",HSI!$K$20)</f>
        <v/>
      </c>
      <c r="M25" s="41">
        <f>IF($C25="","",AVERAGE(F25:J25))</f>
        <v/>
      </c>
      <c r="N25" s="66">
        <f>IF($C25="","",IF(PULL_FUND="N","",IFERROR(BDP($C25,EPS_FIELD,YR_OVERRIDE,TEXT(YEAR_Y-5,"0")),"")))</f>
        <v/>
      </c>
      <c r="O25" s="67">
        <f>IF($C25="","",IF(PULL_FUND="N","",IFERROR(BDP($C25,EPS_FIELD,YR_OVERRIDE,TEXT(YEAR_Y-4,"0")),"")))</f>
        <v/>
      </c>
      <c r="P25" s="67">
        <f>IF($C25="","",IF(PULL_FUND="N","",IFERROR(BDP($C25,EPS_FIELD,YR_OVERRIDE,TEXT(YEAR_Y-3,"0")),"")))</f>
        <v/>
      </c>
      <c r="Q25" s="67">
        <f>IF($C25="","",IF(PULL_FUND="N","",IFERROR(BDP($C25,EPS_FIELD,YR_OVERRIDE,TEXT(YEAR_Y-2,"0")),"")))</f>
        <v/>
      </c>
      <c r="R25" s="67">
        <f>IF($C25="","",IF(PULL_FUND="N","",IFERROR(BDP($C25,EPS_FIELD,YR_OVERRIDE,TEXT(YEAR_Y-1,"0")),"")))</f>
        <v/>
      </c>
      <c r="S25" s="68">
        <f>IF($C25="","",IF(PULL_FUND="N","",IFERROR(BDP($C25,PAYOUT_FIELD,YR_OVERRIDE,TEXT(YEAR_Y-5,"0"))/100,"")))</f>
        <v/>
      </c>
      <c r="T25" s="68">
        <f>IF($C25="","",IF(PULL_FUND="N","",IFERROR(BDP($C25,PAYOUT_FIELD,YR_OVERRIDE,TEXT(YEAR_Y-4,"0"))/100,"")))</f>
        <v/>
      </c>
      <c r="U25" s="68">
        <f>IF($C25="","",IF(PULL_FUND="N","",IFERROR(BDP($C25,PAYOUT_FIELD,YR_OVERRIDE,TEXT(YEAR_Y-3,"0"))/100,"")))</f>
        <v/>
      </c>
      <c r="V25" s="68">
        <f>IF($C25="","",IF(PULL_FUND="N","",IFERROR(BDP($C25,PAYOUT_FIELD,YR_OVERRIDE,TEXT(YEAR_Y-2,"0"))/100,"")))</f>
        <v/>
      </c>
      <c r="W25" s="68">
        <f>IF($C25="","",IF(PULL_FUND="N","",IFERROR(BDP($C25,PAYOUT_FIELD,YR_OVERRIDE,TEXT(YEAR_Y-1,"0"))/100,"")))</f>
        <v/>
      </c>
      <c r="X25" s="69">
        <f>IF($C25="","",IFERROR(AVERAGE(S25:W25),""))</f>
        <v/>
      </c>
      <c r="Y25" s="66">
        <f>IF($C25="","",IF(PULL_FUND="N","",IFERROR(BDP($C25,BESTEPS_FIELD,FWD_OVERRIDE,TEXT(MOD(YEAR_Y,100),"00")&amp;"Y"),"")))</f>
        <v/>
      </c>
      <c r="Z25" s="70">
        <f>IF($C25="","",IF(PULL_FUND="N","",IFERROR(BDP($C25,BESTDPS_FIELD,FWD_OVERRIDE,TEXT(MOD(YEAR_Y,100),"00")&amp;"Y"),"")))</f>
        <v/>
      </c>
      <c r="AA25" s="71">
        <f>IF($C25="","",IF(ISNUMBER($Y25)*ISNUMBER($Z25)*($Y25&lt;&gt;0)=0,"",$Z25/$Y25))</f>
        <v/>
      </c>
      <c r="AB25" s="41">
        <f>IF($C25="","",HSI!$J$20+HSI!$L$20)</f>
        <v/>
      </c>
      <c r="AC25" s="72">
        <f>IF($C25="","",IF(PULL_FUND="N","",IF(COUNTIFS('Fund History'!$G$86:$G$90,"&gt;="&amp;DATE(YEAR_Y-4,1,1),'Fund History'!$G$86:$G$90,"&lt;="&amp;DATE(YEAR_Y-4,12,31))=0,"",SUMIFS('Fund History'!$H$86:$H$90,'Fund History'!$G$86:$G$90,"&gt;="&amp;DATE(YEAR_Y-4,1,1),'Fund History'!$G$86:$G$90,"&lt;="&amp;DATE(YEAR_Y-4,12,31))/100)))</f>
        <v/>
      </c>
      <c r="AD25" s="73">
        <f>IF($C25="","",IF(PULL_FUND="N","",IF(COUNTIFS('Fund History'!$G$86:$G$90,"&gt;="&amp;DATE(YEAR_Y-3,1,1),'Fund History'!$G$86:$G$90,"&lt;="&amp;DATE(YEAR_Y-3,12,31))=0,"",SUMIFS('Fund History'!$H$86:$H$90,'Fund History'!$G$86:$G$90,"&gt;="&amp;DATE(YEAR_Y-3,1,1),'Fund History'!$G$86:$G$90,"&lt;="&amp;DATE(YEAR_Y-3,12,31))/100)))</f>
        <v/>
      </c>
      <c r="AE25" s="73">
        <f>IF($C25="","",IF(PULL_FUND="N","",IF(COUNTIFS('Fund History'!$G$86:$G$90,"&gt;="&amp;DATE(YEAR_Y-2,1,1),'Fund History'!$G$86:$G$90,"&lt;="&amp;DATE(YEAR_Y-2,12,31))=0,"",SUMIFS('Fund History'!$H$86:$H$90,'Fund History'!$G$86:$G$90,"&gt;="&amp;DATE(YEAR_Y-2,1,1),'Fund History'!$G$86:$G$90,"&lt;="&amp;DATE(YEAR_Y-2,12,31))/100)))</f>
        <v/>
      </c>
      <c r="AF25" s="73">
        <f>IF($C25="","",IF(PULL_FUND="N","",IF(COUNTIFS('Fund History'!$G$86:$G$90,"&gt;="&amp;DATE(YEAR_Y-1,1,1),'Fund History'!$G$86:$G$90,"&lt;="&amp;DATE(YEAR_Y-1,12,31))=0,"",SUMIFS('Fund History'!$H$86:$H$90,'Fund History'!$G$86:$G$90,"&gt;="&amp;DATE(YEAR_Y-1,1,1),'Fund History'!$G$86:$G$90,"&lt;="&amp;DATE(YEAR_Y-1,12,31))/100)))</f>
        <v/>
      </c>
      <c r="AG25" s="74">
        <f>IF($C25="","",IF(N($AF25)+N(HSI!$I$20)=0,"",N($AF25)+N(HSI!$I$20)/100))</f>
        <v/>
      </c>
      <c r="AH25" s="66">
        <f>IF($C25="","",IF(PULL_FUND="N","",IF(COUNTIFS('Fund History'!$D$86:$D$90,"&gt;="&amp;DATE(YEAR_Y-2,1,1),'Fund History'!$D$86:$D$90,"&lt;="&amp;DATE(YEAR_Y-2,12,31))=0,"",SUMIFS('Fund History'!$E$86:$E$90,'Fund History'!$D$86:$D$90,"&gt;="&amp;DATE(YEAR_Y-2,1,1),'Fund History'!$D$86:$D$90,"&lt;="&amp;DATE(YEAR_Y-2,12,31)))))</f>
        <v/>
      </c>
      <c r="AI25" s="67">
        <f>IF($C25="","",IF(PULL_FUND="N","",IF(COUNTIFS('Fund History'!$D$86:$D$90,"&gt;="&amp;DATE(YEAR_Y-1,1,1),'Fund History'!$D$86:$D$90,"&lt;="&amp;DATE(YEAR_Y-1,12,31))=0,"",SUMIFS('Fund History'!$E$86:$E$90,'Fund History'!$D$86:$D$90,"&gt;="&amp;DATE(YEAR_Y-1,1,1),'Fund History'!$D$86:$D$90,"&lt;="&amp;DATE(YEAR_Y-1,12,31)))))</f>
        <v/>
      </c>
      <c r="AJ25" s="67">
        <f>IF($C25="","",IF(PULL_FUND="N","",IFERROR(BDP($C25,NDEBITDA_FIELD),"")))</f>
        <v/>
      </c>
      <c r="AK25" s="75">
        <f>IF($C25="","",IF(PULL_FUND="N","",IFERROR(BDP($C25,EBINT_FIELD),"")))</f>
        <v/>
      </c>
      <c r="AL25" s="73">
        <f>IF($C25="","",IF(PULL_FUND="N","",IFERROR(BDP($C25,FCF_FIELD)/100,"")))</f>
        <v/>
      </c>
      <c r="AM25" s="76">
        <f>IF($C25="","",IF(ISNUMBER(HSI!$I$20),HSI!$I$20/100,""))</f>
        <v/>
      </c>
      <c r="AN25" s="47">
        <f>IF($C25="","",IF(N($AM25)=0,"",IFERROR($AL25/$AM25,"")))</f>
        <v/>
      </c>
      <c r="AO25" s="33">
        <f>IF($C25="","",IF(ISNUMBER($S25)*ISNUMBER($W25)=0,"",IF($W25&gt;$S25+0.05,"rising",IF($W25&lt;$S25-0.05,"falling","stable"))))</f>
        <v/>
      </c>
      <c r="AP25" s="77">
        <f>IF($C25="","",TRIM(IF(ISNUMBER($X25)*(N($X25)&gt;$D$4)&gt;0,"payout high  ","")&amp;IF(ISNUMBER($AN25)*(N($AN25)&lt;$F$4)&gt;0,"FCF below dvd  ","")&amp;IF(ISNUMBER($AJ25)*(N($AJ25)&gt;$H$4)&gt;0,"leverage high","")))</f>
        <v/>
      </c>
      <c r="AQ25" s="78">
        <f>IF($C25="","",IF(HSI!$F$20="HKD","",HSI!$F$20))</f>
        <v/>
      </c>
    </row>
    <row r="26">
      <c r="B26" s="62" t="inlineStr">
        <is>
          <t>HSI</t>
        </is>
      </c>
      <c r="C26" s="6">
        <f>IF(HSI!$C$21="","",HSI!$C$21)</f>
        <v/>
      </c>
      <c r="D26" s="6">
        <f>IF($C26="","",HSI!$D$21)</f>
        <v/>
      </c>
      <c r="E26" s="6">
        <f>IF($C26="","",HSI!$E$21)</f>
        <v/>
      </c>
      <c r="F26" s="63">
        <f>IF($C26="","",SUMPRODUCT(('Dvd Calendar'!$E$165:$AR$165&gt;=DATE(YEAR_Y-5,1,1))*('Dvd Calendar'!$E$165:$AR$165&lt;=DATE(YEAR_Y-5,12,31))*'Dvd Calendar'!$E$168:$AR$168*(('Dvd Calendar'!$E$170:$AR$170=TYPE1)*(TYPE1&lt;&gt;"")+('Dvd Calendar'!$E$170:$AR$170=TYPE2)*(TYPE2&lt;&gt;"")+('Dvd Calendar'!$E$170:$AR$170=TYPE3)*(TYPE3&lt;&gt;"")+('Dvd Calendar'!$E$170:$AR$170=TYPE4)*(TYPE4&lt;&gt;"")+('Dvd Calendar'!$E$170:$AR$170=SPECIAL_LBL)*(INC_SPECIALS="Y"))))</f>
        <v/>
      </c>
      <c r="G26" s="64">
        <f>IF($C26="","",SUMPRODUCT(('Dvd Calendar'!$E$165:$AR$165&gt;=DATE(YEAR_Y-4,1,1))*('Dvd Calendar'!$E$165:$AR$165&lt;=DATE(YEAR_Y-4,12,31))*'Dvd Calendar'!$E$168:$AR$168*(('Dvd Calendar'!$E$170:$AR$170=TYPE1)*(TYPE1&lt;&gt;"")+('Dvd Calendar'!$E$170:$AR$170=TYPE2)*(TYPE2&lt;&gt;"")+('Dvd Calendar'!$E$170:$AR$170=TYPE3)*(TYPE3&lt;&gt;"")+('Dvd Calendar'!$E$170:$AR$170=TYPE4)*(TYPE4&lt;&gt;"")+('Dvd Calendar'!$E$170:$AR$170=SPECIAL_LBL)*(INC_SPECIALS="Y"))))</f>
        <v/>
      </c>
      <c r="H26" s="64">
        <f>IF($C26="","",SUMPRODUCT(('Dvd Calendar'!$E$165:$AR$165&gt;=DATE(YEAR_Y-3,1,1))*('Dvd Calendar'!$E$165:$AR$165&lt;=DATE(YEAR_Y-3,12,31))*'Dvd Calendar'!$E$168:$AR$168*(('Dvd Calendar'!$E$170:$AR$170=TYPE1)*(TYPE1&lt;&gt;"")+('Dvd Calendar'!$E$170:$AR$170=TYPE2)*(TYPE2&lt;&gt;"")+('Dvd Calendar'!$E$170:$AR$170=TYPE3)*(TYPE3&lt;&gt;"")+('Dvd Calendar'!$E$170:$AR$170=TYPE4)*(TYPE4&lt;&gt;"")+('Dvd Calendar'!$E$170:$AR$170=SPECIAL_LBL)*(INC_SPECIALS="Y"))))</f>
        <v/>
      </c>
      <c r="I26" s="64">
        <f>IF($C26="","",SUMPRODUCT(('Dvd Calendar'!$E$165:$AR$165&gt;=DATE(YEAR_Y-2,1,1))*('Dvd Calendar'!$E$165:$AR$165&lt;=DATE(YEAR_Y-2,12,31))*'Dvd Calendar'!$E$168:$AR$168*(('Dvd Calendar'!$E$170:$AR$170=TYPE1)*(TYPE1&lt;&gt;"")+('Dvd Calendar'!$E$170:$AR$170=TYPE2)*(TYPE2&lt;&gt;"")+('Dvd Calendar'!$E$170:$AR$170=TYPE3)*(TYPE3&lt;&gt;"")+('Dvd Calendar'!$E$170:$AR$170=TYPE4)*(TYPE4&lt;&gt;"")+('Dvd Calendar'!$E$170:$AR$170=SPECIAL_LBL)*(INC_SPECIALS="Y"))))</f>
        <v/>
      </c>
      <c r="J26" s="64">
        <f>IF($C26="","",SUMPRODUCT(('Dvd Calendar'!$E$165:$AR$165&gt;=DATE(YEAR_Y-1,1,1))*('Dvd Calendar'!$E$165:$AR$165&lt;=DATE(YEAR_Y-1,12,31))*'Dvd Calendar'!$E$168:$AR$168*(('Dvd Calendar'!$E$170:$AR$170=TYPE1)*(TYPE1&lt;&gt;"")+('Dvd Calendar'!$E$170:$AR$170=TYPE2)*(TYPE2&lt;&gt;"")+('Dvd Calendar'!$E$170:$AR$170=TYPE3)*(TYPE3&lt;&gt;"")+('Dvd Calendar'!$E$170:$AR$170=TYPE4)*(TYPE4&lt;&gt;"")+('Dvd Calendar'!$E$170:$AR$170=SPECIAL_LBL)*(INC_SPECIALS="Y"))))</f>
        <v/>
      </c>
      <c r="K26" s="65">
        <f>IF($C26="","",HSI!$J$21)</f>
        <v/>
      </c>
      <c r="L26" s="65">
        <f>IF($C26="","",HSI!$K$21)</f>
        <v/>
      </c>
      <c r="M26" s="41">
        <f>IF($C26="","",AVERAGE(F26:J26))</f>
        <v/>
      </c>
      <c r="N26" s="66">
        <f>IF($C26="","",IF(PULL_FUND="N","",IFERROR(BDP($C26,EPS_FIELD,YR_OVERRIDE,TEXT(YEAR_Y-5,"0")),"")))</f>
        <v/>
      </c>
      <c r="O26" s="67">
        <f>IF($C26="","",IF(PULL_FUND="N","",IFERROR(BDP($C26,EPS_FIELD,YR_OVERRIDE,TEXT(YEAR_Y-4,"0")),"")))</f>
        <v/>
      </c>
      <c r="P26" s="67">
        <f>IF($C26="","",IF(PULL_FUND="N","",IFERROR(BDP($C26,EPS_FIELD,YR_OVERRIDE,TEXT(YEAR_Y-3,"0")),"")))</f>
        <v/>
      </c>
      <c r="Q26" s="67">
        <f>IF($C26="","",IF(PULL_FUND="N","",IFERROR(BDP($C26,EPS_FIELD,YR_OVERRIDE,TEXT(YEAR_Y-2,"0")),"")))</f>
        <v/>
      </c>
      <c r="R26" s="67">
        <f>IF($C26="","",IF(PULL_FUND="N","",IFERROR(BDP($C26,EPS_FIELD,YR_OVERRIDE,TEXT(YEAR_Y-1,"0")),"")))</f>
        <v/>
      </c>
      <c r="S26" s="68">
        <f>IF($C26="","",IF(PULL_FUND="N","",IFERROR(BDP($C26,PAYOUT_FIELD,YR_OVERRIDE,TEXT(YEAR_Y-5,"0"))/100,"")))</f>
        <v/>
      </c>
      <c r="T26" s="68">
        <f>IF($C26="","",IF(PULL_FUND="N","",IFERROR(BDP($C26,PAYOUT_FIELD,YR_OVERRIDE,TEXT(YEAR_Y-4,"0"))/100,"")))</f>
        <v/>
      </c>
      <c r="U26" s="68">
        <f>IF($C26="","",IF(PULL_FUND="N","",IFERROR(BDP($C26,PAYOUT_FIELD,YR_OVERRIDE,TEXT(YEAR_Y-3,"0"))/100,"")))</f>
        <v/>
      </c>
      <c r="V26" s="68">
        <f>IF($C26="","",IF(PULL_FUND="N","",IFERROR(BDP($C26,PAYOUT_FIELD,YR_OVERRIDE,TEXT(YEAR_Y-2,"0"))/100,"")))</f>
        <v/>
      </c>
      <c r="W26" s="68">
        <f>IF($C26="","",IF(PULL_FUND="N","",IFERROR(BDP($C26,PAYOUT_FIELD,YR_OVERRIDE,TEXT(YEAR_Y-1,"0"))/100,"")))</f>
        <v/>
      </c>
      <c r="X26" s="69">
        <f>IF($C26="","",IFERROR(AVERAGE(S26:W26),""))</f>
        <v/>
      </c>
      <c r="Y26" s="66">
        <f>IF($C26="","",IF(PULL_FUND="N","",IFERROR(BDP($C26,BESTEPS_FIELD,FWD_OVERRIDE,TEXT(MOD(YEAR_Y,100),"00")&amp;"Y"),"")))</f>
        <v/>
      </c>
      <c r="Z26" s="70">
        <f>IF($C26="","",IF(PULL_FUND="N","",IFERROR(BDP($C26,BESTDPS_FIELD,FWD_OVERRIDE,TEXT(MOD(YEAR_Y,100),"00")&amp;"Y"),"")))</f>
        <v/>
      </c>
      <c r="AA26" s="71">
        <f>IF($C26="","",IF(ISNUMBER($Y26)*ISNUMBER($Z26)*($Y26&lt;&gt;0)=0,"",$Z26/$Y26))</f>
        <v/>
      </c>
      <c r="AB26" s="41">
        <f>IF($C26="","",HSI!$J$21+HSI!$L$21)</f>
        <v/>
      </c>
      <c r="AC26" s="72">
        <f>IF($C26="","",IF(PULL_FUND="N","",IF(COUNTIFS('Fund History'!$G$92:$G$96,"&gt;="&amp;DATE(YEAR_Y-4,1,1),'Fund History'!$G$92:$G$96,"&lt;="&amp;DATE(YEAR_Y-4,12,31))=0,"",SUMIFS('Fund History'!$H$92:$H$96,'Fund History'!$G$92:$G$96,"&gt;="&amp;DATE(YEAR_Y-4,1,1),'Fund History'!$G$92:$G$96,"&lt;="&amp;DATE(YEAR_Y-4,12,31))/100)))</f>
        <v/>
      </c>
      <c r="AD26" s="73">
        <f>IF($C26="","",IF(PULL_FUND="N","",IF(COUNTIFS('Fund History'!$G$92:$G$96,"&gt;="&amp;DATE(YEAR_Y-3,1,1),'Fund History'!$G$92:$G$96,"&lt;="&amp;DATE(YEAR_Y-3,12,31))=0,"",SUMIFS('Fund History'!$H$92:$H$96,'Fund History'!$G$92:$G$96,"&gt;="&amp;DATE(YEAR_Y-3,1,1),'Fund History'!$G$92:$G$96,"&lt;="&amp;DATE(YEAR_Y-3,12,31))/100)))</f>
        <v/>
      </c>
      <c r="AE26" s="73">
        <f>IF($C26="","",IF(PULL_FUND="N","",IF(COUNTIFS('Fund History'!$G$92:$G$96,"&gt;="&amp;DATE(YEAR_Y-2,1,1),'Fund History'!$G$92:$G$96,"&lt;="&amp;DATE(YEAR_Y-2,12,31))=0,"",SUMIFS('Fund History'!$H$92:$H$96,'Fund History'!$G$92:$G$96,"&gt;="&amp;DATE(YEAR_Y-2,1,1),'Fund History'!$G$92:$G$96,"&lt;="&amp;DATE(YEAR_Y-2,12,31))/100)))</f>
        <v/>
      </c>
      <c r="AF26" s="73">
        <f>IF($C26="","",IF(PULL_FUND="N","",IF(COUNTIFS('Fund History'!$G$92:$G$96,"&gt;="&amp;DATE(YEAR_Y-1,1,1),'Fund History'!$G$92:$G$96,"&lt;="&amp;DATE(YEAR_Y-1,12,31))=0,"",SUMIFS('Fund History'!$H$92:$H$96,'Fund History'!$G$92:$G$96,"&gt;="&amp;DATE(YEAR_Y-1,1,1),'Fund History'!$G$92:$G$96,"&lt;="&amp;DATE(YEAR_Y-1,12,31))/100)))</f>
        <v/>
      </c>
      <c r="AG26" s="74">
        <f>IF($C26="","",IF(N($AF26)+N(HSI!$I$21)=0,"",N($AF26)+N(HSI!$I$21)/100))</f>
        <v/>
      </c>
      <c r="AH26" s="66">
        <f>IF($C26="","",IF(PULL_FUND="N","",IF(COUNTIFS('Fund History'!$D$92:$D$96,"&gt;="&amp;DATE(YEAR_Y-2,1,1),'Fund History'!$D$92:$D$96,"&lt;="&amp;DATE(YEAR_Y-2,12,31))=0,"",SUMIFS('Fund History'!$E$92:$E$96,'Fund History'!$D$92:$D$96,"&gt;="&amp;DATE(YEAR_Y-2,1,1),'Fund History'!$D$92:$D$96,"&lt;="&amp;DATE(YEAR_Y-2,12,31)))))</f>
        <v/>
      </c>
      <c r="AI26" s="67">
        <f>IF($C26="","",IF(PULL_FUND="N","",IF(COUNTIFS('Fund History'!$D$92:$D$96,"&gt;="&amp;DATE(YEAR_Y-1,1,1),'Fund History'!$D$92:$D$96,"&lt;="&amp;DATE(YEAR_Y-1,12,31))=0,"",SUMIFS('Fund History'!$E$92:$E$96,'Fund History'!$D$92:$D$96,"&gt;="&amp;DATE(YEAR_Y-1,1,1),'Fund History'!$D$92:$D$96,"&lt;="&amp;DATE(YEAR_Y-1,12,31)))))</f>
        <v/>
      </c>
      <c r="AJ26" s="67">
        <f>IF($C26="","",IF(PULL_FUND="N","",IFERROR(BDP($C26,NDEBITDA_FIELD),"")))</f>
        <v/>
      </c>
      <c r="AK26" s="75">
        <f>IF($C26="","",IF(PULL_FUND="N","",IFERROR(BDP($C26,EBINT_FIELD),"")))</f>
        <v/>
      </c>
      <c r="AL26" s="73">
        <f>IF($C26="","",IF(PULL_FUND="N","",IFERROR(BDP($C26,FCF_FIELD)/100,"")))</f>
        <v/>
      </c>
      <c r="AM26" s="76">
        <f>IF($C26="","",IF(ISNUMBER(HSI!$I$21),HSI!$I$21/100,""))</f>
        <v/>
      </c>
      <c r="AN26" s="47">
        <f>IF($C26="","",IF(N($AM26)=0,"",IFERROR($AL26/$AM26,"")))</f>
        <v/>
      </c>
      <c r="AO26" s="33">
        <f>IF($C26="","",IF(ISNUMBER($S26)*ISNUMBER($W26)=0,"",IF($W26&gt;$S26+0.05,"rising",IF($W26&lt;$S26-0.05,"falling","stable"))))</f>
        <v/>
      </c>
      <c r="AP26" s="77">
        <f>IF($C26="","",TRIM(IF(ISNUMBER($X26)*(N($X26)&gt;$D$4)&gt;0,"payout high  ","")&amp;IF(ISNUMBER($AN26)*(N($AN26)&lt;$F$4)&gt;0,"FCF below dvd  ","")&amp;IF(ISNUMBER($AJ26)*(N($AJ26)&gt;$H$4)&gt;0,"leverage high","")))</f>
        <v/>
      </c>
      <c r="AQ26" s="78">
        <f>IF($C26="","",IF(HSI!$F$21="HKD","",HSI!$F$21))</f>
        <v/>
      </c>
    </row>
    <row r="27">
      <c r="B27" s="62" t="inlineStr">
        <is>
          <t>HSI</t>
        </is>
      </c>
      <c r="C27" s="6">
        <f>IF(HSI!$C$22="","",HSI!$C$22)</f>
        <v/>
      </c>
      <c r="D27" s="6">
        <f>IF($C27="","",HSI!$D$22)</f>
        <v/>
      </c>
      <c r="E27" s="6">
        <f>IF($C27="","",HSI!$E$22)</f>
        <v/>
      </c>
      <c r="F27" s="63">
        <f>IF($C27="","",SUMPRODUCT(('Dvd Calendar'!$E$176:$AR$176&gt;=DATE(YEAR_Y-5,1,1))*('Dvd Calendar'!$E$176:$AR$176&lt;=DATE(YEAR_Y-5,12,31))*'Dvd Calendar'!$E$179:$AR$179*(('Dvd Calendar'!$E$181:$AR$181=TYPE1)*(TYPE1&lt;&gt;"")+('Dvd Calendar'!$E$181:$AR$181=TYPE2)*(TYPE2&lt;&gt;"")+('Dvd Calendar'!$E$181:$AR$181=TYPE3)*(TYPE3&lt;&gt;"")+('Dvd Calendar'!$E$181:$AR$181=TYPE4)*(TYPE4&lt;&gt;"")+('Dvd Calendar'!$E$181:$AR$181=SPECIAL_LBL)*(INC_SPECIALS="Y"))))</f>
        <v/>
      </c>
      <c r="G27" s="64">
        <f>IF($C27="","",SUMPRODUCT(('Dvd Calendar'!$E$176:$AR$176&gt;=DATE(YEAR_Y-4,1,1))*('Dvd Calendar'!$E$176:$AR$176&lt;=DATE(YEAR_Y-4,12,31))*'Dvd Calendar'!$E$179:$AR$179*(('Dvd Calendar'!$E$181:$AR$181=TYPE1)*(TYPE1&lt;&gt;"")+('Dvd Calendar'!$E$181:$AR$181=TYPE2)*(TYPE2&lt;&gt;"")+('Dvd Calendar'!$E$181:$AR$181=TYPE3)*(TYPE3&lt;&gt;"")+('Dvd Calendar'!$E$181:$AR$181=TYPE4)*(TYPE4&lt;&gt;"")+('Dvd Calendar'!$E$181:$AR$181=SPECIAL_LBL)*(INC_SPECIALS="Y"))))</f>
        <v/>
      </c>
      <c r="H27" s="64">
        <f>IF($C27="","",SUMPRODUCT(('Dvd Calendar'!$E$176:$AR$176&gt;=DATE(YEAR_Y-3,1,1))*('Dvd Calendar'!$E$176:$AR$176&lt;=DATE(YEAR_Y-3,12,31))*'Dvd Calendar'!$E$179:$AR$179*(('Dvd Calendar'!$E$181:$AR$181=TYPE1)*(TYPE1&lt;&gt;"")+('Dvd Calendar'!$E$181:$AR$181=TYPE2)*(TYPE2&lt;&gt;"")+('Dvd Calendar'!$E$181:$AR$181=TYPE3)*(TYPE3&lt;&gt;"")+('Dvd Calendar'!$E$181:$AR$181=TYPE4)*(TYPE4&lt;&gt;"")+('Dvd Calendar'!$E$181:$AR$181=SPECIAL_LBL)*(INC_SPECIALS="Y"))))</f>
        <v/>
      </c>
      <c r="I27" s="64">
        <f>IF($C27="","",SUMPRODUCT(('Dvd Calendar'!$E$176:$AR$176&gt;=DATE(YEAR_Y-2,1,1))*('Dvd Calendar'!$E$176:$AR$176&lt;=DATE(YEAR_Y-2,12,31))*'Dvd Calendar'!$E$179:$AR$179*(('Dvd Calendar'!$E$181:$AR$181=TYPE1)*(TYPE1&lt;&gt;"")+('Dvd Calendar'!$E$181:$AR$181=TYPE2)*(TYPE2&lt;&gt;"")+('Dvd Calendar'!$E$181:$AR$181=TYPE3)*(TYPE3&lt;&gt;"")+('Dvd Calendar'!$E$181:$AR$181=TYPE4)*(TYPE4&lt;&gt;"")+('Dvd Calendar'!$E$181:$AR$181=SPECIAL_LBL)*(INC_SPECIALS="Y"))))</f>
        <v/>
      </c>
      <c r="J27" s="64">
        <f>IF($C27="","",SUMPRODUCT(('Dvd Calendar'!$E$176:$AR$176&gt;=DATE(YEAR_Y-1,1,1))*('Dvd Calendar'!$E$176:$AR$176&lt;=DATE(YEAR_Y-1,12,31))*'Dvd Calendar'!$E$179:$AR$179*(('Dvd Calendar'!$E$181:$AR$181=TYPE1)*(TYPE1&lt;&gt;"")+('Dvd Calendar'!$E$181:$AR$181=TYPE2)*(TYPE2&lt;&gt;"")+('Dvd Calendar'!$E$181:$AR$181=TYPE3)*(TYPE3&lt;&gt;"")+('Dvd Calendar'!$E$181:$AR$181=TYPE4)*(TYPE4&lt;&gt;"")+('Dvd Calendar'!$E$181:$AR$181=SPECIAL_LBL)*(INC_SPECIALS="Y"))))</f>
        <v/>
      </c>
      <c r="K27" s="65">
        <f>IF($C27="","",HSI!$J$22)</f>
        <v/>
      </c>
      <c r="L27" s="65">
        <f>IF($C27="","",HSI!$K$22)</f>
        <v/>
      </c>
      <c r="M27" s="41">
        <f>IF($C27="","",AVERAGE(F27:J27))</f>
        <v/>
      </c>
      <c r="N27" s="66">
        <f>IF($C27="","",IF(PULL_FUND="N","",IFERROR(BDP($C27,EPS_FIELD,YR_OVERRIDE,TEXT(YEAR_Y-5,"0")),"")))</f>
        <v/>
      </c>
      <c r="O27" s="67">
        <f>IF($C27="","",IF(PULL_FUND="N","",IFERROR(BDP($C27,EPS_FIELD,YR_OVERRIDE,TEXT(YEAR_Y-4,"0")),"")))</f>
        <v/>
      </c>
      <c r="P27" s="67">
        <f>IF($C27="","",IF(PULL_FUND="N","",IFERROR(BDP($C27,EPS_FIELD,YR_OVERRIDE,TEXT(YEAR_Y-3,"0")),"")))</f>
        <v/>
      </c>
      <c r="Q27" s="67">
        <f>IF($C27="","",IF(PULL_FUND="N","",IFERROR(BDP($C27,EPS_FIELD,YR_OVERRIDE,TEXT(YEAR_Y-2,"0")),"")))</f>
        <v/>
      </c>
      <c r="R27" s="67">
        <f>IF($C27="","",IF(PULL_FUND="N","",IFERROR(BDP($C27,EPS_FIELD,YR_OVERRIDE,TEXT(YEAR_Y-1,"0")),"")))</f>
        <v/>
      </c>
      <c r="S27" s="68">
        <f>IF($C27="","",IF(PULL_FUND="N","",IFERROR(BDP($C27,PAYOUT_FIELD,YR_OVERRIDE,TEXT(YEAR_Y-5,"0"))/100,"")))</f>
        <v/>
      </c>
      <c r="T27" s="68">
        <f>IF($C27="","",IF(PULL_FUND="N","",IFERROR(BDP($C27,PAYOUT_FIELD,YR_OVERRIDE,TEXT(YEAR_Y-4,"0"))/100,"")))</f>
        <v/>
      </c>
      <c r="U27" s="68">
        <f>IF($C27="","",IF(PULL_FUND="N","",IFERROR(BDP($C27,PAYOUT_FIELD,YR_OVERRIDE,TEXT(YEAR_Y-3,"0"))/100,"")))</f>
        <v/>
      </c>
      <c r="V27" s="68">
        <f>IF($C27="","",IF(PULL_FUND="N","",IFERROR(BDP($C27,PAYOUT_FIELD,YR_OVERRIDE,TEXT(YEAR_Y-2,"0"))/100,"")))</f>
        <v/>
      </c>
      <c r="W27" s="68">
        <f>IF($C27="","",IF(PULL_FUND="N","",IFERROR(BDP($C27,PAYOUT_FIELD,YR_OVERRIDE,TEXT(YEAR_Y-1,"0"))/100,"")))</f>
        <v/>
      </c>
      <c r="X27" s="69">
        <f>IF($C27="","",IFERROR(AVERAGE(S27:W27),""))</f>
        <v/>
      </c>
      <c r="Y27" s="66">
        <f>IF($C27="","",IF(PULL_FUND="N","",IFERROR(BDP($C27,BESTEPS_FIELD,FWD_OVERRIDE,TEXT(MOD(YEAR_Y,100),"00")&amp;"Y"),"")))</f>
        <v/>
      </c>
      <c r="Z27" s="70">
        <f>IF($C27="","",IF(PULL_FUND="N","",IFERROR(BDP($C27,BESTDPS_FIELD,FWD_OVERRIDE,TEXT(MOD(YEAR_Y,100),"00")&amp;"Y"),"")))</f>
        <v/>
      </c>
      <c r="AA27" s="71">
        <f>IF($C27="","",IF(ISNUMBER($Y27)*ISNUMBER($Z27)*($Y27&lt;&gt;0)=0,"",$Z27/$Y27))</f>
        <v/>
      </c>
      <c r="AB27" s="41">
        <f>IF($C27="","",HSI!$J$22+HSI!$L$22)</f>
        <v/>
      </c>
      <c r="AC27" s="72">
        <f>IF($C27="","",IF(PULL_FUND="N","",IF(COUNTIFS('Fund History'!$G$98:$G$102,"&gt;="&amp;DATE(YEAR_Y-4,1,1),'Fund History'!$G$98:$G$102,"&lt;="&amp;DATE(YEAR_Y-4,12,31))=0,"",SUMIFS('Fund History'!$H$98:$H$102,'Fund History'!$G$98:$G$102,"&gt;="&amp;DATE(YEAR_Y-4,1,1),'Fund History'!$G$98:$G$102,"&lt;="&amp;DATE(YEAR_Y-4,12,31))/100)))</f>
        <v/>
      </c>
      <c r="AD27" s="73">
        <f>IF($C27="","",IF(PULL_FUND="N","",IF(COUNTIFS('Fund History'!$G$98:$G$102,"&gt;="&amp;DATE(YEAR_Y-3,1,1),'Fund History'!$G$98:$G$102,"&lt;="&amp;DATE(YEAR_Y-3,12,31))=0,"",SUMIFS('Fund History'!$H$98:$H$102,'Fund History'!$G$98:$G$102,"&gt;="&amp;DATE(YEAR_Y-3,1,1),'Fund History'!$G$98:$G$102,"&lt;="&amp;DATE(YEAR_Y-3,12,31))/100)))</f>
        <v/>
      </c>
      <c r="AE27" s="73">
        <f>IF($C27="","",IF(PULL_FUND="N","",IF(COUNTIFS('Fund History'!$G$98:$G$102,"&gt;="&amp;DATE(YEAR_Y-2,1,1),'Fund History'!$G$98:$G$102,"&lt;="&amp;DATE(YEAR_Y-2,12,31))=0,"",SUMIFS('Fund History'!$H$98:$H$102,'Fund History'!$G$98:$G$102,"&gt;="&amp;DATE(YEAR_Y-2,1,1),'Fund History'!$G$98:$G$102,"&lt;="&amp;DATE(YEAR_Y-2,12,31))/100)))</f>
        <v/>
      </c>
      <c r="AF27" s="73">
        <f>IF($C27="","",IF(PULL_FUND="N","",IF(COUNTIFS('Fund History'!$G$98:$G$102,"&gt;="&amp;DATE(YEAR_Y-1,1,1),'Fund History'!$G$98:$G$102,"&lt;="&amp;DATE(YEAR_Y-1,12,31))=0,"",SUMIFS('Fund History'!$H$98:$H$102,'Fund History'!$G$98:$G$102,"&gt;="&amp;DATE(YEAR_Y-1,1,1),'Fund History'!$G$98:$G$102,"&lt;="&amp;DATE(YEAR_Y-1,12,31))/100)))</f>
        <v/>
      </c>
      <c r="AG27" s="74">
        <f>IF($C27="","",IF(N($AF27)+N(HSI!$I$22)=0,"",N($AF27)+N(HSI!$I$22)/100))</f>
        <v/>
      </c>
      <c r="AH27" s="66">
        <f>IF($C27="","",IF(PULL_FUND="N","",IF(COUNTIFS('Fund History'!$D$98:$D$102,"&gt;="&amp;DATE(YEAR_Y-2,1,1),'Fund History'!$D$98:$D$102,"&lt;="&amp;DATE(YEAR_Y-2,12,31))=0,"",SUMIFS('Fund History'!$E$98:$E$102,'Fund History'!$D$98:$D$102,"&gt;="&amp;DATE(YEAR_Y-2,1,1),'Fund History'!$D$98:$D$102,"&lt;="&amp;DATE(YEAR_Y-2,12,31)))))</f>
        <v/>
      </c>
      <c r="AI27" s="67">
        <f>IF($C27="","",IF(PULL_FUND="N","",IF(COUNTIFS('Fund History'!$D$98:$D$102,"&gt;="&amp;DATE(YEAR_Y-1,1,1),'Fund History'!$D$98:$D$102,"&lt;="&amp;DATE(YEAR_Y-1,12,31))=0,"",SUMIFS('Fund History'!$E$98:$E$102,'Fund History'!$D$98:$D$102,"&gt;="&amp;DATE(YEAR_Y-1,1,1),'Fund History'!$D$98:$D$102,"&lt;="&amp;DATE(YEAR_Y-1,12,31)))))</f>
        <v/>
      </c>
      <c r="AJ27" s="67">
        <f>IF($C27="","",IF(PULL_FUND="N","",IFERROR(BDP($C27,NDEBITDA_FIELD),"")))</f>
        <v/>
      </c>
      <c r="AK27" s="75">
        <f>IF($C27="","",IF(PULL_FUND="N","",IFERROR(BDP($C27,EBINT_FIELD),"")))</f>
        <v/>
      </c>
      <c r="AL27" s="73">
        <f>IF($C27="","",IF(PULL_FUND="N","",IFERROR(BDP($C27,FCF_FIELD)/100,"")))</f>
        <v/>
      </c>
      <c r="AM27" s="76">
        <f>IF($C27="","",IF(ISNUMBER(HSI!$I$22),HSI!$I$22/100,""))</f>
        <v/>
      </c>
      <c r="AN27" s="47">
        <f>IF($C27="","",IF(N($AM27)=0,"",IFERROR($AL27/$AM27,"")))</f>
        <v/>
      </c>
      <c r="AO27" s="33">
        <f>IF($C27="","",IF(ISNUMBER($S27)*ISNUMBER($W27)=0,"",IF($W27&gt;$S27+0.05,"rising",IF($W27&lt;$S27-0.05,"falling","stable"))))</f>
        <v/>
      </c>
      <c r="AP27" s="77">
        <f>IF($C27="","",TRIM(IF(ISNUMBER($X27)*(N($X27)&gt;$D$4)&gt;0,"payout high  ","")&amp;IF(ISNUMBER($AN27)*(N($AN27)&lt;$F$4)&gt;0,"FCF below dvd  ","")&amp;IF(ISNUMBER($AJ27)*(N($AJ27)&gt;$H$4)&gt;0,"leverage high","")))</f>
        <v/>
      </c>
      <c r="AQ27" s="78">
        <f>IF($C27="","",IF(HSI!$F$22="HKD","",HSI!$F$22))</f>
        <v/>
      </c>
    </row>
    <row r="28">
      <c r="B28" s="62" t="inlineStr">
        <is>
          <t>HSI</t>
        </is>
      </c>
      <c r="C28" s="6">
        <f>IF(HSI!$C$23="","",HSI!$C$23)</f>
        <v/>
      </c>
      <c r="D28" s="6">
        <f>IF($C28="","",HSI!$D$23)</f>
        <v/>
      </c>
      <c r="E28" s="6">
        <f>IF($C28="","",HSI!$E$23)</f>
        <v/>
      </c>
      <c r="F28" s="63">
        <f>IF($C28="","",SUMPRODUCT(('Dvd Calendar'!$E$187:$AR$187&gt;=DATE(YEAR_Y-5,1,1))*('Dvd Calendar'!$E$187:$AR$187&lt;=DATE(YEAR_Y-5,12,31))*'Dvd Calendar'!$E$190:$AR$190*(('Dvd Calendar'!$E$192:$AR$192=TYPE1)*(TYPE1&lt;&gt;"")+('Dvd Calendar'!$E$192:$AR$192=TYPE2)*(TYPE2&lt;&gt;"")+('Dvd Calendar'!$E$192:$AR$192=TYPE3)*(TYPE3&lt;&gt;"")+('Dvd Calendar'!$E$192:$AR$192=TYPE4)*(TYPE4&lt;&gt;"")+('Dvd Calendar'!$E$192:$AR$192=SPECIAL_LBL)*(INC_SPECIALS="Y"))))</f>
        <v/>
      </c>
      <c r="G28" s="64">
        <f>IF($C28="","",SUMPRODUCT(('Dvd Calendar'!$E$187:$AR$187&gt;=DATE(YEAR_Y-4,1,1))*('Dvd Calendar'!$E$187:$AR$187&lt;=DATE(YEAR_Y-4,12,31))*'Dvd Calendar'!$E$190:$AR$190*(('Dvd Calendar'!$E$192:$AR$192=TYPE1)*(TYPE1&lt;&gt;"")+('Dvd Calendar'!$E$192:$AR$192=TYPE2)*(TYPE2&lt;&gt;"")+('Dvd Calendar'!$E$192:$AR$192=TYPE3)*(TYPE3&lt;&gt;"")+('Dvd Calendar'!$E$192:$AR$192=TYPE4)*(TYPE4&lt;&gt;"")+('Dvd Calendar'!$E$192:$AR$192=SPECIAL_LBL)*(INC_SPECIALS="Y"))))</f>
        <v/>
      </c>
      <c r="H28" s="64">
        <f>IF($C28="","",SUMPRODUCT(('Dvd Calendar'!$E$187:$AR$187&gt;=DATE(YEAR_Y-3,1,1))*('Dvd Calendar'!$E$187:$AR$187&lt;=DATE(YEAR_Y-3,12,31))*'Dvd Calendar'!$E$190:$AR$190*(('Dvd Calendar'!$E$192:$AR$192=TYPE1)*(TYPE1&lt;&gt;"")+('Dvd Calendar'!$E$192:$AR$192=TYPE2)*(TYPE2&lt;&gt;"")+('Dvd Calendar'!$E$192:$AR$192=TYPE3)*(TYPE3&lt;&gt;"")+('Dvd Calendar'!$E$192:$AR$192=TYPE4)*(TYPE4&lt;&gt;"")+('Dvd Calendar'!$E$192:$AR$192=SPECIAL_LBL)*(INC_SPECIALS="Y"))))</f>
        <v/>
      </c>
      <c r="I28" s="64">
        <f>IF($C28="","",SUMPRODUCT(('Dvd Calendar'!$E$187:$AR$187&gt;=DATE(YEAR_Y-2,1,1))*('Dvd Calendar'!$E$187:$AR$187&lt;=DATE(YEAR_Y-2,12,31))*'Dvd Calendar'!$E$190:$AR$190*(('Dvd Calendar'!$E$192:$AR$192=TYPE1)*(TYPE1&lt;&gt;"")+('Dvd Calendar'!$E$192:$AR$192=TYPE2)*(TYPE2&lt;&gt;"")+('Dvd Calendar'!$E$192:$AR$192=TYPE3)*(TYPE3&lt;&gt;"")+('Dvd Calendar'!$E$192:$AR$192=TYPE4)*(TYPE4&lt;&gt;"")+('Dvd Calendar'!$E$192:$AR$192=SPECIAL_LBL)*(INC_SPECIALS="Y"))))</f>
        <v/>
      </c>
      <c r="J28" s="64">
        <f>IF($C28="","",SUMPRODUCT(('Dvd Calendar'!$E$187:$AR$187&gt;=DATE(YEAR_Y-1,1,1))*('Dvd Calendar'!$E$187:$AR$187&lt;=DATE(YEAR_Y-1,12,31))*'Dvd Calendar'!$E$190:$AR$190*(('Dvd Calendar'!$E$192:$AR$192=TYPE1)*(TYPE1&lt;&gt;"")+('Dvd Calendar'!$E$192:$AR$192=TYPE2)*(TYPE2&lt;&gt;"")+('Dvd Calendar'!$E$192:$AR$192=TYPE3)*(TYPE3&lt;&gt;"")+('Dvd Calendar'!$E$192:$AR$192=TYPE4)*(TYPE4&lt;&gt;"")+('Dvd Calendar'!$E$192:$AR$192=SPECIAL_LBL)*(INC_SPECIALS="Y"))))</f>
        <v/>
      </c>
      <c r="K28" s="65">
        <f>IF($C28="","",HSI!$J$23)</f>
        <v/>
      </c>
      <c r="L28" s="65">
        <f>IF($C28="","",HSI!$K$23)</f>
        <v/>
      </c>
      <c r="M28" s="41">
        <f>IF($C28="","",AVERAGE(F28:J28))</f>
        <v/>
      </c>
      <c r="N28" s="66">
        <f>IF($C28="","",IF(PULL_FUND="N","",IFERROR(BDP($C28,EPS_FIELD,YR_OVERRIDE,TEXT(YEAR_Y-5,"0")),"")))</f>
        <v/>
      </c>
      <c r="O28" s="67">
        <f>IF($C28="","",IF(PULL_FUND="N","",IFERROR(BDP($C28,EPS_FIELD,YR_OVERRIDE,TEXT(YEAR_Y-4,"0")),"")))</f>
        <v/>
      </c>
      <c r="P28" s="67">
        <f>IF($C28="","",IF(PULL_FUND="N","",IFERROR(BDP($C28,EPS_FIELD,YR_OVERRIDE,TEXT(YEAR_Y-3,"0")),"")))</f>
        <v/>
      </c>
      <c r="Q28" s="67">
        <f>IF($C28="","",IF(PULL_FUND="N","",IFERROR(BDP($C28,EPS_FIELD,YR_OVERRIDE,TEXT(YEAR_Y-2,"0")),"")))</f>
        <v/>
      </c>
      <c r="R28" s="67">
        <f>IF($C28="","",IF(PULL_FUND="N","",IFERROR(BDP($C28,EPS_FIELD,YR_OVERRIDE,TEXT(YEAR_Y-1,"0")),"")))</f>
        <v/>
      </c>
      <c r="S28" s="68">
        <f>IF($C28="","",IF(PULL_FUND="N","",IFERROR(BDP($C28,PAYOUT_FIELD,YR_OVERRIDE,TEXT(YEAR_Y-5,"0"))/100,"")))</f>
        <v/>
      </c>
      <c r="T28" s="68">
        <f>IF($C28="","",IF(PULL_FUND="N","",IFERROR(BDP($C28,PAYOUT_FIELD,YR_OVERRIDE,TEXT(YEAR_Y-4,"0"))/100,"")))</f>
        <v/>
      </c>
      <c r="U28" s="68">
        <f>IF($C28="","",IF(PULL_FUND="N","",IFERROR(BDP($C28,PAYOUT_FIELD,YR_OVERRIDE,TEXT(YEAR_Y-3,"0"))/100,"")))</f>
        <v/>
      </c>
      <c r="V28" s="68">
        <f>IF($C28="","",IF(PULL_FUND="N","",IFERROR(BDP($C28,PAYOUT_FIELD,YR_OVERRIDE,TEXT(YEAR_Y-2,"0"))/100,"")))</f>
        <v/>
      </c>
      <c r="W28" s="68">
        <f>IF($C28="","",IF(PULL_FUND="N","",IFERROR(BDP($C28,PAYOUT_FIELD,YR_OVERRIDE,TEXT(YEAR_Y-1,"0"))/100,"")))</f>
        <v/>
      </c>
      <c r="X28" s="69">
        <f>IF($C28="","",IFERROR(AVERAGE(S28:W28),""))</f>
        <v/>
      </c>
      <c r="Y28" s="66">
        <f>IF($C28="","",IF(PULL_FUND="N","",IFERROR(BDP($C28,BESTEPS_FIELD,FWD_OVERRIDE,TEXT(MOD(YEAR_Y,100),"00")&amp;"Y"),"")))</f>
        <v/>
      </c>
      <c r="Z28" s="70">
        <f>IF($C28="","",IF(PULL_FUND="N","",IFERROR(BDP($C28,BESTDPS_FIELD,FWD_OVERRIDE,TEXT(MOD(YEAR_Y,100),"00")&amp;"Y"),"")))</f>
        <v/>
      </c>
      <c r="AA28" s="71">
        <f>IF($C28="","",IF(ISNUMBER($Y28)*ISNUMBER($Z28)*($Y28&lt;&gt;0)=0,"",$Z28/$Y28))</f>
        <v/>
      </c>
      <c r="AB28" s="41">
        <f>IF($C28="","",HSI!$J$23+HSI!$L$23)</f>
        <v/>
      </c>
      <c r="AC28" s="72">
        <f>IF($C28="","",IF(PULL_FUND="N","",IF(COUNTIFS('Fund History'!$G$104:$G$108,"&gt;="&amp;DATE(YEAR_Y-4,1,1),'Fund History'!$G$104:$G$108,"&lt;="&amp;DATE(YEAR_Y-4,12,31))=0,"",SUMIFS('Fund History'!$H$104:$H$108,'Fund History'!$G$104:$G$108,"&gt;="&amp;DATE(YEAR_Y-4,1,1),'Fund History'!$G$104:$G$108,"&lt;="&amp;DATE(YEAR_Y-4,12,31))/100)))</f>
        <v/>
      </c>
      <c r="AD28" s="73">
        <f>IF($C28="","",IF(PULL_FUND="N","",IF(COUNTIFS('Fund History'!$G$104:$G$108,"&gt;="&amp;DATE(YEAR_Y-3,1,1),'Fund History'!$G$104:$G$108,"&lt;="&amp;DATE(YEAR_Y-3,12,31))=0,"",SUMIFS('Fund History'!$H$104:$H$108,'Fund History'!$G$104:$G$108,"&gt;="&amp;DATE(YEAR_Y-3,1,1),'Fund History'!$G$104:$G$108,"&lt;="&amp;DATE(YEAR_Y-3,12,31))/100)))</f>
        <v/>
      </c>
      <c r="AE28" s="73">
        <f>IF($C28="","",IF(PULL_FUND="N","",IF(COUNTIFS('Fund History'!$G$104:$G$108,"&gt;="&amp;DATE(YEAR_Y-2,1,1),'Fund History'!$G$104:$G$108,"&lt;="&amp;DATE(YEAR_Y-2,12,31))=0,"",SUMIFS('Fund History'!$H$104:$H$108,'Fund History'!$G$104:$G$108,"&gt;="&amp;DATE(YEAR_Y-2,1,1),'Fund History'!$G$104:$G$108,"&lt;="&amp;DATE(YEAR_Y-2,12,31))/100)))</f>
        <v/>
      </c>
      <c r="AF28" s="73">
        <f>IF($C28="","",IF(PULL_FUND="N","",IF(COUNTIFS('Fund History'!$G$104:$G$108,"&gt;="&amp;DATE(YEAR_Y-1,1,1),'Fund History'!$G$104:$G$108,"&lt;="&amp;DATE(YEAR_Y-1,12,31))=0,"",SUMIFS('Fund History'!$H$104:$H$108,'Fund History'!$G$104:$G$108,"&gt;="&amp;DATE(YEAR_Y-1,1,1),'Fund History'!$G$104:$G$108,"&lt;="&amp;DATE(YEAR_Y-1,12,31))/100)))</f>
        <v/>
      </c>
      <c r="AG28" s="74">
        <f>IF($C28="","",IF(N($AF28)+N(HSI!$I$23)=0,"",N($AF28)+N(HSI!$I$23)/100))</f>
        <v/>
      </c>
      <c r="AH28" s="66">
        <f>IF($C28="","",IF(PULL_FUND="N","",IF(COUNTIFS('Fund History'!$D$104:$D$108,"&gt;="&amp;DATE(YEAR_Y-2,1,1),'Fund History'!$D$104:$D$108,"&lt;="&amp;DATE(YEAR_Y-2,12,31))=0,"",SUMIFS('Fund History'!$E$104:$E$108,'Fund History'!$D$104:$D$108,"&gt;="&amp;DATE(YEAR_Y-2,1,1),'Fund History'!$D$104:$D$108,"&lt;="&amp;DATE(YEAR_Y-2,12,31)))))</f>
        <v/>
      </c>
      <c r="AI28" s="67">
        <f>IF($C28="","",IF(PULL_FUND="N","",IF(COUNTIFS('Fund History'!$D$104:$D$108,"&gt;="&amp;DATE(YEAR_Y-1,1,1),'Fund History'!$D$104:$D$108,"&lt;="&amp;DATE(YEAR_Y-1,12,31))=0,"",SUMIFS('Fund History'!$E$104:$E$108,'Fund History'!$D$104:$D$108,"&gt;="&amp;DATE(YEAR_Y-1,1,1),'Fund History'!$D$104:$D$108,"&lt;="&amp;DATE(YEAR_Y-1,12,31)))))</f>
        <v/>
      </c>
      <c r="AJ28" s="67">
        <f>IF($C28="","",IF(PULL_FUND="N","",IFERROR(BDP($C28,NDEBITDA_FIELD),"")))</f>
        <v/>
      </c>
      <c r="AK28" s="75">
        <f>IF($C28="","",IF(PULL_FUND="N","",IFERROR(BDP($C28,EBINT_FIELD),"")))</f>
        <v/>
      </c>
      <c r="AL28" s="73">
        <f>IF($C28="","",IF(PULL_FUND="N","",IFERROR(BDP($C28,FCF_FIELD)/100,"")))</f>
        <v/>
      </c>
      <c r="AM28" s="76">
        <f>IF($C28="","",IF(ISNUMBER(HSI!$I$23),HSI!$I$23/100,""))</f>
        <v/>
      </c>
      <c r="AN28" s="47">
        <f>IF($C28="","",IF(N($AM28)=0,"",IFERROR($AL28/$AM28,"")))</f>
        <v/>
      </c>
      <c r="AO28" s="33">
        <f>IF($C28="","",IF(ISNUMBER($S28)*ISNUMBER($W28)=0,"",IF($W28&gt;$S28+0.05,"rising",IF($W28&lt;$S28-0.05,"falling","stable"))))</f>
        <v/>
      </c>
      <c r="AP28" s="77">
        <f>IF($C28="","",TRIM(IF(ISNUMBER($X28)*(N($X28)&gt;$D$4)&gt;0,"payout high  ","")&amp;IF(ISNUMBER($AN28)*(N($AN28)&lt;$F$4)&gt;0,"FCF below dvd  ","")&amp;IF(ISNUMBER($AJ28)*(N($AJ28)&gt;$H$4)&gt;0,"leverage high","")))</f>
        <v/>
      </c>
      <c r="AQ28" s="78">
        <f>IF($C28="","",IF(HSI!$F$23="HKD","",HSI!$F$23))</f>
        <v/>
      </c>
    </row>
    <row r="29">
      <c r="B29" s="62" t="inlineStr">
        <is>
          <t>HSI</t>
        </is>
      </c>
      <c r="C29" s="6">
        <f>IF(HSI!$C$24="","",HSI!$C$24)</f>
        <v/>
      </c>
      <c r="D29" s="6">
        <f>IF($C29="","",HSI!$D$24)</f>
        <v/>
      </c>
      <c r="E29" s="6">
        <f>IF($C29="","",HSI!$E$24)</f>
        <v/>
      </c>
      <c r="F29" s="63">
        <f>IF($C29="","",SUMPRODUCT(('Dvd Calendar'!$E$198:$AR$198&gt;=DATE(YEAR_Y-5,1,1))*('Dvd Calendar'!$E$198:$AR$198&lt;=DATE(YEAR_Y-5,12,31))*'Dvd Calendar'!$E$201:$AR$201*(('Dvd Calendar'!$E$203:$AR$203=TYPE1)*(TYPE1&lt;&gt;"")+('Dvd Calendar'!$E$203:$AR$203=TYPE2)*(TYPE2&lt;&gt;"")+('Dvd Calendar'!$E$203:$AR$203=TYPE3)*(TYPE3&lt;&gt;"")+('Dvd Calendar'!$E$203:$AR$203=TYPE4)*(TYPE4&lt;&gt;"")+('Dvd Calendar'!$E$203:$AR$203=SPECIAL_LBL)*(INC_SPECIALS="Y"))))</f>
        <v/>
      </c>
      <c r="G29" s="64">
        <f>IF($C29="","",SUMPRODUCT(('Dvd Calendar'!$E$198:$AR$198&gt;=DATE(YEAR_Y-4,1,1))*('Dvd Calendar'!$E$198:$AR$198&lt;=DATE(YEAR_Y-4,12,31))*'Dvd Calendar'!$E$201:$AR$201*(('Dvd Calendar'!$E$203:$AR$203=TYPE1)*(TYPE1&lt;&gt;"")+('Dvd Calendar'!$E$203:$AR$203=TYPE2)*(TYPE2&lt;&gt;"")+('Dvd Calendar'!$E$203:$AR$203=TYPE3)*(TYPE3&lt;&gt;"")+('Dvd Calendar'!$E$203:$AR$203=TYPE4)*(TYPE4&lt;&gt;"")+('Dvd Calendar'!$E$203:$AR$203=SPECIAL_LBL)*(INC_SPECIALS="Y"))))</f>
        <v/>
      </c>
      <c r="H29" s="64">
        <f>IF($C29="","",SUMPRODUCT(('Dvd Calendar'!$E$198:$AR$198&gt;=DATE(YEAR_Y-3,1,1))*('Dvd Calendar'!$E$198:$AR$198&lt;=DATE(YEAR_Y-3,12,31))*'Dvd Calendar'!$E$201:$AR$201*(('Dvd Calendar'!$E$203:$AR$203=TYPE1)*(TYPE1&lt;&gt;"")+('Dvd Calendar'!$E$203:$AR$203=TYPE2)*(TYPE2&lt;&gt;"")+('Dvd Calendar'!$E$203:$AR$203=TYPE3)*(TYPE3&lt;&gt;"")+('Dvd Calendar'!$E$203:$AR$203=TYPE4)*(TYPE4&lt;&gt;"")+('Dvd Calendar'!$E$203:$AR$203=SPECIAL_LBL)*(INC_SPECIALS="Y"))))</f>
        <v/>
      </c>
      <c r="I29" s="64">
        <f>IF($C29="","",SUMPRODUCT(('Dvd Calendar'!$E$198:$AR$198&gt;=DATE(YEAR_Y-2,1,1))*('Dvd Calendar'!$E$198:$AR$198&lt;=DATE(YEAR_Y-2,12,31))*'Dvd Calendar'!$E$201:$AR$201*(('Dvd Calendar'!$E$203:$AR$203=TYPE1)*(TYPE1&lt;&gt;"")+('Dvd Calendar'!$E$203:$AR$203=TYPE2)*(TYPE2&lt;&gt;"")+('Dvd Calendar'!$E$203:$AR$203=TYPE3)*(TYPE3&lt;&gt;"")+('Dvd Calendar'!$E$203:$AR$203=TYPE4)*(TYPE4&lt;&gt;"")+('Dvd Calendar'!$E$203:$AR$203=SPECIAL_LBL)*(INC_SPECIALS="Y"))))</f>
        <v/>
      </c>
      <c r="J29" s="64">
        <f>IF($C29="","",SUMPRODUCT(('Dvd Calendar'!$E$198:$AR$198&gt;=DATE(YEAR_Y-1,1,1))*('Dvd Calendar'!$E$198:$AR$198&lt;=DATE(YEAR_Y-1,12,31))*'Dvd Calendar'!$E$201:$AR$201*(('Dvd Calendar'!$E$203:$AR$203=TYPE1)*(TYPE1&lt;&gt;"")+('Dvd Calendar'!$E$203:$AR$203=TYPE2)*(TYPE2&lt;&gt;"")+('Dvd Calendar'!$E$203:$AR$203=TYPE3)*(TYPE3&lt;&gt;"")+('Dvd Calendar'!$E$203:$AR$203=TYPE4)*(TYPE4&lt;&gt;"")+('Dvd Calendar'!$E$203:$AR$203=SPECIAL_LBL)*(INC_SPECIALS="Y"))))</f>
        <v/>
      </c>
      <c r="K29" s="65">
        <f>IF($C29="","",HSI!$J$24)</f>
        <v/>
      </c>
      <c r="L29" s="65">
        <f>IF($C29="","",HSI!$K$24)</f>
        <v/>
      </c>
      <c r="M29" s="41">
        <f>IF($C29="","",AVERAGE(F29:J29))</f>
        <v/>
      </c>
      <c r="N29" s="66">
        <f>IF($C29="","",IF(PULL_FUND="N","",IFERROR(BDP($C29,EPS_FIELD,YR_OVERRIDE,TEXT(YEAR_Y-5,"0")),"")))</f>
        <v/>
      </c>
      <c r="O29" s="67">
        <f>IF($C29="","",IF(PULL_FUND="N","",IFERROR(BDP($C29,EPS_FIELD,YR_OVERRIDE,TEXT(YEAR_Y-4,"0")),"")))</f>
        <v/>
      </c>
      <c r="P29" s="67">
        <f>IF($C29="","",IF(PULL_FUND="N","",IFERROR(BDP($C29,EPS_FIELD,YR_OVERRIDE,TEXT(YEAR_Y-3,"0")),"")))</f>
        <v/>
      </c>
      <c r="Q29" s="67">
        <f>IF($C29="","",IF(PULL_FUND="N","",IFERROR(BDP($C29,EPS_FIELD,YR_OVERRIDE,TEXT(YEAR_Y-2,"0")),"")))</f>
        <v/>
      </c>
      <c r="R29" s="67">
        <f>IF($C29="","",IF(PULL_FUND="N","",IFERROR(BDP($C29,EPS_FIELD,YR_OVERRIDE,TEXT(YEAR_Y-1,"0")),"")))</f>
        <v/>
      </c>
      <c r="S29" s="68">
        <f>IF($C29="","",IF(PULL_FUND="N","",IFERROR(BDP($C29,PAYOUT_FIELD,YR_OVERRIDE,TEXT(YEAR_Y-5,"0"))/100,"")))</f>
        <v/>
      </c>
      <c r="T29" s="68">
        <f>IF($C29="","",IF(PULL_FUND="N","",IFERROR(BDP($C29,PAYOUT_FIELD,YR_OVERRIDE,TEXT(YEAR_Y-4,"0"))/100,"")))</f>
        <v/>
      </c>
      <c r="U29" s="68">
        <f>IF($C29="","",IF(PULL_FUND="N","",IFERROR(BDP($C29,PAYOUT_FIELD,YR_OVERRIDE,TEXT(YEAR_Y-3,"0"))/100,"")))</f>
        <v/>
      </c>
      <c r="V29" s="68">
        <f>IF($C29="","",IF(PULL_FUND="N","",IFERROR(BDP($C29,PAYOUT_FIELD,YR_OVERRIDE,TEXT(YEAR_Y-2,"0"))/100,"")))</f>
        <v/>
      </c>
      <c r="W29" s="68">
        <f>IF($C29="","",IF(PULL_FUND="N","",IFERROR(BDP($C29,PAYOUT_FIELD,YR_OVERRIDE,TEXT(YEAR_Y-1,"0"))/100,"")))</f>
        <v/>
      </c>
      <c r="X29" s="69">
        <f>IF($C29="","",IFERROR(AVERAGE(S29:W29),""))</f>
        <v/>
      </c>
      <c r="Y29" s="66">
        <f>IF($C29="","",IF(PULL_FUND="N","",IFERROR(BDP($C29,BESTEPS_FIELD,FWD_OVERRIDE,TEXT(MOD(YEAR_Y,100),"00")&amp;"Y"),"")))</f>
        <v/>
      </c>
      <c r="Z29" s="70">
        <f>IF($C29="","",IF(PULL_FUND="N","",IFERROR(BDP($C29,BESTDPS_FIELD,FWD_OVERRIDE,TEXT(MOD(YEAR_Y,100),"00")&amp;"Y"),"")))</f>
        <v/>
      </c>
      <c r="AA29" s="71">
        <f>IF($C29="","",IF(ISNUMBER($Y29)*ISNUMBER($Z29)*($Y29&lt;&gt;0)=0,"",$Z29/$Y29))</f>
        <v/>
      </c>
      <c r="AB29" s="41">
        <f>IF($C29="","",HSI!$J$24+HSI!$L$24)</f>
        <v/>
      </c>
      <c r="AC29" s="72">
        <f>IF($C29="","",IF(PULL_FUND="N","",IF(COUNTIFS('Fund History'!$G$110:$G$114,"&gt;="&amp;DATE(YEAR_Y-4,1,1),'Fund History'!$G$110:$G$114,"&lt;="&amp;DATE(YEAR_Y-4,12,31))=0,"",SUMIFS('Fund History'!$H$110:$H$114,'Fund History'!$G$110:$G$114,"&gt;="&amp;DATE(YEAR_Y-4,1,1),'Fund History'!$G$110:$G$114,"&lt;="&amp;DATE(YEAR_Y-4,12,31))/100)))</f>
        <v/>
      </c>
      <c r="AD29" s="73">
        <f>IF($C29="","",IF(PULL_FUND="N","",IF(COUNTIFS('Fund History'!$G$110:$G$114,"&gt;="&amp;DATE(YEAR_Y-3,1,1),'Fund History'!$G$110:$G$114,"&lt;="&amp;DATE(YEAR_Y-3,12,31))=0,"",SUMIFS('Fund History'!$H$110:$H$114,'Fund History'!$G$110:$G$114,"&gt;="&amp;DATE(YEAR_Y-3,1,1),'Fund History'!$G$110:$G$114,"&lt;="&amp;DATE(YEAR_Y-3,12,31))/100)))</f>
        <v/>
      </c>
      <c r="AE29" s="73">
        <f>IF($C29="","",IF(PULL_FUND="N","",IF(COUNTIFS('Fund History'!$G$110:$G$114,"&gt;="&amp;DATE(YEAR_Y-2,1,1),'Fund History'!$G$110:$G$114,"&lt;="&amp;DATE(YEAR_Y-2,12,31))=0,"",SUMIFS('Fund History'!$H$110:$H$114,'Fund History'!$G$110:$G$114,"&gt;="&amp;DATE(YEAR_Y-2,1,1),'Fund History'!$G$110:$G$114,"&lt;="&amp;DATE(YEAR_Y-2,12,31))/100)))</f>
        <v/>
      </c>
      <c r="AF29" s="73">
        <f>IF($C29="","",IF(PULL_FUND="N","",IF(COUNTIFS('Fund History'!$G$110:$G$114,"&gt;="&amp;DATE(YEAR_Y-1,1,1),'Fund History'!$G$110:$G$114,"&lt;="&amp;DATE(YEAR_Y-1,12,31))=0,"",SUMIFS('Fund History'!$H$110:$H$114,'Fund History'!$G$110:$G$114,"&gt;="&amp;DATE(YEAR_Y-1,1,1),'Fund History'!$G$110:$G$114,"&lt;="&amp;DATE(YEAR_Y-1,12,31))/100)))</f>
        <v/>
      </c>
      <c r="AG29" s="74">
        <f>IF($C29="","",IF(N($AF29)+N(HSI!$I$24)=0,"",N($AF29)+N(HSI!$I$24)/100))</f>
        <v/>
      </c>
      <c r="AH29" s="66">
        <f>IF($C29="","",IF(PULL_FUND="N","",IF(COUNTIFS('Fund History'!$D$110:$D$114,"&gt;="&amp;DATE(YEAR_Y-2,1,1),'Fund History'!$D$110:$D$114,"&lt;="&amp;DATE(YEAR_Y-2,12,31))=0,"",SUMIFS('Fund History'!$E$110:$E$114,'Fund History'!$D$110:$D$114,"&gt;="&amp;DATE(YEAR_Y-2,1,1),'Fund History'!$D$110:$D$114,"&lt;="&amp;DATE(YEAR_Y-2,12,31)))))</f>
        <v/>
      </c>
      <c r="AI29" s="67">
        <f>IF($C29="","",IF(PULL_FUND="N","",IF(COUNTIFS('Fund History'!$D$110:$D$114,"&gt;="&amp;DATE(YEAR_Y-1,1,1),'Fund History'!$D$110:$D$114,"&lt;="&amp;DATE(YEAR_Y-1,12,31))=0,"",SUMIFS('Fund History'!$E$110:$E$114,'Fund History'!$D$110:$D$114,"&gt;="&amp;DATE(YEAR_Y-1,1,1),'Fund History'!$D$110:$D$114,"&lt;="&amp;DATE(YEAR_Y-1,12,31)))))</f>
        <v/>
      </c>
      <c r="AJ29" s="67">
        <f>IF($C29="","",IF(PULL_FUND="N","",IFERROR(BDP($C29,NDEBITDA_FIELD),"")))</f>
        <v/>
      </c>
      <c r="AK29" s="75">
        <f>IF($C29="","",IF(PULL_FUND="N","",IFERROR(BDP($C29,EBINT_FIELD),"")))</f>
        <v/>
      </c>
      <c r="AL29" s="73">
        <f>IF($C29="","",IF(PULL_FUND="N","",IFERROR(BDP($C29,FCF_FIELD)/100,"")))</f>
        <v/>
      </c>
      <c r="AM29" s="76">
        <f>IF($C29="","",IF(ISNUMBER(HSI!$I$24),HSI!$I$24/100,""))</f>
        <v/>
      </c>
      <c r="AN29" s="47">
        <f>IF($C29="","",IF(N($AM29)=0,"",IFERROR($AL29/$AM29,"")))</f>
        <v/>
      </c>
      <c r="AO29" s="33">
        <f>IF($C29="","",IF(ISNUMBER($S29)*ISNUMBER($W29)=0,"",IF($W29&gt;$S29+0.05,"rising",IF($W29&lt;$S29-0.05,"falling","stable"))))</f>
        <v/>
      </c>
      <c r="AP29" s="77">
        <f>IF($C29="","",TRIM(IF(ISNUMBER($X29)*(N($X29)&gt;$D$4)&gt;0,"payout high  ","")&amp;IF(ISNUMBER($AN29)*(N($AN29)&lt;$F$4)&gt;0,"FCF below dvd  ","")&amp;IF(ISNUMBER($AJ29)*(N($AJ29)&gt;$H$4)&gt;0,"leverage high","")))</f>
        <v/>
      </c>
      <c r="AQ29" s="78">
        <f>IF($C29="","",IF(HSI!$F$24="HKD","",HSI!$F$24))</f>
        <v/>
      </c>
    </row>
    <row r="30">
      <c r="B30" s="62" t="inlineStr">
        <is>
          <t>HSI</t>
        </is>
      </c>
      <c r="C30" s="6">
        <f>IF(HSI!$C$25="","",HSI!$C$25)</f>
        <v/>
      </c>
      <c r="D30" s="6">
        <f>IF($C30="","",HSI!$D$25)</f>
        <v/>
      </c>
      <c r="E30" s="6">
        <f>IF($C30="","",HSI!$E$25)</f>
        <v/>
      </c>
      <c r="F30" s="63">
        <f>IF($C30="","",SUMPRODUCT(('Dvd Calendar'!$E$209:$AR$209&gt;=DATE(YEAR_Y-5,1,1))*('Dvd Calendar'!$E$209:$AR$209&lt;=DATE(YEAR_Y-5,12,31))*'Dvd Calendar'!$E$212:$AR$212*(('Dvd Calendar'!$E$214:$AR$214=TYPE1)*(TYPE1&lt;&gt;"")+('Dvd Calendar'!$E$214:$AR$214=TYPE2)*(TYPE2&lt;&gt;"")+('Dvd Calendar'!$E$214:$AR$214=TYPE3)*(TYPE3&lt;&gt;"")+('Dvd Calendar'!$E$214:$AR$214=TYPE4)*(TYPE4&lt;&gt;"")+('Dvd Calendar'!$E$214:$AR$214=SPECIAL_LBL)*(INC_SPECIALS="Y"))))</f>
        <v/>
      </c>
      <c r="G30" s="64">
        <f>IF($C30="","",SUMPRODUCT(('Dvd Calendar'!$E$209:$AR$209&gt;=DATE(YEAR_Y-4,1,1))*('Dvd Calendar'!$E$209:$AR$209&lt;=DATE(YEAR_Y-4,12,31))*'Dvd Calendar'!$E$212:$AR$212*(('Dvd Calendar'!$E$214:$AR$214=TYPE1)*(TYPE1&lt;&gt;"")+('Dvd Calendar'!$E$214:$AR$214=TYPE2)*(TYPE2&lt;&gt;"")+('Dvd Calendar'!$E$214:$AR$214=TYPE3)*(TYPE3&lt;&gt;"")+('Dvd Calendar'!$E$214:$AR$214=TYPE4)*(TYPE4&lt;&gt;"")+('Dvd Calendar'!$E$214:$AR$214=SPECIAL_LBL)*(INC_SPECIALS="Y"))))</f>
        <v/>
      </c>
      <c r="H30" s="64">
        <f>IF($C30="","",SUMPRODUCT(('Dvd Calendar'!$E$209:$AR$209&gt;=DATE(YEAR_Y-3,1,1))*('Dvd Calendar'!$E$209:$AR$209&lt;=DATE(YEAR_Y-3,12,31))*'Dvd Calendar'!$E$212:$AR$212*(('Dvd Calendar'!$E$214:$AR$214=TYPE1)*(TYPE1&lt;&gt;"")+('Dvd Calendar'!$E$214:$AR$214=TYPE2)*(TYPE2&lt;&gt;"")+('Dvd Calendar'!$E$214:$AR$214=TYPE3)*(TYPE3&lt;&gt;"")+('Dvd Calendar'!$E$214:$AR$214=TYPE4)*(TYPE4&lt;&gt;"")+('Dvd Calendar'!$E$214:$AR$214=SPECIAL_LBL)*(INC_SPECIALS="Y"))))</f>
        <v/>
      </c>
      <c r="I30" s="64">
        <f>IF($C30="","",SUMPRODUCT(('Dvd Calendar'!$E$209:$AR$209&gt;=DATE(YEAR_Y-2,1,1))*('Dvd Calendar'!$E$209:$AR$209&lt;=DATE(YEAR_Y-2,12,31))*'Dvd Calendar'!$E$212:$AR$212*(('Dvd Calendar'!$E$214:$AR$214=TYPE1)*(TYPE1&lt;&gt;"")+('Dvd Calendar'!$E$214:$AR$214=TYPE2)*(TYPE2&lt;&gt;"")+('Dvd Calendar'!$E$214:$AR$214=TYPE3)*(TYPE3&lt;&gt;"")+('Dvd Calendar'!$E$214:$AR$214=TYPE4)*(TYPE4&lt;&gt;"")+('Dvd Calendar'!$E$214:$AR$214=SPECIAL_LBL)*(INC_SPECIALS="Y"))))</f>
        <v/>
      </c>
      <c r="J30" s="64">
        <f>IF($C30="","",SUMPRODUCT(('Dvd Calendar'!$E$209:$AR$209&gt;=DATE(YEAR_Y-1,1,1))*('Dvd Calendar'!$E$209:$AR$209&lt;=DATE(YEAR_Y-1,12,31))*'Dvd Calendar'!$E$212:$AR$212*(('Dvd Calendar'!$E$214:$AR$214=TYPE1)*(TYPE1&lt;&gt;"")+('Dvd Calendar'!$E$214:$AR$214=TYPE2)*(TYPE2&lt;&gt;"")+('Dvd Calendar'!$E$214:$AR$214=TYPE3)*(TYPE3&lt;&gt;"")+('Dvd Calendar'!$E$214:$AR$214=TYPE4)*(TYPE4&lt;&gt;"")+('Dvd Calendar'!$E$214:$AR$214=SPECIAL_LBL)*(INC_SPECIALS="Y"))))</f>
        <v/>
      </c>
      <c r="K30" s="65">
        <f>IF($C30="","",HSI!$J$25)</f>
        <v/>
      </c>
      <c r="L30" s="65">
        <f>IF($C30="","",HSI!$K$25)</f>
        <v/>
      </c>
      <c r="M30" s="41">
        <f>IF($C30="","",AVERAGE(F30:J30))</f>
        <v/>
      </c>
      <c r="N30" s="66">
        <f>IF($C30="","",IF(PULL_FUND="N","",IFERROR(BDP($C30,EPS_FIELD,YR_OVERRIDE,TEXT(YEAR_Y-5,"0")),"")))</f>
        <v/>
      </c>
      <c r="O30" s="67">
        <f>IF($C30="","",IF(PULL_FUND="N","",IFERROR(BDP($C30,EPS_FIELD,YR_OVERRIDE,TEXT(YEAR_Y-4,"0")),"")))</f>
        <v/>
      </c>
      <c r="P30" s="67">
        <f>IF($C30="","",IF(PULL_FUND="N","",IFERROR(BDP($C30,EPS_FIELD,YR_OVERRIDE,TEXT(YEAR_Y-3,"0")),"")))</f>
        <v/>
      </c>
      <c r="Q30" s="67">
        <f>IF($C30="","",IF(PULL_FUND="N","",IFERROR(BDP($C30,EPS_FIELD,YR_OVERRIDE,TEXT(YEAR_Y-2,"0")),"")))</f>
        <v/>
      </c>
      <c r="R30" s="67">
        <f>IF($C30="","",IF(PULL_FUND="N","",IFERROR(BDP($C30,EPS_FIELD,YR_OVERRIDE,TEXT(YEAR_Y-1,"0")),"")))</f>
        <v/>
      </c>
      <c r="S30" s="68">
        <f>IF($C30="","",IF(PULL_FUND="N","",IFERROR(BDP($C30,PAYOUT_FIELD,YR_OVERRIDE,TEXT(YEAR_Y-5,"0"))/100,"")))</f>
        <v/>
      </c>
      <c r="T30" s="68">
        <f>IF($C30="","",IF(PULL_FUND="N","",IFERROR(BDP($C30,PAYOUT_FIELD,YR_OVERRIDE,TEXT(YEAR_Y-4,"0"))/100,"")))</f>
        <v/>
      </c>
      <c r="U30" s="68">
        <f>IF($C30="","",IF(PULL_FUND="N","",IFERROR(BDP($C30,PAYOUT_FIELD,YR_OVERRIDE,TEXT(YEAR_Y-3,"0"))/100,"")))</f>
        <v/>
      </c>
      <c r="V30" s="68">
        <f>IF($C30="","",IF(PULL_FUND="N","",IFERROR(BDP($C30,PAYOUT_FIELD,YR_OVERRIDE,TEXT(YEAR_Y-2,"0"))/100,"")))</f>
        <v/>
      </c>
      <c r="W30" s="68">
        <f>IF($C30="","",IF(PULL_FUND="N","",IFERROR(BDP($C30,PAYOUT_FIELD,YR_OVERRIDE,TEXT(YEAR_Y-1,"0"))/100,"")))</f>
        <v/>
      </c>
      <c r="X30" s="69">
        <f>IF($C30="","",IFERROR(AVERAGE(S30:W30),""))</f>
        <v/>
      </c>
      <c r="Y30" s="66">
        <f>IF($C30="","",IF(PULL_FUND="N","",IFERROR(BDP($C30,BESTEPS_FIELD,FWD_OVERRIDE,TEXT(MOD(YEAR_Y,100),"00")&amp;"Y"),"")))</f>
        <v/>
      </c>
      <c r="Z30" s="70">
        <f>IF($C30="","",IF(PULL_FUND="N","",IFERROR(BDP($C30,BESTDPS_FIELD,FWD_OVERRIDE,TEXT(MOD(YEAR_Y,100),"00")&amp;"Y"),"")))</f>
        <v/>
      </c>
      <c r="AA30" s="71">
        <f>IF($C30="","",IF(ISNUMBER($Y30)*ISNUMBER($Z30)*($Y30&lt;&gt;0)=0,"",$Z30/$Y30))</f>
        <v/>
      </c>
      <c r="AB30" s="41">
        <f>IF($C30="","",HSI!$J$25+HSI!$L$25)</f>
        <v/>
      </c>
      <c r="AC30" s="72">
        <f>IF($C30="","",IF(PULL_FUND="N","",IF(COUNTIFS('Fund History'!$G$116:$G$120,"&gt;="&amp;DATE(YEAR_Y-4,1,1),'Fund History'!$G$116:$G$120,"&lt;="&amp;DATE(YEAR_Y-4,12,31))=0,"",SUMIFS('Fund History'!$H$116:$H$120,'Fund History'!$G$116:$G$120,"&gt;="&amp;DATE(YEAR_Y-4,1,1),'Fund History'!$G$116:$G$120,"&lt;="&amp;DATE(YEAR_Y-4,12,31))/100)))</f>
        <v/>
      </c>
      <c r="AD30" s="73">
        <f>IF($C30="","",IF(PULL_FUND="N","",IF(COUNTIFS('Fund History'!$G$116:$G$120,"&gt;="&amp;DATE(YEAR_Y-3,1,1),'Fund History'!$G$116:$G$120,"&lt;="&amp;DATE(YEAR_Y-3,12,31))=0,"",SUMIFS('Fund History'!$H$116:$H$120,'Fund History'!$G$116:$G$120,"&gt;="&amp;DATE(YEAR_Y-3,1,1),'Fund History'!$G$116:$G$120,"&lt;="&amp;DATE(YEAR_Y-3,12,31))/100)))</f>
        <v/>
      </c>
      <c r="AE30" s="73">
        <f>IF($C30="","",IF(PULL_FUND="N","",IF(COUNTIFS('Fund History'!$G$116:$G$120,"&gt;="&amp;DATE(YEAR_Y-2,1,1),'Fund History'!$G$116:$G$120,"&lt;="&amp;DATE(YEAR_Y-2,12,31))=0,"",SUMIFS('Fund History'!$H$116:$H$120,'Fund History'!$G$116:$G$120,"&gt;="&amp;DATE(YEAR_Y-2,1,1),'Fund History'!$G$116:$G$120,"&lt;="&amp;DATE(YEAR_Y-2,12,31))/100)))</f>
        <v/>
      </c>
      <c r="AF30" s="73">
        <f>IF($C30="","",IF(PULL_FUND="N","",IF(COUNTIFS('Fund History'!$G$116:$G$120,"&gt;="&amp;DATE(YEAR_Y-1,1,1),'Fund History'!$G$116:$G$120,"&lt;="&amp;DATE(YEAR_Y-1,12,31))=0,"",SUMIFS('Fund History'!$H$116:$H$120,'Fund History'!$G$116:$G$120,"&gt;="&amp;DATE(YEAR_Y-1,1,1),'Fund History'!$G$116:$G$120,"&lt;="&amp;DATE(YEAR_Y-1,12,31))/100)))</f>
        <v/>
      </c>
      <c r="AG30" s="74">
        <f>IF($C30="","",IF(N($AF30)+N(HSI!$I$25)=0,"",N($AF30)+N(HSI!$I$25)/100))</f>
        <v/>
      </c>
      <c r="AH30" s="66">
        <f>IF($C30="","",IF(PULL_FUND="N","",IF(COUNTIFS('Fund History'!$D$116:$D$120,"&gt;="&amp;DATE(YEAR_Y-2,1,1),'Fund History'!$D$116:$D$120,"&lt;="&amp;DATE(YEAR_Y-2,12,31))=0,"",SUMIFS('Fund History'!$E$116:$E$120,'Fund History'!$D$116:$D$120,"&gt;="&amp;DATE(YEAR_Y-2,1,1),'Fund History'!$D$116:$D$120,"&lt;="&amp;DATE(YEAR_Y-2,12,31)))))</f>
        <v/>
      </c>
      <c r="AI30" s="67">
        <f>IF($C30="","",IF(PULL_FUND="N","",IF(COUNTIFS('Fund History'!$D$116:$D$120,"&gt;="&amp;DATE(YEAR_Y-1,1,1),'Fund History'!$D$116:$D$120,"&lt;="&amp;DATE(YEAR_Y-1,12,31))=0,"",SUMIFS('Fund History'!$E$116:$E$120,'Fund History'!$D$116:$D$120,"&gt;="&amp;DATE(YEAR_Y-1,1,1),'Fund History'!$D$116:$D$120,"&lt;="&amp;DATE(YEAR_Y-1,12,31)))))</f>
        <v/>
      </c>
      <c r="AJ30" s="67">
        <f>IF($C30="","",IF(PULL_FUND="N","",IFERROR(BDP($C30,NDEBITDA_FIELD),"")))</f>
        <v/>
      </c>
      <c r="AK30" s="75">
        <f>IF($C30="","",IF(PULL_FUND="N","",IFERROR(BDP($C30,EBINT_FIELD),"")))</f>
        <v/>
      </c>
      <c r="AL30" s="73">
        <f>IF($C30="","",IF(PULL_FUND="N","",IFERROR(BDP($C30,FCF_FIELD)/100,"")))</f>
        <v/>
      </c>
      <c r="AM30" s="76">
        <f>IF($C30="","",IF(ISNUMBER(HSI!$I$25),HSI!$I$25/100,""))</f>
        <v/>
      </c>
      <c r="AN30" s="47">
        <f>IF($C30="","",IF(N($AM30)=0,"",IFERROR($AL30/$AM30,"")))</f>
        <v/>
      </c>
      <c r="AO30" s="33">
        <f>IF($C30="","",IF(ISNUMBER($S30)*ISNUMBER($W30)=0,"",IF($W30&gt;$S30+0.05,"rising",IF($W30&lt;$S30-0.05,"falling","stable"))))</f>
        <v/>
      </c>
      <c r="AP30" s="77">
        <f>IF($C30="","",TRIM(IF(ISNUMBER($X30)*(N($X30)&gt;$D$4)&gt;0,"payout high  ","")&amp;IF(ISNUMBER($AN30)*(N($AN30)&lt;$F$4)&gt;0,"FCF below dvd  ","")&amp;IF(ISNUMBER($AJ30)*(N($AJ30)&gt;$H$4)&gt;0,"leverage high","")))</f>
        <v/>
      </c>
      <c r="AQ30" s="78">
        <f>IF($C30="","",IF(HSI!$F$25="HKD","",HSI!$F$25))</f>
        <v/>
      </c>
    </row>
    <row r="31">
      <c r="B31" s="62" t="inlineStr">
        <is>
          <t>HSI</t>
        </is>
      </c>
      <c r="C31" s="6">
        <f>IF(HSI!$C$26="","",HSI!$C$26)</f>
        <v/>
      </c>
      <c r="D31" s="6">
        <f>IF($C31="","",HSI!$D$26)</f>
        <v/>
      </c>
      <c r="E31" s="6">
        <f>IF($C31="","",HSI!$E$26)</f>
        <v/>
      </c>
      <c r="F31" s="63">
        <f>IF($C31="","",SUMPRODUCT(('Dvd Calendar'!$E$220:$AR$220&gt;=DATE(YEAR_Y-5,1,1))*('Dvd Calendar'!$E$220:$AR$220&lt;=DATE(YEAR_Y-5,12,31))*'Dvd Calendar'!$E$223:$AR$223*(('Dvd Calendar'!$E$225:$AR$225=TYPE1)*(TYPE1&lt;&gt;"")+('Dvd Calendar'!$E$225:$AR$225=TYPE2)*(TYPE2&lt;&gt;"")+('Dvd Calendar'!$E$225:$AR$225=TYPE3)*(TYPE3&lt;&gt;"")+('Dvd Calendar'!$E$225:$AR$225=TYPE4)*(TYPE4&lt;&gt;"")+('Dvd Calendar'!$E$225:$AR$225=SPECIAL_LBL)*(INC_SPECIALS="Y"))))</f>
        <v/>
      </c>
      <c r="G31" s="64">
        <f>IF($C31="","",SUMPRODUCT(('Dvd Calendar'!$E$220:$AR$220&gt;=DATE(YEAR_Y-4,1,1))*('Dvd Calendar'!$E$220:$AR$220&lt;=DATE(YEAR_Y-4,12,31))*'Dvd Calendar'!$E$223:$AR$223*(('Dvd Calendar'!$E$225:$AR$225=TYPE1)*(TYPE1&lt;&gt;"")+('Dvd Calendar'!$E$225:$AR$225=TYPE2)*(TYPE2&lt;&gt;"")+('Dvd Calendar'!$E$225:$AR$225=TYPE3)*(TYPE3&lt;&gt;"")+('Dvd Calendar'!$E$225:$AR$225=TYPE4)*(TYPE4&lt;&gt;"")+('Dvd Calendar'!$E$225:$AR$225=SPECIAL_LBL)*(INC_SPECIALS="Y"))))</f>
        <v/>
      </c>
      <c r="H31" s="64">
        <f>IF($C31="","",SUMPRODUCT(('Dvd Calendar'!$E$220:$AR$220&gt;=DATE(YEAR_Y-3,1,1))*('Dvd Calendar'!$E$220:$AR$220&lt;=DATE(YEAR_Y-3,12,31))*'Dvd Calendar'!$E$223:$AR$223*(('Dvd Calendar'!$E$225:$AR$225=TYPE1)*(TYPE1&lt;&gt;"")+('Dvd Calendar'!$E$225:$AR$225=TYPE2)*(TYPE2&lt;&gt;"")+('Dvd Calendar'!$E$225:$AR$225=TYPE3)*(TYPE3&lt;&gt;"")+('Dvd Calendar'!$E$225:$AR$225=TYPE4)*(TYPE4&lt;&gt;"")+('Dvd Calendar'!$E$225:$AR$225=SPECIAL_LBL)*(INC_SPECIALS="Y"))))</f>
        <v/>
      </c>
      <c r="I31" s="64">
        <f>IF($C31="","",SUMPRODUCT(('Dvd Calendar'!$E$220:$AR$220&gt;=DATE(YEAR_Y-2,1,1))*('Dvd Calendar'!$E$220:$AR$220&lt;=DATE(YEAR_Y-2,12,31))*'Dvd Calendar'!$E$223:$AR$223*(('Dvd Calendar'!$E$225:$AR$225=TYPE1)*(TYPE1&lt;&gt;"")+('Dvd Calendar'!$E$225:$AR$225=TYPE2)*(TYPE2&lt;&gt;"")+('Dvd Calendar'!$E$225:$AR$225=TYPE3)*(TYPE3&lt;&gt;"")+('Dvd Calendar'!$E$225:$AR$225=TYPE4)*(TYPE4&lt;&gt;"")+('Dvd Calendar'!$E$225:$AR$225=SPECIAL_LBL)*(INC_SPECIALS="Y"))))</f>
        <v/>
      </c>
      <c r="J31" s="64">
        <f>IF($C31="","",SUMPRODUCT(('Dvd Calendar'!$E$220:$AR$220&gt;=DATE(YEAR_Y-1,1,1))*('Dvd Calendar'!$E$220:$AR$220&lt;=DATE(YEAR_Y-1,12,31))*'Dvd Calendar'!$E$223:$AR$223*(('Dvd Calendar'!$E$225:$AR$225=TYPE1)*(TYPE1&lt;&gt;"")+('Dvd Calendar'!$E$225:$AR$225=TYPE2)*(TYPE2&lt;&gt;"")+('Dvd Calendar'!$E$225:$AR$225=TYPE3)*(TYPE3&lt;&gt;"")+('Dvd Calendar'!$E$225:$AR$225=TYPE4)*(TYPE4&lt;&gt;"")+('Dvd Calendar'!$E$225:$AR$225=SPECIAL_LBL)*(INC_SPECIALS="Y"))))</f>
        <v/>
      </c>
      <c r="K31" s="65">
        <f>IF($C31="","",HSI!$J$26)</f>
        <v/>
      </c>
      <c r="L31" s="65">
        <f>IF($C31="","",HSI!$K$26)</f>
        <v/>
      </c>
      <c r="M31" s="41">
        <f>IF($C31="","",AVERAGE(F31:J31))</f>
        <v/>
      </c>
      <c r="N31" s="66">
        <f>IF($C31="","",IF(PULL_FUND="N","",IFERROR(BDP($C31,EPS_FIELD,YR_OVERRIDE,TEXT(YEAR_Y-5,"0")),"")))</f>
        <v/>
      </c>
      <c r="O31" s="67">
        <f>IF($C31="","",IF(PULL_FUND="N","",IFERROR(BDP($C31,EPS_FIELD,YR_OVERRIDE,TEXT(YEAR_Y-4,"0")),"")))</f>
        <v/>
      </c>
      <c r="P31" s="67">
        <f>IF($C31="","",IF(PULL_FUND="N","",IFERROR(BDP($C31,EPS_FIELD,YR_OVERRIDE,TEXT(YEAR_Y-3,"0")),"")))</f>
        <v/>
      </c>
      <c r="Q31" s="67">
        <f>IF($C31="","",IF(PULL_FUND="N","",IFERROR(BDP($C31,EPS_FIELD,YR_OVERRIDE,TEXT(YEAR_Y-2,"0")),"")))</f>
        <v/>
      </c>
      <c r="R31" s="67">
        <f>IF($C31="","",IF(PULL_FUND="N","",IFERROR(BDP($C31,EPS_FIELD,YR_OVERRIDE,TEXT(YEAR_Y-1,"0")),"")))</f>
        <v/>
      </c>
      <c r="S31" s="68">
        <f>IF($C31="","",IF(PULL_FUND="N","",IFERROR(BDP($C31,PAYOUT_FIELD,YR_OVERRIDE,TEXT(YEAR_Y-5,"0"))/100,"")))</f>
        <v/>
      </c>
      <c r="T31" s="68">
        <f>IF($C31="","",IF(PULL_FUND="N","",IFERROR(BDP($C31,PAYOUT_FIELD,YR_OVERRIDE,TEXT(YEAR_Y-4,"0"))/100,"")))</f>
        <v/>
      </c>
      <c r="U31" s="68">
        <f>IF($C31="","",IF(PULL_FUND="N","",IFERROR(BDP($C31,PAYOUT_FIELD,YR_OVERRIDE,TEXT(YEAR_Y-3,"0"))/100,"")))</f>
        <v/>
      </c>
      <c r="V31" s="68">
        <f>IF($C31="","",IF(PULL_FUND="N","",IFERROR(BDP($C31,PAYOUT_FIELD,YR_OVERRIDE,TEXT(YEAR_Y-2,"0"))/100,"")))</f>
        <v/>
      </c>
      <c r="W31" s="68">
        <f>IF($C31="","",IF(PULL_FUND="N","",IFERROR(BDP($C31,PAYOUT_FIELD,YR_OVERRIDE,TEXT(YEAR_Y-1,"0"))/100,"")))</f>
        <v/>
      </c>
      <c r="X31" s="69">
        <f>IF($C31="","",IFERROR(AVERAGE(S31:W31),""))</f>
        <v/>
      </c>
      <c r="Y31" s="66">
        <f>IF($C31="","",IF(PULL_FUND="N","",IFERROR(BDP($C31,BESTEPS_FIELD,FWD_OVERRIDE,TEXT(MOD(YEAR_Y,100),"00")&amp;"Y"),"")))</f>
        <v/>
      </c>
      <c r="Z31" s="70">
        <f>IF($C31="","",IF(PULL_FUND="N","",IFERROR(BDP($C31,BESTDPS_FIELD,FWD_OVERRIDE,TEXT(MOD(YEAR_Y,100),"00")&amp;"Y"),"")))</f>
        <v/>
      </c>
      <c r="AA31" s="71">
        <f>IF($C31="","",IF(ISNUMBER($Y31)*ISNUMBER($Z31)*($Y31&lt;&gt;0)=0,"",$Z31/$Y31))</f>
        <v/>
      </c>
      <c r="AB31" s="41">
        <f>IF($C31="","",HSI!$J$26+HSI!$L$26)</f>
        <v/>
      </c>
      <c r="AC31" s="72">
        <f>IF($C31="","",IF(PULL_FUND="N","",IF(COUNTIFS('Fund History'!$G$122:$G$126,"&gt;="&amp;DATE(YEAR_Y-4,1,1),'Fund History'!$G$122:$G$126,"&lt;="&amp;DATE(YEAR_Y-4,12,31))=0,"",SUMIFS('Fund History'!$H$122:$H$126,'Fund History'!$G$122:$G$126,"&gt;="&amp;DATE(YEAR_Y-4,1,1),'Fund History'!$G$122:$G$126,"&lt;="&amp;DATE(YEAR_Y-4,12,31))/100)))</f>
        <v/>
      </c>
      <c r="AD31" s="73">
        <f>IF($C31="","",IF(PULL_FUND="N","",IF(COUNTIFS('Fund History'!$G$122:$G$126,"&gt;="&amp;DATE(YEAR_Y-3,1,1),'Fund History'!$G$122:$G$126,"&lt;="&amp;DATE(YEAR_Y-3,12,31))=0,"",SUMIFS('Fund History'!$H$122:$H$126,'Fund History'!$G$122:$G$126,"&gt;="&amp;DATE(YEAR_Y-3,1,1),'Fund History'!$G$122:$G$126,"&lt;="&amp;DATE(YEAR_Y-3,12,31))/100)))</f>
        <v/>
      </c>
      <c r="AE31" s="73">
        <f>IF($C31="","",IF(PULL_FUND="N","",IF(COUNTIFS('Fund History'!$G$122:$G$126,"&gt;="&amp;DATE(YEAR_Y-2,1,1),'Fund History'!$G$122:$G$126,"&lt;="&amp;DATE(YEAR_Y-2,12,31))=0,"",SUMIFS('Fund History'!$H$122:$H$126,'Fund History'!$G$122:$G$126,"&gt;="&amp;DATE(YEAR_Y-2,1,1),'Fund History'!$G$122:$G$126,"&lt;="&amp;DATE(YEAR_Y-2,12,31))/100)))</f>
        <v/>
      </c>
      <c r="AF31" s="73">
        <f>IF($C31="","",IF(PULL_FUND="N","",IF(COUNTIFS('Fund History'!$G$122:$G$126,"&gt;="&amp;DATE(YEAR_Y-1,1,1),'Fund History'!$G$122:$G$126,"&lt;="&amp;DATE(YEAR_Y-1,12,31))=0,"",SUMIFS('Fund History'!$H$122:$H$126,'Fund History'!$G$122:$G$126,"&gt;="&amp;DATE(YEAR_Y-1,1,1),'Fund History'!$G$122:$G$126,"&lt;="&amp;DATE(YEAR_Y-1,12,31))/100)))</f>
        <v/>
      </c>
      <c r="AG31" s="74">
        <f>IF($C31="","",IF(N($AF31)+N(HSI!$I$26)=0,"",N($AF31)+N(HSI!$I$26)/100))</f>
        <v/>
      </c>
      <c r="AH31" s="66">
        <f>IF($C31="","",IF(PULL_FUND="N","",IF(COUNTIFS('Fund History'!$D$122:$D$126,"&gt;="&amp;DATE(YEAR_Y-2,1,1),'Fund History'!$D$122:$D$126,"&lt;="&amp;DATE(YEAR_Y-2,12,31))=0,"",SUMIFS('Fund History'!$E$122:$E$126,'Fund History'!$D$122:$D$126,"&gt;="&amp;DATE(YEAR_Y-2,1,1),'Fund History'!$D$122:$D$126,"&lt;="&amp;DATE(YEAR_Y-2,12,31)))))</f>
        <v/>
      </c>
      <c r="AI31" s="67">
        <f>IF($C31="","",IF(PULL_FUND="N","",IF(COUNTIFS('Fund History'!$D$122:$D$126,"&gt;="&amp;DATE(YEAR_Y-1,1,1),'Fund History'!$D$122:$D$126,"&lt;="&amp;DATE(YEAR_Y-1,12,31))=0,"",SUMIFS('Fund History'!$E$122:$E$126,'Fund History'!$D$122:$D$126,"&gt;="&amp;DATE(YEAR_Y-1,1,1),'Fund History'!$D$122:$D$126,"&lt;="&amp;DATE(YEAR_Y-1,12,31)))))</f>
        <v/>
      </c>
      <c r="AJ31" s="67">
        <f>IF($C31="","",IF(PULL_FUND="N","",IFERROR(BDP($C31,NDEBITDA_FIELD),"")))</f>
        <v/>
      </c>
      <c r="AK31" s="75">
        <f>IF($C31="","",IF(PULL_FUND="N","",IFERROR(BDP($C31,EBINT_FIELD),"")))</f>
        <v/>
      </c>
      <c r="AL31" s="73">
        <f>IF($C31="","",IF(PULL_FUND="N","",IFERROR(BDP($C31,FCF_FIELD)/100,"")))</f>
        <v/>
      </c>
      <c r="AM31" s="76">
        <f>IF($C31="","",IF(ISNUMBER(HSI!$I$26),HSI!$I$26/100,""))</f>
        <v/>
      </c>
      <c r="AN31" s="47">
        <f>IF($C31="","",IF(N($AM31)=0,"",IFERROR($AL31/$AM31,"")))</f>
        <v/>
      </c>
      <c r="AO31" s="33">
        <f>IF($C31="","",IF(ISNUMBER($S31)*ISNUMBER($W31)=0,"",IF($W31&gt;$S31+0.05,"rising",IF($W31&lt;$S31-0.05,"falling","stable"))))</f>
        <v/>
      </c>
      <c r="AP31" s="77">
        <f>IF($C31="","",TRIM(IF(ISNUMBER($X31)*(N($X31)&gt;$D$4)&gt;0,"payout high  ","")&amp;IF(ISNUMBER($AN31)*(N($AN31)&lt;$F$4)&gt;0,"FCF below dvd  ","")&amp;IF(ISNUMBER($AJ31)*(N($AJ31)&gt;$H$4)&gt;0,"leverage high","")))</f>
        <v/>
      </c>
      <c r="AQ31" s="78">
        <f>IF($C31="","",IF(HSI!$F$26="HKD","",HSI!$F$26))</f>
        <v/>
      </c>
    </row>
    <row r="32">
      <c r="B32" s="62" t="inlineStr">
        <is>
          <t>HSI</t>
        </is>
      </c>
      <c r="C32" s="6">
        <f>IF(HSI!$C$27="","",HSI!$C$27)</f>
        <v/>
      </c>
      <c r="D32" s="6">
        <f>IF($C32="","",HSI!$D$27)</f>
        <v/>
      </c>
      <c r="E32" s="6">
        <f>IF($C32="","",HSI!$E$27)</f>
        <v/>
      </c>
      <c r="F32" s="63">
        <f>IF($C32="","",SUMPRODUCT(('Dvd Calendar'!$E$231:$AR$231&gt;=DATE(YEAR_Y-5,1,1))*('Dvd Calendar'!$E$231:$AR$231&lt;=DATE(YEAR_Y-5,12,31))*'Dvd Calendar'!$E$234:$AR$234*(('Dvd Calendar'!$E$236:$AR$236=TYPE1)*(TYPE1&lt;&gt;"")+('Dvd Calendar'!$E$236:$AR$236=TYPE2)*(TYPE2&lt;&gt;"")+('Dvd Calendar'!$E$236:$AR$236=TYPE3)*(TYPE3&lt;&gt;"")+('Dvd Calendar'!$E$236:$AR$236=TYPE4)*(TYPE4&lt;&gt;"")+('Dvd Calendar'!$E$236:$AR$236=SPECIAL_LBL)*(INC_SPECIALS="Y"))))</f>
        <v/>
      </c>
      <c r="G32" s="64">
        <f>IF($C32="","",SUMPRODUCT(('Dvd Calendar'!$E$231:$AR$231&gt;=DATE(YEAR_Y-4,1,1))*('Dvd Calendar'!$E$231:$AR$231&lt;=DATE(YEAR_Y-4,12,31))*'Dvd Calendar'!$E$234:$AR$234*(('Dvd Calendar'!$E$236:$AR$236=TYPE1)*(TYPE1&lt;&gt;"")+('Dvd Calendar'!$E$236:$AR$236=TYPE2)*(TYPE2&lt;&gt;"")+('Dvd Calendar'!$E$236:$AR$236=TYPE3)*(TYPE3&lt;&gt;"")+('Dvd Calendar'!$E$236:$AR$236=TYPE4)*(TYPE4&lt;&gt;"")+('Dvd Calendar'!$E$236:$AR$236=SPECIAL_LBL)*(INC_SPECIALS="Y"))))</f>
        <v/>
      </c>
      <c r="H32" s="64">
        <f>IF($C32="","",SUMPRODUCT(('Dvd Calendar'!$E$231:$AR$231&gt;=DATE(YEAR_Y-3,1,1))*('Dvd Calendar'!$E$231:$AR$231&lt;=DATE(YEAR_Y-3,12,31))*'Dvd Calendar'!$E$234:$AR$234*(('Dvd Calendar'!$E$236:$AR$236=TYPE1)*(TYPE1&lt;&gt;"")+('Dvd Calendar'!$E$236:$AR$236=TYPE2)*(TYPE2&lt;&gt;"")+('Dvd Calendar'!$E$236:$AR$236=TYPE3)*(TYPE3&lt;&gt;"")+('Dvd Calendar'!$E$236:$AR$236=TYPE4)*(TYPE4&lt;&gt;"")+('Dvd Calendar'!$E$236:$AR$236=SPECIAL_LBL)*(INC_SPECIALS="Y"))))</f>
        <v/>
      </c>
      <c r="I32" s="64">
        <f>IF($C32="","",SUMPRODUCT(('Dvd Calendar'!$E$231:$AR$231&gt;=DATE(YEAR_Y-2,1,1))*('Dvd Calendar'!$E$231:$AR$231&lt;=DATE(YEAR_Y-2,12,31))*'Dvd Calendar'!$E$234:$AR$234*(('Dvd Calendar'!$E$236:$AR$236=TYPE1)*(TYPE1&lt;&gt;"")+('Dvd Calendar'!$E$236:$AR$236=TYPE2)*(TYPE2&lt;&gt;"")+('Dvd Calendar'!$E$236:$AR$236=TYPE3)*(TYPE3&lt;&gt;"")+('Dvd Calendar'!$E$236:$AR$236=TYPE4)*(TYPE4&lt;&gt;"")+('Dvd Calendar'!$E$236:$AR$236=SPECIAL_LBL)*(INC_SPECIALS="Y"))))</f>
        <v/>
      </c>
      <c r="J32" s="64">
        <f>IF($C32="","",SUMPRODUCT(('Dvd Calendar'!$E$231:$AR$231&gt;=DATE(YEAR_Y-1,1,1))*('Dvd Calendar'!$E$231:$AR$231&lt;=DATE(YEAR_Y-1,12,31))*'Dvd Calendar'!$E$234:$AR$234*(('Dvd Calendar'!$E$236:$AR$236=TYPE1)*(TYPE1&lt;&gt;"")+('Dvd Calendar'!$E$236:$AR$236=TYPE2)*(TYPE2&lt;&gt;"")+('Dvd Calendar'!$E$236:$AR$236=TYPE3)*(TYPE3&lt;&gt;"")+('Dvd Calendar'!$E$236:$AR$236=TYPE4)*(TYPE4&lt;&gt;"")+('Dvd Calendar'!$E$236:$AR$236=SPECIAL_LBL)*(INC_SPECIALS="Y"))))</f>
        <v/>
      </c>
      <c r="K32" s="65">
        <f>IF($C32="","",HSI!$J$27)</f>
        <v/>
      </c>
      <c r="L32" s="65">
        <f>IF($C32="","",HSI!$K$27)</f>
        <v/>
      </c>
      <c r="M32" s="41">
        <f>IF($C32="","",AVERAGE(F32:J32))</f>
        <v/>
      </c>
      <c r="N32" s="66">
        <f>IF($C32="","",IF(PULL_FUND="N","",IFERROR(BDP($C32,EPS_FIELD,YR_OVERRIDE,TEXT(YEAR_Y-5,"0")),"")))</f>
        <v/>
      </c>
      <c r="O32" s="67">
        <f>IF($C32="","",IF(PULL_FUND="N","",IFERROR(BDP($C32,EPS_FIELD,YR_OVERRIDE,TEXT(YEAR_Y-4,"0")),"")))</f>
        <v/>
      </c>
      <c r="P32" s="67">
        <f>IF($C32="","",IF(PULL_FUND="N","",IFERROR(BDP($C32,EPS_FIELD,YR_OVERRIDE,TEXT(YEAR_Y-3,"0")),"")))</f>
        <v/>
      </c>
      <c r="Q32" s="67">
        <f>IF($C32="","",IF(PULL_FUND="N","",IFERROR(BDP($C32,EPS_FIELD,YR_OVERRIDE,TEXT(YEAR_Y-2,"0")),"")))</f>
        <v/>
      </c>
      <c r="R32" s="67">
        <f>IF($C32="","",IF(PULL_FUND="N","",IFERROR(BDP($C32,EPS_FIELD,YR_OVERRIDE,TEXT(YEAR_Y-1,"0")),"")))</f>
        <v/>
      </c>
      <c r="S32" s="68">
        <f>IF($C32="","",IF(PULL_FUND="N","",IFERROR(BDP($C32,PAYOUT_FIELD,YR_OVERRIDE,TEXT(YEAR_Y-5,"0"))/100,"")))</f>
        <v/>
      </c>
      <c r="T32" s="68">
        <f>IF($C32="","",IF(PULL_FUND="N","",IFERROR(BDP($C32,PAYOUT_FIELD,YR_OVERRIDE,TEXT(YEAR_Y-4,"0"))/100,"")))</f>
        <v/>
      </c>
      <c r="U32" s="68">
        <f>IF($C32="","",IF(PULL_FUND="N","",IFERROR(BDP($C32,PAYOUT_FIELD,YR_OVERRIDE,TEXT(YEAR_Y-3,"0"))/100,"")))</f>
        <v/>
      </c>
      <c r="V32" s="68">
        <f>IF($C32="","",IF(PULL_FUND="N","",IFERROR(BDP($C32,PAYOUT_FIELD,YR_OVERRIDE,TEXT(YEAR_Y-2,"0"))/100,"")))</f>
        <v/>
      </c>
      <c r="W32" s="68">
        <f>IF($C32="","",IF(PULL_FUND="N","",IFERROR(BDP($C32,PAYOUT_FIELD,YR_OVERRIDE,TEXT(YEAR_Y-1,"0"))/100,"")))</f>
        <v/>
      </c>
      <c r="X32" s="69">
        <f>IF($C32="","",IFERROR(AVERAGE(S32:W32),""))</f>
        <v/>
      </c>
      <c r="Y32" s="66">
        <f>IF($C32="","",IF(PULL_FUND="N","",IFERROR(BDP($C32,BESTEPS_FIELD,FWD_OVERRIDE,TEXT(MOD(YEAR_Y,100),"00")&amp;"Y"),"")))</f>
        <v/>
      </c>
      <c r="Z32" s="70">
        <f>IF($C32="","",IF(PULL_FUND="N","",IFERROR(BDP($C32,BESTDPS_FIELD,FWD_OVERRIDE,TEXT(MOD(YEAR_Y,100),"00")&amp;"Y"),"")))</f>
        <v/>
      </c>
      <c r="AA32" s="71">
        <f>IF($C32="","",IF(ISNUMBER($Y32)*ISNUMBER($Z32)*($Y32&lt;&gt;0)=0,"",$Z32/$Y32))</f>
        <v/>
      </c>
      <c r="AB32" s="41">
        <f>IF($C32="","",HSI!$J$27+HSI!$L$27)</f>
        <v/>
      </c>
      <c r="AC32" s="72">
        <f>IF($C32="","",IF(PULL_FUND="N","",IF(COUNTIFS('Fund History'!$G$128:$G$132,"&gt;="&amp;DATE(YEAR_Y-4,1,1),'Fund History'!$G$128:$G$132,"&lt;="&amp;DATE(YEAR_Y-4,12,31))=0,"",SUMIFS('Fund History'!$H$128:$H$132,'Fund History'!$G$128:$G$132,"&gt;="&amp;DATE(YEAR_Y-4,1,1),'Fund History'!$G$128:$G$132,"&lt;="&amp;DATE(YEAR_Y-4,12,31))/100)))</f>
        <v/>
      </c>
      <c r="AD32" s="73">
        <f>IF($C32="","",IF(PULL_FUND="N","",IF(COUNTIFS('Fund History'!$G$128:$G$132,"&gt;="&amp;DATE(YEAR_Y-3,1,1),'Fund History'!$G$128:$G$132,"&lt;="&amp;DATE(YEAR_Y-3,12,31))=0,"",SUMIFS('Fund History'!$H$128:$H$132,'Fund History'!$G$128:$G$132,"&gt;="&amp;DATE(YEAR_Y-3,1,1),'Fund History'!$G$128:$G$132,"&lt;="&amp;DATE(YEAR_Y-3,12,31))/100)))</f>
        <v/>
      </c>
      <c r="AE32" s="73">
        <f>IF($C32="","",IF(PULL_FUND="N","",IF(COUNTIFS('Fund History'!$G$128:$G$132,"&gt;="&amp;DATE(YEAR_Y-2,1,1),'Fund History'!$G$128:$G$132,"&lt;="&amp;DATE(YEAR_Y-2,12,31))=0,"",SUMIFS('Fund History'!$H$128:$H$132,'Fund History'!$G$128:$G$132,"&gt;="&amp;DATE(YEAR_Y-2,1,1),'Fund History'!$G$128:$G$132,"&lt;="&amp;DATE(YEAR_Y-2,12,31))/100)))</f>
        <v/>
      </c>
      <c r="AF32" s="73">
        <f>IF($C32="","",IF(PULL_FUND="N","",IF(COUNTIFS('Fund History'!$G$128:$G$132,"&gt;="&amp;DATE(YEAR_Y-1,1,1),'Fund History'!$G$128:$G$132,"&lt;="&amp;DATE(YEAR_Y-1,12,31))=0,"",SUMIFS('Fund History'!$H$128:$H$132,'Fund History'!$G$128:$G$132,"&gt;="&amp;DATE(YEAR_Y-1,1,1),'Fund History'!$G$128:$G$132,"&lt;="&amp;DATE(YEAR_Y-1,12,31))/100)))</f>
        <v/>
      </c>
      <c r="AG32" s="74">
        <f>IF($C32="","",IF(N($AF32)+N(HSI!$I$27)=0,"",N($AF32)+N(HSI!$I$27)/100))</f>
        <v/>
      </c>
      <c r="AH32" s="66">
        <f>IF($C32="","",IF(PULL_FUND="N","",IF(COUNTIFS('Fund History'!$D$128:$D$132,"&gt;="&amp;DATE(YEAR_Y-2,1,1),'Fund History'!$D$128:$D$132,"&lt;="&amp;DATE(YEAR_Y-2,12,31))=0,"",SUMIFS('Fund History'!$E$128:$E$132,'Fund History'!$D$128:$D$132,"&gt;="&amp;DATE(YEAR_Y-2,1,1),'Fund History'!$D$128:$D$132,"&lt;="&amp;DATE(YEAR_Y-2,12,31)))))</f>
        <v/>
      </c>
      <c r="AI32" s="67">
        <f>IF($C32="","",IF(PULL_FUND="N","",IF(COUNTIFS('Fund History'!$D$128:$D$132,"&gt;="&amp;DATE(YEAR_Y-1,1,1),'Fund History'!$D$128:$D$132,"&lt;="&amp;DATE(YEAR_Y-1,12,31))=0,"",SUMIFS('Fund History'!$E$128:$E$132,'Fund History'!$D$128:$D$132,"&gt;="&amp;DATE(YEAR_Y-1,1,1),'Fund History'!$D$128:$D$132,"&lt;="&amp;DATE(YEAR_Y-1,12,31)))))</f>
        <v/>
      </c>
      <c r="AJ32" s="67">
        <f>IF($C32="","",IF(PULL_FUND="N","",IFERROR(BDP($C32,NDEBITDA_FIELD),"")))</f>
        <v/>
      </c>
      <c r="AK32" s="75">
        <f>IF($C32="","",IF(PULL_FUND="N","",IFERROR(BDP($C32,EBINT_FIELD),"")))</f>
        <v/>
      </c>
      <c r="AL32" s="73">
        <f>IF($C32="","",IF(PULL_FUND="N","",IFERROR(BDP($C32,FCF_FIELD)/100,"")))</f>
        <v/>
      </c>
      <c r="AM32" s="76">
        <f>IF($C32="","",IF(ISNUMBER(HSI!$I$27),HSI!$I$27/100,""))</f>
        <v/>
      </c>
      <c r="AN32" s="47">
        <f>IF($C32="","",IF(N($AM32)=0,"",IFERROR($AL32/$AM32,"")))</f>
        <v/>
      </c>
      <c r="AO32" s="33">
        <f>IF($C32="","",IF(ISNUMBER($S32)*ISNUMBER($W32)=0,"",IF($W32&gt;$S32+0.05,"rising",IF($W32&lt;$S32-0.05,"falling","stable"))))</f>
        <v/>
      </c>
      <c r="AP32" s="77">
        <f>IF($C32="","",TRIM(IF(ISNUMBER($X32)*(N($X32)&gt;$D$4)&gt;0,"payout high  ","")&amp;IF(ISNUMBER($AN32)*(N($AN32)&lt;$F$4)&gt;0,"FCF below dvd  ","")&amp;IF(ISNUMBER($AJ32)*(N($AJ32)&gt;$H$4)&gt;0,"leverage high","")))</f>
        <v/>
      </c>
      <c r="AQ32" s="78">
        <f>IF($C32="","",IF(HSI!$F$27="HKD","",HSI!$F$27))</f>
        <v/>
      </c>
    </row>
    <row r="33">
      <c r="B33" s="62" t="inlineStr">
        <is>
          <t>HSI</t>
        </is>
      </c>
      <c r="C33" s="6">
        <f>IF(HSI!$C$28="","",HSI!$C$28)</f>
        <v/>
      </c>
      <c r="D33" s="6">
        <f>IF($C33="","",HSI!$D$28)</f>
        <v/>
      </c>
      <c r="E33" s="6">
        <f>IF($C33="","",HSI!$E$28)</f>
        <v/>
      </c>
      <c r="F33" s="63">
        <f>IF($C33="","",SUMPRODUCT(('Dvd Calendar'!$E$242:$AR$242&gt;=DATE(YEAR_Y-5,1,1))*('Dvd Calendar'!$E$242:$AR$242&lt;=DATE(YEAR_Y-5,12,31))*'Dvd Calendar'!$E$245:$AR$245*(('Dvd Calendar'!$E$247:$AR$247=TYPE1)*(TYPE1&lt;&gt;"")+('Dvd Calendar'!$E$247:$AR$247=TYPE2)*(TYPE2&lt;&gt;"")+('Dvd Calendar'!$E$247:$AR$247=TYPE3)*(TYPE3&lt;&gt;"")+('Dvd Calendar'!$E$247:$AR$247=TYPE4)*(TYPE4&lt;&gt;"")+('Dvd Calendar'!$E$247:$AR$247=SPECIAL_LBL)*(INC_SPECIALS="Y"))))</f>
        <v/>
      </c>
      <c r="G33" s="64">
        <f>IF($C33="","",SUMPRODUCT(('Dvd Calendar'!$E$242:$AR$242&gt;=DATE(YEAR_Y-4,1,1))*('Dvd Calendar'!$E$242:$AR$242&lt;=DATE(YEAR_Y-4,12,31))*'Dvd Calendar'!$E$245:$AR$245*(('Dvd Calendar'!$E$247:$AR$247=TYPE1)*(TYPE1&lt;&gt;"")+('Dvd Calendar'!$E$247:$AR$247=TYPE2)*(TYPE2&lt;&gt;"")+('Dvd Calendar'!$E$247:$AR$247=TYPE3)*(TYPE3&lt;&gt;"")+('Dvd Calendar'!$E$247:$AR$247=TYPE4)*(TYPE4&lt;&gt;"")+('Dvd Calendar'!$E$247:$AR$247=SPECIAL_LBL)*(INC_SPECIALS="Y"))))</f>
        <v/>
      </c>
      <c r="H33" s="64">
        <f>IF($C33="","",SUMPRODUCT(('Dvd Calendar'!$E$242:$AR$242&gt;=DATE(YEAR_Y-3,1,1))*('Dvd Calendar'!$E$242:$AR$242&lt;=DATE(YEAR_Y-3,12,31))*'Dvd Calendar'!$E$245:$AR$245*(('Dvd Calendar'!$E$247:$AR$247=TYPE1)*(TYPE1&lt;&gt;"")+('Dvd Calendar'!$E$247:$AR$247=TYPE2)*(TYPE2&lt;&gt;"")+('Dvd Calendar'!$E$247:$AR$247=TYPE3)*(TYPE3&lt;&gt;"")+('Dvd Calendar'!$E$247:$AR$247=TYPE4)*(TYPE4&lt;&gt;"")+('Dvd Calendar'!$E$247:$AR$247=SPECIAL_LBL)*(INC_SPECIALS="Y"))))</f>
        <v/>
      </c>
      <c r="I33" s="64">
        <f>IF($C33="","",SUMPRODUCT(('Dvd Calendar'!$E$242:$AR$242&gt;=DATE(YEAR_Y-2,1,1))*('Dvd Calendar'!$E$242:$AR$242&lt;=DATE(YEAR_Y-2,12,31))*'Dvd Calendar'!$E$245:$AR$245*(('Dvd Calendar'!$E$247:$AR$247=TYPE1)*(TYPE1&lt;&gt;"")+('Dvd Calendar'!$E$247:$AR$247=TYPE2)*(TYPE2&lt;&gt;"")+('Dvd Calendar'!$E$247:$AR$247=TYPE3)*(TYPE3&lt;&gt;"")+('Dvd Calendar'!$E$247:$AR$247=TYPE4)*(TYPE4&lt;&gt;"")+('Dvd Calendar'!$E$247:$AR$247=SPECIAL_LBL)*(INC_SPECIALS="Y"))))</f>
        <v/>
      </c>
      <c r="J33" s="64">
        <f>IF($C33="","",SUMPRODUCT(('Dvd Calendar'!$E$242:$AR$242&gt;=DATE(YEAR_Y-1,1,1))*('Dvd Calendar'!$E$242:$AR$242&lt;=DATE(YEAR_Y-1,12,31))*'Dvd Calendar'!$E$245:$AR$245*(('Dvd Calendar'!$E$247:$AR$247=TYPE1)*(TYPE1&lt;&gt;"")+('Dvd Calendar'!$E$247:$AR$247=TYPE2)*(TYPE2&lt;&gt;"")+('Dvd Calendar'!$E$247:$AR$247=TYPE3)*(TYPE3&lt;&gt;"")+('Dvd Calendar'!$E$247:$AR$247=TYPE4)*(TYPE4&lt;&gt;"")+('Dvd Calendar'!$E$247:$AR$247=SPECIAL_LBL)*(INC_SPECIALS="Y"))))</f>
        <v/>
      </c>
      <c r="K33" s="65">
        <f>IF($C33="","",HSI!$J$28)</f>
        <v/>
      </c>
      <c r="L33" s="65">
        <f>IF($C33="","",HSI!$K$28)</f>
        <v/>
      </c>
      <c r="M33" s="41">
        <f>IF($C33="","",AVERAGE(F33:J33))</f>
        <v/>
      </c>
      <c r="N33" s="66">
        <f>IF($C33="","",IF(PULL_FUND="N","",IFERROR(BDP($C33,EPS_FIELD,YR_OVERRIDE,TEXT(YEAR_Y-5,"0")),"")))</f>
        <v/>
      </c>
      <c r="O33" s="67">
        <f>IF($C33="","",IF(PULL_FUND="N","",IFERROR(BDP($C33,EPS_FIELD,YR_OVERRIDE,TEXT(YEAR_Y-4,"0")),"")))</f>
        <v/>
      </c>
      <c r="P33" s="67">
        <f>IF($C33="","",IF(PULL_FUND="N","",IFERROR(BDP($C33,EPS_FIELD,YR_OVERRIDE,TEXT(YEAR_Y-3,"0")),"")))</f>
        <v/>
      </c>
      <c r="Q33" s="67">
        <f>IF($C33="","",IF(PULL_FUND="N","",IFERROR(BDP($C33,EPS_FIELD,YR_OVERRIDE,TEXT(YEAR_Y-2,"0")),"")))</f>
        <v/>
      </c>
      <c r="R33" s="67">
        <f>IF($C33="","",IF(PULL_FUND="N","",IFERROR(BDP($C33,EPS_FIELD,YR_OVERRIDE,TEXT(YEAR_Y-1,"0")),"")))</f>
        <v/>
      </c>
      <c r="S33" s="68">
        <f>IF($C33="","",IF(PULL_FUND="N","",IFERROR(BDP($C33,PAYOUT_FIELD,YR_OVERRIDE,TEXT(YEAR_Y-5,"0"))/100,"")))</f>
        <v/>
      </c>
      <c r="T33" s="68">
        <f>IF($C33="","",IF(PULL_FUND="N","",IFERROR(BDP($C33,PAYOUT_FIELD,YR_OVERRIDE,TEXT(YEAR_Y-4,"0"))/100,"")))</f>
        <v/>
      </c>
      <c r="U33" s="68">
        <f>IF($C33="","",IF(PULL_FUND="N","",IFERROR(BDP($C33,PAYOUT_FIELD,YR_OVERRIDE,TEXT(YEAR_Y-3,"0"))/100,"")))</f>
        <v/>
      </c>
      <c r="V33" s="68">
        <f>IF($C33="","",IF(PULL_FUND="N","",IFERROR(BDP($C33,PAYOUT_FIELD,YR_OVERRIDE,TEXT(YEAR_Y-2,"0"))/100,"")))</f>
        <v/>
      </c>
      <c r="W33" s="68">
        <f>IF($C33="","",IF(PULL_FUND="N","",IFERROR(BDP($C33,PAYOUT_FIELD,YR_OVERRIDE,TEXT(YEAR_Y-1,"0"))/100,"")))</f>
        <v/>
      </c>
      <c r="X33" s="69">
        <f>IF($C33="","",IFERROR(AVERAGE(S33:W33),""))</f>
        <v/>
      </c>
      <c r="Y33" s="66">
        <f>IF($C33="","",IF(PULL_FUND="N","",IFERROR(BDP($C33,BESTEPS_FIELD,FWD_OVERRIDE,TEXT(MOD(YEAR_Y,100),"00")&amp;"Y"),"")))</f>
        <v/>
      </c>
      <c r="Z33" s="70">
        <f>IF($C33="","",IF(PULL_FUND="N","",IFERROR(BDP($C33,BESTDPS_FIELD,FWD_OVERRIDE,TEXT(MOD(YEAR_Y,100),"00")&amp;"Y"),"")))</f>
        <v/>
      </c>
      <c r="AA33" s="71">
        <f>IF($C33="","",IF(ISNUMBER($Y33)*ISNUMBER($Z33)*($Y33&lt;&gt;0)=0,"",$Z33/$Y33))</f>
        <v/>
      </c>
      <c r="AB33" s="41">
        <f>IF($C33="","",HSI!$J$28+HSI!$L$28)</f>
        <v/>
      </c>
      <c r="AC33" s="72">
        <f>IF($C33="","",IF(PULL_FUND="N","",IF(COUNTIFS('Fund History'!$G$134:$G$138,"&gt;="&amp;DATE(YEAR_Y-4,1,1),'Fund History'!$G$134:$G$138,"&lt;="&amp;DATE(YEAR_Y-4,12,31))=0,"",SUMIFS('Fund History'!$H$134:$H$138,'Fund History'!$G$134:$G$138,"&gt;="&amp;DATE(YEAR_Y-4,1,1),'Fund History'!$G$134:$G$138,"&lt;="&amp;DATE(YEAR_Y-4,12,31))/100)))</f>
        <v/>
      </c>
      <c r="AD33" s="73">
        <f>IF($C33="","",IF(PULL_FUND="N","",IF(COUNTIFS('Fund History'!$G$134:$G$138,"&gt;="&amp;DATE(YEAR_Y-3,1,1),'Fund History'!$G$134:$G$138,"&lt;="&amp;DATE(YEAR_Y-3,12,31))=0,"",SUMIFS('Fund History'!$H$134:$H$138,'Fund History'!$G$134:$G$138,"&gt;="&amp;DATE(YEAR_Y-3,1,1),'Fund History'!$G$134:$G$138,"&lt;="&amp;DATE(YEAR_Y-3,12,31))/100)))</f>
        <v/>
      </c>
      <c r="AE33" s="73">
        <f>IF($C33="","",IF(PULL_FUND="N","",IF(COUNTIFS('Fund History'!$G$134:$G$138,"&gt;="&amp;DATE(YEAR_Y-2,1,1),'Fund History'!$G$134:$G$138,"&lt;="&amp;DATE(YEAR_Y-2,12,31))=0,"",SUMIFS('Fund History'!$H$134:$H$138,'Fund History'!$G$134:$G$138,"&gt;="&amp;DATE(YEAR_Y-2,1,1),'Fund History'!$G$134:$G$138,"&lt;="&amp;DATE(YEAR_Y-2,12,31))/100)))</f>
        <v/>
      </c>
      <c r="AF33" s="73">
        <f>IF($C33="","",IF(PULL_FUND="N","",IF(COUNTIFS('Fund History'!$G$134:$G$138,"&gt;="&amp;DATE(YEAR_Y-1,1,1),'Fund History'!$G$134:$G$138,"&lt;="&amp;DATE(YEAR_Y-1,12,31))=0,"",SUMIFS('Fund History'!$H$134:$H$138,'Fund History'!$G$134:$G$138,"&gt;="&amp;DATE(YEAR_Y-1,1,1),'Fund History'!$G$134:$G$138,"&lt;="&amp;DATE(YEAR_Y-1,12,31))/100)))</f>
        <v/>
      </c>
      <c r="AG33" s="74">
        <f>IF($C33="","",IF(N($AF33)+N(HSI!$I$28)=0,"",N($AF33)+N(HSI!$I$28)/100))</f>
        <v/>
      </c>
      <c r="AH33" s="66">
        <f>IF($C33="","",IF(PULL_FUND="N","",IF(COUNTIFS('Fund History'!$D$134:$D$138,"&gt;="&amp;DATE(YEAR_Y-2,1,1),'Fund History'!$D$134:$D$138,"&lt;="&amp;DATE(YEAR_Y-2,12,31))=0,"",SUMIFS('Fund History'!$E$134:$E$138,'Fund History'!$D$134:$D$138,"&gt;="&amp;DATE(YEAR_Y-2,1,1),'Fund History'!$D$134:$D$138,"&lt;="&amp;DATE(YEAR_Y-2,12,31)))))</f>
        <v/>
      </c>
      <c r="AI33" s="67">
        <f>IF($C33="","",IF(PULL_FUND="N","",IF(COUNTIFS('Fund History'!$D$134:$D$138,"&gt;="&amp;DATE(YEAR_Y-1,1,1),'Fund History'!$D$134:$D$138,"&lt;="&amp;DATE(YEAR_Y-1,12,31))=0,"",SUMIFS('Fund History'!$E$134:$E$138,'Fund History'!$D$134:$D$138,"&gt;="&amp;DATE(YEAR_Y-1,1,1),'Fund History'!$D$134:$D$138,"&lt;="&amp;DATE(YEAR_Y-1,12,31)))))</f>
        <v/>
      </c>
      <c r="AJ33" s="67">
        <f>IF($C33="","",IF(PULL_FUND="N","",IFERROR(BDP($C33,NDEBITDA_FIELD),"")))</f>
        <v/>
      </c>
      <c r="AK33" s="75">
        <f>IF($C33="","",IF(PULL_FUND="N","",IFERROR(BDP($C33,EBINT_FIELD),"")))</f>
        <v/>
      </c>
      <c r="AL33" s="73">
        <f>IF($C33="","",IF(PULL_FUND="N","",IFERROR(BDP($C33,FCF_FIELD)/100,"")))</f>
        <v/>
      </c>
      <c r="AM33" s="76">
        <f>IF($C33="","",IF(ISNUMBER(HSI!$I$28),HSI!$I$28/100,""))</f>
        <v/>
      </c>
      <c r="AN33" s="47">
        <f>IF($C33="","",IF(N($AM33)=0,"",IFERROR($AL33/$AM33,"")))</f>
        <v/>
      </c>
      <c r="AO33" s="33">
        <f>IF($C33="","",IF(ISNUMBER($S33)*ISNUMBER($W33)=0,"",IF($W33&gt;$S33+0.05,"rising",IF($W33&lt;$S33-0.05,"falling","stable"))))</f>
        <v/>
      </c>
      <c r="AP33" s="77">
        <f>IF($C33="","",TRIM(IF(ISNUMBER($X33)*(N($X33)&gt;$D$4)&gt;0,"payout high  ","")&amp;IF(ISNUMBER($AN33)*(N($AN33)&lt;$F$4)&gt;0,"FCF below dvd  ","")&amp;IF(ISNUMBER($AJ33)*(N($AJ33)&gt;$H$4)&gt;0,"leverage high","")))</f>
        <v/>
      </c>
      <c r="AQ33" s="78">
        <f>IF($C33="","",IF(HSI!$F$28="HKD","",HSI!$F$28))</f>
        <v/>
      </c>
    </row>
    <row r="34">
      <c r="B34" s="62" t="inlineStr">
        <is>
          <t>HSI</t>
        </is>
      </c>
      <c r="C34" s="6">
        <f>IF(HSI!$C$29="","",HSI!$C$29)</f>
        <v/>
      </c>
      <c r="D34" s="6">
        <f>IF($C34="","",HSI!$D$29)</f>
        <v/>
      </c>
      <c r="E34" s="6">
        <f>IF($C34="","",HSI!$E$29)</f>
        <v/>
      </c>
      <c r="F34" s="63">
        <f>IF($C34="","",SUMPRODUCT(('Dvd Calendar'!$E$253:$AR$253&gt;=DATE(YEAR_Y-5,1,1))*('Dvd Calendar'!$E$253:$AR$253&lt;=DATE(YEAR_Y-5,12,31))*'Dvd Calendar'!$E$256:$AR$256*(('Dvd Calendar'!$E$258:$AR$258=TYPE1)*(TYPE1&lt;&gt;"")+('Dvd Calendar'!$E$258:$AR$258=TYPE2)*(TYPE2&lt;&gt;"")+('Dvd Calendar'!$E$258:$AR$258=TYPE3)*(TYPE3&lt;&gt;"")+('Dvd Calendar'!$E$258:$AR$258=TYPE4)*(TYPE4&lt;&gt;"")+('Dvd Calendar'!$E$258:$AR$258=SPECIAL_LBL)*(INC_SPECIALS="Y"))))</f>
        <v/>
      </c>
      <c r="G34" s="64">
        <f>IF($C34="","",SUMPRODUCT(('Dvd Calendar'!$E$253:$AR$253&gt;=DATE(YEAR_Y-4,1,1))*('Dvd Calendar'!$E$253:$AR$253&lt;=DATE(YEAR_Y-4,12,31))*'Dvd Calendar'!$E$256:$AR$256*(('Dvd Calendar'!$E$258:$AR$258=TYPE1)*(TYPE1&lt;&gt;"")+('Dvd Calendar'!$E$258:$AR$258=TYPE2)*(TYPE2&lt;&gt;"")+('Dvd Calendar'!$E$258:$AR$258=TYPE3)*(TYPE3&lt;&gt;"")+('Dvd Calendar'!$E$258:$AR$258=TYPE4)*(TYPE4&lt;&gt;"")+('Dvd Calendar'!$E$258:$AR$258=SPECIAL_LBL)*(INC_SPECIALS="Y"))))</f>
        <v/>
      </c>
      <c r="H34" s="64">
        <f>IF($C34="","",SUMPRODUCT(('Dvd Calendar'!$E$253:$AR$253&gt;=DATE(YEAR_Y-3,1,1))*('Dvd Calendar'!$E$253:$AR$253&lt;=DATE(YEAR_Y-3,12,31))*'Dvd Calendar'!$E$256:$AR$256*(('Dvd Calendar'!$E$258:$AR$258=TYPE1)*(TYPE1&lt;&gt;"")+('Dvd Calendar'!$E$258:$AR$258=TYPE2)*(TYPE2&lt;&gt;"")+('Dvd Calendar'!$E$258:$AR$258=TYPE3)*(TYPE3&lt;&gt;"")+('Dvd Calendar'!$E$258:$AR$258=TYPE4)*(TYPE4&lt;&gt;"")+('Dvd Calendar'!$E$258:$AR$258=SPECIAL_LBL)*(INC_SPECIALS="Y"))))</f>
        <v/>
      </c>
      <c r="I34" s="64">
        <f>IF($C34="","",SUMPRODUCT(('Dvd Calendar'!$E$253:$AR$253&gt;=DATE(YEAR_Y-2,1,1))*('Dvd Calendar'!$E$253:$AR$253&lt;=DATE(YEAR_Y-2,12,31))*'Dvd Calendar'!$E$256:$AR$256*(('Dvd Calendar'!$E$258:$AR$258=TYPE1)*(TYPE1&lt;&gt;"")+('Dvd Calendar'!$E$258:$AR$258=TYPE2)*(TYPE2&lt;&gt;"")+('Dvd Calendar'!$E$258:$AR$258=TYPE3)*(TYPE3&lt;&gt;"")+('Dvd Calendar'!$E$258:$AR$258=TYPE4)*(TYPE4&lt;&gt;"")+('Dvd Calendar'!$E$258:$AR$258=SPECIAL_LBL)*(INC_SPECIALS="Y"))))</f>
        <v/>
      </c>
      <c r="J34" s="64">
        <f>IF($C34="","",SUMPRODUCT(('Dvd Calendar'!$E$253:$AR$253&gt;=DATE(YEAR_Y-1,1,1))*('Dvd Calendar'!$E$253:$AR$253&lt;=DATE(YEAR_Y-1,12,31))*'Dvd Calendar'!$E$256:$AR$256*(('Dvd Calendar'!$E$258:$AR$258=TYPE1)*(TYPE1&lt;&gt;"")+('Dvd Calendar'!$E$258:$AR$258=TYPE2)*(TYPE2&lt;&gt;"")+('Dvd Calendar'!$E$258:$AR$258=TYPE3)*(TYPE3&lt;&gt;"")+('Dvd Calendar'!$E$258:$AR$258=TYPE4)*(TYPE4&lt;&gt;"")+('Dvd Calendar'!$E$258:$AR$258=SPECIAL_LBL)*(INC_SPECIALS="Y"))))</f>
        <v/>
      </c>
      <c r="K34" s="65">
        <f>IF($C34="","",HSI!$J$29)</f>
        <v/>
      </c>
      <c r="L34" s="65">
        <f>IF($C34="","",HSI!$K$29)</f>
        <v/>
      </c>
      <c r="M34" s="41">
        <f>IF($C34="","",AVERAGE(F34:J34))</f>
        <v/>
      </c>
      <c r="N34" s="66">
        <f>IF($C34="","",IF(PULL_FUND="N","",IFERROR(BDP($C34,EPS_FIELD,YR_OVERRIDE,TEXT(YEAR_Y-5,"0")),"")))</f>
        <v/>
      </c>
      <c r="O34" s="67">
        <f>IF($C34="","",IF(PULL_FUND="N","",IFERROR(BDP($C34,EPS_FIELD,YR_OVERRIDE,TEXT(YEAR_Y-4,"0")),"")))</f>
        <v/>
      </c>
      <c r="P34" s="67">
        <f>IF($C34="","",IF(PULL_FUND="N","",IFERROR(BDP($C34,EPS_FIELD,YR_OVERRIDE,TEXT(YEAR_Y-3,"0")),"")))</f>
        <v/>
      </c>
      <c r="Q34" s="67">
        <f>IF($C34="","",IF(PULL_FUND="N","",IFERROR(BDP($C34,EPS_FIELD,YR_OVERRIDE,TEXT(YEAR_Y-2,"0")),"")))</f>
        <v/>
      </c>
      <c r="R34" s="67">
        <f>IF($C34="","",IF(PULL_FUND="N","",IFERROR(BDP($C34,EPS_FIELD,YR_OVERRIDE,TEXT(YEAR_Y-1,"0")),"")))</f>
        <v/>
      </c>
      <c r="S34" s="68">
        <f>IF($C34="","",IF(PULL_FUND="N","",IFERROR(BDP($C34,PAYOUT_FIELD,YR_OVERRIDE,TEXT(YEAR_Y-5,"0"))/100,"")))</f>
        <v/>
      </c>
      <c r="T34" s="68">
        <f>IF($C34="","",IF(PULL_FUND="N","",IFERROR(BDP($C34,PAYOUT_FIELD,YR_OVERRIDE,TEXT(YEAR_Y-4,"0"))/100,"")))</f>
        <v/>
      </c>
      <c r="U34" s="68">
        <f>IF($C34="","",IF(PULL_FUND="N","",IFERROR(BDP($C34,PAYOUT_FIELD,YR_OVERRIDE,TEXT(YEAR_Y-3,"0"))/100,"")))</f>
        <v/>
      </c>
      <c r="V34" s="68">
        <f>IF($C34="","",IF(PULL_FUND="N","",IFERROR(BDP($C34,PAYOUT_FIELD,YR_OVERRIDE,TEXT(YEAR_Y-2,"0"))/100,"")))</f>
        <v/>
      </c>
      <c r="W34" s="68">
        <f>IF($C34="","",IF(PULL_FUND="N","",IFERROR(BDP($C34,PAYOUT_FIELD,YR_OVERRIDE,TEXT(YEAR_Y-1,"0"))/100,"")))</f>
        <v/>
      </c>
      <c r="X34" s="69">
        <f>IF($C34="","",IFERROR(AVERAGE(S34:W34),""))</f>
        <v/>
      </c>
      <c r="Y34" s="66">
        <f>IF($C34="","",IF(PULL_FUND="N","",IFERROR(BDP($C34,BESTEPS_FIELD,FWD_OVERRIDE,TEXT(MOD(YEAR_Y,100),"00")&amp;"Y"),"")))</f>
        <v/>
      </c>
      <c r="Z34" s="70">
        <f>IF($C34="","",IF(PULL_FUND="N","",IFERROR(BDP($C34,BESTDPS_FIELD,FWD_OVERRIDE,TEXT(MOD(YEAR_Y,100),"00")&amp;"Y"),"")))</f>
        <v/>
      </c>
      <c r="AA34" s="71">
        <f>IF($C34="","",IF(ISNUMBER($Y34)*ISNUMBER($Z34)*($Y34&lt;&gt;0)=0,"",$Z34/$Y34))</f>
        <v/>
      </c>
      <c r="AB34" s="41">
        <f>IF($C34="","",HSI!$J$29+HSI!$L$29)</f>
        <v/>
      </c>
      <c r="AC34" s="72">
        <f>IF($C34="","",IF(PULL_FUND="N","",IF(COUNTIFS('Fund History'!$G$140:$G$144,"&gt;="&amp;DATE(YEAR_Y-4,1,1),'Fund History'!$G$140:$G$144,"&lt;="&amp;DATE(YEAR_Y-4,12,31))=0,"",SUMIFS('Fund History'!$H$140:$H$144,'Fund History'!$G$140:$G$144,"&gt;="&amp;DATE(YEAR_Y-4,1,1),'Fund History'!$G$140:$G$144,"&lt;="&amp;DATE(YEAR_Y-4,12,31))/100)))</f>
        <v/>
      </c>
      <c r="AD34" s="73">
        <f>IF($C34="","",IF(PULL_FUND="N","",IF(COUNTIFS('Fund History'!$G$140:$G$144,"&gt;="&amp;DATE(YEAR_Y-3,1,1),'Fund History'!$G$140:$G$144,"&lt;="&amp;DATE(YEAR_Y-3,12,31))=0,"",SUMIFS('Fund History'!$H$140:$H$144,'Fund History'!$G$140:$G$144,"&gt;="&amp;DATE(YEAR_Y-3,1,1),'Fund History'!$G$140:$G$144,"&lt;="&amp;DATE(YEAR_Y-3,12,31))/100)))</f>
        <v/>
      </c>
      <c r="AE34" s="73">
        <f>IF($C34="","",IF(PULL_FUND="N","",IF(COUNTIFS('Fund History'!$G$140:$G$144,"&gt;="&amp;DATE(YEAR_Y-2,1,1),'Fund History'!$G$140:$G$144,"&lt;="&amp;DATE(YEAR_Y-2,12,31))=0,"",SUMIFS('Fund History'!$H$140:$H$144,'Fund History'!$G$140:$G$144,"&gt;="&amp;DATE(YEAR_Y-2,1,1),'Fund History'!$G$140:$G$144,"&lt;="&amp;DATE(YEAR_Y-2,12,31))/100)))</f>
        <v/>
      </c>
      <c r="AF34" s="73">
        <f>IF($C34="","",IF(PULL_FUND="N","",IF(COUNTIFS('Fund History'!$G$140:$G$144,"&gt;="&amp;DATE(YEAR_Y-1,1,1),'Fund History'!$G$140:$G$144,"&lt;="&amp;DATE(YEAR_Y-1,12,31))=0,"",SUMIFS('Fund History'!$H$140:$H$144,'Fund History'!$G$140:$G$144,"&gt;="&amp;DATE(YEAR_Y-1,1,1),'Fund History'!$G$140:$G$144,"&lt;="&amp;DATE(YEAR_Y-1,12,31))/100)))</f>
        <v/>
      </c>
      <c r="AG34" s="74">
        <f>IF($C34="","",IF(N($AF34)+N(HSI!$I$29)=0,"",N($AF34)+N(HSI!$I$29)/100))</f>
        <v/>
      </c>
      <c r="AH34" s="66">
        <f>IF($C34="","",IF(PULL_FUND="N","",IF(COUNTIFS('Fund History'!$D$140:$D$144,"&gt;="&amp;DATE(YEAR_Y-2,1,1),'Fund History'!$D$140:$D$144,"&lt;="&amp;DATE(YEAR_Y-2,12,31))=0,"",SUMIFS('Fund History'!$E$140:$E$144,'Fund History'!$D$140:$D$144,"&gt;="&amp;DATE(YEAR_Y-2,1,1),'Fund History'!$D$140:$D$144,"&lt;="&amp;DATE(YEAR_Y-2,12,31)))))</f>
        <v/>
      </c>
      <c r="AI34" s="67">
        <f>IF($C34="","",IF(PULL_FUND="N","",IF(COUNTIFS('Fund History'!$D$140:$D$144,"&gt;="&amp;DATE(YEAR_Y-1,1,1),'Fund History'!$D$140:$D$144,"&lt;="&amp;DATE(YEAR_Y-1,12,31))=0,"",SUMIFS('Fund History'!$E$140:$E$144,'Fund History'!$D$140:$D$144,"&gt;="&amp;DATE(YEAR_Y-1,1,1),'Fund History'!$D$140:$D$144,"&lt;="&amp;DATE(YEAR_Y-1,12,31)))))</f>
        <v/>
      </c>
      <c r="AJ34" s="67">
        <f>IF($C34="","",IF(PULL_FUND="N","",IFERROR(BDP($C34,NDEBITDA_FIELD),"")))</f>
        <v/>
      </c>
      <c r="AK34" s="75">
        <f>IF($C34="","",IF(PULL_FUND="N","",IFERROR(BDP($C34,EBINT_FIELD),"")))</f>
        <v/>
      </c>
      <c r="AL34" s="73">
        <f>IF($C34="","",IF(PULL_FUND="N","",IFERROR(BDP($C34,FCF_FIELD)/100,"")))</f>
        <v/>
      </c>
      <c r="AM34" s="76">
        <f>IF($C34="","",IF(ISNUMBER(HSI!$I$29),HSI!$I$29/100,""))</f>
        <v/>
      </c>
      <c r="AN34" s="47">
        <f>IF($C34="","",IF(N($AM34)=0,"",IFERROR($AL34/$AM34,"")))</f>
        <v/>
      </c>
      <c r="AO34" s="33">
        <f>IF($C34="","",IF(ISNUMBER($S34)*ISNUMBER($W34)=0,"",IF($W34&gt;$S34+0.05,"rising",IF($W34&lt;$S34-0.05,"falling","stable"))))</f>
        <v/>
      </c>
      <c r="AP34" s="77">
        <f>IF($C34="","",TRIM(IF(ISNUMBER($X34)*(N($X34)&gt;$D$4)&gt;0,"payout high  ","")&amp;IF(ISNUMBER($AN34)*(N($AN34)&lt;$F$4)&gt;0,"FCF below dvd  ","")&amp;IF(ISNUMBER($AJ34)*(N($AJ34)&gt;$H$4)&gt;0,"leverage high","")))</f>
        <v/>
      </c>
      <c r="AQ34" s="78">
        <f>IF($C34="","",IF(HSI!$F$29="HKD","",HSI!$F$29))</f>
        <v/>
      </c>
    </row>
    <row r="35">
      <c r="B35" s="62" t="inlineStr">
        <is>
          <t>HSI</t>
        </is>
      </c>
      <c r="C35" s="6">
        <f>IF(HSI!$C$30="","",HSI!$C$30)</f>
        <v/>
      </c>
      <c r="D35" s="6">
        <f>IF($C35="","",HSI!$D$30)</f>
        <v/>
      </c>
      <c r="E35" s="6">
        <f>IF($C35="","",HSI!$E$30)</f>
        <v/>
      </c>
      <c r="F35" s="63">
        <f>IF($C35="","",SUMPRODUCT(('Dvd Calendar'!$E$264:$AR$264&gt;=DATE(YEAR_Y-5,1,1))*('Dvd Calendar'!$E$264:$AR$264&lt;=DATE(YEAR_Y-5,12,31))*'Dvd Calendar'!$E$267:$AR$267*(('Dvd Calendar'!$E$269:$AR$269=TYPE1)*(TYPE1&lt;&gt;"")+('Dvd Calendar'!$E$269:$AR$269=TYPE2)*(TYPE2&lt;&gt;"")+('Dvd Calendar'!$E$269:$AR$269=TYPE3)*(TYPE3&lt;&gt;"")+('Dvd Calendar'!$E$269:$AR$269=TYPE4)*(TYPE4&lt;&gt;"")+('Dvd Calendar'!$E$269:$AR$269=SPECIAL_LBL)*(INC_SPECIALS="Y"))))</f>
        <v/>
      </c>
      <c r="G35" s="64">
        <f>IF($C35="","",SUMPRODUCT(('Dvd Calendar'!$E$264:$AR$264&gt;=DATE(YEAR_Y-4,1,1))*('Dvd Calendar'!$E$264:$AR$264&lt;=DATE(YEAR_Y-4,12,31))*'Dvd Calendar'!$E$267:$AR$267*(('Dvd Calendar'!$E$269:$AR$269=TYPE1)*(TYPE1&lt;&gt;"")+('Dvd Calendar'!$E$269:$AR$269=TYPE2)*(TYPE2&lt;&gt;"")+('Dvd Calendar'!$E$269:$AR$269=TYPE3)*(TYPE3&lt;&gt;"")+('Dvd Calendar'!$E$269:$AR$269=TYPE4)*(TYPE4&lt;&gt;"")+('Dvd Calendar'!$E$269:$AR$269=SPECIAL_LBL)*(INC_SPECIALS="Y"))))</f>
        <v/>
      </c>
      <c r="H35" s="64">
        <f>IF($C35="","",SUMPRODUCT(('Dvd Calendar'!$E$264:$AR$264&gt;=DATE(YEAR_Y-3,1,1))*('Dvd Calendar'!$E$264:$AR$264&lt;=DATE(YEAR_Y-3,12,31))*'Dvd Calendar'!$E$267:$AR$267*(('Dvd Calendar'!$E$269:$AR$269=TYPE1)*(TYPE1&lt;&gt;"")+('Dvd Calendar'!$E$269:$AR$269=TYPE2)*(TYPE2&lt;&gt;"")+('Dvd Calendar'!$E$269:$AR$269=TYPE3)*(TYPE3&lt;&gt;"")+('Dvd Calendar'!$E$269:$AR$269=TYPE4)*(TYPE4&lt;&gt;"")+('Dvd Calendar'!$E$269:$AR$269=SPECIAL_LBL)*(INC_SPECIALS="Y"))))</f>
        <v/>
      </c>
      <c r="I35" s="64">
        <f>IF($C35="","",SUMPRODUCT(('Dvd Calendar'!$E$264:$AR$264&gt;=DATE(YEAR_Y-2,1,1))*('Dvd Calendar'!$E$264:$AR$264&lt;=DATE(YEAR_Y-2,12,31))*'Dvd Calendar'!$E$267:$AR$267*(('Dvd Calendar'!$E$269:$AR$269=TYPE1)*(TYPE1&lt;&gt;"")+('Dvd Calendar'!$E$269:$AR$269=TYPE2)*(TYPE2&lt;&gt;"")+('Dvd Calendar'!$E$269:$AR$269=TYPE3)*(TYPE3&lt;&gt;"")+('Dvd Calendar'!$E$269:$AR$269=TYPE4)*(TYPE4&lt;&gt;"")+('Dvd Calendar'!$E$269:$AR$269=SPECIAL_LBL)*(INC_SPECIALS="Y"))))</f>
        <v/>
      </c>
      <c r="J35" s="64">
        <f>IF($C35="","",SUMPRODUCT(('Dvd Calendar'!$E$264:$AR$264&gt;=DATE(YEAR_Y-1,1,1))*('Dvd Calendar'!$E$264:$AR$264&lt;=DATE(YEAR_Y-1,12,31))*'Dvd Calendar'!$E$267:$AR$267*(('Dvd Calendar'!$E$269:$AR$269=TYPE1)*(TYPE1&lt;&gt;"")+('Dvd Calendar'!$E$269:$AR$269=TYPE2)*(TYPE2&lt;&gt;"")+('Dvd Calendar'!$E$269:$AR$269=TYPE3)*(TYPE3&lt;&gt;"")+('Dvd Calendar'!$E$269:$AR$269=TYPE4)*(TYPE4&lt;&gt;"")+('Dvd Calendar'!$E$269:$AR$269=SPECIAL_LBL)*(INC_SPECIALS="Y"))))</f>
        <v/>
      </c>
      <c r="K35" s="65">
        <f>IF($C35="","",HSI!$J$30)</f>
        <v/>
      </c>
      <c r="L35" s="65">
        <f>IF($C35="","",HSI!$K$30)</f>
        <v/>
      </c>
      <c r="M35" s="41">
        <f>IF($C35="","",AVERAGE(F35:J35))</f>
        <v/>
      </c>
      <c r="N35" s="66">
        <f>IF($C35="","",IF(PULL_FUND="N","",IFERROR(BDP($C35,EPS_FIELD,YR_OVERRIDE,TEXT(YEAR_Y-5,"0")),"")))</f>
        <v/>
      </c>
      <c r="O35" s="67">
        <f>IF($C35="","",IF(PULL_FUND="N","",IFERROR(BDP($C35,EPS_FIELD,YR_OVERRIDE,TEXT(YEAR_Y-4,"0")),"")))</f>
        <v/>
      </c>
      <c r="P35" s="67">
        <f>IF($C35="","",IF(PULL_FUND="N","",IFERROR(BDP($C35,EPS_FIELD,YR_OVERRIDE,TEXT(YEAR_Y-3,"0")),"")))</f>
        <v/>
      </c>
      <c r="Q35" s="67">
        <f>IF($C35="","",IF(PULL_FUND="N","",IFERROR(BDP($C35,EPS_FIELD,YR_OVERRIDE,TEXT(YEAR_Y-2,"0")),"")))</f>
        <v/>
      </c>
      <c r="R35" s="67">
        <f>IF($C35="","",IF(PULL_FUND="N","",IFERROR(BDP($C35,EPS_FIELD,YR_OVERRIDE,TEXT(YEAR_Y-1,"0")),"")))</f>
        <v/>
      </c>
      <c r="S35" s="68">
        <f>IF($C35="","",IF(PULL_FUND="N","",IFERROR(BDP($C35,PAYOUT_FIELD,YR_OVERRIDE,TEXT(YEAR_Y-5,"0"))/100,"")))</f>
        <v/>
      </c>
      <c r="T35" s="68">
        <f>IF($C35="","",IF(PULL_FUND="N","",IFERROR(BDP($C35,PAYOUT_FIELD,YR_OVERRIDE,TEXT(YEAR_Y-4,"0"))/100,"")))</f>
        <v/>
      </c>
      <c r="U35" s="68">
        <f>IF($C35="","",IF(PULL_FUND="N","",IFERROR(BDP($C35,PAYOUT_FIELD,YR_OVERRIDE,TEXT(YEAR_Y-3,"0"))/100,"")))</f>
        <v/>
      </c>
      <c r="V35" s="68">
        <f>IF($C35="","",IF(PULL_FUND="N","",IFERROR(BDP($C35,PAYOUT_FIELD,YR_OVERRIDE,TEXT(YEAR_Y-2,"0"))/100,"")))</f>
        <v/>
      </c>
      <c r="W35" s="68">
        <f>IF($C35="","",IF(PULL_FUND="N","",IFERROR(BDP($C35,PAYOUT_FIELD,YR_OVERRIDE,TEXT(YEAR_Y-1,"0"))/100,"")))</f>
        <v/>
      </c>
      <c r="X35" s="69">
        <f>IF($C35="","",IFERROR(AVERAGE(S35:W35),""))</f>
        <v/>
      </c>
      <c r="Y35" s="66">
        <f>IF($C35="","",IF(PULL_FUND="N","",IFERROR(BDP($C35,BESTEPS_FIELD,FWD_OVERRIDE,TEXT(MOD(YEAR_Y,100),"00")&amp;"Y"),"")))</f>
        <v/>
      </c>
      <c r="Z35" s="70">
        <f>IF($C35="","",IF(PULL_FUND="N","",IFERROR(BDP($C35,BESTDPS_FIELD,FWD_OVERRIDE,TEXT(MOD(YEAR_Y,100),"00")&amp;"Y"),"")))</f>
        <v/>
      </c>
      <c r="AA35" s="71">
        <f>IF($C35="","",IF(ISNUMBER($Y35)*ISNUMBER($Z35)*($Y35&lt;&gt;0)=0,"",$Z35/$Y35))</f>
        <v/>
      </c>
      <c r="AB35" s="41">
        <f>IF($C35="","",HSI!$J$30+HSI!$L$30)</f>
        <v/>
      </c>
      <c r="AC35" s="72">
        <f>IF($C35="","",IF(PULL_FUND="N","",IF(COUNTIFS('Fund History'!$G$146:$G$150,"&gt;="&amp;DATE(YEAR_Y-4,1,1),'Fund History'!$G$146:$G$150,"&lt;="&amp;DATE(YEAR_Y-4,12,31))=0,"",SUMIFS('Fund History'!$H$146:$H$150,'Fund History'!$G$146:$G$150,"&gt;="&amp;DATE(YEAR_Y-4,1,1),'Fund History'!$G$146:$G$150,"&lt;="&amp;DATE(YEAR_Y-4,12,31))/100)))</f>
        <v/>
      </c>
      <c r="AD35" s="73">
        <f>IF($C35="","",IF(PULL_FUND="N","",IF(COUNTIFS('Fund History'!$G$146:$G$150,"&gt;="&amp;DATE(YEAR_Y-3,1,1),'Fund History'!$G$146:$G$150,"&lt;="&amp;DATE(YEAR_Y-3,12,31))=0,"",SUMIFS('Fund History'!$H$146:$H$150,'Fund History'!$G$146:$G$150,"&gt;="&amp;DATE(YEAR_Y-3,1,1),'Fund History'!$G$146:$G$150,"&lt;="&amp;DATE(YEAR_Y-3,12,31))/100)))</f>
        <v/>
      </c>
      <c r="AE35" s="73">
        <f>IF($C35="","",IF(PULL_FUND="N","",IF(COUNTIFS('Fund History'!$G$146:$G$150,"&gt;="&amp;DATE(YEAR_Y-2,1,1),'Fund History'!$G$146:$G$150,"&lt;="&amp;DATE(YEAR_Y-2,12,31))=0,"",SUMIFS('Fund History'!$H$146:$H$150,'Fund History'!$G$146:$G$150,"&gt;="&amp;DATE(YEAR_Y-2,1,1),'Fund History'!$G$146:$G$150,"&lt;="&amp;DATE(YEAR_Y-2,12,31))/100)))</f>
        <v/>
      </c>
      <c r="AF35" s="73">
        <f>IF($C35="","",IF(PULL_FUND="N","",IF(COUNTIFS('Fund History'!$G$146:$G$150,"&gt;="&amp;DATE(YEAR_Y-1,1,1),'Fund History'!$G$146:$G$150,"&lt;="&amp;DATE(YEAR_Y-1,12,31))=0,"",SUMIFS('Fund History'!$H$146:$H$150,'Fund History'!$G$146:$G$150,"&gt;="&amp;DATE(YEAR_Y-1,1,1),'Fund History'!$G$146:$G$150,"&lt;="&amp;DATE(YEAR_Y-1,12,31))/100)))</f>
        <v/>
      </c>
      <c r="AG35" s="74">
        <f>IF($C35="","",IF(N($AF35)+N(HSI!$I$30)=0,"",N($AF35)+N(HSI!$I$30)/100))</f>
        <v/>
      </c>
      <c r="AH35" s="66">
        <f>IF($C35="","",IF(PULL_FUND="N","",IF(COUNTIFS('Fund History'!$D$146:$D$150,"&gt;="&amp;DATE(YEAR_Y-2,1,1),'Fund History'!$D$146:$D$150,"&lt;="&amp;DATE(YEAR_Y-2,12,31))=0,"",SUMIFS('Fund History'!$E$146:$E$150,'Fund History'!$D$146:$D$150,"&gt;="&amp;DATE(YEAR_Y-2,1,1),'Fund History'!$D$146:$D$150,"&lt;="&amp;DATE(YEAR_Y-2,12,31)))))</f>
        <v/>
      </c>
      <c r="AI35" s="67">
        <f>IF($C35="","",IF(PULL_FUND="N","",IF(COUNTIFS('Fund History'!$D$146:$D$150,"&gt;="&amp;DATE(YEAR_Y-1,1,1),'Fund History'!$D$146:$D$150,"&lt;="&amp;DATE(YEAR_Y-1,12,31))=0,"",SUMIFS('Fund History'!$E$146:$E$150,'Fund History'!$D$146:$D$150,"&gt;="&amp;DATE(YEAR_Y-1,1,1),'Fund History'!$D$146:$D$150,"&lt;="&amp;DATE(YEAR_Y-1,12,31)))))</f>
        <v/>
      </c>
      <c r="AJ35" s="67">
        <f>IF($C35="","",IF(PULL_FUND="N","",IFERROR(BDP($C35,NDEBITDA_FIELD),"")))</f>
        <v/>
      </c>
      <c r="AK35" s="75">
        <f>IF($C35="","",IF(PULL_FUND="N","",IFERROR(BDP($C35,EBINT_FIELD),"")))</f>
        <v/>
      </c>
      <c r="AL35" s="73">
        <f>IF($C35="","",IF(PULL_FUND="N","",IFERROR(BDP($C35,FCF_FIELD)/100,"")))</f>
        <v/>
      </c>
      <c r="AM35" s="76">
        <f>IF($C35="","",IF(ISNUMBER(HSI!$I$30),HSI!$I$30/100,""))</f>
        <v/>
      </c>
      <c r="AN35" s="47">
        <f>IF($C35="","",IF(N($AM35)=0,"",IFERROR($AL35/$AM35,"")))</f>
        <v/>
      </c>
      <c r="AO35" s="33">
        <f>IF($C35="","",IF(ISNUMBER($S35)*ISNUMBER($W35)=0,"",IF($W35&gt;$S35+0.05,"rising",IF($W35&lt;$S35-0.05,"falling","stable"))))</f>
        <v/>
      </c>
      <c r="AP35" s="77">
        <f>IF($C35="","",TRIM(IF(ISNUMBER($X35)*(N($X35)&gt;$D$4)&gt;0,"payout high  ","")&amp;IF(ISNUMBER($AN35)*(N($AN35)&lt;$F$4)&gt;0,"FCF below dvd  ","")&amp;IF(ISNUMBER($AJ35)*(N($AJ35)&gt;$H$4)&gt;0,"leverage high","")))</f>
        <v/>
      </c>
      <c r="AQ35" s="78">
        <f>IF($C35="","",IF(HSI!$F$30="HKD","",HSI!$F$30))</f>
        <v/>
      </c>
    </row>
    <row r="36">
      <c r="B36" s="62" t="inlineStr">
        <is>
          <t>HSI</t>
        </is>
      </c>
      <c r="C36" s="6">
        <f>IF(HSI!$C$31="","",HSI!$C$31)</f>
        <v/>
      </c>
      <c r="D36" s="6">
        <f>IF($C36="","",HSI!$D$31)</f>
        <v/>
      </c>
      <c r="E36" s="6">
        <f>IF($C36="","",HSI!$E$31)</f>
        <v/>
      </c>
      <c r="F36" s="63">
        <f>IF($C36="","",SUMPRODUCT(('Dvd Calendar'!$E$275:$AR$275&gt;=DATE(YEAR_Y-5,1,1))*('Dvd Calendar'!$E$275:$AR$275&lt;=DATE(YEAR_Y-5,12,31))*'Dvd Calendar'!$E$278:$AR$278*(('Dvd Calendar'!$E$280:$AR$280=TYPE1)*(TYPE1&lt;&gt;"")+('Dvd Calendar'!$E$280:$AR$280=TYPE2)*(TYPE2&lt;&gt;"")+('Dvd Calendar'!$E$280:$AR$280=TYPE3)*(TYPE3&lt;&gt;"")+('Dvd Calendar'!$E$280:$AR$280=TYPE4)*(TYPE4&lt;&gt;"")+('Dvd Calendar'!$E$280:$AR$280=SPECIAL_LBL)*(INC_SPECIALS="Y"))))</f>
        <v/>
      </c>
      <c r="G36" s="64">
        <f>IF($C36="","",SUMPRODUCT(('Dvd Calendar'!$E$275:$AR$275&gt;=DATE(YEAR_Y-4,1,1))*('Dvd Calendar'!$E$275:$AR$275&lt;=DATE(YEAR_Y-4,12,31))*'Dvd Calendar'!$E$278:$AR$278*(('Dvd Calendar'!$E$280:$AR$280=TYPE1)*(TYPE1&lt;&gt;"")+('Dvd Calendar'!$E$280:$AR$280=TYPE2)*(TYPE2&lt;&gt;"")+('Dvd Calendar'!$E$280:$AR$280=TYPE3)*(TYPE3&lt;&gt;"")+('Dvd Calendar'!$E$280:$AR$280=TYPE4)*(TYPE4&lt;&gt;"")+('Dvd Calendar'!$E$280:$AR$280=SPECIAL_LBL)*(INC_SPECIALS="Y"))))</f>
        <v/>
      </c>
      <c r="H36" s="64">
        <f>IF($C36="","",SUMPRODUCT(('Dvd Calendar'!$E$275:$AR$275&gt;=DATE(YEAR_Y-3,1,1))*('Dvd Calendar'!$E$275:$AR$275&lt;=DATE(YEAR_Y-3,12,31))*'Dvd Calendar'!$E$278:$AR$278*(('Dvd Calendar'!$E$280:$AR$280=TYPE1)*(TYPE1&lt;&gt;"")+('Dvd Calendar'!$E$280:$AR$280=TYPE2)*(TYPE2&lt;&gt;"")+('Dvd Calendar'!$E$280:$AR$280=TYPE3)*(TYPE3&lt;&gt;"")+('Dvd Calendar'!$E$280:$AR$280=TYPE4)*(TYPE4&lt;&gt;"")+('Dvd Calendar'!$E$280:$AR$280=SPECIAL_LBL)*(INC_SPECIALS="Y"))))</f>
        <v/>
      </c>
      <c r="I36" s="64">
        <f>IF($C36="","",SUMPRODUCT(('Dvd Calendar'!$E$275:$AR$275&gt;=DATE(YEAR_Y-2,1,1))*('Dvd Calendar'!$E$275:$AR$275&lt;=DATE(YEAR_Y-2,12,31))*'Dvd Calendar'!$E$278:$AR$278*(('Dvd Calendar'!$E$280:$AR$280=TYPE1)*(TYPE1&lt;&gt;"")+('Dvd Calendar'!$E$280:$AR$280=TYPE2)*(TYPE2&lt;&gt;"")+('Dvd Calendar'!$E$280:$AR$280=TYPE3)*(TYPE3&lt;&gt;"")+('Dvd Calendar'!$E$280:$AR$280=TYPE4)*(TYPE4&lt;&gt;"")+('Dvd Calendar'!$E$280:$AR$280=SPECIAL_LBL)*(INC_SPECIALS="Y"))))</f>
        <v/>
      </c>
      <c r="J36" s="64">
        <f>IF($C36="","",SUMPRODUCT(('Dvd Calendar'!$E$275:$AR$275&gt;=DATE(YEAR_Y-1,1,1))*('Dvd Calendar'!$E$275:$AR$275&lt;=DATE(YEAR_Y-1,12,31))*'Dvd Calendar'!$E$278:$AR$278*(('Dvd Calendar'!$E$280:$AR$280=TYPE1)*(TYPE1&lt;&gt;"")+('Dvd Calendar'!$E$280:$AR$280=TYPE2)*(TYPE2&lt;&gt;"")+('Dvd Calendar'!$E$280:$AR$280=TYPE3)*(TYPE3&lt;&gt;"")+('Dvd Calendar'!$E$280:$AR$280=TYPE4)*(TYPE4&lt;&gt;"")+('Dvd Calendar'!$E$280:$AR$280=SPECIAL_LBL)*(INC_SPECIALS="Y"))))</f>
        <v/>
      </c>
      <c r="K36" s="65">
        <f>IF($C36="","",HSI!$J$31)</f>
        <v/>
      </c>
      <c r="L36" s="65">
        <f>IF($C36="","",HSI!$K$31)</f>
        <v/>
      </c>
      <c r="M36" s="41">
        <f>IF($C36="","",AVERAGE(F36:J36))</f>
        <v/>
      </c>
      <c r="N36" s="66">
        <f>IF($C36="","",IF(PULL_FUND="N","",IFERROR(BDP($C36,EPS_FIELD,YR_OVERRIDE,TEXT(YEAR_Y-5,"0")),"")))</f>
        <v/>
      </c>
      <c r="O36" s="67">
        <f>IF($C36="","",IF(PULL_FUND="N","",IFERROR(BDP($C36,EPS_FIELD,YR_OVERRIDE,TEXT(YEAR_Y-4,"0")),"")))</f>
        <v/>
      </c>
      <c r="P36" s="67">
        <f>IF($C36="","",IF(PULL_FUND="N","",IFERROR(BDP($C36,EPS_FIELD,YR_OVERRIDE,TEXT(YEAR_Y-3,"0")),"")))</f>
        <v/>
      </c>
      <c r="Q36" s="67">
        <f>IF($C36="","",IF(PULL_FUND="N","",IFERROR(BDP($C36,EPS_FIELD,YR_OVERRIDE,TEXT(YEAR_Y-2,"0")),"")))</f>
        <v/>
      </c>
      <c r="R36" s="67">
        <f>IF($C36="","",IF(PULL_FUND="N","",IFERROR(BDP($C36,EPS_FIELD,YR_OVERRIDE,TEXT(YEAR_Y-1,"0")),"")))</f>
        <v/>
      </c>
      <c r="S36" s="68">
        <f>IF($C36="","",IF(PULL_FUND="N","",IFERROR(BDP($C36,PAYOUT_FIELD,YR_OVERRIDE,TEXT(YEAR_Y-5,"0"))/100,"")))</f>
        <v/>
      </c>
      <c r="T36" s="68">
        <f>IF($C36="","",IF(PULL_FUND="N","",IFERROR(BDP($C36,PAYOUT_FIELD,YR_OVERRIDE,TEXT(YEAR_Y-4,"0"))/100,"")))</f>
        <v/>
      </c>
      <c r="U36" s="68">
        <f>IF($C36="","",IF(PULL_FUND="N","",IFERROR(BDP($C36,PAYOUT_FIELD,YR_OVERRIDE,TEXT(YEAR_Y-3,"0"))/100,"")))</f>
        <v/>
      </c>
      <c r="V36" s="68">
        <f>IF($C36="","",IF(PULL_FUND="N","",IFERROR(BDP($C36,PAYOUT_FIELD,YR_OVERRIDE,TEXT(YEAR_Y-2,"0"))/100,"")))</f>
        <v/>
      </c>
      <c r="W36" s="68">
        <f>IF($C36="","",IF(PULL_FUND="N","",IFERROR(BDP($C36,PAYOUT_FIELD,YR_OVERRIDE,TEXT(YEAR_Y-1,"0"))/100,"")))</f>
        <v/>
      </c>
      <c r="X36" s="69">
        <f>IF($C36="","",IFERROR(AVERAGE(S36:W36),""))</f>
        <v/>
      </c>
      <c r="Y36" s="66">
        <f>IF($C36="","",IF(PULL_FUND="N","",IFERROR(BDP($C36,BESTEPS_FIELD,FWD_OVERRIDE,TEXT(MOD(YEAR_Y,100),"00")&amp;"Y"),"")))</f>
        <v/>
      </c>
      <c r="Z36" s="70">
        <f>IF($C36="","",IF(PULL_FUND="N","",IFERROR(BDP($C36,BESTDPS_FIELD,FWD_OVERRIDE,TEXT(MOD(YEAR_Y,100),"00")&amp;"Y"),"")))</f>
        <v/>
      </c>
      <c r="AA36" s="71">
        <f>IF($C36="","",IF(ISNUMBER($Y36)*ISNUMBER($Z36)*($Y36&lt;&gt;0)=0,"",$Z36/$Y36))</f>
        <v/>
      </c>
      <c r="AB36" s="41">
        <f>IF($C36="","",HSI!$J$31+HSI!$L$31)</f>
        <v/>
      </c>
      <c r="AC36" s="72">
        <f>IF($C36="","",IF(PULL_FUND="N","",IF(COUNTIFS('Fund History'!$G$152:$G$156,"&gt;="&amp;DATE(YEAR_Y-4,1,1),'Fund History'!$G$152:$G$156,"&lt;="&amp;DATE(YEAR_Y-4,12,31))=0,"",SUMIFS('Fund History'!$H$152:$H$156,'Fund History'!$G$152:$G$156,"&gt;="&amp;DATE(YEAR_Y-4,1,1),'Fund History'!$G$152:$G$156,"&lt;="&amp;DATE(YEAR_Y-4,12,31))/100)))</f>
        <v/>
      </c>
      <c r="AD36" s="73">
        <f>IF($C36="","",IF(PULL_FUND="N","",IF(COUNTIFS('Fund History'!$G$152:$G$156,"&gt;="&amp;DATE(YEAR_Y-3,1,1),'Fund History'!$G$152:$G$156,"&lt;="&amp;DATE(YEAR_Y-3,12,31))=0,"",SUMIFS('Fund History'!$H$152:$H$156,'Fund History'!$G$152:$G$156,"&gt;="&amp;DATE(YEAR_Y-3,1,1),'Fund History'!$G$152:$G$156,"&lt;="&amp;DATE(YEAR_Y-3,12,31))/100)))</f>
        <v/>
      </c>
      <c r="AE36" s="73">
        <f>IF($C36="","",IF(PULL_FUND="N","",IF(COUNTIFS('Fund History'!$G$152:$G$156,"&gt;="&amp;DATE(YEAR_Y-2,1,1),'Fund History'!$G$152:$G$156,"&lt;="&amp;DATE(YEAR_Y-2,12,31))=0,"",SUMIFS('Fund History'!$H$152:$H$156,'Fund History'!$G$152:$G$156,"&gt;="&amp;DATE(YEAR_Y-2,1,1),'Fund History'!$G$152:$G$156,"&lt;="&amp;DATE(YEAR_Y-2,12,31))/100)))</f>
        <v/>
      </c>
      <c r="AF36" s="73">
        <f>IF($C36="","",IF(PULL_FUND="N","",IF(COUNTIFS('Fund History'!$G$152:$G$156,"&gt;="&amp;DATE(YEAR_Y-1,1,1),'Fund History'!$G$152:$G$156,"&lt;="&amp;DATE(YEAR_Y-1,12,31))=0,"",SUMIFS('Fund History'!$H$152:$H$156,'Fund History'!$G$152:$G$156,"&gt;="&amp;DATE(YEAR_Y-1,1,1),'Fund History'!$G$152:$G$156,"&lt;="&amp;DATE(YEAR_Y-1,12,31))/100)))</f>
        <v/>
      </c>
      <c r="AG36" s="74">
        <f>IF($C36="","",IF(N($AF36)+N(HSI!$I$31)=0,"",N($AF36)+N(HSI!$I$31)/100))</f>
        <v/>
      </c>
      <c r="AH36" s="66">
        <f>IF($C36="","",IF(PULL_FUND="N","",IF(COUNTIFS('Fund History'!$D$152:$D$156,"&gt;="&amp;DATE(YEAR_Y-2,1,1),'Fund History'!$D$152:$D$156,"&lt;="&amp;DATE(YEAR_Y-2,12,31))=0,"",SUMIFS('Fund History'!$E$152:$E$156,'Fund History'!$D$152:$D$156,"&gt;="&amp;DATE(YEAR_Y-2,1,1),'Fund History'!$D$152:$D$156,"&lt;="&amp;DATE(YEAR_Y-2,12,31)))))</f>
        <v/>
      </c>
      <c r="AI36" s="67">
        <f>IF($C36="","",IF(PULL_FUND="N","",IF(COUNTIFS('Fund History'!$D$152:$D$156,"&gt;="&amp;DATE(YEAR_Y-1,1,1),'Fund History'!$D$152:$D$156,"&lt;="&amp;DATE(YEAR_Y-1,12,31))=0,"",SUMIFS('Fund History'!$E$152:$E$156,'Fund History'!$D$152:$D$156,"&gt;="&amp;DATE(YEAR_Y-1,1,1),'Fund History'!$D$152:$D$156,"&lt;="&amp;DATE(YEAR_Y-1,12,31)))))</f>
        <v/>
      </c>
      <c r="AJ36" s="67">
        <f>IF($C36="","",IF(PULL_FUND="N","",IFERROR(BDP($C36,NDEBITDA_FIELD),"")))</f>
        <v/>
      </c>
      <c r="AK36" s="75">
        <f>IF($C36="","",IF(PULL_FUND="N","",IFERROR(BDP($C36,EBINT_FIELD),"")))</f>
        <v/>
      </c>
      <c r="AL36" s="73">
        <f>IF($C36="","",IF(PULL_FUND="N","",IFERROR(BDP($C36,FCF_FIELD)/100,"")))</f>
        <v/>
      </c>
      <c r="AM36" s="76">
        <f>IF($C36="","",IF(ISNUMBER(HSI!$I$31),HSI!$I$31/100,""))</f>
        <v/>
      </c>
      <c r="AN36" s="47">
        <f>IF($C36="","",IF(N($AM36)=0,"",IFERROR($AL36/$AM36,"")))</f>
        <v/>
      </c>
      <c r="AO36" s="33">
        <f>IF($C36="","",IF(ISNUMBER($S36)*ISNUMBER($W36)=0,"",IF($W36&gt;$S36+0.05,"rising",IF($W36&lt;$S36-0.05,"falling","stable"))))</f>
        <v/>
      </c>
      <c r="AP36" s="77">
        <f>IF($C36="","",TRIM(IF(ISNUMBER($X36)*(N($X36)&gt;$D$4)&gt;0,"payout high  ","")&amp;IF(ISNUMBER($AN36)*(N($AN36)&lt;$F$4)&gt;0,"FCF below dvd  ","")&amp;IF(ISNUMBER($AJ36)*(N($AJ36)&gt;$H$4)&gt;0,"leverage high","")))</f>
        <v/>
      </c>
      <c r="AQ36" s="78">
        <f>IF($C36="","",IF(HSI!$F$31="HKD","",HSI!$F$31))</f>
        <v/>
      </c>
    </row>
    <row r="37">
      <c r="B37" s="62" t="inlineStr">
        <is>
          <t>HSI</t>
        </is>
      </c>
      <c r="C37" s="6">
        <f>IF(HSI!$C$32="","",HSI!$C$32)</f>
        <v/>
      </c>
      <c r="D37" s="6">
        <f>IF($C37="","",HSI!$D$32)</f>
        <v/>
      </c>
      <c r="E37" s="6">
        <f>IF($C37="","",HSI!$E$32)</f>
        <v/>
      </c>
      <c r="F37" s="63">
        <f>IF($C37="","",SUMPRODUCT(('Dvd Calendar'!$E$286:$AR$286&gt;=DATE(YEAR_Y-5,1,1))*('Dvd Calendar'!$E$286:$AR$286&lt;=DATE(YEAR_Y-5,12,31))*'Dvd Calendar'!$E$289:$AR$289*(('Dvd Calendar'!$E$291:$AR$291=TYPE1)*(TYPE1&lt;&gt;"")+('Dvd Calendar'!$E$291:$AR$291=TYPE2)*(TYPE2&lt;&gt;"")+('Dvd Calendar'!$E$291:$AR$291=TYPE3)*(TYPE3&lt;&gt;"")+('Dvd Calendar'!$E$291:$AR$291=TYPE4)*(TYPE4&lt;&gt;"")+('Dvd Calendar'!$E$291:$AR$291=SPECIAL_LBL)*(INC_SPECIALS="Y"))))</f>
        <v/>
      </c>
      <c r="G37" s="64">
        <f>IF($C37="","",SUMPRODUCT(('Dvd Calendar'!$E$286:$AR$286&gt;=DATE(YEAR_Y-4,1,1))*('Dvd Calendar'!$E$286:$AR$286&lt;=DATE(YEAR_Y-4,12,31))*'Dvd Calendar'!$E$289:$AR$289*(('Dvd Calendar'!$E$291:$AR$291=TYPE1)*(TYPE1&lt;&gt;"")+('Dvd Calendar'!$E$291:$AR$291=TYPE2)*(TYPE2&lt;&gt;"")+('Dvd Calendar'!$E$291:$AR$291=TYPE3)*(TYPE3&lt;&gt;"")+('Dvd Calendar'!$E$291:$AR$291=TYPE4)*(TYPE4&lt;&gt;"")+('Dvd Calendar'!$E$291:$AR$291=SPECIAL_LBL)*(INC_SPECIALS="Y"))))</f>
        <v/>
      </c>
      <c r="H37" s="64">
        <f>IF($C37="","",SUMPRODUCT(('Dvd Calendar'!$E$286:$AR$286&gt;=DATE(YEAR_Y-3,1,1))*('Dvd Calendar'!$E$286:$AR$286&lt;=DATE(YEAR_Y-3,12,31))*'Dvd Calendar'!$E$289:$AR$289*(('Dvd Calendar'!$E$291:$AR$291=TYPE1)*(TYPE1&lt;&gt;"")+('Dvd Calendar'!$E$291:$AR$291=TYPE2)*(TYPE2&lt;&gt;"")+('Dvd Calendar'!$E$291:$AR$291=TYPE3)*(TYPE3&lt;&gt;"")+('Dvd Calendar'!$E$291:$AR$291=TYPE4)*(TYPE4&lt;&gt;"")+('Dvd Calendar'!$E$291:$AR$291=SPECIAL_LBL)*(INC_SPECIALS="Y"))))</f>
        <v/>
      </c>
      <c r="I37" s="64">
        <f>IF($C37="","",SUMPRODUCT(('Dvd Calendar'!$E$286:$AR$286&gt;=DATE(YEAR_Y-2,1,1))*('Dvd Calendar'!$E$286:$AR$286&lt;=DATE(YEAR_Y-2,12,31))*'Dvd Calendar'!$E$289:$AR$289*(('Dvd Calendar'!$E$291:$AR$291=TYPE1)*(TYPE1&lt;&gt;"")+('Dvd Calendar'!$E$291:$AR$291=TYPE2)*(TYPE2&lt;&gt;"")+('Dvd Calendar'!$E$291:$AR$291=TYPE3)*(TYPE3&lt;&gt;"")+('Dvd Calendar'!$E$291:$AR$291=TYPE4)*(TYPE4&lt;&gt;"")+('Dvd Calendar'!$E$291:$AR$291=SPECIAL_LBL)*(INC_SPECIALS="Y"))))</f>
        <v/>
      </c>
      <c r="J37" s="64">
        <f>IF($C37="","",SUMPRODUCT(('Dvd Calendar'!$E$286:$AR$286&gt;=DATE(YEAR_Y-1,1,1))*('Dvd Calendar'!$E$286:$AR$286&lt;=DATE(YEAR_Y-1,12,31))*'Dvd Calendar'!$E$289:$AR$289*(('Dvd Calendar'!$E$291:$AR$291=TYPE1)*(TYPE1&lt;&gt;"")+('Dvd Calendar'!$E$291:$AR$291=TYPE2)*(TYPE2&lt;&gt;"")+('Dvd Calendar'!$E$291:$AR$291=TYPE3)*(TYPE3&lt;&gt;"")+('Dvd Calendar'!$E$291:$AR$291=TYPE4)*(TYPE4&lt;&gt;"")+('Dvd Calendar'!$E$291:$AR$291=SPECIAL_LBL)*(INC_SPECIALS="Y"))))</f>
        <v/>
      </c>
      <c r="K37" s="65">
        <f>IF($C37="","",HSI!$J$32)</f>
        <v/>
      </c>
      <c r="L37" s="65">
        <f>IF($C37="","",HSI!$K$32)</f>
        <v/>
      </c>
      <c r="M37" s="41">
        <f>IF($C37="","",AVERAGE(F37:J37))</f>
        <v/>
      </c>
      <c r="N37" s="66">
        <f>IF($C37="","",IF(PULL_FUND="N","",IFERROR(BDP($C37,EPS_FIELD,YR_OVERRIDE,TEXT(YEAR_Y-5,"0")),"")))</f>
        <v/>
      </c>
      <c r="O37" s="67">
        <f>IF($C37="","",IF(PULL_FUND="N","",IFERROR(BDP($C37,EPS_FIELD,YR_OVERRIDE,TEXT(YEAR_Y-4,"0")),"")))</f>
        <v/>
      </c>
      <c r="P37" s="67">
        <f>IF($C37="","",IF(PULL_FUND="N","",IFERROR(BDP($C37,EPS_FIELD,YR_OVERRIDE,TEXT(YEAR_Y-3,"0")),"")))</f>
        <v/>
      </c>
      <c r="Q37" s="67">
        <f>IF($C37="","",IF(PULL_FUND="N","",IFERROR(BDP($C37,EPS_FIELD,YR_OVERRIDE,TEXT(YEAR_Y-2,"0")),"")))</f>
        <v/>
      </c>
      <c r="R37" s="67">
        <f>IF($C37="","",IF(PULL_FUND="N","",IFERROR(BDP($C37,EPS_FIELD,YR_OVERRIDE,TEXT(YEAR_Y-1,"0")),"")))</f>
        <v/>
      </c>
      <c r="S37" s="68">
        <f>IF($C37="","",IF(PULL_FUND="N","",IFERROR(BDP($C37,PAYOUT_FIELD,YR_OVERRIDE,TEXT(YEAR_Y-5,"0"))/100,"")))</f>
        <v/>
      </c>
      <c r="T37" s="68">
        <f>IF($C37="","",IF(PULL_FUND="N","",IFERROR(BDP($C37,PAYOUT_FIELD,YR_OVERRIDE,TEXT(YEAR_Y-4,"0"))/100,"")))</f>
        <v/>
      </c>
      <c r="U37" s="68">
        <f>IF($C37="","",IF(PULL_FUND="N","",IFERROR(BDP($C37,PAYOUT_FIELD,YR_OVERRIDE,TEXT(YEAR_Y-3,"0"))/100,"")))</f>
        <v/>
      </c>
      <c r="V37" s="68">
        <f>IF($C37="","",IF(PULL_FUND="N","",IFERROR(BDP($C37,PAYOUT_FIELD,YR_OVERRIDE,TEXT(YEAR_Y-2,"0"))/100,"")))</f>
        <v/>
      </c>
      <c r="W37" s="68">
        <f>IF($C37="","",IF(PULL_FUND="N","",IFERROR(BDP($C37,PAYOUT_FIELD,YR_OVERRIDE,TEXT(YEAR_Y-1,"0"))/100,"")))</f>
        <v/>
      </c>
      <c r="X37" s="69">
        <f>IF($C37="","",IFERROR(AVERAGE(S37:W37),""))</f>
        <v/>
      </c>
      <c r="Y37" s="66">
        <f>IF($C37="","",IF(PULL_FUND="N","",IFERROR(BDP($C37,BESTEPS_FIELD,FWD_OVERRIDE,TEXT(MOD(YEAR_Y,100),"00")&amp;"Y"),"")))</f>
        <v/>
      </c>
      <c r="Z37" s="70">
        <f>IF($C37="","",IF(PULL_FUND="N","",IFERROR(BDP($C37,BESTDPS_FIELD,FWD_OVERRIDE,TEXT(MOD(YEAR_Y,100),"00")&amp;"Y"),"")))</f>
        <v/>
      </c>
      <c r="AA37" s="71">
        <f>IF($C37="","",IF(ISNUMBER($Y37)*ISNUMBER($Z37)*($Y37&lt;&gt;0)=0,"",$Z37/$Y37))</f>
        <v/>
      </c>
      <c r="AB37" s="41">
        <f>IF($C37="","",HSI!$J$32+HSI!$L$32)</f>
        <v/>
      </c>
      <c r="AC37" s="72">
        <f>IF($C37="","",IF(PULL_FUND="N","",IF(COUNTIFS('Fund History'!$G$158:$G$162,"&gt;="&amp;DATE(YEAR_Y-4,1,1),'Fund History'!$G$158:$G$162,"&lt;="&amp;DATE(YEAR_Y-4,12,31))=0,"",SUMIFS('Fund History'!$H$158:$H$162,'Fund History'!$G$158:$G$162,"&gt;="&amp;DATE(YEAR_Y-4,1,1),'Fund History'!$G$158:$G$162,"&lt;="&amp;DATE(YEAR_Y-4,12,31))/100)))</f>
        <v/>
      </c>
      <c r="AD37" s="73">
        <f>IF($C37="","",IF(PULL_FUND="N","",IF(COUNTIFS('Fund History'!$G$158:$G$162,"&gt;="&amp;DATE(YEAR_Y-3,1,1),'Fund History'!$G$158:$G$162,"&lt;="&amp;DATE(YEAR_Y-3,12,31))=0,"",SUMIFS('Fund History'!$H$158:$H$162,'Fund History'!$G$158:$G$162,"&gt;="&amp;DATE(YEAR_Y-3,1,1),'Fund History'!$G$158:$G$162,"&lt;="&amp;DATE(YEAR_Y-3,12,31))/100)))</f>
        <v/>
      </c>
      <c r="AE37" s="73">
        <f>IF($C37="","",IF(PULL_FUND="N","",IF(COUNTIFS('Fund History'!$G$158:$G$162,"&gt;="&amp;DATE(YEAR_Y-2,1,1),'Fund History'!$G$158:$G$162,"&lt;="&amp;DATE(YEAR_Y-2,12,31))=0,"",SUMIFS('Fund History'!$H$158:$H$162,'Fund History'!$G$158:$G$162,"&gt;="&amp;DATE(YEAR_Y-2,1,1),'Fund History'!$G$158:$G$162,"&lt;="&amp;DATE(YEAR_Y-2,12,31))/100)))</f>
        <v/>
      </c>
      <c r="AF37" s="73">
        <f>IF($C37="","",IF(PULL_FUND="N","",IF(COUNTIFS('Fund History'!$G$158:$G$162,"&gt;="&amp;DATE(YEAR_Y-1,1,1),'Fund History'!$G$158:$G$162,"&lt;="&amp;DATE(YEAR_Y-1,12,31))=0,"",SUMIFS('Fund History'!$H$158:$H$162,'Fund History'!$G$158:$G$162,"&gt;="&amp;DATE(YEAR_Y-1,1,1),'Fund History'!$G$158:$G$162,"&lt;="&amp;DATE(YEAR_Y-1,12,31))/100)))</f>
        <v/>
      </c>
      <c r="AG37" s="74">
        <f>IF($C37="","",IF(N($AF37)+N(HSI!$I$32)=0,"",N($AF37)+N(HSI!$I$32)/100))</f>
        <v/>
      </c>
      <c r="AH37" s="66">
        <f>IF($C37="","",IF(PULL_FUND="N","",IF(COUNTIFS('Fund History'!$D$158:$D$162,"&gt;="&amp;DATE(YEAR_Y-2,1,1),'Fund History'!$D$158:$D$162,"&lt;="&amp;DATE(YEAR_Y-2,12,31))=0,"",SUMIFS('Fund History'!$E$158:$E$162,'Fund History'!$D$158:$D$162,"&gt;="&amp;DATE(YEAR_Y-2,1,1),'Fund History'!$D$158:$D$162,"&lt;="&amp;DATE(YEAR_Y-2,12,31)))))</f>
        <v/>
      </c>
      <c r="AI37" s="67">
        <f>IF($C37="","",IF(PULL_FUND="N","",IF(COUNTIFS('Fund History'!$D$158:$D$162,"&gt;="&amp;DATE(YEAR_Y-1,1,1),'Fund History'!$D$158:$D$162,"&lt;="&amp;DATE(YEAR_Y-1,12,31))=0,"",SUMIFS('Fund History'!$E$158:$E$162,'Fund History'!$D$158:$D$162,"&gt;="&amp;DATE(YEAR_Y-1,1,1),'Fund History'!$D$158:$D$162,"&lt;="&amp;DATE(YEAR_Y-1,12,31)))))</f>
        <v/>
      </c>
      <c r="AJ37" s="67">
        <f>IF($C37="","",IF(PULL_FUND="N","",IFERROR(BDP($C37,NDEBITDA_FIELD),"")))</f>
        <v/>
      </c>
      <c r="AK37" s="75">
        <f>IF($C37="","",IF(PULL_FUND="N","",IFERROR(BDP($C37,EBINT_FIELD),"")))</f>
        <v/>
      </c>
      <c r="AL37" s="73">
        <f>IF($C37="","",IF(PULL_FUND="N","",IFERROR(BDP($C37,FCF_FIELD)/100,"")))</f>
        <v/>
      </c>
      <c r="AM37" s="76">
        <f>IF($C37="","",IF(ISNUMBER(HSI!$I$32),HSI!$I$32/100,""))</f>
        <v/>
      </c>
      <c r="AN37" s="47">
        <f>IF($C37="","",IF(N($AM37)=0,"",IFERROR($AL37/$AM37,"")))</f>
        <v/>
      </c>
      <c r="AO37" s="33">
        <f>IF($C37="","",IF(ISNUMBER($S37)*ISNUMBER($W37)=0,"",IF($W37&gt;$S37+0.05,"rising",IF($W37&lt;$S37-0.05,"falling","stable"))))</f>
        <v/>
      </c>
      <c r="AP37" s="77">
        <f>IF($C37="","",TRIM(IF(ISNUMBER($X37)*(N($X37)&gt;$D$4)&gt;0,"payout high  ","")&amp;IF(ISNUMBER($AN37)*(N($AN37)&lt;$F$4)&gt;0,"FCF below dvd  ","")&amp;IF(ISNUMBER($AJ37)*(N($AJ37)&gt;$H$4)&gt;0,"leverage high","")))</f>
        <v/>
      </c>
      <c r="AQ37" s="78">
        <f>IF($C37="","",IF(HSI!$F$32="HKD","",HSI!$F$32))</f>
        <v/>
      </c>
    </row>
    <row r="38">
      <c r="B38" s="62" t="inlineStr">
        <is>
          <t>HSI</t>
        </is>
      </c>
      <c r="C38" s="6">
        <f>IF(HSI!$C$33="","",HSI!$C$33)</f>
        <v/>
      </c>
      <c r="D38" s="6">
        <f>IF($C38="","",HSI!$D$33)</f>
        <v/>
      </c>
      <c r="E38" s="6">
        <f>IF($C38="","",HSI!$E$33)</f>
        <v/>
      </c>
      <c r="F38" s="63">
        <f>IF($C38="","",SUMPRODUCT(('Dvd Calendar'!$E$297:$AR$297&gt;=DATE(YEAR_Y-5,1,1))*('Dvd Calendar'!$E$297:$AR$297&lt;=DATE(YEAR_Y-5,12,31))*'Dvd Calendar'!$E$300:$AR$300*(('Dvd Calendar'!$E$302:$AR$302=TYPE1)*(TYPE1&lt;&gt;"")+('Dvd Calendar'!$E$302:$AR$302=TYPE2)*(TYPE2&lt;&gt;"")+('Dvd Calendar'!$E$302:$AR$302=TYPE3)*(TYPE3&lt;&gt;"")+('Dvd Calendar'!$E$302:$AR$302=TYPE4)*(TYPE4&lt;&gt;"")+('Dvd Calendar'!$E$302:$AR$302=SPECIAL_LBL)*(INC_SPECIALS="Y"))))</f>
        <v/>
      </c>
      <c r="G38" s="64">
        <f>IF($C38="","",SUMPRODUCT(('Dvd Calendar'!$E$297:$AR$297&gt;=DATE(YEAR_Y-4,1,1))*('Dvd Calendar'!$E$297:$AR$297&lt;=DATE(YEAR_Y-4,12,31))*'Dvd Calendar'!$E$300:$AR$300*(('Dvd Calendar'!$E$302:$AR$302=TYPE1)*(TYPE1&lt;&gt;"")+('Dvd Calendar'!$E$302:$AR$302=TYPE2)*(TYPE2&lt;&gt;"")+('Dvd Calendar'!$E$302:$AR$302=TYPE3)*(TYPE3&lt;&gt;"")+('Dvd Calendar'!$E$302:$AR$302=TYPE4)*(TYPE4&lt;&gt;"")+('Dvd Calendar'!$E$302:$AR$302=SPECIAL_LBL)*(INC_SPECIALS="Y"))))</f>
        <v/>
      </c>
      <c r="H38" s="64">
        <f>IF($C38="","",SUMPRODUCT(('Dvd Calendar'!$E$297:$AR$297&gt;=DATE(YEAR_Y-3,1,1))*('Dvd Calendar'!$E$297:$AR$297&lt;=DATE(YEAR_Y-3,12,31))*'Dvd Calendar'!$E$300:$AR$300*(('Dvd Calendar'!$E$302:$AR$302=TYPE1)*(TYPE1&lt;&gt;"")+('Dvd Calendar'!$E$302:$AR$302=TYPE2)*(TYPE2&lt;&gt;"")+('Dvd Calendar'!$E$302:$AR$302=TYPE3)*(TYPE3&lt;&gt;"")+('Dvd Calendar'!$E$302:$AR$302=TYPE4)*(TYPE4&lt;&gt;"")+('Dvd Calendar'!$E$302:$AR$302=SPECIAL_LBL)*(INC_SPECIALS="Y"))))</f>
        <v/>
      </c>
      <c r="I38" s="64">
        <f>IF($C38="","",SUMPRODUCT(('Dvd Calendar'!$E$297:$AR$297&gt;=DATE(YEAR_Y-2,1,1))*('Dvd Calendar'!$E$297:$AR$297&lt;=DATE(YEAR_Y-2,12,31))*'Dvd Calendar'!$E$300:$AR$300*(('Dvd Calendar'!$E$302:$AR$302=TYPE1)*(TYPE1&lt;&gt;"")+('Dvd Calendar'!$E$302:$AR$302=TYPE2)*(TYPE2&lt;&gt;"")+('Dvd Calendar'!$E$302:$AR$302=TYPE3)*(TYPE3&lt;&gt;"")+('Dvd Calendar'!$E$302:$AR$302=TYPE4)*(TYPE4&lt;&gt;"")+('Dvd Calendar'!$E$302:$AR$302=SPECIAL_LBL)*(INC_SPECIALS="Y"))))</f>
        <v/>
      </c>
      <c r="J38" s="64">
        <f>IF($C38="","",SUMPRODUCT(('Dvd Calendar'!$E$297:$AR$297&gt;=DATE(YEAR_Y-1,1,1))*('Dvd Calendar'!$E$297:$AR$297&lt;=DATE(YEAR_Y-1,12,31))*'Dvd Calendar'!$E$300:$AR$300*(('Dvd Calendar'!$E$302:$AR$302=TYPE1)*(TYPE1&lt;&gt;"")+('Dvd Calendar'!$E$302:$AR$302=TYPE2)*(TYPE2&lt;&gt;"")+('Dvd Calendar'!$E$302:$AR$302=TYPE3)*(TYPE3&lt;&gt;"")+('Dvd Calendar'!$E$302:$AR$302=TYPE4)*(TYPE4&lt;&gt;"")+('Dvd Calendar'!$E$302:$AR$302=SPECIAL_LBL)*(INC_SPECIALS="Y"))))</f>
        <v/>
      </c>
      <c r="K38" s="65">
        <f>IF($C38="","",HSI!$J$33)</f>
        <v/>
      </c>
      <c r="L38" s="65">
        <f>IF($C38="","",HSI!$K$33)</f>
        <v/>
      </c>
      <c r="M38" s="41">
        <f>IF($C38="","",AVERAGE(F38:J38))</f>
        <v/>
      </c>
      <c r="N38" s="66">
        <f>IF($C38="","",IF(PULL_FUND="N","",IFERROR(BDP($C38,EPS_FIELD,YR_OVERRIDE,TEXT(YEAR_Y-5,"0")),"")))</f>
        <v/>
      </c>
      <c r="O38" s="67">
        <f>IF($C38="","",IF(PULL_FUND="N","",IFERROR(BDP($C38,EPS_FIELD,YR_OVERRIDE,TEXT(YEAR_Y-4,"0")),"")))</f>
        <v/>
      </c>
      <c r="P38" s="67">
        <f>IF($C38="","",IF(PULL_FUND="N","",IFERROR(BDP($C38,EPS_FIELD,YR_OVERRIDE,TEXT(YEAR_Y-3,"0")),"")))</f>
        <v/>
      </c>
      <c r="Q38" s="67">
        <f>IF($C38="","",IF(PULL_FUND="N","",IFERROR(BDP($C38,EPS_FIELD,YR_OVERRIDE,TEXT(YEAR_Y-2,"0")),"")))</f>
        <v/>
      </c>
      <c r="R38" s="67">
        <f>IF($C38="","",IF(PULL_FUND="N","",IFERROR(BDP($C38,EPS_FIELD,YR_OVERRIDE,TEXT(YEAR_Y-1,"0")),"")))</f>
        <v/>
      </c>
      <c r="S38" s="68">
        <f>IF($C38="","",IF(PULL_FUND="N","",IFERROR(BDP($C38,PAYOUT_FIELD,YR_OVERRIDE,TEXT(YEAR_Y-5,"0"))/100,"")))</f>
        <v/>
      </c>
      <c r="T38" s="68">
        <f>IF($C38="","",IF(PULL_FUND="N","",IFERROR(BDP($C38,PAYOUT_FIELD,YR_OVERRIDE,TEXT(YEAR_Y-4,"0"))/100,"")))</f>
        <v/>
      </c>
      <c r="U38" s="68">
        <f>IF($C38="","",IF(PULL_FUND="N","",IFERROR(BDP($C38,PAYOUT_FIELD,YR_OVERRIDE,TEXT(YEAR_Y-3,"0"))/100,"")))</f>
        <v/>
      </c>
      <c r="V38" s="68">
        <f>IF($C38="","",IF(PULL_FUND="N","",IFERROR(BDP($C38,PAYOUT_FIELD,YR_OVERRIDE,TEXT(YEAR_Y-2,"0"))/100,"")))</f>
        <v/>
      </c>
      <c r="W38" s="68">
        <f>IF($C38="","",IF(PULL_FUND="N","",IFERROR(BDP($C38,PAYOUT_FIELD,YR_OVERRIDE,TEXT(YEAR_Y-1,"0"))/100,"")))</f>
        <v/>
      </c>
      <c r="X38" s="69">
        <f>IF($C38="","",IFERROR(AVERAGE(S38:W38),""))</f>
        <v/>
      </c>
      <c r="Y38" s="66">
        <f>IF($C38="","",IF(PULL_FUND="N","",IFERROR(BDP($C38,BESTEPS_FIELD,FWD_OVERRIDE,TEXT(MOD(YEAR_Y,100),"00")&amp;"Y"),"")))</f>
        <v/>
      </c>
      <c r="Z38" s="70">
        <f>IF($C38="","",IF(PULL_FUND="N","",IFERROR(BDP($C38,BESTDPS_FIELD,FWD_OVERRIDE,TEXT(MOD(YEAR_Y,100),"00")&amp;"Y"),"")))</f>
        <v/>
      </c>
      <c r="AA38" s="71">
        <f>IF($C38="","",IF(ISNUMBER($Y38)*ISNUMBER($Z38)*($Y38&lt;&gt;0)=0,"",$Z38/$Y38))</f>
        <v/>
      </c>
      <c r="AB38" s="41">
        <f>IF($C38="","",HSI!$J$33+HSI!$L$33)</f>
        <v/>
      </c>
      <c r="AC38" s="72">
        <f>IF($C38="","",IF(PULL_FUND="N","",IF(COUNTIFS('Fund History'!$G$164:$G$168,"&gt;="&amp;DATE(YEAR_Y-4,1,1),'Fund History'!$G$164:$G$168,"&lt;="&amp;DATE(YEAR_Y-4,12,31))=0,"",SUMIFS('Fund History'!$H$164:$H$168,'Fund History'!$G$164:$G$168,"&gt;="&amp;DATE(YEAR_Y-4,1,1),'Fund History'!$G$164:$G$168,"&lt;="&amp;DATE(YEAR_Y-4,12,31))/100)))</f>
        <v/>
      </c>
      <c r="AD38" s="73">
        <f>IF($C38="","",IF(PULL_FUND="N","",IF(COUNTIFS('Fund History'!$G$164:$G$168,"&gt;="&amp;DATE(YEAR_Y-3,1,1),'Fund History'!$G$164:$G$168,"&lt;="&amp;DATE(YEAR_Y-3,12,31))=0,"",SUMIFS('Fund History'!$H$164:$H$168,'Fund History'!$G$164:$G$168,"&gt;="&amp;DATE(YEAR_Y-3,1,1),'Fund History'!$G$164:$G$168,"&lt;="&amp;DATE(YEAR_Y-3,12,31))/100)))</f>
        <v/>
      </c>
      <c r="AE38" s="73">
        <f>IF($C38="","",IF(PULL_FUND="N","",IF(COUNTIFS('Fund History'!$G$164:$G$168,"&gt;="&amp;DATE(YEAR_Y-2,1,1),'Fund History'!$G$164:$G$168,"&lt;="&amp;DATE(YEAR_Y-2,12,31))=0,"",SUMIFS('Fund History'!$H$164:$H$168,'Fund History'!$G$164:$G$168,"&gt;="&amp;DATE(YEAR_Y-2,1,1),'Fund History'!$G$164:$G$168,"&lt;="&amp;DATE(YEAR_Y-2,12,31))/100)))</f>
        <v/>
      </c>
      <c r="AF38" s="73">
        <f>IF($C38="","",IF(PULL_FUND="N","",IF(COUNTIFS('Fund History'!$G$164:$G$168,"&gt;="&amp;DATE(YEAR_Y-1,1,1),'Fund History'!$G$164:$G$168,"&lt;="&amp;DATE(YEAR_Y-1,12,31))=0,"",SUMIFS('Fund History'!$H$164:$H$168,'Fund History'!$G$164:$G$168,"&gt;="&amp;DATE(YEAR_Y-1,1,1),'Fund History'!$G$164:$G$168,"&lt;="&amp;DATE(YEAR_Y-1,12,31))/100)))</f>
        <v/>
      </c>
      <c r="AG38" s="74">
        <f>IF($C38="","",IF(N($AF38)+N(HSI!$I$33)=0,"",N($AF38)+N(HSI!$I$33)/100))</f>
        <v/>
      </c>
      <c r="AH38" s="66">
        <f>IF($C38="","",IF(PULL_FUND="N","",IF(COUNTIFS('Fund History'!$D$164:$D$168,"&gt;="&amp;DATE(YEAR_Y-2,1,1),'Fund History'!$D$164:$D$168,"&lt;="&amp;DATE(YEAR_Y-2,12,31))=0,"",SUMIFS('Fund History'!$E$164:$E$168,'Fund History'!$D$164:$D$168,"&gt;="&amp;DATE(YEAR_Y-2,1,1),'Fund History'!$D$164:$D$168,"&lt;="&amp;DATE(YEAR_Y-2,12,31)))))</f>
        <v/>
      </c>
      <c r="AI38" s="67">
        <f>IF($C38="","",IF(PULL_FUND="N","",IF(COUNTIFS('Fund History'!$D$164:$D$168,"&gt;="&amp;DATE(YEAR_Y-1,1,1),'Fund History'!$D$164:$D$168,"&lt;="&amp;DATE(YEAR_Y-1,12,31))=0,"",SUMIFS('Fund History'!$E$164:$E$168,'Fund History'!$D$164:$D$168,"&gt;="&amp;DATE(YEAR_Y-1,1,1),'Fund History'!$D$164:$D$168,"&lt;="&amp;DATE(YEAR_Y-1,12,31)))))</f>
        <v/>
      </c>
      <c r="AJ38" s="67">
        <f>IF($C38="","",IF(PULL_FUND="N","",IFERROR(BDP($C38,NDEBITDA_FIELD),"")))</f>
        <v/>
      </c>
      <c r="AK38" s="75">
        <f>IF($C38="","",IF(PULL_FUND="N","",IFERROR(BDP($C38,EBINT_FIELD),"")))</f>
        <v/>
      </c>
      <c r="AL38" s="73">
        <f>IF($C38="","",IF(PULL_FUND="N","",IFERROR(BDP($C38,FCF_FIELD)/100,"")))</f>
        <v/>
      </c>
      <c r="AM38" s="76">
        <f>IF($C38="","",IF(ISNUMBER(HSI!$I$33),HSI!$I$33/100,""))</f>
        <v/>
      </c>
      <c r="AN38" s="47">
        <f>IF($C38="","",IF(N($AM38)=0,"",IFERROR($AL38/$AM38,"")))</f>
        <v/>
      </c>
      <c r="AO38" s="33">
        <f>IF($C38="","",IF(ISNUMBER($S38)*ISNUMBER($W38)=0,"",IF($W38&gt;$S38+0.05,"rising",IF($W38&lt;$S38-0.05,"falling","stable"))))</f>
        <v/>
      </c>
      <c r="AP38" s="77">
        <f>IF($C38="","",TRIM(IF(ISNUMBER($X38)*(N($X38)&gt;$D$4)&gt;0,"payout high  ","")&amp;IF(ISNUMBER($AN38)*(N($AN38)&lt;$F$4)&gt;0,"FCF below dvd  ","")&amp;IF(ISNUMBER($AJ38)*(N($AJ38)&gt;$H$4)&gt;0,"leverage high","")))</f>
        <v/>
      </c>
      <c r="AQ38" s="78">
        <f>IF($C38="","",IF(HSI!$F$33="HKD","",HSI!$F$33))</f>
        <v/>
      </c>
    </row>
    <row r="39">
      <c r="B39" s="62" t="inlineStr">
        <is>
          <t>HSI</t>
        </is>
      </c>
      <c r="C39" s="6">
        <f>IF(HSI!$C$34="","",HSI!$C$34)</f>
        <v/>
      </c>
      <c r="D39" s="6">
        <f>IF($C39="","",HSI!$D$34)</f>
        <v/>
      </c>
      <c r="E39" s="6">
        <f>IF($C39="","",HSI!$E$34)</f>
        <v/>
      </c>
      <c r="F39" s="63">
        <f>IF($C39="","",SUMPRODUCT(('Dvd Calendar'!$E$308:$AR$308&gt;=DATE(YEAR_Y-5,1,1))*('Dvd Calendar'!$E$308:$AR$308&lt;=DATE(YEAR_Y-5,12,31))*'Dvd Calendar'!$E$311:$AR$311*(('Dvd Calendar'!$E$313:$AR$313=TYPE1)*(TYPE1&lt;&gt;"")+('Dvd Calendar'!$E$313:$AR$313=TYPE2)*(TYPE2&lt;&gt;"")+('Dvd Calendar'!$E$313:$AR$313=TYPE3)*(TYPE3&lt;&gt;"")+('Dvd Calendar'!$E$313:$AR$313=TYPE4)*(TYPE4&lt;&gt;"")+('Dvd Calendar'!$E$313:$AR$313=SPECIAL_LBL)*(INC_SPECIALS="Y"))))</f>
        <v/>
      </c>
      <c r="G39" s="64">
        <f>IF($C39="","",SUMPRODUCT(('Dvd Calendar'!$E$308:$AR$308&gt;=DATE(YEAR_Y-4,1,1))*('Dvd Calendar'!$E$308:$AR$308&lt;=DATE(YEAR_Y-4,12,31))*'Dvd Calendar'!$E$311:$AR$311*(('Dvd Calendar'!$E$313:$AR$313=TYPE1)*(TYPE1&lt;&gt;"")+('Dvd Calendar'!$E$313:$AR$313=TYPE2)*(TYPE2&lt;&gt;"")+('Dvd Calendar'!$E$313:$AR$313=TYPE3)*(TYPE3&lt;&gt;"")+('Dvd Calendar'!$E$313:$AR$313=TYPE4)*(TYPE4&lt;&gt;"")+('Dvd Calendar'!$E$313:$AR$313=SPECIAL_LBL)*(INC_SPECIALS="Y"))))</f>
        <v/>
      </c>
      <c r="H39" s="64">
        <f>IF($C39="","",SUMPRODUCT(('Dvd Calendar'!$E$308:$AR$308&gt;=DATE(YEAR_Y-3,1,1))*('Dvd Calendar'!$E$308:$AR$308&lt;=DATE(YEAR_Y-3,12,31))*'Dvd Calendar'!$E$311:$AR$311*(('Dvd Calendar'!$E$313:$AR$313=TYPE1)*(TYPE1&lt;&gt;"")+('Dvd Calendar'!$E$313:$AR$313=TYPE2)*(TYPE2&lt;&gt;"")+('Dvd Calendar'!$E$313:$AR$313=TYPE3)*(TYPE3&lt;&gt;"")+('Dvd Calendar'!$E$313:$AR$313=TYPE4)*(TYPE4&lt;&gt;"")+('Dvd Calendar'!$E$313:$AR$313=SPECIAL_LBL)*(INC_SPECIALS="Y"))))</f>
        <v/>
      </c>
      <c r="I39" s="64">
        <f>IF($C39="","",SUMPRODUCT(('Dvd Calendar'!$E$308:$AR$308&gt;=DATE(YEAR_Y-2,1,1))*('Dvd Calendar'!$E$308:$AR$308&lt;=DATE(YEAR_Y-2,12,31))*'Dvd Calendar'!$E$311:$AR$311*(('Dvd Calendar'!$E$313:$AR$313=TYPE1)*(TYPE1&lt;&gt;"")+('Dvd Calendar'!$E$313:$AR$313=TYPE2)*(TYPE2&lt;&gt;"")+('Dvd Calendar'!$E$313:$AR$313=TYPE3)*(TYPE3&lt;&gt;"")+('Dvd Calendar'!$E$313:$AR$313=TYPE4)*(TYPE4&lt;&gt;"")+('Dvd Calendar'!$E$313:$AR$313=SPECIAL_LBL)*(INC_SPECIALS="Y"))))</f>
        <v/>
      </c>
      <c r="J39" s="64">
        <f>IF($C39="","",SUMPRODUCT(('Dvd Calendar'!$E$308:$AR$308&gt;=DATE(YEAR_Y-1,1,1))*('Dvd Calendar'!$E$308:$AR$308&lt;=DATE(YEAR_Y-1,12,31))*'Dvd Calendar'!$E$311:$AR$311*(('Dvd Calendar'!$E$313:$AR$313=TYPE1)*(TYPE1&lt;&gt;"")+('Dvd Calendar'!$E$313:$AR$313=TYPE2)*(TYPE2&lt;&gt;"")+('Dvd Calendar'!$E$313:$AR$313=TYPE3)*(TYPE3&lt;&gt;"")+('Dvd Calendar'!$E$313:$AR$313=TYPE4)*(TYPE4&lt;&gt;"")+('Dvd Calendar'!$E$313:$AR$313=SPECIAL_LBL)*(INC_SPECIALS="Y"))))</f>
        <v/>
      </c>
      <c r="K39" s="65">
        <f>IF($C39="","",HSI!$J$34)</f>
        <v/>
      </c>
      <c r="L39" s="65">
        <f>IF($C39="","",HSI!$K$34)</f>
        <v/>
      </c>
      <c r="M39" s="41">
        <f>IF($C39="","",AVERAGE(F39:J39))</f>
        <v/>
      </c>
      <c r="N39" s="66">
        <f>IF($C39="","",IF(PULL_FUND="N","",IFERROR(BDP($C39,EPS_FIELD,YR_OVERRIDE,TEXT(YEAR_Y-5,"0")),"")))</f>
        <v/>
      </c>
      <c r="O39" s="67">
        <f>IF($C39="","",IF(PULL_FUND="N","",IFERROR(BDP($C39,EPS_FIELD,YR_OVERRIDE,TEXT(YEAR_Y-4,"0")),"")))</f>
        <v/>
      </c>
      <c r="P39" s="67">
        <f>IF($C39="","",IF(PULL_FUND="N","",IFERROR(BDP($C39,EPS_FIELD,YR_OVERRIDE,TEXT(YEAR_Y-3,"0")),"")))</f>
        <v/>
      </c>
      <c r="Q39" s="67">
        <f>IF($C39="","",IF(PULL_FUND="N","",IFERROR(BDP($C39,EPS_FIELD,YR_OVERRIDE,TEXT(YEAR_Y-2,"0")),"")))</f>
        <v/>
      </c>
      <c r="R39" s="67">
        <f>IF($C39="","",IF(PULL_FUND="N","",IFERROR(BDP($C39,EPS_FIELD,YR_OVERRIDE,TEXT(YEAR_Y-1,"0")),"")))</f>
        <v/>
      </c>
      <c r="S39" s="68">
        <f>IF($C39="","",IF(PULL_FUND="N","",IFERROR(BDP($C39,PAYOUT_FIELD,YR_OVERRIDE,TEXT(YEAR_Y-5,"0"))/100,"")))</f>
        <v/>
      </c>
      <c r="T39" s="68">
        <f>IF($C39="","",IF(PULL_FUND="N","",IFERROR(BDP($C39,PAYOUT_FIELD,YR_OVERRIDE,TEXT(YEAR_Y-4,"0"))/100,"")))</f>
        <v/>
      </c>
      <c r="U39" s="68">
        <f>IF($C39="","",IF(PULL_FUND="N","",IFERROR(BDP($C39,PAYOUT_FIELD,YR_OVERRIDE,TEXT(YEAR_Y-3,"0"))/100,"")))</f>
        <v/>
      </c>
      <c r="V39" s="68">
        <f>IF($C39="","",IF(PULL_FUND="N","",IFERROR(BDP($C39,PAYOUT_FIELD,YR_OVERRIDE,TEXT(YEAR_Y-2,"0"))/100,"")))</f>
        <v/>
      </c>
      <c r="W39" s="68">
        <f>IF($C39="","",IF(PULL_FUND="N","",IFERROR(BDP($C39,PAYOUT_FIELD,YR_OVERRIDE,TEXT(YEAR_Y-1,"0"))/100,"")))</f>
        <v/>
      </c>
      <c r="X39" s="69">
        <f>IF($C39="","",IFERROR(AVERAGE(S39:W39),""))</f>
        <v/>
      </c>
      <c r="Y39" s="66">
        <f>IF($C39="","",IF(PULL_FUND="N","",IFERROR(BDP($C39,BESTEPS_FIELD,FWD_OVERRIDE,TEXT(MOD(YEAR_Y,100),"00")&amp;"Y"),"")))</f>
        <v/>
      </c>
      <c r="Z39" s="70">
        <f>IF($C39="","",IF(PULL_FUND="N","",IFERROR(BDP($C39,BESTDPS_FIELD,FWD_OVERRIDE,TEXT(MOD(YEAR_Y,100),"00")&amp;"Y"),"")))</f>
        <v/>
      </c>
      <c r="AA39" s="71">
        <f>IF($C39="","",IF(ISNUMBER($Y39)*ISNUMBER($Z39)*($Y39&lt;&gt;0)=0,"",$Z39/$Y39))</f>
        <v/>
      </c>
      <c r="AB39" s="41">
        <f>IF($C39="","",HSI!$J$34+HSI!$L$34)</f>
        <v/>
      </c>
      <c r="AC39" s="72">
        <f>IF($C39="","",IF(PULL_FUND="N","",IF(COUNTIFS('Fund History'!$G$170:$G$174,"&gt;="&amp;DATE(YEAR_Y-4,1,1),'Fund History'!$G$170:$G$174,"&lt;="&amp;DATE(YEAR_Y-4,12,31))=0,"",SUMIFS('Fund History'!$H$170:$H$174,'Fund History'!$G$170:$G$174,"&gt;="&amp;DATE(YEAR_Y-4,1,1),'Fund History'!$G$170:$G$174,"&lt;="&amp;DATE(YEAR_Y-4,12,31))/100)))</f>
        <v/>
      </c>
      <c r="AD39" s="73">
        <f>IF($C39="","",IF(PULL_FUND="N","",IF(COUNTIFS('Fund History'!$G$170:$G$174,"&gt;="&amp;DATE(YEAR_Y-3,1,1),'Fund History'!$G$170:$G$174,"&lt;="&amp;DATE(YEAR_Y-3,12,31))=0,"",SUMIFS('Fund History'!$H$170:$H$174,'Fund History'!$G$170:$G$174,"&gt;="&amp;DATE(YEAR_Y-3,1,1),'Fund History'!$G$170:$G$174,"&lt;="&amp;DATE(YEAR_Y-3,12,31))/100)))</f>
        <v/>
      </c>
      <c r="AE39" s="73">
        <f>IF($C39="","",IF(PULL_FUND="N","",IF(COUNTIFS('Fund History'!$G$170:$G$174,"&gt;="&amp;DATE(YEAR_Y-2,1,1),'Fund History'!$G$170:$G$174,"&lt;="&amp;DATE(YEAR_Y-2,12,31))=0,"",SUMIFS('Fund History'!$H$170:$H$174,'Fund History'!$G$170:$G$174,"&gt;="&amp;DATE(YEAR_Y-2,1,1),'Fund History'!$G$170:$G$174,"&lt;="&amp;DATE(YEAR_Y-2,12,31))/100)))</f>
        <v/>
      </c>
      <c r="AF39" s="73">
        <f>IF($C39="","",IF(PULL_FUND="N","",IF(COUNTIFS('Fund History'!$G$170:$G$174,"&gt;="&amp;DATE(YEAR_Y-1,1,1),'Fund History'!$G$170:$G$174,"&lt;="&amp;DATE(YEAR_Y-1,12,31))=0,"",SUMIFS('Fund History'!$H$170:$H$174,'Fund History'!$G$170:$G$174,"&gt;="&amp;DATE(YEAR_Y-1,1,1),'Fund History'!$G$170:$G$174,"&lt;="&amp;DATE(YEAR_Y-1,12,31))/100)))</f>
        <v/>
      </c>
      <c r="AG39" s="74">
        <f>IF($C39="","",IF(N($AF39)+N(HSI!$I$34)=0,"",N($AF39)+N(HSI!$I$34)/100))</f>
        <v/>
      </c>
      <c r="AH39" s="66">
        <f>IF($C39="","",IF(PULL_FUND="N","",IF(COUNTIFS('Fund History'!$D$170:$D$174,"&gt;="&amp;DATE(YEAR_Y-2,1,1),'Fund History'!$D$170:$D$174,"&lt;="&amp;DATE(YEAR_Y-2,12,31))=0,"",SUMIFS('Fund History'!$E$170:$E$174,'Fund History'!$D$170:$D$174,"&gt;="&amp;DATE(YEAR_Y-2,1,1),'Fund History'!$D$170:$D$174,"&lt;="&amp;DATE(YEAR_Y-2,12,31)))))</f>
        <v/>
      </c>
      <c r="AI39" s="67">
        <f>IF($C39="","",IF(PULL_FUND="N","",IF(COUNTIFS('Fund History'!$D$170:$D$174,"&gt;="&amp;DATE(YEAR_Y-1,1,1),'Fund History'!$D$170:$D$174,"&lt;="&amp;DATE(YEAR_Y-1,12,31))=0,"",SUMIFS('Fund History'!$E$170:$E$174,'Fund History'!$D$170:$D$174,"&gt;="&amp;DATE(YEAR_Y-1,1,1),'Fund History'!$D$170:$D$174,"&lt;="&amp;DATE(YEAR_Y-1,12,31)))))</f>
        <v/>
      </c>
      <c r="AJ39" s="67">
        <f>IF($C39="","",IF(PULL_FUND="N","",IFERROR(BDP($C39,NDEBITDA_FIELD),"")))</f>
        <v/>
      </c>
      <c r="AK39" s="75">
        <f>IF($C39="","",IF(PULL_FUND="N","",IFERROR(BDP($C39,EBINT_FIELD),"")))</f>
        <v/>
      </c>
      <c r="AL39" s="73">
        <f>IF($C39="","",IF(PULL_FUND="N","",IFERROR(BDP($C39,FCF_FIELD)/100,"")))</f>
        <v/>
      </c>
      <c r="AM39" s="76">
        <f>IF($C39="","",IF(ISNUMBER(HSI!$I$34),HSI!$I$34/100,""))</f>
        <v/>
      </c>
      <c r="AN39" s="47">
        <f>IF($C39="","",IF(N($AM39)=0,"",IFERROR($AL39/$AM39,"")))</f>
        <v/>
      </c>
      <c r="AO39" s="33">
        <f>IF($C39="","",IF(ISNUMBER($S39)*ISNUMBER($W39)=0,"",IF($W39&gt;$S39+0.05,"rising",IF($W39&lt;$S39-0.05,"falling","stable"))))</f>
        <v/>
      </c>
      <c r="AP39" s="77">
        <f>IF($C39="","",TRIM(IF(ISNUMBER($X39)*(N($X39)&gt;$D$4)&gt;0,"payout high  ","")&amp;IF(ISNUMBER($AN39)*(N($AN39)&lt;$F$4)&gt;0,"FCF below dvd  ","")&amp;IF(ISNUMBER($AJ39)*(N($AJ39)&gt;$H$4)&gt;0,"leverage high","")))</f>
        <v/>
      </c>
      <c r="AQ39" s="78">
        <f>IF($C39="","",IF(HSI!$F$34="HKD","",HSI!$F$34))</f>
        <v/>
      </c>
    </row>
    <row r="40">
      <c r="B40" s="62" t="inlineStr">
        <is>
          <t>HSI</t>
        </is>
      </c>
      <c r="C40" s="6">
        <f>IF(HSI!$C$35="","",HSI!$C$35)</f>
        <v/>
      </c>
      <c r="D40" s="6">
        <f>IF($C40="","",HSI!$D$35)</f>
        <v/>
      </c>
      <c r="E40" s="6">
        <f>IF($C40="","",HSI!$E$35)</f>
        <v/>
      </c>
      <c r="F40" s="63">
        <f>IF($C40="","",SUMPRODUCT(('Dvd Calendar'!$E$319:$AR$319&gt;=DATE(YEAR_Y-5,1,1))*('Dvd Calendar'!$E$319:$AR$319&lt;=DATE(YEAR_Y-5,12,31))*'Dvd Calendar'!$E$322:$AR$322*(('Dvd Calendar'!$E$324:$AR$324=TYPE1)*(TYPE1&lt;&gt;"")+('Dvd Calendar'!$E$324:$AR$324=TYPE2)*(TYPE2&lt;&gt;"")+('Dvd Calendar'!$E$324:$AR$324=TYPE3)*(TYPE3&lt;&gt;"")+('Dvd Calendar'!$E$324:$AR$324=TYPE4)*(TYPE4&lt;&gt;"")+('Dvd Calendar'!$E$324:$AR$324=SPECIAL_LBL)*(INC_SPECIALS="Y"))))</f>
        <v/>
      </c>
      <c r="G40" s="64">
        <f>IF($C40="","",SUMPRODUCT(('Dvd Calendar'!$E$319:$AR$319&gt;=DATE(YEAR_Y-4,1,1))*('Dvd Calendar'!$E$319:$AR$319&lt;=DATE(YEAR_Y-4,12,31))*'Dvd Calendar'!$E$322:$AR$322*(('Dvd Calendar'!$E$324:$AR$324=TYPE1)*(TYPE1&lt;&gt;"")+('Dvd Calendar'!$E$324:$AR$324=TYPE2)*(TYPE2&lt;&gt;"")+('Dvd Calendar'!$E$324:$AR$324=TYPE3)*(TYPE3&lt;&gt;"")+('Dvd Calendar'!$E$324:$AR$324=TYPE4)*(TYPE4&lt;&gt;"")+('Dvd Calendar'!$E$324:$AR$324=SPECIAL_LBL)*(INC_SPECIALS="Y"))))</f>
        <v/>
      </c>
      <c r="H40" s="64">
        <f>IF($C40="","",SUMPRODUCT(('Dvd Calendar'!$E$319:$AR$319&gt;=DATE(YEAR_Y-3,1,1))*('Dvd Calendar'!$E$319:$AR$319&lt;=DATE(YEAR_Y-3,12,31))*'Dvd Calendar'!$E$322:$AR$322*(('Dvd Calendar'!$E$324:$AR$324=TYPE1)*(TYPE1&lt;&gt;"")+('Dvd Calendar'!$E$324:$AR$324=TYPE2)*(TYPE2&lt;&gt;"")+('Dvd Calendar'!$E$324:$AR$324=TYPE3)*(TYPE3&lt;&gt;"")+('Dvd Calendar'!$E$324:$AR$324=TYPE4)*(TYPE4&lt;&gt;"")+('Dvd Calendar'!$E$324:$AR$324=SPECIAL_LBL)*(INC_SPECIALS="Y"))))</f>
        <v/>
      </c>
      <c r="I40" s="64">
        <f>IF($C40="","",SUMPRODUCT(('Dvd Calendar'!$E$319:$AR$319&gt;=DATE(YEAR_Y-2,1,1))*('Dvd Calendar'!$E$319:$AR$319&lt;=DATE(YEAR_Y-2,12,31))*'Dvd Calendar'!$E$322:$AR$322*(('Dvd Calendar'!$E$324:$AR$324=TYPE1)*(TYPE1&lt;&gt;"")+('Dvd Calendar'!$E$324:$AR$324=TYPE2)*(TYPE2&lt;&gt;"")+('Dvd Calendar'!$E$324:$AR$324=TYPE3)*(TYPE3&lt;&gt;"")+('Dvd Calendar'!$E$324:$AR$324=TYPE4)*(TYPE4&lt;&gt;"")+('Dvd Calendar'!$E$324:$AR$324=SPECIAL_LBL)*(INC_SPECIALS="Y"))))</f>
        <v/>
      </c>
      <c r="J40" s="64">
        <f>IF($C40="","",SUMPRODUCT(('Dvd Calendar'!$E$319:$AR$319&gt;=DATE(YEAR_Y-1,1,1))*('Dvd Calendar'!$E$319:$AR$319&lt;=DATE(YEAR_Y-1,12,31))*'Dvd Calendar'!$E$322:$AR$322*(('Dvd Calendar'!$E$324:$AR$324=TYPE1)*(TYPE1&lt;&gt;"")+('Dvd Calendar'!$E$324:$AR$324=TYPE2)*(TYPE2&lt;&gt;"")+('Dvd Calendar'!$E$324:$AR$324=TYPE3)*(TYPE3&lt;&gt;"")+('Dvd Calendar'!$E$324:$AR$324=TYPE4)*(TYPE4&lt;&gt;"")+('Dvd Calendar'!$E$324:$AR$324=SPECIAL_LBL)*(INC_SPECIALS="Y"))))</f>
        <v/>
      </c>
      <c r="K40" s="65">
        <f>IF($C40="","",HSI!$J$35)</f>
        <v/>
      </c>
      <c r="L40" s="65">
        <f>IF($C40="","",HSI!$K$35)</f>
        <v/>
      </c>
      <c r="M40" s="41">
        <f>IF($C40="","",AVERAGE(F40:J40))</f>
        <v/>
      </c>
      <c r="N40" s="66">
        <f>IF($C40="","",IF(PULL_FUND="N","",IFERROR(BDP($C40,EPS_FIELD,YR_OVERRIDE,TEXT(YEAR_Y-5,"0")),"")))</f>
        <v/>
      </c>
      <c r="O40" s="67">
        <f>IF($C40="","",IF(PULL_FUND="N","",IFERROR(BDP($C40,EPS_FIELD,YR_OVERRIDE,TEXT(YEAR_Y-4,"0")),"")))</f>
        <v/>
      </c>
      <c r="P40" s="67">
        <f>IF($C40="","",IF(PULL_FUND="N","",IFERROR(BDP($C40,EPS_FIELD,YR_OVERRIDE,TEXT(YEAR_Y-3,"0")),"")))</f>
        <v/>
      </c>
      <c r="Q40" s="67">
        <f>IF($C40="","",IF(PULL_FUND="N","",IFERROR(BDP($C40,EPS_FIELD,YR_OVERRIDE,TEXT(YEAR_Y-2,"0")),"")))</f>
        <v/>
      </c>
      <c r="R40" s="67">
        <f>IF($C40="","",IF(PULL_FUND="N","",IFERROR(BDP($C40,EPS_FIELD,YR_OVERRIDE,TEXT(YEAR_Y-1,"0")),"")))</f>
        <v/>
      </c>
      <c r="S40" s="68">
        <f>IF($C40="","",IF(PULL_FUND="N","",IFERROR(BDP($C40,PAYOUT_FIELD,YR_OVERRIDE,TEXT(YEAR_Y-5,"0"))/100,"")))</f>
        <v/>
      </c>
      <c r="T40" s="68">
        <f>IF($C40="","",IF(PULL_FUND="N","",IFERROR(BDP($C40,PAYOUT_FIELD,YR_OVERRIDE,TEXT(YEAR_Y-4,"0"))/100,"")))</f>
        <v/>
      </c>
      <c r="U40" s="68">
        <f>IF($C40="","",IF(PULL_FUND="N","",IFERROR(BDP($C40,PAYOUT_FIELD,YR_OVERRIDE,TEXT(YEAR_Y-3,"0"))/100,"")))</f>
        <v/>
      </c>
      <c r="V40" s="68">
        <f>IF($C40="","",IF(PULL_FUND="N","",IFERROR(BDP($C40,PAYOUT_FIELD,YR_OVERRIDE,TEXT(YEAR_Y-2,"0"))/100,"")))</f>
        <v/>
      </c>
      <c r="W40" s="68">
        <f>IF($C40="","",IF(PULL_FUND="N","",IFERROR(BDP($C40,PAYOUT_FIELD,YR_OVERRIDE,TEXT(YEAR_Y-1,"0"))/100,"")))</f>
        <v/>
      </c>
      <c r="X40" s="69">
        <f>IF($C40="","",IFERROR(AVERAGE(S40:W40),""))</f>
        <v/>
      </c>
      <c r="Y40" s="66">
        <f>IF($C40="","",IF(PULL_FUND="N","",IFERROR(BDP($C40,BESTEPS_FIELD,FWD_OVERRIDE,TEXT(MOD(YEAR_Y,100),"00")&amp;"Y"),"")))</f>
        <v/>
      </c>
      <c r="Z40" s="70">
        <f>IF($C40="","",IF(PULL_FUND="N","",IFERROR(BDP($C40,BESTDPS_FIELD,FWD_OVERRIDE,TEXT(MOD(YEAR_Y,100),"00")&amp;"Y"),"")))</f>
        <v/>
      </c>
      <c r="AA40" s="71">
        <f>IF($C40="","",IF(ISNUMBER($Y40)*ISNUMBER($Z40)*($Y40&lt;&gt;0)=0,"",$Z40/$Y40))</f>
        <v/>
      </c>
      <c r="AB40" s="41">
        <f>IF($C40="","",HSI!$J$35+HSI!$L$35)</f>
        <v/>
      </c>
      <c r="AC40" s="72">
        <f>IF($C40="","",IF(PULL_FUND="N","",IF(COUNTIFS('Fund History'!$G$176:$G$180,"&gt;="&amp;DATE(YEAR_Y-4,1,1),'Fund History'!$G$176:$G$180,"&lt;="&amp;DATE(YEAR_Y-4,12,31))=0,"",SUMIFS('Fund History'!$H$176:$H$180,'Fund History'!$G$176:$G$180,"&gt;="&amp;DATE(YEAR_Y-4,1,1),'Fund History'!$G$176:$G$180,"&lt;="&amp;DATE(YEAR_Y-4,12,31))/100)))</f>
        <v/>
      </c>
      <c r="AD40" s="73">
        <f>IF($C40="","",IF(PULL_FUND="N","",IF(COUNTIFS('Fund History'!$G$176:$G$180,"&gt;="&amp;DATE(YEAR_Y-3,1,1),'Fund History'!$G$176:$G$180,"&lt;="&amp;DATE(YEAR_Y-3,12,31))=0,"",SUMIFS('Fund History'!$H$176:$H$180,'Fund History'!$G$176:$G$180,"&gt;="&amp;DATE(YEAR_Y-3,1,1),'Fund History'!$G$176:$G$180,"&lt;="&amp;DATE(YEAR_Y-3,12,31))/100)))</f>
        <v/>
      </c>
      <c r="AE40" s="73">
        <f>IF($C40="","",IF(PULL_FUND="N","",IF(COUNTIFS('Fund History'!$G$176:$G$180,"&gt;="&amp;DATE(YEAR_Y-2,1,1),'Fund History'!$G$176:$G$180,"&lt;="&amp;DATE(YEAR_Y-2,12,31))=0,"",SUMIFS('Fund History'!$H$176:$H$180,'Fund History'!$G$176:$G$180,"&gt;="&amp;DATE(YEAR_Y-2,1,1),'Fund History'!$G$176:$G$180,"&lt;="&amp;DATE(YEAR_Y-2,12,31))/100)))</f>
        <v/>
      </c>
      <c r="AF40" s="73">
        <f>IF($C40="","",IF(PULL_FUND="N","",IF(COUNTIFS('Fund History'!$G$176:$G$180,"&gt;="&amp;DATE(YEAR_Y-1,1,1),'Fund History'!$G$176:$G$180,"&lt;="&amp;DATE(YEAR_Y-1,12,31))=0,"",SUMIFS('Fund History'!$H$176:$H$180,'Fund History'!$G$176:$G$180,"&gt;="&amp;DATE(YEAR_Y-1,1,1),'Fund History'!$G$176:$G$180,"&lt;="&amp;DATE(YEAR_Y-1,12,31))/100)))</f>
        <v/>
      </c>
      <c r="AG40" s="74">
        <f>IF($C40="","",IF(N($AF40)+N(HSI!$I$35)=0,"",N($AF40)+N(HSI!$I$35)/100))</f>
        <v/>
      </c>
      <c r="AH40" s="66">
        <f>IF($C40="","",IF(PULL_FUND="N","",IF(COUNTIFS('Fund History'!$D$176:$D$180,"&gt;="&amp;DATE(YEAR_Y-2,1,1),'Fund History'!$D$176:$D$180,"&lt;="&amp;DATE(YEAR_Y-2,12,31))=0,"",SUMIFS('Fund History'!$E$176:$E$180,'Fund History'!$D$176:$D$180,"&gt;="&amp;DATE(YEAR_Y-2,1,1),'Fund History'!$D$176:$D$180,"&lt;="&amp;DATE(YEAR_Y-2,12,31)))))</f>
        <v/>
      </c>
      <c r="AI40" s="67">
        <f>IF($C40="","",IF(PULL_FUND="N","",IF(COUNTIFS('Fund History'!$D$176:$D$180,"&gt;="&amp;DATE(YEAR_Y-1,1,1),'Fund History'!$D$176:$D$180,"&lt;="&amp;DATE(YEAR_Y-1,12,31))=0,"",SUMIFS('Fund History'!$E$176:$E$180,'Fund History'!$D$176:$D$180,"&gt;="&amp;DATE(YEAR_Y-1,1,1),'Fund History'!$D$176:$D$180,"&lt;="&amp;DATE(YEAR_Y-1,12,31)))))</f>
        <v/>
      </c>
      <c r="AJ40" s="67">
        <f>IF($C40="","",IF(PULL_FUND="N","",IFERROR(BDP($C40,NDEBITDA_FIELD),"")))</f>
        <v/>
      </c>
      <c r="AK40" s="75">
        <f>IF($C40="","",IF(PULL_FUND="N","",IFERROR(BDP($C40,EBINT_FIELD),"")))</f>
        <v/>
      </c>
      <c r="AL40" s="73">
        <f>IF($C40="","",IF(PULL_FUND="N","",IFERROR(BDP($C40,FCF_FIELD)/100,"")))</f>
        <v/>
      </c>
      <c r="AM40" s="76">
        <f>IF($C40="","",IF(ISNUMBER(HSI!$I$35),HSI!$I$35/100,""))</f>
        <v/>
      </c>
      <c r="AN40" s="47">
        <f>IF($C40="","",IF(N($AM40)=0,"",IFERROR($AL40/$AM40,"")))</f>
        <v/>
      </c>
      <c r="AO40" s="33">
        <f>IF($C40="","",IF(ISNUMBER($S40)*ISNUMBER($W40)=0,"",IF($W40&gt;$S40+0.05,"rising",IF($W40&lt;$S40-0.05,"falling","stable"))))</f>
        <v/>
      </c>
      <c r="AP40" s="77">
        <f>IF($C40="","",TRIM(IF(ISNUMBER($X40)*(N($X40)&gt;$D$4)&gt;0,"payout high  ","")&amp;IF(ISNUMBER($AN40)*(N($AN40)&lt;$F$4)&gt;0,"FCF below dvd  ","")&amp;IF(ISNUMBER($AJ40)*(N($AJ40)&gt;$H$4)&gt;0,"leverage high","")))</f>
        <v/>
      </c>
      <c r="AQ40" s="78">
        <f>IF($C40="","",IF(HSI!$F$35="HKD","",HSI!$F$35))</f>
        <v/>
      </c>
    </row>
    <row r="41">
      <c r="B41" s="62" t="inlineStr">
        <is>
          <t>HSI</t>
        </is>
      </c>
      <c r="C41" s="6">
        <f>IF(HSI!$C$36="","",HSI!$C$36)</f>
        <v/>
      </c>
      <c r="D41" s="6">
        <f>IF($C41="","",HSI!$D$36)</f>
        <v/>
      </c>
      <c r="E41" s="6">
        <f>IF($C41="","",HSI!$E$36)</f>
        <v/>
      </c>
      <c r="F41" s="63">
        <f>IF($C41="","",SUMPRODUCT(('Dvd Calendar'!$E$330:$AR$330&gt;=DATE(YEAR_Y-5,1,1))*('Dvd Calendar'!$E$330:$AR$330&lt;=DATE(YEAR_Y-5,12,31))*'Dvd Calendar'!$E$333:$AR$333*(('Dvd Calendar'!$E$335:$AR$335=TYPE1)*(TYPE1&lt;&gt;"")+('Dvd Calendar'!$E$335:$AR$335=TYPE2)*(TYPE2&lt;&gt;"")+('Dvd Calendar'!$E$335:$AR$335=TYPE3)*(TYPE3&lt;&gt;"")+('Dvd Calendar'!$E$335:$AR$335=TYPE4)*(TYPE4&lt;&gt;"")+('Dvd Calendar'!$E$335:$AR$335=SPECIAL_LBL)*(INC_SPECIALS="Y"))))</f>
        <v/>
      </c>
      <c r="G41" s="64">
        <f>IF($C41="","",SUMPRODUCT(('Dvd Calendar'!$E$330:$AR$330&gt;=DATE(YEAR_Y-4,1,1))*('Dvd Calendar'!$E$330:$AR$330&lt;=DATE(YEAR_Y-4,12,31))*'Dvd Calendar'!$E$333:$AR$333*(('Dvd Calendar'!$E$335:$AR$335=TYPE1)*(TYPE1&lt;&gt;"")+('Dvd Calendar'!$E$335:$AR$335=TYPE2)*(TYPE2&lt;&gt;"")+('Dvd Calendar'!$E$335:$AR$335=TYPE3)*(TYPE3&lt;&gt;"")+('Dvd Calendar'!$E$335:$AR$335=TYPE4)*(TYPE4&lt;&gt;"")+('Dvd Calendar'!$E$335:$AR$335=SPECIAL_LBL)*(INC_SPECIALS="Y"))))</f>
        <v/>
      </c>
      <c r="H41" s="64">
        <f>IF($C41="","",SUMPRODUCT(('Dvd Calendar'!$E$330:$AR$330&gt;=DATE(YEAR_Y-3,1,1))*('Dvd Calendar'!$E$330:$AR$330&lt;=DATE(YEAR_Y-3,12,31))*'Dvd Calendar'!$E$333:$AR$333*(('Dvd Calendar'!$E$335:$AR$335=TYPE1)*(TYPE1&lt;&gt;"")+('Dvd Calendar'!$E$335:$AR$335=TYPE2)*(TYPE2&lt;&gt;"")+('Dvd Calendar'!$E$335:$AR$335=TYPE3)*(TYPE3&lt;&gt;"")+('Dvd Calendar'!$E$335:$AR$335=TYPE4)*(TYPE4&lt;&gt;"")+('Dvd Calendar'!$E$335:$AR$335=SPECIAL_LBL)*(INC_SPECIALS="Y"))))</f>
        <v/>
      </c>
      <c r="I41" s="64">
        <f>IF($C41="","",SUMPRODUCT(('Dvd Calendar'!$E$330:$AR$330&gt;=DATE(YEAR_Y-2,1,1))*('Dvd Calendar'!$E$330:$AR$330&lt;=DATE(YEAR_Y-2,12,31))*'Dvd Calendar'!$E$333:$AR$333*(('Dvd Calendar'!$E$335:$AR$335=TYPE1)*(TYPE1&lt;&gt;"")+('Dvd Calendar'!$E$335:$AR$335=TYPE2)*(TYPE2&lt;&gt;"")+('Dvd Calendar'!$E$335:$AR$335=TYPE3)*(TYPE3&lt;&gt;"")+('Dvd Calendar'!$E$335:$AR$335=TYPE4)*(TYPE4&lt;&gt;"")+('Dvd Calendar'!$E$335:$AR$335=SPECIAL_LBL)*(INC_SPECIALS="Y"))))</f>
        <v/>
      </c>
      <c r="J41" s="64">
        <f>IF($C41="","",SUMPRODUCT(('Dvd Calendar'!$E$330:$AR$330&gt;=DATE(YEAR_Y-1,1,1))*('Dvd Calendar'!$E$330:$AR$330&lt;=DATE(YEAR_Y-1,12,31))*'Dvd Calendar'!$E$333:$AR$333*(('Dvd Calendar'!$E$335:$AR$335=TYPE1)*(TYPE1&lt;&gt;"")+('Dvd Calendar'!$E$335:$AR$335=TYPE2)*(TYPE2&lt;&gt;"")+('Dvd Calendar'!$E$335:$AR$335=TYPE3)*(TYPE3&lt;&gt;"")+('Dvd Calendar'!$E$335:$AR$335=TYPE4)*(TYPE4&lt;&gt;"")+('Dvd Calendar'!$E$335:$AR$335=SPECIAL_LBL)*(INC_SPECIALS="Y"))))</f>
        <v/>
      </c>
      <c r="K41" s="65">
        <f>IF($C41="","",HSI!$J$36)</f>
        <v/>
      </c>
      <c r="L41" s="65">
        <f>IF($C41="","",HSI!$K$36)</f>
        <v/>
      </c>
      <c r="M41" s="41">
        <f>IF($C41="","",AVERAGE(F41:J41))</f>
        <v/>
      </c>
      <c r="N41" s="66">
        <f>IF($C41="","",IF(PULL_FUND="N","",IFERROR(BDP($C41,EPS_FIELD,YR_OVERRIDE,TEXT(YEAR_Y-5,"0")),"")))</f>
        <v/>
      </c>
      <c r="O41" s="67">
        <f>IF($C41="","",IF(PULL_FUND="N","",IFERROR(BDP($C41,EPS_FIELD,YR_OVERRIDE,TEXT(YEAR_Y-4,"0")),"")))</f>
        <v/>
      </c>
      <c r="P41" s="67">
        <f>IF($C41="","",IF(PULL_FUND="N","",IFERROR(BDP($C41,EPS_FIELD,YR_OVERRIDE,TEXT(YEAR_Y-3,"0")),"")))</f>
        <v/>
      </c>
      <c r="Q41" s="67">
        <f>IF($C41="","",IF(PULL_FUND="N","",IFERROR(BDP($C41,EPS_FIELD,YR_OVERRIDE,TEXT(YEAR_Y-2,"0")),"")))</f>
        <v/>
      </c>
      <c r="R41" s="67">
        <f>IF($C41="","",IF(PULL_FUND="N","",IFERROR(BDP($C41,EPS_FIELD,YR_OVERRIDE,TEXT(YEAR_Y-1,"0")),"")))</f>
        <v/>
      </c>
      <c r="S41" s="68">
        <f>IF($C41="","",IF(PULL_FUND="N","",IFERROR(BDP($C41,PAYOUT_FIELD,YR_OVERRIDE,TEXT(YEAR_Y-5,"0"))/100,"")))</f>
        <v/>
      </c>
      <c r="T41" s="68">
        <f>IF($C41="","",IF(PULL_FUND="N","",IFERROR(BDP($C41,PAYOUT_FIELD,YR_OVERRIDE,TEXT(YEAR_Y-4,"0"))/100,"")))</f>
        <v/>
      </c>
      <c r="U41" s="68">
        <f>IF($C41="","",IF(PULL_FUND="N","",IFERROR(BDP($C41,PAYOUT_FIELD,YR_OVERRIDE,TEXT(YEAR_Y-3,"0"))/100,"")))</f>
        <v/>
      </c>
      <c r="V41" s="68">
        <f>IF($C41="","",IF(PULL_FUND="N","",IFERROR(BDP($C41,PAYOUT_FIELD,YR_OVERRIDE,TEXT(YEAR_Y-2,"0"))/100,"")))</f>
        <v/>
      </c>
      <c r="W41" s="68">
        <f>IF($C41="","",IF(PULL_FUND="N","",IFERROR(BDP($C41,PAYOUT_FIELD,YR_OVERRIDE,TEXT(YEAR_Y-1,"0"))/100,"")))</f>
        <v/>
      </c>
      <c r="X41" s="69">
        <f>IF($C41="","",IFERROR(AVERAGE(S41:W41),""))</f>
        <v/>
      </c>
      <c r="Y41" s="66">
        <f>IF($C41="","",IF(PULL_FUND="N","",IFERROR(BDP($C41,BESTEPS_FIELD,FWD_OVERRIDE,TEXT(MOD(YEAR_Y,100),"00")&amp;"Y"),"")))</f>
        <v/>
      </c>
      <c r="Z41" s="70">
        <f>IF($C41="","",IF(PULL_FUND="N","",IFERROR(BDP($C41,BESTDPS_FIELD,FWD_OVERRIDE,TEXT(MOD(YEAR_Y,100),"00")&amp;"Y"),"")))</f>
        <v/>
      </c>
      <c r="AA41" s="71">
        <f>IF($C41="","",IF(ISNUMBER($Y41)*ISNUMBER($Z41)*($Y41&lt;&gt;0)=0,"",$Z41/$Y41))</f>
        <v/>
      </c>
      <c r="AB41" s="41">
        <f>IF($C41="","",HSI!$J$36+HSI!$L$36)</f>
        <v/>
      </c>
      <c r="AC41" s="72">
        <f>IF($C41="","",IF(PULL_FUND="N","",IF(COUNTIFS('Fund History'!$G$182:$G$186,"&gt;="&amp;DATE(YEAR_Y-4,1,1),'Fund History'!$G$182:$G$186,"&lt;="&amp;DATE(YEAR_Y-4,12,31))=0,"",SUMIFS('Fund History'!$H$182:$H$186,'Fund History'!$G$182:$G$186,"&gt;="&amp;DATE(YEAR_Y-4,1,1),'Fund History'!$G$182:$G$186,"&lt;="&amp;DATE(YEAR_Y-4,12,31))/100)))</f>
        <v/>
      </c>
      <c r="AD41" s="73">
        <f>IF($C41="","",IF(PULL_FUND="N","",IF(COUNTIFS('Fund History'!$G$182:$G$186,"&gt;="&amp;DATE(YEAR_Y-3,1,1),'Fund History'!$G$182:$G$186,"&lt;="&amp;DATE(YEAR_Y-3,12,31))=0,"",SUMIFS('Fund History'!$H$182:$H$186,'Fund History'!$G$182:$G$186,"&gt;="&amp;DATE(YEAR_Y-3,1,1),'Fund History'!$G$182:$G$186,"&lt;="&amp;DATE(YEAR_Y-3,12,31))/100)))</f>
        <v/>
      </c>
      <c r="AE41" s="73">
        <f>IF($C41="","",IF(PULL_FUND="N","",IF(COUNTIFS('Fund History'!$G$182:$G$186,"&gt;="&amp;DATE(YEAR_Y-2,1,1),'Fund History'!$G$182:$G$186,"&lt;="&amp;DATE(YEAR_Y-2,12,31))=0,"",SUMIFS('Fund History'!$H$182:$H$186,'Fund History'!$G$182:$G$186,"&gt;="&amp;DATE(YEAR_Y-2,1,1),'Fund History'!$G$182:$G$186,"&lt;="&amp;DATE(YEAR_Y-2,12,31))/100)))</f>
        <v/>
      </c>
      <c r="AF41" s="73">
        <f>IF($C41="","",IF(PULL_FUND="N","",IF(COUNTIFS('Fund History'!$G$182:$G$186,"&gt;="&amp;DATE(YEAR_Y-1,1,1),'Fund History'!$G$182:$G$186,"&lt;="&amp;DATE(YEAR_Y-1,12,31))=0,"",SUMIFS('Fund History'!$H$182:$H$186,'Fund History'!$G$182:$G$186,"&gt;="&amp;DATE(YEAR_Y-1,1,1),'Fund History'!$G$182:$G$186,"&lt;="&amp;DATE(YEAR_Y-1,12,31))/100)))</f>
        <v/>
      </c>
      <c r="AG41" s="74">
        <f>IF($C41="","",IF(N($AF41)+N(HSI!$I$36)=0,"",N($AF41)+N(HSI!$I$36)/100))</f>
        <v/>
      </c>
      <c r="AH41" s="66">
        <f>IF($C41="","",IF(PULL_FUND="N","",IF(COUNTIFS('Fund History'!$D$182:$D$186,"&gt;="&amp;DATE(YEAR_Y-2,1,1),'Fund History'!$D$182:$D$186,"&lt;="&amp;DATE(YEAR_Y-2,12,31))=0,"",SUMIFS('Fund History'!$E$182:$E$186,'Fund History'!$D$182:$D$186,"&gt;="&amp;DATE(YEAR_Y-2,1,1),'Fund History'!$D$182:$D$186,"&lt;="&amp;DATE(YEAR_Y-2,12,31)))))</f>
        <v/>
      </c>
      <c r="AI41" s="67">
        <f>IF($C41="","",IF(PULL_FUND="N","",IF(COUNTIFS('Fund History'!$D$182:$D$186,"&gt;="&amp;DATE(YEAR_Y-1,1,1),'Fund History'!$D$182:$D$186,"&lt;="&amp;DATE(YEAR_Y-1,12,31))=0,"",SUMIFS('Fund History'!$E$182:$E$186,'Fund History'!$D$182:$D$186,"&gt;="&amp;DATE(YEAR_Y-1,1,1),'Fund History'!$D$182:$D$186,"&lt;="&amp;DATE(YEAR_Y-1,12,31)))))</f>
        <v/>
      </c>
      <c r="AJ41" s="67">
        <f>IF($C41="","",IF(PULL_FUND="N","",IFERROR(BDP($C41,NDEBITDA_FIELD),"")))</f>
        <v/>
      </c>
      <c r="AK41" s="75">
        <f>IF($C41="","",IF(PULL_FUND="N","",IFERROR(BDP($C41,EBINT_FIELD),"")))</f>
        <v/>
      </c>
      <c r="AL41" s="73">
        <f>IF($C41="","",IF(PULL_FUND="N","",IFERROR(BDP($C41,FCF_FIELD)/100,"")))</f>
        <v/>
      </c>
      <c r="AM41" s="76">
        <f>IF($C41="","",IF(ISNUMBER(HSI!$I$36),HSI!$I$36/100,""))</f>
        <v/>
      </c>
      <c r="AN41" s="47">
        <f>IF($C41="","",IF(N($AM41)=0,"",IFERROR($AL41/$AM41,"")))</f>
        <v/>
      </c>
      <c r="AO41" s="33">
        <f>IF($C41="","",IF(ISNUMBER($S41)*ISNUMBER($W41)=0,"",IF($W41&gt;$S41+0.05,"rising",IF($W41&lt;$S41-0.05,"falling","stable"))))</f>
        <v/>
      </c>
      <c r="AP41" s="77">
        <f>IF($C41="","",TRIM(IF(ISNUMBER($X41)*(N($X41)&gt;$D$4)&gt;0,"payout high  ","")&amp;IF(ISNUMBER($AN41)*(N($AN41)&lt;$F$4)&gt;0,"FCF below dvd  ","")&amp;IF(ISNUMBER($AJ41)*(N($AJ41)&gt;$H$4)&gt;0,"leverage high","")))</f>
        <v/>
      </c>
      <c r="AQ41" s="78">
        <f>IF($C41="","",IF(HSI!$F$36="HKD","",HSI!$F$36))</f>
        <v/>
      </c>
    </row>
    <row r="42">
      <c r="B42" s="62" t="inlineStr">
        <is>
          <t>HSI</t>
        </is>
      </c>
      <c r="C42" s="6">
        <f>IF(HSI!$C$37="","",HSI!$C$37)</f>
        <v/>
      </c>
      <c r="D42" s="6">
        <f>IF($C42="","",HSI!$D$37)</f>
        <v/>
      </c>
      <c r="E42" s="6">
        <f>IF($C42="","",HSI!$E$37)</f>
        <v/>
      </c>
      <c r="F42" s="63">
        <f>IF($C42="","",SUMPRODUCT(('Dvd Calendar'!$E$341:$AR$341&gt;=DATE(YEAR_Y-5,1,1))*('Dvd Calendar'!$E$341:$AR$341&lt;=DATE(YEAR_Y-5,12,31))*'Dvd Calendar'!$E$344:$AR$344*(('Dvd Calendar'!$E$346:$AR$346=TYPE1)*(TYPE1&lt;&gt;"")+('Dvd Calendar'!$E$346:$AR$346=TYPE2)*(TYPE2&lt;&gt;"")+('Dvd Calendar'!$E$346:$AR$346=TYPE3)*(TYPE3&lt;&gt;"")+('Dvd Calendar'!$E$346:$AR$346=TYPE4)*(TYPE4&lt;&gt;"")+('Dvd Calendar'!$E$346:$AR$346=SPECIAL_LBL)*(INC_SPECIALS="Y"))))</f>
        <v/>
      </c>
      <c r="G42" s="64">
        <f>IF($C42="","",SUMPRODUCT(('Dvd Calendar'!$E$341:$AR$341&gt;=DATE(YEAR_Y-4,1,1))*('Dvd Calendar'!$E$341:$AR$341&lt;=DATE(YEAR_Y-4,12,31))*'Dvd Calendar'!$E$344:$AR$344*(('Dvd Calendar'!$E$346:$AR$346=TYPE1)*(TYPE1&lt;&gt;"")+('Dvd Calendar'!$E$346:$AR$346=TYPE2)*(TYPE2&lt;&gt;"")+('Dvd Calendar'!$E$346:$AR$346=TYPE3)*(TYPE3&lt;&gt;"")+('Dvd Calendar'!$E$346:$AR$346=TYPE4)*(TYPE4&lt;&gt;"")+('Dvd Calendar'!$E$346:$AR$346=SPECIAL_LBL)*(INC_SPECIALS="Y"))))</f>
        <v/>
      </c>
      <c r="H42" s="64">
        <f>IF($C42="","",SUMPRODUCT(('Dvd Calendar'!$E$341:$AR$341&gt;=DATE(YEAR_Y-3,1,1))*('Dvd Calendar'!$E$341:$AR$341&lt;=DATE(YEAR_Y-3,12,31))*'Dvd Calendar'!$E$344:$AR$344*(('Dvd Calendar'!$E$346:$AR$346=TYPE1)*(TYPE1&lt;&gt;"")+('Dvd Calendar'!$E$346:$AR$346=TYPE2)*(TYPE2&lt;&gt;"")+('Dvd Calendar'!$E$346:$AR$346=TYPE3)*(TYPE3&lt;&gt;"")+('Dvd Calendar'!$E$346:$AR$346=TYPE4)*(TYPE4&lt;&gt;"")+('Dvd Calendar'!$E$346:$AR$346=SPECIAL_LBL)*(INC_SPECIALS="Y"))))</f>
        <v/>
      </c>
      <c r="I42" s="64">
        <f>IF($C42="","",SUMPRODUCT(('Dvd Calendar'!$E$341:$AR$341&gt;=DATE(YEAR_Y-2,1,1))*('Dvd Calendar'!$E$341:$AR$341&lt;=DATE(YEAR_Y-2,12,31))*'Dvd Calendar'!$E$344:$AR$344*(('Dvd Calendar'!$E$346:$AR$346=TYPE1)*(TYPE1&lt;&gt;"")+('Dvd Calendar'!$E$346:$AR$346=TYPE2)*(TYPE2&lt;&gt;"")+('Dvd Calendar'!$E$346:$AR$346=TYPE3)*(TYPE3&lt;&gt;"")+('Dvd Calendar'!$E$346:$AR$346=TYPE4)*(TYPE4&lt;&gt;"")+('Dvd Calendar'!$E$346:$AR$346=SPECIAL_LBL)*(INC_SPECIALS="Y"))))</f>
        <v/>
      </c>
      <c r="J42" s="64">
        <f>IF($C42="","",SUMPRODUCT(('Dvd Calendar'!$E$341:$AR$341&gt;=DATE(YEAR_Y-1,1,1))*('Dvd Calendar'!$E$341:$AR$341&lt;=DATE(YEAR_Y-1,12,31))*'Dvd Calendar'!$E$344:$AR$344*(('Dvd Calendar'!$E$346:$AR$346=TYPE1)*(TYPE1&lt;&gt;"")+('Dvd Calendar'!$E$346:$AR$346=TYPE2)*(TYPE2&lt;&gt;"")+('Dvd Calendar'!$E$346:$AR$346=TYPE3)*(TYPE3&lt;&gt;"")+('Dvd Calendar'!$E$346:$AR$346=TYPE4)*(TYPE4&lt;&gt;"")+('Dvd Calendar'!$E$346:$AR$346=SPECIAL_LBL)*(INC_SPECIALS="Y"))))</f>
        <v/>
      </c>
      <c r="K42" s="65">
        <f>IF($C42="","",HSI!$J$37)</f>
        <v/>
      </c>
      <c r="L42" s="65">
        <f>IF($C42="","",HSI!$K$37)</f>
        <v/>
      </c>
      <c r="M42" s="41">
        <f>IF($C42="","",AVERAGE(F42:J42))</f>
        <v/>
      </c>
      <c r="N42" s="66">
        <f>IF($C42="","",IF(PULL_FUND="N","",IFERROR(BDP($C42,EPS_FIELD,YR_OVERRIDE,TEXT(YEAR_Y-5,"0")),"")))</f>
        <v/>
      </c>
      <c r="O42" s="67">
        <f>IF($C42="","",IF(PULL_FUND="N","",IFERROR(BDP($C42,EPS_FIELD,YR_OVERRIDE,TEXT(YEAR_Y-4,"0")),"")))</f>
        <v/>
      </c>
      <c r="P42" s="67">
        <f>IF($C42="","",IF(PULL_FUND="N","",IFERROR(BDP($C42,EPS_FIELD,YR_OVERRIDE,TEXT(YEAR_Y-3,"0")),"")))</f>
        <v/>
      </c>
      <c r="Q42" s="67">
        <f>IF($C42="","",IF(PULL_FUND="N","",IFERROR(BDP($C42,EPS_FIELD,YR_OVERRIDE,TEXT(YEAR_Y-2,"0")),"")))</f>
        <v/>
      </c>
      <c r="R42" s="67">
        <f>IF($C42="","",IF(PULL_FUND="N","",IFERROR(BDP($C42,EPS_FIELD,YR_OVERRIDE,TEXT(YEAR_Y-1,"0")),"")))</f>
        <v/>
      </c>
      <c r="S42" s="68">
        <f>IF($C42="","",IF(PULL_FUND="N","",IFERROR(BDP($C42,PAYOUT_FIELD,YR_OVERRIDE,TEXT(YEAR_Y-5,"0"))/100,"")))</f>
        <v/>
      </c>
      <c r="T42" s="68">
        <f>IF($C42="","",IF(PULL_FUND="N","",IFERROR(BDP($C42,PAYOUT_FIELD,YR_OVERRIDE,TEXT(YEAR_Y-4,"0"))/100,"")))</f>
        <v/>
      </c>
      <c r="U42" s="68">
        <f>IF($C42="","",IF(PULL_FUND="N","",IFERROR(BDP($C42,PAYOUT_FIELD,YR_OVERRIDE,TEXT(YEAR_Y-3,"0"))/100,"")))</f>
        <v/>
      </c>
      <c r="V42" s="68">
        <f>IF($C42="","",IF(PULL_FUND="N","",IFERROR(BDP($C42,PAYOUT_FIELD,YR_OVERRIDE,TEXT(YEAR_Y-2,"0"))/100,"")))</f>
        <v/>
      </c>
      <c r="W42" s="68">
        <f>IF($C42="","",IF(PULL_FUND="N","",IFERROR(BDP($C42,PAYOUT_FIELD,YR_OVERRIDE,TEXT(YEAR_Y-1,"0"))/100,"")))</f>
        <v/>
      </c>
      <c r="X42" s="69">
        <f>IF($C42="","",IFERROR(AVERAGE(S42:W42),""))</f>
        <v/>
      </c>
      <c r="Y42" s="66">
        <f>IF($C42="","",IF(PULL_FUND="N","",IFERROR(BDP($C42,BESTEPS_FIELD,FWD_OVERRIDE,TEXT(MOD(YEAR_Y,100),"00")&amp;"Y"),"")))</f>
        <v/>
      </c>
      <c r="Z42" s="70">
        <f>IF($C42="","",IF(PULL_FUND="N","",IFERROR(BDP($C42,BESTDPS_FIELD,FWD_OVERRIDE,TEXT(MOD(YEAR_Y,100),"00")&amp;"Y"),"")))</f>
        <v/>
      </c>
      <c r="AA42" s="71">
        <f>IF($C42="","",IF(ISNUMBER($Y42)*ISNUMBER($Z42)*($Y42&lt;&gt;0)=0,"",$Z42/$Y42))</f>
        <v/>
      </c>
      <c r="AB42" s="41">
        <f>IF($C42="","",HSI!$J$37+HSI!$L$37)</f>
        <v/>
      </c>
      <c r="AC42" s="72">
        <f>IF($C42="","",IF(PULL_FUND="N","",IF(COUNTIFS('Fund History'!$G$188:$G$192,"&gt;="&amp;DATE(YEAR_Y-4,1,1),'Fund History'!$G$188:$G$192,"&lt;="&amp;DATE(YEAR_Y-4,12,31))=0,"",SUMIFS('Fund History'!$H$188:$H$192,'Fund History'!$G$188:$G$192,"&gt;="&amp;DATE(YEAR_Y-4,1,1),'Fund History'!$G$188:$G$192,"&lt;="&amp;DATE(YEAR_Y-4,12,31))/100)))</f>
        <v/>
      </c>
      <c r="AD42" s="73">
        <f>IF($C42="","",IF(PULL_FUND="N","",IF(COUNTIFS('Fund History'!$G$188:$G$192,"&gt;="&amp;DATE(YEAR_Y-3,1,1),'Fund History'!$G$188:$G$192,"&lt;="&amp;DATE(YEAR_Y-3,12,31))=0,"",SUMIFS('Fund History'!$H$188:$H$192,'Fund History'!$G$188:$G$192,"&gt;="&amp;DATE(YEAR_Y-3,1,1),'Fund History'!$G$188:$G$192,"&lt;="&amp;DATE(YEAR_Y-3,12,31))/100)))</f>
        <v/>
      </c>
      <c r="AE42" s="73">
        <f>IF($C42="","",IF(PULL_FUND="N","",IF(COUNTIFS('Fund History'!$G$188:$G$192,"&gt;="&amp;DATE(YEAR_Y-2,1,1),'Fund History'!$G$188:$G$192,"&lt;="&amp;DATE(YEAR_Y-2,12,31))=0,"",SUMIFS('Fund History'!$H$188:$H$192,'Fund History'!$G$188:$G$192,"&gt;="&amp;DATE(YEAR_Y-2,1,1),'Fund History'!$G$188:$G$192,"&lt;="&amp;DATE(YEAR_Y-2,12,31))/100)))</f>
        <v/>
      </c>
      <c r="AF42" s="73">
        <f>IF($C42="","",IF(PULL_FUND="N","",IF(COUNTIFS('Fund History'!$G$188:$G$192,"&gt;="&amp;DATE(YEAR_Y-1,1,1),'Fund History'!$G$188:$G$192,"&lt;="&amp;DATE(YEAR_Y-1,12,31))=0,"",SUMIFS('Fund History'!$H$188:$H$192,'Fund History'!$G$188:$G$192,"&gt;="&amp;DATE(YEAR_Y-1,1,1),'Fund History'!$G$188:$G$192,"&lt;="&amp;DATE(YEAR_Y-1,12,31))/100)))</f>
        <v/>
      </c>
      <c r="AG42" s="74">
        <f>IF($C42="","",IF(N($AF42)+N(HSI!$I$37)=0,"",N($AF42)+N(HSI!$I$37)/100))</f>
        <v/>
      </c>
      <c r="AH42" s="66">
        <f>IF($C42="","",IF(PULL_FUND="N","",IF(COUNTIFS('Fund History'!$D$188:$D$192,"&gt;="&amp;DATE(YEAR_Y-2,1,1),'Fund History'!$D$188:$D$192,"&lt;="&amp;DATE(YEAR_Y-2,12,31))=0,"",SUMIFS('Fund History'!$E$188:$E$192,'Fund History'!$D$188:$D$192,"&gt;="&amp;DATE(YEAR_Y-2,1,1),'Fund History'!$D$188:$D$192,"&lt;="&amp;DATE(YEAR_Y-2,12,31)))))</f>
        <v/>
      </c>
      <c r="AI42" s="67">
        <f>IF($C42="","",IF(PULL_FUND="N","",IF(COUNTIFS('Fund History'!$D$188:$D$192,"&gt;="&amp;DATE(YEAR_Y-1,1,1),'Fund History'!$D$188:$D$192,"&lt;="&amp;DATE(YEAR_Y-1,12,31))=0,"",SUMIFS('Fund History'!$E$188:$E$192,'Fund History'!$D$188:$D$192,"&gt;="&amp;DATE(YEAR_Y-1,1,1),'Fund History'!$D$188:$D$192,"&lt;="&amp;DATE(YEAR_Y-1,12,31)))))</f>
        <v/>
      </c>
      <c r="AJ42" s="67">
        <f>IF($C42="","",IF(PULL_FUND="N","",IFERROR(BDP($C42,NDEBITDA_FIELD),"")))</f>
        <v/>
      </c>
      <c r="AK42" s="75">
        <f>IF($C42="","",IF(PULL_FUND="N","",IFERROR(BDP($C42,EBINT_FIELD),"")))</f>
        <v/>
      </c>
      <c r="AL42" s="73">
        <f>IF($C42="","",IF(PULL_FUND="N","",IFERROR(BDP($C42,FCF_FIELD)/100,"")))</f>
        <v/>
      </c>
      <c r="AM42" s="76">
        <f>IF($C42="","",IF(ISNUMBER(HSI!$I$37),HSI!$I$37/100,""))</f>
        <v/>
      </c>
      <c r="AN42" s="47">
        <f>IF($C42="","",IF(N($AM42)=0,"",IFERROR($AL42/$AM42,"")))</f>
        <v/>
      </c>
      <c r="AO42" s="33">
        <f>IF($C42="","",IF(ISNUMBER($S42)*ISNUMBER($W42)=0,"",IF($W42&gt;$S42+0.05,"rising",IF($W42&lt;$S42-0.05,"falling","stable"))))</f>
        <v/>
      </c>
      <c r="AP42" s="77">
        <f>IF($C42="","",TRIM(IF(ISNUMBER($X42)*(N($X42)&gt;$D$4)&gt;0,"payout high  ","")&amp;IF(ISNUMBER($AN42)*(N($AN42)&lt;$F$4)&gt;0,"FCF below dvd  ","")&amp;IF(ISNUMBER($AJ42)*(N($AJ42)&gt;$H$4)&gt;0,"leverage high","")))</f>
        <v/>
      </c>
      <c r="AQ42" s="78">
        <f>IF($C42="","",IF(HSI!$F$37="HKD","",HSI!$F$37))</f>
        <v/>
      </c>
    </row>
    <row r="43">
      <c r="B43" s="62" t="inlineStr">
        <is>
          <t>HSI</t>
        </is>
      </c>
      <c r="C43" s="6">
        <f>IF(HSI!$C$38="","",HSI!$C$38)</f>
        <v/>
      </c>
      <c r="D43" s="6">
        <f>IF($C43="","",HSI!$D$38)</f>
        <v/>
      </c>
      <c r="E43" s="6">
        <f>IF($C43="","",HSI!$E$38)</f>
        <v/>
      </c>
      <c r="F43" s="63">
        <f>IF($C43="","",SUMPRODUCT(('Dvd Calendar'!$E$352:$AR$352&gt;=DATE(YEAR_Y-5,1,1))*('Dvd Calendar'!$E$352:$AR$352&lt;=DATE(YEAR_Y-5,12,31))*'Dvd Calendar'!$E$355:$AR$355*(('Dvd Calendar'!$E$357:$AR$357=TYPE1)*(TYPE1&lt;&gt;"")+('Dvd Calendar'!$E$357:$AR$357=TYPE2)*(TYPE2&lt;&gt;"")+('Dvd Calendar'!$E$357:$AR$357=TYPE3)*(TYPE3&lt;&gt;"")+('Dvd Calendar'!$E$357:$AR$357=TYPE4)*(TYPE4&lt;&gt;"")+('Dvd Calendar'!$E$357:$AR$357=SPECIAL_LBL)*(INC_SPECIALS="Y"))))</f>
        <v/>
      </c>
      <c r="G43" s="64">
        <f>IF($C43="","",SUMPRODUCT(('Dvd Calendar'!$E$352:$AR$352&gt;=DATE(YEAR_Y-4,1,1))*('Dvd Calendar'!$E$352:$AR$352&lt;=DATE(YEAR_Y-4,12,31))*'Dvd Calendar'!$E$355:$AR$355*(('Dvd Calendar'!$E$357:$AR$357=TYPE1)*(TYPE1&lt;&gt;"")+('Dvd Calendar'!$E$357:$AR$357=TYPE2)*(TYPE2&lt;&gt;"")+('Dvd Calendar'!$E$357:$AR$357=TYPE3)*(TYPE3&lt;&gt;"")+('Dvd Calendar'!$E$357:$AR$357=TYPE4)*(TYPE4&lt;&gt;"")+('Dvd Calendar'!$E$357:$AR$357=SPECIAL_LBL)*(INC_SPECIALS="Y"))))</f>
        <v/>
      </c>
      <c r="H43" s="64">
        <f>IF($C43="","",SUMPRODUCT(('Dvd Calendar'!$E$352:$AR$352&gt;=DATE(YEAR_Y-3,1,1))*('Dvd Calendar'!$E$352:$AR$352&lt;=DATE(YEAR_Y-3,12,31))*'Dvd Calendar'!$E$355:$AR$355*(('Dvd Calendar'!$E$357:$AR$357=TYPE1)*(TYPE1&lt;&gt;"")+('Dvd Calendar'!$E$357:$AR$357=TYPE2)*(TYPE2&lt;&gt;"")+('Dvd Calendar'!$E$357:$AR$357=TYPE3)*(TYPE3&lt;&gt;"")+('Dvd Calendar'!$E$357:$AR$357=TYPE4)*(TYPE4&lt;&gt;"")+('Dvd Calendar'!$E$357:$AR$357=SPECIAL_LBL)*(INC_SPECIALS="Y"))))</f>
        <v/>
      </c>
      <c r="I43" s="64">
        <f>IF($C43="","",SUMPRODUCT(('Dvd Calendar'!$E$352:$AR$352&gt;=DATE(YEAR_Y-2,1,1))*('Dvd Calendar'!$E$352:$AR$352&lt;=DATE(YEAR_Y-2,12,31))*'Dvd Calendar'!$E$355:$AR$355*(('Dvd Calendar'!$E$357:$AR$357=TYPE1)*(TYPE1&lt;&gt;"")+('Dvd Calendar'!$E$357:$AR$357=TYPE2)*(TYPE2&lt;&gt;"")+('Dvd Calendar'!$E$357:$AR$357=TYPE3)*(TYPE3&lt;&gt;"")+('Dvd Calendar'!$E$357:$AR$357=TYPE4)*(TYPE4&lt;&gt;"")+('Dvd Calendar'!$E$357:$AR$357=SPECIAL_LBL)*(INC_SPECIALS="Y"))))</f>
        <v/>
      </c>
      <c r="J43" s="64">
        <f>IF($C43="","",SUMPRODUCT(('Dvd Calendar'!$E$352:$AR$352&gt;=DATE(YEAR_Y-1,1,1))*('Dvd Calendar'!$E$352:$AR$352&lt;=DATE(YEAR_Y-1,12,31))*'Dvd Calendar'!$E$355:$AR$355*(('Dvd Calendar'!$E$357:$AR$357=TYPE1)*(TYPE1&lt;&gt;"")+('Dvd Calendar'!$E$357:$AR$357=TYPE2)*(TYPE2&lt;&gt;"")+('Dvd Calendar'!$E$357:$AR$357=TYPE3)*(TYPE3&lt;&gt;"")+('Dvd Calendar'!$E$357:$AR$357=TYPE4)*(TYPE4&lt;&gt;"")+('Dvd Calendar'!$E$357:$AR$357=SPECIAL_LBL)*(INC_SPECIALS="Y"))))</f>
        <v/>
      </c>
      <c r="K43" s="65">
        <f>IF($C43="","",HSI!$J$38)</f>
        <v/>
      </c>
      <c r="L43" s="65">
        <f>IF($C43="","",HSI!$K$38)</f>
        <v/>
      </c>
      <c r="M43" s="41">
        <f>IF($C43="","",AVERAGE(F43:J43))</f>
        <v/>
      </c>
      <c r="N43" s="66">
        <f>IF($C43="","",IF(PULL_FUND="N","",IFERROR(BDP($C43,EPS_FIELD,YR_OVERRIDE,TEXT(YEAR_Y-5,"0")),"")))</f>
        <v/>
      </c>
      <c r="O43" s="67">
        <f>IF($C43="","",IF(PULL_FUND="N","",IFERROR(BDP($C43,EPS_FIELD,YR_OVERRIDE,TEXT(YEAR_Y-4,"0")),"")))</f>
        <v/>
      </c>
      <c r="P43" s="67">
        <f>IF($C43="","",IF(PULL_FUND="N","",IFERROR(BDP($C43,EPS_FIELD,YR_OVERRIDE,TEXT(YEAR_Y-3,"0")),"")))</f>
        <v/>
      </c>
      <c r="Q43" s="67">
        <f>IF($C43="","",IF(PULL_FUND="N","",IFERROR(BDP($C43,EPS_FIELD,YR_OVERRIDE,TEXT(YEAR_Y-2,"0")),"")))</f>
        <v/>
      </c>
      <c r="R43" s="67">
        <f>IF($C43="","",IF(PULL_FUND="N","",IFERROR(BDP($C43,EPS_FIELD,YR_OVERRIDE,TEXT(YEAR_Y-1,"0")),"")))</f>
        <v/>
      </c>
      <c r="S43" s="68">
        <f>IF($C43="","",IF(PULL_FUND="N","",IFERROR(BDP($C43,PAYOUT_FIELD,YR_OVERRIDE,TEXT(YEAR_Y-5,"0"))/100,"")))</f>
        <v/>
      </c>
      <c r="T43" s="68">
        <f>IF($C43="","",IF(PULL_FUND="N","",IFERROR(BDP($C43,PAYOUT_FIELD,YR_OVERRIDE,TEXT(YEAR_Y-4,"0"))/100,"")))</f>
        <v/>
      </c>
      <c r="U43" s="68">
        <f>IF($C43="","",IF(PULL_FUND="N","",IFERROR(BDP($C43,PAYOUT_FIELD,YR_OVERRIDE,TEXT(YEAR_Y-3,"0"))/100,"")))</f>
        <v/>
      </c>
      <c r="V43" s="68">
        <f>IF($C43="","",IF(PULL_FUND="N","",IFERROR(BDP($C43,PAYOUT_FIELD,YR_OVERRIDE,TEXT(YEAR_Y-2,"0"))/100,"")))</f>
        <v/>
      </c>
      <c r="W43" s="68">
        <f>IF($C43="","",IF(PULL_FUND="N","",IFERROR(BDP($C43,PAYOUT_FIELD,YR_OVERRIDE,TEXT(YEAR_Y-1,"0"))/100,"")))</f>
        <v/>
      </c>
      <c r="X43" s="69">
        <f>IF($C43="","",IFERROR(AVERAGE(S43:W43),""))</f>
        <v/>
      </c>
      <c r="Y43" s="66">
        <f>IF($C43="","",IF(PULL_FUND="N","",IFERROR(BDP($C43,BESTEPS_FIELD,FWD_OVERRIDE,TEXT(MOD(YEAR_Y,100),"00")&amp;"Y"),"")))</f>
        <v/>
      </c>
      <c r="Z43" s="70">
        <f>IF($C43="","",IF(PULL_FUND="N","",IFERROR(BDP($C43,BESTDPS_FIELD,FWD_OVERRIDE,TEXT(MOD(YEAR_Y,100),"00")&amp;"Y"),"")))</f>
        <v/>
      </c>
      <c r="AA43" s="71">
        <f>IF($C43="","",IF(ISNUMBER($Y43)*ISNUMBER($Z43)*($Y43&lt;&gt;0)=0,"",$Z43/$Y43))</f>
        <v/>
      </c>
      <c r="AB43" s="41">
        <f>IF($C43="","",HSI!$J$38+HSI!$L$38)</f>
        <v/>
      </c>
      <c r="AC43" s="72">
        <f>IF($C43="","",IF(PULL_FUND="N","",IF(COUNTIFS('Fund History'!$G$194:$G$198,"&gt;="&amp;DATE(YEAR_Y-4,1,1),'Fund History'!$G$194:$G$198,"&lt;="&amp;DATE(YEAR_Y-4,12,31))=0,"",SUMIFS('Fund History'!$H$194:$H$198,'Fund History'!$G$194:$G$198,"&gt;="&amp;DATE(YEAR_Y-4,1,1),'Fund History'!$G$194:$G$198,"&lt;="&amp;DATE(YEAR_Y-4,12,31))/100)))</f>
        <v/>
      </c>
      <c r="AD43" s="73">
        <f>IF($C43="","",IF(PULL_FUND="N","",IF(COUNTIFS('Fund History'!$G$194:$G$198,"&gt;="&amp;DATE(YEAR_Y-3,1,1),'Fund History'!$G$194:$G$198,"&lt;="&amp;DATE(YEAR_Y-3,12,31))=0,"",SUMIFS('Fund History'!$H$194:$H$198,'Fund History'!$G$194:$G$198,"&gt;="&amp;DATE(YEAR_Y-3,1,1),'Fund History'!$G$194:$G$198,"&lt;="&amp;DATE(YEAR_Y-3,12,31))/100)))</f>
        <v/>
      </c>
      <c r="AE43" s="73">
        <f>IF($C43="","",IF(PULL_FUND="N","",IF(COUNTIFS('Fund History'!$G$194:$G$198,"&gt;="&amp;DATE(YEAR_Y-2,1,1),'Fund History'!$G$194:$G$198,"&lt;="&amp;DATE(YEAR_Y-2,12,31))=0,"",SUMIFS('Fund History'!$H$194:$H$198,'Fund History'!$G$194:$G$198,"&gt;="&amp;DATE(YEAR_Y-2,1,1),'Fund History'!$G$194:$G$198,"&lt;="&amp;DATE(YEAR_Y-2,12,31))/100)))</f>
        <v/>
      </c>
      <c r="AF43" s="73">
        <f>IF($C43="","",IF(PULL_FUND="N","",IF(COUNTIFS('Fund History'!$G$194:$G$198,"&gt;="&amp;DATE(YEAR_Y-1,1,1),'Fund History'!$G$194:$G$198,"&lt;="&amp;DATE(YEAR_Y-1,12,31))=0,"",SUMIFS('Fund History'!$H$194:$H$198,'Fund History'!$G$194:$G$198,"&gt;="&amp;DATE(YEAR_Y-1,1,1),'Fund History'!$G$194:$G$198,"&lt;="&amp;DATE(YEAR_Y-1,12,31))/100)))</f>
        <v/>
      </c>
      <c r="AG43" s="74">
        <f>IF($C43="","",IF(N($AF43)+N(HSI!$I$38)=0,"",N($AF43)+N(HSI!$I$38)/100))</f>
        <v/>
      </c>
      <c r="AH43" s="66">
        <f>IF($C43="","",IF(PULL_FUND="N","",IF(COUNTIFS('Fund History'!$D$194:$D$198,"&gt;="&amp;DATE(YEAR_Y-2,1,1),'Fund History'!$D$194:$D$198,"&lt;="&amp;DATE(YEAR_Y-2,12,31))=0,"",SUMIFS('Fund History'!$E$194:$E$198,'Fund History'!$D$194:$D$198,"&gt;="&amp;DATE(YEAR_Y-2,1,1),'Fund History'!$D$194:$D$198,"&lt;="&amp;DATE(YEAR_Y-2,12,31)))))</f>
        <v/>
      </c>
      <c r="AI43" s="67">
        <f>IF($C43="","",IF(PULL_FUND="N","",IF(COUNTIFS('Fund History'!$D$194:$D$198,"&gt;="&amp;DATE(YEAR_Y-1,1,1),'Fund History'!$D$194:$D$198,"&lt;="&amp;DATE(YEAR_Y-1,12,31))=0,"",SUMIFS('Fund History'!$E$194:$E$198,'Fund History'!$D$194:$D$198,"&gt;="&amp;DATE(YEAR_Y-1,1,1),'Fund History'!$D$194:$D$198,"&lt;="&amp;DATE(YEAR_Y-1,12,31)))))</f>
        <v/>
      </c>
      <c r="AJ43" s="67">
        <f>IF($C43="","",IF(PULL_FUND="N","",IFERROR(BDP($C43,NDEBITDA_FIELD),"")))</f>
        <v/>
      </c>
      <c r="AK43" s="75">
        <f>IF($C43="","",IF(PULL_FUND="N","",IFERROR(BDP($C43,EBINT_FIELD),"")))</f>
        <v/>
      </c>
      <c r="AL43" s="73">
        <f>IF($C43="","",IF(PULL_FUND="N","",IFERROR(BDP($C43,FCF_FIELD)/100,"")))</f>
        <v/>
      </c>
      <c r="AM43" s="76">
        <f>IF($C43="","",IF(ISNUMBER(HSI!$I$38),HSI!$I$38/100,""))</f>
        <v/>
      </c>
      <c r="AN43" s="47">
        <f>IF($C43="","",IF(N($AM43)=0,"",IFERROR($AL43/$AM43,"")))</f>
        <v/>
      </c>
      <c r="AO43" s="33">
        <f>IF($C43="","",IF(ISNUMBER($S43)*ISNUMBER($W43)=0,"",IF($W43&gt;$S43+0.05,"rising",IF($W43&lt;$S43-0.05,"falling","stable"))))</f>
        <v/>
      </c>
      <c r="AP43" s="77">
        <f>IF($C43="","",TRIM(IF(ISNUMBER($X43)*(N($X43)&gt;$D$4)&gt;0,"payout high  ","")&amp;IF(ISNUMBER($AN43)*(N($AN43)&lt;$F$4)&gt;0,"FCF below dvd  ","")&amp;IF(ISNUMBER($AJ43)*(N($AJ43)&gt;$H$4)&gt;0,"leverage high","")))</f>
        <v/>
      </c>
      <c r="AQ43" s="78">
        <f>IF($C43="","",IF(HSI!$F$38="HKD","",HSI!$F$38))</f>
        <v/>
      </c>
    </row>
    <row r="44">
      <c r="B44" s="62" t="inlineStr">
        <is>
          <t>HSI</t>
        </is>
      </c>
      <c r="C44" s="6">
        <f>IF(HSI!$C$39="","",HSI!$C$39)</f>
        <v/>
      </c>
      <c r="D44" s="6">
        <f>IF($C44="","",HSI!$D$39)</f>
        <v/>
      </c>
      <c r="E44" s="6">
        <f>IF($C44="","",HSI!$E$39)</f>
        <v/>
      </c>
      <c r="F44" s="63">
        <f>IF($C44="","",SUMPRODUCT(('Dvd Calendar'!$E$363:$AR$363&gt;=DATE(YEAR_Y-5,1,1))*('Dvd Calendar'!$E$363:$AR$363&lt;=DATE(YEAR_Y-5,12,31))*'Dvd Calendar'!$E$366:$AR$366*(('Dvd Calendar'!$E$368:$AR$368=TYPE1)*(TYPE1&lt;&gt;"")+('Dvd Calendar'!$E$368:$AR$368=TYPE2)*(TYPE2&lt;&gt;"")+('Dvd Calendar'!$E$368:$AR$368=TYPE3)*(TYPE3&lt;&gt;"")+('Dvd Calendar'!$E$368:$AR$368=TYPE4)*(TYPE4&lt;&gt;"")+('Dvd Calendar'!$E$368:$AR$368=SPECIAL_LBL)*(INC_SPECIALS="Y"))))</f>
        <v/>
      </c>
      <c r="G44" s="64">
        <f>IF($C44="","",SUMPRODUCT(('Dvd Calendar'!$E$363:$AR$363&gt;=DATE(YEAR_Y-4,1,1))*('Dvd Calendar'!$E$363:$AR$363&lt;=DATE(YEAR_Y-4,12,31))*'Dvd Calendar'!$E$366:$AR$366*(('Dvd Calendar'!$E$368:$AR$368=TYPE1)*(TYPE1&lt;&gt;"")+('Dvd Calendar'!$E$368:$AR$368=TYPE2)*(TYPE2&lt;&gt;"")+('Dvd Calendar'!$E$368:$AR$368=TYPE3)*(TYPE3&lt;&gt;"")+('Dvd Calendar'!$E$368:$AR$368=TYPE4)*(TYPE4&lt;&gt;"")+('Dvd Calendar'!$E$368:$AR$368=SPECIAL_LBL)*(INC_SPECIALS="Y"))))</f>
        <v/>
      </c>
      <c r="H44" s="64">
        <f>IF($C44="","",SUMPRODUCT(('Dvd Calendar'!$E$363:$AR$363&gt;=DATE(YEAR_Y-3,1,1))*('Dvd Calendar'!$E$363:$AR$363&lt;=DATE(YEAR_Y-3,12,31))*'Dvd Calendar'!$E$366:$AR$366*(('Dvd Calendar'!$E$368:$AR$368=TYPE1)*(TYPE1&lt;&gt;"")+('Dvd Calendar'!$E$368:$AR$368=TYPE2)*(TYPE2&lt;&gt;"")+('Dvd Calendar'!$E$368:$AR$368=TYPE3)*(TYPE3&lt;&gt;"")+('Dvd Calendar'!$E$368:$AR$368=TYPE4)*(TYPE4&lt;&gt;"")+('Dvd Calendar'!$E$368:$AR$368=SPECIAL_LBL)*(INC_SPECIALS="Y"))))</f>
        <v/>
      </c>
      <c r="I44" s="64">
        <f>IF($C44="","",SUMPRODUCT(('Dvd Calendar'!$E$363:$AR$363&gt;=DATE(YEAR_Y-2,1,1))*('Dvd Calendar'!$E$363:$AR$363&lt;=DATE(YEAR_Y-2,12,31))*'Dvd Calendar'!$E$366:$AR$366*(('Dvd Calendar'!$E$368:$AR$368=TYPE1)*(TYPE1&lt;&gt;"")+('Dvd Calendar'!$E$368:$AR$368=TYPE2)*(TYPE2&lt;&gt;"")+('Dvd Calendar'!$E$368:$AR$368=TYPE3)*(TYPE3&lt;&gt;"")+('Dvd Calendar'!$E$368:$AR$368=TYPE4)*(TYPE4&lt;&gt;"")+('Dvd Calendar'!$E$368:$AR$368=SPECIAL_LBL)*(INC_SPECIALS="Y"))))</f>
        <v/>
      </c>
      <c r="J44" s="64">
        <f>IF($C44="","",SUMPRODUCT(('Dvd Calendar'!$E$363:$AR$363&gt;=DATE(YEAR_Y-1,1,1))*('Dvd Calendar'!$E$363:$AR$363&lt;=DATE(YEAR_Y-1,12,31))*'Dvd Calendar'!$E$366:$AR$366*(('Dvd Calendar'!$E$368:$AR$368=TYPE1)*(TYPE1&lt;&gt;"")+('Dvd Calendar'!$E$368:$AR$368=TYPE2)*(TYPE2&lt;&gt;"")+('Dvd Calendar'!$E$368:$AR$368=TYPE3)*(TYPE3&lt;&gt;"")+('Dvd Calendar'!$E$368:$AR$368=TYPE4)*(TYPE4&lt;&gt;"")+('Dvd Calendar'!$E$368:$AR$368=SPECIAL_LBL)*(INC_SPECIALS="Y"))))</f>
        <v/>
      </c>
      <c r="K44" s="65">
        <f>IF($C44="","",HSI!$J$39)</f>
        <v/>
      </c>
      <c r="L44" s="65">
        <f>IF($C44="","",HSI!$K$39)</f>
        <v/>
      </c>
      <c r="M44" s="41">
        <f>IF($C44="","",AVERAGE(F44:J44))</f>
        <v/>
      </c>
      <c r="N44" s="66">
        <f>IF($C44="","",IF(PULL_FUND="N","",IFERROR(BDP($C44,EPS_FIELD,YR_OVERRIDE,TEXT(YEAR_Y-5,"0")),"")))</f>
        <v/>
      </c>
      <c r="O44" s="67">
        <f>IF($C44="","",IF(PULL_FUND="N","",IFERROR(BDP($C44,EPS_FIELD,YR_OVERRIDE,TEXT(YEAR_Y-4,"0")),"")))</f>
        <v/>
      </c>
      <c r="P44" s="67">
        <f>IF($C44="","",IF(PULL_FUND="N","",IFERROR(BDP($C44,EPS_FIELD,YR_OVERRIDE,TEXT(YEAR_Y-3,"0")),"")))</f>
        <v/>
      </c>
      <c r="Q44" s="67">
        <f>IF($C44="","",IF(PULL_FUND="N","",IFERROR(BDP($C44,EPS_FIELD,YR_OVERRIDE,TEXT(YEAR_Y-2,"0")),"")))</f>
        <v/>
      </c>
      <c r="R44" s="67">
        <f>IF($C44="","",IF(PULL_FUND="N","",IFERROR(BDP($C44,EPS_FIELD,YR_OVERRIDE,TEXT(YEAR_Y-1,"0")),"")))</f>
        <v/>
      </c>
      <c r="S44" s="68">
        <f>IF($C44="","",IF(PULL_FUND="N","",IFERROR(BDP($C44,PAYOUT_FIELD,YR_OVERRIDE,TEXT(YEAR_Y-5,"0"))/100,"")))</f>
        <v/>
      </c>
      <c r="T44" s="68">
        <f>IF($C44="","",IF(PULL_FUND="N","",IFERROR(BDP($C44,PAYOUT_FIELD,YR_OVERRIDE,TEXT(YEAR_Y-4,"0"))/100,"")))</f>
        <v/>
      </c>
      <c r="U44" s="68">
        <f>IF($C44="","",IF(PULL_FUND="N","",IFERROR(BDP($C44,PAYOUT_FIELD,YR_OVERRIDE,TEXT(YEAR_Y-3,"0"))/100,"")))</f>
        <v/>
      </c>
      <c r="V44" s="68">
        <f>IF($C44="","",IF(PULL_FUND="N","",IFERROR(BDP($C44,PAYOUT_FIELD,YR_OVERRIDE,TEXT(YEAR_Y-2,"0"))/100,"")))</f>
        <v/>
      </c>
      <c r="W44" s="68">
        <f>IF($C44="","",IF(PULL_FUND="N","",IFERROR(BDP($C44,PAYOUT_FIELD,YR_OVERRIDE,TEXT(YEAR_Y-1,"0"))/100,"")))</f>
        <v/>
      </c>
      <c r="X44" s="69">
        <f>IF($C44="","",IFERROR(AVERAGE(S44:W44),""))</f>
        <v/>
      </c>
      <c r="Y44" s="66">
        <f>IF($C44="","",IF(PULL_FUND="N","",IFERROR(BDP($C44,BESTEPS_FIELD,FWD_OVERRIDE,TEXT(MOD(YEAR_Y,100),"00")&amp;"Y"),"")))</f>
        <v/>
      </c>
      <c r="Z44" s="70">
        <f>IF($C44="","",IF(PULL_FUND="N","",IFERROR(BDP($C44,BESTDPS_FIELD,FWD_OVERRIDE,TEXT(MOD(YEAR_Y,100),"00")&amp;"Y"),"")))</f>
        <v/>
      </c>
      <c r="AA44" s="71">
        <f>IF($C44="","",IF(ISNUMBER($Y44)*ISNUMBER($Z44)*($Y44&lt;&gt;0)=0,"",$Z44/$Y44))</f>
        <v/>
      </c>
      <c r="AB44" s="41">
        <f>IF($C44="","",HSI!$J$39+HSI!$L$39)</f>
        <v/>
      </c>
      <c r="AC44" s="72">
        <f>IF($C44="","",IF(PULL_FUND="N","",IF(COUNTIFS('Fund History'!$G$200:$G$204,"&gt;="&amp;DATE(YEAR_Y-4,1,1),'Fund History'!$G$200:$G$204,"&lt;="&amp;DATE(YEAR_Y-4,12,31))=0,"",SUMIFS('Fund History'!$H$200:$H$204,'Fund History'!$G$200:$G$204,"&gt;="&amp;DATE(YEAR_Y-4,1,1),'Fund History'!$G$200:$G$204,"&lt;="&amp;DATE(YEAR_Y-4,12,31))/100)))</f>
        <v/>
      </c>
      <c r="AD44" s="73">
        <f>IF($C44="","",IF(PULL_FUND="N","",IF(COUNTIFS('Fund History'!$G$200:$G$204,"&gt;="&amp;DATE(YEAR_Y-3,1,1),'Fund History'!$G$200:$G$204,"&lt;="&amp;DATE(YEAR_Y-3,12,31))=0,"",SUMIFS('Fund History'!$H$200:$H$204,'Fund History'!$G$200:$G$204,"&gt;="&amp;DATE(YEAR_Y-3,1,1),'Fund History'!$G$200:$G$204,"&lt;="&amp;DATE(YEAR_Y-3,12,31))/100)))</f>
        <v/>
      </c>
      <c r="AE44" s="73">
        <f>IF($C44="","",IF(PULL_FUND="N","",IF(COUNTIFS('Fund History'!$G$200:$G$204,"&gt;="&amp;DATE(YEAR_Y-2,1,1),'Fund History'!$G$200:$G$204,"&lt;="&amp;DATE(YEAR_Y-2,12,31))=0,"",SUMIFS('Fund History'!$H$200:$H$204,'Fund History'!$G$200:$G$204,"&gt;="&amp;DATE(YEAR_Y-2,1,1),'Fund History'!$G$200:$G$204,"&lt;="&amp;DATE(YEAR_Y-2,12,31))/100)))</f>
        <v/>
      </c>
      <c r="AF44" s="73">
        <f>IF($C44="","",IF(PULL_FUND="N","",IF(COUNTIFS('Fund History'!$G$200:$G$204,"&gt;="&amp;DATE(YEAR_Y-1,1,1),'Fund History'!$G$200:$G$204,"&lt;="&amp;DATE(YEAR_Y-1,12,31))=0,"",SUMIFS('Fund History'!$H$200:$H$204,'Fund History'!$G$200:$G$204,"&gt;="&amp;DATE(YEAR_Y-1,1,1),'Fund History'!$G$200:$G$204,"&lt;="&amp;DATE(YEAR_Y-1,12,31))/100)))</f>
        <v/>
      </c>
      <c r="AG44" s="74">
        <f>IF($C44="","",IF(N($AF44)+N(HSI!$I$39)=0,"",N($AF44)+N(HSI!$I$39)/100))</f>
        <v/>
      </c>
      <c r="AH44" s="66">
        <f>IF($C44="","",IF(PULL_FUND="N","",IF(COUNTIFS('Fund History'!$D$200:$D$204,"&gt;="&amp;DATE(YEAR_Y-2,1,1),'Fund History'!$D$200:$D$204,"&lt;="&amp;DATE(YEAR_Y-2,12,31))=0,"",SUMIFS('Fund History'!$E$200:$E$204,'Fund History'!$D$200:$D$204,"&gt;="&amp;DATE(YEAR_Y-2,1,1),'Fund History'!$D$200:$D$204,"&lt;="&amp;DATE(YEAR_Y-2,12,31)))))</f>
        <v/>
      </c>
      <c r="AI44" s="67">
        <f>IF($C44="","",IF(PULL_FUND="N","",IF(COUNTIFS('Fund History'!$D$200:$D$204,"&gt;="&amp;DATE(YEAR_Y-1,1,1),'Fund History'!$D$200:$D$204,"&lt;="&amp;DATE(YEAR_Y-1,12,31))=0,"",SUMIFS('Fund History'!$E$200:$E$204,'Fund History'!$D$200:$D$204,"&gt;="&amp;DATE(YEAR_Y-1,1,1),'Fund History'!$D$200:$D$204,"&lt;="&amp;DATE(YEAR_Y-1,12,31)))))</f>
        <v/>
      </c>
      <c r="AJ44" s="67">
        <f>IF($C44="","",IF(PULL_FUND="N","",IFERROR(BDP($C44,NDEBITDA_FIELD),"")))</f>
        <v/>
      </c>
      <c r="AK44" s="75">
        <f>IF($C44="","",IF(PULL_FUND="N","",IFERROR(BDP($C44,EBINT_FIELD),"")))</f>
        <v/>
      </c>
      <c r="AL44" s="73">
        <f>IF($C44="","",IF(PULL_FUND="N","",IFERROR(BDP($C44,FCF_FIELD)/100,"")))</f>
        <v/>
      </c>
      <c r="AM44" s="76">
        <f>IF($C44="","",IF(ISNUMBER(HSI!$I$39),HSI!$I$39/100,""))</f>
        <v/>
      </c>
      <c r="AN44" s="47">
        <f>IF($C44="","",IF(N($AM44)=0,"",IFERROR($AL44/$AM44,"")))</f>
        <v/>
      </c>
      <c r="AO44" s="33">
        <f>IF($C44="","",IF(ISNUMBER($S44)*ISNUMBER($W44)=0,"",IF($W44&gt;$S44+0.05,"rising",IF($W44&lt;$S44-0.05,"falling","stable"))))</f>
        <v/>
      </c>
      <c r="AP44" s="77">
        <f>IF($C44="","",TRIM(IF(ISNUMBER($X44)*(N($X44)&gt;$D$4)&gt;0,"payout high  ","")&amp;IF(ISNUMBER($AN44)*(N($AN44)&lt;$F$4)&gt;0,"FCF below dvd  ","")&amp;IF(ISNUMBER($AJ44)*(N($AJ44)&gt;$H$4)&gt;0,"leverage high","")))</f>
        <v/>
      </c>
      <c r="AQ44" s="78">
        <f>IF($C44="","",IF(HSI!$F$39="HKD","",HSI!$F$39))</f>
        <v/>
      </c>
    </row>
    <row r="45">
      <c r="B45" s="62" t="inlineStr">
        <is>
          <t>HSI</t>
        </is>
      </c>
      <c r="C45" s="6">
        <f>IF(HSI!$C$40="","",HSI!$C$40)</f>
        <v/>
      </c>
      <c r="D45" s="6">
        <f>IF($C45="","",HSI!$D$40)</f>
        <v/>
      </c>
      <c r="E45" s="6">
        <f>IF($C45="","",HSI!$E$40)</f>
        <v/>
      </c>
      <c r="F45" s="63">
        <f>IF($C45="","",SUMPRODUCT(('Dvd Calendar'!$E$374:$AR$374&gt;=DATE(YEAR_Y-5,1,1))*('Dvd Calendar'!$E$374:$AR$374&lt;=DATE(YEAR_Y-5,12,31))*'Dvd Calendar'!$E$377:$AR$377*(('Dvd Calendar'!$E$379:$AR$379=TYPE1)*(TYPE1&lt;&gt;"")+('Dvd Calendar'!$E$379:$AR$379=TYPE2)*(TYPE2&lt;&gt;"")+('Dvd Calendar'!$E$379:$AR$379=TYPE3)*(TYPE3&lt;&gt;"")+('Dvd Calendar'!$E$379:$AR$379=TYPE4)*(TYPE4&lt;&gt;"")+('Dvd Calendar'!$E$379:$AR$379=SPECIAL_LBL)*(INC_SPECIALS="Y"))))</f>
        <v/>
      </c>
      <c r="G45" s="64">
        <f>IF($C45="","",SUMPRODUCT(('Dvd Calendar'!$E$374:$AR$374&gt;=DATE(YEAR_Y-4,1,1))*('Dvd Calendar'!$E$374:$AR$374&lt;=DATE(YEAR_Y-4,12,31))*'Dvd Calendar'!$E$377:$AR$377*(('Dvd Calendar'!$E$379:$AR$379=TYPE1)*(TYPE1&lt;&gt;"")+('Dvd Calendar'!$E$379:$AR$379=TYPE2)*(TYPE2&lt;&gt;"")+('Dvd Calendar'!$E$379:$AR$379=TYPE3)*(TYPE3&lt;&gt;"")+('Dvd Calendar'!$E$379:$AR$379=TYPE4)*(TYPE4&lt;&gt;"")+('Dvd Calendar'!$E$379:$AR$379=SPECIAL_LBL)*(INC_SPECIALS="Y"))))</f>
        <v/>
      </c>
      <c r="H45" s="64">
        <f>IF($C45="","",SUMPRODUCT(('Dvd Calendar'!$E$374:$AR$374&gt;=DATE(YEAR_Y-3,1,1))*('Dvd Calendar'!$E$374:$AR$374&lt;=DATE(YEAR_Y-3,12,31))*'Dvd Calendar'!$E$377:$AR$377*(('Dvd Calendar'!$E$379:$AR$379=TYPE1)*(TYPE1&lt;&gt;"")+('Dvd Calendar'!$E$379:$AR$379=TYPE2)*(TYPE2&lt;&gt;"")+('Dvd Calendar'!$E$379:$AR$379=TYPE3)*(TYPE3&lt;&gt;"")+('Dvd Calendar'!$E$379:$AR$379=TYPE4)*(TYPE4&lt;&gt;"")+('Dvd Calendar'!$E$379:$AR$379=SPECIAL_LBL)*(INC_SPECIALS="Y"))))</f>
        <v/>
      </c>
      <c r="I45" s="64">
        <f>IF($C45="","",SUMPRODUCT(('Dvd Calendar'!$E$374:$AR$374&gt;=DATE(YEAR_Y-2,1,1))*('Dvd Calendar'!$E$374:$AR$374&lt;=DATE(YEAR_Y-2,12,31))*'Dvd Calendar'!$E$377:$AR$377*(('Dvd Calendar'!$E$379:$AR$379=TYPE1)*(TYPE1&lt;&gt;"")+('Dvd Calendar'!$E$379:$AR$379=TYPE2)*(TYPE2&lt;&gt;"")+('Dvd Calendar'!$E$379:$AR$379=TYPE3)*(TYPE3&lt;&gt;"")+('Dvd Calendar'!$E$379:$AR$379=TYPE4)*(TYPE4&lt;&gt;"")+('Dvd Calendar'!$E$379:$AR$379=SPECIAL_LBL)*(INC_SPECIALS="Y"))))</f>
        <v/>
      </c>
      <c r="J45" s="64">
        <f>IF($C45="","",SUMPRODUCT(('Dvd Calendar'!$E$374:$AR$374&gt;=DATE(YEAR_Y-1,1,1))*('Dvd Calendar'!$E$374:$AR$374&lt;=DATE(YEAR_Y-1,12,31))*'Dvd Calendar'!$E$377:$AR$377*(('Dvd Calendar'!$E$379:$AR$379=TYPE1)*(TYPE1&lt;&gt;"")+('Dvd Calendar'!$E$379:$AR$379=TYPE2)*(TYPE2&lt;&gt;"")+('Dvd Calendar'!$E$379:$AR$379=TYPE3)*(TYPE3&lt;&gt;"")+('Dvd Calendar'!$E$379:$AR$379=TYPE4)*(TYPE4&lt;&gt;"")+('Dvd Calendar'!$E$379:$AR$379=SPECIAL_LBL)*(INC_SPECIALS="Y"))))</f>
        <v/>
      </c>
      <c r="K45" s="65">
        <f>IF($C45="","",HSI!$J$40)</f>
        <v/>
      </c>
      <c r="L45" s="65">
        <f>IF($C45="","",HSI!$K$40)</f>
        <v/>
      </c>
      <c r="M45" s="41">
        <f>IF($C45="","",AVERAGE(F45:J45))</f>
        <v/>
      </c>
      <c r="N45" s="66">
        <f>IF($C45="","",IF(PULL_FUND="N","",IFERROR(BDP($C45,EPS_FIELD,YR_OVERRIDE,TEXT(YEAR_Y-5,"0")),"")))</f>
        <v/>
      </c>
      <c r="O45" s="67">
        <f>IF($C45="","",IF(PULL_FUND="N","",IFERROR(BDP($C45,EPS_FIELD,YR_OVERRIDE,TEXT(YEAR_Y-4,"0")),"")))</f>
        <v/>
      </c>
      <c r="P45" s="67">
        <f>IF($C45="","",IF(PULL_FUND="N","",IFERROR(BDP($C45,EPS_FIELD,YR_OVERRIDE,TEXT(YEAR_Y-3,"0")),"")))</f>
        <v/>
      </c>
      <c r="Q45" s="67">
        <f>IF($C45="","",IF(PULL_FUND="N","",IFERROR(BDP($C45,EPS_FIELD,YR_OVERRIDE,TEXT(YEAR_Y-2,"0")),"")))</f>
        <v/>
      </c>
      <c r="R45" s="67">
        <f>IF($C45="","",IF(PULL_FUND="N","",IFERROR(BDP($C45,EPS_FIELD,YR_OVERRIDE,TEXT(YEAR_Y-1,"0")),"")))</f>
        <v/>
      </c>
      <c r="S45" s="68">
        <f>IF($C45="","",IF(PULL_FUND="N","",IFERROR(BDP($C45,PAYOUT_FIELD,YR_OVERRIDE,TEXT(YEAR_Y-5,"0"))/100,"")))</f>
        <v/>
      </c>
      <c r="T45" s="68">
        <f>IF($C45="","",IF(PULL_FUND="N","",IFERROR(BDP($C45,PAYOUT_FIELD,YR_OVERRIDE,TEXT(YEAR_Y-4,"0"))/100,"")))</f>
        <v/>
      </c>
      <c r="U45" s="68">
        <f>IF($C45="","",IF(PULL_FUND="N","",IFERROR(BDP($C45,PAYOUT_FIELD,YR_OVERRIDE,TEXT(YEAR_Y-3,"0"))/100,"")))</f>
        <v/>
      </c>
      <c r="V45" s="68">
        <f>IF($C45="","",IF(PULL_FUND="N","",IFERROR(BDP($C45,PAYOUT_FIELD,YR_OVERRIDE,TEXT(YEAR_Y-2,"0"))/100,"")))</f>
        <v/>
      </c>
      <c r="W45" s="68">
        <f>IF($C45="","",IF(PULL_FUND="N","",IFERROR(BDP($C45,PAYOUT_FIELD,YR_OVERRIDE,TEXT(YEAR_Y-1,"0"))/100,"")))</f>
        <v/>
      </c>
      <c r="X45" s="69">
        <f>IF($C45="","",IFERROR(AVERAGE(S45:W45),""))</f>
        <v/>
      </c>
      <c r="Y45" s="66">
        <f>IF($C45="","",IF(PULL_FUND="N","",IFERROR(BDP($C45,BESTEPS_FIELD,FWD_OVERRIDE,TEXT(MOD(YEAR_Y,100),"00")&amp;"Y"),"")))</f>
        <v/>
      </c>
      <c r="Z45" s="70">
        <f>IF($C45="","",IF(PULL_FUND="N","",IFERROR(BDP($C45,BESTDPS_FIELD,FWD_OVERRIDE,TEXT(MOD(YEAR_Y,100),"00")&amp;"Y"),"")))</f>
        <v/>
      </c>
      <c r="AA45" s="71">
        <f>IF($C45="","",IF(ISNUMBER($Y45)*ISNUMBER($Z45)*($Y45&lt;&gt;0)=0,"",$Z45/$Y45))</f>
        <v/>
      </c>
      <c r="AB45" s="41">
        <f>IF($C45="","",HSI!$J$40+HSI!$L$40)</f>
        <v/>
      </c>
      <c r="AC45" s="72">
        <f>IF($C45="","",IF(PULL_FUND="N","",IF(COUNTIFS('Fund History'!$G$206:$G$210,"&gt;="&amp;DATE(YEAR_Y-4,1,1),'Fund History'!$G$206:$G$210,"&lt;="&amp;DATE(YEAR_Y-4,12,31))=0,"",SUMIFS('Fund History'!$H$206:$H$210,'Fund History'!$G$206:$G$210,"&gt;="&amp;DATE(YEAR_Y-4,1,1),'Fund History'!$G$206:$G$210,"&lt;="&amp;DATE(YEAR_Y-4,12,31))/100)))</f>
        <v/>
      </c>
      <c r="AD45" s="73">
        <f>IF($C45="","",IF(PULL_FUND="N","",IF(COUNTIFS('Fund History'!$G$206:$G$210,"&gt;="&amp;DATE(YEAR_Y-3,1,1),'Fund History'!$G$206:$G$210,"&lt;="&amp;DATE(YEAR_Y-3,12,31))=0,"",SUMIFS('Fund History'!$H$206:$H$210,'Fund History'!$G$206:$G$210,"&gt;="&amp;DATE(YEAR_Y-3,1,1),'Fund History'!$G$206:$G$210,"&lt;="&amp;DATE(YEAR_Y-3,12,31))/100)))</f>
        <v/>
      </c>
      <c r="AE45" s="73">
        <f>IF($C45="","",IF(PULL_FUND="N","",IF(COUNTIFS('Fund History'!$G$206:$G$210,"&gt;="&amp;DATE(YEAR_Y-2,1,1),'Fund History'!$G$206:$G$210,"&lt;="&amp;DATE(YEAR_Y-2,12,31))=0,"",SUMIFS('Fund History'!$H$206:$H$210,'Fund History'!$G$206:$G$210,"&gt;="&amp;DATE(YEAR_Y-2,1,1),'Fund History'!$G$206:$G$210,"&lt;="&amp;DATE(YEAR_Y-2,12,31))/100)))</f>
        <v/>
      </c>
      <c r="AF45" s="73">
        <f>IF($C45="","",IF(PULL_FUND="N","",IF(COUNTIFS('Fund History'!$G$206:$G$210,"&gt;="&amp;DATE(YEAR_Y-1,1,1),'Fund History'!$G$206:$G$210,"&lt;="&amp;DATE(YEAR_Y-1,12,31))=0,"",SUMIFS('Fund History'!$H$206:$H$210,'Fund History'!$G$206:$G$210,"&gt;="&amp;DATE(YEAR_Y-1,1,1),'Fund History'!$G$206:$G$210,"&lt;="&amp;DATE(YEAR_Y-1,12,31))/100)))</f>
        <v/>
      </c>
      <c r="AG45" s="74">
        <f>IF($C45="","",IF(N($AF45)+N(HSI!$I$40)=0,"",N($AF45)+N(HSI!$I$40)/100))</f>
        <v/>
      </c>
      <c r="AH45" s="66">
        <f>IF($C45="","",IF(PULL_FUND="N","",IF(COUNTIFS('Fund History'!$D$206:$D$210,"&gt;="&amp;DATE(YEAR_Y-2,1,1),'Fund History'!$D$206:$D$210,"&lt;="&amp;DATE(YEAR_Y-2,12,31))=0,"",SUMIFS('Fund History'!$E$206:$E$210,'Fund History'!$D$206:$D$210,"&gt;="&amp;DATE(YEAR_Y-2,1,1),'Fund History'!$D$206:$D$210,"&lt;="&amp;DATE(YEAR_Y-2,12,31)))))</f>
        <v/>
      </c>
      <c r="AI45" s="67">
        <f>IF($C45="","",IF(PULL_FUND="N","",IF(COUNTIFS('Fund History'!$D$206:$D$210,"&gt;="&amp;DATE(YEAR_Y-1,1,1),'Fund History'!$D$206:$D$210,"&lt;="&amp;DATE(YEAR_Y-1,12,31))=0,"",SUMIFS('Fund History'!$E$206:$E$210,'Fund History'!$D$206:$D$210,"&gt;="&amp;DATE(YEAR_Y-1,1,1),'Fund History'!$D$206:$D$210,"&lt;="&amp;DATE(YEAR_Y-1,12,31)))))</f>
        <v/>
      </c>
      <c r="AJ45" s="67">
        <f>IF($C45="","",IF(PULL_FUND="N","",IFERROR(BDP($C45,NDEBITDA_FIELD),"")))</f>
        <v/>
      </c>
      <c r="AK45" s="75">
        <f>IF($C45="","",IF(PULL_FUND="N","",IFERROR(BDP($C45,EBINT_FIELD),"")))</f>
        <v/>
      </c>
      <c r="AL45" s="73">
        <f>IF($C45="","",IF(PULL_FUND="N","",IFERROR(BDP($C45,FCF_FIELD)/100,"")))</f>
        <v/>
      </c>
      <c r="AM45" s="76">
        <f>IF($C45="","",IF(ISNUMBER(HSI!$I$40),HSI!$I$40/100,""))</f>
        <v/>
      </c>
      <c r="AN45" s="47">
        <f>IF($C45="","",IF(N($AM45)=0,"",IFERROR($AL45/$AM45,"")))</f>
        <v/>
      </c>
      <c r="AO45" s="33">
        <f>IF($C45="","",IF(ISNUMBER($S45)*ISNUMBER($W45)=0,"",IF($W45&gt;$S45+0.05,"rising",IF($W45&lt;$S45-0.05,"falling","stable"))))</f>
        <v/>
      </c>
      <c r="AP45" s="77">
        <f>IF($C45="","",TRIM(IF(ISNUMBER($X45)*(N($X45)&gt;$D$4)&gt;0,"payout high  ","")&amp;IF(ISNUMBER($AN45)*(N($AN45)&lt;$F$4)&gt;0,"FCF below dvd  ","")&amp;IF(ISNUMBER($AJ45)*(N($AJ45)&gt;$H$4)&gt;0,"leverage high","")))</f>
        <v/>
      </c>
      <c r="AQ45" s="78">
        <f>IF($C45="","",IF(HSI!$F$40="HKD","",HSI!$F$40))</f>
        <v/>
      </c>
    </row>
    <row r="46">
      <c r="B46" s="62" t="inlineStr">
        <is>
          <t>HSI</t>
        </is>
      </c>
      <c r="C46" s="6">
        <f>IF(HSI!$C$41="","",HSI!$C$41)</f>
        <v/>
      </c>
      <c r="D46" s="6">
        <f>IF($C46="","",HSI!$D$41)</f>
        <v/>
      </c>
      <c r="E46" s="6">
        <f>IF($C46="","",HSI!$E$41)</f>
        <v/>
      </c>
      <c r="F46" s="63">
        <f>IF($C46="","",SUMPRODUCT(('Dvd Calendar'!$E$385:$AR$385&gt;=DATE(YEAR_Y-5,1,1))*('Dvd Calendar'!$E$385:$AR$385&lt;=DATE(YEAR_Y-5,12,31))*'Dvd Calendar'!$E$388:$AR$388*(('Dvd Calendar'!$E$390:$AR$390=TYPE1)*(TYPE1&lt;&gt;"")+('Dvd Calendar'!$E$390:$AR$390=TYPE2)*(TYPE2&lt;&gt;"")+('Dvd Calendar'!$E$390:$AR$390=TYPE3)*(TYPE3&lt;&gt;"")+('Dvd Calendar'!$E$390:$AR$390=TYPE4)*(TYPE4&lt;&gt;"")+('Dvd Calendar'!$E$390:$AR$390=SPECIAL_LBL)*(INC_SPECIALS="Y"))))</f>
        <v/>
      </c>
      <c r="G46" s="64">
        <f>IF($C46="","",SUMPRODUCT(('Dvd Calendar'!$E$385:$AR$385&gt;=DATE(YEAR_Y-4,1,1))*('Dvd Calendar'!$E$385:$AR$385&lt;=DATE(YEAR_Y-4,12,31))*'Dvd Calendar'!$E$388:$AR$388*(('Dvd Calendar'!$E$390:$AR$390=TYPE1)*(TYPE1&lt;&gt;"")+('Dvd Calendar'!$E$390:$AR$390=TYPE2)*(TYPE2&lt;&gt;"")+('Dvd Calendar'!$E$390:$AR$390=TYPE3)*(TYPE3&lt;&gt;"")+('Dvd Calendar'!$E$390:$AR$390=TYPE4)*(TYPE4&lt;&gt;"")+('Dvd Calendar'!$E$390:$AR$390=SPECIAL_LBL)*(INC_SPECIALS="Y"))))</f>
        <v/>
      </c>
      <c r="H46" s="64">
        <f>IF($C46="","",SUMPRODUCT(('Dvd Calendar'!$E$385:$AR$385&gt;=DATE(YEAR_Y-3,1,1))*('Dvd Calendar'!$E$385:$AR$385&lt;=DATE(YEAR_Y-3,12,31))*'Dvd Calendar'!$E$388:$AR$388*(('Dvd Calendar'!$E$390:$AR$390=TYPE1)*(TYPE1&lt;&gt;"")+('Dvd Calendar'!$E$390:$AR$390=TYPE2)*(TYPE2&lt;&gt;"")+('Dvd Calendar'!$E$390:$AR$390=TYPE3)*(TYPE3&lt;&gt;"")+('Dvd Calendar'!$E$390:$AR$390=TYPE4)*(TYPE4&lt;&gt;"")+('Dvd Calendar'!$E$390:$AR$390=SPECIAL_LBL)*(INC_SPECIALS="Y"))))</f>
        <v/>
      </c>
      <c r="I46" s="64">
        <f>IF($C46="","",SUMPRODUCT(('Dvd Calendar'!$E$385:$AR$385&gt;=DATE(YEAR_Y-2,1,1))*('Dvd Calendar'!$E$385:$AR$385&lt;=DATE(YEAR_Y-2,12,31))*'Dvd Calendar'!$E$388:$AR$388*(('Dvd Calendar'!$E$390:$AR$390=TYPE1)*(TYPE1&lt;&gt;"")+('Dvd Calendar'!$E$390:$AR$390=TYPE2)*(TYPE2&lt;&gt;"")+('Dvd Calendar'!$E$390:$AR$390=TYPE3)*(TYPE3&lt;&gt;"")+('Dvd Calendar'!$E$390:$AR$390=TYPE4)*(TYPE4&lt;&gt;"")+('Dvd Calendar'!$E$390:$AR$390=SPECIAL_LBL)*(INC_SPECIALS="Y"))))</f>
        <v/>
      </c>
      <c r="J46" s="64">
        <f>IF($C46="","",SUMPRODUCT(('Dvd Calendar'!$E$385:$AR$385&gt;=DATE(YEAR_Y-1,1,1))*('Dvd Calendar'!$E$385:$AR$385&lt;=DATE(YEAR_Y-1,12,31))*'Dvd Calendar'!$E$388:$AR$388*(('Dvd Calendar'!$E$390:$AR$390=TYPE1)*(TYPE1&lt;&gt;"")+('Dvd Calendar'!$E$390:$AR$390=TYPE2)*(TYPE2&lt;&gt;"")+('Dvd Calendar'!$E$390:$AR$390=TYPE3)*(TYPE3&lt;&gt;"")+('Dvd Calendar'!$E$390:$AR$390=TYPE4)*(TYPE4&lt;&gt;"")+('Dvd Calendar'!$E$390:$AR$390=SPECIAL_LBL)*(INC_SPECIALS="Y"))))</f>
        <v/>
      </c>
      <c r="K46" s="65">
        <f>IF($C46="","",HSI!$J$41)</f>
        <v/>
      </c>
      <c r="L46" s="65">
        <f>IF($C46="","",HSI!$K$41)</f>
        <v/>
      </c>
      <c r="M46" s="41">
        <f>IF($C46="","",AVERAGE(F46:J46))</f>
        <v/>
      </c>
      <c r="N46" s="66">
        <f>IF($C46="","",IF(PULL_FUND="N","",IFERROR(BDP($C46,EPS_FIELD,YR_OVERRIDE,TEXT(YEAR_Y-5,"0")),"")))</f>
        <v/>
      </c>
      <c r="O46" s="67">
        <f>IF($C46="","",IF(PULL_FUND="N","",IFERROR(BDP($C46,EPS_FIELD,YR_OVERRIDE,TEXT(YEAR_Y-4,"0")),"")))</f>
        <v/>
      </c>
      <c r="P46" s="67">
        <f>IF($C46="","",IF(PULL_FUND="N","",IFERROR(BDP($C46,EPS_FIELD,YR_OVERRIDE,TEXT(YEAR_Y-3,"0")),"")))</f>
        <v/>
      </c>
      <c r="Q46" s="67">
        <f>IF($C46="","",IF(PULL_FUND="N","",IFERROR(BDP($C46,EPS_FIELD,YR_OVERRIDE,TEXT(YEAR_Y-2,"0")),"")))</f>
        <v/>
      </c>
      <c r="R46" s="67">
        <f>IF($C46="","",IF(PULL_FUND="N","",IFERROR(BDP($C46,EPS_FIELD,YR_OVERRIDE,TEXT(YEAR_Y-1,"0")),"")))</f>
        <v/>
      </c>
      <c r="S46" s="68">
        <f>IF($C46="","",IF(PULL_FUND="N","",IFERROR(BDP($C46,PAYOUT_FIELD,YR_OVERRIDE,TEXT(YEAR_Y-5,"0"))/100,"")))</f>
        <v/>
      </c>
      <c r="T46" s="68">
        <f>IF($C46="","",IF(PULL_FUND="N","",IFERROR(BDP($C46,PAYOUT_FIELD,YR_OVERRIDE,TEXT(YEAR_Y-4,"0"))/100,"")))</f>
        <v/>
      </c>
      <c r="U46" s="68">
        <f>IF($C46="","",IF(PULL_FUND="N","",IFERROR(BDP($C46,PAYOUT_FIELD,YR_OVERRIDE,TEXT(YEAR_Y-3,"0"))/100,"")))</f>
        <v/>
      </c>
      <c r="V46" s="68">
        <f>IF($C46="","",IF(PULL_FUND="N","",IFERROR(BDP($C46,PAYOUT_FIELD,YR_OVERRIDE,TEXT(YEAR_Y-2,"0"))/100,"")))</f>
        <v/>
      </c>
      <c r="W46" s="68">
        <f>IF($C46="","",IF(PULL_FUND="N","",IFERROR(BDP($C46,PAYOUT_FIELD,YR_OVERRIDE,TEXT(YEAR_Y-1,"0"))/100,"")))</f>
        <v/>
      </c>
      <c r="X46" s="69">
        <f>IF($C46="","",IFERROR(AVERAGE(S46:W46),""))</f>
        <v/>
      </c>
      <c r="Y46" s="66">
        <f>IF($C46="","",IF(PULL_FUND="N","",IFERROR(BDP($C46,BESTEPS_FIELD,FWD_OVERRIDE,TEXT(MOD(YEAR_Y,100),"00")&amp;"Y"),"")))</f>
        <v/>
      </c>
      <c r="Z46" s="70">
        <f>IF($C46="","",IF(PULL_FUND="N","",IFERROR(BDP($C46,BESTDPS_FIELD,FWD_OVERRIDE,TEXT(MOD(YEAR_Y,100),"00")&amp;"Y"),"")))</f>
        <v/>
      </c>
      <c r="AA46" s="71">
        <f>IF($C46="","",IF(ISNUMBER($Y46)*ISNUMBER($Z46)*($Y46&lt;&gt;0)=0,"",$Z46/$Y46))</f>
        <v/>
      </c>
      <c r="AB46" s="41">
        <f>IF($C46="","",HSI!$J$41+HSI!$L$41)</f>
        <v/>
      </c>
      <c r="AC46" s="72">
        <f>IF($C46="","",IF(PULL_FUND="N","",IF(COUNTIFS('Fund History'!$G$212:$G$216,"&gt;="&amp;DATE(YEAR_Y-4,1,1),'Fund History'!$G$212:$G$216,"&lt;="&amp;DATE(YEAR_Y-4,12,31))=0,"",SUMIFS('Fund History'!$H$212:$H$216,'Fund History'!$G$212:$G$216,"&gt;="&amp;DATE(YEAR_Y-4,1,1),'Fund History'!$G$212:$G$216,"&lt;="&amp;DATE(YEAR_Y-4,12,31))/100)))</f>
        <v/>
      </c>
      <c r="AD46" s="73">
        <f>IF($C46="","",IF(PULL_FUND="N","",IF(COUNTIFS('Fund History'!$G$212:$G$216,"&gt;="&amp;DATE(YEAR_Y-3,1,1),'Fund History'!$G$212:$G$216,"&lt;="&amp;DATE(YEAR_Y-3,12,31))=0,"",SUMIFS('Fund History'!$H$212:$H$216,'Fund History'!$G$212:$G$216,"&gt;="&amp;DATE(YEAR_Y-3,1,1),'Fund History'!$G$212:$G$216,"&lt;="&amp;DATE(YEAR_Y-3,12,31))/100)))</f>
        <v/>
      </c>
      <c r="AE46" s="73">
        <f>IF($C46="","",IF(PULL_FUND="N","",IF(COUNTIFS('Fund History'!$G$212:$G$216,"&gt;="&amp;DATE(YEAR_Y-2,1,1),'Fund History'!$G$212:$G$216,"&lt;="&amp;DATE(YEAR_Y-2,12,31))=0,"",SUMIFS('Fund History'!$H$212:$H$216,'Fund History'!$G$212:$G$216,"&gt;="&amp;DATE(YEAR_Y-2,1,1),'Fund History'!$G$212:$G$216,"&lt;="&amp;DATE(YEAR_Y-2,12,31))/100)))</f>
        <v/>
      </c>
      <c r="AF46" s="73">
        <f>IF($C46="","",IF(PULL_FUND="N","",IF(COUNTIFS('Fund History'!$G$212:$G$216,"&gt;="&amp;DATE(YEAR_Y-1,1,1),'Fund History'!$G$212:$G$216,"&lt;="&amp;DATE(YEAR_Y-1,12,31))=0,"",SUMIFS('Fund History'!$H$212:$H$216,'Fund History'!$G$212:$G$216,"&gt;="&amp;DATE(YEAR_Y-1,1,1),'Fund History'!$G$212:$G$216,"&lt;="&amp;DATE(YEAR_Y-1,12,31))/100)))</f>
        <v/>
      </c>
      <c r="AG46" s="74">
        <f>IF($C46="","",IF(N($AF46)+N(HSI!$I$41)=0,"",N($AF46)+N(HSI!$I$41)/100))</f>
        <v/>
      </c>
      <c r="AH46" s="66">
        <f>IF($C46="","",IF(PULL_FUND="N","",IF(COUNTIFS('Fund History'!$D$212:$D$216,"&gt;="&amp;DATE(YEAR_Y-2,1,1),'Fund History'!$D$212:$D$216,"&lt;="&amp;DATE(YEAR_Y-2,12,31))=0,"",SUMIFS('Fund History'!$E$212:$E$216,'Fund History'!$D$212:$D$216,"&gt;="&amp;DATE(YEAR_Y-2,1,1),'Fund History'!$D$212:$D$216,"&lt;="&amp;DATE(YEAR_Y-2,12,31)))))</f>
        <v/>
      </c>
      <c r="AI46" s="67">
        <f>IF($C46="","",IF(PULL_FUND="N","",IF(COUNTIFS('Fund History'!$D$212:$D$216,"&gt;="&amp;DATE(YEAR_Y-1,1,1),'Fund History'!$D$212:$D$216,"&lt;="&amp;DATE(YEAR_Y-1,12,31))=0,"",SUMIFS('Fund History'!$E$212:$E$216,'Fund History'!$D$212:$D$216,"&gt;="&amp;DATE(YEAR_Y-1,1,1),'Fund History'!$D$212:$D$216,"&lt;="&amp;DATE(YEAR_Y-1,12,31)))))</f>
        <v/>
      </c>
      <c r="AJ46" s="67">
        <f>IF($C46="","",IF(PULL_FUND="N","",IFERROR(BDP($C46,NDEBITDA_FIELD),"")))</f>
        <v/>
      </c>
      <c r="AK46" s="75">
        <f>IF($C46="","",IF(PULL_FUND="N","",IFERROR(BDP($C46,EBINT_FIELD),"")))</f>
        <v/>
      </c>
      <c r="AL46" s="73">
        <f>IF($C46="","",IF(PULL_FUND="N","",IFERROR(BDP($C46,FCF_FIELD)/100,"")))</f>
        <v/>
      </c>
      <c r="AM46" s="76">
        <f>IF($C46="","",IF(ISNUMBER(HSI!$I$41),HSI!$I$41/100,""))</f>
        <v/>
      </c>
      <c r="AN46" s="47">
        <f>IF($C46="","",IF(N($AM46)=0,"",IFERROR($AL46/$AM46,"")))</f>
        <v/>
      </c>
      <c r="AO46" s="33">
        <f>IF($C46="","",IF(ISNUMBER($S46)*ISNUMBER($W46)=0,"",IF($W46&gt;$S46+0.05,"rising",IF($W46&lt;$S46-0.05,"falling","stable"))))</f>
        <v/>
      </c>
      <c r="AP46" s="77">
        <f>IF($C46="","",TRIM(IF(ISNUMBER($X46)*(N($X46)&gt;$D$4)&gt;0,"payout high  ","")&amp;IF(ISNUMBER($AN46)*(N($AN46)&lt;$F$4)&gt;0,"FCF below dvd  ","")&amp;IF(ISNUMBER($AJ46)*(N($AJ46)&gt;$H$4)&gt;0,"leverage high","")))</f>
        <v/>
      </c>
      <c r="AQ46" s="78">
        <f>IF($C46="","",IF(HSI!$F$41="HKD","",HSI!$F$41))</f>
        <v/>
      </c>
    </row>
    <row r="47">
      <c r="B47" s="62" t="inlineStr">
        <is>
          <t>HSI</t>
        </is>
      </c>
      <c r="C47" s="6">
        <f>IF(HSI!$C$42="","",HSI!$C$42)</f>
        <v/>
      </c>
      <c r="D47" s="6">
        <f>IF($C47="","",HSI!$D$42)</f>
        <v/>
      </c>
      <c r="E47" s="6">
        <f>IF($C47="","",HSI!$E$42)</f>
        <v/>
      </c>
      <c r="F47" s="63">
        <f>IF($C47="","",SUMPRODUCT(('Dvd Calendar'!$E$396:$AR$396&gt;=DATE(YEAR_Y-5,1,1))*('Dvd Calendar'!$E$396:$AR$396&lt;=DATE(YEAR_Y-5,12,31))*'Dvd Calendar'!$E$399:$AR$399*(('Dvd Calendar'!$E$401:$AR$401=TYPE1)*(TYPE1&lt;&gt;"")+('Dvd Calendar'!$E$401:$AR$401=TYPE2)*(TYPE2&lt;&gt;"")+('Dvd Calendar'!$E$401:$AR$401=TYPE3)*(TYPE3&lt;&gt;"")+('Dvd Calendar'!$E$401:$AR$401=TYPE4)*(TYPE4&lt;&gt;"")+('Dvd Calendar'!$E$401:$AR$401=SPECIAL_LBL)*(INC_SPECIALS="Y"))))</f>
        <v/>
      </c>
      <c r="G47" s="64">
        <f>IF($C47="","",SUMPRODUCT(('Dvd Calendar'!$E$396:$AR$396&gt;=DATE(YEAR_Y-4,1,1))*('Dvd Calendar'!$E$396:$AR$396&lt;=DATE(YEAR_Y-4,12,31))*'Dvd Calendar'!$E$399:$AR$399*(('Dvd Calendar'!$E$401:$AR$401=TYPE1)*(TYPE1&lt;&gt;"")+('Dvd Calendar'!$E$401:$AR$401=TYPE2)*(TYPE2&lt;&gt;"")+('Dvd Calendar'!$E$401:$AR$401=TYPE3)*(TYPE3&lt;&gt;"")+('Dvd Calendar'!$E$401:$AR$401=TYPE4)*(TYPE4&lt;&gt;"")+('Dvd Calendar'!$E$401:$AR$401=SPECIAL_LBL)*(INC_SPECIALS="Y"))))</f>
        <v/>
      </c>
      <c r="H47" s="64">
        <f>IF($C47="","",SUMPRODUCT(('Dvd Calendar'!$E$396:$AR$396&gt;=DATE(YEAR_Y-3,1,1))*('Dvd Calendar'!$E$396:$AR$396&lt;=DATE(YEAR_Y-3,12,31))*'Dvd Calendar'!$E$399:$AR$399*(('Dvd Calendar'!$E$401:$AR$401=TYPE1)*(TYPE1&lt;&gt;"")+('Dvd Calendar'!$E$401:$AR$401=TYPE2)*(TYPE2&lt;&gt;"")+('Dvd Calendar'!$E$401:$AR$401=TYPE3)*(TYPE3&lt;&gt;"")+('Dvd Calendar'!$E$401:$AR$401=TYPE4)*(TYPE4&lt;&gt;"")+('Dvd Calendar'!$E$401:$AR$401=SPECIAL_LBL)*(INC_SPECIALS="Y"))))</f>
        <v/>
      </c>
      <c r="I47" s="64">
        <f>IF($C47="","",SUMPRODUCT(('Dvd Calendar'!$E$396:$AR$396&gt;=DATE(YEAR_Y-2,1,1))*('Dvd Calendar'!$E$396:$AR$396&lt;=DATE(YEAR_Y-2,12,31))*'Dvd Calendar'!$E$399:$AR$399*(('Dvd Calendar'!$E$401:$AR$401=TYPE1)*(TYPE1&lt;&gt;"")+('Dvd Calendar'!$E$401:$AR$401=TYPE2)*(TYPE2&lt;&gt;"")+('Dvd Calendar'!$E$401:$AR$401=TYPE3)*(TYPE3&lt;&gt;"")+('Dvd Calendar'!$E$401:$AR$401=TYPE4)*(TYPE4&lt;&gt;"")+('Dvd Calendar'!$E$401:$AR$401=SPECIAL_LBL)*(INC_SPECIALS="Y"))))</f>
        <v/>
      </c>
      <c r="J47" s="64">
        <f>IF($C47="","",SUMPRODUCT(('Dvd Calendar'!$E$396:$AR$396&gt;=DATE(YEAR_Y-1,1,1))*('Dvd Calendar'!$E$396:$AR$396&lt;=DATE(YEAR_Y-1,12,31))*'Dvd Calendar'!$E$399:$AR$399*(('Dvd Calendar'!$E$401:$AR$401=TYPE1)*(TYPE1&lt;&gt;"")+('Dvd Calendar'!$E$401:$AR$401=TYPE2)*(TYPE2&lt;&gt;"")+('Dvd Calendar'!$E$401:$AR$401=TYPE3)*(TYPE3&lt;&gt;"")+('Dvd Calendar'!$E$401:$AR$401=TYPE4)*(TYPE4&lt;&gt;"")+('Dvd Calendar'!$E$401:$AR$401=SPECIAL_LBL)*(INC_SPECIALS="Y"))))</f>
        <v/>
      </c>
      <c r="K47" s="65">
        <f>IF($C47="","",HSI!$J$42)</f>
        <v/>
      </c>
      <c r="L47" s="65">
        <f>IF($C47="","",HSI!$K$42)</f>
        <v/>
      </c>
      <c r="M47" s="41">
        <f>IF($C47="","",AVERAGE(F47:J47))</f>
        <v/>
      </c>
      <c r="N47" s="66">
        <f>IF($C47="","",IF(PULL_FUND="N","",IFERROR(BDP($C47,EPS_FIELD,YR_OVERRIDE,TEXT(YEAR_Y-5,"0")),"")))</f>
        <v/>
      </c>
      <c r="O47" s="67">
        <f>IF($C47="","",IF(PULL_FUND="N","",IFERROR(BDP($C47,EPS_FIELD,YR_OVERRIDE,TEXT(YEAR_Y-4,"0")),"")))</f>
        <v/>
      </c>
      <c r="P47" s="67">
        <f>IF($C47="","",IF(PULL_FUND="N","",IFERROR(BDP($C47,EPS_FIELD,YR_OVERRIDE,TEXT(YEAR_Y-3,"0")),"")))</f>
        <v/>
      </c>
      <c r="Q47" s="67">
        <f>IF($C47="","",IF(PULL_FUND="N","",IFERROR(BDP($C47,EPS_FIELD,YR_OVERRIDE,TEXT(YEAR_Y-2,"0")),"")))</f>
        <v/>
      </c>
      <c r="R47" s="67">
        <f>IF($C47="","",IF(PULL_FUND="N","",IFERROR(BDP($C47,EPS_FIELD,YR_OVERRIDE,TEXT(YEAR_Y-1,"0")),"")))</f>
        <v/>
      </c>
      <c r="S47" s="68">
        <f>IF($C47="","",IF(PULL_FUND="N","",IFERROR(BDP($C47,PAYOUT_FIELD,YR_OVERRIDE,TEXT(YEAR_Y-5,"0"))/100,"")))</f>
        <v/>
      </c>
      <c r="T47" s="68">
        <f>IF($C47="","",IF(PULL_FUND="N","",IFERROR(BDP($C47,PAYOUT_FIELD,YR_OVERRIDE,TEXT(YEAR_Y-4,"0"))/100,"")))</f>
        <v/>
      </c>
      <c r="U47" s="68">
        <f>IF($C47="","",IF(PULL_FUND="N","",IFERROR(BDP($C47,PAYOUT_FIELD,YR_OVERRIDE,TEXT(YEAR_Y-3,"0"))/100,"")))</f>
        <v/>
      </c>
      <c r="V47" s="68">
        <f>IF($C47="","",IF(PULL_FUND="N","",IFERROR(BDP($C47,PAYOUT_FIELD,YR_OVERRIDE,TEXT(YEAR_Y-2,"0"))/100,"")))</f>
        <v/>
      </c>
      <c r="W47" s="68">
        <f>IF($C47="","",IF(PULL_FUND="N","",IFERROR(BDP($C47,PAYOUT_FIELD,YR_OVERRIDE,TEXT(YEAR_Y-1,"0"))/100,"")))</f>
        <v/>
      </c>
      <c r="X47" s="69">
        <f>IF($C47="","",IFERROR(AVERAGE(S47:W47),""))</f>
        <v/>
      </c>
      <c r="Y47" s="66">
        <f>IF($C47="","",IF(PULL_FUND="N","",IFERROR(BDP($C47,BESTEPS_FIELD,FWD_OVERRIDE,TEXT(MOD(YEAR_Y,100),"00")&amp;"Y"),"")))</f>
        <v/>
      </c>
      <c r="Z47" s="70">
        <f>IF($C47="","",IF(PULL_FUND="N","",IFERROR(BDP($C47,BESTDPS_FIELD,FWD_OVERRIDE,TEXT(MOD(YEAR_Y,100),"00")&amp;"Y"),"")))</f>
        <v/>
      </c>
      <c r="AA47" s="71">
        <f>IF($C47="","",IF(ISNUMBER($Y47)*ISNUMBER($Z47)*($Y47&lt;&gt;0)=0,"",$Z47/$Y47))</f>
        <v/>
      </c>
      <c r="AB47" s="41">
        <f>IF($C47="","",HSI!$J$42+HSI!$L$42)</f>
        <v/>
      </c>
      <c r="AC47" s="72">
        <f>IF($C47="","",IF(PULL_FUND="N","",IF(COUNTIFS('Fund History'!$G$218:$G$222,"&gt;="&amp;DATE(YEAR_Y-4,1,1),'Fund History'!$G$218:$G$222,"&lt;="&amp;DATE(YEAR_Y-4,12,31))=0,"",SUMIFS('Fund History'!$H$218:$H$222,'Fund History'!$G$218:$G$222,"&gt;="&amp;DATE(YEAR_Y-4,1,1),'Fund History'!$G$218:$G$222,"&lt;="&amp;DATE(YEAR_Y-4,12,31))/100)))</f>
        <v/>
      </c>
      <c r="AD47" s="73">
        <f>IF($C47="","",IF(PULL_FUND="N","",IF(COUNTIFS('Fund History'!$G$218:$G$222,"&gt;="&amp;DATE(YEAR_Y-3,1,1),'Fund History'!$G$218:$G$222,"&lt;="&amp;DATE(YEAR_Y-3,12,31))=0,"",SUMIFS('Fund History'!$H$218:$H$222,'Fund History'!$G$218:$G$222,"&gt;="&amp;DATE(YEAR_Y-3,1,1),'Fund History'!$G$218:$G$222,"&lt;="&amp;DATE(YEAR_Y-3,12,31))/100)))</f>
        <v/>
      </c>
      <c r="AE47" s="73">
        <f>IF($C47="","",IF(PULL_FUND="N","",IF(COUNTIFS('Fund History'!$G$218:$G$222,"&gt;="&amp;DATE(YEAR_Y-2,1,1),'Fund History'!$G$218:$G$222,"&lt;="&amp;DATE(YEAR_Y-2,12,31))=0,"",SUMIFS('Fund History'!$H$218:$H$222,'Fund History'!$G$218:$G$222,"&gt;="&amp;DATE(YEAR_Y-2,1,1),'Fund History'!$G$218:$G$222,"&lt;="&amp;DATE(YEAR_Y-2,12,31))/100)))</f>
        <v/>
      </c>
      <c r="AF47" s="73">
        <f>IF($C47="","",IF(PULL_FUND="N","",IF(COUNTIFS('Fund History'!$G$218:$G$222,"&gt;="&amp;DATE(YEAR_Y-1,1,1),'Fund History'!$G$218:$G$222,"&lt;="&amp;DATE(YEAR_Y-1,12,31))=0,"",SUMIFS('Fund History'!$H$218:$H$222,'Fund History'!$G$218:$G$222,"&gt;="&amp;DATE(YEAR_Y-1,1,1),'Fund History'!$G$218:$G$222,"&lt;="&amp;DATE(YEAR_Y-1,12,31))/100)))</f>
        <v/>
      </c>
      <c r="AG47" s="74">
        <f>IF($C47="","",IF(N($AF47)+N(HSI!$I$42)=0,"",N($AF47)+N(HSI!$I$42)/100))</f>
        <v/>
      </c>
      <c r="AH47" s="66">
        <f>IF($C47="","",IF(PULL_FUND="N","",IF(COUNTIFS('Fund History'!$D$218:$D$222,"&gt;="&amp;DATE(YEAR_Y-2,1,1),'Fund History'!$D$218:$D$222,"&lt;="&amp;DATE(YEAR_Y-2,12,31))=0,"",SUMIFS('Fund History'!$E$218:$E$222,'Fund History'!$D$218:$D$222,"&gt;="&amp;DATE(YEAR_Y-2,1,1),'Fund History'!$D$218:$D$222,"&lt;="&amp;DATE(YEAR_Y-2,12,31)))))</f>
        <v/>
      </c>
      <c r="AI47" s="67">
        <f>IF($C47="","",IF(PULL_FUND="N","",IF(COUNTIFS('Fund History'!$D$218:$D$222,"&gt;="&amp;DATE(YEAR_Y-1,1,1),'Fund History'!$D$218:$D$222,"&lt;="&amp;DATE(YEAR_Y-1,12,31))=0,"",SUMIFS('Fund History'!$E$218:$E$222,'Fund History'!$D$218:$D$222,"&gt;="&amp;DATE(YEAR_Y-1,1,1),'Fund History'!$D$218:$D$222,"&lt;="&amp;DATE(YEAR_Y-1,12,31)))))</f>
        <v/>
      </c>
      <c r="AJ47" s="67">
        <f>IF($C47="","",IF(PULL_FUND="N","",IFERROR(BDP($C47,NDEBITDA_FIELD),"")))</f>
        <v/>
      </c>
      <c r="AK47" s="75">
        <f>IF($C47="","",IF(PULL_FUND="N","",IFERROR(BDP($C47,EBINT_FIELD),"")))</f>
        <v/>
      </c>
      <c r="AL47" s="73">
        <f>IF($C47="","",IF(PULL_FUND="N","",IFERROR(BDP($C47,FCF_FIELD)/100,"")))</f>
        <v/>
      </c>
      <c r="AM47" s="76">
        <f>IF($C47="","",IF(ISNUMBER(HSI!$I$42),HSI!$I$42/100,""))</f>
        <v/>
      </c>
      <c r="AN47" s="47">
        <f>IF($C47="","",IF(N($AM47)=0,"",IFERROR($AL47/$AM47,"")))</f>
        <v/>
      </c>
      <c r="AO47" s="33">
        <f>IF($C47="","",IF(ISNUMBER($S47)*ISNUMBER($W47)=0,"",IF($W47&gt;$S47+0.05,"rising",IF($W47&lt;$S47-0.05,"falling","stable"))))</f>
        <v/>
      </c>
      <c r="AP47" s="77">
        <f>IF($C47="","",TRIM(IF(ISNUMBER($X47)*(N($X47)&gt;$D$4)&gt;0,"payout high  ","")&amp;IF(ISNUMBER($AN47)*(N($AN47)&lt;$F$4)&gt;0,"FCF below dvd  ","")&amp;IF(ISNUMBER($AJ47)*(N($AJ47)&gt;$H$4)&gt;0,"leverage high","")))</f>
        <v/>
      </c>
      <c r="AQ47" s="78">
        <f>IF($C47="","",IF(HSI!$F$42="HKD","",HSI!$F$42))</f>
        <v/>
      </c>
    </row>
    <row r="48">
      <c r="B48" s="62" t="inlineStr">
        <is>
          <t>HSI</t>
        </is>
      </c>
      <c r="C48" s="6">
        <f>IF(HSI!$C$43="","",HSI!$C$43)</f>
        <v/>
      </c>
      <c r="D48" s="6">
        <f>IF($C48="","",HSI!$D$43)</f>
        <v/>
      </c>
      <c r="E48" s="6">
        <f>IF($C48="","",HSI!$E$43)</f>
        <v/>
      </c>
      <c r="F48" s="63">
        <f>IF($C48="","",SUMPRODUCT(('Dvd Calendar'!$E$407:$AR$407&gt;=DATE(YEAR_Y-5,1,1))*('Dvd Calendar'!$E$407:$AR$407&lt;=DATE(YEAR_Y-5,12,31))*'Dvd Calendar'!$E$410:$AR$410*(('Dvd Calendar'!$E$412:$AR$412=TYPE1)*(TYPE1&lt;&gt;"")+('Dvd Calendar'!$E$412:$AR$412=TYPE2)*(TYPE2&lt;&gt;"")+('Dvd Calendar'!$E$412:$AR$412=TYPE3)*(TYPE3&lt;&gt;"")+('Dvd Calendar'!$E$412:$AR$412=TYPE4)*(TYPE4&lt;&gt;"")+('Dvd Calendar'!$E$412:$AR$412=SPECIAL_LBL)*(INC_SPECIALS="Y"))))</f>
        <v/>
      </c>
      <c r="G48" s="64">
        <f>IF($C48="","",SUMPRODUCT(('Dvd Calendar'!$E$407:$AR$407&gt;=DATE(YEAR_Y-4,1,1))*('Dvd Calendar'!$E$407:$AR$407&lt;=DATE(YEAR_Y-4,12,31))*'Dvd Calendar'!$E$410:$AR$410*(('Dvd Calendar'!$E$412:$AR$412=TYPE1)*(TYPE1&lt;&gt;"")+('Dvd Calendar'!$E$412:$AR$412=TYPE2)*(TYPE2&lt;&gt;"")+('Dvd Calendar'!$E$412:$AR$412=TYPE3)*(TYPE3&lt;&gt;"")+('Dvd Calendar'!$E$412:$AR$412=TYPE4)*(TYPE4&lt;&gt;"")+('Dvd Calendar'!$E$412:$AR$412=SPECIAL_LBL)*(INC_SPECIALS="Y"))))</f>
        <v/>
      </c>
      <c r="H48" s="64">
        <f>IF($C48="","",SUMPRODUCT(('Dvd Calendar'!$E$407:$AR$407&gt;=DATE(YEAR_Y-3,1,1))*('Dvd Calendar'!$E$407:$AR$407&lt;=DATE(YEAR_Y-3,12,31))*'Dvd Calendar'!$E$410:$AR$410*(('Dvd Calendar'!$E$412:$AR$412=TYPE1)*(TYPE1&lt;&gt;"")+('Dvd Calendar'!$E$412:$AR$412=TYPE2)*(TYPE2&lt;&gt;"")+('Dvd Calendar'!$E$412:$AR$412=TYPE3)*(TYPE3&lt;&gt;"")+('Dvd Calendar'!$E$412:$AR$412=TYPE4)*(TYPE4&lt;&gt;"")+('Dvd Calendar'!$E$412:$AR$412=SPECIAL_LBL)*(INC_SPECIALS="Y"))))</f>
        <v/>
      </c>
      <c r="I48" s="64">
        <f>IF($C48="","",SUMPRODUCT(('Dvd Calendar'!$E$407:$AR$407&gt;=DATE(YEAR_Y-2,1,1))*('Dvd Calendar'!$E$407:$AR$407&lt;=DATE(YEAR_Y-2,12,31))*'Dvd Calendar'!$E$410:$AR$410*(('Dvd Calendar'!$E$412:$AR$412=TYPE1)*(TYPE1&lt;&gt;"")+('Dvd Calendar'!$E$412:$AR$412=TYPE2)*(TYPE2&lt;&gt;"")+('Dvd Calendar'!$E$412:$AR$412=TYPE3)*(TYPE3&lt;&gt;"")+('Dvd Calendar'!$E$412:$AR$412=TYPE4)*(TYPE4&lt;&gt;"")+('Dvd Calendar'!$E$412:$AR$412=SPECIAL_LBL)*(INC_SPECIALS="Y"))))</f>
        <v/>
      </c>
      <c r="J48" s="64">
        <f>IF($C48="","",SUMPRODUCT(('Dvd Calendar'!$E$407:$AR$407&gt;=DATE(YEAR_Y-1,1,1))*('Dvd Calendar'!$E$407:$AR$407&lt;=DATE(YEAR_Y-1,12,31))*'Dvd Calendar'!$E$410:$AR$410*(('Dvd Calendar'!$E$412:$AR$412=TYPE1)*(TYPE1&lt;&gt;"")+('Dvd Calendar'!$E$412:$AR$412=TYPE2)*(TYPE2&lt;&gt;"")+('Dvd Calendar'!$E$412:$AR$412=TYPE3)*(TYPE3&lt;&gt;"")+('Dvd Calendar'!$E$412:$AR$412=TYPE4)*(TYPE4&lt;&gt;"")+('Dvd Calendar'!$E$412:$AR$412=SPECIAL_LBL)*(INC_SPECIALS="Y"))))</f>
        <v/>
      </c>
      <c r="K48" s="65">
        <f>IF($C48="","",HSI!$J$43)</f>
        <v/>
      </c>
      <c r="L48" s="65">
        <f>IF($C48="","",HSI!$K$43)</f>
        <v/>
      </c>
      <c r="M48" s="41">
        <f>IF($C48="","",AVERAGE(F48:J48))</f>
        <v/>
      </c>
      <c r="N48" s="66">
        <f>IF($C48="","",IF(PULL_FUND="N","",IFERROR(BDP($C48,EPS_FIELD,YR_OVERRIDE,TEXT(YEAR_Y-5,"0")),"")))</f>
        <v/>
      </c>
      <c r="O48" s="67">
        <f>IF($C48="","",IF(PULL_FUND="N","",IFERROR(BDP($C48,EPS_FIELD,YR_OVERRIDE,TEXT(YEAR_Y-4,"0")),"")))</f>
        <v/>
      </c>
      <c r="P48" s="67">
        <f>IF($C48="","",IF(PULL_FUND="N","",IFERROR(BDP($C48,EPS_FIELD,YR_OVERRIDE,TEXT(YEAR_Y-3,"0")),"")))</f>
        <v/>
      </c>
      <c r="Q48" s="67">
        <f>IF($C48="","",IF(PULL_FUND="N","",IFERROR(BDP($C48,EPS_FIELD,YR_OVERRIDE,TEXT(YEAR_Y-2,"0")),"")))</f>
        <v/>
      </c>
      <c r="R48" s="67">
        <f>IF($C48="","",IF(PULL_FUND="N","",IFERROR(BDP($C48,EPS_FIELD,YR_OVERRIDE,TEXT(YEAR_Y-1,"0")),"")))</f>
        <v/>
      </c>
      <c r="S48" s="68">
        <f>IF($C48="","",IF(PULL_FUND="N","",IFERROR(BDP($C48,PAYOUT_FIELD,YR_OVERRIDE,TEXT(YEAR_Y-5,"0"))/100,"")))</f>
        <v/>
      </c>
      <c r="T48" s="68">
        <f>IF($C48="","",IF(PULL_FUND="N","",IFERROR(BDP($C48,PAYOUT_FIELD,YR_OVERRIDE,TEXT(YEAR_Y-4,"0"))/100,"")))</f>
        <v/>
      </c>
      <c r="U48" s="68">
        <f>IF($C48="","",IF(PULL_FUND="N","",IFERROR(BDP($C48,PAYOUT_FIELD,YR_OVERRIDE,TEXT(YEAR_Y-3,"0"))/100,"")))</f>
        <v/>
      </c>
      <c r="V48" s="68">
        <f>IF($C48="","",IF(PULL_FUND="N","",IFERROR(BDP($C48,PAYOUT_FIELD,YR_OVERRIDE,TEXT(YEAR_Y-2,"0"))/100,"")))</f>
        <v/>
      </c>
      <c r="W48" s="68">
        <f>IF($C48="","",IF(PULL_FUND="N","",IFERROR(BDP($C48,PAYOUT_FIELD,YR_OVERRIDE,TEXT(YEAR_Y-1,"0"))/100,"")))</f>
        <v/>
      </c>
      <c r="X48" s="69">
        <f>IF($C48="","",IFERROR(AVERAGE(S48:W48),""))</f>
        <v/>
      </c>
      <c r="Y48" s="66">
        <f>IF($C48="","",IF(PULL_FUND="N","",IFERROR(BDP($C48,BESTEPS_FIELD,FWD_OVERRIDE,TEXT(MOD(YEAR_Y,100),"00")&amp;"Y"),"")))</f>
        <v/>
      </c>
      <c r="Z48" s="70">
        <f>IF($C48="","",IF(PULL_FUND="N","",IFERROR(BDP($C48,BESTDPS_FIELD,FWD_OVERRIDE,TEXT(MOD(YEAR_Y,100),"00")&amp;"Y"),"")))</f>
        <v/>
      </c>
      <c r="AA48" s="71">
        <f>IF($C48="","",IF(ISNUMBER($Y48)*ISNUMBER($Z48)*($Y48&lt;&gt;0)=0,"",$Z48/$Y48))</f>
        <v/>
      </c>
      <c r="AB48" s="41">
        <f>IF($C48="","",HSI!$J$43+HSI!$L$43)</f>
        <v/>
      </c>
      <c r="AC48" s="72">
        <f>IF($C48="","",IF(PULL_FUND="N","",IF(COUNTIFS('Fund History'!$G$224:$G$228,"&gt;="&amp;DATE(YEAR_Y-4,1,1),'Fund History'!$G$224:$G$228,"&lt;="&amp;DATE(YEAR_Y-4,12,31))=0,"",SUMIFS('Fund History'!$H$224:$H$228,'Fund History'!$G$224:$G$228,"&gt;="&amp;DATE(YEAR_Y-4,1,1),'Fund History'!$G$224:$G$228,"&lt;="&amp;DATE(YEAR_Y-4,12,31))/100)))</f>
        <v/>
      </c>
      <c r="AD48" s="73">
        <f>IF($C48="","",IF(PULL_FUND="N","",IF(COUNTIFS('Fund History'!$G$224:$G$228,"&gt;="&amp;DATE(YEAR_Y-3,1,1),'Fund History'!$G$224:$G$228,"&lt;="&amp;DATE(YEAR_Y-3,12,31))=0,"",SUMIFS('Fund History'!$H$224:$H$228,'Fund History'!$G$224:$G$228,"&gt;="&amp;DATE(YEAR_Y-3,1,1),'Fund History'!$G$224:$G$228,"&lt;="&amp;DATE(YEAR_Y-3,12,31))/100)))</f>
        <v/>
      </c>
      <c r="AE48" s="73">
        <f>IF($C48="","",IF(PULL_FUND="N","",IF(COUNTIFS('Fund History'!$G$224:$G$228,"&gt;="&amp;DATE(YEAR_Y-2,1,1),'Fund History'!$G$224:$G$228,"&lt;="&amp;DATE(YEAR_Y-2,12,31))=0,"",SUMIFS('Fund History'!$H$224:$H$228,'Fund History'!$G$224:$G$228,"&gt;="&amp;DATE(YEAR_Y-2,1,1),'Fund History'!$G$224:$G$228,"&lt;="&amp;DATE(YEAR_Y-2,12,31))/100)))</f>
        <v/>
      </c>
      <c r="AF48" s="73">
        <f>IF($C48="","",IF(PULL_FUND="N","",IF(COUNTIFS('Fund History'!$G$224:$G$228,"&gt;="&amp;DATE(YEAR_Y-1,1,1),'Fund History'!$G$224:$G$228,"&lt;="&amp;DATE(YEAR_Y-1,12,31))=0,"",SUMIFS('Fund History'!$H$224:$H$228,'Fund History'!$G$224:$G$228,"&gt;="&amp;DATE(YEAR_Y-1,1,1),'Fund History'!$G$224:$G$228,"&lt;="&amp;DATE(YEAR_Y-1,12,31))/100)))</f>
        <v/>
      </c>
      <c r="AG48" s="74">
        <f>IF($C48="","",IF(N($AF48)+N(HSI!$I$43)=0,"",N($AF48)+N(HSI!$I$43)/100))</f>
        <v/>
      </c>
      <c r="AH48" s="66">
        <f>IF($C48="","",IF(PULL_FUND="N","",IF(COUNTIFS('Fund History'!$D$224:$D$228,"&gt;="&amp;DATE(YEAR_Y-2,1,1),'Fund History'!$D$224:$D$228,"&lt;="&amp;DATE(YEAR_Y-2,12,31))=0,"",SUMIFS('Fund History'!$E$224:$E$228,'Fund History'!$D$224:$D$228,"&gt;="&amp;DATE(YEAR_Y-2,1,1),'Fund History'!$D$224:$D$228,"&lt;="&amp;DATE(YEAR_Y-2,12,31)))))</f>
        <v/>
      </c>
      <c r="AI48" s="67">
        <f>IF($C48="","",IF(PULL_FUND="N","",IF(COUNTIFS('Fund History'!$D$224:$D$228,"&gt;="&amp;DATE(YEAR_Y-1,1,1),'Fund History'!$D$224:$D$228,"&lt;="&amp;DATE(YEAR_Y-1,12,31))=0,"",SUMIFS('Fund History'!$E$224:$E$228,'Fund History'!$D$224:$D$228,"&gt;="&amp;DATE(YEAR_Y-1,1,1),'Fund History'!$D$224:$D$228,"&lt;="&amp;DATE(YEAR_Y-1,12,31)))))</f>
        <v/>
      </c>
      <c r="AJ48" s="67">
        <f>IF($C48="","",IF(PULL_FUND="N","",IFERROR(BDP($C48,NDEBITDA_FIELD),"")))</f>
        <v/>
      </c>
      <c r="AK48" s="75">
        <f>IF($C48="","",IF(PULL_FUND="N","",IFERROR(BDP($C48,EBINT_FIELD),"")))</f>
        <v/>
      </c>
      <c r="AL48" s="73">
        <f>IF($C48="","",IF(PULL_FUND="N","",IFERROR(BDP($C48,FCF_FIELD)/100,"")))</f>
        <v/>
      </c>
      <c r="AM48" s="76">
        <f>IF($C48="","",IF(ISNUMBER(HSI!$I$43),HSI!$I$43/100,""))</f>
        <v/>
      </c>
      <c r="AN48" s="47">
        <f>IF($C48="","",IF(N($AM48)=0,"",IFERROR($AL48/$AM48,"")))</f>
        <v/>
      </c>
      <c r="AO48" s="33">
        <f>IF($C48="","",IF(ISNUMBER($S48)*ISNUMBER($W48)=0,"",IF($W48&gt;$S48+0.05,"rising",IF($W48&lt;$S48-0.05,"falling","stable"))))</f>
        <v/>
      </c>
      <c r="AP48" s="77">
        <f>IF($C48="","",TRIM(IF(ISNUMBER($X48)*(N($X48)&gt;$D$4)&gt;0,"payout high  ","")&amp;IF(ISNUMBER($AN48)*(N($AN48)&lt;$F$4)&gt;0,"FCF below dvd  ","")&amp;IF(ISNUMBER($AJ48)*(N($AJ48)&gt;$H$4)&gt;0,"leverage high","")))</f>
        <v/>
      </c>
      <c r="AQ48" s="78">
        <f>IF($C48="","",IF(HSI!$F$43="HKD","",HSI!$F$43))</f>
        <v/>
      </c>
    </row>
    <row r="49">
      <c r="B49" s="62" t="inlineStr">
        <is>
          <t>HSI</t>
        </is>
      </c>
      <c r="C49" s="6">
        <f>IF(HSI!$C$44="","",HSI!$C$44)</f>
        <v/>
      </c>
      <c r="D49" s="6">
        <f>IF($C49="","",HSI!$D$44)</f>
        <v/>
      </c>
      <c r="E49" s="6">
        <f>IF($C49="","",HSI!$E$44)</f>
        <v/>
      </c>
      <c r="F49" s="63">
        <f>IF($C49="","",SUMPRODUCT(('Dvd Calendar'!$E$418:$AR$418&gt;=DATE(YEAR_Y-5,1,1))*('Dvd Calendar'!$E$418:$AR$418&lt;=DATE(YEAR_Y-5,12,31))*'Dvd Calendar'!$E$421:$AR$421*(('Dvd Calendar'!$E$423:$AR$423=TYPE1)*(TYPE1&lt;&gt;"")+('Dvd Calendar'!$E$423:$AR$423=TYPE2)*(TYPE2&lt;&gt;"")+('Dvd Calendar'!$E$423:$AR$423=TYPE3)*(TYPE3&lt;&gt;"")+('Dvd Calendar'!$E$423:$AR$423=TYPE4)*(TYPE4&lt;&gt;"")+('Dvd Calendar'!$E$423:$AR$423=SPECIAL_LBL)*(INC_SPECIALS="Y"))))</f>
        <v/>
      </c>
      <c r="G49" s="64">
        <f>IF($C49="","",SUMPRODUCT(('Dvd Calendar'!$E$418:$AR$418&gt;=DATE(YEAR_Y-4,1,1))*('Dvd Calendar'!$E$418:$AR$418&lt;=DATE(YEAR_Y-4,12,31))*'Dvd Calendar'!$E$421:$AR$421*(('Dvd Calendar'!$E$423:$AR$423=TYPE1)*(TYPE1&lt;&gt;"")+('Dvd Calendar'!$E$423:$AR$423=TYPE2)*(TYPE2&lt;&gt;"")+('Dvd Calendar'!$E$423:$AR$423=TYPE3)*(TYPE3&lt;&gt;"")+('Dvd Calendar'!$E$423:$AR$423=TYPE4)*(TYPE4&lt;&gt;"")+('Dvd Calendar'!$E$423:$AR$423=SPECIAL_LBL)*(INC_SPECIALS="Y"))))</f>
        <v/>
      </c>
      <c r="H49" s="64">
        <f>IF($C49="","",SUMPRODUCT(('Dvd Calendar'!$E$418:$AR$418&gt;=DATE(YEAR_Y-3,1,1))*('Dvd Calendar'!$E$418:$AR$418&lt;=DATE(YEAR_Y-3,12,31))*'Dvd Calendar'!$E$421:$AR$421*(('Dvd Calendar'!$E$423:$AR$423=TYPE1)*(TYPE1&lt;&gt;"")+('Dvd Calendar'!$E$423:$AR$423=TYPE2)*(TYPE2&lt;&gt;"")+('Dvd Calendar'!$E$423:$AR$423=TYPE3)*(TYPE3&lt;&gt;"")+('Dvd Calendar'!$E$423:$AR$423=TYPE4)*(TYPE4&lt;&gt;"")+('Dvd Calendar'!$E$423:$AR$423=SPECIAL_LBL)*(INC_SPECIALS="Y"))))</f>
        <v/>
      </c>
      <c r="I49" s="64">
        <f>IF($C49="","",SUMPRODUCT(('Dvd Calendar'!$E$418:$AR$418&gt;=DATE(YEAR_Y-2,1,1))*('Dvd Calendar'!$E$418:$AR$418&lt;=DATE(YEAR_Y-2,12,31))*'Dvd Calendar'!$E$421:$AR$421*(('Dvd Calendar'!$E$423:$AR$423=TYPE1)*(TYPE1&lt;&gt;"")+('Dvd Calendar'!$E$423:$AR$423=TYPE2)*(TYPE2&lt;&gt;"")+('Dvd Calendar'!$E$423:$AR$423=TYPE3)*(TYPE3&lt;&gt;"")+('Dvd Calendar'!$E$423:$AR$423=TYPE4)*(TYPE4&lt;&gt;"")+('Dvd Calendar'!$E$423:$AR$423=SPECIAL_LBL)*(INC_SPECIALS="Y"))))</f>
        <v/>
      </c>
      <c r="J49" s="64">
        <f>IF($C49="","",SUMPRODUCT(('Dvd Calendar'!$E$418:$AR$418&gt;=DATE(YEAR_Y-1,1,1))*('Dvd Calendar'!$E$418:$AR$418&lt;=DATE(YEAR_Y-1,12,31))*'Dvd Calendar'!$E$421:$AR$421*(('Dvd Calendar'!$E$423:$AR$423=TYPE1)*(TYPE1&lt;&gt;"")+('Dvd Calendar'!$E$423:$AR$423=TYPE2)*(TYPE2&lt;&gt;"")+('Dvd Calendar'!$E$423:$AR$423=TYPE3)*(TYPE3&lt;&gt;"")+('Dvd Calendar'!$E$423:$AR$423=TYPE4)*(TYPE4&lt;&gt;"")+('Dvd Calendar'!$E$423:$AR$423=SPECIAL_LBL)*(INC_SPECIALS="Y"))))</f>
        <v/>
      </c>
      <c r="K49" s="65">
        <f>IF($C49="","",HSI!$J$44)</f>
        <v/>
      </c>
      <c r="L49" s="65">
        <f>IF($C49="","",HSI!$K$44)</f>
        <v/>
      </c>
      <c r="M49" s="41">
        <f>IF($C49="","",AVERAGE(F49:J49))</f>
        <v/>
      </c>
      <c r="N49" s="66">
        <f>IF($C49="","",IF(PULL_FUND="N","",IFERROR(BDP($C49,EPS_FIELD,YR_OVERRIDE,TEXT(YEAR_Y-5,"0")),"")))</f>
        <v/>
      </c>
      <c r="O49" s="67">
        <f>IF($C49="","",IF(PULL_FUND="N","",IFERROR(BDP($C49,EPS_FIELD,YR_OVERRIDE,TEXT(YEAR_Y-4,"0")),"")))</f>
        <v/>
      </c>
      <c r="P49" s="67">
        <f>IF($C49="","",IF(PULL_FUND="N","",IFERROR(BDP($C49,EPS_FIELD,YR_OVERRIDE,TEXT(YEAR_Y-3,"0")),"")))</f>
        <v/>
      </c>
      <c r="Q49" s="67">
        <f>IF($C49="","",IF(PULL_FUND="N","",IFERROR(BDP($C49,EPS_FIELD,YR_OVERRIDE,TEXT(YEAR_Y-2,"0")),"")))</f>
        <v/>
      </c>
      <c r="R49" s="67">
        <f>IF($C49="","",IF(PULL_FUND="N","",IFERROR(BDP($C49,EPS_FIELD,YR_OVERRIDE,TEXT(YEAR_Y-1,"0")),"")))</f>
        <v/>
      </c>
      <c r="S49" s="68">
        <f>IF($C49="","",IF(PULL_FUND="N","",IFERROR(BDP($C49,PAYOUT_FIELD,YR_OVERRIDE,TEXT(YEAR_Y-5,"0"))/100,"")))</f>
        <v/>
      </c>
      <c r="T49" s="68">
        <f>IF($C49="","",IF(PULL_FUND="N","",IFERROR(BDP($C49,PAYOUT_FIELD,YR_OVERRIDE,TEXT(YEAR_Y-4,"0"))/100,"")))</f>
        <v/>
      </c>
      <c r="U49" s="68">
        <f>IF($C49="","",IF(PULL_FUND="N","",IFERROR(BDP($C49,PAYOUT_FIELD,YR_OVERRIDE,TEXT(YEAR_Y-3,"0"))/100,"")))</f>
        <v/>
      </c>
      <c r="V49" s="68">
        <f>IF($C49="","",IF(PULL_FUND="N","",IFERROR(BDP($C49,PAYOUT_FIELD,YR_OVERRIDE,TEXT(YEAR_Y-2,"0"))/100,"")))</f>
        <v/>
      </c>
      <c r="W49" s="68">
        <f>IF($C49="","",IF(PULL_FUND="N","",IFERROR(BDP($C49,PAYOUT_FIELD,YR_OVERRIDE,TEXT(YEAR_Y-1,"0"))/100,"")))</f>
        <v/>
      </c>
      <c r="X49" s="69">
        <f>IF($C49="","",IFERROR(AVERAGE(S49:W49),""))</f>
        <v/>
      </c>
      <c r="Y49" s="66">
        <f>IF($C49="","",IF(PULL_FUND="N","",IFERROR(BDP($C49,BESTEPS_FIELD,FWD_OVERRIDE,TEXT(MOD(YEAR_Y,100),"00")&amp;"Y"),"")))</f>
        <v/>
      </c>
      <c r="Z49" s="70">
        <f>IF($C49="","",IF(PULL_FUND="N","",IFERROR(BDP($C49,BESTDPS_FIELD,FWD_OVERRIDE,TEXT(MOD(YEAR_Y,100),"00")&amp;"Y"),"")))</f>
        <v/>
      </c>
      <c r="AA49" s="71">
        <f>IF($C49="","",IF(ISNUMBER($Y49)*ISNUMBER($Z49)*($Y49&lt;&gt;0)=0,"",$Z49/$Y49))</f>
        <v/>
      </c>
      <c r="AB49" s="41">
        <f>IF($C49="","",HSI!$J$44+HSI!$L$44)</f>
        <v/>
      </c>
      <c r="AC49" s="72">
        <f>IF($C49="","",IF(PULL_FUND="N","",IF(COUNTIFS('Fund History'!$G$230:$G$234,"&gt;="&amp;DATE(YEAR_Y-4,1,1),'Fund History'!$G$230:$G$234,"&lt;="&amp;DATE(YEAR_Y-4,12,31))=0,"",SUMIFS('Fund History'!$H$230:$H$234,'Fund History'!$G$230:$G$234,"&gt;="&amp;DATE(YEAR_Y-4,1,1),'Fund History'!$G$230:$G$234,"&lt;="&amp;DATE(YEAR_Y-4,12,31))/100)))</f>
        <v/>
      </c>
      <c r="AD49" s="73">
        <f>IF($C49="","",IF(PULL_FUND="N","",IF(COUNTIFS('Fund History'!$G$230:$G$234,"&gt;="&amp;DATE(YEAR_Y-3,1,1),'Fund History'!$G$230:$G$234,"&lt;="&amp;DATE(YEAR_Y-3,12,31))=0,"",SUMIFS('Fund History'!$H$230:$H$234,'Fund History'!$G$230:$G$234,"&gt;="&amp;DATE(YEAR_Y-3,1,1),'Fund History'!$G$230:$G$234,"&lt;="&amp;DATE(YEAR_Y-3,12,31))/100)))</f>
        <v/>
      </c>
      <c r="AE49" s="73">
        <f>IF($C49="","",IF(PULL_FUND="N","",IF(COUNTIFS('Fund History'!$G$230:$G$234,"&gt;="&amp;DATE(YEAR_Y-2,1,1),'Fund History'!$G$230:$G$234,"&lt;="&amp;DATE(YEAR_Y-2,12,31))=0,"",SUMIFS('Fund History'!$H$230:$H$234,'Fund History'!$G$230:$G$234,"&gt;="&amp;DATE(YEAR_Y-2,1,1),'Fund History'!$G$230:$G$234,"&lt;="&amp;DATE(YEAR_Y-2,12,31))/100)))</f>
        <v/>
      </c>
      <c r="AF49" s="73">
        <f>IF($C49="","",IF(PULL_FUND="N","",IF(COUNTIFS('Fund History'!$G$230:$G$234,"&gt;="&amp;DATE(YEAR_Y-1,1,1),'Fund History'!$G$230:$G$234,"&lt;="&amp;DATE(YEAR_Y-1,12,31))=0,"",SUMIFS('Fund History'!$H$230:$H$234,'Fund History'!$G$230:$G$234,"&gt;="&amp;DATE(YEAR_Y-1,1,1),'Fund History'!$G$230:$G$234,"&lt;="&amp;DATE(YEAR_Y-1,12,31))/100)))</f>
        <v/>
      </c>
      <c r="AG49" s="74">
        <f>IF($C49="","",IF(N($AF49)+N(HSI!$I$44)=0,"",N($AF49)+N(HSI!$I$44)/100))</f>
        <v/>
      </c>
      <c r="AH49" s="66">
        <f>IF($C49="","",IF(PULL_FUND="N","",IF(COUNTIFS('Fund History'!$D$230:$D$234,"&gt;="&amp;DATE(YEAR_Y-2,1,1),'Fund History'!$D$230:$D$234,"&lt;="&amp;DATE(YEAR_Y-2,12,31))=0,"",SUMIFS('Fund History'!$E$230:$E$234,'Fund History'!$D$230:$D$234,"&gt;="&amp;DATE(YEAR_Y-2,1,1),'Fund History'!$D$230:$D$234,"&lt;="&amp;DATE(YEAR_Y-2,12,31)))))</f>
        <v/>
      </c>
      <c r="AI49" s="67">
        <f>IF($C49="","",IF(PULL_FUND="N","",IF(COUNTIFS('Fund History'!$D$230:$D$234,"&gt;="&amp;DATE(YEAR_Y-1,1,1),'Fund History'!$D$230:$D$234,"&lt;="&amp;DATE(YEAR_Y-1,12,31))=0,"",SUMIFS('Fund History'!$E$230:$E$234,'Fund History'!$D$230:$D$234,"&gt;="&amp;DATE(YEAR_Y-1,1,1),'Fund History'!$D$230:$D$234,"&lt;="&amp;DATE(YEAR_Y-1,12,31)))))</f>
        <v/>
      </c>
      <c r="AJ49" s="67">
        <f>IF($C49="","",IF(PULL_FUND="N","",IFERROR(BDP($C49,NDEBITDA_FIELD),"")))</f>
        <v/>
      </c>
      <c r="AK49" s="75">
        <f>IF($C49="","",IF(PULL_FUND="N","",IFERROR(BDP($C49,EBINT_FIELD),"")))</f>
        <v/>
      </c>
      <c r="AL49" s="73">
        <f>IF($C49="","",IF(PULL_FUND="N","",IFERROR(BDP($C49,FCF_FIELD)/100,"")))</f>
        <v/>
      </c>
      <c r="AM49" s="76">
        <f>IF($C49="","",IF(ISNUMBER(HSI!$I$44),HSI!$I$44/100,""))</f>
        <v/>
      </c>
      <c r="AN49" s="47">
        <f>IF($C49="","",IF(N($AM49)=0,"",IFERROR($AL49/$AM49,"")))</f>
        <v/>
      </c>
      <c r="AO49" s="33">
        <f>IF($C49="","",IF(ISNUMBER($S49)*ISNUMBER($W49)=0,"",IF($W49&gt;$S49+0.05,"rising",IF($W49&lt;$S49-0.05,"falling","stable"))))</f>
        <v/>
      </c>
      <c r="AP49" s="77">
        <f>IF($C49="","",TRIM(IF(ISNUMBER($X49)*(N($X49)&gt;$D$4)&gt;0,"payout high  ","")&amp;IF(ISNUMBER($AN49)*(N($AN49)&lt;$F$4)&gt;0,"FCF below dvd  ","")&amp;IF(ISNUMBER($AJ49)*(N($AJ49)&gt;$H$4)&gt;0,"leverage high","")))</f>
        <v/>
      </c>
      <c r="AQ49" s="78">
        <f>IF($C49="","",IF(HSI!$F$44="HKD","",HSI!$F$44))</f>
        <v/>
      </c>
    </row>
    <row r="50">
      <c r="B50" s="62" t="inlineStr">
        <is>
          <t>HSI</t>
        </is>
      </c>
      <c r="C50" s="6">
        <f>IF(HSI!$C$45="","",HSI!$C$45)</f>
        <v/>
      </c>
      <c r="D50" s="6">
        <f>IF($C50="","",HSI!$D$45)</f>
        <v/>
      </c>
      <c r="E50" s="6">
        <f>IF($C50="","",HSI!$E$45)</f>
        <v/>
      </c>
      <c r="F50" s="63">
        <f>IF($C50="","",SUMPRODUCT(('Dvd Calendar'!$E$429:$AR$429&gt;=DATE(YEAR_Y-5,1,1))*('Dvd Calendar'!$E$429:$AR$429&lt;=DATE(YEAR_Y-5,12,31))*'Dvd Calendar'!$E$432:$AR$432*(('Dvd Calendar'!$E$434:$AR$434=TYPE1)*(TYPE1&lt;&gt;"")+('Dvd Calendar'!$E$434:$AR$434=TYPE2)*(TYPE2&lt;&gt;"")+('Dvd Calendar'!$E$434:$AR$434=TYPE3)*(TYPE3&lt;&gt;"")+('Dvd Calendar'!$E$434:$AR$434=TYPE4)*(TYPE4&lt;&gt;"")+('Dvd Calendar'!$E$434:$AR$434=SPECIAL_LBL)*(INC_SPECIALS="Y"))))</f>
        <v/>
      </c>
      <c r="G50" s="64">
        <f>IF($C50="","",SUMPRODUCT(('Dvd Calendar'!$E$429:$AR$429&gt;=DATE(YEAR_Y-4,1,1))*('Dvd Calendar'!$E$429:$AR$429&lt;=DATE(YEAR_Y-4,12,31))*'Dvd Calendar'!$E$432:$AR$432*(('Dvd Calendar'!$E$434:$AR$434=TYPE1)*(TYPE1&lt;&gt;"")+('Dvd Calendar'!$E$434:$AR$434=TYPE2)*(TYPE2&lt;&gt;"")+('Dvd Calendar'!$E$434:$AR$434=TYPE3)*(TYPE3&lt;&gt;"")+('Dvd Calendar'!$E$434:$AR$434=TYPE4)*(TYPE4&lt;&gt;"")+('Dvd Calendar'!$E$434:$AR$434=SPECIAL_LBL)*(INC_SPECIALS="Y"))))</f>
        <v/>
      </c>
      <c r="H50" s="64">
        <f>IF($C50="","",SUMPRODUCT(('Dvd Calendar'!$E$429:$AR$429&gt;=DATE(YEAR_Y-3,1,1))*('Dvd Calendar'!$E$429:$AR$429&lt;=DATE(YEAR_Y-3,12,31))*'Dvd Calendar'!$E$432:$AR$432*(('Dvd Calendar'!$E$434:$AR$434=TYPE1)*(TYPE1&lt;&gt;"")+('Dvd Calendar'!$E$434:$AR$434=TYPE2)*(TYPE2&lt;&gt;"")+('Dvd Calendar'!$E$434:$AR$434=TYPE3)*(TYPE3&lt;&gt;"")+('Dvd Calendar'!$E$434:$AR$434=TYPE4)*(TYPE4&lt;&gt;"")+('Dvd Calendar'!$E$434:$AR$434=SPECIAL_LBL)*(INC_SPECIALS="Y"))))</f>
        <v/>
      </c>
      <c r="I50" s="64">
        <f>IF($C50="","",SUMPRODUCT(('Dvd Calendar'!$E$429:$AR$429&gt;=DATE(YEAR_Y-2,1,1))*('Dvd Calendar'!$E$429:$AR$429&lt;=DATE(YEAR_Y-2,12,31))*'Dvd Calendar'!$E$432:$AR$432*(('Dvd Calendar'!$E$434:$AR$434=TYPE1)*(TYPE1&lt;&gt;"")+('Dvd Calendar'!$E$434:$AR$434=TYPE2)*(TYPE2&lt;&gt;"")+('Dvd Calendar'!$E$434:$AR$434=TYPE3)*(TYPE3&lt;&gt;"")+('Dvd Calendar'!$E$434:$AR$434=TYPE4)*(TYPE4&lt;&gt;"")+('Dvd Calendar'!$E$434:$AR$434=SPECIAL_LBL)*(INC_SPECIALS="Y"))))</f>
        <v/>
      </c>
      <c r="J50" s="64">
        <f>IF($C50="","",SUMPRODUCT(('Dvd Calendar'!$E$429:$AR$429&gt;=DATE(YEAR_Y-1,1,1))*('Dvd Calendar'!$E$429:$AR$429&lt;=DATE(YEAR_Y-1,12,31))*'Dvd Calendar'!$E$432:$AR$432*(('Dvd Calendar'!$E$434:$AR$434=TYPE1)*(TYPE1&lt;&gt;"")+('Dvd Calendar'!$E$434:$AR$434=TYPE2)*(TYPE2&lt;&gt;"")+('Dvd Calendar'!$E$434:$AR$434=TYPE3)*(TYPE3&lt;&gt;"")+('Dvd Calendar'!$E$434:$AR$434=TYPE4)*(TYPE4&lt;&gt;"")+('Dvd Calendar'!$E$434:$AR$434=SPECIAL_LBL)*(INC_SPECIALS="Y"))))</f>
        <v/>
      </c>
      <c r="K50" s="65">
        <f>IF($C50="","",HSI!$J$45)</f>
        <v/>
      </c>
      <c r="L50" s="65">
        <f>IF($C50="","",HSI!$K$45)</f>
        <v/>
      </c>
      <c r="M50" s="41">
        <f>IF($C50="","",AVERAGE(F50:J50))</f>
        <v/>
      </c>
      <c r="N50" s="66">
        <f>IF($C50="","",IF(PULL_FUND="N","",IFERROR(BDP($C50,EPS_FIELD,YR_OVERRIDE,TEXT(YEAR_Y-5,"0")),"")))</f>
        <v/>
      </c>
      <c r="O50" s="67">
        <f>IF($C50="","",IF(PULL_FUND="N","",IFERROR(BDP($C50,EPS_FIELD,YR_OVERRIDE,TEXT(YEAR_Y-4,"0")),"")))</f>
        <v/>
      </c>
      <c r="P50" s="67">
        <f>IF($C50="","",IF(PULL_FUND="N","",IFERROR(BDP($C50,EPS_FIELD,YR_OVERRIDE,TEXT(YEAR_Y-3,"0")),"")))</f>
        <v/>
      </c>
      <c r="Q50" s="67">
        <f>IF($C50="","",IF(PULL_FUND="N","",IFERROR(BDP($C50,EPS_FIELD,YR_OVERRIDE,TEXT(YEAR_Y-2,"0")),"")))</f>
        <v/>
      </c>
      <c r="R50" s="67">
        <f>IF($C50="","",IF(PULL_FUND="N","",IFERROR(BDP($C50,EPS_FIELD,YR_OVERRIDE,TEXT(YEAR_Y-1,"0")),"")))</f>
        <v/>
      </c>
      <c r="S50" s="68">
        <f>IF($C50="","",IF(PULL_FUND="N","",IFERROR(BDP($C50,PAYOUT_FIELD,YR_OVERRIDE,TEXT(YEAR_Y-5,"0"))/100,"")))</f>
        <v/>
      </c>
      <c r="T50" s="68">
        <f>IF($C50="","",IF(PULL_FUND="N","",IFERROR(BDP($C50,PAYOUT_FIELD,YR_OVERRIDE,TEXT(YEAR_Y-4,"0"))/100,"")))</f>
        <v/>
      </c>
      <c r="U50" s="68">
        <f>IF($C50="","",IF(PULL_FUND="N","",IFERROR(BDP($C50,PAYOUT_FIELD,YR_OVERRIDE,TEXT(YEAR_Y-3,"0"))/100,"")))</f>
        <v/>
      </c>
      <c r="V50" s="68">
        <f>IF($C50="","",IF(PULL_FUND="N","",IFERROR(BDP($C50,PAYOUT_FIELD,YR_OVERRIDE,TEXT(YEAR_Y-2,"0"))/100,"")))</f>
        <v/>
      </c>
      <c r="W50" s="68">
        <f>IF($C50="","",IF(PULL_FUND="N","",IFERROR(BDP($C50,PAYOUT_FIELD,YR_OVERRIDE,TEXT(YEAR_Y-1,"0"))/100,"")))</f>
        <v/>
      </c>
      <c r="X50" s="69">
        <f>IF($C50="","",IFERROR(AVERAGE(S50:W50),""))</f>
        <v/>
      </c>
      <c r="Y50" s="66">
        <f>IF($C50="","",IF(PULL_FUND="N","",IFERROR(BDP($C50,BESTEPS_FIELD,FWD_OVERRIDE,TEXT(MOD(YEAR_Y,100),"00")&amp;"Y"),"")))</f>
        <v/>
      </c>
      <c r="Z50" s="70">
        <f>IF($C50="","",IF(PULL_FUND="N","",IFERROR(BDP($C50,BESTDPS_FIELD,FWD_OVERRIDE,TEXT(MOD(YEAR_Y,100),"00")&amp;"Y"),"")))</f>
        <v/>
      </c>
      <c r="AA50" s="71">
        <f>IF($C50="","",IF(ISNUMBER($Y50)*ISNUMBER($Z50)*($Y50&lt;&gt;0)=0,"",$Z50/$Y50))</f>
        <v/>
      </c>
      <c r="AB50" s="41">
        <f>IF($C50="","",HSI!$J$45+HSI!$L$45)</f>
        <v/>
      </c>
      <c r="AC50" s="72">
        <f>IF($C50="","",IF(PULL_FUND="N","",IF(COUNTIFS('Fund History'!$G$236:$G$240,"&gt;="&amp;DATE(YEAR_Y-4,1,1),'Fund History'!$G$236:$G$240,"&lt;="&amp;DATE(YEAR_Y-4,12,31))=0,"",SUMIFS('Fund History'!$H$236:$H$240,'Fund History'!$G$236:$G$240,"&gt;="&amp;DATE(YEAR_Y-4,1,1),'Fund History'!$G$236:$G$240,"&lt;="&amp;DATE(YEAR_Y-4,12,31))/100)))</f>
        <v/>
      </c>
      <c r="AD50" s="73">
        <f>IF($C50="","",IF(PULL_FUND="N","",IF(COUNTIFS('Fund History'!$G$236:$G$240,"&gt;="&amp;DATE(YEAR_Y-3,1,1),'Fund History'!$G$236:$G$240,"&lt;="&amp;DATE(YEAR_Y-3,12,31))=0,"",SUMIFS('Fund History'!$H$236:$H$240,'Fund History'!$G$236:$G$240,"&gt;="&amp;DATE(YEAR_Y-3,1,1),'Fund History'!$G$236:$G$240,"&lt;="&amp;DATE(YEAR_Y-3,12,31))/100)))</f>
        <v/>
      </c>
      <c r="AE50" s="73">
        <f>IF($C50="","",IF(PULL_FUND="N","",IF(COUNTIFS('Fund History'!$G$236:$G$240,"&gt;="&amp;DATE(YEAR_Y-2,1,1),'Fund History'!$G$236:$G$240,"&lt;="&amp;DATE(YEAR_Y-2,12,31))=0,"",SUMIFS('Fund History'!$H$236:$H$240,'Fund History'!$G$236:$G$240,"&gt;="&amp;DATE(YEAR_Y-2,1,1),'Fund History'!$G$236:$G$240,"&lt;="&amp;DATE(YEAR_Y-2,12,31))/100)))</f>
        <v/>
      </c>
      <c r="AF50" s="73">
        <f>IF($C50="","",IF(PULL_FUND="N","",IF(COUNTIFS('Fund History'!$G$236:$G$240,"&gt;="&amp;DATE(YEAR_Y-1,1,1),'Fund History'!$G$236:$G$240,"&lt;="&amp;DATE(YEAR_Y-1,12,31))=0,"",SUMIFS('Fund History'!$H$236:$H$240,'Fund History'!$G$236:$G$240,"&gt;="&amp;DATE(YEAR_Y-1,1,1),'Fund History'!$G$236:$G$240,"&lt;="&amp;DATE(YEAR_Y-1,12,31))/100)))</f>
        <v/>
      </c>
      <c r="AG50" s="74">
        <f>IF($C50="","",IF(N($AF50)+N(HSI!$I$45)=0,"",N($AF50)+N(HSI!$I$45)/100))</f>
        <v/>
      </c>
      <c r="AH50" s="66">
        <f>IF($C50="","",IF(PULL_FUND="N","",IF(COUNTIFS('Fund History'!$D$236:$D$240,"&gt;="&amp;DATE(YEAR_Y-2,1,1),'Fund History'!$D$236:$D$240,"&lt;="&amp;DATE(YEAR_Y-2,12,31))=0,"",SUMIFS('Fund History'!$E$236:$E$240,'Fund History'!$D$236:$D$240,"&gt;="&amp;DATE(YEAR_Y-2,1,1),'Fund History'!$D$236:$D$240,"&lt;="&amp;DATE(YEAR_Y-2,12,31)))))</f>
        <v/>
      </c>
      <c r="AI50" s="67">
        <f>IF($C50="","",IF(PULL_FUND="N","",IF(COUNTIFS('Fund History'!$D$236:$D$240,"&gt;="&amp;DATE(YEAR_Y-1,1,1),'Fund History'!$D$236:$D$240,"&lt;="&amp;DATE(YEAR_Y-1,12,31))=0,"",SUMIFS('Fund History'!$E$236:$E$240,'Fund History'!$D$236:$D$240,"&gt;="&amp;DATE(YEAR_Y-1,1,1),'Fund History'!$D$236:$D$240,"&lt;="&amp;DATE(YEAR_Y-1,12,31)))))</f>
        <v/>
      </c>
      <c r="AJ50" s="67">
        <f>IF($C50="","",IF(PULL_FUND="N","",IFERROR(BDP($C50,NDEBITDA_FIELD),"")))</f>
        <v/>
      </c>
      <c r="AK50" s="75">
        <f>IF($C50="","",IF(PULL_FUND="N","",IFERROR(BDP($C50,EBINT_FIELD),"")))</f>
        <v/>
      </c>
      <c r="AL50" s="73">
        <f>IF($C50="","",IF(PULL_FUND="N","",IFERROR(BDP($C50,FCF_FIELD)/100,"")))</f>
        <v/>
      </c>
      <c r="AM50" s="76">
        <f>IF($C50="","",IF(ISNUMBER(HSI!$I$45),HSI!$I$45/100,""))</f>
        <v/>
      </c>
      <c r="AN50" s="47">
        <f>IF($C50="","",IF(N($AM50)=0,"",IFERROR($AL50/$AM50,"")))</f>
        <v/>
      </c>
      <c r="AO50" s="33">
        <f>IF($C50="","",IF(ISNUMBER($S50)*ISNUMBER($W50)=0,"",IF($W50&gt;$S50+0.05,"rising",IF($W50&lt;$S50-0.05,"falling","stable"))))</f>
        <v/>
      </c>
      <c r="AP50" s="77">
        <f>IF($C50="","",TRIM(IF(ISNUMBER($X50)*(N($X50)&gt;$D$4)&gt;0,"payout high  ","")&amp;IF(ISNUMBER($AN50)*(N($AN50)&lt;$F$4)&gt;0,"FCF below dvd  ","")&amp;IF(ISNUMBER($AJ50)*(N($AJ50)&gt;$H$4)&gt;0,"leverage high","")))</f>
        <v/>
      </c>
      <c r="AQ50" s="78">
        <f>IF($C50="","",IF(HSI!$F$45="HKD","",HSI!$F$45))</f>
        <v/>
      </c>
    </row>
    <row r="51">
      <c r="B51" s="62" t="inlineStr">
        <is>
          <t>HSI</t>
        </is>
      </c>
      <c r="C51" s="6">
        <f>IF(HSI!$C$46="","",HSI!$C$46)</f>
        <v/>
      </c>
      <c r="D51" s="6">
        <f>IF($C51="","",HSI!$D$46)</f>
        <v/>
      </c>
      <c r="E51" s="6">
        <f>IF($C51="","",HSI!$E$46)</f>
        <v/>
      </c>
      <c r="F51" s="63">
        <f>IF($C51="","",SUMPRODUCT(('Dvd Calendar'!$E$440:$AR$440&gt;=DATE(YEAR_Y-5,1,1))*('Dvd Calendar'!$E$440:$AR$440&lt;=DATE(YEAR_Y-5,12,31))*'Dvd Calendar'!$E$443:$AR$443*(('Dvd Calendar'!$E$445:$AR$445=TYPE1)*(TYPE1&lt;&gt;"")+('Dvd Calendar'!$E$445:$AR$445=TYPE2)*(TYPE2&lt;&gt;"")+('Dvd Calendar'!$E$445:$AR$445=TYPE3)*(TYPE3&lt;&gt;"")+('Dvd Calendar'!$E$445:$AR$445=TYPE4)*(TYPE4&lt;&gt;"")+('Dvd Calendar'!$E$445:$AR$445=SPECIAL_LBL)*(INC_SPECIALS="Y"))))</f>
        <v/>
      </c>
      <c r="G51" s="64">
        <f>IF($C51="","",SUMPRODUCT(('Dvd Calendar'!$E$440:$AR$440&gt;=DATE(YEAR_Y-4,1,1))*('Dvd Calendar'!$E$440:$AR$440&lt;=DATE(YEAR_Y-4,12,31))*'Dvd Calendar'!$E$443:$AR$443*(('Dvd Calendar'!$E$445:$AR$445=TYPE1)*(TYPE1&lt;&gt;"")+('Dvd Calendar'!$E$445:$AR$445=TYPE2)*(TYPE2&lt;&gt;"")+('Dvd Calendar'!$E$445:$AR$445=TYPE3)*(TYPE3&lt;&gt;"")+('Dvd Calendar'!$E$445:$AR$445=TYPE4)*(TYPE4&lt;&gt;"")+('Dvd Calendar'!$E$445:$AR$445=SPECIAL_LBL)*(INC_SPECIALS="Y"))))</f>
        <v/>
      </c>
      <c r="H51" s="64">
        <f>IF($C51="","",SUMPRODUCT(('Dvd Calendar'!$E$440:$AR$440&gt;=DATE(YEAR_Y-3,1,1))*('Dvd Calendar'!$E$440:$AR$440&lt;=DATE(YEAR_Y-3,12,31))*'Dvd Calendar'!$E$443:$AR$443*(('Dvd Calendar'!$E$445:$AR$445=TYPE1)*(TYPE1&lt;&gt;"")+('Dvd Calendar'!$E$445:$AR$445=TYPE2)*(TYPE2&lt;&gt;"")+('Dvd Calendar'!$E$445:$AR$445=TYPE3)*(TYPE3&lt;&gt;"")+('Dvd Calendar'!$E$445:$AR$445=TYPE4)*(TYPE4&lt;&gt;"")+('Dvd Calendar'!$E$445:$AR$445=SPECIAL_LBL)*(INC_SPECIALS="Y"))))</f>
        <v/>
      </c>
      <c r="I51" s="64">
        <f>IF($C51="","",SUMPRODUCT(('Dvd Calendar'!$E$440:$AR$440&gt;=DATE(YEAR_Y-2,1,1))*('Dvd Calendar'!$E$440:$AR$440&lt;=DATE(YEAR_Y-2,12,31))*'Dvd Calendar'!$E$443:$AR$443*(('Dvd Calendar'!$E$445:$AR$445=TYPE1)*(TYPE1&lt;&gt;"")+('Dvd Calendar'!$E$445:$AR$445=TYPE2)*(TYPE2&lt;&gt;"")+('Dvd Calendar'!$E$445:$AR$445=TYPE3)*(TYPE3&lt;&gt;"")+('Dvd Calendar'!$E$445:$AR$445=TYPE4)*(TYPE4&lt;&gt;"")+('Dvd Calendar'!$E$445:$AR$445=SPECIAL_LBL)*(INC_SPECIALS="Y"))))</f>
        <v/>
      </c>
      <c r="J51" s="64">
        <f>IF($C51="","",SUMPRODUCT(('Dvd Calendar'!$E$440:$AR$440&gt;=DATE(YEAR_Y-1,1,1))*('Dvd Calendar'!$E$440:$AR$440&lt;=DATE(YEAR_Y-1,12,31))*'Dvd Calendar'!$E$443:$AR$443*(('Dvd Calendar'!$E$445:$AR$445=TYPE1)*(TYPE1&lt;&gt;"")+('Dvd Calendar'!$E$445:$AR$445=TYPE2)*(TYPE2&lt;&gt;"")+('Dvd Calendar'!$E$445:$AR$445=TYPE3)*(TYPE3&lt;&gt;"")+('Dvd Calendar'!$E$445:$AR$445=TYPE4)*(TYPE4&lt;&gt;"")+('Dvd Calendar'!$E$445:$AR$445=SPECIAL_LBL)*(INC_SPECIALS="Y"))))</f>
        <v/>
      </c>
      <c r="K51" s="65">
        <f>IF($C51="","",HSI!$J$46)</f>
        <v/>
      </c>
      <c r="L51" s="65">
        <f>IF($C51="","",HSI!$K$46)</f>
        <v/>
      </c>
      <c r="M51" s="41">
        <f>IF($C51="","",AVERAGE(F51:J51))</f>
        <v/>
      </c>
      <c r="N51" s="66">
        <f>IF($C51="","",IF(PULL_FUND="N","",IFERROR(BDP($C51,EPS_FIELD,YR_OVERRIDE,TEXT(YEAR_Y-5,"0")),"")))</f>
        <v/>
      </c>
      <c r="O51" s="67">
        <f>IF($C51="","",IF(PULL_FUND="N","",IFERROR(BDP($C51,EPS_FIELD,YR_OVERRIDE,TEXT(YEAR_Y-4,"0")),"")))</f>
        <v/>
      </c>
      <c r="P51" s="67">
        <f>IF($C51="","",IF(PULL_FUND="N","",IFERROR(BDP($C51,EPS_FIELD,YR_OVERRIDE,TEXT(YEAR_Y-3,"0")),"")))</f>
        <v/>
      </c>
      <c r="Q51" s="67">
        <f>IF($C51="","",IF(PULL_FUND="N","",IFERROR(BDP($C51,EPS_FIELD,YR_OVERRIDE,TEXT(YEAR_Y-2,"0")),"")))</f>
        <v/>
      </c>
      <c r="R51" s="67">
        <f>IF($C51="","",IF(PULL_FUND="N","",IFERROR(BDP($C51,EPS_FIELD,YR_OVERRIDE,TEXT(YEAR_Y-1,"0")),"")))</f>
        <v/>
      </c>
      <c r="S51" s="68">
        <f>IF($C51="","",IF(PULL_FUND="N","",IFERROR(BDP($C51,PAYOUT_FIELD,YR_OVERRIDE,TEXT(YEAR_Y-5,"0"))/100,"")))</f>
        <v/>
      </c>
      <c r="T51" s="68">
        <f>IF($C51="","",IF(PULL_FUND="N","",IFERROR(BDP($C51,PAYOUT_FIELD,YR_OVERRIDE,TEXT(YEAR_Y-4,"0"))/100,"")))</f>
        <v/>
      </c>
      <c r="U51" s="68">
        <f>IF($C51="","",IF(PULL_FUND="N","",IFERROR(BDP($C51,PAYOUT_FIELD,YR_OVERRIDE,TEXT(YEAR_Y-3,"0"))/100,"")))</f>
        <v/>
      </c>
      <c r="V51" s="68">
        <f>IF($C51="","",IF(PULL_FUND="N","",IFERROR(BDP($C51,PAYOUT_FIELD,YR_OVERRIDE,TEXT(YEAR_Y-2,"0"))/100,"")))</f>
        <v/>
      </c>
      <c r="W51" s="68">
        <f>IF($C51="","",IF(PULL_FUND="N","",IFERROR(BDP($C51,PAYOUT_FIELD,YR_OVERRIDE,TEXT(YEAR_Y-1,"0"))/100,"")))</f>
        <v/>
      </c>
      <c r="X51" s="69">
        <f>IF($C51="","",IFERROR(AVERAGE(S51:W51),""))</f>
        <v/>
      </c>
      <c r="Y51" s="66">
        <f>IF($C51="","",IF(PULL_FUND="N","",IFERROR(BDP($C51,BESTEPS_FIELD,FWD_OVERRIDE,TEXT(MOD(YEAR_Y,100),"00")&amp;"Y"),"")))</f>
        <v/>
      </c>
      <c r="Z51" s="70">
        <f>IF($C51="","",IF(PULL_FUND="N","",IFERROR(BDP($C51,BESTDPS_FIELD,FWD_OVERRIDE,TEXT(MOD(YEAR_Y,100),"00")&amp;"Y"),"")))</f>
        <v/>
      </c>
      <c r="AA51" s="71">
        <f>IF($C51="","",IF(ISNUMBER($Y51)*ISNUMBER($Z51)*($Y51&lt;&gt;0)=0,"",$Z51/$Y51))</f>
        <v/>
      </c>
      <c r="AB51" s="41">
        <f>IF($C51="","",HSI!$J$46+HSI!$L$46)</f>
        <v/>
      </c>
      <c r="AC51" s="72">
        <f>IF($C51="","",IF(PULL_FUND="N","",IF(COUNTIFS('Fund History'!$G$242:$G$246,"&gt;="&amp;DATE(YEAR_Y-4,1,1),'Fund History'!$G$242:$G$246,"&lt;="&amp;DATE(YEAR_Y-4,12,31))=0,"",SUMIFS('Fund History'!$H$242:$H$246,'Fund History'!$G$242:$G$246,"&gt;="&amp;DATE(YEAR_Y-4,1,1),'Fund History'!$G$242:$G$246,"&lt;="&amp;DATE(YEAR_Y-4,12,31))/100)))</f>
        <v/>
      </c>
      <c r="AD51" s="73">
        <f>IF($C51="","",IF(PULL_FUND="N","",IF(COUNTIFS('Fund History'!$G$242:$G$246,"&gt;="&amp;DATE(YEAR_Y-3,1,1),'Fund History'!$G$242:$G$246,"&lt;="&amp;DATE(YEAR_Y-3,12,31))=0,"",SUMIFS('Fund History'!$H$242:$H$246,'Fund History'!$G$242:$G$246,"&gt;="&amp;DATE(YEAR_Y-3,1,1),'Fund History'!$G$242:$G$246,"&lt;="&amp;DATE(YEAR_Y-3,12,31))/100)))</f>
        <v/>
      </c>
      <c r="AE51" s="73">
        <f>IF($C51="","",IF(PULL_FUND="N","",IF(COUNTIFS('Fund History'!$G$242:$G$246,"&gt;="&amp;DATE(YEAR_Y-2,1,1),'Fund History'!$G$242:$G$246,"&lt;="&amp;DATE(YEAR_Y-2,12,31))=0,"",SUMIFS('Fund History'!$H$242:$H$246,'Fund History'!$G$242:$G$246,"&gt;="&amp;DATE(YEAR_Y-2,1,1),'Fund History'!$G$242:$G$246,"&lt;="&amp;DATE(YEAR_Y-2,12,31))/100)))</f>
        <v/>
      </c>
      <c r="AF51" s="73">
        <f>IF($C51="","",IF(PULL_FUND="N","",IF(COUNTIFS('Fund History'!$G$242:$G$246,"&gt;="&amp;DATE(YEAR_Y-1,1,1),'Fund History'!$G$242:$G$246,"&lt;="&amp;DATE(YEAR_Y-1,12,31))=0,"",SUMIFS('Fund History'!$H$242:$H$246,'Fund History'!$G$242:$G$246,"&gt;="&amp;DATE(YEAR_Y-1,1,1),'Fund History'!$G$242:$G$246,"&lt;="&amp;DATE(YEAR_Y-1,12,31))/100)))</f>
        <v/>
      </c>
      <c r="AG51" s="74">
        <f>IF($C51="","",IF(N($AF51)+N(HSI!$I$46)=0,"",N($AF51)+N(HSI!$I$46)/100))</f>
        <v/>
      </c>
      <c r="AH51" s="66">
        <f>IF($C51="","",IF(PULL_FUND="N","",IF(COUNTIFS('Fund History'!$D$242:$D$246,"&gt;="&amp;DATE(YEAR_Y-2,1,1),'Fund History'!$D$242:$D$246,"&lt;="&amp;DATE(YEAR_Y-2,12,31))=0,"",SUMIFS('Fund History'!$E$242:$E$246,'Fund History'!$D$242:$D$246,"&gt;="&amp;DATE(YEAR_Y-2,1,1),'Fund History'!$D$242:$D$246,"&lt;="&amp;DATE(YEAR_Y-2,12,31)))))</f>
        <v/>
      </c>
      <c r="AI51" s="67">
        <f>IF($C51="","",IF(PULL_FUND="N","",IF(COUNTIFS('Fund History'!$D$242:$D$246,"&gt;="&amp;DATE(YEAR_Y-1,1,1),'Fund History'!$D$242:$D$246,"&lt;="&amp;DATE(YEAR_Y-1,12,31))=0,"",SUMIFS('Fund History'!$E$242:$E$246,'Fund History'!$D$242:$D$246,"&gt;="&amp;DATE(YEAR_Y-1,1,1),'Fund History'!$D$242:$D$246,"&lt;="&amp;DATE(YEAR_Y-1,12,31)))))</f>
        <v/>
      </c>
      <c r="AJ51" s="67">
        <f>IF($C51="","",IF(PULL_FUND="N","",IFERROR(BDP($C51,NDEBITDA_FIELD),"")))</f>
        <v/>
      </c>
      <c r="AK51" s="75">
        <f>IF($C51="","",IF(PULL_FUND="N","",IFERROR(BDP($C51,EBINT_FIELD),"")))</f>
        <v/>
      </c>
      <c r="AL51" s="73">
        <f>IF($C51="","",IF(PULL_FUND="N","",IFERROR(BDP($C51,FCF_FIELD)/100,"")))</f>
        <v/>
      </c>
      <c r="AM51" s="76">
        <f>IF($C51="","",IF(ISNUMBER(HSI!$I$46),HSI!$I$46/100,""))</f>
        <v/>
      </c>
      <c r="AN51" s="47">
        <f>IF($C51="","",IF(N($AM51)=0,"",IFERROR($AL51/$AM51,"")))</f>
        <v/>
      </c>
      <c r="AO51" s="33">
        <f>IF($C51="","",IF(ISNUMBER($S51)*ISNUMBER($W51)=0,"",IF($W51&gt;$S51+0.05,"rising",IF($W51&lt;$S51-0.05,"falling","stable"))))</f>
        <v/>
      </c>
      <c r="AP51" s="77">
        <f>IF($C51="","",TRIM(IF(ISNUMBER($X51)*(N($X51)&gt;$D$4)&gt;0,"payout high  ","")&amp;IF(ISNUMBER($AN51)*(N($AN51)&lt;$F$4)&gt;0,"FCF below dvd  ","")&amp;IF(ISNUMBER($AJ51)*(N($AJ51)&gt;$H$4)&gt;0,"leverage high","")))</f>
        <v/>
      </c>
      <c r="AQ51" s="78">
        <f>IF($C51="","",IF(HSI!$F$46="HKD","",HSI!$F$46))</f>
        <v/>
      </c>
    </row>
    <row r="52">
      <c r="B52" s="62" t="inlineStr">
        <is>
          <t>HSI</t>
        </is>
      </c>
      <c r="C52" s="6">
        <f>IF(HSI!$C$47="","",HSI!$C$47)</f>
        <v/>
      </c>
      <c r="D52" s="6">
        <f>IF($C52="","",HSI!$D$47)</f>
        <v/>
      </c>
      <c r="E52" s="6">
        <f>IF($C52="","",HSI!$E$47)</f>
        <v/>
      </c>
      <c r="F52" s="63">
        <f>IF($C52="","",SUMPRODUCT(('Dvd Calendar'!$E$451:$AR$451&gt;=DATE(YEAR_Y-5,1,1))*('Dvd Calendar'!$E$451:$AR$451&lt;=DATE(YEAR_Y-5,12,31))*'Dvd Calendar'!$E$454:$AR$454*(('Dvd Calendar'!$E$456:$AR$456=TYPE1)*(TYPE1&lt;&gt;"")+('Dvd Calendar'!$E$456:$AR$456=TYPE2)*(TYPE2&lt;&gt;"")+('Dvd Calendar'!$E$456:$AR$456=TYPE3)*(TYPE3&lt;&gt;"")+('Dvd Calendar'!$E$456:$AR$456=TYPE4)*(TYPE4&lt;&gt;"")+('Dvd Calendar'!$E$456:$AR$456=SPECIAL_LBL)*(INC_SPECIALS="Y"))))</f>
        <v/>
      </c>
      <c r="G52" s="64">
        <f>IF($C52="","",SUMPRODUCT(('Dvd Calendar'!$E$451:$AR$451&gt;=DATE(YEAR_Y-4,1,1))*('Dvd Calendar'!$E$451:$AR$451&lt;=DATE(YEAR_Y-4,12,31))*'Dvd Calendar'!$E$454:$AR$454*(('Dvd Calendar'!$E$456:$AR$456=TYPE1)*(TYPE1&lt;&gt;"")+('Dvd Calendar'!$E$456:$AR$456=TYPE2)*(TYPE2&lt;&gt;"")+('Dvd Calendar'!$E$456:$AR$456=TYPE3)*(TYPE3&lt;&gt;"")+('Dvd Calendar'!$E$456:$AR$456=TYPE4)*(TYPE4&lt;&gt;"")+('Dvd Calendar'!$E$456:$AR$456=SPECIAL_LBL)*(INC_SPECIALS="Y"))))</f>
        <v/>
      </c>
      <c r="H52" s="64">
        <f>IF($C52="","",SUMPRODUCT(('Dvd Calendar'!$E$451:$AR$451&gt;=DATE(YEAR_Y-3,1,1))*('Dvd Calendar'!$E$451:$AR$451&lt;=DATE(YEAR_Y-3,12,31))*'Dvd Calendar'!$E$454:$AR$454*(('Dvd Calendar'!$E$456:$AR$456=TYPE1)*(TYPE1&lt;&gt;"")+('Dvd Calendar'!$E$456:$AR$456=TYPE2)*(TYPE2&lt;&gt;"")+('Dvd Calendar'!$E$456:$AR$456=TYPE3)*(TYPE3&lt;&gt;"")+('Dvd Calendar'!$E$456:$AR$456=TYPE4)*(TYPE4&lt;&gt;"")+('Dvd Calendar'!$E$456:$AR$456=SPECIAL_LBL)*(INC_SPECIALS="Y"))))</f>
        <v/>
      </c>
      <c r="I52" s="64">
        <f>IF($C52="","",SUMPRODUCT(('Dvd Calendar'!$E$451:$AR$451&gt;=DATE(YEAR_Y-2,1,1))*('Dvd Calendar'!$E$451:$AR$451&lt;=DATE(YEAR_Y-2,12,31))*'Dvd Calendar'!$E$454:$AR$454*(('Dvd Calendar'!$E$456:$AR$456=TYPE1)*(TYPE1&lt;&gt;"")+('Dvd Calendar'!$E$456:$AR$456=TYPE2)*(TYPE2&lt;&gt;"")+('Dvd Calendar'!$E$456:$AR$456=TYPE3)*(TYPE3&lt;&gt;"")+('Dvd Calendar'!$E$456:$AR$456=TYPE4)*(TYPE4&lt;&gt;"")+('Dvd Calendar'!$E$456:$AR$456=SPECIAL_LBL)*(INC_SPECIALS="Y"))))</f>
        <v/>
      </c>
      <c r="J52" s="64">
        <f>IF($C52="","",SUMPRODUCT(('Dvd Calendar'!$E$451:$AR$451&gt;=DATE(YEAR_Y-1,1,1))*('Dvd Calendar'!$E$451:$AR$451&lt;=DATE(YEAR_Y-1,12,31))*'Dvd Calendar'!$E$454:$AR$454*(('Dvd Calendar'!$E$456:$AR$456=TYPE1)*(TYPE1&lt;&gt;"")+('Dvd Calendar'!$E$456:$AR$456=TYPE2)*(TYPE2&lt;&gt;"")+('Dvd Calendar'!$E$456:$AR$456=TYPE3)*(TYPE3&lt;&gt;"")+('Dvd Calendar'!$E$456:$AR$456=TYPE4)*(TYPE4&lt;&gt;"")+('Dvd Calendar'!$E$456:$AR$456=SPECIAL_LBL)*(INC_SPECIALS="Y"))))</f>
        <v/>
      </c>
      <c r="K52" s="65">
        <f>IF($C52="","",HSI!$J$47)</f>
        <v/>
      </c>
      <c r="L52" s="65">
        <f>IF($C52="","",HSI!$K$47)</f>
        <v/>
      </c>
      <c r="M52" s="41">
        <f>IF($C52="","",AVERAGE(F52:J52))</f>
        <v/>
      </c>
      <c r="N52" s="66">
        <f>IF($C52="","",IF(PULL_FUND="N","",IFERROR(BDP($C52,EPS_FIELD,YR_OVERRIDE,TEXT(YEAR_Y-5,"0")),"")))</f>
        <v/>
      </c>
      <c r="O52" s="67">
        <f>IF($C52="","",IF(PULL_FUND="N","",IFERROR(BDP($C52,EPS_FIELD,YR_OVERRIDE,TEXT(YEAR_Y-4,"0")),"")))</f>
        <v/>
      </c>
      <c r="P52" s="67">
        <f>IF($C52="","",IF(PULL_FUND="N","",IFERROR(BDP($C52,EPS_FIELD,YR_OVERRIDE,TEXT(YEAR_Y-3,"0")),"")))</f>
        <v/>
      </c>
      <c r="Q52" s="67">
        <f>IF($C52="","",IF(PULL_FUND="N","",IFERROR(BDP($C52,EPS_FIELD,YR_OVERRIDE,TEXT(YEAR_Y-2,"0")),"")))</f>
        <v/>
      </c>
      <c r="R52" s="67">
        <f>IF($C52="","",IF(PULL_FUND="N","",IFERROR(BDP($C52,EPS_FIELD,YR_OVERRIDE,TEXT(YEAR_Y-1,"0")),"")))</f>
        <v/>
      </c>
      <c r="S52" s="68">
        <f>IF($C52="","",IF(PULL_FUND="N","",IFERROR(BDP($C52,PAYOUT_FIELD,YR_OVERRIDE,TEXT(YEAR_Y-5,"0"))/100,"")))</f>
        <v/>
      </c>
      <c r="T52" s="68">
        <f>IF($C52="","",IF(PULL_FUND="N","",IFERROR(BDP($C52,PAYOUT_FIELD,YR_OVERRIDE,TEXT(YEAR_Y-4,"0"))/100,"")))</f>
        <v/>
      </c>
      <c r="U52" s="68">
        <f>IF($C52="","",IF(PULL_FUND="N","",IFERROR(BDP($C52,PAYOUT_FIELD,YR_OVERRIDE,TEXT(YEAR_Y-3,"0"))/100,"")))</f>
        <v/>
      </c>
      <c r="V52" s="68">
        <f>IF($C52="","",IF(PULL_FUND="N","",IFERROR(BDP($C52,PAYOUT_FIELD,YR_OVERRIDE,TEXT(YEAR_Y-2,"0"))/100,"")))</f>
        <v/>
      </c>
      <c r="W52" s="68">
        <f>IF($C52="","",IF(PULL_FUND="N","",IFERROR(BDP($C52,PAYOUT_FIELD,YR_OVERRIDE,TEXT(YEAR_Y-1,"0"))/100,"")))</f>
        <v/>
      </c>
      <c r="X52" s="69">
        <f>IF($C52="","",IFERROR(AVERAGE(S52:W52),""))</f>
        <v/>
      </c>
      <c r="Y52" s="66">
        <f>IF($C52="","",IF(PULL_FUND="N","",IFERROR(BDP($C52,BESTEPS_FIELD,FWD_OVERRIDE,TEXT(MOD(YEAR_Y,100),"00")&amp;"Y"),"")))</f>
        <v/>
      </c>
      <c r="Z52" s="70">
        <f>IF($C52="","",IF(PULL_FUND="N","",IFERROR(BDP($C52,BESTDPS_FIELD,FWD_OVERRIDE,TEXT(MOD(YEAR_Y,100),"00")&amp;"Y"),"")))</f>
        <v/>
      </c>
      <c r="AA52" s="71">
        <f>IF($C52="","",IF(ISNUMBER($Y52)*ISNUMBER($Z52)*($Y52&lt;&gt;0)=0,"",$Z52/$Y52))</f>
        <v/>
      </c>
      <c r="AB52" s="41">
        <f>IF($C52="","",HSI!$J$47+HSI!$L$47)</f>
        <v/>
      </c>
      <c r="AC52" s="72">
        <f>IF($C52="","",IF(PULL_FUND="N","",IF(COUNTIFS('Fund History'!$G$248:$G$252,"&gt;="&amp;DATE(YEAR_Y-4,1,1),'Fund History'!$G$248:$G$252,"&lt;="&amp;DATE(YEAR_Y-4,12,31))=0,"",SUMIFS('Fund History'!$H$248:$H$252,'Fund History'!$G$248:$G$252,"&gt;="&amp;DATE(YEAR_Y-4,1,1),'Fund History'!$G$248:$G$252,"&lt;="&amp;DATE(YEAR_Y-4,12,31))/100)))</f>
        <v/>
      </c>
      <c r="AD52" s="73">
        <f>IF($C52="","",IF(PULL_FUND="N","",IF(COUNTIFS('Fund History'!$G$248:$G$252,"&gt;="&amp;DATE(YEAR_Y-3,1,1),'Fund History'!$G$248:$G$252,"&lt;="&amp;DATE(YEAR_Y-3,12,31))=0,"",SUMIFS('Fund History'!$H$248:$H$252,'Fund History'!$G$248:$G$252,"&gt;="&amp;DATE(YEAR_Y-3,1,1),'Fund History'!$G$248:$G$252,"&lt;="&amp;DATE(YEAR_Y-3,12,31))/100)))</f>
        <v/>
      </c>
      <c r="AE52" s="73">
        <f>IF($C52="","",IF(PULL_FUND="N","",IF(COUNTIFS('Fund History'!$G$248:$G$252,"&gt;="&amp;DATE(YEAR_Y-2,1,1),'Fund History'!$G$248:$G$252,"&lt;="&amp;DATE(YEAR_Y-2,12,31))=0,"",SUMIFS('Fund History'!$H$248:$H$252,'Fund History'!$G$248:$G$252,"&gt;="&amp;DATE(YEAR_Y-2,1,1),'Fund History'!$G$248:$G$252,"&lt;="&amp;DATE(YEAR_Y-2,12,31))/100)))</f>
        <v/>
      </c>
      <c r="AF52" s="73">
        <f>IF($C52="","",IF(PULL_FUND="N","",IF(COUNTIFS('Fund History'!$G$248:$G$252,"&gt;="&amp;DATE(YEAR_Y-1,1,1),'Fund History'!$G$248:$G$252,"&lt;="&amp;DATE(YEAR_Y-1,12,31))=0,"",SUMIFS('Fund History'!$H$248:$H$252,'Fund History'!$G$248:$G$252,"&gt;="&amp;DATE(YEAR_Y-1,1,1),'Fund History'!$G$248:$G$252,"&lt;="&amp;DATE(YEAR_Y-1,12,31))/100)))</f>
        <v/>
      </c>
      <c r="AG52" s="74">
        <f>IF($C52="","",IF(N($AF52)+N(HSI!$I$47)=0,"",N($AF52)+N(HSI!$I$47)/100))</f>
        <v/>
      </c>
      <c r="AH52" s="66">
        <f>IF($C52="","",IF(PULL_FUND="N","",IF(COUNTIFS('Fund History'!$D$248:$D$252,"&gt;="&amp;DATE(YEAR_Y-2,1,1),'Fund History'!$D$248:$D$252,"&lt;="&amp;DATE(YEAR_Y-2,12,31))=0,"",SUMIFS('Fund History'!$E$248:$E$252,'Fund History'!$D$248:$D$252,"&gt;="&amp;DATE(YEAR_Y-2,1,1),'Fund History'!$D$248:$D$252,"&lt;="&amp;DATE(YEAR_Y-2,12,31)))))</f>
        <v/>
      </c>
      <c r="AI52" s="67">
        <f>IF($C52="","",IF(PULL_FUND="N","",IF(COUNTIFS('Fund History'!$D$248:$D$252,"&gt;="&amp;DATE(YEAR_Y-1,1,1),'Fund History'!$D$248:$D$252,"&lt;="&amp;DATE(YEAR_Y-1,12,31))=0,"",SUMIFS('Fund History'!$E$248:$E$252,'Fund History'!$D$248:$D$252,"&gt;="&amp;DATE(YEAR_Y-1,1,1),'Fund History'!$D$248:$D$252,"&lt;="&amp;DATE(YEAR_Y-1,12,31)))))</f>
        <v/>
      </c>
      <c r="AJ52" s="67">
        <f>IF($C52="","",IF(PULL_FUND="N","",IFERROR(BDP($C52,NDEBITDA_FIELD),"")))</f>
        <v/>
      </c>
      <c r="AK52" s="75">
        <f>IF($C52="","",IF(PULL_FUND="N","",IFERROR(BDP($C52,EBINT_FIELD),"")))</f>
        <v/>
      </c>
      <c r="AL52" s="73">
        <f>IF($C52="","",IF(PULL_FUND="N","",IFERROR(BDP($C52,FCF_FIELD)/100,"")))</f>
        <v/>
      </c>
      <c r="AM52" s="76">
        <f>IF($C52="","",IF(ISNUMBER(HSI!$I$47),HSI!$I$47/100,""))</f>
        <v/>
      </c>
      <c r="AN52" s="47">
        <f>IF($C52="","",IF(N($AM52)=0,"",IFERROR($AL52/$AM52,"")))</f>
        <v/>
      </c>
      <c r="AO52" s="33">
        <f>IF($C52="","",IF(ISNUMBER($S52)*ISNUMBER($W52)=0,"",IF($W52&gt;$S52+0.05,"rising",IF($W52&lt;$S52-0.05,"falling","stable"))))</f>
        <v/>
      </c>
      <c r="AP52" s="77">
        <f>IF($C52="","",TRIM(IF(ISNUMBER($X52)*(N($X52)&gt;$D$4)&gt;0,"payout high  ","")&amp;IF(ISNUMBER($AN52)*(N($AN52)&lt;$F$4)&gt;0,"FCF below dvd  ","")&amp;IF(ISNUMBER($AJ52)*(N($AJ52)&gt;$H$4)&gt;0,"leverage high","")))</f>
        <v/>
      </c>
      <c r="AQ52" s="78">
        <f>IF($C52="","",IF(HSI!$F$47="HKD","",HSI!$F$47))</f>
        <v/>
      </c>
    </row>
    <row r="53">
      <c r="B53" s="62" t="inlineStr">
        <is>
          <t>HSI</t>
        </is>
      </c>
      <c r="C53" s="6">
        <f>IF(HSI!$C$48="","",HSI!$C$48)</f>
        <v/>
      </c>
      <c r="D53" s="6">
        <f>IF($C53="","",HSI!$D$48)</f>
        <v/>
      </c>
      <c r="E53" s="6">
        <f>IF($C53="","",HSI!$E$48)</f>
        <v/>
      </c>
      <c r="F53" s="63">
        <f>IF($C53="","",SUMPRODUCT(('Dvd Calendar'!$E$462:$AR$462&gt;=DATE(YEAR_Y-5,1,1))*('Dvd Calendar'!$E$462:$AR$462&lt;=DATE(YEAR_Y-5,12,31))*'Dvd Calendar'!$E$465:$AR$465*(('Dvd Calendar'!$E$467:$AR$467=TYPE1)*(TYPE1&lt;&gt;"")+('Dvd Calendar'!$E$467:$AR$467=TYPE2)*(TYPE2&lt;&gt;"")+('Dvd Calendar'!$E$467:$AR$467=TYPE3)*(TYPE3&lt;&gt;"")+('Dvd Calendar'!$E$467:$AR$467=TYPE4)*(TYPE4&lt;&gt;"")+('Dvd Calendar'!$E$467:$AR$467=SPECIAL_LBL)*(INC_SPECIALS="Y"))))</f>
        <v/>
      </c>
      <c r="G53" s="64">
        <f>IF($C53="","",SUMPRODUCT(('Dvd Calendar'!$E$462:$AR$462&gt;=DATE(YEAR_Y-4,1,1))*('Dvd Calendar'!$E$462:$AR$462&lt;=DATE(YEAR_Y-4,12,31))*'Dvd Calendar'!$E$465:$AR$465*(('Dvd Calendar'!$E$467:$AR$467=TYPE1)*(TYPE1&lt;&gt;"")+('Dvd Calendar'!$E$467:$AR$467=TYPE2)*(TYPE2&lt;&gt;"")+('Dvd Calendar'!$E$467:$AR$467=TYPE3)*(TYPE3&lt;&gt;"")+('Dvd Calendar'!$E$467:$AR$467=TYPE4)*(TYPE4&lt;&gt;"")+('Dvd Calendar'!$E$467:$AR$467=SPECIAL_LBL)*(INC_SPECIALS="Y"))))</f>
        <v/>
      </c>
      <c r="H53" s="64">
        <f>IF($C53="","",SUMPRODUCT(('Dvd Calendar'!$E$462:$AR$462&gt;=DATE(YEAR_Y-3,1,1))*('Dvd Calendar'!$E$462:$AR$462&lt;=DATE(YEAR_Y-3,12,31))*'Dvd Calendar'!$E$465:$AR$465*(('Dvd Calendar'!$E$467:$AR$467=TYPE1)*(TYPE1&lt;&gt;"")+('Dvd Calendar'!$E$467:$AR$467=TYPE2)*(TYPE2&lt;&gt;"")+('Dvd Calendar'!$E$467:$AR$467=TYPE3)*(TYPE3&lt;&gt;"")+('Dvd Calendar'!$E$467:$AR$467=TYPE4)*(TYPE4&lt;&gt;"")+('Dvd Calendar'!$E$467:$AR$467=SPECIAL_LBL)*(INC_SPECIALS="Y"))))</f>
        <v/>
      </c>
      <c r="I53" s="64">
        <f>IF($C53="","",SUMPRODUCT(('Dvd Calendar'!$E$462:$AR$462&gt;=DATE(YEAR_Y-2,1,1))*('Dvd Calendar'!$E$462:$AR$462&lt;=DATE(YEAR_Y-2,12,31))*'Dvd Calendar'!$E$465:$AR$465*(('Dvd Calendar'!$E$467:$AR$467=TYPE1)*(TYPE1&lt;&gt;"")+('Dvd Calendar'!$E$467:$AR$467=TYPE2)*(TYPE2&lt;&gt;"")+('Dvd Calendar'!$E$467:$AR$467=TYPE3)*(TYPE3&lt;&gt;"")+('Dvd Calendar'!$E$467:$AR$467=TYPE4)*(TYPE4&lt;&gt;"")+('Dvd Calendar'!$E$467:$AR$467=SPECIAL_LBL)*(INC_SPECIALS="Y"))))</f>
        <v/>
      </c>
      <c r="J53" s="64">
        <f>IF($C53="","",SUMPRODUCT(('Dvd Calendar'!$E$462:$AR$462&gt;=DATE(YEAR_Y-1,1,1))*('Dvd Calendar'!$E$462:$AR$462&lt;=DATE(YEAR_Y-1,12,31))*'Dvd Calendar'!$E$465:$AR$465*(('Dvd Calendar'!$E$467:$AR$467=TYPE1)*(TYPE1&lt;&gt;"")+('Dvd Calendar'!$E$467:$AR$467=TYPE2)*(TYPE2&lt;&gt;"")+('Dvd Calendar'!$E$467:$AR$467=TYPE3)*(TYPE3&lt;&gt;"")+('Dvd Calendar'!$E$467:$AR$467=TYPE4)*(TYPE4&lt;&gt;"")+('Dvd Calendar'!$E$467:$AR$467=SPECIAL_LBL)*(INC_SPECIALS="Y"))))</f>
        <v/>
      </c>
      <c r="K53" s="65">
        <f>IF($C53="","",HSI!$J$48)</f>
        <v/>
      </c>
      <c r="L53" s="65">
        <f>IF($C53="","",HSI!$K$48)</f>
        <v/>
      </c>
      <c r="M53" s="41">
        <f>IF($C53="","",AVERAGE(F53:J53))</f>
        <v/>
      </c>
      <c r="N53" s="66">
        <f>IF($C53="","",IF(PULL_FUND="N","",IFERROR(BDP($C53,EPS_FIELD,YR_OVERRIDE,TEXT(YEAR_Y-5,"0")),"")))</f>
        <v/>
      </c>
      <c r="O53" s="67">
        <f>IF($C53="","",IF(PULL_FUND="N","",IFERROR(BDP($C53,EPS_FIELD,YR_OVERRIDE,TEXT(YEAR_Y-4,"0")),"")))</f>
        <v/>
      </c>
      <c r="P53" s="67">
        <f>IF($C53="","",IF(PULL_FUND="N","",IFERROR(BDP($C53,EPS_FIELD,YR_OVERRIDE,TEXT(YEAR_Y-3,"0")),"")))</f>
        <v/>
      </c>
      <c r="Q53" s="67">
        <f>IF($C53="","",IF(PULL_FUND="N","",IFERROR(BDP($C53,EPS_FIELD,YR_OVERRIDE,TEXT(YEAR_Y-2,"0")),"")))</f>
        <v/>
      </c>
      <c r="R53" s="67">
        <f>IF($C53="","",IF(PULL_FUND="N","",IFERROR(BDP($C53,EPS_FIELD,YR_OVERRIDE,TEXT(YEAR_Y-1,"0")),"")))</f>
        <v/>
      </c>
      <c r="S53" s="68">
        <f>IF($C53="","",IF(PULL_FUND="N","",IFERROR(BDP($C53,PAYOUT_FIELD,YR_OVERRIDE,TEXT(YEAR_Y-5,"0"))/100,"")))</f>
        <v/>
      </c>
      <c r="T53" s="68">
        <f>IF($C53="","",IF(PULL_FUND="N","",IFERROR(BDP($C53,PAYOUT_FIELD,YR_OVERRIDE,TEXT(YEAR_Y-4,"0"))/100,"")))</f>
        <v/>
      </c>
      <c r="U53" s="68">
        <f>IF($C53="","",IF(PULL_FUND="N","",IFERROR(BDP($C53,PAYOUT_FIELD,YR_OVERRIDE,TEXT(YEAR_Y-3,"0"))/100,"")))</f>
        <v/>
      </c>
      <c r="V53" s="68">
        <f>IF($C53="","",IF(PULL_FUND="N","",IFERROR(BDP($C53,PAYOUT_FIELD,YR_OVERRIDE,TEXT(YEAR_Y-2,"0"))/100,"")))</f>
        <v/>
      </c>
      <c r="W53" s="68">
        <f>IF($C53="","",IF(PULL_FUND="N","",IFERROR(BDP($C53,PAYOUT_FIELD,YR_OVERRIDE,TEXT(YEAR_Y-1,"0"))/100,"")))</f>
        <v/>
      </c>
      <c r="X53" s="69">
        <f>IF($C53="","",IFERROR(AVERAGE(S53:W53),""))</f>
        <v/>
      </c>
      <c r="Y53" s="66">
        <f>IF($C53="","",IF(PULL_FUND="N","",IFERROR(BDP($C53,BESTEPS_FIELD,FWD_OVERRIDE,TEXT(MOD(YEAR_Y,100),"00")&amp;"Y"),"")))</f>
        <v/>
      </c>
      <c r="Z53" s="70">
        <f>IF($C53="","",IF(PULL_FUND="N","",IFERROR(BDP($C53,BESTDPS_FIELD,FWD_OVERRIDE,TEXT(MOD(YEAR_Y,100),"00")&amp;"Y"),"")))</f>
        <v/>
      </c>
      <c r="AA53" s="71">
        <f>IF($C53="","",IF(ISNUMBER($Y53)*ISNUMBER($Z53)*($Y53&lt;&gt;0)=0,"",$Z53/$Y53))</f>
        <v/>
      </c>
      <c r="AB53" s="41">
        <f>IF($C53="","",HSI!$J$48+HSI!$L$48)</f>
        <v/>
      </c>
      <c r="AC53" s="72">
        <f>IF($C53="","",IF(PULL_FUND="N","",IF(COUNTIFS('Fund History'!$G$254:$G$258,"&gt;="&amp;DATE(YEAR_Y-4,1,1),'Fund History'!$G$254:$G$258,"&lt;="&amp;DATE(YEAR_Y-4,12,31))=0,"",SUMIFS('Fund History'!$H$254:$H$258,'Fund History'!$G$254:$G$258,"&gt;="&amp;DATE(YEAR_Y-4,1,1),'Fund History'!$G$254:$G$258,"&lt;="&amp;DATE(YEAR_Y-4,12,31))/100)))</f>
        <v/>
      </c>
      <c r="AD53" s="73">
        <f>IF($C53="","",IF(PULL_FUND="N","",IF(COUNTIFS('Fund History'!$G$254:$G$258,"&gt;="&amp;DATE(YEAR_Y-3,1,1),'Fund History'!$G$254:$G$258,"&lt;="&amp;DATE(YEAR_Y-3,12,31))=0,"",SUMIFS('Fund History'!$H$254:$H$258,'Fund History'!$G$254:$G$258,"&gt;="&amp;DATE(YEAR_Y-3,1,1),'Fund History'!$G$254:$G$258,"&lt;="&amp;DATE(YEAR_Y-3,12,31))/100)))</f>
        <v/>
      </c>
      <c r="AE53" s="73">
        <f>IF($C53="","",IF(PULL_FUND="N","",IF(COUNTIFS('Fund History'!$G$254:$G$258,"&gt;="&amp;DATE(YEAR_Y-2,1,1),'Fund History'!$G$254:$G$258,"&lt;="&amp;DATE(YEAR_Y-2,12,31))=0,"",SUMIFS('Fund History'!$H$254:$H$258,'Fund History'!$G$254:$G$258,"&gt;="&amp;DATE(YEAR_Y-2,1,1),'Fund History'!$G$254:$G$258,"&lt;="&amp;DATE(YEAR_Y-2,12,31))/100)))</f>
        <v/>
      </c>
      <c r="AF53" s="73">
        <f>IF($C53="","",IF(PULL_FUND="N","",IF(COUNTIFS('Fund History'!$G$254:$G$258,"&gt;="&amp;DATE(YEAR_Y-1,1,1),'Fund History'!$G$254:$G$258,"&lt;="&amp;DATE(YEAR_Y-1,12,31))=0,"",SUMIFS('Fund History'!$H$254:$H$258,'Fund History'!$G$254:$G$258,"&gt;="&amp;DATE(YEAR_Y-1,1,1),'Fund History'!$G$254:$G$258,"&lt;="&amp;DATE(YEAR_Y-1,12,31))/100)))</f>
        <v/>
      </c>
      <c r="AG53" s="74">
        <f>IF($C53="","",IF(N($AF53)+N(HSI!$I$48)=0,"",N($AF53)+N(HSI!$I$48)/100))</f>
        <v/>
      </c>
      <c r="AH53" s="66">
        <f>IF($C53="","",IF(PULL_FUND="N","",IF(COUNTIFS('Fund History'!$D$254:$D$258,"&gt;="&amp;DATE(YEAR_Y-2,1,1),'Fund History'!$D$254:$D$258,"&lt;="&amp;DATE(YEAR_Y-2,12,31))=0,"",SUMIFS('Fund History'!$E$254:$E$258,'Fund History'!$D$254:$D$258,"&gt;="&amp;DATE(YEAR_Y-2,1,1),'Fund History'!$D$254:$D$258,"&lt;="&amp;DATE(YEAR_Y-2,12,31)))))</f>
        <v/>
      </c>
      <c r="AI53" s="67">
        <f>IF($C53="","",IF(PULL_FUND="N","",IF(COUNTIFS('Fund History'!$D$254:$D$258,"&gt;="&amp;DATE(YEAR_Y-1,1,1),'Fund History'!$D$254:$D$258,"&lt;="&amp;DATE(YEAR_Y-1,12,31))=0,"",SUMIFS('Fund History'!$E$254:$E$258,'Fund History'!$D$254:$D$258,"&gt;="&amp;DATE(YEAR_Y-1,1,1),'Fund History'!$D$254:$D$258,"&lt;="&amp;DATE(YEAR_Y-1,12,31)))))</f>
        <v/>
      </c>
      <c r="AJ53" s="67">
        <f>IF($C53="","",IF(PULL_FUND="N","",IFERROR(BDP($C53,NDEBITDA_FIELD),"")))</f>
        <v/>
      </c>
      <c r="AK53" s="75">
        <f>IF($C53="","",IF(PULL_FUND="N","",IFERROR(BDP($C53,EBINT_FIELD),"")))</f>
        <v/>
      </c>
      <c r="AL53" s="73">
        <f>IF($C53="","",IF(PULL_FUND="N","",IFERROR(BDP($C53,FCF_FIELD)/100,"")))</f>
        <v/>
      </c>
      <c r="AM53" s="76">
        <f>IF($C53="","",IF(ISNUMBER(HSI!$I$48),HSI!$I$48/100,""))</f>
        <v/>
      </c>
      <c r="AN53" s="47">
        <f>IF($C53="","",IF(N($AM53)=0,"",IFERROR($AL53/$AM53,"")))</f>
        <v/>
      </c>
      <c r="AO53" s="33">
        <f>IF($C53="","",IF(ISNUMBER($S53)*ISNUMBER($W53)=0,"",IF($W53&gt;$S53+0.05,"rising",IF($W53&lt;$S53-0.05,"falling","stable"))))</f>
        <v/>
      </c>
      <c r="AP53" s="77">
        <f>IF($C53="","",TRIM(IF(ISNUMBER($X53)*(N($X53)&gt;$D$4)&gt;0,"payout high  ","")&amp;IF(ISNUMBER($AN53)*(N($AN53)&lt;$F$4)&gt;0,"FCF below dvd  ","")&amp;IF(ISNUMBER($AJ53)*(N($AJ53)&gt;$H$4)&gt;0,"leverage high","")))</f>
        <v/>
      </c>
      <c r="AQ53" s="78">
        <f>IF($C53="","",IF(HSI!$F$48="HKD","",HSI!$F$48))</f>
        <v/>
      </c>
    </row>
    <row r="54">
      <c r="B54" s="62" t="inlineStr">
        <is>
          <t>HSI</t>
        </is>
      </c>
      <c r="C54" s="6">
        <f>IF(HSI!$C$49="","",HSI!$C$49)</f>
        <v/>
      </c>
      <c r="D54" s="6">
        <f>IF($C54="","",HSI!$D$49)</f>
        <v/>
      </c>
      <c r="E54" s="6">
        <f>IF($C54="","",HSI!$E$49)</f>
        <v/>
      </c>
      <c r="F54" s="63">
        <f>IF($C54="","",SUMPRODUCT(('Dvd Calendar'!$E$473:$AR$473&gt;=DATE(YEAR_Y-5,1,1))*('Dvd Calendar'!$E$473:$AR$473&lt;=DATE(YEAR_Y-5,12,31))*'Dvd Calendar'!$E$476:$AR$476*(('Dvd Calendar'!$E$478:$AR$478=TYPE1)*(TYPE1&lt;&gt;"")+('Dvd Calendar'!$E$478:$AR$478=TYPE2)*(TYPE2&lt;&gt;"")+('Dvd Calendar'!$E$478:$AR$478=TYPE3)*(TYPE3&lt;&gt;"")+('Dvd Calendar'!$E$478:$AR$478=TYPE4)*(TYPE4&lt;&gt;"")+('Dvd Calendar'!$E$478:$AR$478=SPECIAL_LBL)*(INC_SPECIALS="Y"))))</f>
        <v/>
      </c>
      <c r="G54" s="64">
        <f>IF($C54="","",SUMPRODUCT(('Dvd Calendar'!$E$473:$AR$473&gt;=DATE(YEAR_Y-4,1,1))*('Dvd Calendar'!$E$473:$AR$473&lt;=DATE(YEAR_Y-4,12,31))*'Dvd Calendar'!$E$476:$AR$476*(('Dvd Calendar'!$E$478:$AR$478=TYPE1)*(TYPE1&lt;&gt;"")+('Dvd Calendar'!$E$478:$AR$478=TYPE2)*(TYPE2&lt;&gt;"")+('Dvd Calendar'!$E$478:$AR$478=TYPE3)*(TYPE3&lt;&gt;"")+('Dvd Calendar'!$E$478:$AR$478=TYPE4)*(TYPE4&lt;&gt;"")+('Dvd Calendar'!$E$478:$AR$478=SPECIAL_LBL)*(INC_SPECIALS="Y"))))</f>
        <v/>
      </c>
      <c r="H54" s="64">
        <f>IF($C54="","",SUMPRODUCT(('Dvd Calendar'!$E$473:$AR$473&gt;=DATE(YEAR_Y-3,1,1))*('Dvd Calendar'!$E$473:$AR$473&lt;=DATE(YEAR_Y-3,12,31))*'Dvd Calendar'!$E$476:$AR$476*(('Dvd Calendar'!$E$478:$AR$478=TYPE1)*(TYPE1&lt;&gt;"")+('Dvd Calendar'!$E$478:$AR$478=TYPE2)*(TYPE2&lt;&gt;"")+('Dvd Calendar'!$E$478:$AR$478=TYPE3)*(TYPE3&lt;&gt;"")+('Dvd Calendar'!$E$478:$AR$478=TYPE4)*(TYPE4&lt;&gt;"")+('Dvd Calendar'!$E$478:$AR$478=SPECIAL_LBL)*(INC_SPECIALS="Y"))))</f>
        <v/>
      </c>
      <c r="I54" s="64">
        <f>IF($C54="","",SUMPRODUCT(('Dvd Calendar'!$E$473:$AR$473&gt;=DATE(YEAR_Y-2,1,1))*('Dvd Calendar'!$E$473:$AR$473&lt;=DATE(YEAR_Y-2,12,31))*'Dvd Calendar'!$E$476:$AR$476*(('Dvd Calendar'!$E$478:$AR$478=TYPE1)*(TYPE1&lt;&gt;"")+('Dvd Calendar'!$E$478:$AR$478=TYPE2)*(TYPE2&lt;&gt;"")+('Dvd Calendar'!$E$478:$AR$478=TYPE3)*(TYPE3&lt;&gt;"")+('Dvd Calendar'!$E$478:$AR$478=TYPE4)*(TYPE4&lt;&gt;"")+('Dvd Calendar'!$E$478:$AR$478=SPECIAL_LBL)*(INC_SPECIALS="Y"))))</f>
        <v/>
      </c>
      <c r="J54" s="64">
        <f>IF($C54="","",SUMPRODUCT(('Dvd Calendar'!$E$473:$AR$473&gt;=DATE(YEAR_Y-1,1,1))*('Dvd Calendar'!$E$473:$AR$473&lt;=DATE(YEAR_Y-1,12,31))*'Dvd Calendar'!$E$476:$AR$476*(('Dvd Calendar'!$E$478:$AR$478=TYPE1)*(TYPE1&lt;&gt;"")+('Dvd Calendar'!$E$478:$AR$478=TYPE2)*(TYPE2&lt;&gt;"")+('Dvd Calendar'!$E$478:$AR$478=TYPE3)*(TYPE3&lt;&gt;"")+('Dvd Calendar'!$E$478:$AR$478=TYPE4)*(TYPE4&lt;&gt;"")+('Dvd Calendar'!$E$478:$AR$478=SPECIAL_LBL)*(INC_SPECIALS="Y"))))</f>
        <v/>
      </c>
      <c r="K54" s="65">
        <f>IF($C54="","",HSI!$J$49)</f>
        <v/>
      </c>
      <c r="L54" s="65">
        <f>IF($C54="","",HSI!$K$49)</f>
        <v/>
      </c>
      <c r="M54" s="41">
        <f>IF($C54="","",AVERAGE(F54:J54))</f>
        <v/>
      </c>
      <c r="N54" s="66">
        <f>IF($C54="","",IF(PULL_FUND="N","",IFERROR(BDP($C54,EPS_FIELD,YR_OVERRIDE,TEXT(YEAR_Y-5,"0")),"")))</f>
        <v/>
      </c>
      <c r="O54" s="67">
        <f>IF($C54="","",IF(PULL_FUND="N","",IFERROR(BDP($C54,EPS_FIELD,YR_OVERRIDE,TEXT(YEAR_Y-4,"0")),"")))</f>
        <v/>
      </c>
      <c r="P54" s="67">
        <f>IF($C54="","",IF(PULL_FUND="N","",IFERROR(BDP($C54,EPS_FIELD,YR_OVERRIDE,TEXT(YEAR_Y-3,"0")),"")))</f>
        <v/>
      </c>
      <c r="Q54" s="67">
        <f>IF($C54="","",IF(PULL_FUND="N","",IFERROR(BDP($C54,EPS_FIELD,YR_OVERRIDE,TEXT(YEAR_Y-2,"0")),"")))</f>
        <v/>
      </c>
      <c r="R54" s="67">
        <f>IF($C54="","",IF(PULL_FUND="N","",IFERROR(BDP($C54,EPS_FIELD,YR_OVERRIDE,TEXT(YEAR_Y-1,"0")),"")))</f>
        <v/>
      </c>
      <c r="S54" s="68">
        <f>IF($C54="","",IF(PULL_FUND="N","",IFERROR(BDP($C54,PAYOUT_FIELD,YR_OVERRIDE,TEXT(YEAR_Y-5,"0"))/100,"")))</f>
        <v/>
      </c>
      <c r="T54" s="68">
        <f>IF($C54="","",IF(PULL_FUND="N","",IFERROR(BDP($C54,PAYOUT_FIELD,YR_OVERRIDE,TEXT(YEAR_Y-4,"0"))/100,"")))</f>
        <v/>
      </c>
      <c r="U54" s="68">
        <f>IF($C54="","",IF(PULL_FUND="N","",IFERROR(BDP($C54,PAYOUT_FIELD,YR_OVERRIDE,TEXT(YEAR_Y-3,"0"))/100,"")))</f>
        <v/>
      </c>
      <c r="V54" s="68">
        <f>IF($C54="","",IF(PULL_FUND="N","",IFERROR(BDP($C54,PAYOUT_FIELD,YR_OVERRIDE,TEXT(YEAR_Y-2,"0"))/100,"")))</f>
        <v/>
      </c>
      <c r="W54" s="68">
        <f>IF($C54="","",IF(PULL_FUND="N","",IFERROR(BDP($C54,PAYOUT_FIELD,YR_OVERRIDE,TEXT(YEAR_Y-1,"0"))/100,"")))</f>
        <v/>
      </c>
      <c r="X54" s="69">
        <f>IF($C54="","",IFERROR(AVERAGE(S54:W54),""))</f>
        <v/>
      </c>
      <c r="Y54" s="66">
        <f>IF($C54="","",IF(PULL_FUND="N","",IFERROR(BDP($C54,BESTEPS_FIELD,FWD_OVERRIDE,TEXT(MOD(YEAR_Y,100),"00")&amp;"Y"),"")))</f>
        <v/>
      </c>
      <c r="Z54" s="70">
        <f>IF($C54="","",IF(PULL_FUND="N","",IFERROR(BDP($C54,BESTDPS_FIELD,FWD_OVERRIDE,TEXT(MOD(YEAR_Y,100),"00")&amp;"Y"),"")))</f>
        <v/>
      </c>
      <c r="AA54" s="71">
        <f>IF($C54="","",IF(ISNUMBER($Y54)*ISNUMBER($Z54)*($Y54&lt;&gt;0)=0,"",$Z54/$Y54))</f>
        <v/>
      </c>
      <c r="AB54" s="41">
        <f>IF($C54="","",HSI!$J$49+HSI!$L$49)</f>
        <v/>
      </c>
      <c r="AC54" s="72">
        <f>IF($C54="","",IF(PULL_FUND="N","",IF(COUNTIFS('Fund History'!$G$260:$G$264,"&gt;="&amp;DATE(YEAR_Y-4,1,1),'Fund History'!$G$260:$G$264,"&lt;="&amp;DATE(YEAR_Y-4,12,31))=0,"",SUMIFS('Fund History'!$H$260:$H$264,'Fund History'!$G$260:$G$264,"&gt;="&amp;DATE(YEAR_Y-4,1,1),'Fund History'!$G$260:$G$264,"&lt;="&amp;DATE(YEAR_Y-4,12,31))/100)))</f>
        <v/>
      </c>
      <c r="AD54" s="73">
        <f>IF($C54="","",IF(PULL_FUND="N","",IF(COUNTIFS('Fund History'!$G$260:$G$264,"&gt;="&amp;DATE(YEAR_Y-3,1,1),'Fund History'!$G$260:$G$264,"&lt;="&amp;DATE(YEAR_Y-3,12,31))=0,"",SUMIFS('Fund History'!$H$260:$H$264,'Fund History'!$G$260:$G$264,"&gt;="&amp;DATE(YEAR_Y-3,1,1),'Fund History'!$G$260:$G$264,"&lt;="&amp;DATE(YEAR_Y-3,12,31))/100)))</f>
        <v/>
      </c>
      <c r="AE54" s="73">
        <f>IF($C54="","",IF(PULL_FUND="N","",IF(COUNTIFS('Fund History'!$G$260:$G$264,"&gt;="&amp;DATE(YEAR_Y-2,1,1),'Fund History'!$G$260:$G$264,"&lt;="&amp;DATE(YEAR_Y-2,12,31))=0,"",SUMIFS('Fund History'!$H$260:$H$264,'Fund History'!$G$260:$G$264,"&gt;="&amp;DATE(YEAR_Y-2,1,1),'Fund History'!$G$260:$G$264,"&lt;="&amp;DATE(YEAR_Y-2,12,31))/100)))</f>
        <v/>
      </c>
      <c r="AF54" s="73">
        <f>IF($C54="","",IF(PULL_FUND="N","",IF(COUNTIFS('Fund History'!$G$260:$G$264,"&gt;="&amp;DATE(YEAR_Y-1,1,1),'Fund History'!$G$260:$G$264,"&lt;="&amp;DATE(YEAR_Y-1,12,31))=0,"",SUMIFS('Fund History'!$H$260:$H$264,'Fund History'!$G$260:$G$264,"&gt;="&amp;DATE(YEAR_Y-1,1,1),'Fund History'!$G$260:$G$264,"&lt;="&amp;DATE(YEAR_Y-1,12,31))/100)))</f>
        <v/>
      </c>
      <c r="AG54" s="74">
        <f>IF($C54="","",IF(N($AF54)+N(HSI!$I$49)=0,"",N($AF54)+N(HSI!$I$49)/100))</f>
        <v/>
      </c>
      <c r="AH54" s="66">
        <f>IF($C54="","",IF(PULL_FUND="N","",IF(COUNTIFS('Fund History'!$D$260:$D$264,"&gt;="&amp;DATE(YEAR_Y-2,1,1),'Fund History'!$D$260:$D$264,"&lt;="&amp;DATE(YEAR_Y-2,12,31))=0,"",SUMIFS('Fund History'!$E$260:$E$264,'Fund History'!$D$260:$D$264,"&gt;="&amp;DATE(YEAR_Y-2,1,1),'Fund History'!$D$260:$D$264,"&lt;="&amp;DATE(YEAR_Y-2,12,31)))))</f>
        <v/>
      </c>
      <c r="AI54" s="67">
        <f>IF($C54="","",IF(PULL_FUND="N","",IF(COUNTIFS('Fund History'!$D$260:$D$264,"&gt;="&amp;DATE(YEAR_Y-1,1,1),'Fund History'!$D$260:$D$264,"&lt;="&amp;DATE(YEAR_Y-1,12,31))=0,"",SUMIFS('Fund History'!$E$260:$E$264,'Fund History'!$D$260:$D$264,"&gt;="&amp;DATE(YEAR_Y-1,1,1),'Fund History'!$D$260:$D$264,"&lt;="&amp;DATE(YEAR_Y-1,12,31)))))</f>
        <v/>
      </c>
      <c r="AJ54" s="67">
        <f>IF($C54="","",IF(PULL_FUND="N","",IFERROR(BDP($C54,NDEBITDA_FIELD),"")))</f>
        <v/>
      </c>
      <c r="AK54" s="75">
        <f>IF($C54="","",IF(PULL_FUND="N","",IFERROR(BDP($C54,EBINT_FIELD),"")))</f>
        <v/>
      </c>
      <c r="AL54" s="73">
        <f>IF($C54="","",IF(PULL_FUND="N","",IFERROR(BDP($C54,FCF_FIELD)/100,"")))</f>
        <v/>
      </c>
      <c r="AM54" s="76">
        <f>IF($C54="","",IF(ISNUMBER(HSI!$I$49),HSI!$I$49/100,""))</f>
        <v/>
      </c>
      <c r="AN54" s="47">
        <f>IF($C54="","",IF(N($AM54)=0,"",IFERROR($AL54/$AM54,"")))</f>
        <v/>
      </c>
      <c r="AO54" s="33">
        <f>IF($C54="","",IF(ISNUMBER($S54)*ISNUMBER($W54)=0,"",IF($W54&gt;$S54+0.05,"rising",IF($W54&lt;$S54-0.05,"falling","stable"))))</f>
        <v/>
      </c>
      <c r="AP54" s="77">
        <f>IF($C54="","",TRIM(IF(ISNUMBER($X54)*(N($X54)&gt;$D$4)&gt;0,"payout high  ","")&amp;IF(ISNUMBER($AN54)*(N($AN54)&lt;$F$4)&gt;0,"FCF below dvd  ","")&amp;IF(ISNUMBER($AJ54)*(N($AJ54)&gt;$H$4)&gt;0,"leverage high","")))</f>
        <v/>
      </c>
      <c r="AQ54" s="78">
        <f>IF($C54="","",IF(HSI!$F$49="HKD","",HSI!$F$49))</f>
        <v/>
      </c>
    </row>
    <row r="55">
      <c r="B55" s="62" t="inlineStr">
        <is>
          <t>HSI</t>
        </is>
      </c>
      <c r="C55" s="6">
        <f>IF(HSI!$C$50="","",HSI!$C$50)</f>
        <v/>
      </c>
      <c r="D55" s="6">
        <f>IF($C55="","",HSI!$D$50)</f>
        <v/>
      </c>
      <c r="E55" s="6">
        <f>IF($C55="","",HSI!$E$50)</f>
        <v/>
      </c>
      <c r="F55" s="63">
        <f>IF($C55="","",SUMPRODUCT(('Dvd Calendar'!$E$484:$AR$484&gt;=DATE(YEAR_Y-5,1,1))*('Dvd Calendar'!$E$484:$AR$484&lt;=DATE(YEAR_Y-5,12,31))*'Dvd Calendar'!$E$487:$AR$487*(('Dvd Calendar'!$E$489:$AR$489=TYPE1)*(TYPE1&lt;&gt;"")+('Dvd Calendar'!$E$489:$AR$489=TYPE2)*(TYPE2&lt;&gt;"")+('Dvd Calendar'!$E$489:$AR$489=TYPE3)*(TYPE3&lt;&gt;"")+('Dvd Calendar'!$E$489:$AR$489=TYPE4)*(TYPE4&lt;&gt;"")+('Dvd Calendar'!$E$489:$AR$489=SPECIAL_LBL)*(INC_SPECIALS="Y"))))</f>
        <v/>
      </c>
      <c r="G55" s="64">
        <f>IF($C55="","",SUMPRODUCT(('Dvd Calendar'!$E$484:$AR$484&gt;=DATE(YEAR_Y-4,1,1))*('Dvd Calendar'!$E$484:$AR$484&lt;=DATE(YEAR_Y-4,12,31))*'Dvd Calendar'!$E$487:$AR$487*(('Dvd Calendar'!$E$489:$AR$489=TYPE1)*(TYPE1&lt;&gt;"")+('Dvd Calendar'!$E$489:$AR$489=TYPE2)*(TYPE2&lt;&gt;"")+('Dvd Calendar'!$E$489:$AR$489=TYPE3)*(TYPE3&lt;&gt;"")+('Dvd Calendar'!$E$489:$AR$489=TYPE4)*(TYPE4&lt;&gt;"")+('Dvd Calendar'!$E$489:$AR$489=SPECIAL_LBL)*(INC_SPECIALS="Y"))))</f>
        <v/>
      </c>
      <c r="H55" s="64">
        <f>IF($C55="","",SUMPRODUCT(('Dvd Calendar'!$E$484:$AR$484&gt;=DATE(YEAR_Y-3,1,1))*('Dvd Calendar'!$E$484:$AR$484&lt;=DATE(YEAR_Y-3,12,31))*'Dvd Calendar'!$E$487:$AR$487*(('Dvd Calendar'!$E$489:$AR$489=TYPE1)*(TYPE1&lt;&gt;"")+('Dvd Calendar'!$E$489:$AR$489=TYPE2)*(TYPE2&lt;&gt;"")+('Dvd Calendar'!$E$489:$AR$489=TYPE3)*(TYPE3&lt;&gt;"")+('Dvd Calendar'!$E$489:$AR$489=TYPE4)*(TYPE4&lt;&gt;"")+('Dvd Calendar'!$E$489:$AR$489=SPECIAL_LBL)*(INC_SPECIALS="Y"))))</f>
        <v/>
      </c>
      <c r="I55" s="64">
        <f>IF($C55="","",SUMPRODUCT(('Dvd Calendar'!$E$484:$AR$484&gt;=DATE(YEAR_Y-2,1,1))*('Dvd Calendar'!$E$484:$AR$484&lt;=DATE(YEAR_Y-2,12,31))*'Dvd Calendar'!$E$487:$AR$487*(('Dvd Calendar'!$E$489:$AR$489=TYPE1)*(TYPE1&lt;&gt;"")+('Dvd Calendar'!$E$489:$AR$489=TYPE2)*(TYPE2&lt;&gt;"")+('Dvd Calendar'!$E$489:$AR$489=TYPE3)*(TYPE3&lt;&gt;"")+('Dvd Calendar'!$E$489:$AR$489=TYPE4)*(TYPE4&lt;&gt;"")+('Dvd Calendar'!$E$489:$AR$489=SPECIAL_LBL)*(INC_SPECIALS="Y"))))</f>
        <v/>
      </c>
      <c r="J55" s="64">
        <f>IF($C55="","",SUMPRODUCT(('Dvd Calendar'!$E$484:$AR$484&gt;=DATE(YEAR_Y-1,1,1))*('Dvd Calendar'!$E$484:$AR$484&lt;=DATE(YEAR_Y-1,12,31))*'Dvd Calendar'!$E$487:$AR$487*(('Dvd Calendar'!$E$489:$AR$489=TYPE1)*(TYPE1&lt;&gt;"")+('Dvd Calendar'!$E$489:$AR$489=TYPE2)*(TYPE2&lt;&gt;"")+('Dvd Calendar'!$E$489:$AR$489=TYPE3)*(TYPE3&lt;&gt;"")+('Dvd Calendar'!$E$489:$AR$489=TYPE4)*(TYPE4&lt;&gt;"")+('Dvd Calendar'!$E$489:$AR$489=SPECIAL_LBL)*(INC_SPECIALS="Y"))))</f>
        <v/>
      </c>
      <c r="K55" s="65">
        <f>IF($C55="","",HSI!$J$50)</f>
        <v/>
      </c>
      <c r="L55" s="65">
        <f>IF($C55="","",HSI!$K$50)</f>
        <v/>
      </c>
      <c r="M55" s="41">
        <f>IF($C55="","",AVERAGE(F55:J55))</f>
        <v/>
      </c>
      <c r="N55" s="66">
        <f>IF($C55="","",IF(PULL_FUND="N","",IFERROR(BDP($C55,EPS_FIELD,YR_OVERRIDE,TEXT(YEAR_Y-5,"0")),"")))</f>
        <v/>
      </c>
      <c r="O55" s="67">
        <f>IF($C55="","",IF(PULL_FUND="N","",IFERROR(BDP($C55,EPS_FIELD,YR_OVERRIDE,TEXT(YEAR_Y-4,"0")),"")))</f>
        <v/>
      </c>
      <c r="P55" s="67">
        <f>IF($C55="","",IF(PULL_FUND="N","",IFERROR(BDP($C55,EPS_FIELD,YR_OVERRIDE,TEXT(YEAR_Y-3,"0")),"")))</f>
        <v/>
      </c>
      <c r="Q55" s="67">
        <f>IF($C55="","",IF(PULL_FUND="N","",IFERROR(BDP($C55,EPS_FIELD,YR_OVERRIDE,TEXT(YEAR_Y-2,"0")),"")))</f>
        <v/>
      </c>
      <c r="R55" s="67">
        <f>IF($C55="","",IF(PULL_FUND="N","",IFERROR(BDP($C55,EPS_FIELD,YR_OVERRIDE,TEXT(YEAR_Y-1,"0")),"")))</f>
        <v/>
      </c>
      <c r="S55" s="68">
        <f>IF($C55="","",IF(PULL_FUND="N","",IFERROR(BDP($C55,PAYOUT_FIELD,YR_OVERRIDE,TEXT(YEAR_Y-5,"0"))/100,"")))</f>
        <v/>
      </c>
      <c r="T55" s="68">
        <f>IF($C55="","",IF(PULL_FUND="N","",IFERROR(BDP($C55,PAYOUT_FIELD,YR_OVERRIDE,TEXT(YEAR_Y-4,"0"))/100,"")))</f>
        <v/>
      </c>
      <c r="U55" s="68">
        <f>IF($C55="","",IF(PULL_FUND="N","",IFERROR(BDP($C55,PAYOUT_FIELD,YR_OVERRIDE,TEXT(YEAR_Y-3,"0"))/100,"")))</f>
        <v/>
      </c>
      <c r="V55" s="68">
        <f>IF($C55="","",IF(PULL_FUND="N","",IFERROR(BDP($C55,PAYOUT_FIELD,YR_OVERRIDE,TEXT(YEAR_Y-2,"0"))/100,"")))</f>
        <v/>
      </c>
      <c r="W55" s="68">
        <f>IF($C55="","",IF(PULL_FUND="N","",IFERROR(BDP($C55,PAYOUT_FIELD,YR_OVERRIDE,TEXT(YEAR_Y-1,"0"))/100,"")))</f>
        <v/>
      </c>
      <c r="X55" s="69">
        <f>IF($C55="","",IFERROR(AVERAGE(S55:W55),""))</f>
        <v/>
      </c>
      <c r="Y55" s="66">
        <f>IF($C55="","",IF(PULL_FUND="N","",IFERROR(BDP($C55,BESTEPS_FIELD,FWD_OVERRIDE,TEXT(MOD(YEAR_Y,100),"00")&amp;"Y"),"")))</f>
        <v/>
      </c>
      <c r="Z55" s="70">
        <f>IF($C55="","",IF(PULL_FUND="N","",IFERROR(BDP($C55,BESTDPS_FIELD,FWD_OVERRIDE,TEXT(MOD(YEAR_Y,100),"00")&amp;"Y"),"")))</f>
        <v/>
      </c>
      <c r="AA55" s="71">
        <f>IF($C55="","",IF(ISNUMBER($Y55)*ISNUMBER($Z55)*($Y55&lt;&gt;0)=0,"",$Z55/$Y55))</f>
        <v/>
      </c>
      <c r="AB55" s="41">
        <f>IF($C55="","",HSI!$J$50+HSI!$L$50)</f>
        <v/>
      </c>
      <c r="AC55" s="72">
        <f>IF($C55="","",IF(PULL_FUND="N","",IF(COUNTIFS('Fund History'!$G$266:$G$270,"&gt;="&amp;DATE(YEAR_Y-4,1,1),'Fund History'!$G$266:$G$270,"&lt;="&amp;DATE(YEAR_Y-4,12,31))=0,"",SUMIFS('Fund History'!$H$266:$H$270,'Fund History'!$G$266:$G$270,"&gt;="&amp;DATE(YEAR_Y-4,1,1),'Fund History'!$G$266:$G$270,"&lt;="&amp;DATE(YEAR_Y-4,12,31))/100)))</f>
        <v/>
      </c>
      <c r="AD55" s="73">
        <f>IF($C55="","",IF(PULL_FUND="N","",IF(COUNTIFS('Fund History'!$G$266:$G$270,"&gt;="&amp;DATE(YEAR_Y-3,1,1),'Fund History'!$G$266:$G$270,"&lt;="&amp;DATE(YEAR_Y-3,12,31))=0,"",SUMIFS('Fund History'!$H$266:$H$270,'Fund History'!$G$266:$G$270,"&gt;="&amp;DATE(YEAR_Y-3,1,1),'Fund History'!$G$266:$G$270,"&lt;="&amp;DATE(YEAR_Y-3,12,31))/100)))</f>
        <v/>
      </c>
      <c r="AE55" s="73">
        <f>IF($C55="","",IF(PULL_FUND="N","",IF(COUNTIFS('Fund History'!$G$266:$G$270,"&gt;="&amp;DATE(YEAR_Y-2,1,1),'Fund History'!$G$266:$G$270,"&lt;="&amp;DATE(YEAR_Y-2,12,31))=0,"",SUMIFS('Fund History'!$H$266:$H$270,'Fund History'!$G$266:$G$270,"&gt;="&amp;DATE(YEAR_Y-2,1,1),'Fund History'!$G$266:$G$270,"&lt;="&amp;DATE(YEAR_Y-2,12,31))/100)))</f>
        <v/>
      </c>
      <c r="AF55" s="73">
        <f>IF($C55="","",IF(PULL_FUND="N","",IF(COUNTIFS('Fund History'!$G$266:$G$270,"&gt;="&amp;DATE(YEAR_Y-1,1,1),'Fund History'!$G$266:$G$270,"&lt;="&amp;DATE(YEAR_Y-1,12,31))=0,"",SUMIFS('Fund History'!$H$266:$H$270,'Fund History'!$G$266:$G$270,"&gt;="&amp;DATE(YEAR_Y-1,1,1),'Fund History'!$G$266:$G$270,"&lt;="&amp;DATE(YEAR_Y-1,12,31))/100)))</f>
        <v/>
      </c>
      <c r="AG55" s="74">
        <f>IF($C55="","",IF(N($AF55)+N(HSI!$I$50)=0,"",N($AF55)+N(HSI!$I$50)/100))</f>
        <v/>
      </c>
      <c r="AH55" s="66">
        <f>IF($C55="","",IF(PULL_FUND="N","",IF(COUNTIFS('Fund History'!$D$266:$D$270,"&gt;="&amp;DATE(YEAR_Y-2,1,1),'Fund History'!$D$266:$D$270,"&lt;="&amp;DATE(YEAR_Y-2,12,31))=0,"",SUMIFS('Fund History'!$E$266:$E$270,'Fund History'!$D$266:$D$270,"&gt;="&amp;DATE(YEAR_Y-2,1,1),'Fund History'!$D$266:$D$270,"&lt;="&amp;DATE(YEAR_Y-2,12,31)))))</f>
        <v/>
      </c>
      <c r="AI55" s="67">
        <f>IF($C55="","",IF(PULL_FUND="N","",IF(COUNTIFS('Fund History'!$D$266:$D$270,"&gt;="&amp;DATE(YEAR_Y-1,1,1),'Fund History'!$D$266:$D$270,"&lt;="&amp;DATE(YEAR_Y-1,12,31))=0,"",SUMIFS('Fund History'!$E$266:$E$270,'Fund History'!$D$266:$D$270,"&gt;="&amp;DATE(YEAR_Y-1,1,1),'Fund History'!$D$266:$D$270,"&lt;="&amp;DATE(YEAR_Y-1,12,31)))))</f>
        <v/>
      </c>
      <c r="AJ55" s="67">
        <f>IF($C55="","",IF(PULL_FUND="N","",IFERROR(BDP($C55,NDEBITDA_FIELD),"")))</f>
        <v/>
      </c>
      <c r="AK55" s="75">
        <f>IF($C55="","",IF(PULL_FUND="N","",IFERROR(BDP($C55,EBINT_FIELD),"")))</f>
        <v/>
      </c>
      <c r="AL55" s="73">
        <f>IF($C55="","",IF(PULL_FUND="N","",IFERROR(BDP($C55,FCF_FIELD)/100,"")))</f>
        <v/>
      </c>
      <c r="AM55" s="76">
        <f>IF($C55="","",IF(ISNUMBER(HSI!$I$50),HSI!$I$50/100,""))</f>
        <v/>
      </c>
      <c r="AN55" s="47">
        <f>IF($C55="","",IF(N($AM55)=0,"",IFERROR($AL55/$AM55,"")))</f>
        <v/>
      </c>
      <c r="AO55" s="33">
        <f>IF($C55="","",IF(ISNUMBER($S55)*ISNUMBER($W55)=0,"",IF($W55&gt;$S55+0.05,"rising",IF($W55&lt;$S55-0.05,"falling","stable"))))</f>
        <v/>
      </c>
      <c r="AP55" s="77">
        <f>IF($C55="","",TRIM(IF(ISNUMBER($X55)*(N($X55)&gt;$D$4)&gt;0,"payout high  ","")&amp;IF(ISNUMBER($AN55)*(N($AN55)&lt;$F$4)&gt;0,"FCF below dvd  ","")&amp;IF(ISNUMBER($AJ55)*(N($AJ55)&gt;$H$4)&gt;0,"leverage high","")))</f>
        <v/>
      </c>
      <c r="AQ55" s="78">
        <f>IF($C55="","",IF(HSI!$F$50="HKD","",HSI!$F$50))</f>
        <v/>
      </c>
    </row>
    <row r="56">
      <c r="B56" s="62" t="inlineStr">
        <is>
          <t>HSI</t>
        </is>
      </c>
      <c r="C56" s="6">
        <f>IF(HSI!$C$51="","",HSI!$C$51)</f>
        <v/>
      </c>
      <c r="D56" s="6">
        <f>IF($C56="","",HSI!$D$51)</f>
        <v/>
      </c>
      <c r="E56" s="6">
        <f>IF($C56="","",HSI!$E$51)</f>
        <v/>
      </c>
      <c r="F56" s="63">
        <f>IF($C56="","",SUMPRODUCT(('Dvd Calendar'!$E$495:$AR$495&gt;=DATE(YEAR_Y-5,1,1))*('Dvd Calendar'!$E$495:$AR$495&lt;=DATE(YEAR_Y-5,12,31))*'Dvd Calendar'!$E$498:$AR$498*(('Dvd Calendar'!$E$500:$AR$500=TYPE1)*(TYPE1&lt;&gt;"")+('Dvd Calendar'!$E$500:$AR$500=TYPE2)*(TYPE2&lt;&gt;"")+('Dvd Calendar'!$E$500:$AR$500=TYPE3)*(TYPE3&lt;&gt;"")+('Dvd Calendar'!$E$500:$AR$500=TYPE4)*(TYPE4&lt;&gt;"")+('Dvd Calendar'!$E$500:$AR$500=SPECIAL_LBL)*(INC_SPECIALS="Y"))))</f>
        <v/>
      </c>
      <c r="G56" s="64">
        <f>IF($C56="","",SUMPRODUCT(('Dvd Calendar'!$E$495:$AR$495&gt;=DATE(YEAR_Y-4,1,1))*('Dvd Calendar'!$E$495:$AR$495&lt;=DATE(YEAR_Y-4,12,31))*'Dvd Calendar'!$E$498:$AR$498*(('Dvd Calendar'!$E$500:$AR$500=TYPE1)*(TYPE1&lt;&gt;"")+('Dvd Calendar'!$E$500:$AR$500=TYPE2)*(TYPE2&lt;&gt;"")+('Dvd Calendar'!$E$500:$AR$500=TYPE3)*(TYPE3&lt;&gt;"")+('Dvd Calendar'!$E$500:$AR$500=TYPE4)*(TYPE4&lt;&gt;"")+('Dvd Calendar'!$E$500:$AR$500=SPECIAL_LBL)*(INC_SPECIALS="Y"))))</f>
        <v/>
      </c>
      <c r="H56" s="64">
        <f>IF($C56="","",SUMPRODUCT(('Dvd Calendar'!$E$495:$AR$495&gt;=DATE(YEAR_Y-3,1,1))*('Dvd Calendar'!$E$495:$AR$495&lt;=DATE(YEAR_Y-3,12,31))*'Dvd Calendar'!$E$498:$AR$498*(('Dvd Calendar'!$E$500:$AR$500=TYPE1)*(TYPE1&lt;&gt;"")+('Dvd Calendar'!$E$500:$AR$500=TYPE2)*(TYPE2&lt;&gt;"")+('Dvd Calendar'!$E$500:$AR$500=TYPE3)*(TYPE3&lt;&gt;"")+('Dvd Calendar'!$E$500:$AR$500=TYPE4)*(TYPE4&lt;&gt;"")+('Dvd Calendar'!$E$500:$AR$500=SPECIAL_LBL)*(INC_SPECIALS="Y"))))</f>
        <v/>
      </c>
      <c r="I56" s="64">
        <f>IF($C56="","",SUMPRODUCT(('Dvd Calendar'!$E$495:$AR$495&gt;=DATE(YEAR_Y-2,1,1))*('Dvd Calendar'!$E$495:$AR$495&lt;=DATE(YEAR_Y-2,12,31))*'Dvd Calendar'!$E$498:$AR$498*(('Dvd Calendar'!$E$500:$AR$500=TYPE1)*(TYPE1&lt;&gt;"")+('Dvd Calendar'!$E$500:$AR$500=TYPE2)*(TYPE2&lt;&gt;"")+('Dvd Calendar'!$E$500:$AR$500=TYPE3)*(TYPE3&lt;&gt;"")+('Dvd Calendar'!$E$500:$AR$500=TYPE4)*(TYPE4&lt;&gt;"")+('Dvd Calendar'!$E$500:$AR$500=SPECIAL_LBL)*(INC_SPECIALS="Y"))))</f>
        <v/>
      </c>
      <c r="J56" s="64">
        <f>IF($C56="","",SUMPRODUCT(('Dvd Calendar'!$E$495:$AR$495&gt;=DATE(YEAR_Y-1,1,1))*('Dvd Calendar'!$E$495:$AR$495&lt;=DATE(YEAR_Y-1,12,31))*'Dvd Calendar'!$E$498:$AR$498*(('Dvd Calendar'!$E$500:$AR$500=TYPE1)*(TYPE1&lt;&gt;"")+('Dvd Calendar'!$E$500:$AR$500=TYPE2)*(TYPE2&lt;&gt;"")+('Dvd Calendar'!$E$500:$AR$500=TYPE3)*(TYPE3&lt;&gt;"")+('Dvd Calendar'!$E$500:$AR$500=TYPE4)*(TYPE4&lt;&gt;"")+('Dvd Calendar'!$E$500:$AR$500=SPECIAL_LBL)*(INC_SPECIALS="Y"))))</f>
        <v/>
      </c>
      <c r="K56" s="65">
        <f>IF($C56="","",HSI!$J$51)</f>
        <v/>
      </c>
      <c r="L56" s="65">
        <f>IF($C56="","",HSI!$K$51)</f>
        <v/>
      </c>
      <c r="M56" s="41">
        <f>IF($C56="","",AVERAGE(F56:J56))</f>
        <v/>
      </c>
      <c r="N56" s="66">
        <f>IF($C56="","",IF(PULL_FUND="N","",IFERROR(BDP($C56,EPS_FIELD,YR_OVERRIDE,TEXT(YEAR_Y-5,"0")),"")))</f>
        <v/>
      </c>
      <c r="O56" s="67">
        <f>IF($C56="","",IF(PULL_FUND="N","",IFERROR(BDP($C56,EPS_FIELD,YR_OVERRIDE,TEXT(YEAR_Y-4,"0")),"")))</f>
        <v/>
      </c>
      <c r="P56" s="67">
        <f>IF($C56="","",IF(PULL_FUND="N","",IFERROR(BDP($C56,EPS_FIELD,YR_OVERRIDE,TEXT(YEAR_Y-3,"0")),"")))</f>
        <v/>
      </c>
      <c r="Q56" s="67">
        <f>IF($C56="","",IF(PULL_FUND="N","",IFERROR(BDP($C56,EPS_FIELD,YR_OVERRIDE,TEXT(YEAR_Y-2,"0")),"")))</f>
        <v/>
      </c>
      <c r="R56" s="67">
        <f>IF($C56="","",IF(PULL_FUND="N","",IFERROR(BDP($C56,EPS_FIELD,YR_OVERRIDE,TEXT(YEAR_Y-1,"0")),"")))</f>
        <v/>
      </c>
      <c r="S56" s="68">
        <f>IF($C56="","",IF(PULL_FUND="N","",IFERROR(BDP($C56,PAYOUT_FIELD,YR_OVERRIDE,TEXT(YEAR_Y-5,"0"))/100,"")))</f>
        <v/>
      </c>
      <c r="T56" s="68">
        <f>IF($C56="","",IF(PULL_FUND="N","",IFERROR(BDP($C56,PAYOUT_FIELD,YR_OVERRIDE,TEXT(YEAR_Y-4,"0"))/100,"")))</f>
        <v/>
      </c>
      <c r="U56" s="68">
        <f>IF($C56="","",IF(PULL_FUND="N","",IFERROR(BDP($C56,PAYOUT_FIELD,YR_OVERRIDE,TEXT(YEAR_Y-3,"0"))/100,"")))</f>
        <v/>
      </c>
      <c r="V56" s="68">
        <f>IF($C56="","",IF(PULL_FUND="N","",IFERROR(BDP($C56,PAYOUT_FIELD,YR_OVERRIDE,TEXT(YEAR_Y-2,"0"))/100,"")))</f>
        <v/>
      </c>
      <c r="W56" s="68">
        <f>IF($C56="","",IF(PULL_FUND="N","",IFERROR(BDP($C56,PAYOUT_FIELD,YR_OVERRIDE,TEXT(YEAR_Y-1,"0"))/100,"")))</f>
        <v/>
      </c>
      <c r="X56" s="69">
        <f>IF($C56="","",IFERROR(AVERAGE(S56:W56),""))</f>
        <v/>
      </c>
      <c r="Y56" s="66">
        <f>IF($C56="","",IF(PULL_FUND="N","",IFERROR(BDP($C56,BESTEPS_FIELD,FWD_OVERRIDE,TEXT(MOD(YEAR_Y,100),"00")&amp;"Y"),"")))</f>
        <v/>
      </c>
      <c r="Z56" s="70">
        <f>IF($C56="","",IF(PULL_FUND="N","",IFERROR(BDP($C56,BESTDPS_FIELD,FWD_OVERRIDE,TEXT(MOD(YEAR_Y,100),"00")&amp;"Y"),"")))</f>
        <v/>
      </c>
      <c r="AA56" s="71">
        <f>IF($C56="","",IF(ISNUMBER($Y56)*ISNUMBER($Z56)*($Y56&lt;&gt;0)=0,"",$Z56/$Y56))</f>
        <v/>
      </c>
      <c r="AB56" s="41">
        <f>IF($C56="","",HSI!$J$51+HSI!$L$51)</f>
        <v/>
      </c>
      <c r="AC56" s="72">
        <f>IF($C56="","",IF(PULL_FUND="N","",IF(COUNTIFS('Fund History'!$G$272:$G$276,"&gt;="&amp;DATE(YEAR_Y-4,1,1),'Fund History'!$G$272:$G$276,"&lt;="&amp;DATE(YEAR_Y-4,12,31))=0,"",SUMIFS('Fund History'!$H$272:$H$276,'Fund History'!$G$272:$G$276,"&gt;="&amp;DATE(YEAR_Y-4,1,1),'Fund History'!$G$272:$G$276,"&lt;="&amp;DATE(YEAR_Y-4,12,31))/100)))</f>
        <v/>
      </c>
      <c r="AD56" s="73">
        <f>IF($C56="","",IF(PULL_FUND="N","",IF(COUNTIFS('Fund History'!$G$272:$G$276,"&gt;="&amp;DATE(YEAR_Y-3,1,1),'Fund History'!$G$272:$G$276,"&lt;="&amp;DATE(YEAR_Y-3,12,31))=0,"",SUMIFS('Fund History'!$H$272:$H$276,'Fund History'!$G$272:$G$276,"&gt;="&amp;DATE(YEAR_Y-3,1,1),'Fund History'!$G$272:$G$276,"&lt;="&amp;DATE(YEAR_Y-3,12,31))/100)))</f>
        <v/>
      </c>
      <c r="AE56" s="73">
        <f>IF($C56="","",IF(PULL_FUND="N","",IF(COUNTIFS('Fund History'!$G$272:$G$276,"&gt;="&amp;DATE(YEAR_Y-2,1,1),'Fund History'!$G$272:$G$276,"&lt;="&amp;DATE(YEAR_Y-2,12,31))=0,"",SUMIFS('Fund History'!$H$272:$H$276,'Fund History'!$G$272:$G$276,"&gt;="&amp;DATE(YEAR_Y-2,1,1),'Fund History'!$G$272:$G$276,"&lt;="&amp;DATE(YEAR_Y-2,12,31))/100)))</f>
        <v/>
      </c>
      <c r="AF56" s="73">
        <f>IF($C56="","",IF(PULL_FUND="N","",IF(COUNTIFS('Fund History'!$G$272:$G$276,"&gt;="&amp;DATE(YEAR_Y-1,1,1),'Fund History'!$G$272:$G$276,"&lt;="&amp;DATE(YEAR_Y-1,12,31))=0,"",SUMIFS('Fund History'!$H$272:$H$276,'Fund History'!$G$272:$G$276,"&gt;="&amp;DATE(YEAR_Y-1,1,1),'Fund History'!$G$272:$G$276,"&lt;="&amp;DATE(YEAR_Y-1,12,31))/100)))</f>
        <v/>
      </c>
      <c r="AG56" s="74">
        <f>IF($C56="","",IF(N($AF56)+N(HSI!$I$51)=0,"",N($AF56)+N(HSI!$I$51)/100))</f>
        <v/>
      </c>
      <c r="AH56" s="66">
        <f>IF($C56="","",IF(PULL_FUND="N","",IF(COUNTIFS('Fund History'!$D$272:$D$276,"&gt;="&amp;DATE(YEAR_Y-2,1,1),'Fund History'!$D$272:$D$276,"&lt;="&amp;DATE(YEAR_Y-2,12,31))=0,"",SUMIFS('Fund History'!$E$272:$E$276,'Fund History'!$D$272:$D$276,"&gt;="&amp;DATE(YEAR_Y-2,1,1),'Fund History'!$D$272:$D$276,"&lt;="&amp;DATE(YEAR_Y-2,12,31)))))</f>
        <v/>
      </c>
      <c r="AI56" s="67">
        <f>IF($C56="","",IF(PULL_FUND="N","",IF(COUNTIFS('Fund History'!$D$272:$D$276,"&gt;="&amp;DATE(YEAR_Y-1,1,1),'Fund History'!$D$272:$D$276,"&lt;="&amp;DATE(YEAR_Y-1,12,31))=0,"",SUMIFS('Fund History'!$E$272:$E$276,'Fund History'!$D$272:$D$276,"&gt;="&amp;DATE(YEAR_Y-1,1,1),'Fund History'!$D$272:$D$276,"&lt;="&amp;DATE(YEAR_Y-1,12,31)))))</f>
        <v/>
      </c>
      <c r="AJ56" s="67">
        <f>IF($C56="","",IF(PULL_FUND="N","",IFERROR(BDP($C56,NDEBITDA_FIELD),"")))</f>
        <v/>
      </c>
      <c r="AK56" s="75">
        <f>IF($C56="","",IF(PULL_FUND="N","",IFERROR(BDP($C56,EBINT_FIELD),"")))</f>
        <v/>
      </c>
      <c r="AL56" s="73">
        <f>IF($C56="","",IF(PULL_FUND="N","",IFERROR(BDP($C56,FCF_FIELD)/100,"")))</f>
        <v/>
      </c>
      <c r="AM56" s="76">
        <f>IF($C56="","",IF(ISNUMBER(HSI!$I$51),HSI!$I$51/100,""))</f>
        <v/>
      </c>
      <c r="AN56" s="47">
        <f>IF($C56="","",IF(N($AM56)=0,"",IFERROR($AL56/$AM56,"")))</f>
        <v/>
      </c>
      <c r="AO56" s="33">
        <f>IF($C56="","",IF(ISNUMBER($S56)*ISNUMBER($W56)=0,"",IF($W56&gt;$S56+0.05,"rising",IF($W56&lt;$S56-0.05,"falling","stable"))))</f>
        <v/>
      </c>
      <c r="AP56" s="77">
        <f>IF($C56="","",TRIM(IF(ISNUMBER($X56)*(N($X56)&gt;$D$4)&gt;0,"payout high  ","")&amp;IF(ISNUMBER($AN56)*(N($AN56)&lt;$F$4)&gt;0,"FCF below dvd  ","")&amp;IF(ISNUMBER($AJ56)*(N($AJ56)&gt;$H$4)&gt;0,"leverage high","")))</f>
        <v/>
      </c>
      <c r="AQ56" s="78">
        <f>IF($C56="","",IF(HSI!$F$51="HKD","",HSI!$F$51))</f>
        <v/>
      </c>
    </row>
    <row r="57">
      <c r="B57" s="62" t="inlineStr">
        <is>
          <t>HSI</t>
        </is>
      </c>
      <c r="C57" s="6">
        <f>IF(HSI!$C$52="","",HSI!$C$52)</f>
        <v/>
      </c>
      <c r="D57" s="6">
        <f>IF($C57="","",HSI!$D$52)</f>
        <v/>
      </c>
      <c r="E57" s="6">
        <f>IF($C57="","",HSI!$E$52)</f>
        <v/>
      </c>
      <c r="F57" s="63">
        <f>IF($C57="","",SUMPRODUCT(('Dvd Calendar'!$E$506:$AR$506&gt;=DATE(YEAR_Y-5,1,1))*('Dvd Calendar'!$E$506:$AR$506&lt;=DATE(YEAR_Y-5,12,31))*'Dvd Calendar'!$E$509:$AR$509*(('Dvd Calendar'!$E$511:$AR$511=TYPE1)*(TYPE1&lt;&gt;"")+('Dvd Calendar'!$E$511:$AR$511=TYPE2)*(TYPE2&lt;&gt;"")+('Dvd Calendar'!$E$511:$AR$511=TYPE3)*(TYPE3&lt;&gt;"")+('Dvd Calendar'!$E$511:$AR$511=TYPE4)*(TYPE4&lt;&gt;"")+('Dvd Calendar'!$E$511:$AR$511=SPECIAL_LBL)*(INC_SPECIALS="Y"))))</f>
        <v/>
      </c>
      <c r="G57" s="64">
        <f>IF($C57="","",SUMPRODUCT(('Dvd Calendar'!$E$506:$AR$506&gt;=DATE(YEAR_Y-4,1,1))*('Dvd Calendar'!$E$506:$AR$506&lt;=DATE(YEAR_Y-4,12,31))*'Dvd Calendar'!$E$509:$AR$509*(('Dvd Calendar'!$E$511:$AR$511=TYPE1)*(TYPE1&lt;&gt;"")+('Dvd Calendar'!$E$511:$AR$511=TYPE2)*(TYPE2&lt;&gt;"")+('Dvd Calendar'!$E$511:$AR$511=TYPE3)*(TYPE3&lt;&gt;"")+('Dvd Calendar'!$E$511:$AR$511=TYPE4)*(TYPE4&lt;&gt;"")+('Dvd Calendar'!$E$511:$AR$511=SPECIAL_LBL)*(INC_SPECIALS="Y"))))</f>
        <v/>
      </c>
      <c r="H57" s="64">
        <f>IF($C57="","",SUMPRODUCT(('Dvd Calendar'!$E$506:$AR$506&gt;=DATE(YEAR_Y-3,1,1))*('Dvd Calendar'!$E$506:$AR$506&lt;=DATE(YEAR_Y-3,12,31))*'Dvd Calendar'!$E$509:$AR$509*(('Dvd Calendar'!$E$511:$AR$511=TYPE1)*(TYPE1&lt;&gt;"")+('Dvd Calendar'!$E$511:$AR$511=TYPE2)*(TYPE2&lt;&gt;"")+('Dvd Calendar'!$E$511:$AR$511=TYPE3)*(TYPE3&lt;&gt;"")+('Dvd Calendar'!$E$511:$AR$511=TYPE4)*(TYPE4&lt;&gt;"")+('Dvd Calendar'!$E$511:$AR$511=SPECIAL_LBL)*(INC_SPECIALS="Y"))))</f>
        <v/>
      </c>
      <c r="I57" s="64">
        <f>IF($C57="","",SUMPRODUCT(('Dvd Calendar'!$E$506:$AR$506&gt;=DATE(YEAR_Y-2,1,1))*('Dvd Calendar'!$E$506:$AR$506&lt;=DATE(YEAR_Y-2,12,31))*'Dvd Calendar'!$E$509:$AR$509*(('Dvd Calendar'!$E$511:$AR$511=TYPE1)*(TYPE1&lt;&gt;"")+('Dvd Calendar'!$E$511:$AR$511=TYPE2)*(TYPE2&lt;&gt;"")+('Dvd Calendar'!$E$511:$AR$511=TYPE3)*(TYPE3&lt;&gt;"")+('Dvd Calendar'!$E$511:$AR$511=TYPE4)*(TYPE4&lt;&gt;"")+('Dvd Calendar'!$E$511:$AR$511=SPECIAL_LBL)*(INC_SPECIALS="Y"))))</f>
        <v/>
      </c>
      <c r="J57" s="64">
        <f>IF($C57="","",SUMPRODUCT(('Dvd Calendar'!$E$506:$AR$506&gt;=DATE(YEAR_Y-1,1,1))*('Dvd Calendar'!$E$506:$AR$506&lt;=DATE(YEAR_Y-1,12,31))*'Dvd Calendar'!$E$509:$AR$509*(('Dvd Calendar'!$E$511:$AR$511=TYPE1)*(TYPE1&lt;&gt;"")+('Dvd Calendar'!$E$511:$AR$511=TYPE2)*(TYPE2&lt;&gt;"")+('Dvd Calendar'!$E$511:$AR$511=TYPE3)*(TYPE3&lt;&gt;"")+('Dvd Calendar'!$E$511:$AR$511=TYPE4)*(TYPE4&lt;&gt;"")+('Dvd Calendar'!$E$511:$AR$511=SPECIAL_LBL)*(INC_SPECIALS="Y"))))</f>
        <v/>
      </c>
      <c r="K57" s="65">
        <f>IF($C57="","",HSI!$J$52)</f>
        <v/>
      </c>
      <c r="L57" s="65">
        <f>IF($C57="","",HSI!$K$52)</f>
        <v/>
      </c>
      <c r="M57" s="41">
        <f>IF($C57="","",AVERAGE(F57:J57))</f>
        <v/>
      </c>
      <c r="N57" s="66">
        <f>IF($C57="","",IF(PULL_FUND="N","",IFERROR(BDP($C57,EPS_FIELD,YR_OVERRIDE,TEXT(YEAR_Y-5,"0")),"")))</f>
        <v/>
      </c>
      <c r="O57" s="67">
        <f>IF($C57="","",IF(PULL_FUND="N","",IFERROR(BDP($C57,EPS_FIELD,YR_OVERRIDE,TEXT(YEAR_Y-4,"0")),"")))</f>
        <v/>
      </c>
      <c r="P57" s="67">
        <f>IF($C57="","",IF(PULL_FUND="N","",IFERROR(BDP($C57,EPS_FIELD,YR_OVERRIDE,TEXT(YEAR_Y-3,"0")),"")))</f>
        <v/>
      </c>
      <c r="Q57" s="67">
        <f>IF($C57="","",IF(PULL_FUND="N","",IFERROR(BDP($C57,EPS_FIELD,YR_OVERRIDE,TEXT(YEAR_Y-2,"0")),"")))</f>
        <v/>
      </c>
      <c r="R57" s="67">
        <f>IF($C57="","",IF(PULL_FUND="N","",IFERROR(BDP($C57,EPS_FIELD,YR_OVERRIDE,TEXT(YEAR_Y-1,"0")),"")))</f>
        <v/>
      </c>
      <c r="S57" s="68">
        <f>IF($C57="","",IF(PULL_FUND="N","",IFERROR(BDP($C57,PAYOUT_FIELD,YR_OVERRIDE,TEXT(YEAR_Y-5,"0"))/100,"")))</f>
        <v/>
      </c>
      <c r="T57" s="68">
        <f>IF($C57="","",IF(PULL_FUND="N","",IFERROR(BDP($C57,PAYOUT_FIELD,YR_OVERRIDE,TEXT(YEAR_Y-4,"0"))/100,"")))</f>
        <v/>
      </c>
      <c r="U57" s="68">
        <f>IF($C57="","",IF(PULL_FUND="N","",IFERROR(BDP($C57,PAYOUT_FIELD,YR_OVERRIDE,TEXT(YEAR_Y-3,"0"))/100,"")))</f>
        <v/>
      </c>
      <c r="V57" s="68">
        <f>IF($C57="","",IF(PULL_FUND="N","",IFERROR(BDP($C57,PAYOUT_FIELD,YR_OVERRIDE,TEXT(YEAR_Y-2,"0"))/100,"")))</f>
        <v/>
      </c>
      <c r="W57" s="68">
        <f>IF($C57="","",IF(PULL_FUND="N","",IFERROR(BDP($C57,PAYOUT_FIELD,YR_OVERRIDE,TEXT(YEAR_Y-1,"0"))/100,"")))</f>
        <v/>
      </c>
      <c r="X57" s="69">
        <f>IF($C57="","",IFERROR(AVERAGE(S57:W57),""))</f>
        <v/>
      </c>
      <c r="Y57" s="66">
        <f>IF($C57="","",IF(PULL_FUND="N","",IFERROR(BDP($C57,BESTEPS_FIELD,FWD_OVERRIDE,TEXT(MOD(YEAR_Y,100),"00")&amp;"Y"),"")))</f>
        <v/>
      </c>
      <c r="Z57" s="70">
        <f>IF($C57="","",IF(PULL_FUND="N","",IFERROR(BDP($C57,BESTDPS_FIELD,FWD_OVERRIDE,TEXT(MOD(YEAR_Y,100),"00")&amp;"Y"),"")))</f>
        <v/>
      </c>
      <c r="AA57" s="71">
        <f>IF($C57="","",IF(ISNUMBER($Y57)*ISNUMBER($Z57)*($Y57&lt;&gt;0)=0,"",$Z57/$Y57))</f>
        <v/>
      </c>
      <c r="AB57" s="41">
        <f>IF($C57="","",HSI!$J$52+HSI!$L$52)</f>
        <v/>
      </c>
      <c r="AC57" s="72">
        <f>IF($C57="","",IF(PULL_FUND="N","",IF(COUNTIFS('Fund History'!$G$278:$G$282,"&gt;="&amp;DATE(YEAR_Y-4,1,1),'Fund History'!$G$278:$G$282,"&lt;="&amp;DATE(YEAR_Y-4,12,31))=0,"",SUMIFS('Fund History'!$H$278:$H$282,'Fund History'!$G$278:$G$282,"&gt;="&amp;DATE(YEAR_Y-4,1,1),'Fund History'!$G$278:$G$282,"&lt;="&amp;DATE(YEAR_Y-4,12,31))/100)))</f>
        <v/>
      </c>
      <c r="AD57" s="73">
        <f>IF($C57="","",IF(PULL_FUND="N","",IF(COUNTIFS('Fund History'!$G$278:$G$282,"&gt;="&amp;DATE(YEAR_Y-3,1,1),'Fund History'!$G$278:$G$282,"&lt;="&amp;DATE(YEAR_Y-3,12,31))=0,"",SUMIFS('Fund History'!$H$278:$H$282,'Fund History'!$G$278:$G$282,"&gt;="&amp;DATE(YEAR_Y-3,1,1),'Fund History'!$G$278:$G$282,"&lt;="&amp;DATE(YEAR_Y-3,12,31))/100)))</f>
        <v/>
      </c>
      <c r="AE57" s="73">
        <f>IF($C57="","",IF(PULL_FUND="N","",IF(COUNTIFS('Fund History'!$G$278:$G$282,"&gt;="&amp;DATE(YEAR_Y-2,1,1),'Fund History'!$G$278:$G$282,"&lt;="&amp;DATE(YEAR_Y-2,12,31))=0,"",SUMIFS('Fund History'!$H$278:$H$282,'Fund History'!$G$278:$G$282,"&gt;="&amp;DATE(YEAR_Y-2,1,1),'Fund History'!$G$278:$G$282,"&lt;="&amp;DATE(YEAR_Y-2,12,31))/100)))</f>
        <v/>
      </c>
      <c r="AF57" s="73">
        <f>IF($C57="","",IF(PULL_FUND="N","",IF(COUNTIFS('Fund History'!$G$278:$G$282,"&gt;="&amp;DATE(YEAR_Y-1,1,1),'Fund History'!$G$278:$G$282,"&lt;="&amp;DATE(YEAR_Y-1,12,31))=0,"",SUMIFS('Fund History'!$H$278:$H$282,'Fund History'!$G$278:$G$282,"&gt;="&amp;DATE(YEAR_Y-1,1,1),'Fund History'!$G$278:$G$282,"&lt;="&amp;DATE(YEAR_Y-1,12,31))/100)))</f>
        <v/>
      </c>
      <c r="AG57" s="74">
        <f>IF($C57="","",IF(N($AF57)+N(HSI!$I$52)=0,"",N($AF57)+N(HSI!$I$52)/100))</f>
        <v/>
      </c>
      <c r="AH57" s="66">
        <f>IF($C57="","",IF(PULL_FUND="N","",IF(COUNTIFS('Fund History'!$D$278:$D$282,"&gt;="&amp;DATE(YEAR_Y-2,1,1),'Fund History'!$D$278:$D$282,"&lt;="&amp;DATE(YEAR_Y-2,12,31))=0,"",SUMIFS('Fund History'!$E$278:$E$282,'Fund History'!$D$278:$D$282,"&gt;="&amp;DATE(YEAR_Y-2,1,1),'Fund History'!$D$278:$D$282,"&lt;="&amp;DATE(YEAR_Y-2,12,31)))))</f>
        <v/>
      </c>
      <c r="AI57" s="67">
        <f>IF($C57="","",IF(PULL_FUND="N","",IF(COUNTIFS('Fund History'!$D$278:$D$282,"&gt;="&amp;DATE(YEAR_Y-1,1,1),'Fund History'!$D$278:$D$282,"&lt;="&amp;DATE(YEAR_Y-1,12,31))=0,"",SUMIFS('Fund History'!$E$278:$E$282,'Fund History'!$D$278:$D$282,"&gt;="&amp;DATE(YEAR_Y-1,1,1),'Fund History'!$D$278:$D$282,"&lt;="&amp;DATE(YEAR_Y-1,12,31)))))</f>
        <v/>
      </c>
      <c r="AJ57" s="67">
        <f>IF($C57="","",IF(PULL_FUND="N","",IFERROR(BDP($C57,NDEBITDA_FIELD),"")))</f>
        <v/>
      </c>
      <c r="AK57" s="75">
        <f>IF($C57="","",IF(PULL_FUND="N","",IFERROR(BDP($C57,EBINT_FIELD),"")))</f>
        <v/>
      </c>
      <c r="AL57" s="73">
        <f>IF($C57="","",IF(PULL_FUND="N","",IFERROR(BDP($C57,FCF_FIELD)/100,"")))</f>
        <v/>
      </c>
      <c r="AM57" s="76">
        <f>IF($C57="","",IF(ISNUMBER(HSI!$I$52),HSI!$I$52/100,""))</f>
        <v/>
      </c>
      <c r="AN57" s="47">
        <f>IF($C57="","",IF(N($AM57)=0,"",IFERROR($AL57/$AM57,"")))</f>
        <v/>
      </c>
      <c r="AO57" s="33">
        <f>IF($C57="","",IF(ISNUMBER($S57)*ISNUMBER($W57)=0,"",IF($W57&gt;$S57+0.05,"rising",IF($W57&lt;$S57-0.05,"falling","stable"))))</f>
        <v/>
      </c>
      <c r="AP57" s="77">
        <f>IF($C57="","",TRIM(IF(ISNUMBER($X57)*(N($X57)&gt;$D$4)&gt;0,"payout high  ","")&amp;IF(ISNUMBER($AN57)*(N($AN57)&lt;$F$4)&gt;0,"FCF below dvd  ","")&amp;IF(ISNUMBER($AJ57)*(N($AJ57)&gt;$H$4)&gt;0,"leverage high","")))</f>
        <v/>
      </c>
      <c r="AQ57" s="78">
        <f>IF($C57="","",IF(HSI!$F$52="HKD","",HSI!$F$52))</f>
        <v/>
      </c>
    </row>
    <row r="58">
      <c r="B58" s="62" t="inlineStr">
        <is>
          <t>HSI</t>
        </is>
      </c>
      <c r="C58" s="6">
        <f>IF(HSI!$C$53="","",HSI!$C$53)</f>
        <v/>
      </c>
      <c r="D58" s="6">
        <f>IF($C58="","",HSI!$D$53)</f>
        <v/>
      </c>
      <c r="E58" s="6">
        <f>IF($C58="","",HSI!$E$53)</f>
        <v/>
      </c>
      <c r="F58" s="63">
        <f>IF($C58="","",SUMPRODUCT(('Dvd Calendar'!$E$517:$AR$517&gt;=DATE(YEAR_Y-5,1,1))*('Dvd Calendar'!$E$517:$AR$517&lt;=DATE(YEAR_Y-5,12,31))*'Dvd Calendar'!$E$520:$AR$520*(('Dvd Calendar'!$E$522:$AR$522=TYPE1)*(TYPE1&lt;&gt;"")+('Dvd Calendar'!$E$522:$AR$522=TYPE2)*(TYPE2&lt;&gt;"")+('Dvd Calendar'!$E$522:$AR$522=TYPE3)*(TYPE3&lt;&gt;"")+('Dvd Calendar'!$E$522:$AR$522=TYPE4)*(TYPE4&lt;&gt;"")+('Dvd Calendar'!$E$522:$AR$522=SPECIAL_LBL)*(INC_SPECIALS="Y"))))</f>
        <v/>
      </c>
      <c r="G58" s="64">
        <f>IF($C58="","",SUMPRODUCT(('Dvd Calendar'!$E$517:$AR$517&gt;=DATE(YEAR_Y-4,1,1))*('Dvd Calendar'!$E$517:$AR$517&lt;=DATE(YEAR_Y-4,12,31))*'Dvd Calendar'!$E$520:$AR$520*(('Dvd Calendar'!$E$522:$AR$522=TYPE1)*(TYPE1&lt;&gt;"")+('Dvd Calendar'!$E$522:$AR$522=TYPE2)*(TYPE2&lt;&gt;"")+('Dvd Calendar'!$E$522:$AR$522=TYPE3)*(TYPE3&lt;&gt;"")+('Dvd Calendar'!$E$522:$AR$522=TYPE4)*(TYPE4&lt;&gt;"")+('Dvd Calendar'!$E$522:$AR$522=SPECIAL_LBL)*(INC_SPECIALS="Y"))))</f>
        <v/>
      </c>
      <c r="H58" s="64">
        <f>IF($C58="","",SUMPRODUCT(('Dvd Calendar'!$E$517:$AR$517&gt;=DATE(YEAR_Y-3,1,1))*('Dvd Calendar'!$E$517:$AR$517&lt;=DATE(YEAR_Y-3,12,31))*'Dvd Calendar'!$E$520:$AR$520*(('Dvd Calendar'!$E$522:$AR$522=TYPE1)*(TYPE1&lt;&gt;"")+('Dvd Calendar'!$E$522:$AR$522=TYPE2)*(TYPE2&lt;&gt;"")+('Dvd Calendar'!$E$522:$AR$522=TYPE3)*(TYPE3&lt;&gt;"")+('Dvd Calendar'!$E$522:$AR$522=TYPE4)*(TYPE4&lt;&gt;"")+('Dvd Calendar'!$E$522:$AR$522=SPECIAL_LBL)*(INC_SPECIALS="Y"))))</f>
        <v/>
      </c>
      <c r="I58" s="64">
        <f>IF($C58="","",SUMPRODUCT(('Dvd Calendar'!$E$517:$AR$517&gt;=DATE(YEAR_Y-2,1,1))*('Dvd Calendar'!$E$517:$AR$517&lt;=DATE(YEAR_Y-2,12,31))*'Dvd Calendar'!$E$520:$AR$520*(('Dvd Calendar'!$E$522:$AR$522=TYPE1)*(TYPE1&lt;&gt;"")+('Dvd Calendar'!$E$522:$AR$522=TYPE2)*(TYPE2&lt;&gt;"")+('Dvd Calendar'!$E$522:$AR$522=TYPE3)*(TYPE3&lt;&gt;"")+('Dvd Calendar'!$E$522:$AR$522=TYPE4)*(TYPE4&lt;&gt;"")+('Dvd Calendar'!$E$522:$AR$522=SPECIAL_LBL)*(INC_SPECIALS="Y"))))</f>
        <v/>
      </c>
      <c r="J58" s="64">
        <f>IF($C58="","",SUMPRODUCT(('Dvd Calendar'!$E$517:$AR$517&gt;=DATE(YEAR_Y-1,1,1))*('Dvd Calendar'!$E$517:$AR$517&lt;=DATE(YEAR_Y-1,12,31))*'Dvd Calendar'!$E$520:$AR$520*(('Dvd Calendar'!$E$522:$AR$522=TYPE1)*(TYPE1&lt;&gt;"")+('Dvd Calendar'!$E$522:$AR$522=TYPE2)*(TYPE2&lt;&gt;"")+('Dvd Calendar'!$E$522:$AR$522=TYPE3)*(TYPE3&lt;&gt;"")+('Dvd Calendar'!$E$522:$AR$522=TYPE4)*(TYPE4&lt;&gt;"")+('Dvd Calendar'!$E$522:$AR$522=SPECIAL_LBL)*(INC_SPECIALS="Y"))))</f>
        <v/>
      </c>
      <c r="K58" s="65">
        <f>IF($C58="","",HSI!$J$53)</f>
        <v/>
      </c>
      <c r="L58" s="65">
        <f>IF($C58="","",HSI!$K$53)</f>
        <v/>
      </c>
      <c r="M58" s="41">
        <f>IF($C58="","",AVERAGE(F58:J58))</f>
        <v/>
      </c>
      <c r="N58" s="66">
        <f>IF($C58="","",IF(PULL_FUND="N","",IFERROR(BDP($C58,EPS_FIELD,YR_OVERRIDE,TEXT(YEAR_Y-5,"0")),"")))</f>
        <v/>
      </c>
      <c r="O58" s="67">
        <f>IF($C58="","",IF(PULL_FUND="N","",IFERROR(BDP($C58,EPS_FIELD,YR_OVERRIDE,TEXT(YEAR_Y-4,"0")),"")))</f>
        <v/>
      </c>
      <c r="P58" s="67">
        <f>IF($C58="","",IF(PULL_FUND="N","",IFERROR(BDP($C58,EPS_FIELD,YR_OVERRIDE,TEXT(YEAR_Y-3,"0")),"")))</f>
        <v/>
      </c>
      <c r="Q58" s="67">
        <f>IF($C58="","",IF(PULL_FUND="N","",IFERROR(BDP($C58,EPS_FIELD,YR_OVERRIDE,TEXT(YEAR_Y-2,"0")),"")))</f>
        <v/>
      </c>
      <c r="R58" s="67">
        <f>IF($C58="","",IF(PULL_FUND="N","",IFERROR(BDP($C58,EPS_FIELD,YR_OVERRIDE,TEXT(YEAR_Y-1,"0")),"")))</f>
        <v/>
      </c>
      <c r="S58" s="68">
        <f>IF($C58="","",IF(PULL_FUND="N","",IFERROR(BDP($C58,PAYOUT_FIELD,YR_OVERRIDE,TEXT(YEAR_Y-5,"0"))/100,"")))</f>
        <v/>
      </c>
      <c r="T58" s="68">
        <f>IF($C58="","",IF(PULL_FUND="N","",IFERROR(BDP($C58,PAYOUT_FIELD,YR_OVERRIDE,TEXT(YEAR_Y-4,"0"))/100,"")))</f>
        <v/>
      </c>
      <c r="U58" s="68">
        <f>IF($C58="","",IF(PULL_FUND="N","",IFERROR(BDP($C58,PAYOUT_FIELD,YR_OVERRIDE,TEXT(YEAR_Y-3,"0"))/100,"")))</f>
        <v/>
      </c>
      <c r="V58" s="68">
        <f>IF($C58="","",IF(PULL_FUND="N","",IFERROR(BDP($C58,PAYOUT_FIELD,YR_OVERRIDE,TEXT(YEAR_Y-2,"0"))/100,"")))</f>
        <v/>
      </c>
      <c r="W58" s="68">
        <f>IF($C58="","",IF(PULL_FUND="N","",IFERROR(BDP($C58,PAYOUT_FIELD,YR_OVERRIDE,TEXT(YEAR_Y-1,"0"))/100,"")))</f>
        <v/>
      </c>
      <c r="X58" s="69">
        <f>IF($C58="","",IFERROR(AVERAGE(S58:W58),""))</f>
        <v/>
      </c>
      <c r="Y58" s="66">
        <f>IF($C58="","",IF(PULL_FUND="N","",IFERROR(BDP($C58,BESTEPS_FIELD,FWD_OVERRIDE,TEXT(MOD(YEAR_Y,100),"00")&amp;"Y"),"")))</f>
        <v/>
      </c>
      <c r="Z58" s="70">
        <f>IF($C58="","",IF(PULL_FUND="N","",IFERROR(BDP($C58,BESTDPS_FIELD,FWD_OVERRIDE,TEXT(MOD(YEAR_Y,100),"00")&amp;"Y"),"")))</f>
        <v/>
      </c>
      <c r="AA58" s="71">
        <f>IF($C58="","",IF(ISNUMBER($Y58)*ISNUMBER($Z58)*($Y58&lt;&gt;0)=0,"",$Z58/$Y58))</f>
        <v/>
      </c>
      <c r="AB58" s="41">
        <f>IF($C58="","",HSI!$J$53+HSI!$L$53)</f>
        <v/>
      </c>
      <c r="AC58" s="72">
        <f>IF($C58="","",IF(PULL_FUND="N","",IF(COUNTIFS('Fund History'!$G$284:$G$288,"&gt;="&amp;DATE(YEAR_Y-4,1,1),'Fund History'!$G$284:$G$288,"&lt;="&amp;DATE(YEAR_Y-4,12,31))=0,"",SUMIFS('Fund History'!$H$284:$H$288,'Fund History'!$G$284:$G$288,"&gt;="&amp;DATE(YEAR_Y-4,1,1),'Fund History'!$G$284:$G$288,"&lt;="&amp;DATE(YEAR_Y-4,12,31))/100)))</f>
        <v/>
      </c>
      <c r="AD58" s="73">
        <f>IF($C58="","",IF(PULL_FUND="N","",IF(COUNTIFS('Fund History'!$G$284:$G$288,"&gt;="&amp;DATE(YEAR_Y-3,1,1),'Fund History'!$G$284:$G$288,"&lt;="&amp;DATE(YEAR_Y-3,12,31))=0,"",SUMIFS('Fund History'!$H$284:$H$288,'Fund History'!$G$284:$G$288,"&gt;="&amp;DATE(YEAR_Y-3,1,1),'Fund History'!$G$284:$G$288,"&lt;="&amp;DATE(YEAR_Y-3,12,31))/100)))</f>
        <v/>
      </c>
      <c r="AE58" s="73">
        <f>IF($C58="","",IF(PULL_FUND="N","",IF(COUNTIFS('Fund History'!$G$284:$G$288,"&gt;="&amp;DATE(YEAR_Y-2,1,1),'Fund History'!$G$284:$G$288,"&lt;="&amp;DATE(YEAR_Y-2,12,31))=0,"",SUMIFS('Fund History'!$H$284:$H$288,'Fund History'!$G$284:$G$288,"&gt;="&amp;DATE(YEAR_Y-2,1,1),'Fund History'!$G$284:$G$288,"&lt;="&amp;DATE(YEAR_Y-2,12,31))/100)))</f>
        <v/>
      </c>
      <c r="AF58" s="73">
        <f>IF($C58="","",IF(PULL_FUND="N","",IF(COUNTIFS('Fund History'!$G$284:$G$288,"&gt;="&amp;DATE(YEAR_Y-1,1,1),'Fund History'!$G$284:$G$288,"&lt;="&amp;DATE(YEAR_Y-1,12,31))=0,"",SUMIFS('Fund History'!$H$284:$H$288,'Fund History'!$G$284:$G$288,"&gt;="&amp;DATE(YEAR_Y-1,1,1),'Fund History'!$G$284:$G$288,"&lt;="&amp;DATE(YEAR_Y-1,12,31))/100)))</f>
        <v/>
      </c>
      <c r="AG58" s="74">
        <f>IF($C58="","",IF(N($AF58)+N(HSI!$I$53)=0,"",N($AF58)+N(HSI!$I$53)/100))</f>
        <v/>
      </c>
      <c r="AH58" s="66">
        <f>IF($C58="","",IF(PULL_FUND="N","",IF(COUNTIFS('Fund History'!$D$284:$D$288,"&gt;="&amp;DATE(YEAR_Y-2,1,1),'Fund History'!$D$284:$D$288,"&lt;="&amp;DATE(YEAR_Y-2,12,31))=0,"",SUMIFS('Fund History'!$E$284:$E$288,'Fund History'!$D$284:$D$288,"&gt;="&amp;DATE(YEAR_Y-2,1,1),'Fund History'!$D$284:$D$288,"&lt;="&amp;DATE(YEAR_Y-2,12,31)))))</f>
        <v/>
      </c>
      <c r="AI58" s="67">
        <f>IF($C58="","",IF(PULL_FUND="N","",IF(COUNTIFS('Fund History'!$D$284:$D$288,"&gt;="&amp;DATE(YEAR_Y-1,1,1),'Fund History'!$D$284:$D$288,"&lt;="&amp;DATE(YEAR_Y-1,12,31))=0,"",SUMIFS('Fund History'!$E$284:$E$288,'Fund History'!$D$284:$D$288,"&gt;="&amp;DATE(YEAR_Y-1,1,1),'Fund History'!$D$284:$D$288,"&lt;="&amp;DATE(YEAR_Y-1,12,31)))))</f>
        <v/>
      </c>
      <c r="AJ58" s="67">
        <f>IF($C58="","",IF(PULL_FUND="N","",IFERROR(BDP($C58,NDEBITDA_FIELD),"")))</f>
        <v/>
      </c>
      <c r="AK58" s="75">
        <f>IF($C58="","",IF(PULL_FUND="N","",IFERROR(BDP($C58,EBINT_FIELD),"")))</f>
        <v/>
      </c>
      <c r="AL58" s="73">
        <f>IF($C58="","",IF(PULL_FUND="N","",IFERROR(BDP($C58,FCF_FIELD)/100,"")))</f>
        <v/>
      </c>
      <c r="AM58" s="76">
        <f>IF($C58="","",IF(ISNUMBER(HSI!$I$53),HSI!$I$53/100,""))</f>
        <v/>
      </c>
      <c r="AN58" s="47">
        <f>IF($C58="","",IF(N($AM58)=0,"",IFERROR($AL58/$AM58,"")))</f>
        <v/>
      </c>
      <c r="AO58" s="33">
        <f>IF($C58="","",IF(ISNUMBER($S58)*ISNUMBER($W58)=0,"",IF($W58&gt;$S58+0.05,"rising",IF($W58&lt;$S58-0.05,"falling","stable"))))</f>
        <v/>
      </c>
      <c r="AP58" s="77">
        <f>IF($C58="","",TRIM(IF(ISNUMBER($X58)*(N($X58)&gt;$D$4)&gt;0,"payout high  ","")&amp;IF(ISNUMBER($AN58)*(N($AN58)&lt;$F$4)&gt;0,"FCF below dvd  ","")&amp;IF(ISNUMBER($AJ58)*(N($AJ58)&gt;$H$4)&gt;0,"leverage high","")))</f>
        <v/>
      </c>
      <c r="AQ58" s="78">
        <f>IF($C58="","",IF(HSI!$F$53="HKD","",HSI!$F$53))</f>
        <v/>
      </c>
    </row>
    <row r="59">
      <c r="B59" s="62" t="inlineStr">
        <is>
          <t>HSI</t>
        </is>
      </c>
      <c r="C59" s="6">
        <f>IF(HSI!$C$54="","",HSI!$C$54)</f>
        <v/>
      </c>
      <c r="D59" s="6">
        <f>IF($C59="","",HSI!$D$54)</f>
        <v/>
      </c>
      <c r="E59" s="6">
        <f>IF($C59="","",HSI!$E$54)</f>
        <v/>
      </c>
      <c r="F59" s="63">
        <f>IF($C59="","",SUMPRODUCT(('Dvd Calendar'!$E$528:$AR$528&gt;=DATE(YEAR_Y-5,1,1))*('Dvd Calendar'!$E$528:$AR$528&lt;=DATE(YEAR_Y-5,12,31))*'Dvd Calendar'!$E$531:$AR$531*(('Dvd Calendar'!$E$533:$AR$533=TYPE1)*(TYPE1&lt;&gt;"")+('Dvd Calendar'!$E$533:$AR$533=TYPE2)*(TYPE2&lt;&gt;"")+('Dvd Calendar'!$E$533:$AR$533=TYPE3)*(TYPE3&lt;&gt;"")+('Dvd Calendar'!$E$533:$AR$533=TYPE4)*(TYPE4&lt;&gt;"")+('Dvd Calendar'!$E$533:$AR$533=SPECIAL_LBL)*(INC_SPECIALS="Y"))))</f>
        <v/>
      </c>
      <c r="G59" s="64">
        <f>IF($C59="","",SUMPRODUCT(('Dvd Calendar'!$E$528:$AR$528&gt;=DATE(YEAR_Y-4,1,1))*('Dvd Calendar'!$E$528:$AR$528&lt;=DATE(YEAR_Y-4,12,31))*'Dvd Calendar'!$E$531:$AR$531*(('Dvd Calendar'!$E$533:$AR$533=TYPE1)*(TYPE1&lt;&gt;"")+('Dvd Calendar'!$E$533:$AR$533=TYPE2)*(TYPE2&lt;&gt;"")+('Dvd Calendar'!$E$533:$AR$533=TYPE3)*(TYPE3&lt;&gt;"")+('Dvd Calendar'!$E$533:$AR$533=TYPE4)*(TYPE4&lt;&gt;"")+('Dvd Calendar'!$E$533:$AR$533=SPECIAL_LBL)*(INC_SPECIALS="Y"))))</f>
        <v/>
      </c>
      <c r="H59" s="64">
        <f>IF($C59="","",SUMPRODUCT(('Dvd Calendar'!$E$528:$AR$528&gt;=DATE(YEAR_Y-3,1,1))*('Dvd Calendar'!$E$528:$AR$528&lt;=DATE(YEAR_Y-3,12,31))*'Dvd Calendar'!$E$531:$AR$531*(('Dvd Calendar'!$E$533:$AR$533=TYPE1)*(TYPE1&lt;&gt;"")+('Dvd Calendar'!$E$533:$AR$533=TYPE2)*(TYPE2&lt;&gt;"")+('Dvd Calendar'!$E$533:$AR$533=TYPE3)*(TYPE3&lt;&gt;"")+('Dvd Calendar'!$E$533:$AR$533=TYPE4)*(TYPE4&lt;&gt;"")+('Dvd Calendar'!$E$533:$AR$533=SPECIAL_LBL)*(INC_SPECIALS="Y"))))</f>
        <v/>
      </c>
      <c r="I59" s="64">
        <f>IF($C59="","",SUMPRODUCT(('Dvd Calendar'!$E$528:$AR$528&gt;=DATE(YEAR_Y-2,1,1))*('Dvd Calendar'!$E$528:$AR$528&lt;=DATE(YEAR_Y-2,12,31))*'Dvd Calendar'!$E$531:$AR$531*(('Dvd Calendar'!$E$533:$AR$533=TYPE1)*(TYPE1&lt;&gt;"")+('Dvd Calendar'!$E$533:$AR$533=TYPE2)*(TYPE2&lt;&gt;"")+('Dvd Calendar'!$E$533:$AR$533=TYPE3)*(TYPE3&lt;&gt;"")+('Dvd Calendar'!$E$533:$AR$533=TYPE4)*(TYPE4&lt;&gt;"")+('Dvd Calendar'!$E$533:$AR$533=SPECIAL_LBL)*(INC_SPECIALS="Y"))))</f>
        <v/>
      </c>
      <c r="J59" s="64">
        <f>IF($C59="","",SUMPRODUCT(('Dvd Calendar'!$E$528:$AR$528&gt;=DATE(YEAR_Y-1,1,1))*('Dvd Calendar'!$E$528:$AR$528&lt;=DATE(YEAR_Y-1,12,31))*'Dvd Calendar'!$E$531:$AR$531*(('Dvd Calendar'!$E$533:$AR$533=TYPE1)*(TYPE1&lt;&gt;"")+('Dvd Calendar'!$E$533:$AR$533=TYPE2)*(TYPE2&lt;&gt;"")+('Dvd Calendar'!$E$533:$AR$533=TYPE3)*(TYPE3&lt;&gt;"")+('Dvd Calendar'!$E$533:$AR$533=TYPE4)*(TYPE4&lt;&gt;"")+('Dvd Calendar'!$E$533:$AR$533=SPECIAL_LBL)*(INC_SPECIALS="Y"))))</f>
        <v/>
      </c>
      <c r="K59" s="65">
        <f>IF($C59="","",HSI!$J$54)</f>
        <v/>
      </c>
      <c r="L59" s="65">
        <f>IF($C59="","",HSI!$K$54)</f>
        <v/>
      </c>
      <c r="M59" s="41">
        <f>IF($C59="","",AVERAGE(F59:J59))</f>
        <v/>
      </c>
      <c r="N59" s="66">
        <f>IF($C59="","",IF(PULL_FUND="N","",IFERROR(BDP($C59,EPS_FIELD,YR_OVERRIDE,TEXT(YEAR_Y-5,"0")),"")))</f>
        <v/>
      </c>
      <c r="O59" s="67">
        <f>IF($C59="","",IF(PULL_FUND="N","",IFERROR(BDP($C59,EPS_FIELD,YR_OVERRIDE,TEXT(YEAR_Y-4,"0")),"")))</f>
        <v/>
      </c>
      <c r="P59" s="67">
        <f>IF($C59="","",IF(PULL_FUND="N","",IFERROR(BDP($C59,EPS_FIELD,YR_OVERRIDE,TEXT(YEAR_Y-3,"0")),"")))</f>
        <v/>
      </c>
      <c r="Q59" s="67">
        <f>IF($C59="","",IF(PULL_FUND="N","",IFERROR(BDP($C59,EPS_FIELD,YR_OVERRIDE,TEXT(YEAR_Y-2,"0")),"")))</f>
        <v/>
      </c>
      <c r="R59" s="67">
        <f>IF($C59="","",IF(PULL_FUND="N","",IFERROR(BDP($C59,EPS_FIELD,YR_OVERRIDE,TEXT(YEAR_Y-1,"0")),"")))</f>
        <v/>
      </c>
      <c r="S59" s="68">
        <f>IF($C59="","",IF(PULL_FUND="N","",IFERROR(BDP($C59,PAYOUT_FIELD,YR_OVERRIDE,TEXT(YEAR_Y-5,"0"))/100,"")))</f>
        <v/>
      </c>
      <c r="T59" s="68">
        <f>IF($C59="","",IF(PULL_FUND="N","",IFERROR(BDP($C59,PAYOUT_FIELD,YR_OVERRIDE,TEXT(YEAR_Y-4,"0"))/100,"")))</f>
        <v/>
      </c>
      <c r="U59" s="68">
        <f>IF($C59="","",IF(PULL_FUND="N","",IFERROR(BDP($C59,PAYOUT_FIELD,YR_OVERRIDE,TEXT(YEAR_Y-3,"0"))/100,"")))</f>
        <v/>
      </c>
      <c r="V59" s="68">
        <f>IF($C59="","",IF(PULL_FUND="N","",IFERROR(BDP($C59,PAYOUT_FIELD,YR_OVERRIDE,TEXT(YEAR_Y-2,"0"))/100,"")))</f>
        <v/>
      </c>
      <c r="W59" s="68">
        <f>IF($C59="","",IF(PULL_FUND="N","",IFERROR(BDP($C59,PAYOUT_FIELD,YR_OVERRIDE,TEXT(YEAR_Y-1,"0"))/100,"")))</f>
        <v/>
      </c>
      <c r="X59" s="69">
        <f>IF($C59="","",IFERROR(AVERAGE(S59:W59),""))</f>
        <v/>
      </c>
      <c r="Y59" s="66">
        <f>IF($C59="","",IF(PULL_FUND="N","",IFERROR(BDP($C59,BESTEPS_FIELD,FWD_OVERRIDE,TEXT(MOD(YEAR_Y,100),"00")&amp;"Y"),"")))</f>
        <v/>
      </c>
      <c r="Z59" s="70">
        <f>IF($C59="","",IF(PULL_FUND="N","",IFERROR(BDP($C59,BESTDPS_FIELD,FWD_OVERRIDE,TEXT(MOD(YEAR_Y,100),"00")&amp;"Y"),"")))</f>
        <v/>
      </c>
      <c r="AA59" s="71">
        <f>IF($C59="","",IF(ISNUMBER($Y59)*ISNUMBER($Z59)*($Y59&lt;&gt;0)=0,"",$Z59/$Y59))</f>
        <v/>
      </c>
      <c r="AB59" s="41">
        <f>IF($C59="","",HSI!$J$54+HSI!$L$54)</f>
        <v/>
      </c>
      <c r="AC59" s="72">
        <f>IF($C59="","",IF(PULL_FUND="N","",IF(COUNTIFS('Fund History'!$G$290:$G$294,"&gt;="&amp;DATE(YEAR_Y-4,1,1),'Fund History'!$G$290:$G$294,"&lt;="&amp;DATE(YEAR_Y-4,12,31))=0,"",SUMIFS('Fund History'!$H$290:$H$294,'Fund History'!$G$290:$G$294,"&gt;="&amp;DATE(YEAR_Y-4,1,1),'Fund History'!$G$290:$G$294,"&lt;="&amp;DATE(YEAR_Y-4,12,31))/100)))</f>
        <v/>
      </c>
      <c r="AD59" s="73">
        <f>IF($C59="","",IF(PULL_FUND="N","",IF(COUNTIFS('Fund History'!$G$290:$G$294,"&gt;="&amp;DATE(YEAR_Y-3,1,1),'Fund History'!$G$290:$G$294,"&lt;="&amp;DATE(YEAR_Y-3,12,31))=0,"",SUMIFS('Fund History'!$H$290:$H$294,'Fund History'!$G$290:$G$294,"&gt;="&amp;DATE(YEAR_Y-3,1,1),'Fund History'!$G$290:$G$294,"&lt;="&amp;DATE(YEAR_Y-3,12,31))/100)))</f>
        <v/>
      </c>
      <c r="AE59" s="73">
        <f>IF($C59="","",IF(PULL_FUND="N","",IF(COUNTIFS('Fund History'!$G$290:$G$294,"&gt;="&amp;DATE(YEAR_Y-2,1,1),'Fund History'!$G$290:$G$294,"&lt;="&amp;DATE(YEAR_Y-2,12,31))=0,"",SUMIFS('Fund History'!$H$290:$H$294,'Fund History'!$G$290:$G$294,"&gt;="&amp;DATE(YEAR_Y-2,1,1),'Fund History'!$G$290:$G$294,"&lt;="&amp;DATE(YEAR_Y-2,12,31))/100)))</f>
        <v/>
      </c>
      <c r="AF59" s="73">
        <f>IF($C59="","",IF(PULL_FUND="N","",IF(COUNTIFS('Fund History'!$G$290:$G$294,"&gt;="&amp;DATE(YEAR_Y-1,1,1),'Fund History'!$G$290:$G$294,"&lt;="&amp;DATE(YEAR_Y-1,12,31))=0,"",SUMIFS('Fund History'!$H$290:$H$294,'Fund History'!$G$290:$G$294,"&gt;="&amp;DATE(YEAR_Y-1,1,1),'Fund History'!$G$290:$G$294,"&lt;="&amp;DATE(YEAR_Y-1,12,31))/100)))</f>
        <v/>
      </c>
      <c r="AG59" s="74">
        <f>IF($C59="","",IF(N($AF59)+N(HSI!$I$54)=0,"",N($AF59)+N(HSI!$I$54)/100))</f>
        <v/>
      </c>
      <c r="AH59" s="66">
        <f>IF($C59="","",IF(PULL_FUND="N","",IF(COUNTIFS('Fund History'!$D$290:$D$294,"&gt;="&amp;DATE(YEAR_Y-2,1,1),'Fund History'!$D$290:$D$294,"&lt;="&amp;DATE(YEAR_Y-2,12,31))=0,"",SUMIFS('Fund History'!$E$290:$E$294,'Fund History'!$D$290:$D$294,"&gt;="&amp;DATE(YEAR_Y-2,1,1),'Fund History'!$D$290:$D$294,"&lt;="&amp;DATE(YEAR_Y-2,12,31)))))</f>
        <v/>
      </c>
      <c r="AI59" s="67">
        <f>IF($C59="","",IF(PULL_FUND="N","",IF(COUNTIFS('Fund History'!$D$290:$D$294,"&gt;="&amp;DATE(YEAR_Y-1,1,1),'Fund History'!$D$290:$D$294,"&lt;="&amp;DATE(YEAR_Y-1,12,31))=0,"",SUMIFS('Fund History'!$E$290:$E$294,'Fund History'!$D$290:$D$294,"&gt;="&amp;DATE(YEAR_Y-1,1,1),'Fund History'!$D$290:$D$294,"&lt;="&amp;DATE(YEAR_Y-1,12,31)))))</f>
        <v/>
      </c>
      <c r="AJ59" s="67">
        <f>IF($C59="","",IF(PULL_FUND="N","",IFERROR(BDP($C59,NDEBITDA_FIELD),"")))</f>
        <v/>
      </c>
      <c r="AK59" s="75">
        <f>IF($C59="","",IF(PULL_FUND="N","",IFERROR(BDP($C59,EBINT_FIELD),"")))</f>
        <v/>
      </c>
      <c r="AL59" s="73">
        <f>IF($C59="","",IF(PULL_FUND="N","",IFERROR(BDP($C59,FCF_FIELD)/100,"")))</f>
        <v/>
      </c>
      <c r="AM59" s="76">
        <f>IF($C59="","",IF(ISNUMBER(HSI!$I$54),HSI!$I$54/100,""))</f>
        <v/>
      </c>
      <c r="AN59" s="47">
        <f>IF($C59="","",IF(N($AM59)=0,"",IFERROR($AL59/$AM59,"")))</f>
        <v/>
      </c>
      <c r="AO59" s="33">
        <f>IF($C59="","",IF(ISNUMBER($S59)*ISNUMBER($W59)=0,"",IF($W59&gt;$S59+0.05,"rising",IF($W59&lt;$S59-0.05,"falling","stable"))))</f>
        <v/>
      </c>
      <c r="AP59" s="77">
        <f>IF($C59="","",TRIM(IF(ISNUMBER($X59)*(N($X59)&gt;$D$4)&gt;0,"payout high  ","")&amp;IF(ISNUMBER($AN59)*(N($AN59)&lt;$F$4)&gt;0,"FCF below dvd  ","")&amp;IF(ISNUMBER($AJ59)*(N($AJ59)&gt;$H$4)&gt;0,"leverage high","")))</f>
        <v/>
      </c>
      <c r="AQ59" s="78">
        <f>IF($C59="","",IF(HSI!$F$54="HKD","",HSI!$F$54))</f>
        <v/>
      </c>
    </row>
    <row r="60">
      <c r="B60" s="62" t="inlineStr">
        <is>
          <t>HSI</t>
        </is>
      </c>
      <c r="C60" s="6">
        <f>IF(HSI!$C$55="","",HSI!$C$55)</f>
        <v/>
      </c>
      <c r="D60" s="6">
        <f>IF($C60="","",HSI!$D$55)</f>
        <v/>
      </c>
      <c r="E60" s="6">
        <f>IF($C60="","",HSI!$E$55)</f>
        <v/>
      </c>
      <c r="F60" s="63">
        <f>IF($C60="","",SUMPRODUCT(('Dvd Calendar'!$E$539:$AR$539&gt;=DATE(YEAR_Y-5,1,1))*('Dvd Calendar'!$E$539:$AR$539&lt;=DATE(YEAR_Y-5,12,31))*'Dvd Calendar'!$E$542:$AR$542*(('Dvd Calendar'!$E$544:$AR$544=TYPE1)*(TYPE1&lt;&gt;"")+('Dvd Calendar'!$E$544:$AR$544=TYPE2)*(TYPE2&lt;&gt;"")+('Dvd Calendar'!$E$544:$AR$544=TYPE3)*(TYPE3&lt;&gt;"")+('Dvd Calendar'!$E$544:$AR$544=TYPE4)*(TYPE4&lt;&gt;"")+('Dvd Calendar'!$E$544:$AR$544=SPECIAL_LBL)*(INC_SPECIALS="Y"))))</f>
        <v/>
      </c>
      <c r="G60" s="64">
        <f>IF($C60="","",SUMPRODUCT(('Dvd Calendar'!$E$539:$AR$539&gt;=DATE(YEAR_Y-4,1,1))*('Dvd Calendar'!$E$539:$AR$539&lt;=DATE(YEAR_Y-4,12,31))*'Dvd Calendar'!$E$542:$AR$542*(('Dvd Calendar'!$E$544:$AR$544=TYPE1)*(TYPE1&lt;&gt;"")+('Dvd Calendar'!$E$544:$AR$544=TYPE2)*(TYPE2&lt;&gt;"")+('Dvd Calendar'!$E$544:$AR$544=TYPE3)*(TYPE3&lt;&gt;"")+('Dvd Calendar'!$E$544:$AR$544=TYPE4)*(TYPE4&lt;&gt;"")+('Dvd Calendar'!$E$544:$AR$544=SPECIAL_LBL)*(INC_SPECIALS="Y"))))</f>
        <v/>
      </c>
      <c r="H60" s="64">
        <f>IF($C60="","",SUMPRODUCT(('Dvd Calendar'!$E$539:$AR$539&gt;=DATE(YEAR_Y-3,1,1))*('Dvd Calendar'!$E$539:$AR$539&lt;=DATE(YEAR_Y-3,12,31))*'Dvd Calendar'!$E$542:$AR$542*(('Dvd Calendar'!$E$544:$AR$544=TYPE1)*(TYPE1&lt;&gt;"")+('Dvd Calendar'!$E$544:$AR$544=TYPE2)*(TYPE2&lt;&gt;"")+('Dvd Calendar'!$E$544:$AR$544=TYPE3)*(TYPE3&lt;&gt;"")+('Dvd Calendar'!$E$544:$AR$544=TYPE4)*(TYPE4&lt;&gt;"")+('Dvd Calendar'!$E$544:$AR$544=SPECIAL_LBL)*(INC_SPECIALS="Y"))))</f>
        <v/>
      </c>
      <c r="I60" s="64">
        <f>IF($C60="","",SUMPRODUCT(('Dvd Calendar'!$E$539:$AR$539&gt;=DATE(YEAR_Y-2,1,1))*('Dvd Calendar'!$E$539:$AR$539&lt;=DATE(YEAR_Y-2,12,31))*'Dvd Calendar'!$E$542:$AR$542*(('Dvd Calendar'!$E$544:$AR$544=TYPE1)*(TYPE1&lt;&gt;"")+('Dvd Calendar'!$E$544:$AR$544=TYPE2)*(TYPE2&lt;&gt;"")+('Dvd Calendar'!$E$544:$AR$544=TYPE3)*(TYPE3&lt;&gt;"")+('Dvd Calendar'!$E$544:$AR$544=TYPE4)*(TYPE4&lt;&gt;"")+('Dvd Calendar'!$E$544:$AR$544=SPECIAL_LBL)*(INC_SPECIALS="Y"))))</f>
        <v/>
      </c>
      <c r="J60" s="64">
        <f>IF($C60="","",SUMPRODUCT(('Dvd Calendar'!$E$539:$AR$539&gt;=DATE(YEAR_Y-1,1,1))*('Dvd Calendar'!$E$539:$AR$539&lt;=DATE(YEAR_Y-1,12,31))*'Dvd Calendar'!$E$542:$AR$542*(('Dvd Calendar'!$E$544:$AR$544=TYPE1)*(TYPE1&lt;&gt;"")+('Dvd Calendar'!$E$544:$AR$544=TYPE2)*(TYPE2&lt;&gt;"")+('Dvd Calendar'!$E$544:$AR$544=TYPE3)*(TYPE3&lt;&gt;"")+('Dvd Calendar'!$E$544:$AR$544=TYPE4)*(TYPE4&lt;&gt;"")+('Dvd Calendar'!$E$544:$AR$544=SPECIAL_LBL)*(INC_SPECIALS="Y"))))</f>
        <v/>
      </c>
      <c r="K60" s="65">
        <f>IF($C60="","",HSI!$J$55)</f>
        <v/>
      </c>
      <c r="L60" s="65">
        <f>IF($C60="","",HSI!$K$55)</f>
        <v/>
      </c>
      <c r="M60" s="41">
        <f>IF($C60="","",AVERAGE(F60:J60))</f>
        <v/>
      </c>
      <c r="N60" s="66">
        <f>IF($C60="","",IF(PULL_FUND="N","",IFERROR(BDP($C60,EPS_FIELD,YR_OVERRIDE,TEXT(YEAR_Y-5,"0")),"")))</f>
        <v/>
      </c>
      <c r="O60" s="67">
        <f>IF($C60="","",IF(PULL_FUND="N","",IFERROR(BDP($C60,EPS_FIELD,YR_OVERRIDE,TEXT(YEAR_Y-4,"0")),"")))</f>
        <v/>
      </c>
      <c r="P60" s="67">
        <f>IF($C60="","",IF(PULL_FUND="N","",IFERROR(BDP($C60,EPS_FIELD,YR_OVERRIDE,TEXT(YEAR_Y-3,"0")),"")))</f>
        <v/>
      </c>
      <c r="Q60" s="67">
        <f>IF($C60="","",IF(PULL_FUND="N","",IFERROR(BDP($C60,EPS_FIELD,YR_OVERRIDE,TEXT(YEAR_Y-2,"0")),"")))</f>
        <v/>
      </c>
      <c r="R60" s="67">
        <f>IF($C60="","",IF(PULL_FUND="N","",IFERROR(BDP($C60,EPS_FIELD,YR_OVERRIDE,TEXT(YEAR_Y-1,"0")),"")))</f>
        <v/>
      </c>
      <c r="S60" s="68">
        <f>IF($C60="","",IF(PULL_FUND="N","",IFERROR(BDP($C60,PAYOUT_FIELD,YR_OVERRIDE,TEXT(YEAR_Y-5,"0"))/100,"")))</f>
        <v/>
      </c>
      <c r="T60" s="68">
        <f>IF($C60="","",IF(PULL_FUND="N","",IFERROR(BDP($C60,PAYOUT_FIELD,YR_OVERRIDE,TEXT(YEAR_Y-4,"0"))/100,"")))</f>
        <v/>
      </c>
      <c r="U60" s="68">
        <f>IF($C60="","",IF(PULL_FUND="N","",IFERROR(BDP($C60,PAYOUT_FIELD,YR_OVERRIDE,TEXT(YEAR_Y-3,"0"))/100,"")))</f>
        <v/>
      </c>
      <c r="V60" s="68">
        <f>IF($C60="","",IF(PULL_FUND="N","",IFERROR(BDP($C60,PAYOUT_FIELD,YR_OVERRIDE,TEXT(YEAR_Y-2,"0"))/100,"")))</f>
        <v/>
      </c>
      <c r="W60" s="68">
        <f>IF($C60="","",IF(PULL_FUND="N","",IFERROR(BDP($C60,PAYOUT_FIELD,YR_OVERRIDE,TEXT(YEAR_Y-1,"0"))/100,"")))</f>
        <v/>
      </c>
      <c r="X60" s="69">
        <f>IF($C60="","",IFERROR(AVERAGE(S60:W60),""))</f>
        <v/>
      </c>
      <c r="Y60" s="66">
        <f>IF($C60="","",IF(PULL_FUND="N","",IFERROR(BDP($C60,BESTEPS_FIELD,FWD_OVERRIDE,TEXT(MOD(YEAR_Y,100),"00")&amp;"Y"),"")))</f>
        <v/>
      </c>
      <c r="Z60" s="70">
        <f>IF($C60="","",IF(PULL_FUND="N","",IFERROR(BDP($C60,BESTDPS_FIELD,FWD_OVERRIDE,TEXT(MOD(YEAR_Y,100),"00")&amp;"Y"),"")))</f>
        <v/>
      </c>
      <c r="AA60" s="71">
        <f>IF($C60="","",IF(ISNUMBER($Y60)*ISNUMBER($Z60)*($Y60&lt;&gt;0)=0,"",$Z60/$Y60))</f>
        <v/>
      </c>
      <c r="AB60" s="41">
        <f>IF($C60="","",HSI!$J$55+HSI!$L$55)</f>
        <v/>
      </c>
      <c r="AC60" s="72">
        <f>IF($C60="","",IF(PULL_FUND="N","",IF(COUNTIFS('Fund History'!$G$296:$G$300,"&gt;="&amp;DATE(YEAR_Y-4,1,1),'Fund History'!$G$296:$G$300,"&lt;="&amp;DATE(YEAR_Y-4,12,31))=0,"",SUMIFS('Fund History'!$H$296:$H$300,'Fund History'!$G$296:$G$300,"&gt;="&amp;DATE(YEAR_Y-4,1,1),'Fund History'!$G$296:$G$300,"&lt;="&amp;DATE(YEAR_Y-4,12,31))/100)))</f>
        <v/>
      </c>
      <c r="AD60" s="73">
        <f>IF($C60="","",IF(PULL_FUND="N","",IF(COUNTIFS('Fund History'!$G$296:$G$300,"&gt;="&amp;DATE(YEAR_Y-3,1,1),'Fund History'!$G$296:$G$300,"&lt;="&amp;DATE(YEAR_Y-3,12,31))=0,"",SUMIFS('Fund History'!$H$296:$H$300,'Fund History'!$G$296:$G$300,"&gt;="&amp;DATE(YEAR_Y-3,1,1),'Fund History'!$G$296:$G$300,"&lt;="&amp;DATE(YEAR_Y-3,12,31))/100)))</f>
        <v/>
      </c>
      <c r="AE60" s="73">
        <f>IF($C60="","",IF(PULL_FUND="N","",IF(COUNTIFS('Fund History'!$G$296:$G$300,"&gt;="&amp;DATE(YEAR_Y-2,1,1),'Fund History'!$G$296:$G$300,"&lt;="&amp;DATE(YEAR_Y-2,12,31))=0,"",SUMIFS('Fund History'!$H$296:$H$300,'Fund History'!$G$296:$G$300,"&gt;="&amp;DATE(YEAR_Y-2,1,1),'Fund History'!$G$296:$G$300,"&lt;="&amp;DATE(YEAR_Y-2,12,31))/100)))</f>
        <v/>
      </c>
      <c r="AF60" s="73">
        <f>IF($C60="","",IF(PULL_FUND="N","",IF(COUNTIFS('Fund History'!$G$296:$G$300,"&gt;="&amp;DATE(YEAR_Y-1,1,1),'Fund History'!$G$296:$G$300,"&lt;="&amp;DATE(YEAR_Y-1,12,31))=0,"",SUMIFS('Fund History'!$H$296:$H$300,'Fund History'!$G$296:$G$300,"&gt;="&amp;DATE(YEAR_Y-1,1,1),'Fund History'!$G$296:$G$300,"&lt;="&amp;DATE(YEAR_Y-1,12,31))/100)))</f>
        <v/>
      </c>
      <c r="AG60" s="74">
        <f>IF($C60="","",IF(N($AF60)+N(HSI!$I$55)=0,"",N($AF60)+N(HSI!$I$55)/100))</f>
        <v/>
      </c>
      <c r="AH60" s="66">
        <f>IF($C60="","",IF(PULL_FUND="N","",IF(COUNTIFS('Fund History'!$D$296:$D$300,"&gt;="&amp;DATE(YEAR_Y-2,1,1),'Fund History'!$D$296:$D$300,"&lt;="&amp;DATE(YEAR_Y-2,12,31))=0,"",SUMIFS('Fund History'!$E$296:$E$300,'Fund History'!$D$296:$D$300,"&gt;="&amp;DATE(YEAR_Y-2,1,1),'Fund History'!$D$296:$D$300,"&lt;="&amp;DATE(YEAR_Y-2,12,31)))))</f>
        <v/>
      </c>
      <c r="AI60" s="67">
        <f>IF($C60="","",IF(PULL_FUND="N","",IF(COUNTIFS('Fund History'!$D$296:$D$300,"&gt;="&amp;DATE(YEAR_Y-1,1,1),'Fund History'!$D$296:$D$300,"&lt;="&amp;DATE(YEAR_Y-1,12,31))=0,"",SUMIFS('Fund History'!$E$296:$E$300,'Fund History'!$D$296:$D$300,"&gt;="&amp;DATE(YEAR_Y-1,1,1),'Fund History'!$D$296:$D$300,"&lt;="&amp;DATE(YEAR_Y-1,12,31)))))</f>
        <v/>
      </c>
      <c r="AJ60" s="67">
        <f>IF($C60="","",IF(PULL_FUND="N","",IFERROR(BDP($C60,NDEBITDA_FIELD),"")))</f>
        <v/>
      </c>
      <c r="AK60" s="75">
        <f>IF($C60="","",IF(PULL_FUND="N","",IFERROR(BDP($C60,EBINT_FIELD),"")))</f>
        <v/>
      </c>
      <c r="AL60" s="73">
        <f>IF($C60="","",IF(PULL_FUND="N","",IFERROR(BDP($C60,FCF_FIELD)/100,"")))</f>
        <v/>
      </c>
      <c r="AM60" s="76">
        <f>IF($C60="","",IF(ISNUMBER(HSI!$I$55),HSI!$I$55/100,""))</f>
        <v/>
      </c>
      <c r="AN60" s="47">
        <f>IF($C60="","",IF(N($AM60)=0,"",IFERROR($AL60/$AM60,"")))</f>
        <v/>
      </c>
      <c r="AO60" s="33">
        <f>IF($C60="","",IF(ISNUMBER($S60)*ISNUMBER($W60)=0,"",IF($W60&gt;$S60+0.05,"rising",IF($W60&lt;$S60-0.05,"falling","stable"))))</f>
        <v/>
      </c>
      <c r="AP60" s="77">
        <f>IF($C60="","",TRIM(IF(ISNUMBER($X60)*(N($X60)&gt;$D$4)&gt;0,"payout high  ","")&amp;IF(ISNUMBER($AN60)*(N($AN60)&lt;$F$4)&gt;0,"FCF below dvd  ","")&amp;IF(ISNUMBER($AJ60)*(N($AJ60)&gt;$H$4)&gt;0,"leverage high","")))</f>
        <v/>
      </c>
      <c r="AQ60" s="78">
        <f>IF($C60="","",IF(HSI!$F$55="HKD","",HSI!$F$55))</f>
        <v/>
      </c>
    </row>
    <row r="61">
      <c r="B61" s="62" t="inlineStr">
        <is>
          <t>HSI</t>
        </is>
      </c>
      <c r="C61" s="6">
        <f>IF(HSI!$C$56="","",HSI!$C$56)</f>
        <v/>
      </c>
      <c r="D61" s="6">
        <f>IF($C61="","",HSI!$D$56)</f>
        <v/>
      </c>
      <c r="E61" s="6">
        <f>IF($C61="","",HSI!$E$56)</f>
        <v/>
      </c>
      <c r="F61" s="63">
        <f>IF($C61="","",SUMPRODUCT(('Dvd Calendar'!$E$550:$AR$550&gt;=DATE(YEAR_Y-5,1,1))*('Dvd Calendar'!$E$550:$AR$550&lt;=DATE(YEAR_Y-5,12,31))*'Dvd Calendar'!$E$553:$AR$553*(('Dvd Calendar'!$E$555:$AR$555=TYPE1)*(TYPE1&lt;&gt;"")+('Dvd Calendar'!$E$555:$AR$555=TYPE2)*(TYPE2&lt;&gt;"")+('Dvd Calendar'!$E$555:$AR$555=TYPE3)*(TYPE3&lt;&gt;"")+('Dvd Calendar'!$E$555:$AR$555=TYPE4)*(TYPE4&lt;&gt;"")+('Dvd Calendar'!$E$555:$AR$555=SPECIAL_LBL)*(INC_SPECIALS="Y"))))</f>
        <v/>
      </c>
      <c r="G61" s="64">
        <f>IF($C61="","",SUMPRODUCT(('Dvd Calendar'!$E$550:$AR$550&gt;=DATE(YEAR_Y-4,1,1))*('Dvd Calendar'!$E$550:$AR$550&lt;=DATE(YEAR_Y-4,12,31))*'Dvd Calendar'!$E$553:$AR$553*(('Dvd Calendar'!$E$555:$AR$555=TYPE1)*(TYPE1&lt;&gt;"")+('Dvd Calendar'!$E$555:$AR$555=TYPE2)*(TYPE2&lt;&gt;"")+('Dvd Calendar'!$E$555:$AR$555=TYPE3)*(TYPE3&lt;&gt;"")+('Dvd Calendar'!$E$555:$AR$555=TYPE4)*(TYPE4&lt;&gt;"")+('Dvd Calendar'!$E$555:$AR$555=SPECIAL_LBL)*(INC_SPECIALS="Y"))))</f>
        <v/>
      </c>
      <c r="H61" s="64">
        <f>IF($C61="","",SUMPRODUCT(('Dvd Calendar'!$E$550:$AR$550&gt;=DATE(YEAR_Y-3,1,1))*('Dvd Calendar'!$E$550:$AR$550&lt;=DATE(YEAR_Y-3,12,31))*'Dvd Calendar'!$E$553:$AR$553*(('Dvd Calendar'!$E$555:$AR$555=TYPE1)*(TYPE1&lt;&gt;"")+('Dvd Calendar'!$E$555:$AR$555=TYPE2)*(TYPE2&lt;&gt;"")+('Dvd Calendar'!$E$555:$AR$555=TYPE3)*(TYPE3&lt;&gt;"")+('Dvd Calendar'!$E$555:$AR$555=TYPE4)*(TYPE4&lt;&gt;"")+('Dvd Calendar'!$E$555:$AR$555=SPECIAL_LBL)*(INC_SPECIALS="Y"))))</f>
        <v/>
      </c>
      <c r="I61" s="64">
        <f>IF($C61="","",SUMPRODUCT(('Dvd Calendar'!$E$550:$AR$550&gt;=DATE(YEAR_Y-2,1,1))*('Dvd Calendar'!$E$550:$AR$550&lt;=DATE(YEAR_Y-2,12,31))*'Dvd Calendar'!$E$553:$AR$553*(('Dvd Calendar'!$E$555:$AR$555=TYPE1)*(TYPE1&lt;&gt;"")+('Dvd Calendar'!$E$555:$AR$555=TYPE2)*(TYPE2&lt;&gt;"")+('Dvd Calendar'!$E$555:$AR$555=TYPE3)*(TYPE3&lt;&gt;"")+('Dvd Calendar'!$E$555:$AR$555=TYPE4)*(TYPE4&lt;&gt;"")+('Dvd Calendar'!$E$555:$AR$555=SPECIAL_LBL)*(INC_SPECIALS="Y"))))</f>
        <v/>
      </c>
      <c r="J61" s="64">
        <f>IF($C61="","",SUMPRODUCT(('Dvd Calendar'!$E$550:$AR$550&gt;=DATE(YEAR_Y-1,1,1))*('Dvd Calendar'!$E$550:$AR$550&lt;=DATE(YEAR_Y-1,12,31))*'Dvd Calendar'!$E$553:$AR$553*(('Dvd Calendar'!$E$555:$AR$555=TYPE1)*(TYPE1&lt;&gt;"")+('Dvd Calendar'!$E$555:$AR$555=TYPE2)*(TYPE2&lt;&gt;"")+('Dvd Calendar'!$E$555:$AR$555=TYPE3)*(TYPE3&lt;&gt;"")+('Dvd Calendar'!$E$555:$AR$555=TYPE4)*(TYPE4&lt;&gt;"")+('Dvd Calendar'!$E$555:$AR$555=SPECIAL_LBL)*(INC_SPECIALS="Y"))))</f>
        <v/>
      </c>
      <c r="K61" s="65">
        <f>IF($C61="","",HSI!$J$56)</f>
        <v/>
      </c>
      <c r="L61" s="65">
        <f>IF($C61="","",HSI!$K$56)</f>
        <v/>
      </c>
      <c r="M61" s="41">
        <f>IF($C61="","",AVERAGE(F61:J61))</f>
        <v/>
      </c>
      <c r="N61" s="66">
        <f>IF($C61="","",IF(PULL_FUND="N","",IFERROR(BDP($C61,EPS_FIELD,YR_OVERRIDE,TEXT(YEAR_Y-5,"0")),"")))</f>
        <v/>
      </c>
      <c r="O61" s="67">
        <f>IF($C61="","",IF(PULL_FUND="N","",IFERROR(BDP($C61,EPS_FIELD,YR_OVERRIDE,TEXT(YEAR_Y-4,"0")),"")))</f>
        <v/>
      </c>
      <c r="P61" s="67">
        <f>IF($C61="","",IF(PULL_FUND="N","",IFERROR(BDP($C61,EPS_FIELD,YR_OVERRIDE,TEXT(YEAR_Y-3,"0")),"")))</f>
        <v/>
      </c>
      <c r="Q61" s="67">
        <f>IF($C61="","",IF(PULL_FUND="N","",IFERROR(BDP($C61,EPS_FIELD,YR_OVERRIDE,TEXT(YEAR_Y-2,"0")),"")))</f>
        <v/>
      </c>
      <c r="R61" s="67">
        <f>IF($C61="","",IF(PULL_FUND="N","",IFERROR(BDP($C61,EPS_FIELD,YR_OVERRIDE,TEXT(YEAR_Y-1,"0")),"")))</f>
        <v/>
      </c>
      <c r="S61" s="68">
        <f>IF($C61="","",IF(PULL_FUND="N","",IFERROR(BDP($C61,PAYOUT_FIELD,YR_OVERRIDE,TEXT(YEAR_Y-5,"0"))/100,"")))</f>
        <v/>
      </c>
      <c r="T61" s="68">
        <f>IF($C61="","",IF(PULL_FUND="N","",IFERROR(BDP($C61,PAYOUT_FIELD,YR_OVERRIDE,TEXT(YEAR_Y-4,"0"))/100,"")))</f>
        <v/>
      </c>
      <c r="U61" s="68">
        <f>IF($C61="","",IF(PULL_FUND="N","",IFERROR(BDP($C61,PAYOUT_FIELD,YR_OVERRIDE,TEXT(YEAR_Y-3,"0"))/100,"")))</f>
        <v/>
      </c>
      <c r="V61" s="68">
        <f>IF($C61="","",IF(PULL_FUND="N","",IFERROR(BDP($C61,PAYOUT_FIELD,YR_OVERRIDE,TEXT(YEAR_Y-2,"0"))/100,"")))</f>
        <v/>
      </c>
      <c r="W61" s="68">
        <f>IF($C61="","",IF(PULL_FUND="N","",IFERROR(BDP($C61,PAYOUT_FIELD,YR_OVERRIDE,TEXT(YEAR_Y-1,"0"))/100,"")))</f>
        <v/>
      </c>
      <c r="X61" s="69">
        <f>IF($C61="","",IFERROR(AVERAGE(S61:W61),""))</f>
        <v/>
      </c>
      <c r="Y61" s="66">
        <f>IF($C61="","",IF(PULL_FUND="N","",IFERROR(BDP($C61,BESTEPS_FIELD,FWD_OVERRIDE,TEXT(MOD(YEAR_Y,100),"00")&amp;"Y"),"")))</f>
        <v/>
      </c>
      <c r="Z61" s="70">
        <f>IF($C61="","",IF(PULL_FUND="N","",IFERROR(BDP($C61,BESTDPS_FIELD,FWD_OVERRIDE,TEXT(MOD(YEAR_Y,100),"00")&amp;"Y"),"")))</f>
        <v/>
      </c>
      <c r="AA61" s="71">
        <f>IF($C61="","",IF(ISNUMBER($Y61)*ISNUMBER($Z61)*($Y61&lt;&gt;0)=0,"",$Z61/$Y61))</f>
        <v/>
      </c>
      <c r="AB61" s="41">
        <f>IF($C61="","",HSI!$J$56+HSI!$L$56)</f>
        <v/>
      </c>
      <c r="AC61" s="72">
        <f>IF($C61="","",IF(PULL_FUND="N","",IF(COUNTIFS('Fund History'!$G$302:$G$306,"&gt;="&amp;DATE(YEAR_Y-4,1,1),'Fund History'!$G$302:$G$306,"&lt;="&amp;DATE(YEAR_Y-4,12,31))=0,"",SUMIFS('Fund History'!$H$302:$H$306,'Fund History'!$G$302:$G$306,"&gt;="&amp;DATE(YEAR_Y-4,1,1),'Fund History'!$G$302:$G$306,"&lt;="&amp;DATE(YEAR_Y-4,12,31))/100)))</f>
        <v/>
      </c>
      <c r="AD61" s="73">
        <f>IF($C61="","",IF(PULL_FUND="N","",IF(COUNTIFS('Fund History'!$G$302:$G$306,"&gt;="&amp;DATE(YEAR_Y-3,1,1),'Fund History'!$G$302:$G$306,"&lt;="&amp;DATE(YEAR_Y-3,12,31))=0,"",SUMIFS('Fund History'!$H$302:$H$306,'Fund History'!$G$302:$G$306,"&gt;="&amp;DATE(YEAR_Y-3,1,1),'Fund History'!$G$302:$G$306,"&lt;="&amp;DATE(YEAR_Y-3,12,31))/100)))</f>
        <v/>
      </c>
      <c r="AE61" s="73">
        <f>IF($C61="","",IF(PULL_FUND="N","",IF(COUNTIFS('Fund History'!$G$302:$G$306,"&gt;="&amp;DATE(YEAR_Y-2,1,1),'Fund History'!$G$302:$G$306,"&lt;="&amp;DATE(YEAR_Y-2,12,31))=0,"",SUMIFS('Fund History'!$H$302:$H$306,'Fund History'!$G$302:$G$306,"&gt;="&amp;DATE(YEAR_Y-2,1,1),'Fund History'!$G$302:$G$306,"&lt;="&amp;DATE(YEAR_Y-2,12,31))/100)))</f>
        <v/>
      </c>
      <c r="AF61" s="73">
        <f>IF($C61="","",IF(PULL_FUND="N","",IF(COUNTIFS('Fund History'!$G$302:$G$306,"&gt;="&amp;DATE(YEAR_Y-1,1,1),'Fund History'!$G$302:$G$306,"&lt;="&amp;DATE(YEAR_Y-1,12,31))=0,"",SUMIFS('Fund History'!$H$302:$H$306,'Fund History'!$G$302:$G$306,"&gt;="&amp;DATE(YEAR_Y-1,1,1),'Fund History'!$G$302:$G$306,"&lt;="&amp;DATE(YEAR_Y-1,12,31))/100)))</f>
        <v/>
      </c>
      <c r="AG61" s="74">
        <f>IF($C61="","",IF(N($AF61)+N(HSI!$I$56)=0,"",N($AF61)+N(HSI!$I$56)/100))</f>
        <v/>
      </c>
      <c r="AH61" s="66">
        <f>IF($C61="","",IF(PULL_FUND="N","",IF(COUNTIFS('Fund History'!$D$302:$D$306,"&gt;="&amp;DATE(YEAR_Y-2,1,1),'Fund History'!$D$302:$D$306,"&lt;="&amp;DATE(YEAR_Y-2,12,31))=0,"",SUMIFS('Fund History'!$E$302:$E$306,'Fund History'!$D$302:$D$306,"&gt;="&amp;DATE(YEAR_Y-2,1,1),'Fund History'!$D$302:$D$306,"&lt;="&amp;DATE(YEAR_Y-2,12,31)))))</f>
        <v/>
      </c>
      <c r="AI61" s="67">
        <f>IF($C61="","",IF(PULL_FUND="N","",IF(COUNTIFS('Fund History'!$D$302:$D$306,"&gt;="&amp;DATE(YEAR_Y-1,1,1),'Fund History'!$D$302:$D$306,"&lt;="&amp;DATE(YEAR_Y-1,12,31))=0,"",SUMIFS('Fund History'!$E$302:$E$306,'Fund History'!$D$302:$D$306,"&gt;="&amp;DATE(YEAR_Y-1,1,1),'Fund History'!$D$302:$D$306,"&lt;="&amp;DATE(YEAR_Y-1,12,31)))))</f>
        <v/>
      </c>
      <c r="AJ61" s="67">
        <f>IF($C61="","",IF(PULL_FUND="N","",IFERROR(BDP($C61,NDEBITDA_FIELD),"")))</f>
        <v/>
      </c>
      <c r="AK61" s="75">
        <f>IF($C61="","",IF(PULL_FUND="N","",IFERROR(BDP($C61,EBINT_FIELD),"")))</f>
        <v/>
      </c>
      <c r="AL61" s="73">
        <f>IF($C61="","",IF(PULL_FUND="N","",IFERROR(BDP($C61,FCF_FIELD)/100,"")))</f>
        <v/>
      </c>
      <c r="AM61" s="76">
        <f>IF($C61="","",IF(ISNUMBER(HSI!$I$56),HSI!$I$56/100,""))</f>
        <v/>
      </c>
      <c r="AN61" s="47">
        <f>IF($C61="","",IF(N($AM61)=0,"",IFERROR($AL61/$AM61,"")))</f>
        <v/>
      </c>
      <c r="AO61" s="33">
        <f>IF($C61="","",IF(ISNUMBER($S61)*ISNUMBER($W61)=0,"",IF($W61&gt;$S61+0.05,"rising",IF($W61&lt;$S61-0.05,"falling","stable"))))</f>
        <v/>
      </c>
      <c r="AP61" s="77">
        <f>IF($C61="","",TRIM(IF(ISNUMBER($X61)*(N($X61)&gt;$D$4)&gt;0,"payout high  ","")&amp;IF(ISNUMBER($AN61)*(N($AN61)&lt;$F$4)&gt;0,"FCF below dvd  ","")&amp;IF(ISNUMBER($AJ61)*(N($AJ61)&gt;$H$4)&gt;0,"leverage high","")))</f>
        <v/>
      </c>
      <c r="AQ61" s="78">
        <f>IF($C61="","",IF(HSI!$F$56="HKD","",HSI!$F$56))</f>
        <v/>
      </c>
    </row>
    <row r="62">
      <c r="B62" s="62" t="inlineStr">
        <is>
          <t>HSI</t>
        </is>
      </c>
      <c r="C62" s="6">
        <f>IF(HSI!$C$57="","",HSI!$C$57)</f>
        <v/>
      </c>
      <c r="D62" s="6">
        <f>IF($C62="","",HSI!$D$57)</f>
        <v/>
      </c>
      <c r="E62" s="6">
        <f>IF($C62="","",HSI!$E$57)</f>
        <v/>
      </c>
      <c r="F62" s="63">
        <f>IF($C62="","",SUMPRODUCT(('Dvd Calendar'!$E$561:$AR$561&gt;=DATE(YEAR_Y-5,1,1))*('Dvd Calendar'!$E$561:$AR$561&lt;=DATE(YEAR_Y-5,12,31))*'Dvd Calendar'!$E$564:$AR$564*(('Dvd Calendar'!$E$566:$AR$566=TYPE1)*(TYPE1&lt;&gt;"")+('Dvd Calendar'!$E$566:$AR$566=TYPE2)*(TYPE2&lt;&gt;"")+('Dvd Calendar'!$E$566:$AR$566=TYPE3)*(TYPE3&lt;&gt;"")+('Dvd Calendar'!$E$566:$AR$566=TYPE4)*(TYPE4&lt;&gt;"")+('Dvd Calendar'!$E$566:$AR$566=SPECIAL_LBL)*(INC_SPECIALS="Y"))))</f>
        <v/>
      </c>
      <c r="G62" s="64">
        <f>IF($C62="","",SUMPRODUCT(('Dvd Calendar'!$E$561:$AR$561&gt;=DATE(YEAR_Y-4,1,1))*('Dvd Calendar'!$E$561:$AR$561&lt;=DATE(YEAR_Y-4,12,31))*'Dvd Calendar'!$E$564:$AR$564*(('Dvd Calendar'!$E$566:$AR$566=TYPE1)*(TYPE1&lt;&gt;"")+('Dvd Calendar'!$E$566:$AR$566=TYPE2)*(TYPE2&lt;&gt;"")+('Dvd Calendar'!$E$566:$AR$566=TYPE3)*(TYPE3&lt;&gt;"")+('Dvd Calendar'!$E$566:$AR$566=TYPE4)*(TYPE4&lt;&gt;"")+('Dvd Calendar'!$E$566:$AR$566=SPECIAL_LBL)*(INC_SPECIALS="Y"))))</f>
        <v/>
      </c>
      <c r="H62" s="64">
        <f>IF($C62="","",SUMPRODUCT(('Dvd Calendar'!$E$561:$AR$561&gt;=DATE(YEAR_Y-3,1,1))*('Dvd Calendar'!$E$561:$AR$561&lt;=DATE(YEAR_Y-3,12,31))*'Dvd Calendar'!$E$564:$AR$564*(('Dvd Calendar'!$E$566:$AR$566=TYPE1)*(TYPE1&lt;&gt;"")+('Dvd Calendar'!$E$566:$AR$566=TYPE2)*(TYPE2&lt;&gt;"")+('Dvd Calendar'!$E$566:$AR$566=TYPE3)*(TYPE3&lt;&gt;"")+('Dvd Calendar'!$E$566:$AR$566=TYPE4)*(TYPE4&lt;&gt;"")+('Dvd Calendar'!$E$566:$AR$566=SPECIAL_LBL)*(INC_SPECIALS="Y"))))</f>
        <v/>
      </c>
      <c r="I62" s="64">
        <f>IF($C62="","",SUMPRODUCT(('Dvd Calendar'!$E$561:$AR$561&gt;=DATE(YEAR_Y-2,1,1))*('Dvd Calendar'!$E$561:$AR$561&lt;=DATE(YEAR_Y-2,12,31))*'Dvd Calendar'!$E$564:$AR$564*(('Dvd Calendar'!$E$566:$AR$566=TYPE1)*(TYPE1&lt;&gt;"")+('Dvd Calendar'!$E$566:$AR$566=TYPE2)*(TYPE2&lt;&gt;"")+('Dvd Calendar'!$E$566:$AR$566=TYPE3)*(TYPE3&lt;&gt;"")+('Dvd Calendar'!$E$566:$AR$566=TYPE4)*(TYPE4&lt;&gt;"")+('Dvd Calendar'!$E$566:$AR$566=SPECIAL_LBL)*(INC_SPECIALS="Y"))))</f>
        <v/>
      </c>
      <c r="J62" s="64">
        <f>IF($C62="","",SUMPRODUCT(('Dvd Calendar'!$E$561:$AR$561&gt;=DATE(YEAR_Y-1,1,1))*('Dvd Calendar'!$E$561:$AR$561&lt;=DATE(YEAR_Y-1,12,31))*'Dvd Calendar'!$E$564:$AR$564*(('Dvd Calendar'!$E$566:$AR$566=TYPE1)*(TYPE1&lt;&gt;"")+('Dvd Calendar'!$E$566:$AR$566=TYPE2)*(TYPE2&lt;&gt;"")+('Dvd Calendar'!$E$566:$AR$566=TYPE3)*(TYPE3&lt;&gt;"")+('Dvd Calendar'!$E$566:$AR$566=TYPE4)*(TYPE4&lt;&gt;"")+('Dvd Calendar'!$E$566:$AR$566=SPECIAL_LBL)*(INC_SPECIALS="Y"))))</f>
        <v/>
      </c>
      <c r="K62" s="65">
        <f>IF($C62="","",HSI!$J$57)</f>
        <v/>
      </c>
      <c r="L62" s="65">
        <f>IF($C62="","",HSI!$K$57)</f>
        <v/>
      </c>
      <c r="M62" s="41">
        <f>IF($C62="","",AVERAGE(F62:J62))</f>
        <v/>
      </c>
      <c r="N62" s="66">
        <f>IF($C62="","",IF(PULL_FUND="N","",IFERROR(BDP($C62,EPS_FIELD,YR_OVERRIDE,TEXT(YEAR_Y-5,"0")),"")))</f>
        <v/>
      </c>
      <c r="O62" s="67">
        <f>IF($C62="","",IF(PULL_FUND="N","",IFERROR(BDP($C62,EPS_FIELD,YR_OVERRIDE,TEXT(YEAR_Y-4,"0")),"")))</f>
        <v/>
      </c>
      <c r="P62" s="67">
        <f>IF($C62="","",IF(PULL_FUND="N","",IFERROR(BDP($C62,EPS_FIELD,YR_OVERRIDE,TEXT(YEAR_Y-3,"0")),"")))</f>
        <v/>
      </c>
      <c r="Q62" s="67">
        <f>IF($C62="","",IF(PULL_FUND="N","",IFERROR(BDP($C62,EPS_FIELD,YR_OVERRIDE,TEXT(YEAR_Y-2,"0")),"")))</f>
        <v/>
      </c>
      <c r="R62" s="67">
        <f>IF($C62="","",IF(PULL_FUND="N","",IFERROR(BDP($C62,EPS_FIELD,YR_OVERRIDE,TEXT(YEAR_Y-1,"0")),"")))</f>
        <v/>
      </c>
      <c r="S62" s="68">
        <f>IF($C62="","",IF(PULL_FUND="N","",IFERROR(BDP($C62,PAYOUT_FIELD,YR_OVERRIDE,TEXT(YEAR_Y-5,"0"))/100,"")))</f>
        <v/>
      </c>
      <c r="T62" s="68">
        <f>IF($C62="","",IF(PULL_FUND="N","",IFERROR(BDP($C62,PAYOUT_FIELD,YR_OVERRIDE,TEXT(YEAR_Y-4,"0"))/100,"")))</f>
        <v/>
      </c>
      <c r="U62" s="68">
        <f>IF($C62="","",IF(PULL_FUND="N","",IFERROR(BDP($C62,PAYOUT_FIELD,YR_OVERRIDE,TEXT(YEAR_Y-3,"0"))/100,"")))</f>
        <v/>
      </c>
      <c r="V62" s="68">
        <f>IF($C62="","",IF(PULL_FUND="N","",IFERROR(BDP($C62,PAYOUT_FIELD,YR_OVERRIDE,TEXT(YEAR_Y-2,"0"))/100,"")))</f>
        <v/>
      </c>
      <c r="W62" s="68">
        <f>IF($C62="","",IF(PULL_FUND="N","",IFERROR(BDP($C62,PAYOUT_FIELD,YR_OVERRIDE,TEXT(YEAR_Y-1,"0"))/100,"")))</f>
        <v/>
      </c>
      <c r="X62" s="69">
        <f>IF($C62="","",IFERROR(AVERAGE(S62:W62),""))</f>
        <v/>
      </c>
      <c r="Y62" s="66">
        <f>IF($C62="","",IF(PULL_FUND="N","",IFERROR(BDP($C62,BESTEPS_FIELD,FWD_OVERRIDE,TEXT(MOD(YEAR_Y,100),"00")&amp;"Y"),"")))</f>
        <v/>
      </c>
      <c r="Z62" s="70">
        <f>IF($C62="","",IF(PULL_FUND="N","",IFERROR(BDP($C62,BESTDPS_FIELD,FWD_OVERRIDE,TEXT(MOD(YEAR_Y,100),"00")&amp;"Y"),"")))</f>
        <v/>
      </c>
      <c r="AA62" s="71">
        <f>IF($C62="","",IF(ISNUMBER($Y62)*ISNUMBER($Z62)*($Y62&lt;&gt;0)=0,"",$Z62/$Y62))</f>
        <v/>
      </c>
      <c r="AB62" s="41">
        <f>IF($C62="","",HSI!$J$57+HSI!$L$57)</f>
        <v/>
      </c>
      <c r="AC62" s="72">
        <f>IF($C62="","",IF(PULL_FUND="N","",IF(COUNTIFS('Fund History'!$G$308:$G$312,"&gt;="&amp;DATE(YEAR_Y-4,1,1),'Fund History'!$G$308:$G$312,"&lt;="&amp;DATE(YEAR_Y-4,12,31))=0,"",SUMIFS('Fund History'!$H$308:$H$312,'Fund History'!$G$308:$G$312,"&gt;="&amp;DATE(YEAR_Y-4,1,1),'Fund History'!$G$308:$G$312,"&lt;="&amp;DATE(YEAR_Y-4,12,31))/100)))</f>
        <v/>
      </c>
      <c r="AD62" s="73">
        <f>IF($C62="","",IF(PULL_FUND="N","",IF(COUNTIFS('Fund History'!$G$308:$G$312,"&gt;="&amp;DATE(YEAR_Y-3,1,1),'Fund History'!$G$308:$G$312,"&lt;="&amp;DATE(YEAR_Y-3,12,31))=0,"",SUMIFS('Fund History'!$H$308:$H$312,'Fund History'!$G$308:$G$312,"&gt;="&amp;DATE(YEAR_Y-3,1,1),'Fund History'!$G$308:$G$312,"&lt;="&amp;DATE(YEAR_Y-3,12,31))/100)))</f>
        <v/>
      </c>
      <c r="AE62" s="73">
        <f>IF($C62="","",IF(PULL_FUND="N","",IF(COUNTIFS('Fund History'!$G$308:$G$312,"&gt;="&amp;DATE(YEAR_Y-2,1,1),'Fund History'!$G$308:$G$312,"&lt;="&amp;DATE(YEAR_Y-2,12,31))=0,"",SUMIFS('Fund History'!$H$308:$H$312,'Fund History'!$G$308:$G$312,"&gt;="&amp;DATE(YEAR_Y-2,1,1),'Fund History'!$G$308:$G$312,"&lt;="&amp;DATE(YEAR_Y-2,12,31))/100)))</f>
        <v/>
      </c>
      <c r="AF62" s="73">
        <f>IF($C62="","",IF(PULL_FUND="N","",IF(COUNTIFS('Fund History'!$G$308:$G$312,"&gt;="&amp;DATE(YEAR_Y-1,1,1),'Fund History'!$G$308:$G$312,"&lt;="&amp;DATE(YEAR_Y-1,12,31))=0,"",SUMIFS('Fund History'!$H$308:$H$312,'Fund History'!$G$308:$G$312,"&gt;="&amp;DATE(YEAR_Y-1,1,1),'Fund History'!$G$308:$G$312,"&lt;="&amp;DATE(YEAR_Y-1,12,31))/100)))</f>
        <v/>
      </c>
      <c r="AG62" s="74">
        <f>IF($C62="","",IF(N($AF62)+N(HSI!$I$57)=0,"",N($AF62)+N(HSI!$I$57)/100))</f>
        <v/>
      </c>
      <c r="AH62" s="66">
        <f>IF($C62="","",IF(PULL_FUND="N","",IF(COUNTIFS('Fund History'!$D$308:$D$312,"&gt;="&amp;DATE(YEAR_Y-2,1,1),'Fund History'!$D$308:$D$312,"&lt;="&amp;DATE(YEAR_Y-2,12,31))=0,"",SUMIFS('Fund History'!$E$308:$E$312,'Fund History'!$D$308:$D$312,"&gt;="&amp;DATE(YEAR_Y-2,1,1),'Fund History'!$D$308:$D$312,"&lt;="&amp;DATE(YEAR_Y-2,12,31)))))</f>
        <v/>
      </c>
      <c r="AI62" s="67">
        <f>IF($C62="","",IF(PULL_FUND="N","",IF(COUNTIFS('Fund History'!$D$308:$D$312,"&gt;="&amp;DATE(YEAR_Y-1,1,1),'Fund History'!$D$308:$D$312,"&lt;="&amp;DATE(YEAR_Y-1,12,31))=0,"",SUMIFS('Fund History'!$E$308:$E$312,'Fund History'!$D$308:$D$312,"&gt;="&amp;DATE(YEAR_Y-1,1,1),'Fund History'!$D$308:$D$312,"&lt;="&amp;DATE(YEAR_Y-1,12,31)))))</f>
        <v/>
      </c>
      <c r="AJ62" s="67">
        <f>IF($C62="","",IF(PULL_FUND="N","",IFERROR(BDP($C62,NDEBITDA_FIELD),"")))</f>
        <v/>
      </c>
      <c r="AK62" s="75">
        <f>IF($C62="","",IF(PULL_FUND="N","",IFERROR(BDP($C62,EBINT_FIELD),"")))</f>
        <v/>
      </c>
      <c r="AL62" s="73">
        <f>IF($C62="","",IF(PULL_FUND="N","",IFERROR(BDP($C62,FCF_FIELD)/100,"")))</f>
        <v/>
      </c>
      <c r="AM62" s="76">
        <f>IF($C62="","",IF(ISNUMBER(HSI!$I$57),HSI!$I$57/100,""))</f>
        <v/>
      </c>
      <c r="AN62" s="47">
        <f>IF($C62="","",IF(N($AM62)=0,"",IFERROR($AL62/$AM62,"")))</f>
        <v/>
      </c>
      <c r="AO62" s="33">
        <f>IF($C62="","",IF(ISNUMBER($S62)*ISNUMBER($W62)=0,"",IF($W62&gt;$S62+0.05,"rising",IF($W62&lt;$S62-0.05,"falling","stable"))))</f>
        <v/>
      </c>
      <c r="AP62" s="77">
        <f>IF($C62="","",TRIM(IF(ISNUMBER($X62)*(N($X62)&gt;$D$4)&gt;0,"payout high  ","")&amp;IF(ISNUMBER($AN62)*(N($AN62)&lt;$F$4)&gt;0,"FCF below dvd  ","")&amp;IF(ISNUMBER($AJ62)*(N($AJ62)&gt;$H$4)&gt;0,"leverage high","")))</f>
        <v/>
      </c>
      <c r="AQ62" s="78">
        <f>IF($C62="","",IF(HSI!$F$57="HKD","",HSI!$F$57))</f>
        <v/>
      </c>
    </row>
    <row r="63">
      <c r="B63" s="62" t="inlineStr">
        <is>
          <t>HSI</t>
        </is>
      </c>
      <c r="C63" s="6">
        <f>IF(HSI!$C$58="","",HSI!$C$58)</f>
        <v/>
      </c>
      <c r="D63" s="6">
        <f>IF($C63="","",HSI!$D$58)</f>
        <v/>
      </c>
      <c r="E63" s="6">
        <f>IF($C63="","",HSI!$E$58)</f>
        <v/>
      </c>
      <c r="F63" s="63">
        <f>IF($C63="","",SUMPRODUCT(('Dvd Calendar'!$E$572:$AR$572&gt;=DATE(YEAR_Y-5,1,1))*('Dvd Calendar'!$E$572:$AR$572&lt;=DATE(YEAR_Y-5,12,31))*'Dvd Calendar'!$E$575:$AR$575*(('Dvd Calendar'!$E$577:$AR$577=TYPE1)*(TYPE1&lt;&gt;"")+('Dvd Calendar'!$E$577:$AR$577=TYPE2)*(TYPE2&lt;&gt;"")+('Dvd Calendar'!$E$577:$AR$577=TYPE3)*(TYPE3&lt;&gt;"")+('Dvd Calendar'!$E$577:$AR$577=TYPE4)*(TYPE4&lt;&gt;"")+('Dvd Calendar'!$E$577:$AR$577=SPECIAL_LBL)*(INC_SPECIALS="Y"))))</f>
        <v/>
      </c>
      <c r="G63" s="64">
        <f>IF($C63="","",SUMPRODUCT(('Dvd Calendar'!$E$572:$AR$572&gt;=DATE(YEAR_Y-4,1,1))*('Dvd Calendar'!$E$572:$AR$572&lt;=DATE(YEAR_Y-4,12,31))*'Dvd Calendar'!$E$575:$AR$575*(('Dvd Calendar'!$E$577:$AR$577=TYPE1)*(TYPE1&lt;&gt;"")+('Dvd Calendar'!$E$577:$AR$577=TYPE2)*(TYPE2&lt;&gt;"")+('Dvd Calendar'!$E$577:$AR$577=TYPE3)*(TYPE3&lt;&gt;"")+('Dvd Calendar'!$E$577:$AR$577=TYPE4)*(TYPE4&lt;&gt;"")+('Dvd Calendar'!$E$577:$AR$577=SPECIAL_LBL)*(INC_SPECIALS="Y"))))</f>
        <v/>
      </c>
      <c r="H63" s="64">
        <f>IF($C63="","",SUMPRODUCT(('Dvd Calendar'!$E$572:$AR$572&gt;=DATE(YEAR_Y-3,1,1))*('Dvd Calendar'!$E$572:$AR$572&lt;=DATE(YEAR_Y-3,12,31))*'Dvd Calendar'!$E$575:$AR$575*(('Dvd Calendar'!$E$577:$AR$577=TYPE1)*(TYPE1&lt;&gt;"")+('Dvd Calendar'!$E$577:$AR$577=TYPE2)*(TYPE2&lt;&gt;"")+('Dvd Calendar'!$E$577:$AR$577=TYPE3)*(TYPE3&lt;&gt;"")+('Dvd Calendar'!$E$577:$AR$577=TYPE4)*(TYPE4&lt;&gt;"")+('Dvd Calendar'!$E$577:$AR$577=SPECIAL_LBL)*(INC_SPECIALS="Y"))))</f>
        <v/>
      </c>
      <c r="I63" s="64">
        <f>IF($C63="","",SUMPRODUCT(('Dvd Calendar'!$E$572:$AR$572&gt;=DATE(YEAR_Y-2,1,1))*('Dvd Calendar'!$E$572:$AR$572&lt;=DATE(YEAR_Y-2,12,31))*'Dvd Calendar'!$E$575:$AR$575*(('Dvd Calendar'!$E$577:$AR$577=TYPE1)*(TYPE1&lt;&gt;"")+('Dvd Calendar'!$E$577:$AR$577=TYPE2)*(TYPE2&lt;&gt;"")+('Dvd Calendar'!$E$577:$AR$577=TYPE3)*(TYPE3&lt;&gt;"")+('Dvd Calendar'!$E$577:$AR$577=TYPE4)*(TYPE4&lt;&gt;"")+('Dvd Calendar'!$E$577:$AR$577=SPECIAL_LBL)*(INC_SPECIALS="Y"))))</f>
        <v/>
      </c>
      <c r="J63" s="64">
        <f>IF($C63="","",SUMPRODUCT(('Dvd Calendar'!$E$572:$AR$572&gt;=DATE(YEAR_Y-1,1,1))*('Dvd Calendar'!$E$572:$AR$572&lt;=DATE(YEAR_Y-1,12,31))*'Dvd Calendar'!$E$575:$AR$575*(('Dvd Calendar'!$E$577:$AR$577=TYPE1)*(TYPE1&lt;&gt;"")+('Dvd Calendar'!$E$577:$AR$577=TYPE2)*(TYPE2&lt;&gt;"")+('Dvd Calendar'!$E$577:$AR$577=TYPE3)*(TYPE3&lt;&gt;"")+('Dvd Calendar'!$E$577:$AR$577=TYPE4)*(TYPE4&lt;&gt;"")+('Dvd Calendar'!$E$577:$AR$577=SPECIAL_LBL)*(INC_SPECIALS="Y"))))</f>
        <v/>
      </c>
      <c r="K63" s="65">
        <f>IF($C63="","",HSI!$J$58)</f>
        <v/>
      </c>
      <c r="L63" s="65">
        <f>IF($C63="","",HSI!$K$58)</f>
        <v/>
      </c>
      <c r="M63" s="41">
        <f>IF($C63="","",AVERAGE(F63:J63))</f>
        <v/>
      </c>
      <c r="N63" s="66">
        <f>IF($C63="","",IF(PULL_FUND="N","",IFERROR(BDP($C63,EPS_FIELD,YR_OVERRIDE,TEXT(YEAR_Y-5,"0")),"")))</f>
        <v/>
      </c>
      <c r="O63" s="67">
        <f>IF($C63="","",IF(PULL_FUND="N","",IFERROR(BDP($C63,EPS_FIELD,YR_OVERRIDE,TEXT(YEAR_Y-4,"0")),"")))</f>
        <v/>
      </c>
      <c r="P63" s="67">
        <f>IF($C63="","",IF(PULL_FUND="N","",IFERROR(BDP($C63,EPS_FIELD,YR_OVERRIDE,TEXT(YEAR_Y-3,"0")),"")))</f>
        <v/>
      </c>
      <c r="Q63" s="67">
        <f>IF($C63="","",IF(PULL_FUND="N","",IFERROR(BDP($C63,EPS_FIELD,YR_OVERRIDE,TEXT(YEAR_Y-2,"0")),"")))</f>
        <v/>
      </c>
      <c r="R63" s="67">
        <f>IF($C63="","",IF(PULL_FUND="N","",IFERROR(BDP($C63,EPS_FIELD,YR_OVERRIDE,TEXT(YEAR_Y-1,"0")),"")))</f>
        <v/>
      </c>
      <c r="S63" s="68">
        <f>IF($C63="","",IF(PULL_FUND="N","",IFERROR(BDP($C63,PAYOUT_FIELD,YR_OVERRIDE,TEXT(YEAR_Y-5,"0"))/100,"")))</f>
        <v/>
      </c>
      <c r="T63" s="68">
        <f>IF($C63="","",IF(PULL_FUND="N","",IFERROR(BDP($C63,PAYOUT_FIELD,YR_OVERRIDE,TEXT(YEAR_Y-4,"0"))/100,"")))</f>
        <v/>
      </c>
      <c r="U63" s="68">
        <f>IF($C63="","",IF(PULL_FUND="N","",IFERROR(BDP($C63,PAYOUT_FIELD,YR_OVERRIDE,TEXT(YEAR_Y-3,"0"))/100,"")))</f>
        <v/>
      </c>
      <c r="V63" s="68">
        <f>IF($C63="","",IF(PULL_FUND="N","",IFERROR(BDP($C63,PAYOUT_FIELD,YR_OVERRIDE,TEXT(YEAR_Y-2,"0"))/100,"")))</f>
        <v/>
      </c>
      <c r="W63" s="68">
        <f>IF($C63="","",IF(PULL_FUND="N","",IFERROR(BDP($C63,PAYOUT_FIELD,YR_OVERRIDE,TEXT(YEAR_Y-1,"0"))/100,"")))</f>
        <v/>
      </c>
      <c r="X63" s="69">
        <f>IF($C63="","",IFERROR(AVERAGE(S63:W63),""))</f>
        <v/>
      </c>
      <c r="Y63" s="66">
        <f>IF($C63="","",IF(PULL_FUND="N","",IFERROR(BDP($C63,BESTEPS_FIELD,FWD_OVERRIDE,TEXT(MOD(YEAR_Y,100),"00")&amp;"Y"),"")))</f>
        <v/>
      </c>
      <c r="Z63" s="70">
        <f>IF($C63="","",IF(PULL_FUND="N","",IFERROR(BDP($C63,BESTDPS_FIELD,FWD_OVERRIDE,TEXT(MOD(YEAR_Y,100),"00")&amp;"Y"),"")))</f>
        <v/>
      </c>
      <c r="AA63" s="71">
        <f>IF($C63="","",IF(ISNUMBER($Y63)*ISNUMBER($Z63)*($Y63&lt;&gt;0)=0,"",$Z63/$Y63))</f>
        <v/>
      </c>
      <c r="AB63" s="41">
        <f>IF($C63="","",HSI!$J$58+HSI!$L$58)</f>
        <v/>
      </c>
      <c r="AC63" s="72">
        <f>IF($C63="","",IF(PULL_FUND="N","",IF(COUNTIFS('Fund History'!$G$314:$G$318,"&gt;="&amp;DATE(YEAR_Y-4,1,1),'Fund History'!$G$314:$G$318,"&lt;="&amp;DATE(YEAR_Y-4,12,31))=0,"",SUMIFS('Fund History'!$H$314:$H$318,'Fund History'!$G$314:$G$318,"&gt;="&amp;DATE(YEAR_Y-4,1,1),'Fund History'!$G$314:$G$318,"&lt;="&amp;DATE(YEAR_Y-4,12,31))/100)))</f>
        <v/>
      </c>
      <c r="AD63" s="73">
        <f>IF($C63="","",IF(PULL_FUND="N","",IF(COUNTIFS('Fund History'!$G$314:$G$318,"&gt;="&amp;DATE(YEAR_Y-3,1,1),'Fund History'!$G$314:$G$318,"&lt;="&amp;DATE(YEAR_Y-3,12,31))=0,"",SUMIFS('Fund History'!$H$314:$H$318,'Fund History'!$G$314:$G$318,"&gt;="&amp;DATE(YEAR_Y-3,1,1),'Fund History'!$G$314:$G$318,"&lt;="&amp;DATE(YEAR_Y-3,12,31))/100)))</f>
        <v/>
      </c>
      <c r="AE63" s="73">
        <f>IF($C63="","",IF(PULL_FUND="N","",IF(COUNTIFS('Fund History'!$G$314:$G$318,"&gt;="&amp;DATE(YEAR_Y-2,1,1),'Fund History'!$G$314:$G$318,"&lt;="&amp;DATE(YEAR_Y-2,12,31))=0,"",SUMIFS('Fund History'!$H$314:$H$318,'Fund History'!$G$314:$G$318,"&gt;="&amp;DATE(YEAR_Y-2,1,1),'Fund History'!$G$314:$G$318,"&lt;="&amp;DATE(YEAR_Y-2,12,31))/100)))</f>
        <v/>
      </c>
      <c r="AF63" s="73">
        <f>IF($C63="","",IF(PULL_FUND="N","",IF(COUNTIFS('Fund History'!$G$314:$G$318,"&gt;="&amp;DATE(YEAR_Y-1,1,1),'Fund History'!$G$314:$G$318,"&lt;="&amp;DATE(YEAR_Y-1,12,31))=0,"",SUMIFS('Fund History'!$H$314:$H$318,'Fund History'!$G$314:$G$318,"&gt;="&amp;DATE(YEAR_Y-1,1,1),'Fund History'!$G$314:$G$318,"&lt;="&amp;DATE(YEAR_Y-1,12,31))/100)))</f>
        <v/>
      </c>
      <c r="AG63" s="74">
        <f>IF($C63="","",IF(N($AF63)+N(HSI!$I$58)=0,"",N($AF63)+N(HSI!$I$58)/100))</f>
        <v/>
      </c>
      <c r="AH63" s="66">
        <f>IF($C63="","",IF(PULL_FUND="N","",IF(COUNTIFS('Fund History'!$D$314:$D$318,"&gt;="&amp;DATE(YEAR_Y-2,1,1),'Fund History'!$D$314:$D$318,"&lt;="&amp;DATE(YEAR_Y-2,12,31))=0,"",SUMIFS('Fund History'!$E$314:$E$318,'Fund History'!$D$314:$D$318,"&gt;="&amp;DATE(YEAR_Y-2,1,1),'Fund History'!$D$314:$D$318,"&lt;="&amp;DATE(YEAR_Y-2,12,31)))))</f>
        <v/>
      </c>
      <c r="AI63" s="67">
        <f>IF($C63="","",IF(PULL_FUND="N","",IF(COUNTIFS('Fund History'!$D$314:$D$318,"&gt;="&amp;DATE(YEAR_Y-1,1,1),'Fund History'!$D$314:$D$318,"&lt;="&amp;DATE(YEAR_Y-1,12,31))=0,"",SUMIFS('Fund History'!$E$314:$E$318,'Fund History'!$D$314:$D$318,"&gt;="&amp;DATE(YEAR_Y-1,1,1),'Fund History'!$D$314:$D$318,"&lt;="&amp;DATE(YEAR_Y-1,12,31)))))</f>
        <v/>
      </c>
      <c r="AJ63" s="67">
        <f>IF($C63="","",IF(PULL_FUND="N","",IFERROR(BDP($C63,NDEBITDA_FIELD),"")))</f>
        <v/>
      </c>
      <c r="AK63" s="75">
        <f>IF($C63="","",IF(PULL_FUND="N","",IFERROR(BDP($C63,EBINT_FIELD),"")))</f>
        <v/>
      </c>
      <c r="AL63" s="73">
        <f>IF($C63="","",IF(PULL_FUND="N","",IFERROR(BDP($C63,FCF_FIELD)/100,"")))</f>
        <v/>
      </c>
      <c r="AM63" s="76">
        <f>IF($C63="","",IF(ISNUMBER(HSI!$I$58),HSI!$I$58/100,""))</f>
        <v/>
      </c>
      <c r="AN63" s="47">
        <f>IF($C63="","",IF(N($AM63)=0,"",IFERROR($AL63/$AM63,"")))</f>
        <v/>
      </c>
      <c r="AO63" s="33">
        <f>IF($C63="","",IF(ISNUMBER($S63)*ISNUMBER($W63)=0,"",IF($W63&gt;$S63+0.05,"rising",IF($W63&lt;$S63-0.05,"falling","stable"))))</f>
        <v/>
      </c>
      <c r="AP63" s="77">
        <f>IF($C63="","",TRIM(IF(ISNUMBER($X63)*(N($X63)&gt;$D$4)&gt;0,"payout high  ","")&amp;IF(ISNUMBER($AN63)*(N($AN63)&lt;$F$4)&gt;0,"FCF below dvd  ","")&amp;IF(ISNUMBER($AJ63)*(N($AJ63)&gt;$H$4)&gt;0,"leverage high","")))</f>
        <v/>
      </c>
      <c r="AQ63" s="78">
        <f>IF($C63="","",IF(HSI!$F$58="HKD","",HSI!$F$58))</f>
        <v/>
      </c>
    </row>
    <row r="64">
      <c r="B64" s="62" t="inlineStr">
        <is>
          <t>HSI</t>
        </is>
      </c>
      <c r="C64" s="6">
        <f>IF(HSI!$C$59="","",HSI!$C$59)</f>
        <v/>
      </c>
      <c r="D64" s="6">
        <f>IF($C64="","",HSI!$D$59)</f>
        <v/>
      </c>
      <c r="E64" s="6">
        <f>IF($C64="","",HSI!$E$59)</f>
        <v/>
      </c>
      <c r="F64" s="63">
        <f>IF($C64="","",SUMPRODUCT(('Dvd Calendar'!$E$583:$AR$583&gt;=DATE(YEAR_Y-5,1,1))*('Dvd Calendar'!$E$583:$AR$583&lt;=DATE(YEAR_Y-5,12,31))*'Dvd Calendar'!$E$586:$AR$586*(('Dvd Calendar'!$E$588:$AR$588=TYPE1)*(TYPE1&lt;&gt;"")+('Dvd Calendar'!$E$588:$AR$588=TYPE2)*(TYPE2&lt;&gt;"")+('Dvd Calendar'!$E$588:$AR$588=TYPE3)*(TYPE3&lt;&gt;"")+('Dvd Calendar'!$E$588:$AR$588=TYPE4)*(TYPE4&lt;&gt;"")+('Dvd Calendar'!$E$588:$AR$588=SPECIAL_LBL)*(INC_SPECIALS="Y"))))</f>
        <v/>
      </c>
      <c r="G64" s="64">
        <f>IF($C64="","",SUMPRODUCT(('Dvd Calendar'!$E$583:$AR$583&gt;=DATE(YEAR_Y-4,1,1))*('Dvd Calendar'!$E$583:$AR$583&lt;=DATE(YEAR_Y-4,12,31))*'Dvd Calendar'!$E$586:$AR$586*(('Dvd Calendar'!$E$588:$AR$588=TYPE1)*(TYPE1&lt;&gt;"")+('Dvd Calendar'!$E$588:$AR$588=TYPE2)*(TYPE2&lt;&gt;"")+('Dvd Calendar'!$E$588:$AR$588=TYPE3)*(TYPE3&lt;&gt;"")+('Dvd Calendar'!$E$588:$AR$588=TYPE4)*(TYPE4&lt;&gt;"")+('Dvd Calendar'!$E$588:$AR$588=SPECIAL_LBL)*(INC_SPECIALS="Y"))))</f>
        <v/>
      </c>
      <c r="H64" s="64">
        <f>IF($C64="","",SUMPRODUCT(('Dvd Calendar'!$E$583:$AR$583&gt;=DATE(YEAR_Y-3,1,1))*('Dvd Calendar'!$E$583:$AR$583&lt;=DATE(YEAR_Y-3,12,31))*'Dvd Calendar'!$E$586:$AR$586*(('Dvd Calendar'!$E$588:$AR$588=TYPE1)*(TYPE1&lt;&gt;"")+('Dvd Calendar'!$E$588:$AR$588=TYPE2)*(TYPE2&lt;&gt;"")+('Dvd Calendar'!$E$588:$AR$588=TYPE3)*(TYPE3&lt;&gt;"")+('Dvd Calendar'!$E$588:$AR$588=TYPE4)*(TYPE4&lt;&gt;"")+('Dvd Calendar'!$E$588:$AR$588=SPECIAL_LBL)*(INC_SPECIALS="Y"))))</f>
        <v/>
      </c>
      <c r="I64" s="64">
        <f>IF($C64="","",SUMPRODUCT(('Dvd Calendar'!$E$583:$AR$583&gt;=DATE(YEAR_Y-2,1,1))*('Dvd Calendar'!$E$583:$AR$583&lt;=DATE(YEAR_Y-2,12,31))*'Dvd Calendar'!$E$586:$AR$586*(('Dvd Calendar'!$E$588:$AR$588=TYPE1)*(TYPE1&lt;&gt;"")+('Dvd Calendar'!$E$588:$AR$588=TYPE2)*(TYPE2&lt;&gt;"")+('Dvd Calendar'!$E$588:$AR$588=TYPE3)*(TYPE3&lt;&gt;"")+('Dvd Calendar'!$E$588:$AR$588=TYPE4)*(TYPE4&lt;&gt;"")+('Dvd Calendar'!$E$588:$AR$588=SPECIAL_LBL)*(INC_SPECIALS="Y"))))</f>
        <v/>
      </c>
      <c r="J64" s="64">
        <f>IF($C64="","",SUMPRODUCT(('Dvd Calendar'!$E$583:$AR$583&gt;=DATE(YEAR_Y-1,1,1))*('Dvd Calendar'!$E$583:$AR$583&lt;=DATE(YEAR_Y-1,12,31))*'Dvd Calendar'!$E$586:$AR$586*(('Dvd Calendar'!$E$588:$AR$588=TYPE1)*(TYPE1&lt;&gt;"")+('Dvd Calendar'!$E$588:$AR$588=TYPE2)*(TYPE2&lt;&gt;"")+('Dvd Calendar'!$E$588:$AR$588=TYPE3)*(TYPE3&lt;&gt;"")+('Dvd Calendar'!$E$588:$AR$588=TYPE4)*(TYPE4&lt;&gt;"")+('Dvd Calendar'!$E$588:$AR$588=SPECIAL_LBL)*(INC_SPECIALS="Y"))))</f>
        <v/>
      </c>
      <c r="K64" s="65">
        <f>IF($C64="","",HSI!$J$59)</f>
        <v/>
      </c>
      <c r="L64" s="65">
        <f>IF($C64="","",HSI!$K$59)</f>
        <v/>
      </c>
      <c r="M64" s="41">
        <f>IF($C64="","",AVERAGE(F64:J64))</f>
        <v/>
      </c>
      <c r="N64" s="66">
        <f>IF($C64="","",IF(PULL_FUND="N","",IFERROR(BDP($C64,EPS_FIELD,YR_OVERRIDE,TEXT(YEAR_Y-5,"0")),"")))</f>
        <v/>
      </c>
      <c r="O64" s="67">
        <f>IF($C64="","",IF(PULL_FUND="N","",IFERROR(BDP($C64,EPS_FIELD,YR_OVERRIDE,TEXT(YEAR_Y-4,"0")),"")))</f>
        <v/>
      </c>
      <c r="P64" s="67">
        <f>IF($C64="","",IF(PULL_FUND="N","",IFERROR(BDP($C64,EPS_FIELD,YR_OVERRIDE,TEXT(YEAR_Y-3,"0")),"")))</f>
        <v/>
      </c>
      <c r="Q64" s="67">
        <f>IF($C64="","",IF(PULL_FUND="N","",IFERROR(BDP($C64,EPS_FIELD,YR_OVERRIDE,TEXT(YEAR_Y-2,"0")),"")))</f>
        <v/>
      </c>
      <c r="R64" s="67">
        <f>IF($C64="","",IF(PULL_FUND="N","",IFERROR(BDP($C64,EPS_FIELD,YR_OVERRIDE,TEXT(YEAR_Y-1,"0")),"")))</f>
        <v/>
      </c>
      <c r="S64" s="68">
        <f>IF($C64="","",IF(PULL_FUND="N","",IFERROR(BDP($C64,PAYOUT_FIELD,YR_OVERRIDE,TEXT(YEAR_Y-5,"0"))/100,"")))</f>
        <v/>
      </c>
      <c r="T64" s="68">
        <f>IF($C64="","",IF(PULL_FUND="N","",IFERROR(BDP($C64,PAYOUT_FIELD,YR_OVERRIDE,TEXT(YEAR_Y-4,"0"))/100,"")))</f>
        <v/>
      </c>
      <c r="U64" s="68">
        <f>IF($C64="","",IF(PULL_FUND="N","",IFERROR(BDP($C64,PAYOUT_FIELD,YR_OVERRIDE,TEXT(YEAR_Y-3,"0"))/100,"")))</f>
        <v/>
      </c>
      <c r="V64" s="68">
        <f>IF($C64="","",IF(PULL_FUND="N","",IFERROR(BDP($C64,PAYOUT_FIELD,YR_OVERRIDE,TEXT(YEAR_Y-2,"0"))/100,"")))</f>
        <v/>
      </c>
      <c r="W64" s="68">
        <f>IF($C64="","",IF(PULL_FUND="N","",IFERROR(BDP($C64,PAYOUT_FIELD,YR_OVERRIDE,TEXT(YEAR_Y-1,"0"))/100,"")))</f>
        <v/>
      </c>
      <c r="X64" s="69">
        <f>IF($C64="","",IFERROR(AVERAGE(S64:W64),""))</f>
        <v/>
      </c>
      <c r="Y64" s="66">
        <f>IF($C64="","",IF(PULL_FUND="N","",IFERROR(BDP($C64,BESTEPS_FIELD,FWD_OVERRIDE,TEXT(MOD(YEAR_Y,100),"00")&amp;"Y"),"")))</f>
        <v/>
      </c>
      <c r="Z64" s="70">
        <f>IF($C64="","",IF(PULL_FUND="N","",IFERROR(BDP($C64,BESTDPS_FIELD,FWD_OVERRIDE,TEXT(MOD(YEAR_Y,100),"00")&amp;"Y"),"")))</f>
        <v/>
      </c>
      <c r="AA64" s="71">
        <f>IF($C64="","",IF(ISNUMBER($Y64)*ISNUMBER($Z64)*($Y64&lt;&gt;0)=0,"",$Z64/$Y64))</f>
        <v/>
      </c>
      <c r="AB64" s="41">
        <f>IF($C64="","",HSI!$J$59+HSI!$L$59)</f>
        <v/>
      </c>
      <c r="AC64" s="72">
        <f>IF($C64="","",IF(PULL_FUND="N","",IF(COUNTIFS('Fund History'!$G$320:$G$324,"&gt;="&amp;DATE(YEAR_Y-4,1,1),'Fund History'!$G$320:$G$324,"&lt;="&amp;DATE(YEAR_Y-4,12,31))=0,"",SUMIFS('Fund History'!$H$320:$H$324,'Fund History'!$G$320:$G$324,"&gt;="&amp;DATE(YEAR_Y-4,1,1),'Fund History'!$G$320:$G$324,"&lt;="&amp;DATE(YEAR_Y-4,12,31))/100)))</f>
        <v/>
      </c>
      <c r="AD64" s="73">
        <f>IF($C64="","",IF(PULL_FUND="N","",IF(COUNTIFS('Fund History'!$G$320:$G$324,"&gt;="&amp;DATE(YEAR_Y-3,1,1),'Fund History'!$G$320:$G$324,"&lt;="&amp;DATE(YEAR_Y-3,12,31))=0,"",SUMIFS('Fund History'!$H$320:$H$324,'Fund History'!$G$320:$G$324,"&gt;="&amp;DATE(YEAR_Y-3,1,1),'Fund History'!$G$320:$G$324,"&lt;="&amp;DATE(YEAR_Y-3,12,31))/100)))</f>
        <v/>
      </c>
      <c r="AE64" s="73">
        <f>IF($C64="","",IF(PULL_FUND="N","",IF(COUNTIFS('Fund History'!$G$320:$G$324,"&gt;="&amp;DATE(YEAR_Y-2,1,1),'Fund History'!$G$320:$G$324,"&lt;="&amp;DATE(YEAR_Y-2,12,31))=0,"",SUMIFS('Fund History'!$H$320:$H$324,'Fund History'!$G$320:$G$324,"&gt;="&amp;DATE(YEAR_Y-2,1,1),'Fund History'!$G$320:$G$324,"&lt;="&amp;DATE(YEAR_Y-2,12,31))/100)))</f>
        <v/>
      </c>
      <c r="AF64" s="73">
        <f>IF($C64="","",IF(PULL_FUND="N","",IF(COUNTIFS('Fund History'!$G$320:$G$324,"&gt;="&amp;DATE(YEAR_Y-1,1,1),'Fund History'!$G$320:$G$324,"&lt;="&amp;DATE(YEAR_Y-1,12,31))=0,"",SUMIFS('Fund History'!$H$320:$H$324,'Fund History'!$G$320:$G$324,"&gt;="&amp;DATE(YEAR_Y-1,1,1),'Fund History'!$G$320:$G$324,"&lt;="&amp;DATE(YEAR_Y-1,12,31))/100)))</f>
        <v/>
      </c>
      <c r="AG64" s="74">
        <f>IF($C64="","",IF(N($AF64)+N(HSI!$I$59)=0,"",N($AF64)+N(HSI!$I$59)/100))</f>
        <v/>
      </c>
      <c r="AH64" s="66">
        <f>IF($C64="","",IF(PULL_FUND="N","",IF(COUNTIFS('Fund History'!$D$320:$D$324,"&gt;="&amp;DATE(YEAR_Y-2,1,1),'Fund History'!$D$320:$D$324,"&lt;="&amp;DATE(YEAR_Y-2,12,31))=0,"",SUMIFS('Fund History'!$E$320:$E$324,'Fund History'!$D$320:$D$324,"&gt;="&amp;DATE(YEAR_Y-2,1,1),'Fund History'!$D$320:$D$324,"&lt;="&amp;DATE(YEAR_Y-2,12,31)))))</f>
        <v/>
      </c>
      <c r="AI64" s="67">
        <f>IF($C64="","",IF(PULL_FUND="N","",IF(COUNTIFS('Fund History'!$D$320:$D$324,"&gt;="&amp;DATE(YEAR_Y-1,1,1),'Fund History'!$D$320:$D$324,"&lt;="&amp;DATE(YEAR_Y-1,12,31))=0,"",SUMIFS('Fund History'!$E$320:$E$324,'Fund History'!$D$320:$D$324,"&gt;="&amp;DATE(YEAR_Y-1,1,1),'Fund History'!$D$320:$D$324,"&lt;="&amp;DATE(YEAR_Y-1,12,31)))))</f>
        <v/>
      </c>
      <c r="AJ64" s="67">
        <f>IF($C64="","",IF(PULL_FUND="N","",IFERROR(BDP($C64,NDEBITDA_FIELD),"")))</f>
        <v/>
      </c>
      <c r="AK64" s="75">
        <f>IF($C64="","",IF(PULL_FUND="N","",IFERROR(BDP($C64,EBINT_FIELD),"")))</f>
        <v/>
      </c>
      <c r="AL64" s="73">
        <f>IF($C64="","",IF(PULL_FUND="N","",IFERROR(BDP($C64,FCF_FIELD)/100,"")))</f>
        <v/>
      </c>
      <c r="AM64" s="76">
        <f>IF($C64="","",IF(ISNUMBER(HSI!$I$59),HSI!$I$59/100,""))</f>
        <v/>
      </c>
      <c r="AN64" s="47">
        <f>IF($C64="","",IF(N($AM64)=0,"",IFERROR($AL64/$AM64,"")))</f>
        <v/>
      </c>
      <c r="AO64" s="33">
        <f>IF($C64="","",IF(ISNUMBER($S64)*ISNUMBER($W64)=0,"",IF($W64&gt;$S64+0.05,"rising",IF($W64&lt;$S64-0.05,"falling","stable"))))</f>
        <v/>
      </c>
      <c r="AP64" s="77">
        <f>IF($C64="","",TRIM(IF(ISNUMBER($X64)*(N($X64)&gt;$D$4)&gt;0,"payout high  ","")&amp;IF(ISNUMBER($AN64)*(N($AN64)&lt;$F$4)&gt;0,"FCF below dvd  ","")&amp;IF(ISNUMBER($AJ64)*(N($AJ64)&gt;$H$4)&gt;0,"leverage high","")))</f>
        <v/>
      </c>
      <c r="AQ64" s="78">
        <f>IF($C64="","",IF(HSI!$F$59="HKD","",HSI!$F$59))</f>
        <v/>
      </c>
    </row>
    <row r="65">
      <c r="B65" s="62" t="inlineStr">
        <is>
          <t>HSI</t>
        </is>
      </c>
      <c r="C65" s="6">
        <f>IF(HSI!$C$60="","",HSI!$C$60)</f>
        <v/>
      </c>
      <c r="D65" s="6">
        <f>IF($C65="","",HSI!$D$60)</f>
        <v/>
      </c>
      <c r="E65" s="6">
        <f>IF($C65="","",HSI!$E$60)</f>
        <v/>
      </c>
      <c r="F65" s="63">
        <f>IF($C65="","",SUMPRODUCT(('Dvd Calendar'!$E$594:$AR$594&gt;=DATE(YEAR_Y-5,1,1))*('Dvd Calendar'!$E$594:$AR$594&lt;=DATE(YEAR_Y-5,12,31))*'Dvd Calendar'!$E$597:$AR$597*(('Dvd Calendar'!$E$599:$AR$599=TYPE1)*(TYPE1&lt;&gt;"")+('Dvd Calendar'!$E$599:$AR$599=TYPE2)*(TYPE2&lt;&gt;"")+('Dvd Calendar'!$E$599:$AR$599=TYPE3)*(TYPE3&lt;&gt;"")+('Dvd Calendar'!$E$599:$AR$599=TYPE4)*(TYPE4&lt;&gt;"")+('Dvd Calendar'!$E$599:$AR$599=SPECIAL_LBL)*(INC_SPECIALS="Y"))))</f>
        <v/>
      </c>
      <c r="G65" s="64">
        <f>IF($C65="","",SUMPRODUCT(('Dvd Calendar'!$E$594:$AR$594&gt;=DATE(YEAR_Y-4,1,1))*('Dvd Calendar'!$E$594:$AR$594&lt;=DATE(YEAR_Y-4,12,31))*'Dvd Calendar'!$E$597:$AR$597*(('Dvd Calendar'!$E$599:$AR$599=TYPE1)*(TYPE1&lt;&gt;"")+('Dvd Calendar'!$E$599:$AR$599=TYPE2)*(TYPE2&lt;&gt;"")+('Dvd Calendar'!$E$599:$AR$599=TYPE3)*(TYPE3&lt;&gt;"")+('Dvd Calendar'!$E$599:$AR$599=TYPE4)*(TYPE4&lt;&gt;"")+('Dvd Calendar'!$E$599:$AR$599=SPECIAL_LBL)*(INC_SPECIALS="Y"))))</f>
        <v/>
      </c>
      <c r="H65" s="64">
        <f>IF($C65="","",SUMPRODUCT(('Dvd Calendar'!$E$594:$AR$594&gt;=DATE(YEAR_Y-3,1,1))*('Dvd Calendar'!$E$594:$AR$594&lt;=DATE(YEAR_Y-3,12,31))*'Dvd Calendar'!$E$597:$AR$597*(('Dvd Calendar'!$E$599:$AR$599=TYPE1)*(TYPE1&lt;&gt;"")+('Dvd Calendar'!$E$599:$AR$599=TYPE2)*(TYPE2&lt;&gt;"")+('Dvd Calendar'!$E$599:$AR$599=TYPE3)*(TYPE3&lt;&gt;"")+('Dvd Calendar'!$E$599:$AR$599=TYPE4)*(TYPE4&lt;&gt;"")+('Dvd Calendar'!$E$599:$AR$599=SPECIAL_LBL)*(INC_SPECIALS="Y"))))</f>
        <v/>
      </c>
      <c r="I65" s="64">
        <f>IF($C65="","",SUMPRODUCT(('Dvd Calendar'!$E$594:$AR$594&gt;=DATE(YEAR_Y-2,1,1))*('Dvd Calendar'!$E$594:$AR$594&lt;=DATE(YEAR_Y-2,12,31))*'Dvd Calendar'!$E$597:$AR$597*(('Dvd Calendar'!$E$599:$AR$599=TYPE1)*(TYPE1&lt;&gt;"")+('Dvd Calendar'!$E$599:$AR$599=TYPE2)*(TYPE2&lt;&gt;"")+('Dvd Calendar'!$E$599:$AR$599=TYPE3)*(TYPE3&lt;&gt;"")+('Dvd Calendar'!$E$599:$AR$599=TYPE4)*(TYPE4&lt;&gt;"")+('Dvd Calendar'!$E$599:$AR$599=SPECIAL_LBL)*(INC_SPECIALS="Y"))))</f>
        <v/>
      </c>
      <c r="J65" s="64">
        <f>IF($C65="","",SUMPRODUCT(('Dvd Calendar'!$E$594:$AR$594&gt;=DATE(YEAR_Y-1,1,1))*('Dvd Calendar'!$E$594:$AR$594&lt;=DATE(YEAR_Y-1,12,31))*'Dvd Calendar'!$E$597:$AR$597*(('Dvd Calendar'!$E$599:$AR$599=TYPE1)*(TYPE1&lt;&gt;"")+('Dvd Calendar'!$E$599:$AR$599=TYPE2)*(TYPE2&lt;&gt;"")+('Dvd Calendar'!$E$599:$AR$599=TYPE3)*(TYPE3&lt;&gt;"")+('Dvd Calendar'!$E$599:$AR$599=TYPE4)*(TYPE4&lt;&gt;"")+('Dvd Calendar'!$E$599:$AR$599=SPECIAL_LBL)*(INC_SPECIALS="Y"))))</f>
        <v/>
      </c>
      <c r="K65" s="65">
        <f>IF($C65="","",HSI!$J$60)</f>
        <v/>
      </c>
      <c r="L65" s="65">
        <f>IF($C65="","",HSI!$K$60)</f>
        <v/>
      </c>
      <c r="M65" s="41">
        <f>IF($C65="","",AVERAGE(F65:J65))</f>
        <v/>
      </c>
      <c r="N65" s="66">
        <f>IF($C65="","",IF(PULL_FUND="N","",IFERROR(BDP($C65,EPS_FIELD,YR_OVERRIDE,TEXT(YEAR_Y-5,"0")),"")))</f>
        <v/>
      </c>
      <c r="O65" s="67">
        <f>IF($C65="","",IF(PULL_FUND="N","",IFERROR(BDP($C65,EPS_FIELD,YR_OVERRIDE,TEXT(YEAR_Y-4,"0")),"")))</f>
        <v/>
      </c>
      <c r="P65" s="67">
        <f>IF($C65="","",IF(PULL_FUND="N","",IFERROR(BDP($C65,EPS_FIELD,YR_OVERRIDE,TEXT(YEAR_Y-3,"0")),"")))</f>
        <v/>
      </c>
      <c r="Q65" s="67">
        <f>IF($C65="","",IF(PULL_FUND="N","",IFERROR(BDP($C65,EPS_FIELD,YR_OVERRIDE,TEXT(YEAR_Y-2,"0")),"")))</f>
        <v/>
      </c>
      <c r="R65" s="67">
        <f>IF($C65="","",IF(PULL_FUND="N","",IFERROR(BDP($C65,EPS_FIELD,YR_OVERRIDE,TEXT(YEAR_Y-1,"0")),"")))</f>
        <v/>
      </c>
      <c r="S65" s="68">
        <f>IF($C65="","",IF(PULL_FUND="N","",IFERROR(BDP($C65,PAYOUT_FIELD,YR_OVERRIDE,TEXT(YEAR_Y-5,"0"))/100,"")))</f>
        <v/>
      </c>
      <c r="T65" s="68">
        <f>IF($C65="","",IF(PULL_FUND="N","",IFERROR(BDP($C65,PAYOUT_FIELD,YR_OVERRIDE,TEXT(YEAR_Y-4,"0"))/100,"")))</f>
        <v/>
      </c>
      <c r="U65" s="68">
        <f>IF($C65="","",IF(PULL_FUND="N","",IFERROR(BDP($C65,PAYOUT_FIELD,YR_OVERRIDE,TEXT(YEAR_Y-3,"0"))/100,"")))</f>
        <v/>
      </c>
      <c r="V65" s="68">
        <f>IF($C65="","",IF(PULL_FUND="N","",IFERROR(BDP($C65,PAYOUT_FIELD,YR_OVERRIDE,TEXT(YEAR_Y-2,"0"))/100,"")))</f>
        <v/>
      </c>
      <c r="W65" s="68">
        <f>IF($C65="","",IF(PULL_FUND="N","",IFERROR(BDP($C65,PAYOUT_FIELD,YR_OVERRIDE,TEXT(YEAR_Y-1,"0"))/100,"")))</f>
        <v/>
      </c>
      <c r="X65" s="69">
        <f>IF($C65="","",IFERROR(AVERAGE(S65:W65),""))</f>
        <v/>
      </c>
      <c r="Y65" s="66">
        <f>IF($C65="","",IF(PULL_FUND="N","",IFERROR(BDP($C65,BESTEPS_FIELD,FWD_OVERRIDE,TEXT(MOD(YEAR_Y,100),"00")&amp;"Y"),"")))</f>
        <v/>
      </c>
      <c r="Z65" s="70">
        <f>IF($C65="","",IF(PULL_FUND="N","",IFERROR(BDP($C65,BESTDPS_FIELD,FWD_OVERRIDE,TEXT(MOD(YEAR_Y,100),"00")&amp;"Y"),"")))</f>
        <v/>
      </c>
      <c r="AA65" s="71">
        <f>IF($C65="","",IF(ISNUMBER($Y65)*ISNUMBER($Z65)*($Y65&lt;&gt;0)=0,"",$Z65/$Y65))</f>
        <v/>
      </c>
      <c r="AB65" s="41">
        <f>IF($C65="","",HSI!$J$60+HSI!$L$60)</f>
        <v/>
      </c>
      <c r="AC65" s="72">
        <f>IF($C65="","",IF(PULL_FUND="N","",IF(COUNTIFS('Fund History'!$G$326:$G$330,"&gt;="&amp;DATE(YEAR_Y-4,1,1),'Fund History'!$G$326:$G$330,"&lt;="&amp;DATE(YEAR_Y-4,12,31))=0,"",SUMIFS('Fund History'!$H$326:$H$330,'Fund History'!$G$326:$G$330,"&gt;="&amp;DATE(YEAR_Y-4,1,1),'Fund History'!$G$326:$G$330,"&lt;="&amp;DATE(YEAR_Y-4,12,31))/100)))</f>
        <v/>
      </c>
      <c r="AD65" s="73">
        <f>IF($C65="","",IF(PULL_FUND="N","",IF(COUNTIFS('Fund History'!$G$326:$G$330,"&gt;="&amp;DATE(YEAR_Y-3,1,1),'Fund History'!$G$326:$G$330,"&lt;="&amp;DATE(YEAR_Y-3,12,31))=0,"",SUMIFS('Fund History'!$H$326:$H$330,'Fund History'!$G$326:$G$330,"&gt;="&amp;DATE(YEAR_Y-3,1,1),'Fund History'!$G$326:$G$330,"&lt;="&amp;DATE(YEAR_Y-3,12,31))/100)))</f>
        <v/>
      </c>
      <c r="AE65" s="73">
        <f>IF($C65="","",IF(PULL_FUND="N","",IF(COUNTIFS('Fund History'!$G$326:$G$330,"&gt;="&amp;DATE(YEAR_Y-2,1,1),'Fund History'!$G$326:$G$330,"&lt;="&amp;DATE(YEAR_Y-2,12,31))=0,"",SUMIFS('Fund History'!$H$326:$H$330,'Fund History'!$G$326:$G$330,"&gt;="&amp;DATE(YEAR_Y-2,1,1),'Fund History'!$G$326:$G$330,"&lt;="&amp;DATE(YEAR_Y-2,12,31))/100)))</f>
        <v/>
      </c>
      <c r="AF65" s="73">
        <f>IF($C65="","",IF(PULL_FUND="N","",IF(COUNTIFS('Fund History'!$G$326:$G$330,"&gt;="&amp;DATE(YEAR_Y-1,1,1),'Fund History'!$G$326:$G$330,"&lt;="&amp;DATE(YEAR_Y-1,12,31))=0,"",SUMIFS('Fund History'!$H$326:$H$330,'Fund History'!$G$326:$G$330,"&gt;="&amp;DATE(YEAR_Y-1,1,1),'Fund History'!$G$326:$G$330,"&lt;="&amp;DATE(YEAR_Y-1,12,31))/100)))</f>
        <v/>
      </c>
      <c r="AG65" s="74">
        <f>IF($C65="","",IF(N($AF65)+N(HSI!$I$60)=0,"",N($AF65)+N(HSI!$I$60)/100))</f>
        <v/>
      </c>
      <c r="AH65" s="66">
        <f>IF($C65="","",IF(PULL_FUND="N","",IF(COUNTIFS('Fund History'!$D$326:$D$330,"&gt;="&amp;DATE(YEAR_Y-2,1,1),'Fund History'!$D$326:$D$330,"&lt;="&amp;DATE(YEAR_Y-2,12,31))=0,"",SUMIFS('Fund History'!$E$326:$E$330,'Fund History'!$D$326:$D$330,"&gt;="&amp;DATE(YEAR_Y-2,1,1),'Fund History'!$D$326:$D$330,"&lt;="&amp;DATE(YEAR_Y-2,12,31)))))</f>
        <v/>
      </c>
      <c r="AI65" s="67">
        <f>IF($C65="","",IF(PULL_FUND="N","",IF(COUNTIFS('Fund History'!$D$326:$D$330,"&gt;="&amp;DATE(YEAR_Y-1,1,1),'Fund History'!$D$326:$D$330,"&lt;="&amp;DATE(YEAR_Y-1,12,31))=0,"",SUMIFS('Fund History'!$E$326:$E$330,'Fund History'!$D$326:$D$330,"&gt;="&amp;DATE(YEAR_Y-1,1,1),'Fund History'!$D$326:$D$330,"&lt;="&amp;DATE(YEAR_Y-1,12,31)))))</f>
        <v/>
      </c>
      <c r="AJ65" s="67">
        <f>IF($C65="","",IF(PULL_FUND="N","",IFERROR(BDP($C65,NDEBITDA_FIELD),"")))</f>
        <v/>
      </c>
      <c r="AK65" s="75">
        <f>IF($C65="","",IF(PULL_FUND="N","",IFERROR(BDP($C65,EBINT_FIELD),"")))</f>
        <v/>
      </c>
      <c r="AL65" s="73">
        <f>IF($C65="","",IF(PULL_FUND="N","",IFERROR(BDP($C65,FCF_FIELD)/100,"")))</f>
        <v/>
      </c>
      <c r="AM65" s="76">
        <f>IF($C65="","",IF(ISNUMBER(HSI!$I$60),HSI!$I$60/100,""))</f>
        <v/>
      </c>
      <c r="AN65" s="47">
        <f>IF($C65="","",IF(N($AM65)=0,"",IFERROR($AL65/$AM65,"")))</f>
        <v/>
      </c>
      <c r="AO65" s="33">
        <f>IF($C65="","",IF(ISNUMBER($S65)*ISNUMBER($W65)=0,"",IF($W65&gt;$S65+0.05,"rising",IF($W65&lt;$S65-0.05,"falling","stable"))))</f>
        <v/>
      </c>
      <c r="AP65" s="77">
        <f>IF($C65="","",TRIM(IF(ISNUMBER($X65)*(N($X65)&gt;$D$4)&gt;0,"payout high  ","")&amp;IF(ISNUMBER($AN65)*(N($AN65)&lt;$F$4)&gt;0,"FCF below dvd  ","")&amp;IF(ISNUMBER($AJ65)*(N($AJ65)&gt;$H$4)&gt;0,"leverage high","")))</f>
        <v/>
      </c>
      <c r="AQ65" s="78">
        <f>IF($C65="","",IF(HSI!$F$60="HKD","",HSI!$F$60))</f>
        <v/>
      </c>
    </row>
    <row r="66">
      <c r="B66" s="62" t="inlineStr">
        <is>
          <t>HSI</t>
        </is>
      </c>
      <c r="C66" s="6">
        <f>IF(HSI!$C$61="","",HSI!$C$61)</f>
        <v/>
      </c>
      <c r="D66" s="6">
        <f>IF($C66="","",HSI!$D$61)</f>
        <v/>
      </c>
      <c r="E66" s="6">
        <f>IF($C66="","",HSI!$E$61)</f>
        <v/>
      </c>
      <c r="F66" s="63">
        <f>IF($C66="","",SUMPRODUCT(('Dvd Calendar'!$E$605:$AR$605&gt;=DATE(YEAR_Y-5,1,1))*('Dvd Calendar'!$E$605:$AR$605&lt;=DATE(YEAR_Y-5,12,31))*'Dvd Calendar'!$E$608:$AR$608*(('Dvd Calendar'!$E$610:$AR$610=TYPE1)*(TYPE1&lt;&gt;"")+('Dvd Calendar'!$E$610:$AR$610=TYPE2)*(TYPE2&lt;&gt;"")+('Dvd Calendar'!$E$610:$AR$610=TYPE3)*(TYPE3&lt;&gt;"")+('Dvd Calendar'!$E$610:$AR$610=TYPE4)*(TYPE4&lt;&gt;"")+('Dvd Calendar'!$E$610:$AR$610=SPECIAL_LBL)*(INC_SPECIALS="Y"))))</f>
        <v/>
      </c>
      <c r="G66" s="64">
        <f>IF($C66="","",SUMPRODUCT(('Dvd Calendar'!$E$605:$AR$605&gt;=DATE(YEAR_Y-4,1,1))*('Dvd Calendar'!$E$605:$AR$605&lt;=DATE(YEAR_Y-4,12,31))*'Dvd Calendar'!$E$608:$AR$608*(('Dvd Calendar'!$E$610:$AR$610=TYPE1)*(TYPE1&lt;&gt;"")+('Dvd Calendar'!$E$610:$AR$610=TYPE2)*(TYPE2&lt;&gt;"")+('Dvd Calendar'!$E$610:$AR$610=TYPE3)*(TYPE3&lt;&gt;"")+('Dvd Calendar'!$E$610:$AR$610=TYPE4)*(TYPE4&lt;&gt;"")+('Dvd Calendar'!$E$610:$AR$610=SPECIAL_LBL)*(INC_SPECIALS="Y"))))</f>
        <v/>
      </c>
      <c r="H66" s="64">
        <f>IF($C66="","",SUMPRODUCT(('Dvd Calendar'!$E$605:$AR$605&gt;=DATE(YEAR_Y-3,1,1))*('Dvd Calendar'!$E$605:$AR$605&lt;=DATE(YEAR_Y-3,12,31))*'Dvd Calendar'!$E$608:$AR$608*(('Dvd Calendar'!$E$610:$AR$610=TYPE1)*(TYPE1&lt;&gt;"")+('Dvd Calendar'!$E$610:$AR$610=TYPE2)*(TYPE2&lt;&gt;"")+('Dvd Calendar'!$E$610:$AR$610=TYPE3)*(TYPE3&lt;&gt;"")+('Dvd Calendar'!$E$610:$AR$610=TYPE4)*(TYPE4&lt;&gt;"")+('Dvd Calendar'!$E$610:$AR$610=SPECIAL_LBL)*(INC_SPECIALS="Y"))))</f>
        <v/>
      </c>
      <c r="I66" s="64">
        <f>IF($C66="","",SUMPRODUCT(('Dvd Calendar'!$E$605:$AR$605&gt;=DATE(YEAR_Y-2,1,1))*('Dvd Calendar'!$E$605:$AR$605&lt;=DATE(YEAR_Y-2,12,31))*'Dvd Calendar'!$E$608:$AR$608*(('Dvd Calendar'!$E$610:$AR$610=TYPE1)*(TYPE1&lt;&gt;"")+('Dvd Calendar'!$E$610:$AR$610=TYPE2)*(TYPE2&lt;&gt;"")+('Dvd Calendar'!$E$610:$AR$610=TYPE3)*(TYPE3&lt;&gt;"")+('Dvd Calendar'!$E$610:$AR$610=TYPE4)*(TYPE4&lt;&gt;"")+('Dvd Calendar'!$E$610:$AR$610=SPECIAL_LBL)*(INC_SPECIALS="Y"))))</f>
        <v/>
      </c>
      <c r="J66" s="64">
        <f>IF($C66="","",SUMPRODUCT(('Dvd Calendar'!$E$605:$AR$605&gt;=DATE(YEAR_Y-1,1,1))*('Dvd Calendar'!$E$605:$AR$605&lt;=DATE(YEAR_Y-1,12,31))*'Dvd Calendar'!$E$608:$AR$608*(('Dvd Calendar'!$E$610:$AR$610=TYPE1)*(TYPE1&lt;&gt;"")+('Dvd Calendar'!$E$610:$AR$610=TYPE2)*(TYPE2&lt;&gt;"")+('Dvd Calendar'!$E$610:$AR$610=TYPE3)*(TYPE3&lt;&gt;"")+('Dvd Calendar'!$E$610:$AR$610=TYPE4)*(TYPE4&lt;&gt;"")+('Dvd Calendar'!$E$610:$AR$610=SPECIAL_LBL)*(INC_SPECIALS="Y"))))</f>
        <v/>
      </c>
      <c r="K66" s="65">
        <f>IF($C66="","",HSI!$J$61)</f>
        <v/>
      </c>
      <c r="L66" s="65">
        <f>IF($C66="","",HSI!$K$61)</f>
        <v/>
      </c>
      <c r="M66" s="41">
        <f>IF($C66="","",AVERAGE(F66:J66))</f>
        <v/>
      </c>
      <c r="N66" s="66">
        <f>IF($C66="","",IF(PULL_FUND="N","",IFERROR(BDP($C66,EPS_FIELD,YR_OVERRIDE,TEXT(YEAR_Y-5,"0")),"")))</f>
        <v/>
      </c>
      <c r="O66" s="67">
        <f>IF($C66="","",IF(PULL_FUND="N","",IFERROR(BDP($C66,EPS_FIELD,YR_OVERRIDE,TEXT(YEAR_Y-4,"0")),"")))</f>
        <v/>
      </c>
      <c r="P66" s="67">
        <f>IF($C66="","",IF(PULL_FUND="N","",IFERROR(BDP($C66,EPS_FIELD,YR_OVERRIDE,TEXT(YEAR_Y-3,"0")),"")))</f>
        <v/>
      </c>
      <c r="Q66" s="67">
        <f>IF($C66="","",IF(PULL_FUND="N","",IFERROR(BDP($C66,EPS_FIELD,YR_OVERRIDE,TEXT(YEAR_Y-2,"0")),"")))</f>
        <v/>
      </c>
      <c r="R66" s="67">
        <f>IF($C66="","",IF(PULL_FUND="N","",IFERROR(BDP($C66,EPS_FIELD,YR_OVERRIDE,TEXT(YEAR_Y-1,"0")),"")))</f>
        <v/>
      </c>
      <c r="S66" s="68">
        <f>IF($C66="","",IF(PULL_FUND="N","",IFERROR(BDP($C66,PAYOUT_FIELD,YR_OVERRIDE,TEXT(YEAR_Y-5,"0"))/100,"")))</f>
        <v/>
      </c>
      <c r="T66" s="68">
        <f>IF($C66="","",IF(PULL_FUND="N","",IFERROR(BDP($C66,PAYOUT_FIELD,YR_OVERRIDE,TEXT(YEAR_Y-4,"0"))/100,"")))</f>
        <v/>
      </c>
      <c r="U66" s="68">
        <f>IF($C66="","",IF(PULL_FUND="N","",IFERROR(BDP($C66,PAYOUT_FIELD,YR_OVERRIDE,TEXT(YEAR_Y-3,"0"))/100,"")))</f>
        <v/>
      </c>
      <c r="V66" s="68">
        <f>IF($C66="","",IF(PULL_FUND="N","",IFERROR(BDP($C66,PAYOUT_FIELD,YR_OVERRIDE,TEXT(YEAR_Y-2,"0"))/100,"")))</f>
        <v/>
      </c>
      <c r="W66" s="68">
        <f>IF($C66="","",IF(PULL_FUND="N","",IFERROR(BDP($C66,PAYOUT_FIELD,YR_OVERRIDE,TEXT(YEAR_Y-1,"0"))/100,"")))</f>
        <v/>
      </c>
      <c r="X66" s="69">
        <f>IF($C66="","",IFERROR(AVERAGE(S66:W66),""))</f>
        <v/>
      </c>
      <c r="Y66" s="66">
        <f>IF($C66="","",IF(PULL_FUND="N","",IFERROR(BDP($C66,BESTEPS_FIELD,FWD_OVERRIDE,TEXT(MOD(YEAR_Y,100),"00")&amp;"Y"),"")))</f>
        <v/>
      </c>
      <c r="Z66" s="70">
        <f>IF($C66="","",IF(PULL_FUND="N","",IFERROR(BDP($C66,BESTDPS_FIELD,FWD_OVERRIDE,TEXT(MOD(YEAR_Y,100),"00")&amp;"Y"),"")))</f>
        <v/>
      </c>
      <c r="AA66" s="71">
        <f>IF($C66="","",IF(ISNUMBER($Y66)*ISNUMBER($Z66)*($Y66&lt;&gt;0)=0,"",$Z66/$Y66))</f>
        <v/>
      </c>
      <c r="AB66" s="41">
        <f>IF($C66="","",HSI!$J$61+HSI!$L$61)</f>
        <v/>
      </c>
      <c r="AC66" s="72">
        <f>IF($C66="","",IF(PULL_FUND="N","",IF(COUNTIFS('Fund History'!$G$332:$G$336,"&gt;="&amp;DATE(YEAR_Y-4,1,1),'Fund History'!$G$332:$G$336,"&lt;="&amp;DATE(YEAR_Y-4,12,31))=0,"",SUMIFS('Fund History'!$H$332:$H$336,'Fund History'!$G$332:$G$336,"&gt;="&amp;DATE(YEAR_Y-4,1,1),'Fund History'!$G$332:$G$336,"&lt;="&amp;DATE(YEAR_Y-4,12,31))/100)))</f>
        <v/>
      </c>
      <c r="AD66" s="73">
        <f>IF($C66="","",IF(PULL_FUND="N","",IF(COUNTIFS('Fund History'!$G$332:$G$336,"&gt;="&amp;DATE(YEAR_Y-3,1,1),'Fund History'!$G$332:$G$336,"&lt;="&amp;DATE(YEAR_Y-3,12,31))=0,"",SUMIFS('Fund History'!$H$332:$H$336,'Fund History'!$G$332:$G$336,"&gt;="&amp;DATE(YEAR_Y-3,1,1),'Fund History'!$G$332:$G$336,"&lt;="&amp;DATE(YEAR_Y-3,12,31))/100)))</f>
        <v/>
      </c>
      <c r="AE66" s="73">
        <f>IF($C66="","",IF(PULL_FUND="N","",IF(COUNTIFS('Fund History'!$G$332:$G$336,"&gt;="&amp;DATE(YEAR_Y-2,1,1),'Fund History'!$G$332:$G$336,"&lt;="&amp;DATE(YEAR_Y-2,12,31))=0,"",SUMIFS('Fund History'!$H$332:$H$336,'Fund History'!$G$332:$G$336,"&gt;="&amp;DATE(YEAR_Y-2,1,1),'Fund History'!$G$332:$G$336,"&lt;="&amp;DATE(YEAR_Y-2,12,31))/100)))</f>
        <v/>
      </c>
      <c r="AF66" s="73">
        <f>IF($C66="","",IF(PULL_FUND="N","",IF(COUNTIFS('Fund History'!$G$332:$G$336,"&gt;="&amp;DATE(YEAR_Y-1,1,1),'Fund History'!$G$332:$G$336,"&lt;="&amp;DATE(YEAR_Y-1,12,31))=0,"",SUMIFS('Fund History'!$H$332:$H$336,'Fund History'!$G$332:$G$336,"&gt;="&amp;DATE(YEAR_Y-1,1,1),'Fund History'!$G$332:$G$336,"&lt;="&amp;DATE(YEAR_Y-1,12,31))/100)))</f>
        <v/>
      </c>
      <c r="AG66" s="74">
        <f>IF($C66="","",IF(N($AF66)+N(HSI!$I$61)=0,"",N($AF66)+N(HSI!$I$61)/100))</f>
        <v/>
      </c>
      <c r="AH66" s="66">
        <f>IF($C66="","",IF(PULL_FUND="N","",IF(COUNTIFS('Fund History'!$D$332:$D$336,"&gt;="&amp;DATE(YEAR_Y-2,1,1),'Fund History'!$D$332:$D$336,"&lt;="&amp;DATE(YEAR_Y-2,12,31))=0,"",SUMIFS('Fund History'!$E$332:$E$336,'Fund History'!$D$332:$D$336,"&gt;="&amp;DATE(YEAR_Y-2,1,1),'Fund History'!$D$332:$D$336,"&lt;="&amp;DATE(YEAR_Y-2,12,31)))))</f>
        <v/>
      </c>
      <c r="AI66" s="67">
        <f>IF($C66="","",IF(PULL_FUND="N","",IF(COUNTIFS('Fund History'!$D$332:$D$336,"&gt;="&amp;DATE(YEAR_Y-1,1,1),'Fund History'!$D$332:$D$336,"&lt;="&amp;DATE(YEAR_Y-1,12,31))=0,"",SUMIFS('Fund History'!$E$332:$E$336,'Fund History'!$D$332:$D$336,"&gt;="&amp;DATE(YEAR_Y-1,1,1),'Fund History'!$D$332:$D$336,"&lt;="&amp;DATE(YEAR_Y-1,12,31)))))</f>
        <v/>
      </c>
      <c r="AJ66" s="67">
        <f>IF($C66="","",IF(PULL_FUND="N","",IFERROR(BDP($C66,NDEBITDA_FIELD),"")))</f>
        <v/>
      </c>
      <c r="AK66" s="75">
        <f>IF($C66="","",IF(PULL_FUND="N","",IFERROR(BDP($C66,EBINT_FIELD),"")))</f>
        <v/>
      </c>
      <c r="AL66" s="73">
        <f>IF($C66="","",IF(PULL_FUND="N","",IFERROR(BDP($C66,FCF_FIELD)/100,"")))</f>
        <v/>
      </c>
      <c r="AM66" s="76">
        <f>IF($C66="","",IF(ISNUMBER(HSI!$I$61),HSI!$I$61/100,""))</f>
        <v/>
      </c>
      <c r="AN66" s="47">
        <f>IF($C66="","",IF(N($AM66)=0,"",IFERROR($AL66/$AM66,"")))</f>
        <v/>
      </c>
      <c r="AO66" s="33">
        <f>IF($C66="","",IF(ISNUMBER($S66)*ISNUMBER($W66)=0,"",IF($W66&gt;$S66+0.05,"rising",IF($W66&lt;$S66-0.05,"falling","stable"))))</f>
        <v/>
      </c>
      <c r="AP66" s="77">
        <f>IF($C66="","",TRIM(IF(ISNUMBER($X66)*(N($X66)&gt;$D$4)&gt;0,"payout high  ","")&amp;IF(ISNUMBER($AN66)*(N($AN66)&lt;$F$4)&gt;0,"FCF below dvd  ","")&amp;IF(ISNUMBER($AJ66)*(N($AJ66)&gt;$H$4)&gt;0,"leverage high","")))</f>
        <v/>
      </c>
      <c r="AQ66" s="78">
        <f>IF($C66="","",IF(HSI!$F$61="HKD","",HSI!$F$61))</f>
        <v/>
      </c>
    </row>
    <row r="67">
      <c r="B67" s="62" t="inlineStr">
        <is>
          <t>HSI</t>
        </is>
      </c>
      <c r="C67" s="6">
        <f>IF(HSI!$C$62="","",HSI!$C$62)</f>
        <v/>
      </c>
      <c r="D67" s="6">
        <f>IF($C67="","",HSI!$D$62)</f>
        <v/>
      </c>
      <c r="E67" s="6">
        <f>IF($C67="","",HSI!$E$62)</f>
        <v/>
      </c>
      <c r="F67" s="63">
        <f>IF($C67="","",SUMPRODUCT(('Dvd Calendar'!$E$616:$AR$616&gt;=DATE(YEAR_Y-5,1,1))*('Dvd Calendar'!$E$616:$AR$616&lt;=DATE(YEAR_Y-5,12,31))*'Dvd Calendar'!$E$619:$AR$619*(('Dvd Calendar'!$E$621:$AR$621=TYPE1)*(TYPE1&lt;&gt;"")+('Dvd Calendar'!$E$621:$AR$621=TYPE2)*(TYPE2&lt;&gt;"")+('Dvd Calendar'!$E$621:$AR$621=TYPE3)*(TYPE3&lt;&gt;"")+('Dvd Calendar'!$E$621:$AR$621=TYPE4)*(TYPE4&lt;&gt;"")+('Dvd Calendar'!$E$621:$AR$621=SPECIAL_LBL)*(INC_SPECIALS="Y"))))</f>
        <v/>
      </c>
      <c r="G67" s="64">
        <f>IF($C67="","",SUMPRODUCT(('Dvd Calendar'!$E$616:$AR$616&gt;=DATE(YEAR_Y-4,1,1))*('Dvd Calendar'!$E$616:$AR$616&lt;=DATE(YEAR_Y-4,12,31))*'Dvd Calendar'!$E$619:$AR$619*(('Dvd Calendar'!$E$621:$AR$621=TYPE1)*(TYPE1&lt;&gt;"")+('Dvd Calendar'!$E$621:$AR$621=TYPE2)*(TYPE2&lt;&gt;"")+('Dvd Calendar'!$E$621:$AR$621=TYPE3)*(TYPE3&lt;&gt;"")+('Dvd Calendar'!$E$621:$AR$621=TYPE4)*(TYPE4&lt;&gt;"")+('Dvd Calendar'!$E$621:$AR$621=SPECIAL_LBL)*(INC_SPECIALS="Y"))))</f>
        <v/>
      </c>
      <c r="H67" s="64">
        <f>IF($C67="","",SUMPRODUCT(('Dvd Calendar'!$E$616:$AR$616&gt;=DATE(YEAR_Y-3,1,1))*('Dvd Calendar'!$E$616:$AR$616&lt;=DATE(YEAR_Y-3,12,31))*'Dvd Calendar'!$E$619:$AR$619*(('Dvd Calendar'!$E$621:$AR$621=TYPE1)*(TYPE1&lt;&gt;"")+('Dvd Calendar'!$E$621:$AR$621=TYPE2)*(TYPE2&lt;&gt;"")+('Dvd Calendar'!$E$621:$AR$621=TYPE3)*(TYPE3&lt;&gt;"")+('Dvd Calendar'!$E$621:$AR$621=TYPE4)*(TYPE4&lt;&gt;"")+('Dvd Calendar'!$E$621:$AR$621=SPECIAL_LBL)*(INC_SPECIALS="Y"))))</f>
        <v/>
      </c>
      <c r="I67" s="64">
        <f>IF($C67="","",SUMPRODUCT(('Dvd Calendar'!$E$616:$AR$616&gt;=DATE(YEAR_Y-2,1,1))*('Dvd Calendar'!$E$616:$AR$616&lt;=DATE(YEAR_Y-2,12,31))*'Dvd Calendar'!$E$619:$AR$619*(('Dvd Calendar'!$E$621:$AR$621=TYPE1)*(TYPE1&lt;&gt;"")+('Dvd Calendar'!$E$621:$AR$621=TYPE2)*(TYPE2&lt;&gt;"")+('Dvd Calendar'!$E$621:$AR$621=TYPE3)*(TYPE3&lt;&gt;"")+('Dvd Calendar'!$E$621:$AR$621=TYPE4)*(TYPE4&lt;&gt;"")+('Dvd Calendar'!$E$621:$AR$621=SPECIAL_LBL)*(INC_SPECIALS="Y"))))</f>
        <v/>
      </c>
      <c r="J67" s="64">
        <f>IF($C67="","",SUMPRODUCT(('Dvd Calendar'!$E$616:$AR$616&gt;=DATE(YEAR_Y-1,1,1))*('Dvd Calendar'!$E$616:$AR$616&lt;=DATE(YEAR_Y-1,12,31))*'Dvd Calendar'!$E$619:$AR$619*(('Dvd Calendar'!$E$621:$AR$621=TYPE1)*(TYPE1&lt;&gt;"")+('Dvd Calendar'!$E$621:$AR$621=TYPE2)*(TYPE2&lt;&gt;"")+('Dvd Calendar'!$E$621:$AR$621=TYPE3)*(TYPE3&lt;&gt;"")+('Dvd Calendar'!$E$621:$AR$621=TYPE4)*(TYPE4&lt;&gt;"")+('Dvd Calendar'!$E$621:$AR$621=SPECIAL_LBL)*(INC_SPECIALS="Y"))))</f>
        <v/>
      </c>
      <c r="K67" s="65">
        <f>IF($C67="","",HSI!$J$62)</f>
        <v/>
      </c>
      <c r="L67" s="65">
        <f>IF($C67="","",HSI!$K$62)</f>
        <v/>
      </c>
      <c r="M67" s="41">
        <f>IF($C67="","",AVERAGE(F67:J67))</f>
        <v/>
      </c>
      <c r="N67" s="66">
        <f>IF($C67="","",IF(PULL_FUND="N","",IFERROR(BDP($C67,EPS_FIELD,YR_OVERRIDE,TEXT(YEAR_Y-5,"0")),"")))</f>
        <v/>
      </c>
      <c r="O67" s="67">
        <f>IF($C67="","",IF(PULL_FUND="N","",IFERROR(BDP($C67,EPS_FIELD,YR_OVERRIDE,TEXT(YEAR_Y-4,"0")),"")))</f>
        <v/>
      </c>
      <c r="P67" s="67">
        <f>IF($C67="","",IF(PULL_FUND="N","",IFERROR(BDP($C67,EPS_FIELD,YR_OVERRIDE,TEXT(YEAR_Y-3,"0")),"")))</f>
        <v/>
      </c>
      <c r="Q67" s="67">
        <f>IF($C67="","",IF(PULL_FUND="N","",IFERROR(BDP($C67,EPS_FIELD,YR_OVERRIDE,TEXT(YEAR_Y-2,"0")),"")))</f>
        <v/>
      </c>
      <c r="R67" s="67">
        <f>IF($C67="","",IF(PULL_FUND="N","",IFERROR(BDP($C67,EPS_FIELD,YR_OVERRIDE,TEXT(YEAR_Y-1,"0")),"")))</f>
        <v/>
      </c>
      <c r="S67" s="68">
        <f>IF($C67="","",IF(PULL_FUND="N","",IFERROR(BDP($C67,PAYOUT_FIELD,YR_OVERRIDE,TEXT(YEAR_Y-5,"0"))/100,"")))</f>
        <v/>
      </c>
      <c r="T67" s="68">
        <f>IF($C67="","",IF(PULL_FUND="N","",IFERROR(BDP($C67,PAYOUT_FIELD,YR_OVERRIDE,TEXT(YEAR_Y-4,"0"))/100,"")))</f>
        <v/>
      </c>
      <c r="U67" s="68">
        <f>IF($C67="","",IF(PULL_FUND="N","",IFERROR(BDP($C67,PAYOUT_FIELD,YR_OVERRIDE,TEXT(YEAR_Y-3,"0"))/100,"")))</f>
        <v/>
      </c>
      <c r="V67" s="68">
        <f>IF($C67="","",IF(PULL_FUND="N","",IFERROR(BDP($C67,PAYOUT_FIELD,YR_OVERRIDE,TEXT(YEAR_Y-2,"0"))/100,"")))</f>
        <v/>
      </c>
      <c r="W67" s="68">
        <f>IF($C67="","",IF(PULL_FUND="N","",IFERROR(BDP($C67,PAYOUT_FIELD,YR_OVERRIDE,TEXT(YEAR_Y-1,"0"))/100,"")))</f>
        <v/>
      </c>
      <c r="X67" s="69">
        <f>IF($C67="","",IFERROR(AVERAGE(S67:W67),""))</f>
        <v/>
      </c>
      <c r="Y67" s="66">
        <f>IF($C67="","",IF(PULL_FUND="N","",IFERROR(BDP($C67,BESTEPS_FIELD,FWD_OVERRIDE,TEXT(MOD(YEAR_Y,100),"00")&amp;"Y"),"")))</f>
        <v/>
      </c>
      <c r="Z67" s="70">
        <f>IF($C67="","",IF(PULL_FUND="N","",IFERROR(BDP($C67,BESTDPS_FIELD,FWD_OVERRIDE,TEXT(MOD(YEAR_Y,100),"00")&amp;"Y"),"")))</f>
        <v/>
      </c>
      <c r="AA67" s="71">
        <f>IF($C67="","",IF(ISNUMBER($Y67)*ISNUMBER($Z67)*($Y67&lt;&gt;0)=0,"",$Z67/$Y67))</f>
        <v/>
      </c>
      <c r="AB67" s="41">
        <f>IF($C67="","",HSI!$J$62+HSI!$L$62)</f>
        <v/>
      </c>
      <c r="AC67" s="72">
        <f>IF($C67="","",IF(PULL_FUND="N","",IF(COUNTIFS('Fund History'!$G$338:$G$342,"&gt;="&amp;DATE(YEAR_Y-4,1,1),'Fund History'!$G$338:$G$342,"&lt;="&amp;DATE(YEAR_Y-4,12,31))=0,"",SUMIFS('Fund History'!$H$338:$H$342,'Fund History'!$G$338:$G$342,"&gt;="&amp;DATE(YEAR_Y-4,1,1),'Fund History'!$G$338:$G$342,"&lt;="&amp;DATE(YEAR_Y-4,12,31))/100)))</f>
        <v/>
      </c>
      <c r="AD67" s="73">
        <f>IF($C67="","",IF(PULL_FUND="N","",IF(COUNTIFS('Fund History'!$G$338:$G$342,"&gt;="&amp;DATE(YEAR_Y-3,1,1),'Fund History'!$G$338:$G$342,"&lt;="&amp;DATE(YEAR_Y-3,12,31))=0,"",SUMIFS('Fund History'!$H$338:$H$342,'Fund History'!$G$338:$G$342,"&gt;="&amp;DATE(YEAR_Y-3,1,1),'Fund History'!$G$338:$G$342,"&lt;="&amp;DATE(YEAR_Y-3,12,31))/100)))</f>
        <v/>
      </c>
      <c r="AE67" s="73">
        <f>IF($C67="","",IF(PULL_FUND="N","",IF(COUNTIFS('Fund History'!$G$338:$G$342,"&gt;="&amp;DATE(YEAR_Y-2,1,1),'Fund History'!$G$338:$G$342,"&lt;="&amp;DATE(YEAR_Y-2,12,31))=0,"",SUMIFS('Fund History'!$H$338:$H$342,'Fund History'!$G$338:$G$342,"&gt;="&amp;DATE(YEAR_Y-2,1,1),'Fund History'!$G$338:$G$342,"&lt;="&amp;DATE(YEAR_Y-2,12,31))/100)))</f>
        <v/>
      </c>
      <c r="AF67" s="73">
        <f>IF($C67="","",IF(PULL_FUND="N","",IF(COUNTIFS('Fund History'!$G$338:$G$342,"&gt;="&amp;DATE(YEAR_Y-1,1,1),'Fund History'!$G$338:$G$342,"&lt;="&amp;DATE(YEAR_Y-1,12,31))=0,"",SUMIFS('Fund History'!$H$338:$H$342,'Fund History'!$G$338:$G$342,"&gt;="&amp;DATE(YEAR_Y-1,1,1),'Fund History'!$G$338:$G$342,"&lt;="&amp;DATE(YEAR_Y-1,12,31))/100)))</f>
        <v/>
      </c>
      <c r="AG67" s="74">
        <f>IF($C67="","",IF(N($AF67)+N(HSI!$I$62)=0,"",N($AF67)+N(HSI!$I$62)/100))</f>
        <v/>
      </c>
      <c r="AH67" s="66">
        <f>IF($C67="","",IF(PULL_FUND="N","",IF(COUNTIFS('Fund History'!$D$338:$D$342,"&gt;="&amp;DATE(YEAR_Y-2,1,1),'Fund History'!$D$338:$D$342,"&lt;="&amp;DATE(YEAR_Y-2,12,31))=0,"",SUMIFS('Fund History'!$E$338:$E$342,'Fund History'!$D$338:$D$342,"&gt;="&amp;DATE(YEAR_Y-2,1,1),'Fund History'!$D$338:$D$342,"&lt;="&amp;DATE(YEAR_Y-2,12,31)))))</f>
        <v/>
      </c>
      <c r="AI67" s="67">
        <f>IF($C67="","",IF(PULL_FUND="N","",IF(COUNTIFS('Fund History'!$D$338:$D$342,"&gt;="&amp;DATE(YEAR_Y-1,1,1),'Fund History'!$D$338:$D$342,"&lt;="&amp;DATE(YEAR_Y-1,12,31))=0,"",SUMIFS('Fund History'!$E$338:$E$342,'Fund History'!$D$338:$D$342,"&gt;="&amp;DATE(YEAR_Y-1,1,1),'Fund History'!$D$338:$D$342,"&lt;="&amp;DATE(YEAR_Y-1,12,31)))))</f>
        <v/>
      </c>
      <c r="AJ67" s="67">
        <f>IF($C67="","",IF(PULL_FUND="N","",IFERROR(BDP($C67,NDEBITDA_FIELD),"")))</f>
        <v/>
      </c>
      <c r="AK67" s="75">
        <f>IF($C67="","",IF(PULL_FUND="N","",IFERROR(BDP($C67,EBINT_FIELD),"")))</f>
        <v/>
      </c>
      <c r="AL67" s="73">
        <f>IF($C67="","",IF(PULL_FUND="N","",IFERROR(BDP($C67,FCF_FIELD)/100,"")))</f>
        <v/>
      </c>
      <c r="AM67" s="76">
        <f>IF($C67="","",IF(ISNUMBER(HSI!$I$62),HSI!$I$62/100,""))</f>
        <v/>
      </c>
      <c r="AN67" s="47">
        <f>IF($C67="","",IF(N($AM67)=0,"",IFERROR($AL67/$AM67,"")))</f>
        <v/>
      </c>
      <c r="AO67" s="33">
        <f>IF($C67="","",IF(ISNUMBER($S67)*ISNUMBER($W67)=0,"",IF($W67&gt;$S67+0.05,"rising",IF($W67&lt;$S67-0.05,"falling","stable"))))</f>
        <v/>
      </c>
      <c r="AP67" s="77">
        <f>IF($C67="","",TRIM(IF(ISNUMBER($X67)*(N($X67)&gt;$D$4)&gt;0,"payout high  ","")&amp;IF(ISNUMBER($AN67)*(N($AN67)&lt;$F$4)&gt;0,"FCF below dvd  ","")&amp;IF(ISNUMBER($AJ67)*(N($AJ67)&gt;$H$4)&gt;0,"leverage high","")))</f>
        <v/>
      </c>
      <c r="AQ67" s="78">
        <f>IF($C67="","",IF(HSI!$F$62="HKD","",HSI!$F$62))</f>
        <v/>
      </c>
    </row>
    <row r="68">
      <c r="B68" s="62" t="inlineStr">
        <is>
          <t>HSI</t>
        </is>
      </c>
      <c r="C68" s="6">
        <f>IF(HSI!$C$63="","",HSI!$C$63)</f>
        <v/>
      </c>
      <c r="D68" s="6">
        <f>IF($C68="","",HSI!$D$63)</f>
        <v/>
      </c>
      <c r="E68" s="6">
        <f>IF($C68="","",HSI!$E$63)</f>
        <v/>
      </c>
      <c r="F68" s="63">
        <f>IF($C68="","",SUMPRODUCT(('Dvd Calendar'!$E$627:$AR$627&gt;=DATE(YEAR_Y-5,1,1))*('Dvd Calendar'!$E$627:$AR$627&lt;=DATE(YEAR_Y-5,12,31))*'Dvd Calendar'!$E$630:$AR$630*(('Dvd Calendar'!$E$632:$AR$632=TYPE1)*(TYPE1&lt;&gt;"")+('Dvd Calendar'!$E$632:$AR$632=TYPE2)*(TYPE2&lt;&gt;"")+('Dvd Calendar'!$E$632:$AR$632=TYPE3)*(TYPE3&lt;&gt;"")+('Dvd Calendar'!$E$632:$AR$632=TYPE4)*(TYPE4&lt;&gt;"")+('Dvd Calendar'!$E$632:$AR$632=SPECIAL_LBL)*(INC_SPECIALS="Y"))))</f>
        <v/>
      </c>
      <c r="G68" s="64">
        <f>IF($C68="","",SUMPRODUCT(('Dvd Calendar'!$E$627:$AR$627&gt;=DATE(YEAR_Y-4,1,1))*('Dvd Calendar'!$E$627:$AR$627&lt;=DATE(YEAR_Y-4,12,31))*'Dvd Calendar'!$E$630:$AR$630*(('Dvd Calendar'!$E$632:$AR$632=TYPE1)*(TYPE1&lt;&gt;"")+('Dvd Calendar'!$E$632:$AR$632=TYPE2)*(TYPE2&lt;&gt;"")+('Dvd Calendar'!$E$632:$AR$632=TYPE3)*(TYPE3&lt;&gt;"")+('Dvd Calendar'!$E$632:$AR$632=TYPE4)*(TYPE4&lt;&gt;"")+('Dvd Calendar'!$E$632:$AR$632=SPECIAL_LBL)*(INC_SPECIALS="Y"))))</f>
        <v/>
      </c>
      <c r="H68" s="64">
        <f>IF($C68="","",SUMPRODUCT(('Dvd Calendar'!$E$627:$AR$627&gt;=DATE(YEAR_Y-3,1,1))*('Dvd Calendar'!$E$627:$AR$627&lt;=DATE(YEAR_Y-3,12,31))*'Dvd Calendar'!$E$630:$AR$630*(('Dvd Calendar'!$E$632:$AR$632=TYPE1)*(TYPE1&lt;&gt;"")+('Dvd Calendar'!$E$632:$AR$632=TYPE2)*(TYPE2&lt;&gt;"")+('Dvd Calendar'!$E$632:$AR$632=TYPE3)*(TYPE3&lt;&gt;"")+('Dvd Calendar'!$E$632:$AR$632=TYPE4)*(TYPE4&lt;&gt;"")+('Dvd Calendar'!$E$632:$AR$632=SPECIAL_LBL)*(INC_SPECIALS="Y"))))</f>
        <v/>
      </c>
      <c r="I68" s="64">
        <f>IF($C68="","",SUMPRODUCT(('Dvd Calendar'!$E$627:$AR$627&gt;=DATE(YEAR_Y-2,1,1))*('Dvd Calendar'!$E$627:$AR$627&lt;=DATE(YEAR_Y-2,12,31))*'Dvd Calendar'!$E$630:$AR$630*(('Dvd Calendar'!$E$632:$AR$632=TYPE1)*(TYPE1&lt;&gt;"")+('Dvd Calendar'!$E$632:$AR$632=TYPE2)*(TYPE2&lt;&gt;"")+('Dvd Calendar'!$E$632:$AR$632=TYPE3)*(TYPE3&lt;&gt;"")+('Dvd Calendar'!$E$632:$AR$632=TYPE4)*(TYPE4&lt;&gt;"")+('Dvd Calendar'!$E$632:$AR$632=SPECIAL_LBL)*(INC_SPECIALS="Y"))))</f>
        <v/>
      </c>
      <c r="J68" s="64">
        <f>IF($C68="","",SUMPRODUCT(('Dvd Calendar'!$E$627:$AR$627&gt;=DATE(YEAR_Y-1,1,1))*('Dvd Calendar'!$E$627:$AR$627&lt;=DATE(YEAR_Y-1,12,31))*'Dvd Calendar'!$E$630:$AR$630*(('Dvd Calendar'!$E$632:$AR$632=TYPE1)*(TYPE1&lt;&gt;"")+('Dvd Calendar'!$E$632:$AR$632=TYPE2)*(TYPE2&lt;&gt;"")+('Dvd Calendar'!$E$632:$AR$632=TYPE3)*(TYPE3&lt;&gt;"")+('Dvd Calendar'!$E$632:$AR$632=TYPE4)*(TYPE4&lt;&gt;"")+('Dvd Calendar'!$E$632:$AR$632=SPECIAL_LBL)*(INC_SPECIALS="Y"))))</f>
        <v/>
      </c>
      <c r="K68" s="65">
        <f>IF($C68="","",HSI!$J$63)</f>
        <v/>
      </c>
      <c r="L68" s="65">
        <f>IF($C68="","",HSI!$K$63)</f>
        <v/>
      </c>
      <c r="M68" s="41">
        <f>IF($C68="","",AVERAGE(F68:J68))</f>
        <v/>
      </c>
      <c r="N68" s="66">
        <f>IF($C68="","",IF(PULL_FUND="N","",IFERROR(BDP($C68,EPS_FIELD,YR_OVERRIDE,TEXT(YEAR_Y-5,"0")),"")))</f>
        <v/>
      </c>
      <c r="O68" s="67">
        <f>IF($C68="","",IF(PULL_FUND="N","",IFERROR(BDP($C68,EPS_FIELD,YR_OVERRIDE,TEXT(YEAR_Y-4,"0")),"")))</f>
        <v/>
      </c>
      <c r="P68" s="67">
        <f>IF($C68="","",IF(PULL_FUND="N","",IFERROR(BDP($C68,EPS_FIELD,YR_OVERRIDE,TEXT(YEAR_Y-3,"0")),"")))</f>
        <v/>
      </c>
      <c r="Q68" s="67">
        <f>IF($C68="","",IF(PULL_FUND="N","",IFERROR(BDP($C68,EPS_FIELD,YR_OVERRIDE,TEXT(YEAR_Y-2,"0")),"")))</f>
        <v/>
      </c>
      <c r="R68" s="67">
        <f>IF($C68="","",IF(PULL_FUND="N","",IFERROR(BDP($C68,EPS_FIELD,YR_OVERRIDE,TEXT(YEAR_Y-1,"0")),"")))</f>
        <v/>
      </c>
      <c r="S68" s="68">
        <f>IF($C68="","",IF(PULL_FUND="N","",IFERROR(BDP($C68,PAYOUT_FIELD,YR_OVERRIDE,TEXT(YEAR_Y-5,"0"))/100,"")))</f>
        <v/>
      </c>
      <c r="T68" s="68">
        <f>IF($C68="","",IF(PULL_FUND="N","",IFERROR(BDP($C68,PAYOUT_FIELD,YR_OVERRIDE,TEXT(YEAR_Y-4,"0"))/100,"")))</f>
        <v/>
      </c>
      <c r="U68" s="68">
        <f>IF($C68="","",IF(PULL_FUND="N","",IFERROR(BDP($C68,PAYOUT_FIELD,YR_OVERRIDE,TEXT(YEAR_Y-3,"0"))/100,"")))</f>
        <v/>
      </c>
      <c r="V68" s="68">
        <f>IF($C68="","",IF(PULL_FUND="N","",IFERROR(BDP($C68,PAYOUT_FIELD,YR_OVERRIDE,TEXT(YEAR_Y-2,"0"))/100,"")))</f>
        <v/>
      </c>
      <c r="W68" s="68">
        <f>IF($C68="","",IF(PULL_FUND="N","",IFERROR(BDP($C68,PAYOUT_FIELD,YR_OVERRIDE,TEXT(YEAR_Y-1,"0"))/100,"")))</f>
        <v/>
      </c>
      <c r="X68" s="69">
        <f>IF($C68="","",IFERROR(AVERAGE(S68:W68),""))</f>
        <v/>
      </c>
      <c r="Y68" s="66">
        <f>IF($C68="","",IF(PULL_FUND="N","",IFERROR(BDP($C68,BESTEPS_FIELD,FWD_OVERRIDE,TEXT(MOD(YEAR_Y,100),"00")&amp;"Y"),"")))</f>
        <v/>
      </c>
      <c r="Z68" s="70">
        <f>IF($C68="","",IF(PULL_FUND="N","",IFERROR(BDP($C68,BESTDPS_FIELD,FWD_OVERRIDE,TEXT(MOD(YEAR_Y,100),"00")&amp;"Y"),"")))</f>
        <v/>
      </c>
      <c r="AA68" s="71">
        <f>IF($C68="","",IF(ISNUMBER($Y68)*ISNUMBER($Z68)*($Y68&lt;&gt;0)=0,"",$Z68/$Y68))</f>
        <v/>
      </c>
      <c r="AB68" s="41">
        <f>IF($C68="","",HSI!$J$63+HSI!$L$63)</f>
        <v/>
      </c>
      <c r="AC68" s="72">
        <f>IF($C68="","",IF(PULL_FUND="N","",IF(COUNTIFS('Fund History'!$G$344:$G$348,"&gt;="&amp;DATE(YEAR_Y-4,1,1),'Fund History'!$G$344:$G$348,"&lt;="&amp;DATE(YEAR_Y-4,12,31))=0,"",SUMIFS('Fund History'!$H$344:$H$348,'Fund History'!$G$344:$G$348,"&gt;="&amp;DATE(YEAR_Y-4,1,1),'Fund History'!$G$344:$G$348,"&lt;="&amp;DATE(YEAR_Y-4,12,31))/100)))</f>
        <v/>
      </c>
      <c r="AD68" s="73">
        <f>IF($C68="","",IF(PULL_FUND="N","",IF(COUNTIFS('Fund History'!$G$344:$G$348,"&gt;="&amp;DATE(YEAR_Y-3,1,1),'Fund History'!$G$344:$G$348,"&lt;="&amp;DATE(YEAR_Y-3,12,31))=0,"",SUMIFS('Fund History'!$H$344:$H$348,'Fund History'!$G$344:$G$348,"&gt;="&amp;DATE(YEAR_Y-3,1,1),'Fund History'!$G$344:$G$348,"&lt;="&amp;DATE(YEAR_Y-3,12,31))/100)))</f>
        <v/>
      </c>
      <c r="AE68" s="73">
        <f>IF($C68="","",IF(PULL_FUND="N","",IF(COUNTIFS('Fund History'!$G$344:$G$348,"&gt;="&amp;DATE(YEAR_Y-2,1,1),'Fund History'!$G$344:$G$348,"&lt;="&amp;DATE(YEAR_Y-2,12,31))=0,"",SUMIFS('Fund History'!$H$344:$H$348,'Fund History'!$G$344:$G$348,"&gt;="&amp;DATE(YEAR_Y-2,1,1),'Fund History'!$G$344:$G$348,"&lt;="&amp;DATE(YEAR_Y-2,12,31))/100)))</f>
        <v/>
      </c>
      <c r="AF68" s="73">
        <f>IF($C68="","",IF(PULL_FUND="N","",IF(COUNTIFS('Fund History'!$G$344:$G$348,"&gt;="&amp;DATE(YEAR_Y-1,1,1),'Fund History'!$G$344:$G$348,"&lt;="&amp;DATE(YEAR_Y-1,12,31))=0,"",SUMIFS('Fund History'!$H$344:$H$348,'Fund History'!$G$344:$G$348,"&gt;="&amp;DATE(YEAR_Y-1,1,1),'Fund History'!$G$344:$G$348,"&lt;="&amp;DATE(YEAR_Y-1,12,31))/100)))</f>
        <v/>
      </c>
      <c r="AG68" s="74">
        <f>IF($C68="","",IF(N($AF68)+N(HSI!$I$63)=0,"",N($AF68)+N(HSI!$I$63)/100))</f>
        <v/>
      </c>
      <c r="AH68" s="66">
        <f>IF($C68="","",IF(PULL_FUND="N","",IF(COUNTIFS('Fund History'!$D$344:$D$348,"&gt;="&amp;DATE(YEAR_Y-2,1,1),'Fund History'!$D$344:$D$348,"&lt;="&amp;DATE(YEAR_Y-2,12,31))=0,"",SUMIFS('Fund History'!$E$344:$E$348,'Fund History'!$D$344:$D$348,"&gt;="&amp;DATE(YEAR_Y-2,1,1),'Fund History'!$D$344:$D$348,"&lt;="&amp;DATE(YEAR_Y-2,12,31)))))</f>
        <v/>
      </c>
      <c r="AI68" s="67">
        <f>IF($C68="","",IF(PULL_FUND="N","",IF(COUNTIFS('Fund History'!$D$344:$D$348,"&gt;="&amp;DATE(YEAR_Y-1,1,1),'Fund History'!$D$344:$D$348,"&lt;="&amp;DATE(YEAR_Y-1,12,31))=0,"",SUMIFS('Fund History'!$E$344:$E$348,'Fund History'!$D$344:$D$348,"&gt;="&amp;DATE(YEAR_Y-1,1,1),'Fund History'!$D$344:$D$348,"&lt;="&amp;DATE(YEAR_Y-1,12,31)))))</f>
        <v/>
      </c>
      <c r="AJ68" s="67">
        <f>IF($C68="","",IF(PULL_FUND="N","",IFERROR(BDP($C68,NDEBITDA_FIELD),"")))</f>
        <v/>
      </c>
      <c r="AK68" s="75">
        <f>IF($C68="","",IF(PULL_FUND="N","",IFERROR(BDP($C68,EBINT_FIELD),"")))</f>
        <v/>
      </c>
      <c r="AL68" s="73">
        <f>IF($C68="","",IF(PULL_FUND="N","",IFERROR(BDP($C68,FCF_FIELD)/100,"")))</f>
        <v/>
      </c>
      <c r="AM68" s="76">
        <f>IF($C68="","",IF(ISNUMBER(HSI!$I$63),HSI!$I$63/100,""))</f>
        <v/>
      </c>
      <c r="AN68" s="47">
        <f>IF($C68="","",IF(N($AM68)=0,"",IFERROR($AL68/$AM68,"")))</f>
        <v/>
      </c>
      <c r="AO68" s="33">
        <f>IF($C68="","",IF(ISNUMBER($S68)*ISNUMBER($W68)=0,"",IF($W68&gt;$S68+0.05,"rising",IF($W68&lt;$S68-0.05,"falling","stable"))))</f>
        <v/>
      </c>
      <c r="AP68" s="77">
        <f>IF($C68="","",TRIM(IF(ISNUMBER($X68)*(N($X68)&gt;$D$4)&gt;0,"payout high  ","")&amp;IF(ISNUMBER($AN68)*(N($AN68)&lt;$F$4)&gt;0,"FCF below dvd  ","")&amp;IF(ISNUMBER($AJ68)*(N($AJ68)&gt;$H$4)&gt;0,"leverage high","")))</f>
        <v/>
      </c>
      <c r="AQ68" s="78">
        <f>IF($C68="","",IF(HSI!$F$63="HKD","",HSI!$F$63))</f>
        <v/>
      </c>
    </row>
    <row r="69">
      <c r="B69" s="62" t="inlineStr">
        <is>
          <t>HSI</t>
        </is>
      </c>
      <c r="C69" s="6">
        <f>IF(HSI!$C$64="","",HSI!$C$64)</f>
        <v/>
      </c>
      <c r="D69" s="6">
        <f>IF($C69="","",HSI!$D$64)</f>
        <v/>
      </c>
      <c r="E69" s="6">
        <f>IF($C69="","",HSI!$E$64)</f>
        <v/>
      </c>
      <c r="F69" s="63">
        <f>IF($C69="","",SUMPRODUCT(('Dvd Calendar'!$E$638:$AR$638&gt;=DATE(YEAR_Y-5,1,1))*('Dvd Calendar'!$E$638:$AR$638&lt;=DATE(YEAR_Y-5,12,31))*'Dvd Calendar'!$E$641:$AR$641*(('Dvd Calendar'!$E$643:$AR$643=TYPE1)*(TYPE1&lt;&gt;"")+('Dvd Calendar'!$E$643:$AR$643=TYPE2)*(TYPE2&lt;&gt;"")+('Dvd Calendar'!$E$643:$AR$643=TYPE3)*(TYPE3&lt;&gt;"")+('Dvd Calendar'!$E$643:$AR$643=TYPE4)*(TYPE4&lt;&gt;"")+('Dvd Calendar'!$E$643:$AR$643=SPECIAL_LBL)*(INC_SPECIALS="Y"))))</f>
        <v/>
      </c>
      <c r="G69" s="64">
        <f>IF($C69="","",SUMPRODUCT(('Dvd Calendar'!$E$638:$AR$638&gt;=DATE(YEAR_Y-4,1,1))*('Dvd Calendar'!$E$638:$AR$638&lt;=DATE(YEAR_Y-4,12,31))*'Dvd Calendar'!$E$641:$AR$641*(('Dvd Calendar'!$E$643:$AR$643=TYPE1)*(TYPE1&lt;&gt;"")+('Dvd Calendar'!$E$643:$AR$643=TYPE2)*(TYPE2&lt;&gt;"")+('Dvd Calendar'!$E$643:$AR$643=TYPE3)*(TYPE3&lt;&gt;"")+('Dvd Calendar'!$E$643:$AR$643=TYPE4)*(TYPE4&lt;&gt;"")+('Dvd Calendar'!$E$643:$AR$643=SPECIAL_LBL)*(INC_SPECIALS="Y"))))</f>
        <v/>
      </c>
      <c r="H69" s="64">
        <f>IF($C69="","",SUMPRODUCT(('Dvd Calendar'!$E$638:$AR$638&gt;=DATE(YEAR_Y-3,1,1))*('Dvd Calendar'!$E$638:$AR$638&lt;=DATE(YEAR_Y-3,12,31))*'Dvd Calendar'!$E$641:$AR$641*(('Dvd Calendar'!$E$643:$AR$643=TYPE1)*(TYPE1&lt;&gt;"")+('Dvd Calendar'!$E$643:$AR$643=TYPE2)*(TYPE2&lt;&gt;"")+('Dvd Calendar'!$E$643:$AR$643=TYPE3)*(TYPE3&lt;&gt;"")+('Dvd Calendar'!$E$643:$AR$643=TYPE4)*(TYPE4&lt;&gt;"")+('Dvd Calendar'!$E$643:$AR$643=SPECIAL_LBL)*(INC_SPECIALS="Y"))))</f>
        <v/>
      </c>
      <c r="I69" s="64">
        <f>IF($C69="","",SUMPRODUCT(('Dvd Calendar'!$E$638:$AR$638&gt;=DATE(YEAR_Y-2,1,1))*('Dvd Calendar'!$E$638:$AR$638&lt;=DATE(YEAR_Y-2,12,31))*'Dvd Calendar'!$E$641:$AR$641*(('Dvd Calendar'!$E$643:$AR$643=TYPE1)*(TYPE1&lt;&gt;"")+('Dvd Calendar'!$E$643:$AR$643=TYPE2)*(TYPE2&lt;&gt;"")+('Dvd Calendar'!$E$643:$AR$643=TYPE3)*(TYPE3&lt;&gt;"")+('Dvd Calendar'!$E$643:$AR$643=TYPE4)*(TYPE4&lt;&gt;"")+('Dvd Calendar'!$E$643:$AR$643=SPECIAL_LBL)*(INC_SPECIALS="Y"))))</f>
        <v/>
      </c>
      <c r="J69" s="64">
        <f>IF($C69="","",SUMPRODUCT(('Dvd Calendar'!$E$638:$AR$638&gt;=DATE(YEAR_Y-1,1,1))*('Dvd Calendar'!$E$638:$AR$638&lt;=DATE(YEAR_Y-1,12,31))*'Dvd Calendar'!$E$641:$AR$641*(('Dvd Calendar'!$E$643:$AR$643=TYPE1)*(TYPE1&lt;&gt;"")+('Dvd Calendar'!$E$643:$AR$643=TYPE2)*(TYPE2&lt;&gt;"")+('Dvd Calendar'!$E$643:$AR$643=TYPE3)*(TYPE3&lt;&gt;"")+('Dvd Calendar'!$E$643:$AR$643=TYPE4)*(TYPE4&lt;&gt;"")+('Dvd Calendar'!$E$643:$AR$643=SPECIAL_LBL)*(INC_SPECIALS="Y"))))</f>
        <v/>
      </c>
      <c r="K69" s="65">
        <f>IF($C69="","",HSI!$J$64)</f>
        <v/>
      </c>
      <c r="L69" s="65">
        <f>IF($C69="","",HSI!$K$64)</f>
        <v/>
      </c>
      <c r="M69" s="41">
        <f>IF($C69="","",AVERAGE(F69:J69))</f>
        <v/>
      </c>
      <c r="N69" s="66">
        <f>IF($C69="","",IF(PULL_FUND="N","",IFERROR(BDP($C69,EPS_FIELD,YR_OVERRIDE,TEXT(YEAR_Y-5,"0")),"")))</f>
        <v/>
      </c>
      <c r="O69" s="67">
        <f>IF($C69="","",IF(PULL_FUND="N","",IFERROR(BDP($C69,EPS_FIELD,YR_OVERRIDE,TEXT(YEAR_Y-4,"0")),"")))</f>
        <v/>
      </c>
      <c r="P69" s="67">
        <f>IF($C69="","",IF(PULL_FUND="N","",IFERROR(BDP($C69,EPS_FIELD,YR_OVERRIDE,TEXT(YEAR_Y-3,"0")),"")))</f>
        <v/>
      </c>
      <c r="Q69" s="67">
        <f>IF($C69="","",IF(PULL_FUND="N","",IFERROR(BDP($C69,EPS_FIELD,YR_OVERRIDE,TEXT(YEAR_Y-2,"0")),"")))</f>
        <v/>
      </c>
      <c r="R69" s="67">
        <f>IF($C69="","",IF(PULL_FUND="N","",IFERROR(BDP($C69,EPS_FIELD,YR_OVERRIDE,TEXT(YEAR_Y-1,"0")),"")))</f>
        <v/>
      </c>
      <c r="S69" s="68">
        <f>IF($C69="","",IF(PULL_FUND="N","",IFERROR(BDP($C69,PAYOUT_FIELD,YR_OVERRIDE,TEXT(YEAR_Y-5,"0"))/100,"")))</f>
        <v/>
      </c>
      <c r="T69" s="68">
        <f>IF($C69="","",IF(PULL_FUND="N","",IFERROR(BDP($C69,PAYOUT_FIELD,YR_OVERRIDE,TEXT(YEAR_Y-4,"0"))/100,"")))</f>
        <v/>
      </c>
      <c r="U69" s="68">
        <f>IF($C69="","",IF(PULL_FUND="N","",IFERROR(BDP($C69,PAYOUT_FIELD,YR_OVERRIDE,TEXT(YEAR_Y-3,"0"))/100,"")))</f>
        <v/>
      </c>
      <c r="V69" s="68">
        <f>IF($C69="","",IF(PULL_FUND="N","",IFERROR(BDP($C69,PAYOUT_FIELD,YR_OVERRIDE,TEXT(YEAR_Y-2,"0"))/100,"")))</f>
        <v/>
      </c>
      <c r="W69" s="68">
        <f>IF($C69="","",IF(PULL_FUND="N","",IFERROR(BDP($C69,PAYOUT_FIELD,YR_OVERRIDE,TEXT(YEAR_Y-1,"0"))/100,"")))</f>
        <v/>
      </c>
      <c r="X69" s="69">
        <f>IF($C69="","",IFERROR(AVERAGE(S69:W69),""))</f>
        <v/>
      </c>
      <c r="Y69" s="66">
        <f>IF($C69="","",IF(PULL_FUND="N","",IFERROR(BDP($C69,BESTEPS_FIELD,FWD_OVERRIDE,TEXT(MOD(YEAR_Y,100),"00")&amp;"Y"),"")))</f>
        <v/>
      </c>
      <c r="Z69" s="70">
        <f>IF($C69="","",IF(PULL_FUND="N","",IFERROR(BDP($C69,BESTDPS_FIELD,FWD_OVERRIDE,TEXT(MOD(YEAR_Y,100),"00")&amp;"Y"),"")))</f>
        <v/>
      </c>
      <c r="AA69" s="71">
        <f>IF($C69="","",IF(ISNUMBER($Y69)*ISNUMBER($Z69)*($Y69&lt;&gt;0)=0,"",$Z69/$Y69))</f>
        <v/>
      </c>
      <c r="AB69" s="41">
        <f>IF($C69="","",HSI!$J$64+HSI!$L$64)</f>
        <v/>
      </c>
      <c r="AC69" s="72">
        <f>IF($C69="","",IF(PULL_FUND="N","",IF(COUNTIFS('Fund History'!$G$350:$G$354,"&gt;="&amp;DATE(YEAR_Y-4,1,1),'Fund History'!$G$350:$G$354,"&lt;="&amp;DATE(YEAR_Y-4,12,31))=0,"",SUMIFS('Fund History'!$H$350:$H$354,'Fund History'!$G$350:$G$354,"&gt;="&amp;DATE(YEAR_Y-4,1,1),'Fund History'!$G$350:$G$354,"&lt;="&amp;DATE(YEAR_Y-4,12,31))/100)))</f>
        <v/>
      </c>
      <c r="AD69" s="73">
        <f>IF($C69="","",IF(PULL_FUND="N","",IF(COUNTIFS('Fund History'!$G$350:$G$354,"&gt;="&amp;DATE(YEAR_Y-3,1,1),'Fund History'!$G$350:$G$354,"&lt;="&amp;DATE(YEAR_Y-3,12,31))=0,"",SUMIFS('Fund History'!$H$350:$H$354,'Fund History'!$G$350:$G$354,"&gt;="&amp;DATE(YEAR_Y-3,1,1),'Fund History'!$G$350:$G$354,"&lt;="&amp;DATE(YEAR_Y-3,12,31))/100)))</f>
        <v/>
      </c>
      <c r="AE69" s="73">
        <f>IF($C69="","",IF(PULL_FUND="N","",IF(COUNTIFS('Fund History'!$G$350:$G$354,"&gt;="&amp;DATE(YEAR_Y-2,1,1),'Fund History'!$G$350:$G$354,"&lt;="&amp;DATE(YEAR_Y-2,12,31))=0,"",SUMIFS('Fund History'!$H$350:$H$354,'Fund History'!$G$350:$G$354,"&gt;="&amp;DATE(YEAR_Y-2,1,1),'Fund History'!$G$350:$G$354,"&lt;="&amp;DATE(YEAR_Y-2,12,31))/100)))</f>
        <v/>
      </c>
      <c r="AF69" s="73">
        <f>IF($C69="","",IF(PULL_FUND="N","",IF(COUNTIFS('Fund History'!$G$350:$G$354,"&gt;="&amp;DATE(YEAR_Y-1,1,1),'Fund History'!$G$350:$G$354,"&lt;="&amp;DATE(YEAR_Y-1,12,31))=0,"",SUMIFS('Fund History'!$H$350:$H$354,'Fund History'!$G$350:$G$354,"&gt;="&amp;DATE(YEAR_Y-1,1,1),'Fund History'!$G$350:$G$354,"&lt;="&amp;DATE(YEAR_Y-1,12,31))/100)))</f>
        <v/>
      </c>
      <c r="AG69" s="74">
        <f>IF($C69="","",IF(N($AF69)+N(HSI!$I$64)=0,"",N($AF69)+N(HSI!$I$64)/100))</f>
        <v/>
      </c>
      <c r="AH69" s="66">
        <f>IF($C69="","",IF(PULL_FUND="N","",IF(COUNTIFS('Fund History'!$D$350:$D$354,"&gt;="&amp;DATE(YEAR_Y-2,1,1),'Fund History'!$D$350:$D$354,"&lt;="&amp;DATE(YEAR_Y-2,12,31))=0,"",SUMIFS('Fund History'!$E$350:$E$354,'Fund History'!$D$350:$D$354,"&gt;="&amp;DATE(YEAR_Y-2,1,1),'Fund History'!$D$350:$D$354,"&lt;="&amp;DATE(YEAR_Y-2,12,31)))))</f>
        <v/>
      </c>
      <c r="AI69" s="67">
        <f>IF($C69="","",IF(PULL_FUND="N","",IF(COUNTIFS('Fund History'!$D$350:$D$354,"&gt;="&amp;DATE(YEAR_Y-1,1,1),'Fund History'!$D$350:$D$354,"&lt;="&amp;DATE(YEAR_Y-1,12,31))=0,"",SUMIFS('Fund History'!$E$350:$E$354,'Fund History'!$D$350:$D$354,"&gt;="&amp;DATE(YEAR_Y-1,1,1),'Fund History'!$D$350:$D$354,"&lt;="&amp;DATE(YEAR_Y-1,12,31)))))</f>
        <v/>
      </c>
      <c r="AJ69" s="67">
        <f>IF($C69="","",IF(PULL_FUND="N","",IFERROR(BDP($C69,NDEBITDA_FIELD),"")))</f>
        <v/>
      </c>
      <c r="AK69" s="75">
        <f>IF($C69="","",IF(PULL_FUND="N","",IFERROR(BDP($C69,EBINT_FIELD),"")))</f>
        <v/>
      </c>
      <c r="AL69" s="73">
        <f>IF($C69="","",IF(PULL_FUND="N","",IFERROR(BDP($C69,FCF_FIELD)/100,"")))</f>
        <v/>
      </c>
      <c r="AM69" s="76">
        <f>IF($C69="","",IF(ISNUMBER(HSI!$I$64),HSI!$I$64/100,""))</f>
        <v/>
      </c>
      <c r="AN69" s="47">
        <f>IF($C69="","",IF(N($AM69)=0,"",IFERROR($AL69/$AM69,"")))</f>
        <v/>
      </c>
      <c r="AO69" s="33">
        <f>IF($C69="","",IF(ISNUMBER($S69)*ISNUMBER($W69)=0,"",IF($W69&gt;$S69+0.05,"rising",IF($W69&lt;$S69-0.05,"falling","stable"))))</f>
        <v/>
      </c>
      <c r="AP69" s="77">
        <f>IF($C69="","",TRIM(IF(ISNUMBER($X69)*(N($X69)&gt;$D$4)&gt;0,"payout high  ","")&amp;IF(ISNUMBER($AN69)*(N($AN69)&lt;$F$4)&gt;0,"FCF below dvd  ","")&amp;IF(ISNUMBER($AJ69)*(N($AJ69)&gt;$H$4)&gt;0,"leverage high","")))</f>
        <v/>
      </c>
      <c r="AQ69" s="78">
        <f>IF($C69="","",IF(HSI!$F$64="HKD","",HSI!$F$64))</f>
        <v/>
      </c>
    </row>
    <row r="70">
      <c r="B70" s="62" t="inlineStr">
        <is>
          <t>HSI</t>
        </is>
      </c>
      <c r="C70" s="6">
        <f>IF(HSI!$C$65="","",HSI!$C$65)</f>
        <v/>
      </c>
      <c r="D70" s="6">
        <f>IF($C70="","",HSI!$D$65)</f>
        <v/>
      </c>
      <c r="E70" s="6">
        <f>IF($C70="","",HSI!$E$65)</f>
        <v/>
      </c>
      <c r="F70" s="63">
        <f>IF($C70="","",SUMPRODUCT(('Dvd Calendar'!$E$649:$AR$649&gt;=DATE(YEAR_Y-5,1,1))*('Dvd Calendar'!$E$649:$AR$649&lt;=DATE(YEAR_Y-5,12,31))*'Dvd Calendar'!$E$652:$AR$652*(('Dvd Calendar'!$E$654:$AR$654=TYPE1)*(TYPE1&lt;&gt;"")+('Dvd Calendar'!$E$654:$AR$654=TYPE2)*(TYPE2&lt;&gt;"")+('Dvd Calendar'!$E$654:$AR$654=TYPE3)*(TYPE3&lt;&gt;"")+('Dvd Calendar'!$E$654:$AR$654=TYPE4)*(TYPE4&lt;&gt;"")+('Dvd Calendar'!$E$654:$AR$654=SPECIAL_LBL)*(INC_SPECIALS="Y"))))</f>
        <v/>
      </c>
      <c r="G70" s="64">
        <f>IF($C70="","",SUMPRODUCT(('Dvd Calendar'!$E$649:$AR$649&gt;=DATE(YEAR_Y-4,1,1))*('Dvd Calendar'!$E$649:$AR$649&lt;=DATE(YEAR_Y-4,12,31))*'Dvd Calendar'!$E$652:$AR$652*(('Dvd Calendar'!$E$654:$AR$654=TYPE1)*(TYPE1&lt;&gt;"")+('Dvd Calendar'!$E$654:$AR$654=TYPE2)*(TYPE2&lt;&gt;"")+('Dvd Calendar'!$E$654:$AR$654=TYPE3)*(TYPE3&lt;&gt;"")+('Dvd Calendar'!$E$654:$AR$654=TYPE4)*(TYPE4&lt;&gt;"")+('Dvd Calendar'!$E$654:$AR$654=SPECIAL_LBL)*(INC_SPECIALS="Y"))))</f>
        <v/>
      </c>
      <c r="H70" s="64">
        <f>IF($C70="","",SUMPRODUCT(('Dvd Calendar'!$E$649:$AR$649&gt;=DATE(YEAR_Y-3,1,1))*('Dvd Calendar'!$E$649:$AR$649&lt;=DATE(YEAR_Y-3,12,31))*'Dvd Calendar'!$E$652:$AR$652*(('Dvd Calendar'!$E$654:$AR$654=TYPE1)*(TYPE1&lt;&gt;"")+('Dvd Calendar'!$E$654:$AR$654=TYPE2)*(TYPE2&lt;&gt;"")+('Dvd Calendar'!$E$654:$AR$654=TYPE3)*(TYPE3&lt;&gt;"")+('Dvd Calendar'!$E$654:$AR$654=TYPE4)*(TYPE4&lt;&gt;"")+('Dvd Calendar'!$E$654:$AR$654=SPECIAL_LBL)*(INC_SPECIALS="Y"))))</f>
        <v/>
      </c>
      <c r="I70" s="64">
        <f>IF($C70="","",SUMPRODUCT(('Dvd Calendar'!$E$649:$AR$649&gt;=DATE(YEAR_Y-2,1,1))*('Dvd Calendar'!$E$649:$AR$649&lt;=DATE(YEAR_Y-2,12,31))*'Dvd Calendar'!$E$652:$AR$652*(('Dvd Calendar'!$E$654:$AR$654=TYPE1)*(TYPE1&lt;&gt;"")+('Dvd Calendar'!$E$654:$AR$654=TYPE2)*(TYPE2&lt;&gt;"")+('Dvd Calendar'!$E$654:$AR$654=TYPE3)*(TYPE3&lt;&gt;"")+('Dvd Calendar'!$E$654:$AR$654=TYPE4)*(TYPE4&lt;&gt;"")+('Dvd Calendar'!$E$654:$AR$654=SPECIAL_LBL)*(INC_SPECIALS="Y"))))</f>
        <v/>
      </c>
      <c r="J70" s="64">
        <f>IF($C70="","",SUMPRODUCT(('Dvd Calendar'!$E$649:$AR$649&gt;=DATE(YEAR_Y-1,1,1))*('Dvd Calendar'!$E$649:$AR$649&lt;=DATE(YEAR_Y-1,12,31))*'Dvd Calendar'!$E$652:$AR$652*(('Dvd Calendar'!$E$654:$AR$654=TYPE1)*(TYPE1&lt;&gt;"")+('Dvd Calendar'!$E$654:$AR$654=TYPE2)*(TYPE2&lt;&gt;"")+('Dvd Calendar'!$E$654:$AR$654=TYPE3)*(TYPE3&lt;&gt;"")+('Dvd Calendar'!$E$654:$AR$654=TYPE4)*(TYPE4&lt;&gt;"")+('Dvd Calendar'!$E$654:$AR$654=SPECIAL_LBL)*(INC_SPECIALS="Y"))))</f>
        <v/>
      </c>
      <c r="K70" s="65">
        <f>IF($C70="","",HSI!$J$65)</f>
        <v/>
      </c>
      <c r="L70" s="65">
        <f>IF($C70="","",HSI!$K$65)</f>
        <v/>
      </c>
      <c r="M70" s="41">
        <f>IF($C70="","",AVERAGE(F70:J70))</f>
        <v/>
      </c>
      <c r="N70" s="66">
        <f>IF($C70="","",IF(PULL_FUND="N","",IFERROR(BDP($C70,EPS_FIELD,YR_OVERRIDE,TEXT(YEAR_Y-5,"0")),"")))</f>
        <v/>
      </c>
      <c r="O70" s="67">
        <f>IF($C70="","",IF(PULL_FUND="N","",IFERROR(BDP($C70,EPS_FIELD,YR_OVERRIDE,TEXT(YEAR_Y-4,"0")),"")))</f>
        <v/>
      </c>
      <c r="P70" s="67">
        <f>IF($C70="","",IF(PULL_FUND="N","",IFERROR(BDP($C70,EPS_FIELD,YR_OVERRIDE,TEXT(YEAR_Y-3,"0")),"")))</f>
        <v/>
      </c>
      <c r="Q70" s="67">
        <f>IF($C70="","",IF(PULL_FUND="N","",IFERROR(BDP($C70,EPS_FIELD,YR_OVERRIDE,TEXT(YEAR_Y-2,"0")),"")))</f>
        <v/>
      </c>
      <c r="R70" s="67">
        <f>IF($C70="","",IF(PULL_FUND="N","",IFERROR(BDP($C70,EPS_FIELD,YR_OVERRIDE,TEXT(YEAR_Y-1,"0")),"")))</f>
        <v/>
      </c>
      <c r="S70" s="68">
        <f>IF($C70="","",IF(PULL_FUND="N","",IFERROR(BDP($C70,PAYOUT_FIELD,YR_OVERRIDE,TEXT(YEAR_Y-5,"0"))/100,"")))</f>
        <v/>
      </c>
      <c r="T70" s="68">
        <f>IF($C70="","",IF(PULL_FUND="N","",IFERROR(BDP($C70,PAYOUT_FIELD,YR_OVERRIDE,TEXT(YEAR_Y-4,"0"))/100,"")))</f>
        <v/>
      </c>
      <c r="U70" s="68">
        <f>IF($C70="","",IF(PULL_FUND="N","",IFERROR(BDP($C70,PAYOUT_FIELD,YR_OVERRIDE,TEXT(YEAR_Y-3,"0"))/100,"")))</f>
        <v/>
      </c>
      <c r="V70" s="68">
        <f>IF($C70="","",IF(PULL_FUND="N","",IFERROR(BDP($C70,PAYOUT_FIELD,YR_OVERRIDE,TEXT(YEAR_Y-2,"0"))/100,"")))</f>
        <v/>
      </c>
      <c r="W70" s="68">
        <f>IF($C70="","",IF(PULL_FUND="N","",IFERROR(BDP($C70,PAYOUT_FIELD,YR_OVERRIDE,TEXT(YEAR_Y-1,"0"))/100,"")))</f>
        <v/>
      </c>
      <c r="X70" s="69">
        <f>IF($C70="","",IFERROR(AVERAGE(S70:W70),""))</f>
        <v/>
      </c>
      <c r="Y70" s="66">
        <f>IF($C70="","",IF(PULL_FUND="N","",IFERROR(BDP($C70,BESTEPS_FIELD,FWD_OVERRIDE,TEXT(MOD(YEAR_Y,100),"00")&amp;"Y"),"")))</f>
        <v/>
      </c>
      <c r="Z70" s="70">
        <f>IF($C70="","",IF(PULL_FUND="N","",IFERROR(BDP($C70,BESTDPS_FIELD,FWD_OVERRIDE,TEXT(MOD(YEAR_Y,100),"00")&amp;"Y"),"")))</f>
        <v/>
      </c>
      <c r="AA70" s="71">
        <f>IF($C70="","",IF(ISNUMBER($Y70)*ISNUMBER($Z70)*($Y70&lt;&gt;0)=0,"",$Z70/$Y70))</f>
        <v/>
      </c>
      <c r="AB70" s="41">
        <f>IF($C70="","",HSI!$J$65+HSI!$L$65)</f>
        <v/>
      </c>
      <c r="AC70" s="72">
        <f>IF($C70="","",IF(PULL_FUND="N","",IF(COUNTIFS('Fund History'!$G$356:$G$360,"&gt;="&amp;DATE(YEAR_Y-4,1,1),'Fund History'!$G$356:$G$360,"&lt;="&amp;DATE(YEAR_Y-4,12,31))=0,"",SUMIFS('Fund History'!$H$356:$H$360,'Fund History'!$G$356:$G$360,"&gt;="&amp;DATE(YEAR_Y-4,1,1),'Fund History'!$G$356:$G$360,"&lt;="&amp;DATE(YEAR_Y-4,12,31))/100)))</f>
        <v/>
      </c>
      <c r="AD70" s="73">
        <f>IF($C70="","",IF(PULL_FUND="N","",IF(COUNTIFS('Fund History'!$G$356:$G$360,"&gt;="&amp;DATE(YEAR_Y-3,1,1),'Fund History'!$G$356:$G$360,"&lt;="&amp;DATE(YEAR_Y-3,12,31))=0,"",SUMIFS('Fund History'!$H$356:$H$360,'Fund History'!$G$356:$G$360,"&gt;="&amp;DATE(YEAR_Y-3,1,1),'Fund History'!$G$356:$G$360,"&lt;="&amp;DATE(YEAR_Y-3,12,31))/100)))</f>
        <v/>
      </c>
      <c r="AE70" s="73">
        <f>IF($C70="","",IF(PULL_FUND="N","",IF(COUNTIFS('Fund History'!$G$356:$G$360,"&gt;="&amp;DATE(YEAR_Y-2,1,1),'Fund History'!$G$356:$G$360,"&lt;="&amp;DATE(YEAR_Y-2,12,31))=0,"",SUMIFS('Fund History'!$H$356:$H$360,'Fund History'!$G$356:$G$360,"&gt;="&amp;DATE(YEAR_Y-2,1,1),'Fund History'!$G$356:$G$360,"&lt;="&amp;DATE(YEAR_Y-2,12,31))/100)))</f>
        <v/>
      </c>
      <c r="AF70" s="73">
        <f>IF($C70="","",IF(PULL_FUND="N","",IF(COUNTIFS('Fund History'!$G$356:$G$360,"&gt;="&amp;DATE(YEAR_Y-1,1,1),'Fund History'!$G$356:$G$360,"&lt;="&amp;DATE(YEAR_Y-1,12,31))=0,"",SUMIFS('Fund History'!$H$356:$H$360,'Fund History'!$G$356:$G$360,"&gt;="&amp;DATE(YEAR_Y-1,1,1),'Fund History'!$G$356:$G$360,"&lt;="&amp;DATE(YEAR_Y-1,12,31))/100)))</f>
        <v/>
      </c>
      <c r="AG70" s="74">
        <f>IF($C70="","",IF(N($AF70)+N(HSI!$I$65)=0,"",N($AF70)+N(HSI!$I$65)/100))</f>
        <v/>
      </c>
      <c r="AH70" s="66">
        <f>IF($C70="","",IF(PULL_FUND="N","",IF(COUNTIFS('Fund History'!$D$356:$D$360,"&gt;="&amp;DATE(YEAR_Y-2,1,1),'Fund History'!$D$356:$D$360,"&lt;="&amp;DATE(YEAR_Y-2,12,31))=0,"",SUMIFS('Fund History'!$E$356:$E$360,'Fund History'!$D$356:$D$360,"&gt;="&amp;DATE(YEAR_Y-2,1,1),'Fund History'!$D$356:$D$360,"&lt;="&amp;DATE(YEAR_Y-2,12,31)))))</f>
        <v/>
      </c>
      <c r="AI70" s="67">
        <f>IF($C70="","",IF(PULL_FUND="N","",IF(COUNTIFS('Fund History'!$D$356:$D$360,"&gt;="&amp;DATE(YEAR_Y-1,1,1),'Fund History'!$D$356:$D$360,"&lt;="&amp;DATE(YEAR_Y-1,12,31))=0,"",SUMIFS('Fund History'!$E$356:$E$360,'Fund History'!$D$356:$D$360,"&gt;="&amp;DATE(YEAR_Y-1,1,1),'Fund History'!$D$356:$D$360,"&lt;="&amp;DATE(YEAR_Y-1,12,31)))))</f>
        <v/>
      </c>
      <c r="AJ70" s="67">
        <f>IF($C70="","",IF(PULL_FUND="N","",IFERROR(BDP($C70,NDEBITDA_FIELD),"")))</f>
        <v/>
      </c>
      <c r="AK70" s="75">
        <f>IF($C70="","",IF(PULL_FUND="N","",IFERROR(BDP($C70,EBINT_FIELD),"")))</f>
        <v/>
      </c>
      <c r="AL70" s="73">
        <f>IF($C70="","",IF(PULL_FUND="N","",IFERROR(BDP($C70,FCF_FIELD)/100,"")))</f>
        <v/>
      </c>
      <c r="AM70" s="76">
        <f>IF($C70="","",IF(ISNUMBER(HSI!$I$65),HSI!$I$65/100,""))</f>
        <v/>
      </c>
      <c r="AN70" s="47">
        <f>IF($C70="","",IF(N($AM70)=0,"",IFERROR($AL70/$AM70,"")))</f>
        <v/>
      </c>
      <c r="AO70" s="33">
        <f>IF($C70="","",IF(ISNUMBER($S70)*ISNUMBER($W70)=0,"",IF($W70&gt;$S70+0.05,"rising",IF($W70&lt;$S70-0.05,"falling","stable"))))</f>
        <v/>
      </c>
      <c r="AP70" s="77">
        <f>IF($C70="","",TRIM(IF(ISNUMBER($X70)*(N($X70)&gt;$D$4)&gt;0,"payout high  ","")&amp;IF(ISNUMBER($AN70)*(N($AN70)&lt;$F$4)&gt;0,"FCF below dvd  ","")&amp;IF(ISNUMBER($AJ70)*(N($AJ70)&gt;$H$4)&gt;0,"leverage high","")))</f>
        <v/>
      </c>
      <c r="AQ70" s="78">
        <f>IF($C70="","",IF(HSI!$F$65="HKD","",HSI!$F$65))</f>
        <v/>
      </c>
    </row>
    <row r="71">
      <c r="B71" s="62" t="inlineStr">
        <is>
          <t>HSI</t>
        </is>
      </c>
      <c r="C71" s="6">
        <f>IF(HSI!$C$66="","",HSI!$C$66)</f>
        <v/>
      </c>
      <c r="D71" s="6">
        <f>IF($C71="","",HSI!$D$66)</f>
        <v/>
      </c>
      <c r="E71" s="6">
        <f>IF($C71="","",HSI!$E$66)</f>
        <v/>
      </c>
      <c r="F71" s="63">
        <f>IF($C71="","",SUMPRODUCT(('Dvd Calendar'!$E$660:$AR$660&gt;=DATE(YEAR_Y-5,1,1))*('Dvd Calendar'!$E$660:$AR$660&lt;=DATE(YEAR_Y-5,12,31))*'Dvd Calendar'!$E$663:$AR$663*(('Dvd Calendar'!$E$665:$AR$665=TYPE1)*(TYPE1&lt;&gt;"")+('Dvd Calendar'!$E$665:$AR$665=TYPE2)*(TYPE2&lt;&gt;"")+('Dvd Calendar'!$E$665:$AR$665=TYPE3)*(TYPE3&lt;&gt;"")+('Dvd Calendar'!$E$665:$AR$665=TYPE4)*(TYPE4&lt;&gt;"")+('Dvd Calendar'!$E$665:$AR$665=SPECIAL_LBL)*(INC_SPECIALS="Y"))))</f>
        <v/>
      </c>
      <c r="G71" s="64">
        <f>IF($C71="","",SUMPRODUCT(('Dvd Calendar'!$E$660:$AR$660&gt;=DATE(YEAR_Y-4,1,1))*('Dvd Calendar'!$E$660:$AR$660&lt;=DATE(YEAR_Y-4,12,31))*'Dvd Calendar'!$E$663:$AR$663*(('Dvd Calendar'!$E$665:$AR$665=TYPE1)*(TYPE1&lt;&gt;"")+('Dvd Calendar'!$E$665:$AR$665=TYPE2)*(TYPE2&lt;&gt;"")+('Dvd Calendar'!$E$665:$AR$665=TYPE3)*(TYPE3&lt;&gt;"")+('Dvd Calendar'!$E$665:$AR$665=TYPE4)*(TYPE4&lt;&gt;"")+('Dvd Calendar'!$E$665:$AR$665=SPECIAL_LBL)*(INC_SPECIALS="Y"))))</f>
        <v/>
      </c>
      <c r="H71" s="64">
        <f>IF($C71="","",SUMPRODUCT(('Dvd Calendar'!$E$660:$AR$660&gt;=DATE(YEAR_Y-3,1,1))*('Dvd Calendar'!$E$660:$AR$660&lt;=DATE(YEAR_Y-3,12,31))*'Dvd Calendar'!$E$663:$AR$663*(('Dvd Calendar'!$E$665:$AR$665=TYPE1)*(TYPE1&lt;&gt;"")+('Dvd Calendar'!$E$665:$AR$665=TYPE2)*(TYPE2&lt;&gt;"")+('Dvd Calendar'!$E$665:$AR$665=TYPE3)*(TYPE3&lt;&gt;"")+('Dvd Calendar'!$E$665:$AR$665=TYPE4)*(TYPE4&lt;&gt;"")+('Dvd Calendar'!$E$665:$AR$665=SPECIAL_LBL)*(INC_SPECIALS="Y"))))</f>
        <v/>
      </c>
      <c r="I71" s="64">
        <f>IF($C71="","",SUMPRODUCT(('Dvd Calendar'!$E$660:$AR$660&gt;=DATE(YEAR_Y-2,1,1))*('Dvd Calendar'!$E$660:$AR$660&lt;=DATE(YEAR_Y-2,12,31))*'Dvd Calendar'!$E$663:$AR$663*(('Dvd Calendar'!$E$665:$AR$665=TYPE1)*(TYPE1&lt;&gt;"")+('Dvd Calendar'!$E$665:$AR$665=TYPE2)*(TYPE2&lt;&gt;"")+('Dvd Calendar'!$E$665:$AR$665=TYPE3)*(TYPE3&lt;&gt;"")+('Dvd Calendar'!$E$665:$AR$665=TYPE4)*(TYPE4&lt;&gt;"")+('Dvd Calendar'!$E$665:$AR$665=SPECIAL_LBL)*(INC_SPECIALS="Y"))))</f>
        <v/>
      </c>
      <c r="J71" s="64">
        <f>IF($C71="","",SUMPRODUCT(('Dvd Calendar'!$E$660:$AR$660&gt;=DATE(YEAR_Y-1,1,1))*('Dvd Calendar'!$E$660:$AR$660&lt;=DATE(YEAR_Y-1,12,31))*'Dvd Calendar'!$E$663:$AR$663*(('Dvd Calendar'!$E$665:$AR$665=TYPE1)*(TYPE1&lt;&gt;"")+('Dvd Calendar'!$E$665:$AR$665=TYPE2)*(TYPE2&lt;&gt;"")+('Dvd Calendar'!$E$665:$AR$665=TYPE3)*(TYPE3&lt;&gt;"")+('Dvd Calendar'!$E$665:$AR$665=TYPE4)*(TYPE4&lt;&gt;"")+('Dvd Calendar'!$E$665:$AR$665=SPECIAL_LBL)*(INC_SPECIALS="Y"))))</f>
        <v/>
      </c>
      <c r="K71" s="65">
        <f>IF($C71="","",HSI!$J$66)</f>
        <v/>
      </c>
      <c r="L71" s="65">
        <f>IF($C71="","",HSI!$K$66)</f>
        <v/>
      </c>
      <c r="M71" s="41">
        <f>IF($C71="","",AVERAGE(F71:J71))</f>
        <v/>
      </c>
      <c r="N71" s="66">
        <f>IF($C71="","",IF(PULL_FUND="N","",IFERROR(BDP($C71,EPS_FIELD,YR_OVERRIDE,TEXT(YEAR_Y-5,"0")),"")))</f>
        <v/>
      </c>
      <c r="O71" s="67">
        <f>IF($C71="","",IF(PULL_FUND="N","",IFERROR(BDP($C71,EPS_FIELD,YR_OVERRIDE,TEXT(YEAR_Y-4,"0")),"")))</f>
        <v/>
      </c>
      <c r="P71" s="67">
        <f>IF($C71="","",IF(PULL_FUND="N","",IFERROR(BDP($C71,EPS_FIELD,YR_OVERRIDE,TEXT(YEAR_Y-3,"0")),"")))</f>
        <v/>
      </c>
      <c r="Q71" s="67">
        <f>IF($C71="","",IF(PULL_FUND="N","",IFERROR(BDP($C71,EPS_FIELD,YR_OVERRIDE,TEXT(YEAR_Y-2,"0")),"")))</f>
        <v/>
      </c>
      <c r="R71" s="67">
        <f>IF($C71="","",IF(PULL_FUND="N","",IFERROR(BDP($C71,EPS_FIELD,YR_OVERRIDE,TEXT(YEAR_Y-1,"0")),"")))</f>
        <v/>
      </c>
      <c r="S71" s="68">
        <f>IF($C71="","",IF(PULL_FUND="N","",IFERROR(BDP($C71,PAYOUT_FIELD,YR_OVERRIDE,TEXT(YEAR_Y-5,"0"))/100,"")))</f>
        <v/>
      </c>
      <c r="T71" s="68">
        <f>IF($C71="","",IF(PULL_FUND="N","",IFERROR(BDP($C71,PAYOUT_FIELD,YR_OVERRIDE,TEXT(YEAR_Y-4,"0"))/100,"")))</f>
        <v/>
      </c>
      <c r="U71" s="68">
        <f>IF($C71="","",IF(PULL_FUND="N","",IFERROR(BDP($C71,PAYOUT_FIELD,YR_OVERRIDE,TEXT(YEAR_Y-3,"0"))/100,"")))</f>
        <v/>
      </c>
      <c r="V71" s="68">
        <f>IF($C71="","",IF(PULL_FUND="N","",IFERROR(BDP($C71,PAYOUT_FIELD,YR_OVERRIDE,TEXT(YEAR_Y-2,"0"))/100,"")))</f>
        <v/>
      </c>
      <c r="W71" s="68">
        <f>IF($C71="","",IF(PULL_FUND="N","",IFERROR(BDP($C71,PAYOUT_FIELD,YR_OVERRIDE,TEXT(YEAR_Y-1,"0"))/100,"")))</f>
        <v/>
      </c>
      <c r="X71" s="69">
        <f>IF($C71="","",IFERROR(AVERAGE(S71:W71),""))</f>
        <v/>
      </c>
      <c r="Y71" s="66">
        <f>IF($C71="","",IF(PULL_FUND="N","",IFERROR(BDP($C71,BESTEPS_FIELD,FWD_OVERRIDE,TEXT(MOD(YEAR_Y,100),"00")&amp;"Y"),"")))</f>
        <v/>
      </c>
      <c r="Z71" s="70">
        <f>IF($C71="","",IF(PULL_FUND="N","",IFERROR(BDP($C71,BESTDPS_FIELD,FWD_OVERRIDE,TEXT(MOD(YEAR_Y,100),"00")&amp;"Y"),"")))</f>
        <v/>
      </c>
      <c r="AA71" s="71">
        <f>IF($C71="","",IF(ISNUMBER($Y71)*ISNUMBER($Z71)*($Y71&lt;&gt;0)=0,"",$Z71/$Y71))</f>
        <v/>
      </c>
      <c r="AB71" s="41">
        <f>IF($C71="","",HSI!$J$66+HSI!$L$66)</f>
        <v/>
      </c>
      <c r="AC71" s="72">
        <f>IF($C71="","",IF(PULL_FUND="N","",IF(COUNTIFS('Fund History'!$G$362:$G$366,"&gt;="&amp;DATE(YEAR_Y-4,1,1),'Fund History'!$G$362:$G$366,"&lt;="&amp;DATE(YEAR_Y-4,12,31))=0,"",SUMIFS('Fund History'!$H$362:$H$366,'Fund History'!$G$362:$G$366,"&gt;="&amp;DATE(YEAR_Y-4,1,1),'Fund History'!$G$362:$G$366,"&lt;="&amp;DATE(YEAR_Y-4,12,31))/100)))</f>
        <v/>
      </c>
      <c r="AD71" s="73">
        <f>IF($C71="","",IF(PULL_FUND="N","",IF(COUNTIFS('Fund History'!$G$362:$G$366,"&gt;="&amp;DATE(YEAR_Y-3,1,1),'Fund History'!$G$362:$G$366,"&lt;="&amp;DATE(YEAR_Y-3,12,31))=0,"",SUMIFS('Fund History'!$H$362:$H$366,'Fund History'!$G$362:$G$366,"&gt;="&amp;DATE(YEAR_Y-3,1,1),'Fund History'!$G$362:$G$366,"&lt;="&amp;DATE(YEAR_Y-3,12,31))/100)))</f>
        <v/>
      </c>
      <c r="AE71" s="73">
        <f>IF($C71="","",IF(PULL_FUND="N","",IF(COUNTIFS('Fund History'!$G$362:$G$366,"&gt;="&amp;DATE(YEAR_Y-2,1,1),'Fund History'!$G$362:$G$366,"&lt;="&amp;DATE(YEAR_Y-2,12,31))=0,"",SUMIFS('Fund History'!$H$362:$H$366,'Fund History'!$G$362:$G$366,"&gt;="&amp;DATE(YEAR_Y-2,1,1),'Fund History'!$G$362:$G$366,"&lt;="&amp;DATE(YEAR_Y-2,12,31))/100)))</f>
        <v/>
      </c>
      <c r="AF71" s="73">
        <f>IF($C71="","",IF(PULL_FUND="N","",IF(COUNTIFS('Fund History'!$G$362:$G$366,"&gt;="&amp;DATE(YEAR_Y-1,1,1),'Fund History'!$G$362:$G$366,"&lt;="&amp;DATE(YEAR_Y-1,12,31))=0,"",SUMIFS('Fund History'!$H$362:$H$366,'Fund History'!$G$362:$G$366,"&gt;="&amp;DATE(YEAR_Y-1,1,1),'Fund History'!$G$362:$G$366,"&lt;="&amp;DATE(YEAR_Y-1,12,31))/100)))</f>
        <v/>
      </c>
      <c r="AG71" s="74">
        <f>IF($C71="","",IF(N($AF71)+N(HSI!$I$66)=0,"",N($AF71)+N(HSI!$I$66)/100))</f>
        <v/>
      </c>
      <c r="AH71" s="66">
        <f>IF($C71="","",IF(PULL_FUND="N","",IF(COUNTIFS('Fund History'!$D$362:$D$366,"&gt;="&amp;DATE(YEAR_Y-2,1,1),'Fund History'!$D$362:$D$366,"&lt;="&amp;DATE(YEAR_Y-2,12,31))=0,"",SUMIFS('Fund History'!$E$362:$E$366,'Fund History'!$D$362:$D$366,"&gt;="&amp;DATE(YEAR_Y-2,1,1),'Fund History'!$D$362:$D$366,"&lt;="&amp;DATE(YEAR_Y-2,12,31)))))</f>
        <v/>
      </c>
      <c r="AI71" s="67">
        <f>IF($C71="","",IF(PULL_FUND="N","",IF(COUNTIFS('Fund History'!$D$362:$D$366,"&gt;="&amp;DATE(YEAR_Y-1,1,1),'Fund History'!$D$362:$D$366,"&lt;="&amp;DATE(YEAR_Y-1,12,31))=0,"",SUMIFS('Fund History'!$E$362:$E$366,'Fund History'!$D$362:$D$366,"&gt;="&amp;DATE(YEAR_Y-1,1,1),'Fund History'!$D$362:$D$366,"&lt;="&amp;DATE(YEAR_Y-1,12,31)))))</f>
        <v/>
      </c>
      <c r="AJ71" s="67">
        <f>IF($C71="","",IF(PULL_FUND="N","",IFERROR(BDP($C71,NDEBITDA_FIELD),"")))</f>
        <v/>
      </c>
      <c r="AK71" s="75">
        <f>IF($C71="","",IF(PULL_FUND="N","",IFERROR(BDP($C71,EBINT_FIELD),"")))</f>
        <v/>
      </c>
      <c r="AL71" s="73">
        <f>IF($C71="","",IF(PULL_FUND="N","",IFERROR(BDP($C71,FCF_FIELD)/100,"")))</f>
        <v/>
      </c>
      <c r="AM71" s="76">
        <f>IF($C71="","",IF(ISNUMBER(HSI!$I$66),HSI!$I$66/100,""))</f>
        <v/>
      </c>
      <c r="AN71" s="47">
        <f>IF($C71="","",IF(N($AM71)=0,"",IFERROR($AL71/$AM71,"")))</f>
        <v/>
      </c>
      <c r="AO71" s="33">
        <f>IF($C71="","",IF(ISNUMBER($S71)*ISNUMBER($W71)=0,"",IF($W71&gt;$S71+0.05,"rising",IF($W71&lt;$S71-0.05,"falling","stable"))))</f>
        <v/>
      </c>
      <c r="AP71" s="77">
        <f>IF($C71="","",TRIM(IF(ISNUMBER($X71)*(N($X71)&gt;$D$4)&gt;0,"payout high  ","")&amp;IF(ISNUMBER($AN71)*(N($AN71)&lt;$F$4)&gt;0,"FCF below dvd  ","")&amp;IF(ISNUMBER($AJ71)*(N($AJ71)&gt;$H$4)&gt;0,"leverage high","")))</f>
        <v/>
      </c>
      <c r="AQ71" s="78">
        <f>IF($C71="","",IF(HSI!$F$66="HKD","",HSI!$F$66))</f>
        <v/>
      </c>
    </row>
    <row r="72">
      <c r="B72" s="62" t="inlineStr">
        <is>
          <t>HSI</t>
        </is>
      </c>
      <c r="C72" s="6">
        <f>IF(HSI!$C$67="","",HSI!$C$67)</f>
        <v/>
      </c>
      <c r="D72" s="6">
        <f>IF($C72="","",HSI!$D$67)</f>
        <v/>
      </c>
      <c r="E72" s="6">
        <f>IF($C72="","",HSI!$E$67)</f>
        <v/>
      </c>
      <c r="F72" s="63">
        <f>IF($C72="","",SUMPRODUCT(('Dvd Calendar'!$E$671:$AR$671&gt;=DATE(YEAR_Y-5,1,1))*('Dvd Calendar'!$E$671:$AR$671&lt;=DATE(YEAR_Y-5,12,31))*'Dvd Calendar'!$E$674:$AR$674*(('Dvd Calendar'!$E$676:$AR$676=TYPE1)*(TYPE1&lt;&gt;"")+('Dvd Calendar'!$E$676:$AR$676=TYPE2)*(TYPE2&lt;&gt;"")+('Dvd Calendar'!$E$676:$AR$676=TYPE3)*(TYPE3&lt;&gt;"")+('Dvd Calendar'!$E$676:$AR$676=TYPE4)*(TYPE4&lt;&gt;"")+('Dvd Calendar'!$E$676:$AR$676=SPECIAL_LBL)*(INC_SPECIALS="Y"))))</f>
        <v/>
      </c>
      <c r="G72" s="64">
        <f>IF($C72="","",SUMPRODUCT(('Dvd Calendar'!$E$671:$AR$671&gt;=DATE(YEAR_Y-4,1,1))*('Dvd Calendar'!$E$671:$AR$671&lt;=DATE(YEAR_Y-4,12,31))*'Dvd Calendar'!$E$674:$AR$674*(('Dvd Calendar'!$E$676:$AR$676=TYPE1)*(TYPE1&lt;&gt;"")+('Dvd Calendar'!$E$676:$AR$676=TYPE2)*(TYPE2&lt;&gt;"")+('Dvd Calendar'!$E$676:$AR$676=TYPE3)*(TYPE3&lt;&gt;"")+('Dvd Calendar'!$E$676:$AR$676=TYPE4)*(TYPE4&lt;&gt;"")+('Dvd Calendar'!$E$676:$AR$676=SPECIAL_LBL)*(INC_SPECIALS="Y"))))</f>
        <v/>
      </c>
      <c r="H72" s="64">
        <f>IF($C72="","",SUMPRODUCT(('Dvd Calendar'!$E$671:$AR$671&gt;=DATE(YEAR_Y-3,1,1))*('Dvd Calendar'!$E$671:$AR$671&lt;=DATE(YEAR_Y-3,12,31))*'Dvd Calendar'!$E$674:$AR$674*(('Dvd Calendar'!$E$676:$AR$676=TYPE1)*(TYPE1&lt;&gt;"")+('Dvd Calendar'!$E$676:$AR$676=TYPE2)*(TYPE2&lt;&gt;"")+('Dvd Calendar'!$E$676:$AR$676=TYPE3)*(TYPE3&lt;&gt;"")+('Dvd Calendar'!$E$676:$AR$676=TYPE4)*(TYPE4&lt;&gt;"")+('Dvd Calendar'!$E$676:$AR$676=SPECIAL_LBL)*(INC_SPECIALS="Y"))))</f>
        <v/>
      </c>
      <c r="I72" s="64">
        <f>IF($C72="","",SUMPRODUCT(('Dvd Calendar'!$E$671:$AR$671&gt;=DATE(YEAR_Y-2,1,1))*('Dvd Calendar'!$E$671:$AR$671&lt;=DATE(YEAR_Y-2,12,31))*'Dvd Calendar'!$E$674:$AR$674*(('Dvd Calendar'!$E$676:$AR$676=TYPE1)*(TYPE1&lt;&gt;"")+('Dvd Calendar'!$E$676:$AR$676=TYPE2)*(TYPE2&lt;&gt;"")+('Dvd Calendar'!$E$676:$AR$676=TYPE3)*(TYPE3&lt;&gt;"")+('Dvd Calendar'!$E$676:$AR$676=TYPE4)*(TYPE4&lt;&gt;"")+('Dvd Calendar'!$E$676:$AR$676=SPECIAL_LBL)*(INC_SPECIALS="Y"))))</f>
        <v/>
      </c>
      <c r="J72" s="64">
        <f>IF($C72="","",SUMPRODUCT(('Dvd Calendar'!$E$671:$AR$671&gt;=DATE(YEAR_Y-1,1,1))*('Dvd Calendar'!$E$671:$AR$671&lt;=DATE(YEAR_Y-1,12,31))*'Dvd Calendar'!$E$674:$AR$674*(('Dvd Calendar'!$E$676:$AR$676=TYPE1)*(TYPE1&lt;&gt;"")+('Dvd Calendar'!$E$676:$AR$676=TYPE2)*(TYPE2&lt;&gt;"")+('Dvd Calendar'!$E$676:$AR$676=TYPE3)*(TYPE3&lt;&gt;"")+('Dvd Calendar'!$E$676:$AR$676=TYPE4)*(TYPE4&lt;&gt;"")+('Dvd Calendar'!$E$676:$AR$676=SPECIAL_LBL)*(INC_SPECIALS="Y"))))</f>
        <v/>
      </c>
      <c r="K72" s="65">
        <f>IF($C72="","",HSI!$J$67)</f>
        <v/>
      </c>
      <c r="L72" s="65">
        <f>IF($C72="","",HSI!$K$67)</f>
        <v/>
      </c>
      <c r="M72" s="41">
        <f>IF($C72="","",AVERAGE(F72:J72))</f>
        <v/>
      </c>
      <c r="N72" s="66">
        <f>IF($C72="","",IF(PULL_FUND="N","",IFERROR(BDP($C72,EPS_FIELD,YR_OVERRIDE,TEXT(YEAR_Y-5,"0")),"")))</f>
        <v/>
      </c>
      <c r="O72" s="67">
        <f>IF($C72="","",IF(PULL_FUND="N","",IFERROR(BDP($C72,EPS_FIELD,YR_OVERRIDE,TEXT(YEAR_Y-4,"0")),"")))</f>
        <v/>
      </c>
      <c r="P72" s="67">
        <f>IF($C72="","",IF(PULL_FUND="N","",IFERROR(BDP($C72,EPS_FIELD,YR_OVERRIDE,TEXT(YEAR_Y-3,"0")),"")))</f>
        <v/>
      </c>
      <c r="Q72" s="67">
        <f>IF($C72="","",IF(PULL_FUND="N","",IFERROR(BDP($C72,EPS_FIELD,YR_OVERRIDE,TEXT(YEAR_Y-2,"0")),"")))</f>
        <v/>
      </c>
      <c r="R72" s="67">
        <f>IF($C72="","",IF(PULL_FUND="N","",IFERROR(BDP($C72,EPS_FIELD,YR_OVERRIDE,TEXT(YEAR_Y-1,"0")),"")))</f>
        <v/>
      </c>
      <c r="S72" s="68">
        <f>IF($C72="","",IF(PULL_FUND="N","",IFERROR(BDP($C72,PAYOUT_FIELD,YR_OVERRIDE,TEXT(YEAR_Y-5,"0"))/100,"")))</f>
        <v/>
      </c>
      <c r="T72" s="68">
        <f>IF($C72="","",IF(PULL_FUND="N","",IFERROR(BDP($C72,PAYOUT_FIELD,YR_OVERRIDE,TEXT(YEAR_Y-4,"0"))/100,"")))</f>
        <v/>
      </c>
      <c r="U72" s="68">
        <f>IF($C72="","",IF(PULL_FUND="N","",IFERROR(BDP($C72,PAYOUT_FIELD,YR_OVERRIDE,TEXT(YEAR_Y-3,"0"))/100,"")))</f>
        <v/>
      </c>
      <c r="V72" s="68">
        <f>IF($C72="","",IF(PULL_FUND="N","",IFERROR(BDP($C72,PAYOUT_FIELD,YR_OVERRIDE,TEXT(YEAR_Y-2,"0"))/100,"")))</f>
        <v/>
      </c>
      <c r="W72" s="68">
        <f>IF($C72="","",IF(PULL_FUND="N","",IFERROR(BDP($C72,PAYOUT_FIELD,YR_OVERRIDE,TEXT(YEAR_Y-1,"0"))/100,"")))</f>
        <v/>
      </c>
      <c r="X72" s="69">
        <f>IF($C72="","",IFERROR(AVERAGE(S72:W72),""))</f>
        <v/>
      </c>
      <c r="Y72" s="66">
        <f>IF($C72="","",IF(PULL_FUND="N","",IFERROR(BDP($C72,BESTEPS_FIELD,FWD_OVERRIDE,TEXT(MOD(YEAR_Y,100),"00")&amp;"Y"),"")))</f>
        <v/>
      </c>
      <c r="Z72" s="70">
        <f>IF($C72="","",IF(PULL_FUND="N","",IFERROR(BDP($C72,BESTDPS_FIELD,FWD_OVERRIDE,TEXT(MOD(YEAR_Y,100),"00")&amp;"Y"),"")))</f>
        <v/>
      </c>
      <c r="AA72" s="71">
        <f>IF($C72="","",IF(ISNUMBER($Y72)*ISNUMBER($Z72)*($Y72&lt;&gt;0)=0,"",$Z72/$Y72))</f>
        <v/>
      </c>
      <c r="AB72" s="41">
        <f>IF($C72="","",HSI!$J$67+HSI!$L$67)</f>
        <v/>
      </c>
      <c r="AC72" s="72">
        <f>IF($C72="","",IF(PULL_FUND="N","",IF(COUNTIFS('Fund History'!$G$368:$G$372,"&gt;="&amp;DATE(YEAR_Y-4,1,1),'Fund History'!$G$368:$G$372,"&lt;="&amp;DATE(YEAR_Y-4,12,31))=0,"",SUMIFS('Fund History'!$H$368:$H$372,'Fund History'!$G$368:$G$372,"&gt;="&amp;DATE(YEAR_Y-4,1,1),'Fund History'!$G$368:$G$372,"&lt;="&amp;DATE(YEAR_Y-4,12,31))/100)))</f>
        <v/>
      </c>
      <c r="AD72" s="73">
        <f>IF($C72="","",IF(PULL_FUND="N","",IF(COUNTIFS('Fund History'!$G$368:$G$372,"&gt;="&amp;DATE(YEAR_Y-3,1,1),'Fund History'!$G$368:$G$372,"&lt;="&amp;DATE(YEAR_Y-3,12,31))=0,"",SUMIFS('Fund History'!$H$368:$H$372,'Fund History'!$G$368:$G$372,"&gt;="&amp;DATE(YEAR_Y-3,1,1),'Fund History'!$G$368:$G$372,"&lt;="&amp;DATE(YEAR_Y-3,12,31))/100)))</f>
        <v/>
      </c>
      <c r="AE72" s="73">
        <f>IF($C72="","",IF(PULL_FUND="N","",IF(COUNTIFS('Fund History'!$G$368:$G$372,"&gt;="&amp;DATE(YEAR_Y-2,1,1),'Fund History'!$G$368:$G$372,"&lt;="&amp;DATE(YEAR_Y-2,12,31))=0,"",SUMIFS('Fund History'!$H$368:$H$372,'Fund History'!$G$368:$G$372,"&gt;="&amp;DATE(YEAR_Y-2,1,1),'Fund History'!$G$368:$G$372,"&lt;="&amp;DATE(YEAR_Y-2,12,31))/100)))</f>
        <v/>
      </c>
      <c r="AF72" s="73">
        <f>IF($C72="","",IF(PULL_FUND="N","",IF(COUNTIFS('Fund History'!$G$368:$G$372,"&gt;="&amp;DATE(YEAR_Y-1,1,1),'Fund History'!$G$368:$G$372,"&lt;="&amp;DATE(YEAR_Y-1,12,31))=0,"",SUMIFS('Fund History'!$H$368:$H$372,'Fund History'!$G$368:$G$372,"&gt;="&amp;DATE(YEAR_Y-1,1,1),'Fund History'!$G$368:$G$372,"&lt;="&amp;DATE(YEAR_Y-1,12,31))/100)))</f>
        <v/>
      </c>
      <c r="AG72" s="74">
        <f>IF($C72="","",IF(N($AF72)+N(HSI!$I$67)=0,"",N($AF72)+N(HSI!$I$67)/100))</f>
        <v/>
      </c>
      <c r="AH72" s="66">
        <f>IF($C72="","",IF(PULL_FUND="N","",IF(COUNTIFS('Fund History'!$D$368:$D$372,"&gt;="&amp;DATE(YEAR_Y-2,1,1),'Fund History'!$D$368:$D$372,"&lt;="&amp;DATE(YEAR_Y-2,12,31))=0,"",SUMIFS('Fund History'!$E$368:$E$372,'Fund History'!$D$368:$D$372,"&gt;="&amp;DATE(YEAR_Y-2,1,1),'Fund History'!$D$368:$D$372,"&lt;="&amp;DATE(YEAR_Y-2,12,31)))))</f>
        <v/>
      </c>
      <c r="AI72" s="67">
        <f>IF($C72="","",IF(PULL_FUND="N","",IF(COUNTIFS('Fund History'!$D$368:$D$372,"&gt;="&amp;DATE(YEAR_Y-1,1,1),'Fund History'!$D$368:$D$372,"&lt;="&amp;DATE(YEAR_Y-1,12,31))=0,"",SUMIFS('Fund History'!$E$368:$E$372,'Fund History'!$D$368:$D$372,"&gt;="&amp;DATE(YEAR_Y-1,1,1),'Fund History'!$D$368:$D$372,"&lt;="&amp;DATE(YEAR_Y-1,12,31)))))</f>
        <v/>
      </c>
      <c r="AJ72" s="67">
        <f>IF($C72="","",IF(PULL_FUND="N","",IFERROR(BDP($C72,NDEBITDA_FIELD),"")))</f>
        <v/>
      </c>
      <c r="AK72" s="75">
        <f>IF($C72="","",IF(PULL_FUND="N","",IFERROR(BDP($C72,EBINT_FIELD),"")))</f>
        <v/>
      </c>
      <c r="AL72" s="73">
        <f>IF($C72="","",IF(PULL_FUND="N","",IFERROR(BDP($C72,FCF_FIELD)/100,"")))</f>
        <v/>
      </c>
      <c r="AM72" s="76">
        <f>IF($C72="","",IF(ISNUMBER(HSI!$I$67),HSI!$I$67/100,""))</f>
        <v/>
      </c>
      <c r="AN72" s="47">
        <f>IF($C72="","",IF(N($AM72)=0,"",IFERROR($AL72/$AM72,"")))</f>
        <v/>
      </c>
      <c r="AO72" s="33">
        <f>IF($C72="","",IF(ISNUMBER($S72)*ISNUMBER($W72)=0,"",IF($W72&gt;$S72+0.05,"rising",IF($W72&lt;$S72-0.05,"falling","stable"))))</f>
        <v/>
      </c>
      <c r="AP72" s="77">
        <f>IF($C72="","",TRIM(IF(ISNUMBER($X72)*(N($X72)&gt;$D$4)&gt;0,"payout high  ","")&amp;IF(ISNUMBER($AN72)*(N($AN72)&lt;$F$4)&gt;0,"FCF below dvd  ","")&amp;IF(ISNUMBER($AJ72)*(N($AJ72)&gt;$H$4)&gt;0,"leverage high","")))</f>
        <v/>
      </c>
      <c r="AQ72" s="78">
        <f>IF($C72="","",IF(HSI!$F$67="HKD","",HSI!$F$67))</f>
        <v/>
      </c>
    </row>
    <row r="73">
      <c r="B73" s="62" t="inlineStr">
        <is>
          <t>HSI</t>
        </is>
      </c>
      <c r="C73" s="6">
        <f>IF(HSI!$C$68="","",HSI!$C$68)</f>
        <v/>
      </c>
      <c r="D73" s="6">
        <f>IF($C73="","",HSI!$D$68)</f>
        <v/>
      </c>
      <c r="E73" s="6">
        <f>IF($C73="","",HSI!$E$68)</f>
        <v/>
      </c>
      <c r="F73" s="63">
        <f>IF($C73="","",SUMPRODUCT(('Dvd Calendar'!$E$682:$AR$682&gt;=DATE(YEAR_Y-5,1,1))*('Dvd Calendar'!$E$682:$AR$682&lt;=DATE(YEAR_Y-5,12,31))*'Dvd Calendar'!$E$685:$AR$685*(('Dvd Calendar'!$E$687:$AR$687=TYPE1)*(TYPE1&lt;&gt;"")+('Dvd Calendar'!$E$687:$AR$687=TYPE2)*(TYPE2&lt;&gt;"")+('Dvd Calendar'!$E$687:$AR$687=TYPE3)*(TYPE3&lt;&gt;"")+('Dvd Calendar'!$E$687:$AR$687=TYPE4)*(TYPE4&lt;&gt;"")+('Dvd Calendar'!$E$687:$AR$687=SPECIAL_LBL)*(INC_SPECIALS="Y"))))</f>
        <v/>
      </c>
      <c r="G73" s="64">
        <f>IF($C73="","",SUMPRODUCT(('Dvd Calendar'!$E$682:$AR$682&gt;=DATE(YEAR_Y-4,1,1))*('Dvd Calendar'!$E$682:$AR$682&lt;=DATE(YEAR_Y-4,12,31))*'Dvd Calendar'!$E$685:$AR$685*(('Dvd Calendar'!$E$687:$AR$687=TYPE1)*(TYPE1&lt;&gt;"")+('Dvd Calendar'!$E$687:$AR$687=TYPE2)*(TYPE2&lt;&gt;"")+('Dvd Calendar'!$E$687:$AR$687=TYPE3)*(TYPE3&lt;&gt;"")+('Dvd Calendar'!$E$687:$AR$687=TYPE4)*(TYPE4&lt;&gt;"")+('Dvd Calendar'!$E$687:$AR$687=SPECIAL_LBL)*(INC_SPECIALS="Y"))))</f>
        <v/>
      </c>
      <c r="H73" s="64">
        <f>IF($C73="","",SUMPRODUCT(('Dvd Calendar'!$E$682:$AR$682&gt;=DATE(YEAR_Y-3,1,1))*('Dvd Calendar'!$E$682:$AR$682&lt;=DATE(YEAR_Y-3,12,31))*'Dvd Calendar'!$E$685:$AR$685*(('Dvd Calendar'!$E$687:$AR$687=TYPE1)*(TYPE1&lt;&gt;"")+('Dvd Calendar'!$E$687:$AR$687=TYPE2)*(TYPE2&lt;&gt;"")+('Dvd Calendar'!$E$687:$AR$687=TYPE3)*(TYPE3&lt;&gt;"")+('Dvd Calendar'!$E$687:$AR$687=TYPE4)*(TYPE4&lt;&gt;"")+('Dvd Calendar'!$E$687:$AR$687=SPECIAL_LBL)*(INC_SPECIALS="Y"))))</f>
        <v/>
      </c>
      <c r="I73" s="64">
        <f>IF($C73="","",SUMPRODUCT(('Dvd Calendar'!$E$682:$AR$682&gt;=DATE(YEAR_Y-2,1,1))*('Dvd Calendar'!$E$682:$AR$682&lt;=DATE(YEAR_Y-2,12,31))*'Dvd Calendar'!$E$685:$AR$685*(('Dvd Calendar'!$E$687:$AR$687=TYPE1)*(TYPE1&lt;&gt;"")+('Dvd Calendar'!$E$687:$AR$687=TYPE2)*(TYPE2&lt;&gt;"")+('Dvd Calendar'!$E$687:$AR$687=TYPE3)*(TYPE3&lt;&gt;"")+('Dvd Calendar'!$E$687:$AR$687=TYPE4)*(TYPE4&lt;&gt;"")+('Dvd Calendar'!$E$687:$AR$687=SPECIAL_LBL)*(INC_SPECIALS="Y"))))</f>
        <v/>
      </c>
      <c r="J73" s="64">
        <f>IF($C73="","",SUMPRODUCT(('Dvd Calendar'!$E$682:$AR$682&gt;=DATE(YEAR_Y-1,1,1))*('Dvd Calendar'!$E$682:$AR$682&lt;=DATE(YEAR_Y-1,12,31))*'Dvd Calendar'!$E$685:$AR$685*(('Dvd Calendar'!$E$687:$AR$687=TYPE1)*(TYPE1&lt;&gt;"")+('Dvd Calendar'!$E$687:$AR$687=TYPE2)*(TYPE2&lt;&gt;"")+('Dvd Calendar'!$E$687:$AR$687=TYPE3)*(TYPE3&lt;&gt;"")+('Dvd Calendar'!$E$687:$AR$687=TYPE4)*(TYPE4&lt;&gt;"")+('Dvd Calendar'!$E$687:$AR$687=SPECIAL_LBL)*(INC_SPECIALS="Y"))))</f>
        <v/>
      </c>
      <c r="K73" s="65">
        <f>IF($C73="","",HSI!$J$68)</f>
        <v/>
      </c>
      <c r="L73" s="65">
        <f>IF($C73="","",HSI!$K$68)</f>
        <v/>
      </c>
      <c r="M73" s="41">
        <f>IF($C73="","",AVERAGE(F73:J73))</f>
        <v/>
      </c>
      <c r="N73" s="66">
        <f>IF($C73="","",IF(PULL_FUND="N","",IFERROR(BDP($C73,EPS_FIELD,YR_OVERRIDE,TEXT(YEAR_Y-5,"0")),"")))</f>
        <v/>
      </c>
      <c r="O73" s="67">
        <f>IF($C73="","",IF(PULL_FUND="N","",IFERROR(BDP($C73,EPS_FIELD,YR_OVERRIDE,TEXT(YEAR_Y-4,"0")),"")))</f>
        <v/>
      </c>
      <c r="P73" s="67">
        <f>IF($C73="","",IF(PULL_FUND="N","",IFERROR(BDP($C73,EPS_FIELD,YR_OVERRIDE,TEXT(YEAR_Y-3,"0")),"")))</f>
        <v/>
      </c>
      <c r="Q73" s="67">
        <f>IF($C73="","",IF(PULL_FUND="N","",IFERROR(BDP($C73,EPS_FIELD,YR_OVERRIDE,TEXT(YEAR_Y-2,"0")),"")))</f>
        <v/>
      </c>
      <c r="R73" s="67">
        <f>IF($C73="","",IF(PULL_FUND="N","",IFERROR(BDP($C73,EPS_FIELD,YR_OVERRIDE,TEXT(YEAR_Y-1,"0")),"")))</f>
        <v/>
      </c>
      <c r="S73" s="68">
        <f>IF($C73="","",IF(PULL_FUND="N","",IFERROR(BDP($C73,PAYOUT_FIELD,YR_OVERRIDE,TEXT(YEAR_Y-5,"0"))/100,"")))</f>
        <v/>
      </c>
      <c r="T73" s="68">
        <f>IF($C73="","",IF(PULL_FUND="N","",IFERROR(BDP($C73,PAYOUT_FIELD,YR_OVERRIDE,TEXT(YEAR_Y-4,"0"))/100,"")))</f>
        <v/>
      </c>
      <c r="U73" s="68">
        <f>IF($C73="","",IF(PULL_FUND="N","",IFERROR(BDP($C73,PAYOUT_FIELD,YR_OVERRIDE,TEXT(YEAR_Y-3,"0"))/100,"")))</f>
        <v/>
      </c>
      <c r="V73" s="68">
        <f>IF($C73="","",IF(PULL_FUND="N","",IFERROR(BDP($C73,PAYOUT_FIELD,YR_OVERRIDE,TEXT(YEAR_Y-2,"0"))/100,"")))</f>
        <v/>
      </c>
      <c r="W73" s="68">
        <f>IF($C73="","",IF(PULL_FUND="N","",IFERROR(BDP($C73,PAYOUT_FIELD,YR_OVERRIDE,TEXT(YEAR_Y-1,"0"))/100,"")))</f>
        <v/>
      </c>
      <c r="X73" s="69">
        <f>IF($C73="","",IFERROR(AVERAGE(S73:W73),""))</f>
        <v/>
      </c>
      <c r="Y73" s="66">
        <f>IF($C73="","",IF(PULL_FUND="N","",IFERROR(BDP($C73,BESTEPS_FIELD,FWD_OVERRIDE,TEXT(MOD(YEAR_Y,100),"00")&amp;"Y"),"")))</f>
        <v/>
      </c>
      <c r="Z73" s="70">
        <f>IF($C73="","",IF(PULL_FUND="N","",IFERROR(BDP($C73,BESTDPS_FIELD,FWD_OVERRIDE,TEXT(MOD(YEAR_Y,100),"00")&amp;"Y"),"")))</f>
        <v/>
      </c>
      <c r="AA73" s="71">
        <f>IF($C73="","",IF(ISNUMBER($Y73)*ISNUMBER($Z73)*($Y73&lt;&gt;0)=0,"",$Z73/$Y73))</f>
        <v/>
      </c>
      <c r="AB73" s="41">
        <f>IF($C73="","",HSI!$J$68+HSI!$L$68)</f>
        <v/>
      </c>
      <c r="AC73" s="72">
        <f>IF($C73="","",IF(PULL_FUND="N","",IF(COUNTIFS('Fund History'!$G$374:$G$378,"&gt;="&amp;DATE(YEAR_Y-4,1,1),'Fund History'!$G$374:$G$378,"&lt;="&amp;DATE(YEAR_Y-4,12,31))=0,"",SUMIFS('Fund History'!$H$374:$H$378,'Fund History'!$G$374:$G$378,"&gt;="&amp;DATE(YEAR_Y-4,1,1),'Fund History'!$G$374:$G$378,"&lt;="&amp;DATE(YEAR_Y-4,12,31))/100)))</f>
        <v/>
      </c>
      <c r="AD73" s="73">
        <f>IF($C73="","",IF(PULL_FUND="N","",IF(COUNTIFS('Fund History'!$G$374:$G$378,"&gt;="&amp;DATE(YEAR_Y-3,1,1),'Fund History'!$G$374:$G$378,"&lt;="&amp;DATE(YEAR_Y-3,12,31))=0,"",SUMIFS('Fund History'!$H$374:$H$378,'Fund History'!$G$374:$G$378,"&gt;="&amp;DATE(YEAR_Y-3,1,1),'Fund History'!$G$374:$G$378,"&lt;="&amp;DATE(YEAR_Y-3,12,31))/100)))</f>
        <v/>
      </c>
      <c r="AE73" s="73">
        <f>IF($C73="","",IF(PULL_FUND="N","",IF(COUNTIFS('Fund History'!$G$374:$G$378,"&gt;="&amp;DATE(YEAR_Y-2,1,1),'Fund History'!$G$374:$G$378,"&lt;="&amp;DATE(YEAR_Y-2,12,31))=0,"",SUMIFS('Fund History'!$H$374:$H$378,'Fund History'!$G$374:$G$378,"&gt;="&amp;DATE(YEAR_Y-2,1,1),'Fund History'!$G$374:$G$378,"&lt;="&amp;DATE(YEAR_Y-2,12,31))/100)))</f>
        <v/>
      </c>
      <c r="AF73" s="73">
        <f>IF($C73="","",IF(PULL_FUND="N","",IF(COUNTIFS('Fund History'!$G$374:$G$378,"&gt;="&amp;DATE(YEAR_Y-1,1,1),'Fund History'!$G$374:$G$378,"&lt;="&amp;DATE(YEAR_Y-1,12,31))=0,"",SUMIFS('Fund History'!$H$374:$H$378,'Fund History'!$G$374:$G$378,"&gt;="&amp;DATE(YEAR_Y-1,1,1),'Fund History'!$G$374:$G$378,"&lt;="&amp;DATE(YEAR_Y-1,12,31))/100)))</f>
        <v/>
      </c>
      <c r="AG73" s="74">
        <f>IF($C73="","",IF(N($AF73)+N(HSI!$I$68)=0,"",N($AF73)+N(HSI!$I$68)/100))</f>
        <v/>
      </c>
      <c r="AH73" s="66">
        <f>IF($C73="","",IF(PULL_FUND="N","",IF(COUNTIFS('Fund History'!$D$374:$D$378,"&gt;="&amp;DATE(YEAR_Y-2,1,1),'Fund History'!$D$374:$D$378,"&lt;="&amp;DATE(YEAR_Y-2,12,31))=0,"",SUMIFS('Fund History'!$E$374:$E$378,'Fund History'!$D$374:$D$378,"&gt;="&amp;DATE(YEAR_Y-2,1,1),'Fund History'!$D$374:$D$378,"&lt;="&amp;DATE(YEAR_Y-2,12,31)))))</f>
        <v/>
      </c>
      <c r="AI73" s="67">
        <f>IF($C73="","",IF(PULL_FUND="N","",IF(COUNTIFS('Fund History'!$D$374:$D$378,"&gt;="&amp;DATE(YEAR_Y-1,1,1),'Fund History'!$D$374:$D$378,"&lt;="&amp;DATE(YEAR_Y-1,12,31))=0,"",SUMIFS('Fund History'!$E$374:$E$378,'Fund History'!$D$374:$D$378,"&gt;="&amp;DATE(YEAR_Y-1,1,1),'Fund History'!$D$374:$D$378,"&lt;="&amp;DATE(YEAR_Y-1,12,31)))))</f>
        <v/>
      </c>
      <c r="AJ73" s="67">
        <f>IF($C73="","",IF(PULL_FUND="N","",IFERROR(BDP($C73,NDEBITDA_FIELD),"")))</f>
        <v/>
      </c>
      <c r="AK73" s="75">
        <f>IF($C73="","",IF(PULL_FUND="N","",IFERROR(BDP($C73,EBINT_FIELD),"")))</f>
        <v/>
      </c>
      <c r="AL73" s="73">
        <f>IF($C73="","",IF(PULL_FUND="N","",IFERROR(BDP($C73,FCF_FIELD)/100,"")))</f>
        <v/>
      </c>
      <c r="AM73" s="76">
        <f>IF($C73="","",IF(ISNUMBER(HSI!$I$68),HSI!$I$68/100,""))</f>
        <v/>
      </c>
      <c r="AN73" s="47">
        <f>IF($C73="","",IF(N($AM73)=0,"",IFERROR($AL73/$AM73,"")))</f>
        <v/>
      </c>
      <c r="AO73" s="33">
        <f>IF($C73="","",IF(ISNUMBER($S73)*ISNUMBER($W73)=0,"",IF($W73&gt;$S73+0.05,"rising",IF($W73&lt;$S73-0.05,"falling","stable"))))</f>
        <v/>
      </c>
      <c r="AP73" s="77">
        <f>IF($C73="","",TRIM(IF(ISNUMBER($X73)*(N($X73)&gt;$D$4)&gt;0,"payout high  ","")&amp;IF(ISNUMBER($AN73)*(N($AN73)&lt;$F$4)&gt;0,"FCF below dvd  ","")&amp;IF(ISNUMBER($AJ73)*(N($AJ73)&gt;$H$4)&gt;0,"leverage high","")))</f>
        <v/>
      </c>
      <c r="AQ73" s="78">
        <f>IF($C73="","",IF(HSI!$F$68="HKD","",HSI!$F$68))</f>
        <v/>
      </c>
    </row>
    <row r="74">
      <c r="B74" s="62" t="inlineStr">
        <is>
          <t>HSI</t>
        </is>
      </c>
      <c r="C74" s="6">
        <f>IF(HSI!$C$69="","",HSI!$C$69)</f>
        <v/>
      </c>
      <c r="D74" s="6">
        <f>IF($C74="","",HSI!$D$69)</f>
        <v/>
      </c>
      <c r="E74" s="6">
        <f>IF($C74="","",HSI!$E$69)</f>
        <v/>
      </c>
      <c r="F74" s="63">
        <f>IF($C74="","",SUMPRODUCT(('Dvd Calendar'!$E$693:$AR$693&gt;=DATE(YEAR_Y-5,1,1))*('Dvd Calendar'!$E$693:$AR$693&lt;=DATE(YEAR_Y-5,12,31))*'Dvd Calendar'!$E$696:$AR$696*(('Dvd Calendar'!$E$698:$AR$698=TYPE1)*(TYPE1&lt;&gt;"")+('Dvd Calendar'!$E$698:$AR$698=TYPE2)*(TYPE2&lt;&gt;"")+('Dvd Calendar'!$E$698:$AR$698=TYPE3)*(TYPE3&lt;&gt;"")+('Dvd Calendar'!$E$698:$AR$698=TYPE4)*(TYPE4&lt;&gt;"")+('Dvd Calendar'!$E$698:$AR$698=SPECIAL_LBL)*(INC_SPECIALS="Y"))))</f>
        <v/>
      </c>
      <c r="G74" s="64">
        <f>IF($C74="","",SUMPRODUCT(('Dvd Calendar'!$E$693:$AR$693&gt;=DATE(YEAR_Y-4,1,1))*('Dvd Calendar'!$E$693:$AR$693&lt;=DATE(YEAR_Y-4,12,31))*'Dvd Calendar'!$E$696:$AR$696*(('Dvd Calendar'!$E$698:$AR$698=TYPE1)*(TYPE1&lt;&gt;"")+('Dvd Calendar'!$E$698:$AR$698=TYPE2)*(TYPE2&lt;&gt;"")+('Dvd Calendar'!$E$698:$AR$698=TYPE3)*(TYPE3&lt;&gt;"")+('Dvd Calendar'!$E$698:$AR$698=TYPE4)*(TYPE4&lt;&gt;"")+('Dvd Calendar'!$E$698:$AR$698=SPECIAL_LBL)*(INC_SPECIALS="Y"))))</f>
        <v/>
      </c>
      <c r="H74" s="64">
        <f>IF($C74="","",SUMPRODUCT(('Dvd Calendar'!$E$693:$AR$693&gt;=DATE(YEAR_Y-3,1,1))*('Dvd Calendar'!$E$693:$AR$693&lt;=DATE(YEAR_Y-3,12,31))*'Dvd Calendar'!$E$696:$AR$696*(('Dvd Calendar'!$E$698:$AR$698=TYPE1)*(TYPE1&lt;&gt;"")+('Dvd Calendar'!$E$698:$AR$698=TYPE2)*(TYPE2&lt;&gt;"")+('Dvd Calendar'!$E$698:$AR$698=TYPE3)*(TYPE3&lt;&gt;"")+('Dvd Calendar'!$E$698:$AR$698=TYPE4)*(TYPE4&lt;&gt;"")+('Dvd Calendar'!$E$698:$AR$698=SPECIAL_LBL)*(INC_SPECIALS="Y"))))</f>
        <v/>
      </c>
      <c r="I74" s="64">
        <f>IF($C74="","",SUMPRODUCT(('Dvd Calendar'!$E$693:$AR$693&gt;=DATE(YEAR_Y-2,1,1))*('Dvd Calendar'!$E$693:$AR$693&lt;=DATE(YEAR_Y-2,12,31))*'Dvd Calendar'!$E$696:$AR$696*(('Dvd Calendar'!$E$698:$AR$698=TYPE1)*(TYPE1&lt;&gt;"")+('Dvd Calendar'!$E$698:$AR$698=TYPE2)*(TYPE2&lt;&gt;"")+('Dvd Calendar'!$E$698:$AR$698=TYPE3)*(TYPE3&lt;&gt;"")+('Dvd Calendar'!$E$698:$AR$698=TYPE4)*(TYPE4&lt;&gt;"")+('Dvd Calendar'!$E$698:$AR$698=SPECIAL_LBL)*(INC_SPECIALS="Y"))))</f>
        <v/>
      </c>
      <c r="J74" s="64">
        <f>IF($C74="","",SUMPRODUCT(('Dvd Calendar'!$E$693:$AR$693&gt;=DATE(YEAR_Y-1,1,1))*('Dvd Calendar'!$E$693:$AR$693&lt;=DATE(YEAR_Y-1,12,31))*'Dvd Calendar'!$E$696:$AR$696*(('Dvd Calendar'!$E$698:$AR$698=TYPE1)*(TYPE1&lt;&gt;"")+('Dvd Calendar'!$E$698:$AR$698=TYPE2)*(TYPE2&lt;&gt;"")+('Dvd Calendar'!$E$698:$AR$698=TYPE3)*(TYPE3&lt;&gt;"")+('Dvd Calendar'!$E$698:$AR$698=TYPE4)*(TYPE4&lt;&gt;"")+('Dvd Calendar'!$E$698:$AR$698=SPECIAL_LBL)*(INC_SPECIALS="Y"))))</f>
        <v/>
      </c>
      <c r="K74" s="65">
        <f>IF($C74="","",HSI!$J$69)</f>
        <v/>
      </c>
      <c r="L74" s="65">
        <f>IF($C74="","",HSI!$K$69)</f>
        <v/>
      </c>
      <c r="M74" s="41">
        <f>IF($C74="","",AVERAGE(F74:J74))</f>
        <v/>
      </c>
      <c r="N74" s="66">
        <f>IF($C74="","",IF(PULL_FUND="N","",IFERROR(BDP($C74,EPS_FIELD,YR_OVERRIDE,TEXT(YEAR_Y-5,"0")),"")))</f>
        <v/>
      </c>
      <c r="O74" s="67">
        <f>IF($C74="","",IF(PULL_FUND="N","",IFERROR(BDP($C74,EPS_FIELD,YR_OVERRIDE,TEXT(YEAR_Y-4,"0")),"")))</f>
        <v/>
      </c>
      <c r="P74" s="67">
        <f>IF($C74="","",IF(PULL_FUND="N","",IFERROR(BDP($C74,EPS_FIELD,YR_OVERRIDE,TEXT(YEAR_Y-3,"0")),"")))</f>
        <v/>
      </c>
      <c r="Q74" s="67">
        <f>IF($C74="","",IF(PULL_FUND="N","",IFERROR(BDP($C74,EPS_FIELD,YR_OVERRIDE,TEXT(YEAR_Y-2,"0")),"")))</f>
        <v/>
      </c>
      <c r="R74" s="67">
        <f>IF($C74="","",IF(PULL_FUND="N","",IFERROR(BDP($C74,EPS_FIELD,YR_OVERRIDE,TEXT(YEAR_Y-1,"0")),"")))</f>
        <v/>
      </c>
      <c r="S74" s="68">
        <f>IF($C74="","",IF(PULL_FUND="N","",IFERROR(BDP($C74,PAYOUT_FIELD,YR_OVERRIDE,TEXT(YEAR_Y-5,"0"))/100,"")))</f>
        <v/>
      </c>
      <c r="T74" s="68">
        <f>IF($C74="","",IF(PULL_FUND="N","",IFERROR(BDP($C74,PAYOUT_FIELD,YR_OVERRIDE,TEXT(YEAR_Y-4,"0"))/100,"")))</f>
        <v/>
      </c>
      <c r="U74" s="68">
        <f>IF($C74="","",IF(PULL_FUND="N","",IFERROR(BDP($C74,PAYOUT_FIELD,YR_OVERRIDE,TEXT(YEAR_Y-3,"0"))/100,"")))</f>
        <v/>
      </c>
      <c r="V74" s="68">
        <f>IF($C74="","",IF(PULL_FUND="N","",IFERROR(BDP($C74,PAYOUT_FIELD,YR_OVERRIDE,TEXT(YEAR_Y-2,"0"))/100,"")))</f>
        <v/>
      </c>
      <c r="W74" s="68">
        <f>IF($C74="","",IF(PULL_FUND="N","",IFERROR(BDP($C74,PAYOUT_FIELD,YR_OVERRIDE,TEXT(YEAR_Y-1,"0"))/100,"")))</f>
        <v/>
      </c>
      <c r="X74" s="69">
        <f>IF($C74="","",IFERROR(AVERAGE(S74:W74),""))</f>
        <v/>
      </c>
      <c r="Y74" s="66">
        <f>IF($C74="","",IF(PULL_FUND="N","",IFERROR(BDP($C74,BESTEPS_FIELD,FWD_OVERRIDE,TEXT(MOD(YEAR_Y,100),"00")&amp;"Y"),"")))</f>
        <v/>
      </c>
      <c r="Z74" s="70">
        <f>IF($C74="","",IF(PULL_FUND="N","",IFERROR(BDP($C74,BESTDPS_FIELD,FWD_OVERRIDE,TEXT(MOD(YEAR_Y,100),"00")&amp;"Y"),"")))</f>
        <v/>
      </c>
      <c r="AA74" s="71">
        <f>IF($C74="","",IF(ISNUMBER($Y74)*ISNUMBER($Z74)*($Y74&lt;&gt;0)=0,"",$Z74/$Y74))</f>
        <v/>
      </c>
      <c r="AB74" s="41">
        <f>IF($C74="","",HSI!$J$69+HSI!$L$69)</f>
        <v/>
      </c>
      <c r="AC74" s="72">
        <f>IF($C74="","",IF(PULL_FUND="N","",IF(COUNTIFS('Fund History'!$G$380:$G$384,"&gt;="&amp;DATE(YEAR_Y-4,1,1),'Fund History'!$G$380:$G$384,"&lt;="&amp;DATE(YEAR_Y-4,12,31))=0,"",SUMIFS('Fund History'!$H$380:$H$384,'Fund History'!$G$380:$G$384,"&gt;="&amp;DATE(YEAR_Y-4,1,1),'Fund History'!$G$380:$G$384,"&lt;="&amp;DATE(YEAR_Y-4,12,31))/100)))</f>
        <v/>
      </c>
      <c r="AD74" s="73">
        <f>IF($C74="","",IF(PULL_FUND="N","",IF(COUNTIFS('Fund History'!$G$380:$G$384,"&gt;="&amp;DATE(YEAR_Y-3,1,1),'Fund History'!$G$380:$G$384,"&lt;="&amp;DATE(YEAR_Y-3,12,31))=0,"",SUMIFS('Fund History'!$H$380:$H$384,'Fund History'!$G$380:$G$384,"&gt;="&amp;DATE(YEAR_Y-3,1,1),'Fund History'!$G$380:$G$384,"&lt;="&amp;DATE(YEAR_Y-3,12,31))/100)))</f>
        <v/>
      </c>
      <c r="AE74" s="73">
        <f>IF($C74="","",IF(PULL_FUND="N","",IF(COUNTIFS('Fund History'!$G$380:$G$384,"&gt;="&amp;DATE(YEAR_Y-2,1,1),'Fund History'!$G$380:$G$384,"&lt;="&amp;DATE(YEAR_Y-2,12,31))=0,"",SUMIFS('Fund History'!$H$380:$H$384,'Fund History'!$G$380:$G$384,"&gt;="&amp;DATE(YEAR_Y-2,1,1),'Fund History'!$G$380:$G$384,"&lt;="&amp;DATE(YEAR_Y-2,12,31))/100)))</f>
        <v/>
      </c>
      <c r="AF74" s="73">
        <f>IF($C74="","",IF(PULL_FUND="N","",IF(COUNTIFS('Fund History'!$G$380:$G$384,"&gt;="&amp;DATE(YEAR_Y-1,1,1),'Fund History'!$G$380:$G$384,"&lt;="&amp;DATE(YEAR_Y-1,12,31))=0,"",SUMIFS('Fund History'!$H$380:$H$384,'Fund History'!$G$380:$G$384,"&gt;="&amp;DATE(YEAR_Y-1,1,1),'Fund History'!$G$380:$G$384,"&lt;="&amp;DATE(YEAR_Y-1,12,31))/100)))</f>
        <v/>
      </c>
      <c r="AG74" s="74">
        <f>IF($C74="","",IF(N($AF74)+N(HSI!$I$69)=0,"",N($AF74)+N(HSI!$I$69)/100))</f>
        <v/>
      </c>
      <c r="AH74" s="66">
        <f>IF($C74="","",IF(PULL_FUND="N","",IF(COUNTIFS('Fund History'!$D$380:$D$384,"&gt;="&amp;DATE(YEAR_Y-2,1,1),'Fund History'!$D$380:$D$384,"&lt;="&amp;DATE(YEAR_Y-2,12,31))=0,"",SUMIFS('Fund History'!$E$380:$E$384,'Fund History'!$D$380:$D$384,"&gt;="&amp;DATE(YEAR_Y-2,1,1),'Fund History'!$D$380:$D$384,"&lt;="&amp;DATE(YEAR_Y-2,12,31)))))</f>
        <v/>
      </c>
      <c r="AI74" s="67">
        <f>IF($C74="","",IF(PULL_FUND="N","",IF(COUNTIFS('Fund History'!$D$380:$D$384,"&gt;="&amp;DATE(YEAR_Y-1,1,1),'Fund History'!$D$380:$D$384,"&lt;="&amp;DATE(YEAR_Y-1,12,31))=0,"",SUMIFS('Fund History'!$E$380:$E$384,'Fund History'!$D$380:$D$384,"&gt;="&amp;DATE(YEAR_Y-1,1,1),'Fund History'!$D$380:$D$384,"&lt;="&amp;DATE(YEAR_Y-1,12,31)))))</f>
        <v/>
      </c>
      <c r="AJ74" s="67">
        <f>IF($C74="","",IF(PULL_FUND="N","",IFERROR(BDP($C74,NDEBITDA_FIELD),"")))</f>
        <v/>
      </c>
      <c r="AK74" s="75">
        <f>IF($C74="","",IF(PULL_FUND="N","",IFERROR(BDP($C74,EBINT_FIELD),"")))</f>
        <v/>
      </c>
      <c r="AL74" s="73">
        <f>IF($C74="","",IF(PULL_FUND="N","",IFERROR(BDP($C74,FCF_FIELD)/100,"")))</f>
        <v/>
      </c>
      <c r="AM74" s="76">
        <f>IF($C74="","",IF(ISNUMBER(HSI!$I$69),HSI!$I$69/100,""))</f>
        <v/>
      </c>
      <c r="AN74" s="47">
        <f>IF($C74="","",IF(N($AM74)=0,"",IFERROR($AL74/$AM74,"")))</f>
        <v/>
      </c>
      <c r="AO74" s="33">
        <f>IF($C74="","",IF(ISNUMBER($S74)*ISNUMBER($W74)=0,"",IF($W74&gt;$S74+0.05,"rising",IF($W74&lt;$S74-0.05,"falling","stable"))))</f>
        <v/>
      </c>
      <c r="AP74" s="77">
        <f>IF($C74="","",TRIM(IF(ISNUMBER($X74)*(N($X74)&gt;$D$4)&gt;0,"payout high  ","")&amp;IF(ISNUMBER($AN74)*(N($AN74)&lt;$F$4)&gt;0,"FCF below dvd  ","")&amp;IF(ISNUMBER($AJ74)*(N($AJ74)&gt;$H$4)&gt;0,"leverage high","")))</f>
        <v/>
      </c>
      <c r="AQ74" s="78">
        <f>IF($C74="","",IF(HSI!$F$69="HKD","",HSI!$F$69))</f>
        <v/>
      </c>
    </row>
    <row r="75">
      <c r="B75" s="62" t="inlineStr">
        <is>
          <t>HSI</t>
        </is>
      </c>
      <c r="C75" s="6">
        <f>IF(HSI!$C$70="","",HSI!$C$70)</f>
        <v/>
      </c>
      <c r="D75" s="6">
        <f>IF($C75="","",HSI!$D$70)</f>
        <v/>
      </c>
      <c r="E75" s="6">
        <f>IF($C75="","",HSI!$E$70)</f>
        <v/>
      </c>
      <c r="F75" s="63">
        <f>IF($C75="","",SUMPRODUCT(('Dvd Calendar'!$E$704:$AR$704&gt;=DATE(YEAR_Y-5,1,1))*('Dvd Calendar'!$E$704:$AR$704&lt;=DATE(YEAR_Y-5,12,31))*'Dvd Calendar'!$E$707:$AR$707*(('Dvd Calendar'!$E$709:$AR$709=TYPE1)*(TYPE1&lt;&gt;"")+('Dvd Calendar'!$E$709:$AR$709=TYPE2)*(TYPE2&lt;&gt;"")+('Dvd Calendar'!$E$709:$AR$709=TYPE3)*(TYPE3&lt;&gt;"")+('Dvd Calendar'!$E$709:$AR$709=TYPE4)*(TYPE4&lt;&gt;"")+('Dvd Calendar'!$E$709:$AR$709=SPECIAL_LBL)*(INC_SPECIALS="Y"))))</f>
        <v/>
      </c>
      <c r="G75" s="64">
        <f>IF($C75="","",SUMPRODUCT(('Dvd Calendar'!$E$704:$AR$704&gt;=DATE(YEAR_Y-4,1,1))*('Dvd Calendar'!$E$704:$AR$704&lt;=DATE(YEAR_Y-4,12,31))*'Dvd Calendar'!$E$707:$AR$707*(('Dvd Calendar'!$E$709:$AR$709=TYPE1)*(TYPE1&lt;&gt;"")+('Dvd Calendar'!$E$709:$AR$709=TYPE2)*(TYPE2&lt;&gt;"")+('Dvd Calendar'!$E$709:$AR$709=TYPE3)*(TYPE3&lt;&gt;"")+('Dvd Calendar'!$E$709:$AR$709=TYPE4)*(TYPE4&lt;&gt;"")+('Dvd Calendar'!$E$709:$AR$709=SPECIAL_LBL)*(INC_SPECIALS="Y"))))</f>
        <v/>
      </c>
      <c r="H75" s="64">
        <f>IF($C75="","",SUMPRODUCT(('Dvd Calendar'!$E$704:$AR$704&gt;=DATE(YEAR_Y-3,1,1))*('Dvd Calendar'!$E$704:$AR$704&lt;=DATE(YEAR_Y-3,12,31))*'Dvd Calendar'!$E$707:$AR$707*(('Dvd Calendar'!$E$709:$AR$709=TYPE1)*(TYPE1&lt;&gt;"")+('Dvd Calendar'!$E$709:$AR$709=TYPE2)*(TYPE2&lt;&gt;"")+('Dvd Calendar'!$E$709:$AR$709=TYPE3)*(TYPE3&lt;&gt;"")+('Dvd Calendar'!$E$709:$AR$709=TYPE4)*(TYPE4&lt;&gt;"")+('Dvd Calendar'!$E$709:$AR$709=SPECIAL_LBL)*(INC_SPECIALS="Y"))))</f>
        <v/>
      </c>
      <c r="I75" s="64">
        <f>IF($C75="","",SUMPRODUCT(('Dvd Calendar'!$E$704:$AR$704&gt;=DATE(YEAR_Y-2,1,1))*('Dvd Calendar'!$E$704:$AR$704&lt;=DATE(YEAR_Y-2,12,31))*'Dvd Calendar'!$E$707:$AR$707*(('Dvd Calendar'!$E$709:$AR$709=TYPE1)*(TYPE1&lt;&gt;"")+('Dvd Calendar'!$E$709:$AR$709=TYPE2)*(TYPE2&lt;&gt;"")+('Dvd Calendar'!$E$709:$AR$709=TYPE3)*(TYPE3&lt;&gt;"")+('Dvd Calendar'!$E$709:$AR$709=TYPE4)*(TYPE4&lt;&gt;"")+('Dvd Calendar'!$E$709:$AR$709=SPECIAL_LBL)*(INC_SPECIALS="Y"))))</f>
        <v/>
      </c>
      <c r="J75" s="64">
        <f>IF($C75="","",SUMPRODUCT(('Dvd Calendar'!$E$704:$AR$704&gt;=DATE(YEAR_Y-1,1,1))*('Dvd Calendar'!$E$704:$AR$704&lt;=DATE(YEAR_Y-1,12,31))*'Dvd Calendar'!$E$707:$AR$707*(('Dvd Calendar'!$E$709:$AR$709=TYPE1)*(TYPE1&lt;&gt;"")+('Dvd Calendar'!$E$709:$AR$709=TYPE2)*(TYPE2&lt;&gt;"")+('Dvd Calendar'!$E$709:$AR$709=TYPE3)*(TYPE3&lt;&gt;"")+('Dvd Calendar'!$E$709:$AR$709=TYPE4)*(TYPE4&lt;&gt;"")+('Dvd Calendar'!$E$709:$AR$709=SPECIAL_LBL)*(INC_SPECIALS="Y"))))</f>
        <v/>
      </c>
      <c r="K75" s="65">
        <f>IF($C75="","",HSI!$J$70)</f>
        <v/>
      </c>
      <c r="L75" s="65">
        <f>IF($C75="","",HSI!$K$70)</f>
        <v/>
      </c>
      <c r="M75" s="41">
        <f>IF($C75="","",AVERAGE(F75:J75))</f>
        <v/>
      </c>
      <c r="N75" s="66">
        <f>IF($C75="","",IF(PULL_FUND="N","",IFERROR(BDP($C75,EPS_FIELD,YR_OVERRIDE,TEXT(YEAR_Y-5,"0")),"")))</f>
        <v/>
      </c>
      <c r="O75" s="67">
        <f>IF($C75="","",IF(PULL_FUND="N","",IFERROR(BDP($C75,EPS_FIELD,YR_OVERRIDE,TEXT(YEAR_Y-4,"0")),"")))</f>
        <v/>
      </c>
      <c r="P75" s="67">
        <f>IF($C75="","",IF(PULL_FUND="N","",IFERROR(BDP($C75,EPS_FIELD,YR_OVERRIDE,TEXT(YEAR_Y-3,"0")),"")))</f>
        <v/>
      </c>
      <c r="Q75" s="67">
        <f>IF($C75="","",IF(PULL_FUND="N","",IFERROR(BDP($C75,EPS_FIELD,YR_OVERRIDE,TEXT(YEAR_Y-2,"0")),"")))</f>
        <v/>
      </c>
      <c r="R75" s="67">
        <f>IF($C75="","",IF(PULL_FUND="N","",IFERROR(BDP($C75,EPS_FIELD,YR_OVERRIDE,TEXT(YEAR_Y-1,"0")),"")))</f>
        <v/>
      </c>
      <c r="S75" s="68">
        <f>IF($C75="","",IF(PULL_FUND="N","",IFERROR(BDP($C75,PAYOUT_FIELD,YR_OVERRIDE,TEXT(YEAR_Y-5,"0"))/100,"")))</f>
        <v/>
      </c>
      <c r="T75" s="68">
        <f>IF($C75="","",IF(PULL_FUND="N","",IFERROR(BDP($C75,PAYOUT_FIELD,YR_OVERRIDE,TEXT(YEAR_Y-4,"0"))/100,"")))</f>
        <v/>
      </c>
      <c r="U75" s="68">
        <f>IF($C75="","",IF(PULL_FUND="N","",IFERROR(BDP($C75,PAYOUT_FIELD,YR_OVERRIDE,TEXT(YEAR_Y-3,"0"))/100,"")))</f>
        <v/>
      </c>
      <c r="V75" s="68">
        <f>IF($C75="","",IF(PULL_FUND="N","",IFERROR(BDP($C75,PAYOUT_FIELD,YR_OVERRIDE,TEXT(YEAR_Y-2,"0"))/100,"")))</f>
        <v/>
      </c>
      <c r="W75" s="68">
        <f>IF($C75="","",IF(PULL_FUND="N","",IFERROR(BDP($C75,PAYOUT_FIELD,YR_OVERRIDE,TEXT(YEAR_Y-1,"0"))/100,"")))</f>
        <v/>
      </c>
      <c r="X75" s="69">
        <f>IF($C75="","",IFERROR(AVERAGE(S75:W75),""))</f>
        <v/>
      </c>
      <c r="Y75" s="66">
        <f>IF($C75="","",IF(PULL_FUND="N","",IFERROR(BDP($C75,BESTEPS_FIELD,FWD_OVERRIDE,TEXT(MOD(YEAR_Y,100),"00")&amp;"Y"),"")))</f>
        <v/>
      </c>
      <c r="Z75" s="70">
        <f>IF($C75="","",IF(PULL_FUND="N","",IFERROR(BDP($C75,BESTDPS_FIELD,FWD_OVERRIDE,TEXT(MOD(YEAR_Y,100),"00")&amp;"Y"),"")))</f>
        <v/>
      </c>
      <c r="AA75" s="71">
        <f>IF($C75="","",IF(ISNUMBER($Y75)*ISNUMBER($Z75)*($Y75&lt;&gt;0)=0,"",$Z75/$Y75))</f>
        <v/>
      </c>
      <c r="AB75" s="41">
        <f>IF($C75="","",HSI!$J$70+HSI!$L$70)</f>
        <v/>
      </c>
      <c r="AC75" s="72">
        <f>IF($C75="","",IF(PULL_FUND="N","",IF(COUNTIFS('Fund History'!$G$386:$G$390,"&gt;="&amp;DATE(YEAR_Y-4,1,1),'Fund History'!$G$386:$G$390,"&lt;="&amp;DATE(YEAR_Y-4,12,31))=0,"",SUMIFS('Fund History'!$H$386:$H$390,'Fund History'!$G$386:$G$390,"&gt;="&amp;DATE(YEAR_Y-4,1,1),'Fund History'!$G$386:$G$390,"&lt;="&amp;DATE(YEAR_Y-4,12,31))/100)))</f>
        <v/>
      </c>
      <c r="AD75" s="73">
        <f>IF($C75="","",IF(PULL_FUND="N","",IF(COUNTIFS('Fund History'!$G$386:$G$390,"&gt;="&amp;DATE(YEAR_Y-3,1,1),'Fund History'!$G$386:$G$390,"&lt;="&amp;DATE(YEAR_Y-3,12,31))=0,"",SUMIFS('Fund History'!$H$386:$H$390,'Fund History'!$G$386:$G$390,"&gt;="&amp;DATE(YEAR_Y-3,1,1),'Fund History'!$G$386:$G$390,"&lt;="&amp;DATE(YEAR_Y-3,12,31))/100)))</f>
        <v/>
      </c>
      <c r="AE75" s="73">
        <f>IF($C75="","",IF(PULL_FUND="N","",IF(COUNTIFS('Fund History'!$G$386:$G$390,"&gt;="&amp;DATE(YEAR_Y-2,1,1),'Fund History'!$G$386:$G$390,"&lt;="&amp;DATE(YEAR_Y-2,12,31))=0,"",SUMIFS('Fund History'!$H$386:$H$390,'Fund History'!$G$386:$G$390,"&gt;="&amp;DATE(YEAR_Y-2,1,1),'Fund History'!$G$386:$G$390,"&lt;="&amp;DATE(YEAR_Y-2,12,31))/100)))</f>
        <v/>
      </c>
      <c r="AF75" s="73">
        <f>IF($C75="","",IF(PULL_FUND="N","",IF(COUNTIFS('Fund History'!$G$386:$G$390,"&gt;="&amp;DATE(YEAR_Y-1,1,1),'Fund History'!$G$386:$G$390,"&lt;="&amp;DATE(YEAR_Y-1,12,31))=0,"",SUMIFS('Fund History'!$H$386:$H$390,'Fund History'!$G$386:$G$390,"&gt;="&amp;DATE(YEAR_Y-1,1,1),'Fund History'!$G$386:$G$390,"&lt;="&amp;DATE(YEAR_Y-1,12,31))/100)))</f>
        <v/>
      </c>
      <c r="AG75" s="74">
        <f>IF($C75="","",IF(N($AF75)+N(HSI!$I$70)=0,"",N($AF75)+N(HSI!$I$70)/100))</f>
        <v/>
      </c>
      <c r="AH75" s="66">
        <f>IF($C75="","",IF(PULL_FUND="N","",IF(COUNTIFS('Fund History'!$D$386:$D$390,"&gt;="&amp;DATE(YEAR_Y-2,1,1),'Fund History'!$D$386:$D$390,"&lt;="&amp;DATE(YEAR_Y-2,12,31))=0,"",SUMIFS('Fund History'!$E$386:$E$390,'Fund History'!$D$386:$D$390,"&gt;="&amp;DATE(YEAR_Y-2,1,1),'Fund History'!$D$386:$D$390,"&lt;="&amp;DATE(YEAR_Y-2,12,31)))))</f>
        <v/>
      </c>
      <c r="AI75" s="67">
        <f>IF($C75="","",IF(PULL_FUND="N","",IF(COUNTIFS('Fund History'!$D$386:$D$390,"&gt;="&amp;DATE(YEAR_Y-1,1,1),'Fund History'!$D$386:$D$390,"&lt;="&amp;DATE(YEAR_Y-1,12,31))=0,"",SUMIFS('Fund History'!$E$386:$E$390,'Fund History'!$D$386:$D$390,"&gt;="&amp;DATE(YEAR_Y-1,1,1),'Fund History'!$D$386:$D$390,"&lt;="&amp;DATE(YEAR_Y-1,12,31)))))</f>
        <v/>
      </c>
      <c r="AJ75" s="67">
        <f>IF($C75="","",IF(PULL_FUND="N","",IFERROR(BDP($C75,NDEBITDA_FIELD),"")))</f>
        <v/>
      </c>
      <c r="AK75" s="75">
        <f>IF($C75="","",IF(PULL_FUND="N","",IFERROR(BDP($C75,EBINT_FIELD),"")))</f>
        <v/>
      </c>
      <c r="AL75" s="73">
        <f>IF($C75="","",IF(PULL_FUND="N","",IFERROR(BDP($C75,FCF_FIELD)/100,"")))</f>
        <v/>
      </c>
      <c r="AM75" s="76">
        <f>IF($C75="","",IF(ISNUMBER(HSI!$I$70),HSI!$I$70/100,""))</f>
        <v/>
      </c>
      <c r="AN75" s="47">
        <f>IF($C75="","",IF(N($AM75)=0,"",IFERROR($AL75/$AM75,"")))</f>
        <v/>
      </c>
      <c r="AO75" s="33">
        <f>IF($C75="","",IF(ISNUMBER($S75)*ISNUMBER($W75)=0,"",IF($W75&gt;$S75+0.05,"rising",IF($W75&lt;$S75-0.05,"falling","stable"))))</f>
        <v/>
      </c>
      <c r="AP75" s="77">
        <f>IF($C75="","",TRIM(IF(ISNUMBER($X75)*(N($X75)&gt;$D$4)&gt;0,"payout high  ","")&amp;IF(ISNUMBER($AN75)*(N($AN75)&lt;$F$4)&gt;0,"FCF below dvd  ","")&amp;IF(ISNUMBER($AJ75)*(N($AJ75)&gt;$H$4)&gt;0,"leverage high","")))</f>
        <v/>
      </c>
      <c r="AQ75" s="78">
        <f>IF($C75="","",IF(HSI!$F$70="HKD","",HSI!$F$70))</f>
        <v/>
      </c>
    </row>
    <row r="76">
      <c r="B76" s="62" t="inlineStr">
        <is>
          <t>HSI</t>
        </is>
      </c>
      <c r="C76" s="6">
        <f>IF(HSI!$C$71="","",HSI!$C$71)</f>
        <v/>
      </c>
      <c r="D76" s="6">
        <f>IF($C76="","",HSI!$D$71)</f>
        <v/>
      </c>
      <c r="E76" s="6">
        <f>IF($C76="","",HSI!$E$71)</f>
        <v/>
      </c>
      <c r="F76" s="63">
        <f>IF($C76="","",SUMPRODUCT(('Dvd Calendar'!$E$715:$AR$715&gt;=DATE(YEAR_Y-5,1,1))*('Dvd Calendar'!$E$715:$AR$715&lt;=DATE(YEAR_Y-5,12,31))*'Dvd Calendar'!$E$718:$AR$718*(('Dvd Calendar'!$E$720:$AR$720=TYPE1)*(TYPE1&lt;&gt;"")+('Dvd Calendar'!$E$720:$AR$720=TYPE2)*(TYPE2&lt;&gt;"")+('Dvd Calendar'!$E$720:$AR$720=TYPE3)*(TYPE3&lt;&gt;"")+('Dvd Calendar'!$E$720:$AR$720=TYPE4)*(TYPE4&lt;&gt;"")+('Dvd Calendar'!$E$720:$AR$720=SPECIAL_LBL)*(INC_SPECIALS="Y"))))</f>
        <v/>
      </c>
      <c r="G76" s="64">
        <f>IF($C76="","",SUMPRODUCT(('Dvd Calendar'!$E$715:$AR$715&gt;=DATE(YEAR_Y-4,1,1))*('Dvd Calendar'!$E$715:$AR$715&lt;=DATE(YEAR_Y-4,12,31))*'Dvd Calendar'!$E$718:$AR$718*(('Dvd Calendar'!$E$720:$AR$720=TYPE1)*(TYPE1&lt;&gt;"")+('Dvd Calendar'!$E$720:$AR$720=TYPE2)*(TYPE2&lt;&gt;"")+('Dvd Calendar'!$E$720:$AR$720=TYPE3)*(TYPE3&lt;&gt;"")+('Dvd Calendar'!$E$720:$AR$720=TYPE4)*(TYPE4&lt;&gt;"")+('Dvd Calendar'!$E$720:$AR$720=SPECIAL_LBL)*(INC_SPECIALS="Y"))))</f>
        <v/>
      </c>
      <c r="H76" s="64">
        <f>IF($C76="","",SUMPRODUCT(('Dvd Calendar'!$E$715:$AR$715&gt;=DATE(YEAR_Y-3,1,1))*('Dvd Calendar'!$E$715:$AR$715&lt;=DATE(YEAR_Y-3,12,31))*'Dvd Calendar'!$E$718:$AR$718*(('Dvd Calendar'!$E$720:$AR$720=TYPE1)*(TYPE1&lt;&gt;"")+('Dvd Calendar'!$E$720:$AR$720=TYPE2)*(TYPE2&lt;&gt;"")+('Dvd Calendar'!$E$720:$AR$720=TYPE3)*(TYPE3&lt;&gt;"")+('Dvd Calendar'!$E$720:$AR$720=TYPE4)*(TYPE4&lt;&gt;"")+('Dvd Calendar'!$E$720:$AR$720=SPECIAL_LBL)*(INC_SPECIALS="Y"))))</f>
        <v/>
      </c>
      <c r="I76" s="64">
        <f>IF($C76="","",SUMPRODUCT(('Dvd Calendar'!$E$715:$AR$715&gt;=DATE(YEAR_Y-2,1,1))*('Dvd Calendar'!$E$715:$AR$715&lt;=DATE(YEAR_Y-2,12,31))*'Dvd Calendar'!$E$718:$AR$718*(('Dvd Calendar'!$E$720:$AR$720=TYPE1)*(TYPE1&lt;&gt;"")+('Dvd Calendar'!$E$720:$AR$720=TYPE2)*(TYPE2&lt;&gt;"")+('Dvd Calendar'!$E$720:$AR$720=TYPE3)*(TYPE3&lt;&gt;"")+('Dvd Calendar'!$E$720:$AR$720=TYPE4)*(TYPE4&lt;&gt;"")+('Dvd Calendar'!$E$720:$AR$720=SPECIAL_LBL)*(INC_SPECIALS="Y"))))</f>
        <v/>
      </c>
      <c r="J76" s="64">
        <f>IF($C76="","",SUMPRODUCT(('Dvd Calendar'!$E$715:$AR$715&gt;=DATE(YEAR_Y-1,1,1))*('Dvd Calendar'!$E$715:$AR$715&lt;=DATE(YEAR_Y-1,12,31))*'Dvd Calendar'!$E$718:$AR$718*(('Dvd Calendar'!$E$720:$AR$720=TYPE1)*(TYPE1&lt;&gt;"")+('Dvd Calendar'!$E$720:$AR$720=TYPE2)*(TYPE2&lt;&gt;"")+('Dvd Calendar'!$E$720:$AR$720=TYPE3)*(TYPE3&lt;&gt;"")+('Dvd Calendar'!$E$720:$AR$720=TYPE4)*(TYPE4&lt;&gt;"")+('Dvd Calendar'!$E$720:$AR$720=SPECIAL_LBL)*(INC_SPECIALS="Y"))))</f>
        <v/>
      </c>
      <c r="K76" s="65">
        <f>IF($C76="","",HSI!$J$71)</f>
        <v/>
      </c>
      <c r="L76" s="65">
        <f>IF($C76="","",HSI!$K$71)</f>
        <v/>
      </c>
      <c r="M76" s="41">
        <f>IF($C76="","",AVERAGE(F76:J76))</f>
        <v/>
      </c>
      <c r="N76" s="66">
        <f>IF($C76="","",IF(PULL_FUND="N","",IFERROR(BDP($C76,EPS_FIELD,YR_OVERRIDE,TEXT(YEAR_Y-5,"0")),"")))</f>
        <v/>
      </c>
      <c r="O76" s="67">
        <f>IF($C76="","",IF(PULL_FUND="N","",IFERROR(BDP($C76,EPS_FIELD,YR_OVERRIDE,TEXT(YEAR_Y-4,"0")),"")))</f>
        <v/>
      </c>
      <c r="P76" s="67">
        <f>IF($C76="","",IF(PULL_FUND="N","",IFERROR(BDP($C76,EPS_FIELD,YR_OVERRIDE,TEXT(YEAR_Y-3,"0")),"")))</f>
        <v/>
      </c>
      <c r="Q76" s="67">
        <f>IF($C76="","",IF(PULL_FUND="N","",IFERROR(BDP($C76,EPS_FIELD,YR_OVERRIDE,TEXT(YEAR_Y-2,"0")),"")))</f>
        <v/>
      </c>
      <c r="R76" s="67">
        <f>IF($C76="","",IF(PULL_FUND="N","",IFERROR(BDP($C76,EPS_FIELD,YR_OVERRIDE,TEXT(YEAR_Y-1,"0")),"")))</f>
        <v/>
      </c>
      <c r="S76" s="68">
        <f>IF($C76="","",IF(PULL_FUND="N","",IFERROR(BDP($C76,PAYOUT_FIELD,YR_OVERRIDE,TEXT(YEAR_Y-5,"0"))/100,"")))</f>
        <v/>
      </c>
      <c r="T76" s="68">
        <f>IF($C76="","",IF(PULL_FUND="N","",IFERROR(BDP($C76,PAYOUT_FIELD,YR_OVERRIDE,TEXT(YEAR_Y-4,"0"))/100,"")))</f>
        <v/>
      </c>
      <c r="U76" s="68">
        <f>IF($C76="","",IF(PULL_FUND="N","",IFERROR(BDP($C76,PAYOUT_FIELD,YR_OVERRIDE,TEXT(YEAR_Y-3,"0"))/100,"")))</f>
        <v/>
      </c>
      <c r="V76" s="68">
        <f>IF($C76="","",IF(PULL_FUND="N","",IFERROR(BDP($C76,PAYOUT_FIELD,YR_OVERRIDE,TEXT(YEAR_Y-2,"0"))/100,"")))</f>
        <v/>
      </c>
      <c r="W76" s="68">
        <f>IF($C76="","",IF(PULL_FUND="N","",IFERROR(BDP($C76,PAYOUT_FIELD,YR_OVERRIDE,TEXT(YEAR_Y-1,"0"))/100,"")))</f>
        <v/>
      </c>
      <c r="X76" s="69">
        <f>IF($C76="","",IFERROR(AVERAGE(S76:W76),""))</f>
        <v/>
      </c>
      <c r="Y76" s="66">
        <f>IF($C76="","",IF(PULL_FUND="N","",IFERROR(BDP($C76,BESTEPS_FIELD,FWD_OVERRIDE,TEXT(MOD(YEAR_Y,100),"00")&amp;"Y"),"")))</f>
        <v/>
      </c>
      <c r="Z76" s="70">
        <f>IF($C76="","",IF(PULL_FUND="N","",IFERROR(BDP($C76,BESTDPS_FIELD,FWD_OVERRIDE,TEXT(MOD(YEAR_Y,100),"00")&amp;"Y"),"")))</f>
        <v/>
      </c>
      <c r="AA76" s="71">
        <f>IF($C76="","",IF(ISNUMBER($Y76)*ISNUMBER($Z76)*($Y76&lt;&gt;0)=0,"",$Z76/$Y76))</f>
        <v/>
      </c>
      <c r="AB76" s="41">
        <f>IF($C76="","",HSI!$J$71+HSI!$L$71)</f>
        <v/>
      </c>
      <c r="AC76" s="72">
        <f>IF($C76="","",IF(PULL_FUND="N","",IF(COUNTIFS('Fund History'!$G$392:$G$396,"&gt;="&amp;DATE(YEAR_Y-4,1,1),'Fund History'!$G$392:$G$396,"&lt;="&amp;DATE(YEAR_Y-4,12,31))=0,"",SUMIFS('Fund History'!$H$392:$H$396,'Fund History'!$G$392:$G$396,"&gt;="&amp;DATE(YEAR_Y-4,1,1),'Fund History'!$G$392:$G$396,"&lt;="&amp;DATE(YEAR_Y-4,12,31))/100)))</f>
        <v/>
      </c>
      <c r="AD76" s="73">
        <f>IF($C76="","",IF(PULL_FUND="N","",IF(COUNTIFS('Fund History'!$G$392:$G$396,"&gt;="&amp;DATE(YEAR_Y-3,1,1),'Fund History'!$G$392:$G$396,"&lt;="&amp;DATE(YEAR_Y-3,12,31))=0,"",SUMIFS('Fund History'!$H$392:$H$396,'Fund History'!$G$392:$G$396,"&gt;="&amp;DATE(YEAR_Y-3,1,1),'Fund History'!$G$392:$G$396,"&lt;="&amp;DATE(YEAR_Y-3,12,31))/100)))</f>
        <v/>
      </c>
      <c r="AE76" s="73">
        <f>IF($C76="","",IF(PULL_FUND="N","",IF(COUNTIFS('Fund History'!$G$392:$G$396,"&gt;="&amp;DATE(YEAR_Y-2,1,1),'Fund History'!$G$392:$G$396,"&lt;="&amp;DATE(YEAR_Y-2,12,31))=0,"",SUMIFS('Fund History'!$H$392:$H$396,'Fund History'!$G$392:$G$396,"&gt;="&amp;DATE(YEAR_Y-2,1,1),'Fund History'!$G$392:$G$396,"&lt;="&amp;DATE(YEAR_Y-2,12,31))/100)))</f>
        <v/>
      </c>
      <c r="AF76" s="73">
        <f>IF($C76="","",IF(PULL_FUND="N","",IF(COUNTIFS('Fund History'!$G$392:$G$396,"&gt;="&amp;DATE(YEAR_Y-1,1,1),'Fund History'!$G$392:$G$396,"&lt;="&amp;DATE(YEAR_Y-1,12,31))=0,"",SUMIFS('Fund History'!$H$392:$H$396,'Fund History'!$G$392:$G$396,"&gt;="&amp;DATE(YEAR_Y-1,1,1),'Fund History'!$G$392:$G$396,"&lt;="&amp;DATE(YEAR_Y-1,12,31))/100)))</f>
        <v/>
      </c>
      <c r="AG76" s="74">
        <f>IF($C76="","",IF(N($AF76)+N(HSI!$I$71)=0,"",N($AF76)+N(HSI!$I$71)/100))</f>
        <v/>
      </c>
      <c r="AH76" s="66">
        <f>IF($C76="","",IF(PULL_FUND="N","",IF(COUNTIFS('Fund History'!$D$392:$D$396,"&gt;="&amp;DATE(YEAR_Y-2,1,1),'Fund History'!$D$392:$D$396,"&lt;="&amp;DATE(YEAR_Y-2,12,31))=0,"",SUMIFS('Fund History'!$E$392:$E$396,'Fund History'!$D$392:$D$396,"&gt;="&amp;DATE(YEAR_Y-2,1,1),'Fund History'!$D$392:$D$396,"&lt;="&amp;DATE(YEAR_Y-2,12,31)))))</f>
        <v/>
      </c>
      <c r="AI76" s="67">
        <f>IF($C76="","",IF(PULL_FUND="N","",IF(COUNTIFS('Fund History'!$D$392:$D$396,"&gt;="&amp;DATE(YEAR_Y-1,1,1),'Fund History'!$D$392:$D$396,"&lt;="&amp;DATE(YEAR_Y-1,12,31))=0,"",SUMIFS('Fund History'!$E$392:$E$396,'Fund History'!$D$392:$D$396,"&gt;="&amp;DATE(YEAR_Y-1,1,1),'Fund History'!$D$392:$D$396,"&lt;="&amp;DATE(YEAR_Y-1,12,31)))))</f>
        <v/>
      </c>
      <c r="AJ76" s="67">
        <f>IF($C76="","",IF(PULL_FUND="N","",IFERROR(BDP($C76,NDEBITDA_FIELD),"")))</f>
        <v/>
      </c>
      <c r="AK76" s="75">
        <f>IF($C76="","",IF(PULL_FUND="N","",IFERROR(BDP($C76,EBINT_FIELD),"")))</f>
        <v/>
      </c>
      <c r="AL76" s="73">
        <f>IF($C76="","",IF(PULL_FUND="N","",IFERROR(BDP($C76,FCF_FIELD)/100,"")))</f>
        <v/>
      </c>
      <c r="AM76" s="76">
        <f>IF($C76="","",IF(ISNUMBER(HSI!$I$71),HSI!$I$71/100,""))</f>
        <v/>
      </c>
      <c r="AN76" s="47">
        <f>IF($C76="","",IF(N($AM76)=0,"",IFERROR($AL76/$AM76,"")))</f>
        <v/>
      </c>
      <c r="AO76" s="33">
        <f>IF($C76="","",IF(ISNUMBER($S76)*ISNUMBER($W76)=0,"",IF($W76&gt;$S76+0.05,"rising",IF($W76&lt;$S76-0.05,"falling","stable"))))</f>
        <v/>
      </c>
      <c r="AP76" s="77">
        <f>IF($C76="","",TRIM(IF(ISNUMBER($X76)*(N($X76)&gt;$D$4)&gt;0,"payout high  ","")&amp;IF(ISNUMBER($AN76)*(N($AN76)&lt;$F$4)&gt;0,"FCF below dvd  ","")&amp;IF(ISNUMBER($AJ76)*(N($AJ76)&gt;$H$4)&gt;0,"leverage high","")))</f>
        <v/>
      </c>
      <c r="AQ76" s="78">
        <f>IF($C76="","",IF(HSI!$F$71="HKD","",HSI!$F$71))</f>
        <v/>
      </c>
    </row>
    <row r="77">
      <c r="B77" s="62" t="inlineStr">
        <is>
          <t>HSI</t>
        </is>
      </c>
      <c r="C77" s="6">
        <f>IF(HSI!$C$72="","",HSI!$C$72)</f>
        <v/>
      </c>
      <c r="D77" s="6">
        <f>IF($C77="","",HSI!$D$72)</f>
        <v/>
      </c>
      <c r="E77" s="6">
        <f>IF($C77="","",HSI!$E$72)</f>
        <v/>
      </c>
      <c r="F77" s="63">
        <f>IF($C77="","",SUMPRODUCT(('Dvd Calendar'!$E$726:$AR$726&gt;=DATE(YEAR_Y-5,1,1))*('Dvd Calendar'!$E$726:$AR$726&lt;=DATE(YEAR_Y-5,12,31))*'Dvd Calendar'!$E$729:$AR$729*(('Dvd Calendar'!$E$731:$AR$731=TYPE1)*(TYPE1&lt;&gt;"")+('Dvd Calendar'!$E$731:$AR$731=TYPE2)*(TYPE2&lt;&gt;"")+('Dvd Calendar'!$E$731:$AR$731=TYPE3)*(TYPE3&lt;&gt;"")+('Dvd Calendar'!$E$731:$AR$731=TYPE4)*(TYPE4&lt;&gt;"")+('Dvd Calendar'!$E$731:$AR$731=SPECIAL_LBL)*(INC_SPECIALS="Y"))))</f>
        <v/>
      </c>
      <c r="G77" s="64">
        <f>IF($C77="","",SUMPRODUCT(('Dvd Calendar'!$E$726:$AR$726&gt;=DATE(YEAR_Y-4,1,1))*('Dvd Calendar'!$E$726:$AR$726&lt;=DATE(YEAR_Y-4,12,31))*'Dvd Calendar'!$E$729:$AR$729*(('Dvd Calendar'!$E$731:$AR$731=TYPE1)*(TYPE1&lt;&gt;"")+('Dvd Calendar'!$E$731:$AR$731=TYPE2)*(TYPE2&lt;&gt;"")+('Dvd Calendar'!$E$731:$AR$731=TYPE3)*(TYPE3&lt;&gt;"")+('Dvd Calendar'!$E$731:$AR$731=TYPE4)*(TYPE4&lt;&gt;"")+('Dvd Calendar'!$E$731:$AR$731=SPECIAL_LBL)*(INC_SPECIALS="Y"))))</f>
        <v/>
      </c>
      <c r="H77" s="64">
        <f>IF($C77="","",SUMPRODUCT(('Dvd Calendar'!$E$726:$AR$726&gt;=DATE(YEAR_Y-3,1,1))*('Dvd Calendar'!$E$726:$AR$726&lt;=DATE(YEAR_Y-3,12,31))*'Dvd Calendar'!$E$729:$AR$729*(('Dvd Calendar'!$E$731:$AR$731=TYPE1)*(TYPE1&lt;&gt;"")+('Dvd Calendar'!$E$731:$AR$731=TYPE2)*(TYPE2&lt;&gt;"")+('Dvd Calendar'!$E$731:$AR$731=TYPE3)*(TYPE3&lt;&gt;"")+('Dvd Calendar'!$E$731:$AR$731=TYPE4)*(TYPE4&lt;&gt;"")+('Dvd Calendar'!$E$731:$AR$731=SPECIAL_LBL)*(INC_SPECIALS="Y"))))</f>
        <v/>
      </c>
      <c r="I77" s="64">
        <f>IF($C77="","",SUMPRODUCT(('Dvd Calendar'!$E$726:$AR$726&gt;=DATE(YEAR_Y-2,1,1))*('Dvd Calendar'!$E$726:$AR$726&lt;=DATE(YEAR_Y-2,12,31))*'Dvd Calendar'!$E$729:$AR$729*(('Dvd Calendar'!$E$731:$AR$731=TYPE1)*(TYPE1&lt;&gt;"")+('Dvd Calendar'!$E$731:$AR$731=TYPE2)*(TYPE2&lt;&gt;"")+('Dvd Calendar'!$E$731:$AR$731=TYPE3)*(TYPE3&lt;&gt;"")+('Dvd Calendar'!$E$731:$AR$731=TYPE4)*(TYPE4&lt;&gt;"")+('Dvd Calendar'!$E$731:$AR$731=SPECIAL_LBL)*(INC_SPECIALS="Y"))))</f>
        <v/>
      </c>
      <c r="J77" s="64">
        <f>IF($C77="","",SUMPRODUCT(('Dvd Calendar'!$E$726:$AR$726&gt;=DATE(YEAR_Y-1,1,1))*('Dvd Calendar'!$E$726:$AR$726&lt;=DATE(YEAR_Y-1,12,31))*'Dvd Calendar'!$E$729:$AR$729*(('Dvd Calendar'!$E$731:$AR$731=TYPE1)*(TYPE1&lt;&gt;"")+('Dvd Calendar'!$E$731:$AR$731=TYPE2)*(TYPE2&lt;&gt;"")+('Dvd Calendar'!$E$731:$AR$731=TYPE3)*(TYPE3&lt;&gt;"")+('Dvd Calendar'!$E$731:$AR$731=TYPE4)*(TYPE4&lt;&gt;"")+('Dvd Calendar'!$E$731:$AR$731=SPECIAL_LBL)*(INC_SPECIALS="Y"))))</f>
        <v/>
      </c>
      <c r="K77" s="65">
        <f>IF($C77="","",HSI!$J$72)</f>
        <v/>
      </c>
      <c r="L77" s="65">
        <f>IF($C77="","",HSI!$K$72)</f>
        <v/>
      </c>
      <c r="M77" s="41">
        <f>IF($C77="","",AVERAGE(F77:J77))</f>
        <v/>
      </c>
      <c r="N77" s="66">
        <f>IF($C77="","",IF(PULL_FUND="N","",IFERROR(BDP($C77,EPS_FIELD,YR_OVERRIDE,TEXT(YEAR_Y-5,"0")),"")))</f>
        <v/>
      </c>
      <c r="O77" s="67">
        <f>IF($C77="","",IF(PULL_FUND="N","",IFERROR(BDP($C77,EPS_FIELD,YR_OVERRIDE,TEXT(YEAR_Y-4,"0")),"")))</f>
        <v/>
      </c>
      <c r="P77" s="67">
        <f>IF($C77="","",IF(PULL_FUND="N","",IFERROR(BDP($C77,EPS_FIELD,YR_OVERRIDE,TEXT(YEAR_Y-3,"0")),"")))</f>
        <v/>
      </c>
      <c r="Q77" s="67">
        <f>IF($C77="","",IF(PULL_FUND="N","",IFERROR(BDP($C77,EPS_FIELD,YR_OVERRIDE,TEXT(YEAR_Y-2,"0")),"")))</f>
        <v/>
      </c>
      <c r="R77" s="67">
        <f>IF($C77="","",IF(PULL_FUND="N","",IFERROR(BDP($C77,EPS_FIELD,YR_OVERRIDE,TEXT(YEAR_Y-1,"0")),"")))</f>
        <v/>
      </c>
      <c r="S77" s="68">
        <f>IF($C77="","",IF(PULL_FUND="N","",IFERROR(BDP($C77,PAYOUT_FIELD,YR_OVERRIDE,TEXT(YEAR_Y-5,"0"))/100,"")))</f>
        <v/>
      </c>
      <c r="T77" s="68">
        <f>IF($C77="","",IF(PULL_FUND="N","",IFERROR(BDP($C77,PAYOUT_FIELD,YR_OVERRIDE,TEXT(YEAR_Y-4,"0"))/100,"")))</f>
        <v/>
      </c>
      <c r="U77" s="68">
        <f>IF($C77="","",IF(PULL_FUND="N","",IFERROR(BDP($C77,PAYOUT_FIELD,YR_OVERRIDE,TEXT(YEAR_Y-3,"0"))/100,"")))</f>
        <v/>
      </c>
      <c r="V77" s="68">
        <f>IF($C77="","",IF(PULL_FUND="N","",IFERROR(BDP($C77,PAYOUT_FIELD,YR_OVERRIDE,TEXT(YEAR_Y-2,"0"))/100,"")))</f>
        <v/>
      </c>
      <c r="W77" s="68">
        <f>IF($C77="","",IF(PULL_FUND="N","",IFERROR(BDP($C77,PAYOUT_FIELD,YR_OVERRIDE,TEXT(YEAR_Y-1,"0"))/100,"")))</f>
        <v/>
      </c>
      <c r="X77" s="69">
        <f>IF($C77="","",IFERROR(AVERAGE(S77:W77),""))</f>
        <v/>
      </c>
      <c r="Y77" s="66">
        <f>IF($C77="","",IF(PULL_FUND="N","",IFERROR(BDP($C77,BESTEPS_FIELD,FWD_OVERRIDE,TEXT(MOD(YEAR_Y,100),"00")&amp;"Y"),"")))</f>
        <v/>
      </c>
      <c r="Z77" s="70">
        <f>IF($C77="","",IF(PULL_FUND="N","",IFERROR(BDP($C77,BESTDPS_FIELD,FWD_OVERRIDE,TEXT(MOD(YEAR_Y,100),"00")&amp;"Y"),"")))</f>
        <v/>
      </c>
      <c r="AA77" s="71">
        <f>IF($C77="","",IF(ISNUMBER($Y77)*ISNUMBER($Z77)*($Y77&lt;&gt;0)=0,"",$Z77/$Y77))</f>
        <v/>
      </c>
      <c r="AB77" s="41">
        <f>IF($C77="","",HSI!$J$72+HSI!$L$72)</f>
        <v/>
      </c>
      <c r="AC77" s="72">
        <f>IF($C77="","",IF(PULL_FUND="N","",IF(COUNTIFS('Fund History'!$G$398:$G$402,"&gt;="&amp;DATE(YEAR_Y-4,1,1),'Fund History'!$G$398:$G$402,"&lt;="&amp;DATE(YEAR_Y-4,12,31))=0,"",SUMIFS('Fund History'!$H$398:$H$402,'Fund History'!$G$398:$G$402,"&gt;="&amp;DATE(YEAR_Y-4,1,1),'Fund History'!$G$398:$G$402,"&lt;="&amp;DATE(YEAR_Y-4,12,31))/100)))</f>
        <v/>
      </c>
      <c r="AD77" s="73">
        <f>IF($C77="","",IF(PULL_FUND="N","",IF(COUNTIFS('Fund History'!$G$398:$G$402,"&gt;="&amp;DATE(YEAR_Y-3,1,1),'Fund History'!$G$398:$G$402,"&lt;="&amp;DATE(YEAR_Y-3,12,31))=0,"",SUMIFS('Fund History'!$H$398:$H$402,'Fund History'!$G$398:$G$402,"&gt;="&amp;DATE(YEAR_Y-3,1,1),'Fund History'!$G$398:$G$402,"&lt;="&amp;DATE(YEAR_Y-3,12,31))/100)))</f>
        <v/>
      </c>
      <c r="AE77" s="73">
        <f>IF($C77="","",IF(PULL_FUND="N","",IF(COUNTIFS('Fund History'!$G$398:$G$402,"&gt;="&amp;DATE(YEAR_Y-2,1,1),'Fund History'!$G$398:$G$402,"&lt;="&amp;DATE(YEAR_Y-2,12,31))=0,"",SUMIFS('Fund History'!$H$398:$H$402,'Fund History'!$G$398:$G$402,"&gt;="&amp;DATE(YEAR_Y-2,1,1),'Fund History'!$G$398:$G$402,"&lt;="&amp;DATE(YEAR_Y-2,12,31))/100)))</f>
        <v/>
      </c>
      <c r="AF77" s="73">
        <f>IF($C77="","",IF(PULL_FUND="N","",IF(COUNTIFS('Fund History'!$G$398:$G$402,"&gt;="&amp;DATE(YEAR_Y-1,1,1),'Fund History'!$G$398:$G$402,"&lt;="&amp;DATE(YEAR_Y-1,12,31))=0,"",SUMIFS('Fund History'!$H$398:$H$402,'Fund History'!$G$398:$G$402,"&gt;="&amp;DATE(YEAR_Y-1,1,1),'Fund History'!$G$398:$G$402,"&lt;="&amp;DATE(YEAR_Y-1,12,31))/100)))</f>
        <v/>
      </c>
      <c r="AG77" s="74">
        <f>IF($C77="","",IF(N($AF77)+N(HSI!$I$72)=0,"",N($AF77)+N(HSI!$I$72)/100))</f>
        <v/>
      </c>
      <c r="AH77" s="66">
        <f>IF($C77="","",IF(PULL_FUND="N","",IF(COUNTIFS('Fund History'!$D$398:$D$402,"&gt;="&amp;DATE(YEAR_Y-2,1,1),'Fund History'!$D$398:$D$402,"&lt;="&amp;DATE(YEAR_Y-2,12,31))=0,"",SUMIFS('Fund History'!$E$398:$E$402,'Fund History'!$D$398:$D$402,"&gt;="&amp;DATE(YEAR_Y-2,1,1),'Fund History'!$D$398:$D$402,"&lt;="&amp;DATE(YEAR_Y-2,12,31)))))</f>
        <v/>
      </c>
      <c r="AI77" s="67">
        <f>IF($C77="","",IF(PULL_FUND="N","",IF(COUNTIFS('Fund History'!$D$398:$D$402,"&gt;="&amp;DATE(YEAR_Y-1,1,1),'Fund History'!$D$398:$D$402,"&lt;="&amp;DATE(YEAR_Y-1,12,31))=0,"",SUMIFS('Fund History'!$E$398:$E$402,'Fund History'!$D$398:$D$402,"&gt;="&amp;DATE(YEAR_Y-1,1,1),'Fund History'!$D$398:$D$402,"&lt;="&amp;DATE(YEAR_Y-1,12,31)))))</f>
        <v/>
      </c>
      <c r="AJ77" s="67">
        <f>IF($C77="","",IF(PULL_FUND="N","",IFERROR(BDP($C77,NDEBITDA_FIELD),"")))</f>
        <v/>
      </c>
      <c r="AK77" s="75">
        <f>IF($C77="","",IF(PULL_FUND="N","",IFERROR(BDP($C77,EBINT_FIELD),"")))</f>
        <v/>
      </c>
      <c r="AL77" s="73">
        <f>IF($C77="","",IF(PULL_FUND="N","",IFERROR(BDP($C77,FCF_FIELD)/100,"")))</f>
        <v/>
      </c>
      <c r="AM77" s="76">
        <f>IF($C77="","",IF(ISNUMBER(HSI!$I$72),HSI!$I$72/100,""))</f>
        <v/>
      </c>
      <c r="AN77" s="47">
        <f>IF($C77="","",IF(N($AM77)=0,"",IFERROR($AL77/$AM77,"")))</f>
        <v/>
      </c>
      <c r="AO77" s="33">
        <f>IF($C77="","",IF(ISNUMBER($S77)*ISNUMBER($W77)=0,"",IF($W77&gt;$S77+0.05,"rising",IF($W77&lt;$S77-0.05,"falling","stable"))))</f>
        <v/>
      </c>
      <c r="AP77" s="77">
        <f>IF($C77="","",TRIM(IF(ISNUMBER($X77)*(N($X77)&gt;$D$4)&gt;0,"payout high  ","")&amp;IF(ISNUMBER($AN77)*(N($AN77)&lt;$F$4)&gt;0,"FCF below dvd  ","")&amp;IF(ISNUMBER($AJ77)*(N($AJ77)&gt;$H$4)&gt;0,"leverage high","")))</f>
        <v/>
      </c>
      <c r="AQ77" s="78">
        <f>IF($C77="","",IF(HSI!$F$72="HKD","",HSI!$F$72))</f>
        <v/>
      </c>
    </row>
    <row r="78">
      <c r="B78" s="62" t="inlineStr">
        <is>
          <t>HSI</t>
        </is>
      </c>
      <c r="C78" s="6">
        <f>IF(HSI!$C$73="","",HSI!$C$73)</f>
        <v/>
      </c>
      <c r="D78" s="6">
        <f>IF($C78="","",HSI!$D$73)</f>
        <v/>
      </c>
      <c r="E78" s="6">
        <f>IF($C78="","",HSI!$E$73)</f>
        <v/>
      </c>
      <c r="F78" s="63">
        <f>IF($C78="","",SUMPRODUCT(('Dvd Calendar'!$E$737:$AR$737&gt;=DATE(YEAR_Y-5,1,1))*('Dvd Calendar'!$E$737:$AR$737&lt;=DATE(YEAR_Y-5,12,31))*'Dvd Calendar'!$E$740:$AR$740*(('Dvd Calendar'!$E$742:$AR$742=TYPE1)*(TYPE1&lt;&gt;"")+('Dvd Calendar'!$E$742:$AR$742=TYPE2)*(TYPE2&lt;&gt;"")+('Dvd Calendar'!$E$742:$AR$742=TYPE3)*(TYPE3&lt;&gt;"")+('Dvd Calendar'!$E$742:$AR$742=TYPE4)*(TYPE4&lt;&gt;"")+('Dvd Calendar'!$E$742:$AR$742=SPECIAL_LBL)*(INC_SPECIALS="Y"))))</f>
        <v/>
      </c>
      <c r="G78" s="64">
        <f>IF($C78="","",SUMPRODUCT(('Dvd Calendar'!$E$737:$AR$737&gt;=DATE(YEAR_Y-4,1,1))*('Dvd Calendar'!$E$737:$AR$737&lt;=DATE(YEAR_Y-4,12,31))*'Dvd Calendar'!$E$740:$AR$740*(('Dvd Calendar'!$E$742:$AR$742=TYPE1)*(TYPE1&lt;&gt;"")+('Dvd Calendar'!$E$742:$AR$742=TYPE2)*(TYPE2&lt;&gt;"")+('Dvd Calendar'!$E$742:$AR$742=TYPE3)*(TYPE3&lt;&gt;"")+('Dvd Calendar'!$E$742:$AR$742=TYPE4)*(TYPE4&lt;&gt;"")+('Dvd Calendar'!$E$742:$AR$742=SPECIAL_LBL)*(INC_SPECIALS="Y"))))</f>
        <v/>
      </c>
      <c r="H78" s="64">
        <f>IF($C78="","",SUMPRODUCT(('Dvd Calendar'!$E$737:$AR$737&gt;=DATE(YEAR_Y-3,1,1))*('Dvd Calendar'!$E$737:$AR$737&lt;=DATE(YEAR_Y-3,12,31))*'Dvd Calendar'!$E$740:$AR$740*(('Dvd Calendar'!$E$742:$AR$742=TYPE1)*(TYPE1&lt;&gt;"")+('Dvd Calendar'!$E$742:$AR$742=TYPE2)*(TYPE2&lt;&gt;"")+('Dvd Calendar'!$E$742:$AR$742=TYPE3)*(TYPE3&lt;&gt;"")+('Dvd Calendar'!$E$742:$AR$742=TYPE4)*(TYPE4&lt;&gt;"")+('Dvd Calendar'!$E$742:$AR$742=SPECIAL_LBL)*(INC_SPECIALS="Y"))))</f>
        <v/>
      </c>
      <c r="I78" s="64">
        <f>IF($C78="","",SUMPRODUCT(('Dvd Calendar'!$E$737:$AR$737&gt;=DATE(YEAR_Y-2,1,1))*('Dvd Calendar'!$E$737:$AR$737&lt;=DATE(YEAR_Y-2,12,31))*'Dvd Calendar'!$E$740:$AR$740*(('Dvd Calendar'!$E$742:$AR$742=TYPE1)*(TYPE1&lt;&gt;"")+('Dvd Calendar'!$E$742:$AR$742=TYPE2)*(TYPE2&lt;&gt;"")+('Dvd Calendar'!$E$742:$AR$742=TYPE3)*(TYPE3&lt;&gt;"")+('Dvd Calendar'!$E$742:$AR$742=TYPE4)*(TYPE4&lt;&gt;"")+('Dvd Calendar'!$E$742:$AR$742=SPECIAL_LBL)*(INC_SPECIALS="Y"))))</f>
        <v/>
      </c>
      <c r="J78" s="64">
        <f>IF($C78="","",SUMPRODUCT(('Dvd Calendar'!$E$737:$AR$737&gt;=DATE(YEAR_Y-1,1,1))*('Dvd Calendar'!$E$737:$AR$737&lt;=DATE(YEAR_Y-1,12,31))*'Dvd Calendar'!$E$740:$AR$740*(('Dvd Calendar'!$E$742:$AR$742=TYPE1)*(TYPE1&lt;&gt;"")+('Dvd Calendar'!$E$742:$AR$742=TYPE2)*(TYPE2&lt;&gt;"")+('Dvd Calendar'!$E$742:$AR$742=TYPE3)*(TYPE3&lt;&gt;"")+('Dvd Calendar'!$E$742:$AR$742=TYPE4)*(TYPE4&lt;&gt;"")+('Dvd Calendar'!$E$742:$AR$742=SPECIAL_LBL)*(INC_SPECIALS="Y"))))</f>
        <v/>
      </c>
      <c r="K78" s="65">
        <f>IF($C78="","",HSI!$J$73)</f>
        <v/>
      </c>
      <c r="L78" s="65">
        <f>IF($C78="","",HSI!$K$73)</f>
        <v/>
      </c>
      <c r="M78" s="41">
        <f>IF($C78="","",AVERAGE(F78:J78))</f>
        <v/>
      </c>
      <c r="N78" s="66">
        <f>IF($C78="","",IF(PULL_FUND="N","",IFERROR(BDP($C78,EPS_FIELD,YR_OVERRIDE,TEXT(YEAR_Y-5,"0")),"")))</f>
        <v/>
      </c>
      <c r="O78" s="67">
        <f>IF($C78="","",IF(PULL_FUND="N","",IFERROR(BDP($C78,EPS_FIELD,YR_OVERRIDE,TEXT(YEAR_Y-4,"0")),"")))</f>
        <v/>
      </c>
      <c r="P78" s="67">
        <f>IF($C78="","",IF(PULL_FUND="N","",IFERROR(BDP($C78,EPS_FIELD,YR_OVERRIDE,TEXT(YEAR_Y-3,"0")),"")))</f>
        <v/>
      </c>
      <c r="Q78" s="67">
        <f>IF($C78="","",IF(PULL_FUND="N","",IFERROR(BDP($C78,EPS_FIELD,YR_OVERRIDE,TEXT(YEAR_Y-2,"0")),"")))</f>
        <v/>
      </c>
      <c r="R78" s="67">
        <f>IF($C78="","",IF(PULL_FUND="N","",IFERROR(BDP($C78,EPS_FIELD,YR_OVERRIDE,TEXT(YEAR_Y-1,"0")),"")))</f>
        <v/>
      </c>
      <c r="S78" s="68">
        <f>IF($C78="","",IF(PULL_FUND="N","",IFERROR(BDP($C78,PAYOUT_FIELD,YR_OVERRIDE,TEXT(YEAR_Y-5,"0"))/100,"")))</f>
        <v/>
      </c>
      <c r="T78" s="68">
        <f>IF($C78="","",IF(PULL_FUND="N","",IFERROR(BDP($C78,PAYOUT_FIELD,YR_OVERRIDE,TEXT(YEAR_Y-4,"0"))/100,"")))</f>
        <v/>
      </c>
      <c r="U78" s="68">
        <f>IF($C78="","",IF(PULL_FUND="N","",IFERROR(BDP($C78,PAYOUT_FIELD,YR_OVERRIDE,TEXT(YEAR_Y-3,"0"))/100,"")))</f>
        <v/>
      </c>
      <c r="V78" s="68">
        <f>IF($C78="","",IF(PULL_FUND="N","",IFERROR(BDP($C78,PAYOUT_FIELD,YR_OVERRIDE,TEXT(YEAR_Y-2,"0"))/100,"")))</f>
        <v/>
      </c>
      <c r="W78" s="68">
        <f>IF($C78="","",IF(PULL_FUND="N","",IFERROR(BDP($C78,PAYOUT_FIELD,YR_OVERRIDE,TEXT(YEAR_Y-1,"0"))/100,"")))</f>
        <v/>
      </c>
      <c r="X78" s="69">
        <f>IF($C78="","",IFERROR(AVERAGE(S78:W78),""))</f>
        <v/>
      </c>
      <c r="Y78" s="66">
        <f>IF($C78="","",IF(PULL_FUND="N","",IFERROR(BDP($C78,BESTEPS_FIELD,FWD_OVERRIDE,TEXT(MOD(YEAR_Y,100),"00")&amp;"Y"),"")))</f>
        <v/>
      </c>
      <c r="Z78" s="70">
        <f>IF($C78="","",IF(PULL_FUND="N","",IFERROR(BDP($C78,BESTDPS_FIELD,FWD_OVERRIDE,TEXT(MOD(YEAR_Y,100),"00")&amp;"Y"),"")))</f>
        <v/>
      </c>
      <c r="AA78" s="71">
        <f>IF($C78="","",IF(ISNUMBER($Y78)*ISNUMBER($Z78)*($Y78&lt;&gt;0)=0,"",$Z78/$Y78))</f>
        <v/>
      </c>
      <c r="AB78" s="41">
        <f>IF($C78="","",HSI!$J$73+HSI!$L$73)</f>
        <v/>
      </c>
      <c r="AC78" s="72">
        <f>IF($C78="","",IF(PULL_FUND="N","",IF(COUNTIFS('Fund History'!$G$404:$G$408,"&gt;="&amp;DATE(YEAR_Y-4,1,1),'Fund History'!$G$404:$G$408,"&lt;="&amp;DATE(YEAR_Y-4,12,31))=0,"",SUMIFS('Fund History'!$H$404:$H$408,'Fund History'!$G$404:$G$408,"&gt;="&amp;DATE(YEAR_Y-4,1,1),'Fund History'!$G$404:$G$408,"&lt;="&amp;DATE(YEAR_Y-4,12,31))/100)))</f>
        <v/>
      </c>
      <c r="AD78" s="73">
        <f>IF($C78="","",IF(PULL_FUND="N","",IF(COUNTIFS('Fund History'!$G$404:$G$408,"&gt;="&amp;DATE(YEAR_Y-3,1,1),'Fund History'!$G$404:$G$408,"&lt;="&amp;DATE(YEAR_Y-3,12,31))=0,"",SUMIFS('Fund History'!$H$404:$H$408,'Fund History'!$G$404:$G$408,"&gt;="&amp;DATE(YEAR_Y-3,1,1),'Fund History'!$G$404:$G$408,"&lt;="&amp;DATE(YEAR_Y-3,12,31))/100)))</f>
        <v/>
      </c>
      <c r="AE78" s="73">
        <f>IF($C78="","",IF(PULL_FUND="N","",IF(COUNTIFS('Fund History'!$G$404:$G$408,"&gt;="&amp;DATE(YEAR_Y-2,1,1),'Fund History'!$G$404:$G$408,"&lt;="&amp;DATE(YEAR_Y-2,12,31))=0,"",SUMIFS('Fund History'!$H$404:$H$408,'Fund History'!$G$404:$G$408,"&gt;="&amp;DATE(YEAR_Y-2,1,1),'Fund History'!$G$404:$G$408,"&lt;="&amp;DATE(YEAR_Y-2,12,31))/100)))</f>
        <v/>
      </c>
      <c r="AF78" s="73">
        <f>IF($C78="","",IF(PULL_FUND="N","",IF(COUNTIFS('Fund History'!$G$404:$G$408,"&gt;="&amp;DATE(YEAR_Y-1,1,1),'Fund History'!$G$404:$G$408,"&lt;="&amp;DATE(YEAR_Y-1,12,31))=0,"",SUMIFS('Fund History'!$H$404:$H$408,'Fund History'!$G$404:$G$408,"&gt;="&amp;DATE(YEAR_Y-1,1,1),'Fund History'!$G$404:$G$408,"&lt;="&amp;DATE(YEAR_Y-1,12,31))/100)))</f>
        <v/>
      </c>
      <c r="AG78" s="74">
        <f>IF($C78="","",IF(N($AF78)+N(HSI!$I$73)=0,"",N($AF78)+N(HSI!$I$73)/100))</f>
        <v/>
      </c>
      <c r="AH78" s="66">
        <f>IF($C78="","",IF(PULL_FUND="N","",IF(COUNTIFS('Fund History'!$D$404:$D$408,"&gt;="&amp;DATE(YEAR_Y-2,1,1),'Fund History'!$D$404:$D$408,"&lt;="&amp;DATE(YEAR_Y-2,12,31))=0,"",SUMIFS('Fund History'!$E$404:$E$408,'Fund History'!$D$404:$D$408,"&gt;="&amp;DATE(YEAR_Y-2,1,1),'Fund History'!$D$404:$D$408,"&lt;="&amp;DATE(YEAR_Y-2,12,31)))))</f>
        <v/>
      </c>
      <c r="AI78" s="67">
        <f>IF($C78="","",IF(PULL_FUND="N","",IF(COUNTIFS('Fund History'!$D$404:$D$408,"&gt;="&amp;DATE(YEAR_Y-1,1,1),'Fund History'!$D$404:$D$408,"&lt;="&amp;DATE(YEAR_Y-1,12,31))=0,"",SUMIFS('Fund History'!$E$404:$E$408,'Fund History'!$D$404:$D$408,"&gt;="&amp;DATE(YEAR_Y-1,1,1),'Fund History'!$D$404:$D$408,"&lt;="&amp;DATE(YEAR_Y-1,12,31)))))</f>
        <v/>
      </c>
      <c r="AJ78" s="67">
        <f>IF($C78="","",IF(PULL_FUND="N","",IFERROR(BDP($C78,NDEBITDA_FIELD),"")))</f>
        <v/>
      </c>
      <c r="AK78" s="75">
        <f>IF($C78="","",IF(PULL_FUND="N","",IFERROR(BDP($C78,EBINT_FIELD),"")))</f>
        <v/>
      </c>
      <c r="AL78" s="73">
        <f>IF($C78="","",IF(PULL_FUND="N","",IFERROR(BDP($C78,FCF_FIELD)/100,"")))</f>
        <v/>
      </c>
      <c r="AM78" s="76">
        <f>IF($C78="","",IF(ISNUMBER(HSI!$I$73),HSI!$I$73/100,""))</f>
        <v/>
      </c>
      <c r="AN78" s="47">
        <f>IF($C78="","",IF(N($AM78)=0,"",IFERROR($AL78/$AM78,"")))</f>
        <v/>
      </c>
      <c r="AO78" s="33">
        <f>IF($C78="","",IF(ISNUMBER($S78)*ISNUMBER($W78)=0,"",IF($W78&gt;$S78+0.05,"rising",IF($W78&lt;$S78-0.05,"falling","stable"))))</f>
        <v/>
      </c>
      <c r="AP78" s="77">
        <f>IF($C78="","",TRIM(IF(ISNUMBER($X78)*(N($X78)&gt;$D$4)&gt;0,"payout high  ","")&amp;IF(ISNUMBER($AN78)*(N($AN78)&lt;$F$4)&gt;0,"FCF below dvd  ","")&amp;IF(ISNUMBER($AJ78)*(N($AJ78)&gt;$H$4)&gt;0,"leverage high","")))</f>
        <v/>
      </c>
      <c r="AQ78" s="78">
        <f>IF($C78="","",IF(HSI!$F$73="HKD","",HSI!$F$73))</f>
        <v/>
      </c>
    </row>
    <row r="79">
      <c r="B79" s="62" t="inlineStr">
        <is>
          <t>HSI</t>
        </is>
      </c>
      <c r="C79" s="6">
        <f>IF(HSI!$C$74="","",HSI!$C$74)</f>
        <v/>
      </c>
      <c r="D79" s="6">
        <f>IF($C79="","",HSI!$D$74)</f>
        <v/>
      </c>
      <c r="E79" s="6">
        <f>IF($C79="","",HSI!$E$74)</f>
        <v/>
      </c>
      <c r="F79" s="63">
        <f>IF($C79="","",SUMPRODUCT(('Dvd Calendar'!$E$748:$AR$748&gt;=DATE(YEAR_Y-5,1,1))*('Dvd Calendar'!$E$748:$AR$748&lt;=DATE(YEAR_Y-5,12,31))*'Dvd Calendar'!$E$751:$AR$751*(('Dvd Calendar'!$E$753:$AR$753=TYPE1)*(TYPE1&lt;&gt;"")+('Dvd Calendar'!$E$753:$AR$753=TYPE2)*(TYPE2&lt;&gt;"")+('Dvd Calendar'!$E$753:$AR$753=TYPE3)*(TYPE3&lt;&gt;"")+('Dvd Calendar'!$E$753:$AR$753=TYPE4)*(TYPE4&lt;&gt;"")+('Dvd Calendar'!$E$753:$AR$753=SPECIAL_LBL)*(INC_SPECIALS="Y"))))</f>
        <v/>
      </c>
      <c r="G79" s="64">
        <f>IF($C79="","",SUMPRODUCT(('Dvd Calendar'!$E$748:$AR$748&gt;=DATE(YEAR_Y-4,1,1))*('Dvd Calendar'!$E$748:$AR$748&lt;=DATE(YEAR_Y-4,12,31))*'Dvd Calendar'!$E$751:$AR$751*(('Dvd Calendar'!$E$753:$AR$753=TYPE1)*(TYPE1&lt;&gt;"")+('Dvd Calendar'!$E$753:$AR$753=TYPE2)*(TYPE2&lt;&gt;"")+('Dvd Calendar'!$E$753:$AR$753=TYPE3)*(TYPE3&lt;&gt;"")+('Dvd Calendar'!$E$753:$AR$753=TYPE4)*(TYPE4&lt;&gt;"")+('Dvd Calendar'!$E$753:$AR$753=SPECIAL_LBL)*(INC_SPECIALS="Y"))))</f>
        <v/>
      </c>
      <c r="H79" s="64">
        <f>IF($C79="","",SUMPRODUCT(('Dvd Calendar'!$E$748:$AR$748&gt;=DATE(YEAR_Y-3,1,1))*('Dvd Calendar'!$E$748:$AR$748&lt;=DATE(YEAR_Y-3,12,31))*'Dvd Calendar'!$E$751:$AR$751*(('Dvd Calendar'!$E$753:$AR$753=TYPE1)*(TYPE1&lt;&gt;"")+('Dvd Calendar'!$E$753:$AR$753=TYPE2)*(TYPE2&lt;&gt;"")+('Dvd Calendar'!$E$753:$AR$753=TYPE3)*(TYPE3&lt;&gt;"")+('Dvd Calendar'!$E$753:$AR$753=TYPE4)*(TYPE4&lt;&gt;"")+('Dvd Calendar'!$E$753:$AR$753=SPECIAL_LBL)*(INC_SPECIALS="Y"))))</f>
        <v/>
      </c>
      <c r="I79" s="64">
        <f>IF($C79="","",SUMPRODUCT(('Dvd Calendar'!$E$748:$AR$748&gt;=DATE(YEAR_Y-2,1,1))*('Dvd Calendar'!$E$748:$AR$748&lt;=DATE(YEAR_Y-2,12,31))*'Dvd Calendar'!$E$751:$AR$751*(('Dvd Calendar'!$E$753:$AR$753=TYPE1)*(TYPE1&lt;&gt;"")+('Dvd Calendar'!$E$753:$AR$753=TYPE2)*(TYPE2&lt;&gt;"")+('Dvd Calendar'!$E$753:$AR$753=TYPE3)*(TYPE3&lt;&gt;"")+('Dvd Calendar'!$E$753:$AR$753=TYPE4)*(TYPE4&lt;&gt;"")+('Dvd Calendar'!$E$753:$AR$753=SPECIAL_LBL)*(INC_SPECIALS="Y"))))</f>
        <v/>
      </c>
      <c r="J79" s="64">
        <f>IF($C79="","",SUMPRODUCT(('Dvd Calendar'!$E$748:$AR$748&gt;=DATE(YEAR_Y-1,1,1))*('Dvd Calendar'!$E$748:$AR$748&lt;=DATE(YEAR_Y-1,12,31))*'Dvd Calendar'!$E$751:$AR$751*(('Dvd Calendar'!$E$753:$AR$753=TYPE1)*(TYPE1&lt;&gt;"")+('Dvd Calendar'!$E$753:$AR$753=TYPE2)*(TYPE2&lt;&gt;"")+('Dvd Calendar'!$E$753:$AR$753=TYPE3)*(TYPE3&lt;&gt;"")+('Dvd Calendar'!$E$753:$AR$753=TYPE4)*(TYPE4&lt;&gt;"")+('Dvd Calendar'!$E$753:$AR$753=SPECIAL_LBL)*(INC_SPECIALS="Y"))))</f>
        <v/>
      </c>
      <c r="K79" s="65">
        <f>IF($C79="","",HSI!$J$74)</f>
        <v/>
      </c>
      <c r="L79" s="65">
        <f>IF($C79="","",HSI!$K$74)</f>
        <v/>
      </c>
      <c r="M79" s="41">
        <f>IF($C79="","",AVERAGE(F79:J79))</f>
        <v/>
      </c>
      <c r="N79" s="66">
        <f>IF($C79="","",IF(PULL_FUND="N","",IFERROR(BDP($C79,EPS_FIELD,YR_OVERRIDE,TEXT(YEAR_Y-5,"0")),"")))</f>
        <v/>
      </c>
      <c r="O79" s="67">
        <f>IF($C79="","",IF(PULL_FUND="N","",IFERROR(BDP($C79,EPS_FIELD,YR_OVERRIDE,TEXT(YEAR_Y-4,"0")),"")))</f>
        <v/>
      </c>
      <c r="P79" s="67">
        <f>IF($C79="","",IF(PULL_FUND="N","",IFERROR(BDP($C79,EPS_FIELD,YR_OVERRIDE,TEXT(YEAR_Y-3,"0")),"")))</f>
        <v/>
      </c>
      <c r="Q79" s="67">
        <f>IF($C79="","",IF(PULL_FUND="N","",IFERROR(BDP($C79,EPS_FIELD,YR_OVERRIDE,TEXT(YEAR_Y-2,"0")),"")))</f>
        <v/>
      </c>
      <c r="R79" s="67">
        <f>IF($C79="","",IF(PULL_FUND="N","",IFERROR(BDP($C79,EPS_FIELD,YR_OVERRIDE,TEXT(YEAR_Y-1,"0")),"")))</f>
        <v/>
      </c>
      <c r="S79" s="68">
        <f>IF($C79="","",IF(PULL_FUND="N","",IFERROR(BDP($C79,PAYOUT_FIELD,YR_OVERRIDE,TEXT(YEAR_Y-5,"0"))/100,"")))</f>
        <v/>
      </c>
      <c r="T79" s="68">
        <f>IF($C79="","",IF(PULL_FUND="N","",IFERROR(BDP($C79,PAYOUT_FIELD,YR_OVERRIDE,TEXT(YEAR_Y-4,"0"))/100,"")))</f>
        <v/>
      </c>
      <c r="U79" s="68">
        <f>IF($C79="","",IF(PULL_FUND="N","",IFERROR(BDP($C79,PAYOUT_FIELD,YR_OVERRIDE,TEXT(YEAR_Y-3,"0"))/100,"")))</f>
        <v/>
      </c>
      <c r="V79" s="68">
        <f>IF($C79="","",IF(PULL_FUND="N","",IFERROR(BDP($C79,PAYOUT_FIELD,YR_OVERRIDE,TEXT(YEAR_Y-2,"0"))/100,"")))</f>
        <v/>
      </c>
      <c r="W79" s="68">
        <f>IF($C79="","",IF(PULL_FUND="N","",IFERROR(BDP($C79,PAYOUT_FIELD,YR_OVERRIDE,TEXT(YEAR_Y-1,"0"))/100,"")))</f>
        <v/>
      </c>
      <c r="X79" s="69">
        <f>IF($C79="","",IFERROR(AVERAGE(S79:W79),""))</f>
        <v/>
      </c>
      <c r="Y79" s="66">
        <f>IF($C79="","",IF(PULL_FUND="N","",IFERROR(BDP($C79,BESTEPS_FIELD,FWD_OVERRIDE,TEXT(MOD(YEAR_Y,100),"00")&amp;"Y"),"")))</f>
        <v/>
      </c>
      <c r="Z79" s="70">
        <f>IF($C79="","",IF(PULL_FUND="N","",IFERROR(BDP($C79,BESTDPS_FIELD,FWD_OVERRIDE,TEXT(MOD(YEAR_Y,100),"00")&amp;"Y"),"")))</f>
        <v/>
      </c>
      <c r="AA79" s="71">
        <f>IF($C79="","",IF(ISNUMBER($Y79)*ISNUMBER($Z79)*($Y79&lt;&gt;0)=0,"",$Z79/$Y79))</f>
        <v/>
      </c>
      <c r="AB79" s="41">
        <f>IF($C79="","",HSI!$J$74+HSI!$L$74)</f>
        <v/>
      </c>
      <c r="AC79" s="72">
        <f>IF($C79="","",IF(PULL_FUND="N","",IF(COUNTIFS('Fund History'!$G$410:$G$414,"&gt;="&amp;DATE(YEAR_Y-4,1,1),'Fund History'!$G$410:$G$414,"&lt;="&amp;DATE(YEAR_Y-4,12,31))=0,"",SUMIFS('Fund History'!$H$410:$H$414,'Fund History'!$G$410:$G$414,"&gt;="&amp;DATE(YEAR_Y-4,1,1),'Fund History'!$G$410:$G$414,"&lt;="&amp;DATE(YEAR_Y-4,12,31))/100)))</f>
        <v/>
      </c>
      <c r="AD79" s="73">
        <f>IF($C79="","",IF(PULL_FUND="N","",IF(COUNTIFS('Fund History'!$G$410:$G$414,"&gt;="&amp;DATE(YEAR_Y-3,1,1),'Fund History'!$G$410:$G$414,"&lt;="&amp;DATE(YEAR_Y-3,12,31))=0,"",SUMIFS('Fund History'!$H$410:$H$414,'Fund History'!$G$410:$G$414,"&gt;="&amp;DATE(YEAR_Y-3,1,1),'Fund History'!$G$410:$G$414,"&lt;="&amp;DATE(YEAR_Y-3,12,31))/100)))</f>
        <v/>
      </c>
      <c r="AE79" s="73">
        <f>IF($C79="","",IF(PULL_FUND="N","",IF(COUNTIFS('Fund History'!$G$410:$G$414,"&gt;="&amp;DATE(YEAR_Y-2,1,1),'Fund History'!$G$410:$G$414,"&lt;="&amp;DATE(YEAR_Y-2,12,31))=0,"",SUMIFS('Fund History'!$H$410:$H$414,'Fund History'!$G$410:$G$414,"&gt;="&amp;DATE(YEAR_Y-2,1,1),'Fund History'!$G$410:$G$414,"&lt;="&amp;DATE(YEAR_Y-2,12,31))/100)))</f>
        <v/>
      </c>
      <c r="AF79" s="73">
        <f>IF($C79="","",IF(PULL_FUND="N","",IF(COUNTIFS('Fund History'!$G$410:$G$414,"&gt;="&amp;DATE(YEAR_Y-1,1,1),'Fund History'!$G$410:$G$414,"&lt;="&amp;DATE(YEAR_Y-1,12,31))=0,"",SUMIFS('Fund History'!$H$410:$H$414,'Fund History'!$G$410:$G$414,"&gt;="&amp;DATE(YEAR_Y-1,1,1),'Fund History'!$G$410:$G$414,"&lt;="&amp;DATE(YEAR_Y-1,12,31))/100)))</f>
        <v/>
      </c>
      <c r="AG79" s="74">
        <f>IF($C79="","",IF(N($AF79)+N(HSI!$I$74)=0,"",N($AF79)+N(HSI!$I$74)/100))</f>
        <v/>
      </c>
      <c r="AH79" s="66">
        <f>IF($C79="","",IF(PULL_FUND="N","",IF(COUNTIFS('Fund History'!$D$410:$D$414,"&gt;="&amp;DATE(YEAR_Y-2,1,1),'Fund History'!$D$410:$D$414,"&lt;="&amp;DATE(YEAR_Y-2,12,31))=0,"",SUMIFS('Fund History'!$E$410:$E$414,'Fund History'!$D$410:$D$414,"&gt;="&amp;DATE(YEAR_Y-2,1,1),'Fund History'!$D$410:$D$414,"&lt;="&amp;DATE(YEAR_Y-2,12,31)))))</f>
        <v/>
      </c>
      <c r="AI79" s="67">
        <f>IF($C79="","",IF(PULL_FUND="N","",IF(COUNTIFS('Fund History'!$D$410:$D$414,"&gt;="&amp;DATE(YEAR_Y-1,1,1),'Fund History'!$D$410:$D$414,"&lt;="&amp;DATE(YEAR_Y-1,12,31))=0,"",SUMIFS('Fund History'!$E$410:$E$414,'Fund History'!$D$410:$D$414,"&gt;="&amp;DATE(YEAR_Y-1,1,1),'Fund History'!$D$410:$D$414,"&lt;="&amp;DATE(YEAR_Y-1,12,31)))))</f>
        <v/>
      </c>
      <c r="AJ79" s="67">
        <f>IF($C79="","",IF(PULL_FUND="N","",IFERROR(BDP($C79,NDEBITDA_FIELD),"")))</f>
        <v/>
      </c>
      <c r="AK79" s="75">
        <f>IF($C79="","",IF(PULL_FUND="N","",IFERROR(BDP($C79,EBINT_FIELD),"")))</f>
        <v/>
      </c>
      <c r="AL79" s="73">
        <f>IF($C79="","",IF(PULL_FUND="N","",IFERROR(BDP($C79,FCF_FIELD)/100,"")))</f>
        <v/>
      </c>
      <c r="AM79" s="76">
        <f>IF($C79="","",IF(ISNUMBER(HSI!$I$74),HSI!$I$74/100,""))</f>
        <v/>
      </c>
      <c r="AN79" s="47">
        <f>IF($C79="","",IF(N($AM79)=0,"",IFERROR($AL79/$AM79,"")))</f>
        <v/>
      </c>
      <c r="AO79" s="33">
        <f>IF($C79="","",IF(ISNUMBER($S79)*ISNUMBER($W79)=0,"",IF($W79&gt;$S79+0.05,"rising",IF($W79&lt;$S79-0.05,"falling","stable"))))</f>
        <v/>
      </c>
      <c r="AP79" s="77">
        <f>IF($C79="","",TRIM(IF(ISNUMBER($X79)*(N($X79)&gt;$D$4)&gt;0,"payout high  ","")&amp;IF(ISNUMBER($AN79)*(N($AN79)&lt;$F$4)&gt;0,"FCF below dvd  ","")&amp;IF(ISNUMBER($AJ79)*(N($AJ79)&gt;$H$4)&gt;0,"leverage high","")))</f>
        <v/>
      </c>
      <c r="AQ79" s="78">
        <f>IF($C79="","",IF(HSI!$F$74="HKD","",HSI!$F$74))</f>
        <v/>
      </c>
    </row>
    <row r="80">
      <c r="B80" s="62" t="inlineStr">
        <is>
          <t>HSI</t>
        </is>
      </c>
      <c r="C80" s="6">
        <f>IF(HSI!$C$75="","",HSI!$C$75)</f>
        <v/>
      </c>
      <c r="D80" s="6">
        <f>IF($C80="","",HSI!$D$75)</f>
        <v/>
      </c>
      <c r="E80" s="6">
        <f>IF($C80="","",HSI!$E$75)</f>
        <v/>
      </c>
      <c r="F80" s="63">
        <f>IF($C80="","",SUMPRODUCT(('Dvd Calendar'!$E$759:$AR$759&gt;=DATE(YEAR_Y-5,1,1))*('Dvd Calendar'!$E$759:$AR$759&lt;=DATE(YEAR_Y-5,12,31))*'Dvd Calendar'!$E$762:$AR$762*(('Dvd Calendar'!$E$764:$AR$764=TYPE1)*(TYPE1&lt;&gt;"")+('Dvd Calendar'!$E$764:$AR$764=TYPE2)*(TYPE2&lt;&gt;"")+('Dvd Calendar'!$E$764:$AR$764=TYPE3)*(TYPE3&lt;&gt;"")+('Dvd Calendar'!$E$764:$AR$764=TYPE4)*(TYPE4&lt;&gt;"")+('Dvd Calendar'!$E$764:$AR$764=SPECIAL_LBL)*(INC_SPECIALS="Y"))))</f>
        <v/>
      </c>
      <c r="G80" s="64">
        <f>IF($C80="","",SUMPRODUCT(('Dvd Calendar'!$E$759:$AR$759&gt;=DATE(YEAR_Y-4,1,1))*('Dvd Calendar'!$E$759:$AR$759&lt;=DATE(YEAR_Y-4,12,31))*'Dvd Calendar'!$E$762:$AR$762*(('Dvd Calendar'!$E$764:$AR$764=TYPE1)*(TYPE1&lt;&gt;"")+('Dvd Calendar'!$E$764:$AR$764=TYPE2)*(TYPE2&lt;&gt;"")+('Dvd Calendar'!$E$764:$AR$764=TYPE3)*(TYPE3&lt;&gt;"")+('Dvd Calendar'!$E$764:$AR$764=TYPE4)*(TYPE4&lt;&gt;"")+('Dvd Calendar'!$E$764:$AR$764=SPECIAL_LBL)*(INC_SPECIALS="Y"))))</f>
        <v/>
      </c>
      <c r="H80" s="64">
        <f>IF($C80="","",SUMPRODUCT(('Dvd Calendar'!$E$759:$AR$759&gt;=DATE(YEAR_Y-3,1,1))*('Dvd Calendar'!$E$759:$AR$759&lt;=DATE(YEAR_Y-3,12,31))*'Dvd Calendar'!$E$762:$AR$762*(('Dvd Calendar'!$E$764:$AR$764=TYPE1)*(TYPE1&lt;&gt;"")+('Dvd Calendar'!$E$764:$AR$764=TYPE2)*(TYPE2&lt;&gt;"")+('Dvd Calendar'!$E$764:$AR$764=TYPE3)*(TYPE3&lt;&gt;"")+('Dvd Calendar'!$E$764:$AR$764=TYPE4)*(TYPE4&lt;&gt;"")+('Dvd Calendar'!$E$764:$AR$764=SPECIAL_LBL)*(INC_SPECIALS="Y"))))</f>
        <v/>
      </c>
      <c r="I80" s="64">
        <f>IF($C80="","",SUMPRODUCT(('Dvd Calendar'!$E$759:$AR$759&gt;=DATE(YEAR_Y-2,1,1))*('Dvd Calendar'!$E$759:$AR$759&lt;=DATE(YEAR_Y-2,12,31))*'Dvd Calendar'!$E$762:$AR$762*(('Dvd Calendar'!$E$764:$AR$764=TYPE1)*(TYPE1&lt;&gt;"")+('Dvd Calendar'!$E$764:$AR$764=TYPE2)*(TYPE2&lt;&gt;"")+('Dvd Calendar'!$E$764:$AR$764=TYPE3)*(TYPE3&lt;&gt;"")+('Dvd Calendar'!$E$764:$AR$764=TYPE4)*(TYPE4&lt;&gt;"")+('Dvd Calendar'!$E$764:$AR$764=SPECIAL_LBL)*(INC_SPECIALS="Y"))))</f>
        <v/>
      </c>
      <c r="J80" s="64">
        <f>IF($C80="","",SUMPRODUCT(('Dvd Calendar'!$E$759:$AR$759&gt;=DATE(YEAR_Y-1,1,1))*('Dvd Calendar'!$E$759:$AR$759&lt;=DATE(YEAR_Y-1,12,31))*'Dvd Calendar'!$E$762:$AR$762*(('Dvd Calendar'!$E$764:$AR$764=TYPE1)*(TYPE1&lt;&gt;"")+('Dvd Calendar'!$E$764:$AR$764=TYPE2)*(TYPE2&lt;&gt;"")+('Dvd Calendar'!$E$764:$AR$764=TYPE3)*(TYPE3&lt;&gt;"")+('Dvd Calendar'!$E$764:$AR$764=TYPE4)*(TYPE4&lt;&gt;"")+('Dvd Calendar'!$E$764:$AR$764=SPECIAL_LBL)*(INC_SPECIALS="Y"))))</f>
        <v/>
      </c>
      <c r="K80" s="65">
        <f>IF($C80="","",HSI!$J$75)</f>
        <v/>
      </c>
      <c r="L80" s="65">
        <f>IF($C80="","",HSI!$K$75)</f>
        <v/>
      </c>
      <c r="M80" s="41">
        <f>IF($C80="","",AVERAGE(F80:J80))</f>
        <v/>
      </c>
      <c r="N80" s="66">
        <f>IF($C80="","",IF(PULL_FUND="N","",IFERROR(BDP($C80,EPS_FIELD,YR_OVERRIDE,TEXT(YEAR_Y-5,"0")),"")))</f>
        <v/>
      </c>
      <c r="O80" s="67">
        <f>IF($C80="","",IF(PULL_FUND="N","",IFERROR(BDP($C80,EPS_FIELD,YR_OVERRIDE,TEXT(YEAR_Y-4,"0")),"")))</f>
        <v/>
      </c>
      <c r="P80" s="67">
        <f>IF($C80="","",IF(PULL_FUND="N","",IFERROR(BDP($C80,EPS_FIELD,YR_OVERRIDE,TEXT(YEAR_Y-3,"0")),"")))</f>
        <v/>
      </c>
      <c r="Q80" s="67">
        <f>IF($C80="","",IF(PULL_FUND="N","",IFERROR(BDP($C80,EPS_FIELD,YR_OVERRIDE,TEXT(YEAR_Y-2,"0")),"")))</f>
        <v/>
      </c>
      <c r="R80" s="67">
        <f>IF($C80="","",IF(PULL_FUND="N","",IFERROR(BDP($C80,EPS_FIELD,YR_OVERRIDE,TEXT(YEAR_Y-1,"0")),"")))</f>
        <v/>
      </c>
      <c r="S80" s="68">
        <f>IF($C80="","",IF(PULL_FUND="N","",IFERROR(BDP($C80,PAYOUT_FIELD,YR_OVERRIDE,TEXT(YEAR_Y-5,"0"))/100,"")))</f>
        <v/>
      </c>
      <c r="T80" s="68">
        <f>IF($C80="","",IF(PULL_FUND="N","",IFERROR(BDP($C80,PAYOUT_FIELD,YR_OVERRIDE,TEXT(YEAR_Y-4,"0"))/100,"")))</f>
        <v/>
      </c>
      <c r="U80" s="68">
        <f>IF($C80="","",IF(PULL_FUND="N","",IFERROR(BDP($C80,PAYOUT_FIELD,YR_OVERRIDE,TEXT(YEAR_Y-3,"0"))/100,"")))</f>
        <v/>
      </c>
      <c r="V80" s="68">
        <f>IF($C80="","",IF(PULL_FUND="N","",IFERROR(BDP($C80,PAYOUT_FIELD,YR_OVERRIDE,TEXT(YEAR_Y-2,"0"))/100,"")))</f>
        <v/>
      </c>
      <c r="W80" s="68">
        <f>IF($C80="","",IF(PULL_FUND="N","",IFERROR(BDP($C80,PAYOUT_FIELD,YR_OVERRIDE,TEXT(YEAR_Y-1,"0"))/100,"")))</f>
        <v/>
      </c>
      <c r="X80" s="69">
        <f>IF($C80="","",IFERROR(AVERAGE(S80:W80),""))</f>
        <v/>
      </c>
      <c r="Y80" s="66">
        <f>IF($C80="","",IF(PULL_FUND="N","",IFERROR(BDP($C80,BESTEPS_FIELD,FWD_OVERRIDE,TEXT(MOD(YEAR_Y,100),"00")&amp;"Y"),"")))</f>
        <v/>
      </c>
      <c r="Z80" s="70">
        <f>IF($C80="","",IF(PULL_FUND="N","",IFERROR(BDP($C80,BESTDPS_FIELD,FWD_OVERRIDE,TEXT(MOD(YEAR_Y,100),"00")&amp;"Y"),"")))</f>
        <v/>
      </c>
      <c r="AA80" s="71">
        <f>IF($C80="","",IF(ISNUMBER($Y80)*ISNUMBER($Z80)*($Y80&lt;&gt;0)=0,"",$Z80/$Y80))</f>
        <v/>
      </c>
      <c r="AB80" s="41">
        <f>IF($C80="","",HSI!$J$75+HSI!$L$75)</f>
        <v/>
      </c>
      <c r="AC80" s="72">
        <f>IF($C80="","",IF(PULL_FUND="N","",IF(COUNTIFS('Fund History'!$G$416:$G$420,"&gt;="&amp;DATE(YEAR_Y-4,1,1),'Fund History'!$G$416:$G$420,"&lt;="&amp;DATE(YEAR_Y-4,12,31))=0,"",SUMIFS('Fund History'!$H$416:$H$420,'Fund History'!$G$416:$G$420,"&gt;="&amp;DATE(YEAR_Y-4,1,1),'Fund History'!$G$416:$G$420,"&lt;="&amp;DATE(YEAR_Y-4,12,31))/100)))</f>
        <v/>
      </c>
      <c r="AD80" s="73">
        <f>IF($C80="","",IF(PULL_FUND="N","",IF(COUNTIFS('Fund History'!$G$416:$G$420,"&gt;="&amp;DATE(YEAR_Y-3,1,1),'Fund History'!$G$416:$G$420,"&lt;="&amp;DATE(YEAR_Y-3,12,31))=0,"",SUMIFS('Fund History'!$H$416:$H$420,'Fund History'!$G$416:$G$420,"&gt;="&amp;DATE(YEAR_Y-3,1,1),'Fund History'!$G$416:$G$420,"&lt;="&amp;DATE(YEAR_Y-3,12,31))/100)))</f>
        <v/>
      </c>
      <c r="AE80" s="73">
        <f>IF($C80="","",IF(PULL_FUND="N","",IF(COUNTIFS('Fund History'!$G$416:$G$420,"&gt;="&amp;DATE(YEAR_Y-2,1,1),'Fund History'!$G$416:$G$420,"&lt;="&amp;DATE(YEAR_Y-2,12,31))=0,"",SUMIFS('Fund History'!$H$416:$H$420,'Fund History'!$G$416:$G$420,"&gt;="&amp;DATE(YEAR_Y-2,1,1),'Fund History'!$G$416:$G$420,"&lt;="&amp;DATE(YEAR_Y-2,12,31))/100)))</f>
        <v/>
      </c>
      <c r="AF80" s="73">
        <f>IF($C80="","",IF(PULL_FUND="N","",IF(COUNTIFS('Fund History'!$G$416:$G$420,"&gt;="&amp;DATE(YEAR_Y-1,1,1),'Fund History'!$G$416:$G$420,"&lt;="&amp;DATE(YEAR_Y-1,12,31))=0,"",SUMIFS('Fund History'!$H$416:$H$420,'Fund History'!$G$416:$G$420,"&gt;="&amp;DATE(YEAR_Y-1,1,1),'Fund History'!$G$416:$G$420,"&lt;="&amp;DATE(YEAR_Y-1,12,31))/100)))</f>
        <v/>
      </c>
      <c r="AG80" s="74">
        <f>IF($C80="","",IF(N($AF80)+N(HSI!$I$75)=0,"",N($AF80)+N(HSI!$I$75)/100))</f>
        <v/>
      </c>
      <c r="AH80" s="66">
        <f>IF($C80="","",IF(PULL_FUND="N","",IF(COUNTIFS('Fund History'!$D$416:$D$420,"&gt;="&amp;DATE(YEAR_Y-2,1,1),'Fund History'!$D$416:$D$420,"&lt;="&amp;DATE(YEAR_Y-2,12,31))=0,"",SUMIFS('Fund History'!$E$416:$E$420,'Fund History'!$D$416:$D$420,"&gt;="&amp;DATE(YEAR_Y-2,1,1),'Fund History'!$D$416:$D$420,"&lt;="&amp;DATE(YEAR_Y-2,12,31)))))</f>
        <v/>
      </c>
      <c r="AI80" s="67">
        <f>IF($C80="","",IF(PULL_FUND="N","",IF(COUNTIFS('Fund History'!$D$416:$D$420,"&gt;="&amp;DATE(YEAR_Y-1,1,1),'Fund History'!$D$416:$D$420,"&lt;="&amp;DATE(YEAR_Y-1,12,31))=0,"",SUMIFS('Fund History'!$E$416:$E$420,'Fund History'!$D$416:$D$420,"&gt;="&amp;DATE(YEAR_Y-1,1,1),'Fund History'!$D$416:$D$420,"&lt;="&amp;DATE(YEAR_Y-1,12,31)))))</f>
        <v/>
      </c>
      <c r="AJ80" s="67">
        <f>IF($C80="","",IF(PULL_FUND="N","",IFERROR(BDP($C80,NDEBITDA_FIELD),"")))</f>
        <v/>
      </c>
      <c r="AK80" s="75">
        <f>IF($C80="","",IF(PULL_FUND="N","",IFERROR(BDP($C80,EBINT_FIELD),"")))</f>
        <v/>
      </c>
      <c r="AL80" s="73">
        <f>IF($C80="","",IF(PULL_FUND="N","",IFERROR(BDP($C80,FCF_FIELD)/100,"")))</f>
        <v/>
      </c>
      <c r="AM80" s="76">
        <f>IF($C80="","",IF(ISNUMBER(HSI!$I$75),HSI!$I$75/100,""))</f>
        <v/>
      </c>
      <c r="AN80" s="47">
        <f>IF($C80="","",IF(N($AM80)=0,"",IFERROR($AL80/$AM80,"")))</f>
        <v/>
      </c>
      <c r="AO80" s="33">
        <f>IF($C80="","",IF(ISNUMBER($S80)*ISNUMBER($W80)=0,"",IF($W80&gt;$S80+0.05,"rising",IF($W80&lt;$S80-0.05,"falling","stable"))))</f>
        <v/>
      </c>
      <c r="AP80" s="77">
        <f>IF($C80="","",TRIM(IF(ISNUMBER($X80)*(N($X80)&gt;$D$4)&gt;0,"payout high  ","")&amp;IF(ISNUMBER($AN80)*(N($AN80)&lt;$F$4)&gt;0,"FCF below dvd  ","")&amp;IF(ISNUMBER($AJ80)*(N($AJ80)&gt;$H$4)&gt;0,"leverage high","")))</f>
        <v/>
      </c>
      <c r="AQ80" s="78">
        <f>IF($C80="","",IF(HSI!$F$75="HKD","",HSI!$F$75))</f>
        <v/>
      </c>
    </row>
    <row r="81">
      <c r="B81" s="62" t="inlineStr">
        <is>
          <t>HSI</t>
        </is>
      </c>
      <c r="C81" s="6">
        <f>IF(HSI!$C$76="","",HSI!$C$76)</f>
        <v/>
      </c>
      <c r="D81" s="6">
        <f>IF($C81="","",HSI!$D$76)</f>
        <v/>
      </c>
      <c r="E81" s="6">
        <f>IF($C81="","",HSI!$E$76)</f>
        <v/>
      </c>
      <c r="F81" s="63">
        <f>IF($C81="","",SUMPRODUCT(('Dvd Calendar'!$E$770:$AR$770&gt;=DATE(YEAR_Y-5,1,1))*('Dvd Calendar'!$E$770:$AR$770&lt;=DATE(YEAR_Y-5,12,31))*'Dvd Calendar'!$E$773:$AR$773*(('Dvd Calendar'!$E$775:$AR$775=TYPE1)*(TYPE1&lt;&gt;"")+('Dvd Calendar'!$E$775:$AR$775=TYPE2)*(TYPE2&lt;&gt;"")+('Dvd Calendar'!$E$775:$AR$775=TYPE3)*(TYPE3&lt;&gt;"")+('Dvd Calendar'!$E$775:$AR$775=TYPE4)*(TYPE4&lt;&gt;"")+('Dvd Calendar'!$E$775:$AR$775=SPECIAL_LBL)*(INC_SPECIALS="Y"))))</f>
        <v/>
      </c>
      <c r="G81" s="64">
        <f>IF($C81="","",SUMPRODUCT(('Dvd Calendar'!$E$770:$AR$770&gt;=DATE(YEAR_Y-4,1,1))*('Dvd Calendar'!$E$770:$AR$770&lt;=DATE(YEAR_Y-4,12,31))*'Dvd Calendar'!$E$773:$AR$773*(('Dvd Calendar'!$E$775:$AR$775=TYPE1)*(TYPE1&lt;&gt;"")+('Dvd Calendar'!$E$775:$AR$775=TYPE2)*(TYPE2&lt;&gt;"")+('Dvd Calendar'!$E$775:$AR$775=TYPE3)*(TYPE3&lt;&gt;"")+('Dvd Calendar'!$E$775:$AR$775=TYPE4)*(TYPE4&lt;&gt;"")+('Dvd Calendar'!$E$775:$AR$775=SPECIAL_LBL)*(INC_SPECIALS="Y"))))</f>
        <v/>
      </c>
      <c r="H81" s="64">
        <f>IF($C81="","",SUMPRODUCT(('Dvd Calendar'!$E$770:$AR$770&gt;=DATE(YEAR_Y-3,1,1))*('Dvd Calendar'!$E$770:$AR$770&lt;=DATE(YEAR_Y-3,12,31))*'Dvd Calendar'!$E$773:$AR$773*(('Dvd Calendar'!$E$775:$AR$775=TYPE1)*(TYPE1&lt;&gt;"")+('Dvd Calendar'!$E$775:$AR$775=TYPE2)*(TYPE2&lt;&gt;"")+('Dvd Calendar'!$E$775:$AR$775=TYPE3)*(TYPE3&lt;&gt;"")+('Dvd Calendar'!$E$775:$AR$775=TYPE4)*(TYPE4&lt;&gt;"")+('Dvd Calendar'!$E$775:$AR$775=SPECIAL_LBL)*(INC_SPECIALS="Y"))))</f>
        <v/>
      </c>
      <c r="I81" s="64">
        <f>IF($C81="","",SUMPRODUCT(('Dvd Calendar'!$E$770:$AR$770&gt;=DATE(YEAR_Y-2,1,1))*('Dvd Calendar'!$E$770:$AR$770&lt;=DATE(YEAR_Y-2,12,31))*'Dvd Calendar'!$E$773:$AR$773*(('Dvd Calendar'!$E$775:$AR$775=TYPE1)*(TYPE1&lt;&gt;"")+('Dvd Calendar'!$E$775:$AR$775=TYPE2)*(TYPE2&lt;&gt;"")+('Dvd Calendar'!$E$775:$AR$775=TYPE3)*(TYPE3&lt;&gt;"")+('Dvd Calendar'!$E$775:$AR$775=TYPE4)*(TYPE4&lt;&gt;"")+('Dvd Calendar'!$E$775:$AR$775=SPECIAL_LBL)*(INC_SPECIALS="Y"))))</f>
        <v/>
      </c>
      <c r="J81" s="64">
        <f>IF($C81="","",SUMPRODUCT(('Dvd Calendar'!$E$770:$AR$770&gt;=DATE(YEAR_Y-1,1,1))*('Dvd Calendar'!$E$770:$AR$770&lt;=DATE(YEAR_Y-1,12,31))*'Dvd Calendar'!$E$773:$AR$773*(('Dvd Calendar'!$E$775:$AR$775=TYPE1)*(TYPE1&lt;&gt;"")+('Dvd Calendar'!$E$775:$AR$775=TYPE2)*(TYPE2&lt;&gt;"")+('Dvd Calendar'!$E$775:$AR$775=TYPE3)*(TYPE3&lt;&gt;"")+('Dvd Calendar'!$E$775:$AR$775=TYPE4)*(TYPE4&lt;&gt;"")+('Dvd Calendar'!$E$775:$AR$775=SPECIAL_LBL)*(INC_SPECIALS="Y"))))</f>
        <v/>
      </c>
      <c r="K81" s="65">
        <f>IF($C81="","",HSI!$J$76)</f>
        <v/>
      </c>
      <c r="L81" s="65">
        <f>IF($C81="","",HSI!$K$76)</f>
        <v/>
      </c>
      <c r="M81" s="41">
        <f>IF($C81="","",AVERAGE(F81:J81))</f>
        <v/>
      </c>
      <c r="N81" s="66">
        <f>IF($C81="","",IF(PULL_FUND="N","",IFERROR(BDP($C81,EPS_FIELD,YR_OVERRIDE,TEXT(YEAR_Y-5,"0")),"")))</f>
        <v/>
      </c>
      <c r="O81" s="67">
        <f>IF($C81="","",IF(PULL_FUND="N","",IFERROR(BDP($C81,EPS_FIELD,YR_OVERRIDE,TEXT(YEAR_Y-4,"0")),"")))</f>
        <v/>
      </c>
      <c r="P81" s="67">
        <f>IF($C81="","",IF(PULL_FUND="N","",IFERROR(BDP($C81,EPS_FIELD,YR_OVERRIDE,TEXT(YEAR_Y-3,"0")),"")))</f>
        <v/>
      </c>
      <c r="Q81" s="67">
        <f>IF($C81="","",IF(PULL_FUND="N","",IFERROR(BDP($C81,EPS_FIELD,YR_OVERRIDE,TEXT(YEAR_Y-2,"0")),"")))</f>
        <v/>
      </c>
      <c r="R81" s="67">
        <f>IF($C81="","",IF(PULL_FUND="N","",IFERROR(BDP($C81,EPS_FIELD,YR_OVERRIDE,TEXT(YEAR_Y-1,"0")),"")))</f>
        <v/>
      </c>
      <c r="S81" s="68">
        <f>IF($C81="","",IF(PULL_FUND="N","",IFERROR(BDP($C81,PAYOUT_FIELD,YR_OVERRIDE,TEXT(YEAR_Y-5,"0"))/100,"")))</f>
        <v/>
      </c>
      <c r="T81" s="68">
        <f>IF($C81="","",IF(PULL_FUND="N","",IFERROR(BDP($C81,PAYOUT_FIELD,YR_OVERRIDE,TEXT(YEAR_Y-4,"0"))/100,"")))</f>
        <v/>
      </c>
      <c r="U81" s="68">
        <f>IF($C81="","",IF(PULL_FUND="N","",IFERROR(BDP($C81,PAYOUT_FIELD,YR_OVERRIDE,TEXT(YEAR_Y-3,"0"))/100,"")))</f>
        <v/>
      </c>
      <c r="V81" s="68">
        <f>IF($C81="","",IF(PULL_FUND="N","",IFERROR(BDP($C81,PAYOUT_FIELD,YR_OVERRIDE,TEXT(YEAR_Y-2,"0"))/100,"")))</f>
        <v/>
      </c>
      <c r="W81" s="68">
        <f>IF($C81="","",IF(PULL_FUND="N","",IFERROR(BDP($C81,PAYOUT_FIELD,YR_OVERRIDE,TEXT(YEAR_Y-1,"0"))/100,"")))</f>
        <v/>
      </c>
      <c r="X81" s="69">
        <f>IF($C81="","",IFERROR(AVERAGE(S81:W81),""))</f>
        <v/>
      </c>
      <c r="Y81" s="66">
        <f>IF($C81="","",IF(PULL_FUND="N","",IFERROR(BDP($C81,BESTEPS_FIELD,FWD_OVERRIDE,TEXT(MOD(YEAR_Y,100),"00")&amp;"Y"),"")))</f>
        <v/>
      </c>
      <c r="Z81" s="70">
        <f>IF($C81="","",IF(PULL_FUND="N","",IFERROR(BDP($C81,BESTDPS_FIELD,FWD_OVERRIDE,TEXT(MOD(YEAR_Y,100),"00")&amp;"Y"),"")))</f>
        <v/>
      </c>
      <c r="AA81" s="71">
        <f>IF($C81="","",IF(ISNUMBER($Y81)*ISNUMBER($Z81)*($Y81&lt;&gt;0)=0,"",$Z81/$Y81))</f>
        <v/>
      </c>
      <c r="AB81" s="41">
        <f>IF($C81="","",HSI!$J$76+HSI!$L$76)</f>
        <v/>
      </c>
      <c r="AC81" s="72">
        <f>IF($C81="","",IF(PULL_FUND="N","",IF(COUNTIFS('Fund History'!$G$422:$G$426,"&gt;="&amp;DATE(YEAR_Y-4,1,1),'Fund History'!$G$422:$G$426,"&lt;="&amp;DATE(YEAR_Y-4,12,31))=0,"",SUMIFS('Fund History'!$H$422:$H$426,'Fund History'!$G$422:$G$426,"&gt;="&amp;DATE(YEAR_Y-4,1,1),'Fund History'!$G$422:$G$426,"&lt;="&amp;DATE(YEAR_Y-4,12,31))/100)))</f>
        <v/>
      </c>
      <c r="AD81" s="73">
        <f>IF($C81="","",IF(PULL_FUND="N","",IF(COUNTIFS('Fund History'!$G$422:$G$426,"&gt;="&amp;DATE(YEAR_Y-3,1,1),'Fund History'!$G$422:$G$426,"&lt;="&amp;DATE(YEAR_Y-3,12,31))=0,"",SUMIFS('Fund History'!$H$422:$H$426,'Fund History'!$G$422:$G$426,"&gt;="&amp;DATE(YEAR_Y-3,1,1),'Fund History'!$G$422:$G$426,"&lt;="&amp;DATE(YEAR_Y-3,12,31))/100)))</f>
        <v/>
      </c>
      <c r="AE81" s="73">
        <f>IF($C81="","",IF(PULL_FUND="N","",IF(COUNTIFS('Fund History'!$G$422:$G$426,"&gt;="&amp;DATE(YEAR_Y-2,1,1),'Fund History'!$G$422:$G$426,"&lt;="&amp;DATE(YEAR_Y-2,12,31))=0,"",SUMIFS('Fund History'!$H$422:$H$426,'Fund History'!$G$422:$G$426,"&gt;="&amp;DATE(YEAR_Y-2,1,1),'Fund History'!$G$422:$G$426,"&lt;="&amp;DATE(YEAR_Y-2,12,31))/100)))</f>
        <v/>
      </c>
      <c r="AF81" s="73">
        <f>IF($C81="","",IF(PULL_FUND="N","",IF(COUNTIFS('Fund History'!$G$422:$G$426,"&gt;="&amp;DATE(YEAR_Y-1,1,1),'Fund History'!$G$422:$G$426,"&lt;="&amp;DATE(YEAR_Y-1,12,31))=0,"",SUMIFS('Fund History'!$H$422:$H$426,'Fund History'!$G$422:$G$426,"&gt;="&amp;DATE(YEAR_Y-1,1,1),'Fund History'!$G$422:$G$426,"&lt;="&amp;DATE(YEAR_Y-1,12,31))/100)))</f>
        <v/>
      </c>
      <c r="AG81" s="74">
        <f>IF($C81="","",IF(N($AF81)+N(HSI!$I$76)=0,"",N($AF81)+N(HSI!$I$76)/100))</f>
        <v/>
      </c>
      <c r="AH81" s="66">
        <f>IF($C81="","",IF(PULL_FUND="N","",IF(COUNTIFS('Fund History'!$D$422:$D$426,"&gt;="&amp;DATE(YEAR_Y-2,1,1),'Fund History'!$D$422:$D$426,"&lt;="&amp;DATE(YEAR_Y-2,12,31))=0,"",SUMIFS('Fund History'!$E$422:$E$426,'Fund History'!$D$422:$D$426,"&gt;="&amp;DATE(YEAR_Y-2,1,1),'Fund History'!$D$422:$D$426,"&lt;="&amp;DATE(YEAR_Y-2,12,31)))))</f>
        <v/>
      </c>
      <c r="AI81" s="67">
        <f>IF($C81="","",IF(PULL_FUND="N","",IF(COUNTIFS('Fund History'!$D$422:$D$426,"&gt;="&amp;DATE(YEAR_Y-1,1,1),'Fund History'!$D$422:$D$426,"&lt;="&amp;DATE(YEAR_Y-1,12,31))=0,"",SUMIFS('Fund History'!$E$422:$E$426,'Fund History'!$D$422:$D$426,"&gt;="&amp;DATE(YEAR_Y-1,1,1),'Fund History'!$D$422:$D$426,"&lt;="&amp;DATE(YEAR_Y-1,12,31)))))</f>
        <v/>
      </c>
      <c r="AJ81" s="67">
        <f>IF($C81="","",IF(PULL_FUND="N","",IFERROR(BDP($C81,NDEBITDA_FIELD),"")))</f>
        <v/>
      </c>
      <c r="AK81" s="75">
        <f>IF($C81="","",IF(PULL_FUND="N","",IFERROR(BDP($C81,EBINT_FIELD),"")))</f>
        <v/>
      </c>
      <c r="AL81" s="73">
        <f>IF($C81="","",IF(PULL_FUND="N","",IFERROR(BDP($C81,FCF_FIELD)/100,"")))</f>
        <v/>
      </c>
      <c r="AM81" s="76">
        <f>IF($C81="","",IF(ISNUMBER(HSI!$I$76),HSI!$I$76/100,""))</f>
        <v/>
      </c>
      <c r="AN81" s="47">
        <f>IF($C81="","",IF(N($AM81)=0,"",IFERROR($AL81/$AM81,"")))</f>
        <v/>
      </c>
      <c r="AO81" s="33">
        <f>IF($C81="","",IF(ISNUMBER($S81)*ISNUMBER($W81)=0,"",IF($W81&gt;$S81+0.05,"rising",IF($W81&lt;$S81-0.05,"falling","stable"))))</f>
        <v/>
      </c>
      <c r="AP81" s="77">
        <f>IF($C81="","",TRIM(IF(ISNUMBER($X81)*(N($X81)&gt;$D$4)&gt;0,"payout high  ","")&amp;IF(ISNUMBER($AN81)*(N($AN81)&lt;$F$4)&gt;0,"FCF below dvd  ","")&amp;IF(ISNUMBER($AJ81)*(N($AJ81)&gt;$H$4)&gt;0,"leverage high","")))</f>
        <v/>
      </c>
      <c r="AQ81" s="78">
        <f>IF($C81="","",IF(HSI!$F$76="HKD","",HSI!$F$76))</f>
        <v/>
      </c>
    </row>
    <row r="82">
      <c r="B82" s="62" t="inlineStr">
        <is>
          <t>HSI</t>
        </is>
      </c>
      <c r="C82" s="6">
        <f>IF(HSI!$C$77="","",HSI!$C$77)</f>
        <v/>
      </c>
      <c r="D82" s="6">
        <f>IF($C82="","",HSI!$D$77)</f>
        <v/>
      </c>
      <c r="E82" s="6">
        <f>IF($C82="","",HSI!$E$77)</f>
        <v/>
      </c>
      <c r="F82" s="63">
        <f>IF($C82="","",SUMPRODUCT(('Dvd Calendar'!$E$781:$AR$781&gt;=DATE(YEAR_Y-5,1,1))*('Dvd Calendar'!$E$781:$AR$781&lt;=DATE(YEAR_Y-5,12,31))*'Dvd Calendar'!$E$784:$AR$784*(('Dvd Calendar'!$E$786:$AR$786=TYPE1)*(TYPE1&lt;&gt;"")+('Dvd Calendar'!$E$786:$AR$786=TYPE2)*(TYPE2&lt;&gt;"")+('Dvd Calendar'!$E$786:$AR$786=TYPE3)*(TYPE3&lt;&gt;"")+('Dvd Calendar'!$E$786:$AR$786=TYPE4)*(TYPE4&lt;&gt;"")+('Dvd Calendar'!$E$786:$AR$786=SPECIAL_LBL)*(INC_SPECIALS="Y"))))</f>
        <v/>
      </c>
      <c r="G82" s="64">
        <f>IF($C82="","",SUMPRODUCT(('Dvd Calendar'!$E$781:$AR$781&gt;=DATE(YEAR_Y-4,1,1))*('Dvd Calendar'!$E$781:$AR$781&lt;=DATE(YEAR_Y-4,12,31))*'Dvd Calendar'!$E$784:$AR$784*(('Dvd Calendar'!$E$786:$AR$786=TYPE1)*(TYPE1&lt;&gt;"")+('Dvd Calendar'!$E$786:$AR$786=TYPE2)*(TYPE2&lt;&gt;"")+('Dvd Calendar'!$E$786:$AR$786=TYPE3)*(TYPE3&lt;&gt;"")+('Dvd Calendar'!$E$786:$AR$786=TYPE4)*(TYPE4&lt;&gt;"")+('Dvd Calendar'!$E$786:$AR$786=SPECIAL_LBL)*(INC_SPECIALS="Y"))))</f>
        <v/>
      </c>
      <c r="H82" s="64">
        <f>IF($C82="","",SUMPRODUCT(('Dvd Calendar'!$E$781:$AR$781&gt;=DATE(YEAR_Y-3,1,1))*('Dvd Calendar'!$E$781:$AR$781&lt;=DATE(YEAR_Y-3,12,31))*'Dvd Calendar'!$E$784:$AR$784*(('Dvd Calendar'!$E$786:$AR$786=TYPE1)*(TYPE1&lt;&gt;"")+('Dvd Calendar'!$E$786:$AR$786=TYPE2)*(TYPE2&lt;&gt;"")+('Dvd Calendar'!$E$786:$AR$786=TYPE3)*(TYPE3&lt;&gt;"")+('Dvd Calendar'!$E$786:$AR$786=TYPE4)*(TYPE4&lt;&gt;"")+('Dvd Calendar'!$E$786:$AR$786=SPECIAL_LBL)*(INC_SPECIALS="Y"))))</f>
        <v/>
      </c>
      <c r="I82" s="64">
        <f>IF($C82="","",SUMPRODUCT(('Dvd Calendar'!$E$781:$AR$781&gt;=DATE(YEAR_Y-2,1,1))*('Dvd Calendar'!$E$781:$AR$781&lt;=DATE(YEAR_Y-2,12,31))*'Dvd Calendar'!$E$784:$AR$784*(('Dvd Calendar'!$E$786:$AR$786=TYPE1)*(TYPE1&lt;&gt;"")+('Dvd Calendar'!$E$786:$AR$786=TYPE2)*(TYPE2&lt;&gt;"")+('Dvd Calendar'!$E$786:$AR$786=TYPE3)*(TYPE3&lt;&gt;"")+('Dvd Calendar'!$E$786:$AR$786=TYPE4)*(TYPE4&lt;&gt;"")+('Dvd Calendar'!$E$786:$AR$786=SPECIAL_LBL)*(INC_SPECIALS="Y"))))</f>
        <v/>
      </c>
      <c r="J82" s="64">
        <f>IF($C82="","",SUMPRODUCT(('Dvd Calendar'!$E$781:$AR$781&gt;=DATE(YEAR_Y-1,1,1))*('Dvd Calendar'!$E$781:$AR$781&lt;=DATE(YEAR_Y-1,12,31))*'Dvd Calendar'!$E$784:$AR$784*(('Dvd Calendar'!$E$786:$AR$786=TYPE1)*(TYPE1&lt;&gt;"")+('Dvd Calendar'!$E$786:$AR$786=TYPE2)*(TYPE2&lt;&gt;"")+('Dvd Calendar'!$E$786:$AR$786=TYPE3)*(TYPE3&lt;&gt;"")+('Dvd Calendar'!$E$786:$AR$786=TYPE4)*(TYPE4&lt;&gt;"")+('Dvd Calendar'!$E$786:$AR$786=SPECIAL_LBL)*(INC_SPECIALS="Y"))))</f>
        <v/>
      </c>
      <c r="K82" s="65">
        <f>IF($C82="","",HSI!$J$77)</f>
        <v/>
      </c>
      <c r="L82" s="65">
        <f>IF($C82="","",HSI!$K$77)</f>
        <v/>
      </c>
      <c r="M82" s="41">
        <f>IF($C82="","",AVERAGE(F82:J82))</f>
        <v/>
      </c>
      <c r="N82" s="66">
        <f>IF($C82="","",IF(PULL_FUND="N","",IFERROR(BDP($C82,EPS_FIELD,YR_OVERRIDE,TEXT(YEAR_Y-5,"0")),"")))</f>
        <v/>
      </c>
      <c r="O82" s="67">
        <f>IF($C82="","",IF(PULL_FUND="N","",IFERROR(BDP($C82,EPS_FIELD,YR_OVERRIDE,TEXT(YEAR_Y-4,"0")),"")))</f>
        <v/>
      </c>
      <c r="P82" s="67">
        <f>IF($C82="","",IF(PULL_FUND="N","",IFERROR(BDP($C82,EPS_FIELD,YR_OVERRIDE,TEXT(YEAR_Y-3,"0")),"")))</f>
        <v/>
      </c>
      <c r="Q82" s="67">
        <f>IF($C82="","",IF(PULL_FUND="N","",IFERROR(BDP($C82,EPS_FIELD,YR_OVERRIDE,TEXT(YEAR_Y-2,"0")),"")))</f>
        <v/>
      </c>
      <c r="R82" s="67">
        <f>IF($C82="","",IF(PULL_FUND="N","",IFERROR(BDP($C82,EPS_FIELD,YR_OVERRIDE,TEXT(YEAR_Y-1,"0")),"")))</f>
        <v/>
      </c>
      <c r="S82" s="68">
        <f>IF($C82="","",IF(PULL_FUND="N","",IFERROR(BDP($C82,PAYOUT_FIELD,YR_OVERRIDE,TEXT(YEAR_Y-5,"0"))/100,"")))</f>
        <v/>
      </c>
      <c r="T82" s="68">
        <f>IF($C82="","",IF(PULL_FUND="N","",IFERROR(BDP($C82,PAYOUT_FIELD,YR_OVERRIDE,TEXT(YEAR_Y-4,"0"))/100,"")))</f>
        <v/>
      </c>
      <c r="U82" s="68">
        <f>IF($C82="","",IF(PULL_FUND="N","",IFERROR(BDP($C82,PAYOUT_FIELD,YR_OVERRIDE,TEXT(YEAR_Y-3,"0"))/100,"")))</f>
        <v/>
      </c>
      <c r="V82" s="68">
        <f>IF($C82="","",IF(PULL_FUND="N","",IFERROR(BDP($C82,PAYOUT_FIELD,YR_OVERRIDE,TEXT(YEAR_Y-2,"0"))/100,"")))</f>
        <v/>
      </c>
      <c r="W82" s="68">
        <f>IF($C82="","",IF(PULL_FUND="N","",IFERROR(BDP($C82,PAYOUT_FIELD,YR_OVERRIDE,TEXT(YEAR_Y-1,"0"))/100,"")))</f>
        <v/>
      </c>
      <c r="X82" s="69">
        <f>IF($C82="","",IFERROR(AVERAGE(S82:W82),""))</f>
        <v/>
      </c>
      <c r="Y82" s="66">
        <f>IF($C82="","",IF(PULL_FUND="N","",IFERROR(BDP($C82,BESTEPS_FIELD,FWD_OVERRIDE,TEXT(MOD(YEAR_Y,100),"00")&amp;"Y"),"")))</f>
        <v/>
      </c>
      <c r="Z82" s="70">
        <f>IF($C82="","",IF(PULL_FUND="N","",IFERROR(BDP($C82,BESTDPS_FIELD,FWD_OVERRIDE,TEXT(MOD(YEAR_Y,100),"00")&amp;"Y"),"")))</f>
        <v/>
      </c>
      <c r="AA82" s="71">
        <f>IF($C82="","",IF(ISNUMBER($Y82)*ISNUMBER($Z82)*($Y82&lt;&gt;0)=0,"",$Z82/$Y82))</f>
        <v/>
      </c>
      <c r="AB82" s="41">
        <f>IF($C82="","",HSI!$J$77+HSI!$L$77)</f>
        <v/>
      </c>
      <c r="AC82" s="72">
        <f>IF($C82="","",IF(PULL_FUND="N","",IF(COUNTIFS('Fund History'!$G$428:$G$432,"&gt;="&amp;DATE(YEAR_Y-4,1,1),'Fund History'!$G$428:$G$432,"&lt;="&amp;DATE(YEAR_Y-4,12,31))=0,"",SUMIFS('Fund History'!$H$428:$H$432,'Fund History'!$G$428:$G$432,"&gt;="&amp;DATE(YEAR_Y-4,1,1),'Fund History'!$G$428:$G$432,"&lt;="&amp;DATE(YEAR_Y-4,12,31))/100)))</f>
        <v/>
      </c>
      <c r="AD82" s="73">
        <f>IF($C82="","",IF(PULL_FUND="N","",IF(COUNTIFS('Fund History'!$G$428:$G$432,"&gt;="&amp;DATE(YEAR_Y-3,1,1),'Fund History'!$G$428:$G$432,"&lt;="&amp;DATE(YEAR_Y-3,12,31))=0,"",SUMIFS('Fund History'!$H$428:$H$432,'Fund History'!$G$428:$G$432,"&gt;="&amp;DATE(YEAR_Y-3,1,1),'Fund History'!$G$428:$G$432,"&lt;="&amp;DATE(YEAR_Y-3,12,31))/100)))</f>
        <v/>
      </c>
      <c r="AE82" s="73">
        <f>IF($C82="","",IF(PULL_FUND="N","",IF(COUNTIFS('Fund History'!$G$428:$G$432,"&gt;="&amp;DATE(YEAR_Y-2,1,1),'Fund History'!$G$428:$G$432,"&lt;="&amp;DATE(YEAR_Y-2,12,31))=0,"",SUMIFS('Fund History'!$H$428:$H$432,'Fund History'!$G$428:$G$432,"&gt;="&amp;DATE(YEAR_Y-2,1,1),'Fund History'!$G$428:$G$432,"&lt;="&amp;DATE(YEAR_Y-2,12,31))/100)))</f>
        <v/>
      </c>
      <c r="AF82" s="73">
        <f>IF($C82="","",IF(PULL_FUND="N","",IF(COUNTIFS('Fund History'!$G$428:$G$432,"&gt;="&amp;DATE(YEAR_Y-1,1,1),'Fund History'!$G$428:$G$432,"&lt;="&amp;DATE(YEAR_Y-1,12,31))=0,"",SUMIFS('Fund History'!$H$428:$H$432,'Fund History'!$G$428:$G$432,"&gt;="&amp;DATE(YEAR_Y-1,1,1),'Fund History'!$G$428:$G$432,"&lt;="&amp;DATE(YEAR_Y-1,12,31))/100)))</f>
        <v/>
      </c>
      <c r="AG82" s="74">
        <f>IF($C82="","",IF(N($AF82)+N(HSI!$I$77)=0,"",N($AF82)+N(HSI!$I$77)/100))</f>
        <v/>
      </c>
      <c r="AH82" s="66">
        <f>IF($C82="","",IF(PULL_FUND="N","",IF(COUNTIFS('Fund History'!$D$428:$D$432,"&gt;="&amp;DATE(YEAR_Y-2,1,1),'Fund History'!$D$428:$D$432,"&lt;="&amp;DATE(YEAR_Y-2,12,31))=0,"",SUMIFS('Fund History'!$E$428:$E$432,'Fund History'!$D$428:$D$432,"&gt;="&amp;DATE(YEAR_Y-2,1,1),'Fund History'!$D$428:$D$432,"&lt;="&amp;DATE(YEAR_Y-2,12,31)))))</f>
        <v/>
      </c>
      <c r="AI82" s="67">
        <f>IF($C82="","",IF(PULL_FUND="N","",IF(COUNTIFS('Fund History'!$D$428:$D$432,"&gt;="&amp;DATE(YEAR_Y-1,1,1),'Fund History'!$D$428:$D$432,"&lt;="&amp;DATE(YEAR_Y-1,12,31))=0,"",SUMIFS('Fund History'!$E$428:$E$432,'Fund History'!$D$428:$D$432,"&gt;="&amp;DATE(YEAR_Y-1,1,1),'Fund History'!$D$428:$D$432,"&lt;="&amp;DATE(YEAR_Y-1,12,31)))))</f>
        <v/>
      </c>
      <c r="AJ82" s="67">
        <f>IF($C82="","",IF(PULL_FUND="N","",IFERROR(BDP($C82,NDEBITDA_FIELD),"")))</f>
        <v/>
      </c>
      <c r="AK82" s="75">
        <f>IF($C82="","",IF(PULL_FUND="N","",IFERROR(BDP($C82,EBINT_FIELD),"")))</f>
        <v/>
      </c>
      <c r="AL82" s="73">
        <f>IF($C82="","",IF(PULL_FUND="N","",IFERROR(BDP($C82,FCF_FIELD)/100,"")))</f>
        <v/>
      </c>
      <c r="AM82" s="76">
        <f>IF($C82="","",IF(ISNUMBER(HSI!$I$77),HSI!$I$77/100,""))</f>
        <v/>
      </c>
      <c r="AN82" s="47">
        <f>IF($C82="","",IF(N($AM82)=0,"",IFERROR($AL82/$AM82,"")))</f>
        <v/>
      </c>
      <c r="AO82" s="33">
        <f>IF($C82="","",IF(ISNUMBER($S82)*ISNUMBER($W82)=0,"",IF($W82&gt;$S82+0.05,"rising",IF($W82&lt;$S82-0.05,"falling","stable"))))</f>
        <v/>
      </c>
      <c r="AP82" s="77">
        <f>IF($C82="","",TRIM(IF(ISNUMBER($X82)*(N($X82)&gt;$D$4)&gt;0,"payout high  ","")&amp;IF(ISNUMBER($AN82)*(N($AN82)&lt;$F$4)&gt;0,"FCF below dvd  ","")&amp;IF(ISNUMBER($AJ82)*(N($AJ82)&gt;$H$4)&gt;0,"leverage high","")))</f>
        <v/>
      </c>
      <c r="AQ82" s="78">
        <f>IF($C82="","",IF(HSI!$F$77="HKD","",HSI!$F$77))</f>
        <v/>
      </c>
    </row>
    <row r="83">
      <c r="B83" s="62" t="inlineStr">
        <is>
          <t>HSI</t>
        </is>
      </c>
      <c r="C83" s="6">
        <f>IF(HSI!$C$78="","",HSI!$C$78)</f>
        <v/>
      </c>
      <c r="D83" s="6">
        <f>IF($C83="","",HSI!$D$78)</f>
        <v/>
      </c>
      <c r="E83" s="6">
        <f>IF($C83="","",HSI!$E$78)</f>
        <v/>
      </c>
      <c r="F83" s="63">
        <f>IF($C83="","",SUMPRODUCT(('Dvd Calendar'!$E$792:$AR$792&gt;=DATE(YEAR_Y-5,1,1))*('Dvd Calendar'!$E$792:$AR$792&lt;=DATE(YEAR_Y-5,12,31))*'Dvd Calendar'!$E$795:$AR$795*(('Dvd Calendar'!$E$797:$AR$797=TYPE1)*(TYPE1&lt;&gt;"")+('Dvd Calendar'!$E$797:$AR$797=TYPE2)*(TYPE2&lt;&gt;"")+('Dvd Calendar'!$E$797:$AR$797=TYPE3)*(TYPE3&lt;&gt;"")+('Dvd Calendar'!$E$797:$AR$797=TYPE4)*(TYPE4&lt;&gt;"")+('Dvd Calendar'!$E$797:$AR$797=SPECIAL_LBL)*(INC_SPECIALS="Y"))))</f>
        <v/>
      </c>
      <c r="G83" s="64">
        <f>IF($C83="","",SUMPRODUCT(('Dvd Calendar'!$E$792:$AR$792&gt;=DATE(YEAR_Y-4,1,1))*('Dvd Calendar'!$E$792:$AR$792&lt;=DATE(YEAR_Y-4,12,31))*'Dvd Calendar'!$E$795:$AR$795*(('Dvd Calendar'!$E$797:$AR$797=TYPE1)*(TYPE1&lt;&gt;"")+('Dvd Calendar'!$E$797:$AR$797=TYPE2)*(TYPE2&lt;&gt;"")+('Dvd Calendar'!$E$797:$AR$797=TYPE3)*(TYPE3&lt;&gt;"")+('Dvd Calendar'!$E$797:$AR$797=TYPE4)*(TYPE4&lt;&gt;"")+('Dvd Calendar'!$E$797:$AR$797=SPECIAL_LBL)*(INC_SPECIALS="Y"))))</f>
        <v/>
      </c>
      <c r="H83" s="64">
        <f>IF($C83="","",SUMPRODUCT(('Dvd Calendar'!$E$792:$AR$792&gt;=DATE(YEAR_Y-3,1,1))*('Dvd Calendar'!$E$792:$AR$792&lt;=DATE(YEAR_Y-3,12,31))*'Dvd Calendar'!$E$795:$AR$795*(('Dvd Calendar'!$E$797:$AR$797=TYPE1)*(TYPE1&lt;&gt;"")+('Dvd Calendar'!$E$797:$AR$797=TYPE2)*(TYPE2&lt;&gt;"")+('Dvd Calendar'!$E$797:$AR$797=TYPE3)*(TYPE3&lt;&gt;"")+('Dvd Calendar'!$E$797:$AR$797=TYPE4)*(TYPE4&lt;&gt;"")+('Dvd Calendar'!$E$797:$AR$797=SPECIAL_LBL)*(INC_SPECIALS="Y"))))</f>
        <v/>
      </c>
      <c r="I83" s="64">
        <f>IF($C83="","",SUMPRODUCT(('Dvd Calendar'!$E$792:$AR$792&gt;=DATE(YEAR_Y-2,1,1))*('Dvd Calendar'!$E$792:$AR$792&lt;=DATE(YEAR_Y-2,12,31))*'Dvd Calendar'!$E$795:$AR$795*(('Dvd Calendar'!$E$797:$AR$797=TYPE1)*(TYPE1&lt;&gt;"")+('Dvd Calendar'!$E$797:$AR$797=TYPE2)*(TYPE2&lt;&gt;"")+('Dvd Calendar'!$E$797:$AR$797=TYPE3)*(TYPE3&lt;&gt;"")+('Dvd Calendar'!$E$797:$AR$797=TYPE4)*(TYPE4&lt;&gt;"")+('Dvd Calendar'!$E$797:$AR$797=SPECIAL_LBL)*(INC_SPECIALS="Y"))))</f>
        <v/>
      </c>
      <c r="J83" s="64">
        <f>IF($C83="","",SUMPRODUCT(('Dvd Calendar'!$E$792:$AR$792&gt;=DATE(YEAR_Y-1,1,1))*('Dvd Calendar'!$E$792:$AR$792&lt;=DATE(YEAR_Y-1,12,31))*'Dvd Calendar'!$E$795:$AR$795*(('Dvd Calendar'!$E$797:$AR$797=TYPE1)*(TYPE1&lt;&gt;"")+('Dvd Calendar'!$E$797:$AR$797=TYPE2)*(TYPE2&lt;&gt;"")+('Dvd Calendar'!$E$797:$AR$797=TYPE3)*(TYPE3&lt;&gt;"")+('Dvd Calendar'!$E$797:$AR$797=TYPE4)*(TYPE4&lt;&gt;"")+('Dvd Calendar'!$E$797:$AR$797=SPECIAL_LBL)*(INC_SPECIALS="Y"))))</f>
        <v/>
      </c>
      <c r="K83" s="65">
        <f>IF($C83="","",HSI!$J$78)</f>
        <v/>
      </c>
      <c r="L83" s="65">
        <f>IF($C83="","",HSI!$K$78)</f>
        <v/>
      </c>
      <c r="M83" s="41">
        <f>IF($C83="","",AVERAGE(F83:J83))</f>
        <v/>
      </c>
      <c r="N83" s="66">
        <f>IF($C83="","",IF(PULL_FUND="N","",IFERROR(BDP($C83,EPS_FIELD,YR_OVERRIDE,TEXT(YEAR_Y-5,"0")),"")))</f>
        <v/>
      </c>
      <c r="O83" s="67">
        <f>IF($C83="","",IF(PULL_FUND="N","",IFERROR(BDP($C83,EPS_FIELD,YR_OVERRIDE,TEXT(YEAR_Y-4,"0")),"")))</f>
        <v/>
      </c>
      <c r="P83" s="67">
        <f>IF($C83="","",IF(PULL_FUND="N","",IFERROR(BDP($C83,EPS_FIELD,YR_OVERRIDE,TEXT(YEAR_Y-3,"0")),"")))</f>
        <v/>
      </c>
      <c r="Q83" s="67">
        <f>IF($C83="","",IF(PULL_FUND="N","",IFERROR(BDP($C83,EPS_FIELD,YR_OVERRIDE,TEXT(YEAR_Y-2,"0")),"")))</f>
        <v/>
      </c>
      <c r="R83" s="67">
        <f>IF($C83="","",IF(PULL_FUND="N","",IFERROR(BDP($C83,EPS_FIELD,YR_OVERRIDE,TEXT(YEAR_Y-1,"0")),"")))</f>
        <v/>
      </c>
      <c r="S83" s="68">
        <f>IF($C83="","",IF(PULL_FUND="N","",IFERROR(BDP($C83,PAYOUT_FIELD,YR_OVERRIDE,TEXT(YEAR_Y-5,"0"))/100,"")))</f>
        <v/>
      </c>
      <c r="T83" s="68">
        <f>IF($C83="","",IF(PULL_FUND="N","",IFERROR(BDP($C83,PAYOUT_FIELD,YR_OVERRIDE,TEXT(YEAR_Y-4,"0"))/100,"")))</f>
        <v/>
      </c>
      <c r="U83" s="68">
        <f>IF($C83="","",IF(PULL_FUND="N","",IFERROR(BDP($C83,PAYOUT_FIELD,YR_OVERRIDE,TEXT(YEAR_Y-3,"0"))/100,"")))</f>
        <v/>
      </c>
      <c r="V83" s="68">
        <f>IF($C83="","",IF(PULL_FUND="N","",IFERROR(BDP($C83,PAYOUT_FIELD,YR_OVERRIDE,TEXT(YEAR_Y-2,"0"))/100,"")))</f>
        <v/>
      </c>
      <c r="W83" s="68">
        <f>IF($C83="","",IF(PULL_FUND="N","",IFERROR(BDP($C83,PAYOUT_FIELD,YR_OVERRIDE,TEXT(YEAR_Y-1,"0"))/100,"")))</f>
        <v/>
      </c>
      <c r="X83" s="69">
        <f>IF($C83="","",IFERROR(AVERAGE(S83:W83),""))</f>
        <v/>
      </c>
      <c r="Y83" s="66">
        <f>IF($C83="","",IF(PULL_FUND="N","",IFERROR(BDP($C83,BESTEPS_FIELD,FWD_OVERRIDE,TEXT(MOD(YEAR_Y,100),"00")&amp;"Y"),"")))</f>
        <v/>
      </c>
      <c r="Z83" s="70">
        <f>IF($C83="","",IF(PULL_FUND="N","",IFERROR(BDP($C83,BESTDPS_FIELD,FWD_OVERRIDE,TEXT(MOD(YEAR_Y,100),"00")&amp;"Y"),"")))</f>
        <v/>
      </c>
      <c r="AA83" s="71">
        <f>IF($C83="","",IF(ISNUMBER($Y83)*ISNUMBER($Z83)*($Y83&lt;&gt;0)=0,"",$Z83/$Y83))</f>
        <v/>
      </c>
      <c r="AB83" s="41">
        <f>IF($C83="","",HSI!$J$78+HSI!$L$78)</f>
        <v/>
      </c>
      <c r="AC83" s="72">
        <f>IF($C83="","",IF(PULL_FUND="N","",IF(COUNTIFS('Fund History'!$G$434:$G$438,"&gt;="&amp;DATE(YEAR_Y-4,1,1),'Fund History'!$G$434:$G$438,"&lt;="&amp;DATE(YEAR_Y-4,12,31))=0,"",SUMIFS('Fund History'!$H$434:$H$438,'Fund History'!$G$434:$G$438,"&gt;="&amp;DATE(YEAR_Y-4,1,1),'Fund History'!$G$434:$G$438,"&lt;="&amp;DATE(YEAR_Y-4,12,31))/100)))</f>
        <v/>
      </c>
      <c r="AD83" s="73">
        <f>IF($C83="","",IF(PULL_FUND="N","",IF(COUNTIFS('Fund History'!$G$434:$G$438,"&gt;="&amp;DATE(YEAR_Y-3,1,1),'Fund History'!$G$434:$G$438,"&lt;="&amp;DATE(YEAR_Y-3,12,31))=0,"",SUMIFS('Fund History'!$H$434:$H$438,'Fund History'!$G$434:$G$438,"&gt;="&amp;DATE(YEAR_Y-3,1,1),'Fund History'!$G$434:$G$438,"&lt;="&amp;DATE(YEAR_Y-3,12,31))/100)))</f>
        <v/>
      </c>
      <c r="AE83" s="73">
        <f>IF($C83="","",IF(PULL_FUND="N","",IF(COUNTIFS('Fund History'!$G$434:$G$438,"&gt;="&amp;DATE(YEAR_Y-2,1,1),'Fund History'!$G$434:$G$438,"&lt;="&amp;DATE(YEAR_Y-2,12,31))=0,"",SUMIFS('Fund History'!$H$434:$H$438,'Fund History'!$G$434:$G$438,"&gt;="&amp;DATE(YEAR_Y-2,1,1),'Fund History'!$G$434:$G$438,"&lt;="&amp;DATE(YEAR_Y-2,12,31))/100)))</f>
        <v/>
      </c>
      <c r="AF83" s="73">
        <f>IF($C83="","",IF(PULL_FUND="N","",IF(COUNTIFS('Fund History'!$G$434:$G$438,"&gt;="&amp;DATE(YEAR_Y-1,1,1),'Fund History'!$G$434:$G$438,"&lt;="&amp;DATE(YEAR_Y-1,12,31))=0,"",SUMIFS('Fund History'!$H$434:$H$438,'Fund History'!$G$434:$G$438,"&gt;="&amp;DATE(YEAR_Y-1,1,1),'Fund History'!$G$434:$G$438,"&lt;="&amp;DATE(YEAR_Y-1,12,31))/100)))</f>
        <v/>
      </c>
      <c r="AG83" s="74">
        <f>IF($C83="","",IF(N($AF83)+N(HSI!$I$78)=0,"",N($AF83)+N(HSI!$I$78)/100))</f>
        <v/>
      </c>
      <c r="AH83" s="66">
        <f>IF($C83="","",IF(PULL_FUND="N","",IF(COUNTIFS('Fund History'!$D$434:$D$438,"&gt;="&amp;DATE(YEAR_Y-2,1,1),'Fund History'!$D$434:$D$438,"&lt;="&amp;DATE(YEAR_Y-2,12,31))=0,"",SUMIFS('Fund History'!$E$434:$E$438,'Fund History'!$D$434:$D$438,"&gt;="&amp;DATE(YEAR_Y-2,1,1),'Fund History'!$D$434:$D$438,"&lt;="&amp;DATE(YEAR_Y-2,12,31)))))</f>
        <v/>
      </c>
      <c r="AI83" s="67">
        <f>IF($C83="","",IF(PULL_FUND="N","",IF(COUNTIFS('Fund History'!$D$434:$D$438,"&gt;="&amp;DATE(YEAR_Y-1,1,1),'Fund History'!$D$434:$D$438,"&lt;="&amp;DATE(YEAR_Y-1,12,31))=0,"",SUMIFS('Fund History'!$E$434:$E$438,'Fund History'!$D$434:$D$438,"&gt;="&amp;DATE(YEAR_Y-1,1,1),'Fund History'!$D$434:$D$438,"&lt;="&amp;DATE(YEAR_Y-1,12,31)))))</f>
        <v/>
      </c>
      <c r="AJ83" s="67">
        <f>IF($C83="","",IF(PULL_FUND="N","",IFERROR(BDP($C83,NDEBITDA_FIELD),"")))</f>
        <v/>
      </c>
      <c r="AK83" s="75">
        <f>IF($C83="","",IF(PULL_FUND="N","",IFERROR(BDP($C83,EBINT_FIELD),"")))</f>
        <v/>
      </c>
      <c r="AL83" s="73">
        <f>IF($C83="","",IF(PULL_FUND="N","",IFERROR(BDP($C83,FCF_FIELD)/100,"")))</f>
        <v/>
      </c>
      <c r="AM83" s="76">
        <f>IF($C83="","",IF(ISNUMBER(HSI!$I$78),HSI!$I$78/100,""))</f>
        <v/>
      </c>
      <c r="AN83" s="47">
        <f>IF($C83="","",IF(N($AM83)=0,"",IFERROR($AL83/$AM83,"")))</f>
        <v/>
      </c>
      <c r="AO83" s="33">
        <f>IF($C83="","",IF(ISNUMBER($S83)*ISNUMBER($W83)=0,"",IF($W83&gt;$S83+0.05,"rising",IF($W83&lt;$S83-0.05,"falling","stable"))))</f>
        <v/>
      </c>
      <c r="AP83" s="77">
        <f>IF($C83="","",TRIM(IF(ISNUMBER($X83)*(N($X83)&gt;$D$4)&gt;0,"payout high  ","")&amp;IF(ISNUMBER($AN83)*(N($AN83)&lt;$F$4)&gt;0,"FCF below dvd  ","")&amp;IF(ISNUMBER($AJ83)*(N($AJ83)&gt;$H$4)&gt;0,"leverage high","")))</f>
        <v/>
      </c>
      <c r="AQ83" s="78">
        <f>IF($C83="","",IF(HSI!$F$78="HKD","",HSI!$F$78))</f>
        <v/>
      </c>
    </row>
    <row r="84">
      <c r="B84" s="62" t="inlineStr">
        <is>
          <t>HSI</t>
        </is>
      </c>
      <c r="C84" s="6">
        <f>IF(HSI!$C$79="","",HSI!$C$79)</f>
        <v/>
      </c>
      <c r="D84" s="6">
        <f>IF($C84="","",HSI!$D$79)</f>
        <v/>
      </c>
      <c r="E84" s="6">
        <f>IF($C84="","",HSI!$E$79)</f>
        <v/>
      </c>
      <c r="F84" s="63">
        <f>IF($C84="","",SUMPRODUCT(('Dvd Calendar'!$E$803:$AR$803&gt;=DATE(YEAR_Y-5,1,1))*('Dvd Calendar'!$E$803:$AR$803&lt;=DATE(YEAR_Y-5,12,31))*'Dvd Calendar'!$E$806:$AR$806*(('Dvd Calendar'!$E$808:$AR$808=TYPE1)*(TYPE1&lt;&gt;"")+('Dvd Calendar'!$E$808:$AR$808=TYPE2)*(TYPE2&lt;&gt;"")+('Dvd Calendar'!$E$808:$AR$808=TYPE3)*(TYPE3&lt;&gt;"")+('Dvd Calendar'!$E$808:$AR$808=TYPE4)*(TYPE4&lt;&gt;"")+('Dvd Calendar'!$E$808:$AR$808=SPECIAL_LBL)*(INC_SPECIALS="Y"))))</f>
        <v/>
      </c>
      <c r="G84" s="64">
        <f>IF($C84="","",SUMPRODUCT(('Dvd Calendar'!$E$803:$AR$803&gt;=DATE(YEAR_Y-4,1,1))*('Dvd Calendar'!$E$803:$AR$803&lt;=DATE(YEAR_Y-4,12,31))*'Dvd Calendar'!$E$806:$AR$806*(('Dvd Calendar'!$E$808:$AR$808=TYPE1)*(TYPE1&lt;&gt;"")+('Dvd Calendar'!$E$808:$AR$808=TYPE2)*(TYPE2&lt;&gt;"")+('Dvd Calendar'!$E$808:$AR$808=TYPE3)*(TYPE3&lt;&gt;"")+('Dvd Calendar'!$E$808:$AR$808=TYPE4)*(TYPE4&lt;&gt;"")+('Dvd Calendar'!$E$808:$AR$808=SPECIAL_LBL)*(INC_SPECIALS="Y"))))</f>
        <v/>
      </c>
      <c r="H84" s="64">
        <f>IF($C84="","",SUMPRODUCT(('Dvd Calendar'!$E$803:$AR$803&gt;=DATE(YEAR_Y-3,1,1))*('Dvd Calendar'!$E$803:$AR$803&lt;=DATE(YEAR_Y-3,12,31))*'Dvd Calendar'!$E$806:$AR$806*(('Dvd Calendar'!$E$808:$AR$808=TYPE1)*(TYPE1&lt;&gt;"")+('Dvd Calendar'!$E$808:$AR$808=TYPE2)*(TYPE2&lt;&gt;"")+('Dvd Calendar'!$E$808:$AR$808=TYPE3)*(TYPE3&lt;&gt;"")+('Dvd Calendar'!$E$808:$AR$808=TYPE4)*(TYPE4&lt;&gt;"")+('Dvd Calendar'!$E$808:$AR$808=SPECIAL_LBL)*(INC_SPECIALS="Y"))))</f>
        <v/>
      </c>
      <c r="I84" s="64">
        <f>IF($C84="","",SUMPRODUCT(('Dvd Calendar'!$E$803:$AR$803&gt;=DATE(YEAR_Y-2,1,1))*('Dvd Calendar'!$E$803:$AR$803&lt;=DATE(YEAR_Y-2,12,31))*'Dvd Calendar'!$E$806:$AR$806*(('Dvd Calendar'!$E$808:$AR$808=TYPE1)*(TYPE1&lt;&gt;"")+('Dvd Calendar'!$E$808:$AR$808=TYPE2)*(TYPE2&lt;&gt;"")+('Dvd Calendar'!$E$808:$AR$808=TYPE3)*(TYPE3&lt;&gt;"")+('Dvd Calendar'!$E$808:$AR$808=TYPE4)*(TYPE4&lt;&gt;"")+('Dvd Calendar'!$E$808:$AR$808=SPECIAL_LBL)*(INC_SPECIALS="Y"))))</f>
        <v/>
      </c>
      <c r="J84" s="64">
        <f>IF($C84="","",SUMPRODUCT(('Dvd Calendar'!$E$803:$AR$803&gt;=DATE(YEAR_Y-1,1,1))*('Dvd Calendar'!$E$803:$AR$803&lt;=DATE(YEAR_Y-1,12,31))*'Dvd Calendar'!$E$806:$AR$806*(('Dvd Calendar'!$E$808:$AR$808=TYPE1)*(TYPE1&lt;&gt;"")+('Dvd Calendar'!$E$808:$AR$808=TYPE2)*(TYPE2&lt;&gt;"")+('Dvd Calendar'!$E$808:$AR$808=TYPE3)*(TYPE3&lt;&gt;"")+('Dvd Calendar'!$E$808:$AR$808=TYPE4)*(TYPE4&lt;&gt;"")+('Dvd Calendar'!$E$808:$AR$808=SPECIAL_LBL)*(INC_SPECIALS="Y"))))</f>
        <v/>
      </c>
      <c r="K84" s="65">
        <f>IF($C84="","",HSI!$J$79)</f>
        <v/>
      </c>
      <c r="L84" s="65">
        <f>IF($C84="","",HSI!$K$79)</f>
        <v/>
      </c>
      <c r="M84" s="41">
        <f>IF($C84="","",AVERAGE(F84:J84))</f>
        <v/>
      </c>
      <c r="N84" s="66">
        <f>IF($C84="","",IF(PULL_FUND="N","",IFERROR(BDP($C84,EPS_FIELD,YR_OVERRIDE,TEXT(YEAR_Y-5,"0")),"")))</f>
        <v/>
      </c>
      <c r="O84" s="67">
        <f>IF($C84="","",IF(PULL_FUND="N","",IFERROR(BDP($C84,EPS_FIELD,YR_OVERRIDE,TEXT(YEAR_Y-4,"0")),"")))</f>
        <v/>
      </c>
      <c r="P84" s="67">
        <f>IF($C84="","",IF(PULL_FUND="N","",IFERROR(BDP($C84,EPS_FIELD,YR_OVERRIDE,TEXT(YEAR_Y-3,"0")),"")))</f>
        <v/>
      </c>
      <c r="Q84" s="67">
        <f>IF($C84="","",IF(PULL_FUND="N","",IFERROR(BDP($C84,EPS_FIELD,YR_OVERRIDE,TEXT(YEAR_Y-2,"0")),"")))</f>
        <v/>
      </c>
      <c r="R84" s="67">
        <f>IF($C84="","",IF(PULL_FUND="N","",IFERROR(BDP($C84,EPS_FIELD,YR_OVERRIDE,TEXT(YEAR_Y-1,"0")),"")))</f>
        <v/>
      </c>
      <c r="S84" s="68">
        <f>IF($C84="","",IF(PULL_FUND="N","",IFERROR(BDP($C84,PAYOUT_FIELD,YR_OVERRIDE,TEXT(YEAR_Y-5,"0"))/100,"")))</f>
        <v/>
      </c>
      <c r="T84" s="68">
        <f>IF($C84="","",IF(PULL_FUND="N","",IFERROR(BDP($C84,PAYOUT_FIELD,YR_OVERRIDE,TEXT(YEAR_Y-4,"0"))/100,"")))</f>
        <v/>
      </c>
      <c r="U84" s="68">
        <f>IF($C84="","",IF(PULL_FUND="N","",IFERROR(BDP($C84,PAYOUT_FIELD,YR_OVERRIDE,TEXT(YEAR_Y-3,"0"))/100,"")))</f>
        <v/>
      </c>
      <c r="V84" s="68">
        <f>IF($C84="","",IF(PULL_FUND="N","",IFERROR(BDP($C84,PAYOUT_FIELD,YR_OVERRIDE,TEXT(YEAR_Y-2,"0"))/100,"")))</f>
        <v/>
      </c>
      <c r="W84" s="68">
        <f>IF($C84="","",IF(PULL_FUND="N","",IFERROR(BDP($C84,PAYOUT_FIELD,YR_OVERRIDE,TEXT(YEAR_Y-1,"0"))/100,"")))</f>
        <v/>
      </c>
      <c r="X84" s="69">
        <f>IF($C84="","",IFERROR(AVERAGE(S84:W84),""))</f>
        <v/>
      </c>
      <c r="Y84" s="66">
        <f>IF($C84="","",IF(PULL_FUND="N","",IFERROR(BDP($C84,BESTEPS_FIELD,FWD_OVERRIDE,TEXT(MOD(YEAR_Y,100),"00")&amp;"Y"),"")))</f>
        <v/>
      </c>
      <c r="Z84" s="70">
        <f>IF($C84="","",IF(PULL_FUND="N","",IFERROR(BDP($C84,BESTDPS_FIELD,FWD_OVERRIDE,TEXT(MOD(YEAR_Y,100),"00")&amp;"Y"),"")))</f>
        <v/>
      </c>
      <c r="AA84" s="71">
        <f>IF($C84="","",IF(ISNUMBER($Y84)*ISNUMBER($Z84)*($Y84&lt;&gt;0)=0,"",$Z84/$Y84))</f>
        <v/>
      </c>
      <c r="AB84" s="41">
        <f>IF($C84="","",HSI!$J$79+HSI!$L$79)</f>
        <v/>
      </c>
      <c r="AC84" s="72">
        <f>IF($C84="","",IF(PULL_FUND="N","",IF(COUNTIFS('Fund History'!$G$440:$G$444,"&gt;="&amp;DATE(YEAR_Y-4,1,1),'Fund History'!$G$440:$G$444,"&lt;="&amp;DATE(YEAR_Y-4,12,31))=0,"",SUMIFS('Fund History'!$H$440:$H$444,'Fund History'!$G$440:$G$444,"&gt;="&amp;DATE(YEAR_Y-4,1,1),'Fund History'!$G$440:$G$444,"&lt;="&amp;DATE(YEAR_Y-4,12,31))/100)))</f>
        <v/>
      </c>
      <c r="AD84" s="73">
        <f>IF($C84="","",IF(PULL_FUND="N","",IF(COUNTIFS('Fund History'!$G$440:$G$444,"&gt;="&amp;DATE(YEAR_Y-3,1,1),'Fund History'!$G$440:$G$444,"&lt;="&amp;DATE(YEAR_Y-3,12,31))=0,"",SUMIFS('Fund History'!$H$440:$H$444,'Fund History'!$G$440:$G$444,"&gt;="&amp;DATE(YEAR_Y-3,1,1),'Fund History'!$G$440:$G$444,"&lt;="&amp;DATE(YEAR_Y-3,12,31))/100)))</f>
        <v/>
      </c>
      <c r="AE84" s="73">
        <f>IF($C84="","",IF(PULL_FUND="N","",IF(COUNTIFS('Fund History'!$G$440:$G$444,"&gt;="&amp;DATE(YEAR_Y-2,1,1),'Fund History'!$G$440:$G$444,"&lt;="&amp;DATE(YEAR_Y-2,12,31))=0,"",SUMIFS('Fund History'!$H$440:$H$444,'Fund History'!$G$440:$G$444,"&gt;="&amp;DATE(YEAR_Y-2,1,1),'Fund History'!$G$440:$G$444,"&lt;="&amp;DATE(YEAR_Y-2,12,31))/100)))</f>
        <v/>
      </c>
      <c r="AF84" s="73">
        <f>IF($C84="","",IF(PULL_FUND="N","",IF(COUNTIFS('Fund History'!$G$440:$G$444,"&gt;="&amp;DATE(YEAR_Y-1,1,1),'Fund History'!$G$440:$G$444,"&lt;="&amp;DATE(YEAR_Y-1,12,31))=0,"",SUMIFS('Fund History'!$H$440:$H$444,'Fund History'!$G$440:$G$444,"&gt;="&amp;DATE(YEAR_Y-1,1,1),'Fund History'!$G$440:$G$444,"&lt;="&amp;DATE(YEAR_Y-1,12,31))/100)))</f>
        <v/>
      </c>
      <c r="AG84" s="74">
        <f>IF($C84="","",IF(N($AF84)+N(HSI!$I$79)=0,"",N($AF84)+N(HSI!$I$79)/100))</f>
        <v/>
      </c>
      <c r="AH84" s="66">
        <f>IF($C84="","",IF(PULL_FUND="N","",IF(COUNTIFS('Fund History'!$D$440:$D$444,"&gt;="&amp;DATE(YEAR_Y-2,1,1),'Fund History'!$D$440:$D$444,"&lt;="&amp;DATE(YEAR_Y-2,12,31))=0,"",SUMIFS('Fund History'!$E$440:$E$444,'Fund History'!$D$440:$D$444,"&gt;="&amp;DATE(YEAR_Y-2,1,1),'Fund History'!$D$440:$D$444,"&lt;="&amp;DATE(YEAR_Y-2,12,31)))))</f>
        <v/>
      </c>
      <c r="AI84" s="67">
        <f>IF($C84="","",IF(PULL_FUND="N","",IF(COUNTIFS('Fund History'!$D$440:$D$444,"&gt;="&amp;DATE(YEAR_Y-1,1,1),'Fund History'!$D$440:$D$444,"&lt;="&amp;DATE(YEAR_Y-1,12,31))=0,"",SUMIFS('Fund History'!$E$440:$E$444,'Fund History'!$D$440:$D$444,"&gt;="&amp;DATE(YEAR_Y-1,1,1),'Fund History'!$D$440:$D$444,"&lt;="&amp;DATE(YEAR_Y-1,12,31)))))</f>
        <v/>
      </c>
      <c r="AJ84" s="67">
        <f>IF($C84="","",IF(PULL_FUND="N","",IFERROR(BDP($C84,NDEBITDA_FIELD),"")))</f>
        <v/>
      </c>
      <c r="AK84" s="75">
        <f>IF($C84="","",IF(PULL_FUND="N","",IFERROR(BDP($C84,EBINT_FIELD),"")))</f>
        <v/>
      </c>
      <c r="AL84" s="73">
        <f>IF($C84="","",IF(PULL_FUND="N","",IFERROR(BDP($C84,FCF_FIELD)/100,"")))</f>
        <v/>
      </c>
      <c r="AM84" s="76">
        <f>IF($C84="","",IF(ISNUMBER(HSI!$I$79),HSI!$I$79/100,""))</f>
        <v/>
      </c>
      <c r="AN84" s="47">
        <f>IF($C84="","",IF(N($AM84)=0,"",IFERROR($AL84/$AM84,"")))</f>
        <v/>
      </c>
      <c r="AO84" s="33">
        <f>IF($C84="","",IF(ISNUMBER($S84)*ISNUMBER($W84)=0,"",IF($W84&gt;$S84+0.05,"rising",IF($W84&lt;$S84-0.05,"falling","stable"))))</f>
        <v/>
      </c>
      <c r="AP84" s="77">
        <f>IF($C84="","",TRIM(IF(ISNUMBER($X84)*(N($X84)&gt;$D$4)&gt;0,"payout high  ","")&amp;IF(ISNUMBER($AN84)*(N($AN84)&lt;$F$4)&gt;0,"FCF below dvd  ","")&amp;IF(ISNUMBER($AJ84)*(N($AJ84)&gt;$H$4)&gt;0,"leverage high","")))</f>
        <v/>
      </c>
      <c r="AQ84" s="78">
        <f>IF($C84="","",IF(HSI!$F$79="HKD","",HSI!$F$79))</f>
        <v/>
      </c>
    </row>
    <row r="85">
      <c r="B85" s="62" t="inlineStr">
        <is>
          <t>HSI</t>
        </is>
      </c>
      <c r="C85" s="6">
        <f>IF(HSI!$C$80="","",HSI!$C$80)</f>
        <v/>
      </c>
      <c r="D85" s="6">
        <f>IF($C85="","",HSI!$D$80)</f>
        <v/>
      </c>
      <c r="E85" s="6">
        <f>IF($C85="","",HSI!$E$80)</f>
        <v/>
      </c>
      <c r="F85" s="63">
        <f>IF($C85="","",SUMPRODUCT(('Dvd Calendar'!$E$814:$AR$814&gt;=DATE(YEAR_Y-5,1,1))*('Dvd Calendar'!$E$814:$AR$814&lt;=DATE(YEAR_Y-5,12,31))*'Dvd Calendar'!$E$817:$AR$817*(('Dvd Calendar'!$E$819:$AR$819=TYPE1)*(TYPE1&lt;&gt;"")+('Dvd Calendar'!$E$819:$AR$819=TYPE2)*(TYPE2&lt;&gt;"")+('Dvd Calendar'!$E$819:$AR$819=TYPE3)*(TYPE3&lt;&gt;"")+('Dvd Calendar'!$E$819:$AR$819=TYPE4)*(TYPE4&lt;&gt;"")+('Dvd Calendar'!$E$819:$AR$819=SPECIAL_LBL)*(INC_SPECIALS="Y"))))</f>
        <v/>
      </c>
      <c r="G85" s="64">
        <f>IF($C85="","",SUMPRODUCT(('Dvd Calendar'!$E$814:$AR$814&gt;=DATE(YEAR_Y-4,1,1))*('Dvd Calendar'!$E$814:$AR$814&lt;=DATE(YEAR_Y-4,12,31))*'Dvd Calendar'!$E$817:$AR$817*(('Dvd Calendar'!$E$819:$AR$819=TYPE1)*(TYPE1&lt;&gt;"")+('Dvd Calendar'!$E$819:$AR$819=TYPE2)*(TYPE2&lt;&gt;"")+('Dvd Calendar'!$E$819:$AR$819=TYPE3)*(TYPE3&lt;&gt;"")+('Dvd Calendar'!$E$819:$AR$819=TYPE4)*(TYPE4&lt;&gt;"")+('Dvd Calendar'!$E$819:$AR$819=SPECIAL_LBL)*(INC_SPECIALS="Y"))))</f>
        <v/>
      </c>
      <c r="H85" s="64">
        <f>IF($C85="","",SUMPRODUCT(('Dvd Calendar'!$E$814:$AR$814&gt;=DATE(YEAR_Y-3,1,1))*('Dvd Calendar'!$E$814:$AR$814&lt;=DATE(YEAR_Y-3,12,31))*'Dvd Calendar'!$E$817:$AR$817*(('Dvd Calendar'!$E$819:$AR$819=TYPE1)*(TYPE1&lt;&gt;"")+('Dvd Calendar'!$E$819:$AR$819=TYPE2)*(TYPE2&lt;&gt;"")+('Dvd Calendar'!$E$819:$AR$819=TYPE3)*(TYPE3&lt;&gt;"")+('Dvd Calendar'!$E$819:$AR$819=TYPE4)*(TYPE4&lt;&gt;"")+('Dvd Calendar'!$E$819:$AR$819=SPECIAL_LBL)*(INC_SPECIALS="Y"))))</f>
        <v/>
      </c>
      <c r="I85" s="64">
        <f>IF($C85="","",SUMPRODUCT(('Dvd Calendar'!$E$814:$AR$814&gt;=DATE(YEAR_Y-2,1,1))*('Dvd Calendar'!$E$814:$AR$814&lt;=DATE(YEAR_Y-2,12,31))*'Dvd Calendar'!$E$817:$AR$817*(('Dvd Calendar'!$E$819:$AR$819=TYPE1)*(TYPE1&lt;&gt;"")+('Dvd Calendar'!$E$819:$AR$819=TYPE2)*(TYPE2&lt;&gt;"")+('Dvd Calendar'!$E$819:$AR$819=TYPE3)*(TYPE3&lt;&gt;"")+('Dvd Calendar'!$E$819:$AR$819=TYPE4)*(TYPE4&lt;&gt;"")+('Dvd Calendar'!$E$819:$AR$819=SPECIAL_LBL)*(INC_SPECIALS="Y"))))</f>
        <v/>
      </c>
      <c r="J85" s="64">
        <f>IF($C85="","",SUMPRODUCT(('Dvd Calendar'!$E$814:$AR$814&gt;=DATE(YEAR_Y-1,1,1))*('Dvd Calendar'!$E$814:$AR$814&lt;=DATE(YEAR_Y-1,12,31))*'Dvd Calendar'!$E$817:$AR$817*(('Dvd Calendar'!$E$819:$AR$819=TYPE1)*(TYPE1&lt;&gt;"")+('Dvd Calendar'!$E$819:$AR$819=TYPE2)*(TYPE2&lt;&gt;"")+('Dvd Calendar'!$E$819:$AR$819=TYPE3)*(TYPE3&lt;&gt;"")+('Dvd Calendar'!$E$819:$AR$819=TYPE4)*(TYPE4&lt;&gt;"")+('Dvd Calendar'!$E$819:$AR$819=SPECIAL_LBL)*(INC_SPECIALS="Y"))))</f>
        <v/>
      </c>
      <c r="K85" s="65">
        <f>IF($C85="","",HSI!$J$80)</f>
        <v/>
      </c>
      <c r="L85" s="65">
        <f>IF($C85="","",HSI!$K$80)</f>
        <v/>
      </c>
      <c r="M85" s="41">
        <f>IF($C85="","",AVERAGE(F85:J85))</f>
        <v/>
      </c>
      <c r="N85" s="66">
        <f>IF($C85="","",IF(PULL_FUND="N","",IFERROR(BDP($C85,EPS_FIELD,YR_OVERRIDE,TEXT(YEAR_Y-5,"0")),"")))</f>
        <v/>
      </c>
      <c r="O85" s="67">
        <f>IF($C85="","",IF(PULL_FUND="N","",IFERROR(BDP($C85,EPS_FIELD,YR_OVERRIDE,TEXT(YEAR_Y-4,"0")),"")))</f>
        <v/>
      </c>
      <c r="P85" s="67">
        <f>IF($C85="","",IF(PULL_FUND="N","",IFERROR(BDP($C85,EPS_FIELD,YR_OVERRIDE,TEXT(YEAR_Y-3,"0")),"")))</f>
        <v/>
      </c>
      <c r="Q85" s="67">
        <f>IF($C85="","",IF(PULL_FUND="N","",IFERROR(BDP($C85,EPS_FIELD,YR_OVERRIDE,TEXT(YEAR_Y-2,"0")),"")))</f>
        <v/>
      </c>
      <c r="R85" s="67">
        <f>IF($C85="","",IF(PULL_FUND="N","",IFERROR(BDP($C85,EPS_FIELD,YR_OVERRIDE,TEXT(YEAR_Y-1,"0")),"")))</f>
        <v/>
      </c>
      <c r="S85" s="68">
        <f>IF($C85="","",IF(PULL_FUND="N","",IFERROR(BDP($C85,PAYOUT_FIELD,YR_OVERRIDE,TEXT(YEAR_Y-5,"0"))/100,"")))</f>
        <v/>
      </c>
      <c r="T85" s="68">
        <f>IF($C85="","",IF(PULL_FUND="N","",IFERROR(BDP($C85,PAYOUT_FIELD,YR_OVERRIDE,TEXT(YEAR_Y-4,"0"))/100,"")))</f>
        <v/>
      </c>
      <c r="U85" s="68">
        <f>IF($C85="","",IF(PULL_FUND="N","",IFERROR(BDP($C85,PAYOUT_FIELD,YR_OVERRIDE,TEXT(YEAR_Y-3,"0"))/100,"")))</f>
        <v/>
      </c>
      <c r="V85" s="68">
        <f>IF($C85="","",IF(PULL_FUND="N","",IFERROR(BDP($C85,PAYOUT_FIELD,YR_OVERRIDE,TEXT(YEAR_Y-2,"0"))/100,"")))</f>
        <v/>
      </c>
      <c r="W85" s="68">
        <f>IF($C85="","",IF(PULL_FUND="N","",IFERROR(BDP($C85,PAYOUT_FIELD,YR_OVERRIDE,TEXT(YEAR_Y-1,"0"))/100,"")))</f>
        <v/>
      </c>
      <c r="X85" s="69">
        <f>IF($C85="","",IFERROR(AVERAGE(S85:W85),""))</f>
        <v/>
      </c>
      <c r="Y85" s="66">
        <f>IF($C85="","",IF(PULL_FUND="N","",IFERROR(BDP($C85,BESTEPS_FIELD,FWD_OVERRIDE,TEXT(MOD(YEAR_Y,100),"00")&amp;"Y"),"")))</f>
        <v/>
      </c>
      <c r="Z85" s="70">
        <f>IF($C85="","",IF(PULL_FUND="N","",IFERROR(BDP($C85,BESTDPS_FIELD,FWD_OVERRIDE,TEXT(MOD(YEAR_Y,100),"00")&amp;"Y"),"")))</f>
        <v/>
      </c>
      <c r="AA85" s="71">
        <f>IF($C85="","",IF(ISNUMBER($Y85)*ISNUMBER($Z85)*($Y85&lt;&gt;0)=0,"",$Z85/$Y85))</f>
        <v/>
      </c>
      <c r="AB85" s="41">
        <f>IF($C85="","",HSI!$J$80+HSI!$L$80)</f>
        <v/>
      </c>
      <c r="AC85" s="72">
        <f>IF($C85="","",IF(PULL_FUND="N","",IF(COUNTIFS('Fund History'!$G$446:$G$450,"&gt;="&amp;DATE(YEAR_Y-4,1,1),'Fund History'!$G$446:$G$450,"&lt;="&amp;DATE(YEAR_Y-4,12,31))=0,"",SUMIFS('Fund History'!$H$446:$H$450,'Fund History'!$G$446:$G$450,"&gt;="&amp;DATE(YEAR_Y-4,1,1),'Fund History'!$G$446:$G$450,"&lt;="&amp;DATE(YEAR_Y-4,12,31))/100)))</f>
        <v/>
      </c>
      <c r="AD85" s="73">
        <f>IF($C85="","",IF(PULL_FUND="N","",IF(COUNTIFS('Fund History'!$G$446:$G$450,"&gt;="&amp;DATE(YEAR_Y-3,1,1),'Fund History'!$G$446:$G$450,"&lt;="&amp;DATE(YEAR_Y-3,12,31))=0,"",SUMIFS('Fund History'!$H$446:$H$450,'Fund History'!$G$446:$G$450,"&gt;="&amp;DATE(YEAR_Y-3,1,1),'Fund History'!$G$446:$G$450,"&lt;="&amp;DATE(YEAR_Y-3,12,31))/100)))</f>
        <v/>
      </c>
      <c r="AE85" s="73">
        <f>IF($C85="","",IF(PULL_FUND="N","",IF(COUNTIFS('Fund History'!$G$446:$G$450,"&gt;="&amp;DATE(YEAR_Y-2,1,1),'Fund History'!$G$446:$G$450,"&lt;="&amp;DATE(YEAR_Y-2,12,31))=0,"",SUMIFS('Fund History'!$H$446:$H$450,'Fund History'!$G$446:$G$450,"&gt;="&amp;DATE(YEAR_Y-2,1,1),'Fund History'!$G$446:$G$450,"&lt;="&amp;DATE(YEAR_Y-2,12,31))/100)))</f>
        <v/>
      </c>
      <c r="AF85" s="73">
        <f>IF($C85="","",IF(PULL_FUND="N","",IF(COUNTIFS('Fund History'!$G$446:$G$450,"&gt;="&amp;DATE(YEAR_Y-1,1,1),'Fund History'!$G$446:$G$450,"&lt;="&amp;DATE(YEAR_Y-1,12,31))=0,"",SUMIFS('Fund History'!$H$446:$H$450,'Fund History'!$G$446:$G$450,"&gt;="&amp;DATE(YEAR_Y-1,1,1),'Fund History'!$G$446:$G$450,"&lt;="&amp;DATE(YEAR_Y-1,12,31))/100)))</f>
        <v/>
      </c>
      <c r="AG85" s="74">
        <f>IF($C85="","",IF(N($AF85)+N(HSI!$I$80)=0,"",N($AF85)+N(HSI!$I$80)/100))</f>
        <v/>
      </c>
      <c r="AH85" s="66">
        <f>IF($C85="","",IF(PULL_FUND="N","",IF(COUNTIFS('Fund History'!$D$446:$D$450,"&gt;="&amp;DATE(YEAR_Y-2,1,1),'Fund History'!$D$446:$D$450,"&lt;="&amp;DATE(YEAR_Y-2,12,31))=0,"",SUMIFS('Fund History'!$E$446:$E$450,'Fund History'!$D$446:$D$450,"&gt;="&amp;DATE(YEAR_Y-2,1,1),'Fund History'!$D$446:$D$450,"&lt;="&amp;DATE(YEAR_Y-2,12,31)))))</f>
        <v/>
      </c>
      <c r="AI85" s="67">
        <f>IF($C85="","",IF(PULL_FUND="N","",IF(COUNTIFS('Fund History'!$D$446:$D$450,"&gt;="&amp;DATE(YEAR_Y-1,1,1),'Fund History'!$D$446:$D$450,"&lt;="&amp;DATE(YEAR_Y-1,12,31))=0,"",SUMIFS('Fund History'!$E$446:$E$450,'Fund History'!$D$446:$D$450,"&gt;="&amp;DATE(YEAR_Y-1,1,1),'Fund History'!$D$446:$D$450,"&lt;="&amp;DATE(YEAR_Y-1,12,31)))))</f>
        <v/>
      </c>
      <c r="AJ85" s="67">
        <f>IF($C85="","",IF(PULL_FUND="N","",IFERROR(BDP($C85,NDEBITDA_FIELD),"")))</f>
        <v/>
      </c>
      <c r="AK85" s="75">
        <f>IF($C85="","",IF(PULL_FUND="N","",IFERROR(BDP($C85,EBINT_FIELD),"")))</f>
        <v/>
      </c>
      <c r="AL85" s="73">
        <f>IF($C85="","",IF(PULL_FUND="N","",IFERROR(BDP($C85,FCF_FIELD)/100,"")))</f>
        <v/>
      </c>
      <c r="AM85" s="76">
        <f>IF($C85="","",IF(ISNUMBER(HSI!$I$80),HSI!$I$80/100,""))</f>
        <v/>
      </c>
      <c r="AN85" s="47">
        <f>IF($C85="","",IF(N($AM85)=0,"",IFERROR($AL85/$AM85,"")))</f>
        <v/>
      </c>
      <c r="AO85" s="33">
        <f>IF($C85="","",IF(ISNUMBER($S85)*ISNUMBER($W85)=0,"",IF($W85&gt;$S85+0.05,"rising",IF($W85&lt;$S85-0.05,"falling","stable"))))</f>
        <v/>
      </c>
      <c r="AP85" s="77">
        <f>IF($C85="","",TRIM(IF(ISNUMBER($X85)*(N($X85)&gt;$D$4)&gt;0,"payout high  ","")&amp;IF(ISNUMBER($AN85)*(N($AN85)&lt;$F$4)&gt;0,"FCF below dvd  ","")&amp;IF(ISNUMBER($AJ85)*(N($AJ85)&gt;$H$4)&gt;0,"leverage high","")))</f>
        <v/>
      </c>
      <c r="AQ85" s="78">
        <f>IF($C85="","",IF(HSI!$F$80="HKD","",HSI!$F$80))</f>
        <v/>
      </c>
    </row>
    <row r="86">
      <c r="B86" s="62" t="inlineStr">
        <is>
          <t>HSI</t>
        </is>
      </c>
      <c r="C86" s="6">
        <f>IF(HSI!$C$81="","",HSI!$C$81)</f>
        <v/>
      </c>
      <c r="D86" s="6">
        <f>IF($C86="","",HSI!$D$81)</f>
        <v/>
      </c>
      <c r="E86" s="6">
        <f>IF($C86="","",HSI!$E$81)</f>
        <v/>
      </c>
      <c r="F86" s="63">
        <f>IF($C86="","",SUMPRODUCT(('Dvd Calendar'!$E$825:$AR$825&gt;=DATE(YEAR_Y-5,1,1))*('Dvd Calendar'!$E$825:$AR$825&lt;=DATE(YEAR_Y-5,12,31))*'Dvd Calendar'!$E$828:$AR$828*(('Dvd Calendar'!$E$830:$AR$830=TYPE1)*(TYPE1&lt;&gt;"")+('Dvd Calendar'!$E$830:$AR$830=TYPE2)*(TYPE2&lt;&gt;"")+('Dvd Calendar'!$E$830:$AR$830=TYPE3)*(TYPE3&lt;&gt;"")+('Dvd Calendar'!$E$830:$AR$830=TYPE4)*(TYPE4&lt;&gt;"")+('Dvd Calendar'!$E$830:$AR$830=SPECIAL_LBL)*(INC_SPECIALS="Y"))))</f>
        <v/>
      </c>
      <c r="G86" s="64">
        <f>IF($C86="","",SUMPRODUCT(('Dvd Calendar'!$E$825:$AR$825&gt;=DATE(YEAR_Y-4,1,1))*('Dvd Calendar'!$E$825:$AR$825&lt;=DATE(YEAR_Y-4,12,31))*'Dvd Calendar'!$E$828:$AR$828*(('Dvd Calendar'!$E$830:$AR$830=TYPE1)*(TYPE1&lt;&gt;"")+('Dvd Calendar'!$E$830:$AR$830=TYPE2)*(TYPE2&lt;&gt;"")+('Dvd Calendar'!$E$830:$AR$830=TYPE3)*(TYPE3&lt;&gt;"")+('Dvd Calendar'!$E$830:$AR$830=TYPE4)*(TYPE4&lt;&gt;"")+('Dvd Calendar'!$E$830:$AR$830=SPECIAL_LBL)*(INC_SPECIALS="Y"))))</f>
        <v/>
      </c>
      <c r="H86" s="64">
        <f>IF($C86="","",SUMPRODUCT(('Dvd Calendar'!$E$825:$AR$825&gt;=DATE(YEAR_Y-3,1,1))*('Dvd Calendar'!$E$825:$AR$825&lt;=DATE(YEAR_Y-3,12,31))*'Dvd Calendar'!$E$828:$AR$828*(('Dvd Calendar'!$E$830:$AR$830=TYPE1)*(TYPE1&lt;&gt;"")+('Dvd Calendar'!$E$830:$AR$830=TYPE2)*(TYPE2&lt;&gt;"")+('Dvd Calendar'!$E$830:$AR$830=TYPE3)*(TYPE3&lt;&gt;"")+('Dvd Calendar'!$E$830:$AR$830=TYPE4)*(TYPE4&lt;&gt;"")+('Dvd Calendar'!$E$830:$AR$830=SPECIAL_LBL)*(INC_SPECIALS="Y"))))</f>
        <v/>
      </c>
      <c r="I86" s="64">
        <f>IF($C86="","",SUMPRODUCT(('Dvd Calendar'!$E$825:$AR$825&gt;=DATE(YEAR_Y-2,1,1))*('Dvd Calendar'!$E$825:$AR$825&lt;=DATE(YEAR_Y-2,12,31))*'Dvd Calendar'!$E$828:$AR$828*(('Dvd Calendar'!$E$830:$AR$830=TYPE1)*(TYPE1&lt;&gt;"")+('Dvd Calendar'!$E$830:$AR$830=TYPE2)*(TYPE2&lt;&gt;"")+('Dvd Calendar'!$E$830:$AR$830=TYPE3)*(TYPE3&lt;&gt;"")+('Dvd Calendar'!$E$830:$AR$830=TYPE4)*(TYPE4&lt;&gt;"")+('Dvd Calendar'!$E$830:$AR$830=SPECIAL_LBL)*(INC_SPECIALS="Y"))))</f>
        <v/>
      </c>
      <c r="J86" s="64">
        <f>IF($C86="","",SUMPRODUCT(('Dvd Calendar'!$E$825:$AR$825&gt;=DATE(YEAR_Y-1,1,1))*('Dvd Calendar'!$E$825:$AR$825&lt;=DATE(YEAR_Y-1,12,31))*'Dvd Calendar'!$E$828:$AR$828*(('Dvd Calendar'!$E$830:$AR$830=TYPE1)*(TYPE1&lt;&gt;"")+('Dvd Calendar'!$E$830:$AR$830=TYPE2)*(TYPE2&lt;&gt;"")+('Dvd Calendar'!$E$830:$AR$830=TYPE3)*(TYPE3&lt;&gt;"")+('Dvd Calendar'!$E$830:$AR$830=TYPE4)*(TYPE4&lt;&gt;"")+('Dvd Calendar'!$E$830:$AR$830=SPECIAL_LBL)*(INC_SPECIALS="Y"))))</f>
        <v/>
      </c>
      <c r="K86" s="65">
        <f>IF($C86="","",HSI!$J$81)</f>
        <v/>
      </c>
      <c r="L86" s="65">
        <f>IF($C86="","",HSI!$K$81)</f>
        <v/>
      </c>
      <c r="M86" s="41">
        <f>IF($C86="","",AVERAGE(F86:J86))</f>
        <v/>
      </c>
      <c r="N86" s="66">
        <f>IF($C86="","",IF(PULL_FUND="N","",IFERROR(BDP($C86,EPS_FIELD,YR_OVERRIDE,TEXT(YEAR_Y-5,"0")),"")))</f>
        <v/>
      </c>
      <c r="O86" s="67">
        <f>IF($C86="","",IF(PULL_FUND="N","",IFERROR(BDP($C86,EPS_FIELD,YR_OVERRIDE,TEXT(YEAR_Y-4,"0")),"")))</f>
        <v/>
      </c>
      <c r="P86" s="67">
        <f>IF($C86="","",IF(PULL_FUND="N","",IFERROR(BDP($C86,EPS_FIELD,YR_OVERRIDE,TEXT(YEAR_Y-3,"0")),"")))</f>
        <v/>
      </c>
      <c r="Q86" s="67">
        <f>IF($C86="","",IF(PULL_FUND="N","",IFERROR(BDP($C86,EPS_FIELD,YR_OVERRIDE,TEXT(YEAR_Y-2,"0")),"")))</f>
        <v/>
      </c>
      <c r="R86" s="67">
        <f>IF($C86="","",IF(PULL_FUND="N","",IFERROR(BDP($C86,EPS_FIELD,YR_OVERRIDE,TEXT(YEAR_Y-1,"0")),"")))</f>
        <v/>
      </c>
      <c r="S86" s="68">
        <f>IF($C86="","",IF(PULL_FUND="N","",IFERROR(BDP($C86,PAYOUT_FIELD,YR_OVERRIDE,TEXT(YEAR_Y-5,"0"))/100,"")))</f>
        <v/>
      </c>
      <c r="T86" s="68">
        <f>IF($C86="","",IF(PULL_FUND="N","",IFERROR(BDP($C86,PAYOUT_FIELD,YR_OVERRIDE,TEXT(YEAR_Y-4,"0"))/100,"")))</f>
        <v/>
      </c>
      <c r="U86" s="68">
        <f>IF($C86="","",IF(PULL_FUND="N","",IFERROR(BDP($C86,PAYOUT_FIELD,YR_OVERRIDE,TEXT(YEAR_Y-3,"0"))/100,"")))</f>
        <v/>
      </c>
      <c r="V86" s="68">
        <f>IF($C86="","",IF(PULL_FUND="N","",IFERROR(BDP($C86,PAYOUT_FIELD,YR_OVERRIDE,TEXT(YEAR_Y-2,"0"))/100,"")))</f>
        <v/>
      </c>
      <c r="W86" s="68">
        <f>IF($C86="","",IF(PULL_FUND="N","",IFERROR(BDP($C86,PAYOUT_FIELD,YR_OVERRIDE,TEXT(YEAR_Y-1,"0"))/100,"")))</f>
        <v/>
      </c>
      <c r="X86" s="69">
        <f>IF($C86="","",IFERROR(AVERAGE(S86:W86),""))</f>
        <v/>
      </c>
      <c r="Y86" s="66">
        <f>IF($C86="","",IF(PULL_FUND="N","",IFERROR(BDP($C86,BESTEPS_FIELD,FWD_OVERRIDE,TEXT(MOD(YEAR_Y,100),"00")&amp;"Y"),"")))</f>
        <v/>
      </c>
      <c r="Z86" s="70">
        <f>IF($C86="","",IF(PULL_FUND="N","",IFERROR(BDP($C86,BESTDPS_FIELD,FWD_OVERRIDE,TEXT(MOD(YEAR_Y,100),"00")&amp;"Y"),"")))</f>
        <v/>
      </c>
      <c r="AA86" s="71">
        <f>IF($C86="","",IF(ISNUMBER($Y86)*ISNUMBER($Z86)*($Y86&lt;&gt;0)=0,"",$Z86/$Y86))</f>
        <v/>
      </c>
      <c r="AB86" s="41">
        <f>IF($C86="","",HSI!$J$81+HSI!$L$81)</f>
        <v/>
      </c>
      <c r="AC86" s="72">
        <f>IF($C86="","",IF(PULL_FUND="N","",IF(COUNTIFS('Fund History'!$G$452:$G$456,"&gt;="&amp;DATE(YEAR_Y-4,1,1),'Fund History'!$G$452:$G$456,"&lt;="&amp;DATE(YEAR_Y-4,12,31))=0,"",SUMIFS('Fund History'!$H$452:$H$456,'Fund History'!$G$452:$G$456,"&gt;="&amp;DATE(YEAR_Y-4,1,1),'Fund History'!$G$452:$G$456,"&lt;="&amp;DATE(YEAR_Y-4,12,31))/100)))</f>
        <v/>
      </c>
      <c r="AD86" s="73">
        <f>IF($C86="","",IF(PULL_FUND="N","",IF(COUNTIFS('Fund History'!$G$452:$G$456,"&gt;="&amp;DATE(YEAR_Y-3,1,1),'Fund History'!$G$452:$G$456,"&lt;="&amp;DATE(YEAR_Y-3,12,31))=0,"",SUMIFS('Fund History'!$H$452:$H$456,'Fund History'!$G$452:$G$456,"&gt;="&amp;DATE(YEAR_Y-3,1,1),'Fund History'!$G$452:$G$456,"&lt;="&amp;DATE(YEAR_Y-3,12,31))/100)))</f>
        <v/>
      </c>
      <c r="AE86" s="73">
        <f>IF($C86="","",IF(PULL_FUND="N","",IF(COUNTIFS('Fund History'!$G$452:$G$456,"&gt;="&amp;DATE(YEAR_Y-2,1,1),'Fund History'!$G$452:$G$456,"&lt;="&amp;DATE(YEAR_Y-2,12,31))=0,"",SUMIFS('Fund History'!$H$452:$H$456,'Fund History'!$G$452:$G$456,"&gt;="&amp;DATE(YEAR_Y-2,1,1),'Fund History'!$G$452:$G$456,"&lt;="&amp;DATE(YEAR_Y-2,12,31))/100)))</f>
        <v/>
      </c>
      <c r="AF86" s="73">
        <f>IF($C86="","",IF(PULL_FUND="N","",IF(COUNTIFS('Fund History'!$G$452:$G$456,"&gt;="&amp;DATE(YEAR_Y-1,1,1),'Fund History'!$G$452:$G$456,"&lt;="&amp;DATE(YEAR_Y-1,12,31))=0,"",SUMIFS('Fund History'!$H$452:$H$456,'Fund History'!$G$452:$G$456,"&gt;="&amp;DATE(YEAR_Y-1,1,1),'Fund History'!$G$452:$G$456,"&lt;="&amp;DATE(YEAR_Y-1,12,31))/100)))</f>
        <v/>
      </c>
      <c r="AG86" s="74">
        <f>IF($C86="","",IF(N($AF86)+N(HSI!$I$81)=0,"",N($AF86)+N(HSI!$I$81)/100))</f>
        <v/>
      </c>
      <c r="AH86" s="66">
        <f>IF($C86="","",IF(PULL_FUND="N","",IF(COUNTIFS('Fund History'!$D$452:$D$456,"&gt;="&amp;DATE(YEAR_Y-2,1,1),'Fund History'!$D$452:$D$456,"&lt;="&amp;DATE(YEAR_Y-2,12,31))=0,"",SUMIFS('Fund History'!$E$452:$E$456,'Fund History'!$D$452:$D$456,"&gt;="&amp;DATE(YEAR_Y-2,1,1),'Fund History'!$D$452:$D$456,"&lt;="&amp;DATE(YEAR_Y-2,12,31)))))</f>
        <v/>
      </c>
      <c r="AI86" s="67">
        <f>IF($C86="","",IF(PULL_FUND="N","",IF(COUNTIFS('Fund History'!$D$452:$D$456,"&gt;="&amp;DATE(YEAR_Y-1,1,1),'Fund History'!$D$452:$D$456,"&lt;="&amp;DATE(YEAR_Y-1,12,31))=0,"",SUMIFS('Fund History'!$E$452:$E$456,'Fund History'!$D$452:$D$456,"&gt;="&amp;DATE(YEAR_Y-1,1,1),'Fund History'!$D$452:$D$456,"&lt;="&amp;DATE(YEAR_Y-1,12,31)))))</f>
        <v/>
      </c>
      <c r="AJ86" s="67">
        <f>IF($C86="","",IF(PULL_FUND="N","",IFERROR(BDP($C86,NDEBITDA_FIELD),"")))</f>
        <v/>
      </c>
      <c r="AK86" s="75">
        <f>IF($C86="","",IF(PULL_FUND="N","",IFERROR(BDP($C86,EBINT_FIELD),"")))</f>
        <v/>
      </c>
      <c r="AL86" s="73">
        <f>IF($C86="","",IF(PULL_FUND="N","",IFERROR(BDP($C86,FCF_FIELD)/100,"")))</f>
        <v/>
      </c>
      <c r="AM86" s="76">
        <f>IF($C86="","",IF(ISNUMBER(HSI!$I$81),HSI!$I$81/100,""))</f>
        <v/>
      </c>
      <c r="AN86" s="47">
        <f>IF($C86="","",IF(N($AM86)=0,"",IFERROR($AL86/$AM86,"")))</f>
        <v/>
      </c>
      <c r="AO86" s="33">
        <f>IF($C86="","",IF(ISNUMBER($S86)*ISNUMBER($W86)=0,"",IF($W86&gt;$S86+0.05,"rising",IF($W86&lt;$S86-0.05,"falling","stable"))))</f>
        <v/>
      </c>
      <c r="AP86" s="77">
        <f>IF($C86="","",TRIM(IF(ISNUMBER($X86)*(N($X86)&gt;$D$4)&gt;0,"payout high  ","")&amp;IF(ISNUMBER($AN86)*(N($AN86)&lt;$F$4)&gt;0,"FCF below dvd  ","")&amp;IF(ISNUMBER($AJ86)*(N($AJ86)&gt;$H$4)&gt;0,"leverage high","")))</f>
        <v/>
      </c>
      <c r="AQ86" s="78">
        <f>IF($C86="","",IF(HSI!$F$81="HKD","",HSI!$F$81))</f>
        <v/>
      </c>
    </row>
    <row r="87">
      <c r="B87" s="62" t="inlineStr">
        <is>
          <t>HSI</t>
        </is>
      </c>
      <c r="C87" s="6">
        <f>IF(HSI!$C$82="","",HSI!$C$82)</f>
        <v/>
      </c>
      <c r="D87" s="6">
        <f>IF($C87="","",HSI!$D$82)</f>
        <v/>
      </c>
      <c r="E87" s="6">
        <f>IF($C87="","",HSI!$E$82)</f>
        <v/>
      </c>
      <c r="F87" s="63">
        <f>IF($C87="","",SUMPRODUCT(('Dvd Calendar'!$E$836:$AR$836&gt;=DATE(YEAR_Y-5,1,1))*('Dvd Calendar'!$E$836:$AR$836&lt;=DATE(YEAR_Y-5,12,31))*'Dvd Calendar'!$E$839:$AR$839*(('Dvd Calendar'!$E$841:$AR$841=TYPE1)*(TYPE1&lt;&gt;"")+('Dvd Calendar'!$E$841:$AR$841=TYPE2)*(TYPE2&lt;&gt;"")+('Dvd Calendar'!$E$841:$AR$841=TYPE3)*(TYPE3&lt;&gt;"")+('Dvd Calendar'!$E$841:$AR$841=TYPE4)*(TYPE4&lt;&gt;"")+('Dvd Calendar'!$E$841:$AR$841=SPECIAL_LBL)*(INC_SPECIALS="Y"))))</f>
        <v/>
      </c>
      <c r="G87" s="64">
        <f>IF($C87="","",SUMPRODUCT(('Dvd Calendar'!$E$836:$AR$836&gt;=DATE(YEAR_Y-4,1,1))*('Dvd Calendar'!$E$836:$AR$836&lt;=DATE(YEAR_Y-4,12,31))*'Dvd Calendar'!$E$839:$AR$839*(('Dvd Calendar'!$E$841:$AR$841=TYPE1)*(TYPE1&lt;&gt;"")+('Dvd Calendar'!$E$841:$AR$841=TYPE2)*(TYPE2&lt;&gt;"")+('Dvd Calendar'!$E$841:$AR$841=TYPE3)*(TYPE3&lt;&gt;"")+('Dvd Calendar'!$E$841:$AR$841=TYPE4)*(TYPE4&lt;&gt;"")+('Dvd Calendar'!$E$841:$AR$841=SPECIAL_LBL)*(INC_SPECIALS="Y"))))</f>
        <v/>
      </c>
      <c r="H87" s="64">
        <f>IF($C87="","",SUMPRODUCT(('Dvd Calendar'!$E$836:$AR$836&gt;=DATE(YEAR_Y-3,1,1))*('Dvd Calendar'!$E$836:$AR$836&lt;=DATE(YEAR_Y-3,12,31))*'Dvd Calendar'!$E$839:$AR$839*(('Dvd Calendar'!$E$841:$AR$841=TYPE1)*(TYPE1&lt;&gt;"")+('Dvd Calendar'!$E$841:$AR$841=TYPE2)*(TYPE2&lt;&gt;"")+('Dvd Calendar'!$E$841:$AR$841=TYPE3)*(TYPE3&lt;&gt;"")+('Dvd Calendar'!$E$841:$AR$841=TYPE4)*(TYPE4&lt;&gt;"")+('Dvd Calendar'!$E$841:$AR$841=SPECIAL_LBL)*(INC_SPECIALS="Y"))))</f>
        <v/>
      </c>
      <c r="I87" s="64">
        <f>IF($C87="","",SUMPRODUCT(('Dvd Calendar'!$E$836:$AR$836&gt;=DATE(YEAR_Y-2,1,1))*('Dvd Calendar'!$E$836:$AR$836&lt;=DATE(YEAR_Y-2,12,31))*'Dvd Calendar'!$E$839:$AR$839*(('Dvd Calendar'!$E$841:$AR$841=TYPE1)*(TYPE1&lt;&gt;"")+('Dvd Calendar'!$E$841:$AR$841=TYPE2)*(TYPE2&lt;&gt;"")+('Dvd Calendar'!$E$841:$AR$841=TYPE3)*(TYPE3&lt;&gt;"")+('Dvd Calendar'!$E$841:$AR$841=TYPE4)*(TYPE4&lt;&gt;"")+('Dvd Calendar'!$E$841:$AR$841=SPECIAL_LBL)*(INC_SPECIALS="Y"))))</f>
        <v/>
      </c>
      <c r="J87" s="64">
        <f>IF($C87="","",SUMPRODUCT(('Dvd Calendar'!$E$836:$AR$836&gt;=DATE(YEAR_Y-1,1,1))*('Dvd Calendar'!$E$836:$AR$836&lt;=DATE(YEAR_Y-1,12,31))*'Dvd Calendar'!$E$839:$AR$839*(('Dvd Calendar'!$E$841:$AR$841=TYPE1)*(TYPE1&lt;&gt;"")+('Dvd Calendar'!$E$841:$AR$841=TYPE2)*(TYPE2&lt;&gt;"")+('Dvd Calendar'!$E$841:$AR$841=TYPE3)*(TYPE3&lt;&gt;"")+('Dvd Calendar'!$E$841:$AR$841=TYPE4)*(TYPE4&lt;&gt;"")+('Dvd Calendar'!$E$841:$AR$841=SPECIAL_LBL)*(INC_SPECIALS="Y"))))</f>
        <v/>
      </c>
      <c r="K87" s="65">
        <f>IF($C87="","",HSI!$J$82)</f>
        <v/>
      </c>
      <c r="L87" s="65">
        <f>IF($C87="","",HSI!$K$82)</f>
        <v/>
      </c>
      <c r="M87" s="41">
        <f>IF($C87="","",AVERAGE(F87:J87))</f>
        <v/>
      </c>
      <c r="N87" s="66">
        <f>IF($C87="","",IF(PULL_FUND="N","",IFERROR(BDP($C87,EPS_FIELD,YR_OVERRIDE,TEXT(YEAR_Y-5,"0")),"")))</f>
        <v/>
      </c>
      <c r="O87" s="67">
        <f>IF($C87="","",IF(PULL_FUND="N","",IFERROR(BDP($C87,EPS_FIELD,YR_OVERRIDE,TEXT(YEAR_Y-4,"0")),"")))</f>
        <v/>
      </c>
      <c r="P87" s="67">
        <f>IF($C87="","",IF(PULL_FUND="N","",IFERROR(BDP($C87,EPS_FIELD,YR_OVERRIDE,TEXT(YEAR_Y-3,"0")),"")))</f>
        <v/>
      </c>
      <c r="Q87" s="67">
        <f>IF($C87="","",IF(PULL_FUND="N","",IFERROR(BDP($C87,EPS_FIELD,YR_OVERRIDE,TEXT(YEAR_Y-2,"0")),"")))</f>
        <v/>
      </c>
      <c r="R87" s="67">
        <f>IF($C87="","",IF(PULL_FUND="N","",IFERROR(BDP($C87,EPS_FIELD,YR_OVERRIDE,TEXT(YEAR_Y-1,"0")),"")))</f>
        <v/>
      </c>
      <c r="S87" s="68">
        <f>IF($C87="","",IF(PULL_FUND="N","",IFERROR(BDP($C87,PAYOUT_FIELD,YR_OVERRIDE,TEXT(YEAR_Y-5,"0"))/100,"")))</f>
        <v/>
      </c>
      <c r="T87" s="68">
        <f>IF($C87="","",IF(PULL_FUND="N","",IFERROR(BDP($C87,PAYOUT_FIELD,YR_OVERRIDE,TEXT(YEAR_Y-4,"0"))/100,"")))</f>
        <v/>
      </c>
      <c r="U87" s="68">
        <f>IF($C87="","",IF(PULL_FUND="N","",IFERROR(BDP($C87,PAYOUT_FIELD,YR_OVERRIDE,TEXT(YEAR_Y-3,"0"))/100,"")))</f>
        <v/>
      </c>
      <c r="V87" s="68">
        <f>IF($C87="","",IF(PULL_FUND="N","",IFERROR(BDP($C87,PAYOUT_FIELD,YR_OVERRIDE,TEXT(YEAR_Y-2,"0"))/100,"")))</f>
        <v/>
      </c>
      <c r="W87" s="68">
        <f>IF($C87="","",IF(PULL_FUND="N","",IFERROR(BDP($C87,PAYOUT_FIELD,YR_OVERRIDE,TEXT(YEAR_Y-1,"0"))/100,"")))</f>
        <v/>
      </c>
      <c r="X87" s="69">
        <f>IF($C87="","",IFERROR(AVERAGE(S87:W87),""))</f>
        <v/>
      </c>
      <c r="Y87" s="66">
        <f>IF($C87="","",IF(PULL_FUND="N","",IFERROR(BDP($C87,BESTEPS_FIELD,FWD_OVERRIDE,TEXT(MOD(YEAR_Y,100),"00")&amp;"Y"),"")))</f>
        <v/>
      </c>
      <c r="Z87" s="70">
        <f>IF($C87="","",IF(PULL_FUND="N","",IFERROR(BDP($C87,BESTDPS_FIELD,FWD_OVERRIDE,TEXT(MOD(YEAR_Y,100),"00")&amp;"Y"),"")))</f>
        <v/>
      </c>
      <c r="AA87" s="71">
        <f>IF($C87="","",IF(ISNUMBER($Y87)*ISNUMBER($Z87)*($Y87&lt;&gt;0)=0,"",$Z87/$Y87))</f>
        <v/>
      </c>
      <c r="AB87" s="41">
        <f>IF($C87="","",HSI!$J$82+HSI!$L$82)</f>
        <v/>
      </c>
      <c r="AC87" s="72">
        <f>IF($C87="","",IF(PULL_FUND="N","",IF(COUNTIFS('Fund History'!$G$458:$G$462,"&gt;="&amp;DATE(YEAR_Y-4,1,1),'Fund History'!$G$458:$G$462,"&lt;="&amp;DATE(YEAR_Y-4,12,31))=0,"",SUMIFS('Fund History'!$H$458:$H$462,'Fund History'!$G$458:$G$462,"&gt;="&amp;DATE(YEAR_Y-4,1,1),'Fund History'!$G$458:$G$462,"&lt;="&amp;DATE(YEAR_Y-4,12,31))/100)))</f>
        <v/>
      </c>
      <c r="AD87" s="73">
        <f>IF($C87="","",IF(PULL_FUND="N","",IF(COUNTIFS('Fund History'!$G$458:$G$462,"&gt;="&amp;DATE(YEAR_Y-3,1,1),'Fund History'!$G$458:$G$462,"&lt;="&amp;DATE(YEAR_Y-3,12,31))=0,"",SUMIFS('Fund History'!$H$458:$H$462,'Fund History'!$G$458:$G$462,"&gt;="&amp;DATE(YEAR_Y-3,1,1),'Fund History'!$G$458:$G$462,"&lt;="&amp;DATE(YEAR_Y-3,12,31))/100)))</f>
        <v/>
      </c>
      <c r="AE87" s="73">
        <f>IF($C87="","",IF(PULL_FUND="N","",IF(COUNTIFS('Fund History'!$G$458:$G$462,"&gt;="&amp;DATE(YEAR_Y-2,1,1),'Fund History'!$G$458:$G$462,"&lt;="&amp;DATE(YEAR_Y-2,12,31))=0,"",SUMIFS('Fund History'!$H$458:$H$462,'Fund History'!$G$458:$G$462,"&gt;="&amp;DATE(YEAR_Y-2,1,1),'Fund History'!$G$458:$G$462,"&lt;="&amp;DATE(YEAR_Y-2,12,31))/100)))</f>
        <v/>
      </c>
      <c r="AF87" s="73">
        <f>IF($C87="","",IF(PULL_FUND="N","",IF(COUNTIFS('Fund History'!$G$458:$G$462,"&gt;="&amp;DATE(YEAR_Y-1,1,1),'Fund History'!$G$458:$G$462,"&lt;="&amp;DATE(YEAR_Y-1,12,31))=0,"",SUMIFS('Fund History'!$H$458:$H$462,'Fund History'!$G$458:$G$462,"&gt;="&amp;DATE(YEAR_Y-1,1,1),'Fund History'!$G$458:$G$462,"&lt;="&amp;DATE(YEAR_Y-1,12,31))/100)))</f>
        <v/>
      </c>
      <c r="AG87" s="74">
        <f>IF($C87="","",IF(N($AF87)+N(HSI!$I$82)=0,"",N($AF87)+N(HSI!$I$82)/100))</f>
        <v/>
      </c>
      <c r="AH87" s="66">
        <f>IF($C87="","",IF(PULL_FUND="N","",IF(COUNTIFS('Fund History'!$D$458:$D$462,"&gt;="&amp;DATE(YEAR_Y-2,1,1),'Fund History'!$D$458:$D$462,"&lt;="&amp;DATE(YEAR_Y-2,12,31))=0,"",SUMIFS('Fund History'!$E$458:$E$462,'Fund History'!$D$458:$D$462,"&gt;="&amp;DATE(YEAR_Y-2,1,1),'Fund History'!$D$458:$D$462,"&lt;="&amp;DATE(YEAR_Y-2,12,31)))))</f>
        <v/>
      </c>
      <c r="AI87" s="67">
        <f>IF($C87="","",IF(PULL_FUND="N","",IF(COUNTIFS('Fund History'!$D$458:$D$462,"&gt;="&amp;DATE(YEAR_Y-1,1,1),'Fund History'!$D$458:$D$462,"&lt;="&amp;DATE(YEAR_Y-1,12,31))=0,"",SUMIFS('Fund History'!$E$458:$E$462,'Fund History'!$D$458:$D$462,"&gt;="&amp;DATE(YEAR_Y-1,1,1),'Fund History'!$D$458:$D$462,"&lt;="&amp;DATE(YEAR_Y-1,12,31)))))</f>
        <v/>
      </c>
      <c r="AJ87" s="67">
        <f>IF($C87="","",IF(PULL_FUND="N","",IFERROR(BDP($C87,NDEBITDA_FIELD),"")))</f>
        <v/>
      </c>
      <c r="AK87" s="75">
        <f>IF($C87="","",IF(PULL_FUND="N","",IFERROR(BDP($C87,EBINT_FIELD),"")))</f>
        <v/>
      </c>
      <c r="AL87" s="73">
        <f>IF($C87="","",IF(PULL_FUND="N","",IFERROR(BDP($C87,FCF_FIELD)/100,"")))</f>
        <v/>
      </c>
      <c r="AM87" s="76">
        <f>IF($C87="","",IF(ISNUMBER(HSI!$I$82),HSI!$I$82/100,""))</f>
        <v/>
      </c>
      <c r="AN87" s="47">
        <f>IF($C87="","",IF(N($AM87)=0,"",IFERROR($AL87/$AM87,"")))</f>
        <v/>
      </c>
      <c r="AO87" s="33">
        <f>IF($C87="","",IF(ISNUMBER($S87)*ISNUMBER($W87)=0,"",IF($W87&gt;$S87+0.05,"rising",IF($W87&lt;$S87-0.05,"falling","stable"))))</f>
        <v/>
      </c>
      <c r="AP87" s="77">
        <f>IF($C87="","",TRIM(IF(ISNUMBER($X87)*(N($X87)&gt;$D$4)&gt;0,"payout high  ","")&amp;IF(ISNUMBER($AN87)*(N($AN87)&lt;$F$4)&gt;0,"FCF below dvd  ","")&amp;IF(ISNUMBER($AJ87)*(N($AJ87)&gt;$H$4)&gt;0,"leverage high","")))</f>
        <v/>
      </c>
      <c r="AQ87" s="78">
        <f>IF($C87="","",IF(HSI!$F$82="HKD","",HSI!$F$82))</f>
        <v/>
      </c>
    </row>
    <row r="88">
      <c r="B88" s="62" t="inlineStr">
        <is>
          <t>HSI</t>
        </is>
      </c>
      <c r="C88" s="6">
        <f>IF(HSI!$C$83="","",HSI!$C$83)</f>
        <v/>
      </c>
      <c r="D88" s="6">
        <f>IF($C88="","",HSI!$D$83)</f>
        <v/>
      </c>
      <c r="E88" s="6">
        <f>IF($C88="","",HSI!$E$83)</f>
        <v/>
      </c>
      <c r="F88" s="63">
        <f>IF($C88="","",SUMPRODUCT(('Dvd Calendar'!$E$847:$AR$847&gt;=DATE(YEAR_Y-5,1,1))*('Dvd Calendar'!$E$847:$AR$847&lt;=DATE(YEAR_Y-5,12,31))*'Dvd Calendar'!$E$850:$AR$850*(('Dvd Calendar'!$E$852:$AR$852=TYPE1)*(TYPE1&lt;&gt;"")+('Dvd Calendar'!$E$852:$AR$852=TYPE2)*(TYPE2&lt;&gt;"")+('Dvd Calendar'!$E$852:$AR$852=TYPE3)*(TYPE3&lt;&gt;"")+('Dvd Calendar'!$E$852:$AR$852=TYPE4)*(TYPE4&lt;&gt;"")+('Dvd Calendar'!$E$852:$AR$852=SPECIAL_LBL)*(INC_SPECIALS="Y"))))</f>
        <v/>
      </c>
      <c r="G88" s="64">
        <f>IF($C88="","",SUMPRODUCT(('Dvd Calendar'!$E$847:$AR$847&gt;=DATE(YEAR_Y-4,1,1))*('Dvd Calendar'!$E$847:$AR$847&lt;=DATE(YEAR_Y-4,12,31))*'Dvd Calendar'!$E$850:$AR$850*(('Dvd Calendar'!$E$852:$AR$852=TYPE1)*(TYPE1&lt;&gt;"")+('Dvd Calendar'!$E$852:$AR$852=TYPE2)*(TYPE2&lt;&gt;"")+('Dvd Calendar'!$E$852:$AR$852=TYPE3)*(TYPE3&lt;&gt;"")+('Dvd Calendar'!$E$852:$AR$852=TYPE4)*(TYPE4&lt;&gt;"")+('Dvd Calendar'!$E$852:$AR$852=SPECIAL_LBL)*(INC_SPECIALS="Y"))))</f>
        <v/>
      </c>
      <c r="H88" s="64">
        <f>IF($C88="","",SUMPRODUCT(('Dvd Calendar'!$E$847:$AR$847&gt;=DATE(YEAR_Y-3,1,1))*('Dvd Calendar'!$E$847:$AR$847&lt;=DATE(YEAR_Y-3,12,31))*'Dvd Calendar'!$E$850:$AR$850*(('Dvd Calendar'!$E$852:$AR$852=TYPE1)*(TYPE1&lt;&gt;"")+('Dvd Calendar'!$E$852:$AR$852=TYPE2)*(TYPE2&lt;&gt;"")+('Dvd Calendar'!$E$852:$AR$852=TYPE3)*(TYPE3&lt;&gt;"")+('Dvd Calendar'!$E$852:$AR$852=TYPE4)*(TYPE4&lt;&gt;"")+('Dvd Calendar'!$E$852:$AR$852=SPECIAL_LBL)*(INC_SPECIALS="Y"))))</f>
        <v/>
      </c>
      <c r="I88" s="64">
        <f>IF($C88="","",SUMPRODUCT(('Dvd Calendar'!$E$847:$AR$847&gt;=DATE(YEAR_Y-2,1,1))*('Dvd Calendar'!$E$847:$AR$847&lt;=DATE(YEAR_Y-2,12,31))*'Dvd Calendar'!$E$850:$AR$850*(('Dvd Calendar'!$E$852:$AR$852=TYPE1)*(TYPE1&lt;&gt;"")+('Dvd Calendar'!$E$852:$AR$852=TYPE2)*(TYPE2&lt;&gt;"")+('Dvd Calendar'!$E$852:$AR$852=TYPE3)*(TYPE3&lt;&gt;"")+('Dvd Calendar'!$E$852:$AR$852=TYPE4)*(TYPE4&lt;&gt;"")+('Dvd Calendar'!$E$852:$AR$852=SPECIAL_LBL)*(INC_SPECIALS="Y"))))</f>
        <v/>
      </c>
      <c r="J88" s="64">
        <f>IF($C88="","",SUMPRODUCT(('Dvd Calendar'!$E$847:$AR$847&gt;=DATE(YEAR_Y-1,1,1))*('Dvd Calendar'!$E$847:$AR$847&lt;=DATE(YEAR_Y-1,12,31))*'Dvd Calendar'!$E$850:$AR$850*(('Dvd Calendar'!$E$852:$AR$852=TYPE1)*(TYPE1&lt;&gt;"")+('Dvd Calendar'!$E$852:$AR$852=TYPE2)*(TYPE2&lt;&gt;"")+('Dvd Calendar'!$E$852:$AR$852=TYPE3)*(TYPE3&lt;&gt;"")+('Dvd Calendar'!$E$852:$AR$852=TYPE4)*(TYPE4&lt;&gt;"")+('Dvd Calendar'!$E$852:$AR$852=SPECIAL_LBL)*(INC_SPECIALS="Y"))))</f>
        <v/>
      </c>
      <c r="K88" s="65">
        <f>IF($C88="","",HSI!$J$83)</f>
        <v/>
      </c>
      <c r="L88" s="65">
        <f>IF($C88="","",HSI!$K$83)</f>
        <v/>
      </c>
      <c r="M88" s="41">
        <f>IF($C88="","",AVERAGE(F88:J88))</f>
        <v/>
      </c>
      <c r="N88" s="66">
        <f>IF($C88="","",IF(PULL_FUND="N","",IFERROR(BDP($C88,EPS_FIELD,YR_OVERRIDE,TEXT(YEAR_Y-5,"0")),"")))</f>
        <v/>
      </c>
      <c r="O88" s="67">
        <f>IF($C88="","",IF(PULL_FUND="N","",IFERROR(BDP($C88,EPS_FIELD,YR_OVERRIDE,TEXT(YEAR_Y-4,"0")),"")))</f>
        <v/>
      </c>
      <c r="P88" s="67">
        <f>IF($C88="","",IF(PULL_FUND="N","",IFERROR(BDP($C88,EPS_FIELD,YR_OVERRIDE,TEXT(YEAR_Y-3,"0")),"")))</f>
        <v/>
      </c>
      <c r="Q88" s="67">
        <f>IF($C88="","",IF(PULL_FUND="N","",IFERROR(BDP($C88,EPS_FIELD,YR_OVERRIDE,TEXT(YEAR_Y-2,"0")),"")))</f>
        <v/>
      </c>
      <c r="R88" s="67">
        <f>IF($C88="","",IF(PULL_FUND="N","",IFERROR(BDP($C88,EPS_FIELD,YR_OVERRIDE,TEXT(YEAR_Y-1,"0")),"")))</f>
        <v/>
      </c>
      <c r="S88" s="68">
        <f>IF($C88="","",IF(PULL_FUND="N","",IFERROR(BDP($C88,PAYOUT_FIELD,YR_OVERRIDE,TEXT(YEAR_Y-5,"0"))/100,"")))</f>
        <v/>
      </c>
      <c r="T88" s="68">
        <f>IF($C88="","",IF(PULL_FUND="N","",IFERROR(BDP($C88,PAYOUT_FIELD,YR_OVERRIDE,TEXT(YEAR_Y-4,"0"))/100,"")))</f>
        <v/>
      </c>
      <c r="U88" s="68">
        <f>IF($C88="","",IF(PULL_FUND="N","",IFERROR(BDP($C88,PAYOUT_FIELD,YR_OVERRIDE,TEXT(YEAR_Y-3,"0"))/100,"")))</f>
        <v/>
      </c>
      <c r="V88" s="68">
        <f>IF($C88="","",IF(PULL_FUND="N","",IFERROR(BDP($C88,PAYOUT_FIELD,YR_OVERRIDE,TEXT(YEAR_Y-2,"0"))/100,"")))</f>
        <v/>
      </c>
      <c r="W88" s="68">
        <f>IF($C88="","",IF(PULL_FUND="N","",IFERROR(BDP($C88,PAYOUT_FIELD,YR_OVERRIDE,TEXT(YEAR_Y-1,"0"))/100,"")))</f>
        <v/>
      </c>
      <c r="X88" s="69">
        <f>IF($C88="","",IFERROR(AVERAGE(S88:W88),""))</f>
        <v/>
      </c>
      <c r="Y88" s="66">
        <f>IF($C88="","",IF(PULL_FUND="N","",IFERROR(BDP($C88,BESTEPS_FIELD,FWD_OVERRIDE,TEXT(MOD(YEAR_Y,100),"00")&amp;"Y"),"")))</f>
        <v/>
      </c>
      <c r="Z88" s="70">
        <f>IF($C88="","",IF(PULL_FUND="N","",IFERROR(BDP($C88,BESTDPS_FIELD,FWD_OVERRIDE,TEXT(MOD(YEAR_Y,100),"00")&amp;"Y"),"")))</f>
        <v/>
      </c>
      <c r="AA88" s="71">
        <f>IF($C88="","",IF(ISNUMBER($Y88)*ISNUMBER($Z88)*($Y88&lt;&gt;0)=0,"",$Z88/$Y88))</f>
        <v/>
      </c>
      <c r="AB88" s="41">
        <f>IF($C88="","",HSI!$J$83+HSI!$L$83)</f>
        <v/>
      </c>
      <c r="AC88" s="72">
        <f>IF($C88="","",IF(PULL_FUND="N","",IF(COUNTIFS('Fund History'!$G$464:$G$468,"&gt;="&amp;DATE(YEAR_Y-4,1,1),'Fund History'!$G$464:$G$468,"&lt;="&amp;DATE(YEAR_Y-4,12,31))=0,"",SUMIFS('Fund History'!$H$464:$H$468,'Fund History'!$G$464:$G$468,"&gt;="&amp;DATE(YEAR_Y-4,1,1),'Fund History'!$G$464:$G$468,"&lt;="&amp;DATE(YEAR_Y-4,12,31))/100)))</f>
        <v/>
      </c>
      <c r="AD88" s="73">
        <f>IF($C88="","",IF(PULL_FUND="N","",IF(COUNTIFS('Fund History'!$G$464:$G$468,"&gt;="&amp;DATE(YEAR_Y-3,1,1),'Fund History'!$G$464:$G$468,"&lt;="&amp;DATE(YEAR_Y-3,12,31))=0,"",SUMIFS('Fund History'!$H$464:$H$468,'Fund History'!$G$464:$G$468,"&gt;="&amp;DATE(YEAR_Y-3,1,1),'Fund History'!$G$464:$G$468,"&lt;="&amp;DATE(YEAR_Y-3,12,31))/100)))</f>
        <v/>
      </c>
      <c r="AE88" s="73">
        <f>IF($C88="","",IF(PULL_FUND="N","",IF(COUNTIFS('Fund History'!$G$464:$G$468,"&gt;="&amp;DATE(YEAR_Y-2,1,1),'Fund History'!$G$464:$G$468,"&lt;="&amp;DATE(YEAR_Y-2,12,31))=0,"",SUMIFS('Fund History'!$H$464:$H$468,'Fund History'!$G$464:$G$468,"&gt;="&amp;DATE(YEAR_Y-2,1,1),'Fund History'!$G$464:$G$468,"&lt;="&amp;DATE(YEAR_Y-2,12,31))/100)))</f>
        <v/>
      </c>
      <c r="AF88" s="73">
        <f>IF($C88="","",IF(PULL_FUND="N","",IF(COUNTIFS('Fund History'!$G$464:$G$468,"&gt;="&amp;DATE(YEAR_Y-1,1,1),'Fund History'!$G$464:$G$468,"&lt;="&amp;DATE(YEAR_Y-1,12,31))=0,"",SUMIFS('Fund History'!$H$464:$H$468,'Fund History'!$G$464:$G$468,"&gt;="&amp;DATE(YEAR_Y-1,1,1),'Fund History'!$G$464:$G$468,"&lt;="&amp;DATE(YEAR_Y-1,12,31))/100)))</f>
        <v/>
      </c>
      <c r="AG88" s="74">
        <f>IF($C88="","",IF(N($AF88)+N(HSI!$I$83)=0,"",N($AF88)+N(HSI!$I$83)/100))</f>
        <v/>
      </c>
      <c r="AH88" s="66">
        <f>IF($C88="","",IF(PULL_FUND="N","",IF(COUNTIFS('Fund History'!$D$464:$D$468,"&gt;="&amp;DATE(YEAR_Y-2,1,1),'Fund History'!$D$464:$D$468,"&lt;="&amp;DATE(YEAR_Y-2,12,31))=0,"",SUMIFS('Fund History'!$E$464:$E$468,'Fund History'!$D$464:$D$468,"&gt;="&amp;DATE(YEAR_Y-2,1,1),'Fund History'!$D$464:$D$468,"&lt;="&amp;DATE(YEAR_Y-2,12,31)))))</f>
        <v/>
      </c>
      <c r="AI88" s="67">
        <f>IF($C88="","",IF(PULL_FUND="N","",IF(COUNTIFS('Fund History'!$D$464:$D$468,"&gt;="&amp;DATE(YEAR_Y-1,1,1),'Fund History'!$D$464:$D$468,"&lt;="&amp;DATE(YEAR_Y-1,12,31))=0,"",SUMIFS('Fund History'!$E$464:$E$468,'Fund History'!$D$464:$D$468,"&gt;="&amp;DATE(YEAR_Y-1,1,1),'Fund History'!$D$464:$D$468,"&lt;="&amp;DATE(YEAR_Y-1,12,31)))))</f>
        <v/>
      </c>
      <c r="AJ88" s="67">
        <f>IF($C88="","",IF(PULL_FUND="N","",IFERROR(BDP($C88,NDEBITDA_FIELD),"")))</f>
        <v/>
      </c>
      <c r="AK88" s="75">
        <f>IF($C88="","",IF(PULL_FUND="N","",IFERROR(BDP($C88,EBINT_FIELD),"")))</f>
        <v/>
      </c>
      <c r="AL88" s="73">
        <f>IF($C88="","",IF(PULL_FUND="N","",IFERROR(BDP($C88,FCF_FIELD)/100,"")))</f>
        <v/>
      </c>
      <c r="AM88" s="76">
        <f>IF($C88="","",IF(ISNUMBER(HSI!$I$83),HSI!$I$83/100,""))</f>
        <v/>
      </c>
      <c r="AN88" s="47">
        <f>IF($C88="","",IF(N($AM88)=0,"",IFERROR($AL88/$AM88,"")))</f>
        <v/>
      </c>
      <c r="AO88" s="33">
        <f>IF($C88="","",IF(ISNUMBER($S88)*ISNUMBER($W88)=0,"",IF($W88&gt;$S88+0.05,"rising",IF($W88&lt;$S88-0.05,"falling","stable"))))</f>
        <v/>
      </c>
      <c r="AP88" s="77">
        <f>IF($C88="","",TRIM(IF(ISNUMBER($X88)*(N($X88)&gt;$D$4)&gt;0,"payout high  ","")&amp;IF(ISNUMBER($AN88)*(N($AN88)&lt;$F$4)&gt;0,"FCF below dvd  ","")&amp;IF(ISNUMBER($AJ88)*(N($AJ88)&gt;$H$4)&gt;0,"leverage high","")))</f>
        <v/>
      </c>
      <c r="AQ88" s="78">
        <f>IF($C88="","",IF(HSI!$F$83="HKD","",HSI!$F$83))</f>
        <v/>
      </c>
    </row>
    <row r="89">
      <c r="B89" s="62" t="inlineStr">
        <is>
          <t>HSI</t>
        </is>
      </c>
      <c r="C89" s="6">
        <f>IF(HSI!$C$84="","",HSI!$C$84)</f>
        <v/>
      </c>
      <c r="D89" s="6">
        <f>IF($C89="","",HSI!$D$84)</f>
        <v/>
      </c>
      <c r="E89" s="6">
        <f>IF($C89="","",HSI!$E$84)</f>
        <v/>
      </c>
      <c r="F89" s="63">
        <f>IF($C89="","",SUMPRODUCT(('Dvd Calendar'!$E$858:$AR$858&gt;=DATE(YEAR_Y-5,1,1))*('Dvd Calendar'!$E$858:$AR$858&lt;=DATE(YEAR_Y-5,12,31))*'Dvd Calendar'!$E$861:$AR$861*(('Dvd Calendar'!$E$863:$AR$863=TYPE1)*(TYPE1&lt;&gt;"")+('Dvd Calendar'!$E$863:$AR$863=TYPE2)*(TYPE2&lt;&gt;"")+('Dvd Calendar'!$E$863:$AR$863=TYPE3)*(TYPE3&lt;&gt;"")+('Dvd Calendar'!$E$863:$AR$863=TYPE4)*(TYPE4&lt;&gt;"")+('Dvd Calendar'!$E$863:$AR$863=SPECIAL_LBL)*(INC_SPECIALS="Y"))))</f>
        <v/>
      </c>
      <c r="G89" s="64">
        <f>IF($C89="","",SUMPRODUCT(('Dvd Calendar'!$E$858:$AR$858&gt;=DATE(YEAR_Y-4,1,1))*('Dvd Calendar'!$E$858:$AR$858&lt;=DATE(YEAR_Y-4,12,31))*'Dvd Calendar'!$E$861:$AR$861*(('Dvd Calendar'!$E$863:$AR$863=TYPE1)*(TYPE1&lt;&gt;"")+('Dvd Calendar'!$E$863:$AR$863=TYPE2)*(TYPE2&lt;&gt;"")+('Dvd Calendar'!$E$863:$AR$863=TYPE3)*(TYPE3&lt;&gt;"")+('Dvd Calendar'!$E$863:$AR$863=TYPE4)*(TYPE4&lt;&gt;"")+('Dvd Calendar'!$E$863:$AR$863=SPECIAL_LBL)*(INC_SPECIALS="Y"))))</f>
        <v/>
      </c>
      <c r="H89" s="64">
        <f>IF($C89="","",SUMPRODUCT(('Dvd Calendar'!$E$858:$AR$858&gt;=DATE(YEAR_Y-3,1,1))*('Dvd Calendar'!$E$858:$AR$858&lt;=DATE(YEAR_Y-3,12,31))*'Dvd Calendar'!$E$861:$AR$861*(('Dvd Calendar'!$E$863:$AR$863=TYPE1)*(TYPE1&lt;&gt;"")+('Dvd Calendar'!$E$863:$AR$863=TYPE2)*(TYPE2&lt;&gt;"")+('Dvd Calendar'!$E$863:$AR$863=TYPE3)*(TYPE3&lt;&gt;"")+('Dvd Calendar'!$E$863:$AR$863=TYPE4)*(TYPE4&lt;&gt;"")+('Dvd Calendar'!$E$863:$AR$863=SPECIAL_LBL)*(INC_SPECIALS="Y"))))</f>
        <v/>
      </c>
      <c r="I89" s="64">
        <f>IF($C89="","",SUMPRODUCT(('Dvd Calendar'!$E$858:$AR$858&gt;=DATE(YEAR_Y-2,1,1))*('Dvd Calendar'!$E$858:$AR$858&lt;=DATE(YEAR_Y-2,12,31))*'Dvd Calendar'!$E$861:$AR$861*(('Dvd Calendar'!$E$863:$AR$863=TYPE1)*(TYPE1&lt;&gt;"")+('Dvd Calendar'!$E$863:$AR$863=TYPE2)*(TYPE2&lt;&gt;"")+('Dvd Calendar'!$E$863:$AR$863=TYPE3)*(TYPE3&lt;&gt;"")+('Dvd Calendar'!$E$863:$AR$863=TYPE4)*(TYPE4&lt;&gt;"")+('Dvd Calendar'!$E$863:$AR$863=SPECIAL_LBL)*(INC_SPECIALS="Y"))))</f>
        <v/>
      </c>
      <c r="J89" s="64">
        <f>IF($C89="","",SUMPRODUCT(('Dvd Calendar'!$E$858:$AR$858&gt;=DATE(YEAR_Y-1,1,1))*('Dvd Calendar'!$E$858:$AR$858&lt;=DATE(YEAR_Y-1,12,31))*'Dvd Calendar'!$E$861:$AR$861*(('Dvd Calendar'!$E$863:$AR$863=TYPE1)*(TYPE1&lt;&gt;"")+('Dvd Calendar'!$E$863:$AR$863=TYPE2)*(TYPE2&lt;&gt;"")+('Dvd Calendar'!$E$863:$AR$863=TYPE3)*(TYPE3&lt;&gt;"")+('Dvd Calendar'!$E$863:$AR$863=TYPE4)*(TYPE4&lt;&gt;"")+('Dvd Calendar'!$E$863:$AR$863=SPECIAL_LBL)*(INC_SPECIALS="Y"))))</f>
        <v/>
      </c>
      <c r="K89" s="65">
        <f>IF($C89="","",HSI!$J$84)</f>
        <v/>
      </c>
      <c r="L89" s="65">
        <f>IF($C89="","",HSI!$K$84)</f>
        <v/>
      </c>
      <c r="M89" s="41">
        <f>IF($C89="","",AVERAGE(F89:J89))</f>
        <v/>
      </c>
      <c r="N89" s="66">
        <f>IF($C89="","",IF(PULL_FUND="N","",IFERROR(BDP($C89,EPS_FIELD,YR_OVERRIDE,TEXT(YEAR_Y-5,"0")),"")))</f>
        <v/>
      </c>
      <c r="O89" s="67">
        <f>IF($C89="","",IF(PULL_FUND="N","",IFERROR(BDP($C89,EPS_FIELD,YR_OVERRIDE,TEXT(YEAR_Y-4,"0")),"")))</f>
        <v/>
      </c>
      <c r="P89" s="67">
        <f>IF($C89="","",IF(PULL_FUND="N","",IFERROR(BDP($C89,EPS_FIELD,YR_OVERRIDE,TEXT(YEAR_Y-3,"0")),"")))</f>
        <v/>
      </c>
      <c r="Q89" s="67">
        <f>IF($C89="","",IF(PULL_FUND="N","",IFERROR(BDP($C89,EPS_FIELD,YR_OVERRIDE,TEXT(YEAR_Y-2,"0")),"")))</f>
        <v/>
      </c>
      <c r="R89" s="67">
        <f>IF($C89="","",IF(PULL_FUND="N","",IFERROR(BDP($C89,EPS_FIELD,YR_OVERRIDE,TEXT(YEAR_Y-1,"0")),"")))</f>
        <v/>
      </c>
      <c r="S89" s="68">
        <f>IF($C89="","",IF(PULL_FUND="N","",IFERROR(BDP($C89,PAYOUT_FIELD,YR_OVERRIDE,TEXT(YEAR_Y-5,"0"))/100,"")))</f>
        <v/>
      </c>
      <c r="T89" s="68">
        <f>IF($C89="","",IF(PULL_FUND="N","",IFERROR(BDP($C89,PAYOUT_FIELD,YR_OVERRIDE,TEXT(YEAR_Y-4,"0"))/100,"")))</f>
        <v/>
      </c>
      <c r="U89" s="68">
        <f>IF($C89="","",IF(PULL_FUND="N","",IFERROR(BDP($C89,PAYOUT_FIELD,YR_OVERRIDE,TEXT(YEAR_Y-3,"0"))/100,"")))</f>
        <v/>
      </c>
      <c r="V89" s="68">
        <f>IF($C89="","",IF(PULL_FUND="N","",IFERROR(BDP($C89,PAYOUT_FIELD,YR_OVERRIDE,TEXT(YEAR_Y-2,"0"))/100,"")))</f>
        <v/>
      </c>
      <c r="W89" s="68">
        <f>IF($C89="","",IF(PULL_FUND="N","",IFERROR(BDP($C89,PAYOUT_FIELD,YR_OVERRIDE,TEXT(YEAR_Y-1,"0"))/100,"")))</f>
        <v/>
      </c>
      <c r="X89" s="69">
        <f>IF($C89="","",IFERROR(AVERAGE(S89:W89),""))</f>
        <v/>
      </c>
      <c r="Y89" s="66">
        <f>IF($C89="","",IF(PULL_FUND="N","",IFERROR(BDP($C89,BESTEPS_FIELD,FWD_OVERRIDE,TEXT(MOD(YEAR_Y,100),"00")&amp;"Y"),"")))</f>
        <v/>
      </c>
      <c r="Z89" s="70">
        <f>IF($C89="","",IF(PULL_FUND="N","",IFERROR(BDP($C89,BESTDPS_FIELD,FWD_OVERRIDE,TEXT(MOD(YEAR_Y,100),"00")&amp;"Y"),"")))</f>
        <v/>
      </c>
      <c r="AA89" s="71">
        <f>IF($C89="","",IF(ISNUMBER($Y89)*ISNUMBER($Z89)*($Y89&lt;&gt;0)=0,"",$Z89/$Y89))</f>
        <v/>
      </c>
      <c r="AB89" s="41">
        <f>IF($C89="","",HSI!$J$84+HSI!$L$84)</f>
        <v/>
      </c>
      <c r="AC89" s="72">
        <f>IF($C89="","",IF(PULL_FUND="N","",IF(COUNTIFS('Fund History'!$G$470:$G$474,"&gt;="&amp;DATE(YEAR_Y-4,1,1),'Fund History'!$G$470:$G$474,"&lt;="&amp;DATE(YEAR_Y-4,12,31))=0,"",SUMIFS('Fund History'!$H$470:$H$474,'Fund History'!$G$470:$G$474,"&gt;="&amp;DATE(YEAR_Y-4,1,1),'Fund History'!$G$470:$G$474,"&lt;="&amp;DATE(YEAR_Y-4,12,31))/100)))</f>
        <v/>
      </c>
      <c r="AD89" s="73">
        <f>IF($C89="","",IF(PULL_FUND="N","",IF(COUNTIFS('Fund History'!$G$470:$G$474,"&gt;="&amp;DATE(YEAR_Y-3,1,1),'Fund History'!$G$470:$G$474,"&lt;="&amp;DATE(YEAR_Y-3,12,31))=0,"",SUMIFS('Fund History'!$H$470:$H$474,'Fund History'!$G$470:$G$474,"&gt;="&amp;DATE(YEAR_Y-3,1,1),'Fund History'!$G$470:$G$474,"&lt;="&amp;DATE(YEAR_Y-3,12,31))/100)))</f>
        <v/>
      </c>
      <c r="AE89" s="73">
        <f>IF($C89="","",IF(PULL_FUND="N","",IF(COUNTIFS('Fund History'!$G$470:$G$474,"&gt;="&amp;DATE(YEAR_Y-2,1,1),'Fund History'!$G$470:$G$474,"&lt;="&amp;DATE(YEAR_Y-2,12,31))=0,"",SUMIFS('Fund History'!$H$470:$H$474,'Fund History'!$G$470:$G$474,"&gt;="&amp;DATE(YEAR_Y-2,1,1),'Fund History'!$G$470:$G$474,"&lt;="&amp;DATE(YEAR_Y-2,12,31))/100)))</f>
        <v/>
      </c>
      <c r="AF89" s="73">
        <f>IF($C89="","",IF(PULL_FUND="N","",IF(COUNTIFS('Fund History'!$G$470:$G$474,"&gt;="&amp;DATE(YEAR_Y-1,1,1),'Fund History'!$G$470:$G$474,"&lt;="&amp;DATE(YEAR_Y-1,12,31))=0,"",SUMIFS('Fund History'!$H$470:$H$474,'Fund History'!$G$470:$G$474,"&gt;="&amp;DATE(YEAR_Y-1,1,1),'Fund History'!$G$470:$G$474,"&lt;="&amp;DATE(YEAR_Y-1,12,31))/100)))</f>
        <v/>
      </c>
      <c r="AG89" s="74">
        <f>IF($C89="","",IF(N($AF89)+N(HSI!$I$84)=0,"",N($AF89)+N(HSI!$I$84)/100))</f>
        <v/>
      </c>
      <c r="AH89" s="66">
        <f>IF($C89="","",IF(PULL_FUND="N","",IF(COUNTIFS('Fund History'!$D$470:$D$474,"&gt;="&amp;DATE(YEAR_Y-2,1,1),'Fund History'!$D$470:$D$474,"&lt;="&amp;DATE(YEAR_Y-2,12,31))=0,"",SUMIFS('Fund History'!$E$470:$E$474,'Fund History'!$D$470:$D$474,"&gt;="&amp;DATE(YEAR_Y-2,1,1),'Fund History'!$D$470:$D$474,"&lt;="&amp;DATE(YEAR_Y-2,12,31)))))</f>
        <v/>
      </c>
      <c r="AI89" s="67">
        <f>IF($C89="","",IF(PULL_FUND="N","",IF(COUNTIFS('Fund History'!$D$470:$D$474,"&gt;="&amp;DATE(YEAR_Y-1,1,1),'Fund History'!$D$470:$D$474,"&lt;="&amp;DATE(YEAR_Y-1,12,31))=0,"",SUMIFS('Fund History'!$E$470:$E$474,'Fund History'!$D$470:$D$474,"&gt;="&amp;DATE(YEAR_Y-1,1,1),'Fund History'!$D$470:$D$474,"&lt;="&amp;DATE(YEAR_Y-1,12,31)))))</f>
        <v/>
      </c>
      <c r="AJ89" s="67">
        <f>IF($C89="","",IF(PULL_FUND="N","",IFERROR(BDP($C89,NDEBITDA_FIELD),"")))</f>
        <v/>
      </c>
      <c r="AK89" s="75">
        <f>IF($C89="","",IF(PULL_FUND="N","",IFERROR(BDP($C89,EBINT_FIELD),"")))</f>
        <v/>
      </c>
      <c r="AL89" s="73">
        <f>IF($C89="","",IF(PULL_FUND="N","",IFERROR(BDP($C89,FCF_FIELD)/100,"")))</f>
        <v/>
      </c>
      <c r="AM89" s="76">
        <f>IF($C89="","",IF(ISNUMBER(HSI!$I$84),HSI!$I$84/100,""))</f>
        <v/>
      </c>
      <c r="AN89" s="47">
        <f>IF($C89="","",IF(N($AM89)=0,"",IFERROR($AL89/$AM89,"")))</f>
        <v/>
      </c>
      <c r="AO89" s="33">
        <f>IF($C89="","",IF(ISNUMBER($S89)*ISNUMBER($W89)=0,"",IF($W89&gt;$S89+0.05,"rising",IF($W89&lt;$S89-0.05,"falling","stable"))))</f>
        <v/>
      </c>
      <c r="AP89" s="77">
        <f>IF($C89="","",TRIM(IF(ISNUMBER($X89)*(N($X89)&gt;$D$4)&gt;0,"payout high  ","")&amp;IF(ISNUMBER($AN89)*(N($AN89)&lt;$F$4)&gt;0,"FCF below dvd  ","")&amp;IF(ISNUMBER($AJ89)*(N($AJ89)&gt;$H$4)&gt;0,"leverage high","")))</f>
        <v/>
      </c>
      <c r="AQ89" s="78">
        <f>IF($C89="","",IF(HSI!$F$84="HKD","",HSI!$F$84))</f>
        <v/>
      </c>
    </row>
    <row r="90">
      <c r="B90" s="62" t="inlineStr">
        <is>
          <t>HSI</t>
        </is>
      </c>
      <c r="C90" s="6">
        <f>IF(HSI!$C$85="","",HSI!$C$85)</f>
        <v/>
      </c>
      <c r="D90" s="6">
        <f>IF($C90="","",HSI!$D$85)</f>
        <v/>
      </c>
      <c r="E90" s="6">
        <f>IF($C90="","",HSI!$E$85)</f>
        <v/>
      </c>
      <c r="F90" s="63">
        <f>IF($C90="","",SUMPRODUCT(('Dvd Calendar'!$E$869:$AR$869&gt;=DATE(YEAR_Y-5,1,1))*('Dvd Calendar'!$E$869:$AR$869&lt;=DATE(YEAR_Y-5,12,31))*'Dvd Calendar'!$E$872:$AR$872*(('Dvd Calendar'!$E$874:$AR$874=TYPE1)*(TYPE1&lt;&gt;"")+('Dvd Calendar'!$E$874:$AR$874=TYPE2)*(TYPE2&lt;&gt;"")+('Dvd Calendar'!$E$874:$AR$874=TYPE3)*(TYPE3&lt;&gt;"")+('Dvd Calendar'!$E$874:$AR$874=TYPE4)*(TYPE4&lt;&gt;"")+('Dvd Calendar'!$E$874:$AR$874=SPECIAL_LBL)*(INC_SPECIALS="Y"))))</f>
        <v/>
      </c>
      <c r="G90" s="64">
        <f>IF($C90="","",SUMPRODUCT(('Dvd Calendar'!$E$869:$AR$869&gt;=DATE(YEAR_Y-4,1,1))*('Dvd Calendar'!$E$869:$AR$869&lt;=DATE(YEAR_Y-4,12,31))*'Dvd Calendar'!$E$872:$AR$872*(('Dvd Calendar'!$E$874:$AR$874=TYPE1)*(TYPE1&lt;&gt;"")+('Dvd Calendar'!$E$874:$AR$874=TYPE2)*(TYPE2&lt;&gt;"")+('Dvd Calendar'!$E$874:$AR$874=TYPE3)*(TYPE3&lt;&gt;"")+('Dvd Calendar'!$E$874:$AR$874=TYPE4)*(TYPE4&lt;&gt;"")+('Dvd Calendar'!$E$874:$AR$874=SPECIAL_LBL)*(INC_SPECIALS="Y"))))</f>
        <v/>
      </c>
      <c r="H90" s="64">
        <f>IF($C90="","",SUMPRODUCT(('Dvd Calendar'!$E$869:$AR$869&gt;=DATE(YEAR_Y-3,1,1))*('Dvd Calendar'!$E$869:$AR$869&lt;=DATE(YEAR_Y-3,12,31))*'Dvd Calendar'!$E$872:$AR$872*(('Dvd Calendar'!$E$874:$AR$874=TYPE1)*(TYPE1&lt;&gt;"")+('Dvd Calendar'!$E$874:$AR$874=TYPE2)*(TYPE2&lt;&gt;"")+('Dvd Calendar'!$E$874:$AR$874=TYPE3)*(TYPE3&lt;&gt;"")+('Dvd Calendar'!$E$874:$AR$874=TYPE4)*(TYPE4&lt;&gt;"")+('Dvd Calendar'!$E$874:$AR$874=SPECIAL_LBL)*(INC_SPECIALS="Y"))))</f>
        <v/>
      </c>
      <c r="I90" s="64">
        <f>IF($C90="","",SUMPRODUCT(('Dvd Calendar'!$E$869:$AR$869&gt;=DATE(YEAR_Y-2,1,1))*('Dvd Calendar'!$E$869:$AR$869&lt;=DATE(YEAR_Y-2,12,31))*'Dvd Calendar'!$E$872:$AR$872*(('Dvd Calendar'!$E$874:$AR$874=TYPE1)*(TYPE1&lt;&gt;"")+('Dvd Calendar'!$E$874:$AR$874=TYPE2)*(TYPE2&lt;&gt;"")+('Dvd Calendar'!$E$874:$AR$874=TYPE3)*(TYPE3&lt;&gt;"")+('Dvd Calendar'!$E$874:$AR$874=TYPE4)*(TYPE4&lt;&gt;"")+('Dvd Calendar'!$E$874:$AR$874=SPECIAL_LBL)*(INC_SPECIALS="Y"))))</f>
        <v/>
      </c>
      <c r="J90" s="64">
        <f>IF($C90="","",SUMPRODUCT(('Dvd Calendar'!$E$869:$AR$869&gt;=DATE(YEAR_Y-1,1,1))*('Dvd Calendar'!$E$869:$AR$869&lt;=DATE(YEAR_Y-1,12,31))*'Dvd Calendar'!$E$872:$AR$872*(('Dvd Calendar'!$E$874:$AR$874=TYPE1)*(TYPE1&lt;&gt;"")+('Dvd Calendar'!$E$874:$AR$874=TYPE2)*(TYPE2&lt;&gt;"")+('Dvd Calendar'!$E$874:$AR$874=TYPE3)*(TYPE3&lt;&gt;"")+('Dvd Calendar'!$E$874:$AR$874=TYPE4)*(TYPE4&lt;&gt;"")+('Dvd Calendar'!$E$874:$AR$874=SPECIAL_LBL)*(INC_SPECIALS="Y"))))</f>
        <v/>
      </c>
      <c r="K90" s="65">
        <f>IF($C90="","",HSI!$J$85)</f>
        <v/>
      </c>
      <c r="L90" s="65">
        <f>IF($C90="","",HSI!$K$85)</f>
        <v/>
      </c>
      <c r="M90" s="41">
        <f>IF($C90="","",AVERAGE(F90:J90))</f>
        <v/>
      </c>
      <c r="N90" s="66">
        <f>IF($C90="","",IF(PULL_FUND="N","",IFERROR(BDP($C90,EPS_FIELD,YR_OVERRIDE,TEXT(YEAR_Y-5,"0")),"")))</f>
        <v/>
      </c>
      <c r="O90" s="67">
        <f>IF($C90="","",IF(PULL_FUND="N","",IFERROR(BDP($C90,EPS_FIELD,YR_OVERRIDE,TEXT(YEAR_Y-4,"0")),"")))</f>
        <v/>
      </c>
      <c r="P90" s="67">
        <f>IF($C90="","",IF(PULL_FUND="N","",IFERROR(BDP($C90,EPS_FIELD,YR_OVERRIDE,TEXT(YEAR_Y-3,"0")),"")))</f>
        <v/>
      </c>
      <c r="Q90" s="67">
        <f>IF($C90="","",IF(PULL_FUND="N","",IFERROR(BDP($C90,EPS_FIELD,YR_OVERRIDE,TEXT(YEAR_Y-2,"0")),"")))</f>
        <v/>
      </c>
      <c r="R90" s="67">
        <f>IF($C90="","",IF(PULL_FUND="N","",IFERROR(BDP($C90,EPS_FIELD,YR_OVERRIDE,TEXT(YEAR_Y-1,"0")),"")))</f>
        <v/>
      </c>
      <c r="S90" s="68">
        <f>IF($C90="","",IF(PULL_FUND="N","",IFERROR(BDP($C90,PAYOUT_FIELD,YR_OVERRIDE,TEXT(YEAR_Y-5,"0"))/100,"")))</f>
        <v/>
      </c>
      <c r="T90" s="68">
        <f>IF($C90="","",IF(PULL_FUND="N","",IFERROR(BDP($C90,PAYOUT_FIELD,YR_OVERRIDE,TEXT(YEAR_Y-4,"0"))/100,"")))</f>
        <v/>
      </c>
      <c r="U90" s="68">
        <f>IF($C90="","",IF(PULL_FUND="N","",IFERROR(BDP($C90,PAYOUT_FIELD,YR_OVERRIDE,TEXT(YEAR_Y-3,"0"))/100,"")))</f>
        <v/>
      </c>
      <c r="V90" s="68">
        <f>IF($C90="","",IF(PULL_FUND="N","",IFERROR(BDP($C90,PAYOUT_FIELD,YR_OVERRIDE,TEXT(YEAR_Y-2,"0"))/100,"")))</f>
        <v/>
      </c>
      <c r="W90" s="68">
        <f>IF($C90="","",IF(PULL_FUND="N","",IFERROR(BDP($C90,PAYOUT_FIELD,YR_OVERRIDE,TEXT(YEAR_Y-1,"0"))/100,"")))</f>
        <v/>
      </c>
      <c r="X90" s="69">
        <f>IF($C90="","",IFERROR(AVERAGE(S90:W90),""))</f>
        <v/>
      </c>
      <c r="Y90" s="66">
        <f>IF($C90="","",IF(PULL_FUND="N","",IFERROR(BDP($C90,BESTEPS_FIELD,FWD_OVERRIDE,TEXT(MOD(YEAR_Y,100),"00")&amp;"Y"),"")))</f>
        <v/>
      </c>
      <c r="Z90" s="70">
        <f>IF($C90="","",IF(PULL_FUND="N","",IFERROR(BDP($C90,BESTDPS_FIELD,FWD_OVERRIDE,TEXT(MOD(YEAR_Y,100),"00")&amp;"Y"),"")))</f>
        <v/>
      </c>
      <c r="AA90" s="71">
        <f>IF($C90="","",IF(ISNUMBER($Y90)*ISNUMBER($Z90)*($Y90&lt;&gt;0)=0,"",$Z90/$Y90))</f>
        <v/>
      </c>
      <c r="AB90" s="41">
        <f>IF($C90="","",HSI!$J$85+HSI!$L$85)</f>
        <v/>
      </c>
      <c r="AC90" s="72">
        <f>IF($C90="","",IF(PULL_FUND="N","",IF(COUNTIFS('Fund History'!$G$476:$G$480,"&gt;="&amp;DATE(YEAR_Y-4,1,1),'Fund History'!$G$476:$G$480,"&lt;="&amp;DATE(YEAR_Y-4,12,31))=0,"",SUMIFS('Fund History'!$H$476:$H$480,'Fund History'!$G$476:$G$480,"&gt;="&amp;DATE(YEAR_Y-4,1,1),'Fund History'!$G$476:$G$480,"&lt;="&amp;DATE(YEAR_Y-4,12,31))/100)))</f>
        <v/>
      </c>
      <c r="AD90" s="73">
        <f>IF($C90="","",IF(PULL_FUND="N","",IF(COUNTIFS('Fund History'!$G$476:$G$480,"&gt;="&amp;DATE(YEAR_Y-3,1,1),'Fund History'!$G$476:$G$480,"&lt;="&amp;DATE(YEAR_Y-3,12,31))=0,"",SUMIFS('Fund History'!$H$476:$H$480,'Fund History'!$G$476:$G$480,"&gt;="&amp;DATE(YEAR_Y-3,1,1),'Fund History'!$G$476:$G$480,"&lt;="&amp;DATE(YEAR_Y-3,12,31))/100)))</f>
        <v/>
      </c>
      <c r="AE90" s="73">
        <f>IF($C90="","",IF(PULL_FUND="N","",IF(COUNTIFS('Fund History'!$G$476:$G$480,"&gt;="&amp;DATE(YEAR_Y-2,1,1),'Fund History'!$G$476:$G$480,"&lt;="&amp;DATE(YEAR_Y-2,12,31))=0,"",SUMIFS('Fund History'!$H$476:$H$480,'Fund History'!$G$476:$G$480,"&gt;="&amp;DATE(YEAR_Y-2,1,1),'Fund History'!$G$476:$G$480,"&lt;="&amp;DATE(YEAR_Y-2,12,31))/100)))</f>
        <v/>
      </c>
      <c r="AF90" s="73">
        <f>IF($C90="","",IF(PULL_FUND="N","",IF(COUNTIFS('Fund History'!$G$476:$G$480,"&gt;="&amp;DATE(YEAR_Y-1,1,1),'Fund History'!$G$476:$G$480,"&lt;="&amp;DATE(YEAR_Y-1,12,31))=0,"",SUMIFS('Fund History'!$H$476:$H$480,'Fund History'!$G$476:$G$480,"&gt;="&amp;DATE(YEAR_Y-1,1,1),'Fund History'!$G$476:$G$480,"&lt;="&amp;DATE(YEAR_Y-1,12,31))/100)))</f>
        <v/>
      </c>
      <c r="AG90" s="74">
        <f>IF($C90="","",IF(N($AF90)+N(HSI!$I$85)=0,"",N($AF90)+N(HSI!$I$85)/100))</f>
        <v/>
      </c>
      <c r="AH90" s="66">
        <f>IF($C90="","",IF(PULL_FUND="N","",IF(COUNTIFS('Fund History'!$D$476:$D$480,"&gt;="&amp;DATE(YEAR_Y-2,1,1),'Fund History'!$D$476:$D$480,"&lt;="&amp;DATE(YEAR_Y-2,12,31))=0,"",SUMIFS('Fund History'!$E$476:$E$480,'Fund History'!$D$476:$D$480,"&gt;="&amp;DATE(YEAR_Y-2,1,1),'Fund History'!$D$476:$D$480,"&lt;="&amp;DATE(YEAR_Y-2,12,31)))))</f>
        <v/>
      </c>
      <c r="AI90" s="67">
        <f>IF($C90="","",IF(PULL_FUND="N","",IF(COUNTIFS('Fund History'!$D$476:$D$480,"&gt;="&amp;DATE(YEAR_Y-1,1,1),'Fund History'!$D$476:$D$480,"&lt;="&amp;DATE(YEAR_Y-1,12,31))=0,"",SUMIFS('Fund History'!$E$476:$E$480,'Fund History'!$D$476:$D$480,"&gt;="&amp;DATE(YEAR_Y-1,1,1),'Fund History'!$D$476:$D$480,"&lt;="&amp;DATE(YEAR_Y-1,12,31)))))</f>
        <v/>
      </c>
      <c r="AJ90" s="67">
        <f>IF($C90="","",IF(PULL_FUND="N","",IFERROR(BDP($C90,NDEBITDA_FIELD),"")))</f>
        <v/>
      </c>
      <c r="AK90" s="75">
        <f>IF($C90="","",IF(PULL_FUND="N","",IFERROR(BDP($C90,EBINT_FIELD),"")))</f>
        <v/>
      </c>
      <c r="AL90" s="73">
        <f>IF($C90="","",IF(PULL_FUND="N","",IFERROR(BDP($C90,FCF_FIELD)/100,"")))</f>
        <v/>
      </c>
      <c r="AM90" s="76">
        <f>IF($C90="","",IF(ISNUMBER(HSI!$I$85),HSI!$I$85/100,""))</f>
        <v/>
      </c>
      <c r="AN90" s="47">
        <f>IF($C90="","",IF(N($AM90)=0,"",IFERROR($AL90/$AM90,"")))</f>
        <v/>
      </c>
      <c r="AO90" s="33">
        <f>IF($C90="","",IF(ISNUMBER($S90)*ISNUMBER($W90)=0,"",IF($W90&gt;$S90+0.05,"rising",IF($W90&lt;$S90-0.05,"falling","stable"))))</f>
        <v/>
      </c>
      <c r="AP90" s="77">
        <f>IF($C90="","",TRIM(IF(ISNUMBER($X90)*(N($X90)&gt;$D$4)&gt;0,"payout high  ","")&amp;IF(ISNUMBER($AN90)*(N($AN90)&lt;$F$4)&gt;0,"FCF below dvd  ","")&amp;IF(ISNUMBER($AJ90)*(N($AJ90)&gt;$H$4)&gt;0,"leverage high","")))</f>
        <v/>
      </c>
      <c r="AQ90" s="78">
        <f>IF($C90="","",IF(HSI!$F$85="HKD","",HSI!$F$85))</f>
        <v/>
      </c>
    </row>
    <row r="91">
      <c r="B91" s="62" t="inlineStr">
        <is>
          <t>HSI</t>
        </is>
      </c>
      <c r="C91" s="6">
        <f>IF(HSI!$C$86="","",HSI!$C$86)</f>
        <v/>
      </c>
      <c r="D91" s="6">
        <f>IF($C91="","",HSI!$D$86)</f>
        <v/>
      </c>
      <c r="E91" s="6">
        <f>IF($C91="","",HSI!$E$86)</f>
        <v/>
      </c>
      <c r="F91" s="63">
        <f>IF($C91="","",SUMPRODUCT(('Dvd Calendar'!$E$880:$AR$880&gt;=DATE(YEAR_Y-5,1,1))*('Dvd Calendar'!$E$880:$AR$880&lt;=DATE(YEAR_Y-5,12,31))*'Dvd Calendar'!$E$883:$AR$883*(('Dvd Calendar'!$E$885:$AR$885=TYPE1)*(TYPE1&lt;&gt;"")+('Dvd Calendar'!$E$885:$AR$885=TYPE2)*(TYPE2&lt;&gt;"")+('Dvd Calendar'!$E$885:$AR$885=TYPE3)*(TYPE3&lt;&gt;"")+('Dvd Calendar'!$E$885:$AR$885=TYPE4)*(TYPE4&lt;&gt;"")+('Dvd Calendar'!$E$885:$AR$885=SPECIAL_LBL)*(INC_SPECIALS="Y"))))</f>
        <v/>
      </c>
      <c r="G91" s="64">
        <f>IF($C91="","",SUMPRODUCT(('Dvd Calendar'!$E$880:$AR$880&gt;=DATE(YEAR_Y-4,1,1))*('Dvd Calendar'!$E$880:$AR$880&lt;=DATE(YEAR_Y-4,12,31))*'Dvd Calendar'!$E$883:$AR$883*(('Dvd Calendar'!$E$885:$AR$885=TYPE1)*(TYPE1&lt;&gt;"")+('Dvd Calendar'!$E$885:$AR$885=TYPE2)*(TYPE2&lt;&gt;"")+('Dvd Calendar'!$E$885:$AR$885=TYPE3)*(TYPE3&lt;&gt;"")+('Dvd Calendar'!$E$885:$AR$885=TYPE4)*(TYPE4&lt;&gt;"")+('Dvd Calendar'!$E$885:$AR$885=SPECIAL_LBL)*(INC_SPECIALS="Y"))))</f>
        <v/>
      </c>
      <c r="H91" s="64">
        <f>IF($C91="","",SUMPRODUCT(('Dvd Calendar'!$E$880:$AR$880&gt;=DATE(YEAR_Y-3,1,1))*('Dvd Calendar'!$E$880:$AR$880&lt;=DATE(YEAR_Y-3,12,31))*'Dvd Calendar'!$E$883:$AR$883*(('Dvd Calendar'!$E$885:$AR$885=TYPE1)*(TYPE1&lt;&gt;"")+('Dvd Calendar'!$E$885:$AR$885=TYPE2)*(TYPE2&lt;&gt;"")+('Dvd Calendar'!$E$885:$AR$885=TYPE3)*(TYPE3&lt;&gt;"")+('Dvd Calendar'!$E$885:$AR$885=TYPE4)*(TYPE4&lt;&gt;"")+('Dvd Calendar'!$E$885:$AR$885=SPECIAL_LBL)*(INC_SPECIALS="Y"))))</f>
        <v/>
      </c>
      <c r="I91" s="64">
        <f>IF($C91="","",SUMPRODUCT(('Dvd Calendar'!$E$880:$AR$880&gt;=DATE(YEAR_Y-2,1,1))*('Dvd Calendar'!$E$880:$AR$880&lt;=DATE(YEAR_Y-2,12,31))*'Dvd Calendar'!$E$883:$AR$883*(('Dvd Calendar'!$E$885:$AR$885=TYPE1)*(TYPE1&lt;&gt;"")+('Dvd Calendar'!$E$885:$AR$885=TYPE2)*(TYPE2&lt;&gt;"")+('Dvd Calendar'!$E$885:$AR$885=TYPE3)*(TYPE3&lt;&gt;"")+('Dvd Calendar'!$E$885:$AR$885=TYPE4)*(TYPE4&lt;&gt;"")+('Dvd Calendar'!$E$885:$AR$885=SPECIAL_LBL)*(INC_SPECIALS="Y"))))</f>
        <v/>
      </c>
      <c r="J91" s="64">
        <f>IF($C91="","",SUMPRODUCT(('Dvd Calendar'!$E$880:$AR$880&gt;=DATE(YEAR_Y-1,1,1))*('Dvd Calendar'!$E$880:$AR$880&lt;=DATE(YEAR_Y-1,12,31))*'Dvd Calendar'!$E$883:$AR$883*(('Dvd Calendar'!$E$885:$AR$885=TYPE1)*(TYPE1&lt;&gt;"")+('Dvd Calendar'!$E$885:$AR$885=TYPE2)*(TYPE2&lt;&gt;"")+('Dvd Calendar'!$E$885:$AR$885=TYPE3)*(TYPE3&lt;&gt;"")+('Dvd Calendar'!$E$885:$AR$885=TYPE4)*(TYPE4&lt;&gt;"")+('Dvd Calendar'!$E$885:$AR$885=SPECIAL_LBL)*(INC_SPECIALS="Y"))))</f>
        <v/>
      </c>
      <c r="K91" s="65">
        <f>IF($C91="","",HSI!$J$86)</f>
        <v/>
      </c>
      <c r="L91" s="65">
        <f>IF($C91="","",HSI!$K$86)</f>
        <v/>
      </c>
      <c r="M91" s="41">
        <f>IF($C91="","",AVERAGE(F91:J91))</f>
        <v/>
      </c>
      <c r="N91" s="66">
        <f>IF($C91="","",IF(PULL_FUND="N","",IFERROR(BDP($C91,EPS_FIELD,YR_OVERRIDE,TEXT(YEAR_Y-5,"0")),"")))</f>
        <v/>
      </c>
      <c r="O91" s="67">
        <f>IF($C91="","",IF(PULL_FUND="N","",IFERROR(BDP($C91,EPS_FIELD,YR_OVERRIDE,TEXT(YEAR_Y-4,"0")),"")))</f>
        <v/>
      </c>
      <c r="P91" s="67">
        <f>IF($C91="","",IF(PULL_FUND="N","",IFERROR(BDP($C91,EPS_FIELD,YR_OVERRIDE,TEXT(YEAR_Y-3,"0")),"")))</f>
        <v/>
      </c>
      <c r="Q91" s="67">
        <f>IF($C91="","",IF(PULL_FUND="N","",IFERROR(BDP($C91,EPS_FIELD,YR_OVERRIDE,TEXT(YEAR_Y-2,"0")),"")))</f>
        <v/>
      </c>
      <c r="R91" s="67">
        <f>IF($C91="","",IF(PULL_FUND="N","",IFERROR(BDP($C91,EPS_FIELD,YR_OVERRIDE,TEXT(YEAR_Y-1,"0")),"")))</f>
        <v/>
      </c>
      <c r="S91" s="68">
        <f>IF($C91="","",IF(PULL_FUND="N","",IFERROR(BDP($C91,PAYOUT_FIELD,YR_OVERRIDE,TEXT(YEAR_Y-5,"0"))/100,"")))</f>
        <v/>
      </c>
      <c r="T91" s="68">
        <f>IF($C91="","",IF(PULL_FUND="N","",IFERROR(BDP($C91,PAYOUT_FIELD,YR_OVERRIDE,TEXT(YEAR_Y-4,"0"))/100,"")))</f>
        <v/>
      </c>
      <c r="U91" s="68">
        <f>IF($C91="","",IF(PULL_FUND="N","",IFERROR(BDP($C91,PAYOUT_FIELD,YR_OVERRIDE,TEXT(YEAR_Y-3,"0"))/100,"")))</f>
        <v/>
      </c>
      <c r="V91" s="68">
        <f>IF($C91="","",IF(PULL_FUND="N","",IFERROR(BDP($C91,PAYOUT_FIELD,YR_OVERRIDE,TEXT(YEAR_Y-2,"0"))/100,"")))</f>
        <v/>
      </c>
      <c r="W91" s="68">
        <f>IF($C91="","",IF(PULL_FUND="N","",IFERROR(BDP($C91,PAYOUT_FIELD,YR_OVERRIDE,TEXT(YEAR_Y-1,"0"))/100,"")))</f>
        <v/>
      </c>
      <c r="X91" s="69">
        <f>IF($C91="","",IFERROR(AVERAGE(S91:W91),""))</f>
        <v/>
      </c>
      <c r="Y91" s="66">
        <f>IF($C91="","",IF(PULL_FUND="N","",IFERROR(BDP($C91,BESTEPS_FIELD,FWD_OVERRIDE,TEXT(MOD(YEAR_Y,100),"00")&amp;"Y"),"")))</f>
        <v/>
      </c>
      <c r="Z91" s="70">
        <f>IF($C91="","",IF(PULL_FUND="N","",IFERROR(BDP($C91,BESTDPS_FIELD,FWD_OVERRIDE,TEXT(MOD(YEAR_Y,100),"00")&amp;"Y"),"")))</f>
        <v/>
      </c>
      <c r="AA91" s="71">
        <f>IF($C91="","",IF(ISNUMBER($Y91)*ISNUMBER($Z91)*($Y91&lt;&gt;0)=0,"",$Z91/$Y91))</f>
        <v/>
      </c>
      <c r="AB91" s="41">
        <f>IF($C91="","",HSI!$J$86+HSI!$L$86)</f>
        <v/>
      </c>
      <c r="AC91" s="72">
        <f>IF($C91="","",IF(PULL_FUND="N","",IF(COUNTIFS('Fund History'!$G$482:$G$486,"&gt;="&amp;DATE(YEAR_Y-4,1,1),'Fund History'!$G$482:$G$486,"&lt;="&amp;DATE(YEAR_Y-4,12,31))=0,"",SUMIFS('Fund History'!$H$482:$H$486,'Fund History'!$G$482:$G$486,"&gt;="&amp;DATE(YEAR_Y-4,1,1),'Fund History'!$G$482:$G$486,"&lt;="&amp;DATE(YEAR_Y-4,12,31))/100)))</f>
        <v/>
      </c>
      <c r="AD91" s="73">
        <f>IF($C91="","",IF(PULL_FUND="N","",IF(COUNTIFS('Fund History'!$G$482:$G$486,"&gt;="&amp;DATE(YEAR_Y-3,1,1),'Fund History'!$G$482:$G$486,"&lt;="&amp;DATE(YEAR_Y-3,12,31))=0,"",SUMIFS('Fund History'!$H$482:$H$486,'Fund History'!$G$482:$G$486,"&gt;="&amp;DATE(YEAR_Y-3,1,1),'Fund History'!$G$482:$G$486,"&lt;="&amp;DATE(YEAR_Y-3,12,31))/100)))</f>
        <v/>
      </c>
      <c r="AE91" s="73">
        <f>IF($C91="","",IF(PULL_FUND="N","",IF(COUNTIFS('Fund History'!$G$482:$G$486,"&gt;="&amp;DATE(YEAR_Y-2,1,1),'Fund History'!$G$482:$G$486,"&lt;="&amp;DATE(YEAR_Y-2,12,31))=0,"",SUMIFS('Fund History'!$H$482:$H$486,'Fund History'!$G$482:$G$486,"&gt;="&amp;DATE(YEAR_Y-2,1,1),'Fund History'!$G$482:$G$486,"&lt;="&amp;DATE(YEAR_Y-2,12,31))/100)))</f>
        <v/>
      </c>
      <c r="AF91" s="73">
        <f>IF($C91="","",IF(PULL_FUND="N","",IF(COUNTIFS('Fund History'!$G$482:$G$486,"&gt;="&amp;DATE(YEAR_Y-1,1,1),'Fund History'!$G$482:$G$486,"&lt;="&amp;DATE(YEAR_Y-1,12,31))=0,"",SUMIFS('Fund History'!$H$482:$H$486,'Fund History'!$G$482:$G$486,"&gt;="&amp;DATE(YEAR_Y-1,1,1),'Fund History'!$G$482:$G$486,"&lt;="&amp;DATE(YEAR_Y-1,12,31))/100)))</f>
        <v/>
      </c>
      <c r="AG91" s="74">
        <f>IF($C91="","",IF(N($AF91)+N(HSI!$I$86)=0,"",N($AF91)+N(HSI!$I$86)/100))</f>
        <v/>
      </c>
      <c r="AH91" s="66">
        <f>IF($C91="","",IF(PULL_FUND="N","",IF(COUNTIFS('Fund History'!$D$482:$D$486,"&gt;="&amp;DATE(YEAR_Y-2,1,1),'Fund History'!$D$482:$D$486,"&lt;="&amp;DATE(YEAR_Y-2,12,31))=0,"",SUMIFS('Fund History'!$E$482:$E$486,'Fund History'!$D$482:$D$486,"&gt;="&amp;DATE(YEAR_Y-2,1,1),'Fund History'!$D$482:$D$486,"&lt;="&amp;DATE(YEAR_Y-2,12,31)))))</f>
        <v/>
      </c>
      <c r="AI91" s="67">
        <f>IF($C91="","",IF(PULL_FUND="N","",IF(COUNTIFS('Fund History'!$D$482:$D$486,"&gt;="&amp;DATE(YEAR_Y-1,1,1),'Fund History'!$D$482:$D$486,"&lt;="&amp;DATE(YEAR_Y-1,12,31))=0,"",SUMIFS('Fund History'!$E$482:$E$486,'Fund History'!$D$482:$D$486,"&gt;="&amp;DATE(YEAR_Y-1,1,1),'Fund History'!$D$482:$D$486,"&lt;="&amp;DATE(YEAR_Y-1,12,31)))))</f>
        <v/>
      </c>
      <c r="AJ91" s="67">
        <f>IF($C91="","",IF(PULL_FUND="N","",IFERROR(BDP($C91,NDEBITDA_FIELD),"")))</f>
        <v/>
      </c>
      <c r="AK91" s="75">
        <f>IF($C91="","",IF(PULL_FUND="N","",IFERROR(BDP($C91,EBINT_FIELD),"")))</f>
        <v/>
      </c>
      <c r="AL91" s="73">
        <f>IF($C91="","",IF(PULL_FUND="N","",IFERROR(BDP($C91,FCF_FIELD)/100,"")))</f>
        <v/>
      </c>
      <c r="AM91" s="76">
        <f>IF($C91="","",IF(ISNUMBER(HSI!$I$86),HSI!$I$86/100,""))</f>
        <v/>
      </c>
      <c r="AN91" s="47">
        <f>IF($C91="","",IF(N($AM91)=0,"",IFERROR($AL91/$AM91,"")))</f>
        <v/>
      </c>
      <c r="AO91" s="33">
        <f>IF($C91="","",IF(ISNUMBER($S91)*ISNUMBER($W91)=0,"",IF($W91&gt;$S91+0.05,"rising",IF($W91&lt;$S91-0.05,"falling","stable"))))</f>
        <v/>
      </c>
      <c r="AP91" s="77">
        <f>IF($C91="","",TRIM(IF(ISNUMBER($X91)*(N($X91)&gt;$D$4)&gt;0,"payout high  ","")&amp;IF(ISNUMBER($AN91)*(N($AN91)&lt;$F$4)&gt;0,"FCF below dvd  ","")&amp;IF(ISNUMBER($AJ91)*(N($AJ91)&gt;$H$4)&gt;0,"leverage high","")))</f>
        <v/>
      </c>
      <c r="AQ91" s="78">
        <f>IF($C91="","",IF(HSI!$F$86="HKD","",HSI!$F$86))</f>
        <v/>
      </c>
    </row>
    <row r="92">
      <c r="B92" s="62" t="inlineStr">
        <is>
          <t>HSI</t>
        </is>
      </c>
      <c r="C92" s="6">
        <f>IF(HSI!$C$87="","",HSI!$C$87)</f>
        <v/>
      </c>
      <c r="D92" s="6">
        <f>IF($C92="","",HSI!$D$87)</f>
        <v/>
      </c>
      <c r="E92" s="6">
        <f>IF($C92="","",HSI!$E$87)</f>
        <v/>
      </c>
      <c r="F92" s="63">
        <f>IF($C92="","",SUMPRODUCT(('Dvd Calendar'!$E$891:$AR$891&gt;=DATE(YEAR_Y-5,1,1))*('Dvd Calendar'!$E$891:$AR$891&lt;=DATE(YEAR_Y-5,12,31))*'Dvd Calendar'!$E$894:$AR$894*(('Dvd Calendar'!$E$896:$AR$896=TYPE1)*(TYPE1&lt;&gt;"")+('Dvd Calendar'!$E$896:$AR$896=TYPE2)*(TYPE2&lt;&gt;"")+('Dvd Calendar'!$E$896:$AR$896=TYPE3)*(TYPE3&lt;&gt;"")+('Dvd Calendar'!$E$896:$AR$896=TYPE4)*(TYPE4&lt;&gt;"")+('Dvd Calendar'!$E$896:$AR$896=SPECIAL_LBL)*(INC_SPECIALS="Y"))))</f>
        <v/>
      </c>
      <c r="G92" s="64">
        <f>IF($C92="","",SUMPRODUCT(('Dvd Calendar'!$E$891:$AR$891&gt;=DATE(YEAR_Y-4,1,1))*('Dvd Calendar'!$E$891:$AR$891&lt;=DATE(YEAR_Y-4,12,31))*'Dvd Calendar'!$E$894:$AR$894*(('Dvd Calendar'!$E$896:$AR$896=TYPE1)*(TYPE1&lt;&gt;"")+('Dvd Calendar'!$E$896:$AR$896=TYPE2)*(TYPE2&lt;&gt;"")+('Dvd Calendar'!$E$896:$AR$896=TYPE3)*(TYPE3&lt;&gt;"")+('Dvd Calendar'!$E$896:$AR$896=TYPE4)*(TYPE4&lt;&gt;"")+('Dvd Calendar'!$E$896:$AR$896=SPECIAL_LBL)*(INC_SPECIALS="Y"))))</f>
        <v/>
      </c>
      <c r="H92" s="64">
        <f>IF($C92="","",SUMPRODUCT(('Dvd Calendar'!$E$891:$AR$891&gt;=DATE(YEAR_Y-3,1,1))*('Dvd Calendar'!$E$891:$AR$891&lt;=DATE(YEAR_Y-3,12,31))*'Dvd Calendar'!$E$894:$AR$894*(('Dvd Calendar'!$E$896:$AR$896=TYPE1)*(TYPE1&lt;&gt;"")+('Dvd Calendar'!$E$896:$AR$896=TYPE2)*(TYPE2&lt;&gt;"")+('Dvd Calendar'!$E$896:$AR$896=TYPE3)*(TYPE3&lt;&gt;"")+('Dvd Calendar'!$E$896:$AR$896=TYPE4)*(TYPE4&lt;&gt;"")+('Dvd Calendar'!$E$896:$AR$896=SPECIAL_LBL)*(INC_SPECIALS="Y"))))</f>
        <v/>
      </c>
      <c r="I92" s="64">
        <f>IF($C92="","",SUMPRODUCT(('Dvd Calendar'!$E$891:$AR$891&gt;=DATE(YEAR_Y-2,1,1))*('Dvd Calendar'!$E$891:$AR$891&lt;=DATE(YEAR_Y-2,12,31))*'Dvd Calendar'!$E$894:$AR$894*(('Dvd Calendar'!$E$896:$AR$896=TYPE1)*(TYPE1&lt;&gt;"")+('Dvd Calendar'!$E$896:$AR$896=TYPE2)*(TYPE2&lt;&gt;"")+('Dvd Calendar'!$E$896:$AR$896=TYPE3)*(TYPE3&lt;&gt;"")+('Dvd Calendar'!$E$896:$AR$896=TYPE4)*(TYPE4&lt;&gt;"")+('Dvd Calendar'!$E$896:$AR$896=SPECIAL_LBL)*(INC_SPECIALS="Y"))))</f>
        <v/>
      </c>
      <c r="J92" s="64">
        <f>IF($C92="","",SUMPRODUCT(('Dvd Calendar'!$E$891:$AR$891&gt;=DATE(YEAR_Y-1,1,1))*('Dvd Calendar'!$E$891:$AR$891&lt;=DATE(YEAR_Y-1,12,31))*'Dvd Calendar'!$E$894:$AR$894*(('Dvd Calendar'!$E$896:$AR$896=TYPE1)*(TYPE1&lt;&gt;"")+('Dvd Calendar'!$E$896:$AR$896=TYPE2)*(TYPE2&lt;&gt;"")+('Dvd Calendar'!$E$896:$AR$896=TYPE3)*(TYPE3&lt;&gt;"")+('Dvd Calendar'!$E$896:$AR$896=TYPE4)*(TYPE4&lt;&gt;"")+('Dvd Calendar'!$E$896:$AR$896=SPECIAL_LBL)*(INC_SPECIALS="Y"))))</f>
        <v/>
      </c>
      <c r="K92" s="65">
        <f>IF($C92="","",HSI!$J$87)</f>
        <v/>
      </c>
      <c r="L92" s="65">
        <f>IF($C92="","",HSI!$K$87)</f>
        <v/>
      </c>
      <c r="M92" s="41">
        <f>IF($C92="","",AVERAGE(F92:J92))</f>
        <v/>
      </c>
      <c r="N92" s="66">
        <f>IF($C92="","",IF(PULL_FUND="N","",IFERROR(BDP($C92,EPS_FIELD,YR_OVERRIDE,TEXT(YEAR_Y-5,"0")),"")))</f>
        <v/>
      </c>
      <c r="O92" s="67">
        <f>IF($C92="","",IF(PULL_FUND="N","",IFERROR(BDP($C92,EPS_FIELD,YR_OVERRIDE,TEXT(YEAR_Y-4,"0")),"")))</f>
        <v/>
      </c>
      <c r="P92" s="67">
        <f>IF($C92="","",IF(PULL_FUND="N","",IFERROR(BDP($C92,EPS_FIELD,YR_OVERRIDE,TEXT(YEAR_Y-3,"0")),"")))</f>
        <v/>
      </c>
      <c r="Q92" s="67">
        <f>IF($C92="","",IF(PULL_FUND="N","",IFERROR(BDP($C92,EPS_FIELD,YR_OVERRIDE,TEXT(YEAR_Y-2,"0")),"")))</f>
        <v/>
      </c>
      <c r="R92" s="67">
        <f>IF($C92="","",IF(PULL_FUND="N","",IFERROR(BDP($C92,EPS_FIELD,YR_OVERRIDE,TEXT(YEAR_Y-1,"0")),"")))</f>
        <v/>
      </c>
      <c r="S92" s="68">
        <f>IF($C92="","",IF(PULL_FUND="N","",IFERROR(BDP($C92,PAYOUT_FIELD,YR_OVERRIDE,TEXT(YEAR_Y-5,"0"))/100,"")))</f>
        <v/>
      </c>
      <c r="T92" s="68">
        <f>IF($C92="","",IF(PULL_FUND="N","",IFERROR(BDP($C92,PAYOUT_FIELD,YR_OVERRIDE,TEXT(YEAR_Y-4,"0"))/100,"")))</f>
        <v/>
      </c>
      <c r="U92" s="68">
        <f>IF($C92="","",IF(PULL_FUND="N","",IFERROR(BDP($C92,PAYOUT_FIELD,YR_OVERRIDE,TEXT(YEAR_Y-3,"0"))/100,"")))</f>
        <v/>
      </c>
      <c r="V92" s="68">
        <f>IF($C92="","",IF(PULL_FUND="N","",IFERROR(BDP($C92,PAYOUT_FIELD,YR_OVERRIDE,TEXT(YEAR_Y-2,"0"))/100,"")))</f>
        <v/>
      </c>
      <c r="W92" s="68">
        <f>IF($C92="","",IF(PULL_FUND="N","",IFERROR(BDP($C92,PAYOUT_FIELD,YR_OVERRIDE,TEXT(YEAR_Y-1,"0"))/100,"")))</f>
        <v/>
      </c>
      <c r="X92" s="69">
        <f>IF($C92="","",IFERROR(AVERAGE(S92:W92),""))</f>
        <v/>
      </c>
      <c r="Y92" s="66">
        <f>IF($C92="","",IF(PULL_FUND="N","",IFERROR(BDP($C92,BESTEPS_FIELD,FWD_OVERRIDE,TEXT(MOD(YEAR_Y,100),"00")&amp;"Y"),"")))</f>
        <v/>
      </c>
      <c r="Z92" s="70">
        <f>IF($C92="","",IF(PULL_FUND="N","",IFERROR(BDP($C92,BESTDPS_FIELD,FWD_OVERRIDE,TEXT(MOD(YEAR_Y,100),"00")&amp;"Y"),"")))</f>
        <v/>
      </c>
      <c r="AA92" s="71">
        <f>IF($C92="","",IF(ISNUMBER($Y92)*ISNUMBER($Z92)*($Y92&lt;&gt;0)=0,"",$Z92/$Y92))</f>
        <v/>
      </c>
      <c r="AB92" s="41">
        <f>IF($C92="","",HSI!$J$87+HSI!$L$87)</f>
        <v/>
      </c>
      <c r="AC92" s="72">
        <f>IF($C92="","",IF(PULL_FUND="N","",IF(COUNTIFS('Fund History'!$G$488:$G$492,"&gt;="&amp;DATE(YEAR_Y-4,1,1),'Fund History'!$G$488:$G$492,"&lt;="&amp;DATE(YEAR_Y-4,12,31))=0,"",SUMIFS('Fund History'!$H$488:$H$492,'Fund History'!$G$488:$G$492,"&gt;="&amp;DATE(YEAR_Y-4,1,1),'Fund History'!$G$488:$G$492,"&lt;="&amp;DATE(YEAR_Y-4,12,31))/100)))</f>
        <v/>
      </c>
      <c r="AD92" s="73">
        <f>IF($C92="","",IF(PULL_FUND="N","",IF(COUNTIFS('Fund History'!$G$488:$G$492,"&gt;="&amp;DATE(YEAR_Y-3,1,1),'Fund History'!$G$488:$G$492,"&lt;="&amp;DATE(YEAR_Y-3,12,31))=0,"",SUMIFS('Fund History'!$H$488:$H$492,'Fund History'!$G$488:$G$492,"&gt;="&amp;DATE(YEAR_Y-3,1,1),'Fund History'!$G$488:$G$492,"&lt;="&amp;DATE(YEAR_Y-3,12,31))/100)))</f>
        <v/>
      </c>
      <c r="AE92" s="73">
        <f>IF($C92="","",IF(PULL_FUND="N","",IF(COUNTIFS('Fund History'!$G$488:$G$492,"&gt;="&amp;DATE(YEAR_Y-2,1,1),'Fund History'!$G$488:$G$492,"&lt;="&amp;DATE(YEAR_Y-2,12,31))=0,"",SUMIFS('Fund History'!$H$488:$H$492,'Fund History'!$G$488:$G$492,"&gt;="&amp;DATE(YEAR_Y-2,1,1),'Fund History'!$G$488:$G$492,"&lt;="&amp;DATE(YEAR_Y-2,12,31))/100)))</f>
        <v/>
      </c>
      <c r="AF92" s="73">
        <f>IF($C92="","",IF(PULL_FUND="N","",IF(COUNTIFS('Fund History'!$G$488:$G$492,"&gt;="&amp;DATE(YEAR_Y-1,1,1),'Fund History'!$G$488:$G$492,"&lt;="&amp;DATE(YEAR_Y-1,12,31))=0,"",SUMIFS('Fund History'!$H$488:$H$492,'Fund History'!$G$488:$G$492,"&gt;="&amp;DATE(YEAR_Y-1,1,1),'Fund History'!$G$488:$G$492,"&lt;="&amp;DATE(YEAR_Y-1,12,31))/100)))</f>
        <v/>
      </c>
      <c r="AG92" s="74">
        <f>IF($C92="","",IF(N($AF92)+N(HSI!$I$87)=0,"",N($AF92)+N(HSI!$I$87)/100))</f>
        <v/>
      </c>
      <c r="AH92" s="66">
        <f>IF($C92="","",IF(PULL_FUND="N","",IF(COUNTIFS('Fund History'!$D$488:$D$492,"&gt;="&amp;DATE(YEAR_Y-2,1,1),'Fund History'!$D$488:$D$492,"&lt;="&amp;DATE(YEAR_Y-2,12,31))=0,"",SUMIFS('Fund History'!$E$488:$E$492,'Fund History'!$D$488:$D$492,"&gt;="&amp;DATE(YEAR_Y-2,1,1),'Fund History'!$D$488:$D$492,"&lt;="&amp;DATE(YEAR_Y-2,12,31)))))</f>
        <v/>
      </c>
      <c r="AI92" s="67">
        <f>IF($C92="","",IF(PULL_FUND="N","",IF(COUNTIFS('Fund History'!$D$488:$D$492,"&gt;="&amp;DATE(YEAR_Y-1,1,1),'Fund History'!$D$488:$D$492,"&lt;="&amp;DATE(YEAR_Y-1,12,31))=0,"",SUMIFS('Fund History'!$E$488:$E$492,'Fund History'!$D$488:$D$492,"&gt;="&amp;DATE(YEAR_Y-1,1,1),'Fund History'!$D$488:$D$492,"&lt;="&amp;DATE(YEAR_Y-1,12,31)))))</f>
        <v/>
      </c>
      <c r="AJ92" s="67">
        <f>IF($C92="","",IF(PULL_FUND="N","",IFERROR(BDP($C92,NDEBITDA_FIELD),"")))</f>
        <v/>
      </c>
      <c r="AK92" s="75">
        <f>IF($C92="","",IF(PULL_FUND="N","",IFERROR(BDP($C92,EBINT_FIELD),"")))</f>
        <v/>
      </c>
      <c r="AL92" s="73">
        <f>IF($C92="","",IF(PULL_FUND="N","",IFERROR(BDP($C92,FCF_FIELD)/100,"")))</f>
        <v/>
      </c>
      <c r="AM92" s="76">
        <f>IF($C92="","",IF(ISNUMBER(HSI!$I$87),HSI!$I$87/100,""))</f>
        <v/>
      </c>
      <c r="AN92" s="47">
        <f>IF($C92="","",IF(N($AM92)=0,"",IFERROR($AL92/$AM92,"")))</f>
        <v/>
      </c>
      <c r="AO92" s="33">
        <f>IF($C92="","",IF(ISNUMBER($S92)*ISNUMBER($W92)=0,"",IF($W92&gt;$S92+0.05,"rising",IF($W92&lt;$S92-0.05,"falling","stable"))))</f>
        <v/>
      </c>
      <c r="AP92" s="77">
        <f>IF($C92="","",TRIM(IF(ISNUMBER($X92)*(N($X92)&gt;$D$4)&gt;0,"payout high  ","")&amp;IF(ISNUMBER($AN92)*(N($AN92)&lt;$F$4)&gt;0,"FCF below dvd  ","")&amp;IF(ISNUMBER($AJ92)*(N($AJ92)&gt;$H$4)&gt;0,"leverage high","")))</f>
        <v/>
      </c>
      <c r="AQ92" s="78">
        <f>IF($C92="","",IF(HSI!$F$87="HKD","",HSI!$F$87))</f>
        <v/>
      </c>
    </row>
    <row r="93">
      <c r="B93" s="62" t="inlineStr">
        <is>
          <t>HSI</t>
        </is>
      </c>
      <c r="C93" s="6">
        <f>IF(HSI!$C$88="","",HSI!$C$88)</f>
        <v/>
      </c>
      <c r="D93" s="6">
        <f>IF($C93="","",HSI!$D$88)</f>
        <v/>
      </c>
      <c r="E93" s="6">
        <f>IF($C93="","",HSI!$E$88)</f>
        <v/>
      </c>
      <c r="F93" s="63">
        <f>IF($C93="","",SUMPRODUCT(('Dvd Calendar'!$E$902:$AR$902&gt;=DATE(YEAR_Y-5,1,1))*('Dvd Calendar'!$E$902:$AR$902&lt;=DATE(YEAR_Y-5,12,31))*'Dvd Calendar'!$E$905:$AR$905*(('Dvd Calendar'!$E$907:$AR$907=TYPE1)*(TYPE1&lt;&gt;"")+('Dvd Calendar'!$E$907:$AR$907=TYPE2)*(TYPE2&lt;&gt;"")+('Dvd Calendar'!$E$907:$AR$907=TYPE3)*(TYPE3&lt;&gt;"")+('Dvd Calendar'!$E$907:$AR$907=TYPE4)*(TYPE4&lt;&gt;"")+('Dvd Calendar'!$E$907:$AR$907=SPECIAL_LBL)*(INC_SPECIALS="Y"))))</f>
        <v/>
      </c>
      <c r="G93" s="64">
        <f>IF($C93="","",SUMPRODUCT(('Dvd Calendar'!$E$902:$AR$902&gt;=DATE(YEAR_Y-4,1,1))*('Dvd Calendar'!$E$902:$AR$902&lt;=DATE(YEAR_Y-4,12,31))*'Dvd Calendar'!$E$905:$AR$905*(('Dvd Calendar'!$E$907:$AR$907=TYPE1)*(TYPE1&lt;&gt;"")+('Dvd Calendar'!$E$907:$AR$907=TYPE2)*(TYPE2&lt;&gt;"")+('Dvd Calendar'!$E$907:$AR$907=TYPE3)*(TYPE3&lt;&gt;"")+('Dvd Calendar'!$E$907:$AR$907=TYPE4)*(TYPE4&lt;&gt;"")+('Dvd Calendar'!$E$907:$AR$907=SPECIAL_LBL)*(INC_SPECIALS="Y"))))</f>
        <v/>
      </c>
      <c r="H93" s="64">
        <f>IF($C93="","",SUMPRODUCT(('Dvd Calendar'!$E$902:$AR$902&gt;=DATE(YEAR_Y-3,1,1))*('Dvd Calendar'!$E$902:$AR$902&lt;=DATE(YEAR_Y-3,12,31))*'Dvd Calendar'!$E$905:$AR$905*(('Dvd Calendar'!$E$907:$AR$907=TYPE1)*(TYPE1&lt;&gt;"")+('Dvd Calendar'!$E$907:$AR$907=TYPE2)*(TYPE2&lt;&gt;"")+('Dvd Calendar'!$E$907:$AR$907=TYPE3)*(TYPE3&lt;&gt;"")+('Dvd Calendar'!$E$907:$AR$907=TYPE4)*(TYPE4&lt;&gt;"")+('Dvd Calendar'!$E$907:$AR$907=SPECIAL_LBL)*(INC_SPECIALS="Y"))))</f>
        <v/>
      </c>
      <c r="I93" s="64">
        <f>IF($C93="","",SUMPRODUCT(('Dvd Calendar'!$E$902:$AR$902&gt;=DATE(YEAR_Y-2,1,1))*('Dvd Calendar'!$E$902:$AR$902&lt;=DATE(YEAR_Y-2,12,31))*'Dvd Calendar'!$E$905:$AR$905*(('Dvd Calendar'!$E$907:$AR$907=TYPE1)*(TYPE1&lt;&gt;"")+('Dvd Calendar'!$E$907:$AR$907=TYPE2)*(TYPE2&lt;&gt;"")+('Dvd Calendar'!$E$907:$AR$907=TYPE3)*(TYPE3&lt;&gt;"")+('Dvd Calendar'!$E$907:$AR$907=TYPE4)*(TYPE4&lt;&gt;"")+('Dvd Calendar'!$E$907:$AR$907=SPECIAL_LBL)*(INC_SPECIALS="Y"))))</f>
        <v/>
      </c>
      <c r="J93" s="64">
        <f>IF($C93="","",SUMPRODUCT(('Dvd Calendar'!$E$902:$AR$902&gt;=DATE(YEAR_Y-1,1,1))*('Dvd Calendar'!$E$902:$AR$902&lt;=DATE(YEAR_Y-1,12,31))*'Dvd Calendar'!$E$905:$AR$905*(('Dvd Calendar'!$E$907:$AR$907=TYPE1)*(TYPE1&lt;&gt;"")+('Dvd Calendar'!$E$907:$AR$907=TYPE2)*(TYPE2&lt;&gt;"")+('Dvd Calendar'!$E$907:$AR$907=TYPE3)*(TYPE3&lt;&gt;"")+('Dvd Calendar'!$E$907:$AR$907=TYPE4)*(TYPE4&lt;&gt;"")+('Dvd Calendar'!$E$907:$AR$907=SPECIAL_LBL)*(INC_SPECIALS="Y"))))</f>
        <v/>
      </c>
      <c r="K93" s="65">
        <f>IF($C93="","",HSI!$J$88)</f>
        <v/>
      </c>
      <c r="L93" s="65">
        <f>IF($C93="","",HSI!$K$88)</f>
        <v/>
      </c>
      <c r="M93" s="41">
        <f>IF($C93="","",AVERAGE(F93:J93))</f>
        <v/>
      </c>
      <c r="N93" s="66">
        <f>IF($C93="","",IF(PULL_FUND="N","",IFERROR(BDP($C93,EPS_FIELD,YR_OVERRIDE,TEXT(YEAR_Y-5,"0")),"")))</f>
        <v/>
      </c>
      <c r="O93" s="67">
        <f>IF($C93="","",IF(PULL_FUND="N","",IFERROR(BDP($C93,EPS_FIELD,YR_OVERRIDE,TEXT(YEAR_Y-4,"0")),"")))</f>
        <v/>
      </c>
      <c r="P93" s="67">
        <f>IF($C93="","",IF(PULL_FUND="N","",IFERROR(BDP($C93,EPS_FIELD,YR_OVERRIDE,TEXT(YEAR_Y-3,"0")),"")))</f>
        <v/>
      </c>
      <c r="Q93" s="67">
        <f>IF($C93="","",IF(PULL_FUND="N","",IFERROR(BDP($C93,EPS_FIELD,YR_OVERRIDE,TEXT(YEAR_Y-2,"0")),"")))</f>
        <v/>
      </c>
      <c r="R93" s="67">
        <f>IF($C93="","",IF(PULL_FUND="N","",IFERROR(BDP($C93,EPS_FIELD,YR_OVERRIDE,TEXT(YEAR_Y-1,"0")),"")))</f>
        <v/>
      </c>
      <c r="S93" s="68">
        <f>IF($C93="","",IF(PULL_FUND="N","",IFERROR(BDP($C93,PAYOUT_FIELD,YR_OVERRIDE,TEXT(YEAR_Y-5,"0"))/100,"")))</f>
        <v/>
      </c>
      <c r="T93" s="68">
        <f>IF($C93="","",IF(PULL_FUND="N","",IFERROR(BDP($C93,PAYOUT_FIELD,YR_OVERRIDE,TEXT(YEAR_Y-4,"0"))/100,"")))</f>
        <v/>
      </c>
      <c r="U93" s="68">
        <f>IF($C93="","",IF(PULL_FUND="N","",IFERROR(BDP($C93,PAYOUT_FIELD,YR_OVERRIDE,TEXT(YEAR_Y-3,"0"))/100,"")))</f>
        <v/>
      </c>
      <c r="V93" s="68">
        <f>IF($C93="","",IF(PULL_FUND="N","",IFERROR(BDP($C93,PAYOUT_FIELD,YR_OVERRIDE,TEXT(YEAR_Y-2,"0"))/100,"")))</f>
        <v/>
      </c>
      <c r="W93" s="68">
        <f>IF($C93="","",IF(PULL_FUND="N","",IFERROR(BDP($C93,PAYOUT_FIELD,YR_OVERRIDE,TEXT(YEAR_Y-1,"0"))/100,"")))</f>
        <v/>
      </c>
      <c r="X93" s="69">
        <f>IF($C93="","",IFERROR(AVERAGE(S93:W93),""))</f>
        <v/>
      </c>
      <c r="Y93" s="66">
        <f>IF($C93="","",IF(PULL_FUND="N","",IFERROR(BDP($C93,BESTEPS_FIELD,FWD_OVERRIDE,TEXT(MOD(YEAR_Y,100),"00")&amp;"Y"),"")))</f>
        <v/>
      </c>
      <c r="Z93" s="70">
        <f>IF($C93="","",IF(PULL_FUND="N","",IFERROR(BDP($C93,BESTDPS_FIELD,FWD_OVERRIDE,TEXT(MOD(YEAR_Y,100),"00")&amp;"Y"),"")))</f>
        <v/>
      </c>
      <c r="AA93" s="71">
        <f>IF($C93="","",IF(ISNUMBER($Y93)*ISNUMBER($Z93)*($Y93&lt;&gt;0)=0,"",$Z93/$Y93))</f>
        <v/>
      </c>
      <c r="AB93" s="41">
        <f>IF($C93="","",HSI!$J$88+HSI!$L$88)</f>
        <v/>
      </c>
      <c r="AC93" s="72">
        <f>IF($C93="","",IF(PULL_FUND="N","",IF(COUNTIFS('Fund History'!$G$494:$G$498,"&gt;="&amp;DATE(YEAR_Y-4,1,1),'Fund History'!$G$494:$G$498,"&lt;="&amp;DATE(YEAR_Y-4,12,31))=0,"",SUMIFS('Fund History'!$H$494:$H$498,'Fund History'!$G$494:$G$498,"&gt;="&amp;DATE(YEAR_Y-4,1,1),'Fund History'!$G$494:$G$498,"&lt;="&amp;DATE(YEAR_Y-4,12,31))/100)))</f>
        <v/>
      </c>
      <c r="AD93" s="73">
        <f>IF($C93="","",IF(PULL_FUND="N","",IF(COUNTIFS('Fund History'!$G$494:$G$498,"&gt;="&amp;DATE(YEAR_Y-3,1,1),'Fund History'!$G$494:$G$498,"&lt;="&amp;DATE(YEAR_Y-3,12,31))=0,"",SUMIFS('Fund History'!$H$494:$H$498,'Fund History'!$G$494:$G$498,"&gt;="&amp;DATE(YEAR_Y-3,1,1),'Fund History'!$G$494:$G$498,"&lt;="&amp;DATE(YEAR_Y-3,12,31))/100)))</f>
        <v/>
      </c>
      <c r="AE93" s="73">
        <f>IF($C93="","",IF(PULL_FUND="N","",IF(COUNTIFS('Fund History'!$G$494:$G$498,"&gt;="&amp;DATE(YEAR_Y-2,1,1),'Fund History'!$G$494:$G$498,"&lt;="&amp;DATE(YEAR_Y-2,12,31))=0,"",SUMIFS('Fund History'!$H$494:$H$498,'Fund History'!$G$494:$G$498,"&gt;="&amp;DATE(YEAR_Y-2,1,1),'Fund History'!$G$494:$G$498,"&lt;="&amp;DATE(YEAR_Y-2,12,31))/100)))</f>
        <v/>
      </c>
      <c r="AF93" s="73">
        <f>IF($C93="","",IF(PULL_FUND="N","",IF(COUNTIFS('Fund History'!$G$494:$G$498,"&gt;="&amp;DATE(YEAR_Y-1,1,1),'Fund History'!$G$494:$G$498,"&lt;="&amp;DATE(YEAR_Y-1,12,31))=0,"",SUMIFS('Fund History'!$H$494:$H$498,'Fund History'!$G$494:$G$498,"&gt;="&amp;DATE(YEAR_Y-1,1,1),'Fund History'!$G$494:$G$498,"&lt;="&amp;DATE(YEAR_Y-1,12,31))/100)))</f>
        <v/>
      </c>
      <c r="AG93" s="74">
        <f>IF($C93="","",IF(N($AF93)+N(HSI!$I$88)=0,"",N($AF93)+N(HSI!$I$88)/100))</f>
        <v/>
      </c>
      <c r="AH93" s="66">
        <f>IF($C93="","",IF(PULL_FUND="N","",IF(COUNTIFS('Fund History'!$D$494:$D$498,"&gt;="&amp;DATE(YEAR_Y-2,1,1),'Fund History'!$D$494:$D$498,"&lt;="&amp;DATE(YEAR_Y-2,12,31))=0,"",SUMIFS('Fund History'!$E$494:$E$498,'Fund History'!$D$494:$D$498,"&gt;="&amp;DATE(YEAR_Y-2,1,1),'Fund History'!$D$494:$D$498,"&lt;="&amp;DATE(YEAR_Y-2,12,31)))))</f>
        <v/>
      </c>
      <c r="AI93" s="67">
        <f>IF($C93="","",IF(PULL_FUND="N","",IF(COUNTIFS('Fund History'!$D$494:$D$498,"&gt;="&amp;DATE(YEAR_Y-1,1,1),'Fund History'!$D$494:$D$498,"&lt;="&amp;DATE(YEAR_Y-1,12,31))=0,"",SUMIFS('Fund History'!$E$494:$E$498,'Fund History'!$D$494:$D$498,"&gt;="&amp;DATE(YEAR_Y-1,1,1),'Fund History'!$D$494:$D$498,"&lt;="&amp;DATE(YEAR_Y-1,12,31)))))</f>
        <v/>
      </c>
      <c r="AJ93" s="67">
        <f>IF($C93="","",IF(PULL_FUND="N","",IFERROR(BDP($C93,NDEBITDA_FIELD),"")))</f>
        <v/>
      </c>
      <c r="AK93" s="75">
        <f>IF($C93="","",IF(PULL_FUND="N","",IFERROR(BDP($C93,EBINT_FIELD),"")))</f>
        <v/>
      </c>
      <c r="AL93" s="73">
        <f>IF($C93="","",IF(PULL_FUND="N","",IFERROR(BDP($C93,FCF_FIELD)/100,"")))</f>
        <v/>
      </c>
      <c r="AM93" s="76">
        <f>IF($C93="","",IF(ISNUMBER(HSI!$I$88),HSI!$I$88/100,""))</f>
        <v/>
      </c>
      <c r="AN93" s="47">
        <f>IF($C93="","",IF(N($AM93)=0,"",IFERROR($AL93/$AM93,"")))</f>
        <v/>
      </c>
      <c r="AO93" s="33">
        <f>IF($C93="","",IF(ISNUMBER($S93)*ISNUMBER($W93)=0,"",IF($W93&gt;$S93+0.05,"rising",IF($W93&lt;$S93-0.05,"falling","stable"))))</f>
        <v/>
      </c>
      <c r="AP93" s="77">
        <f>IF($C93="","",TRIM(IF(ISNUMBER($X93)*(N($X93)&gt;$D$4)&gt;0,"payout high  ","")&amp;IF(ISNUMBER($AN93)*(N($AN93)&lt;$F$4)&gt;0,"FCF below dvd  ","")&amp;IF(ISNUMBER($AJ93)*(N($AJ93)&gt;$H$4)&gt;0,"leverage high","")))</f>
        <v/>
      </c>
      <c r="AQ93" s="78">
        <f>IF($C93="","",IF(HSI!$F$88="HKD","",HSI!$F$88))</f>
        <v/>
      </c>
    </row>
    <row r="94">
      <c r="B94" s="62" t="inlineStr">
        <is>
          <t>HSI</t>
        </is>
      </c>
      <c r="C94" s="6">
        <f>IF(HSI!$C$89="","",HSI!$C$89)</f>
        <v/>
      </c>
      <c r="D94" s="6">
        <f>IF($C94="","",HSI!$D$89)</f>
        <v/>
      </c>
      <c r="E94" s="6">
        <f>IF($C94="","",HSI!$E$89)</f>
        <v/>
      </c>
      <c r="F94" s="63">
        <f>IF($C94="","",SUMPRODUCT(('Dvd Calendar'!$E$913:$AR$913&gt;=DATE(YEAR_Y-5,1,1))*('Dvd Calendar'!$E$913:$AR$913&lt;=DATE(YEAR_Y-5,12,31))*'Dvd Calendar'!$E$916:$AR$916*(('Dvd Calendar'!$E$918:$AR$918=TYPE1)*(TYPE1&lt;&gt;"")+('Dvd Calendar'!$E$918:$AR$918=TYPE2)*(TYPE2&lt;&gt;"")+('Dvd Calendar'!$E$918:$AR$918=TYPE3)*(TYPE3&lt;&gt;"")+('Dvd Calendar'!$E$918:$AR$918=TYPE4)*(TYPE4&lt;&gt;"")+('Dvd Calendar'!$E$918:$AR$918=SPECIAL_LBL)*(INC_SPECIALS="Y"))))</f>
        <v/>
      </c>
      <c r="G94" s="64">
        <f>IF($C94="","",SUMPRODUCT(('Dvd Calendar'!$E$913:$AR$913&gt;=DATE(YEAR_Y-4,1,1))*('Dvd Calendar'!$E$913:$AR$913&lt;=DATE(YEAR_Y-4,12,31))*'Dvd Calendar'!$E$916:$AR$916*(('Dvd Calendar'!$E$918:$AR$918=TYPE1)*(TYPE1&lt;&gt;"")+('Dvd Calendar'!$E$918:$AR$918=TYPE2)*(TYPE2&lt;&gt;"")+('Dvd Calendar'!$E$918:$AR$918=TYPE3)*(TYPE3&lt;&gt;"")+('Dvd Calendar'!$E$918:$AR$918=TYPE4)*(TYPE4&lt;&gt;"")+('Dvd Calendar'!$E$918:$AR$918=SPECIAL_LBL)*(INC_SPECIALS="Y"))))</f>
        <v/>
      </c>
      <c r="H94" s="64">
        <f>IF($C94="","",SUMPRODUCT(('Dvd Calendar'!$E$913:$AR$913&gt;=DATE(YEAR_Y-3,1,1))*('Dvd Calendar'!$E$913:$AR$913&lt;=DATE(YEAR_Y-3,12,31))*'Dvd Calendar'!$E$916:$AR$916*(('Dvd Calendar'!$E$918:$AR$918=TYPE1)*(TYPE1&lt;&gt;"")+('Dvd Calendar'!$E$918:$AR$918=TYPE2)*(TYPE2&lt;&gt;"")+('Dvd Calendar'!$E$918:$AR$918=TYPE3)*(TYPE3&lt;&gt;"")+('Dvd Calendar'!$E$918:$AR$918=TYPE4)*(TYPE4&lt;&gt;"")+('Dvd Calendar'!$E$918:$AR$918=SPECIAL_LBL)*(INC_SPECIALS="Y"))))</f>
        <v/>
      </c>
      <c r="I94" s="64">
        <f>IF($C94="","",SUMPRODUCT(('Dvd Calendar'!$E$913:$AR$913&gt;=DATE(YEAR_Y-2,1,1))*('Dvd Calendar'!$E$913:$AR$913&lt;=DATE(YEAR_Y-2,12,31))*'Dvd Calendar'!$E$916:$AR$916*(('Dvd Calendar'!$E$918:$AR$918=TYPE1)*(TYPE1&lt;&gt;"")+('Dvd Calendar'!$E$918:$AR$918=TYPE2)*(TYPE2&lt;&gt;"")+('Dvd Calendar'!$E$918:$AR$918=TYPE3)*(TYPE3&lt;&gt;"")+('Dvd Calendar'!$E$918:$AR$918=TYPE4)*(TYPE4&lt;&gt;"")+('Dvd Calendar'!$E$918:$AR$918=SPECIAL_LBL)*(INC_SPECIALS="Y"))))</f>
        <v/>
      </c>
      <c r="J94" s="64">
        <f>IF($C94="","",SUMPRODUCT(('Dvd Calendar'!$E$913:$AR$913&gt;=DATE(YEAR_Y-1,1,1))*('Dvd Calendar'!$E$913:$AR$913&lt;=DATE(YEAR_Y-1,12,31))*'Dvd Calendar'!$E$916:$AR$916*(('Dvd Calendar'!$E$918:$AR$918=TYPE1)*(TYPE1&lt;&gt;"")+('Dvd Calendar'!$E$918:$AR$918=TYPE2)*(TYPE2&lt;&gt;"")+('Dvd Calendar'!$E$918:$AR$918=TYPE3)*(TYPE3&lt;&gt;"")+('Dvd Calendar'!$E$918:$AR$918=TYPE4)*(TYPE4&lt;&gt;"")+('Dvd Calendar'!$E$918:$AR$918=SPECIAL_LBL)*(INC_SPECIALS="Y"))))</f>
        <v/>
      </c>
      <c r="K94" s="65">
        <f>IF($C94="","",HSI!$J$89)</f>
        <v/>
      </c>
      <c r="L94" s="65">
        <f>IF($C94="","",HSI!$K$89)</f>
        <v/>
      </c>
      <c r="M94" s="41">
        <f>IF($C94="","",AVERAGE(F94:J94))</f>
        <v/>
      </c>
      <c r="N94" s="66">
        <f>IF($C94="","",IF(PULL_FUND="N","",IFERROR(BDP($C94,EPS_FIELD,YR_OVERRIDE,TEXT(YEAR_Y-5,"0")),"")))</f>
        <v/>
      </c>
      <c r="O94" s="67">
        <f>IF($C94="","",IF(PULL_FUND="N","",IFERROR(BDP($C94,EPS_FIELD,YR_OVERRIDE,TEXT(YEAR_Y-4,"0")),"")))</f>
        <v/>
      </c>
      <c r="P94" s="67">
        <f>IF($C94="","",IF(PULL_FUND="N","",IFERROR(BDP($C94,EPS_FIELD,YR_OVERRIDE,TEXT(YEAR_Y-3,"0")),"")))</f>
        <v/>
      </c>
      <c r="Q94" s="67">
        <f>IF($C94="","",IF(PULL_FUND="N","",IFERROR(BDP($C94,EPS_FIELD,YR_OVERRIDE,TEXT(YEAR_Y-2,"0")),"")))</f>
        <v/>
      </c>
      <c r="R94" s="67">
        <f>IF($C94="","",IF(PULL_FUND="N","",IFERROR(BDP($C94,EPS_FIELD,YR_OVERRIDE,TEXT(YEAR_Y-1,"0")),"")))</f>
        <v/>
      </c>
      <c r="S94" s="68">
        <f>IF($C94="","",IF(PULL_FUND="N","",IFERROR(BDP($C94,PAYOUT_FIELD,YR_OVERRIDE,TEXT(YEAR_Y-5,"0"))/100,"")))</f>
        <v/>
      </c>
      <c r="T94" s="68">
        <f>IF($C94="","",IF(PULL_FUND="N","",IFERROR(BDP($C94,PAYOUT_FIELD,YR_OVERRIDE,TEXT(YEAR_Y-4,"0"))/100,"")))</f>
        <v/>
      </c>
      <c r="U94" s="68">
        <f>IF($C94="","",IF(PULL_FUND="N","",IFERROR(BDP($C94,PAYOUT_FIELD,YR_OVERRIDE,TEXT(YEAR_Y-3,"0"))/100,"")))</f>
        <v/>
      </c>
      <c r="V94" s="68">
        <f>IF($C94="","",IF(PULL_FUND="N","",IFERROR(BDP($C94,PAYOUT_FIELD,YR_OVERRIDE,TEXT(YEAR_Y-2,"0"))/100,"")))</f>
        <v/>
      </c>
      <c r="W94" s="68">
        <f>IF($C94="","",IF(PULL_FUND="N","",IFERROR(BDP($C94,PAYOUT_FIELD,YR_OVERRIDE,TEXT(YEAR_Y-1,"0"))/100,"")))</f>
        <v/>
      </c>
      <c r="X94" s="69">
        <f>IF($C94="","",IFERROR(AVERAGE(S94:W94),""))</f>
        <v/>
      </c>
      <c r="Y94" s="66">
        <f>IF($C94="","",IF(PULL_FUND="N","",IFERROR(BDP($C94,BESTEPS_FIELD,FWD_OVERRIDE,TEXT(MOD(YEAR_Y,100),"00")&amp;"Y"),"")))</f>
        <v/>
      </c>
      <c r="Z94" s="70">
        <f>IF($C94="","",IF(PULL_FUND="N","",IFERROR(BDP($C94,BESTDPS_FIELD,FWD_OVERRIDE,TEXT(MOD(YEAR_Y,100),"00")&amp;"Y"),"")))</f>
        <v/>
      </c>
      <c r="AA94" s="71">
        <f>IF($C94="","",IF(ISNUMBER($Y94)*ISNUMBER($Z94)*($Y94&lt;&gt;0)=0,"",$Z94/$Y94))</f>
        <v/>
      </c>
      <c r="AB94" s="41">
        <f>IF($C94="","",HSI!$J$89+HSI!$L$89)</f>
        <v/>
      </c>
      <c r="AC94" s="72">
        <f>IF($C94="","",IF(PULL_FUND="N","",IF(COUNTIFS('Fund History'!$G$500:$G$504,"&gt;="&amp;DATE(YEAR_Y-4,1,1),'Fund History'!$G$500:$G$504,"&lt;="&amp;DATE(YEAR_Y-4,12,31))=0,"",SUMIFS('Fund History'!$H$500:$H$504,'Fund History'!$G$500:$G$504,"&gt;="&amp;DATE(YEAR_Y-4,1,1),'Fund History'!$G$500:$G$504,"&lt;="&amp;DATE(YEAR_Y-4,12,31))/100)))</f>
        <v/>
      </c>
      <c r="AD94" s="73">
        <f>IF($C94="","",IF(PULL_FUND="N","",IF(COUNTIFS('Fund History'!$G$500:$G$504,"&gt;="&amp;DATE(YEAR_Y-3,1,1),'Fund History'!$G$500:$G$504,"&lt;="&amp;DATE(YEAR_Y-3,12,31))=0,"",SUMIFS('Fund History'!$H$500:$H$504,'Fund History'!$G$500:$G$504,"&gt;="&amp;DATE(YEAR_Y-3,1,1),'Fund History'!$G$500:$G$504,"&lt;="&amp;DATE(YEAR_Y-3,12,31))/100)))</f>
        <v/>
      </c>
      <c r="AE94" s="73">
        <f>IF($C94="","",IF(PULL_FUND="N","",IF(COUNTIFS('Fund History'!$G$500:$G$504,"&gt;="&amp;DATE(YEAR_Y-2,1,1),'Fund History'!$G$500:$G$504,"&lt;="&amp;DATE(YEAR_Y-2,12,31))=0,"",SUMIFS('Fund History'!$H$500:$H$504,'Fund History'!$G$500:$G$504,"&gt;="&amp;DATE(YEAR_Y-2,1,1),'Fund History'!$G$500:$G$504,"&lt;="&amp;DATE(YEAR_Y-2,12,31))/100)))</f>
        <v/>
      </c>
      <c r="AF94" s="73">
        <f>IF($C94="","",IF(PULL_FUND="N","",IF(COUNTIFS('Fund History'!$G$500:$G$504,"&gt;="&amp;DATE(YEAR_Y-1,1,1),'Fund History'!$G$500:$G$504,"&lt;="&amp;DATE(YEAR_Y-1,12,31))=0,"",SUMIFS('Fund History'!$H$500:$H$504,'Fund History'!$G$500:$G$504,"&gt;="&amp;DATE(YEAR_Y-1,1,1),'Fund History'!$G$500:$G$504,"&lt;="&amp;DATE(YEAR_Y-1,12,31))/100)))</f>
        <v/>
      </c>
      <c r="AG94" s="74">
        <f>IF($C94="","",IF(N($AF94)+N(HSI!$I$89)=0,"",N($AF94)+N(HSI!$I$89)/100))</f>
        <v/>
      </c>
      <c r="AH94" s="66">
        <f>IF($C94="","",IF(PULL_FUND="N","",IF(COUNTIFS('Fund History'!$D$500:$D$504,"&gt;="&amp;DATE(YEAR_Y-2,1,1),'Fund History'!$D$500:$D$504,"&lt;="&amp;DATE(YEAR_Y-2,12,31))=0,"",SUMIFS('Fund History'!$E$500:$E$504,'Fund History'!$D$500:$D$504,"&gt;="&amp;DATE(YEAR_Y-2,1,1),'Fund History'!$D$500:$D$504,"&lt;="&amp;DATE(YEAR_Y-2,12,31)))))</f>
        <v/>
      </c>
      <c r="AI94" s="67">
        <f>IF($C94="","",IF(PULL_FUND="N","",IF(COUNTIFS('Fund History'!$D$500:$D$504,"&gt;="&amp;DATE(YEAR_Y-1,1,1),'Fund History'!$D$500:$D$504,"&lt;="&amp;DATE(YEAR_Y-1,12,31))=0,"",SUMIFS('Fund History'!$E$500:$E$504,'Fund History'!$D$500:$D$504,"&gt;="&amp;DATE(YEAR_Y-1,1,1),'Fund History'!$D$500:$D$504,"&lt;="&amp;DATE(YEAR_Y-1,12,31)))))</f>
        <v/>
      </c>
      <c r="AJ94" s="67">
        <f>IF($C94="","",IF(PULL_FUND="N","",IFERROR(BDP($C94,NDEBITDA_FIELD),"")))</f>
        <v/>
      </c>
      <c r="AK94" s="75">
        <f>IF($C94="","",IF(PULL_FUND="N","",IFERROR(BDP($C94,EBINT_FIELD),"")))</f>
        <v/>
      </c>
      <c r="AL94" s="73">
        <f>IF($C94="","",IF(PULL_FUND="N","",IFERROR(BDP($C94,FCF_FIELD)/100,"")))</f>
        <v/>
      </c>
      <c r="AM94" s="76">
        <f>IF($C94="","",IF(ISNUMBER(HSI!$I$89),HSI!$I$89/100,""))</f>
        <v/>
      </c>
      <c r="AN94" s="47">
        <f>IF($C94="","",IF(N($AM94)=0,"",IFERROR($AL94/$AM94,"")))</f>
        <v/>
      </c>
      <c r="AO94" s="33">
        <f>IF($C94="","",IF(ISNUMBER($S94)*ISNUMBER($W94)=0,"",IF($W94&gt;$S94+0.05,"rising",IF($W94&lt;$S94-0.05,"falling","stable"))))</f>
        <v/>
      </c>
      <c r="AP94" s="77">
        <f>IF($C94="","",TRIM(IF(ISNUMBER($X94)*(N($X94)&gt;$D$4)&gt;0,"payout high  ","")&amp;IF(ISNUMBER($AN94)*(N($AN94)&lt;$F$4)&gt;0,"FCF below dvd  ","")&amp;IF(ISNUMBER($AJ94)*(N($AJ94)&gt;$H$4)&gt;0,"leverage high","")))</f>
        <v/>
      </c>
      <c r="AQ94" s="78">
        <f>IF($C94="","",IF(HSI!$F$89="HKD","",HSI!$F$89))</f>
        <v/>
      </c>
    </row>
    <row r="95">
      <c r="B95" s="62" t="inlineStr">
        <is>
          <t>HSI</t>
        </is>
      </c>
      <c r="C95" s="6">
        <f>IF(HSI!$C$90="","",HSI!$C$90)</f>
        <v/>
      </c>
      <c r="D95" s="6">
        <f>IF($C95="","",HSI!$D$90)</f>
        <v/>
      </c>
      <c r="E95" s="6">
        <f>IF($C95="","",HSI!$E$90)</f>
        <v/>
      </c>
      <c r="F95" s="63">
        <f>IF($C95="","",SUMPRODUCT(('Dvd Calendar'!$E$924:$AR$924&gt;=DATE(YEAR_Y-5,1,1))*('Dvd Calendar'!$E$924:$AR$924&lt;=DATE(YEAR_Y-5,12,31))*'Dvd Calendar'!$E$927:$AR$927*(('Dvd Calendar'!$E$929:$AR$929=TYPE1)*(TYPE1&lt;&gt;"")+('Dvd Calendar'!$E$929:$AR$929=TYPE2)*(TYPE2&lt;&gt;"")+('Dvd Calendar'!$E$929:$AR$929=TYPE3)*(TYPE3&lt;&gt;"")+('Dvd Calendar'!$E$929:$AR$929=TYPE4)*(TYPE4&lt;&gt;"")+('Dvd Calendar'!$E$929:$AR$929=SPECIAL_LBL)*(INC_SPECIALS="Y"))))</f>
        <v/>
      </c>
      <c r="G95" s="64">
        <f>IF($C95="","",SUMPRODUCT(('Dvd Calendar'!$E$924:$AR$924&gt;=DATE(YEAR_Y-4,1,1))*('Dvd Calendar'!$E$924:$AR$924&lt;=DATE(YEAR_Y-4,12,31))*'Dvd Calendar'!$E$927:$AR$927*(('Dvd Calendar'!$E$929:$AR$929=TYPE1)*(TYPE1&lt;&gt;"")+('Dvd Calendar'!$E$929:$AR$929=TYPE2)*(TYPE2&lt;&gt;"")+('Dvd Calendar'!$E$929:$AR$929=TYPE3)*(TYPE3&lt;&gt;"")+('Dvd Calendar'!$E$929:$AR$929=TYPE4)*(TYPE4&lt;&gt;"")+('Dvd Calendar'!$E$929:$AR$929=SPECIAL_LBL)*(INC_SPECIALS="Y"))))</f>
        <v/>
      </c>
      <c r="H95" s="64">
        <f>IF($C95="","",SUMPRODUCT(('Dvd Calendar'!$E$924:$AR$924&gt;=DATE(YEAR_Y-3,1,1))*('Dvd Calendar'!$E$924:$AR$924&lt;=DATE(YEAR_Y-3,12,31))*'Dvd Calendar'!$E$927:$AR$927*(('Dvd Calendar'!$E$929:$AR$929=TYPE1)*(TYPE1&lt;&gt;"")+('Dvd Calendar'!$E$929:$AR$929=TYPE2)*(TYPE2&lt;&gt;"")+('Dvd Calendar'!$E$929:$AR$929=TYPE3)*(TYPE3&lt;&gt;"")+('Dvd Calendar'!$E$929:$AR$929=TYPE4)*(TYPE4&lt;&gt;"")+('Dvd Calendar'!$E$929:$AR$929=SPECIAL_LBL)*(INC_SPECIALS="Y"))))</f>
        <v/>
      </c>
      <c r="I95" s="64">
        <f>IF($C95="","",SUMPRODUCT(('Dvd Calendar'!$E$924:$AR$924&gt;=DATE(YEAR_Y-2,1,1))*('Dvd Calendar'!$E$924:$AR$924&lt;=DATE(YEAR_Y-2,12,31))*'Dvd Calendar'!$E$927:$AR$927*(('Dvd Calendar'!$E$929:$AR$929=TYPE1)*(TYPE1&lt;&gt;"")+('Dvd Calendar'!$E$929:$AR$929=TYPE2)*(TYPE2&lt;&gt;"")+('Dvd Calendar'!$E$929:$AR$929=TYPE3)*(TYPE3&lt;&gt;"")+('Dvd Calendar'!$E$929:$AR$929=TYPE4)*(TYPE4&lt;&gt;"")+('Dvd Calendar'!$E$929:$AR$929=SPECIAL_LBL)*(INC_SPECIALS="Y"))))</f>
        <v/>
      </c>
      <c r="J95" s="64">
        <f>IF($C95="","",SUMPRODUCT(('Dvd Calendar'!$E$924:$AR$924&gt;=DATE(YEAR_Y-1,1,1))*('Dvd Calendar'!$E$924:$AR$924&lt;=DATE(YEAR_Y-1,12,31))*'Dvd Calendar'!$E$927:$AR$927*(('Dvd Calendar'!$E$929:$AR$929=TYPE1)*(TYPE1&lt;&gt;"")+('Dvd Calendar'!$E$929:$AR$929=TYPE2)*(TYPE2&lt;&gt;"")+('Dvd Calendar'!$E$929:$AR$929=TYPE3)*(TYPE3&lt;&gt;"")+('Dvd Calendar'!$E$929:$AR$929=TYPE4)*(TYPE4&lt;&gt;"")+('Dvd Calendar'!$E$929:$AR$929=SPECIAL_LBL)*(INC_SPECIALS="Y"))))</f>
        <v/>
      </c>
      <c r="K95" s="65">
        <f>IF($C95="","",HSI!$J$90)</f>
        <v/>
      </c>
      <c r="L95" s="65">
        <f>IF($C95="","",HSI!$K$90)</f>
        <v/>
      </c>
      <c r="M95" s="41">
        <f>IF($C95="","",AVERAGE(F95:J95))</f>
        <v/>
      </c>
      <c r="N95" s="66">
        <f>IF($C95="","",IF(PULL_FUND="N","",IFERROR(BDP($C95,EPS_FIELD,YR_OVERRIDE,TEXT(YEAR_Y-5,"0")),"")))</f>
        <v/>
      </c>
      <c r="O95" s="67">
        <f>IF($C95="","",IF(PULL_FUND="N","",IFERROR(BDP($C95,EPS_FIELD,YR_OVERRIDE,TEXT(YEAR_Y-4,"0")),"")))</f>
        <v/>
      </c>
      <c r="P95" s="67">
        <f>IF($C95="","",IF(PULL_FUND="N","",IFERROR(BDP($C95,EPS_FIELD,YR_OVERRIDE,TEXT(YEAR_Y-3,"0")),"")))</f>
        <v/>
      </c>
      <c r="Q95" s="67">
        <f>IF($C95="","",IF(PULL_FUND="N","",IFERROR(BDP($C95,EPS_FIELD,YR_OVERRIDE,TEXT(YEAR_Y-2,"0")),"")))</f>
        <v/>
      </c>
      <c r="R95" s="67">
        <f>IF($C95="","",IF(PULL_FUND="N","",IFERROR(BDP($C95,EPS_FIELD,YR_OVERRIDE,TEXT(YEAR_Y-1,"0")),"")))</f>
        <v/>
      </c>
      <c r="S95" s="68">
        <f>IF($C95="","",IF(PULL_FUND="N","",IFERROR(BDP($C95,PAYOUT_FIELD,YR_OVERRIDE,TEXT(YEAR_Y-5,"0"))/100,"")))</f>
        <v/>
      </c>
      <c r="T95" s="68">
        <f>IF($C95="","",IF(PULL_FUND="N","",IFERROR(BDP($C95,PAYOUT_FIELD,YR_OVERRIDE,TEXT(YEAR_Y-4,"0"))/100,"")))</f>
        <v/>
      </c>
      <c r="U95" s="68">
        <f>IF($C95="","",IF(PULL_FUND="N","",IFERROR(BDP($C95,PAYOUT_FIELD,YR_OVERRIDE,TEXT(YEAR_Y-3,"0"))/100,"")))</f>
        <v/>
      </c>
      <c r="V95" s="68">
        <f>IF($C95="","",IF(PULL_FUND="N","",IFERROR(BDP($C95,PAYOUT_FIELD,YR_OVERRIDE,TEXT(YEAR_Y-2,"0"))/100,"")))</f>
        <v/>
      </c>
      <c r="W95" s="68">
        <f>IF($C95="","",IF(PULL_FUND="N","",IFERROR(BDP($C95,PAYOUT_FIELD,YR_OVERRIDE,TEXT(YEAR_Y-1,"0"))/100,"")))</f>
        <v/>
      </c>
      <c r="X95" s="69">
        <f>IF($C95="","",IFERROR(AVERAGE(S95:W95),""))</f>
        <v/>
      </c>
      <c r="Y95" s="66">
        <f>IF($C95="","",IF(PULL_FUND="N","",IFERROR(BDP($C95,BESTEPS_FIELD,FWD_OVERRIDE,TEXT(MOD(YEAR_Y,100),"00")&amp;"Y"),"")))</f>
        <v/>
      </c>
      <c r="Z95" s="70">
        <f>IF($C95="","",IF(PULL_FUND="N","",IFERROR(BDP($C95,BESTDPS_FIELD,FWD_OVERRIDE,TEXT(MOD(YEAR_Y,100),"00")&amp;"Y"),"")))</f>
        <v/>
      </c>
      <c r="AA95" s="71">
        <f>IF($C95="","",IF(ISNUMBER($Y95)*ISNUMBER($Z95)*($Y95&lt;&gt;0)=0,"",$Z95/$Y95))</f>
        <v/>
      </c>
      <c r="AB95" s="41">
        <f>IF($C95="","",HSI!$J$90+HSI!$L$90)</f>
        <v/>
      </c>
      <c r="AC95" s="72">
        <f>IF($C95="","",IF(PULL_FUND="N","",IF(COUNTIFS('Fund History'!$G$506:$G$510,"&gt;="&amp;DATE(YEAR_Y-4,1,1),'Fund History'!$G$506:$G$510,"&lt;="&amp;DATE(YEAR_Y-4,12,31))=0,"",SUMIFS('Fund History'!$H$506:$H$510,'Fund History'!$G$506:$G$510,"&gt;="&amp;DATE(YEAR_Y-4,1,1),'Fund History'!$G$506:$G$510,"&lt;="&amp;DATE(YEAR_Y-4,12,31))/100)))</f>
        <v/>
      </c>
      <c r="AD95" s="73">
        <f>IF($C95="","",IF(PULL_FUND="N","",IF(COUNTIFS('Fund History'!$G$506:$G$510,"&gt;="&amp;DATE(YEAR_Y-3,1,1),'Fund History'!$G$506:$G$510,"&lt;="&amp;DATE(YEAR_Y-3,12,31))=0,"",SUMIFS('Fund History'!$H$506:$H$510,'Fund History'!$G$506:$G$510,"&gt;="&amp;DATE(YEAR_Y-3,1,1),'Fund History'!$G$506:$G$510,"&lt;="&amp;DATE(YEAR_Y-3,12,31))/100)))</f>
        <v/>
      </c>
      <c r="AE95" s="73">
        <f>IF($C95="","",IF(PULL_FUND="N","",IF(COUNTIFS('Fund History'!$G$506:$G$510,"&gt;="&amp;DATE(YEAR_Y-2,1,1),'Fund History'!$G$506:$G$510,"&lt;="&amp;DATE(YEAR_Y-2,12,31))=0,"",SUMIFS('Fund History'!$H$506:$H$510,'Fund History'!$G$506:$G$510,"&gt;="&amp;DATE(YEAR_Y-2,1,1),'Fund History'!$G$506:$G$510,"&lt;="&amp;DATE(YEAR_Y-2,12,31))/100)))</f>
        <v/>
      </c>
      <c r="AF95" s="73">
        <f>IF($C95="","",IF(PULL_FUND="N","",IF(COUNTIFS('Fund History'!$G$506:$G$510,"&gt;="&amp;DATE(YEAR_Y-1,1,1),'Fund History'!$G$506:$G$510,"&lt;="&amp;DATE(YEAR_Y-1,12,31))=0,"",SUMIFS('Fund History'!$H$506:$H$510,'Fund History'!$G$506:$G$510,"&gt;="&amp;DATE(YEAR_Y-1,1,1),'Fund History'!$G$506:$G$510,"&lt;="&amp;DATE(YEAR_Y-1,12,31))/100)))</f>
        <v/>
      </c>
      <c r="AG95" s="74">
        <f>IF($C95="","",IF(N($AF95)+N(HSI!$I$90)=0,"",N($AF95)+N(HSI!$I$90)/100))</f>
        <v/>
      </c>
      <c r="AH95" s="66">
        <f>IF($C95="","",IF(PULL_FUND="N","",IF(COUNTIFS('Fund History'!$D$506:$D$510,"&gt;="&amp;DATE(YEAR_Y-2,1,1),'Fund History'!$D$506:$D$510,"&lt;="&amp;DATE(YEAR_Y-2,12,31))=0,"",SUMIFS('Fund History'!$E$506:$E$510,'Fund History'!$D$506:$D$510,"&gt;="&amp;DATE(YEAR_Y-2,1,1),'Fund History'!$D$506:$D$510,"&lt;="&amp;DATE(YEAR_Y-2,12,31)))))</f>
        <v/>
      </c>
      <c r="AI95" s="67">
        <f>IF($C95="","",IF(PULL_FUND="N","",IF(COUNTIFS('Fund History'!$D$506:$D$510,"&gt;="&amp;DATE(YEAR_Y-1,1,1),'Fund History'!$D$506:$D$510,"&lt;="&amp;DATE(YEAR_Y-1,12,31))=0,"",SUMIFS('Fund History'!$E$506:$E$510,'Fund History'!$D$506:$D$510,"&gt;="&amp;DATE(YEAR_Y-1,1,1),'Fund History'!$D$506:$D$510,"&lt;="&amp;DATE(YEAR_Y-1,12,31)))))</f>
        <v/>
      </c>
      <c r="AJ95" s="67">
        <f>IF($C95="","",IF(PULL_FUND="N","",IFERROR(BDP($C95,NDEBITDA_FIELD),"")))</f>
        <v/>
      </c>
      <c r="AK95" s="75">
        <f>IF($C95="","",IF(PULL_FUND="N","",IFERROR(BDP($C95,EBINT_FIELD),"")))</f>
        <v/>
      </c>
      <c r="AL95" s="73">
        <f>IF($C95="","",IF(PULL_FUND="N","",IFERROR(BDP($C95,FCF_FIELD)/100,"")))</f>
        <v/>
      </c>
      <c r="AM95" s="76">
        <f>IF($C95="","",IF(ISNUMBER(HSI!$I$90),HSI!$I$90/100,""))</f>
        <v/>
      </c>
      <c r="AN95" s="47">
        <f>IF($C95="","",IF(N($AM95)=0,"",IFERROR($AL95/$AM95,"")))</f>
        <v/>
      </c>
      <c r="AO95" s="33">
        <f>IF($C95="","",IF(ISNUMBER($S95)*ISNUMBER($W95)=0,"",IF($W95&gt;$S95+0.05,"rising",IF($W95&lt;$S95-0.05,"falling","stable"))))</f>
        <v/>
      </c>
      <c r="AP95" s="77">
        <f>IF($C95="","",TRIM(IF(ISNUMBER($X95)*(N($X95)&gt;$D$4)&gt;0,"payout high  ","")&amp;IF(ISNUMBER($AN95)*(N($AN95)&lt;$F$4)&gt;0,"FCF below dvd  ","")&amp;IF(ISNUMBER($AJ95)*(N($AJ95)&gt;$H$4)&gt;0,"leverage high","")))</f>
        <v/>
      </c>
      <c r="AQ95" s="78">
        <f>IF($C95="","",IF(HSI!$F$90="HKD","",HSI!$F$90))</f>
        <v/>
      </c>
    </row>
    <row r="96">
      <c r="B96" s="62" t="inlineStr">
        <is>
          <t>HSI</t>
        </is>
      </c>
      <c r="C96" s="6">
        <f>IF(HSI!$C$91="","",HSI!$C$91)</f>
        <v/>
      </c>
      <c r="D96" s="6">
        <f>IF($C96="","",HSI!$D$91)</f>
        <v/>
      </c>
      <c r="E96" s="6">
        <f>IF($C96="","",HSI!$E$91)</f>
        <v/>
      </c>
      <c r="F96" s="63">
        <f>IF($C96="","",SUMPRODUCT(('Dvd Calendar'!$E$935:$AR$935&gt;=DATE(YEAR_Y-5,1,1))*('Dvd Calendar'!$E$935:$AR$935&lt;=DATE(YEAR_Y-5,12,31))*'Dvd Calendar'!$E$938:$AR$938*(('Dvd Calendar'!$E$940:$AR$940=TYPE1)*(TYPE1&lt;&gt;"")+('Dvd Calendar'!$E$940:$AR$940=TYPE2)*(TYPE2&lt;&gt;"")+('Dvd Calendar'!$E$940:$AR$940=TYPE3)*(TYPE3&lt;&gt;"")+('Dvd Calendar'!$E$940:$AR$940=TYPE4)*(TYPE4&lt;&gt;"")+('Dvd Calendar'!$E$940:$AR$940=SPECIAL_LBL)*(INC_SPECIALS="Y"))))</f>
        <v/>
      </c>
      <c r="G96" s="64">
        <f>IF($C96="","",SUMPRODUCT(('Dvd Calendar'!$E$935:$AR$935&gt;=DATE(YEAR_Y-4,1,1))*('Dvd Calendar'!$E$935:$AR$935&lt;=DATE(YEAR_Y-4,12,31))*'Dvd Calendar'!$E$938:$AR$938*(('Dvd Calendar'!$E$940:$AR$940=TYPE1)*(TYPE1&lt;&gt;"")+('Dvd Calendar'!$E$940:$AR$940=TYPE2)*(TYPE2&lt;&gt;"")+('Dvd Calendar'!$E$940:$AR$940=TYPE3)*(TYPE3&lt;&gt;"")+('Dvd Calendar'!$E$940:$AR$940=TYPE4)*(TYPE4&lt;&gt;"")+('Dvd Calendar'!$E$940:$AR$940=SPECIAL_LBL)*(INC_SPECIALS="Y"))))</f>
        <v/>
      </c>
      <c r="H96" s="64">
        <f>IF($C96="","",SUMPRODUCT(('Dvd Calendar'!$E$935:$AR$935&gt;=DATE(YEAR_Y-3,1,1))*('Dvd Calendar'!$E$935:$AR$935&lt;=DATE(YEAR_Y-3,12,31))*'Dvd Calendar'!$E$938:$AR$938*(('Dvd Calendar'!$E$940:$AR$940=TYPE1)*(TYPE1&lt;&gt;"")+('Dvd Calendar'!$E$940:$AR$940=TYPE2)*(TYPE2&lt;&gt;"")+('Dvd Calendar'!$E$940:$AR$940=TYPE3)*(TYPE3&lt;&gt;"")+('Dvd Calendar'!$E$940:$AR$940=TYPE4)*(TYPE4&lt;&gt;"")+('Dvd Calendar'!$E$940:$AR$940=SPECIAL_LBL)*(INC_SPECIALS="Y"))))</f>
        <v/>
      </c>
      <c r="I96" s="64">
        <f>IF($C96="","",SUMPRODUCT(('Dvd Calendar'!$E$935:$AR$935&gt;=DATE(YEAR_Y-2,1,1))*('Dvd Calendar'!$E$935:$AR$935&lt;=DATE(YEAR_Y-2,12,31))*'Dvd Calendar'!$E$938:$AR$938*(('Dvd Calendar'!$E$940:$AR$940=TYPE1)*(TYPE1&lt;&gt;"")+('Dvd Calendar'!$E$940:$AR$940=TYPE2)*(TYPE2&lt;&gt;"")+('Dvd Calendar'!$E$940:$AR$940=TYPE3)*(TYPE3&lt;&gt;"")+('Dvd Calendar'!$E$940:$AR$940=TYPE4)*(TYPE4&lt;&gt;"")+('Dvd Calendar'!$E$940:$AR$940=SPECIAL_LBL)*(INC_SPECIALS="Y"))))</f>
        <v/>
      </c>
      <c r="J96" s="64">
        <f>IF($C96="","",SUMPRODUCT(('Dvd Calendar'!$E$935:$AR$935&gt;=DATE(YEAR_Y-1,1,1))*('Dvd Calendar'!$E$935:$AR$935&lt;=DATE(YEAR_Y-1,12,31))*'Dvd Calendar'!$E$938:$AR$938*(('Dvd Calendar'!$E$940:$AR$940=TYPE1)*(TYPE1&lt;&gt;"")+('Dvd Calendar'!$E$940:$AR$940=TYPE2)*(TYPE2&lt;&gt;"")+('Dvd Calendar'!$E$940:$AR$940=TYPE3)*(TYPE3&lt;&gt;"")+('Dvd Calendar'!$E$940:$AR$940=TYPE4)*(TYPE4&lt;&gt;"")+('Dvd Calendar'!$E$940:$AR$940=SPECIAL_LBL)*(INC_SPECIALS="Y"))))</f>
        <v/>
      </c>
      <c r="K96" s="65">
        <f>IF($C96="","",HSI!$J$91)</f>
        <v/>
      </c>
      <c r="L96" s="65">
        <f>IF($C96="","",HSI!$K$91)</f>
        <v/>
      </c>
      <c r="M96" s="41">
        <f>IF($C96="","",AVERAGE(F96:J96))</f>
        <v/>
      </c>
      <c r="N96" s="66">
        <f>IF($C96="","",IF(PULL_FUND="N","",IFERROR(BDP($C96,EPS_FIELD,YR_OVERRIDE,TEXT(YEAR_Y-5,"0")),"")))</f>
        <v/>
      </c>
      <c r="O96" s="67">
        <f>IF($C96="","",IF(PULL_FUND="N","",IFERROR(BDP($C96,EPS_FIELD,YR_OVERRIDE,TEXT(YEAR_Y-4,"0")),"")))</f>
        <v/>
      </c>
      <c r="P96" s="67">
        <f>IF($C96="","",IF(PULL_FUND="N","",IFERROR(BDP($C96,EPS_FIELD,YR_OVERRIDE,TEXT(YEAR_Y-3,"0")),"")))</f>
        <v/>
      </c>
      <c r="Q96" s="67">
        <f>IF($C96="","",IF(PULL_FUND="N","",IFERROR(BDP($C96,EPS_FIELD,YR_OVERRIDE,TEXT(YEAR_Y-2,"0")),"")))</f>
        <v/>
      </c>
      <c r="R96" s="67">
        <f>IF($C96="","",IF(PULL_FUND="N","",IFERROR(BDP($C96,EPS_FIELD,YR_OVERRIDE,TEXT(YEAR_Y-1,"0")),"")))</f>
        <v/>
      </c>
      <c r="S96" s="68">
        <f>IF($C96="","",IF(PULL_FUND="N","",IFERROR(BDP($C96,PAYOUT_FIELD,YR_OVERRIDE,TEXT(YEAR_Y-5,"0"))/100,"")))</f>
        <v/>
      </c>
      <c r="T96" s="68">
        <f>IF($C96="","",IF(PULL_FUND="N","",IFERROR(BDP($C96,PAYOUT_FIELD,YR_OVERRIDE,TEXT(YEAR_Y-4,"0"))/100,"")))</f>
        <v/>
      </c>
      <c r="U96" s="68">
        <f>IF($C96="","",IF(PULL_FUND="N","",IFERROR(BDP($C96,PAYOUT_FIELD,YR_OVERRIDE,TEXT(YEAR_Y-3,"0"))/100,"")))</f>
        <v/>
      </c>
      <c r="V96" s="68">
        <f>IF($C96="","",IF(PULL_FUND="N","",IFERROR(BDP($C96,PAYOUT_FIELD,YR_OVERRIDE,TEXT(YEAR_Y-2,"0"))/100,"")))</f>
        <v/>
      </c>
      <c r="W96" s="68">
        <f>IF($C96="","",IF(PULL_FUND="N","",IFERROR(BDP($C96,PAYOUT_FIELD,YR_OVERRIDE,TEXT(YEAR_Y-1,"0"))/100,"")))</f>
        <v/>
      </c>
      <c r="X96" s="69">
        <f>IF($C96="","",IFERROR(AVERAGE(S96:W96),""))</f>
        <v/>
      </c>
      <c r="Y96" s="66">
        <f>IF($C96="","",IF(PULL_FUND="N","",IFERROR(BDP($C96,BESTEPS_FIELD,FWD_OVERRIDE,TEXT(MOD(YEAR_Y,100),"00")&amp;"Y"),"")))</f>
        <v/>
      </c>
      <c r="Z96" s="70">
        <f>IF($C96="","",IF(PULL_FUND="N","",IFERROR(BDP($C96,BESTDPS_FIELD,FWD_OVERRIDE,TEXT(MOD(YEAR_Y,100),"00")&amp;"Y"),"")))</f>
        <v/>
      </c>
      <c r="AA96" s="71">
        <f>IF($C96="","",IF(ISNUMBER($Y96)*ISNUMBER($Z96)*($Y96&lt;&gt;0)=0,"",$Z96/$Y96))</f>
        <v/>
      </c>
      <c r="AB96" s="41">
        <f>IF($C96="","",HSI!$J$91+HSI!$L$91)</f>
        <v/>
      </c>
      <c r="AC96" s="72">
        <f>IF($C96="","",IF(PULL_FUND="N","",IF(COUNTIFS('Fund History'!$G$512:$G$516,"&gt;="&amp;DATE(YEAR_Y-4,1,1),'Fund History'!$G$512:$G$516,"&lt;="&amp;DATE(YEAR_Y-4,12,31))=0,"",SUMIFS('Fund History'!$H$512:$H$516,'Fund History'!$G$512:$G$516,"&gt;="&amp;DATE(YEAR_Y-4,1,1),'Fund History'!$G$512:$G$516,"&lt;="&amp;DATE(YEAR_Y-4,12,31))/100)))</f>
        <v/>
      </c>
      <c r="AD96" s="73">
        <f>IF($C96="","",IF(PULL_FUND="N","",IF(COUNTIFS('Fund History'!$G$512:$G$516,"&gt;="&amp;DATE(YEAR_Y-3,1,1),'Fund History'!$G$512:$G$516,"&lt;="&amp;DATE(YEAR_Y-3,12,31))=0,"",SUMIFS('Fund History'!$H$512:$H$516,'Fund History'!$G$512:$G$516,"&gt;="&amp;DATE(YEAR_Y-3,1,1),'Fund History'!$G$512:$G$516,"&lt;="&amp;DATE(YEAR_Y-3,12,31))/100)))</f>
        <v/>
      </c>
      <c r="AE96" s="73">
        <f>IF($C96="","",IF(PULL_FUND="N","",IF(COUNTIFS('Fund History'!$G$512:$G$516,"&gt;="&amp;DATE(YEAR_Y-2,1,1),'Fund History'!$G$512:$G$516,"&lt;="&amp;DATE(YEAR_Y-2,12,31))=0,"",SUMIFS('Fund History'!$H$512:$H$516,'Fund History'!$G$512:$G$516,"&gt;="&amp;DATE(YEAR_Y-2,1,1),'Fund History'!$G$512:$G$516,"&lt;="&amp;DATE(YEAR_Y-2,12,31))/100)))</f>
        <v/>
      </c>
      <c r="AF96" s="73">
        <f>IF($C96="","",IF(PULL_FUND="N","",IF(COUNTIFS('Fund History'!$G$512:$G$516,"&gt;="&amp;DATE(YEAR_Y-1,1,1),'Fund History'!$G$512:$G$516,"&lt;="&amp;DATE(YEAR_Y-1,12,31))=0,"",SUMIFS('Fund History'!$H$512:$H$516,'Fund History'!$G$512:$G$516,"&gt;="&amp;DATE(YEAR_Y-1,1,1),'Fund History'!$G$512:$G$516,"&lt;="&amp;DATE(YEAR_Y-1,12,31))/100)))</f>
        <v/>
      </c>
      <c r="AG96" s="74">
        <f>IF($C96="","",IF(N($AF96)+N(HSI!$I$91)=0,"",N($AF96)+N(HSI!$I$91)/100))</f>
        <v/>
      </c>
      <c r="AH96" s="66">
        <f>IF($C96="","",IF(PULL_FUND="N","",IF(COUNTIFS('Fund History'!$D$512:$D$516,"&gt;="&amp;DATE(YEAR_Y-2,1,1),'Fund History'!$D$512:$D$516,"&lt;="&amp;DATE(YEAR_Y-2,12,31))=0,"",SUMIFS('Fund History'!$E$512:$E$516,'Fund History'!$D$512:$D$516,"&gt;="&amp;DATE(YEAR_Y-2,1,1),'Fund History'!$D$512:$D$516,"&lt;="&amp;DATE(YEAR_Y-2,12,31)))))</f>
        <v/>
      </c>
      <c r="AI96" s="67">
        <f>IF($C96="","",IF(PULL_FUND="N","",IF(COUNTIFS('Fund History'!$D$512:$D$516,"&gt;="&amp;DATE(YEAR_Y-1,1,1),'Fund History'!$D$512:$D$516,"&lt;="&amp;DATE(YEAR_Y-1,12,31))=0,"",SUMIFS('Fund History'!$E$512:$E$516,'Fund History'!$D$512:$D$516,"&gt;="&amp;DATE(YEAR_Y-1,1,1),'Fund History'!$D$512:$D$516,"&lt;="&amp;DATE(YEAR_Y-1,12,31)))))</f>
        <v/>
      </c>
      <c r="AJ96" s="67">
        <f>IF($C96="","",IF(PULL_FUND="N","",IFERROR(BDP($C96,NDEBITDA_FIELD),"")))</f>
        <v/>
      </c>
      <c r="AK96" s="75">
        <f>IF($C96="","",IF(PULL_FUND="N","",IFERROR(BDP($C96,EBINT_FIELD),"")))</f>
        <v/>
      </c>
      <c r="AL96" s="73">
        <f>IF($C96="","",IF(PULL_FUND="N","",IFERROR(BDP($C96,FCF_FIELD)/100,"")))</f>
        <v/>
      </c>
      <c r="AM96" s="76">
        <f>IF($C96="","",IF(ISNUMBER(HSI!$I$91),HSI!$I$91/100,""))</f>
        <v/>
      </c>
      <c r="AN96" s="47">
        <f>IF($C96="","",IF(N($AM96)=0,"",IFERROR($AL96/$AM96,"")))</f>
        <v/>
      </c>
      <c r="AO96" s="33">
        <f>IF($C96="","",IF(ISNUMBER($S96)*ISNUMBER($W96)=0,"",IF($W96&gt;$S96+0.05,"rising",IF($W96&lt;$S96-0.05,"falling","stable"))))</f>
        <v/>
      </c>
      <c r="AP96" s="77">
        <f>IF($C96="","",TRIM(IF(ISNUMBER($X96)*(N($X96)&gt;$D$4)&gt;0,"payout high  ","")&amp;IF(ISNUMBER($AN96)*(N($AN96)&lt;$F$4)&gt;0,"FCF below dvd  ","")&amp;IF(ISNUMBER($AJ96)*(N($AJ96)&gt;$H$4)&gt;0,"leverage high","")))</f>
        <v/>
      </c>
      <c r="AQ96" s="78">
        <f>IF($C96="","",IF(HSI!$F$91="HKD","",HSI!$F$91))</f>
        <v/>
      </c>
    </row>
    <row r="97">
      <c r="B97" s="62" t="inlineStr">
        <is>
          <t>HSI</t>
        </is>
      </c>
      <c r="C97" s="6">
        <f>IF(HSI!$C$92="","",HSI!$C$92)</f>
        <v/>
      </c>
      <c r="D97" s="6">
        <f>IF($C97="","",HSI!$D$92)</f>
        <v/>
      </c>
      <c r="E97" s="6">
        <f>IF($C97="","",HSI!$E$92)</f>
        <v/>
      </c>
      <c r="F97" s="63">
        <f>IF($C97="","",SUMPRODUCT(('Dvd Calendar'!$E$946:$AR$946&gt;=DATE(YEAR_Y-5,1,1))*('Dvd Calendar'!$E$946:$AR$946&lt;=DATE(YEAR_Y-5,12,31))*'Dvd Calendar'!$E$949:$AR$949*(('Dvd Calendar'!$E$951:$AR$951=TYPE1)*(TYPE1&lt;&gt;"")+('Dvd Calendar'!$E$951:$AR$951=TYPE2)*(TYPE2&lt;&gt;"")+('Dvd Calendar'!$E$951:$AR$951=TYPE3)*(TYPE3&lt;&gt;"")+('Dvd Calendar'!$E$951:$AR$951=TYPE4)*(TYPE4&lt;&gt;"")+('Dvd Calendar'!$E$951:$AR$951=SPECIAL_LBL)*(INC_SPECIALS="Y"))))</f>
        <v/>
      </c>
      <c r="G97" s="64">
        <f>IF($C97="","",SUMPRODUCT(('Dvd Calendar'!$E$946:$AR$946&gt;=DATE(YEAR_Y-4,1,1))*('Dvd Calendar'!$E$946:$AR$946&lt;=DATE(YEAR_Y-4,12,31))*'Dvd Calendar'!$E$949:$AR$949*(('Dvd Calendar'!$E$951:$AR$951=TYPE1)*(TYPE1&lt;&gt;"")+('Dvd Calendar'!$E$951:$AR$951=TYPE2)*(TYPE2&lt;&gt;"")+('Dvd Calendar'!$E$951:$AR$951=TYPE3)*(TYPE3&lt;&gt;"")+('Dvd Calendar'!$E$951:$AR$951=TYPE4)*(TYPE4&lt;&gt;"")+('Dvd Calendar'!$E$951:$AR$951=SPECIAL_LBL)*(INC_SPECIALS="Y"))))</f>
        <v/>
      </c>
      <c r="H97" s="64">
        <f>IF($C97="","",SUMPRODUCT(('Dvd Calendar'!$E$946:$AR$946&gt;=DATE(YEAR_Y-3,1,1))*('Dvd Calendar'!$E$946:$AR$946&lt;=DATE(YEAR_Y-3,12,31))*'Dvd Calendar'!$E$949:$AR$949*(('Dvd Calendar'!$E$951:$AR$951=TYPE1)*(TYPE1&lt;&gt;"")+('Dvd Calendar'!$E$951:$AR$951=TYPE2)*(TYPE2&lt;&gt;"")+('Dvd Calendar'!$E$951:$AR$951=TYPE3)*(TYPE3&lt;&gt;"")+('Dvd Calendar'!$E$951:$AR$951=TYPE4)*(TYPE4&lt;&gt;"")+('Dvd Calendar'!$E$951:$AR$951=SPECIAL_LBL)*(INC_SPECIALS="Y"))))</f>
        <v/>
      </c>
      <c r="I97" s="64">
        <f>IF($C97="","",SUMPRODUCT(('Dvd Calendar'!$E$946:$AR$946&gt;=DATE(YEAR_Y-2,1,1))*('Dvd Calendar'!$E$946:$AR$946&lt;=DATE(YEAR_Y-2,12,31))*'Dvd Calendar'!$E$949:$AR$949*(('Dvd Calendar'!$E$951:$AR$951=TYPE1)*(TYPE1&lt;&gt;"")+('Dvd Calendar'!$E$951:$AR$951=TYPE2)*(TYPE2&lt;&gt;"")+('Dvd Calendar'!$E$951:$AR$951=TYPE3)*(TYPE3&lt;&gt;"")+('Dvd Calendar'!$E$951:$AR$951=TYPE4)*(TYPE4&lt;&gt;"")+('Dvd Calendar'!$E$951:$AR$951=SPECIAL_LBL)*(INC_SPECIALS="Y"))))</f>
        <v/>
      </c>
      <c r="J97" s="64">
        <f>IF($C97="","",SUMPRODUCT(('Dvd Calendar'!$E$946:$AR$946&gt;=DATE(YEAR_Y-1,1,1))*('Dvd Calendar'!$E$946:$AR$946&lt;=DATE(YEAR_Y-1,12,31))*'Dvd Calendar'!$E$949:$AR$949*(('Dvd Calendar'!$E$951:$AR$951=TYPE1)*(TYPE1&lt;&gt;"")+('Dvd Calendar'!$E$951:$AR$951=TYPE2)*(TYPE2&lt;&gt;"")+('Dvd Calendar'!$E$951:$AR$951=TYPE3)*(TYPE3&lt;&gt;"")+('Dvd Calendar'!$E$951:$AR$951=TYPE4)*(TYPE4&lt;&gt;"")+('Dvd Calendar'!$E$951:$AR$951=SPECIAL_LBL)*(INC_SPECIALS="Y"))))</f>
        <v/>
      </c>
      <c r="K97" s="65">
        <f>IF($C97="","",HSI!$J$92)</f>
        <v/>
      </c>
      <c r="L97" s="65">
        <f>IF($C97="","",HSI!$K$92)</f>
        <v/>
      </c>
      <c r="M97" s="41">
        <f>IF($C97="","",AVERAGE(F97:J97))</f>
        <v/>
      </c>
      <c r="N97" s="66">
        <f>IF($C97="","",IF(PULL_FUND="N","",IFERROR(BDP($C97,EPS_FIELD,YR_OVERRIDE,TEXT(YEAR_Y-5,"0")),"")))</f>
        <v/>
      </c>
      <c r="O97" s="67">
        <f>IF($C97="","",IF(PULL_FUND="N","",IFERROR(BDP($C97,EPS_FIELD,YR_OVERRIDE,TEXT(YEAR_Y-4,"0")),"")))</f>
        <v/>
      </c>
      <c r="P97" s="67">
        <f>IF($C97="","",IF(PULL_FUND="N","",IFERROR(BDP($C97,EPS_FIELD,YR_OVERRIDE,TEXT(YEAR_Y-3,"0")),"")))</f>
        <v/>
      </c>
      <c r="Q97" s="67">
        <f>IF($C97="","",IF(PULL_FUND="N","",IFERROR(BDP($C97,EPS_FIELD,YR_OVERRIDE,TEXT(YEAR_Y-2,"0")),"")))</f>
        <v/>
      </c>
      <c r="R97" s="67">
        <f>IF($C97="","",IF(PULL_FUND="N","",IFERROR(BDP($C97,EPS_FIELD,YR_OVERRIDE,TEXT(YEAR_Y-1,"0")),"")))</f>
        <v/>
      </c>
      <c r="S97" s="68">
        <f>IF($C97="","",IF(PULL_FUND="N","",IFERROR(BDP($C97,PAYOUT_FIELD,YR_OVERRIDE,TEXT(YEAR_Y-5,"0"))/100,"")))</f>
        <v/>
      </c>
      <c r="T97" s="68">
        <f>IF($C97="","",IF(PULL_FUND="N","",IFERROR(BDP($C97,PAYOUT_FIELD,YR_OVERRIDE,TEXT(YEAR_Y-4,"0"))/100,"")))</f>
        <v/>
      </c>
      <c r="U97" s="68">
        <f>IF($C97="","",IF(PULL_FUND="N","",IFERROR(BDP($C97,PAYOUT_FIELD,YR_OVERRIDE,TEXT(YEAR_Y-3,"0"))/100,"")))</f>
        <v/>
      </c>
      <c r="V97" s="68">
        <f>IF($C97="","",IF(PULL_FUND="N","",IFERROR(BDP($C97,PAYOUT_FIELD,YR_OVERRIDE,TEXT(YEAR_Y-2,"0"))/100,"")))</f>
        <v/>
      </c>
      <c r="W97" s="68">
        <f>IF($C97="","",IF(PULL_FUND="N","",IFERROR(BDP($C97,PAYOUT_FIELD,YR_OVERRIDE,TEXT(YEAR_Y-1,"0"))/100,"")))</f>
        <v/>
      </c>
      <c r="X97" s="69">
        <f>IF($C97="","",IFERROR(AVERAGE(S97:W97),""))</f>
        <v/>
      </c>
      <c r="Y97" s="66">
        <f>IF($C97="","",IF(PULL_FUND="N","",IFERROR(BDP($C97,BESTEPS_FIELD,FWD_OVERRIDE,TEXT(MOD(YEAR_Y,100),"00")&amp;"Y"),"")))</f>
        <v/>
      </c>
      <c r="Z97" s="70">
        <f>IF($C97="","",IF(PULL_FUND="N","",IFERROR(BDP($C97,BESTDPS_FIELD,FWD_OVERRIDE,TEXT(MOD(YEAR_Y,100),"00")&amp;"Y"),"")))</f>
        <v/>
      </c>
      <c r="AA97" s="71">
        <f>IF($C97="","",IF(ISNUMBER($Y97)*ISNUMBER($Z97)*($Y97&lt;&gt;0)=0,"",$Z97/$Y97))</f>
        <v/>
      </c>
      <c r="AB97" s="41">
        <f>IF($C97="","",HSI!$J$92+HSI!$L$92)</f>
        <v/>
      </c>
      <c r="AC97" s="72">
        <f>IF($C97="","",IF(PULL_FUND="N","",IF(COUNTIFS('Fund History'!$G$518:$G$522,"&gt;="&amp;DATE(YEAR_Y-4,1,1),'Fund History'!$G$518:$G$522,"&lt;="&amp;DATE(YEAR_Y-4,12,31))=0,"",SUMIFS('Fund History'!$H$518:$H$522,'Fund History'!$G$518:$G$522,"&gt;="&amp;DATE(YEAR_Y-4,1,1),'Fund History'!$G$518:$G$522,"&lt;="&amp;DATE(YEAR_Y-4,12,31))/100)))</f>
        <v/>
      </c>
      <c r="AD97" s="73">
        <f>IF($C97="","",IF(PULL_FUND="N","",IF(COUNTIFS('Fund History'!$G$518:$G$522,"&gt;="&amp;DATE(YEAR_Y-3,1,1),'Fund History'!$G$518:$G$522,"&lt;="&amp;DATE(YEAR_Y-3,12,31))=0,"",SUMIFS('Fund History'!$H$518:$H$522,'Fund History'!$G$518:$G$522,"&gt;="&amp;DATE(YEAR_Y-3,1,1),'Fund History'!$G$518:$G$522,"&lt;="&amp;DATE(YEAR_Y-3,12,31))/100)))</f>
        <v/>
      </c>
      <c r="AE97" s="73">
        <f>IF($C97="","",IF(PULL_FUND="N","",IF(COUNTIFS('Fund History'!$G$518:$G$522,"&gt;="&amp;DATE(YEAR_Y-2,1,1),'Fund History'!$G$518:$G$522,"&lt;="&amp;DATE(YEAR_Y-2,12,31))=0,"",SUMIFS('Fund History'!$H$518:$H$522,'Fund History'!$G$518:$G$522,"&gt;="&amp;DATE(YEAR_Y-2,1,1),'Fund History'!$G$518:$G$522,"&lt;="&amp;DATE(YEAR_Y-2,12,31))/100)))</f>
        <v/>
      </c>
      <c r="AF97" s="73">
        <f>IF($C97="","",IF(PULL_FUND="N","",IF(COUNTIFS('Fund History'!$G$518:$G$522,"&gt;="&amp;DATE(YEAR_Y-1,1,1),'Fund History'!$G$518:$G$522,"&lt;="&amp;DATE(YEAR_Y-1,12,31))=0,"",SUMIFS('Fund History'!$H$518:$H$522,'Fund History'!$G$518:$G$522,"&gt;="&amp;DATE(YEAR_Y-1,1,1),'Fund History'!$G$518:$G$522,"&lt;="&amp;DATE(YEAR_Y-1,12,31))/100)))</f>
        <v/>
      </c>
      <c r="AG97" s="74">
        <f>IF($C97="","",IF(N($AF97)+N(HSI!$I$92)=0,"",N($AF97)+N(HSI!$I$92)/100))</f>
        <v/>
      </c>
      <c r="AH97" s="66">
        <f>IF($C97="","",IF(PULL_FUND="N","",IF(COUNTIFS('Fund History'!$D$518:$D$522,"&gt;="&amp;DATE(YEAR_Y-2,1,1),'Fund History'!$D$518:$D$522,"&lt;="&amp;DATE(YEAR_Y-2,12,31))=0,"",SUMIFS('Fund History'!$E$518:$E$522,'Fund History'!$D$518:$D$522,"&gt;="&amp;DATE(YEAR_Y-2,1,1),'Fund History'!$D$518:$D$522,"&lt;="&amp;DATE(YEAR_Y-2,12,31)))))</f>
        <v/>
      </c>
      <c r="AI97" s="67">
        <f>IF($C97="","",IF(PULL_FUND="N","",IF(COUNTIFS('Fund History'!$D$518:$D$522,"&gt;="&amp;DATE(YEAR_Y-1,1,1),'Fund History'!$D$518:$D$522,"&lt;="&amp;DATE(YEAR_Y-1,12,31))=0,"",SUMIFS('Fund History'!$E$518:$E$522,'Fund History'!$D$518:$D$522,"&gt;="&amp;DATE(YEAR_Y-1,1,1),'Fund History'!$D$518:$D$522,"&lt;="&amp;DATE(YEAR_Y-1,12,31)))))</f>
        <v/>
      </c>
      <c r="AJ97" s="67">
        <f>IF($C97="","",IF(PULL_FUND="N","",IFERROR(BDP($C97,NDEBITDA_FIELD),"")))</f>
        <v/>
      </c>
      <c r="AK97" s="75">
        <f>IF($C97="","",IF(PULL_FUND="N","",IFERROR(BDP($C97,EBINT_FIELD),"")))</f>
        <v/>
      </c>
      <c r="AL97" s="73">
        <f>IF($C97="","",IF(PULL_FUND="N","",IFERROR(BDP($C97,FCF_FIELD)/100,"")))</f>
        <v/>
      </c>
      <c r="AM97" s="76">
        <f>IF($C97="","",IF(ISNUMBER(HSI!$I$92),HSI!$I$92/100,""))</f>
        <v/>
      </c>
      <c r="AN97" s="47">
        <f>IF($C97="","",IF(N($AM97)=0,"",IFERROR($AL97/$AM97,"")))</f>
        <v/>
      </c>
      <c r="AO97" s="33">
        <f>IF($C97="","",IF(ISNUMBER($S97)*ISNUMBER($W97)=0,"",IF($W97&gt;$S97+0.05,"rising",IF($W97&lt;$S97-0.05,"falling","stable"))))</f>
        <v/>
      </c>
      <c r="AP97" s="77">
        <f>IF($C97="","",TRIM(IF(ISNUMBER($X97)*(N($X97)&gt;$D$4)&gt;0,"payout high  ","")&amp;IF(ISNUMBER($AN97)*(N($AN97)&lt;$F$4)&gt;0,"FCF below dvd  ","")&amp;IF(ISNUMBER($AJ97)*(N($AJ97)&gt;$H$4)&gt;0,"leverage high","")))</f>
        <v/>
      </c>
      <c r="AQ97" s="78">
        <f>IF($C97="","",IF(HSI!$F$92="HKD","",HSI!$F$92))</f>
        <v/>
      </c>
    </row>
    <row r="98">
      <c r="B98" s="62" t="inlineStr">
        <is>
          <t>HSI</t>
        </is>
      </c>
      <c r="C98" s="6">
        <f>IF(HSI!$C$93="","",HSI!$C$93)</f>
        <v/>
      </c>
      <c r="D98" s="6">
        <f>IF($C98="","",HSI!$D$93)</f>
        <v/>
      </c>
      <c r="E98" s="6">
        <f>IF($C98="","",HSI!$E$93)</f>
        <v/>
      </c>
      <c r="F98" s="63">
        <f>IF($C98="","",SUMPRODUCT(('Dvd Calendar'!$E$957:$AR$957&gt;=DATE(YEAR_Y-5,1,1))*('Dvd Calendar'!$E$957:$AR$957&lt;=DATE(YEAR_Y-5,12,31))*'Dvd Calendar'!$E$960:$AR$960*(('Dvd Calendar'!$E$962:$AR$962=TYPE1)*(TYPE1&lt;&gt;"")+('Dvd Calendar'!$E$962:$AR$962=TYPE2)*(TYPE2&lt;&gt;"")+('Dvd Calendar'!$E$962:$AR$962=TYPE3)*(TYPE3&lt;&gt;"")+('Dvd Calendar'!$E$962:$AR$962=TYPE4)*(TYPE4&lt;&gt;"")+('Dvd Calendar'!$E$962:$AR$962=SPECIAL_LBL)*(INC_SPECIALS="Y"))))</f>
        <v/>
      </c>
      <c r="G98" s="64">
        <f>IF($C98="","",SUMPRODUCT(('Dvd Calendar'!$E$957:$AR$957&gt;=DATE(YEAR_Y-4,1,1))*('Dvd Calendar'!$E$957:$AR$957&lt;=DATE(YEAR_Y-4,12,31))*'Dvd Calendar'!$E$960:$AR$960*(('Dvd Calendar'!$E$962:$AR$962=TYPE1)*(TYPE1&lt;&gt;"")+('Dvd Calendar'!$E$962:$AR$962=TYPE2)*(TYPE2&lt;&gt;"")+('Dvd Calendar'!$E$962:$AR$962=TYPE3)*(TYPE3&lt;&gt;"")+('Dvd Calendar'!$E$962:$AR$962=TYPE4)*(TYPE4&lt;&gt;"")+('Dvd Calendar'!$E$962:$AR$962=SPECIAL_LBL)*(INC_SPECIALS="Y"))))</f>
        <v/>
      </c>
      <c r="H98" s="64">
        <f>IF($C98="","",SUMPRODUCT(('Dvd Calendar'!$E$957:$AR$957&gt;=DATE(YEAR_Y-3,1,1))*('Dvd Calendar'!$E$957:$AR$957&lt;=DATE(YEAR_Y-3,12,31))*'Dvd Calendar'!$E$960:$AR$960*(('Dvd Calendar'!$E$962:$AR$962=TYPE1)*(TYPE1&lt;&gt;"")+('Dvd Calendar'!$E$962:$AR$962=TYPE2)*(TYPE2&lt;&gt;"")+('Dvd Calendar'!$E$962:$AR$962=TYPE3)*(TYPE3&lt;&gt;"")+('Dvd Calendar'!$E$962:$AR$962=TYPE4)*(TYPE4&lt;&gt;"")+('Dvd Calendar'!$E$962:$AR$962=SPECIAL_LBL)*(INC_SPECIALS="Y"))))</f>
        <v/>
      </c>
      <c r="I98" s="64">
        <f>IF($C98="","",SUMPRODUCT(('Dvd Calendar'!$E$957:$AR$957&gt;=DATE(YEAR_Y-2,1,1))*('Dvd Calendar'!$E$957:$AR$957&lt;=DATE(YEAR_Y-2,12,31))*'Dvd Calendar'!$E$960:$AR$960*(('Dvd Calendar'!$E$962:$AR$962=TYPE1)*(TYPE1&lt;&gt;"")+('Dvd Calendar'!$E$962:$AR$962=TYPE2)*(TYPE2&lt;&gt;"")+('Dvd Calendar'!$E$962:$AR$962=TYPE3)*(TYPE3&lt;&gt;"")+('Dvd Calendar'!$E$962:$AR$962=TYPE4)*(TYPE4&lt;&gt;"")+('Dvd Calendar'!$E$962:$AR$962=SPECIAL_LBL)*(INC_SPECIALS="Y"))))</f>
        <v/>
      </c>
      <c r="J98" s="64">
        <f>IF($C98="","",SUMPRODUCT(('Dvd Calendar'!$E$957:$AR$957&gt;=DATE(YEAR_Y-1,1,1))*('Dvd Calendar'!$E$957:$AR$957&lt;=DATE(YEAR_Y-1,12,31))*'Dvd Calendar'!$E$960:$AR$960*(('Dvd Calendar'!$E$962:$AR$962=TYPE1)*(TYPE1&lt;&gt;"")+('Dvd Calendar'!$E$962:$AR$962=TYPE2)*(TYPE2&lt;&gt;"")+('Dvd Calendar'!$E$962:$AR$962=TYPE3)*(TYPE3&lt;&gt;"")+('Dvd Calendar'!$E$962:$AR$962=TYPE4)*(TYPE4&lt;&gt;"")+('Dvd Calendar'!$E$962:$AR$962=SPECIAL_LBL)*(INC_SPECIALS="Y"))))</f>
        <v/>
      </c>
      <c r="K98" s="65">
        <f>IF($C98="","",HSI!$J$93)</f>
        <v/>
      </c>
      <c r="L98" s="65">
        <f>IF($C98="","",HSI!$K$93)</f>
        <v/>
      </c>
      <c r="M98" s="41">
        <f>IF($C98="","",AVERAGE(F98:J98))</f>
        <v/>
      </c>
      <c r="N98" s="66">
        <f>IF($C98="","",IF(PULL_FUND="N","",IFERROR(BDP($C98,EPS_FIELD,YR_OVERRIDE,TEXT(YEAR_Y-5,"0")),"")))</f>
        <v/>
      </c>
      <c r="O98" s="67">
        <f>IF($C98="","",IF(PULL_FUND="N","",IFERROR(BDP($C98,EPS_FIELD,YR_OVERRIDE,TEXT(YEAR_Y-4,"0")),"")))</f>
        <v/>
      </c>
      <c r="P98" s="67">
        <f>IF($C98="","",IF(PULL_FUND="N","",IFERROR(BDP($C98,EPS_FIELD,YR_OVERRIDE,TEXT(YEAR_Y-3,"0")),"")))</f>
        <v/>
      </c>
      <c r="Q98" s="67">
        <f>IF($C98="","",IF(PULL_FUND="N","",IFERROR(BDP($C98,EPS_FIELD,YR_OVERRIDE,TEXT(YEAR_Y-2,"0")),"")))</f>
        <v/>
      </c>
      <c r="R98" s="67">
        <f>IF($C98="","",IF(PULL_FUND="N","",IFERROR(BDP($C98,EPS_FIELD,YR_OVERRIDE,TEXT(YEAR_Y-1,"0")),"")))</f>
        <v/>
      </c>
      <c r="S98" s="68">
        <f>IF($C98="","",IF(PULL_FUND="N","",IFERROR(BDP($C98,PAYOUT_FIELD,YR_OVERRIDE,TEXT(YEAR_Y-5,"0"))/100,"")))</f>
        <v/>
      </c>
      <c r="T98" s="68">
        <f>IF($C98="","",IF(PULL_FUND="N","",IFERROR(BDP($C98,PAYOUT_FIELD,YR_OVERRIDE,TEXT(YEAR_Y-4,"0"))/100,"")))</f>
        <v/>
      </c>
      <c r="U98" s="68">
        <f>IF($C98="","",IF(PULL_FUND="N","",IFERROR(BDP($C98,PAYOUT_FIELD,YR_OVERRIDE,TEXT(YEAR_Y-3,"0"))/100,"")))</f>
        <v/>
      </c>
      <c r="V98" s="68">
        <f>IF($C98="","",IF(PULL_FUND="N","",IFERROR(BDP($C98,PAYOUT_FIELD,YR_OVERRIDE,TEXT(YEAR_Y-2,"0"))/100,"")))</f>
        <v/>
      </c>
      <c r="W98" s="68">
        <f>IF($C98="","",IF(PULL_FUND="N","",IFERROR(BDP($C98,PAYOUT_FIELD,YR_OVERRIDE,TEXT(YEAR_Y-1,"0"))/100,"")))</f>
        <v/>
      </c>
      <c r="X98" s="69">
        <f>IF($C98="","",IFERROR(AVERAGE(S98:W98),""))</f>
        <v/>
      </c>
      <c r="Y98" s="66">
        <f>IF($C98="","",IF(PULL_FUND="N","",IFERROR(BDP($C98,BESTEPS_FIELD,FWD_OVERRIDE,TEXT(MOD(YEAR_Y,100),"00")&amp;"Y"),"")))</f>
        <v/>
      </c>
      <c r="Z98" s="70">
        <f>IF($C98="","",IF(PULL_FUND="N","",IFERROR(BDP($C98,BESTDPS_FIELD,FWD_OVERRIDE,TEXT(MOD(YEAR_Y,100),"00")&amp;"Y"),"")))</f>
        <v/>
      </c>
      <c r="AA98" s="71">
        <f>IF($C98="","",IF(ISNUMBER($Y98)*ISNUMBER($Z98)*($Y98&lt;&gt;0)=0,"",$Z98/$Y98))</f>
        <v/>
      </c>
      <c r="AB98" s="41">
        <f>IF($C98="","",HSI!$J$93+HSI!$L$93)</f>
        <v/>
      </c>
      <c r="AC98" s="72">
        <f>IF($C98="","",IF(PULL_FUND="N","",IF(COUNTIFS('Fund History'!$G$524:$G$528,"&gt;="&amp;DATE(YEAR_Y-4,1,1),'Fund History'!$G$524:$G$528,"&lt;="&amp;DATE(YEAR_Y-4,12,31))=0,"",SUMIFS('Fund History'!$H$524:$H$528,'Fund History'!$G$524:$G$528,"&gt;="&amp;DATE(YEAR_Y-4,1,1),'Fund History'!$G$524:$G$528,"&lt;="&amp;DATE(YEAR_Y-4,12,31))/100)))</f>
        <v/>
      </c>
      <c r="AD98" s="73">
        <f>IF($C98="","",IF(PULL_FUND="N","",IF(COUNTIFS('Fund History'!$G$524:$G$528,"&gt;="&amp;DATE(YEAR_Y-3,1,1),'Fund History'!$G$524:$G$528,"&lt;="&amp;DATE(YEAR_Y-3,12,31))=0,"",SUMIFS('Fund History'!$H$524:$H$528,'Fund History'!$G$524:$G$528,"&gt;="&amp;DATE(YEAR_Y-3,1,1),'Fund History'!$G$524:$G$528,"&lt;="&amp;DATE(YEAR_Y-3,12,31))/100)))</f>
        <v/>
      </c>
      <c r="AE98" s="73">
        <f>IF($C98="","",IF(PULL_FUND="N","",IF(COUNTIFS('Fund History'!$G$524:$G$528,"&gt;="&amp;DATE(YEAR_Y-2,1,1),'Fund History'!$G$524:$G$528,"&lt;="&amp;DATE(YEAR_Y-2,12,31))=0,"",SUMIFS('Fund History'!$H$524:$H$528,'Fund History'!$G$524:$G$528,"&gt;="&amp;DATE(YEAR_Y-2,1,1),'Fund History'!$G$524:$G$528,"&lt;="&amp;DATE(YEAR_Y-2,12,31))/100)))</f>
        <v/>
      </c>
      <c r="AF98" s="73">
        <f>IF($C98="","",IF(PULL_FUND="N","",IF(COUNTIFS('Fund History'!$G$524:$G$528,"&gt;="&amp;DATE(YEAR_Y-1,1,1),'Fund History'!$G$524:$G$528,"&lt;="&amp;DATE(YEAR_Y-1,12,31))=0,"",SUMIFS('Fund History'!$H$524:$H$528,'Fund History'!$G$524:$G$528,"&gt;="&amp;DATE(YEAR_Y-1,1,1),'Fund History'!$G$524:$G$528,"&lt;="&amp;DATE(YEAR_Y-1,12,31))/100)))</f>
        <v/>
      </c>
      <c r="AG98" s="74">
        <f>IF($C98="","",IF(N($AF98)+N(HSI!$I$93)=0,"",N($AF98)+N(HSI!$I$93)/100))</f>
        <v/>
      </c>
      <c r="AH98" s="66">
        <f>IF($C98="","",IF(PULL_FUND="N","",IF(COUNTIFS('Fund History'!$D$524:$D$528,"&gt;="&amp;DATE(YEAR_Y-2,1,1),'Fund History'!$D$524:$D$528,"&lt;="&amp;DATE(YEAR_Y-2,12,31))=0,"",SUMIFS('Fund History'!$E$524:$E$528,'Fund History'!$D$524:$D$528,"&gt;="&amp;DATE(YEAR_Y-2,1,1),'Fund History'!$D$524:$D$528,"&lt;="&amp;DATE(YEAR_Y-2,12,31)))))</f>
        <v/>
      </c>
      <c r="AI98" s="67">
        <f>IF($C98="","",IF(PULL_FUND="N","",IF(COUNTIFS('Fund History'!$D$524:$D$528,"&gt;="&amp;DATE(YEAR_Y-1,1,1),'Fund History'!$D$524:$D$528,"&lt;="&amp;DATE(YEAR_Y-1,12,31))=0,"",SUMIFS('Fund History'!$E$524:$E$528,'Fund History'!$D$524:$D$528,"&gt;="&amp;DATE(YEAR_Y-1,1,1),'Fund History'!$D$524:$D$528,"&lt;="&amp;DATE(YEAR_Y-1,12,31)))))</f>
        <v/>
      </c>
      <c r="AJ98" s="67">
        <f>IF($C98="","",IF(PULL_FUND="N","",IFERROR(BDP($C98,NDEBITDA_FIELD),"")))</f>
        <v/>
      </c>
      <c r="AK98" s="75">
        <f>IF($C98="","",IF(PULL_FUND="N","",IFERROR(BDP($C98,EBINT_FIELD),"")))</f>
        <v/>
      </c>
      <c r="AL98" s="73">
        <f>IF($C98="","",IF(PULL_FUND="N","",IFERROR(BDP($C98,FCF_FIELD)/100,"")))</f>
        <v/>
      </c>
      <c r="AM98" s="76">
        <f>IF($C98="","",IF(ISNUMBER(HSI!$I$93),HSI!$I$93/100,""))</f>
        <v/>
      </c>
      <c r="AN98" s="47">
        <f>IF($C98="","",IF(N($AM98)=0,"",IFERROR($AL98/$AM98,"")))</f>
        <v/>
      </c>
      <c r="AO98" s="33">
        <f>IF($C98="","",IF(ISNUMBER($S98)*ISNUMBER($W98)=0,"",IF($W98&gt;$S98+0.05,"rising",IF($W98&lt;$S98-0.05,"falling","stable"))))</f>
        <v/>
      </c>
      <c r="AP98" s="77">
        <f>IF($C98="","",TRIM(IF(ISNUMBER($X98)*(N($X98)&gt;$D$4)&gt;0,"payout high  ","")&amp;IF(ISNUMBER($AN98)*(N($AN98)&lt;$F$4)&gt;0,"FCF below dvd  ","")&amp;IF(ISNUMBER($AJ98)*(N($AJ98)&gt;$H$4)&gt;0,"leverage high","")))</f>
        <v/>
      </c>
      <c r="AQ98" s="78">
        <f>IF($C98="","",IF(HSI!$F$93="HKD","",HSI!$F$93))</f>
        <v/>
      </c>
    </row>
    <row r="99">
      <c r="B99" s="62" t="inlineStr">
        <is>
          <t>HSI</t>
        </is>
      </c>
      <c r="C99" s="6">
        <f>IF(HSI!$C$94="","",HSI!$C$94)</f>
        <v/>
      </c>
      <c r="D99" s="6">
        <f>IF($C99="","",HSI!$D$94)</f>
        <v/>
      </c>
      <c r="E99" s="6">
        <f>IF($C99="","",HSI!$E$94)</f>
        <v/>
      </c>
      <c r="F99" s="63">
        <f>IF($C99="","",SUMPRODUCT(('Dvd Calendar'!$E$968:$AR$968&gt;=DATE(YEAR_Y-5,1,1))*('Dvd Calendar'!$E$968:$AR$968&lt;=DATE(YEAR_Y-5,12,31))*'Dvd Calendar'!$E$971:$AR$971*(('Dvd Calendar'!$E$973:$AR$973=TYPE1)*(TYPE1&lt;&gt;"")+('Dvd Calendar'!$E$973:$AR$973=TYPE2)*(TYPE2&lt;&gt;"")+('Dvd Calendar'!$E$973:$AR$973=TYPE3)*(TYPE3&lt;&gt;"")+('Dvd Calendar'!$E$973:$AR$973=TYPE4)*(TYPE4&lt;&gt;"")+('Dvd Calendar'!$E$973:$AR$973=SPECIAL_LBL)*(INC_SPECIALS="Y"))))</f>
        <v/>
      </c>
      <c r="G99" s="64">
        <f>IF($C99="","",SUMPRODUCT(('Dvd Calendar'!$E$968:$AR$968&gt;=DATE(YEAR_Y-4,1,1))*('Dvd Calendar'!$E$968:$AR$968&lt;=DATE(YEAR_Y-4,12,31))*'Dvd Calendar'!$E$971:$AR$971*(('Dvd Calendar'!$E$973:$AR$973=TYPE1)*(TYPE1&lt;&gt;"")+('Dvd Calendar'!$E$973:$AR$973=TYPE2)*(TYPE2&lt;&gt;"")+('Dvd Calendar'!$E$973:$AR$973=TYPE3)*(TYPE3&lt;&gt;"")+('Dvd Calendar'!$E$973:$AR$973=TYPE4)*(TYPE4&lt;&gt;"")+('Dvd Calendar'!$E$973:$AR$973=SPECIAL_LBL)*(INC_SPECIALS="Y"))))</f>
        <v/>
      </c>
      <c r="H99" s="64">
        <f>IF($C99="","",SUMPRODUCT(('Dvd Calendar'!$E$968:$AR$968&gt;=DATE(YEAR_Y-3,1,1))*('Dvd Calendar'!$E$968:$AR$968&lt;=DATE(YEAR_Y-3,12,31))*'Dvd Calendar'!$E$971:$AR$971*(('Dvd Calendar'!$E$973:$AR$973=TYPE1)*(TYPE1&lt;&gt;"")+('Dvd Calendar'!$E$973:$AR$973=TYPE2)*(TYPE2&lt;&gt;"")+('Dvd Calendar'!$E$973:$AR$973=TYPE3)*(TYPE3&lt;&gt;"")+('Dvd Calendar'!$E$973:$AR$973=TYPE4)*(TYPE4&lt;&gt;"")+('Dvd Calendar'!$E$973:$AR$973=SPECIAL_LBL)*(INC_SPECIALS="Y"))))</f>
        <v/>
      </c>
      <c r="I99" s="64">
        <f>IF($C99="","",SUMPRODUCT(('Dvd Calendar'!$E$968:$AR$968&gt;=DATE(YEAR_Y-2,1,1))*('Dvd Calendar'!$E$968:$AR$968&lt;=DATE(YEAR_Y-2,12,31))*'Dvd Calendar'!$E$971:$AR$971*(('Dvd Calendar'!$E$973:$AR$973=TYPE1)*(TYPE1&lt;&gt;"")+('Dvd Calendar'!$E$973:$AR$973=TYPE2)*(TYPE2&lt;&gt;"")+('Dvd Calendar'!$E$973:$AR$973=TYPE3)*(TYPE3&lt;&gt;"")+('Dvd Calendar'!$E$973:$AR$973=TYPE4)*(TYPE4&lt;&gt;"")+('Dvd Calendar'!$E$973:$AR$973=SPECIAL_LBL)*(INC_SPECIALS="Y"))))</f>
        <v/>
      </c>
      <c r="J99" s="64">
        <f>IF($C99="","",SUMPRODUCT(('Dvd Calendar'!$E$968:$AR$968&gt;=DATE(YEAR_Y-1,1,1))*('Dvd Calendar'!$E$968:$AR$968&lt;=DATE(YEAR_Y-1,12,31))*'Dvd Calendar'!$E$971:$AR$971*(('Dvd Calendar'!$E$973:$AR$973=TYPE1)*(TYPE1&lt;&gt;"")+('Dvd Calendar'!$E$973:$AR$973=TYPE2)*(TYPE2&lt;&gt;"")+('Dvd Calendar'!$E$973:$AR$973=TYPE3)*(TYPE3&lt;&gt;"")+('Dvd Calendar'!$E$973:$AR$973=TYPE4)*(TYPE4&lt;&gt;"")+('Dvd Calendar'!$E$973:$AR$973=SPECIAL_LBL)*(INC_SPECIALS="Y"))))</f>
        <v/>
      </c>
      <c r="K99" s="65">
        <f>IF($C99="","",HSI!$J$94)</f>
        <v/>
      </c>
      <c r="L99" s="65">
        <f>IF($C99="","",HSI!$K$94)</f>
        <v/>
      </c>
      <c r="M99" s="41">
        <f>IF($C99="","",AVERAGE(F99:J99))</f>
        <v/>
      </c>
      <c r="N99" s="66">
        <f>IF($C99="","",IF(PULL_FUND="N","",IFERROR(BDP($C99,EPS_FIELD,YR_OVERRIDE,TEXT(YEAR_Y-5,"0")),"")))</f>
        <v/>
      </c>
      <c r="O99" s="67">
        <f>IF($C99="","",IF(PULL_FUND="N","",IFERROR(BDP($C99,EPS_FIELD,YR_OVERRIDE,TEXT(YEAR_Y-4,"0")),"")))</f>
        <v/>
      </c>
      <c r="P99" s="67">
        <f>IF($C99="","",IF(PULL_FUND="N","",IFERROR(BDP($C99,EPS_FIELD,YR_OVERRIDE,TEXT(YEAR_Y-3,"0")),"")))</f>
        <v/>
      </c>
      <c r="Q99" s="67">
        <f>IF($C99="","",IF(PULL_FUND="N","",IFERROR(BDP($C99,EPS_FIELD,YR_OVERRIDE,TEXT(YEAR_Y-2,"0")),"")))</f>
        <v/>
      </c>
      <c r="R99" s="67">
        <f>IF($C99="","",IF(PULL_FUND="N","",IFERROR(BDP($C99,EPS_FIELD,YR_OVERRIDE,TEXT(YEAR_Y-1,"0")),"")))</f>
        <v/>
      </c>
      <c r="S99" s="68">
        <f>IF($C99="","",IF(PULL_FUND="N","",IFERROR(BDP($C99,PAYOUT_FIELD,YR_OVERRIDE,TEXT(YEAR_Y-5,"0"))/100,"")))</f>
        <v/>
      </c>
      <c r="T99" s="68">
        <f>IF($C99="","",IF(PULL_FUND="N","",IFERROR(BDP($C99,PAYOUT_FIELD,YR_OVERRIDE,TEXT(YEAR_Y-4,"0"))/100,"")))</f>
        <v/>
      </c>
      <c r="U99" s="68">
        <f>IF($C99="","",IF(PULL_FUND="N","",IFERROR(BDP($C99,PAYOUT_FIELD,YR_OVERRIDE,TEXT(YEAR_Y-3,"0"))/100,"")))</f>
        <v/>
      </c>
      <c r="V99" s="68">
        <f>IF($C99="","",IF(PULL_FUND="N","",IFERROR(BDP($C99,PAYOUT_FIELD,YR_OVERRIDE,TEXT(YEAR_Y-2,"0"))/100,"")))</f>
        <v/>
      </c>
      <c r="W99" s="68">
        <f>IF($C99="","",IF(PULL_FUND="N","",IFERROR(BDP($C99,PAYOUT_FIELD,YR_OVERRIDE,TEXT(YEAR_Y-1,"0"))/100,"")))</f>
        <v/>
      </c>
      <c r="X99" s="69">
        <f>IF($C99="","",IFERROR(AVERAGE(S99:W99),""))</f>
        <v/>
      </c>
      <c r="Y99" s="66">
        <f>IF($C99="","",IF(PULL_FUND="N","",IFERROR(BDP($C99,BESTEPS_FIELD,FWD_OVERRIDE,TEXT(MOD(YEAR_Y,100),"00")&amp;"Y"),"")))</f>
        <v/>
      </c>
      <c r="Z99" s="70">
        <f>IF($C99="","",IF(PULL_FUND="N","",IFERROR(BDP($C99,BESTDPS_FIELD,FWD_OVERRIDE,TEXT(MOD(YEAR_Y,100),"00")&amp;"Y"),"")))</f>
        <v/>
      </c>
      <c r="AA99" s="71">
        <f>IF($C99="","",IF(ISNUMBER($Y99)*ISNUMBER($Z99)*($Y99&lt;&gt;0)=0,"",$Z99/$Y99))</f>
        <v/>
      </c>
      <c r="AB99" s="41">
        <f>IF($C99="","",HSI!$J$94+HSI!$L$94)</f>
        <v/>
      </c>
      <c r="AC99" s="72">
        <f>IF($C99="","",IF(PULL_FUND="N","",IF(COUNTIFS('Fund History'!$G$530:$G$534,"&gt;="&amp;DATE(YEAR_Y-4,1,1),'Fund History'!$G$530:$G$534,"&lt;="&amp;DATE(YEAR_Y-4,12,31))=0,"",SUMIFS('Fund History'!$H$530:$H$534,'Fund History'!$G$530:$G$534,"&gt;="&amp;DATE(YEAR_Y-4,1,1),'Fund History'!$G$530:$G$534,"&lt;="&amp;DATE(YEAR_Y-4,12,31))/100)))</f>
        <v/>
      </c>
      <c r="AD99" s="73">
        <f>IF($C99="","",IF(PULL_FUND="N","",IF(COUNTIFS('Fund History'!$G$530:$G$534,"&gt;="&amp;DATE(YEAR_Y-3,1,1),'Fund History'!$G$530:$G$534,"&lt;="&amp;DATE(YEAR_Y-3,12,31))=0,"",SUMIFS('Fund History'!$H$530:$H$534,'Fund History'!$G$530:$G$534,"&gt;="&amp;DATE(YEAR_Y-3,1,1),'Fund History'!$G$530:$G$534,"&lt;="&amp;DATE(YEAR_Y-3,12,31))/100)))</f>
        <v/>
      </c>
      <c r="AE99" s="73">
        <f>IF($C99="","",IF(PULL_FUND="N","",IF(COUNTIFS('Fund History'!$G$530:$G$534,"&gt;="&amp;DATE(YEAR_Y-2,1,1),'Fund History'!$G$530:$G$534,"&lt;="&amp;DATE(YEAR_Y-2,12,31))=0,"",SUMIFS('Fund History'!$H$530:$H$534,'Fund History'!$G$530:$G$534,"&gt;="&amp;DATE(YEAR_Y-2,1,1),'Fund History'!$G$530:$G$534,"&lt;="&amp;DATE(YEAR_Y-2,12,31))/100)))</f>
        <v/>
      </c>
      <c r="AF99" s="73">
        <f>IF($C99="","",IF(PULL_FUND="N","",IF(COUNTIFS('Fund History'!$G$530:$G$534,"&gt;="&amp;DATE(YEAR_Y-1,1,1),'Fund History'!$G$530:$G$534,"&lt;="&amp;DATE(YEAR_Y-1,12,31))=0,"",SUMIFS('Fund History'!$H$530:$H$534,'Fund History'!$G$530:$G$534,"&gt;="&amp;DATE(YEAR_Y-1,1,1),'Fund History'!$G$530:$G$534,"&lt;="&amp;DATE(YEAR_Y-1,12,31))/100)))</f>
        <v/>
      </c>
      <c r="AG99" s="74">
        <f>IF($C99="","",IF(N($AF99)+N(HSI!$I$94)=0,"",N($AF99)+N(HSI!$I$94)/100))</f>
        <v/>
      </c>
      <c r="AH99" s="66">
        <f>IF($C99="","",IF(PULL_FUND="N","",IF(COUNTIFS('Fund History'!$D$530:$D$534,"&gt;="&amp;DATE(YEAR_Y-2,1,1),'Fund History'!$D$530:$D$534,"&lt;="&amp;DATE(YEAR_Y-2,12,31))=0,"",SUMIFS('Fund History'!$E$530:$E$534,'Fund History'!$D$530:$D$534,"&gt;="&amp;DATE(YEAR_Y-2,1,1),'Fund History'!$D$530:$D$534,"&lt;="&amp;DATE(YEAR_Y-2,12,31)))))</f>
        <v/>
      </c>
      <c r="AI99" s="67">
        <f>IF($C99="","",IF(PULL_FUND="N","",IF(COUNTIFS('Fund History'!$D$530:$D$534,"&gt;="&amp;DATE(YEAR_Y-1,1,1),'Fund History'!$D$530:$D$534,"&lt;="&amp;DATE(YEAR_Y-1,12,31))=0,"",SUMIFS('Fund History'!$E$530:$E$534,'Fund History'!$D$530:$D$534,"&gt;="&amp;DATE(YEAR_Y-1,1,1),'Fund History'!$D$530:$D$534,"&lt;="&amp;DATE(YEAR_Y-1,12,31)))))</f>
        <v/>
      </c>
      <c r="AJ99" s="67">
        <f>IF($C99="","",IF(PULL_FUND="N","",IFERROR(BDP($C99,NDEBITDA_FIELD),"")))</f>
        <v/>
      </c>
      <c r="AK99" s="75">
        <f>IF($C99="","",IF(PULL_FUND="N","",IFERROR(BDP($C99,EBINT_FIELD),"")))</f>
        <v/>
      </c>
      <c r="AL99" s="73">
        <f>IF($C99="","",IF(PULL_FUND="N","",IFERROR(BDP($C99,FCF_FIELD)/100,"")))</f>
        <v/>
      </c>
      <c r="AM99" s="76">
        <f>IF($C99="","",IF(ISNUMBER(HSI!$I$94),HSI!$I$94/100,""))</f>
        <v/>
      </c>
      <c r="AN99" s="47">
        <f>IF($C99="","",IF(N($AM99)=0,"",IFERROR($AL99/$AM99,"")))</f>
        <v/>
      </c>
      <c r="AO99" s="33">
        <f>IF($C99="","",IF(ISNUMBER($S99)*ISNUMBER($W99)=0,"",IF($W99&gt;$S99+0.05,"rising",IF($W99&lt;$S99-0.05,"falling","stable"))))</f>
        <v/>
      </c>
      <c r="AP99" s="77">
        <f>IF($C99="","",TRIM(IF(ISNUMBER($X99)*(N($X99)&gt;$D$4)&gt;0,"payout high  ","")&amp;IF(ISNUMBER($AN99)*(N($AN99)&lt;$F$4)&gt;0,"FCF below dvd  ","")&amp;IF(ISNUMBER($AJ99)*(N($AJ99)&gt;$H$4)&gt;0,"leverage high","")))</f>
        <v/>
      </c>
      <c r="AQ99" s="78">
        <f>IF($C99="","",IF(HSI!$F$94="HKD","",HSI!$F$94))</f>
        <v/>
      </c>
    </row>
    <row r="100">
      <c r="B100" s="62" t="inlineStr">
        <is>
          <t>HSI</t>
        </is>
      </c>
      <c r="C100" s="6">
        <f>IF(HSI!$C$95="","",HSI!$C$95)</f>
        <v/>
      </c>
      <c r="D100" s="6">
        <f>IF($C100="","",HSI!$D$95)</f>
        <v/>
      </c>
      <c r="E100" s="6">
        <f>IF($C100="","",HSI!$E$95)</f>
        <v/>
      </c>
      <c r="F100" s="63">
        <f>IF($C100="","",SUMPRODUCT(('Dvd Calendar'!$E$979:$AR$979&gt;=DATE(YEAR_Y-5,1,1))*('Dvd Calendar'!$E$979:$AR$979&lt;=DATE(YEAR_Y-5,12,31))*'Dvd Calendar'!$E$982:$AR$982*(('Dvd Calendar'!$E$984:$AR$984=TYPE1)*(TYPE1&lt;&gt;"")+('Dvd Calendar'!$E$984:$AR$984=TYPE2)*(TYPE2&lt;&gt;"")+('Dvd Calendar'!$E$984:$AR$984=TYPE3)*(TYPE3&lt;&gt;"")+('Dvd Calendar'!$E$984:$AR$984=TYPE4)*(TYPE4&lt;&gt;"")+('Dvd Calendar'!$E$984:$AR$984=SPECIAL_LBL)*(INC_SPECIALS="Y"))))</f>
        <v/>
      </c>
      <c r="G100" s="64">
        <f>IF($C100="","",SUMPRODUCT(('Dvd Calendar'!$E$979:$AR$979&gt;=DATE(YEAR_Y-4,1,1))*('Dvd Calendar'!$E$979:$AR$979&lt;=DATE(YEAR_Y-4,12,31))*'Dvd Calendar'!$E$982:$AR$982*(('Dvd Calendar'!$E$984:$AR$984=TYPE1)*(TYPE1&lt;&gt;"")+('Dvd Calendar'!$E$984:$AR$984=TYPE2)*(TYPE2&lt;&gt;"")+('Dvd Calendar'!$E$984:$AR$984=TYPE3)*(TYPE3&lt;&gt;"")+('Dvd Calendar'!$E$984:$AR$984=TYPE4)*(TYPE4&lt;&gt;"")+('Dvd Calendar'!$E$984:$AR$984=SPECIAL_LBL)*(INC_SPECIALS="Y"))))</f>
        <v/>
      </c>
      <c r="H100" s="64">
        <f>IF($C100="","",SUMPRODUCT(('Dvd Calendar'!$E$979:$AR$979&gt;=DATE(YEAR_Y-3,1,1))*('Dvd Calendar'!$E$979:$AR$979&lt;=DATE(YEAR_Y-3,12,31))*'Dvd Calendar'!$E$982:$AR$982*(('Dvd Calendar'!$E$984:$AR$984=TYPE1)*(TYPE1&lt;&gt;"")+('Dvd Calendar'!$E$984:$AR$984=TYPE2)*(TYPE2&lt;&gt;"")+('Dvd Calendar'!$E$984:$AR$984=TYPE3)*(TYPE3&lt;&gt;"")+('Dvd Calendar'!$E$984:$AR$984=TYPE4)*(TYPE4&lt;&gt;"")+('Dvd Calendar'!$E$984:$AR$984=SPECIAL_LBL)*(INC_SPECIALS="Y"))))</f>
        <v/>
      </c>
      <c r="I100" s="64">
        <f>IF($C100="","",SUMPRODUCT(('Dvd Calendar'!$E$979:$AR$979&gt;=DATE(YEAR_Y-2,1,1))*('Dvd Calendar'!$E$979:$AR$979&lt;=DATE(YEAR_Y-2,12,31))*'Dvd Calendar'!$E$982:$AR$982*(('Dvd Calendar'!$E$984:$AR$984=TYPE1)*(TYPE1&lt;&gt;"")+('Dvd Calendar'!$E$984:$AR$984=TYPE2)*(TYPE2&lt;&gt;"")+('Dvd Calendar'!$E$984:$AR$984=TYPE3)*(TYPE3&lt;&gt;"")+('Dvd Calendar'!$E$984:$AR$984=TYPE4)*(TYPE4&lt;&gt;"")+('Dvd Calendar'!$E$984:$AR$984=SPECIAL_LBL)*(INC_SPECIALS="Y"))))</f>
        <v/>
      </c>
      <c r="J100" s="64">
        <f>IF($C100="","",SUMPRODUCT(('Dvd Calendar'!$E$979:$AR$979&gt;=DATE(YEAR_Y-1,1,1))*('Dvd Calendar'!$E$979:$AR$979&lt;=DATE(YEAR_Y-1,12,31))*'Dvd Calendar'!$E$982:$AR$982*(('Dvd Calendar'!$E$984:$AR$984=TYPE1)*(TYPE1&lt;&gt;"")+('Dvd Calendar'!$E$984:$AR$984=TYPE2)*(TYPE2&lt;&gt;"")+('Dvd Calendar'!$E$984:$AR$984=TYPE3)*(TYPE3&lt;&gt;"")+('Dvd Calendar'!$E$984:$AR$984=TYPE4)*(TYPE4&lt;&gt;"")+('Dvd Calendar'!$E$984:$AR$984=SPECIAL_LBL)*(INC_SPECIALS="Y"))))</f>
        <v/>
      </c>
      <c r="K100" s="65">
        <f>IF($C100="","",HSI!$J$95)</f>
        <v/>
      </c>
      <c r="L100" s="65">
        <f>IF($C100="","",HSI!$K$95)</f>
        <v/>
      </c>
      <c r="M100" s="41">
        <f>IF($C100="","",AVERAGE(F100:J100))</f>
        <v/>
      </c>
      <c r="N100" s="66">
        <f>IF($C100="","",IF(PULL_FUND="N","",IFERROR(BDP($C100,EPS_FIELD,YR_OVERRIDE,TEXT(YEAR_Y-5,"0")),"")))</f>
        <v/>
      </c>
      <c r="O100" s="67">
        <f>IF($C100="","",IF(PULL_FUND="N","",IFERROR(BDP($C100,EPS_FIELD,YR_OVERRIDE,TEXT(YEAR_Y-4,"0")),"")))</f>
        <v/>
      </c>
      <c r="P100" s="67">
        <f>IF($C100="","",IF(PULL_FUND="N","",IFERROR(BDP($C100,EPS_FIELD,YR_OVERRIDE,TEXT(YEAR_Y-3,"0")),"")))</f>
        <v/>
      </c>
      <c r="Q100" s="67">
        <f>IF($C100="","",IF(PULL_FUND="N","",IFERROR(BDP($C100,EPS_FIELD,YR_OVERRIDE,TEXT(YEAR_Y-2,"0")),"")))</f>
        <v/>
      </c>
      <c r="R100" s="67">
        <f>IF($C100="","",IF(PULL_FUND="N","",IFERROR(BDP($C100,EPS_FIELD,YR_OVERRIDE,TEXT(YEAR_Y-1,"0")),"")))</f>
        <v/>
      </c>
      <c r="S100" s="68">
        <f>IF($C100="","",IF(PULL_FUND="N","",IFERROR(BDP($C100,PAYOUT_FIELD,YR_OVERRIDE,TEXT(YEAR_Y-5,"0"))/100,"")))</f>
        <v/>
      </c>
      <c r="T100" s="68">
        <f>IF($C100="","",IF(PULL_FUND="N","",IFERROR(BDP($C100,PAYOUT_FIELD,YR_OVERRIDE,TEXT(YEAR_Y-4,"0"))/100,"")))</f>
        <v/>
      </c>
      <c r="U100" s="68">
        <f>IF($C100="","",IF(PULL_FUND="N","",IFERROR(BDP($C100,PAYOUT_FIELD,YR_OVERRIDE,TEXT(YEAR_Y-3,"0"))/100,"")))</f>
        <v/>
      </c>
      <c r="V100" s="68">
        <f>IF($C100="","",IF(PULL_FUND="N","",IFERROR(BDP($C100,PAYOUT_FIELD,YR_OVERRIDE,TEXT(YEAR_Y-2,"0"))/100,"")))</f>
        <v/>
      </c>
      <c r="W100" s="68">
        <f>IF($C100="","",IF(PULL_FUND="N","",IFERROR(BDP($C100,PAYOUT_FIELD,YR_OVERRIDE,TEXT(YEAR_Y-1,"0"))/100,"")))</f>
        <v/>
      </c>
      <c r="X100" s="69">
        <f>IF($C100="","",IFERROR(AVERAGE(S100:W100),""))</f>
        <v/>
      </c>
      <c r="Y100" s="66">
        <f>IF($C100="","",IF(PULL_FUND="N","",IFERROR(BDP($C100,BESTEPS_FIELD,FWD_OVERRIDE,TEXT(MOD(YEAR_Y,100),"00")&amp;"Y"),"")))</f>
        <v/>
      </c>
      <c r="Z100" s="70">
        <f>IF($C100="","",IF(PULL_FUND="N","",IFERROR(BDP($C100,BESTDPS_FIELD,FWD_OVERRIDE,TEXT(MOD(YEAR_Y,100),"00")&amp;"Y"),"")))</f>
        <v/>
      </c>
      <c r="AA100" s="71">
        <f>IF($C100="","",IF(ISNUMBER($Y100)*ISNUMBER($Z100)*($Y100&lt;&gt;0)=0,"",$Z100/$Y100))</f>
        <v/>
      </c>
      <c r="AB100" s="41">
        <f>IF($C100="","",HSI!$J$95+HSI!$L$95)</f>
        <v/>
      </c>
      <c r="AC100" s="72">
        <f>IF($C100="","",IF(PULL_FUND="N","",IF(COUNTIFS('Fund History'!$G$536:$G$540,"&gt;="&amp;DATE(YEAR_Y-4,1,1),'Fund History'!$G$536:$G$540,"&lt;="&amp;DATE(YEAR_Y-4,12,31))=0,"",SUMIFS('Fund History'!$H$536:$H$540,'Fund History'!$G$536:$G$540,"&gt;="&amp;DATE(YEAR_Y-4,1,1),'Fund History'!$G$536:$G$540,"&lt;="&amp;DATE(YEAR_Y-4,12,31))/100)))</f>
        <v/>
      </c>
      <c r="AD100" s="73">
        <f>IF($C100="","",IF(PULL_FUND="N","",IF(COUNTIFS('Fund History'!$G$536:$G$540,"&gt;="&amp;DATE(YEAR_Y-3,1,1),'Fund History'!$G$536:$G$540,"&lt;="&amp;DATE(YEAR_Y-3,12,31))=0,"",SUMIFS('Fund History'!$H$536:$H$540,'Fund History'!$G$536:$G$540,"&gt;="&amp;DATE(YEAR_Y-3,1,1),'Fund History'!$G$536:$G$540,"&lt;="&amp;DATE(YEAR_Y-3,12,31))/100)))</f>
        <v/>
      </c>
      <c r="AE100" s="73">
        <f>IF($C100="","",IF(PULL_FUND="N","",IF(COUNTIFS('Fund History'!$G$536:$G$540,"&gt;="&amp;DATE(YEAR_Y-2,1,1),'Fund History'!$G$536:$G$540,"&lt;="&amp;DATE(YEAR_Y-2,12,31))=0,"",SUMIFS('Fund History'!$H$536:$H$540,'Fund History'!$G$536:$G$540,"&gt;="&amp;DATE(YEAR_Y-2,1,1),'Fund History'!$G$536:$G$540,"&lt;="&amp;DATE(YEAR_Y-2,12,31))/100)))</f>
        <v/>
      </c>
      <c r="AF100" s="73">
        <f>IF($C100="","",IF(PULL_FUND="N","",IF(COUNTIFS('Fund History'!$G$536:$G$540,"&gt;="&amp;DATE(YEAR_Y-1,1,1),'Fund History'!$G$536:$G$540,"&lt;="&amp;DATE(YEAR_Y-1,12,31))=0,"",SUMIFS('Fund History'!$H$536:$H$540,'Fund History'!$G$536:$G$540,"&gt;="&amp;DATE(YEAR_Y-1,1,1),'Fund History'!$G$536:$G$540,"&lt;="&amp;DATE(YEAR_Y-1,12,31))/100)))</f>
        <v/>
      </c>
      <c r="AG100" s="74">
        <f>IF($C100="","",IF(N($AF100)+N(HSI!$I$95)=0,"",N($AF100)+N(HSI!$I$95)/100))</f>
        <v/>
      </c>
      <c r="AH100" s="66">
        <f>IF($C100="","",IF(PULL_FUND="N","",IF(COUNTIFS('Fund History'!$D$536:$D$540,"&gt;="&amp;DATE(YEAR_Y-2,1,1),'Fund History'!$D$536:$D$540,"&lt;="&amp;DATE(YEAR_Y-2,12,31))=0,"",SUMIFS('Fund History'!$E$536:$E$540,'Fund History'!$D$536:$D$540,"&gt;="&amp;DATE(YEAR_Y-2,1,1),'Fund History'!$D$536:$D$540,"&lt;="&amp;DATE(YEAR_Y-2,12,31)))))</f>
        <v/>
      </c>
      <c r="AI100" s="67">
        <f>IF($C100="","",IF(PULL_FUND="N","",IF(COUNTIFS('Fund History'!$D$536:$D$540,"&gt;="&amp;DATE(YEAR_Y-1,1,1),'Fund History'!$D$536:$D$540,"&lt;="&amp;DATE(YEAR_Y-1,12,31))=0,"",SUMIFS('Fund History'!$E$536:$E$540,'Fund History'!$D$536:$D$540,"&gt;="&amp;DATE(YEAR_Y-1,1,1),'Fund History'!$D$536:$D$540,"&lt;="&amp;DATE(YEAR_Y-1,12,31)))))</f>
        <v/>
      </c>
      <c r="AJ100" s="67">
        <f>IF($C100="","",IF(PULL_FUND="N","",IFERROR(BDP($C100,NDEBITDA_FIELD),"")))</f>
        <v/>
      </c>
      <c r="AK100" s="75">
        <f>IF($C100="","",IF(PULL_FUND="N","",IFERROR(BDP($C100,EBINT_FIELD),"")))</f>
        <v/>
      </c>
      <c r="AL100" s="73">
        <f>IF($C100="","",IF(PULL_FUND="N","",IFERROR(BDP($C100,FCF_FIELD)/100,"")))</f>
        <v/>
      </c>
      <c r="AM100" s="76">
        <f>IF($C100="","",IF(ISNUMBER(HSI!$I$95),HSI!$I$95/100,""))</f>
        <v/>
      </c>
      <c r="AN100" s="47">
        <f>IF($C100="","",IF(N($AM100)=0,"",IFERROR($AL100/$AM100,"")))</f>
        <v/>
      </c>
      <c r="AO100" s="33">
        <f>IF($C100="","",IF(ISNUMBER($S100)*ISNUMBER($W100)=0,"",IF($W100&gt;$S100+0.05,"rising",IF($W100&lt;$S100-0.05,"falling","stable"))))</f>
        <v/>
      </c>
      <c r="AP100" s="77">
        <f>IF($C100="","",TRIM(IF(ISNUMBER($X100)*(N($X100)&gt;$D$4)&gt;0,"payout high  ","")&amp;IF(ISNUMBER($AN100)*(N($AN100)&lt;$F$4)&gt;0,"FCF below dvd  ","")&amp;IF(ISNUMBER($AJ100)*(N($AJ100)&gt;$H$4)&gt;0,"leverage high","")))</f>
        <v/>
      </c>
      <c r="AQ100" s="78">
        <f>IF($C100="","",IF(HSI!$F$95="HKD","",HSI!$F$95))</f>
        <v/>
      </c>
    </row>
    <row r="101">
      <c r="B101" s="62" t="inlineStr">
        <is>
          <t>HSI</t>
        </is>
      </c>
      <c r="C101" s="6">
        <f>IF(HSI!$C$96="","",HSI!$C$96)</f>
        <v/>
      </c>
      <c r="D101" s="6">
        <f>IF($C101="","",HSI!$D$96)</f>
        <v/>
      </c>
      <c r="E101" s="6">
        <f>IF($C101="","",HSI!$E$96)</f>
        <v/>
      </c>
      <c r="F101" s="63">
        <f>IF($C101="","",SUMPRODUCT(('Dvd Calendar'!$E$990:$AR$990&gt;=DATE(YEAR_Y-5,1,1))*('Dvd Calendar'!$E$990:$AR$990&lt;=DATE(YEAR_Y-5,12,31))*'Dvd Calendar'!$E$993:$AR$993*(('Dvd Calendar'!$E$995:$AR$995=TYPE1)*(TYPE1&lt;&gt;"")+('Dvd Calendar'!$E$995:$AR$995=TYPE2)*(TYPE2&lt;&gt;"")+('Dvd Calendar'!$E$995:$AR$995=TYPE3)*(TYPE3&lt;&gt;"")+('Dvd Calendar'!$E$995:$AR$995=TYPE4)*(TYPE4&lt;&gt;"")+('Dvd Calendar'!$E$995:$AR$995=SPECIAL_LBL)*(INC_SPECIALS="Y"))))</f>
        <v/>
      </c>
      <c r="G101" s="64">
        <f>IF($C101="","",SUMPRODUCT(('Dvd Calendar'!$E$990:$AR$990&gt;=DATE(YEAR_Y-4,1,1))*('Dvd Calendar'!$E$990:$AR$990&lt;=DATE(YEAR_Y-4,12,31))*'Dvd Calendar'!$E$993:$AR$993*(('Dvd Calendar'!$E$995:$AR$995=TYPE1)*(TYPE1&lt;&gt;"")+('Dvd Calendar'!$E$995:$AR$995=TYPE2)*(TYPE2&lt;&gt;"")+('Dvd Calendar'!$E$995:$AR$995=TYPE3)*(TYPE3&lt;&gt;"")+('Dvd Calendar'!$E$995:$AR$995=TYPE4)*(TYPE4&lt;&gt;"")+('Dvd Calendar'!$E$995:$AR$995=SPECIAL_LBL)*(INC_SPECIALS="Y"))))</f>
        <v/>
      </c>
      <c r="H101" s="64">
        <f>IF($C101="","",SUMPRODUCT(('Dvd Calendar'!$E$990:$AR$990&gt;=DATE(YEAR_Y-3,1,1))*('Dvd Calendar'!$E$990:$AR$990&lt;=DATE(YEAR_Y-3,12,31))*'Dvd Calendar'!$E$993:$AR$993*(('Dvd Calendar'!$E$995:$AR$995=TYPE1)*(TYPE1&lt;&gt;"")+('Dvd Calendar'!$E$995:$AR$995=TYPE2)*(TYPE2&lt;&gt;"")+('Dvd Calendar'!$E$995:$AR$995=TYPE3)*(TYPE3&lt;&gt;"")+('Dvd Calendar'!$E$995:$AR$995=TYPE4)*(TYPE4&lt;&gt;"")+('Dvd Calendar'!$E$995:$AR$995=SPECIAL_LBL)*(INC_SPECIALS="Y"))))</f>
        <v/>
      </c>
      <c r="I101" s="64">
        <f>IF($C101="","",SUMPRODUCT(('Dvd Calendar'!$E$990:$AR$990&gt;=DATE(YEAR_Y-2,1,1))*('Dvd Calendar'!$E$990:$AR$990&lt;=DATE(YEAR_Y-2,12,31))*'Dvd Calendar'!$E$993:$AR$993*(('Dvd Calendar'!$E$995:$AR$995=TYPE1)*(TYPE1&lt;&gt;"")+('Dvd Calendar'!$E$995:$AR$995=TYPE2)*(TYPE2&lt;&gt;"")+('Dvd Calendar'!$E$995:$AR$995=TYPE3)*(TYPE3&lt;&gt;"")+('Dvd Calendar'!$E$995:$AR$995=TYPE4)*(TYPE4&lt;&gt;"")+('Dvd Calendar'!$E$995:$AR$995=SPECIAL_LBL)*(INC_SPECIALS="Y"))))</f>
        <v/>
      </c>
      <c r="J101" s="64">
        <f>IF($C101="","",SUMPRODUCT(('Dvd Calendar'!$E$990:$AR$990&gt;=DATE(YEAR_Y-1,1,1))*('Dvd Calendar'!$E$990:$AR$990&lt;=DATE(YEAR_Y-1,12,31))*'Dvd Calendar'!$E$993:$AR$993*(('Dvd Calendar'!$E$995:$AR$995=TYPE1)*(TYPE1&lt;&gt;"")+('Dvd Calendar'!$E$995:$AR$995=TYPE2)*(TYPE2&lt;&gt;"")+('Dvd Calendar'!$E$995:$AR$995=TYPE3)*(TYPE3&lt;&gt;"")+('Dvd Calendar'!$E$995:$AR$995=TYPE4)*(TYPE4&lt;&gt;"")+('Dvd Calendar'!$E$995:$AR$995=SPECIAL_LBL)*(INC_SPECIALS="Y"))))</f>
        <v/>
      </c>
      <c r="K101" s="65">
        <f>IF($C101="","",HSI!$J$96)</f>
        <v/>
      </c>
      <c r="L101" s="65">
        <f>IF($C101="","",HSI!$K$96)</f>
        <v/>
      </c>
      <c r="M101" s="41">
        <f>IF($C101="","",AVERAGE(F101:J101))</f>
        <v/>
      </c>
      <c r="N101" s="66">
        <f>IF($C101="","",IF(PULL_FUND="N","",IFERROR(BDP($C101,EPS_FIELD,YR_OVERRIDE,TEXT(YEAR_Y-5,"0")),"")))</f>
        <v/>
      </c>
      <c r="O101" s="67">
        <f>IF($C101="","",IF(PULL_FUND="N","",IFERROR(BDP($C101,EPS_FIELD,YR_OVERRIDE,TEXT(YEAR_Y-4,"0")),"")))</f>
        <v/>
      </c>
      <c r="P101" s="67">
        <f>IF($C101="","",IF(PULL_FUND="N","",IFERROR(BDP($C101,EPS_FIELD,YR_OVERRIDE,TEXT(YEAR_Y-3,"0")),"")))</f>
        <v/>
      </c>
      <c r="Q101" s="67">
        <f>IF($C101="","",IF(PULL_FUND="N","",IFERROR(BDP($C101,EPS_FIELD,YR_OVERRIDE,TEXT(YEAR_Y-2,"0")),"")))</f>
        <v/>
      </c>
      <c r="R101" s="67">
        <f>IF($C101="","",IF(PULL_FUND="N","",IFERROR(BDP($C101,EPS_FIELD,YR_OVERRIDE,TEXT(YEAR_Y-1,"0")),"")))</f>
        <v/>
      </c>
      <c r="S101" s="68">
        <f>IF($C101="","",IF(PULL_FUND="N","",IFERROR(BDP($C101,PAYOUT_FIELD,YR_OVERRIDE,TEXT(YEAR_Y-5,"0"))/100,"")))</f>
        <v/>
      </c>
      <c r="T101" s="68">
        <f>IF($C101="","",IF(PULL_FUND="N","",IFERROR(BDP($C101,PAYOUT_FIELD,YR_OVERRIDE,TEXT(YEAR_Y-4,"0"))/100,"")))</f>
        <v/>
      </c>
      <c r="U101" s="68">
        <f>IF($C101="","",IF(PULL_FUND="N","",IFERROR(BDP($C101,PAYOUT_FIELD,YR_OVERRIDE,TEXT(YEAR_Y-3,"0"))/100,"")))</f>
        <v/>
      </c>
      <c r="V101" s="68">
        <f>IF($C101="","",IF(PULL_FUND="N","",IFERROR(BDP($C101,PAYOUT_FIELD,YR_OVERRIDE,TEXT(YEAR_Y-2,"0"))/100,"")))</f>
        <v/>
      </c>
      <c r="W101" s="68">
        <f>IF($C101="","",IF(PULL_FUND="N","",IFERROR(BDP($C101,PAYOUT_FIELD,YR_OVERRIDE,TEXT(YEAR_Y-1,"0"))/100,"")))</f>
        <v/>
      </c>
      <c r="X101" s="69">
        <f>IF($C101="","",IFERROR(AVERAGE(S101:W101),""))</f>
        <v/>
      </c>
      <c r="Y101" s="66">
        <f>IF($C101="","",IF(PULL_FUND="N","",IFERROR(BDP($C101,BESTEPS_FIELD,FWD_OVERRIDE,TEXT(MOD(YEAR_Y,100),"00")&amp;"Y"),"")))</f>
        <v/>
      </c>
      <c r="Z101" s="70">
        <f>IF($C101="","",IF(PULL_FUND="N","",IFERROR(BDP($C101,BESTDPS_FIELD,FWD_OVERRIDE,TEXT(MOD(YEAR_Y,100),"00")&amp;"Y"),"")))</f>
        <v/>
      </c>
      <c r="AA101" s="71">
        <f>IF($C101="","",IF(ISNUMBER($Y101)*ISNUMBER($Z101)*($Y101&lt;&gt;0)=0,"",$Z101/$Y101))</f>
        <v/>
      </c>
      <c r="AB101" s="41">
        <f>IF($C101="","",HSI!$J$96+HSI!$L$96)</f>
        <v/>
      </c>
      <c r="AC101" s="72">
        <f>IF($C101="","",IF(PULL_FUND="N","",IF(COUNTIFS('Fund History'!$G$542:$G$546,"&gt;="&amp;DATE(YEAR_Y-4,1,1),'Fund History'!$G$542:$G$546,"&lt;="&amp;DATE(YEAR_Y-4,12,31))=0,"",SUMIFS('Fund History'!$H$542:$H$546,'Fund History'!$G$542:$G$546,"&gt;="&amp;DATE(YEAR_Y-4,1,1),'Fund History'!$G$542:$G$546,"&lt;="&amp;DATE(YEAR_Y-4,12,31))/100)))</f>
        <v/>
      </c>
      <c r="AD101" s="73">
        <f>IF($C101="","",IF(PULL_FUND="N","",IF(COUNTIFS('Fund History'!$G$542:$G$546,"&gt;="&amp;DATE(YEAR_Y-3,1,1),'Fund History'!$G$542:$G$546,"&lt;="&amp;DATE(YEAR_Y-3,12,31))=0,"",SUMIFS('Fund History'!$H$542:$H$546,'Fund History'!$G$542:$G$546,"&gt;="&amp;DATE(YEAR_Y-3,1,1),'Fund History'!$G$542:$G$546,"&lt;="&amp;DATE(YEAR_Y-3,12,31))/100)))</f>
        <v/>
      </c>
      <c r="AE101" s="73">
        <f>IF($C101="","",IF(PULL_FUND="N","",IF(COUNTIFS('Fund History'!$G$542:$G$546,"&gt;="&amp;DATE(YEAR_Y-2,1,1),'Fund History'!$G$542:$G$546,"&lt;="&amp;DATE(YEAR_Y-2,12,31))=0,"",SUMIFS('Fund History'!$H$542:$H$546,'Fund History'!$G$542:$G$546,"&gt;="&amp;DATE(YEAR_Y-2,1,1),'Fund History'!$G$542:$G$546,"&lt;="&amp;DATE(YEAR_Y-2,12,31))/100)))</f>
        <v/>
      </c>
      <c r="AF101" s="73">
        <f>IF($C101="","",IF(PULL_FUND="N","",IF(COUNTIFS('Fund History'!$G$542:$G$546,"&gt;="&amp;DATE(YEAR_Y-1,1,1),'Fund History'!$G$542:$G$546,"&lt;="&amp;DATE(YEAR_Y-1,12,31))=0,"",SUMIFS('Fund History'!$H$542:$H$546,'Fund History'!$G$542:$G$546,"&gt;="&amp;DATE(YEAR_Y-1,1,1),'Fund History'!$G$542:$G$546,"&lt;="&amp;DATE(YEAR_Y-1,12,31))/100)))</f>
        <v/>
      </c>
      <c r="AG101" s="74">
        <f>IF($C101="","",IF(N($AF101)+N(HSI!$I$96)=0,"",N($AF101)+N(HSI!$I$96)/100))</f>
        <v/>
      </c>
      <c r="AH101" s="66">
        <f>IF($C101="","",IF(PULL_FUND="N","",IF(COUNTIFS('Fund History'!$D$542:$D$546,"&gt;="&amp;DATE(YEAR_Y-2,1,1),'Fund History'!$D$542:$D$546,"&lt;="&amp;DATE(YEAR_Y-2,12,31))=0,"",SUMIFS('Fund History'!$E$542:$E$546,'Fund History'!$D$542:$D$546,"&gt;="&amp;DATE(YEAR_Y-2,1,1),'Fund History'!$D$542:$D$546,"&lt;="&amp;DATE(YEAR_Y-2,12,31)))))</f>
        <v/>
      </c>
      <c r="AI101" s="67">
        <f>IF($C101="","",IF(PULL_FUND="N","",IF(COUNTIFS('Fund History'!$D$542:$D$546,"&gt;="&amp;DATE(YEAR_Y-1,1,1),'Fund History'!$D$542:$D$546,"&lt;="&amp;DATE(YEAR_Y-1,12,31))=0,"",SUMIFS('Fund History'!$E$542:$E$546,'Fund History'!$D$542:$D$546,"&gt;="&amp;DATE(YEAR_Y-1,1,1),'Fund History'!$D$542:$D$546,"&lt;="&amp;DATE(YEAR_Y-1,12,31)))))</f>
        <v/>
      </c>
      <c r="AJ101" s="67">
        <f>IF($C101="","",IF(PULL_FUND="N","",IFERROR(BDP($C101,NDEBITDA_FIELD),"")))</f>
        <v/>
      </c>
      <c r="AK101" s="75">
        <f>IF($C101="","",IF(PULL_FUND="N","",IFERROR(BDP($C101,EBINT_FIELD),"")))</f>
        <v/>
      </c>
      <c r="AL101" s="73">
        <f>IF($C101="","",IF(PULL_FUND="N","",IFERROR(BDP($C101,FCF_FIELD)/100,"")))</f>
        <v/>
      </c>
      <c r="AM101" s="76">
        <f>IF($C101="","",IF(ISNUMBER(HSI!$I$96),HSI!$I$96/100,""))</f>
        <v/>
      </c>
      <c r="AN101" s="47">
        <f>IF($C101="","",IF(N($AM101)=0,"",IFERROR($AL101/$AM101,"")))</f>
        <v/>
      </c>
      <c r="AO101" s="33">
        <f>IF($C101="","",IF(ISNUMBER($S101)*ISNUMBER($W101)=0,"",IF($W101&gt;$S101+0.05,"rising",IF($W101&lt;$S101-0.05,"falling","stable"))))</f>
        <v/>
      </c>
      <c r="AP101" s="77">
        <f>IF($C101="","",TRIM(IF(ISNUMBER($X101)*(N($X101)&gt;$D$4)&gt;0,"payout high  ","")&amp;IF(ISNUMBER($AN101)*(N($AN101)&lt;$F$4)&gt;0,"FCF below dvd  ","")&amp;IF(ISNUMBER($AJ101)*(N($AJ101)&gt;$H$4)&gt;0,"leverage high","")))</f>
        <v/>
      </c>
      <c r="AQ101" s="78">
        <f>IF($C101="","",IF(HSI!$F$96="HKD","",HSI!$F$96))</f>
        <v/>
      </c>
    </row>
    <row r="102">
      <c r="B102" s="62" t="inlineStr">
        <is>
          <t>HSI</t>
        </is>
      </c>
      <c r="C102" s="6">
        <f>IF(HSI!$C$97="","",HSI!$C$97)</f>
        <v/>
      </c>
      <c r="D102" s="6">
        <f>IF($C102="","",HSI!$D$97)</f>
        <v/>
      </c>
      <c r="E102" s="6">
        <f>IF($C102="","",HSI!$E$97)</f>
        <v/>
      </c>
      <c r="F102" s="63">
        <f>IF($C102="","",SUMPRODUCT(('Dvd Calendar'!$E$1001:$AR$1001&gt;=DATE(YEAR_Y-5,1,1))*('Dvd Calendar'!$E$1001:$AR$1001&lt;=DATE(YEAR_Y-5,12,31))*'Dvd Calendar'!$E$1004:$AR$1004*(('Dvd Calendar'!$E$1006:$AR$1006=TYPE1)*(TYPE1&lt;&gt;"")+('Dvd Calendar'!$E$1006:$AR$1006=TYPE2)*(TYPE2&lt;&gt;"")+('Dvd Calendar'!$E$1006:$AR$1006=TYPE3)*(TYPE3&lt;&gt;"")+('Dvd Calendar'!$E$1006:$AR$1006=TYPE4)*(TYPE4&lt;&gt;"")+('Dvd Calendar'!$E$1006:$AR$1006=SPECIAL_LBL)*(INC_SPECIALS="Y"))))</f>
        <v/>
      </c>
      <c r="G102" s="64">
        <f>IF($C102="","",SUMPRODUCT(('Dvd Calendar'!$E$1001:$AR$1001&gt;=DATE(YEAR_Y-4,1,1))*('Dvd Calendar'!$E$1001:$AR$1001&lt;=DATE(YEAR_Y-4,12,31))*'Dvd Calendar'!$E$1004:$AR$1004*(('Dvd Calendar'!$E$1006:$AR$1006=TYPE1)*(TYPE1&lt;&gt;"")+('Dvd Calendar'!$E$1006:$AR$1006=TYPE2)*(TYPE2&lt;&gt;"")+('Dvd Calendar'!$E$1006:$AR$1006=TYPE3)*(TYPE3&lt;&gt;"")+('Dvd Calendar'!$E$1006:$AR$1006=TYPE4)*(TYPE4&lt;&gt;"")+('Dvd Calendar'!$E$1006:$AR$1006=SPECIAL_LBL)*(INC_SPECIALS="Y"))))</f>
        <v/>
      </c>
      <c r="H102" s="64">
        <f>IF($C102="","",SUMPRODUCT(('Dvd Calendar'!$E$1001:$AR$1001&gt;=DATE(YEAR_Y-3,1,1))*('Dvd Calendar'!$E$1001:$AR$1001&lt;=DATE(YEAR_Y-3,12,31))*'Dvd Calendar'!$E$1004:$AR$1004*(('Dvd Calendar'!$E$1006:$AR$1006=TYPE1)*(TYPE1&lt;&gt;"")+('Dvd Calendar'!$E$1006:$AR$1006=TYPE2)*(TYPE2&lt;&gt;"")+('Dvd Calendar'!$E$1006:$AR$1006=TYPE3)*(TYPE3&lt;&gt;"")+('Dvd Calendar'!$E$1006:$AR$1006=TYPE4)*(TYPE4&lt;&gt;"")+('Dvd Calendar'!$E$1006:$AR$1006=SPECIAL_LBL)*(INC_SPECIALS="Y"))))</f>
        <v/>
      </c>
      <c r="I102" s="64">
        <f>IF($C102="","",SUMPRODUCT(('Dvd Calendar'!$E$1001:$AR$1001&gt;=DATE(YEAR_Y-2,1,1))*('Dvd Calendar'!$E$1001:$AR$1001&lt;=DATE(YEAR_Y-2,12,31))*'Dvd Calendar'!$E$1004:$AR$1004*(('Dvd Calendar'!$E$1006:$AR$1006=TYPE1)*(TYPE1&lt;&gt;"")+('Dvd Calendar'!$E$1006:$AR$1006=TYPE2)*(TYPE2&lt;&gt;"")+('Dvd Calendar'!$E$1006:$AR$1006=TYPE3)*(TYPE3&lt;&gt;"")+('Dvd Calendar'!$E$1006:$AR$1006=TYPE4)*(TYPE4&lt;&gt;"")+('Dvd Calendar'!$E$1006:$AR$1006=SPECIAL_LBL)*(INC_SPECIALS="Y"))))</f>
        <v/>
      </c>
      <c r="J102" s="64">
        <f>IF($C102="","",SUMPRODUCT(('Dvd Calendar'!$E$1001:$AR$1001&gt;=DATE(YEAR_Y-1,1,1))*('Dvd Calendar'!$E$1001:$AR$1001&lt;=DATE(YEAR_Y-1,12,31))*'Dvd Calendar'!$E$1004:$AR$1004*(('Dvd Calendar'!$E$1006:$AR$1006=TYPE1)*(TYPE1&lt;&gt;"")+('Dvd Calendar'!$E$1006:$AR$1006=TYPE2)*(TYPE2&lt;&gt;"")+('Dvd Calendar'!$E$1006:$AR$1006=TYPE3)*(TYPE3&lt;&gt;"")+('Dvd Calendar'!$E$1006:$AR$1006=TYPE4)*(TYPE4&lt;&gt;"")+('Dvd Calendar'!$E$1006:$AR$1006=SPECIAL_LBL)*(INC_SPECIALS="Y"))))</f>
        <v/>
      </c>
      <c r="K102" s="65">
        <f>IF($C102="","",HSI!$J$97)</f>
        <v/>
      </c>
      <c r="L102" s="65">
        <f>IF($C102="","",HSI!$K$97)</f>
        <v/>
      </c>
      <c r="M102" s="41">
        <f>IF($C102="","",AVERAGE(F102:J102))</f>
        <v/>
      </c>
      <c r="N102" s="66">
        <f>IF($C102="","",IF(PULL_FUND="N","",IFERROR(BDP($C102,EPS_FIELD,YR_OVERRIDE,TEXT(YEAR_Y-5,"0")),"")))</f>
        <v/>
      </c>
      <c r="O102" s="67">
        <f>IF($C102="","",IF(PULL_FUND="N","",IFERROR(BDP($C102,EPS_FIELD,YR_OVERRIDE,TEXT(YEAR_Y-4,"0")),"")))</f>
        <v/>
      </c>
      <c r="P102" s="67">
        <f>IF($C102="","",IF(PULL_FUND="N","",IFERROR(BDP($C102,EPS_FIELD,YR_OVERRIDE,TEXT(YEAR_Y-3,"0")),"")))</f>
        <v/>
      </c>
      <c r="Q102" s="67">
        <f>IF($C102="","",IF(PULL_FUND="N","",IFERROR(BDP($C102,EPS_FIELD,YR_OVERRIDE,TEXT(YEAR_Y-2,"0")),"")))</f>
        <v/>
      </c>
      <c r="R102" s="67">
        <f>IF($C102="","",IF(PULL_FUND="N","",IFERROR(BDP($C102,EPS_FIELD,YR_OVERRIDE,TEXT(YEAR_Y-1,"0")),"")))</f>
        <v/>
      </c>
      <c r="S102" s="68">
        <f>IF($C102="","",IF(PULL_FUND="N","",IFERROR(BDP($C102,PAYOUT_FIELD,YR_OVERRIDE,TEXT(YEAR_Y-5,"0"))/100,"")))</f>
        <v/>
      </c>
      <c r="T102" s="68">
        <f>IF($C102="","",IF(PULL_FUND="N","",IFERROR(BDP($C102,PAYOUT_FIELD,YR_OVERRIDE,TEXT(YEAR_Y-4,"0"))/100,"")))</f>
        <v/>
      </c>
      <c r="U102" s="68">
        <f>IF($C102="","",IF(PULL_FUND="N","",IFERROR(BDP($C102,PAYOUT_FIELD,YR_OVERRIDE,TEXT(YEAR_Y-3,"0"))/100,"")))</f>
        <v/>
      </c>
      <c r="V102" s="68">
        <f>IF($C102="","",IF(PULL_FUND="N","",IFERROR(BDP($C102,PAYOUT_FIELD,YR_OVERRIDE,TEXT(YEAR_Y-2,"0"))/100,"")))</f>
        <v/>
      </c>
      <c r="W102" s="68">
        <f>IF($C102="","",IF(PULL_FUND="N","",IFERROR(BDP($C102,PAYOUT_FIELD,YR_OVERRIDE,TEXT(YEAR_Y-1,"0"))/100,"")))</f>
        <v/>
      </c>
      <c r="X102" s="69">
        <f>IF($C102="","",IFERROR(AVERAGE(S102:W102),""))</f>
        <v/>
      </c>
      <c r="Y102" s="66">
        <f>IF($C102="","",IF(PULL_FUND="N","",IFERROR(BDP($C102,BESTEPS_FIELD,FWD_OVERRIDE,TEXT(MOD(YEAR_Y,100),"00")&amp;"Y"),"")))</f>
        <v/>
      </c>
      <c r="Z102" s="70">
        <f>IF($C102="","",IF(PULL_FUND="N","",IFERROR(BDP($C102,BESTDPS_FIELD,FWD_OVERRIDE,TEXT(MOD(YEAR_Y,100),"00")&amp;"Y"),"")))</f>
        <v/>
      </c>
      <c r="AA102" s="71">
        <f>IF($C102="","",IF(ISNUMBER($Y102)*ISNUMBER($Z102)*($Y102&lt;&gt;0)=0,"",$Z102/$Y102))</f>
        <v/>
      </c>
      <c r="AB102" s="41">
        <f>IF($C102="","",HSI!$J$97+HSI!$L$97)</f>
        <v/>
      </c>
      <c r="AC102" s="72">
        <f>IF($C102="","",IF(PULL_FUND="N","",IF(COUNTIFS('Fund History'!$G$548:$G$552,"&gt;="&amp;DATE(YEAR_Y-4,1,1),'Fund History'!$G$548:$G$552,"&lt;="&amp;DATE(YEAR_Y-4,12,31))=0,"",SUMIFS('Fund History'!$H$548:$H$552,'Fund History'!$G$548:$G$552,"&gt;="&amp;DATE(YEAR_Y-4,1,1),'Fund History'!$G$548:$G$552,"&lt;="&amp;DATE(YEAR_Y-4,12,31))/100)))</f>
        <v/>
      </c>
      <c r="AD102" s="73">
        <f>IF($C102="","",IF(PULL_FUND="N","",IF(COUNTIFS('Fund History'!$G$548:$G$552,"&gt;="&amp;DATE(YEAR_Y-3,1,1),'Fund History'!$G$548:$G$552,"&lt;="&amp;DATE(YEAR_Y-3,12,31))=0,"",SUMIFS('Fund History'!$H$548:$H$552,'Fund History'!$G$548:$G$552,"&gt;="&amp;DATE(YEAR_Y-3,1,1),'Fund History'!$G$548:$G$552,"&lt;="&amp;DATE(YEAR_Y-3,12,31))/100)))</f>
        <v/>
      </c>
      <c r="AE102" s="73">
        <f>IF($C102="","",IF(PULL_FUND="N","",IF(COUNTIFS('Fund History'!$G$548:$G$552,"&gt;="&amp;DATE(YEAR_Y-2,1,1),'Fund History'!$G$548:$G$552,"&lt;="&amp;DATE(YEAR_Y-2,12,31))=0,"",SUMIFS('Fund History'!$H$548:$H$552,'Fund History'!$G$548:$G$552,"&gt;="&amp;DATE(YEAR_Y-2,1,1),'Fund History'!$G$548:$G$552,"&lt;="&amp;DATE(YEAR_Y-2,12,31))/100)))</f>
        <v/>
      </c>
      <c r="AF102" s="73">
        <f>IF($C102="","",IF(PULL_FUND="N","",IF(COUNTIFS('Fund History'!$G$548:$G$552,"&gt;="&amp;DATE(YEAR_Y-1,1,1),'Fund History'!$G$548:$G$552,"&lt;="&amp;DATE(YEAR_Y-1,12,31))=0,"",SUMIFS('Fund History'!$H$548:$H$552,'Fund History'!$G$548:$G$552,"&gt;="&amp;DATE(YEAR_Y-1,1,1),'Fund History'!$G$548:$G$552,"&lt;="&amp;DATE(YEAR_Y-1,12,31))/100)))</f>
        <v/>
      </c>
      <c r="AG102" s="74">
        <f>IF($C102="","",IF(N($AF102)+N(HSI!$I$97)=0,"",N($AF102)+N(HSI!$I$97)/100))</f>
        <v/>
      </c>
      <c r="AH102" s="66">
        <f>IF($C102="","",IF(PULL_FUND="N","",IF(COUNTIFS('Fund History'!$D$548:$D$552,"&gt;="&amp;DATE(YEAR_Y-2,1,1),'Fund History'!$D$548:$D$552,"&lt;="&amp;DATE(YEAR_Y-2,12,31))=0,"",SUMIFS('Fund History'!$E$548:$E$552,'Fund History'!$D$548:$D$552,"&gt;="&amp;DATE(YEAR_Y-2,1,1),'Fund History'!$D$548:$D$552,"&lt;="&amp;DATE(YEAR_Y-2,12,31)))))</f>
        <v/>
      </c>
      <c r="AI102" s="67">
        <f>IF($C102="","",IF(PULL_FUND="N","",IF(COUNTIFS('Fund History'!$D$548:$D$552,"&gt;="&amp;DATE(YEAR_Y-1,1,1),'Fund History'!$D$548:$D$552,"&lt;="&amp;DATE(YEAR_Y-1,12,31))=0,"",SUMIFS('Fund History'!$E$548:$E$552,'Fund History'!$D$548:$D$552,"&gt;="&amp;DATE(YEAR_Y-1,1,1),'Fund History'!$D$548:$D$552,"&lt;="&amp;DATE(YEAR_Y-1,12,31)))))</f>
        <v/>
      </c>
      <c r="AJ102" s="67">
        <f>IF($C102="","",IF(PULL_FUND="N","",IFERROR(BDP($C102,NDEBITDA_FIELD),"")))</f>
        <v/>
      </c>
      <c r="AK102" s="75">
        <f>IF($C102="","",IF(PULL_FUND="N","",IFERROR(BDP($C102,EBINT_FIELD),"")))</f>
        <v/>
      </c>
      <c r="AL102" s="73">
        <f>IF($C102="","",IF(PULL_FUND="N","",IFERROR(BDP($C102,FCF_FIELD)/100,"")))</f>
        <v/>
      </c>
      <c r="AM102" s="76">
        <f>IF($C102="","",IF(ISNUMBER(HSI!$I$97),HSI!$I$97/100,""))</f>
        <v/>
      </c>
      <c r="AN102" s="47">
        <f>IF($C102="","",IF(N($AM102)=0,"",IFERROR($AL102/$AM102,"")))</f>
        <v/>
      </c>
      <c r="AO102" s="33">
        <f>IF($C102="","",IF(ISNUMBER($S102)*ISNUMBER($W102)=0,"",IF($W102&gt;$S102+0.05,"rising",IF($W102&lt;$S102-0.05,"falling","stable"))))</f>
        <v/>
      </c>
      <c r="AP102" s="77">
        <f>IF($C102="","",TRIM(IF(ISNUMBER($X102)*(N($X102)&gt;$D$4)&gt;0,"payout high  ","")&amp;IF(ISNUMBER($AN102)*(N($AN102)&lt;$F$4)&gt;0,"FCF below dvd  ","")&amp;IF(ISNUMBER($AJ102)*(N($AJ102)&gt;$H$4)&gt;0,"leverage high","")))</f>
        <v/>
      </c>
      <c r="AQ102" s="78">
        <f>IF($C102="","",IF(HSI!$F$97="HKD","",HSI!$F$97))</f>
        <v/>
      </c>
    </row>
    <row r="103">
      <c r="B103" s="62" t="inlineStr">
        <is>
          <t>HSI</t>
        </is>
      </c>
      <c r="C103" s="6">
        <f>IF(HSI!$C$98="","",HSI!$C$98)</f>
        <v/>
      </c>
      <c r="D103" s="6">
        <f>IF($C103="","",HSI!$D$98)</f>
        <v/>
      </c>
      <c r="E103" s="6">
        <f>IF($C103="","",HSI!$E$98)</f>
        <v/>
      </c>
      <c r="F103" s="63">
        <f>IF($C103="","",SUMPRODUCT(('Dvd Calendar'!$E$1012:$AR$1012&gt;=DATE(YEAR_Y-5,1,1))*('Dvd Calendar'!$E$1012:$AR$1012&lt;=DATE(YEAR_Y-5,12,31))*'Dvd Calendar'!$E$1015:$AR$1015*(('Dvd Calendar'!$E$1017:$AR$1017=TYPE1)*(TYPE1&lt;&gt;"")+('Dvd Calendar'!$E$1017:$AR$1017=TYPE2)*(TYPE2&lt;&gt;"")+('Dvd Calendar'!$E$1017:$AR$1017=TYPE3)*(TYPE3&lt;&gt;"")+('Dvd Calendar'!$E$1017:$AR$1017=TYPE4)*(TYPE4&lt;&gt;"")+('Dvd Calendar'!$E$1017:$AR$1017=SPECIAL_LBL)*(INC_SPECIALS="Y"))))</f>
        <v/>
      </c>
      <c r="G103" s="64">
        <f>IF($C103="","",SUMPRODUCT(('Dvd Calendar'!$E$1012:$AR$1012&gt;=DATE(YEAR_Y-4,1,1))*('Dvd Calendar'!$E$1012:$AR$1012&lt;=DATE(YEAR_Y-4,12,31))*'Dvd Calendar'!$E$1015:$AR$1015*(('Dvd Calendar'!$E$1017:$AR$1017=TYPE1)*(TYPE1&lt;&gt;"")+('Dvd Calendar'!$E$1017:$AR$1017=TYPE2)*(TYPE2&lt;&gt;"")+('Dvd Calendar'!$E$1017:$AR$1017=TYPE3)*(TYPE3&lt;&gt;"")+('Dvd Calendar'!$E$1017:$AR$1017=TYPE4)*(TYPE4&lt;&gt;"")+('Dvd Calendar'!$E$1017:$AR$1017=SPECIAL_LBL)*(INC_SPECIALS="Y"))))</f>
        <v/>
      </c>
      <c r="H103" s="64">
        <f>IF($C103="","",SUMPRODUCT(('Dvd Calendar'!$E$1012:$AR$1012&gt;=DATE(YEAR_Y-3,1,1))*('Dvd Calendar'!$E$1012:$AR$1012&lt;=DATE(YEAR_Y-3,12,31))*'Dvd Calendar'!$E$1015:$AR$1015*(('Dvd Calendar'!$E$1017:$AR$1017=TYPE1)*(TYPE1&lt;&gt;"")+('Dvd Calendar'!$E$1017:$AR$1017=TYPE2)*(TYPE2&lt;&gt;"")+('Dvd Calendar'!$E$1017:$AR$1017=TYPE3)*(TYPE3&lt;&gt;"")+('Dvd Calendar'!$E$1017:$AR$1017=TYPE4)*(TYPE4&lt;&gt;"")+('Dvd Calendar'!$E$1017:$AR$1017=SPECIAL_LBL)*(INC_SPECIALS="Y"))))</f>
        <v/>
      </c>
      <c r="I103" s="64">
        <f>IF($C103="","",SUMPRODUCT(('Dvd Calendar'!$E$1012:$AR$1012&gt;=DATE(YEAR_Y-2,1,1))*('Dvd Calendar'!$E$1012:$AR$1012&lt;=DATE(YEAR_Y-2,12,31))*'Dvd Calendar'!$E$1015:$AR$1015*(('Dvd Calendar'!$E$1017:$AR$1017=TYPE1)*(TYPE1&lt;&gt;"")+('Dvd Calendar'!$E$1017:$AR$1017=TYPE2)*(TYPE2&lt;&gt;"")+('Dvd Calendar'!$E$1017:$AR$1017=TYPE3)*(TYPE3&lt;&gt;"")+('Dvd Calendar'!$E$1017:$AR$1017=TYPE4)*(TYPE4&lt;&gt;"")+('Dvd Calendar'!$E$1017:$AR$1017=SPECIAL_LBL)*(INC_SPECIALS="Y"))))</f>
        <v/>
      </c>
      <c r="J103" s="64">
        <f>IF($C103="","",SUMPRODUCT(('Dvd Calendar'!$E$1012:$AR$1012&gt;=DATE(YEAR_Y-1,1,1))*('Dvd Calendar'!$E$1012:$AR$1012&lt;=DATE(YEAR_Y-1,12,31))*'Dvd Calendar'!$E$1015:$AR$1015*(('Dvd Calendar'!$E$1017:$AR$1017=TYPE1)*(TYPE1&lt;&gt;"")+('Dvd Calendar'!$E$1017:$AR$1017=TYPE2)*(TYPE2&lt;&gt;"")+('Dvd Calendar'!$E$1017:$AR$1017=TYPE3)*(TYPE3&lt;&gt;"")+('Dvd Calendar'!$E$1017:$AR$1017=TYPE4)*(TYPE4&lt;&gt;"")+('Dvd Calendar'!$E$1017:$AR$1017=SPECIAL_LBL)*(INC_SPECIALS="Y"))))</f>
        <v/>
      </c>
      <c r="K103" s="65">
        <f>IF($C103="","",HSI!$J$98)</f>
        <v/>
      </c>
      <c r="L103" s="65">
        <f>IF($C103="","",HSI!$K$98)</f>
        <v/>
      </c>
      <c r="M103" s="41">
        <f>IF($C103="","",AVERAGE(F103:J103))</f>
        <v/>
      </c>
      <c r="N103" s="66">
        <f>IF($C103="","",IF(PULL_FUND="N","",IFERROR(BDP($C103,EPS_FIELD,YR_OVERRIDE,TEXT(YEAR_Y-5,"0")),"")))</f>
        <v/>
      </c>
      <c r="O103" s="67">
        <f>IF($C103="","",IF(PULL_FUND="N","",IFERROR(BDP($C103,EPS_FIELD,YR_OVERRIDE,TEXT(YEAR_Y-4,"0")),"")))</f>
        <v/>
      </c>
      <c r="P103" s="67">
        <f>IF($C103="","",IF(PULL_FUND="N","",IFERROR(BDP($C103,EPS_FIELD,YR_OVERRIDE,TEXT(YEAR_Y-3,"0")),"")))</f>
        <v/>
      </c>
      <c r="Q103" s="67">
        <f>IF($C103="","",IF(PULL_FUND="N","",IFERROR(BDP($C103,EPS_FIELD,YR_OVERRIDE,TEXT(YEAR_Y-2,"0")),"")))</f>
        <v/>
      </c>
      <c r="R103" s="67">
        <f>IF($C103="","",IF(PULL_FUND="N","",IFERROR(BDP($C103,EPS_FIELD,YR_OVERRIDE,TEXT(YEAR_Y-1,"0")),"")))</f>
        <v/>
      </c>
      <c r="S103" s="68">
        <f>IF($C103="","",IF(PULL_FUND="N","",IFERROR(BDP($C103,PAYOUT_FIELD,YR_OVERRIDE,TEXT(YEAR_Y-5,"0"))/100,"")))</f>
        <v/>
      </c>
      <c r="T103" s="68">
        <f>IF($C103="","",IF(PULL_FUND="N","",IFERROR(BDP($C103,PAYOUT_FIELD,YR_OVERRIDE,TEXT(YEAR_Y-4,"0"))/100,"")))</f>
        <v/>
      </c>
      <c r="U103" s="68">
        <f>IF($C103="","",IF(PULL_FUND="N","",IFERROR(BDP($C103,PAYOUT_FIELD,YR_OVERRIDE,TEXT(YEAR_Y-3,"0"))/100,"")))</f>
        <v/>
      </c>
      <c r="V103" s="68">
        <f>IF($C103="","",IF(PULL_FUND="N","",IFERROR(BDP($C103,PAYOUT_FIELD,YR_OVERRIDE,TEXT(YEAR_Y-2,"0"))/100,"")))</f>
        <v/>
      </c>
      <c r="W103" s="68">
        <f>IF($C103="","",IF(PULL_FUND="N","",IFERROR(BDP($C103,PAYOUT_FIELD,YR_OVERRIDE,TEXT(YEAR_Y-1,"0"))/100,"")))</f>
        <v/>
      </c>
      <c r="X103" s="69">
        <f>IF($C103="","",IFERROR(AVERAGE(S103:W103),""))</f>
        <v/>
      </c>
      <c r="Y103" s="66">
        <f>IF($C103="","",IF(PULL_FUND="N","",IFERROR(BDP($C103,BESTEPS_FIELD,FWD_OVERRIDE,TEXT(MOD(YEAR_Y,100),"00")&amp;"Y"),"")))</f>
        <v/>
      </c>
      <c r="Z103" s="70">
        <f>IF($C103="","",IF(PULL_FUND="N","",IFERROR(BDP($C103,BESTDPS_FIELD,FWD_OVERRIDE,TEXT(MOD(YEAR_Y,100),"00")&amp;"Y"),"")))</f>
        <v/>
      </c>
      <c r="AA103" s="71">
        <f>IF($C103="","",IF(ISNUMBER($Y103)*ISNUMBER($Z103)*($Y103&lt;&gt;0)=0,"",$Z103/$Y103))</f>
        <v/>
      </c>
      <c r="AB103" s="41">
        <f>IF($C103="","",HSI!$J$98+HSI!$L$98)</f>
        <v/>
      </c>
      <c r="AC103" s="72">
        <f>IF($C103="","",IF(PULL_FUND="N","",IF(COUNTIFS('Fund History'!$G$554:$G$558,"&gt;="&amp;DATE(YEAR_Y-4,1,1),'Fund History'!$G$554:$G$558,"&lt;="&amp;DATE(YEAR_Y-4,12,31))=0,"",SUMIFS('Fund History'!$H$554:$H$558,'Fund History'!$G$554:$G$558,"&gt;="&amp;DATE(YEAR_Y-4,1,1),'Fund History'!$G$554:$G$558,"&lt;="&amp;DATE(YEAR_Y-4,12,31))/100)))</f>
        <v/>
      </c>
      <c r="AD103" s="73">
        <f>IF($C103="","",IF(PULL_FUND="N","",IF(COUNTIFS('Fund History'!$G$554:$G$558,"&gt;="&amp;DATE(YEAR_Y-3,1,1),'Fund History'!$G$554:$G$558,"&lt;="&amp;DATE(YEAR_Y-3,12,31))=0,"",SUMIFS('Fund History'!$H$554:$H$558,'Fund History'!$G$554:$G$558,"&gt;="&amp;DATE(YEAR_Y-3,1,1),'Fund History'!$G$554:$G$558,"&lt;="&amp;DATE(YEAR_Y-3,12,31))/100)))</f>
        <v/>
      </c>
      <c r="AE103" s="73">
        <f>IF($C103="","",IF(PULL_FUND="N","",IF(COUNTIFS('Fund History'!$G$554:$G$558,"&gt;="&amp;DATE(YEAR_Y-2,1,1),'Fund History'!$G$554:$G$558,"&lt;="&amp;DATE(YEAR_Y-2,12,31))=0,"",SUMIFS('Fund History'!$H$554:$H$558,'Fund History'!$G$554:$G$558,"&gt;="&amp;DATE(YEAR_Y-2,1,1),'Fund History'!$G$554:$G$558,"&lt;="&amp;DATE(YEAR_Y-2,12,31))/100)))</f>
        <v/>
      </c>
      <c r="AF103" s="73">
        <f>IF($C103="","",IF(PULL_FUND="N","",IF(COUNTIFS('Fund History'!$G$554:$G$558,"&gt;="&amp;DATE(YEAR_Y-1,1,1),'Fund History'!$G$554:$G$558,"&lt;="&amp;DATE(YEAR_Y-1,12,31))=0,"",SUMIFS('Fund History'!$H$554:$H$558,'Fund History'!$G$554:$G$558,"&gt;="&amp;DATE(YEAR_Y-1,1,1),'Fund History'!$G$554:$G$558,"&lt;="&amp;DATE(YEAR_Y-1,12,31))/100)))</f>
        <v/>
      </c>
      <c r="AG103" s="74">
        <f>IF($C103="","",IF(N($AF103)+N(HSI!$I$98)=0,"",N($AF103)+N(HSI!$I$98)/100))</f>
        <v/>
      </c>
      <c r="AH103" s="66">
        <f>IF($C103="","",IF(PULL_FUND="N","",IF(COUNTIFS('Fund History'!$D$554:$D$558,"&gt;="&amp;DATE(YEAR_Y-2,1,1),'Fund History'!$D$554:$D$558,"&lt;="&amp;DATE(YEAR_Y-2,12,31))=0,"",SUMIFS('Fund History'!$E$554:$E$558,'Fund History'!$D$554:$D$558,"&gt;="&amp;DATE(YEAR_Y-2,1,1),'Fund History'!$D$554:$D$558,"&lt;="&amp;DATE(YEAR_Y-2,12,31)))))</f>
        <v/>
      </c>
      <c r="AI103" s="67">
        <f>IF($C103="","",IF(PULL_FUND="N","",IF(COUNTIFS('Fund History'!$D$554:$D$558,"&gt;="&amp;DATE(YEAR_Y-1,1,1),'Fund History'!$D$554:$D$558,"&lt;="&amp;DATE(YEAR_Y-1,12,31))=0,"",SUMIFS('Fund History'!$E$554:$E$558,'Fund History'!$D$554:$D$558,"&gt;="&amp;DATE(YEAR_Y-1,1,1),'Fund History'!$D$554:$D$558,"&lt;="&amp;DATE(YEAR_Y-1,12,31)))))</f>
        <v/>
      </c>
      <c r="AJ103" s="67">
        <f>IF($C103="","",IF(PULL_FUND="N","",IFERROR(BDP($C103,NDEBITDA_FIELD),"")))</f>
        <v/>
      </c>
      <c r="AK103" s="75">
        <f>IF($C103="","",IF(PULL_FUND="N","",IFERROR(BDP($C103,EBINT_FIELD),"")))</f>
        <v/>
      </c>
      <c r="AL103" s="73">
        <f>IF($C103="","",IF(PULL_FUND="N","",IFERROR(BDP($C103,FCF_FIELD)/100,"")))</f>
        <v/>
      </c>
      <c r="AM103" s="76">
        <f>IF($C103="","",IF(ISNUMBER(HSI!$I$98),HSI!$I$98/100,""))</f>
        <v/>
      </c>
      <c r="AN103" s="47">
        <f>IF($C103="","",IF(N($AM103)=0,"",IFERROR($AL103/$AM103,"")))</f>
        <v/>
      </c>
      <c r="AO103" s="33">
        <f>IF($C103="","",IF(ISNUMBER($S103)*ISNUMBER($W103)=0,"",IF($W103&gt;$S103+0.05,"rising",IF($W103&lt;$S103-0.05,"falling","stable"))))</f>
        <v/>
      </c>
      <c r="AP103" s="77">
        <f>IF($C103="","",TRIM(IF(ISNUMBER($X103)*(N($X103)&gt;$D$4)&gt;0,"payout high  ","")&amp;IF(ISNUMBER($AN103)*(N($AN103)&lt;$F$4)&gt;0,"FCF below dvd  ","")&amp;IF(ISNUMBER($AJ103)*(N($AJ103)&gt;$H$4)&gt;0,"leverage high","")))</f>
        <v/>
      </c>
      <c r="AQ103" s="78">
        <f>IF($C103="","",IF(HSI!$F$98="HKD","",HSI!$F$98))</f>
        <v/>
      </c>
    </row>
    <row r="104">
      <c r="B104" s="62" t="inlineStr">
        <is>
          <t>HSI</t>
        </is>
      </c>
      <c r="C104" s="6">
        <f>IF(HSI!$C$99="","",HSI!$C$99)</f>
        <v/>
      </c>
      <c r="D104" s="6">
        <f>IF($C104="","",HSI!$D$99)</f>
        <v/>
      </c>
      <c r="E104" s="6">
        <f>IF($C104="","",HSI!$E$99)</f>
        <v/>
      </c>
      <c r="F104" s="63">
        <f>IF($C104="","",SUMPRODUCT(('Dvd Calendar'!$E$1023:$AR$1023&gt;=DATE(YEAR_Y-5,1,1))*('Dvd Calendar'!$E$1023:$AR$1023&lt;=DATE(YEAR_Y-5,12,31))*'Dvd Calendar'!$E$1026:$AR$1026*(('Dvd Calendar'!$E$1028:$AR$1028=TYPE1)*(TYPE1&lt;&gt;"")+('Dvd Calendar'!$E$1028:$AR$1028=TYPE2)*(TYPE2&lt;&gt;"")+('Dvd Calendar'!$E$1028:$AR$1028=TYPE3)*(TYPE3&lt;&gt;"")+('Dvd Calendar'!$E$1028:$AR$1028=TYPE4)*(TYPE4&lt;&gt;"")+('Dvd Calendar'!$E$1028:$AR$1028=SPECIAL_LBL)*(INC_SPECIALS="Y"))))</f>
        <v/>
      </c>
      <c r="G104" s="64">
        <f>IF($C104="","",SUMPRODUCT(('Dvd Calendar'!$E$1023:$AR$1023&gt;=DATE(YEAR_Y-4,1,1))*('Dvd Calendar'!$E$1023:$AR$1023&lt;=DATE(YEAR_Y-4,12,31))*'Dvd Calendar'!$E$1026:$AR$1026*(('Dvd Calendar'!$E$1028:$AR$1028=TYPE1)*(TYPE1&lt;&gt;"")+('Dvd Calendar'!$E$1028:$AR$1028=TYPE2)*(TYPE2&lt;&gt;"")+('Dvd Calendar'!$E$1028:$AR$1028=TYPE3)*(TYPE3&lt;&gt;"")+('Dvd Calendar'!$E$1028:$AR$1028=TYPE4)*(TYPE4&lt;&gt;"")+('Dvd Calendar'!$E$1028:$AR$1028=SPECIAL_LBL)*(INC_SPECIALS="Y"))))</f>
        <v/>
      </c>
      <c r="H104" s="64">
        <f>IF($C104="","",SUMPRODUCT(('Dvd Calendar'!$E$1023:$AR$1023&gt;=DATE(YEAR_Y-3,1,1))*('Dvd Calendar'!$E$1023:$AR$1023&lt;=DATE(YEAR_Y-3,12,31))*'Dvd Calendar'!$E$1026:$AR$1026*(('Dvd Calendar'!$E$1028:$AR$1028=TYPE1)*(TYPE1&lt;&gt;"")+('Dvd Calendar'!$E$1028:$AR$1028=TYPE2)*(TYPE2&lt;&gt;"")+('Dvd Calendar'!$E$1028:$AR$1028=TYPE3)*(TYPE3&lt;&gt;"")+('Dvd Calendar'!$E$1028:$AR$1028=TYPE4)*(TYPE4&lt;&gt;"")+('Dvd Calendar'!$E$1028:$AR$1028=SPECIAL_LBL)*(INC_SPECIALS="Y"))))</f>
        <v/>
      </c>
      <c r="I104" s="64">
        <f>IF($C104="","",SUMPRODUCT(('Dvd Calendar'!$E$1023:$AR$1023&gt;=DATE(YEAR_Y-2,1,1))*('Dvd Calendar'!$E$1023:$AR$1023&lt;=DATE(YEAR_Y-2,12,31))*'Dvd Calendar'!$E$1026:$AR$1026*(('Dvd Calendar'!$E$1028:$AR$1028=TYPE1)*(TYPE1&lt;&gt;"")+('Dvd Calendar'!$E$1028:$AR$1028=TYPE2)*(TYPE2&lt;&gt;"")+('Dvd Calendar'!$E$1028:$AR$1028=TYPE3)*(TYPE3&lt;&gt;"")+('Dvd Calendar'!$E$1028:$AR$1028=TYPE4)*(TYPE4&lt;&gt;"")+('Dvd Calendar'!$E$1028:$AR$1028=SPECIAL_LBL)*(INC_SPECIALS="Y"))))</f>
        <v/>
      </c>
      <c r="J104" s="64">
        <f>IF($C104="","",SUMPRODUCT(('Dvd Calendar'!$E$1023:$AR$1023&gt;=DATE(YEAR_Y-1,1,1))*('Dvd Calendar'!$E$1023:$AR$1023&lt;=DATE(YEAR_Y-1,12,31))*'Dvd Calendar'!$E$1026:$AR$1026*(('Dvd Calendar'!$E$1028:$AR$1028=TYPE1)*(TYPE1&lt;&gt;"")+('Dvd Calendar'!$E$1028:$AR$1028=TYPE2)*(TYPE2&lt;&gt;"")+('Dvd Calendar'!$E$1028:$AR$1028=TYPE3)*(TYPE3&lt;&gt;"")+('Dvd Calendar'!$E$1028:$AR$1028=TYPE4)*(TYPE4&lt;&gt;"")+('Dvd Calendar'!$E$1028:$AR$1028=SPECIAL_LBL)*(INC_SPECIALS="Y"))))</f>
        <v/>
      </c>
      <c r="K104" s="65">
        <f>IF($C104="","",HSI!$J$99)</f>
        <v/>
      </c>
      <c r="L104" s="65">
        <f>IF($C104="","",HSI!$K$99)</f>
        <v/>
      </c>
      <c r="M104" s="41">
        <f>IF($C104="","",AVERAGE(F104:J104))</f>
        <v/>
      </c>
      <c r="N104" s="66">
        <f>IF($C104="","",IF(PULL_FUND="N","",IFERROR(BDP($C104,EPS_FIELD,YR_OVERRIDE,TEXT(YEAR_Y-5,"0")),"")))</f>
        <v/>
      </c>
      <c r="O104" s="67">
        <f>IF($C104="","",IF(PULL_FUND="N","",IFERROR(BDP($C104,EPS_FIELD,YR_OVERRIDE,TEXT(YEAR_Y-4,"0")),"")))</f>
        <v/>
      </c>
      <c r="P104" s="67">
        <f>IF($C104="","",IF(PULL_FUND="N","",IFERROR(BDP($C104,EPS_FIELD,YR_OVERRIDE,TEXT(YEAR_Y-3,"0")),"")))</f>
        <v/>
      </c>
      <c r="Q104" s="67">
        <f>IF($C104="","",IF(PULL_FUND="N","",IFERROR(BDP($C104,EPS_FIELD,YR_OVERRIDE,TEXT(YEAR_Y-2,"0")),"")))</f>
        <v/>
      </c>
      <c r="R104" s="67">
        <f>IF($C104="","",IF(PULL_FUND="N","",IFERROR(BDP($C104,EPS_FIELD,YR_OVERRIDE,TEXT(YEAR_Y-1,"0")),"")))</f>
        <v/>
      </c>
      <c r="S104" s="68">
        <f>IF($C104="","",IF(PULL_FUND="N","",IFERROR(BDP($C104,PAYOUT_FIELD,YR_OVERRIDE,TEXT(YEAR_Y-5,"0"))/100,"")))</f>
        <v/>
      </c>
      <c r="T104" s="68">
        <f>IF($C104="","",IF(PULL_FUND="N","",IFERROR(BDP($C104,PAYOUT_FIELD,YR_OVERRIDE,TEXT(YEAR_Y-4,"0"))/100,"")))</f>
        <v/>
      </c>
      <c r="U104" s="68">
        <f>IF($C104="","",IF(PULL_FUND="N","",IFERROR(BDP($C104,PAYOUT_FIELD,YR_OVERRIDE,TEXT(YEAR_Y-3,"0"))/100,"")))</f>
        <v/>
      </c>
      <c r="V104" s="68">
        <f>IF($C104="","",IF(PULL_FUND="N","",IFERROR(BDP($C104,PAYOUT_FIELD,YR_OVERRIDE,TEXT(YEAR_Y-2,"0"))/100,"")))</f>
        <v/>
      </c>
      <c r="W104" s="68">
        <f>IF($C104="","",IF(PULL_FUND="N","",IFERROR(BDP($C104,PAYOUT_FIELD,YR_OVERRIDE,TEXT(YEAR_Y-1,"0"))/100,"")))</f>
        <v/>
      </c>
      <c r="X104" s="69">
        <f>IF($C104="","",IFERROR(AVERAGE(S104:W104),""))</f>
        <v/>
      </c>
      <c r="Y104" s="66">
        <f>IF($C104="","",IF(PULL_FUND="N","",IFERROR(BDP($C104,BESTEPS_FIELD,FWD_OVERRIDE,TEXT(MOD(YEAR_Y,100),"00")&amp;"Y"),"")))</f>
        <v/>
      </c>
      <c r="Z104" s="70">
        <f>IF($C104="","",IF(PULL_FUND="N","",IFERROR(BDP($C104,BESTDPS_FIELD,FWD_OVERRIDE,TEXT(MOD(YEAR_Y,100),"00")&amp;"Y"),"")))</f>
        <v/>
      </c>
      <c r="AA104" s="71">
        <f>IF($C104="","",IF(ISNUMBER($Y104)*ISNUMBER($Z104)*($Y104&lt;&gt;0)=0,"",$Z104/$Y104))</f>
        <v/>
      </c>
      <c r="AB104" s="41">
        <f>IF($C104="","",HSI!$J$99+HSI!$L$99)</f>
        <v/>
      </c>
      <c r="AC104" s="72">
        <f>IF($C104="","",IF(PULL_FUND="N","",IF(COUNTIFS('Fund History'!$G$560:$G$564,"&gt;="&amp;DATE(YEAR_Y-4,1,1),'Fund History'!$G$560:$G$564,"&lt;="&amp;DATE(YEAR_Y-4,12,31))=0,"",SUMIFS('Fund History'!$H$560:$H$564,'Fund History'!$G$560:$G$564,"&gt;="&amp;DATE(YEAR_Y-4,1,1),'Fund History'!$G$560:$G$564,"&lt;="&amp;DATE(YEAR_Y-4,12,31))/100)))</f>
        <v/>
      </c>
      <c r="AD104" s="73">
        <f>IF($C104="","",IF(PULL_FUND="N","",IF(COUNTIFS('Fund History'!$G$560:$G$564,"&gt;="&amp;DATE(YEAR_Y-3,1,1),'Fund History'!$G$560:$G$564,"&lt;="&amp;DATE(YEAR_Y-3,12,31))=0,"",SUMIFS('Fund History'!$H$560:$H$564,'Fund History'!$G$560:$G$564,"&gt;="&amp;DATE(YEAR_Y-3,1,1),'Fund History'!$G$560:$G$564,"&lt;="&amp;DATE(YEAR_Y-3,12,31))/100)))</f>
        <v/>
      </c>
      <c r="AE104" s="73">
        <f>IF($C104="","",IF(PULL_FUND="N","",IF(COUNTIFS('Fund History'!$G$560:$G$564,"&gt;="&amp;DATE(YEAR_Y-2,1,1),'Fund History'!$G$560:$G$564,"&lt;="&amp;DATE(YEAR_Y-2,12,31))=0,"",SUMIFS('Fund History'!$H$560:$H$564,'Fund History'!$G$560:$G$564,"&gt;="&amp;DATE(YEAR_Y-2,1,1),'Fund History'!$G$560:$G$564,"&lt;="&amp;DATE(YEAR_Y-2,12,31))/100)))</f>
        <v/>
      </c>
      <c r="AF104" s="73">
        <f>IF($C104="","",IF(PULL_FUND="N","",IF(COUNTIFS('Fund History'!$G$560:$G$564,"&gt;="&amp;DATE(YEAR_Y-1,1,1),'Fund History'!$G$560:$G$564,"&lt;="&amp;DATE(YEAR_Y-1,12,31))=0,"",SUMIFS('Fund History'!$H$560:$H$564,'Fund History'!$G$560:$G$564,"&gt;="&amp;DATE(YEAR_Y-1,1,1),'Fund History'!$G$560:$G$564,"&lt;="&amp;DATE(YEAR_Y-1,12,31))/100)))</f>
        <v/>
      </c>
      <c r="AG104" s="74">
        <f>IF($C104="","",IF(N($AF104)+N(HSI!$I$99)=0,"",N($AF104)+N(HSI!$I$99)/100))</f>
        <v/>
      </c>
      <c r="AH104" s="66">
        <f>IF($C104="","",IF(PULL_FUND="N","",IF(COUNTIFS('Fund History'!$D$560:$D$564,"&gt;="&amp;DATE(YEAR_Y-2,1,1),'Fund History'!$D$560:$D$564,"&lt;="&amp;DATE(YEAR_Y-2,12,31))=0,"",SUMIFS('Fund History'!$E$560:$E$564,'Fund History'!$D$560:$D$564,"&gt;="&amp;DATE(YEAR_Y-2,1,1),'Fund History'!$D$560:$D$564,"&lt;="&amp;DATE(YEAR_Y-2,12,31)))))</f>
        <v/>
      </c>
      <c r="AI104" s="67">
        <f>IF($C104="","",IF(PULL_FUND="N","",IF(COUNTIFS('Fund History'!$D$560:$D$564,"&gt;="&amp;DATE(YEAR_Y-1,1,1),'Fund History'!$D$560:$D$564,"&lt;="&amp;DATE(YEAR_Y-1,12,31))=0,"",SUMIFS('Fund History'!$E$560:$E$564,'Fund History'!$D$560:$D$564,"&gt;="&amp;DATE(YEAR_Y-1,1,1),'Fund History'!$D$560:$D$564,"&lt;="&amp;DATE(YEAR_Y-1,12,31)))))</f>
        <v/>
      </c>
      <c r="AJ104" s="67">
        <f>IF($C104="","",IF(PULL_FUND="N","",IFERROR(BDP($C104,NDEBITDA_FIELD),"")))</f>
        <v/>
      </c>
      <c r="AK104" s="75">
        <f>IF($C104="","",IF(PULL_FUND="N","",IFERROR(BDP($C104,EBINT_FIELD),"")))</f>
        <v/>
      </c>
      <c r="AL104" s="73">
        <f>IF($C104="","",IF(PULL_FUND="N","",IFERROR(BDP($C104,FCF_FIELD)/100,"")))</f>
        <v/>
      </c>
      <c r="AM104" s="76">
        <f>IF($C104="","",IF(ISNUMBER(HSI!$I$99),HSI!$I$99/100,""))</f>
        <v/>
      </c>
      <c r="AN104" s="47">
        <f>IF($C104="","",IF(N($AM104)=0,"",IFERROR($AL104/$AM104,"")))</f>
        <v/>
      </c>
      <c r="AO104" s="33">
        <f>IF($C104="","",IF(ISNUMBER($S104)*ISNUMBER($W104)=0,"",IF($W104&gt;$S104+0.05,"rising",IF($W104&lt;$S104-0.05,"falling","stable"))))</f>
        <v/>
      </c>
      <c r="AP104" s="77">
        <f>IF($C104="","",TRIM(IF(ISNUMBER($X104)*(N($X104)&gt;$D$4)&gt;0,"payout high  ","")&amp;IF(ISNUMBER($AN104)*(N($AN104)&lt;$F$4)&gt;0,"FCF below dvd  ","")&amp;IF(ISNUMBER($AJ104)*(N($AJ104)&gt;$H$4)&gt;0,"leverage high","")))</f>
        <v/>
      </c>
      <c r="AQ104" s="78">
        <f>IF($C104="","",IF(HSI!$F$99="HKD","",HSI!$F$99))</f>
        <v/>
      </c>
    </row>
    <row r="105">
      <c r="B105" s="62" t="inlineStr">
        <is>
          <t>HSI</t>
        </is>
      </c>
      <c r="C105" s="6">
        <f>IF(HSI!$C$100="","",HSI!$C$100)</f>
        <v/>
      </c>
      <c r="D105" s="6">
        <f>IF($C105="","",HSI!$D$100)</f>
        <v/>
      </c>
      <c r="E105" s="6">
        <f>IF($C105="","",HSI!$E$100)</f>
        <v/>
      </c>
      <c r="F105" s="63">
        <f>IF($C105="","",SUMPRODUCT(('Dvd Calendar'!$E$1034:$AR$1034&gt;=DATE(YEAR_Y-5,1,1))*('Dvd Calendar'!$E$1034:$AR$1034&lt;=DATE(YEAR_Y-5,12,31))*'Dvd Calendar'!$E$1037:$AR$1037*(('Dvd Calendar'!$E$1039:$AR$1039=TYPE1)*(TYPE1&lt;&gt;"")+('Dvd Calendar'!$E$1039:$AR$1039=TYPE2)*(TYPE2&lt;&gt;"")+('Dvd Calendar'!$E$1039:$AR$1039=TYPE3)*(TYPE3&lt;&gt;"")+('Dvd Calendar'!$E$1039:$AR$1039=TYPE4)*(TYPE4&lt;&gt;"")+('Dvd Calendar'!$E$1039:$AR$1039=SPECIAL_LBL)*(INC_SPECIALS="Y"))))</f>
        <v/>
      </c>
      <c r="G105" s="64">
        <f>IF($C105="","",SUMPRODUCT(('Dvd Calendar'!$E$1034:$AR$1034&gt;=DATE(YEAR_Y-4,1,1))*('Dvd Calendar'!$E$1034:$AR$1034&lt;=DATE(YEAR_Y-4,12,31))*'Dvd Calendar'!$E$1037:$AR$1037*(('Dvd Calendar'!$E$1039:$AR$1039=TYPE1)*(TYPE1&lt;&gt;"")+('Dvd Calendar'!$E$1039:$AR$1039=TYPE2)*(TYPE2&lt;&gt;"")+('Dvd Calendar'!$E$1039:$AR$1039=TYPE3)*(TYPE3&lt;&gt;"")+('Dvd Calendar'!$E$1039:$AR$1039=TYPE4)*(TYPE4&lt;&gt;"")+('Dvd Calendar'!$E$1039:$AR$1039=SPECIAL_LBL)*(INC_SPECIALS="Y"))))</f>
        <v/>
      </c>
      <c r="H105" s="64">
        <f>IF($C105="","",SUMPRODUCT(('Dvd Calendar'!$E$1034:$AR$1034&gt;=DATE(YEAR_Y-3,1,1))*('Dvd Calendar'!$E$1034:$AR$1034&lt;=DATE(YEAR_Y-3,12,31))*'Dvd Calendar'!$E$1037:$AR$1037*(('Dvd Calendar'!$E$1039:$AR$1039=TYPE1)*(TYPE1&lt;&gt;"")+('Dvd Calendar'!$E$1039:$AR$1039=TYPE2)*(TYPE2&lt;&gt;"")+('Dvd Calendar'!$E$1039:$AR$1039=TYPE3)*(TYPE3&lt;&gt;"")+('Dvd Calendar'!$E$1039:$AR$1039=TYPE4)*(TYPE4&lt;&gt;"")+('Dvd Calendar'!$E$1039:$AR$1039=SPECIAL_LBL)*(INC_SPECIALS="Y"))))</f>
        <v/>
      </c>
      <c r="I105" s="64">
        <f>IF($C105="","",SUMPRODUCT(('Dvd Calendar'!$E$1034:$AR$1034&gt;=DATE(YEAR_Y-2,1,1))*('Dvd Calendar'!$E$1034:$AR$1034&lt;=DATE(YEAR_Y-2,12,31))*'Dvd Calendar'!$E$1037:$AR$1037*(('Dvd Calendar'!$E$1039:$AR$1039=TYPE1)*(TYPE1&lt;&gt;"")+('Dvd Calendar'!$E$1039:$AR$1039=TYPE2)*(TYPE2&lt;&gt;"")+('Dvd Calendar'!$E$1039:$AR$1039=TYPE3)*(TYPE3&lt;&gt;"")+('Dvd Calendar'!$E$1039:$AR$1039=TYPE4)*(TYPE4&lt;&gt;"")+('Dvd Calendar'!$E$1039:$AR$1039=SPECIAL_LBL)*(INC_SPECIALS="Y"))))</f>
        <v/>
      </c>
      <c r="J105" s="64">
        <f>IF($C105="","",SUMPRODUCT(('Dvd Calendar'!$E$1034:$AR$1034&gt;=DATE(YEAR_Y-1,1,1))*('Dvd Calendar'!$E$1034:$AR$1034&lt;=DATE(YEAR_Y-1,12,31))*'Dvd Calendar'!$E$1037:$AR$1037*(('Dvd Calendar'!$E$1039:$AR$1039=TYPE1)*(TYPE1&lt;&gt;"")+('Dvd Calendar'!$E$1039:$AR$1039=TYPE2)*(TYPE2&lt;&gt;"")+('Dvd Calendar'!$E$1039:$AR$1039=TYPE3)*(TYPE3&lt;&gt;"")+('Dvd Calendar'!$E$1039:$AR$1039=TYPE4)*(TYPE4&lt;&gt;"")+('Dvd Calendar'!$E$1039:$AR$1039=SPECIAL_LBL)*(INC_SPECIALS="Y"))))</f>
        <v/>
      </c>
      <c r="K105" s="65">
        <f>IF($C105="","",HSI!$J$100)</f>
        <v/>
      </c>
      <c r="L105" s="65">
        <f>IF($C105="","",HSI!$K$100)</f>
        <v/>
      </c>
      <c r="M105" s="41">
        <f>IF($C105="","",AVERAGE(F105:J105))</f>
        <v/>
      </c>
      <c r="N105" s="66">
        <f>IF($C105="","",IF(PULL_FUND="N","",IFERROR(BDP($C105,EPS_FIELD,YR_OVERRIDE,TEXT(YEAR_Y-5,"0")),"")))</f>
        <v/>
      </c>
      <c r="O105" s="67">
        <f>IF($C105="","",IF(PULL_FUND="N","",IFERROR(BDP($C105,EPS_FIELD,YR_OVERRIDE,TEXT(YEAR_Y-4,"0")),"")))</f>
        <v/>
      </c>
      <c r="P105" s="67">
        <f>IF($C105="","",IF(PULL_FUND="N","",IFERROR(BDP($C105,EPS_FIELD,YR_OVERRIDE,TEXT(YEAR_Y-3,"0")),"")))</f>
        <v/>
      </c>
      <c r="Q105" s="67">
        <f>IF($C105="","",IF(PULL_FUND="N","",IFERROR(BDP($C105,EPS_FIELD,YR_OVERRIDE,TEXT(YEAR_Y-2,"0")),"")))</f>
        <v/>
      </c>
      <c r="R105" s="67">
        <f>IF($C105="","",IF(PULL_FUND="N","",IFERROR(BDP($C105,EPS_FIELD,YR_OVERRIDE,TEXT(YEAR_Y-1,"0")),"")))</f>
        <v/>
      </c>
      <c r="S105" s="68">
        <f>IF($C105="","",IF(PULL_FUND="N","",IFERROR(BDP($C105,PAYOUT_FIELD,YR_OVERRIDE,TEXT(YEAR_Y-5,"0"))/100,"")))</f>
        <v/>
      </c>
      <c r="T105" s="68">
        <f>IF($C105="","",IF(PULL_FUND="N","",IFERROR(BDP($C105,PAYOUT_FIELD,YR_OVERRIDE,TEXT(YEAR_Y-4,"0"))/100,"")))</f>
        <v/>
      </c>
      <c r="U105" s="68">
        <f>IF($C105="","",IF(PULL_FUND="N","",IFERROR(BDP($C105,PAYOUT_FIELD,YR_OVERRIDE,TEXT(YEAR_Y-3,"0"))/100,"")))</f>
        <v/>
      </c>
      <c r="V105" s="68">
        <f>IF($C105="","",IF(PULL_FUND="N","",IFERROR(BDP($C105,PAYOUT_FIELD,YR_OVERRIDE,TEXT(YEAR_Y-2,"0"))/100,"")))</f>
        <v/>
      </c>
      <c r="W105" s="68">
        <f>IF($C105="","",IF(PULL_FUND="N","",IFERROR(BDP($C105,PAYOUT_FIELD,YR_OVERRIDE,TEXT(YEAR_Y-1,"0"))/100,"")))</f>
        <v/>
      </c>
      <c r="X105" s="69">
        <f>IF($C105="","",IFERROR(AVERAGE(S105:W105),""))</f>
        <v/>
      </c>
      <c r="Y105" s="66">
        <f>IF($C105="","",IF(PULL_FUND="N","",IFERROR(BDP($C105,BESTEPS_FIELD,FWD_OVERRIDE,TEXT(MOD(YEAR_Y,100),"00")&amp;"Y"),"")))</f>
        <v/>
      </c>
      <c r="Z105" s="70">
        <f>IF($C105="","",IF(PULL_FUND="N","",IFERROR(BDP($C105,BESTDPS_FIELD,FWD_OVERRIDE,TEXT(MOD(YEAR_Y,100),"00")&amp;"Y"),"")))</f>
        <v/>
      </c>
      <c r="AA105" s="71">
        <f>IF($C105="","",IF(ISNUMBER($Y105)*ISNUMBER($Z105)*($Y105&lt;&gt;0)=0,"",$Z105/$Y105))</f>
        <v/>
      </c>
      <c r="AB105" s="41">
        <f>IF($C105="","",HSI!$J$100+HSI!$L$100)</f>
        <v/>
      </c>
      <c r="AC105" s="72">
        <f>IF($C105="","",IF(PULL_FUND="N","",IF(COUNTIFS('Fund History'!$G$566:$G$570,"&gt;="&amp;DATE(YEAR_Y-4,1,1),'Fund History'!$G$566:$G$570,"&lt;="&amp;DATE(YEAR_Y-4,12,31))=0,"",SUMIFS('Fund History'!$H$566:$H$570,'Fund History'!$G$566:$G$570,"&gt;="&amp;DATE(YEAR_Y-4,1,1),'Fund History'!$G$566:$G$570,"&lt;="&amp;DATE(YEAR_Y-4,12,31))/100)))</f>
        <v/>
      </c>
      <c r="AD105" s="73">
        <f>IF($C105="","",IF(PULL_FUND="N","",IF(COUNTIFS('Fund History'!$G$566:$G$570,"&gt;="&amp;DATE(YEAR_Y-3,1,1),'Fund History'!$G$566:$G$570,"&lt;="&amp;DATE(YEAR_Y-3,12,31))=0,"",SUMIFS('Fund History'!$H$566:$H$570,'Fund History'!$G$566:$G$570,"&gt;="&amp;DATE(YEAR_Y-3,1,1),'Fund History'!$G$566:$G$570,"&lt;="&amp;DATE(YEAR_Y-3,12,31))/100)))</f>
        <v/>
      </c>
      <c r="AE105" s="73">
        <f>IF($C105="","",IF(PULL_FUND="N","",IF(COUNTIFS('Fund History'!$G$566:$G$570,"&gt;="&amp;DATE(YEAR_Y-2,1,1),'Fund History'!$G$566:$G$570,"&lt;="&amp;DATE(YEAR_Y-2,12,31))=0,"",SUMIFS('Fund History'!$H$566:$H$570,'Fund History'!$G$566:$G$570,"&gt;="&amp;DATE(YEAR_Y-2,1,1),'Fund History'!$G$566:$G$570,"&lt;="&amp;DATE(YEAR_Y-2,12,31))/100)))</f>
        <v/>
      </c>
      <c r="AF105" s="73">
        <f>IF($C105="","",IF(PULL_FUND="N","",IF(COUNTIFS('Fund History'!$G$566:$G$570,"&gt;="&amp;DATE(YEAR_Y-1,1,1),'Fund History'!$G$566:$G$570,"&lt;="&amp;DATE(YEAR_Y-1,12,31))=0,"",SUMIFS('Fund History'!$H$566:$H$570,'Fund History'!$G$566:$G$570,"&gt;="&amp;DATE(YEAR_Y-1,1,1),'Fund History'!$G$566:$G$570,"&lt;="&amp;DATE(YEAR_Y-1,12,31))/100)))</f>
        <v/>
      </c>
      <c r="AG105" s="74">
        <f>IF($C105="","",IF(N($AF105)+N(HSI!$I$100)=0,"",N($AF105)+N(HSI!$I$100)/100))</f>
        <v/>
      </c>
      <c r="AH105" s="66">
        <f>IF($C105="","",IF(PULL_FUND="N","",IF(COUNTIFS('Fund History'!$D$566:$D$570,"&gt;="&amp;DATE(YEAR_Y-2,1,1),'Fund History'!$D$566:$D$570,"&lt;="&amp;DATE(YEAR_Y-2,12,31))=0,"",SUMIFS('Fund History'!$E$566:$E$570,'Fund History'!$D$566:$D$570,"&gt;="&amp;DATE(YEAR_Y-2,1,1),'Fund History'!$D$566:$D$570,"&lt;="&amp;DATE(YEAR_Y-2,12,31)))))</f>
        <v/>
      </c>
      <c r="AI105" s="67">
        <f>IF($C105="","",IF(PULL_FUND="N","",IF(COUNTIFS('Fund History'!$D$566:$D$570,"&gt;="&amp;DATE(YEAR_Y-1,1,1),'Fund History'!$D$566:$D$570,"&lt;="&amp;DATE(YEAR_Y-1,12,31))=0,"",SUMIFS('Fund History'!$E$566:$E$570,'Fund History'!$D$566:$D$570,"&gt;="&amp;DATE(YEAR_Y-1,1,1),'Fund History'!$D$566:$D$570,"&lt;="&amp;DATE(YEAR_Y-1,12,31)))))</f>
        <v/>
      </c>
      <c r="AJ105" s="67">
        <f>IF($C105="","",IF(PULL_FUND="N","",IFERROR(BDP($C105,NDEBITDA_FIELD),"")))</f>
        <v/>
      </c>
      <c r="AK105" s="75">
        <f>IF($C105="","",IF(PULL_FUND="N","",IFERROR(BDP($C105,EBINT_FIELD),"")))</f>
        <v/>
      </c>
      <c r="AL105" s="73">
        <f>IF($C105="","",IF(PULL_FUND="N","",IFERROR(BDP($C105,FCF_FIELD)/100,"")))</f>
        <v/>
      </c>
      <c r="AM105" s="76">
        <f>IF($C105="","",IF(ISNUMBER(HSI!$I$100),HSI!$I$100/100,""))</f>
        <v/>
      </c>
      <c r="AN105" s="47">
        <f>IF($C105="","",IF(N($AM105)=0,"",IFERROR($AL105/$AM105,"")))</f>
        <v/>
      </c>
      <c r="AO105" s="33">
        <f>IF($C105="","",IF(ISNUMBER($S105)*ISNUMBER($W105)=0,"",IF($W105&gt;$S105+0.05,"rising",IF($W105&lt;$S105-0.05,"falling","stable"))))</f>
        <v/>
      </c>
      <c r="AP105" s="77">
        <f>IF($C105="","",TRIM(IF(ISNUMBER($X105)*(N($X105)&gt;$D$4)&gt;0,"payout high  ","")&amp;IF(ISNUMBER($AN105)*(N($AN105)&lt;$F$4)&gt;0,"FCF below dvd  ","")&amp;IF(ISNUMBER($AJ105)*(N($AJ105)&gt;$H$4)&gt;0,"leverage high","")))</f>
        <v/>
      </c>
      <c r="AQ105" s="78">
        <f>IF($C105="","",IF(HSI!$F$100="HKD","",HSI!$F$100))</f>
        <v/>
      </c>
    </row>
    <row r="106">
      <c r="B106" s="62" t="inlineStr">
        <is>
          <t>HSI</t>
        </is>
      </c>
      <c r="C106" s="6">
        <f>IF(HSI!$C$101="","",HSI!$C$101)</f>
        <v/>
      </c>
      <c r="D106" s="6">
        <f>IF($C106="","",HSI!$D$101)</f>
        <v/>
      </c>
      <c r="E106" s="6">
        <f>IF($C106="","",HSI!$E$101)</f>
        <v/>
      </c>
      <c r="F106" s="63">
        <f>IF($C106="","",SUMPRODUCT(('Dvd Calendar'!$E$1045:$AR$1045&gt;=DATE(YEAR_Y-5,1,1))*('Dvd Calendar'!$E$1045:$AR$1045&lt;=DATE(YEAR_Y-5,12,31))*'Dvd Calendar'!$E$1048:$AR$1048*(('Dvd Calendar'!$E$1050:$AR$1050=TYPE1)*(TYPE1&lt;&gt;"")+('Dvd Calendar'!$E$1050:$AR$1050=TYPE2)*(TYPE2&lt;&gt;"")+('Dvd Calendar'!$E$1050:$AR$1050=TYPE3)*(TYPE3&lt;&gt;"")+('Dvd Calendar'!$E$1050:$AR$1050=TYPE4)*(TYPE4&lt;&gt;"")+('Dvd Calendar'!$E$1050:$AR$1050=SPECIAL_LBL)*(INC_SPECIALS="Y"))))</f>
        <v/>
      </c>
      <c r="G106" s="64">
        <f>IF($C106="","",SUMPRODUCT(('Dvd Calendar'!$E$1045:$AR$1045&gt;=DATE(YEAR_Y-4,1,1))*('Dvd Calendar'!$E$1045:$AR$1045&lt;=DATE(YEAR_Y-4,12,31))*'Dvd Calendar'!$E$1048:$AR$1048*(('Dvd Calendar'!$E$1050:$AR$1050=TYPE1)*(TYPE1&lt;&gt;"")+('Dvd Calendar'!$E$1050:$AR$1050=TYPE2)*(TYPE2&lt;&gt;"")+('Dvd Calendar'!$E$1050:$AR$1050=TYPE3)*(TYPE3&lt;&gt;"")+('Dvd Calendar'!$E$1050:$AR$1050=TYPE4)*(TYPE4&lt;&gt;"")+('Dvd Calendar'!$E$1050:$AR$1050=SPECIAL_LBL)*(INC_SPECIALS="Y"))))</f>
        <v/>
      </c>
      <c r="H106" s="64">
        <f>IF($C106="","",SUMPRODUCT(('Dvd Calendar'!$E$1045:$AR$1045&gt;=DATE(YEAR_Y-3,1,1))*('Dvd Calendar'!$E$1045:$AR$1045&lt;=DATE(YEAR_Y-3,12,31))*'Dvd Calendar'!$E$1048:$AR$1048*(('Dvd Calendar'!$E$1050:$AR$1050=TYPE1)*(TYPE1&lt;&gt;"")+('Dvd Calendar'!$E$1050:$AR$1050=TYPE2)*(TYPE2&lt;&gt;"")+('Dvd Calendar'!$E$1050:$AR$1050=TYPE3)*(TYPE3&lt;&gt;"")+('Dvd Calendar'!$E$1050:$AR$1050=TYPE4)*(TYPE4&lt;&gt;"")+('Dvd Calendar'!$E$1050:$AR$1050=SPECIAL_LBL)*(INC_SPECIALS="Y"))))</f>
        <v/>
      </c>
      <c r="I106" s="64">
        <f>IF($C106="","",SUMPRODUCT(('Dvd Calendar'!$E$1045:$AR$1045&gt;=DATE(YEAR_Y-2,1,1))*('Dvd Calendar'!$E$1045:$AR$1045&lt;=DATE(YEAR_Y-2,12,31))*'Dvd Calendar'!$E$1048:$AR$1048*(('Dvd Calendar'!$E$1050:$AR$1050=TYPE1)*(TYPE1&lt;&gt;"")+('Dvd Calendar'!$E$1050:$AR$1050=TYPE2)*(TYPE2&lt;&gt;"")+('Dvd Calendar'!$E$1050:$AR$1050=TYPE3)*(TYPE3&lt;&gt;"")+('Dvd Calendar'!$E$1050:$AR$1050=TYPE4)*(TYPE4&lt;&gt;"")+('Dvd Calendar'!$E$1050:$AR$1050=SPECIAL_LBL)*(INC_SPECIALS="Y"))))</f>
        <v/>
      </c>
      <c r="J106" s="64">
        <f>IF($C106="","",SUMPRODUCT(('Dvd Calendar'!$E$1045:$AR$1045&gt;=DATE(YEAR_Y-1,1,1))*('Dvd Calendar'!$E$1045:$AR$1045&lt;=DATE(YEAR_Y-1,12,31))*'Dvd Calendar'!$E$1048:$AR$1048*(('Dvd Calendar'!$E$1050:$AR$1050=TYPE1)*(TYPE1&lt;&gt;"")+('Dvd Calendar'!$E$1050:$AR$1050=TYPE2)*(TYPE2&lt;&gt;"")+('Dvd Calendar'!$E$1050:$AR$1050=TYPE3)*(TYPE3&lt;&gt;"")+('Dvd Calendar'!$E$1050:$AR$1050=TYPE4)*(TYPE4&lt;&gt;"")+('Dvd Calendar'!$E$1050:$AR$1050=SPECIAL_LBL)*(INC_SPECIALS="Y"))))</f>
        <v/>
      </c>
      <c r="K106" s="65">
        <f>IF($C106="","",HSI!$J$101)</f>
        <v/>
      </c>
      <c r="L106" s="65">
        <f>IF($C106="","",HSI!$K$101)</f>
        <v/>
      </c>
      <c r="M106" s="41">
        <f>IF($C106="","",AVERAGE(F106:J106))</f>
        <v/>
      </c>
      <c r="N106" s="66">
        <f>IF($C106="","",IF(PULL_FUND="N","",IFERROR(BDP($C106,EPS_FIELD,YR_OVERRIDE,TEXT(YEAR_Y-5,"0")),"")))</f>
        <v/>
      </c>
      <c r="O106" s="67">
        <f>IF($C106="","",IF(PULL_FUND="N","",IFERROR(BDP($C106,EPS_FIELD,YR_OVERRIDE,TEXT(YEAR_Y-4,"0")),"")))</f>
        <v/>
      </c>
      <c r="P106" s="67">
        <f>IF($C106="","",IF(PULL_FUND="N","",IFERROR(BDP($C106,EPS_FIELD,YR_OVERRIDE,TEXT(YEAR_Y-3,"0")),"")))</f>
        <v/>
      </c>
      <c r="Q106" s="67">
        <f>IF($C106="","",IF(PULL_FUND="N","",IFERROR(BDP($C106,EPS_FIELD,YR_OVERRIDE,TEXT(YEAR_Y-2,"0")),"")))</f>
        <v/>
      </c>
      <c r="R106" s="67">
        <f>IF($C106="","",IF(PULL_FUND="N","",IFERROR(BDP($C106,EPS_FIELD,YR_OVERRIDE,TEXT(YEAR_Y-1,"0")),"")))</f>
        <v/>
      </c>
      <c r="S106" s="68">
        <f>IF($C106="","",IF(PULL_FUND="N","",IFERROR(BDP($C106,PAYOUT_FIELD,YR_OVERRIDE,TEXT(YEAR_Y-5,"0"))/100,"")))</f>
        <v/>
      </c>
      <c r="T106" s="68">
        <f>IF($C106="","",IF(PULL_FUND="N","",IFERROR(BDP($C106,PAYOUT_FIELD,YR_OVERRIDE,TEXT(YEAR_Y-4,"0"))/100,"")))</f>
        <v/>
      </c>
      <c r="U106" s="68">
        <f>IF($C106="","",IF(PULL_FUND="N","",IFERROR(BDP($C106,PAYOUT_FIELD,YR_OVERRIDE,TEXT(YEAR_Y-3,"0"))/100,"")))</f>
        <v/>
      </c>
      <c r="V106" s="68">
        <f>IF($C106="","",IF(PULL_FUND="N","",IFERROR(BDP($C106,PAYOUT_FIELD,YR_OVERRIDE,TEXT(YEAR_Y-2,"0"))/100,"")))</f>
        <v/>
      </c>
      <c r="W106" s="68">
        <f>IF($C106="","",IF(PULL_FUND="N","",IFERROR(BDP($C106,PAYOUT_FIELD,YR_OVERRIDE,TEXT(YEAR_Y-1,"0"))/100,"")))</f>
        <v/>
      </c>
      <c r="X106" s="69">
        <f>IF($C106="","",IFERROR(AVERAGE(S106:W106),""))</f>
        <v/>
      </c>
      <c r="Y106" s="66">
        <f>IF($C106="","",IF(PULL_FUND="N","",IFERROR(BDP($C106,BESTEPS_FIELD,FWD_OVERRIDE,TEXT(MOD(YEAR_Y,100),"00")&amp;"Y"),"")))</f>
        <v/>
      </c>
      <c r="Z106" s="70">
        <f>IF($C106="","",IF(PULL_FUND="N","",IFERROR(BDP($C106,BESTDPS_FIELD,FWD_OVERRIDE,TEXT(MOD(YEAR_Y,100),"00")&amp;"Y"),"")))</f>
        <v/>
      </c>
      <c r="AA106" s="71">
        <f>IF($C106="","",IF(ISNUMBER($Y106)*ISNUMBER($Z106)*($Y106&lt;&gt;0)=0,"",$Z106/$Y106))</f>
        <v/>
      </c>
      <c r="AB106" s="41">
        <f>IF($C106="","",HSI!$J$101+HSI!$L$101)</f>
        <v/>
      </c>
      <c r="AC106" s="72">
        <f>IF($C106="","",IF(PULL_FUND="N","",IF(COUNTIFS('Fund History'!$G$572:$G$576,"&gt;="&amp;DATE(YEAR_Y-4,1,1),'Fund History'!$G$572:$G$576,"&lt;="&amp;DATE(YEAR_Y-4,12,31))=0,"",SUMIFS('Fund History'!$H$572:$H$576,'Fund History'!$G$572:$G$576,"&gt;="&amp;DATE(YEAR_Y-4,1,1),'Fund History'!$G$572:$G$576,"&lt;="&amp;DATE(YEAR_Y-4,12,31))/100)))</f>
        <v/>
      </c>
      <c r="AD106" s="73">
        <f>IF($C106="","",IF(PULL_FUND="N","",IF(COUNTIFS('Fund History'!$G$572:$G$576,"&gt;="&amp;DATE(YEAR_Y-3,1,1),'Fund History'!$G$572:$G$576,"&lt;="&amp;DATE(YEAR_Y-3,12,31))=0,"",SUMIFS('Fund History'!$H$572:$H$576,'Fund History'!$G$572:$G$576,"&gt;="&amp;DATE(YEAR_Y-3,1,1),'Fund History'!$G$572:$G$576,"&lt;="&amp;DATE(YEAR_Y-3,12,31))/100)))</f>
        <v/>
      </c>
      <c r="AE106" s="73">
        <f>IF($C106="","",IF(PULL_FUND="N","",IF(COUNTIFS('Fund History'!$G$572:$G$576,"&gt;="&amp;DATE(YEAR_Y-2,1,1),'Fund History'!$G$572:$G$576,"&lt;="&amp;DATE(YEAR_Y-2,12,31))=0,"",SUMIFS('Fund History'!$H$572:$H$576,'Fund History'!$G$572:$G$576,"&gt;="&amp;DATE(YEAR_Y-2,1,1),'Fund History'!$G$572:$G$576,"&lt;="&amp;DATE(YEAR_Y-2,12,31))/100)))</f>
        <v/>
      </c>
      <c r="AF106" s="73">
        <f>IF($C106="","",IF(PULL_FUND="N","",IF(COUNTIFS('Fund History'!$G$572:$G$576,"&gt;="&amp;DATE(YEAR_Y-1,1,1),'Fund History'!$G$572:$G$576,"&lt;="&amp;DATE(YEAR_Y-1,12,31))=0,"",SUMIFS('Fund History'!$H$572:$H$576,'Fund History'!$G$572:$G$576,"&gt;="&amp;DATE(YEAR_Y-1,1,1),'Fund History'!$G$572:$G$576,"&lt;="&amp;DATE(YEAR_Y-1,12,31))/100)))</f>
        <v/>
      </c>
      <c r="AG106" s="74">
        <f>IF($C106="","",IF(N($AF106)+N(HSI!$I$101)=0,"",N($AF106)+N(HSI!$I$101)/100))</f>
        <v/>
      </c>
      <c r="AH106" s="66">
        <f>IF($C106="","",IF(PULL_FUND="N","",IF(COUNTIFS('Fund History'!$D$572:$D$576,"&gt;="&amp;DATE(YEAR_Y-2,1,1),'Fund History'!$D$572:$D$576,"&lt;="&amp;DATE(YEAR_Y-2,12,31))=0,"",SUMIFS('Fund History'!$E$572:$E$576,'Fund History'!$D$572:$D$576,"&gt;="&amp;DATE(YEAR_Y-2,1,1),'Fund History'!$D$572:$D$576,"&lt;="&amp;DATE(YEAR_Y-2,12,31)))))</f>
        <v/>
      </c>
      <c r="AI106" s="67">
        <f>IF($C106="","",IF(PULL_FUND="N","",IF(COUNTIFS('Fund History'!$D$572:$D$576,"&gt;="&amp;DATE(YEAR_Y-1,1,1),'Fund History'!$D$572:$D$576,"&lt;="&amp;DATE(YEAR_Y-1,12,31))=0,"",SUMIFS('Fund History'!$E$572:$E$576,'Fund History'!$D$572:$D$576,"&gt;="&amp;DATE(YEAR_Y-1,1,1),'Fund History'!$D$572:$D$576,"&lt;="&amp;DATE(YEAR_Y-1,12,31)))))</f>
        <v/>
      </c>
      <c r="AJ106" s="67">
        <f>IF($C106="","",IF(PULL_FUND="N","",IFERROR(BDP($C106,NDEBITDA_FIELD),"")))</f>
        <v/>
      </c>
      <c r="AK106" s="75">
        <f>IF($C106="","",IF(PULL_FUND="N","",IFERROR(BDP($C106,EBINT_FIELD),"")))</f>
        <v/>
      </c>
      <c r="AL106" s="73">
        <f>IF($C106="","",IF(PULL_FUND="N","",IFERROR(BDP($C106,FCF_FIELD)/100,"")))</f>
        <v/>
      </c>
      <c r="AM106" s="76">
        <f>IF($C106="","",IF(ISNUMBER(HSI!$I$101),HSI!$I$101/100,""))</f>
        <v/>
      </c>
      <c r="AN106" s="47">
        <f>IF($C106="","",IF(N($AM106)=0,"",IFERROR($AL106/$AM106,"")))</f>
        <v/>
      </c>
      <c r="AO106" s="33">
        <f>IF($C106="","",IF(ISNUMBER($S106)*ISNUMBER($W106)=0,"",IF($W106&gt;$S106+0.05,"rising",IF($W106&lt;$S106-0.05,"falling","stable"))))</f>
        <v/>
      </c>
      <c r="AP106" s="77">
        <f>IF($C106="","",TRIM(IF(ISNUMBER($X106)*(N($X106)&gt;$D$4)&gt;0,"payout high  ","")&amp;IF(ISNUMBER($AN106)*(N($AN106)&lt;$F$4)&gt;0,"FCF below dvd  ","")&amp;IF(ISNUMBER($AJ106)*(N($AJ106)&gt;$H$4)&gt;0,"leverage high","")))</f>
        <v/>
      </c>
      <c r="AQ106" s="78">
        <f>IF($C106="","",IF(HSI!$F$101="HKD","",HSI!$F$101))</f>
        <v/>
      </c>
    </row>
    <row r="107">
      <c r="B107" s="62" t="inlineStr">
        <is>
          <t>HSI</t>
        </is>
      </c>
      <c r="C107" s="6">
        <f>IF(HSI!$C$102="","",HSI!$C$102)</f>
        <v/>
      </c>
      <c r="D107" s="6">
        <f>IF($C107="","",HSI!$D$102)</f>
        <v/>
      </c>
      <c r="E107" s="6">
        <f>IF($C107="","",HSI!$E$102)</f>
        <v/>
      </c>
      <c r="F107" s="63">
        <f>IF($C107="","",SUMPRODUCT(('Dvd Calendar'!$E$1056:$AR$1056&gt;=DATE(YEAR_Y-5,1,1))*('Dvd Calendar'!$E$1056:$AR$1056&lt;=DATE(YEAR_Y-5,12,31))*'Dvd Calendar'!$E$1059:$AR$1059*(('Dvd Calendar'!$E$1061:$AR$1061=TYPE1)*(TYPE1&lt;&gt;"")+('Dvd Calendar'!$E$1061:$AR$1061=TYPE2)*(TYPE2&lt;&gt;"")+('Dvd Calendar'!$E$1061:$AR$1061=TYPE3)*(TYPE3&lt;&gt;"")+('Dvd Calendar'!$E$1061:$AR$1061=TYPE4)*(TYPE4&lt;&gt;"")+('Dvd Calendar'!$E$1061:$AR$1061=SPECIAL_LBL)*(INC_SPECIALS="Y"))))</f>
        <v/>
      </c>
      <c r="G107" s="64">
        <f>IF($C107="","",SUMPRODUCT(('Dvd Calendar'!$E$1056:$AR$1056&gt;=DATE(YEAR_Y-4,1,1))*('Dvd Calendar'!$E$1056:$AR$1056&lt;=DATE(YEAR_Y-4,12,31))*'Dvd Calendar'!$E$1059:$AR$1059*(('Dvd Calendar'!$E$1061:$AR$1061=TYPE1)*(TYPE1&lt;&gt;"")+('Dvd Calendar'!$E$1061:$AR$1061=TYPE2)*(TYPE2&lt;&gt;"")+('Dvd Calendar'!$E$1061:$AR$1061=TYPE3)*(TYPE3&lt;&gt;"")+('Dvd Calendar'!$E$1061:$AR$1061=TYPE4)*(TYPE4&lt;&gt;"")+('Dvd Calendar'!$E$1061:$AR$1061=SPECIAL_LBL)*(INC_SPECIALS="Y"))))</f>
        <v/>
      </c>
      <c r="H107" s="64">
        <f>IF($C107="","",SUMPRODUCT(('Dvd Calendar'!$E$1056:$AR$1056&gt;=DATE(YEAR_Y-3,1,1))*('Dvd Calendar'!$E$1056:$AR$1056&lt;=DATE(YEAR_Y-3,12,31))*'Dvd Calendar'!$E$1059:$AR$1059*(('Dvd Calendar'!$E$1061:$AR$1061=TYPE1)*(TYPE1&lt;&gt;"")+('Dvd Calendar'!$E$1061:$AR$1061=TYPE2)*(TYPE2&lt;&gt;"")+('Dvd Calendar'!$E$1061:$AR$1061=TYPE3)*(TYPE3&lt;&gt;"")+('Dvd Calendar'!$E$1061:$AR$1061=TYPE4)*(TYPE4&lt;&gt;"")+('Dvd Calendar'!$E$1061:$AR$1061=SPECIAL_LBL)*(INC_SPECIALS="Y"))))</f>
        <v/>
      </c>
      <c r="I107" s="64">
        <f>IF($C107="","",SUMPRODUCT(('Dvd Calendar'!$E$1056:$AR$1056&gt;=DATE(YEAR_Y-2,1,1))*('Dvd Calendar'!$E$1056:$AR$1056&lt;=DATE(YEAR_Y-2,12,31))*'Dvd Calendar'!$E$1059:$AR$1059*(('Dvd Calendar'!$E$1061:$AR$1061=TYPE1)*(TYPE1&lt;&gt;"")+('Dvd Calendar'!$E$1061:$AR$1061=TYPE2)*(TYPE2&lt;&gt;"")+('Dvd Calendar'!$E$1061:$AR$1061=TYPE3)*(TYPE3&lt;&gt;"")+('Dvd Calendar'!$E$1061:$AR$1061=TYPE4)*(TYPE4&lt;&gt;"")+('Dvd Calendar'!$E$1061:$AR$1061=SPECIAL_LBL)*(INC_SPECIALS="Y"))))</f>
        <v/>
      </c>
      <c r="J107" s="64">
        <f>IF($C107="","",SUMPRODUCT(('Dvd Calendar'!$E$1056:$AR$1056&gt;=DATE(YEAR_Y-1,1,1))*('Dvd Calendar'!$E$1056:$AR$1056&lt;=DATE(YEAR_Y-1,12,31))*'Dvd Calendar'!$E$1059:$AR$1059*(('Dvd Calendar'!$E$1061:$AR$1061=TYPE1)*(TYPE1&lt;&gt;"")+('Dvd Calendar'!$E$1061:$AR$1061=TYPE2)*(TYPE2&lt;&gt;"")+('Dvd Calendar'!$E$1061:$AR$1061=TYPE3)*(TYPE3&lt;&gt;"")+('Dvd Calendar'!$E$1061:$AR$1061=TYPE4)*(TYPE4&lt;&gt;"")+('Dvd Calendar'!$E$1061:$AR$1061=SPECIAL_LBL)*(INC_SPECIALS="Y"))))</f>
        <v/>
      </c>
      <c r="K107" s="65">
        <f>IF($C107="","",HSI!$J$102)</f>
        <v/>
      </c>
      <c r="L107" s="65">
        <f>IF($C107="","",HSI!$K$102)</f>
        <v/>
      </c>
      <c r="M107" s="41">
        <f>IF($C107="","",AVERAGE(F107:J107))</f>
        <v/>
      </c>
      <c r="N107" s="66">
        <f>IF($C107="","",IF(PULL_FUND="N","",IFERROR(BDP($C107,EPS_FIELD,YR_OVERRIDE,TEXT(YEAR_Y-5,"0")),"")))</f>
        <v/>
      </c>
      <c r="O107" s="67">
        <f>IF($C107="","",IF(PULL_FUND="N","",IFERROR(BDP($C107,EPS_FIELD,YR_OVERRIDE,TEXT(YEAR_Y-4,"0")),"")))</f>
        <v/>
      </c>
      <c r="P107" s="67">
        <f>IF($C107="","",IF(PULL_FUND="N","",IFERROR(BDP($C107,EPS_FIELD,YR_OVERRIDE,TEXT(YEAR_Y-3,"0")),"")))</f>
        <v/>
      </c>
      <c r="Q107" s="67">
        <f>IF($C107="","",IF(PULL_FUND="N","",IFERROR(BDP($C107,EPS_FIELD,YR_OVERRIDE,TEXT(YEAR_Y-2,"0")),"")))</f>
        <v/>
      </c>
      <c r="R107" s="67">
        <f>IF($C107="","",IF(PULL_FUND="N","",IFERROR(BDP($C107,EPS_FIELD,YR_OVERRIDE,TEXT(YEAR_Y-1,"0")),"")))</f>
        <v/>
      </c>
      <c r="S107" s="68">
        <f>IF($C107="","",IF(PULL_FUND="N","",IFERROR(BDP($C107,PAYOUT_FIELD,YR_OVERRIDE,TEXT(YEAR_Y-5,"0"))/100,"")))</f>
        <v/>
      </c>
      <c r="T107" s="68">
        <f>IF($C107="","",IF(PULL_FUND="N","",IFERROR(BDP($C107,PAYOUT_FIELD,YR_OVERRIDE,TEXT(YEAR_Y-4,"0"))/100,"")))</f>
        <v/>
      </c>
      <c r="U107" s="68">
        <f>IF($C107="","",IF(PULL_FUND="N","",IFERROR(BDP($C107,PAYOUT_FIELD,YR_OVERRIDE,TEXT(YEAR_Y-3,"0"))/100,"")))</f>
        <v/>
      </c>
      <c r="V107" s="68">
        <f>IF($C107="","",IF(PULL_FUND="N","",IFERROR(BDP($C107,PAYOUT_FIELD,YR_OVERRIDE,TEXT(YEAR_Y-2,"0"))/100,"")))</f>
        <v/>
      </c>
      <c r="W107" s="68">
        <f>IF($C107="","",IF(PULL_FUND="N","",IFERROR(BDP($C107,PAYOUT_FIELD,YR_OVERRIDE,TEXT(YEAR_Y-1,"0"))/100,"")))</f>
        <v/>
      </c>
      <c r="X107" s="69">
        <f>IF($C107="","",IFERROR(AVERAGE(S107:W107),""))</f>
        <v/>
      </c>
      <c r="Y107" s="66">
        <f>IF($C107="","",IF(PULL_FUND="N","",IFERROR(BDP($C107,BESTEPS_FIELD,FWD_OVERRIDE,TEXT(MOD(YEAR_Y,100),"00")&amp;"Y"),"")))</f>
        <v/>
      </c>
      <c r="Z107" s="70">
        <f>IF($C107="","",IF(PULL_FUND="N","",IFERROR(BDP($C107,BESTDPS_FIELD,FWD_OVERRIDE,TEXT(MOD(YEAR_Y,100),"00")&amp;"Y"),"")))</f>
        <v/>
      </c>
      <c r="AA107" s="71">
        <f>IF($C107="","",IF(ISNUMBER($Y107)*ISNUMBER($Z107)*($Y107&lt;&gt;0)=0,"",$Z107/$Y107))</f>
        <v/>
      </c>
      <c r="AB107" s="41">
        <f>IF($C107="","",HSI!$J$102+HSI!$L$102)</f>
        <v/>
      </c>
      <c r="AC107" s="72">
        <f>IF($C107="","",IF(PULL_FUND="N","",IF(COUNTIFS('Fund History'!$G$578:$G$582,"&gt;="&amp;DATE(YEAR_Y-4,1,1),'Fund History'!$G$578:$G$582,"&lt;="&amp;DATE(YEAR_Y-4,12,31))=0,"",SUMIFS('Fund History'!$H$578:$H$582,'Fund History'!$G$578:$G$582,"&gt;="&amp;DATE(YEAR_Y-4,1,1),'Fund History'!$G$578:$G$582,"&lt;="&amp;DATE(YEAR_Y-4,12,31))/100)))</f>
        <v/>
      </c>
      <c r="AD107" s="73">
        <f>IF($C107="","",IF(PULL_FUND="N","",IF(COUNTIFS('Fund History'!$G$578:$G$582,"&gt;="&amp;DATE(YEAR_Y-3,1,1),'Fund History'!$G$578:$G$582,"&lt;="&amp;DATE(YEAR_Y-3,12,31))=0,"",SUMIFS('Fund History'!$H$578:$H$582,'Fund History'!$G$578:$G$582,"&gt;="&amp;DATE(YEAR_Y-3,1,1),'Fund History'!$G$578:$G$582,"&lt;="&amp;DATE(YEAR_Y-3,12,31))/100)))</f>
        <v/>
      </c>
      <c r="AE107" s="73">
        <f>IF($C107="","",IF(PULL_FUND="N","",IF(COUNTIFS('Fund History'!$G$578:$G$582,"&gt;="&amp;DATE(YEAR_Y-2,1,1),'Fund History'!$G$578:$G$582,"&lt;="&amp;DATE(YEAR_Y-2,12,31))=0,"",SUMIFS('Fund History'!$H$578:$H$582,'Fund History'!$G$578:$G$582,"&gt;="&amp;DATE(YEAR_Y-2,1,1),'Fund History'!$G$578:$G$582,"&lt;="&amp;DATE(YEAR_Y-2,12,31))/100)))</f>
        <v/>
      </c>
      <c r="AF107" s="73">
        <f>IF($C107="","",IF(PULL_FUND="N","",IF(COUNTIFS('Fund History'!$G$578:$G$582,"&gt;="&amp;DATE(YEAR_Y-1,1,1),'Fund History'!$G$578:$G$582,"&lt;="&amp;DATE(YEAR_Y-1,12,31))=0,"",SUMIFS('Fund History'!$H$578:$H$582,'Fund History'!$G$578:$G$582,"&gt;="&amp;DATE(YEAR_Y-1,1,1),'Fund History'!$G$578:$G$582,"&lt;="&amp;DATE(YEAR_Y-1,12,31))/100)))</f>
        <v/>
      </c>
      <c r="AG107" s="74">
        <f>IF($C107="","",IF(N($AF107)+N(HSI!$I$102)=0,"",N($AF107)+N(HSI!$I$102)/100))</f>
        <v/>
      </c>
      <c r="AH107" s="66">
        <f>IF($C107="","",IF(PULL_FUND="N","",IF(COUNTIFS('Fund History'!$D$578:$D$582,"&gt;="&amp;DATE(YEAR_Y-2,1,1),'Fund History'!$D$578:$D$582,"&lt;="&amp;DATE(YEAR_Y-2,12,31))=0,"",SUMIFS('Fund History'!$E$578:$E$582,'Fund History'!$D$578:$D$582,"&gt;="&amp;DATE(YEAR_Y-2,1,1),'Fund History'!$D$578:$D$582,"&lt;="&amp;DATE(YEAR_Y-2,12,31)))))</f>
        <v/>
      </c>
      <c r="AI107" s="67">
        <f>IF($C107="","",IF(PULL_FUND="N","",IF(COUNTIFS('Fund History'!$D$578:$D$582,"&gt;="&amp;DATE(YEAR_Y-1,1,1),'Fund History'!$D$578:$D$582,"&lt;="&amp;DATE(YEAR_Y-1,12,31))=0,"",SUMIFS('Fund History'!$E$578:$E$582,'Fund History'!$D$578:$D$582,"&gt;="&amp;DATE(YEAR_Y-1,1,1),'Fund History'!$D$578:$D$582,"&lt;="&amp;DATE(YEAR_Y-1,12,31)))))</f>
        <v/>
      </c>
      <c r="AJ107" s="67">
        <f>IF($C107="","",IF(PULL_FUND="N","",IFERROR(BDP($C107,NDEBITDA_FIELD),"")))</f>
        <v/>
      </c>
      <c r="AK107" s="75">
        <f>IF($C107="","",IF(PULL_FUND="N","",IFERROR(BDP($C107,EBINT_FIELD),"")))</f>
        <v/>
      </c>
      <c r="AL107" s="73">
        <f>IF($C107="","",IF(PULL_FUND="N","",IFERROR(BDP($C107,FCF_FIELD)/100,"")))</f>
        <v/>
      </c>
      <c r="AM107" s="76">
        <f>IF($C107="","",IF(ISNUMBER(HSI!$I$102),HSI!$I$102/100,""))</f>
        <v/>
      </c>
      <c r="AN107" s="47">
        <f>IF($C107="","",IF(N($AM107)=0,"",IFERROR($AL107/$AM107,"")))</f>
        <v/>
      </c>
      <c r="AO107" s="33">
        <f>IF($C107="","",IF(ISNUMBER($S107)*ISNUMBER($W107)=0,"",IF($W107&gt;$S107+0.05,"rising",IF($W107&lt;$S107-0.05,"falling","stable"))))</f>
        <v/>
      </c>
      <c r="AP107" s="77">
        <f>IF($C107="","",TRIM(IF(ISNUMBER($X107)*(N($X107)&gt;$D$4)&gt;0,"payout high  ","")&amp;IF(ISNUMBER($AN107)*(N($AN107)&lt;$F$4)&gt;0,"FCF below dvd  ","")&amp;IF(ISNUMBER($AJ107)*(N($AJ107)&gt;$H$4)&gt;0,"leverage high","")))</f>
        <v/>
      </c>
      <c r="AQ107" s="78">
        <f>IF($C107="","",IF(HSI!$F$102="HKD","",HSI!$F$102))</f>
        <v/>
      </c>
    </row>
    <row r="108">
      <c r="B108" s="62" t="inlineStr">
        <is>
          <t>HSI</t>
        </is>
      </c>
      <c r="C108" s="6">
        <f>IF(HSI!$C$103="","",HSI!$C$103)</f>
        <v/>
      </c>
      <c r="D108" s="6">
        <f>IF($C108="","",HSI!$D$103)</f>
        <v/>
      </c>
      <c r="E108" s="6">
        <f>IF($C108="","",HSI!$E$103)</f>
        <v/>
      </c>
      <c r="F108" s="63">
        <f>IF($C108="","",SUMPRODUCT(('Dvd Calendar'!$E$1067:$AR$1067&gt;=DATE(YEAR_Y-5,1,1))*('Dvd Calendar'!$E$1067:$AR$1067&lt;=DATE(YEAR_Y-5,12,31))*'Dvd Calendar'!$E$1070:$AR$1070*(('Dvd Calendar'!$E$1072:$AR$1072=TYPE1)*(TYPE1&lt;&gt;"")+('Dvd Calendar'!$E$1072:$AR$1072=TYPE2)*(TYPE2&lt;&gt;"")+('Dvd Calendar'!$E$1072:$AR$1072=TYPE3)*(TYPE3&lt;&gt;"")+('Dvd Calendar'!$E$1072:$AR$1072=TYPE4)*(TYPE4&lt;&gt;"")+('Dvd Calendar'!$E$1072:$AR$1072=SPECIAL_LBL)*(INC_SPECIALS="Y"))))</f>
        <v/>
      </c>
      <c r="G108" s="64">
        <f>IF($C108="","",SUMPRODUCT(('Dvd Calendar'!$E$1067:$AR$1067&gt;=DATE(YEAR_Y-4,1,1))*('Dvd Calendar'!$E$1067:$AR$1067&lt;=DATE(YEAR_Y-4,12,31))*'Dvd Calendar'!$E$1070:$AR$1070*(('Dvd Calendar'!$E$1072:$AR$1072=TYPE1)*(TYPE1&lt;&gt;"")+('Dvd Calendar'!$E$1072:$AR$1072=TYPE2)*(TYPE2&lt;&gt;"")+('Dvd Calendar'!$E$1072:$AR$1072=TYPE3)*(TYPE3&lt;&gt;"")+('Dvd Calendar'!$E$1072:$AR$1072=TYPE4)*(TYPE4&lt;&gt;"")+('Dvd Calendar'!$E$1072:$AR$1072=SPECIAL_LBL)*(INC_SPECIALS="Y"))))</f>
        <v/>
      </c>
      <c r="H108" s="64">
        <f>IF($C108="","",SUMPRODUCT(('Dvd Calendar'!$E$1067:$AR$1067&gt;=DATE(YEAR_Y-3,1,1))*('Dvd Calendar'!$E$1067:$AR$1067&lt;=DATE(YEAR_Y-3,12,31))*'Dvd Calendar'!$E$1070:$AR$1070*(('Dvd Calendar'!$E$1072:$AR$1072=TYPE1)*(TYPE1&lt;&gt;"")+('Dvd Calendar'!$E$1072:$AR$1072=TYPE2)*(TYPE2&lt;&gt;"")+('Dvd Calendar'!$E$1072:$AR$1072=TYPE3)*(TYPE3&lt;&gt;"")+('Dvd Calendar'!$E$1072:$AR$1072=TYPE4)*(TYPE4&lt;&gt;"")+('Dvd Calendar'!$E$1072:$AR$1072=SPECIAL_LBL)*(INC_SPECIALS="Y"))))</f>
        <v/>
      </c>
      <c r="I108" s="64">
        <f>IF($C108="","",SUMPRODUCT(('Dvd Calendar'!$E$1067:$AR$1067&gt;=DATE(YEAR_Y-2,1,1))*('Dvd Calendar'!$E$1067:$AR$1067&lt;=DATE(YEAR_Y-2,12,31))*'Dvd Calendar'!$E$1070:$AR$1070*(('Dvd Calendar'!$E$1072:$AR$1072=TYPE1)*(TYPE1&lt;&gt;"")+('Dvd Calendar'!$E$1072:$AR$1072=TYPE2)*(TYPE2&lt;&gt;"")+('Dvd Calendar'!$E$1072:$AR$1072=TYPE3)*(TYPE3&lt;&gt;"")+('Dvd Calendar'!$E$1072:$AR$1072=TYPE4)*(TYPE4&lt;&gt;"")+('Dvd Calendar'!$E$1072:$AR$1072=SPECIAL_LBL)*(INC_SPECIALS="Y"))))</f>
        <v/>
      </c>
      <c r="J108" s="64">
        <f>IF($C108="","",SUMPRODUCT(('Dvd Calendar'!$E$1067:$AR$1067&gt;=DATE(YEAR_Y-1,1,1))*('Dvd Calendar'!$E$1067:$AR$1067&lt;=DATE(YEAR_Y-1,12,31))*'Dvd Calendar'!$E$1070:$AR$1070*(('Dvd Calendar'!$E$1072:$AR$1072=TYPE1)*(TYPE1&lt;&gt;"")+('Dvd Calendar'!$E$1072:$AR$1072=TYPE2)*(TYPE2&lt;&gt;"")+('Dvd Calendar'!$E$1072:$AR$1072=TYPE3)*(TYPE3&lt;&gt;"")+('Dvd Calendar'!$E$1072:$AR$1072=TYPE4)*(TYPE4&lt;&gt;"")+('Dvd Calendar'!$E$1072:$AR$1072=SPECIAL_LBL)*(INC_SPECIALS="Y"))))</f>
        <v/>
      </c>
      <c r="K108" s="65">
        <f>IF($C108="","",HSI!$J$103)</f>
        <v/>
      </c>
      <c r="L108" s="65">
        <f>IF($C108="","",HSI!$K$103)</f>
        <v/>
      </c>
      <c r="M108" s="41">
        <f>IF($C108="","",AVERAGE(F108:J108))</f>
        <v/>
      </c>
      <c r="N108" s="66">
        <f>IF($C108="","",IF(PULL_FUND="N","",IFERROR(BDP($C108,EPS_FIELD,YR_OVERRIDE,TEXT(YEAR_Y-5,"0")),"")))</f>
        <v/>
      </c>
      <c r="O108" s="67">
        <f>IF($C108="","",IF(PULL_FUND="N","",IFERROR(BDP($C108,EPS_FIELD,YR_OVERRIDE,TEXT(YEAR_Y-4,"0")),"")))</f>
        <v/>
      </c>
      <c r="P108" s="67">
        <f>IF($C108="","",IF(PULL_FUND="N","",IFERROR(BDP($C108,EPS_FIELD,YR_OVERRIDE,TEXT(YEAR_Y-3,"0")),"")))</f>
        <v/>
      </c>
      <c r="Q108" s="67">
        <f>IF($C108="","",IF(PULL_FUND="N","",IFERROR(BDP($C108,EPS_FIELD,YR_OVERRIDE,TEXT(YEAR_Y-2,"0")),"")))</f>
        <v/>
      </c>
      <c r="R108" s="67">
        <f>IF($C108="","",IF(PULL_FUND="N","",IFERROR(BDP($C108,EPS_FIELD,YR_OVERRIDE,TEXT(YEAR_Y-1,"0")),"")))</f>
        <v/>
      </c>
      <c r="S108" s="68">
        <f>IF($C108="","",IF(PULL_FUND="N","",IFERROR(BDP($C108,PAYOUT_FIELD,YR_OVERRIDE,TEXT(YEAR_Y-5,"0"))/100,"")))</f>
        <v/>
      </c>
      <c r="T108" s="68">
        <f>IF($C108="","",IF(PULL_FUND="N","",IFERROR(BDP($C108,PAYOUT_FIELD,YR_OVERRIDE,TEXT(YEAR_Y-4,"0"))/100,"")))</f>
        <v/>
      </c>
      <c r="U108" s="68">
        <f>IF($C108="","",IF(PULL_FUND="N","",IFERROR(BDP($C108,PAYOUT_FIELD,YR_OVERRIDE,TEXT(YEAR_Y-3,"0"))/100,"")))</f>
        <v/>
      </c>
      <c r="V108" s="68">
        <f>IF($C108="","",IF(PULL_FUND="N","",IFERROR(BDP($C108,PAYOUT_FIELD,YR_OVERRIDE,TEXT(YEAR_Y-2,"0"))/100,"")))</f>
        <v/>
      </c>
      <c r="W108" s="68">
        <f>IF($C108="","",IF(PULL_FUND="N","",IFERROR(BDP($C108,PAYOUT_FIELD,YR_OVERRIDE,TEXT(YEAR_Y-1,"0"))/100,"")))</f>
        <v/>
      </c>
      <c r="X108" s="69">
        <f>IF($C108="","",IFERROR(AVERAGE(S108:W108),""))</f>
        <v/>
      </c>
      <c r="Y108" s="66">
        <f>IF($C108="","",IF(PULL_FUND="N","",IFERROR(BDP($C108,BESTEPS_FIELD,FWD_OVERRIDE,TEXT(MOD(YEAR_Y,100),"00")&amp;"Y"),"")))</f>
        <v/>
      </c>
      <c r="Z108" s="70">
        <f>IF($C108="","",IF(PULL_FUND="N","",IFERROR(BDP($C108,BESTDPS_FIELD,FWD_OVERRIDE,TEXT(MOD(YEAR_Y,100),"00")&amp;"Y"),"")))</f>
        <v/>
      </c>
      <c r="AA108" s="71">
        <f>IF($C108="","",IF(ISNUMBER($Y108)*ISNUMBER($Z108)*($Y108&lt;&gt;0)=0,"",$Z108/$Y108))</f>
        <v/>
      </c>
      <c r="AB108" s="41">
        <f>IF($C108="","",HSI!$J$103+HSI!$L$103)</f>
        <v/>
      </c>
      <c r="AC108" s="72">
        <f>IF($C108="","",IF(PULL_FUND="N","",IF(COUNTIFS('Fund History'!$G$584:$G$588,"&gt;="&amp;DATE(YEAR_Y-4,1,1),'Fund History'!$G$584:$G$588,"&lt;="&amp;DATE(YEAR_Y-4,12,31))=0,"",SUMIFS('Fund History'!$H$584:$H$588,'Fund History'!$G$584:$G$588,"&gt;="&amp;DATE(YEAR_Y-4,1,1),'Fund History'!$G$584:$G$588,"&lt;="&amp;DATE(YEAR_Y-4,12,31))/100)))</f>
        <v/>
      </c>
      <c r="AD108" s="73">
        <f>IF($C108="","",IF(PULL_FUND="N","",IF(COUNTIFS('Fund History'!$G$584:$G$588,"&gt;="&amp;DATE(YEAR_Y-3,1,1),'Fund History'!$G$584:$G$588,"&lt;="&amp;DATE(YEAR_Y-3,12,31))=0,"",SUMIFS('Fund History'!$H$584:$H$588,'Fund History'!$G$584:$G$588,"&gt;="&amp;DATE(YEAR_Y-3,1,1),'Fund History'!$G$584:$G$588,"&lt;="&amp;DATE(YEAR_Y-3,12,31))/100)))</f>
        <v/>
      </c>
      <c r="AE108" s="73">
        <f>IF($C108="","",IF(PULL_FUND="N","",IF(COUNTIFS('Fund History'!$G$584:$G$588,"&gt;="&amp;DATE(YEAR_Y-2,1,1),'Fund History'!$G$584:$G$588,"&lt;="&amp;DATE(YEAR_Y-2,12,31))=0,"",SUMIFS('Fund History'!$H$584:$H$588,'Fund History'!$G$584:$G$588,"&gt;="&amp;DATE(YEAR_Y-2,1,1),'Fund History'!$G$584:$G$588,"&lt;="&amp;DATE(YEAR_Y-2,12,31))/100)))</f>
        <v/>
      </c>
      <c r="AF108" s="73">
        <f>IF($C108="","",IF(PULL_FUND="N","",IF(COUNTIFS('Fund History'!$G$584:$G$588,"&gt;="&amp;DATE(YEAR_Y-1,1,1),'Fund History'!$G$584:$G$588,"&lt;="&amp;DATE(YEAR_Y-1,12,31))=0,"",SUMIFS('Fund History'!$H$584:$H$588,'Fund History'!$G$584:$G$588,"&gt;="&amp;DATE(YEAR_Y-1,1,1),'Fund History'!$G$584:$G$588,"&lt;="&amp;DATE(YEAR_Y-1,12,31))/100)))</f>
        <v/>
      </c>
      <c r="AG108" s="74">
        <f>IF($C108="","",IF(N($AF108)+N(HSI!$I$103)=0,"",N($AF108)+N(HSI!$I$103)/100))</f>
        <v/>
      </c>
      <c r="AH108" s="66">
        <f>IF($C108="","",IF(PULL_FUND="N","",IF(COUNTIFS('Fund History'!$D$584:$D$588,"&gt;="&amp;DATE(YEAR_Y-2,1,1),'Fund History'!$D$584:$D$588,"&lt;="&amp;DATE(YEAR_Y-2,12,31))=0,"",SUMIFS('Fund History'!$E$584:$E$588,'Fund History'!$D$584:$D$588,"&gt;="&amp;DATE(YEAR_Y-2,1,1),'Fund History'!$D$584:$D$588,"&lt;="&amp;DATE(YEAR_Y-2,12,31)))))</f>
        <v/>
      </c>
      <c r="AI108" s="67">
        <f>IF($C108="","",IF(PULL_FUND="N","",IF(COUNTIFS('Fund History'!$D$584:$D$588,"&gt;="&amp;DATE(YEAR_Y-1,1,1),'Fund History'!$D$584:$D$588,"&lt;="&amp;DATE(YEAR_Y-1,12,31))=0,"",SUMIFS('Fund History'!$E$584:$E$588,'Fund History'!$D$584:$D$588,"&gt;="&amp;DATE(YEAR_Y-1,1,1),'Fund History'!$D$584:$D$588,"&lt;="&amp;DATE(YEAR_Y-1,12,31)))))</f>
        <v/>
      </c>
      <c r="AJ108" s="67">
        <f>IF($C108="","",IF(PULL_FUND="N","",IFERROR(BDP($C108,NDEBITDA_FIELD),"")))</f>
        <v/>
      </c>
      <c r="AK108" s="75">
        <f>IF($C108="","",IF(PULL_FUND="N","",IFERROR(BDP($C108,EBINT_FIELD),"")))</f>
        <v/>
      </c>
      <c r="AL108" s="73">
        <f>IF($C108="","",IF(PULL_FUND="N","",IFERROR(BDP($C108,FCF_FIELD)/100,"")))</f>
        <v/>
      </c>
      <c r="AM108" s="76">
        <f>IF($C108="","",IF(ISNUMBER(HSI!$I$103),HSI!$I$103/100,""))</f>
        <v/>
      </c>
      <c r="AN108" s="47">
        <f>IF($C108="","",IF(N($AM108)=0,"",IFERROR($AL108/$AM108,"")))</f>
        <v/>
      </c>
      <c r="AO108" s="33">
        <f>IF($C108="","",IF(ISNUMBER($S108)*ISNUMBER($W108)=0,"",IF($W108&gt;$S108+0.05,"rising",IF($W108&lt;$S108-0.05,"falling","stable"))))</f>
        <v/>
      </c>
      <c r="AP108" s="77">
        <f>IF($C108="","",TRIM(IF(ISNUMBER($X108)*(N($X108)&gt;$D$4)&gt;0,"payout high  ","")&amp;IF(ISNUMBER($AN108)*(N($AN108)&lt;$F$4)&gt;0,"FCF below dvd  ","")&amp;IF(ISNUMBER($AJ108)*(N($AJ108)&gt;$H$4)&gt;0,"leverage high","")))</f>
        <v/>
      </c>
      <c r="AQ108" s="78">
        <f>IF($C108="","",IF(HSI!$F$103="HKD","",HSI!$F$103))</f>
        <v/>
      </c>
    </row>
    <row r="109">
      <c r="B109" s="62" t="inlineStr">
        <is>
          <t>HSI</t>
        </is>
      </c>
      <c r="C109" s="6">
        <f>IF(HSI!$C$104="","",HSI!$C$104)</f>
        <v/>
      </c>
      <c r="D109" s="6">
        <f>IF($C109="","",HSI!$D$104)</f>
        <v/>
      </c>
      <c r="E109" s="6">
        <f>IF($C109="","",HSI!$E$104)</f>
        <v/>
      </c>
      <c r="F109" s="63">
        <f>IF($C109="","",SUMPRODUCT(('Dvd Calendar'!$E$1078:$AR$1078&gt;=DATE(YEAR_Y-5,1,1))*('Dvd Calendar'!$E$1078:$AR$1078&lt;=DATE(YEAR_Y-5,12,31))*'Dvd Calendar'!$E$1081:$AR$1081*(('Dvd Calendar'!$E$1083:$AR$1083=TYPE1)*(TYPE1&lt;&gt;"")+('Dvd Calendar'!$E$1083:$AR$1083=TYPE2)*(TYPE2&lt;&gt;"")+('Dvd Calendar'!$E$1083:$AR$1083=TYPE3)*(TYPE3&lt;&gt;"")+('Dvd Calendar'!$E$1083:$AR$1083=TYPE4)*(TYPE4&lt;&gt;"")+('Dvd Calendar'!$E$1083:$AR$1083=SPECIAL_LBL)*(INC_SPECIALS="Y"))))</f>
        <v/>
      </c>
      <c r="G109" s="64">
        <f>IF($C109="","",SUMPRODUCT(('Dvd Calendar'!$E$1078:$AR$1078&gt;=DATE(YEAR_Y-4,1,1))*('Dvd Calendar'!$E$1078:$AR$1078&lt;=DATE(YEAR_Y-4,12,31))*'Dvd Calendar'!$E$1081:$AR$1081*(('Dvd Calendar'!$E$1083:$AR$1083=TYPE1)*(TYPE1&lt;&gt;"")+('Dvd Calendar'!$E$1083:$AR$1083=TYPE2)*(TYPE2&lt;&gt;"")+('Dvd Calendar'!$E$1083:$AR$1083=TYPE3)*(TYPE3&lt;&gt;"")+('Dvd Calendar'!$E$1083:$AR$1083=TYPE4)*(TYPE4&lt;&gt;"")+('Dvd Calendar'!$E$1083:$AR$1083=SPECIAL_LBL)*(INC_SPECIALS="Y"))))</f>
        <v/>
      </c>
      <c r="H109" s="64">
        <f>IF($C109="","",SUMPRODUCT(('Dvd Calendar'!$E$1078:$AR$1078&gt;=DATE(YEAR_Y-3,1,1))*('Dvd Calendar'!$E$1078:$AR$1078&lt;=DATE(YEAR_Y-3,12,31))*'Dvd Calendar'!$E$1081:$AR$1081*(('Dvd Calendar'!$E$1083:$AR$1083=TYPE1)*(TYPE1&lt;&gt;"")+('Dvd Calendar'!$E$1083:$AR$1083=TYPE2)*(TYPE2&lt;&gt;"")+('Dvd Calendar'!$E$1083:$AR$1083=TYPE3)*(TYPE3&lt;&gt;"")+('Dvd Calendar'!$E$1083:$AR$1083=TYPE4)*(TYPE4&lt;&gt;"")+('Dvd Calendar'!$E$1083:$AR$1083=SPECIAL_LBL)*(INC_SPECIALS="Y"))))</f>
        <v/>
      </c>
      <c r="I109" s="64">
        <f>IF($C109="","",SUMPRODUCT(('Dvd Calendar'!$E$1078:$AR$1078&gt;=DATE(YEAR_Y-2,1,1))*('Dvd Calendar'!$E$1078:$AR$1078&lt;=DATE(YEAR_Y-2,12,31))*'Dvd Calendar'!$E$1081:$AR$1081*(('Dvd Calendar'!$E$1083:$AR$1083=TYPE1)*(TYPE1&lt;&gt;"")+('Dvd Calendar'!$E$1083:$AR$1083=TYPE2)*(TYPE2&lt;&gt;"")+('Dvd Calendar'!$E$1083:$AR$1083=TYPE3)*(TYPE3&lt;&gt;"")+('Dvd Calendar'!$E$1083:$AR$1083=TYPE4)*(TYPE4&lt;&gt;"")+('Dvd Calendar'!$E$1083:$AR$1083=SPECIAL_LBL)*(INC_SPECIALS="Y"))))</f>
        <v/>
      </c>
      <c r="J109" s="64">
        <f>IF($C109="","",SUMPRODUCT(('Dvd Calendar'!$E$1078:$AR$1078&gt;=DATE(YEAR_Y-1,1,1))*('Dvd Calendar'!$E$1078:$AR$1078&lt;=DATE(YEAR_Y-1,12,31))*'Dvd Calendar'!$E$1081:$AR$1081*(('Dvd Calendar'!$E$1083:$AR$1083=TYPE1)*(TYPE1&lt;&gt;"")+('Dvd Calendar'!$E$1083:$AR$1083=TYPE2)*(TYPE2&lt;&gt;"")+('Dvd Calendar'!$E$1083:$AR$1083=TYPE3)*(TYPE3&lt;&gt;"")+('Dvd Calendar'!$E$1083:$AR$1083=TYPE4)*(TYPE4&lt;&gt;"")+('Dvd Calendar'!$E$1083:$AR$1083=SPECIAL_LBL)*(INC_SPECIALS="Y"))))</f>
        <v/>
      </c>
      <c r="K109" s="65">
        <f>IF($C109="","",HSI!$J$104)</f>
        <v/>
      </c>
      <c r="L109" s="65">
        <f>IF($C109="","",HSI!$K$104)</f>
        <v/>
      </c>
      <c r="M109" s="41">
        <f>IF($C109="","",AVERAGE(F109:J109))</f>
        <v/>
      </c>
      <c r="N109" s="66">
        <f>IF($C109="","",IF(PULL_FUND="N","",IFERROR(BDP($C109,EPS_FIELD,YR_OVERRIDE,TEXT(YEAR_Y-5,"0")),"")))</f>
        <v/>
      </c>
      <c r="O109" s="67">
        <f>IF($C109="","",IF(PULL_FUND="N","",IFERROR(BDP($C109,EPS_FIELD,YR_OVERRIDE,TEXT(YEAR_Y-4,"0")),"")))</f>
        <v/>
      </c>
      <c r="P109" s="67">
        <f>IF($C109="","",IF(PULL_FUND="N","",IFERROR(BDP($C109,EPS_FIELD,YR_OVERRIDE,TEXT(YEAR_Y-3,"0")),"")))</f>
        <v/>
      </c>
      <c r="Q109" s="67">
        <f>IF($C109="","",IF(PULL_FUND="N","",IFERROR(BDP($C109,EPS_FIELD,YR_OVERRIDE,TEXT(YEAR_Y-2,"0")),"")))</f>
        <v/>
      </c>
      <c r="R109" s="67">
        <f>IF($C109="","",IF(PULL_FUND="N","",IFERROR(BDP($C109,EPS_FIELD,YR_OVERRIDE,TEXT(YEAR_Y-1,"0")),"")))</f>
        <v/>
      </c>
      <c r="S109" s="68">
        <f>IF($C109="","",IF(PULL_FUND="N","",IFERROR(BDP($C109,PAYOUT_FIELD,YR_OVERRIDE,TEXT(YEAR_Y-5,"0"))/100,"")))</f>
        <v/>
      </c>
      <c r="T109" s="68">
        <f>IF($C109="","",IF(PULL_FUND="N","",IFERROR(BDP($C109,PAYOUT_FIELD,YR_OVERRIDE,TEXT(YEAR_Y-4,"0"))/100,"")))</f>
        <v/>
      </c>
      <c r="U109" s="68">
        <f>IF($C109="","",IF(PULL_FUND="N","",IFERROR(BDP($C109,PAYOUT_FIELD,YR_OVERRIDE,TEXT(YEAR_Y-3,"0"))/100,"")))</f>
        <v/>
      </c>
      <c r="V109" s="68">
        <f>IF($C109="","",IF(PULL_FUND="N","",IFERROR(BDP($C109,PAYOUT_FIELD,YR_OVERRIDE,TEXT(YEAR_Y-2,"0"))/100,"")))</f>
        <v/>
      </c>
      <c r="W109" s="68">
        <f>IF($C109="","",IF(PULL_FUND="N","",IFERROR(BDP($C109,PAYOUT_FIELD,YR_OVERRIDE,TEXT(YEAR_Y-1,"0"))/100,"")))</f>
        <v/>
      </c>
      <c r="X109" s="69">
        <f>IF($C109="","",IFERROR(AVERAGE(S109:W109),""))</f>
        <v/>
      </c>
      <c r="Y109" s="66">
        <f>IF($C109="","",IF(PULL_FUND="N","",IFERROR(BDP($C109,BESTEPS_FIELD,FWD_OVERRIDE,TEXT(MOD(YEAR_Y,100),"00")&amp;"Y"),"")))</f>
        <v/>
      </c>
      <c r="Z109" s="70">
        <f>IF($C109="","",IF(PULL_FUND="N","",IFERROR(BDP($C109,BESTDPS_FIELD,FWD_OVERRIDE,TEXT(MOD(YEAR_Y,100),"00")&amp;"Y"),"")))</f>
        <v/>
      </c>
      <c r="AA109" s="71">
        <f>IF($C109="","",IF(ISNUMBER($Y109)*ISNUMBER($Z109)*($Y109&lt;&gt;0)=0,"",$Z109/$Y109))</f>
        <v/>
      </c>
      <c r="AB109" s="41">
        <f>IF($C109="","",HSI!$J$104+HSI!$L$104)</f>
        <v/>
      </c>
      <c r="AC109" s="72">
        <f>IF($C109="","",IF(PULL_FUND="N","",IF(COUNTIFS('Fund History'!$G$590:$G$594,"&gt;="&amp;DATE(YEAR_Y-4,1,1),'Fund History'!$G$590:$G$594,"&lt;="&amp;DATE(YEAR_Y-4,12,31))=0,"",SUMIFS('Fund History'!$H$590:$H$594,'Fund History'!$G$590:$G$594,"&gt;="&amp;DATE(YEAR_Y-4,1,1),'Fund History'!$G$590:$G$594,"&lt;="&amp;DATE(YEAR_Y-4,12,31))/100)))</f>
        <v/>
      </c>
      <c r="AD109" s="73">
        <f>IF($C109="","",IF(PULL_FUND="N","",IF(COUNTIFS('Fund History'!$G$590:$G$594,"&gt;="&amp;DATE(YEAR_Y-3,1,1),'Fund History'!$G$590:$G$594,"&lt;="&amp;DATE(YEAR_Y-3,12,31))=0,"",SUMIFS('Fund History'!$H$590:$H$594,'Fund History'!$G$590:$G$594,"&gt;="&amp;DATE(YEAR_Y-3,1,1),'Fund History'!$G$590:$G$594,"&lt;="&amp;DATE(YEAR_Y-3,12,31))/100)))</f>
        <v/>
      </c>
      <c r="AE109" s="73">
        <f>IF($C109="","",IF(PULL_FUND="N","",IF(COUNTIFS('Fund History'!$G$590:$G$594,"&gt;="&amp;DATE(YEAR_Y-2,1,1),'Fund History'!$G$590:$G$594,"&lt;="&amp;DATE(YEAR_Y-2,12,31))=0,"",SUMIFS('Fund History'!$H$590:$H$594,'Fund History'!$G$590:$G$594,"&gt;="&amp;DATE(YEAR_Y-2,1,1),'Fund History'!$G$590:$G$594,"&lt;="&amp;DATE(YEAR_Y-2,12,31))/100)))</f>
        <v/>
      </c>
      <c r="AF109" s="73">
        <f>IF($C109="","",IF(PULL_FUND="N","",IF(COUNTIFS('Fund History'!$G$590:$G$594,"&gt;="&amp;DATE(YEAR_Y-1,1,1),'Fund History'!$G$590:$G$594,"&lt;="&amp;DATE(YEAR_Y-1,12,31))=0,"",SUMIFS('Fund History'!$H$590:$H$594,'Fund History'!$G$590:$G$594,"&gt;="&amp;DATE(YEAR_Y-1,1,1),'Fund History'!$G$590:$G$594,"&lt;="&amp;DATE(YEAR_Y-1,12,31))/100)))</f>
        <v/>
      </c>
      <c r="AG109" s="74">
        <f>IF($C109="","",IF(N($AF109)+N(HSI!$I$104)=0,"",N($AF109)+N(HSI!$I$104)/100))</f>
        <v/>
      </c>
      <c r="AH109" s="66">
        <f>IF($C109="","",IF(PULL_FUND="N","",IF(COUNTIFS('Fund History'!$D$590:$D$594,"&gt;="&amp;DATE(YEAR_Y-2,1,1),'Fund History'!$D$590:$D$594,"&lt;="&amp;DATE(YEAR_Y-2,12,31))=0,"",SUMIFS('Fund History'!$E$590:$E$594,'Fund History'!$D$590:$D$594,"&gt;="&amp;DATE(YEAR_Y-2,1,1),'Fund History'!$D$590:$D$594,"&lt;="&amp;DATE(YEAR_Y-2,12,31)))))</f>
        <v/>
      </c>
      <c r="AI109" s="67">
        <f>IF($C109="","",IF(PULL_FUND="N","",IF(COUNTIFS('Fund History'!$D$590:$D$594,"&gt;="&amp;DATE(YEAR_Y-1,1,1),'Fund History'!$D$590:$D$594,"&lt;="&amp;DATE(YEAR_Y-1,12,31))=0,"",SUMIFS('Fund History'!$E$590:$E$594,'Fund History'!$D$590:$D$594,"&gt;="&amp;DATE(YEAR_Y-1,1,1),'Fund History'!$D$590:$D$594,"&lt;="&amp;DATE(YEAR_Y-1,12,31)))))</f>
        <v/>
      </c>
      <c r="AJ109" s="67">
        <f>IF($C109="","",IF(PULL_FUND="N","",IFERROR(BDP($C109,NDEBITDA_FIELD),"")))</f>
        <v/>
      </c>
      <c r="AK109" s="75">
        <f>IF($C109="","",IF(PULL_FUND="N","",IFERROR(BDP($C109,EBINT_FIELD),"")))</f>
        <v/>
      </c>
      <c r="AL109" s="73">
        <f>IF($C109="","",IF(PULL_FUND="N","",IFERROR(BDP($C109,FCF_FIELD)/100,"")))</f>
        <v/>
      </c>
      <c r="AM109" s="76">
        <f>IF($C109="","",IF(ISNUMBER(HSI!$I$104),HSI!$I$104/100,""))</f>
        <v/>
      </c>
      <c r="AN109" s="47">
        <f>IF($C109="","",IF(N($AM109)=0,"",IFERROR($AL109/$AM109,"")))</f>
        <v/>
      </c>
      <c r="AO109" s="33">
        <f>IF($C109="","",IF(ISNUMBER($S109)*ISNUMBER($W109)=0,"",IF($W109&gt;$S109+0.05,"rising",IF($W109&lt;$S109-0.05,"falling","stable"))))</f>
        <v/>
      </c>
      <c r="AP109" s="77">
        <f>IF($C109="","",TRIM(IF(ISNUMBER($X109)*(N($X109)&gt;$D$4)&gt;0,"payout high  ","")&amp;IF(ISNUMBER($AN109)*(N($AN109)&lt;$F$4)&gt;0,"FCF below dvd  ","")&amp;IF(ISNUMBER($AJ109)*(N($AJ109)&gt;$H$4)&gt;0,"leverage high","")))</f>
        <v/>
      </c>
      <c r="AQ109" s="78">
        <f>IF($C109="","",IF(HSI!$F$104="HKD","",HSI!$F$104))</f>
        <v/>
      </c>
    </row>
    <row r="110">
      <c r="B110" s="62" t="inlineStr">
        <is>
          <t>HSI</t>
        </is>
      </c>
      <c r="C110" s="6">
        <f>IF(HSI!$C$105="","",HSI!$C$105)</f>
        <v/>
      </c>
      <c r="D110" s="6">
        <f>IF($C110="","",HSI!$D$105)</f>
        <v/>
      </c>
      <c r="E110" s="6">
        <f>IF($C110="","",HSI!$E$105)</f>
        <v/>
      </c>
      <c r="F110" s="63">
        <f>IF($C110="","",SUMPRODUCT(('Dvd Calendar'!$E$1089:$AR$1089&gt;=DATE(YEAR_Y-5,1,1))*('Dvd Calendar'!$E$1089:$AR$1089&lt;=DATE(YEAR_Y-5,12,31))*'Dvd Calendar'!$E$1092:$AR$1092*(('Dvd Calendar'!$E$1094:$AR$1094=TYPE1)*(TYPE1&lt;&gt;"")+('Dvd Calendar'!$E$1094:$AR$1094=TYPE2)*(TYPE2&lt;&gt;"")+('Dvd Calendar'!$E$1094:$AR$1094=TYPE3)*(TYPE3&lt;&gt;"")+('Dvd Calendar'!$E$1094:$AR$1094=TYPE4)*(TYPE4&lt;&gt;"")+('Dvd Calendar'!$E$1094:$AR$1094=SPECIAL_LBL)*(INC_SPECIALS="Y"))))</f>
        <v/>
      </c>
      <c r="G110" s="64">
        <f>IF($C110="","",SUMPRODUCT(('Dvd Calendar'!$E$1089:$AR$1089&gt;=DATE(YEAR_Y-4,1,1))*('Dvd Calendar'!$E$1089:$AR$1089&lt;=DATE(YEAR_Y-4,12,31))*'Dvd Calendar'!$E$1092:$AR$1092*(('Dvd Calendar'!$E$1094:$AR$1094=TYPE1)*(TYPE1&lt;&gt;"")+('Dvd Calendar'!$E$1094:$AR$1094=TYPE2)*(TYPE2&lt;&gt;"")+('Dvd Calendar'!$E$1094:$AR$1094=TYPE3)*(TYPE3&lt;&gt;"")+('Dvd Calendar'!$E$1094:$AR$1094=TYPE4)*(TYPE4&lt;&gt;"")+('Dvd Calendar'!$E$1094:$AR$1094=SPECIAL_LBL)*(INC_SPECIALS="Y"))))</f>
        <v/>
      </c>
      <c r="H110" s="64">
        <f>IF($C110="","",SUMPRODUCT(('Dvd Calendar'!$E$1089:$AR$1089&gt;=DATE(YEAR_Y-3,1,1))*('Dvd Calendar'!$E$1089:$AR$1089&lt;=DATE(YEAR_Y-3,12,31))*'Dvd Calendar'!$E$1092:$AR$1092*(('Dvd Calendar'!$E$1094:$AR$1094=TYPE1)*(TYPE1&lt;&gt;"")+('Dvd Calendar'!$E$1094:$AR$1094=TYPE2)*(TYPE2&lt;&gt;"")+('Dvd Calendar'!$E$1094:$AR$1094=TYPE3)*(TYPE3&lt;&gt;"")+('Dvd Calendar'!$E$1094:$AR$1094=TYPE4)*(TYPE4&lt;&gt;"")+('Dvd Calendar'!$E$1094:$AR$1094=SPECIAL_LBL)*(INC_SPECIALS="Y"))))</f>
        <v/>
      </c>
      <c r="I110" s="64">
        <f>IF($C110="","",SUMPRODUCT(('Dvd Calendar'!$E$1089:$AR$1089&gt;=DATE(YEAR_Y-2,1,1))*('Dvd Calendar'!$E$1089:$AR$1089&lt;=DATE(YEAR_Y-2,12,31))*'Dvd Calendar'!$E$1092:$AR$1092*(('Dvd Calendar'!$E$1094:$AR$1094=TYPE1)*(TYPE1&lt;&gt;"")+('Dvd Calendar'!$E$1094:$AR$1094=TYPE2)*(TYPE2&lt;&gt;"")+('Dvd Calendar'!$E$1094:$AR$1094=TYPE3)*(TYPE3&lt;&gt;"")+('Dvd Calendar'!$E$1094:$AR$1094=TYPE4)*(TYPE4&lt;&gt;"")+('Dvd Calendar'!$E$1094:$AR$1094=SPECIAL_LBL)*(INC_SPECIALS="Y"))))</f>
        <v/>
      </c>
      <c r="J110" s="64">
        <f>IF($C110="","",SUMPRODUCT(('Dvd Calendar'!$E$1089:$AR$1089&gt;=DATE(YEAR_Y-1,1,1))*('Dvd Calendar'!$E$1089:$AR$1089&lt;=DATE(YEAR_Y-1,12,31))*'Dvd Calendar'!$E$1092:$AR$1092*(('Dvd Calendar'!$E$1094:$AR$1094=TYPE1)*(TYPE1&lt;&gt;"")+('Dvd Calendar'!$E$1094:$AR$1094=TYPE2)*(TYPE2&lt;&gt;"")+('Dvd Calendar'!$E$1094:$AR$1094=TYPE3)*(TYPE3&lt;&gt;"")+('Dvd Calendar'!$E$1094:$AR$1094=TYPE4)*(TYPE4&lt;&gt;"")+('Dvd Calendar'!$E$1094:$AR$1094=SPECIAL_LBL)*(INC_SPECIALS="Y"))))</f>
        <v/>
      </c>
      <c r="K110" s="65">
        <f>IF($C110="","",HSI!$J$105)</f>
        <v/>
      </c>
      <c r="L110" s="65">
        <f>IF($C110="","",HSI!$K$105)</f>
        <v/>
      </c>
      <c r="M110" s="41">
        <f>IF($C110="","",AVERAGE(F110:J110))</f>
        <v/>
      </c>
      <c r="N110" s="66">
        <f>IF($C110="","",IF(PULL_FUND="N","",IFERROR(BDP($C110,EPS_FIELD,YR_OVERRIDE,TEXT(YEAR_Y-5,"0")),"")))</f>
        <v/>
      </c>
      <c r="O110" s="67">
        <f>IF($C110="","",IF(PULL_FUND="N","",IFERROR(BDP($C110,EPS_FIELD,YR_OVERRIDE,TEXT(YEAR_Y-4,"0")),"")))</f>
        <v/>
      </c>
      <c r="P110" s="67">
        <f>IF($C110="","",IF(PULL_FUND="N","",IFERROR(BDP($C110,EPS_FIELD,YR_OVERRIDE,TEXT(YEAR_Y-3,"0")),"")))</f>
        <v/>
      </c>
      <c r="Q110" s="67">
        <f>IF($C110="","",IF(PULL_FUND="N","",IFERROR(BDP($C110,EPS_FIELD,YR_OVERRIDE,TEXT(YEAR_Y-2,"0")),"")))</f>
        <v/>
      </c>
      <c r="R110" s="67">
        <f>IF($C110="","",IF(PULL_FUND="N","",IFERROR(BDP($C110,EPS_FIELD,YR_OVERRIDE,TEXT(YEAR_Y-1,"0")),"")))</f>
        <v/>
      </c>
      <c r="S110" s="68">
        <f>IF($C110="","",IF(PULL_FUND="N","",IFERROR(BDP($C110,PAYOUT_FIELD,YR_OVERRIDE,TEXT(YEAR_Y-5,"0"))/100,"")))</f>
        <v/>
      </c>
      <c r="T110" s="68">
        <f>IF($C110="","",IF(PULL_FUND="N","",IFERROR(BDP($C110,PAYOUT_FIELD,YR_OVERRIDE,TEXT(YEAR_Y-4,"0"))/100,"")))</f>
        <v/>
      </c>
      <c r="U110" s="68">
        <f>IF($C110="","",IF(PULL_FUND="N","",IFERROR(BDP($C110,PAYOUT_FIELD,YR_OVERRIDE,TEXT(YEAR_Y-3,"0"))/100,"")))</f>
        <v/>
      </c>
      <c r="V110" s="68">
        <f>IF($C110="","",IF(PULL_FUND="N","",IFERROR(BDP($C110,PAYOUT_FIELD,YR_OVERRIDE,TEXT(YEAR_Y-2,"0"))/100,"")))</f>
        <v/>
      </c>
      <c r="W110" s="68">
        <f>IF($C110="","",IF(PULL_FUND="N","",IFERROR(BDP($C110,PAYOUT_FIELD,YR_OVERRIDE,TEXT(YEAR_Y-1,"0"))/100,"")))</f>
        <v/>
      </c>
      <c r="X110" s="69">
        <f>IF($C110="","",IFERROR(AVERAGE(S110:W110),""))</f>
        <v/>
      </c>
      <c r="Y110" s="66">
        <f>IF($C110="","",IF(PULL_FUND="N","",IFERROR(BDP($C110,BESTEPS_FIELD,FWD_OVERRIDE,TEXT(MOD(YEAR_Y,100),"00")&amp;"Y"),"")))</f>
        <v/>
      </c>
      <c r="Z110" s="70">
        <f>IF($C110="","",IF(PULL_FUND="N","",IFERROR(BDP($C110,BESTDPS_FIELD,FWD_OVERRIDE,TEXT(MOD(YEAR_Y,100),"00")&amp;"Y"),"")))</f>
        <v/>
      </c>
      <c r="AA110" s="71">
        <f>IF($C110="","",IF(ISNUMBER($Y110)*ISNUMBER($Z110)*($Y110&lt;&gt;0)=0,"",$Z110/$Y110))</f>
        <v/>
      </c>
      <c r="AB110" s="41">
        <f>IF($C110="","",HSI!$J$105+HSI!$L$105)</f>
        <v/>
      </c>
      <c r="AC110" s="72">
        <f>IF($C110="","",IF(PULL_FUND="N","",IF(COUNTIFS('Fund History'!$G$596:$G$600,"&gt;="&amp;DATE(YEAR_Y-4,1,1),'Fund History'!$G$596:$G$600,"&lt;="&amp;DATE(YEAR_Y-4,12,31))=0,"",SUMIFS('Fund History'!$H$596:$H$600,'Fund History'!$G$596:$G$600,"&gt;="&amp;DATE(YEAR_Y-4,1,1),'Fund History'!$G$596:$G$600,"&lt;="&amp;DATE(YEAR_Y-4,12,31))/100)))</f>
        <v/>
      </c>
      <c r="AD110" s="73">
        <f>IF($C110="","",IF(PULL_FUND="N","",IF(COUNTIFS('Fund History'!$G$596:$G$600,"&gt;="&amp;DATE(YEAR_Y-3,1,1),'Fund History'!$G$596:$G$600,"&lt;="&amp;DATE(YEAR_Y-3,12,31))=0,"",SUMIFS('Fund History'!$H$596:$H$600,'Fund History'!$G$596:$G$600,"&gt;="&amp;DATE(YEAR_Y-3,1,1),'Fund History'!$G$596:$G$600,"&lt;="&amp;DATE(YEAR_Y-3,12,31))/100)))</f>
        <v/>
      </c>
      <c r="AE110" s="73">
        <f>IF($C110="","",IF(PULL_FUND="N","",IF(COUNTIFS('Fund History'!$G$596:$G$600,"&gt;="&amp;DATE(YEAR_Y-2,1,1),'Fund History'!$G$596:$G$600,"&lt;="&amp;DATE(YEAR_Y-2,12,31))=0,"",SUMIFS('Fund History'!$H$596:$H$600,'Fund History'!$G$596:$G$600,"&gt;="&amp;DATE(YEAR_Y-2,1,1),'Fund History'!$G$596:$G$600,"&lt;="&amp;DATE(YEAR_Y-2,12,31))/100)))</f>
        <v/>
      </c>
      <c r="AF110" s="73">
        <f>IF($C110="","",IF(PULL_FUND="N","",IF(COUNTIFS('Fund History'!$G$596:$G$600,"&gt;="&amp;DATE(YEAR_Y-1,1,1),'Fund History'!$G$596:$G$600,"&lt;="&amp;DATE(YEAR_Y-1,12,31))=0,"",SUMIFS('Fund History'!$H$596:$H$600,'Fund History'!$G$596:$G$600,"&gt;="&amp;DATE(YEAR_Y-1,1,1),'Fund History'!$G$596:$G$600,"&lt;="&amp;DATE(YEAR_Y-1,12,31))/100)))</f>
        <v/>
      </c>
      <c r="AG110" s="74">
        <f>IF($C110="","",IF(N($AF110)+N(HSI!$I$105)=0,"",N($AF110)+N(HSI!$I$105)/100))</f>
        <v/>
      </c>
      <c r="AH110" s="66">
        <f>IF($C110="","",IF(PULL_FUND="N","",IF(COUNTIFS('Fund History'!$D$596:$D$600,"&gt;="&amp;DATE(YEAR_Y-2,1,1),'Fund History'!$D$596:$D$600,"&lt;="&amp;DATE(YEAR_Y-2,12,31))=0,"",SUMIFS('Fund History'!$E$596:$E$600,'Fund History'!$D$596:$D$600,"&gt;="&amp;DATE(YEAR_Y-2,1,1),'Fund History'!$D$596:$D$600,"&lt;="&amp;DATE(YEAR_Y-2,12,31)))))</f>
        <v/>
      </c>
      <c r="AI110" s="67">
        <f>IF($C110="","",IF(PULL_FUND="N","",IF(COUNTIFS('Fund History'!$D$596:$D$600,"&gt;="&amp;DATE(YEAR_Y-1,1,1),'Fund History'!$D$596:$D$600,"&lt;="&amp;DATE(YEAR_Y-1,12,31))=0,"",SUMIFS('Fund History'!$E$596:$E$600,'Fund History'!$D$596:$D$600,"&gt;="&amp;DATE(YEAR_Y-1,1,1),'Fund History'!$D$596:$D$600,"&lt;="&amp;DATE(YEAR_Y-1,12,31)))))</f>
        <v/>
      </c>
      <c r="AJ110" s="67">
        <f>IF($C110="","",IF(PULL_FUND="N","",IFERROR(BDP($C110,NDEBITDA_FIELD),"")))</f>
        <v/>
      </c>
      <c r="AK110" s="75">
        <f>IF($C110="","",IF(PULL_FUND="N","",IFERROR(BDP($C110,EBINT_FIELD),"")))</f>
        <v/>
      </c>
      <c r="AL110" s="73">
        <f>IF($C110="","",IF(PULL_FUND="N","",IFERROR(BDP($C110,FCF_FIELD)/100,"")))</f>
        <v/>
      </c>
      <c r="AM110" s="76">
        <f>IF($C110="","",IF(ISNUMBER(HSI!$I$105),HSI!$I$105/100,""))</f>
        <v/>
      </c>
      <c r="AN110" s="47">
        <f>IF($C110="","",IF(N($AM110)=0,"",IFERROR($AL110/$AM110,"")))</f>
        <v/>
      </c>
      <c r="AO110" s="33">
        <f>IF($C110="","",IF(ISNUMBER($S110)*ISNUMBER($W110)=0,"",IF($W110&gt;$S110+0.05,"rising",IF($W110&lt;$S110-0.05,"falling","stable"))))</f>
        <v/>
      </c>
      <c r="AP110" s="77">
        <f>IF($C110="","",TRIM(IF(ISNUMBER($X110)*(N($X110)&gt;$D$4)&gt;0,"payout high  ","")&amp;IF(ISNUMBER($AN110)*(N($AN110)&lt;$F$4)&gt;0,"FCF below dvd  ","")&amp;IF(ISNUMBER($AJ110)*(N($AJ110)&gt;$H$4)&gt;0,"leverage high","")))</f>
        <v/>
      </c>
      <c r="AQ110" s="78">
        <f>IF($C110="","",IF(HSI!$F$105="HKD","",HSI!$F$105))</f>
        <v/>
      </c>
    </row>
    <row r="111">
      <c r="B111" s="62" t="inlineStr">
        <is>
          <t>HSI</t>
        </is>
      </c>
      <c r="C111" s="6">
        <f>IF(HSI!$C$106="","",HSI!$C$106)</f>
        <v/>
      </c>
      <c r="D111" s="6">
        <f>IF($C111="","",HSI!$D$106)</f>
        <v/>
      </c>
      <c r="E111" s="6">
        <f>IF($C111="","",HSI!$E$106)</f>
        <v/>
      </c>
      <c r="F111" s="63">
        <f>IF($C111="","",SUMPRODUCT(('Dvd Calendar'!$E$1100:$AR$1100&gt;=DATE(YEAR_Y-5,1,1))*('Dvd Calendar'!$E$1100:$AR$1100&lt;=DATE(YEAR_Y-5,12,31))*'Dvd Calendar'!$E$1103:$AR$1103*(('Dvd Calendar'!$E$1105:$AR$1105=TYPE1)*(TYPE1&lt;&gt;"")+('Dvd Calendar'!$E$1105:$AR$1105=TYPE2)*(TYPE2&lt;&gt;"")+('Dvd Calendar'!$E$1105:$AR$1105=TYPE3)*(TYPE3&lt;&gt;"")+('Dvd Calendar'!$E$1105:$AR$1105=TYPE4)*(TYPE4&lt;&gt;"")+('Dvd Calendar'!$E$1105:$AR$1105=SPECIAL_LBL)*(INC_SPECIALS="Y"))))</f>
        <v/>
      </c>
      <c r="G111" s="64">
        <f>IF($C111="","",SUMPRODUCT(('Dvd Calendar'!$E$1100:$AR$1100&gt;=DATE(YEAR_Y-4,1,1))*('Dvd Calendar'!$E$1100:$AR$1100&lt;=DATE(YEAR_Y-4,12,31))*'Dvd Calendar'!$E$1103:$AR$1103*(('Dvd Calendar'!$E$1105:$AR$1105=TYPE1)*(TYPE1&lt;&gt;"")+('Dvd Calendar'!$E$1105:$AR$1105=TYPE2)*(TYPE2&lt;&gt;"")+('Dvd Calendar'!$E$1105:$AR$1105=TYPE3)*(TYPE3&lt;&gt;"")+('Dvd Calendar'!$E$1105:$AR$1105=TYPE4)*(TYPE4&lt;&gt;"")+('Dvd Calendar'!$E$1105:$AR$1105=SPECIAL_LBL)*(INC_SPECIALS="Y"))))</f>
        <v/>
      </c>
      <c r="H111" s="64">
        <f>IF($C111="","",SUMPRODUCT(('Dvd Calendar'!$E$1100:$AR$1100&gt;=DATE(YEAR_Y-3,1,1))*('Dvd Calendar'!$E$1100:$AR$1100&lt;=DATE(YEAR_Y-3,12,31))*'Dvd Calendar'!$E$1103:$AR$1103*(('Dvd Calendar'!$E$1105:$AR$1105=TYPE1)*(TYPE1&lt;&gt;"")+('Dvd Calendar'!$E$1105:$AR$1105=TYPE2)*(TYPE2&lt;&gt;"")+('Dvd Calendar'!$E$1105:$AR$1105=TYPE3)*(TYPE3&lt;&gt;"")+('Dvd Calendar'!$E$1105:$AR$1105=TYPE4)*(TYPE4&lt;&gt;"")+('Dvd Calendar'!$E$1105:$AR$1105=SPECIAL_LBL)*(INC_SPECIALS="Y"))))</f>
        <v/>
      </c>
      <c r="I111" s="64">
        <f>IF($C111="","",SUMPRODUCT(('Dvd Calendar'!$E$1100:$AR$1100&gt;=DATE(YEAR_Y-2,1,1))*('Dvd Calendar'!$E$1100:$AR$1100&lt;=DATE(YEAR_Y-2,12,31))*'Dvd Calendar'!$E$1103:$AR$1103*(('Dvd Calendar'!$E$1105:$AR$1105=TYPE1)*(TYPE1&lt;&gt;"")+('Dvd Calendar'!$E$1105:$AR$1105=TYPE2)*(TYPE2&lt;&gt;"")+('Dvd Calendar'!$E$1105:$AR$1105=TYPE3)*(TYPE3&lt;&gt;"")+('Dvd Calendar'!$E$1105:$AR$1105=TYPE4)*(TYPE4&lt;&gt;"")+('Dvd Calendar'!$E$1105:$AR$1105=SPECIAL_LBL)*(INC_SPECIALS="Y"))))</f>
        <v/>
      </c>
      <c r="J111" s="64">
        <f>IF($C111="","",SUMPRODUCT(('Dvd Calendar'!$E$1100:$AR$1100&gt;=DATE(YEAR_Y-1,1,1))*('Dvd Calendar'!$E$1100:$AR$1100&lt;=DATE(YEAR_Y-1,12,31))*'Dvd Calendar'!$E$1103:$AR$1103*(('Dvd Calendar'!$E$1105:$AR$1105=TYPE1)*(TYPE1&lt;&gt;"")+('Dvd Calendar'!$E$1105:$AR$1105=TYPE2)*(TYPE2&lt;&gt;"")+('Dvd Calendar'!$E$1105:$AR$1105=TYPE3)*(TYPE3&lt;&gt;"")+('Dvd Calendar'!$E$1105:$AR$1105=TYPE4)*(TYPE4&lt;&gt;"")+('Dvd Calendar'!$E$1105:$AR$1105=SPECIAL_LBL)*(INC_SPECIALS="Y"))))</f>
        <v/>
      </c>
      <c r="K111" s="65">
        <f>IF($C111="","",HSI!$J$106)</f>
        <v/>
      </c>
      <c r="L111" s="65">
        <f>IF($C111="","",HSI!$K$106)</f>
        <v/>
      </c>
      <c r="M111" s="41">
        <f>IF($C111="","",AVERAGE(F111:J111))</f>
        <v/>
      </c>
      <c r="N111" s="66">
        <f>IF($C111="","",IF(PULL_FUND="N","",IFERROR(BDP($C111,EPS_FIELD,YR_OVERRIDE,TEXT(YEAR_Y-5,"0")),"")))</f>
        <v/>
      </c>
      <c r="O111" s="67">
        <f>IF($C111="","",IF(PULL_FUND="N","",IFERROR(BDP($C111,EPS_FIELD,YR_OVERRIDE,TEXT(YEAR_Y-4,"0")),"")))</f>
        <v/>
      </c>
      <c r="P111" s="67">
        <f>IF($C111="","",IF(PULL_FUND="N","",IFERROR(BDP($C111,EPS_FIELD,YR_OVERRIDE,TEXT(YEAR_Y-3,"0")),"")))</f>
        <v/>
      </c>
      <c r="Q111" s="67">
        <f>IF($C111="","",IF(PULL_FUND="N","",IFERROR(BDP($C111,EPS_FIELD,YR_OVERRIDE,TEXT(YEAR_Y-2,"0")),"")))</f>
        <v/>
      </c>
      <c r="R111" s="67">
        <f>IF($C111="","",IF(PULL_FUND="N","",IFERROR(BDP($C111,EPS_FIELD,YR_OVERRIDE,TEXT(YEAR_Y-1,"0")),"")))</f>
        <v/>
      </c>
      <c r="S111" s="68">
        <f>IF($C111="","",IF(PULL_FUND="N","",IFERROR(BDP($C111,PAYOUT_FIELD,YR_OVERRIDE,TEXT(YEAR_Y-5,"0"))/100,"")))</f>
        <v/>
      </c>
      <c r="T111" s="68">
        <f>IF($C111="","",IF(PULL_FUND="N","",IFERROR(BDP($C111,PAYOUT_FIELD,YR_OVERRIDE,TEXT(YEAR_Y-4,"0"))/100,"")))</f>
        <v/>
      </c>
      <c r="U111" s="68">
        <f>IF($C111="","",IF(PULL_FUND="N","",IFERROR(BDP($C111,PAYOUT_FIELD,YR_OVERRIDE,TEXT(YEAR_Y-3,"0"))/100,"")))</f>
        <v/>
      </c>
      <c r="V111" s="68">
        <f>IF($C111="","",IF(PULL_FUND="N","",IFERROR(BDP($C111,PAYOUT_FIELD,YR_OVERRIDE,TEXT(YEAR_Y-2,"0"))/100,"")))</f>
        <v/>
      </c>
      <c r="W111" s="68">
        <f>IF($C111="","",IF(PULL_FUND="N","",IFERROR(BDP($C111,PAYOUT_FIELD,YR_OVERRIDE,TEXT(YEAR_Y-1,"0"))/100,"")))</f>
        <v/>
      </c>
      <c r="X111" s="69">
        <f>IF($C111="","",IFERROR(AVERAGE(S111:W111),""))</f>
        <v/>
      </c>
      <c r="Y111" s="66">
        <f>IF($C111="","",IF(PULL_FUND="N","",IFERROR(BDP($C111,BESTEPS_FIELD,FWD_OVERRIDE,TEXT(MOD(YEAR_Y,100),"00")&amp;"Y"),"")))</f>
        <v/>
      </c>
      <c r="Z111" s="70">
        <f>IF($C111="","",IF(PULL_FUND="N","",IFERROR(BDP($C111,BESTDPS_FIELD,FWD_OVERRIDE,TEXT(MOD(YEAR_Y,100),"00")&amp;"Y"),"")))</f>
        <v/>
      </c>
      <c r="AA111" s="71">
        <f>IF($C111="","",IF(ISNUMBER($Y111)*ISNUMBER($Z111)*($Y111&lt;&gt;0)=0,"",$Z111/$Y111))</f>
        <v/>
      </c>
      <c r="AB111" s="41">
        <f>IF($C111="","",HSI!$J$106+HSI!$L$106)</f>
        <v/>
      </c>
      <c r="AC111" s="72">
        <f>IF($C111="","",IF(PULL_FUND="N","",IF(COUNTIFS('Fund History'!$G$602:$G$606,"&gt;="&amp;DATE(YEAR_Y-4,1,1),'Fund History'!$G$602:$G$606,"&lt;="&amp;DATE(YEAR_Y-4,12,31))=0,"",SUMIFS('Fund History'!$H$602:$H$606,'Fund History'!$G$602:$G$606,"&gt;="&amp;DATE(YEAR_Y-4,1,1),'Fund History'!$G$602:$G$606,"&lt;="&amp;DATE(YEAR_Y-4,12,31))/100)))</f>
        <v/>
      </c>
      <c r="AD111" s="73">
        <f>IF($C111="","",IF(PULL_FUND="N","",IF(COUNTIFS('Fund History'!$G$602:$G$606,"&gt;="&amp;DATE(YEAR_Y-3,1,1),'Fund History'!$G$602:$G$606,"&lt;="&amp;DATE(YEAR_Y-3,12,31))=0,"",SUMIFS('Fund History'!$H$602:$H$606,'Fund History'!$G$602:$G$606,"&gt;="&amp;DATE(YEAR_Y-3,1,1),'Fund History'!$G$602:$G$606,"&lt;="&amp;DATE(YEAR_Y-3,12,31))/100)))</f>
        <v/>
      </c>
      <c r="AE111" s="73">
        <f>IF($C111="","",IF(PULL_FUND="N","",IF(COUNTIFS('Fund History'!$G$602:$G$606,"&gt;="&amp;DATE(YEAR_Y-2,1,1),'Fund History'!$G$602:$G$606,"&lt;="&amp;DATE(YEAR_Y-2,12,31))=0,"",SUMIFS('Fund History'!$H$602:$H$606,'Fund History'!$G$602:$G$606,"&gt;="&amp;DATE(YEAR_Y-2,1,1),'Fund History'!$G$602:$G$606,"&lt;="&amp;DATE(YEAR_Y-2,12,31))/100)))</f>
        <v/>
      </c>
      <c r="AF111" s="73">
        <f>IF($C111="","",IF(PULL_FUND="N","",IF(COUNTIFS('Fund History'!$G$602:$G$606,"&gt;="&amp;DATE(YEAR_Y-1,1,1),'Fund History'!$G$602:$G$606,"&lt;="&amp;DATE(YEAR_Y-1,12,31))=0,"",SUMIFS('Fund History'!$H$602:$H$606,'Fund History'!$G$602:$G$606,"&gt;="&amp;DATE(YEAR_Y-1,1,1),'Fund History'!$G$602:$G$606,"&lt;="&amp;DATE(YEAR_Y-1,12,31))/100)))</f>
        <v/>
      </c>
      <c r="AG111" s="74">
        <f>IF($C111="","",IF(N($AF111)+N(HSI!$I$106)=0,"",N($AF111)+N(HSI!$I$106)/100))</f>
        <v/>
      </c>
      <c r="AH111" s="66">
        <f>IF($C111="","",IF(PULL_FUND="N","",IF(COUNTIFS('Fund History'!$D$602:$D$606,"&gt;="&amp;DATE(YEAR_Y-2,1,1),'Fund History'!$D$602:$D$606,"&lt;="&amp;DATE(YEAR_Y-2,12,31))=0,"",SUMIFS('Fund History'!$E$602:$E$606,'Fund History'!$D$602:$D$606,"&gt;="&amp;DATE(YEAR_Y-2,1,1),'Fund History'!$D$602:$D$606,"&lt;="&amp;DATE(YEAR_Y-2,12,31)))))</f>
        <v/>
      </c>
      <c r="AI111" s="67">
        <f>IF($C111="","",IF(PULL_FUND="N","",IF(COUNTIFS('Fund History'!$D$602:$D$606,"&gt;="&amp;DATE(YEAR_Y-1,1,1),'Fund History'!$D$602:$D$606,"&lt;="&amp;DATE(YEAR_Y-1,12,31))=0,"",SUMIFS('Fund History'!$E$602:$E$606,'Fund History'!$D$602:$D$606,"&gt;="&amp;DATE(YEAR_Y-1,1,1),'Fund History'!$D$602:$D$606,"&lt;="&amp;DATE(YEAR_Y-1,12,31)))))</f>
        <v/>
      </c>
      <c r="AJ111" s="67">
        <f>IF($C111="","",IF(PULL_FUND="N","",IFERROR(BDP($C111,NDEBITDA_FIELD),"")))</f>
        <v/>
      </c>
      <c r="AK111" s="75">
        <f>IF($C111="","",IF(PULL_FUND="N","",IFERROR(BDP($C111,EBINT_FIELD),"")))</f>
        <v/>
      </c>
      <c r="AL111" s="73">
        <f>IF($C111="","",IF(PULL_FUND="N","",IFERROR(BDP($C111,FCF_FIELD)/100,"")))</f>
        <v/>
      </c>
      <c r="AM111" s="76">
        <f>IF($C111="","",IF(ISNUMBER(HSI!$I$106),HSI!$I$106/100,""))</f>
        <v/>
      </c>
      <c r="AN111" s="47">
        <f>IF($C111="","",IF(N($AM111)=0,"",IFERROR($AL111/$AM111,"")))</f>
        <v/>
      </c>
      <c r="AO111" s="33">
        <f>IF($C111="","",IF(ISNUMBER($S111)*ISNUMBER($W111)=0,"",IF($W111&gt;$S111+0.05,"rising",IF($W111&lt;$S111-0.05,"falling","stable"))))</f>
        <v/>
      </c>
      <c r="AP111" s="77">
        <f>IF($C111="","",TRIM(IF(ISNUMBER($X111)*(N($X111)&gt;$D$4)&gt;0,"payout high  ","")&amp;IF(ISNUMBER($AN111)*(N($AN111)&lt;$F$4)&gt;0,"FCF below dvd  ","")&amp;IF(ISNUMBER($AJ111)*(N($AJ111)&gt;$H$4)&gt;0,"leverage high","")))</f>
        <v/>
      </c>
      <c r="AQ111" s="78">
        <f>IF($C111="","",IF(HSI!$F$106="HKD","",HSI!$F$106))</f>
        <v/>
      </c>
    </row>
    <row r="112">
      <c r="B112" s="62" t="inlineStr">
        <is>
          <t>HSTECH</t>
        </is>
      </c>
      <c r="C112" s="6">
        <f>IF(HSTECH!$C$7="","",HSTECH!$C$7)</f>
        <v/>
      </c>
      <c r="D112" s="6">
        <f>IF($C112="","",HSTECH!$D$7)</f>
        <v/>
      </c>
      <c r="E112" s="6">
        <f>IF($C112="","",HSTECH!$E$7)</f>
        <v/>
      </c>
      <c r="F112" s="63">
        <f>IF($C112="","",SUMPRODUCT(('Dvd Calendar'!$E$1116:$AR$1116&gt;=DATE(YEAR_Y-5,1,1))*('Dvd Calendar'!$E$1116:$AR$1116&lt;=DATE(YEAR_Y-5,12,31))*'Dvd Calendar'!$E$1119:$AR$1119*(('Dvd Calendar'!$E$1121:$AR$1121=TYPE1)*(TYPE1&lt;&gt;"")+('Dvd Calendar'!$E$1121:$AR$1121=TYPE2)*(TYPE2&lt;&gt;"")+('Dvd Calendar'!$E$1121:$AR$1121=TYPE3)*(TYPE3&lt;&gt;"")+('Dvd Calendar'!$E$1121:$AR$1121=TYPE4)*(TYPE4&lt;&gt;"")+('Dvd Calendar'!$E$1121:$AR$1121=SPECIAL_LBL)*(INC_SPECIALS="Y"))))</f>
        <v/>
      </c>
      <c r="G112" s="64">
        <f>IF($C112="","",SUMPRODUCT(('Dvd Calendar'!$E$1116:$AR$1116&gt;=DATE(YEAR_Y-4,1,1))*('Dvd Calendar'!$E$1116:$AR$1116&lt;=DATE(YEAR_Y-4,12,31))*'Dvd Calendar'!$E$1119:$AR$1119*(('Dvd Calendar'!$E$1121:$AR$1121=TYPE1)*(TYPE1&lt;&gt;"")+('Dvd Calendar'!$E$1121:$AR$1121=TYPE2)*(TYPE2&lt;&gt;"")+('Dvd Calendar'!$E$1121:$AR$1121=TYPE3)*(TYPE3&lt;&gt;"")+('Dvd Calendar'!$E$1121:$AR$1121=TYPE4)*(TYPE4&lt;&gt;"")+('Dvd Calendar'!$E$1121:$AR$1121=SPECIAL_LBL)*(INC_SPECIALS="Y"))))</f>
        <v/>
      </c>
      <c r="H112" s="64">
        <f>IF($C112="","",SUMPRODUCT(('Dvd Calendar'!$E$1116:$AR$1116&gt;=DATE(YEAR_Y-3,1,1))*('Dvd Calendar'!$E$1116:$AR$1116&lt;=DATE(YEAR_Y-3,12,31))*'Dvd Calendar'!$E$1119:$AR$1119*(('Dvd Calendar'!$E$1121:$AR$1121=TYPE1)*(TYPE1&lt;&gt;"")+('Dvd Calendar'!$E$1121:$AR$1121=TYPE2)*(TYPE2&lt;&gt;"")+('Dvd Calendar'!$E$1121:$AR$1121=TYPE3)*(TYPE3&lt;&gt;"")+('Dvd Calendar'!$E$1121:$AR$1121=TYPE4)*(TYPE4&lt;&gt;"")+('Dvd Calendar'!$E$1121:$AR$1121=SPECIAL_LBL)*(INC_SPECIALS="Y"))))</f>
        <v/>
      </c>
      <c r="I112" s="64">
        <f>IF($C112="","",SUMPRODUCT(('Dvd Calendar'!$E$1116:$AR$1116&gt;=DATE(YEAR_Y-2,1,1))*('Dvd Calendar'!$E$1116:$AR$1116&lt;=DATE(YEAR_Y-2,12,31))*'Dvd Calendar'!$E$1119:$AR$1119*(('Dvd Calendar'!$E$1121:$AR$1121=TYPE1)*(TYPE1&lt;&gt;"")+('Dvd Calendar'!$E$1121:$AR$1121=TYPE2)*(TYPE2&lt;&gt;"")+('Dvd Calendar'!$E$1121:$AR$1121=TYPE3)*(TYPE3&lt;&gt;"")+('Dvd Calendar'!$E$1121:$AR$1121=TYPE4)*(TYPE4&lt;&gt;"")+('Dvd Calendar'!$E$1121:$AR$1121=SPECIAL_LBL)*(INC_SPECIALS="Y"))))</f>
        <v/>
      </c>
      <c r="J112" s="64">
        <f>IF($C112="","",SUMPRODUCT(('Dvd Calendar'!$E$1116:$AR$1116&gt;=DATE(YEAR_Y-1,1,1))*('Dvd Calendar'!$E$1116:$AR$1116&lt;=DATE(YEAR_Y-1,12,31))*'Dvd Calendar'!$E$1119:$AR$1119*(('Dvd Calendar'!$E$1121:$AR$1121=TYPE1)*(TYPE1&lt;&gt;"")+('Dvd Calendar'!$E$1121:$AR$1121=TYPE2)*(TYPE2&lt;&gt;"")+('Dvd Calendar'!$E$1121:$AR$1121=TYPE3)*(TYPE3&lt;&gt;"")+('Dvd Calendar'!$E$1121:$AR$1121=TYPE4)*(TYPE4&lt;&gt;"")+('Dvd Calendar'!$E$1121:$AR$1121=SPECIAL_LBL)*(INC_SPECIALS="Y"))))</f>
        <v/>
      </c>
      <c r="K112" s="65">
        <f>IF($C112="","",HSTECH!$J$7)</f>
        <v/>
      </c>
      <c r="L112" s="65">
        <f>IF($C112="","",HSTECH!$K$7)</f>
        <v/>
      </c>
      <c r="M112" s="41">
        <f>IF($C112="","",AVERAGE(F112:J112))</f>
        <v/>
      </c>
      <c r="N112" s="66">
        <f>IF($C112="","",IF(PULL_FUND="N","",IFERROR(BDP($C112,EPS_FIELD,YR_OVERRIDE,TEXT(YEAR_Y-5,"0")),"")))</f>
        <v/>
      </c>
      <c r="O112" s="67">
        <f>IF($C112="","",IF(PULL_FUND="N","",IFERROR(BDP($C112,EPS_FIELD,YR_OVERRIDE,TEXT(YEAR_Y-4,"0")),"")))</f>
        <v/>
      </c>
      <c r="P112" s="67">
        <f>IF($C112="","",IF(PULL_FUND="N","",IFERROR(BDP($C112,EPS_FIELD,YR_OVERRIDE,TEXT(YEAR_Y-3,"0")),"")))</f>
        <v/>
      </c>
      <c r="Q112" s="67">
        <f>IF($C112="","",IF(PULL_FUND="N","",IFERROR(BDP($C112,EPS_FIELD,YR_OVERRIDE,TEXT(YEAR_Y-2,"0")),"")))</f>
        <v/>
      </c>
      <c r="R112" s="67">
        <f>IF($C112="","",IF(PULL_FUND="N","",IFERROR(BDP($C112,EPS_FIELD,YR_OVERRIDE,TEXT(YEAR_Y-1,"0")),"")))</f>
        <v/>
      </c>
      <c r="S112" s="68">
        <f>IF($C112="","",IF(PULL_FUND="N","",IFERROR(BDP($C112,PAYOUT_FIELD,YR_OVERRIDE,TEXT(YEAR_Y-5,"0"))/100,"")))</f>
        <v/>
      </c>
      <c r="T112" s="68">
        <f>IF($C112="","",IF(PULL_FUND="N","",IFERROR(BDP($C112,PAYOUT_FIELD,YR_OVERRIDE,TEXT(YEAR_Y-4,"0"))/100,"")))</f>
        <v/>
      </c>
      <c r="U112" s="68">
        <f>IF($C112="","",IF(PULL_FUND="N","",IFERROR(BDP($C112,PAYOUT_FIELD,YR_OVERRIDE,TEXT(YEAR_Y-3,"0"))/100,"")))</f>
        <v/>
      </c>
      <c r="V112" s="68">
        <f>IF($C112="","",IF(PULL_FUND="N","",IFERROR(BDP($C112,PAYOUT_FIELD,YR_OVERRIDE,TEXT(YEAR_Y-2,"0"))/100,"")))</f>
        <v/>
      </c>
      <c r="W112" s="68">
        <f>IF($C112="","",IF(PULL_FUND="N","",IFERROR(BDP($C112,PAYOUT_FIELD,YR_OVERRIDE,TEXT(YEAR_Y-1,"0"))/100,"")))</f>
        <v/>
      </c>
      <c r="X112" s="69">
        <f>IF($C112="","",IFERROR(AVERAGE(S112:W112),""))</f>
        <v/>
      </c>
      <c r="Y112" s="66">
        <f>IF($C112="","",IF(PULL_FUND="N","",IFERROR(BDP($C112,BESTEPS_FIELD,FWD_OVERRIDE,TEXT(MOD(YEAR_Y,100),"00")&amp;"Y"),"")))</f>
        <v/>
      </c>
      <c r="Z112" s="70">
        <f>IF($C112="","",IF(PULL_FUND="N","",IFERROR(BDP($C112,BESTDPS_FIELD,FWD_OVERRIDE,TEXT(MOD(YEAR_Y,100),"00")&amp;"Y"),"")))</f>
        <v/>
      </c>
      <c r="AA112" s="71">
        <f>IF($C112="","",IF(ISNUMBER($Y112)*ISNUMBER($Z112)*($Y112&lt;&gt;0)=0,"",$Z112/$Y112))</f>
        <v/>
      </c>
      <c r="AB112" s="41">
        <f>IF($C112="","",HSTECH!$J$7+HSTECH!$L$7)</f>
        <v/>
      </c>
      <c r="AC112" s="72">
        <f>IF($C112="","",IF(PULL_FUND="N","",IF(COUNTIFS('Fund History'!$G$612:$G$616,"&gt;="&amp;DATE(YEAR_Y-4,1,1),'Fund History'!$G$612:$G$616,"&lt;="&amp;DATE(YEAR_Y-4,12,31))=0,"",SUMIFS('Fund History'!$H$612:$H$616,'Fund History'!$G$612:$G$616,"&gt;="&amp;DATE(YEAR_Y-4,1,1),'Fund History'!$G$612:$G$616,"&lt;="&amp;DATE(YEAR_Y-4,12,31))/100)))</f>
        <v/>
      </c>
      <c r="AD112" s="73">
        <f>IF($C112="","",IF(PULL_FUND="N","",IF(COUNTIFS('Fund History'!$G$612:$G$616,"&gt;="&amp;DATE(YEAR_Y-3,1,1),'Fund History'!$G$612:$G$616,"&lt;="&amp;DATE(YEAR_Y-3,12,31))=0,"",SUMIFS('Fund History'!$H$612:$H$616,'Fund History'!$G$612:$G$616,"&gt;="&amp;DATE(YEAR_Y-3,1,1),'Fund History'!$G$612:$G$616,"&lt;="&amp;DATE(YEAR_Y-3,12,31))/100)))</f>
        <v/>
      </c>
      <c r="AE112" s="73">
        <f>IF($C112="","",IF(PULL_FUND="N","",IF(COUNTIFS('Fund History'!$G$612:$G$616,"&gt;="&amp;DATE(YEAR_Y-2,1,1),'Fund History'!$G$612:$G$616,"&lt;="&amp;DATE(YEAR_Y-2,12,31))=0,"",SUMIFS('Fund History'!$H$612:$H$616,'Fund History'!$G$612:$G$616,"&gt;="&amp;DATE(YEAR_Y-2,1,1),'Fund History'!$G$612:$G$616,"&lt;="&amp;DATE(YEAR_Y-2,12,31))/100)))</f>
        <v/>
      </c>
      <c r="AF112" s="73">
        <f>IF($C112="","",IF(PULL_FUND="N","",IF(COUNTIFS('Fund History'!$G$612:$G$616,"&gt;="&amp;DATE(YEAR_Y-1,1,1),'Fund History'!$G$612:$G$616,"&lt;="&amp;DATE(YEAR_Y-1,12,31))=0,"",SUMIFS('Fund History'!$H$612:$H$616,'Fund History'!$G$612:$G$616,"&gt;="&amp;DATE(YEAR_Y-1,1,1),'Fund History'!$G$612:$G$616,"&lt;="&amp;DATE(YEAR_Y-1,12,31))/100)))</f>
        <v/>
      </c>
      <c r="AG112" s="74">
        <f>IF($C112="","",IF(N($AF112)+N(HSTECH!$I$7)=0,"",N($AF112)+N(HSTECH!$I$7)/100))</f>
        <v/>
      </c>
      <c r="AH112" s="66">
        <f>IF($C112="","",IF(PULL_FUND="N","",IF(COUNTIFS('Fund History'!$D$612:$D$616,"&gt;="&amp;DATE(YEAR_Y-2,1,1),'Fund History'!$D$612:$D$616,"&lt;="&amp;DATE(YEAR_Y-2,12,31))=0,"",SUMIFS('Fund History'!$E$612:$E$616,'Fund History'!$D$612:$D$616,"&gt;="&amp;DATE(YEAR_Y-2,1,1),'Fund History'!$D$612:$D$616,"&lt;="&amp;DATE(YEAR_Y-2,12,31)))))</f>
        <v/>
      </c>
      <c r="AI112" s="67">
        <f>IF($C112="","",IF(PULL_FUND="N","",IF(COUNTIFS('Fund History'!$D$612:$D$616,"&gt;="&amp;DATE(YEAR_Y-1,1,1),'Fund History'!$D$612:$D$616,"&lt;="&amp;DATE(YEAR_Y-1,12,31))=0,"",SUMIFS('Fund History'!$E$612:$E$616,'Fund History'!$D$612:$D$616,"&gt;="&amp;DATE(YEAR_Y-1,1,1),'Fund History'!$D$612:$D$616,"&lt;="&amp;DATE(YEAR_Y-1,12,31)))))</f>
        <v/>
      </c>
      <c r="AJ112" s="67">
        <f>IF($C112="","",IF(PULL_FUND="N","",IFERROR(BDP($C112,NDEBITDA_FIELD),"")))</f>
        <v/>
      </c>
      <c r="AK112" s="75">
        <f>IF($C112="","",IF(PULL_FUND="N","",IFERROR(BDP($C112,EBINT_FIELD),"")))</f>
        <v/>
      </c>
      <c r="AL112" s="73">
        <f>IF($C112="","",IF(PULL_FUND="N","",IFERROR(BDP($C112,FCF_FIELD)/100,"")))</f>
        <v/>
      </c>
      <c r="AM112" s="76">
        <f>IF($C112="","",IF(ISNUMBER(HSTECH!$I$7),HSTECH!$I$7/100,""))</f>
        <v/>
      </c>
      <c r="AN112" s="47">
        <f>IF($C112="","",IF(N($AM112)=0,"",IFERROR($AL112/$AM112,"")))</f>
        <v/>
      </c>
      <c r="AO112" s="33">
        <f>IF($C112="","",IF(ISNUMBER($S112)*ISNUMBER($W112)=0,"",IF($W112&gt;$S112+0.05,"rising",IF($W112&lt;$S112-0.05,"falling","stable"))))</f>
        <v/>
      </c>
      <c r="AP112" s="77">
        <f>IF($C112="","",TRIM(IF(ISNUMBER($X112)*(N($X112)&gt;$D$4)&gt;0,"payout high  ","")&amp;IF(ISNUMBER($AN112)*(N($AN112)&lt;$F$4)&gt;0,"FCF below dvd  ","")&amp;IF(ISNUMBER($AJ112)*(N($AJ112)&gt;$H$4)&gt;0,"leverage high","")))</f>
        <v/>
      </c>
      <c r="AQ112" s="78">
        <f>IF($C112="","",IF(HSTECH!$F$7="HKD","",HSTECH!$F$7))</f>
        <v/>
      </c>
    </row>
    <row r="113">
      <c r="B113" s="62" t="inlineStr">
        <is>
          <t>HSTECH</t>
        </is>
      </c>
      <c r="C113" s="6">
        <f>IF(HSTECH!$C$8="","",HSTECH!$C$8)</f>
        <v/>
      </c>
      <c r="D113" s="6">
        <f>IF($C113="","",HSTECH!$D$8)</f>
        <v/>
      </c>
      <c r="E113" s="6">
        <f>IF($C113="","",HSTECH!$E$8)</f>
        <v/>
      </c>
      <c r="F113" s="63">
        <f>IF($C113="","",SUMPRODUCT(('Dvd Calendar'!$E$1127:$AR$1127&gt;=DATE(YEAR_Y-5,1,1))*('Dvd Calendar'!$E$1127:$AR$1127&lt;=DATE(YEAR_Y-5,12,31))*'Dvd Calendar'!$E$1130:$AR$1130*(('Dvd Calendar'!$E$1132:$AR$1132=TYPE1)*(TYPE1&lt;&gt;"")+('Dvd Calendar'!$E$1132:$AR$1132=TYPE2)*(TYPE2&lt;&gt;"")+('Dvd Calendar'!$E$1132:$AR$1132=TYPE3)*(TYPE3&lt;&gt;"")+('Dvd Calendar'!$E$1132:$AR$1132=TYPE4)*(TYPE4&lt;&gt;"")+('Dvd Calendar'!$E$1132:$AR$1132=SPECIAL_LBL)*(INC_SPECIALS="Y"))))</f>
        <v/>
      </c>
      <c r="G113" s="64">
        <f>IF($C113="","",SUMPRODUCT(('Dvd Calendar'!$E$1127:$AR$1127&gt;=DATE(YEAR_Y-4,1,1))*('Dvd Calendar'!$E$1127:$AR$1127&lt;=DATE(YEAR_Y-4,12,31))*'Dvd Calendar'!$E$1130:$AR$1130*(('Dvd Calendar'!$E$1132:$AR$1132=TYPE1)*(TYPE1&lt;&gt;"")+('Dvd Calendar'!$E$1132:$AR$1132=TYPE2)*(TYPE2&lt;&gt;"")+('Dvd Calendar'!$E$1132:$AR$1132=TYPE3)*(TYPE3&lt;&gt;"")+('Dvd Calendar'!$E$1132:$AR$1132=TYPE4)*(TYPE4&lt;&gt;"")+('Dvd Calendar'!$E$1132:$AR$1132=SPECIAL_LBL)*(INC_SPECIALS="Y"))))</f>
        <v/>
      </c>
      <c r="H113" s="64">
        <f>IF($C113="","",SUMPRODUCT(('Dvd Calendar'!$E$1127:$AR$1127&gt;=DATE(YEAR_Y-3,1,1))*('Dvd Calendar'!$E$1127:$AR$1127&lt;=DATE(YEAR_Y-3,12,31))*'Dvd Calendar'!$E$1130:$AR$1130*(('Dvd Calendar'!$E$1132:$AR$1132=TYPE1)*(TYPE1&lt;&gt;"")+('Dvd Calendar'!$E$1132:$AR$1132=TYPE2)*(TYPE2&lt;&gt;"")+('Dvd Calendar'!$E$1132:$AR$1132=TYPE3)*(TYPE3&lt;&gt;"")+('Dvd Calendar'!$E$1132:$AR$1132=TYPE4)*(TYPE4&lt;&gt;"")+('Dvd Calendar'!$E$1132:$AR$1132=SPECIAL_LBL)*(INC_SPECIALS="Y"))))</f>
        <v/>
      </c>
      <c r="I113" s="64">
        <f>IF($C113="","",SUMPRODUCT(('Dvd Calendar'!$E$1127:$AR$1127&gt;=DATE(YEAR_Y-2,1,1))*('Dvd Calendar'!$E$1127:$AR$1127&lt;=DATE(YEAR_Y-2,12,31))*'Dvd Calendar'!$E$1130:$AR$1130*(('Dvd Calendar'!$E$1132:$AR$1132=TYPE1)*(TYPE1&lt;&gt;"")+('Dvd Calendar'!$E$1132:$AR$1132=TYPE2)*(TYPE2&lt;&gt;"")+('Dvd Calendar'!$E$1132:$AR$1132=TYPE3)*(TYPE3&lt;&gt;"")+('Dvd Calendar'!$E$1132:$AR$1132=TYPE4)*(TYPE4&lt;&gt;"")+('Dvd Calendar'!$E$1132:$AR$1132=SPECIAL_LBL)*(INC_SPECIALS="Y"))))</f>
        <v/>
      </c>
      <c r="J113" s="64">
        <f>IF($C113="","",SUMPRODUCT(('Dvd Calendar'!$E$1127:$AR$1127&gt;=DATE(YEAR_Y-1,1,1))*('Dvd Calendar'!$E$1127:$AR$1127&lt;=DATE(YEAR_Y-1,12,31))*'Dvd Calendar'!$E$1130:$AR$1130*(('Dvd Calendar'!$E$1132:$AR$1132=TYPE1)*(TYPE1&lt;&gt;"")+('Dvd Calendar'!$E$1132:$AR$1132=TYPE2)*(TYPE2&lt;&gt;"")+('Dvd Calendar'!$E$1132:$AR$1132=TYPE3)*(TYPE3&lt;&gt;"")+('Dvd Calendar'!$E$1132:$AR$1132=TYPE4)*(TYPE4&lt;&gt;"")+('Dvd Calendar'!$E$1132:$AR$1132=SPECIAL_LBL)*(INC_SPECIALS="Y"))))</f>
        <v/>
      </c>
      <c r="K113" s="65">
        <f>IF($C113="","",HSTECH!$J$8)</f>
        <v/>
      </c>
      <c r="L113" s="65">
        <f>IF($C113="","",HSTECH!$K$8)</f>
        <v/>
      </c>
      <c r="M113" s="41">
        <f>IF($C113="","",AVERAGE(F113:J113))</f>
        <v/>
      </c>
      <c r="N113" s="66">
        <f>IF($C113="","",IF(PULL_FUND="N","",IFERROR(BDP($C113,EPS_FIELD,YR_OVERRIDE,TEXT(YEAR_Y-5,"0")),"")))</f>
        <v/>
      </c>
      <c r="O113" s="67">
        <f>IF($C113="","",IF(PULL_FUND="N","",IFERROR(BDP($C113,EPS_FIELD,YR_OVERRIDE,TEXT(YEAR_Y-4,"0")),"")))</f>
        <v/>
      </c>
      <c r="P113" s="67">
        <f>IF($C113="","",IF(PULL_FUND="N","",IFERROR(BDP($C113,EPS_FIELD,YR_OVERRIDE,TEXT(YEAR_Y-3,"0")),"")))</f>
        <v/>
      </c>
      <c r="Q113" s="67">
        <f>IF($C113="","",IF(PULL_FUND="N","",IFERROR(BDP($C113,EPS_FIELD,YR_OVERRIDE,TEXT(YEAR_Y-2,"0")),"")))</f>
        <v/>
      </c>
      <c r="R113" s="67">
        <f>IF($C113="","",IF(PULL_FUND="N","",IFERROR(BDP($C113,EPS_FIELD,YR_OVERRIDE,TEXT(YEAR_Y-1,"0")),"")))</f>
        <v/>
      </c>
      <c r="S113" s="68">
        <f>IF($C113="","",IF(PULL_FUND="N","",IFERROR(BDP($C113,PAYOUT_FIELD,YR_OVERRIDE,TEXT(YEAR_Y-5,"0"))/100,"")))</f>
        <v/>
      </c>
      <c r="T113" s="68">
        <f>IF($C113="","",IF(PULL_FUND="N","",IFERROR(BDP($C113,PAYOUT_FIELD,YR_OVERRIDE,TEXT(YEAR_Y-4,"0"))/100,"")))</f>
        <v/>
      </c>
      <c r="U113" s="68">
        <f>IF($C113="","",IF(PULL_FUND="N","",IFERROR(BDP($C113,PAYOUT_FIELD,YR_OVERRIDE,TEXT(YEAR_Y-3,"0"))/100,"")))</f>
        <v/>
      </c>
      <c r="V113" s="68">
        <f>IF($C113="","",IF(PULL_FUND="N","",IFERROR(BDP($C113,PAYOUT_FIELD,YR_OVERRIDE,TEXT(YEAR_Y-2,"0"))/100,"")))</f>
        <v/>
      </c>
      <c r="W113" s="68">
        <f>IF($C113="","",IF(PULL_FUND="N","",IFERROR(BDP($C113,PAYOUT_FIELD,YR_OVERRIDE,TEXT(YEAR_Y-1,"0"))/100,"")))</f>
        <v/>
      </c>
      <c r="X113" s="69">
        <f>IF($C113="","",IFERROR(AVERAGE(S113:W113),""))</f>
        <v/>
      </c>
      <c r="Y113" s="66">
        <f>IF($C113="","",IF(PULL_FUND="N","",IFERROR(BDP($C113,BESTEPS_FIELD,FWD_OVERRIDE,TEXT(MOD(YEAR_Y,100),"00")&amp;"Y"),"")))</f>
        <v/>
      </c>
      <c r="Z113" s="70">
        <f>IF($C113="","",IF(PULL_FUND="N","",IFERROR(BDP($C113,BESTDPS_FIELD,FWD_OVERRIDE,TEXT(MOD(YEAR_Y,100),"00")&amp;"Y"),"")))</f>
        <v/>
      </c>
      <c r="AA113" s="71">
        <f>IF($C113="","",IF(ISNUMBER($Y113)*ISNUMBER($Z113)*($Y113&lt;&gt;0)=0,"",$Z113/$Y113))</f>
        <v/>
      </c>
      <c r="AB113" s="41">
        <f>IF($C113="","",HSTECH!$J$8+HSTECH!$L$8)</f>
        <v/>
      </c>
      <c r="AC113" s="72">
        <f>IF($C113="","",IF(PULL_FUND="N","",IF(COUNTIFS('Fund History'!$G$618:$G$622,"&gt;="&amp;DATE(YEAR_Y-4,1,1),'Fund History'!$G$618:$G$622,"&lt;="&amp;DATE(YEAR_Y-4,12,31))=0,"",SUMIFS('Fund History'!$H$618:$H$622,'Fund History'!$G$618:$G$622,"&gt;="&amp;DATE(YEAR_Y-4,1,1),'Fund History'!$G$618:$G$622,"&lt;="&amp;DATE(YEAR_Y-4,12,31))/100)))</f>
        <v/>
      </c>
      <c r="AD113" s="73">
        <f>IF($C113="","",IF(PULL_FUND="N","",IF(COUNTIFS('Fund History'!$G$618:$G$622,"&gt;="&amp;DATE(YEAR_Y-3,1,1),'Fund History'!$G$618:$G$622,"&lt;="&amp;DATE(YEAR_Y-3,12,31))=0,"",SUMIFS('Fund History'!$H$618:$H$622,'Fund History'!$G$618:$G$622,"&gt;="&amp;DATE(YEAR_Y-3,1,1),'Fund History'!$G$618:$G$622,"&lt;="&amp;DATE(YEAR_Y-3,12,31))/100)))</f>
        <v/>
      </c>
      <c r="AE113" s="73">
        <f>IF($C113="","",IF(PULL_FUND="N","",IF(COUNTIFS('Fund History'!$G$618:$G$622,"&gt;="&amp;DATE(YEAR_Y-2,1,1),'Fund History'!$G$618:$G$622,"&lt;="&amp;DATE(YEAR_Y-2,12,31))=0,"",SUMIFS('Fund History'!$H$618:$H$622,'Fund History'!$G$618:$G$622,"&gt;="&amp;DATE(YEAR_Y-2,1,1),'Fund History'!$G$618:$G$622,"&lt;="&amp;DATE(YEAR_Y-2,12,31))/100)))</f>
        <v/>
      </c>
      <c r="AF113" s="73">
        <f>IF($C113="","",IF(PULL_FUND="N","",IF(COUNTIFS('Fund History'!$G$618:$G$622,"&gt;="&amp;DATE(YEAR_Y-1,1,1),'Fund History'!$G$618:$G$622,"&lt;="&amp;DATE(YEAR_Y-1,12,31))=0,"",SUMIFS('Fund History'!$H$618:$H$622,'Fund History'!$G$618:$G$622,"&gt;="&amp;DATE(YEAR_Y-1,1,1),'Fund History'!$G$618:$G$622,"&lt;="&amp;DATE(YEAR_Y-1,12,31))/100)))</f>
        <v/>
      </c>
      <c r="AG113" s="74">
        <f>IF($C113="","",IF(N($AF113)+N(HSTECH!$I$8)=0,"",N($AF113)+N(HSTECH!$I$8)/100))</f>
        <v/>
      </c>
      <c r="AH113" s="66">
        <f>IF($C113="","",IF(PULL_FUND="N","",IF(COUNTIFS('Fund History'!$D$618:$D$622,"&gt;="&amp;DATE(YEAR_Y-2,1,1),'Fund History'!$D$618:$D$622,"&lt;="&amp;DATE(YEAR_Y-2,12,31))=0,"",SUMIFS('Fund History'!$E$618:$E$622,'Fund History'!$D$618:$D$622,"&gt;="&amp;DATE(YEAR_Y-2,1,1),'Fund History'!$D$618:$D$622,"&lt;="&amp;DATE(YEAR_Y-2,12,31)))))</f>
        <v/>
      </c>
      <c r="AI113" s="67">
        <f>IF($C113="","",IF(PULL_FUND="N","",IF(COUNTIFS('Fund History'!$D$618:$D$622,"&gt;="&amp;DATE(YEAR_Y-1,1,1),'Fund History'!$D$618:$D$622,"&lt;="&amp;DATE(YEAR_Y-1,12,31))=0,"",SUMIFS('Fund History'!$E$618:$E$622,'Fund History'!$D$618:$D$622,"&gt;="&amp;DATE(YEAR_Y-1,1,1),'Fund History'!$D$618:$D$622,"&lt;="&amp;DATE(YEAR_Y-1,12,31)))))</f>
        <v/>
      </c>
      <c r="AJ113" s="67">
        <f>IF($C113="","",IF(PULL_FUND="N","",IFERROR(BDP($C113,NDEBITDA_FIELD),"")))</f>
        <v/>
      </c>
      <c r="AK113" s="75">
        <f>IF($C113="","",IF(PULL_FUND="N","",IFERROR(BDP($C113,EBINT_FIELD),"")))</f>
        <v/>
      </c>
      <c r="AL113" s="73">
        <f>IF($C113="","",IF(PULL_FUND="N","",IFERROR(BDP($C113,FCF_FIELD)/100,"")))</f>
        <v/>
      </c>
      <c r="AM113" s="76">
        <f>IF($C113="","",IF(ISNUMBER(HSTECH!$I$8),HSTECH!$I$8/100,""))</f>
        <v/>
      </c>
      <c r="AN113" s="47">
        <f>IF($C113="","",IF(N($AM113)=0,"",IFERROR($AL113/$AM113,"")))</f>
        <v/>
      </c>
      <c r="AO113" s="33">
        <f>IF($C113="","",IF(ISNUMBER($S113)*ISNUMBER($W113)=0,"",IF($W113&gt;$S113+0.05,"rising",IF($W113&lt;$S113-0.05,"falling","stable"))))</f>
        <v/>
      </c>
      <c r="AP113" s="77">
        <f>IF($C113="","",TRIM(IF(ISNUMBER($X113)*(N($X113)&gt;$D$4)&gt;0,"payout high  ","")&amp;IF(ISNUMBER($AN113)*(N($AN113)&lt;$F$4)&gt;0,"FCF below dvd  ","")&amp;IF(ISNUMBER($AJ113)*(N($AJ113)&gt;$H$4)&gt;0,"leverage high","")))</f>
        <v/>
      </c>
      <c r="AQ113" s="78">
        <f>IF($C113="","",IF(HSTECH!$F$8="HKD","",HSTECH!$F$8))</f>
        <v/>
      </c>
    </row>
    <row r="114">
      <c r="B114" s="62" t="inlineStr">
        <is>
          <t>HSTECH</t>
        </is>
      </c>
      <c r="C114" s="6">
        <f>IF(HSTECH!$C$9="","",HSTECH!$C$9)</f>
        <v/>
      </c>
      <c r="D114" s="6">
        <f>IF($C114="","",HSTECH!$D$9)</f>
        <v/>
      </c>
      <c r="E114" s="6">
        <f>IF($C114="","",HSTECH!$E$9)</f>
        <v/>
      </c>
      <c r="F114" s="63">
        <f>IF($C114="","",SUMPRODUCT(('Dvd Calendar'!$E$1138:$AR$1138&gt;=DATE(YEAR_Y-5,1,1))*('Dvd Calendar'!$E$1138:$AR$1138&lt;=DATE(YEAR_Y-5,12,31))*'Dvd Calendar'!$E$1141:$AR$1141*(('Dvd Calendar'!$E$1143:$AR$1143=TYPE1)*(TYPE1&lt;&gt;"")+('Dvd Calendar'!$E$1143:$AR$1143=TYPE2)*(TYPE2&lt;&gt;"")+('Dvd Calendar'!$E$1143:$AR$1143=TYPE3)*(TYPE3&lt;&gt;"")+('Dvd Calendar'!$E$1143:$AR$1143=TYPE4)*(TYPE4&lt;&gt;"")+('Dvd Calendar'!$E$1143:$AR$1143=SPECIAL_LBL)*(INC_SPECIALS="Y"))))</f>
        <v/>
      </c>
      <c r="G114" s="64">
        <f>IF($C114="","",SUMPRODUCT(('Dvd Calendar'!$E$1138:$AR$1138&gt;=DATE(YEAR_Y-4,1,1))*('Dvd Calendar'!$E$1138:$AR$1138&lt;=DATE(YEAR_Y-4,12,31))*'Dvd Calendar'!$E$1141:$AR$1141*(('Dvd Calendar'!$E$1143:$AR$1143=TYPE1)*(TYPE1&lt;&gt;"")+('Dvd Calendar'!$E$1143:$AR$1143=TYPE2)*(TYPE2&lt;&gt;"")+('Dvd Calendar'!$E$1143:$AR$1143=TYPE3)*(TYPE3&lt;&gt;"")+('Dvd Calendar'!$E$1143:$AR$1143=TYPE4)*(TYPE4&lt;&gt;"")+('Dvd Calendar'!$E$1143:$AR$1143=SPECIAL_LBL)*(INC_SPECIALS="Y"))))</f>
        <v/>
      </c>
      <c r="H114" s="64">
        <f>IF($C114="","",SUMPRODUCT(('Dvd Calendar'!$E$1138:$AR$1138&gt;=DATE(YEAR_Y-3,1,1))*('Dvd Calendar'!$E$1138:$AR$1138&lt;=DATE(YEAR_Y-3,12,31))*'Dvd Calendar'!$E$1141:$AR$1141*(('Dvd Calendar'!$E$1143:$AR$1143=TYPE1)*(TYPE1&lt;&gt;"")+('Dvd Calendar'!$E$1143:$AR$1143=TYPE2)*(TYPE2&lt;&gt;"")+('Dvd Calendar'!$E$1143:$AR$1143=TYPE3)*(TYPE3&lt;&gt;"")+('Dvd Calendar'!$E$1143:$AR$1143=TYPE4)*(TYPE4&lt;&gt;"")+('Dvd Calendar'!$E$1143:$AR$1143=SPECIAL_LBL)*(INC_SPECIALS="Y"))))</f>
        <v/>
      </c>
      <c r="I114" s="64">
        <f>IF($C114="","",SUMPRODUCT(('Dvd Calendar'!$E$1138:$AR$1138&gt;=DATE(YEAR_Y-2,1,1))*('Dvd Calendar'!$E$1138:$AR$1138&lt;=DATE(YEAR_Y-2,12,31))*'Dvd Calendar'!$E$1141:$AR$1141*(('Dvd Calendar'!$E$1143:$AR$1143=TYPE1)*(TYPE1&lt;&gt;"")+('Dvd Calendar'!$E$1143:$AR$1143=TYPE2)*(TYPE2&lt;&gt;"")+('Dvd Calendar'!$E$1143:$AR$1143=TYPE3)*(TYPE3&lt;&gt;"")+('Dvd Calendar'!$E$1143:$AR$1143=TYPE4)*(TYPE4&lt;&gt;"")+('Dvd Calendar'!$E$1143:$AR$1143=SPECIAL_LBL)*(INC_SPECIALS="Y"))))</f>
        <v/>
      </c>
      <c r="J114" s="64">
        <f>IF($C114="","",SUMPRODUCT(('Dvd Calendar'!$E$1138:$AR$1138&gt;=DATE(YEAR_Y-1,1,1))*('Dvd Calendar'!$E$1138:$AR$1138&lt;=DATE(YEAR_Y-1,12,31))*'Dvd Calendar'!$E$1141:$AR$1141*(('Dvd Calendar'!$E$1143:$AR$1143=TYPE1)*(TYPE1&lt;&gt;"")+('Dvd Calendar'!$E$1143:$AR$1143=TYPE2)*(TYPE2&lt;&gt;"")+('Dvd Calendar'!$E$1143:$AR$1143=TYPE3)*(TYPE3&lt;&gt;"")+('Dvd Calendar'!$E$1143:$AR$1143=TYPE4)*(TYPE4&lt;&gt;"")+('Dvd Calendar'!$E$1143:$AR$1143=SPECIAL_LBL)*(INC_SPECIALS="Y"))))</f>
        <v/>
      </c>
      <c r="K114" s="65">
        <f>IF($C114="","",HSTECH!$J$9)</f>
        <v/>
      </c>
      <c r="L114" s="65">
        <f>IF($C114="","",HSTECH!$K$9)</f>
        <v/>
      </c>
      <c r="M114" s="41">
        <f>IF($C114="","",AVERAGE(F114:J114))</f>
        <v/>
      </c>
      <c r="N114" s="66">
        <f>IF($C114="","",IF(PULL_FUND="N","",IFERROR(BDP($C114,EPS_FIELD,YR_OVERRIDE,TEXT(YEAR_Y-5,"0")),"")))</f>
        <v/>
      </c>
      <c r="O114" s="67">
        <f>IF($C114="","",IF(PULL_FUND="N","",IFERROR(BDP($C114,EPS_FIELD,YR_OVERRIDE,TEXT(YEAR_Y-4,"0")),"")))</f>
        <v/>
      </c>
      <c r="P114" s="67">
        <f>IF($C114="","",IF(PULL_FUND="N","",IFERROR(BDP($C114,EPS_FIELD,YR_OVERRIDE,TEXT(YEAR_Y-3,"0")),"")))</f>
        <v/>
      </c>
      <c r="Q114" s="67">
        <f>IF($C114="","",IF(PULL_FUND="N","",IFERROR(BDP($C114,EPS_FIELD,YR_OVERRIDE,TEXT(YEAR_Y-2,"0")),"")))</f>
        <v/>
      </c>
      <c r="R114" s="67">
        <f>IF($C114="","",IF(PULL_FUND="N","",IFERROR(BDP($C114,EPS_FIELD,YR_OVERRIDE,TEXT(YEAR_Y-1,"0")),"")))</f>
        <v/>
      </c>
      <c r="S114" s="68">
        <f>IF($C114="","",IF(PULL_FUND="N","",IFERROR(BDP($C114,PAYOUT_FIELD,YR_OVERRIDE,TEXT(YEAR_Y-5,"0"))/100,"")))</f>
        <v/>
      </c>
      <c r="T114" s="68">
        <f>IF($C114="","",IF(PULL_FUND="N","",IFERROR(BDP($C114,PAYOUT_FIELD,YR_OVERRIDE,TEXT(YEAR_Y-4,"0"))/100,"")))</f>
        <v/>
      </c>
      <c r="U114" s="68">
        <f>IF($C114="","",IF(PULL_FUND="N","",IFERROR(BDP($C114,PAYOUT_FIELD,YR_OVERRIDE,TEXT(YEAR_Y-3,"0"))/100,"")))</f>
        <v/>
      </c>
      <c r="V114" s="68">
        <f>IF($C114="","",IF(PULL_FUND="N","",IFERROR(BDP($C114,PAYOUT_FIELD,YR_OVERRIDE,TEXT(YEAR_Y-2,"0"))/100,"")))</f>
        <v/>
      </c>
      <c r="W114" s="68">
        <f>IF($C114="","",IF(PULL_FUND="N","",IFERROR(BDP($C114,PAYOUT_FIELD,YR_OVERRIDE,TEXT(YEAR_Y-1,"0"))/100,"")))</f>
        <v/>
      </c>
      <c r="X114" s="69">
        <f>IF($C114="","",IFERROR(AVERAGE(S114:W114),""))</f>
        <v/>
      </c>
      <c r="Y114" s="66">
        <f>IF($C114="","",IF(PULL_FUND="N","",IFERROR(BDP($C114,BESTEPS_FIELD,FWD_OVERRIDE,TEXT(MOD(YEAR_Y,100),"00")&amp;"Y"),"")))</f>
        <v/>
      </c>
      <c r="Z114" s="70">
        <f>IF($C114="","",IF(PULL_FUND="N","",IFERROR(BDP($C114,BESTDPS_FIELD,FWD_OVERRIDE,TEXT(MOD(YEAR_Y,100),"00")&amp;"Y"),"")))</f>
        <v/>
      </c>
      <c r="AA114" s="71">
        <f>IF($C114="","",IF(ISNUMBER($Y114)*ISNUMBER($Z114)*($Y114&lt;&gt;0)=0,"",$Z114/$Y114))</f>
        <v/>
      </c>
      <c r="AB114" s="41">
        <f>IF($C114="","",HSTECH!$J$9+HSTECH!$L$9)</f>
        <v/>
      </c>
      <c r="AC114" s="72">
        <f>IF($C114="","",IF(PULL_FUND="N","",IF(COUNTIFS('Fund History'!$G$624:$G$628,"&gt;="&amp;DATE(YEAR_Y-4,1,1),'Fund History'!$G$624:$G$628,"&lt;="&amp;DATE(YEAR_Y-4,12,31))=0,"",SUMIFS('Fund History'!$H$624:$H$628,'Fund History'!$G$624:$G$628,"&gt;="&amp;DATE(YEAR_Y-4,1,1),'Fund History'!$G$624:$G$628,"&lt;="&amp;DATE(YEAR_Y-4,12,31))/100)))</f>
        <v/>
      </c>
      <c r="AD114" s="73">
        <f>IF($C114="","",IF(PULL_FUND="N","",IF(COUNTIFS('Fund History'!$G$624:$G$628,"&gt;="&amp;DATE(YEAR_Y-3,1,1),'Fund History'!$G$624:$G$628,"&lt;="&amp;DATE(YEAR_Y-3,12,31))=0,"",SUMIFS('Fund History'!$H$624:$H$628,'Fund History'!$G$624:$G$628,"&gt;="&amp;DATE(YEAR_Y-3,1,1),'Fund History'!$G$624:$G$628,"&lt;="&amp;DATE(YEAR_Y-3,12,31))/100)))</f>
        <v/>
      </c>
      <c r="AE114" s="73">
        <f>IF($C114="","",IF(PULL_FUND="N","",IF(COUNTIFS('Fund History'!$G$624:$G$628,"&gt;="&amp;DATE(YEAR_Y-2,1,1),'Fund History'!$G$624:$G$628,"&lt;="&amp;DATE(YEAR_Y-2,12,31))=0,"",SUMIFS('Fund History'!$H$624:$H$628,'Fund History'!$G$624:$G$628,"&gt;="&amp;DATE(YEAR_Y-2,1,1),'Fund History'!$G$624:$G$628,"&lt;="&amp;DATE(YEAR_Y-2,12,31))/100)))</f>
        <v/>
      </c>
      <c r="AF114" s="73">
        <f>IF($C114="","",IF(PULL_FUND="N","",IF(COUNTIFS('Fund History'!$G$624:$G$628,"&gt;="&amp;DATE(YEAR_Y-1,1,1),'Fund History'!$G$624:$G$628,"&lt;="&amp;DATE(YEAR_Y-1,12,31))=0,"",SUMIFS('Fund History'!$H$624:$H$628,'Fund History'!$G$624:$G$628,"&gt;="&amp;DATE(YEAR_Y-1,1,1),'Fund History'!$G$624:$G$628,"&lt;="&amp;DATE(YEAR_Y-1,12,31))/100)))</f>
        <v/>
      </c>
      <c r="AG114" s="74">
        <f>IF($C114="","",IF(N($AF114)+N(HSTECH!$I$9)=0,"",N($AF114)+N(HSTECH!$I$9)/100))</f>
        <v/>
      </c>
      <c r="AH114" s="66">
        <f>IF($C114="","",IF(PULL_FUND="N","",IF(COUNTIFS('Fund History'!$D$624:$D$628,"&gt;="&amp;DATE(YEAR_Y-2,1,1),'Fund History'!$D$624:$D$628,"&lt;="&amp;DATE(YEAR_Y-2,12,31))=0,"",SUMIFS('Fund History'!$E$624:$E$628,'Fund History'!$D$624:$D$628,"&gt;="&amp;DATE(YEAR_Y-2,1,1),'Fund History'!$D$624:$D$628,"&lt;="&amp;DATE(YEAR_Y-2,12,31)))))</f>
        <v/>
      </c>
      <c r="AI114" s="67">
        <f>IF($C114="","",IF(PULL_FUND="N","",IF(COUNTIFS('Fund History'!$D$624:$D$628,"&gt;="&amp;DATE(YEAR_Y-1,1,1),'Fund History'!$D$624:$D$628,"&lt;="&amp;DATE(YEAR_Y-1,12,31))=0,"",SUMIFS('Fund History'!$E$624:$E$628,'Fund History'!$D$624:$D$628,"&gt;="&amp;DATE(YEAR_Y-1,1,1),'Fund History'!$D$624:$D$628,"&lt;="&amp;DATE(YEAR_Y-1,12,31)))))</f>
        <v/>
      </c>
      <c r="AJ114" s="67">
        <f>IF($C114="","",IF(PULL_FUND="N","",IFERROR(BDP($C114,NDEBITDA_FIELD),"")))</f>
        <v/>
      </c>
      <c r="AK114" s="75">
        <f>IF($C114="","",IF(PULL_FUND="N","",IFERROR(BDP($C114,EBINT_FIELD),"")))</f>
        <v/>
      </c>
      <c r="AL114" s="73">
        <f>IF($C114="","",IF(PULL_FUND="N","",IFERROR(BDP($C114,FCF_FIELD)/100,"")))</f>
        <v/>
      </c>
      <c r="AM114" s="76">
        <f>IF($C114="","",IF(ISNUMBER(HSTECH!$I$9),HSTECH!$I$9/100,""))</f>
        <v/>
      </c>
      <c r="AN114" s="47">
        <f>IF($C114="","",IF(N($AM114)=0,"",IFERROR($AL114/$AM114,"")))</f>
        <v/>
      </c>
      <c r="AO114" s="33">
        <f>IF($C114="","",IF(ISNUMBER($S114)*ISNUMBER($W114)=0,"",IF($W114&gt;$S114+0.05,"rising",IF($W114&lt;$S114-0.05,"falling","stable"))))</f>
        <v/>
      </c>
      <c r="AP114" s="77">
        <f>IF($C114="","",TRIM(IF(ISNUMBER($X114)*(N($X114)&gt;$D$4)&gt;0,"payout high  ","")&amp;IF(ISNUMBER($AN114)*(N($AN114)&lt;$F$4)&gt;0,"FCF below dvd  ","")&amp;IF(ISNUMBER($AJ114)*(N($AJ114)&gt;$H$4)&gt;0,"leverage high","")))</f>
        <v/>
      </c>
      <c r="AQ114" s="78">
        <f>IF($C114="","",IF(HSTECH!$F$9="HKD","",HSTECH!$F$9))</f>
        <v/>
      </c>
    </row>
    <row r="115">
      <c r="B115" s="62" t="inlineStr">
        <is>
          <t>HSTECH</t>
        </is>
      </c>
      <c r="C115" s="6">
        <f>IF(HSTECH!$C$10="","",HSTECH!$C$10)</f>
        <v/>
      </c>
      <c r="D115" s="6">
        <f>IF($C115="","",HSTECH!$D$10)</f>
        <v/>
      </c>
      <c r="E115" s="6">
        <f>IF($C115="","",HSTECH!$E$10)</f>
        <v/>
      </c>
      <c r="F115" s="63">
        <f>IF($C115="","",SUMPRODUCT(('Dvd Calendar'!$E$1149:$AR$1149&gt;=DATE(YEAR_Y-5,1,1))*('Dvd Calendar'!$E$1149:$AR$1149&lt;=DATE(YEAR_Y-5,12,31))*'Dvd Calendar'!$E$1152:$AR$1152*(('Dvd Calendar'!$E$1154:$AR$1154=TYPE1)*(TYPE1&lt;&gt;"")+('Dvd Calendar'!$E$1154:$AR$1154=TYPE2)*(TYPE2&lt;&gt;"")+('Dvd Calendar'!$E$1154:$AR$1154=TYPE3)*(TYPE3&lt;&gt;"")+('Dvd Calendar'!$E$1154:$AR$1154=TYPE4)*(TYPE4&lt;&gt;"")+('Dvd Calendar'!$E$1154:$AR$1154=SPECIAL_LBL)*(INC_SPECIALS="Y"))))</f>
        <v/>
      </c>
      <c r="G115" s="64">
        <f>IF($C115="","",SUMPRODUCT(('Dvd Calendar'!$E$1149:$AR$1149&gt;=DATE(YEAR_Y-4,1,1))*('Dvd Calendar'!$E$1149:$AR$1149&lt;=DATE(YEAR_Y-4,12,31))*'Dvd Calendar'!$E$1152:$AR$1152*(('Dvd Calendar'!$E$1154:$AR$1154=TYPE1)*(TYPE1&lt;&gt;"")+('Dvd Calendar'!$E$1154:$AR$1154=TYPE2)*(TYPE2&lt;&gt;"")+('Dvd Calendar'!$E$1154:$AR$1154=TYPE3)*(TYPE3&lt;&gt;"")+('Dvd Calendar'!$E$1154:$AR$1154=TYPE4)*(TYPE4&lt;&gt;"")+('Dvd Calendar'!$E$1154:$AR$1154=SPECIAL_LBL)*(INC_SPECIALS="Y"))))</f>
        <v/>
      </c>
      <c r="H115" s="64">
        <f>IF($C115="","",SUMPRODUCT(('Dvd Calendar'!$E$1149:$AR$1149&gt;=DATE(YEAR_Y-3,1,1))*('Dvd Calendar'!$E$1149:$AR$1149&lt;=DATE(YEAR_Y-3,12,31))*'Dvd Calendar'!$E$1152:$AR$1152*(('Dvd Calendar'!$E$1154:$AR$1154=TYPE1)*(TYPE1&lt;&gt;"")+('Dvd Calendar'!$E$1154:$AR$1154=TYPE2)*(TYPE2&lt;&gt;"")+('Dvd Calendar'!$E$1154:$AR$1154=TYPE3)*(TYPE3&lt;&gt;"")+('Dvd Calendar'!$E$1154:$AR$1154=TYPE4)*(TYPE4&lt;&gt;"")+('Dvd Calendar'!$E$1154:$AR$1154=SPECIAL_LBL)*(INC_SPECIALS="Y"))))</f>
        <v/>
      </c>
      <c r="I115" s="64">
        <f>IF($C115="","",SUMPRODUCT(('Dvd Calendar'!$E$1149:$AR$1149&gt;=DATE(YEAR_Y-2,1,1))*('Dvd Calendar'!$E$1149:$AR$1149&lt;=DATE(YEAR_Y-2,12,31))*'Dvd Calendar'!$E$1152:$AR$1152*(('Dvd Calendar'!$E$1154:$AR$1154=TYPE1)*(TYPE1&lt;&gt;"")+('Dvd Calendar'!$E$1154:$AR$1154=TYPE2)*(TYPE2&lt;&gt;"")+('Dvd Calendar'!$E$1154:$AR$1154=TYPE3)*(TYPE3&lt;&gt;"")+('Dvd Calendar'!$E$1154:$AR$1154=TYPE4)*(TYPE4&lt;&gt;"")+('Dvd Calendar'!$E$1154:$AR$1154=SPECIAL_LBL)*(INC_SPECIALS="Y"))))</f>
        <v/>
      </c>
      <c r="J115" s="64">
        <f>IF($C115="","",SUMPRODUCT(('Dvd Calendar'!$E$1149:$AR$1149&gt;=DATE(YEAR_Y-1,1,1))*('Dvd Calendar'!$E$1149:$AR$1149&lt;=DATE(YEAR_Y-1,12,31))*'Dvd Calendar'!$E$1152:$AR$1152*(('Dvd Calendar'!$E$1154:$AR$1154=TYPE1)*(TYPE1&lt;&gt;"")+('Dvd Calendar'!$E$1154:$AR$1154=TYPE2)*(TYPE2&lt;&gt;"")+('Dvd Calendar'!$E$1154:$AR$1154=TYPE3)*(TYPE3&lt;&gt;"")+('Dvd Calendar'!$E$1154:$AR$1154=TYPE4)*(TYPE4&lt;&gt;"")+('Dvd Calendar'!$E$1154:$AR$1154=SPECIAL_LBL)*(INC_SPECIALS="Y"))))</f>
        <v/>
      </c>
      <c r="K115" s="65">
        <f>IF($C115="","",HSTECH!$J$10)</f>
        <v/>
      </c>
      <c r="L115" s="65">
        <f>IF($C115="","",HSTECH!$K$10)</f>
        <v/>
      </c>
      <c r="M115" s="41">
        <f>IF($C115="","",AVERAGE(F115:J115))</f>
        <v/>
      </c>
      <c r="N115" s="66">
        <f>IF($C115="","",IF(PULL_FUND="N","",IFERROR(BDP($C115,EPS_FIELD,YR_OVERRIDE,TEXT(YEAR_Y-5,"0")),"")))</f>
        <v/>
      </c>
      <c r="O115" s="67">
        <f>IF($C115="","",IF(PULL_FUND="N","",IFERROR(BDP($C115,EPS_FIELD,YR_OVERRIDE,TEXT(YEAR_Y-4,"0")),"")))</f>
        <v/>
      </c>
      <c r="P115" s="67">
        <f>IF($C115="","",IF(PULL_FUND="N","",IFERROR(BDP($C115,EPS_FIELD,YR_OVERRIDE,TEXT(YEAR_Y-3,"0")),"")))</f>
        <v/>
      </c>
      <c r="Q115" s="67">
        <f>IF($C115="","",IF(PULL_FUND="N","",IFERROR(BDP($C115,EPS_FIELD,YR_OVERRIDE,TEXT(YEAR_Y-2,"0")),"")))</f>
        <v/>
      </c>
      <c r="R115" s="67">
        <f>IF($C115="","",IF(PULL_FUND="N","",IFERROR(BDP($C115,EPS_FIELD,YR_OVERRIDE,TEXT(YEAR_Y-1,"0")),"")))</f>
        <v/>
      </c>
      <c r="S115" s="68">
        <f>IF($C115="","",IF(PULL_FUND="N","",IFERROR(BDP($C115,PAYOUT_FIELD,YR_OVERRIDE,TEXT(YEAR_Y-5,"0"))/100,"")))</f>
        <v/>
      </c>
      <c r="T115" s="68">
        <f>IF($C115="","",IF(PULL_FUND="N","",IFERROR(BDP($C115,PAYOUT_FIELD,YR_OVERRIDE,TEXT(YEAR_Y-4,"0"))/100,"")))</f>
        <v/>
      </c>
      <c r="U115" s="68">
        <f>IF($C115="","",IF(PULL_FUND="N","",IFERROR(BDP($C115,PAYOUT_FIELD,YR_OVERRIDE,TEXT(YEAR_Y-3,"0"))/100,"")))</f>
        <v/>
      </c>
      <c r="V115" s="68">
        <f>IF($C115="","",IF(PULL_FUND="N","",IFERROR(BDP($C115,PAYOUT_FIELD,YR_OVERRIDE,TEXT(YEAR_Y-2,"0"))/100,"")))</f>
        <v/>
      </c>
      <c r="W115" s="68">
        <f>IF($C115="","",IF(PULL_FUND="N","",IFERROR(BDP($C115,PAYOUT_FIELD,YR_OVERRIDE,TEXT(YEAR_Y-1,"0"))/100,"")))</f>
        <v/>
      </c>
      <c r="X115" s="69">
        <f>IF($C115="","",IFERROR(AVERAGE(S115:W115),""))</f>
        <v/>
      </c>
      <c r="Y115" s="66">
        <f>IF($C115="","",IF(PULL_FUND="N","",IFERROR(BDP($C115,BESTEPS_FIELD,FWD_OVERRIDE,TEXT(MOD(YEAR_Y,100),"00")&amp;"Y"),"")))</f>
        <v/>
      </c>
      <c r="Z115" s="70">
        <f>IF($C115="","",IF(PULL_FUND="N","",IFERROR(BDP($C115,BESTDPS_FIELD,FWD_OVERRIDE,TEXT(MOD(YEAR_Y,100),"00")&amp;"Y"),"")))</f>
        <v/>
      </c>
      <c r="AA115" s="71">
        <f>IF($C115="","",IF(ISNUMBER($Y115)*ISNUMBER($Z115)*($Y115&lt;&gt;0)=0,"",$Z115/$Y115))</f>
        <v/>
      </c>
      <c r="AB115" s="41">
        <f>IF($C115="","",HSTECH!$J$10+HSTECH!$L$10)</f>
        <v/>
      </c>
      <c r="AC115" s="72">
        <f>IF($C115="","",IF(PULL_FUND="N","",IF(COUNTIFS('Fund History'!$G$630:$G$634,"&gt;="&amp;DATE(YEAR_Y-4,1,1),'Fund History'!$G$630:$G$634,"&lt;="&amp;DATE(YEAR_Y-4,12,31))=0,"",SUMIFS('Fund History'!$H$630:$H$634,'Fund History'!$G$630:$G$634,"&gt;="&amp;DATE(YEAR_Y-4,1,1),'Fund History'!$G$630:$G$634,"&lt;="&amp;DATE(YEAR_Y-4,12,31))/100)))</f>
        <v/>
      </c>
      <c r="AD115" s="73">
        <f>IF($C115="","",IF(PULL_FUND="N","",IF(COUNTIFS('Fund History'!$G$630:$G$634,"&gt;="&amp;DATE(YEAR_Y-3,1,1),'Fund History'!$G$630:$G$634,"&lt;="&amp;DATE(YEAR_Y-3,12,31))=0,"",SUMIFS('Fund History'!$H$630:$H$634,'Fund History'!$G$630:$G$634,"&gt;="&amp;DATE(YEAR_Y-3,1,1),'Fund History'!$G$630:$G$634,"&lt;="&amp;DATE(YEAR_Y-3,12,31))/100)))</f>
        <v/>
      </c>
      <c r="AE115" s="73">
        <f>IF($C115="","",IF(PULL_FUND="N","",IF(COUNTIFS('Fund History'!$G$630:$G$634,"&gt;="&amp;DATE(YEAR_Y-2,1,1),'Fund History'!$G$630:$G$634,"&lt;="&amp;DATE(YEAR_Y-2,12,31))=0,"",SUMIFS('Fund History'!$H$630:$H$634,'Fund History'!$G$630:$G$634,"&gt;="&amp;DATE(YEAR_Y-2,1,1),'Fund History'!$G$630:$G$634,"&lt;="&amp;DATE(YEAR_Y-2,12,31))/100)))</f>
        <v/>
      </c>
      <c r="AF115" s="73">
        <f>IF($C115="","",IF(PULL_FUND="N","",IF(COUNTIFS('Fund History'!$G$630:$G$634,"&gt;="&amp;DATE(YEAR_Y-1,1,1),'Fund History'!$G$630:$G$634,"&lt;="&amp;DATE(YEAR_Y-1,12,31))=0,"",SUMIFS('Fund History'!$H$630:$H$634,'Fund History'!$G$630:$G$634,"&gt;="&amp;DATE(YEAR_Y-1,1,1),'Fund History'!$G$630:$G$634,"&lt;="&amp;DATE(YEAR_Y-1,12,31))/100)))</f>
        <v/>
      </c>
      <c r="AG115" s="74">
        <f>IF($C115="","",IF(N($AF115)+N(HSTECH!$I$10)=0,"",N($AF115)+N(HSTECH!$I$10)/100))</f>
        <v/>
      </c>
      <c r="AH115" s="66">
        <f>IF($C115="","",IF(PULL_FUND="N","",IF(COUNTIFS('Fund History'!$D$630:$D$634,"&gt;="&amp;DATE(YEAR_Y-2,1,1),'Fund History'!$D$630:$D$634,"&lt;="&amp;DATE(YEAR_Y-2,12,31))=0,"",SUMIFS('Fund History'!$E$630:$E$634,'Fund History'!$D$630:$D$634,"&gt;="&amp;DATE(YEAR_Y-2,1,1),'Fund History'!$D$630:$D$634,"&lt;="&amp;DATE(YEAR_Y-2,12,31)))))</f>
        <v/>
      </c>
      <c r="AI115" s="67">
        <f>IF($C115="","",IF(PULL_FUND="N","",IF(COUNTIFS('Fund History'!$D$630:$D$634,"&gt;="&amp;DATE(YEAR_Y-1,1,1),'Fund History'!$D$630:$D$634,"&lt;="&amp;DATE(YEAR_Y-1,12,31))=0,"",SUMIFS('Fund History'!$E$630:$E$634,'Fund History'!$D$630:$D$634,"&gt;="&amp;DATE(YEAR_Y-1,1,1),'Fund History'!$D$630:$D$634,"&lt;="&amp;DATE(YEAR_Y-1,12,31)))))</f>
        <v/>
      </c>
      <c r="AJ115" s="67">
        <f>IF($C115="","",IF(PULL_FUND="N","",IFERROR(BDP($C115,NDEBITDA_FIELD),"")))</f>
        <v/>
      </c>
      <c r="AK115" s="75">
        <f>IF($C115="","",IF(PULL_FUND="N","",IFERROR(BDP($C115,EBINT_FIELD),"")))</f>
        <v/>
      </c>
      <c r="AL115" s="73">
        <f>IF($C115="","",IF(PULL_FUND="N","",IFERROR(BDP($C115,FCF_FIELD)/100,"")))</f>
        <v/>
      </c>
      <c r="AM115" s="76">
        <f>IF($C115="","",IF(ISNUMBER(HSTECH!$I$10),HSTECH!$I$10/100,""))</f>
        <v/>
      </c>
      <c r="AN115" s="47">
        <f>IF($C115="","",IF(N($AM115)=0,"",IFERROR($AL115/$AM115,"")))</f>
        <v/>
      </c>
      <c r="AO115" s="33">
        <f>IF($C115="","",IF(ISNUMBER($S115)*ISNUMBER($W115)=0,"",IF($W115&gt;$S115+0.05,"rising",IF($W115&lt;$S115-0.05,"falling","stable"))))</f>
        <v/>
      </c>
      <c r="AP115" s="77">
        <f>IF($C115="","",TRIM(IF(ISNUMBER($X115)*(N($X115)&gt;$D$4)&gt;0,"payout high  ","")&amp;IF(ISNUMBER($AN115)*(N($AN115)&lt;$F$4)&gt;0,"FCF below dvd  ","")&amp;IF(ISNUMBER($AJ115)*(N($AJ115)&gt;$H$4)&gt;0,"leverage high","")))</f>
        <v/>
      </c>
      <c r="AQ115" s="78">
        <f>IF($C115="","",IF(HSTECH!$F$10="HKD","",HSTECH!$F$10))</f>
        <v/>
      </c>
    </row>
    <row r="116">
      <c r="B116" s="62" t="inlineStr">
        <is>
          <t>HSTECH</t>
        </is>
      </c>
      <c r="C116" s="6">
        <f>IF(HSTECH!$C$11="","",HSTECH!$C$11)</f>
        <v/>
      </c>
      <c r="D116" s="6">
        <f>IF($C116="","",HSTECH!$D$11)</f>
        <v/>
      </c>
      <c r="E116" s="6">
        <f>IF($C116="","",HSTECH!$E$11)</f>
        <v/>
      </c>
      <c r="F116" s="63">
        <f>IF($C116="","",SUMPRODUCT(('Dvd Calendar'!$E$1160:$AR$1160&gt;=DATE(YEAR_Y-5,1,1))*('Dvd Calendar'!$E$1160:$AR$1160&lt;=DATE(YEAR_Y-5,12,31))*'Dvd Calendar'!$E$1163:$AR$1163*(('Dvd Calendar'!$E$1165:$AR$1165=TYPE1)*(TYPE1&lt;&gt;"")+('Dvd Calendar'!$E$1165:$AR$1165=TYPE2)*(TYPE2&lt;&gt;"")+('Dvd Calendar'!$E$1165:$AR$1165=TYPE3)*(TYPE3&lt;&gt;"")+('Dvd Calendar'!$E$1165:$AR$1165=TYPE4)*(TYPE4&lt;&gt;"")+('Dvd Calendar'!$E$1165:$AR$1165=SPECIAL_LBL)*(INC_SPECIALS="Y"))))</f>
        <v/>
      </c>
      <c r="G116" s="64">
        <f>IF($C116="","",SUMPRODUCT(('Dvd Calendar'!$E$1160:$AR$1160&gt;=DATE(YEAR_Y-4,1,1))*('Dvd Calendar'!$E$1160:$AR$1160&lt;=DATE(YEAR_Y-4,12,31))*'Dvd Calendar'!$E$1163:$AR$1163*(('Dvd Calendar'!$E$1165:$AR$1165=TYPE1)*(TYPE1&lt;&gt;"")+('Dvd Calendar'!$E$1165:$AR$1165=TYPE2)*(TYPE2&lt;&gt;"")+('Dvd Calendar'!$E$1165:$AR$1165=TYPE3)*(TYPE3&lt;&gt;"")+('Dvd Calendar'!$E$1165:$AR$1165=TYPE4)*(TYPE4&lt;&gt;"")+('Dvd Calendar'!$E$1165:$AR$1165=SPECIAL_LBL)*(INC_SPECIALS="Y"))))</f>
        <v/>
      </c>
      <c r="H116" s="64">
        <f>IF($C116="","",SUMPRODUCT(('Dvd Calendar'!$E$1160:$AR$1160&gt;=DATE(YEAR_Y-3,1,1))*('Dvd Calendar'!$E$1160:$AR$1160&lt;=DATE(YEAR_Y-3,12,31))*'Dvd Calendar'!$E$1163:$AR$1163*(('Dvd Calendar'!$E$1165:$AR$1165=TYPE1)*(TYPE1&lt;&gt;"")+('Dvd Calendar'!$E$1165:$AR$1165=TYPE2)*(TYPE2&lt;&gt;"")+('Dvd Calendar'!$E$1165:$AR$1165=TYPE3)*(TYPE3&lt;&gt;"")+('Dvd Calendar'!$E$1165:$AR$1165=TYPE4)*(TYPE4&lt;&gt;"")+('Dvd Calendar'!$E$1165:$AR$1165=SPECIAL_LBL)*(INC_SPECIALS="Y"))))</f>
        <v/>
      </c>
      <c r="I116" s="64">
        <f>IF($C116="","",SUMPRODUCT(('Dvd Calendar'!$E$1160:$AR$1160&gt;=DATE(YEAR_Y-2,1,1))*('Dvd Calendar'!$E$1160:$AR$1160&lt;=DATE(YEAR_Y-2,12,31))*'Dvd Calendar'!$E$1163:$AR$1163*(('Dvd Calendar'!$E$1165:$AR$1165=TYPE1)*(TYPE1&lt;&gt;"")+('Dvd Calendar'!$E$1165:$AR$1165=TYPE2)*(TYPE2&lt;&gt;"")+('Dvd Calendar'!$E$1165:$AR$1165=TYPE3)*(TYPE3&lt;&gt;"")+('Dvd Calendar'!$E$1165:$AR$1165=TYPE4)*(TYPE4&lt;&gt;"")+('Dvd Calendar'!$E$1165:$AR$1165=SPECIAL_LBL)*(INC_SPECIALS="Y"))))</f>
        <v/>
      </c>
      <c r="J116" s="64">
        <f>IF($C116="","",SUMPRODUCT(('Dvd Calendar'!$E$1160:$AR$1160&gt;=DATE(YEAR_Y-1,1,1))*('Dvd Calendar'!$E$1160:$AR$1160&lt;=DATE(YEAR_Y-1,12,31))*'Dvd Calendar'!$E$1163:$AR$1163*(('Dvd Calendar'!$E$1165:$AR$1165=TYPE1)*(TYPE1&lt;&gt;"")+('Dvd Calendar'!$E$1165:$AR$1165=TYPE2)*(TYPE2&lt;&gt;"")+('Dvd Calendar'!$E$1165:$AR$1165=TYPE3)*(TYPE3&lt;&gt;"")+('Dvd Calendar'!$E$1165:$AR$1165=TYPE4)*(TYPE4&lt;&gt;"")+('Dvd Calendar'!$E$1165:$AR$1165=SPECIAL_LBL)*(INC_SPECIALS="Y"))))</f>
        <v/>
      </c>
      <c r="K116" s="65">
        <f>IF($C116="","",HSTECH!$J$11)</f>
        <v/>
      </c>
      <c r="L116" s="65">
        <f>IF($C116="","",HSTECH!$K$11)</f>
        <v/>
      </c>
      <c r="M116" s="41">
        <f>IF($C116="","",AVERAGE(F116:J116))</f>
        <v/>
      </c>
      <c r="N116" s="66">
        <f>IF($C116="","",IF(PULL_FUND="N","",IFERROR(BDP($C116,EPS_FIELD,YR_OVERRIDE,TEXT(YEAR_Y-5,"0")),"")))</f>
        <v/>
      </c>
      <c r="O116" s="67">
        <f>IF($C116="","",IF(PULL_FUND="N","",IFERROR(BDP($C116,EPS_FIELD,YR_OVERRIDE,TEXT(YEAR_Y-4,"0")),"")))</f>
        <v/>
      </c>
      <c r="P116" s="67">
        <f>IF($C116="","",IF(PULL_FUND="N","",IFERROR(BDP($C116,EPS_FIELD,YR_OVERRIDE,TEXT(YEAR_Y-3,"0")),"")))</f>
        <v/>
      </c>
      <c r="Q116" s="67">
        <f>IF($C116="","",IF(PULL_FUND="N","",IFERROR(BDP($C116,EPS_FIELD,YR_OVERRIDE,TEXT(YEAR_Y-2,"0")),"")))</f>
        <v/>
      </c>
      <c r="R116" s="67">
        <f>IF($C116="","",IF(PULL_FUND="N","",IFERROR(BDP($C116,EPS_FIELD,YR_OVERRIDE,TEXT(YEAR_Y-1,"0")),"")))</f>
        <v/>
      </c>
      <c r="S116" s="68">
        <f>IF($C116="","",IF(PULL_FUND="N","",IFERROR(BDP($C116,PAYOUT_FIELD,YR_OVERRIDE,TEXT(YEAR_Y-5,"0"))/100,"")))</f>
        <v/>
      </c>
      <c r="T116" s="68">
        <f>IF($C116="","",IF(PULL_FUND="N","",IFERROR(BDP($C116,PAYOUT_FIELD,YR_OVERRIDE,TEXT(YEAR_Y-4,"0"))/100,"")))</f>
        <v/>
      </c>
      <c r="U116" s="68">
        <f>IF($C116="","",IF(PULL_FUND="N","",IFERROR(BDP($C116,PAYOUT_FIELD,YR_OVERRIDE,TEXT(YEAR_Y-3,"0"))/100,"")))</f>
        <v/>
      </c>
      <c r="V116" s="68">
        <f>IF($C116="","",IF(PULL_FUND="N","",IFERROR(BDP($C116,PAYOUT_FIELD,YR_OVERRIDE,TEXT(YEAR_Y-2,"0"))/100,"")))</f>
        <v/>
      </c>
      <c r="W116" s="68">
        <f>IF($C116="","",IF(PULL_FUND="N","",IFERROR(BDP($C116,PAYOUT_FIELD,YR_OVERRIDE,TEXT(YEAR_Y-1,"0"))/100,"")))</f>
        <v/>
      </c>
      <c r="X116" s="69">
        <f>IF($C116="","",IFERROR(AVERAGE(S116:W116),""))</f>
        <v/>
      </c>
      <c r="Y116" s="66">
        <f>IF($C116="","",IF(PULL_FUND="N","",IFERROR(BDP($C116,BESTEPS_FIELD,FWD_OVERRIDE,TEXT(MOD(YEAR_Y,100),"00")&amp;"Y"),"")))</f>
        <v/>
      </c>
      <c r="Z116" s="70">
        <f>IF($C116="","",IF(PULL_FUND="N","",IFERROR(BDP($C116,BESTDPS_FIELD,FWD_OVERRIDE,TEXT(MOD(YEAR_Y,100),"00")&amp;"Y"),"")))</f>
        <v/>
      </c>
      <c r="AA116" s="71">
        <f>IF($C116="","",IF(ISNUMBER($Y116)*ISNUMBER($Z116)*($Y116&lt;&gt;0)=0,"",$Z116/$Y116))</f>
        <v/>
      </c>
      <c r="AB116" s="41">
        <f>IF($C116="","",HSTECH!$J$11+HSTECH!$L$11)</f>
        <v/>
      </c>
      <c r="AC116" s="72">
        <f>IF($C116="","",IF(PULL_FUND="N","",IF(COUNTIFS('Fund History'!$G$636:$G$640,"&gt;="&amp;DATE(YEAR_Y-4,1,1),'Fund History'!$G$636:$G$640,"&lt;="&amp;DATE(YEAR_Y-4,12,31))=0,"",SUMIFS('Fund History'!$H$636:$H$640,'Fund History'!$G$636:$G$640,"&gt;="&amp;DATE(YEAR_Y-4,1,1),'Fund History'!$G$636:$G$640,"&lt;="&amp;DATE(YEAR_Y-4,12,31))/100)))</f>
        <v/>
      </c>
      <c r="AD116" s="73">
        <f>IF($C116="","",IF(PULL_FUND="N","",IF(COUNTIFS('Fund History'!$G$636:$G$640,"&gt;="&amp;DATE(YEAR_Y-3,1,1),'Fund History'!$G$636:$G$640,"&lt;="&amp;DATE(YEAR_Y-3,12,31))=0,"",SUMIFS('Fund History'!$H$636:$H$640,'Fund History'!$G$636:$G$640,"&gt;="&amp;DATE(YEAR_Y-3,1,1),'Fund History'!$G$636:$G$640,"&lt;="&amp;DATE(YEAR_Y-3,12,31))/100)))</f>
        <v/>
      </c>
      <c r="AE116" s="73">
        <f>IF($C116="","",IF(PULL_FUND="N","",IF(COUNTIFS('Fund History'!$G$636:$G$640,"&gt;="&amp;DATE(YEAR_Y-2,1,1),'Fund History'!$G$636:$G$640,"&lt;="&amp;DATE(YEAR_Y-2,12,31))=0,"",SUMIFS('Fund History'!$H$636:$H$640,'Fund History'!$G$636:$G$640,"&gt;="&amp;DATE(YEAR_Y-2,1,1),'Fund History'!$G$636:$G$640,"&lt;="&amp;DATE(YEAR_Y-2,12,31))/100)))</f>
        <v/>
      </c>
      <c r="AF116" s="73">
        <f>IF($C116="","",IF(PULL_FUND="N","",IF(COUNTIFS('Fund History'!$G$636:$G$640,"&gt;="&amp;DATE(YEAR_Y-1,1,1),'Fund History'!$G$636:$G$640,"&lt;="&amp;DATE(YEAR_Y-1,12,31))=0,"",SUMIFS('Fund History'!$H$636:$H$640,'Fund History'!$G$636:$G$640,"&gt;="&amp;DATE(YEAR_Y-1,1,1),'Fund History'!$G$636:$G$640,"&lt;="&amp;DATE(YEAR_Y-1,12,31))/100)))</f>
        <v/>
      </c>
      <c r="AG116" s="74">
        <f>IF($C116="","",IF(N($AF116)+N(HSTECH!$I$11)=0,"",N($AF116)+N(HSTECH!$I$11)/100))</f>
        <v/>
      </c>
      <c r="AH116" s="66">
        <f>IF($C116="","",IF(PULL_FUND="N","",IF(COUNTIFS('Fund History'!$D$636:$D$640,"&gt;="&amp;DATE(YEAR_Y-2,1,1),'Fund History'!$D$636:$D$640,"&lt;="&amp;DATE(YEAR_Y-2,12,31))=0,"",SUMIFS('Fund History'!$E$636:$E$640,'Fund History'!$D$636:$D$640,"&gt;="&amp;DATE(YEAR_Y-2,1,1),'Fund History'!$D$636:$D$640,"&lt;="&amp;DATE(YEAR_Y-2,12,31)))))</f>
        <v/>
      </c>
      <c r="AI116" s="67">
        <f>IF($C116="","",IF(PULL_FUND="N","",IF(COUNTIFS('Fund History'!$D$636:$D$640,"&gt;="&amp;DATE(YEAR_Y-1,1,1),'Fund History'!$D$636:$D$640,"&lt;="&amp;DATE(YEAR_Y-1,12,31))=0,"",SUMIFS('Fund History'!$E$636:$E$640,'Fund History'!$D$636:$D$640,"&gt;="&amp;DATE(YEAR_Y-1,1,1),'Fund History'!$D$636:$D$640,"&lt;="&amp;DATE(YEAR_Y-1,12,31)))))</f>
        <v/>
      </c>
      <c r="AJ116" s="67">
        <f>IF($C116="","",IF(PULL_FUND="N","",IFERROR(BDP($C116,NDEBITDA_FIELD),"")))</f>
        <v/>
      </c>
      <c r="AK116" s="75">
        <f>IF($C116="","",IF(PULL_FUND="N","",IFERROR(BDP($C116,EBINT_FIELD),"")))</f>
        <v/>
      </c>
      <c r="AL116" s="73">
        <f>IF($C116="","",IF(PULL_FUND="N","",IFERROR(BDP($C116,FCF_FIELD)/100,"")))</f>
        <v/>
      </c>
      <c r="AM116" s="76">
        <f>IF($C116="","",IF(ISNUMBER(HSTECH!$I$11),HSTECH!$I$11/100,""))</f>
        <v/>
      </c>
      <c r="AN116" s="47">
        <f>IF($C116="","",IF(N($AM116)=0,"",IFERROR($AL116/$AM116,"")))</f>
        <v/>
      </c>
      <c r="AO116" s="33">
        <f>IF($C116="","",IF(ISNUMBER($S116)*ISNUMBER($W116)=0,"",IF($W116&gt;$S116+0.05,"rising",IF($W116&lt;$S116-0.05,"falling","stable"))))</f>
        <v/>
      </c>
      <c r="AP116" s="77">
        <f>IF($C116="","",TRIM(IF(ISNUMBER($X116)*(N($X116)&gt;$D$4)&gt;0,"payout high  ","")&amp;IF(ISNUMBER($AN116)*(N($AN116)&lt;$F$4)&gt;0,"FCF below dvd  ","")&amp;IF(ISNUMBER($AJ116)*(N($AJ116)&gt;$H$4)&gt;0,"leverage high","")))</f>
        <v/>
      </c>
      <c r="AQ116" s="78">
        <f>IF($C116="","",IF(HSTECH!$F$11="HKD","",HSTECH!$F$11))</f>
        <v/>
      </c>
    </row>
    <row r="117">
      <c r="B117" s="62" t="inlineStr">
        <is>
          <t>HSTECH</t>
        </is>
      </c>
      <c r="C117" s="6">
        <f>IF(HSTECH!$C$12="","",HSTECH!$C$12)</f>
        <v/>
      </c>
      <c r="D117" s="6">
        <f>IF($C117="","",HSTECH!$D$12)</f>
        <v/>
      </c>
      <c r="E117" s="6">
        <f>IF($C117="","",HSTECH!$E$12)</f>
        <v/>
      </c>
      <c r="F117" s="63">
        <f>IF($C117="","",SUMPRODUCT(('Dvd Calendar'!$E$1171:$AR$1171&gt;=DATE(YEAR_Y-5,1,1))*('Dvd Calendar'!$E$1171:$AR$1171&lt;=DATE(YEAR_Y-5,12,31))*'Dvd Calendar'!$E$1174:$AR$1174*(('Dvd Calendar'!$E$1176:$AR$1176=TYPE1)*(TYPE1&lt;&gt;"")+('Dvd Calendar'!$E$1176:$AR$1176=TYPE2)*(TYPE2&lt;&gt;"")+('Dvd Calendar'!$E$1176:$AR$1176=TYPE3)*(TYPE3&lt;&gt;"")+('Dvd Calendar'!$E$1176:$AR$1176=TYPE4)*(TYPE4&lt;&gt;"")+('Dvd Calendar'!$E$1176:$AR$1176=SPECIAL_LBL)*(INC_SPECIALS="Y"))))</f>
        <v/>
      </c>
      <c r="G117" s="64">
        <f>IF($C117="","",SUMPRODUCT(('Dvd Calendar'!$E$1171:$AR$1171&gt;=DATE(YEAR_Y-4,1,1))*('Dvd Calendar'!$E$1171:$AR$1171&lt;=DATE(YEAR_Y-4,12,31))*'Dvd Calendar'!$E$1174:$AR$1174*(('Dvd Calendar'!$E$1176:$AR$1176=TYPE1)*(TYPE1&lt;&gt;"")+('Dvd Calendar'!$E$1176:$AR$1176=TYPE2)*(TYPE2&lt;&gt;"")+('Dvd Calendar'!$E$1176:$AR$1176=TYPE3)*(TYPE3&lt;&gt;"")+('Dvd Calendar'!$E$1176:$AR$1176=TYPE4)*(TYPE4&lt;&gt;"")+('Dvd Calendar'!$E$1176:$AR$1176=SPECIAL_LBL)*(INC_SPECIALS="Y"))))</f>
        <v/>
      </c>
      <c r="H117" s="64">
        <f>IF($C117="","",SUMPRODUCT(('Dvd Calendar'!$E$1171:$AR$1171&gt;=DATE(YEAR_Y-3,1,1))*('Dvd Calendar'!$E$1171:$AR$1171&lt;=DATE(YEAR_Y-3,12,31))*'Dvd Calendar'!$E$1174:$AR$1174*(('Dvd Calendar'!$E$1176:$AR$1176=TYPE1)*(TYPE1&lt;&gt;"")+('Dvd Calendar'!$E$1176:$AR$1176=TYPE2)*(TYPE2&lt;&gt;"")+('Dvd Calendar'!$E$1176:$AR$1176=TYPE3)*(TYPE3&lt;&gt;"")+('Dvd Calendar'!$E$1176:$AR$1176=TYPE4)*(TYPE4&lt;&gt;"")+('Dvd Calendar'!$E$1176:$AR$1176=SPECIAL_LBL)*(INC_SPECIALS="Y"))))</f>
        <v/>
      </c>
      <c r="I117" s="64">
        <f>IF($C117="","",SUMPRODUCT(('Dvd Calendar'!$E$1171:$AR$1171&gt;=DATE(YEAR_Y-2,1,1))*('Dvd Calendar'!$E$1171:$AR$1171&lt;=DATE(YEAR_Y-2,12,31))*'Dvd Calendar'!$E$1174:$AR$1174*(('Dvd Calendar'!$E$1176:$AR$1176=TYPE1)*(TYPE1&lt;&gt;"")+('Dvd Calendar'!$E$1176:$AR$1176=TYPE2)*(TYPE2&lt;&gt;"")+('Dvd Calendar'!$E$1176:$AR$1176=TYPE3)*(TYPE3&lt;&gt;"")+('Dvd Calendar'!$E$1176:$AR$1176=TYPE4)*(TYPE4&lt;&gt;"")+('Dvd Calendar'!$E$1176:$AR$1176=SPECIAL_LBL)*(INC_SPECIALS="Y"))))</f>
        <v/>
      </c>
      <c r="J117" s="64">
        <f>IF($C117="","",SUMPRODUCT(('Dvd Calendar'!$E$1171:$AR$1171&gt;=DATE(YEAR_Y-1,1,1))*('Dvd Calendar'!$E$1171:$AR$1171&lt;=DATE(YEAR_Y-1,12,31))*'Dvd Calendar'!$E$1174:$AR$1174*(('Dvd Calendar'!$E$1176:$AR$1176=TYPE1)*(TYPE1&lt;&gt;"")+('Dvd Calendar'!$E$1176:$AR$1176=TYPE2)*(TYPE2&lt;&gt;"")+('Dvd Calendar'!$E$1176:$AR$1176=TYPE3)*(TYPE3&lt;&gt;"")+('Dvd Calendar'!$E$1176:$AR$1176=TYPE4)*(TYPE4&lt;&gt;"")+('Dvd Calendar'!$E$1176:$AR$1176=SPECIAL_LBL)*(INC_SPECIALS="Y"))))</f>
        <v/>
      </c>
      <c r="K117" s="65">
        <f>IF($C117="","",HSTECH!$J$12)</f>
        <v/>
      </c>
      <c r="L117" s="65">
        <f>IF($C117="","",HSTECH!$K$12)</f>
        <v/>
      </c>
      <c r="M117" s="41">
        <f>IF($C117="","",AVERAGE(F117:J117))</f>
        <v/>
      </c>
      <c r="N117" s="66">
        <f>IF($C117="","",IF(PULL_FUND="N","",IFERROR(BDP($C117,EPS_FIELD,YR_OVERRIDE,TEXT(YEAR_Y-5,"0")),"")))</f>
        <v/>
      </c>
      <c r="O117" s="67">
        <f>IF($C117="","",IF(PULL_FUND="N","",IFERROR(BDP($C117,EPS_FIELD,YR_OVERRIDE,TEXT(YEAR_Y-4,"0")),"")))</f>
        <v/>
      </c>
      <c r="P117" s="67">
        <f>IF($C117="","",IF(PULL_FUND="N","",IFERROR(BDP($C117,EPS_FIELD,YR_OVERRIDE,TEXT(YEAR_Y-3,"0")),"")))</f>
        <v/>
      </c>
      <c r="Q117" s="67">
        <f>IF($C117="","",IF(PULL_FUND="N","",IFERROR(BDP($C117,EPS_FIELD,YR_OVERRIDE,TEXT(YEAR_Y-2,"0")),"")))</f>
        <v/>
      </c>
      <c r="R117" s="67">
        <f>IF($C117="","",IF(PULL_FUND="N","",IFERROR(BDP($C117,EPS_FIELD,YR_OVERRIDE,TEXT(YEAR_Y-1,"0")),"")))</f>
        <v/>
      </c>
      <c r="S117" s="68">
        <f>IF($C117="","",IF(PULL_FUND="N","",IFERROR(BDP($C117,PAYOUT_FIELD,YR_OVERRIDE,TEXT(YEAR_Y-5,"0"))/100,"")))</f>
        <v/>
      </c>
      <c r="T117" s="68">
        <f>IF($C117="","",IF(PULL_FUND="N","",IFERROR(BDP($C117,PAYOUT_FIELD,YR_OVERRIDE,TEXT(YEAR_Y-4,"0"))/100,"")))</f>
        <v/>
      </c>
      <c r="U117" s="68">
        <f>IF($C117="","",IF(PULL_FUND="N","",IFERROR(BDP($C117,PAYOUT_FIELD,YR_OVERRIDE,TEXT(YEAR_Y-3,"0"))/100,"")))</f>
        <v/>
      </c>
      <c r="V117" s="68">
        <f>IF($C117="","",IF(PULL_FUND="N","",IFERROR(BDP($C117,PAYOUT_FIELD,YR_OVERRIDE,TEXT(YEAR_Y-2,"0"))/100,"")))</f>
        <v/>
      </c>
      <c r="W117" s="68">
        <f>IF($C117="","",IF(PULL_FUND="N","",IFERROR(BDP($C117,PAYOUT_FIELD,YR_OVERRIDE,TEXT(YEAR_Y-1,"0"))/100,"")))</f>
        <v/>
      </c>
      <c r="X117" s="69">
        <f>IF($C117="","",IFERROR(AVERAGE(S117:W117),""))</f>
        <v/>
      </c>
      <c r="Y117" s="66">
        <f>IF($C117="","",IF(PULL_FUND="N","",IFERROR(BDP($C117,BESTEPS_FIELD,FWD_OVERRIDE,TEXT(MOD(YEAR_Y,100),"00")&amp;"Y"),"")))</f>
        <v/>
      </c>
      <c r="Z117" s="70">
        <f>IF($C117="","",IF(PULL_FUND="N","",IFERROR(BDP($C117,BESTDPS_FIELD,FWD_OVERRIDE,TEXT(MOD(YEAR_Y,100),"00")&amp;"Y"),"")))</f>
        <v/>
      </c>
      <c r="AA117" s="71">
        <f>IF($C117="","",IF(ISNUMBER($Y117)*ISNUMBER($Z117)*($Y117&lt;&gt;0)=0,"",$Z117/$Y117))</f>
        <v/>
      </c>
      <c r="AB117" s="41">
        <f>IF($C117="","",HSTECH!$J$12+HSTECH!$L$12)</f>
        <v/>
      </c>
      <c r="AC117" s="72">
        <f>IF($C117="","",IF(PULL_FUND="N","",IF(COUNTIFS('Fund History'!$G$642:$G$646,"&gt;="&amp;DATE(YEAR_Y-4,1,1),'Fund History'!$G$642:$G$646,"&lt;="&amp;DATE(YEAR_Y-4,12,31))=0,"",SUMIFS('Fund History'!$H$642:$H$646,'Fund History'!$G$642:$G$646,"&gt;="&amp;DATE(YEAR_Y-4,1,1),'Fund History'!$G$642:$G$646,"&lt;="&amp;DATE(YEAR_Y-4,12,31))/100)))</f>
        <v/>
      </c>
      <c r="AD117" s="73">
        <f>IF($C117="","",IF(PULL_FUND="N","",IF(COUNTIFS('Fund History'!$G$642:$G$646,"&gt;="&amp;DATE(YEAR_Y-3,1,1),'Fund History'!$G$642:$G$646,"&lt;="&amp;DATE(YEAR_Y-3,12,31))=0,"",SUMIFS('Fund History'!$H$642:$H$646,'Fund History'!$G$642:$G$646,"&gt;="&amp;DATE(YEAR_Y-3,1,1),'Fund History'!$G$642:$G$646,"&lt;="&amp;DATE(YEAR_Y-3,12,31))/100)))</f>
        <v/>
      </c>
      <c r="AE117" s="73">
        <f>IF($C117="","",IF(PULL_FUND="N","",IF(COUNTIFS('Fund History'!$G$642:$G$646,"&gt;="&amp;DATE(YEAR_Y-2,1,1),'Fund History'!$G$642:$G$646,"&lt;="&amp;DATE(YEAR_Y-2,12,31))=0,"",SUMIFS('Fund History'!$H$642:$H$646,'Fund History'!$G$642:$G$646,"&gt;="&amp;DATE(YEAR_Y-2,1,1),'Fund History'!$G$642:$G$646,"&lt;="&amp;DATE(YEAR_Y-2,12,31))/100)))</f>
        <v/>
      </c>
      <c r="AF117" s="73">
        <f>IF($C117="","",IF(PULL_FUND="N","",IF(COUNTIFS('Fund History'!$G$642:$G$646,"&gt;="&amp;DATE(YEAR_Y-1,1,1),'Fund History'!$G$642:$G$646,"&lt;="&amp;DATE(YEAR_Y-1,12,31))=0,"",SUMIFS('Fund History'!$H$642:$H$646,'Fund History'!$G$642:$G$646,"&gt;="&amp;DATE(YEAR_Y-1,1,1),'Fund History'!$G$642:$G$646,"&lt;="&amp;DATE(YEAR_Y-1,12,31))/100)))</f>
        <v/>
      </c>
      <c r="AG117" s="74">
        <f>IF($C117="","",IF(N($AF117)+N(HSTECH!$I$12)=0,"",N($AF117)+N(HSTECH!$I$12)/100))</f>
        <v/>
      </c>
      <c r="AH117" s="66">
        <f>IF($C117="","",IF(PULL_FUND="N","",IF(COUNTIFS('Fund History'!$D$642:$D$646,"&gt;="&amp;DATE(YEAR_Y-2,1,1),'Fund History'!$D$642:$D$646,"&lt;="&amp;DATE(YEAR_Y-2,12,31))=0,"",SUMIFS('Fund History'!$E$642:$E$646,'Fund History'!$D$642:$D$646,"&gt;="&amp;DATE(YEAR_Y-2,1,1),'Fund History'!$D$642:$D$646,"&lt;="&amp;DATE(YEAR_Y-2,12,31)))))</f>
        <v/>
      </c>
      <c r="AI117" s="67">
        <f>IF($C117="","",IF(PULL_FUND="N","",IF(COUNTIFS('Fund History'!$D$642:$D$646,"&gt;="&amp;DATE(YEAR_Y-1,1,1),'Fund History'!$D$642:$D$646,"&lt;="&amp;DATE(YEAR_Y-1,12,31))=0,"",SUMIFS('Fund History'!$E$642:$E$646,'Fund History'!$D$642:$D$646,"&gt;="&amp;DATE(YEAR_Y-1,1,1),'Fund History'!$D$642:$D$646,"&lt;="&amp;DATE(YEAR_Y-1,12,31)))))</f>
        <v/>
      </c>
      <c r="AJ117" s="67">
        <f>IF($C117="","",IF(PULL_FUND="N","",IFERROR(BDP($C117,NDEBITDA_FIELD),"")))</f>
        <v/>
      </c>
      <c r="AK117" s="75">
        <f>IF($C117="","",IF(PULL_FUND="N","",IFERROR(BDP($C117,EBINT_FIELD),"")))</f>
        <v/>
      </c>
      <c r="AL117" s="73">
        <f>IF($C117="","",IF(PULL_FUND="N","",IFERROR(BDP($C117,FCF_FIELD)/100,"")))</f>
        <v/>
      </c>
      <c r="AM117" s="76">
        <f>IF($C117="","",IF(ISNUMBER(HSTECH!$I$12),HSTECH!$I$12/100,""))</f>
        <v/>
      </c>
      <c r="AN117" s="47">
        <f>IF($C117="","",IF(N($AM117)=0,"",IFERROR($AL117/$AM117,"")))</f>
        <v/>
      </c>
      <c r="AO117" s="33">
        <f>IF($C117="","",IF(ISNUMBER($S117)*ISNUMBER($W117)=0,"",IF($W117&gt;$S117+0.05,"rising",IF($W117&lt;$S117-0.05,"falling","stable"))))</f>
        <v/>
      </c>
      <c r="AP117" s="77">
        <f>IF($C117="","",TRIM(IF(ISNUMBER($X117)*(N($X117)&gt;$D$4)&gt;0,"payout high  ","")&amp;IF(ISNUMBER($AN117)*(N($AN117)&lt;$F$4)&gt;0,"FCF below dvd  ","")&amp;IF(ISNUMBER($AJ117)*(N($AJ117)&gt;$H$4)&gt;0,"leverage high","")))</f>
        <v/>
      </c>
      <c r="AQ117" s="78">
        <f>IF($C117="","",IF(HSTECH!$F$12="HKD","",HSTECH!$F$12))</f>
        <v/>
      </c>
    </row>
    <row r="118">
      <c r="B118" s="62" t="inlineStr">
        <is>
          <t>HSTECH</t>
        </is>
      </c>
      <c r="C118" s="6">
        <f>IF(HSTECH!$C$13="","",HSTECH!$C$13)</f>
        <v/>
      </c>
      <c r="D118" s="6">
        <f>IF($C118="","",HSTECH!$D$13)</f>
        <v/>
      </c>
      <c r="E118" s="6">
        <f>IF($C118="","",HSTECH!$E$13)</f>
        <v/>
      </c>
      <c r="F118" s="63">
        <f>IF($C118="","",SUMPRODUCT(('Dvd Calendar'!$E$1182:$AR$1182&gt;=DATE(YEAR_Y-5,1,1))*('Dvd Calendar'!$E$1182:$AR$1182&lt;=DATE(YEAR_Y-5,12,31))*'Dvd Calendar'!$E$1185:$AR$1185*(('Dvd Calendar'!$E$1187:$AR$1187=TYPE1)*(TYPE1&lt;&gt;"")+('Dvd Calendar'!$E$1187:$AR$1187=TYPE2)*(TYPE2&lt;&gt;"")+('Dvd Calendar'!$E$1187:$AR$1187=TYPE3)*(TYPE3&lt;&gt;"")+('Dvd Calendar'!$E$1187:$AR$1187=TYPE4)*(TYPE4&lt;&gt;"")+('Dvd Calendar'!$E$1187:$AR$1187=SPECIAL_LBL)*(INC_SPECIALS="Y"))))</f>
        <v/>
      </c>
      <c r="G118" s="64">
        <f>IF($C118="","",SUMPRODUCT(('Dvd Calendar'!$E$1182:$AR$1182&gt;=DATE(YEAR_Y-4,1,1))*('Dvd Calendar'!$E$1182:$AR$1182&lt;=DATE(YEAR_Y-4,12,31))*'Dvd Calendar'!$E$1185:$AR$1185*(('Dvd Calendar'!$E$1187:$AR$1187=TYPE1)*(TYPE1&lt;&gt;"")+('Dvd Calendar'!$E$1187:$AR$1187=TYPE2)*(TYPE2&lt;&gt;"")+('Dvd Calendar'!$E$1187:$AR$1187=TYPE3)*(TYPE3&lt;&gt;"")+('Dvd Calendar'!$E$1187:$AR$1187=TYPE4)*(TYPE4&lt;&gt;"")+('Dvd Calendar'!$E$1187:$AR$1187=SPECIAL_LBL)*(INC_SPECIALS="Y"))))</f>
        <v/>
      </c>
      <c r="H118" s="64">
        <f>IF($C118="","",SUMPRODUCT(('Dvd Calendar'!$E$1182:$AR$1182&gt;=DATE(YEAR_Y-3,1,1))*('Dvd Calendar'!$E$1182:$AR$1182&lt;=DATE(YEAR_Y-3,12,31))*'Dvd Calendar'!$E$1185:$AR$1185*(('Dvd Calendar'!$E$1187:$AR$1187=TYPE1)*(TYPE1&lt;&gt;"")+('Dvd Calendar'!$E$1187:$AR$1187=TYPE2)*(TYPE2&lt;&gt;"")+('Dvd Calendar'!$E$1187:$AR$1187=TYPE3)*(TYPE3&lt;&gt;"")+('Dvd Calendar'!$E$1187:$AR$1187=TYPE4)*(TYPE4&lt;&gt;"")+('Dvd Calendar'!$E$1187:$AR$1187=SPECIAL_LBL)*(INC_SPECIALS="Y"))))</f>
        <v/>
      </c>
      <c r="I118" s="64">
        <f>IF($C118="","",SUMPRODUCT(('Dvd Calendar'!$E$1182:$AR$1182&gt;=DATE(YEAR_Y-2,1,1))*('Dvd Calendar'!$E$1182:$AR$1182&lt;=DATE(YEAR_Y-2,12,31))*'Dvd Calendar'!$E$1185:$AR$1185*(('Dvd Calendar'!$E$1187:$AR$1187=TYPE1)*(TYPE1&lt;&gt;"")+('Dvd Calendar'!$E$1187:$AR$1187=TYPE2)*(TYPE2&lt;&gt;"")+('Dvd Calendar'!$E$1187:$AR$1187=TYPE3)*(TYPE3&lt;&gt;"")+('Dvd Calendar'!$E$1187:$AR$1187=TYPE4)*(TYPE4&lt;&gt;"")+('Dvd Calendar'!$E$1187:$AR$1187=SPECIAL_LBL)*(INC_SPECIALS="Y"))))</f>
        <v/>
      </c>
      <c r="J118" s="64">
        <f>IF($C118="","",SUMPRODUCT(('Dvd Calendar'!$E$1182:$AR$1182&gt;=DATE(YEAR_Y-1,1,1))*('Dvd Calendar'!$E$1182:$AR$1182&lt;=DATE(YEAR_Y-1,12,31))*'Dvd Calendar'!$E$1185:$AR$1185*(('Dvd Calendar'!$E$1187:$AR$1187=TYPE1)*(TYPE1&lt;&gt;"")+('Dvd Calendar'!$E$1187:$AR$1187=TYPE2)*(TYPE2&lt;&gt;"")+('Dvd Calendar'!$E$1187:$AR$1187=TYPE3)*(TYPE3&lt;&gt;"")+('Dvd Calendar'!$E$1187:$AR$1187=TYPE4)*(TYPE4&lt;&gt;"")+('Dvd Calendar'!$E$1187:$AR$1187=SPECIAL_LBL)*(INC_SPECIALS="Y"))))</f>
        <v/>
      </c>
      <c r="K118" s="65">
        <f>IF($C118="","",HSTECH!$J$13)</f>
        <v/>
      </c>
      <c r="L118" s="65">
        <f>IF($C118="","",HSTECH!$K$13)</f>
        <v/>
      </c>
      <c r="M118" s="41">
        <f>IF($C118="","",AVERAGE(F118:J118))</f>
        <v/>
      </c>
      <c r="N118" s="66">
        <f>IF($C118="","",IF(PULL_FUND="N","",IFERROR(BDP($C118,EPS_FIELD,YR_OVERRIDE,TEXT(YEAR_Y-5,"0")),"")))</f>
        <v/>
      </c>
      <c r="O118" s="67">
        <f>IF($C118="","",IF(PULL_FUND="N","",IFERROR(BDP($C118,EPS_FIELD,YR_OVERRIDE,TEXT(YEAR_Y-4,"0")),"")))</f>
        <v/>
      </c>
      <c r="P118" s="67">
        <f>IF($C118="","",IF(PULL_FUND="N","",IFERROR(BDP($C118,EPS_FIELD,YR_OVERRIDE,TEXT(YEAR_Y-3,"0")),"")))</f>
        <v/>
      </c>
      <c r="Q118" s="67">
        <f>IF($C118="","",IF(PULL_FUND="N","",IFERROR(BDP($C118,EPS_FIELD,YR_OVERRIDE,TEXT(YEAR_Y-2,"0")),"")))</f>
        <v/>
      </c>
      <c r="R118" s="67">
        <f>IF($C118="","",IF(PULL_FUND="N","",IFERROR(BDP($C118,EPS_FIELD,YR_OVERRIDE,TEXT(YEAR_Y-1,"0")),"")))</f>
        <v/>
      </c>
      <c r="S118" s="68">
        <f>IF($C118="","",IF(PULL_FUND="N","",IFERROR(BDP($C118,PAYOUT_FIELD,YR_OVERRIDE,TEXT(YEAR_Y-5,"0"))/100,"")))</f>
        <v/>
      </c>
      <c r="T118" s="68">
        <f>IF($C118="","",IF(PULL_FUND="N","",IFERROR(BDP($C118,PAYOUT_FIELD,YR_OVERRIDE,TEXT(YEAR_Y-4,"0"))/100,"")))</f>
        <v/>
      </c>
      <c r="U118" s="68">
        <f>IF($C118="","",IF(PULL_FUND="N","",IFERROR(BDP($C118,PAYOUT_FIELD,YR_OVERRIDE,TEXT(YEAR_Y-3,"0"))/100,"")))</f>
        <v/>
      </c>
      <c r="V118" s="68">
        <f>IF($C118="","",IF(PULL_FUND="N","",IFERROR(BDP($C118,PAYOUT_FIELD,YR_OVERRIDE,TEXT(YEAR_Y-2,"0"))/100,"")))</f>
        <v/>
      </c>
      <c r="W118" s="68">
        <f>IF($C118="","",IF(PULL_FUND="N","",IFERROR(BDP($C118,PAYOUT_FIELD,YR_OVERRIDE,TEXT(YEAR_Y-1,"0"))/100,"")))</f>
        <v/>
      </c>
      <c r="X118" s="69">
        <f>IF($C118="","",IFERROR(AVERAGE(S118:W118),""))</f>
        <v/>
      </c>
      <c r="Y118" s="66">
        <f>IF($C118="","",IF(PULL_FUND="N","",IFERROR(BDP($C118,BESTEPS_FIELD,FWD_OVERRIDE,TEXT(MOD(YEAR_Y,100),"00")&amp;"Y"),"")))</f>
        <v/>
      </c>
      <c r="Z118" s="70">
        <f>IF($C118="","",IF(PULL_FUND="N","",IFERROR(BDP($C118,BESTDPS_FIELD,FWD_OVERRIDE,TEXT(MOD(YEAR_Y,100),"00")&amp;"Y"),"")))</f>
        <v/>
      </c>
      <c r="AA118" s="71">
        <f>IF($C118="","",IF(ISNUMBER($Y118)*ISNUMBER($Z118)*($Y118&lt;&gt;0)=0,"",$Z118/$Y118))</f>
        <v/>
      </c>
      <c r="AB118" s="41">
        <f>IF($C118="","",HSTECH!$J$13+HSTECH!$L$13)</f>
        <v/>
      </c>
      <c r="AC118" s="72">
        <f>IF($C118="","",IF(PULL_FUND="N","",IF(COUNTIFS('Fund History'!$G$648:$G$652,"&gt;="&amp;DATE(YEAR_Y-4,1,1),'Fund History'!$G$648:$G$652,"&lt;="&amp;DATE(YEAR_Y-4,12,31))=0,"",SUMIFS('Fund History'!$H$648:$H$652,'Fund History'!$G$648:$G$652,"&gt;="&amp;DATE(YEAR_Y-4,1,1),'Fund History'!$G$648:$G$652,"&lt;="&amp;DATE(YEAR_Y-4,12,31))/100)))</f>
        <v/>
      </c>
      <c r="AD118" s="73">
        <f>IF($C118="","",IF(PULL_FUND="N","",IF(COUNTIFS('Fund History'!$G$648:$G$652,"&gt;="&amp;DATE(YEAR_Y-3,1,1),'Fund History'!$G$648:$G$652,"&lt;="&amp;DATE(YEAR_Y-3,12,31))=0,"",SUMIFS('Fund History'!$H$648:$H$652,'Fund History'!$G$648:$G$652,"&gt;="&amp;DATE(YEAR_Y-3,1,1),'Fund History'!$G$648:$G$652,"&lt;="&amp;DATE(YEAR_Y-3,12,31))/100)))</f>
        <v/>
      </c>
      <c r="AE118" s="73">
        <f>IF($C118="","",IF(PULL_FUND="N","",IF(COUNTIFS('Fund History'!$G$648:$G$652,"&gt;="&amp;DATE(YEAR_Y-2,1,1),'Fund History'!$G$648:$G$652,"&lt;="&amp;DATE(YEAR_Y-2,12,31))=0,"",SUMIFS('Fund History'!$H$648:$H$652,'Fund History'!$G$648:$G$652,"&gt;="&amp;DATE(YEAR_Y-2,1,1),'Fund History'!$G$648:$G$652,"&lt;="&amp;DATE(YEAR_Y-2,12,31))/100)))</f>
        <v/>
      </c>
      <c r="AF118" s="73">
        <f>IF($C118="","",IF(PULL_FUND="N","",IF(COUNTIFS('Fund History'!$G$648:$G$652,"&gt;="&amp;DATE(YEAR_Y-1,1,1),'Fund History'!$G$648:$G$652,"&lt;="&amp;DATE(YEAR_Y-1,12,31))=0,"",SUMIFS('Fund History'!$H$648:$H$652,'Fund History'!$G$648:$G$652,"&gt;="&amp;DATE(YEAR_Y-1,1,1),'Fund History'!$G$648:$G$652,"&lt;="&amp;DATE(YEAR_Y-1,12,31))/100)))</f>
        <v/>
      </c>
      <c r="AG118" s="74">
        <f>IF($C118="","",IF(N($AF118)+N(HSTECH!$I$13)=0,"",N($AF118)+N(HSTECH!$I$13)/100))</f>
        <v/>
      </c>
      <c r="AH118" s="66">
        <f>IF($C118="","",IF(PULL_FUND="N","",IF(COUNTIFS('Fund History'!$D$648:$D$652,"&gt;="&amp;DATE(YEAR_Y-2,1,1),'Fund History'!$D$648:$D$652,"&lt;="&amp;DATE(YEAR_Y-2,12,31))=0,"",SUMIFS('Fund History'!$E$648:$E$652,'Fund History'!$D$648:$D$652,"&gt;="&amp;DATE(YEAR_Y-2,1,1),'Fund History'!$D$648:$D$652,"&lt;="&amp;DATE(YEAR_Y-2,12,31)))))</f>
        <v/>
      </c>
      <c r="AI118" s="67">
        <f>IF($C118="","",IF(PULL_FUND="N","",IF(COUNTIFS('Fund History'!$D$648:$D$652,"&gt;="&amp;DATE(YEAR_Y-1,1,1),'Fund History'!$D$648:$D$652,"&lt;="&amp;DATE(YEAR_Y-1,12,31))=0,"",SUMIFS('Fund History'!$E$648:$E$652,'Fund History'!$D$648:$D$652,"&gt;="&amp;DATE(YEAR_Y-1,1,1),'Fund History'!$D$648:$D$652,"&lt;="&amp;DATE(YEAR_Y-1,12,31)))))</f>
        <v/>
      </c>
      <c r="AJ118" s="67">
        <f>IF($C118="","",IF(PULL_FUND="N","",IFERROR(BDP($C118,NDEBITDA_FIELD),"")))</f>
        <v/>
      </c>
      <c r="AK118" s="75">
        <f>IF($C118="","",IF(PULL_FUND="N","",IFERROR(BDP($C118,EBINT_FIELD),"")))</f>
        <v/>
      </c>
      <c r="AL118" s="73">
        <f>IF($C118="","",IF(PULL_FUND="N","",IFERROR(BDP($C118,FCF_FIELD)/100,"")))</f>
        <v/>
      </c>
      <c r="AM118" s="76">
        <f>IF($C118="","",IF(ISNUMBER(HSTECH!$I$13),HSTECH!$I$13/100,""))</f>
        <v/>
      </c>
      <c r="AN118" s="47">
        <f>IF($C118="","",IF(N($AM118)=0,"",IFERROR($AL118/$AM118,"")))</f>
        <v/>
      </c>
      <c r="AO118" s="33">
        <f>IF($C118="","",IF(ISNUMBER($S118)*ISNUMBER($W118)=0,"",IF($W118&gt;$S118+0.05,"rising",IF($W118&lt;$S118-0.05,"falling","stable"))))</f>
        <v/>
      </c>
      <c r="AP118" s="77">
        <f>IF($C118="","",TRIM(IF(ISNUMBER($X118)*(N($X118)&gt;$D$4)&gt;0,"payout high  ","")&amp;IF(ISNUMBER($AN118)*(N($AN118)&lt;$F$4)&gt;0,"FCF below dvd  ","")&amp;IF(ISNUMBER($AJ118)*(N($AJ118)&gt;$H$4)&gt;0,"leverage high","")))</f>
        <v/>
      </c>
      <c r="AQ118" s="78">
        <f>IF($C118="","",IF(HSTECH!$F$13="HKD","",HSTECH!$F$13))</f>
        <v/>
      </c>
    </row>
    <row r="119">
      <c r="B119" s="62" t="inlineStr">
        <is>
          <t>HSTECH</t>
        </is>
      </c>
      <c r="C119" s="6">
        <f>IF(HSTECH!$C$14="","",HSTECH!$C$14)</f>
        <v/>
      </c>
      <c r="D119" s="6">
        <f>IF($C119="","",HSTECH!$D$14)</f>
        <v/>
      </c>
      <c r="E119" s="6">
        <f>IF($C119="","",HSTECH!$E$14)</f>
        <v/>
      </c>
      <c r="F119" s="63">
        <f>IF($C119="","",SUMPRODUCT(('Dvd Calendar'!$E$1193:$AR$1193&gt;=DATE(YEAR_Y-5,1,1))*('Dvd Calendar'!$E$1193:$AR$1193&lt;=DATE(YEAR_Y-5,12,31))*'Dvd Calendar'!$E$1196:$AR$1196*(('Dvd Calendar'!$E$1198:$AR$1198=TYPE1)*(TYPE1&lt;&gt;"")+('Dvd Calendar'!$E$1198:$AR$1198=TYPE2)*(TYPE2&lt;&gt;"")+('Dvd Calendar'!$E$1198:$AR$1198=TYPE3)*(TYPE3&lt;&gt;"")+('Dvd Calendar'!$E$1198:$AR$1198=TYPE4)*(TYPE4&lt;&gt;"")+('Dvd Calendar'!$E$1198:$AR$1198=SPECIAL_LBL)*(INC_SPECIALS="Y"))))</f>
        <v/>
      </c>
      <c r="G119" s="64">
        <f>IF($C119="","",SUMPRODUCT(('Dvd Calendar'!$E$1193:$AR$1193&gt;=DATE(YEAR_Y-4,1,1))*('Dvd Calendar'!$E$1193:$AR$1193&lt;=DATE(YEAR_Y-4,12,31))*'Dvd Calendar'!$E$1196:$AR$1196*(('Dvd Calendar'!$E$1198:$AR$1198=TYPE1)*(TYPE1&lt;&gt;"")+('Dvd Calendar'!$E$1198:$AR$1198=TYPE2)*(TYPE2&lt;&gt;"")+('Dvd Calendar'!$E$1198:$AR$1198=TYPE3)*(TYPE3&lt;&gt;"")+('Dvd Calendar'!$E$1198:$AR$1198=TYPE4)*(TYPE4&lt;&gt;"")+('Dvd Calendar'!$E$1198:$AR$1198=SPECIAL_LBL)*(INC_SPECIALS="Y"))))</f>
        <v/>
      </c>
      <c r="H119" s="64">
        <f>IF($C119="","",SUMPRODUCT(('Dvd Calendar'!$E$1193:$AR$1193&gt;=DATE(YEAR_Y-3,1,1))*('Dvd Calendar'!$E$1193:$AR$1193&lt;=DATE(YEAR_Y-3,12,31))*'Dvd Calendar'!$E$1196:$AR$1196*(('Dvd Calendar'!$E$1198:$AR$1198=TYPE1)*(TYPE1&lt;&gt;"")+('Dvd Calendar'!$E$1198:$AR$1198=TYPE2)*(TYPE2&lt;&gt;"")+('Dvd Calendar'!$E$1198:$AR$1198=TYPE3)*(TYPE3&lt;&gt;"")+('Dvd Calendar'!$E$1198:$AR$1198=TYPE4)*(TYPE4&lt;&gt;"")+('Dvd Calendar'!$E$1198:$AR$1198=SPECIAL_LBL)*(INC_SPECIALS="Y"))))</f>
        <v/>
      </c>
      <c r="I119" s="64">
        <f>IF($C119="","",SUMPRODUCT(('Dvd Calendar'!$E$1193:$AR$1193&gt;=DATE(YEAR_Y-2,1,1))*('Dvd Calendar'!$E$1193:$AR$1193&lt;=DATE(YEAR_Y-2,12,31))*'Dvd Calendar'!$E$1196:$AR$1196*(('Dvd Calendar'!$E$1198:$AR$1198=TYPE1)*(TYPE1&lt;&gt;"")+('Dvd Calendar'!$E$1198:$AR$1198=TYPE2)*(TYPE2&lt;&gt;"")+('Dvd Calendar'!$E$1198:$AR$1198=TYPE3)*(TYPE3&lt;&gt;"")+('Dvd Calendar'!$E$1198:$AR$1198=TYPE4)*(TYPE4&lt;&gt;"")+('Dvd Calendar'!$E$1198:$AR$1198=SPECIAL_LBL)*(INC_SPECIALS="Y"))))</f>
        <v/>
      </c>
      <c r="J119" s="64">
        <f>IF($C119="","",SUMPRODUCT(('Dvd Calendar'!$E$1193:$AR$1193&gt;=DATE(YEAR_Y-1,1,1))*('Dvd Calendar'!$E$1193:$AR$1193&lt;=DATE(YEAR_Y-1,12,31))*'Dvd Calendar'!$E$1196:$AR$1196*(('Dvd Calendar'!$E$1198:$AR$1198=TYPE1)*(TYPE1&lt;&gt;"")+('Dvd Calendar'!$E$1198:$AR$1198=TYPE2)*(TYPE2&lt;&gt;"")+('Dvd Calendar'!$E$1198:$AR$1198=TYPE3)*(TYPE3&lt;&gt;"")+('Dvd Calendar'!$E$1198:$AR$1198=TYPE4)*(TYPE4&lt;&gt;"")+('Dvd Calendar'!$E$1198:$AR$1198=SPECIAL_LBL)*(INC_SPECIALS="Y"))))</f>
        <v/>
      </c>
      <c r="K119" s="65">
        <f>IF($C119="","",HSTECH!$J$14)</f>
        <v/>
      </c>
      <c r="L119" s="65">
        <f>IF($C119="","",HSTECH!$K$14)</f>
        <v/>
      </c>
      <c r="M119" s="41">
        <f>IF($C119="","",AVERAGE(F119:J119))</f>
        <v/>
      </c>
      <c r="N119" s="66">
        <f>IF($C119="","",IF(PULL_FUND="N","",IFERROR(BDP($C119,EPS_FIELD,YR_OVERRIDE,TEXT(YEAR_Y-5,"0")),"")))</f>
        <v/>
      </c>
      <c r="O119" s="67">
        <f>IF($C119="","",IF(PULL_FUND="N","",IFERROR(BDP($C119,EPS_FIELD,YR_OVERRIDE,TEXT(YEAR_Y-4,"0")),"")))</f>
        <v/>
      </c>
      <c r="P119" s="67">
        <f>IF($C119="","",IF(PULL_FUND="N","",IFERROR(BDP($C119,EPS_FIELD,YR_OVERRIDE,TEXT(YEAR_Y-3,"0")),"")))</f>
        <v/>
      </c>
      <c r="Q119" s="67">
        <f>IF($C119="","",IF(PULL_FUND="N","",IFERROR(BDP($C119,EPS_FIELD,YR_OVERRIDE,TEXT(YEAR_Y-2,"0")),"")))</f>
        <v/>
      </c>
      <c r="R119" s="67">
        <f>IF($C119="","",IF(PULL_FUND="N","",IFERROR(BDP($C119,EPS_FIELD,YR_OVERRIDE,TEXT(YEAR_Y-1,"0")),"")))</f>
        <v/>
      </c>
      <c r="S119" s="68">
        <f>IF($C119="","",IF(PULL_FUND="N","",IFERROR(BDP($C119,PAYOUT_FIELD,YR_OVERRIDE,TEXT(YEAR_Y-5,"0"))/100,"")))</f>
        <v/>
      </c>
      <c r="T119" s="68">
        <f>IF($C119="","",IF(PULL_FUND="N","",IFERROR(BDP($C119,PAYOUT_FIELD,YR_OVERRIDE,TEXT(YEAR_Y-4,"0"))/100,"")))</f>
        <v/>
      </c>
      <c r="U119" s="68">
        <f>IF($C119="","",IF(PULL_FUND="N","",IFERROR(BDP($C119,PAYOUT_FIELD,YR_OVERRIDE,TEXT(YEAR_Y-3,"0"))/100,"")))</f>
        <v/>
      </c>
      <c r="V119" s="68">
        <f>IF($C119="","",IF(PULL_FUND="N","",IFERROR(BDP($C119,PAYOUT_FIELD,YR_OVERRIDE,TEXT(YEAR_Y-2,"0"))/100,"")))</f>
        <v/>
      </c>
      <c r="W119" s="68">
        <f>IF($C119="","",IF(PULL_FUND="N","",IFERROR(BDP($C119,PAYOUT_FIELD,YR_OVERRIDE,TEXT(YEAR_Y-1,"0"))/100,"")))</f>
        <v/>
      </c>
      <c r="X119" s="69">
        <f>IF($C119="","",IFERROR(AVERAGE(S119:W119),""))</f>
        <v/>
      </c>
      <c r="Y119" s="66">
        <f>IF($C119="","",IF(PULL_FUND="N","",IFERROR(BDP($C119,BESTEPS_FIELD,FWD_OVERRIDE,TEXT(MOD(YEAR_Y,100),"00")&amp;"Y"),"")))</f>
        <v/>
      </c>
      <c r="Z119" s="70">
        <f>IF($C119="","",IF(PULL_FUND="N","",IFERROR(BDP($C119,BESTDPS_FIELD,FWD_OVERRIDE,TEXT(MOD(YEAR_Y,100),"00")&amp;"Y"),"")))</f>
        <v/>
      </c>
      <c r="AA119" s="71">
        <f>IF($C119="","",IF(ISNUMBER($Y119)*ISNUMBER($Z119)*($Y119&lt;&gt;0)=0,"",$Z119/$Y119))</f>
        <v/>
      </c>
      <c r="AB119" s="41">
        <f>IF($C119="","",HSTECH!$J$14+HSTECH!$L$14)</f>
        <v/>
      </c>
      <c r="AC119" s="72">
        <f>IF($C119="","",IF(PULL_FUND="N","",IF(COUNTIFS('Fund History'!$G$654:$G$658,"&gt;="&amp;DATE(YEAR_Y-4,1,1),'Fund History'!$G$654:$G$658,"&lt;="&amp;DATE(YEAR_Y-4,12,31))=0,"",SUMIFS('Fund History'!$H$654:$H$658,'Fund History'!$G$654:$G$658,"&gt;="&amp;DATE(YEAR_Y-4,1,1),'Fund History'!$G$654:$G$658,"&lt;="&amp;DATE(YEAR_Y-4,12,31))/100)))</f>
        <v/>
      </c>
      <c r="AD119" s="73">
        <f>IF($C119="","",IF(PULL_FUND="N","",IF(COUNTIFS('Fund History'!$G$654:$G$658,"&gt;="&amp;DATE(YEAR_Y-3,1,1),'Fund History'!$G$654:$G$658,"&lt;="&amp;DATE(YEAR_Y-3,12,31))=0,"",SUMIFS('Fund History'!$H$654:$H$658,'Fund History'!$G$654:$G$658,"&gt;="&amp;DATE(YEAR_Y-3,1,1),'Fund History'!$G$654:$G$658,"&lt;="&amp;DATE(YEAR_Y-3,12,31))/100)))</f>
        <v/>
      </c>
      <c r="AE119" s="73">
        <f>IF($C119="","",IF(PULL_FUND="N","",IF(COUNTIFS('Fund History'!$G$654:$G$658,"&gt;="&amp;DATE(YEAR_Y-2,1,1),'Fund History'!$G$654:$G$658,"&lt;="&amp;DATE(YEAR_Y-2,12,31))=0,"",SUMIFS('Fund History'!$H$654:$H$658,'Fund History'!$G$654:$G$658,"&gt;="&amp;DATE(YEAR_Y-2,1,1),'Fund History'!$G$654:$G$658,"&lt;="&amp;DATE(YEAR_Y-2,12,31))/100)))</f>
        <v/>
      </c>
      <c r="AF119" s="73">
        <f>IF($C119="","",IF(PULL_FUND="N","",IF(COUNTIFS('Fund History'!$G$654:$G$658,"&gt;="&amp;DATE(YEAR_Y-1,1,1),'Fund History'!$G$654:$G$658,"&lt;="&amp;DATE(YEAR_Y-1,12,31))=0,"",SUMIFS('Fund History'!$H$654:$H$658,'Fund History'!$G$654:$G$658,"&gt;="&amp;DATE(YEAR_Y-1,1,1),'Fund History'!$G$654:$G$658,"&lt;="&amp;DATE(YEAR_Y-1,12,31))/100)))</f>
        <v/>
      </c>
      <c r="AG119" s="74">
        <f>IF($C119="","",IF(N($AF119)+N(HSTECH!$I$14)=0,"",N($AF119)+N(HSTECH!$I$14)/100))</f>
        <v/>
      </c>
      <c r="AH119" s="66">
        <f>IF($C119="","",IF(PULL_FUND="N","",IF(COUNTIFS('Fund History'!$D$654:$D$658,"&gt;="&amp;DATE(YEAR_Y-2,1,1),'Fund History'!$D$654:$D$658,"&lt;="&amp;DATE(YEAR_Y-2,12,31))=0,"",SUMIFS('Fund History'!$E$654:$E$658,'Fund History'!$D$654:$D$658,"&gt;="&amp;DATE(YEAR_Y-2,1,1),'Fund History'!$D$654:$D$658,"&lt;="&amp;DATE(YEAR_Y-2,12,31)))))</f>
        <v/>
      </c>
      <c r="AI119" s="67">
        <f>IF($C119="","",IF(PULL_FUND="N","",IF(COUNTIFS('Fund History'!$D$654:$D$658,"&gt;="&amp;DATE(YEAR_Y-1,1,1),'Fund History'!$D$654:$D$658,"&lt;="&amp;DATE(YEAR_Y-1,12,31))=0,"",SUMIFS('Fund History'!$E$654:$E$658,'Fund History'!$D$654:$D$658,"&gt;="&amp;DATE(YEAR_Y-1,1,1),'Fund History'!$D$654:$D$658,"&lt;="&amp;DATE(YEAR_Y-1,12,31)))))</f>
        <v/>
      </c>
      <c r="AJ119" s="67">
        <f>IF($C119="","",IF(PULL_FUND="N","",IFERROR(BDP($C119,NDEBITDA_FIELD),"")))</f>
        <v/>
      </c>
      <c r="AK119" s="75">
        <f>IF($C119="","",IF(PULL_FUND="N","",IFERROR(BDP($C119,EBINT_FIELD),"")))</f>
        <v/>
      </c>
      <c r="AL119" s="73">
        <f>IF($C119="","",IF(PULL_FUND="N","",IFERROR(BDP($C119,FCF_FIELD)/100,"")))</f>
        <v/>
      </c>
      <c r="AM119" s="76">
        <f>IF($C119="","",IF(ISNUMBER(HSTECH!$I$14),HSTECH!$I$14/100,""))</f>
        <v/>
      </c>
      <c r="AN119" s="47">
        <f>IF($C119="","",IF(N($AM119)=0,"",IFERROR($AL119/$AM119,"")))</f>
        <v/>
      </c>
      <c r="AO119" s="33">
        <f>IF($C119="","",IF(ISNUMBER($S119)*ISNUMBER($W119)=0,"",IF($W119&gt;$S119+0.05,"rising",IF($W119&lt;$S119-0.05,"falling","stable"))))</f>
        <v/>
      </c>
      <c r="AP119" s="77">
        <f>IF($C119="","",TRIM(IF(ISNUMBER($X119)*(N($X119)&gt;$D$4)&gt;0,"payout high  ","")&amp;IF(ISNUMBER($AN119)*(N($AN119)&lt;$F$4)&gt;0,"FCF below dvd  ","")&amp;IF(ISNUMBER($AJ119)*(N($AJ119)&gt;$H$4)&gt;0,"leverage high","")))</f>
        <v/>
      </c>
      <c r="AQ119" s="78">
        <f>IF($C119="","",IF(HSTECH!$F$14="HKD","",HSTECH!$F$14))</f>
        <v/>
      </c>
    </row>
    <row r="120">
      <c r="B120" s="62" t="inlineStr">
        <is>
          <t>HSTECH</t>
        </is>
      </c>
      <c r="C120" s="6">
        <f>IF(HSTECH!$C$15="","",HSTECH!$C$15)</f>
        <v/>
      </c>
      <c r="D120" s="6">
        <f>IF($C120="","",HSTECH!$D$15)</f>
        <v/>
      </c>
      <c r="E120" s="6">
        <f>IF($C120="","",HSTECH!$E$15)</f>
        <v/>
      </c>
      <c r="F120" s="63">
        <f>IF($C120="","",SUMPRODUCT(('Dvd Calendar'!$E$1204:$AR$1204&gt;=DATE(YEAR_Y-5,1,1))*('Dvd Calendar'!$E$1204:$AR$1204&lt;=DATE(YEAR_Y-5,12,31))*'Dvd Calendar'!$E$1207:$AR$1207*(('Dvd Calendar'!$E$1209:$AR$1209=TYPE1)*(TYPE1&lt;&gt;"")+('Dvd Calendar'!$E$1209:$AR$1209=TYPE2)*(TYPE2&lt;&gt;"")+('Dvd Calendar'!$E$1209:$AR$1209=TYPE3)*(TYPE3&lt;&gt;"")+('Dvd Calendar'!$E$1209:$AR$1209=TYPE4)*(TYPE4&lt;&gt;"")+('Dvd Calendar'!$E$1209:$AR$1209=SPECIAL_LBL)*(INC_SPECIALS="Y"))))</f>
        <v/>
      </c>
      <c r="G120" s="64">
        <f>IF($C120="","",SUMPRODUCT(('Dvd Calendar'!$E$1204:$AR$1204&gt;=DATE(YEAR_Y-4,1,1))*('Dvd Calendar'!$E$1204:$AR$1204&lt;=DATE(YEAR_Y-4,12,31))*'Dvd Calendar'!$E$1207:$AR$1207*(('Dvd Calendar'!$E$1209:$AR$1209=TYPE1)*(TYPE1&lt;&gt;"")+('Dvd Calendar'!$E$1209:$AR$1209=TYPE2)*(TYPE2&lt;&gt;"")+('Dvd Calendar'!$E$1209:$AR$1209=TYPE3)*(TYPE3&lt;&gt;"")+('Dvd Calendar'!$E$1209:$AR$1209=TYPE4)*(TYPE4&lt;&gt;"")+('Dvd Calendar'!$E$1209:$AR$1209=SPECIAL_LBL)*(INC_SPECIALS="Y"))))</f>
        <v/>
      </c>
      <c r="H120" s="64">
        <f>IF($C120="","",SUMPRODUCT(('Dvd Calendar'!$E$1204:$AR$1204&gt;=DATE(YEAR_Y-3,1,1))*('Dvd Calendar'!$E$1204:$AR$1204&lt;=DATE(YEAR_Y-3,12,31))*'Dvd Calendar'!$E$1207:$AR$1207*(('Dvd Calendar'!$E$1209:$AR$1209=TYPE1)*(TYPE1&lt;&gt;"")+('Dvd Calendar'!$E$1209:$AR$1209=TYPE2)*(TYPE2&lt;&gt;"")+('Dvd Calendar'!$E$1209:$AR$1209=TYPE3)*(TYPE3&lt;&gt;"")+('Dvd Calendar'!$E$1209:$AR$1209=TYPE4)*(TYPE4&lt;&gt;"")+('Dvd Calendar'!$E$1209:$AR$1209=SPECIAL_LBL)*(INC_SPECIALS="Y"))))</f>
        <v/>
      </c>
      <c r="I120" s="64">
        <f>IF($C120="","",SUMPRODUCT(('Dvd Calendar'!$E$1204:$AR$1204&gt;=DATE(YEAR_Y-2,1,1))*('Dvd Calendar'!$E$1204:$AR$1204&lt;=DATE(YEAR_Y-2,12,31))*'Dvd Calendar'!$E$1207:$AR$1207*(('Dvd Calendar'!$E$1209:$AR$1209=TYPE1)*(TYPE1&lt;&gt;"")+('Dvd Calendar'!$E$1209:$AR$1209=TYPE2)*(TYPE2&lt;&gt;"")+('Dvd Calendar'!$E$1209:$AR$1209=TYPE3)*(TYPE3&lt;&gt;"")+('Dvd Calendar'!$E$1209:$AR$1209=TYPE4)*(TYPE4&lt;&gt;"")+('Dvd Calendar'!$E$1209:$AR$1209=SPECIAL_LBL)*(INC_SPECIALS="Y"))))</f>
        <v/>
      </c>
      <c r="J120" s="64">
        <f>IF($C120="","",SUMPRODUCT(('Dvd Calendar'!$E$1204:$AR$1204&gt;=DATE(YEAR_Y-1,1,1))*('Dvd Calendar'!$E$1204:$AR$1204&lt;=DATE(YEAR_Y-1,12,31))*'Dvd Calendar'!$E$1207:$AR$1207*(('Dvd Calendar'!$E$1209:$AR$1209=TYPE1)*(TYPE1&lt;&gt;"")+('Dvd Calendar'!$E$1209:$AR$1209=TYPE2)*(TYPE2&lt;&gt;"")+('Dvd Calendar'!$E$1209:$AR$1209=TYPE3)*(TYPE3&lt;&gt;"")+('Dvd Calendar'!$E$1209:$AR$1209=TYPE4)*(TYPE4&lt;&gt;"")+('Dvd Calendar'!$E$1209:$AR$1209=SPECIAL_LBL)*(INC_SPECIALS="Y"))))</f>
        <v/>
      </c>
      <c r="K120" s="65">
        <f>IF($C120="","",HSTECH!$J$15)</f>
        <v/>
      </c>
      <c r="L120" s="65">
        <f>IF($C120="","",HSTECH!$K$15)</f>
        <v/>
      </c>
      <c r="M120" s="41">
        <f>IF($C120="","",AVERAGE(F120:J120))</f>
        <v/>
      </c>
      <c r="N120" s="66">
        <f>IF($C120="","",IF(PULL_FUND="N","",IFERROR(BDP($C120,EPS_FIELD,YR_OVERRIDE,TEXT(YEAR_Y-5,"0")),"")))</f>
        <v/>
      </c>
      <c r="O120" s="67">
        <f>IF($C120="","",IF(PULL_FUND="N","",IFERROR(BDP($C120,EPS_FIELD,YR_OVERRIDE,TEXT(YEAR_Y-4,"0")),"")))</f>
        <v/>
      </c>
      <c r="P120" s="67">
        <f>IF($C120="","",IF(PULL_FUND="N","",IFERROR(BDP($C120,EPS_FIELD,YR_OVERRIDE,TEXT(YEAR_Y-3,"0")),"")))</f>
        <v/>
      </c>
      <c r="Q120" s="67">
        <f>IF($C120="","",IF(PULL_FUND="N","",IFERROR(BDP($C120,EPS_FIELD,YR_OVERRIDE,TEXT(YEAR_Y-2,"0")),"")))</f>
        <v/>
      </c>
      <c r="R120" s="67">
        <f>IF($C120="","",IF(PULL_FUND="N","",IFERROR(BDP($C120,EPS_FIELD,YR_OVERRIDE,TEXT(YEAR_Y-1,"0")),"")))</f>
        <v/>
      </c>
      <c r="S120" s="68">
        <f>IF($C120="","",IF(PULL_FUND="N","",IFERROR(BDP($C120,PAYOUT_FIELD,YR_OVERRIDE,TEXT(YEAR_Y-5,"0"))/100,"")))</f>
        <v/>
      </c>
      <c r="T120" s="68">
        <f>IF($C120="","",IF(PULL_FUND="N","",IFERROR(BDP($C120,PAYOUT_FIELD,YR_OVERRIDE,TEXT(YEAR_Y-4,"0"))/100,"")))</f>
        <v/>
      </c>
      <c r="U120" s="68">
        <f>IF($C120="","",IF(PULL_FUND="N","",IFERROR(BDP($C120,PAYOUT_FIELD,YR_OVERRIDE,TEXT(YEAR_Y-3,"0"))/100,"")))</f>
        <v/>
      </c>
      <c r="V120" s="68">
        <f>IF($C120="","",IF(PULL_FUND="N","",IFERROR(BDP($C120,PAYOUT_FIELD,YR_OVERRIDE,TEXT(YEAR_Y-2,"0"))/100,"")))</f>
        <v/>
      </c>
      <c r="W120" s="68">
        <f>IF($C120="","",IF(PULL_FUND="N","",IFERROR(BDP($C120,PAYOUT_FIELD,YR_OVERRIDE,TEXT(YEAR_Y-1,"0"))/100,"")))</f>
        <v/>
      </c>
      <c r="X120" s="69">
        <f>IF($C120="","",IFERROR(AVERAGE(S120:W120),""))</f>
        <v/>
      </c>
      <c r="Y120" s="66">
        <f>IF($C120="","",IF(PULL_FUND="N","",IFERROR(BDP($C120,BESTEPS_FIELD,FWD_OVERRIDE,TEXT(MOD(YEAR_Y,100),"00")&amp;"Y"),"")))</f>
        <v/>
      </c>
      <c r="Z120" s="70">
        <f>IF($C120="","",IF(PULL_FUND="N","",IFERROR(BDP($C120,BESTDPS_FIELD,FWD_OVERRIDE,TEXT(MOD(YEAR_Y,100),"00")&amp;"Y"),"")))</f>
        <v/>
      </c>
      <c r="AA120" s="71">
        <f>IF($C120="","",IF(ISNUMBER($Y120)*ISNUMBER($Z120)*($Y120&lt;&gt;0)=0,"",$Z120/$Y120))</f>
        <v/>
      </c>
      <c r="AB120" s="41">
        <f>IF($C120="","",HSTECH!$J$15+HSTECH!$L$15)</f>
        <v/>
      </c>
      <c r="AC120" s="72">
        <f>IF($C120="","",IF(PULL_FUND="N","",IF(COUNTIFS('Fund History'!$G$660:$G$664,"&gt;="&amp;DATE(YEAR_Y-4,1,1),'Fund History'!$G$660:$G$664,"&lt;="&amp;DATE(YEAR_Y-4,12,31))=0,"",SUMIFS('Fund History'!$H$660:$H$664,'Fund History'!$G$660:$G$664,"&gt;="&amp;DATE(YEAR_Y-4,1,1),'Fund History'!$G$660:$G$664,"&lt;="&amp;DATE(YEAR_Y-4,12,31))/100)))</f>
        <v/>
      </c>
      <c r="AD120" s="73">
        <f>IF($C120="","",IF(PULL_FUND="N","",IF(COUNTIFS('Fund History'!$G$660:$G$664,"&gt;="&amp;DATE(YEAR_Y-3,1,1),'Fund History'!$G$660:$G$664,"&lt;="&amp;DATE(YEAR_Y-3,12,31))=0,"",SUMIFS('Fund History'!$H$660:$H$664,'Fund History'!$G$660:$G$664,"&gt;="&amp;DATE(YEAR_Y-3,1,1),'Fund History'!$G$660:$G$664,"&lt;="&amp;DATE(YEAR_Y-3,12,31))/100)))</f>
        <v/>
      </c>
      <c r="AE120" s="73">
        <f>IF($C120="","",IF(PULL_FUND="N","",IF(COUNTIFS('Fund History'!$G$660:$G$664,"&gt;="&amp;DATE(YEAR_Y-2,1,1),'Fund History'!$G$660:$G$664,"&lt;="&amp;DATE(YEAR_Y-2,12,31))=0,"",SUMIFS('Fund History'!$H$660:$H$664,'Fund History'!$G$660:$G$664,"&gt;="&amp;DATE(YEAR_Y-2,1,1),'Fund History'!$G$660:$G$664,"&lt;="&amp;DATE(YEAR_Y-2,12,31))/100)))</f>
        <v/>
      </c>
      <c r="AF120" s="73">
        <f>IF($C120="","",IF(PULL_FUND="N","",IF(COUNTIFS('Fund History'!$G$660:$G$664,"&gt;="&amp;DATE(YEAR_Y-1,1,1),'Fund History'!$G$660:$G$664,"&lt;="&amp;DATE(YEAR_Y-1,12,31))=0,"",SUMIFS('Fund History'!$H$660:$H$664,'Fund History'!$G$660:$G$664,"&gt;="&amp;DATE(YEAR_Y-1,1,1),'Fund History'!$G$660:$G$664,"&lt;="&amp;DATE(YEAR_Y-1,12,31))/100)))</f>
        <v/>
      </c>
      <c r="AG120" s="74">
        <f>IF($C120="","",IF(N($AF120)+N(HSTECH!$I$15)=0,"",N($AF120)+N(HSTECH!$I$15)/100))</f>
        <v/>
      </c>
      <c r="AH120" s="66">
        <f>IF($C120="","",IF(PULL_FUND="N","",IF(COUNTIFS('Fund History'!$D$660:$D$664,"&gt;="&amp;DATE(YEAR_Y-2,1,1),'Fund History'!$D$660:$D$664,"&lt;="&amp;DATE(YEAR_Y-2,12,31))=0,"",SUMIFS('Fund History'!$E$660:$E$664,'Fund History'!$D$660:$D$664,"&gt;="&amp;DATE(YEAR_Y-2,1,1),'Fund History'!$D$660:$D$664,"&lt;="&amp;DATE(YEAR_Y-2,12,31)))))</f>
        <v/>
      </c>
      <c r="AI120" s="67">
        <f>IF($C120="","",IF(PULL_FUND="N","",IF(COUNTIFS('Fund History'!$D$660:$D$664,"&gt;="&amp;DATE(YEAR_Y-1,1,1),'Fund History'!$D$660:$D$664,"&lt;="&amp;DATE(YEAR_Y-1,12,31))=0,"",SUMIFS('Fund History'!$E$660:$E$664,'Fund History'!$D$660:$D$664,"&gt;="&amp;DATE(YEAR_Y-1,1,1),'Fund History'!$D$660:$D$664,"&lt;="&amp;DATE(YEAR_Y-1,12,31)))))</f>
        <v/>
      </c>
      <c r="AJ120" s="67">
        <f>IF($C120="","",IF(PULL_FUND="N","",IFERROR(BDP($C120,NDEBITDA_FIELD),"")))</f>
        <v/>
      </c>
      <c r="AK120" s="75">
        <f>IF($C120="","",IF(PULL_FUND="N","",IFERROR(BDP($C120,EBINT_FIELD),"")))</f>
        <v/>
      </c>
      <c r="AL120" s="73">
        <f>IF($C120="","",IF(PULL_FUND="N","",IFERROR(BDP($C120,FCF_FIELD)/100,"")))</f>
        <v/>
      </c>
      <c r="AM120" s="76">
        <f>IF($C120="","",IF(ISNUMBER(HSTECH!$I$15),HSTECH!$I$15/100,""))</f>
        <v/>
      </c>
      <c r="AN120" s="47">
        <f>IF($C120="","",IF(N($AM120)=0,"",IFERROR($AL120/$AM120,"")))</f>
        <v/>
      </c>
      <c r="AO120" s="33">
        <f>IF($C120="","",IF(ISNUMBER($S120)*ISNUMBER($W120)=0,"",IF($W120&gt;$S120+0.05,"rising",IF($W120&lt;$S120-0.05,"falling","stable"))))</f>
        <v/>
      </c>
      <c r="AP120" s="77">
        <f>IF($C120="","",TRIM(IF(ISNUMBER($X120)*(N($X120)&gt;$D$4)&gt;0,"payout high  ","")&amp;IF(ISNUMBER($AN120)*(N($AN120)&lt;$F$4)&gt;0,"FCF below dvd  ","")&amp;IF(ISNUMBER($AJ120)*(N($AJ120)&gt;$H$4)&gt;0,"leverage high","")))</f>
        <v/>
      </c>
      <c r="AQ120" s="78">
        <f>IF($C120="","",IF(HSTECH!$F$15="HKD","",HSTECH!$F$15))</f>
        <v/>
      </c>
    </row>
    <row r="121">
      <c r="B121" s="62" t="inlineStr">
        <is>
          <t>HSTECH</t>
        </is>
      </c>
      <c r="C121" s="6">
        <f>IF(HSTECH!$C$16="","",HSTECH!$C$16)</f>
        <v/>
      </c>
      <c r="D121" s="6">
        <f>IF($C121="","",HSTECH!$D$16)</f>
        <v/>
      </c>
      <c r="E121" s="6">
        <f>IF($C121="","",HSTECH!$E$16)</f>
        <v/>
      </c>
      <c r="F121" s="63">
        <f>IF($C121="","",SUMPRODUCT(('Dvd Calendar'!$E$1215:$AR$1215&gt;=DATE(YEAR_Y-5,1,1))*('Dvd Calendar'!$E$1215:$AR$1215&lt;=DATE(YEAR_Y-5,12,31))*'Dvd Calendar'!$E$1218:$AR$1218*(('Dvd Calendar'!$E$1220:$AR$1220=TYPE1)*(TYPE1&lt;&gt;"")+('Dvd Calendar'!$E$1220:$AR$1220=TYPE2)*(TYPE2&lt;&gt;"")+('Dvd Calendar'!$E$1220:$AR$1220=TYPE3)*(TYPE3&lt;&gt;"")+('Dvd Calendar'!$E$1220:$AR$1220=TYPE4)*(TYPE4&lt;&gt;"")+('Dvd Calendar'!$E$1220:$AR$1220=SPECIAL_LBL)*(INC_SPECIALS="Y"))))</f>
        <v/>
      </c>
      <c r="G121" s="64">
        <f>IF($C121="","",SUMPRODUCT(('Dvd Calendar'!$E$1215:$AR$1215&gt;=DATE(YEAR_Y-4,1,1))*('Dvd Calendar'!$E$1215:$AR$1215&lt;=DATE(YEAR_Y-4,12,31))*'Dvd Calendar'!$E$1218:$AR$1218*(('Dvd Calendar'!$E$1220:$AR$1220=TYPE1)*(TYPE1&lt;&gt;"")+('Dvd Calendar'!$E$1220:$AR$1220=TYPE2)*(TYPE2&lt;&gt;"")+('Dvd Calendar'!$E$1220:$AR$1220=TYPE3)*(TYPE3&lt;&gt;"")+('Dvd Calendar'!$E$1220:$AR$1220=TYPE4)*(TYPE4&lt;&gt;"")+('Dvd Calendar'!$E$1220:$AR$1220=SPECIAL_LBL)*(INC_SPECIALS="Y"))))</f>
        <v/>
      </c>
      <c r="H121" s="64">
        <f>IF($C121="","",SUMPRODUCT(('Dvd Calendar'!$E$1215:$AR$1215&gt;=DATE(YEAR_Y-3,1,1))*('Dvd Calendar'!$E$1215:$AR$1215&lt;=DATE(YEAR_Y-3,12,31))*'Dvd Calendar'!$E$1218:$AR$1218*(('Dvd Calendar'!$E$1220:$AR$1220=TYPE1)*(TYPE1&lt;&gt;"")+('Dvd Calendar'!$E$1220:$AR$1220=TYPE2)*(TYPE2&lt;&gt;"")+('Dvd Calendar'!$E$1220:$AR$1220=TYPE3)*(TYPE3&lt;&gt;"")+('Dvd Calendar'!$E$1220:$AR$1220=TYPE4)*(TYPE4&lt;&gt;"")+('Dvd Calendar'!$E$1220:$AR$1220=SPECIAL_LBL)*(INC_SPECIALS="Y"))))</f>
        <v/>
      </c>
      <c r="I121" s="64">
        <f>IF($C121="","",SUMPRODUCT(('Dvd Calendar'!$E$1215:$AR$1215&gt;=DATE(YEAR_Y-2,1,1))*('Dvd Calendar'!$E$1215:$AR$1215&lt;=DATE(YEAR_Y-2,12,31))*'Dvd Calendar'!$E$1218:$AR$1218*(('Dvd Calendar'!$E$1220:$AR$1220=TYPE1)*(TYPE1&lt;&gt;"")+('Dvd Calendar'!$E$1220:$AR$1220=TYPE2)*(TYPE2&lt;&gt;"")+('Dvd Calendar'!$E$1220:$AR$1220=TYPE3)*(TYPE3&lt;&gt;"")+('Dvd Calendar'!$E$1220:$AR$1220=TYPE4)*(TYPE4&lt;&gt;"")+('Dvd Calendar'!$E$1220:$AR$1220=SPECIAL_LBL)*(INC_SPECIALS="Y"))))</f>
        <v/>
      </c>
      <c r="J121" s="64">
        <f>IF($C121="","",SUMPRODUCT(('Dvd Calendar'!$E$1215:$AR$1215&gt;=DATE(YEAR_Y-1,1,1))*('Dvd Calendar'!$E$1215:$AR$1215&lt;=DATE(YEAR_Y-1,12,31))*'Dvd Calendar'!$E$1218:$AR$1218*(('Dvd Calendar'!$E$1220:$AR$1220=TYPE1)*(TYPE1&lt;&gt;"")+('Dvd Calendar'!$E$1220:$AR$1220=TYPE2)*(TYPE2&lt;&gt;"")+('Dvd Calendar'!$E$1220:$AR$1220=TYPE3)*(TYPE3&lt;&gt;"")+('Dvd Calendar'!$E$1220:$AR$1220=TYPE4)*(TYPE4&lt;&gt;"")+('Dvd Calendar'!$E$1220:$AR$1220=SPECIAL_LBL)*(INC_SPECIALS="Y"))))</f>
        <v/>
      </c>
      <c r="K121" s="65">
        <f>IF($C121="","",HSTECH!$J$16)</f>
        <v/>
      </c>
      <c r="L121" s="65">
        <f>IF($C121="","",HSTECH!$K$16)</f>
        <v/>
      </c>
      <c r="M121" s="41">
        <f>IF($C121="","",AVERAGE(F121:J121))</f>
        <v/>
      </c>
      <c r="N121" s="66">
        <f>IF($C121="","",IF(PULL_FUND="N","",IFERROR(BDP($C121,EPS_FIELD,YR_OVERRIDE,TEXT(YEAR_Y-5,"0")),"")))</f>
        <v/>
      </c>
      <c r="O121" s="67">
        <f>IF($C121="","",IF(PULL_FUND="N","",IFERROR(BDP($C121,EPS_FIELD,YR_OVERRIDE,TEXT(YEAR_Y-4,"0")),"")))</f>
        <v/>
      </c>
      <c r="P121" s="67">
        <f>IF($C121="","",IF(PULL_FUND="N","",IFERROR(BDP($C121,EPS_FIELD,YR_OVERRIDE,TEXT(YEAR_Y-3,"0")),"")))</f>
        <v/>
      </c>
      <c r="Q121" s="67">
        <f>IF($C121="","",IF(PULL_FUND="N","",IFERROR(BDP($C121,EPS_FIELD,YR_OVERRIDE,TEXT(YEAR_Y-2,"0")),"")))</f>
        <v/>
      </c>
      <c r="R121" s="67">
        <f>IF($C121="","",IF(PULL_FUND="N","",IFERROR(BDP($C121,EPS_FIELD,YR_OVERRIDE,TEXT(YEAR_Y-1,"0")),"")))</f>
        <v/>
      </c>
      <c r="S121" s="68">
        <f>IF($C121="","",IF(PULL_FUND="N","",IFERROR(BDP($C121,PAYOUT_FIELD,YR_OVERRIDE,TEXT(YEAR_Y-5,"0"))/100,"")))</f>
        <v/>
      </c>
      <c r="T121" s="68">
        <f>IF($C121="","",IF(PULL_FUND="N","",IFERROR(BDP($C121,PAYOUT_FIELD,YR_OVERRIDE,TEXT(YEAR_Y-4,"0"))/100,"")))</f>
        <v/>
      </c>
      <c r="U121" s="68">
        <f>IF($C121="","",IF(PULL_FUND="N","",IFERROR(BDP($C121,PAYOUT_FIELD,YR_OVERRIDE,TEXT(YEAR_Y-3,"0"))/100,"")))</f>
        <v/>
      </c>
      <c r="V121" s="68">
        <f>IF($C121="","",IF(PULL_FUND="N","",IFERROR(BDP($C121,PAYOUT_FIELD,YR_OVERRIDE,TEXT(YEAR_Y-2,"0"))/100,"")))</f>
        <v/>
      </c>
      <c r="W121" s="68">
        <f>IF($C121="","",IF(PULL_FUND="N","",IFERROR(BDP($C121,PAYOUT_FIELD,YR_OVERRIDE,TEXT(YEAR_Y-1,"0"))/100,"")))</f>
        <v/>
      </c>
      <c r="X121" s="69">
        <f>IF($C121="","",IFERROR(AVERAGE(S121:W121),""))</f>
        <v/>
      </c>
      <c r="Y121" s="66">
        <f>IF($C121="","",IF(PULL_FUND="N","",IFERROR(BDP($C121,BESTEPS_FIELD,FWD_OVERRIDE,TEXT(MOD(YEAR_Y,100),"00")&amp;"Y"),"")))</f>
        <v/>
      </c>
      <c r="Z121" s="70">
        <f>IF($C121="","",IF(PULL_FUND="N","",IFERROR(BDP($C121,BESTDPS_FIELD,FWD_OVERRIDE,TEXT(MOD(YEAR_Y,100),"00")&amp;"Y"),"")))</f>
        <v/>
      </c>
      <c r="AA121" s="71">
        <f>IF($C121="","",IF(ISNUMBER($Y121)*ISNUMBER($Z121)*($Y121&lt;&gt;0)=0,"",$Z121/$Y121))</f>
        <v/>
      </c>
      <c r="AB121" s="41">
        <f>IF($C121="","",HSTECH!$J$16+HSTECH!$L$16)</f>
        <v/>
      </c>
      <c r="AC121" s="72">
        <f>IF($C121="","",IF(PULL_FUND="N","",IF(COUNTIFS('Fund History'!$G$666:$G$670,"&gt;="&amp;DATE(YEAR_Y-4,1,1),'Fund History'!$G$666:$G$670,"&lt;="&amp;DATE(YEAR_Y-4,12,31))=0,"",SUMIFS('Fund History'!$H$666:$H$670,'Fund History'!$G$666:$G$670,"&gt;="&amp;DATE(YEAR_Y-4,1,1),'Fund History'!$G$666:$G$670,"&lt;="&amp;DATE(YEAR_Y-4,12,31))/100)))</f>
        <v/>
      </c>
      <c r="AD121" s="73">
        <f>IF($C121="","",IF(PULL_FUND="N","",IF(COUNTIFS('Fund History'!$G$666:$G$670,"&gt;="&amp;DATE(YEAR_Y-3,1,1),'Fund History'!$G$666:$G$670,"&lt;="&amp;DATE(YEAR_Y-3,12,31))=0,"",SUMIFS('Fund History'!$H$666:$H$670,'Fund History'!$G$666:$G$670,"&gt;="&amp;DATE(YEAR_Y-3,1,1),'Fund History'!$G$666:$G$670,"&lt;="&amp;DATE(YEAR_Y-3,12,31))/100)))</f>
        <v/>
      </c>
      <c r="AE121" s="73">
        <f>IF($C121="","",IF(PULL_FUND="N","",IF(COUNTIFS('Fund History'!$G$666:$G$670,"&gt;="&amp;DATE(YEAR_Y-2,1,1),'Fund History'!$G$666:$G$670,"&lt;="&amp;DATE(YEAR_Y-2,12,31))=0,"",SUMIFS('Fund History'!$H$666:$H$670,'Fund History'!$G$666:$G$670,"&gt;="&amp;DATE(YEAR_Y-2,1,1),'Fund History'!$G$666:$G$670,"&lt;="&amp;DATE(YEAR_Y-2,12,31))/100)))</f>
        <v/>
      </c>
      <c r="AF121" s="73">
        <f>IF($C121="","",IF(PULL_FUND="N","",IF(COUNTIFS('Fund History'!$G$666:$G$670,"&gt;="&amp;DATE(YEAR_Y-1,1,1),'Fund History'!$G$666:$G$670,"&lt;="&amp;DATE(YEAR_Y-1,12,31))=0,"",SUMIFS('Fund History'!$H$666:$H$670,'Fund History'!$G$666:$G$670,"&gt;="&amp;DATE(YEAR_Y-1,1,1),'Fund History'!$G$666:$G$670,"&lt;="&amp;DATE(YEAR_Y-1,12,31))/100)))</f>
        <v/>
      </c>
      <c r="AG121" s="74">
        <f>IF($C121="","",IF(N($AF121)+N(HSTECH!$I$16)=0,"",N($AF121)+N(HSTECH!$I$16)/100))</f>
        <v/>
      </c>
      <c r="AH121" s="66">
        <f>IF($C121="","",IF(PULL_FUND="N","",IF(COUNTIFS('Fund History'!$D$666:$D$670,"&gt;="&amp;DATE(YEAR_Y-2,1,1),'Fund History'!$D$666:$D$670,"&lt;="&amp;DATE(YEAR_Y-2,12,31))=0,"",SUMIFS('Fund History'!$E$666:$E$670,'Fund History'!$D$666:$D$670,"&gt;="&amp;DATE(YEAR_Y-2,1,1),'Fund History'!$D$666:$D$670,"&lt;="&amp;DATE(YEAR_Y-2,12,31)))))</f>
        <v/>
      </c>
      <c r="AI121" s="67">
        <f>IF($C121="","",IF(PULL_FUND="N","",IF(COUNTIFS('Fund History'!$D$666:$D$670,"&gt;="&amp;DATE(YEAR_Y-1,1,1),'Fund History'!$D$666:$D$670,"&lt;="&amp;DATE(YEAR_Y-1,12,31))=0,"",SUMIFS('Fund History'!$E$666:$E$670,'Fund History'!$D$666:$D$670,"&gt;="&amp;DATE(YEAR_Y-1,1,1),'Fund History'!$D$666:$D$670,"&lt;="&amp;DATE(YEAR_Y-1,12,31)))))</f>
        <v/>
      </c>
      <c r="AJ121" s="67">
        <f>IF($C121="","",IF(PULL_FUND="N","",IFERROR(BDP($C121,NDEBITDA_FIELD),"")))</f>
        <v/>
      </c>
      <c r="AK121" s="75">
        <f>IF($C121="","",IF(PULL_FUND="N","",IFERROR(BDP($C121,EBINT_FIELD),"")))</f>
        <v/>
      </c>
      <c r="AL121" s="73">
        <f>IF($C121="","",IF(PULL_FUND="N","",IFERROR(BDP($C121,FCF_FIELD)/100,"")))</f>
        <v/>
      </c>
      <c r="AM121" s="76">
        <f>IF($C121="","",IF(ISNUMBER(HSTECH!$I$16),HSTECH!$I$16/100,""))</f>
        <v/>
      </c>
      <c r="AN121" s="47">
        <f>IF($C121="","",IF(N($AM121)=0,"",IFERROR($AL121/$AM121,"")))</f>
        <v/>
      </c>
      <c r="AO121" s="33">
        <f>IF($C121="","",IF(ISNUMBER($S121)*ISNUMBER($W121)=0,"",IF($W121&gt;$S121+0.05,"rising",IF($W121&lt;$S121-0.05,"falling","stable"))))</f>
        <v/>
      </c>
      <c r="AP121" s="77">
        <f>IF($C121="","",TRIM(IF(ISNUMBER($X121)*(N($X121)&gt;$D$4)&gt;0,"payout high  ","")&amp;IF(ISNUMBER($AN121)*(N($AN121)&lt;$F$4)&gt;0,"FCF below dvd  ","")&amp;IF(ISNUMBER($AJ121)*(N($AJ121)&gt;$H$4)&gt;0,"leverage high","")))</f>
        <v/>
      </c>
      <c r="AQ121" s="78">
        <f>IF($C121="","",IF(HSTECH!$F$16="HKD","",HSTECH!$F$16))</f>
        <v/>
      </c>
    </row>
    <row r="122">
      <c r="B122" s="62" t="inlineStr">
        <is>
          <t>HSTECH</t>
        </is>
      </c>
      <c r="C122" s="6">
        <f>IF(HSTECH!$C$17="","",HSTECH!$C$17)</f>
        <v/>
      </c>
      <c r="D122" s="6">
        <f>IF($C122="","",HSTECH!$D$17)</f>
        <v/>
      </c>
      <c r="E122" s="6">
        <f>IF($C122="","",HSTECH!$E$17)</f>
        <v/>
      </c>
      <c r="F122" s="63">
        <f>IF($C122="","",SUMPRODUCT(('Dvd Calendar'!$E$1226:$AR$1226&gt;=DATE(YEAR_Y-5,1,1))*('Dvd Calendar'!$E$1226:$AR$1226&lt;=DATE(YEAR_Y-5,12,31))*'Dvd Calendar'!$E$1229:$AR$1229*(('Dvd Calendar'!$E$1231:$AR$1231=TYPE1)*(TYPE1&lt;&gt;"")+('Dvd Calendar'!$E$1231:$AR$1231=TYPE2)*(TYPE2&lt;&gt;"")+('Dvd Calendar'!$E$1231:$AR$1231=TYPE3)*(TYPE3&lt;&gt;"")+('Dvd Calendar'!$E$1231:$AR$1231=TYPE4)*(TYPE4&lt;&gt;"")+('Dvd Calendar'!$E$1231:$AR$1231=SPECIAL_LBL)*(INC_SPECIALS="Y"))))</f>
        <v/>
      </c>
      <c r="G122" s="64">
        <f>IF($C122="","",SUMPRODUCT(('Dvd Calendar'!$E$1226:$AR$1226&gt;=DATE(YEAR_Y-4,1,1))*('Dvd Calendar'!$E$1226:$AR$1226&lt;=DATE(YEAR_Y-4,12,31))*'Dvd Calendar'!$E$1229:$AR$1229*(('Dvd Calendar'!$E$1231:$AR$1231=TYPE1)*(TYPE1&lt;&gt;"")+('Dvd Calendar'!$E$1231:$AR$1231=TYPE2)*(TYPE2&lt;&gt;"")+('Dvd Calendar'!$E$1231:$AR$1231=TYPE3)*(TYPE3&lt;&gt;"")+('Dvd Calendar'!$E$1231:$AR$1231=TYPE4)*(TYPE4&lt;&gt;"")+('Dvd Calendar'!$E$1231:$AR$1231=SPECIAL_LBL)*(INC_SPECIALS="Y"))))</f>
        <v/>
      </c>
      <c r="H122" s="64">
        <f>IF($C122="","",SUMPRODUCT(('Dvd Calendar'!$E$1226:$AR$1226&gt;=DATE(YEAR_Y-3,1,1))*('Dvd Calendar'!$E$1226:$AR$1226&lt;=DATE(YEAR_Y-3,12,31))*'Dvd Calendar'!$E$1229:$AR$1229*(('Dvd Calendar'!$E$1231:$AR$1231=TYPE1)*(TYPE1&lt;&gt;"")+('Dvd Calendar'!$E$1231:$AR$1231=TYPE2)*(TYPE2&lt;&gt;"")+('Dvd Calendar'!$E$1231:$AR$1231=TYPE3)*(TYPE3&lt;&gt;"")+('Dvd Calendar'!$E$1231:$AR$1231=TYPE4)*(TYPE4&lt;&gt;"")+('Dvd Calendar'!$E$1231:$AR$1231=SPECIAL_LBL)*(INC_SPECIALS="Y"))))</f>
        <v/>
      </c>
      <c r="I122" s="64">
        <f>IF($C122="","",SUMPRODUCT(('Dvd Calendar'!$E$1226:$AR$1226&gt;=DATE(YEAR_Y-2,1,1))*('Dvd Calendar'!$E$1226:$AR$1226&lt;=DATE(YEAR_Y-2,12,31))*'Dvd Calendar'!$E$1229:$AR$1229*(('Dvd Calendar'!$E$1231:$AR$1231=TYPE1)*(TYPE1&lt;&gt;"")+('Dvd Calendar'!$E$1231:$AR$1231=TYPE2)*(TYPE2&lt;&gt;"")+('Dvd Calendar'!$E$1231:$AR$1231=TYPE3)*(TYPE3&lt;&gt;"")+('Dvd Calendar'!$E$1231:$AR$1231=TYPE4)*(TYPE4&lt;&gt;"")+('Dvd Calendar'!$E$1231:$AR$1231=SPECIAL_LBL)*(INC_SPECIALS="Y"))))</f>
        <v/>
      </c>
      <c r="J122" s="64">
        <f>IF($C122="","",SUMPRODUCT(('Dvd Calendar'!$E$1226:$AR$1226&gt;=DATE(YEAR_Y-1,1,1))*('Dvd Calendar'!$E$1226:$AR$1226&lt;=DATE(YEAR_Y-1,12,31))*'Dvd Calendar'!$E$1229:$AR$1229*(('Dvd Calendar'!$E$1231:$AR$1231=TYPE1)*(TYPE1&lt;&gt;"")+('Dvd Calendar'!$E$1231:$AR$1231=TYPE2)*(TYPE2&lt;&gt;"")+('Dvd Calendar'!$E$1231:$AR$1231=TYPE3)*(TYPE3&lt;&gt;"")+('Dvd Calendar'!$E$1231:$AR$1231=TYPE4)*(TYPE4&lt;&gt;"")+('Dvd Calendar'!$E$1231:$AR$1231=SPECIAL_LBL)*(INC_SPECIALS="Y"))))</f>
        <v/>
      </c>
      <c r="K122" s="65">
        <f>IF($C122="","",HSTECH!$J$17)</f>
        <v/>
      </c>
      <c r="L122" s="65">
        <f>IF($C122="","",HSTECH!$K$17)</f>
        <v/>
      </c>
      <c r="M122" s="41">
        <f>IF($C122="","",AVERAGE(F122:J122))</f>
        <v/>
      </c>
      <c r="N122" s="66">
        <f>IF($C122="","",IF(PULL_FUND="N","",IFERROR(BDP($C122,EPS_FIELD,YR_OVERRIDE,TEXT(YEAR_Y-5,"0")),"")))</f>
        <v/>
      </c>
      <c r="O122" s="67">
        <f>IF($C122="","",IF(PULL_FUND="N","",IFERROR(BDP($C122,EPS_FIELD,YR_OVERRIDE,TEXT(YEAR_Y-4,"0")),"")))</f>
        <v/>
      </c>
      <c r="P122" s="67">
        <f>IF($C122="","",IF(PULL_FUND="N","",IFERROR(BDP($C122,EPS_FIELD,YR_OVERRIDE,TEXT(YEAR_Y-3,"0")),"")))</f>
        <v/>
      </c>
      <c r="Q122" s="67">
        <f>IF($C122="","",IF(PULL_FUND="N","",IFERROR(BDP($C122,EPS_FIELD,YR_OVERRIDE,TEXT(YEAR_Y-2,"0")),"")))</f>
        <v/>
      </c>
      <c r="R122" s="67">
        <f>IF($C122="","",IF(PULL_FUND="N","",IFERROR(BDP($C122,EPS_FIELD,YR_OVERRIDE,TEXT(YEAR_Y-1,"0")),"")))</f>
        <v/>
      </c>
      <c r="S122" s="68">
        <f>IF($C122="","",IF(PULL_FUND="N","",IFERROR(BDP($C122,PAYOUT_FIELD,YR_OVERRIDE,TEXT(YEAR_Y-5,"0"))/100,"")))</f>
        <v/>
      </c>
      <c r="T122" s="68">
        <f>IF($C122="","",IF(PULL_FUND="N","",IFERROR(BDP($C122,PAYOUT_FIELD,YR_OVERRIDE,TEXT(YEAR_Y-4,"0"))/100,"")))</f>
        <v/>
      </c>
      <c r="U122" s="68">
        <f>IF($C122="","",IF(PULL_FUND="N","",IFERROR(BDP($C122,PAYOUT_FIELD,YR_OVERRIDE,TEXT(YEAR_Y-3,"0"))/100,"")))</f>
        <v/>
      </c>
      <c r="V122" s="68">
        <f>IF($C122="","",IF(PULL_FUND="N","",IFERROR(BDP($C122,PAYOUT_FIELD,YR_OVERRIDE,TEXT(YEAR_Y-2,"0"))/100,"")))</f>
        <v/>
      </c>
      <c r="W122" s="68">
        <f>IF($C122="","",IF(PULL_FUND="N","",IFERROR(BDP($C122,PAYOUT_FIELD,YR_OVERRIDE,TEXT(YEAR_Y-1,"0"))/100,"")))</f>
        <v/>
      </c>
      <c r="X122" s="69">
        <f>IF($C122="","",IFERROR(AVERAGE(S122:W122),""))</f>
        <v/>
      </c>
      <c r="Y122" s="66">
        <f>IF($C122="","",IF(PULL_FUND="N","",IFERROR(BDP($C122,BESTEPS_FIELD,FWD_OVERRIDE,TEXT(MOD(YEAR_Y,100),"00")&amp;"Y"),"")))</f>
        <v/>
      </c>
      <c r="Z122" s="70">
        <f>IF($C122="","",IF(PULL_FUND="N","",IFERROR(BDP($C122,BESTDPS_FIELD,FWD_OVERRIDE,TEXT(MOD(YEAR_Y,100),"00")&amp;"Y"),"")))</f>
        <v/>
      </c>
      <c r="AA122" s="71">
        <f>IF($C122="","",IF(ISNUMBER($Y122)*ISNUMBER($Z122)*($Y122&lt;&gt;0)=0,"",$Z122/$Y122))</f>
        <v/>
      </c>
      <c r="AB122" s="41">
        <f>IF($C122="","",HSTECH!$J$17+HSTECH!$L$17)</f>
        <v/>
      </c>
      <c r="AC122" s="72">
        <f>IF($C122="","",IF(PULL_FUND="N","",IF(COUNTIFS('Fund History'!$G$672:$G$676,"&gt;="&amp;DATE(YEAR_Y-4,1,1),'Fund History'!$G$672:$G$676,"&lt;="&amp;DATE(YEAR_Y-4,12,31))=0,"",SUMIFS('Fund History'!$H$672:$H$676,'Fund History'!$G$672:$G$676,"&gt;="&amp;DATE(YEAR_Y-4,1,1),'Fund History'!$G$672:$G$676,"&lt;="&amp;DATE(YEAR_Y-4,12,31))/100)))</f>
        <v/>
      </c>
      <c r="AD122" s="73">
        <f>IF($C122="","",IF(PULL_FUND="N","",IF(COUNTIFS('Fund History'!$G$672:$G$676,"&gt;="&amp;DATE(YEAR_Y-3,1,1),'Fund History'!$G$672:$G$676,"&lt;="&amp;DATE(YEAR_Y-3,12,31))=0,"",SUMIFS('Fund History'!$H$672:$H$676,'Fund History'!$G$672:$G$676,"&gt;="&amp;DATE(YEAR_Y-3,1,1),'Fund History'!$G$672:$G$676,"&lt;="&amp;DATE(YEAR_Y-3,12,31))/100)))</f>
        <v/>
      </c>
      <c r="AE122" s="73">
        <f>IF($C122="","",IF(PULL_FUND="N","",IF(COUNTIFS('Fund History'!$G$672:$G$676,"&gt;="&amp;DATE(YEAR_Y-2,1,1),'Fund History'!$G$672:$G$676,"&lt;="&amp;DATE(YEAR_Y-2,12,31))=0,"",SUMIFS('Fund History'!$H$672:$H$676,'Fund History'!$G$672:$G$676,"&gt;="&amp;DATE(YEAR_Y-2,1,1),'Fund History'!$G$672:$G$676,"&lt;="&amp;DATE(YEAR_Y-2,12,31))/100)))</f>
        <v/>
      </c>
      <c r="AF122" s="73">
        <f>IF($C122="","",IF(PULL_FUND="N","",IF(COUNTIFS('Fund History'!$G$672:$G$676,"&gt;="&amp;DATE(YEAR_Y-1,1,1),'Fund History'!$G$672:$G$676,"&lt;="&amp;DATE(YEAR_Y-1,12,31))=0,"",SUMIFS('Fund History'!$H$672:$H$676,'Fund History'!$G$672:$G$676,"&gt;="&amp;DATE(YEAR_Y-1,1,1),'Fund History'!$G$672:$G$676,"&lt;="&amp;DATE(YEAR_Y-1,12,31))/100)))</f>
        <v/>
      </c>
      <c r="AG122" s="74">
        <f>IF($C122="","",IF(N($AF122)+N(HSTECH!$I$17)=0,"",N($AF122)+N(HSTECH!$I$17)/100))</f>
        <v/>
      </c>
      <c r="AH122" s="66">
        <f>IF($C122="","",IF(PULL_FUND="N","",IF(COUNTIFS('Fund History'!$D$672:$D$676,"&gt;="&amp;DATE(YEAR_Y-2,1,1),'Fund History'!$D$672:$D$676,"&lt;="&amp;DATE(YEAR_Y-2,12,31))=0,"",SUMIFS('Fund History'!$E$672:$E$676,'Fund History'!$D$672:$D$676,"&gt;="&amp;DATE(YEAR_Y-2,1,1),'Fund History'!$D$672:$D$676,"&lt;="&amp;DATE(YEAR_Y-2,12,31)))))</f>
        <v/>
      </c>
      <c r="AI122" s="67">
        <f>IF($C122="","",IF(PULL_FUND="N","",IF(COUNTIFS('Fund History'!$D$672:$D$676,"&gt;="&amp;DATE(YEAR_Y-1,1,1),'Fund History'!$D$672:$D$676,"&lt;="&amp;DATE(YEAR_Y-1,12,31))=0,"",SUMIFS('Fund History'!$E$672:$E$676,'Fund History'!$D$672:$D$676,"&gt;="&amp;DATE(YEAR_Y-1,1,1),'Fund History'!$D$672:$D$676,"&lt;="&amp;DATE(YEAR_Y-1,12,31)))))</f>
        <v/>
      </c>
      <c r="AJ122" s="67">
        <f>IF($C122="","",IF(PULL_FUND="N","",IFERROR(BDP($C122,NDEBITDA_FIELD),"")))</f>
        <v/>
      </c>
      <c r="AK122" s="75">
        <f>IF($C122="","",IF(PULL_FUND="N","",IFERROR(BDP($C122,EBINT_FIELD),"")))</f>
        <v/>
      </c>
      <c r="AL122" s="73">
        <f>IF($C122="","",IF(PULL_FUND="N","",IFERROR(BDP($C122,FCF_FIELD)/100,"")))</f>
        <v/>
      </c>
      <c r="AM122" s="76">
        <f>IF($C122="","",IF(ISNUMBER(HSTECH!$I$17),HSTECH!$I$17/100,""))</f>
        <v/>
      </c>
      <c r="AN122" s="47">
        <f>IF($C122="","",IF(N($AM122)=0,"",IFERROR($AL122/$AM122,"")))</f>
        <v/>
      </c>
      <c r="AO122" s="33">
        <f>IF($C122="","",IF(ISNUMBER($S122)*ISNUMBER($W122)=0,"",IF($W122&gt;$S122+0.05,"rising",IF($W122&lt;$S122-0.05,"falling","stable"))))</f>
        <v/>
      </c>
      <c r="AP122" s="77">
        <f>IF($C122="","",TRIM(IF(ISNUMBER($X122)*(N($X122)&gt;$D$4)&gt;0,"payout high  ","")&amp;IF(ISNUMBER($AN122)*(N($AN122)&lt;$F$4)&gt;0,"FCF below dvd  ","")&amp;IF(ISNUMBER($AJ122)*(N($AJ122)&gt;$H$4)&gt;0,"leverage high","")))</f>
        <v/>
      </c>
      <c r="AQ122" s="78">
        <f>IF($C122="","",IF(HSTECH!$F$17="HKD","",HSTECH!$F$17))</f>
        <v/>
      </c>
    </row>
    <row r="123">
      <c r="B123" s="62" t="inlineStr">
        <is>
          <t>HSTECH</t>
        </is>
      </c>
      <c r="C123" s="6">
        <f>IF(HSTECH!$C$18="","",HSTECH!$C$18)</f>
        <v/>
      </c>
      <c r="D123" s="6">
        <f>IF($C123="","",HSTECH!$D$18)</f>
        <v/>
      </c>
      <c r="E123" s="6">
        <f>IF($C123="","",HSTECH!$E$18)</f>
        <v/>
      </c>
      <c r="F123" s="63">
        <f>IF($C123="","",SUMPRODUCT(('Dvd Calendar'!$E$1237:$AR$1237&gt;=DATE(YEAR_Y-5,1,1))*('Dvd Calendar'!$E$1237:$AR$1237&lt;=DATE(YEAR_Y-5,12,31))*'Dvd Calendar'!$E$1240:$AR$1240*(('Dvd Calendar'!$E$1242:$AR$1242=TYPE1)*(TYPE1&lt;&gt;"")+('Dvd Calendar'!$E$1242:$AR$1242=TYPE2)*(TYPE2&lt;&gt;"")+('Dvd Calendar'!$E$1242:$AR$1242=TYPE3)*(TYPE3&lt;&gt;"")+('Dvd Calendar'!$E$1242:$AR$1242=TYPE4)*(TYPE4&lt;&gt;"")+('Dvd Calendar'!$E$1242:$AR$1242=SPECIAL_LBL)*(INC_SPECIALS="Y"))))</f>
        <v/>
      </c>
      <c r="G123" s="64">
        <f>IF($C123="","",SUMPRODUCT(('Dvd Calendar'!$E$1237:$AR$1237&gt;=DATE(YEAR_Y-4,1,1))*('Dvd Calendar'!$E$1237:$AR$1237&lt;=DATE(YEAR_Y-4,12,31))*'Dvd Calendar'!$E$1240:$AR$1240*(('Dvd Calendar'!$E$1242:$AR$1242=TYPE1)*(TYPE1&lt;&gt;"")+('Dvd Calendar'!$E$1242:$AR$1242=TYPE2)*(TYPE2&lt;&gt;"")+('Dvd Calendar'!$E$1242:$AR$1242=TYPE3)*(TYPE3&lt;&gt;"")+('Dvd Calendar'!$E$1242:$AR$1242=TYPE4)*(TYPE4&lt;&gt;"")+('Dvd Calendar'!$E$1242:$AR$1242=SPECIAL_LBL)*(INC_SPECIALS="Y"))))</f>
        <v/>
      </c>
      <c r="H123" s="64">
        <f>IF($C123="","",SUMPRODUCT(('Dvd Calendar'!$E$1237:$AR$1237&gt;=DATE(YEAR_Y-3,1,1))*('Dvd Calendar'!$E$1237:$AR$1237&lt;=DATE(YEAR_Y-3,12,31))*'Dvd Calendar'!$E$1240:$AR$1240*(('Dvd Calendar'!$E$1242:$AR$1242=TYPE1)*(TYPE1&lt;&gt;"")+('Dvd Calendar'!$E$1242:$AR$1242=TYPE2)*(TYPE2&lt;&gt;"")+('Dvd Calendar'!$E$1242:$AR$1242=TYPE3)*(TYPE3&lt;&gt;"")+('Dvd Calendar'!$E$1242:$AR$1242=TYPE4)*(TYPE4&lt;&gt;"")+('Dvd Calendar'!$E$1242:$AR$1242=SPECIAL_LBL)*(INC_SPECIALS="Y"))))</f>
        <v/>
      </c>
      <c r="I123" s="64">
        <f>IF($C123="","",SUMPRODUCT(('Dvd Calendar'!$E$1237:$AR$1237&gt;=DATE(YEAR_Y-2,1,1))*('Dvd Calendar'!$E$1237:$AR$1237&lt;=DATE(YEAR_Y-2,12,31))*'Dvd Calendar'!$E$1240:$AR$1240*(('Dvd Calendar'!$E$1242:$AR$1242=TYPE1)*(TYPE1&lt;&gt;"")+('Dvd Calendar'!$E$1242:$AR$1242=TYPE2)*(TYPE2&lt;&gt;"")+('Dvd Calendar'!$E$1242:$AR$1242=TYPE3)*(TYPE3&lt;&gt;"")+('Dvd Calendar'!$E$1242:$AR$1242=TYPE4)*(TYPE4&lt;&gt;"")+('Dvd Calendar'!$E$1242:$AR$1242=SPECIAL_LBL)*(INC_SPECIALS="Y"))))</f>
        <v/>
      </c>
      <c r="J123" s="64">
        <f>IF($C123="","",SUMPRODUCT(('Dvd Calendar'!$E$1237:$AR$1237&gt;=DATE(YEAR_Y-1,1,1))*('Dvd Calendar'!$E$1237:$AR$1237&lt;=DATE(YEAR_Y-1,12,31))*'Dvd Calendar'!$E$1240:$AR$1240*(('Dvd Calendar'!$E$1242:$AR$1242=TYPE1)*(TYPE1&lt;&gt;"")+('Dvd Calendar'!$E$1242:$AR$1242=TYPE2)*(TYPE2&lt;&gt;"")+('Dvd Calendar'!$E$1242:$AR$1242=TYPE3)*(TYPE3&lt;&gt;"")+('Dvd Calendar'!$E$1242:$AR$1242=TYPE4)*(TYPE4&lt;&gt;"")+('Dvd Calendar'!$E$1242:$AR$1242=SPECIAL_LBL)*(INC_SPECIALS="Y"))))</f>
        <v/>
      </c>
      <c r="K123" s="65">
        <f>IF($C123="","",HSTECH!$J$18)</f>
        <v/>
      </c>
      <c r="L123" s="65">
        <f>IF($C123="","",HSTECH!$K$18)</f>
        <v/>
      </c>
      <c r="M123" s="41">
        <f>IF($C123="","",AVERAGE(F123:J123))</f>
        <v/>
      </c>
      <c r="N123" s="66">
        <f>IF($C123="","",IF(PULL_FUND="N","",IFERROR(BDP($C123,EPS_FIELD,YR_OVERRIDE,TEXT(YEAR_Y-5,"0")),"")))</f>
        <v/>
      </c>
      <c r="O123" s="67">
        <f>IF($C123="","",IF(PULL_FUND="N","",IFERROR(BDP($C123,EPS_FIELD,YR_OVERRIDE,TEXT(YEAR_Y-4,"0")),"")))</f>
        <v/>
      </c>
      <c r="P123" s="67">
        <f>IF($C123="","",IF(PULL_FUND="N","",IFERROR(BDP($C123,EPS_FIELD,YR_OVERRIDE,TEXT(YEAR_Y-3,"0")),"")))</f>
        <v/>
      </c>
      <c r="Q123" s="67">
        <f>IF($C123="","",IF(PULL_FUND="N","",IFERROR(BDP($C123,EPS_FIELD,YR_OVERRIDE,TEXT(YEAR_Y-2,"0")),"")))</f>
        <v/>
      </c>
      <c r="R123" s="67">
        <f>IF($C123="","",IF(PULL_FUND="N","",IFERROR(BDP($C123,EPS_FIELD,YR_OVERRIDE,TEXT(YEAR_Y-1,"0")),"")))</f>
        <v/>
      </c>
      <c r="S123" s="68">
        <f>IF($C123="","",IF(PULL_FUND="N","",IFERROR(BDP($C123,PAYOUT_FIELD,YR_OVERRIDE,TEXT(YEAR_Y-5,"0"))/100,"")))</f>
        <v/>
      </c>
      <c r="T123" s="68">
        <f>IF($C123="","",IF(PULL_FUND="N","",IFERROR(BDP($C123,PAYOUT_FIELD,YR_OVERRIDE,TEXT(YEAR_Y-4,"0"))/100,"")))</f>
        <v/>
      </c>
      <c r="U123" s="68">
        <f>IF($C123="","",IF(PULL_FUND="N","",IFERROR(BDP($C123,PAYOUT_FIELD,YR_OVERRIDE,TEXT(YEAR_Y-3,"0"))/100,"")))</f>
        <v/>
      </c>
      <c r="V123" s="68">
        <f>IF($C123="","",IF(PULL_FUND="N","",IFERROR(BDP($C123,PAYOUT_FIELD,YR_OVERRIDE,TEXT(YEAR_Y-2,"0"))/100,"")))</f>
        <v/>
      </c>
      <c r="W123" s="68">
        <f>IF($C123="","",IF(PULL_FUND="N","",IFERROR(BDP($C123,PAYOUT_FIELD,YR_OVERRIDE,TEXT(YEAR_Y-1,"0"))/100,"")))</f>
        <v/>
      </c>
      <c r="X123" s="69">
        <f>IF($C123="","",IFERROR(AVERAGE(S123:W123),""))</f>
        <v/>
      </c>
      <c r="Y123" s="66">
        <f>IF($C123="","",IF(PULL_FUND="N","",IFERROR(BDP($C123,BESTEPS_FIELD,FWD_OVERRIDE,TEXT(MOD(YEAR_Y,100),"00")&amp;"Y"),"")))</f>
        <v/>
      </c>
      <c r="Z123" s="70">
        <f>IF($C123="","",IF(PULL_FUND="N","",IFERROR(BDP($C123,BESTDPS_FIELD,FWD_OVERRIDE,TEXT(MOD(YEAR_Y,100),"00")&amp;"Y"),"")))</f>
        <v/>
      </c>
      <c r="AA123" s="71">
        <f>IF($C123="","",IF(ISNUMBER($Y123)*ISNUMBER($Z123)*($Y123&lt;&gt;0)=0,"",$Z123/$Y123))</f>
        <v/>
      </c>
      <c r="AB123" s="41">
        <f>IF($C123="","",HSTECH!$J$18+HSTECH!$L$18)</f>
        <v/>
      </c>
      <c r="AC123" s="72">
        <f>IF($C123="","",IF(PULL_FUND="N","",IF(COUNTIFS('Fund History'!$G$678:$G$682,"&gt;="&amp;DATE(YEAR_Y-4,1,1),'Fund History'!$G$678:$G$682,"&lt;="&amp;DATE(YEAR_Y-4,12,31))=0,"",SUMIFS('Fund History'!$H$678:$H$682,'Fund History'!$G$678:$G$682,"&gt;="&amp;DATE(YEAR_Y-4,1,1),'Fund History'!$G$678:$G$682,"&lt;="&amp;DATE(YEAR_Y-4,12,31))/100)))</f>
        <v/>
      </c>
      <c r="AD123" s="73">
        <f>IF($C123="","",IF(PULL_FUND="N","",IF(COUNTIFS('Fund History'!$G$678:$G$682,"&gt;="&amp;DATE(YEAR_Y-3,1,1),'Fund History'!$G$678:$G$682,"&lt;="&amp;DATE(YEAR_Y-3,12,31))=0,"",SUMIFS('Fund History'!$H$678:$H$682,'Fund History'!$G$678:$G$682,"&gt;="&amp;DATE(YEAR_Y-3,1,1),'Fund History'!$G$678:$G$682,"&lt;="&amp;DATE(YEAR_Y-3,12,31))/100)))</f>
        <v/>
      </c>
      <c r="AE123" s="73">
        <f>IF($C123="","",IF(PULL_FUND="N","",IF(COUNTIFS('Fund History'!$G$678:$G$682,"&gt;="&amp;DATE(YEAR_Y-2,1,1),'Fund History'!$G$678:$G$682,"&lt;="&amp;DATE(YEAR_Y-2,12,31))=0,"",SUMIFS('Fund History'!$H$678:$H$682,'Fund History'!$G$678:$G$682,"&gt;="&amp;DATE(YEAR_Y-2,1,1),'Fund History'!$G$678:$G$682,"&lt;="&amp;DATE(YEAR_Y-2,12,31))/100)))</f>
        <v/>
      </c>
      <c r="AF123" s="73">
        <f>IF($C123="","",IF(PULL_FUND="N","",IF(COUNTIFS('Fund History'!$G$678:$G$682,"&gt;="&amp;DATE(YEAR_Y-1,1,1),'Fund History'!$G$678:$G$682,"&lt;="&amp;DATE(YEAR_Y-1,12,31))=0,"",SUMIFS('Fund History'!$H$678:$H$682,'Fund History'!$G$678:$G$682,"&gt;="&amp;DATE(YEAR_Y-1,1,1),'Fund History'!$G$678:$G$682,"&lt;="&amp;DATE(YEAR_Y-1,12,31))/100)))</f>
        <v/>
      </c>
      <c r="AG123" s="74">
        <f>IF($C123="","",IF(N($AF123)+N(HSTECH!$I$18)=0,"",N($AF123)+N(HSTECH!$I$18)/100))</f>
        <v/>
      </c>
      <c r="AH123" s="66">
        <f>IF($C123="","",IF(PULL_FUND="N","",IF(COUNTIFS('Fund History'!$D$678:$D$682,"&gt;="&amp;DATE(YEAR_Y-2,1,1),'Fund History'!$D$678:$D$682,"&lt;="&amp;DATE(YEAR_Y-2,12,31))=0,"",SUMIFS('Fund History'!$E$678:$E$682,'Fund History'!$D$678:$D$682,"&gt;="&amp;DATE(YEAR_Y-2,1,1),'Fund History'!$D$678:$D$682,"&lt;="&amp;DATE(YEAR_Y-2,12,31)))))</f>
        <v/>
      </c>
      <c r="AI123" s="67">
        <f>IF($C123="","",IF(PULL_FUND="N","",IF(COUNTIFS('Fund History'!$D$678:$D$682,"&gt;="&amp;DATE(YEAR_Y-1,1,1),'Fund History'!$D$678:$D$682,"&lt;="&amp;DATE(YEAR_Y-1,12,31))=0,"",SUMIFS('Fund History'!$E$678:$E$682,'Fund History'!$D$678:$D$682,"&gt;="&amp;DATE(YEAR_Y-1,1,1),'Fund History'!$D$678:$D$682,"&lt;="&amp;DATE(YEAR_Y-1,12,31)))))</f>
        <v/>
      </c>
      <c r="AJ123" s="67">
        <f>IF($C123="","",IF(PULL_FUND="N","",IFERROR(BDP($C123,NDEBITDA_FIELD),"")))</f>
        <v/>
      </c>
      <c r="AK123" s="75">
        <f>IF($C123="","",IF(PULL_FUND="N","",IFERROR(BDP($C123,EBINT_FIELD),"")))</f>
        <v/>
      </c>
      <c r="AL123" s="73">
        <f>IF($C123="","",IF(PULL_FUND="N","",IFERROR(BDP($C123,FCF_FIELD)/100,"")))</f>
        <v/>
      </c>
      <c r="AM123" s="76">
        <f>IF($C123="","",IF(ISNUMBER(HSTECH!$I$18),HSTECH!$I$18/100,""))</f>
        <v/>
      </c>
      <c r="AN123" s="47">
        <f>IF($C123="","",IF(N($AM123)=0,"",IFERROR($AL123/$AM123,"")))</f>
        <v/>
      </c>
      <c r="AO123" s="33">
        <f>IF($C123="","",IF(ISNUMBER($S123)*ISNUMBER($W123)=0,"",IF($W123&gt;$S123+0.05,"rising",IF($W123&lt;$S123-0.05,"falling","stable"))))</f>
        <v/>
      </c>
      <c r="AP123" s="77">
        <f>IF($C123="","",TRIM(IF(ISNUMBER($X123)*(N($X123)&gt;$D$4)&gt;0,"payout high  ","")&amp;IF(ISNUMBER($AN123)*(N($AN123)&lt;$F$4)&gt;0,"FCF below dvd  ","")&amp;IF(ISNUMBER($AJ123)*(N($AJ123)&gt;$H$4)&gt;0,"leverage high","")))</f>
        <v/>
      </c>
      <c r="AQ123" s="78">
        <f>IF($C123="","",IF(HSTECH!$F$18="HKD","",HSTECH!$F$18))</f>
        <v/>
      </c>
    </row>
    <row r="124">
      <c r="B124" s="62" t="inlineStr">
        <is>
          <t>HSTECH</t>
        </is>
      </c>
      <c r="C124" s="6">
        <f>IF(HSTECH!$C$19="","",HSTECH!$C$19)</f>
        <v/>
      </c>
      <c r="D124" s="6">
        <f>IF($C124="","",HSTECH!$D$19)</f>
        <v/>
      </c>
      <c r="E124" s="6">
        <f>IF($C124="","",HSTECH!$E$19)</f>
        <v/>
      </c>
      <c r="F124" s="63">
        <f>IF($C124="","",SUMPRODUCT(('Dvd Calendar'!$E$1248:$AR$1248&gt;=DATE(YEAR_Y-5,1,1))*('Dvd Calendar'!$E$1248:$AR$1248&lt;=DATE(YEAR_Y-5,12,31))*'Dvd Calendar'!$E$1251:$AR$1251*(('Dvd Calendar'!$E$1253:$AR$1253=TYPE1)*(TYPE1&lt;&gt;"")+('Dvd Calendar'!$E$1253:$AR$1253=TYPE2)*(TYPE2&lt;&gt;"")+('Dvd Calendar'!$E$1253:$AR$1253=TYPE3)*(TYPE3&lt;&gt;"")+('Dvd Calendar'!$E$1253:$AR$1253=TYPE4)*(TYPE4&lt;&gt;"")+('Dvd Calendar'!$E$1253:$AR$1253=SPECIAL_LBL)*(INC_SPECIALS="Y"))))</f>
        <v/>
      </c>
      <c r="G124" s="64">
        <f>IF($C124="","",SUMPRODUCT(('Dvd Calendar'!$E$1248:$AR$1248&gt;=DATE(YEAR_Y-4,1,1))*('Dvd Calendar'!$E$1248:$AR$1248&lt;=DATE(YEAR_Y-4,12,31))*'Dvd Calendar'!$E$1251:$AR$1251*(('Dvd Calendar'!$E$1253:$AR$1253=TYPE1)*(TYPE1&lt;&gt;"")+('Dvd Calendar'!$E$1253:$AR$1253=TYPE2)*(TYPE2&lt;&gt;"")+('Dvd Calendar'!$E$1253:$AR$1253=TYPE3)*(TYPE3&lt;&gt;"")+('Dvd Calendar'!$E$1253:$AR$1253=TYPE4)*(TYPE4&lt;&gt;"")+('Dvd Calendar'!$E$1253:$AR$1253=SPECIAL_LBL)*(INC_SPECIALS="Y"))))</f>
        <v/>
      </c>
      <c r="H124" s="64">
        <f>IF($C124="","",SUMPRODUCT(('Dvd Calendar'!$E$1248:$AR$1248&gt;=DATE(YEAR_Y-3,1,1))*('Dvd Calendar'!$E$1248:$AR$1248&lt;=DATE(YEAR_Y-3,12,31))*'Dvd Calendar'!$E$1251:$AR$1251*(('Dvd Calendar'!$E$1253:$AR$1253=TYPE1)*(TYPE1&lt;&gt;"")+('Dvd Calendar'!$E$1253:$AR$1253=TYPE2)*(TYPE2&lt;&gt;"")+('Dvd Calendar'!$E$1253:$AR$1253=TYPE3)*(TYPE3&lt;&gt;"")+('Dvd Calendar'!$E$1253:$AR$1253=TYPE4)*(TYPE4&lt;&gt;"")+('Dvd Calendar'!$E$1253:$AR$1253=SPECIAL_LBL)*(INC_SPECIALS="Y"))))</f>
        <v/>
      </c>
      <c r="I124" s="64">
        <f>IF($C124="","",SUMPRODUCT(('Dvd Calendar'!$E$1248:$AR$1248&gt;=DATE(YEAR_Y-2,1,1))*('Dvd Calendar'!$E$1248:$AR$1248&lt;=DATE(YEAR_Y-2,12,31))*'Dvd Calendar'!$E$1251:$AR$1251*(('Dvd Calendar'!$E$1253:$AR$1253=TYPE1)*(TYPE1&lt;&gt;"")+('Dvd Calendar'!$E$1253:$AR$1253=TYPE2)*(TYPE2&lt;&gt;"")+('Dvd Calendar'!$E$1253:$AR$1253=TYPE3)*(TYPE3&lt;&gt;"")+('Dvd Calendar'!$E$1253:$AR$1253=TYPE4)*(TYPE4&lt;&gt;"")+('Dvd Calendar'!$E$1253:$AR$1253=SPECIAL_LBL)*(INC_SPECIALS="Y"))))</f>
        <v/>
      </c>
      <c r="J124" s="64">
        <f>IF($C124="","",SUMPRODUCT(('Dvd Calendar'!$E$1248:$AR$1248&gt;=DATE(YEAR_Y-1,1,1))*('Dvd Calendar'!$E$1248:$AR$1248&lt;=DATE(YEAR_Y-1,12,31))*'Dvd Calendar'!$E$1251:$AR$1251*(('Dvd Calendar'!$E$1253:$AR$1253=TYPE1)*(TYPE1&lt;&gt;"")+('Dvd Calendar'!$E$1253:$AR$1253=TYPE2)*(TYPE2&lt;&gt;"")+('Dvd Calendar'!$E$1253:$AR$1253=TYPE3)*(TYPE3&lt;&gt;"")+('Dvd Calendar'!$E$1253:$AR$1253=TYPE4)*(TYPE4&lt;&gt;"")+('Dvd Calendar'!$E$1253:$AR$1253=SPECIAL_LBL)*(INC_SPECIALS="Y"))))</f>
        <v/>
      </c>
      <c r="K124" s="65">
        <f>IF($C124="","",HSTECH!$J$19)</f>
        <v/>
      </c>
      <c r="L124" s="65">
        <f>IF($C124="","",HSTECH!$K$19)</f>
        <v/>
      </c>
      <c r="M124" s="41">
        <f>IF($C124="","",AVERAGE(F124:J124))</f>
        <v/>
      </c>
      <c r="N124" s="66">
        <f>IF($C124="","",IF(PULL_FUND="N","",IFERROR(BDP($C124,EPS_FIELD,YR_OVERRIDE,TEXT(YEAR_Y-5,"0")),"")))</f>
        <v/>
      </c>
      <c r="O124" s="67">
        <f>IF($C124="","",IF(PULL_FUND="N","",IFERROR(BDP($C124,EPS_FIELD,YR_OVERRIDE,TEXT(YEAR_Y-4,"0")),"")))</f>
        <v/>
      </c>
      <c r="P124" s="67">
        <f>IF($C124="","",IF(PULL_FUND="N","",IFERROR(BDP($C124,EPS_FIELD,YR_OVERRIDE,TEXT(YEAR_Y-3,"0")),"")))</f>
        <v/>
      </c>
      <c r="Q124" s="67">
        <f>IF($C124="","",IF(PULL_FUND="N","",IFERROR(BDP($C124,EPS_FIELD,YR_OVERRIDE,TEXT(YEAR_Y-2,"0")),"")))</f>
        <v/>
      </c>
      <c r="R124" s="67">
        <f>IF($C124="","",IF(PULL_FUND="N","",IFERROR(BDP($C124,EPS_FIELD,YR_OVERRIDE,TEXT(YEAR_Y-1,"0")),"")))</f>
        <v/>
      </c>
      <c r="S124" s="68">
        <f>IF($C124="","",IF(PULL_FUND="N","",IFERROR(BDP($C124,PAYOUT_FIELD,YR_OVERRIDE,TEXT(YEAR_Y-5,"0"))/100,"")))</f>
        <v/>
      </c>
      <c r="T124" s="68">
        <f>IF($C124="","",IF(PULL_FUND="N","",IFERROR(BDP($C124,PAYOUT_FIELD,YR_OVERRIDE,TEXT(YEAR_Y-4,"0"))/100,"")))</f>
        <v/>
      </c>
      <c r="U124" s="68">
        <f>IF($C124="","",IF(PULL_FUND="N","",IFERROR(BDP($C124,PAYOUT_FIELD,YR_OVERRIDE,TEXT(YEAR_Y-3,"0"))/100,"")))</f>
        <v/>
      </c>
      <c r="V124" s="68">
        <f>IF($C124="","",IF(PULL_FUND="N","",IFERROR(BDP($C124,PAYOUT_FIELD,YR_OVERRIDE,TEXT(YEAR_Y-2,"0"))/100,"")))</f>
        <v/>
      </c>
      <c r="W124" s="68">
        <f>IF($C124="","",IF(PULL_FUND="N","",IFERROR(BDP($C124,PAYOUT_FIELD,YR_OVERRIDE,TEXT(YEAR_Y-1,"0"))/100,"")))</f>
        <v/>
      </c>
      <c r="X124" s="69">
        <f>IF($C124="","",IFERROR(AVERAGE(S124:W124),""))</f>
        <v/>
      </c>
      <c r="Y124" s="66">
        <f>IF($C124="","",IF(PULL_FUND="N","",IFERROR(BDP($C124,BESTEPS_FIELD,FWD_OVERRIDE,TEXT(MOD(YEAR_Y,100),"00")&amp;"Y"),"")))</f>
        <v/>
      </c>
      <c r="Z124" s="70">
        <f>IF($C124="","",IF(PULL_FUND="N","",IFERROR(BDP($C124,BESTDPS_FIELD,FWD_OVERRIDE,TEXT(MOD(YEAR_Y,100),"00")&amp;"Y"),"")))</f>
        <v/>
      </c>
      <c r="AA124" s="71">
        <f>IF($C124="","",IF(ISNUMBER($Y124)*ISNUMBER($Z124)*($Y124&lt;&gt;0)=0,"",$Z124/$Y124))</f>
        <v/>
      </c>
      <c r="AB124" s="41">
        <f>IF($C124="","",HSTECH!$J$19+HSTECH!$L$19)</f>
        <v/>
      </c>
      <c r="AC124" s="72">
        <f>IF($C124="","",IF(PULL_FUND="N","",IF(COUNTIFS('Fund History'!$G$684:$G$688,"&gt;="&amp;DATE(YEAR_Y-4,1,1),'Fund History'!$G$684:$G$688,"&lt;="&amp;DATE(YEAR_Y-4,12,31))=0,"",SUMIFS('Fund History'!$H$684:$H$688,'Fund History'!$G$684:$G$688,"&gt;="&amp;DATE(YEAR_Y-4,1,1),'Fund History'!$G$684:$G$688,"&lt;="&amp;DATE(YEAR_Y-4,12,31))/100)))</f>
        <v/>
      </c>
      <c r="AD124" s="73">
        <f>IF($C124="","",IF(PULL_FUND="N","",IF(COUNTIFS('Fund History'!$G$684:$G$688,"&gt;="&amp;DATE(YEAR_Y-3,1,1),'Fund History'!$G$684:$G$688,"&lt;="&amp;DATE(YEAR_Y-3,12,31))=0,"",SUMIFS('Fund History'!$H$684:$H$688,'Fund History'!$G$684:$G$688,"&gt;="&amp;DATE(YEAR_Y-3,1,1),'Fund History'!$G$684:$G$688,"&lt;="&amp;DATE(YEAR_Y-3,12,31))/100)))</f>
        <v/>
      </c>
      <c r="AE124" s="73">
        <f>IF($C124="","",IF(PULL_FUND="N","",IF(COUNTIFS('Fund History'!$G$684:$G$688,"&gt;="&amp;DATE(YEAR_Y-2,1,1),'Fund History'!$G$684:$G$688,"&lt;="&amp;DATE(YEAR_Y-2,12,31))=0,"",SUMIFS('Fund History'!$H$684:$H$688,'Fund History'!$G$684:$G$688,"&gt;="&amp;DATE(YEAR_Y-2,1,1),'Fund History'!$G$684:$G$688,"&lt;="&amp;DATE(YEAR_Y-2,12,31))/100)))</f>
        <v/>
      </c>
      <c r="AF124" s="73">
        <f>IF($C124="","",IF(PULL_FUND="N","",IF(COUNTIFS('Fund History'!$G$684:$G$688,"&gt;="&amp;DATE(YEAR_Y-1,1,1),'Fund History'!$G$684:$G$688,"&lt;="&amp;DATE(YEAR_Y-1,12,31))=0,"",SUMIFS('Fund History'!$H$684:$H$688,'Fund History'!$G$684:$G$688,"&gt;="&amp;DATE(YEAR_Y-1,1,1),'Fund History'!$G$684:$G$688,"&lt;="&amp;DATE(YEAR_Y-1,12,31))/100)))</f>
        <v/>
      </c>
      <c r="AG124" s="74">
        <f>IF($C124="","",IF(N($AF124)+N(HSTECH!$I$19)=0,"",N($AF124)+N(HSTECH!$I$19)/100))</f>
        <v/>
      </c>
      <c r="AH124" s="66">
        <f>IF($C124="","",IF(PULL_FUND="N","",IF(COUNTIFS('Fund History'!$D$684:$D$688,"&gt;="&amp;DATE(YEAR_Y-2,1,1),'Fund History'!$D$684:$D$688,"&lt;="&amp;DATE(YEAR_Y-2,12,31))=0,"",SUMIFS('Fund History'!$E$684:$E$688,'Fund History'!$D$684:$D$688,"&gt;="&amp;DATE(YEAR_Y-2,1,1),'Fund History'!$D$684:$D$688,"&lt;="&amp;DATE(YEAR_Y-2,12,31)))))</f>
        <v/>
      </c>
      <c r="AI124" s="67">
        <f>IF($C124="","",IF(PULL_FUND="N","",IF(COUNTIFS('Fund History'!$D$684:$D$688,"&gt;="&amp;DATE(YEAR_Y-1,1,1),'Fund History'!$D$684:$D$688,"&lt;="&amp;DATE(YEAR_Y-1,12,31))=0,"",SUMIFS('Fund History'!$E$684:$E$688,'Fund History'!$D$684:$D$688,"&gt;="&amp;DATE(YEAR_Y-1,1,1),'Fund History'!$D$684:$D$688,"&lt;="&amp;DATE(YEAR_Y-1,12,31)))))</f>
        <v/>
      </c>
      <c r="AJ124" s="67">
        <f>IF($C124="","",IF(PULL_FUND="N","",IFERROR(BDP($C124,NDEBITDA_FIELD),"")))</f>
        <v/>
      </c>
      <c r="AK124" s="75">
        <f>IF($C124="","",IF(PULL_FUND="N","",IFERROR(BDP($C124,EBINT_FIELD),"")))</f>
        <v/>
      </c>
      <c r="AL124" s="73">
        <f>IF($C124="","",IF(PULL_FUND="N","",IFERROR(BDP($C124,FCF_FIELD)/100,"")))</f>
        <v/>
      </c>
      <c r="AM124" s="76">
        <f>IF($C124="","",IF(ISNUMBER(HSTECH!$I$19),HSTECH!$I$19/100,""))</f>
        <v/>
      </c>
      <c r="AN124" s="47">
        <f>IF($C124="","",IF(N($AM124)=0,"",IFERROR($AL124/$AM124,"")))</f>
        <v/>
      </c>
      <c r="AO124" s="33">
        <f>IF($C124="","",IF(ISNUMBER($S124)*ISNUMBER($W124)=0,"",IF($W124&gt;$S124+0.05,"rising",IF($W124&lt;$S124-0.05,"falling","stable"))))</f>
        <v/>
      </c>
      <c r="AP124" s="77">
        <f>IF($C124="","",TRIM(IF(ISNUMBER($X124)*(N($X124)&gt;$D$4)&gt;0,"payout high  ","")&amp;IF(ISNUMBER($AN124)*(N($AN124)&lt;$F$4)&gt;0,"FCF below dvd  ","")&amp;IF(ISNUMBER($AJ124)*(N($AJ124)&gt;$H$4)&gt;0,"leverage high","")))</f>
        <v/>
      </c>
      <c r="AQ124" s="78">
        <f>IF($C124="","",IF(HSTECH!$F$19="HKD","",HSTECH!$F$19))</f>
        <v/>
      </c>
    </row>
    <row r="125">
      <c r="B125" s="62" t="inlineStr">
        <is>
          <t>HSTECH</t>
        </is>
      </c>
      <c r="C125" s="6">
        <f>IF(HSTECH!$C$20="","",HSTECH!$C$20)</f>
        <v/>
      </c>
      <c r="D125" s="6">
        <f>IF($C125="","",HSTECH!$D$20)</f>
        <v/>
      </c>
      <c r="E125" s="6">
        <f>IF($C125="","",HSTECH!$E$20)</f>
        <v/>
      </c>
      <c r="F125" s="63">
        <f>IF($C125="","",SUMPRODUCT(('Dvd Calendar'!$E$1259:$AR$1259&gt;=DATE(YEAR_Y-5,1,1))*('Dvd Calendar'!$E$1259:$AR$1259&lt;=DATE(YEAR_Y-5,12,31))*'Dvd Calendar'!$E$1262:$AR$1262*(('Dvd Calendar'!$E$1264:$AR$1264=TYPE1)*(TYPE1&lt;&gt;"")+('Dvd Calendar'!$E$1264:$AR$1264=TYPE2)*(TYPE2&lt;&gt;"")+('Dvd Calendar'!$E$1264:$AR$1264=TYPE3)*(TYPE3&lt;&gt;"")+('Dvd Calendar'!$E$1264:$AR$1264=TYPE4)*(TYPE4&lt;&gt;"")+('Dvd Calendar'!$E$1264:$AR$1264=SPECIAL_LBL)*(INC_SPECIALS="Y"))))</f>
        <v/>
      </c>
      <c r="G125" s="64">
        <f>IF($C125="","",SUMPRODUCT(('Dvd Calendar'!$E$1259:$AR$1259&gt;=DATE(YEAR_Y-4,1,1))*('Dvd Calendar'!$E$1259:$AR$1259&lt;=DATE(YEAR_Y-4,12,31))*'Dvd Calendar'!$E$1262:$AR$1262*(('Dvd Calendar'!$E$1264:$AR$1264=TYPE1)*(TYPE1&lt;&gt;"")+('Dvd Calendar'!$E$1264:$AR$1264=TYPE2)*(TYPE2&lt;&gt;"")+('Dvd Calendar'!$E$1264:$AR$1264=TYPE3)*(TYPE3&lt;&gt;"")+('Dvd Calendar'!$E$1264:$AR$1264=TYPE4)*(TYPE4&lt;&gt;"")+('Dvd Calendar'!$E$1264:$AR$1264=SPECIAL_LBL)*(INC_SPECIALS="Y"))))</f>
        <v/>
      </c>
      <c r="H125" s="64">
        <f>IF($C125="","",SUMPRODUCT(('Dvd Calendar'!$E$1259:$AR$1259&gt;=DATE(YEAR_Y-3,1,1))*('Dvd Calendar'!$E$1259:$AR$1259&lt;=DATE(YEAR_Y-3,12,31))*'Dvd Calendar'!$E$1262:$AR$1262*(('Dvd Calendar'!$E$1264:$AR$1264=TYPE1)*(TYPE1&lt;&gt;"")+('Dvd Calendar'!$E$1264:$AR$1264=TYPE2)*(TYPE2&lt;&gt;"")+('Dvd Calendar'!$E$1264:$AR$1264=TYPE3)*(TYPE3&lt;&gt;"")+('Dvd Calendar'!$E$1264:$AR$1264=TYPE4)*(TYPE4&lt;&gt;"")+('Dvd Calendar'!$E$1264:$AR$1264=SPECIAL_LBL)*(INC_SPECIALS="Y"))))</f>
        <v/>
      </c>
      <c r="I125" s="64">
        <f>IF($C125="","",SUMPRODUCT(('Dvd Calendar'!$E$1259:$AR$1259&gt;=DATE(YEAR_Y-2,1,1))*('Dvd Calendar'!$E$1259:$AR$1259&lt;=DATE(YEAR_Y-2,12,31))*'Dvd Calendar'!$E$1262:$AR$1262*(('Dvd Calendar'!$E$1264:$AR$1264=TYPE1)*(TYPE1&lt;&gt;"")+('Dvd Calendar'!$E$1264:$AR$1264=TYPE2)*(TYPE2&lt;&gt;"")+('Dvd Calendar'!$E$1264:$AR$1264=TYPE3)*(TYPE3&lt;&gt;"")+('Dvd Calendar'!$E$1264:$AR$1264=TYPE4)*(TYPE4&lt;&gt;"")+('Dvd Calendar'!$E$1264:$AR$1264=SPECIAL_LBL)*(INC_SPECIALS="Y"))))</f>
        <v/>
      </c>
      <c r="J125" s="64">
        <f>IF($C125="","",SUMPRODUCT(('Dvd Calendar'!$E$1259:$AR$1259&gt;=DATE(YEAR_Y-1,1,1))*('Dvd Calendar'!$E$1259:$AR$1259&lt;=DATE(YEAR_Y-1,12,31))*'Dvd Calendar'!$E$1262:$AR$1262*(('Dvd Calendar'!$E$1264:$AR$1264=TYPE1)*(TYPE1&lt;&gt;"")+('Dvd Calendar'!$E$1264:$AR$1264=TYPE2)*(TYPE2&lt;&gt;"")+('Dvd Calendar'!$E$1264:$AR$1264=TYPE3)*(TYPE3&lt;&gt;"")+('Dvd Calendar'!$E$1264:$AR$1264=TYPE4)*(TYPE4&lt;&gt;"")+('Dvd Calendar'!$E$1264:$AR$1264=SPECIAL_LBL)*(INC_SPECIALS="Y"))))</f>
        <v/>
      </c>
      <c r="K125" s="65">
        <f>IF($C125="","",HSTECH!$J$20)</f>
        <v/>
      </c>
      <c r="L125" s="65">
        <f>IF($C125="","",HSTECH!$K$20)</f>
        <v/>
      </c>
      <c r="M125" s="41">
        <f>IF($C125="","",AVERAGE(F125:J125))</f>
        <v/>
      </c>
      <c r="N125" s="66">
        <f>IF($C125="","",IF(PULL_FUND="N","",IFERROR(BDP($C125,EPS_FIELD,YR_OVERRIDE,TEXT(YEAR_Y-5,"0")),"")))</f>
        <v/>
      </c>
      <c r="O125" s="67">
        <f>IF($C125="","",IF(PULL_FUND="N","",IFERROR(BDP($C125,EPS_FIELD,YR_OVERRIDE,TEXT(YEAR_Y-4,"0")),"")))</f>
        <v/>
      </c>
      <c r="P125" s="67">
        <f>IF($C125="","",IF(PULL_FUND="N","",IFERROR(BDP($C125,EPS_FIELD,YR_OVERRIDE,TEXT(YEAR_Y-3,"0")),"")))</f>
        <v/>
      </c>
      <c r="Q125" s="67">
        <f>IF($C125="","",IF(PULL_FUND="N","",IFERROR(BDP($C125,EPS_FIELD,YR_OVERRIDE,TEXT(YEAR_Y-2,"0")),"")))</f>
        <v/>
      </c>
      <c r="R125" s="67">
        <f>IF($C125="","",IF(PULL_FUND="N","",IFERROR(BDP($C125,EPS_FIELD,YR_OVERRIDE,TEXT(YEAR_Y-1,"0")),"")))</f>
        <v/>
      </c>
      <c r="S125" s="68">
        <f>IF($C125="","",IF(PULL_FUND="N","",IFERROR(BDP($C125,PAYOUT_FIELD,YR_OVERRIDE,TEXT(YEAR_Y-5,"0"))/100,"")))</f>
        <v/>
      </c>
      <c r="T125" s="68">
        <f>IF($C125="","",IF(PULL_FUND="N","",IFERROR(BDP($C125,PAYOUT_FIELD,YR_OVERRIDE,TEXT(YEAR_Y-4,"0"))/100,"")))</f>
        <v/>
      </c>
      <c r="U125" s="68">
        <f>IF($C125="","",IF(PULL_FUND="N","",IFERROR(BDP($C125,PAYOUT_FIELD,YR_OVERRIDE,TEXT(YEAR_Y-3,"0"))/100,"")))</f>
        <v/>
      </c>
      <c r="V125" s="68">
        <f>IF($C125="","",IF(PULL_FUND="N","",IFERROR(BDP($C125,PAYOUT_FIELD,YR_OVERRIDE,TEXT(YEAR_Y-2,"0"))/100,"")))</f>
        <v/>
      </c>
      <c r="W125" s="68">
        <f>IF($C125="","",IF(PULL_FUND="N","",IFERROR(BDP($C125,PAYOUT_FIELD,YR_OVERRIDE,TEXT(YEAR_Y-1,"0"))/100,"")))</f>
        <v/>
      </c>
      <c r="X125" s="69">
        <f>IF($C125="","",IFERROR(AVERAGE(S125:W125),""))</f>
        <v/>
      </c>
      <c r="Y125" s="66">
        <f>IF($C125="","",IF(PULL_FUND="N","",IFERROR(BDP($C125,BESTEPS_FIELD,FWD_OVERRIDE,TEXT(MOD(YEAR_Y,100),"00")&amp;"Y"),"")))</f>
        <v/>
      </c>
      <c r="Z125" s="70">
        <f>IF($C125="","",IF(PULL_FUND="N","",IFERROR(BDP($C125,BESTDPS_FIELD,FWD_OVERRIDE,TEXT(MOD(YEAR_Y,100),"00")&amp;"Y"),"")))</f>
        <v/>
      </c>
      <c r="AA125" s="71">
        <f>IF($C125="","",IF(ISNUMBER($Y125)*ISNUMBER($Z125)*($Y125&lt;&gt;0)=0,"",$Z125/$Y125))</f>
        <v/>
      </c>
      <c r="AB125" s="41">
        <f>IF($C125="","",HSTECH!$J$20+HSTECH!$L$20)</f>
        <v/>
      </c>
      <c r="AC125" s="72">
        <f>IF($C125="","",IF(PULL_FUND="N","",IF(COUNTIFS('Fund History'!$G$690:$G$694,"&gt;="&amp;DATE(YEAR_Y-4,1,1),'Fund History'!$G$690:$G$694,"&lt;="&amp;DATE(YEAR_Y-4,12,31))=0,"",SUMIFS('Fund History'!$H$690:$H$694,'Fund History'!$G$690:$G$694,"&gt;="&amp;DATE(YEAR_Y-4,1,1),'Fund History'!$G$690:$G$694,"&lt;="&amp;DATE(YEAR_Y-4,12,31))/100)))</f>
        <v/>
      </c>
      <c r="AD125" s="73">
        <f>IF($C125="","",IF(PULL_FUND="N","",IF(COUNTIFS('Fund History'!$G$690:$G$694,"&gt;="&amp;DATE(YEAR_Y-3,1,1),'Fund History'!$G$690:$G$694,"&lt;="&amp;DATE(YEAR_Y-3,12,31))=0,"",SUMIFS('Fund History'!$H$690:$H$694,'Fund History'!$G$690:$G$694,"&gt;="&amp;DATE(YEAR_Y-3,1,1),'Fund History'!$G$690:$G$694,"&lt;="&amp;DATE(YEAR_Y-3,12,31))/100)))</f>
        <v/>
      </c>
      <c r="AE125" s="73">
        <f>IF($C125="","",IF(PULL_FUND="N","",IF(COUNTIFS('Fund History'!$G$690:$G$694,"&gt;="&amp;DATE(YEAR_Y-2,1,1),'Fund History'!$G$690:$G$694,"&lt;="&amp;DATE(YEAR_Y-2,12,31))=0,"",SUMIFS('Fund History'!$H$690:$H$694,'Fund History'!$G$690:$G$694,"&gt;="&amp;DATE(YEAR_Y-2,1,1),'Fund History'!$G$690:$G$694,"&lt;="&amp;DATE(YEAR_Y-2,12,31))/100)))</f>
        <v/>
      </c>
      <c r="AF125" s="73">
        <f>IF($C125="","",IF(PULL_FUND="N","",IF(COUNTIFS('Fund History'!$G$690:$G$694,"&gt;="&amp;DATE(YEAR_Y-1,1,1),'Fund History'!$G$690:$G$694,"&lt;="&amp;DATE(YEAR_Y-1,12,31))=0,"",SUMIFS('Fund History'!$H$690:$H$694,'Fund History'!$G$690:$G$694,"&gt;="&amp;DATE(YEAR_Y-1,1,1),'Fund History'!$G$690:$G$694,"&lt;="&amp;DATE(YEAR_Y-1,12,31))/100)))</f>
        <v/>
      </c>
      <c r="AG125" s="74">
        <f>IF($C125="","",IF(N($AF125)+N(HSTECH!$I$20)=0,"",N($AF125)+N(HSTECH!$I$20)/100))</f>
        <v/>
      </c>
      <c r="AH125" s="66">
        <f>IF($C125="","",IF(PULL_FUND="N","",IF(COUNTIFS('Fund History'!$D$690:$D$694,"&gt;="&amp;DATE(YEAR_Y-2,1,1),'Fund History'!$D$690:$D$694,"&lt;="&amp;DATE(YEAR_Y-2,12,31))=0,"",SUMIFS('Fund History'!$E$690:$E$694,'Fund History'!$D$690:$D$694,"&gt;="&amp;DATE(YEAR_Y-2,1,1),'Fund History'!$D$690:$D$694,"&lt;="&amp;DATE(YEAR_Y-2,12,31)))))</f>
        <v/>
      </c>
      <c r="AI125" s="67">
        <f>IF($C125="","",IF(PULL_FUND="N","",IF(COUNTIFS('Fund History'!$D$690:$D$694,"&gt;="&amp;DATE(YEAR_Y-1,1,1),'Fund History'!$D$690:$D$694,"&lt;="&amp;DATE(YEAR_Y-1,12,31))=0,"",SUMIFS('Fund History'!$E$690:$E$694,'Fund History'!$D$690:$D$694,"&gt;="&amp;DATE(YEAR_Y-1,1,1),'Fund History'!$D$690:$D$694,"&lt;="&amp;DATE(YEAR_Y-1,12,31)))))</f>
        <v/>
      </c>
      <c r="AJ125" s="67">
        <f>IF($C125="","",IF(PULL_FUND="N","",IFERROR(BDP($C125,NDEBITDA_FIELD),"")))</f>
        <v/>
      </c>
      <c r="AK125" s="75">
        <f>IF($C125="","",IF(PULL_FUND="N","",IFERROR(BDP($C125,EBINT_FIELD),"")))</f>
        <v/>
      </c>
      <c r="AL125" s="73">
        <f>IF($C125="","",IF(PULL_FUND="N","",IFERROR(BDP($C125,FCF_FIELD)/100,"")))</f>
        <v/>
      </c>
      <c r="AM125" s="76">
        <f>IF($C125="","",IF(ISNUMBER(HSTECH!$I$20),HSTECH!$I$20/100,""))</f>
        <v/>
      </c>
      <c r="AN125" s="47">
        <f>IF($C125="","",IF(N($AM125)=0,"",IFERROR($AL125/$AM125,"")))</f>
        <v/>
      </c>
      <c r="AO125" s="33">
        <f>IF($C125="","",IF(ISNUMBER($S125)*ISNUMBER($W125)=0,"",IF($W125&gt;$S125+0.05,"rising",IF($W125&lt;$S125-0.05,"falling","stable"))))</f>
        <v/>
      </c>
      <c r="AP125" s="77">
        <f>IF($C125="","",TRIM(IF(ISNUMBER($X125)*(N($X125)&gt;$D$4)&gt;0,"payout high  ","")&amp;IF(ISNUMBER($AN125)*(N($AN125)&lt;$F$4)&gt;0,"FCF below dvd  ","")&amp;IF(ISNUMBER($AJ125)*(N($AJ125)&gt;$H$4)&gt;0,"leverage high","")))</f>
        <v/>
      </c>
      <c r="AQ125" s="78">
        <f>IF($C125="","",IF(HSTECH!$F$20="HKD","",HSTECH!$F$20))</f>
        <v/>
      </c>
    </row>
    <row r="126">
      <c r="B126" s="62" t="inlineStr">
        <is>
          <t>HSTECH</t>
        </is>
      </c>
      <c r="C126" s="6">
        <f>IF(HSTECH!$C$21="","",HSTECH!$C$21)</f>
        <v/>
      </c>
      <c r="D126" s="6">
        <f>IF($C126="","",HSTECH!$D$21)</f>
        <v/>
      </c>
      <c r="E126" s="6">
        <f>IF($C126="","",HSTECH!$E$21)</f>
        <v/>
      </c>
      <c r="F126" s="63">
        <f>IF($C126="","",SUMPRODUCT(('Dvd Calendar'!$E$1270:$AR$1270&gt;=DATE(YEAR_Y-5,1,1))*('Dvd Calendar'!$E$1270:$AR$1270&lt;=DATE(YEAR_Y-5,12,31))*'Dvd Calendar'!$E$1273:$AR$1273*(('Dvd Calendar'!$E$1275:$AR$1275=TYPE1)*(TYPE1&lt;&gt;"")+('Dvd Calendar'!$E$1275:$AR$1275=TYPE2)*(TYPE2&lt;&gt;"")+('Dvd Calendar'!$E$1275:$AR$1275=TYPE3)*(TYPE3&lt;&gt;"")+('Dvd Calendar'!$E$1275:$AR$1275=TYPE4)*(TYPE4&lt;&gt;"")+('Dvd Calendar'!$E$1275:$AR$1275=SPECIAL_LBL)*(INC_SPECIALS="Y"))))</f>
        <v/>
      </c>
      <c r="G126" s="64">
        <f>IF($C126="","",SUMPRODUCT(('Dvd Calendar'!$E$1270:$AR$1270&gt;=DATE(YEAR_Y-4,1,1))*('Dvd Calendar'!$E$1270:$AR$1270&lt;=DATE(YEAR_Y-4,12,31))*'Dvd Calendar'!$E$1273:$AR$1273*(('Dvd Calendar'!$E$1275:$AR$1275=TYPE1)*(TYPE1&lt;&gt;"")+('Dvd Calendar'!$E$1275:$AR$1275=TYPE2)*(TYPE2&lt;&gt;"")+('Dvd Calendar'!$E$1275:$AR$1275=TYPE3)*(TYPE3&lt;&gt;"")+('Dvd Calendar'!$E$1275:$AR$1275=TYPE4)*(TYPE4&lt;&gt;"")+('Dvd Calendar'!$E$1275:$AR$1275=SPECIAL_LBL)*(INC_SPECIALS="Y"))))</f>
        <v/>
      </c>
      <c r="H126" s="64">
        <f>IF($C126="","",SUMPRODUCT(('Dvd Calendar'!$E$1270:$AR$1270&gt;=DATE(YEAR_Y-3,1,1))*('Dvd Calendar'!$E$1270:$AR$1270&lt;=DATE(YEAR_Y-3,12,31))*'Dvd Calendar'!$E$1273:$AR$1273*(('Dvd Calendar'!$E$1275:$AR$1275=TYPE1)*(TYPE1&lt;&gt;"")+('Dvd Calendar'!$E$1275:$AR$1275=TYPE2)*(TYPE2&lt;&gt;"")+('Dvd Calendar'!$E$1275:$AR$1275=TYPE3)*(TYPE3&lt;&gt;"")+('Dvd Calendar'!$E$1275:$AR$1275=TYPE4)*(TYPE4&lt;&gt;"")+('Dvd Calendar'!$E$1275:$AR$1275=SPECIAL_LBL)*(INC_SPECIALS="Y"))))</f>
        <v/>
      </c>
      <c r="I126" s="64">
        <f>IF($C126="","",SUMPRODUCT(('Dvd Calendar'!$E$1270:$AR$1270&gt;=DATE(YEAR_Y-2,1,1))*('Dvd Calendar'!$E$1270:$AR$1270&lt;=DATE(YEAR_Y-2,12,31))*'Dvd Calendar'!$E$1273:$AR$1273*(('Dvd Calendar'!$E$1275:$AR$1275=TYPE1)*(TYPE1&lt;&gt;"")+('Dvd Calendar'!$E$1275:$AR$1275=TYPE2)*(TYPE2&lt;&gt;"")+('Dvd Calendar'!$E$1275:$AR$1275=TYPE3)*(TYPE3&lt;&gt;"")+('Dvd Calendar'!$E$1275:$AR$1275=TYPE4)*(TYPE4&lt;&gt;"")+('Dvd Calendar'!$E$1275:$AR$1275=SPECIAL_LBL)*(INC_SPECIALS="Y"))))</f>
        <v/>
      </c>
      <c r="J126" s="64">
        <f>IF($C126="","",SUMPRODUCT(('Dvd Calendar'!$E$1270:$AR$1270&gt;=DATE(YEAR_Y-1,1,1))*('Dvd Calendar'!$E$1270:$AR$1270&lt;=DATE(YEAR_Y-1,12,31))*'Dvd Calendar'!$E$1273:$AR$1273*(('Dvd Calendar'!$E$1275:$AR$1275=TYPE1)*(TYPE1&lt;&gt;"")+('Dvd Calendar'!$E$1275:$AR$1275=TYPE2)*(TYPE2&lt;&gt;"")+('Dvd Calendar'!$E$1275:$AR$1275=TYPE3)*(TYPE3&lt;&gt;"")+('Dvd Calendar'!$E$1275:$AR$1275=TYPE4)*(TYPE4&lt;&gt;"")+('Dvd Calendar'!$E$1275:$AR$1275=SPECIAL_LBL)*(INC_SPECIALS="Y"))))</f>
        <v/>
      </c>
      <c r="K126" s="65">
        <f>IF($C126="","",HSTECH!$J$21)</f>
        <v/>
      </c>
      <c r="L126" s="65">
        <f>IF($C126="","",HSTECH!$K$21)</f>
        <v/>
      </c>
      <c r="M126" s="41">
        <f>IF($C126="","",AVERAGE(F126:J126))</f>
        <v/>
      </c>
      <c r="N126" s="66">
        <f>IF($C126="","",IF(PULL_FUND="N","",IFERROR(BDP($C126,EPS_FIELD,YR_OVERRIDE,TEXT(YEAR_Y-5,"0")),"")))</f>
        <v/>
      </c>
      <c r="O126" s="67">
        <f>IF($C126="","",IF(PULL_FUND="N","",IFERROR(BDP($C126,EPS_FIELD,YR_OVERRIDE,TEXT(YEAR_Y-4,"0")),"")))</f>
        <v/>
      </c>
      <c r="P126" s="67">
        <f>IF($C126="","",IF(PULL_FUND="N","",IFERROR(BDP($C126,EPS_FIELD,YR_OVERRIDE,TEXT(YEAR_Y-3,"0")),"")))</f>
        <v/>
      </c>
      <c r="Q126" s="67">
        <f>IF($C126="","",IF(PULL_FUND="N","",IFERROR(BDP($C126,EPS_FIELD,YR_OVERRIDE,TEXT(YEAR_Y-2,"0")),"")))</f>
        <v/>
      </c>
      <c r="R126" s="67">
        <f>IF($C126="","",IF(PULL_FUND="N","",IFERROR(BDP($C126,EPS_FIELD,YR_OVERRIDE,TEXT(YEAR_Y-1,"0")),"")))</f>
        <v/>
      </c>
      <c r="S126" s="68">
        <f>IF($C126="","",IF(PULL_FUND="N","",IFERROR(BDP($C126,PAYOUT_FIELD,YR_OVERRIDE,TEXT(YEAR_Y-5,"0"))/100,"")))</f>
        <v/>
      </c>
      <c r="T126" s="68">
        <f>IF($C126="","",IF(PULL_FUND="N","",IFERROR(BDP($C126,PAYOUT_FIELD,YR_OVERRIDE,TEXT(YEAR_Y-4,"0"))/100,"")))</f>
        <v/>
      </c>
      <c r="U126" s="68">
        <f>IF($C126="","",IF(PULL_FUND="N","",IFERROR(BDP($C126,PAYOUT_FIELD,YR_OVERRIDE,TEXT(YEAR_Y-3,"0"))/100,"")))</f>
        <v/>
      </c>
      <c r="V126" s="68">
        <f>IF($C126="","",IF(PULL_FUND="N","",IFERROR(BDP($C126,PAYOUT_FIELD,YR_OVERRIDE,TEXT(YEAR_Y-2,"0"))/100,"")))</f>
        <v/>
      </c>
      <c r="W126" s="68">
        <f>IF($C126="","",IF(PULL_FUND="N","",IFERROR(BDP($C126,PAYOUT_FIELD,YR_OVERRIDE,TEXT(YEAR_Y-1,"0"))/100,"")))</f>
        <v/>
      </c>
      <c r="X126" s="69">
        <f>IF($C126="","",IFERROR(AVERAGE(S126:W126),""))</f>
        <v/>
      </c>
      <c r="Y126" s="66">
        <f>IF($C126="","",IF(PULL_FUND="N","",IFERROR(BDP($C126,BESTEPS_FIELD,FWD_OVERRIDE,TEXT(MOD(YEAR_Y,100),"00")&amp;"Y"),"")))</f>
        <v/>
      </c>
      <c r="Z126" s="70">
        <f>IF($C126="","",IF(PULL_FUND="N","",IFERROR(BDP($C126,BESTDPS_FIELD,FWD_OVERRIDE,TEXT(MOD(YEAR_Y,100),"00")&amp;"Y"),"")))</f>
        <v/>
      </c>
      <c r="AA126" s="71">
        <f>IF($C126="","",IF(ISNUMBER($Y126)*ISNUMBER($Z126)*($Y126&lt;&gt;0)=0,"",$Z126/$Y126))</f>
        <v/>
      </c>
      <c r="AB126" s="41">
        <f>IF($C126="","",HSTECH!$J$21+HSTECH!$L$21)</f>
        <v/>
      </c>
      <c r="AC126" s="72">
        <f>IF($C126="","",IF(PULL_FUND="N","",IF(COUNTIFS('Fund History'!$G$696:$G$700,"&gt;="&amp;DATE(YEAR_Y-4,1,1),'Fund History'!$G$696:$G$700,"&lt;="&amp;DATE(YEAR_Y-4,12,31))=0,"",SUMIFS('Fund History'!$H$696:$H$700,'Fund History'!$G$696:$G$700,"&gt;="&amp;DATE(YEAR_Y-4,1,1),'Fund History'!$G$696:$G$700,"&lt;="&amp;DATE(YEAR_Y-4,12,31))/100)))</f>
        <v/>
      </c>
      <c r="AD126" s="73">
        <f>IF($C126="","",IF(PULL_FUND="N","",IF(COUNTIFS('Fund History'!$G$696:$G$700,"&gt;="&amp;DATE(YEAR_Y-3,1,1),'Fund History'!$G$696:$G$700,"&lt;="&amp;DATE(YEAR_Y-3,12,31))=0,"",SUMIFS('Fund History'!$H$696:$H$700,'Fund History'!$G$696:$G$700,"&gt;="&amp;DATE(YEAR_Y-3,1,1),'Fund History'!$G$696:$G$700,"&lt;="&amp;DATE(YEAR_Y-3,12,31))/100)))</f>
        <v/>
      </c>
      <c r="AE126" s="73">
        <f>IF($C126="","",IF(PULL_FUND="N","",IF(COUNTIFS('Fund History'!$G$696:$G$700,"&gt;="&amp;DATE(YEAR_Y-2,1,1),'Fund History'!$G$696:$G$700,"&lt;="&amp;DATE(YEAR_Y-2,12,31))=0,"",SUMIFS('Fund History'!$H$696:$H$700,'Fund History'!$G$696:$G$700,"&gt;="&amp;DATE(YEAR_Y-2,1,1),'Fund History'!$G$696:$G$700,"&lt;="&amp;DATE(YEAR_Y-2,12,31))/100)))</f>
        <v/>
      </c>
      <c r="AF126" s="73">
        <f>IF($C126="","",IF(PULL_FUND="N","",IF(COUNTIFS('Fund History'!$G$696:$G$700,"&gt;="&amp;DATE(YEAR_Y-1,1,1),'Fund History'!$G$696:$G$700,"&lt;="&amp;DATE(YEAR_Y-1,12,31))=0,"",SUMIFS('Fund History'!$H$696:$H$700,'Fund History'!$G$696:$G$700,"&gt;="&amp;DATE(YEAR_Y-1,1,1),'Fund History'!$G$696:$G$700,"&lt;="&amp;DATE(YEAR_Y-1,12,31))/100)))</f>
        <v/>
      </c>
      <c r="AG126" s="74">
        <f>IF($C126="","",IF(N($AF126)+N(HSTECH!$I$21)=0,"",N($AF126)+N(HSTECH!$I$21)/100))</f>
        <v/>
      </c>
      <c r="AH126" s="66">
        <f>IF($C126="","",IF(PULL_FUND="N","",IF(COUNTIFS('Fund History'!$D$696:$D$700,"&gt;="&amp;DATE(YEAR_Y-2,1,1),'Fund History'!$D$696:$D$700,"&lt;="&amp;DATE(YEAR_Y-2,12,31))=0,"",SUMIFS('Fund History'!$E$696:$E$700,'Fund History'!$D$696:$D$700,"&gt;="&amp;DATE(YEAR_Y-2,1,1),'Fund History'!$D$696:$D$700,"&lt;="&amp;DATE(YEAR_Y-2,12,31)))))</f>
        <v/>
      </c>
      <c r="AI126" s="67">
        <f>IF($C126="","",IF(PULL_FUND="N","",IF(COUNTIFS('Fund History'!$D$696:$D$700,"&gt;="&amp;DATE(YEAR_Y-1,1,1),'Fund History'!$D$696:$D$700,"&lt;="&amp;DATE(YEAR_Y-1,12,31))=0,"",SUMIFS('Fund History'!$E$696:$E$700,'Fund History'!$D$696:$D$700,"&gt;="&amp;DATE(YEAR_Y-1,1,1),'Fund History'!$D$696:$D$700,"&lt;="&amp;DATE(YEAR_Y-1,12,31)))))</f>
        <v/>
      </c>
      <c r="AJ126" s="67">
        <f>IF($C126="","",IF(PULL_FUND="N","",IFERROR(BDP($C126,NDEBITDA_FIELD),"")))</f>
        <v/>
      </c>
      <c r="AK126" s="75">
        <f>IF($C126="","",IF(PULL_FUND="N","",IFERROR(BDP($C126,EBINT_FIELD),"")))</f>
        <v/>
      </c>
      <c r="AL126" s="73">
        <f>IF($C126="","",IF(PULL_FUND="N","",IFERROR(BDP($C126,FCF_FIELD)/100,"")))</f>
        <v/>
      </c>
      <c r="AM126" s="76">
        <f>IF($C126="","",IF(ISNUMBER(HSTECH!$I$21),HSTECH!$I$21/100,""))</f>
        <v/>
      </c>
      <c r="AN126" s="47">
        <f>IF($C126="","",IF(N($AM126)=0,"",IFERROR($AL126/$AM126,"")))</f>
        <v/>
      </c>
      <c r="AO126" s="33">
        <f>IF($C126="","",IF(ISNUMBER($S126)*ISNUMBER($W126)=0,"",IF($W126&gt;$S126+0.05,"rising",IF($W126&lt;$S126-0.05,"falling","stable"))))</f>
        <v/>
      </c>
      <c r="AP126" s="77">
        <f>IF($C126="","",TRIM(IF(ISNUMBER($X126)*(N($X126)&gt;$D$4)&gt;0,"payout high  ","")&amp;IF(ISNUMBER($AN126)*(N($AN126)&lt;$F$4)&gt;0,"FCF below dvd  ","")&amp;IF(ISNUMBER($AJ126)*(N($AJ126)&gt;$H$4)&gt;0,"leverage high","")))</f>
        <v/>
      </c>
      <c r="AQ126" s="78">
        <f>IF($C126="","",IF(HSTECH!$F$21="HKD","",HSTECH!$F$21))</f>
        <v/>
      </c>
    </row>
    <row r="127">
      <c r="B127" s="62" t="inlineStr">
        <is>
          <t>HSTECH</t>
        </is>
      </c>
      <c r="C127" s="6">
        <f>IF(HSTECH!$C$22="","",HSTECH!$C$22)</f>
        <v/>
      </c>
      <c r="D127" s="6">
        <f>IF($C127="","",HSTECH!$D$22)</f>
        <v/>
      </c>
      <c r="E127" s="6">
        <f>IF($C127="","",HSTECH!$E$22)</f>
        <v/>
      </c>
      <c r="F127" s="63">
        <f>IF($C127="","",SUMPRODUCT(('Dvd Calendar'!$E$1281:$AR$1281&gt;=DATE(YEAR_Y-5,1,1))*('Dvd Calendar'!$E$1281:$AR$1281&lt;=DATE(YEAR_Y-5,12,31))*'Dvd Calendar'!$E$1284:$AR$1284*(('Dvd Calendar'!$E$1286:$AR$1286=TYPE1)*(TYPE1&lt;&gt;"")+('Dvd Calendar'!$E$1286:$AR$1286=TYPE2)*(TYPE2&lt;&gt;"")+('Dvd Calendar'!$E$1286:$AR$1286=TYPE3)*(TYPE3&lt;&gt;"")+('Dvd Calendar'!$E$1286:$AR$1286=TYPE4)*(TYPE4&lt;&gt;"")+('Dvd Calendar'!$E$1286:$AR$1286=SPECIAL_LBL)*(INC_SPECIALS="Y"))))</f>
        <v/>
      </c>
      <c r="G127" s="64">
        <f>IF($C127="","",SUMPRODUCT(('Dvd Calendar'!$E$1281:$AR$1281&gt;=DATE(YEAR_Y-4,1,1))*('Dvd Calendar'!$E$1281:$AR$1281&lt;=DATE(YEAR_Y-4,12,31))*'Dvd Calendar'!$E$1284:$AR$1284*(('Dvd Calendar'!$E$1286:$AR$1286=TYPE1)*(TYPE1&lt;&gt;"")+('Dvd Calendar'!$E$1286:$AR$1286=TYPE2)*(TYPE2&lt;&gt;"")+('Dvd Calendar'!$E$1286:$AR$1286=TYPE3)*(TYPE3&lt;&gt;"")+('Dvd Calendar'!$E$1286:$AR$1286=TYPE4)*(TYPE4&lt;&gt;"")+('Dvd Calendar'!$E$1286:$AR$1286=SPECIAL_LBL)*(INC_SPECIALS="Y"))))</f>
        <v/>
      </c>
      <c r="H127" s="64">
        <f>IF($C127="","",SUMPRODUCT(('Dvd Calendar'!$E$1281:$AR$1281&gt;=DATE(YEAR_Y-3,1,1))*('Dvd Calendar'!$E$1281:$AR$1281&lt;=DATE(YEAR_Y-3,12,31))*'Dvd Calendar'!$E$1284:$AR$1284*(('Dvd Calendar'!$E$1286:$AR$1286=TYPE1)*(TYPE1&lt;&gt;"")+('Dvd Calendar'!$E$1286:$AR$1286=TYPE2)*(TYPE2&lt;&gt;"")+('Dvd Calendar'!$E$1286:$AR$1286=TYPE3)*(TYPE3&lt;&gt;"")+('Dvd Calendar'!$E$1286:$AR$1286=TYPE4)*(TYPE4&lt;&gt;"")+('Dvd Calendar'!$E$1286:$AR$1286=SPECIAL_LBL)*(INC_SPECIALS="Y"))))</f>
        <v/>
      </c>
      <c r="I127" s="64">
        <f>IF($C127="","",SUMPRODUCT(('Dvd Calendar'!$E$1281:$AR$1281&gt;=DATE(YEAR_Y-2,1,1))*('Dvd Calendar'!$E$1281:$AR$1281&lt;=DATE(YEAR_Y-2,12,31))*'Dvd Calendar'!$E$1284:$AR$1284*(('Dvd Calendar'!$E$1286:$AR$1286=TYPE1)*(TYPE1&lt;&gt;"")+('Dvd Calendar'!$E$1286:$AR$1286=TYPE2)*(TYPE2&lt;&gt;"")+('Dvd Calendar'!$E$1286:$AR$1286=TYPE3)*(TYPE3&lt;&gt;"")+('Dvd Calendar'!$E$1286:$AR$1286=TYPE4)*(TYPE4&lt;&gt;"")+('Dvd Calendar'!$E$1286:$AR$1286=SPECIAL_LBL)*(INC_SPECIALS="Y"))))</f>
        <v/>
      </c>
      <c r="J127" s="64">
        <f>IF($C127="","",SUMPRODUCT(('Dvd Calendar'!$E$1281:$AR$1281&gt;=DATE(YEAR_Y-1,1,1))*('Dvd Calendar'!$E$1281:$AR$1281&lt;=DATE(YEAR_Y-1,12,31))*'Dvd Calendar'!$E$1284:$AR$1284*(('Dvd Calendar'!$E$1286:$AR$1286=TYPE1)*(TYPE1&lt;&gt;"")+('Dvd Calendar'!$E$1286:$AR$1286=TYPE2)*(TYPE2&lt;&gt;"")+('Dvd Calendar'!$E$1286:$AR$1286=TYPE3)*(TYPE3&lt;&gt;"")+('Dvd Calendar'!$E$1286:$AR$1286=TYPE4)*(TYPE4&lt;&gt;"")+('Dvd Calendar'!$E$1286:$AR$1286=SPECIAL_LBL)*(INC_SPECIALS="Y"))))</f>
        <v/>
      </c>
      <c r="K127" s="65">
        <f>IF($C127="","",HSTECH!$J$22)</f>
        <v/>
      </c>
      <c r="L127" s="65">
        <f>IF($C127="","",HSTECH!$K$22)</f>
        <v/>
      </c>
      <c r="M127" s="41">
        <f>IF($C127="","",AVERAGE(F127:J127))</f>
        <v/>
      </c>
      <c r="N127" s="66">
        <f>IF($C127="","",IF(PULL_FUND="N","",IFERROR(BDP($C127,EPS_FIELD,YR_OVERRIDE,TEXT(YEAR_Y-5,"0")),"")))</f>
        <v/>
      </c>
      <c r="O127" s="67">
        <f>IF($C127="","",IF(PULL_FUND="N","",IFERROR(BDP($C127,EPS_FIELD,YR_OVERRIDE,TEXT(YEAR_Y-4,"0")),"")))</f>
        <v/>
      </c>
      <c r="P127" s="67">
        <f>IF($C127="","",IF(PULL_FUND="N","",IFERROR(BDP($C127,EPS_FIELD,YR_OVERRIDE,TEXT(YEAR_Y-3,"0")),"")))</f>
        <v/>
      </c>
      <c r="Q127" s="67">
        <f>IF($C127="","",IF(PULL_FUND="N","",IFERROR(BDP($C127,EPS_FIELD,YR_OVERRIDE,TEXT(YEAR_Y-2,"0")),"")))</f>
        <v/>
      </c>
      <c r="R127" s="67">
        <f>IF($C127="","",IF(PULL_FUND="N","",IFERROR(BDP($C127,EPS_FIELD,YR_OVERRIDE,TEXT(YEAR_Y-1,"0")),"")))</f>
        <v/>
      </c>
      <c r="S127" s="68">
        <f>IF($C127="","",IF(PULL_FUND="N","",IFERROR(BDP($C127,PAYOUT_FIELD,YR_OVERRIDE,TEXT(YEAR_Y-5,"0"))/100,"")))</f>
        <v/>
      </c>
      <c r="T127" s="68">
        <f>IF($C127="","",IF(PULL_FUND="N","",IFERROR(BDP($C127,PAYOUT_FIELD,YR_OVERRIDE,TEXT(YEAR_Y-4,"0"))/100,"")))</f>
        <v/>
      </c>
      <c r="U127" s="68">
        <f>IF($C127="","",IF(PULL_FUND="N","",IFERROR(BDP($C127,PAYOUT_FIELD,YR_OVERRIDE,TEXT(YEAR_Y-3,"0"))/100,"")))</f>
        <v/>
      </c>
      <c r="V127" s="68">
        <f>IF($C127="","",IF(PULL_FUND="N","",IFERROR(BDP($C127,PAYOUT_FIELD,YR_OVERRIDE,TEXT(YEAR_Y-2,"0"))/100,"")))</f>
        <v/>
      </c>
      <c r="W127" s="68">
        <f>IF($C127="","",IF(PULL_FUND="N","",IFERROR(BDP($C127,PAYOUT_FIELD,YR_OVERRIDE,TEXT(YEAR_Y-1,"0"))/100,"")))</f>
        <v/>
      </c>
      <c r="X127" s="69">
        <f>IF($C127="","",IFERROR(AVERAGE(S127:W127),""))</f>
        <v/>
      </c>
      <c r="Y127" s="66">
        <f>IF($C127="","",IF(PULL_FUND="N","",IFERROR(BDP($C127,BESTEPS_FIELD,FWD_OVERRIDE,TEXT(MOD(YEAR_Y,100),"00")&amp;"Y"),"")))</f>
        <v/>
      </c>
      <c r="Z127" s="70">
        <f>IF($C127="","",IF(PULL_FUND="N","",IFERROR(BDP($C127,BESTDPS_FIELD,FWD_OVERRIDE,TEXT(MOD(YEAR_Y,100),"00")&amp;"Y"),"")))</f>
        <v/>
      </c>
      <c r="AA127" s="71">
        <f>IF($C127="","",IF(ISNUMBER($Y127)*ISNUMBER($Z127)*($Y127&lt;&gt;0)=0,"",$Z127/$Y127))</f>
        <v/>
      </c>
      <c r="AB127" s="41">
        <f>IF($C127="","",HSTECH!$J$22+HSTECH!$L$22)</f>
        <v/>
      </c>
      <c r="AC127" s="72">
        <f>IF($C127="","",IF(PULL_FUND="N","",IF(COUNTIFS('Fund History'!$G$702:$G$706,"&gt;="&amp;DATE(YEAR_Y-4,1,1),'Fund History'!$G$702:$G$706,"&lt;="&amp;DATE(YEAR_Y-4,12,31))=0,"",SUMIFS('Fund History'!$H$702:$H$706,'Fund History'!$G$702:$G$706,"&gt;="&amp;DATE(YEAR_Y-4,1,1),'Fund History'!$G$702:$G$706,"&lt;="&amp;DATE(YEAR_Y-4,12,31))/100)))</f>
        <v/>
      </c>
      <c r="AD127" s="73">
        <f>IF($C127="","",IF(PULL_FUND="N","",IF(COUNTIFS('Fund History'!$G$702:$G$706,"&gt;="&amp;DATE(YEAR_Y-3,1,1),'Fund History'!$G$702:$G$706,"&lt;="&amp;DATE(YEAR_Y-3,12,31))=0,"",SUMIFS('Fund History'!$H$702:$H$706,'Fund History'!$G$702:$G$706,"&gt;="&amp;DATE(YEAR_Y-3,1,1),'Fund History'!$G$702:$G$706,"&lt;="&amp;DATE(YEAR_Y-3,12,31))/100)))</f>
        <v/>
      </c>
      <c r="AE127" s="73">
        <f>IF($C127="","",IF(PULL_FUND="N","",IF(COUNTIFS('Fund History'!$G$702:$G$706,"&gt;="&amp;DATE(YEAR_Y-2,1,1),'Fund History'!$G$702:$G$706,"&lt;="&amp;DATE(YEAR_Y-2,12,31))=0,"",SUMIFS('Fund History'!$H$702:$H$706,'Fund History'!$G$702:$G$706,"&gt;="&amp;DATE(YEAR_Y-2,1,1),'Fund History'!$G$702:$G$706,"&lt;="&amp;DATE(YEAR_Y-2,12,31))/100)))</f>
        <v/>
      </c>
      <c r="AF127" s="73">
        <f>IF($C127="","",IF(PULL_FUND="N","",IF(COUNTIFS('Fund History'!$G$702:$G$706,"&gt;="&amp;DATE(YEAR_Y-1,1,1),'Fund History'!$G$702:$G$706,"&lt;="&amp;DATE(YEAR_Y-1,12,31))=0,"",SUMIFS('Fund History'!$H$702:$H$706,'Fund History'!$G$702:$G$706,"&gt;="&amp;DATE(YEAR_Y-1,1,1),'Fund History'!$G$702:$G$706,"&lt;="&amp;DATE(YEAR_Y-1,12,31))/100)))</f>
        <v/>
      </c>
      <c r="AG127" s="74">
        <f>IF($C127="","",IF(N($AF127)+N(HSTECH!$I$22)=0,"",N($AF127)+N(HSTECH!$I$22)/100))</f>
        <v/>
      </c>
      <c r="AH127" s="66">
        <f>IF($C127="","",IF(PULL_FUND="N","",IF(COUNTIFS('Fund History'!$D$702:$D$706,"&gt;="&amp;DATE(YEAR_Y-2,1,1),'Fund History'!$D$702:$D$706,"&lt;="&amp;DATE(YEAR_Y-2,12,31))=0,"",SUMIFS('Fund History'!$E$702:$E$706,'Fund History'!$D$702:$D$706,"&gt;="&amp;DATE(YEAR_Y-2,1,1),'Fund History'!$D$702:$D$706,"&lt;="&amp;DATE(YEAR_Y-2,12,31)))))</f>
        <v/>
      </c>
      <c r="AI127" s="67">
        <f>IF($C127="","",IF(PULL_FUND="N","",IF(COUNTIFS('Fund History'!$D$702:$D$706,"&gt;="&amp;DATE(YEAR_Y-1,1,1),'Fund History'!$D$702:$D$706,"&lt;="&amp;DATE(YEAR_Y-1,12,31))=0,"",SUMIFS('Fund History'!$E$702:$E$706,'Fund History'!$D$702:$D$706,"&gt;="&amp;DATE(YEAR_Y-1,1,1),'Fund History'!$D$702:$D$706,"&lt;="&amp;DATE(YEAR_Y-1,12,31)))))</f>
        <v/>
      </c>
      <c r="AJ127" s="67">
        <f>IF($C127="","",IF(PULL_FUND="N","",IFERROR(BDP($C127,NDEBITDA_FIELD),"")))</f>
        <v/>
      </c>
      <c r="AK127" s="75">
        <f>IF($C127="","",IF(PULL_FUND="N","",IFERROR(BDP($C127,EBINT_FIELD),"")))</f>
        <v/>
      </c>
      <c r="AL127" s="73">
        <f>IF($C127="","",IF(PULL_FUND="N","",IFERROR(BDP($C127,FCF_FIELD)/100,"")))</f>
        <v/>
      </c>
      <c r="AM127" s="76">
        <f>IF($C127="","",IF(ISNUMBER(HSTECH!$I$22),HSTECH!$I$22/100,""))</f>
        <v/>
      </c>
      <c r="AN127" s="47">
        <f>IF($C127="","",IF(N($AM127)=0,"",IFERROR($AL127/$AM127,"")))</f>
        <v/>
      </c>
      <c r="AO127" s="33">
        <f>IF($C127="","",IF(ISNUMBER($S127)*ISNUMBER($W127)=0,"",IF($W127&gt;$S127+0.05,"rising",IF($W127&lt;$S127-0.05,"falling","stable"))))</f>
        <v/>
      </c>
      <c r="AP127" s="77">
        <f>IF($C127="","",TRIM(IF(ISNUMBER($X127)*(N($X127)&gt;$D$4)&gt;0,"payout high  ","")&amp;IF(ISNUMBER($AN127)*(N($AN127)&lt;$F$4)&gt;0,"FCF below dvd  ","")&amp;IF(ISNUMBER($AJ127)*(N($AJ127)&gt;$H$4)&gt;0,"leverage high","")))</f>
        <v/>
      </c>
      <c r="AQ127" s="78">
        <f>IF($C127="","",IF(HSTECH!$F$22="HKD","",HSTECH!$F$22))</f>
        <v/>
      </c>
    </row>
    <row r="128">
      <c r="B128" s="62" t="inlineStr">
        <is>
          <t>HSTECH</t>
        </is>
      </c>
      <c r="C128" s="6">
        <f>IF(HSTECH!$C$23="","",HSTECH!$C$23)</f>
        <v/>
      </c>
      <c r="D128" s="6">
        <f>IF($C128="","",HSTECH!$D$23)</f>
        <v/>
      </c>
      <c r="E128" s="6">
        <f>IF($C128="","",HSTECH!$E$23)</f>
        <v/>
      </c>
      <c r="F128" s="63">
        <f>IF($C128="","",SUMPRODUCT(('Dvd Calendar'!$E$1292:$AR$1292&gt;=DATE(YEAR_Y-5,1,1))*('Dvd Calendar'!$E$1292:$AR$1292&lt;=DATE(YEAR_Y-5,12,31))*'Dvd Calendar'!$E$1295:$AR$1295*(('Dvd Calendar'!$E$1297:$AR$1297=TYPE1)*(TYPE1&lt;&gt;"")+('Dvd Calendar'!$E$1297:$AR$1297=TYPE2)*(TYPE2&lt;&gt;"")+('Dvd Calendar'!$E$1297:$AR$1297=TYPE3)*(TYPE3&lt;&gt;"")+('Dvd Calendar'!$E$1297:$AR$1297=TYPE4)*(TYPE4&lt;&gt;"")+('Dvd Calendar'!$E$1297:$AR$1297=SPECIAL_LBL)*(INC_SPECIALS="Y"))))</f>
        <v/>
      </c>
      <c r="G128" s="64">
        <f>IF($C128="","",SUMPRODUCT(('Dvd Calendar'!$E$1292:$AR$1292&gt;=DATE(YEAR_Y-4,1,1))*('Dvd Calendar'!$E$1292:$AR$1292&lt;=DATE(YEAR_Y-4,12,31))*'Dvd Calendar'!$E$1295:$AR$1295*(('Dvd Calendar'!$E$1297:$AR$1297=TYPE1)*(TYPE1&lt;&gt;"")+('Dvd Calendar'!$E$1297:$AR$1297=TYPE2)*(TYPE2&lt;&gt;"")+('Dvd Calendar'!$E$1297:$AR$1297=TYPE3)*(TYPE3&lt;&gt;"")+('Dvd Calendar'!$E$1297:$AR$1297=TYPE4)*(TYPE4&lt;&gt;"")+('Dvd Calendar'!$E$1297:$AR$1297=SPECIAL_LBL)*(INC_SPECIALS="Y"))))</f>
        <v/>
      </c>
      <c r="H128" s="64">
        <f>IF($C128="","",SUMPRODUCT(('Dvd Calendar'!$E$1292:$AR$1292&gt;=DATE(YEAR_Y-3,1,1))*('Dvd Calendar'!$E$1292:$AR$1292&lt;=DATE(YEAR_Y-3,12,31))*'Dvd Calendar'!$E$1295:$AR$1295*(('Dvd Calendar'!$E$1297:$AR$1297=TYPE1)*(TYPE1&lt;&gt;"")+('Dvd Calendar'!$E$1297:$AR$1297=TYPE2)*(TYPE2&lt;&gt;"")+('Dvd Calendar'!$E$1297:$AR$1297=TYPE3)*(TYPE3&lt;&gt;"")+('Dvd Calendar'!$E$1297:$AR$1297=TYPE4)*(TYPE4&lt;&gt;"")+('Dvd Calendar'!$E$1297:$AR$1297=SPECIAL_LBL)*(INC_SPECIALS="Y"))))</f>
        <v/>
      </c>
      <c r="I128" s="64">
        <f>IF($C128="","",SUMPRODUCT(('Dvd Calendar'!$E$1292:$AR$1292&gt;=DATE(YEAR_Y-2,1,1))*('Dvd Calendar'!$E$1292:$AR$1292&lt;=DATE(YEAR_Y-2,12,31))*'Dvd Calendar'!$E$1295:$AR$1295*(('Dvd Calendar'!$E$1297:$AR$1297=TYPE1)*(TYPE1&lt;&gt;"")+('Dvd Calendar'!$E$1297:$AR$1297=TYPE2)*(TYPE2&lt;&gt;"")+('Dvd Calendar'!$E$1297:$AR$1297=TYPE3)*(TYPE3&lt;&gt;"")+('Dvd Calendar'!$E$1297:$AR$1297=TYPE4)*(TYPE4&lt;&gt;"")+('Dvd Calendar'!$E$1297:$AR$1297=SPECIAL_LBL)*(INC_SPECIALS="Y"))))</f>
        <v/>
      </c>
      <c r="J128" s="64">
        <f>IF($C128="","",SUMPRODUCT(('Dvd Calendar'!$E$1292:$AR$1292&gt;=DATE(YEAR_Y-1,1,1))*('Dvd Calendar'!$E$1292:$AR$1292&lt;=DATE(YEAR_Y-1,12,31))*'Dvd Calendar'!$E$1295:$AR$1295*(('Dvd Calendar'!$E$1297:$AR$1297=TYPE1)*(TYPE1&lt;&gt;"")+('Dvd Calendar'!$E$1297:$AR$1297=TYPE2)*(TYPE2&lt;&gt;"")+('Dvd Calendar'!$E$1297:$AR$1297=TYPE3)*(TYPE3&lt;&gt;"")+('Dvd Calendar'!$E$1297:$AR$1297=TYPE4)*(TYPE4&lt;&gt;"")+('Dvd Calendar'!$E$1297:$AR$1297=SPECIAL_LBL)*(INC_SPECIALS="Y"))))</f>
        <v/>
      </c>
      <c r="K128" s="65">
        <f>IF($C128="","",HSTECH!$J$23)</f>
        <v/>
      </c>
      <c r="L128" s="65">
        <f>IF($C128="","",HSTECH!$K$23)</f>
        <v/>
      </c>
      <c r="M128" s="41">
        <f>IF($C128="","",AVERAGE(F128:J128))</f>
        <v/>
      </c>
      <c r="N128" s="66">
        <f>IF($C128="","",IF(PULL_FUND="N","",IFERROR(BDP($C128,EPS_FIELD,YR_OVERRIDE,TEXT(YEAR_Y-5,"0")),"")))</f>
        <v/>
      </c>
      <c r="O128" s="67">
        <f>IF($C128="","",IF(PULL_FUND="N","",IFERROR(BDP($C128,EPS_FIELD,YR_OVERRIDE,TEXT(YEAR_Y-4,"0")),"")))</f>
        <v/>
      </c>
      <c r="P128" s="67">
        <f>IF($C128="","",IF(PULL_FUND="N","",IFERROR(BDP($C128,EPS_FIELD,YR_OVERRIDE,TEXT(YEAR_Y-3,"0")),"")))</f>
        <v/>
      </c>
      <c r="Q128" s="67">
        <f>IF($C128="","",IF(PULL_FUND="N","",IFERROR(BDP($C128,EPS_FIELD,YR_OVERRIDE,TEXT(YEAR_Y-2,"0")),"")))</f>
        <v/>
      </c>
      <c r="R128" s="67">
        <f>IF($C128="","",IF(PULL_FUND="N","",IFERROR(BDP($C128,EPS_FIELD,YR_OVERRIDE,TEXT(YEAR_Y-1,"0")),"")))</f>
        <v/>
      </c>
      <c r="S128" s="68">
        <f>IF($C128="","",IF(PULL_FUND="N","",IFERROR(BDP($C128,PAYOUT_FIELD,YR_OVERRIDE,TEXT(YEAR_Y-5,"0"))/100,"")))</f>
        <v/>
      </c>
      <c r="T128" s="68">
        <f>IF($C128="","",IF(PULL_FUND="N","",IFERROR(BDP($C128,PAYOUT_FIELD,YR_OVERRIDE,TEXT(YEAR_Y-4,"0"))/100,"")))</f>
        <v/>
      </c>
      <c r="U128" s="68">
        <f>IF($C128="","",IF(PULL_FUND="N","",IFERROR(BDP($C128,PAYOUT_FIELD,YR_OVERRIDE,TEXT(YEAR_Y-3,"0"))/100,"")))</f>
        <v/>
      </c>
      <c r="V128" s="68">
        <f>IF($C128="","",IF(PULL_FUND="N","",IFERROR(BDP($C128,PAYOUT_FIELD,YR_OVERRIDE,TEXT(YEAR_Y-2,"0"))/100,"")))</f>
        <v/>
      </c>
      <c r="W128" s="68">
        <f>IF($C128="","",IF(PULL_FUND="N","",IFERROR(BDP($C128,PAYOUT_FIELD,YR_OVERRIDE,TEXT(YEAR_Y-1,"0"))/100,"")))</f>
        <v/>
      </c>
      <c r="X128" s="69">
        <f>IF($C128="","",IFERROR(AVERAGE(S128:W128),""))</f>
        <v/>
      </c>
      <c r="Y128" s="66">
        <f>IF($C128="","",IF(PULL_FUND="N","",IFERROR(BDP($C128,BESTEPS_FIELD,FWD_OVERRIDE,TEXT(MOD(YEAR_Y,100),"00")&amp;"Y"),"")))</f>
        <v/>
      </c>
      <c r="Z128" s="70">
        <f>IF($C128="","",IF(PULL_FUND="N","",IFERROR(BDP($C128,BESTDPS_FIELD,FWD_OVERRIDE,TEXT(MOD(YEAR_Y,100),"00")&amp;"Y"),"")))</f>
        <v/>
      </c>
      <c r="AA128" s="71">
        <f>IF($C128="","",IF(ISNUMBER($Y128)*ISNUMBER($Z128)*($Y128&lt;&gt;0)=0,"",$Z128/$Y128))</f>
        <v/>
      </c>
      <c r="AB128" s="41">
        <f>IF($C128="","",HSTECH!$J$23+HSTECH!$L$23)</f>
        <v/>
      </c>
      <c r="AC128" s="72">
        <f>IF($C128="","",IF(PULL_FUND="N","",IF(COUNTIFS('Fund History'!$G$708:$G$712,"&gt;="&amp;DATE(YEAR_Y-4,1,1),'Fund History'!$G$708:$G$712,"&lt;="&amp;DATE(YEAR_Y-4,12,31))=0,"",SUMIFS('Fund History'!$H$708:$H$712,'Fund History'!$G$708:$G$712,"&gt;="&amp;DATE(YEAR_Y-4,1,1),'Fund History'!$G$708:$G$712,"&lt;="&amp;DATE(YEAR_Y-4,12,31))/100)))</f>
        <v/>
      </c>
      <c r="AD128" s="73">
        <f>IF($C128="","",IF(PULL_FUND="N","",IF(COUNTIFS('Fund History'!$G$708:$G$712,"&gt;="&amp;DATE(YEAR_Y-3,1,1),'Fund History'!$G$708:$G$712,"&lt;="&amp;DATE(YEAR_Y-3,12,31))=0,"",SUMIFS('Fund History'!$H$708:$H$712,'Fund History'!$G$708:$G$712,"&gt;="&amp;DATE(YEAR_Y-3,1,1),'Fund History'!$G$708:$G$712,"&lt;="&amp;DATE(YEAR_Y-3,12,31))/100)))</f>
        <v/>
      </c>
      <c r="AE128" s="73">
        <f>IF($C128="","",IF(PULL_FUND="N","",IF(COUNTIFS('Fund History'!$G$708:$G$712,"&gt;="&amp;DATE(YEAR_Y-2,1,1),'Fund History'!$G$708:$G$712,"&lt;="&amp;DATE(YEAR_Y-2,12,31))=0,"",SUMIFS('Fund History'!$H$708:$H$712,'Fund History'!$G$708:$G$712,"&gt;="&amp;DATE(YEAR_Y-2,1,1),'Fund History'!$G$708:$G$712,"&lt;="&amp;DATE(YEAR_Y-2,12,31))/100)))</f>
        <v/>
      </c>
      <c r="AF128" s="73">
        <f>IF($C128="","",IF(PULL_FUND="N","",IF(COUNTIFS('Fund History'!$G$708:$G$712,"&gt;="&amp;DATE(YEAR_Y-1,1,1),'Fund History'!$G$708:$G$712,"&lt;="&amp;DATE(YEAR_Y-1,12,31))=0,"",SUMIFS('Fund History'!$H$708:$H$712,'Fund History'!$G$708:$G$712,"&gt;="&amp;DATE(YEAR_Y-1,1,1),'Fund History'!$G$708:$G$712,"&lt;="&amp;DATE(YEAR_Y-1,12,31))/100)))</f>
        <v/>
      </c>
      <c r="AG128" s="74">
        <f>IF($C128="","",IF(N($AF128)+N(HSTECH!$I$23)=0,"",N($AF128)+N(HSTECH!$I$23)/100))</f>
        <v/>
      </c>
      <c r="AH128" s="66">
        <f>IF($C128="","",IF(PULL_FUND="N","",IF(COUNTIFS('Fund History'!$D$708:$D$712,"&gt;="&amp;DATE(YEAR_Y-2,1,1),'Fund History'!$D$708:$D$712,"&lt;="&amp;DATE(YEAR_Y-2,12,31))=0,"",SUMIFS('Fund History'!$E$708:$E$712,'Fund History'!$D$708:$D$712,"&gt;="&amp;DATE(YEAR_Y-2,1,1),'Fund History'!$D$708:$D$712,"&lt;="&amp;DATE(YEAR_Y-2,12,31)))))</f>
        <v/>
      </c>
      <c r="AI128" s="67">
        <f>IF($C128="","",IF(PULL_FUND="N","",IF(COUNTIFS('Fund History'!$D$708:$D$712,"&gt;="&amp;DATE(YEAR_Y-1,1,1),'Fund History'!$D$708:$D$712,"&lt;="&amp;DATE(YEAR_Y-1,12,31))=0,"",SUMIFS('Fund History'!$E$708:$E$712,'Fund History'!$D$708:$D$712,"&gt;="&amp;DATE(YEAR_Y-1,1,1),'Fund History'!$D$708:$D$712,"&lt;="&amp;DATE(YEAR_Y-1,12,31)))))</f>
        <v/>
      </c>
      <c r="AJ128" s="67">
        <f>IF($C128="","",IF(PULL_FUND="N","",IFERROR(BDP($C128,NDEBITDA_FIELD),"")))</f>
        <v/>
      </c>
      <c r="AK128" s="75">
        <f>IF($C128="","",IF(PULL_FUND="N","",IFERROR(BDP($C128,EBINT_FIELD),"")))</f>
        <v/>
      </c>
      <c r="AL128" s="73">
        <f>IF($C128="","",IF(PULL_FUND="N","",IFERROR(BDP($C128,FCF_FIELD)/100,"")))</f>
        <v/>
      </c>
      <c r="AM128" s="76">
        <f>IF($C128="","",IF(ISNUMBER(HSTECH!$I$23),HSTECH!$I$23/100,""))</f>
        <v/>
      </c>
      <c r="AN128" s="47">
        <f>IF($C128="","",IF(N($AM128)=0,"",IFERROR($AL128/$AM128,"")))</f>
        <v/>
      </c>
      <c r="AO128" s="33">
        <f>IF($C128="","",IF(ISNUMBER($S128)*ISNUMBER($W128)=0,"",IF($W128&gt;$S128+0.05,"rising",IF($W128&lt;$S128-0.05,"falling","stable"))))</f>
        <v/>
      </c>
      <c r="AP128" s="77">
        <f>IF($C128="","",TRIM(IF(ISNUMBER($X128)*(N($X128)&gt;$D$4)&gt;0,"payout high  ","")&amp;IF(ISNUMBER($AN128)*(N($AN128)&lt;$F$4)&gt;0,"FCF below dvd  ","")&amp;IF(ISNUMBER($AJ128)*(N($AJ128)&gt;$H$4)&gt;0,"leverage high","")))</f>
        <v/>
      </c>
      <c r="AQ128" s="78">
        <f>IF($C128="","",IF(HSTECH!$F$23="HKD","",HSTECH!$F$23))</f>
        <v/>
      </c>
    </row>
    <row r="129">
      <c r="B129" s="62" t="inlineStr">
        <is>
          <t>HSTECH</t>
        </is>
      </c>
      <c r="C129" s="6">
        <f>IF(HSTECH!$C$24="","",HSTECH!$C$24)</f>
        <v/>
      </c>
      <c r="D129" s="6">
        <f>IF($C129="","",HSTECH!$D$24)</f>
        <v/>
      </c>
      <c r="E129" s="6">
        <f>IF($C129="","",HSTECH!$E$24)</f>
        <v/>
      </c>
      <c r="F129" s="63">
        <f>IF($C129="","",SUMPRODUCT(('Dvd Calendar'!$E$1303:$AR$1303&gt;=DATE(YEAR_Y-5,1,1))*('Dvd Calendar'!$E$1303:$AR$1303&lt;=DATE(YEAR_Y-5,12,31))*'Dvd Calendar'!$E$1306:$AR$1306*(('Dvd Calendar'!$E$1308:$AR$1308=TYPE1)*(TYPE1&lt;&gt;"")+('Dvd Calendar'!$E$1308:$AR$1308=TYPE2)*(TYPE2&lt;&gt;"")+('Dvd Calendar'!$E$1308:$AR$1308=TYPE3)*(TYPE3&lt;&gt;"")+('Dvd Calendar'!$E$1308:$AR$1308=TYPE4)*(TYPE4&lt;&gt;"")+('Dvd Calendar'!$E$1308:$AR$1308=SPECIAL_LBL)*(INC_SPECIALS="Y"))))</f>
        <v/>
      </c>
      <c r="G129" s="64">
        <f>IF($C129="","",SUMPRODUCT(('Dvd Calendar'!$E$1303:$AR$1303&gt;=DATE(YEAR_Y-4,1,1))*('Dvd Calendar'!$E$1303:$AR$1303&lt;=DATE(YEAR_Y-4,12,31))*'Dvd Calendar'!$E$1306:$AR$1306*(('Dvd Calendar'!$E$1308:$AR$1308=TYPE1)*(TYPE1&lt;&gt;"")+('Dvd Calendar'!$E$1308:$AR$1308=TYPE2)*(TYPE2&lt;&gt;"")+('Dvd Calendar'!$E$1308:$AR$1308=TYPE3)*(TYPE3&lt;&gt;"")+('Dvd Calendar'!$E$1308:$AR$1308=TYPE4)*(TYPE4&lt;&gt;"")+('Dvd Calendar'!$E$1308:$AR$1308=SPECIAL_LBL)*(INC_SPECIALS="Y"))))</f>
        <v/>
      </c>
      <c r="H129" s="64">
        <f>IF($C129="","",SUMPRODUCT(('Dvd Calendar'!$E$1303:$AR$1303&gt;=DATE(YEAR_Y-3,1,1))*('Dvd Calendar'!$E$1303:$AR$1303&lt;=DATE(YEAR_Y-3,12,31))*'Dvd Calendar'!$E$1306:$AR$1306*(('Dvd Calendar'!$E$1308:$AR$1308=TYPE1)*(TYPE1&lt;&gt;"")+('Dvd Calendar'!$E$1308:$AR$1308=TYPE2)*(TYPE2&lt;&gt;"")+('Dvd Calendar'!$E$1308:$AR$1308=TYPE3)*(TYPE3&lt;&gt;"")+('Dvd Calendar'!$E$1308:$AR$1308=TYPE4)*(TYPE4&lt;&gt;"")+('Dvd Calendar'!$E$1308:$AR$1308=SPECIAL_LBL)*(INC_SPECIALS="Y"))))</f>
        <v/>
      </c>
      <c r="I129" s="64">
        <f>IF($C129="","",SUMPRODUCT(('Dvd Calendar'!$E$1303:$AR$1303&gt;=DATE(YEAR_Y-2,1,1))*('Dvd Calendar'!$E$1303:$AR$1303&lt;=DATE(YEAR_Y-2,12,31))*'Dvd Calendar'!$E$1306:$AR$1306*(('Dvd Calendar'!$E$1308:$AR$1308=TYPE1)*(TYPE1&lt;&gt;"")+('Dvd Calendar'!$E$1308:$AR$1308=TYPE2)*(TYPE2&lt;&gt;"")+('Dvd Calendar'!$E$1308:$AR$1308=TYPE3)*(TYPE3&lt;&gt;"")+('Dvd Calendar'!$E$1308:$AR$1308=TYPE4)*(TYPE4&lt;&gt;"")+('Dvd Calendar'!$E$1308:$AR$1308=SPECIAL_LBL)*(INC_SPECIALS="Y"))))</f>
        <v/>
      </c>
      <c r="J129" s="64">
        <f>IF($C129="","",SUMPRODUCT(('Dvd Calendar'!$E$1303:$AR$1303&gt;=DATE(YEAR_Y-1,1,1))*('Dvd Calendar'!$E$1303:$AR$1303&lt;=DATE(YEAR_Y-1,12,31))*'Dvd Calendar'!$E$1306:$AR$1306*(('Dvd Calendar'!$E$1308:$AR$1308=TYPE1)*(TYPE1&lt;&gt;"")+('Dvd Calendar'!$E$1308:$AR$1308=TYPE2)*(TYPE2&lt;&gt;"")+('Dvd Calendar'!$E$1308:$AR$1308=TYPE3)*(TYPE3&lt;&gt;"")+('Dvd Calendar'!$E$1308:$AR$1308=TYPE4)*(TYPE4&lt;&gt;"")+('Dvd Calendar'!$E$1308:$AR$1308=SPECIAL_LBL)*(INC_SPECIALS="Y"))))</f>
        <v/>
      </c>
      <c r="K129" s="65">
        <f>IF($C129="","",HSTECH!$J$24)</f>
        <v/>
      </c>
      <c r="L129" s="65">
        <f>IF($C129="","",HSTECH!$K$24)</f>
        <v/>
      </c>
      <c r="M129" s="41">
        <f>IF($C129="","",AVERAGE(F129:J129))</f>
        <v/>
      </c>
      <c r="N129" s="66">
        <f>IF($C129="","",IF(PULL_FUND="N","",IFERROR(BDP($C129,EPS_FIELD,YR_OVERRIDE,TEXT(YEAR_Y-5,"0")),"")))</f>
        <v/>
      </c>
      <c r="O129" s="67">
        <f>IF($C129="","",IF(PULL_FUND="N","",IFERROR(BDP($C129,EPS_FIELD,YR_OVERRIDE,TEXT(YEAR_Y-4,"0")),"")))</f>
        <v/>
      </c>
      <c r="P129" s="67">
        <f>IF($C129="","",IF(PULL_FUND="N","",IFERROR(BDP($C129,EPS_FIELD,YR_OVERRIDE,TEXT(YEAR_Y-3,"0")),"")))</f>
        <v/>
      </c>
      <c r="Q129" s="67">
        <f>IF($C129="","",IF(PULL_FUND="N","",IFERROR(BDP($C129,EPS_FIELD,YR_OVERRIDE,TEXT(YEAR_Y-2,"0")),"")))</f>
        <v/>
      </c>
      <c r="R129" s="67">
        <f>IF($C129="","",IF(PULL_FUND="N","",IFERROR(BDP($C129,EPS_FIELD,YR_OVERRIDE,TEXT(YEAR_Y-1,"0")),"")))</f>
        <v/>
      </c>
      <c r="S129" s="68">
        <f>IF($C129="","",IF(PULL_FUND="N","",IFERROR(BDP($C129,PAYOUT_FIELD,YR_OVERRIDE,TEXT(YEAR_Y-5,"0"))/100,"")))</f>
        <v/>
      </c>
      <c r="T129" s="68">
        <f>IF($C129="","",IF(PULL_FUND="N","",IFERROR(BDP($C129,PAYOUT_FIELD,YR_OVERRIDE,TEXT(YEAR_Y-4,"0"))/100,"")))</f>
        <v/>
      </c>
      <c r="U129" s="68">
        <f>IF($C129="","",IF(PULL_FUND="N","",IFERROR(BDP($C129,PAYOUT_FIELD,YR_OVERRIDE,TEXT(YEAR_Y-3,"0"))/100,"")))</f>
        <v/>
      </c>
      <c r="V129" s="68">
        <f>IF($C129="","",IF(PULL_FUND="N","",IFERROR(BDP($C129,PAYOUT_FIELD,YR_OVERRIDE,TEXT(YEAR_Y-2,"0"))/100,"")))</f>
        <v/>
      </c>
      <c r="W129" s="68">
        <f>IF($C129="","",IF(PULL_FUND="N","",IFERROR(BDP($C129,PAYOUT_FIELD,YR_OVERRIDE,TEXT(YEAR_Y-1,"0"))/100,"")))</f>
        <v/>
      </c>
      <c r="X129" s="69">
        <f>IF($C129="","",IFERROR(AVERAGE(S129:W129),""))</f>
        <v/>
      </c>
      <c r="Y129" s="66">
        <f>IF($C129="","",IF(PULL_FUND="N","",IFERROR(BDP($C129,BESTEPS_FIELD,FWD_OVERRIDE,TEXT(MOD(YEAR_Y,100),"00")&amp;"Y"),"")))</f>
        <v/>
      </c>
      <c r="Z129" s="70">
        <f>IF($C129="","",IF(PULL_FUND="N","",IFERROR(BDP($C129,BESTDPS_FIELD,FWD_OVERRIDE,TEXT(MOD(YEAR_Y,100),"00")&amp;"Y"),"")))</f>
        <v/>
      </c>
      <c r="AA129" s="71">
        <f>IF($C129="","",IF(ISNUMBER($Y129)*ISNUMBER($Z129)*($Y129&lt;&gt;0)=0,"",$Z129/$Y129))</f>
        <v/>
      </c>
      <c r="AB129" s="41">
        <f>IF($C129="","",HSTECH!$J$24+HSTECH!$L$24)</f>
        <v/>
      </c>
      <c r="AC129" s="72">
        <f>IF($C129="","",IF(PULL_FUND="N","",IF(COUNTIFS('Fund History'!$G$714:$G$718,"&gt;="&amp;DATE(YEAR_Y-4,1,1),'Fund History'!$G$714:$G$718,"&lt;="&amp;DATE(YEAR_Y-4,12,31))=0,"",SUMIFS('Fund History'!$H$714:$H$718,'Fund History'!$G$714:$G$718,"&gt;="&amp;DATE(YEAR_Y-4,1,1),'Fund History'!$G$714:$G$718,"&lt;="&amp;DATE(YEAR_Y-4,12,31))/100)))</f>
        <v/>
      </c>
      <c r="AD129" s="73">
        <f>IF($C129="","",IF(PULL_FUND="N","",IF(COUNTIFS('Fund History'!$G$714:$G$718,"&gt;="&amp;DATE(YEAR_Y-3,1,1),'Fund History'!$G$714:$G$718,"&lt;="&amp;DATE(YEAR_Y-3,12,31))=0,"",SUMIFS('Fund History'!$H$714:$H$718,'Fund History'!$G$714:$G$718,"&gt;="&amp;DATE(YEAR_Y-3,1,1),'Fund History'!$G$714:$G$718,"&lt;="&amp;DATE(YEAR_Y-3,12,31))/100)))</f>
        <v/>
      </c>
      <c r="AE129" s="73">
        <f>IF($C129="","",IF(PULL_FUND="N","",IF(COUNTIFS('Fund History'!$G$714:$G$718,"&gt;="&amp;DATE(YEAR_Y-2,1,1),'Fund History'!$G$714:$G$718,"&lt;="&amp;DATE(YEAR_Y-2,12,31))=0,"",SUMIFS('Fund History'!$H$714:$H$718,'Fund History'!$G$714:$G$718,"&gt;="&amp;DATE(YEAR_Y-2,1,1),'Fund History'!$G$714:$G$718,"&lt;="&amp;DATE(YEAR_Y-2,12,31))/100)))</f>
        <v/>
      </c>
      <c r="AF129" s="73">
        <f>IF($C129="","",IF(PULL_FUND="N","",IF(COUNTIFS('Fund History'!$G$714:$G$718,"&gt;="&amp;DATE(YEAR_Y-1,1,1),'Fund History'!$G$714:$G$718,"&lt;="&amp;DATE(YEAR_Y-1,12,31))=0,"",SUMIFS('Fund History'!$H$714:$H$718,'Fund History'!$G$714:$G$718,"&gt;="&amp;DATE(YEAR_Y-1,1,1),'Fund History'!$G$714:$G$718,"&lt;="&amp;DATE(YEAR_Y-1,12,31))/100)))</f>
        <v/>
      </c>
      <c r="AG129" s="74">
        <f>IF($C129="","",IF(N($AF129)+N(HSTECH!$I$24)=0,"",N($AF129)+N(HSTECH!$I$24)/100))</f>
        <v/>
      </c>
      <c r="AH129" s="66">
        <f>IF($C129="","",IF(PULL_FUND="N","",IF(COUNTIFS('Fund History'!$D$714:$D$718,"&gt;="&amp;DATE(YEAR_Y-2,1,1),'Fund History'!$D$714:$D$718,"&lt;="&amp;DATE(YEAR_Y-2,12,31))=0,"",SUMIFS('Fund History'!$E$714:$E$718,'Fund History'!$D$714:$D$718,"&gt;="&amp;DATE(YEAR_Y-2,1,1),'Fund History'!$D$714:$D$718,"&lt;="&amp;DATE(YEAR_Y-2,12,31)))))</f>
        <v/>
      </c>
      <c r="AI129" s="67">
        <f>IF($C129="","",IF(PULL_FUND="N","",IF(COUNTIFS('Fund History'!$D$714:$D$718,"&gt;="&amp;DATE(YEAR_Y-1,1,1),'Fund History'!$D$714:$D$718,"&lt;="&amp;DATE(YEAR_Y-1,12,31))=0,"",SUMIFS('Fund History'!$E$714:$E$718,'Fund History'!$D$714:$D$718,"&gt;="&amp;DATE(YEAR_Y-1,1,1),'Fund History'!$D$714:$D$718,"&lt;="&amp;DATE(YEAR_Y-1,12,31)))))</f>
        <v/>
      </c>
      <c r="AJ129" s="67">
        <f>IF($C129="","",IF(PULL_FUND="N","",IFERROR(BDP($C129,NDEBITDA_FIELD),"")))</f>
        <v/>
      </c>
      <c r="AK129" s="75">
        <f>IF($C129="","",IF(PULL_FUND="N","",IFERROR(BDP($C129,EBINT_FIELD),"")))</f>
        <v/>
      </c>
      <c r="AL129" s="73">
        <f>IF($C129="","",IF(PULL_FUND="N","",IFERROR(BDP($C129,FCF_FIELD)/100,"")))</f>
        <v/>
      </c>
      <c r="AM129" s="76">
        <f>IF($C129="","",IF(ISNUMBER(HSTECH!$I$24),HSTECH!$I$24/100,""))</f>
        <v/>
      </c>
      <c r="AN129" s="47">
        <f>IF($C129="","",IF(N($AM129)=0,"",IFERROR($AL129/$AM129,"")))</f>
        <v/>
      </c>
      <c r="AO129" s="33">
        <f>IF($C129="","",IF(ISNUMBER($S129)*ISNUMBER($W129)=0,"",IF($W129&gt;$S129+0.05,"rising",IF($W129&lt;$S129-0.05,"falling","stable"))))</f>
        <v/>
      </c>
      <c r="AP129" s="77">
        <f>IF($C129="","",TRIM(IF(ISNUMBER($X129)*(N($X129)&gt;$D$4)&gt;0,"payout high  ","")&amp;IF(ISNUMBER($AN129)*(N($AN129)&lt;$F$4)&gt;0,"FCF below dvd  ","")&amp;IF(ISNUMBER($AJ129)*(N($AJ129)&gt;$H$4)&gt;0,"leverage high","")))</f>
        <v/>
      </c>
      <c r="AQ129" s="78">
        <f>IF($C129="","",IF(HSTECH!$F$24="HKD","",HSTECH!$F$24))</f>
        <v/>
      </c>
    </row>
    <row r="130">
      <c r="B130" s="62" t="inlineStr">
        <is>
          <t>HSTECH</t>
        </is>
      </c>
      <c r="C130" s="6">
        <f>IF(HSTECH!$C$25="","",HSTECH!$C$25)</f>
        <v/>
      </c>
      <c r="D130" s="6">
        <f>IF($C130="","",HSTECH!$D$25)</f>
        <v/>
      </c>
      <c r="E130" s="6">
        <f>IF($C130="","",HSTECH!$E$25)</f>
        <v/>
      </c>
      <c r="F130" s="63">
        <f>IF($C130="","",SUMPRODUCT(('Dvd Calendar'!$E$1314:$AR$1314&gt;=DATE(YEAR_Y-5,1,1))*('Dvd Calendar'!$E$1314:$AR$1314&lt;=DATE(YEAR_Y-5,12,31))*'Dvd Calendar'!$E$1317:$AR$1317*(('Dvd Calendar'!$E$1319:$AR$1319=TYPE1)*(TYPE1&lt;&gt;"")+('Dvd Calendar'!$E$1319:$AR$1319=TYPE2)*(TYPE2&lt;&gt;"")+('Dvd Calendar'!$E$1319:$AR$1319=TYPE3)*(TYPE3&lt;&gt;"")+('Dvd Calendar'!$E$1319:$AR$1319=TYPE4)*(TYPE4&lt;&gt;"")+('Dvd Calendar'!$E$1319:$AR$1319=SPECIAL_LBL)*(INC_SPECIALS="Y"))))</f>
        <v/>
      </c>
      <c r="G130" s="64">
        <f>IF($C130="","",SUMPRODUCT(('Dvd Calendar'!$E$1314:$AR$1314&gt;=DATE(YEAR_Y-4,1,1))*('Dvd Calendar'!$E$1314:$AR$1314&lt;=DATE(YEAR_Y-4,12,31))*'Dvd Calendar'!$E$1317:$AR$1317*(('Dvd Calendar'!$E$1319:$AR$1319=TYPE1)*(TYPE1&lt;&gt;"")+('Dvd Calendar'!$E$1319:$AR$1319=TYPE2)*(TYPE2&lt;&gt;"")+('Dvd Calendar'!$E$1319:$AR$1319=TYPE3)*(TYPE3&lt;&gt;"")+('Dvd Calendar'!$E$1319:$AR$1319=TYPE4)*(TYPE4&lt;&gt;"")+('Dvd Calendar'!$E$1319:$AR$1319=SPECIAL_LBL)*(INC_SPECIALS="Y"))))</f>
        <v/>
      </c>
      <c r="H130" s="64">
        <f>IF($C130="","",SUMPRODUCT(('Dvd Calendar'!$E$1314:$AR$1314&gt;=DATE(YEAR_Y-3,1,1))*('Dvd Calendar'!$E$1314:$AR$1314&lt;=DATE(YEAR_Y-3,12,31))*'Dvd Calendar'!$E$1317:$AR$1317*(('Dvd Calendar'!$E$1319:$AR$1319=TYPE1)*(TYPE1&lt;&gt;"")+('Dvd Calendar'!$E$1319:$AR$1319=TYPE2)*(TYPE2&lt;&gt;"")+('Dvd Calendar'!$E$1319:$AR$1319=TYPE3)*(TYPE3&lt;&gt;"")+('Dvd Calendar'!$E$1319:$AR$1319=TYPE4)*(TYPE4&lt;&gt;"")+('Dvd Calendar'!$E$1319:$AR$1319=SPECIAL_LBL)*(INC_SPECIALS="Y"))))</f>
        <v/>
      </c>
      <c r="I130" s="64">
        <f>IF($C130="","",SUMPRODUCT(('Dvd Calendar'!$E$1314:$AR$1314&gt;=DATE(YEAR_Y-2,1,1))*('Dvd Calendar'!$E$1314:$AR$1314&lt;=DATE(YEAR_Y-2,12,31))*'Dvd Calendar'!$E$1317:$AR$1317*(('Dvd Calendar'!$E$1319:$AR$1319=TYPE1)*(TYPE1&lt;&gt;"")+('Dvd Calendar'!$E$1319:$AR$1319=TYPE2)*(TYPE2&lt;&gt;"")+('Dvd Calendar'!$E$1319:$AR$1319=TYPE3)*(TYPE3&lt;&gt;"")+('Dvd Calendar'!$E$1319:$AR$1319=TYPE4)*(TYPE4&lt;&gt;"")+('Dvd Calendar'!$E$1319:$AR$1319=SPECIAL_LBL)*(INC_SPECIALS="Y"))))</f>
        <v/>
      </c>
      <c r="J130" s="64">
        <f>IF($C130="","",SUMPRODUCT(('Dvd Calendar'!$E$1314:$AR$1314&gt;=DATE(YEAR_Y-1,1,1))*('Dvd Calendar'!$E$1314:$AR$1314&lt;=DATE(YEAR_Y-1,12,31))*'Dvd Calendar'!$E$1317:$AR$1317*(('Dvd Calendar'!$E$1319:$AR$1319=TYPE1)*(TYPE1&lt;&gt;"")+('Dvd Calendar'!$E$1319:$AR$1319=TYPE2)*(TYPE2&lt;&gt;"")+('Dvd Calendar'!$E$1319:$AR$1319=TYPE3)*(TYPE3&lt;&gt;"")+('Dvd Calendar'!$E$1319:$AR$1319=TYPE4)*(TYPE4&lt;&gt;"")+('Dvd Calendar'!$E$1319:$AR$1319=SPECIAL_LBL)*(INC_SPECIALS="Y"))))</f>
        <v/>
      </c>
      <c r="K130" s="65">
        <f>IF($C130="","",HSTECH!$J$25)</f>
        <v/>
      </c>
      <c r="L130" s="65">
        <f>IF($C130="","",HSTECH!$K$25)</f>
        <v/>
      </c>
      <c r="M130" s="41">
        <f>IF($C130="","",AVERAGE(F130:J130))</f>
        <v/>
      </c>
      <c r="N130" s="66">
        <f>IF($C130="","",IF(PULL_FUND="N","",IFERROR(BDP($C130,EPS_FIELD,YR_OVERRIDE,TEXT(YEAR_Y-5,"0")),"")))</f>
        <v/>
      </c>
      <c r="O130" s="67">
        <f>IF($C130="","",IF(PULL_FUND="N","",IFERROR(BDP($C130,EPS_FIELD,YR_OVERRIDE,TEXT(YEAR_Y-4,"0")),"")))</f>
        <v/>
      </c>
      <c r="P130" s="67">
        <f>IF($C130="","",IF(PULL_FUND="N","",IFERROR(BDP($C130,EPS_FIELD,YR_OVERRIDE,TEXT(YEAR_Y-3,"0")),"")))</f>
        <v/>
      </c>
      <c r="Q130" s="67">
        <f>IF($C130="","",IF(PULL_FUND="N","",IFERROR(BDP($C130,EPS_FIELD,YR_OVERRIDE,TEXT(YEAR_Y-2,"0")),"")))</f>
        <v/>
      </c>
      <c r="R130" s="67">
        <f>IF($C130="","",IF(PULL_FUND="N","",IFERROR(BDP($C130,EPS_FIELD,YR_OVERRIDE,TEXT(YEAR_Y-1,"0")),"")))</f>
        <v/>
      </c>
      <c r="S130" s="68">
        <f>IF($C130="","",IF(PULL_FUND="N","",IFERROR(BDP($C130,PAYOUT_FIELD,YR_OVERRIDE,TEXT(YEAR_Y-5,"0"))/100,"")))</f>
        <v/>
      </c>
      <c r="T130" s="68">
        <f>IF($C130="","",IF(PULL_FUND="N","",IFERROR(BDP($C130,PAYOUT_FIELD,YR_OVERRIDE,TEXT(YEAR_Y-4,"0"))/100,"")))</f>
        <v/>
      </c>
      <c r="U130" s="68">
        <f>IF($C130="","",IF(PULL_FUND="N","",IFERROR(BDP($C130,PAYOUT_FIELD,YR_OVERRIDE,TEXT(YEAR_Y-3,"0"))/100,"")))</f>
        <v/>
      </c>
      <c r="V130" s="68">
        <f>IF($C130="","",IF(PULL_FUND="N","",IFERROR(BDP($C130,PAYOUT_FIELD,YR_OVERRIDE,TEXT(YEAR_Y-2,"0"))/100,"")))</f>
        <v/>
      </c>
      <c r="W130" s="68">
        <f>IF($C130="","",IF(PULL_FUND="N","",IFERROR(BDP($C130,PAYOUT_FIELD,YR_OVERRIDE,TEXT(YEAR_Y-1,"0"))/100,"")))</f>
        <v/>
      </c>
      <c r="X130" s="69">
        <f>IF($C130="","",IFERROR(AVERAGE(S130:W130),""))</f>
        <v/>
      </c>
      <c r="Y130" s="66">
        <f>IF($C130="","",IF(PULL_FUND="N","",IFERROR(BDP($C130,BESTEPS_FIELD,FWD_OVERRIDE,TEXT(MOD(YEAR_Y,100),"00")&amp;"Y"),"")))</f>
        <v/>
      </c>
      <c r="Z130" s="70">
        <f>IF($C130="","",IF(PULL_FUND="N","",IFERROR(BDP($C130,BESTDPS_FIELD,FWD_OVERRIDE,TEXT(MOD(YEAR_Y,100),"00")&amp;"Y"),"")))</f>
        <v/>
      </c>
      <c r="AA130" s="71">
        <f>IF($C130="","",IF(ISNUMBER($Y130)*ISNUMBER($Z130)*($Y130&lt;&gt;0)=0,"",$Z130/$Y130))</f>
        <v/>
      </c>
      <c r="AB130" s="41">
        <f>IF($C130="","",HSTECH!$J$25+HSTECH!$L$25)</f>
        <v/>
      </c>
      <c r="AC130" s="72">
        <f>IF($C130="","",IF(PULL_FUND="N","",IF(COUNTIFS('Fund History'!$G$720:$G$724,"&gt;="&amp;DATE(YEAR_Y-4,1,1),'Fund History'!$G$720:$G$724,"&lt;="&amp;DATE(YEAR_Y-4,12,31))=0,"",SUMIFS('Fund History'!$H$720:$H$724,'Fund History'!$G$720:$G$724,"&gt;="&amp;DATE(YEAR_Y-4,1,1),'Fund History'!$G$720:$G$724,"&lt;="&amp;DATE(YEAR_Y-4,12,31))/100)))</f>
        <v/>
      </c>
      <c r="AD130" s="73">
        <f>IF($C130="","",IF(PULL_FUND="N","",IF(COUNTIFS('Fund History'!$G$720:$G$724,"&gt;="&amp;DATE(YEAR_Y-3,1,1),'Fund History'!$G$720:$G$724,"&lt;="&amp;DATE(YEAR_Y-3,12,31))=0,"",SUMIFS('Fund History'!$H$720:$H$724,'Fund History'!$G$720:$G$724,"&gt;="&amp;DATE(YEAR_Y-3,1,1),'Fund History'!$G$720:$G$724,"&lt;="&amp;DATE(YEAR_Y-3,12,31))/100)))</f>
        <v/>
      </c>
      <c r="AE130" s="73">
        <f>IF($C130="","",IF(PULL_FUND="N","",IF(COUNTIFS('Fund History'!$G$720:$G$724,"&gt;="&amp;DATE(YEAR_Y-2,1,1),'Fund History'!$G$720:$G$724,"&lt;="&amp;DATE(YEAR_Y-2,12,31))=0,"",SUMIFS('Fund History'!$H$720:$H$724,'Fund History'!$G$720:$G$724,"&gt;="&amp;DATE(YEAR_Y-2,1,1),'Fund History'!$G$720:$G$724,"&lt;="&amp;DATE(YEAR_Y-2,12,31))/100)))</f>
        <v/>
      </c>
      <c r="AF130" s="73">
        <f>IF($C130="","",IF(PULL_FUND="N","",IF(COUNTIFS('Fund History'!$G$720:$G$724,"&gt;="&amp;DATE(YEAR_Y-1,1,1),'Fund History'!$G$720:$G$724,"&lt;="&amp;DATE(YEAR_Y-1,12,31))=0,"",SUMIFS('Fund History'!$H$720:$H$724,'Fund History'!$G$720:$G$724,"&gt;="&amp;DATE(YEAR_Y-1,1,1),'Fund History'!$G$720:$G$724,"&lt;="&amp;DATE(YEAR_Y-1,12,31))/100)))</f>
        <v/>
      </c>
      <c r="AG130" s="74">
        <f>IF($C130="","",IF(N($AF130)+N(HSTECH!$I$25)=0,"",N($AF130)+N(HSTECH!$I$25)/100))</f>
        <v/>
      </c>
      <c r="AH130" s="66">
        <f>IF($C130="","",IF(PULL_FUND="N","",IF(COUNTIFS('Fund History'!$D$720:$D$724,"&gt;="&amp;DATE(YEAR_Y-2,1,1),'Fund History'!$D$720:$D$724,"&lt;="&amp;DATE(YEAR_Y-2,12,31))=0,"",SUMIFS('Fund History'!$E$720:$E$724,'Fund History'!$D$720:$D$724,"&gt;="&amp;DATE(YEAR_Y-2,1,1),'Fund History'!$D$720:$D$724,"&lt;="&amp;DATE(YEAR_Y-2,12,31)))))</f>
        <v/>
      </c>
      <c r="AI130" s="67">
        <f>IF($C130="","",IF(PULL_FUND="N","",IF(COUNTIFS('Fund History'!$D$720:$D$724,"&gt;="&amp;DATE(YEAR_Y-1,1,1),'Fund History'!$D$720:$D$724,"&lt;="&amp;DATE(YEAR_Y-1,12,31))=0,"",SUMIFS('Fund History'!$E$720:$E$724,'Fund History'!$D$720:$D$724,"&gt;="&amp;DATE(YEAR_Y-1,1,1),'Fund History'!$D$720:$D$724,"&lt;="&amp;DATE(YEAR_Y-1,12,31)))))</f>
        <v/>
      </c>
      <c r="AJ130" s="67">
        <f>IF($C130="","",IF(PULL_FUND="N","",IFERROR(BDP($C130,NDEBITDA_FIELD),"")))</f>
        <v/>
      </c>
      <c r="AK130" s="75">
        <f>IF($C130="","",IF(PULL_FUND="N","",IFERROR(BDP($C130,EBINT_FIELD),"")))</f>
        <v/>
      </c>
      <c r="AL130" s="73">
        <f>IF($C130="","",IF(PULL_FUND="N","",IFERROR(BDP($C130,FCF_FIELD)/100,"")))</f>
        <v/>
      </c>
      <c r="AM130" s="76">
        <f>IF($C130="","",IF(ISNUMBER(HSTECH!$I$25),HSTECH!$I$25/100,""))</f>
        <v/>
      </c>
      <c r="AN130" s="47">
        <f>IF($C130="","",IF(N($AM130)=0,"",IFERROR($AL130/$AM130,"")))</f>
        <v/>
      </c>
      <c r="AO130" s="33">
        <f>IF($C130="","",IF(ISNUMBER($S130)*ISNUMBER($W130)=0,"",IF($W130&gt;$S130+0.05,"rising",IF($W130&lt;$S130-0.05,"falling","stable"))))</f>
        <v/>
      </c>
      <c r="AP130" s="77">
        <f>IF($C130="","",TRIM(IF(ISNUMBER($X130)*(N($X130)&gt;$D$4)&gt;0,"payout high  ","")&amp;IF(ISNUMBER($AN130)*(N($AN130)&lt;$F$4)&gt;0,"FCF below dvd  ","")&amp;IF(ISNUMBER($AJ130)*(N($AJ130)&gt;$H$4)&gt;0,"leverage high","")))</f>
        <v/>
      </c>
      <c r="AQ130" s="78">
        <f>IF($C130="","",IF(HSTECH!$F$25="HKD","",HSTECH!$F$25))</f>
        <v/>
      </c>
    </row>
    <row r="131">
      <c r="B131" s="62" t="inlineStr">
        <is>
          <t>HSTECH</t>
        </is>
      </c>
      <c r="C131" s="6">
        <f>IF(HSTECH!$C$26="","",HSTECH!$C$26)</f>
        <v/>
      </c>
      <c r="D131" s="6">
        <f>IF($C131="","",HSTECH!$D$26)</f>
        <v/>
      </c>
      <c r="E131" s="6">
        <f>IF($C131="","",HSTECH!$E$26)</f>
        <v/>
      </c>
      <c r="F131" s="63">
        <f>IF($C131="","",SUMPRODUCT(('Dvd Calendar'!$E$1325:$AR$1325&gt;=DATE(YEAR_Y-5,1,1))*('Dvd Calendar'!$E$1325:$AR$1325&lt;=DATE(YEAR_Y-5,12,31))*'Dvd Calendar'!$E$1328:$AR$1328*(('Dvd Calendar'!$E$1330:$AR$1330=TYPE1)*(TYPE1&lt;&gt;"")+('Dvd Calendar'!$E$1330:$AR$1330=TYPE2)*(TYPE2&lt;&gt;"")+('Dvd Calendar'!$E$1330:$AR$1330=TYPE3)*(TYPE3&lt;&gt;"")+('Dvd Calendar'!$E$1330:$AR$1330=TYPE4)*(TYPE4&lt;&gt;"")+('Dvd Calendar'!$E$1330:$AR$1330=SPECIAL_LBL)*(INC_SPECIALS="Y"))))</f>
        <v/>
      </c>
      <c r="G131" s="64">
        <f>IF($C131="","",SUMPRODUCT(('Dvd Calendar'!$E$1325:$AR$1325&gt;=DATE(YEAR_Y-4,1,1))*('Dvd Calendar'!$E$1325:$AR$1325&lt;=DATE(YEAR_Y-4,12,31))*'Dvd Calendar'!$E$1328:$AR$1328*(('Dvd Calendar'!$E$1330:$AR$1330=TYPE1)*(TYPE1&lt;&gt;"")+('Dvd Calendar'!$E$1330:$AR$1330=TYPE2)*(TYPE2&lt;&gt;"")+('Dvd Calendar'!$E$1330:$AR$1330=TYPE3)*(TYPE3&lt;&gt;"")+('Dvd Calendar'!$E$1330:$AR$1330=TYPE4)*(TYPE4&lt;&gt;"")+('Dvd Calendar'!$E$1330:$AR$1330=SPECIAL_LBL)*(INC_SPECIALS="Y"))))</f>
        <v/>
      </c>
      <c r="H131" s="64">
        <f>IF($C131="","",SUMPRODUCT(('Dvd Calendar'!$E$1325:$AR$1325&gt;=DATE(YEAR_Y-3,1,1))*('Dvd Calendar'!$E$1325:$AR$1325&lt;=DATE(YEAR_Y-3,12,31))*'Dvd Calendar'!$E$1328:$AR$1328*(('Dvd Calendar'!$E$1330:$AR$1330=TYPE1)*(TYPE1&lt;&gt;"")+('Dvd Calendar'!$E$1330:$AR$1330=TYPE2)*(TYPE2&lt;&gt;"")+('Dvd Calendar'!$E$1330:$AR$1330=TYPE3)*(TYPE3&lt;&gt;"")+('Dvd Calendar'!$E$1330:$AR$1330=TYPE4)*(TYPE4&lt;&gt;"")+('Dvd Calendar'!$E$1330:$AR$1330=SPECIAL_LBL)*(INC_SPECIALS="Y"))))</f>
        <v/>
      </c>
      <c r="I131" s="64">
        <f>IF($C131="","",SUMPRODUCT(('Dvd Calendar'!$E$1325:$AR$1325&gt;=DATE(YEAR_Y-2,1,1))*('Dvd Calendar'!$E$1325:$AR$1325&lt;=DATE(YEAR_Y-2,12,31))*'Dvd Calendar'!$E$1328:$AR$1328*(('Dvd Calendar'!$E$1330:$AR$1330=TYPE1)*(TYPE1&lt;&gt;"")+('Dvd Calendar'!$E$1330:$AR$1330=TYPE2)*(TYPE2&lt;&gt;"")+('Dvd Calendar'!$E$1330:$AR$1330=TYPE3)*(TYPE3&lt;&gt;"")+('Dvd Calendar'!$E$1330:$AR$1330=TYPE4)*(TYPE4&lt;&gt;"")+('Dvd Calendar'!$E$1330:$AR$1330=SPECIAL_LBL)*(INC_SPECIALS="Y"))))</f>
        <v/>
      </c>
      <c r="J131" s="64">
        <f>IF($C131="","",SUMPRODUCT(('Dvd Calendar'!$E$1325:$AR$1325&gt;=DATE(YEAR_Y-1,1,1))*('Dvd Calendar'!$E$1325:$AR$1325&lt;=DATE(YEAR_Y-1,12,31))*'Dvd Calendar'!$E$1328:$AR$1328*(('Dvd Calendar'!$E$1330:$AR$1330=TYPE1)*(TYPE1&lt;&gt;"")+('Dvd Calendar'!$E$1330:$AR$1330=TYPE2)*(TYPE2&lt;&gt;"")+('Dvd Calendar'!$E$1330:$AR$1330=TYPE3)*(TYPE3&lt;&gt;"")+('Dvd Calendar'!$E$1330:$AR$1330=TYPE4)*(TYPE4&lt;&gt;"")+('Dvd Calendar'!$E$1330:$AR$1330=SPECIAL_LBL)*(INC_SPECIALS="Y"))))</f>
        <v/>
      </c>
      <c r="K131" s="65">
        <f>IF($C131="","",HSTECH!$J$26)</f>
        <v/>
      </c>
      <c r="L131" s="65">
        <f>IF($C131="","",HSTECH!$K$26)</f>
        <v/>
      </c>
      <c r="M131" s="41">
        <f>IF($C131="","",AVERAGE(F131:J131))</f>
        <v/>
      </c>
      <c r="N131" s="66">
        <f>IF($C131="","",IF(PULL_FUND="N","",IFERROR(BDP($C131,EPS_FIELD,YR_OVERRIDE,TEXT(YEAR_Y-5,"0")),"")))</f>
        <v/>
      </c>
      <c r="O131" s="67">
        <f>IF($C131="","",IF(PULL_FUND="N","",IFERROR(BDP($C131,EPS_FIELD,YR_OVERRIDE,TEXT(YEAR_Y-4,"0")),"")))</f>
        <v/>
      </c>
      <c r="P131" s="67">
        <f>IF($C131="","",IF(PULL_FUND="N","",IFERROR(BDP($C131,EPS_FIELD,YR_OVERRIDE,TEXT(YEAR_Y-3,"0")),"")))</f>
        <v/>
      </c>
      <c r="Q131" s="67">
        <f>IF($C131="","",IF(PULL_FUND="N","",IFERROR(BDP($C131,EPS_FIELD,YR_OVERRIDE,TEXT(YEAR_Y-2,"0")),"")))</f>
        <v/>
      </c>
      <c r="R131" s="67">
        <f>IF($C131="","",IF(PULL_FUND="N","",IFERROR(BDP($C131,EPS_FIELD,YR_OVERRIDE,TEXT(YEAR_Y-1,"0")),"")))</f>
        <v/>
      </c>
      <c r="S131" s="68">
        <f>IF($C131="","",IF(PULL_FUND="N","",IFERROR(BDP($C131,PAYOUT_FIELD,YR_OVERRIDE,TEXT(YEAR_Y-5,"0"))/100,"")))</f>
        <v/>
      </c>
      <c r="T131" s="68">
        <f>IF($C131="","",IF(PULL_FUND="N","",IFERROR(BDP($C131,PAYOUT_FIELD,YR_OVERRIDE,TEXT(YEAR_Y-4,"0"))/100,"")))</f>
        <v/>
      </c>
      <c r="U131" s="68">
        <f>IF($C131="","",IF(PULL_FUND="N","",IFERROR(BDP($C131,PAYOUT_FIELD,YR_OVERRIDE,TEXT(YEAR_Y-3,"0"))/100,"")))</f>
        <v/>
      </c>
      <c r="V131" s="68">
        <f>IF($C131="","",IF(PULL_FUND="N","",IFERROR(BDP($C131,PAYOUT_FIELD,YR_OVERRIDE,TEXT(YEAR_Y-2,"0"))/100,"")))</f>
        <v/>
      </c>
      <c r="W131" s="68">
        <f>IF($C131="","",IF(PULL_FUND="N","",IFERROR(BDP($C131,PAYOUT_FIELD,YR_OVERRIDE,TEXT(YEAR_Y-1,"0"))/100,"")))</f>
        <v/>
      </c>
      <c r="X131" s="69">
        <f>IF($C131="","",IFERROR(AVERAGE(S131:W131),""))</f>
        <v/>
      </c>
      <c r="Y131" s="66">
        <f>IF($C131="","",IF(PULL_FUND="N","",IFERROR(BDP($C131,BESTEPS_FIELD,FWD_OVERRIDE,TEXT(MOD(YEAR_Y,100),"00")&amp;"Y"),"")))</f>
        <v/>
      </c>
      <c r="Z131" s="70">
        <f>IF($C131="","",IF(PULL_FUND="N","",IFERROR(BDP($C131,BESTDPS_FIELD,FWD_OVERRIDE,TEXT(MOD(YEAR_Y,100),"00")&amp;"Y"),"")))</f>
        <v/>
      </c>
      <c r="AA131" s="71">
        <f>IF($C131="","",IF(ISNUMBER($Y131)*ISNUMBER($Z131)*($Y131&lt;&gt;0)=0,"",$Z131/$Y131))</f>
        <v/>
      </c>
      <c r="AB131" s="41">
        <f>IF($C131="","",HSTECH!$J$26+HSTECH!$L$26)</f>
        <v/>
      </c>
      <c r="AC131" s="72">
        <f>IF($C131="","",IF(PULL_FUND="N","",IF(COUNTIFS('Fund History'!$G$726:$G$730,"&gt;="&amp;DATE(YEAR_Y-4,1,1),'Fund History'!$G$726:$G$730,"&lt;="&amp;DATE(YEAR_Y-4,12,31))=0,"",SUMIFS('Fund History'!$H$726:$H$730,'Fund History'!$G$726:$G$730,"&gt;="&amp;DATE(YEAR_Y-4,1,1),'Fund History'!$G$726:$G$730,"&lt;="&amp;DATE(YEAR_Y-4,12,31))/100)))</f>
        <v/>
      </c>
      <c r="AD131" s="73">
        <f>IF($C131="","",IF(PULL_FUND="N","",IF(COUNTIFS('Fund History'!$G$726:$G$730,"&gt;="&amp;DATE(YEAR_Y-3,1,1),'Fund History'!$G$726:$G$730,"&lt;="&amp;DATE(YEAR_Y-3,12,31))=0,"",SUMIFS('Fund History'!$H$726:$H$730,'Fund History'!$G$726:$G$730,"&gt;="&amp;DATE(YEAR_Y-3,1,1),'Fund History'!$G$726:$G$730,"&lt;="&amp;DATE(YEAR_Y-3,12,31))/100)))</f>
        <v/>
      </c>
      <c r="AE131" s="73">
        <f>IF($C131="","",IF(PULL_FUND="N","",IF(COUNTIFS('Fund History'!$G$726:$G$730,"&gt;="&amp;DATE(YEAR_Y-2,1,1),'Fund History'!$G$726:$G$730,"&lt;="&amp;DATE(YEAR_Y-2,12,31))=0,"",SUMIFS('Fund History'!$H$726:$H$730,'Fund History'!$G$726:$G$730,"&gt;="&amp;DATE(YEAR_Y-2,1,1),'Fund History'!$G$726:$G$730,"&lt;="&amp;DATE(YEAR_Y-2,12,31))/100)))</f>
        <v/>
      </c>
      <c r="AF131" s="73">
        <f>IF($C131="","",IF(PULL_FUND="N","",IF(COUNTIFS('Fund History'!$G$726:$G$730,"&gt;="&amp;DATE(YEAR_Y-1,1,1),'Fund History'!$G$726:$G$730,"&lt;="&amp;DATE(YEAR_Y-1,12,31))=0,"",SUMIFS('Fund History'!$H$726:$H$730,'Fund History'!$G$726:$G$730,"&gt;="&amp;DATE(YEAR_Y-1,1,1),'Fund History'!$G$726:$G$730,"&lt;="&amp;DATE(YEAR_Y-1,12,31))/100)))</f>
        <v/>
      </c>
      <c r="AG131" s="74">
        <f>IF($C131="","",IF(N($AF131)+N(HSTECH!$I$26)=0,"",N($AF131)+N(HSTECH!$I$26)/100))</f>
        <v/>
      </c>
      <c r="AH131" s="66">
        <f>IF($C131="","",IF(PULL_FUND="N","",IF(COUNTIFS('Fund History'!$D$726:$D$730,"&gt;="&amp;DATE(YEAR_Y-2,1,1),'Fund History'!$D$726:$D$730,"&lt;="&amp;DATE(YEAR_Y-2,12,31))=0,"",SUMIFS('Fund History'!$E$726:$E$730,'Fund History'!$D$726:$D$730,"&gt;="&amp;DATE(YEAR_Y-2,1,1),'Fund History'!$D$726:$D$730,"&lt;="&amp;DATE(YEAR_Y-2,12,31)))))</f>
        <v/>
      </c>
      <c r="AI131" s="67">
        <f>IF($C131="","",IF(PULL_FUND="N","",IF(COUNTIFS('Fund History'!$D$726:$D$730,"&gt;="&amp;DATE(YEAR_Y-1,1,1),'Fund History'!$D$726:$D$730,"&lt;="&amp;DATE(YEAR_Y-1,12,31))=0,"",SUMIFS('Fund History'!$E$726:$E$730,'Fund History'!$D$726:$D$730,"&gt;="&amp;DATE(YEAR_Y-1,1,1),'Fund History'!$D$726:$D$730,"&lt;="&amp;DATE(YEAR_Y-1,12,31)))))</f>
        <v/>
      </c>
      <c r="AJ131" s="67">
        <f>IF($C131="","",IF(PULL_FUND="N","",IFERROR(BDP($C131,NDEBITDA_FIELD),"")))</f>
        <v/>
      </c>
      <c r="AK131" s="75">
        <f>IF($C131="","",IF(PULL_FUND="N","",IFERROR(BDP($C131,EBINT_FIELD),"")))</f>
        <v/>
      </c>
      <c r="AL131" s="73">
        <f>IF($C131="","",IF(PULL_FUND="N","",IFERROR(BDP($C131,FCF_FIELD)/100,"")))</f>
        <v/>
      </c>
      <c r="AM131" s="76">
        <f>IF($C131="","",IF(ISNUMBER(HSTECH!$I$26),HSTECH!$I$26/100,""))</f>
        <v/>
      </c>
      <c r="AN131" s="47">
        <f>IF($C131="","",IF(N($AM131)=0,"",IFERROR($AL131/$AM131,"")))</f>
        <v/>
      </c>
      <c r="AO131" s="33">
        <f>IF($C131="","",IF(ISNUMBER($S131)*ISNUMBER($W131)=0,"",IF($W131&gt;$S131+0.05,"rising",IF($W131&lt;$S131-0.05,"falling","stable"))))</f>
        <v/>
      </c>
      <c r="AP131" s="77">
        <f>IF($C131="","",TRIM(IF(ISNUMBER($X131)*(N($X131)&gt;$D$4)&gt;0,"payout high  ","")&amp;IF(ISNUMBER($AN131)*(N($AN131)&lt;$F$4)&gt;0,"FCF below dvd  ","")&amp;IF(ISNUMBER($AJ131)*(N($AJ131)&gt;$H$4)&gt;0,"leverage high","")))</f>
        <v/>
      </c>
      <c r="AQ131" s="78">
        <f>IF($C131="","",IF(HSTECH!$F$26="HKD","",HSTECH!$F$26))</f>
        <v/>
      </c>
    </row>
    <row r="132">
      <c r="B132" s="62" t="inlineStr">
        <is>
          <t>HSTECH</t>
        </is>
      </c>
      <c r="C132" s="6">
        <f>IF(HSTECH!$C$27="","",HSTECH!$C$27)</f>
        <v/>
      </c>
      <c r="D132" s="6">
        <f>IF($C132="","",HSTECH!$D$27)</f>
        <v/>
      </c>
      <c r="E132" s="6">
        <f>IF($C132="","",HSTECH!$E$27)</f>
        <v/>
      </c>
      <c r="F132" s="63">
        <f>IF($C132="","",SUMPRODUCT(('Dvd Calendar'!$E$1336:$AR$1336&gt;=DATE(YEAR_Y-5,1,1))*('Dvd Calendar'!$E$1336:$AR$1336&lt;=DATE(YEAR_Y-5,12,31))*'Dvd Calendar'!$E$1339:$AR$1339*(('Dvd Calendar'!$E$1341:$AR$1341=TYPE1)*(TYPE1&lt;&gt;"")+('Dvd Calendar'!$E$1341:$AR$1341=TYPE2)*(TYPE2&lt;&gt;"")+('Dvd Calendar'!$E$1341:$AR$1341=TYPE3)*(TYPE3&lt;&gt;"")+('Dvd Calendar'!$E$1341:$AR$1341=TYPE4)*(TYPE4&lt;&gt;"")+('Dvd Calendar'!$E$1341:$AR$1341=SPECIAL_LBL)*(INC_SPECIALS="Y"))))</f>
        <v/>
      </c>
      <c r="G132" s="64">
        <f>IF($C132="","",SUMPRODUCT(('Dvd Calendar'!$E$1336:$AR$1336&gt;=DATE(YEAR_Y-4,1,1))*('Dvd Calendar'!$E$1336:$AR$1336&lt;=DATE(YEAR_Y-4,12,31))*'Dvd Calendar'!$E$1339:$AR$1339*(('Dvd Calendar'!$E$1341:$AR$1341=TYPE1)*(TYPE1&lt;&gt;"")+('Dvd Calendar'!$E$1341:$AR$1341=TYPE2)*(TYPE2&lt;&gt;"")+('Dvd Calendar'!$E$1341:$AR$1341=TYPE3)*(TYPE3&lt;&gt;"")+('Dvd Calendar'!$E$1341:$AR$1341=TYPE4)*(TYPE4&lt;&gt;"")+('Dvd Calendar'!$E$1341:$AR$1341=SPECIAL_LBL)*(INC_SPECIALS="Y"))))</f>
        <v/>
      </c>
      <c r="H132" s="64">
        <f>IF($C132="","",SUMPRODUCT(('Dvd Calendar'!$E$1336:$AR$1336&gt;=DATE(YEAR_Y-3,1,1))*('Dvd Calendar'!$E$1336:$AR$1336&lt;=DATE(YEAR_Y-3,12,31))*'Dvd Calendar'!$E$1339:$AR$1339*(('Dvd Calendar'!$E$1341:$AR$1341=TYPE1)*(TYPE1&lt;&gt;"")+('Dvd Calendar'!$E$1341:$AR$1341=TYPE2)*(TYPE2&lt;&gt;"")+('Dvd Calendar'!$E$1341:$AR$1341=TYPE3)*(TYPE3&lt;&gt;"")+('Dvd Calendar'!$E$1341:$AR$1341=TYPE4)*(TYPE4&lt;&gt;"")+('Dvd Calendar'!$E$1341:$AR$1341=SPECIAL_LBL)*(INC_SPECIALS="Y"))))</f>
        <v/>
      </c>
      <c r="I132" s="64">
        <f>IF($C132="","",SUMPRODUCT(('Dvd Calendar'!$E$1336:$AR$1336&gt;=DATE(YEAR_Y-2,1,1))*('Dvd Calendar'!$E$1336:$AR$1336&lt;=DATE(YEAR_Y-2,12,31))*'Dvd Calendar'!$E$1339:$AR$1339*(('Dvd Calendar'!$E$1341:$AR$1341=TYPE1)*(TYPE1&lt;&gt;"")+('Dvd Calendar'!$E$1341:$AR$1341=TYPE2)*(TYPE2&lt;&gt;"")+('Dvd Calendar'!$E$1341:$AR$1341=TYPE3)*(TYPE3&lt;&gt;"")+('Dvd Calendar'!$E$1341:$AR$1341=TYPE4)*(TYPE4&lt;&gt;"")+('Dvd Calendar'!$E$1341:$AR$1341=SPECIAL_LBL)*(INC_SPECIALS="Y"))))</f>
        <v/>
      </c>
      <c r="J132" s="64">
        <f>IF($C132="","",SUMPRODUCT(('Dvd Calendar'!$E$1336:$AR$1336&gt;=DATE(YEAR_Y-1,1,1))*('Dvd Calendar'!$E$1336:$AR$1336&lt;=DATE(YEAR_Y-1,12,31))*'Dvd Calendar'!$E$1339:$AR$1339*(('Dvd Calendar'!$E$1341:$AR$1341=TYPE1)*(TYPE1&lt;&gt;"")+('Dvd Calendar'!$E$1341:$AR$1341=TYPE2)*(TYPE2&lt;&gt;"")+('Dvd Calendar'!$E$1341:$AR$1341=TYPE3)*(TYPE3&lt;&gt;"")+('Dvd Calendar'!$E$1341:$AR$1341=TYPE4)*(TYPE4&lt;&gt;"")+('Dvd Calendar'!$E$1341:$AR$1341=SPECIAL_LBL)*(INC_SPECIALS="Y"))))</f>
        <v/>
      </c>
      <c r="K132" s="65">
        <f>IF($C132="","",HSTECH!$J$27)</f>
        <v/>
      </c>
      <c r="L132" s="65">
        <f>IF($C132="","",HSTECH!$K$27)</f>
        <v/>
      </c>
      <c r="M132" s="41">
        <f>IF($C132="","",AVERAGE(F132:J132))</f>
        <v/>
      </c>
      <c r="N132" s="66">
        <f>IF($C132="","",IF(PULL_FUND="N","",IFERROR(BDP($C132,EPS_FIELD,YR_OVERRIDE,TEXT(YEAR_Y-5,"0")),"")))</f>
        <v/>
      </c>
      <c r="O132" s="67">
        <f>IF($C132="","",IF(PULL_FUND="N","",IFERROR(BDP($C132,EPS_FIELD,YR_OVERRIDE,TEXT(YEAR_Y-4,"0")),"")))</f>
        <v/>
      </c>
      <c r="P132" s="67">
        <f>IF($C132="","",IF(PULL_FUND="N","",IFERROR(BDP($C132,EPS_FIELD,YR_OVERRIDE,TEXT(YEAR_Y-3,"0")),"")))</f>
        <v/>
      </c>
      <c r="Q132" s="67">
        <f>IF($C132="","",IF(PULL_FUND="N","",IFERROR(BDP($C132,EPS_FIELD,YR_OVERRIDE,TEXT(YEAR_Y-2,"0")),"")))</f>
        <v/>
      </c>
      <c r="R132" s="67">
        <f>IF($C132="","",IF(PULL_FUND="N","",IFERROR(BDP($C132,EPS_FIELD,YR_OVERRIDE,TEXT(YEAR_Y-1,"0")),"")))</f>
        <v/>
      </c>
      <c r="S132" s="68">
        <f>IF($C132="","",IF(PULL_FUND="N","",IFERROR(BDP($C132,PAYOUT_FIELD,YR_OVERRIDE,TEXT(YEAR_Y-5,"0"))/100,"")))</f>
        <v/>
      </c>
      <c r="T132" s="68">
        <f>IF($C132="","",IF(PULL_FUND="N","",IFERROR(BDP($C132,PAYOUT_FIELD,YR_OVERRIDE,TEXT(YEAR_Y-4,"0"))/100,"")))</f>
        <v/>
      </c>
      <c r="U132" s="68">
        <f>IF($C132="","",IF(PULL_FUND="N","",IFERROR(BDP($C132,PAYOUT_FIELD,YR_OVERRIDE,TEXT(YEAR_Y-3,"0"))/100,"")))</f>
        <v/>
      </c>
      <c r="V132" s="68">
        <f>IF($C132="","",IF(PULL_FUND="N","",IFERROR(BDP($C132,PAYOUT_FIELD,YR_OVERRIDE,TEXT(YEAR_Y-2,"0"))/100,"")))</f>
        <v/>
      </c>
      <c r="W132" s="68">
        <f>IF($C132="","",IF(PULL_FUND="N","",IFERROR(BDP($C132,PAYOUT_FIELD,YR_OVERRIDE,TEXT(YEAR_Y-1,"0"))/100,"")))</f>
        <v/>
      </c>
      <c r="X132" s="69">
        <f>IF($C132="","",IFERROR(AVERAGE(S132:W132),""))</f>
        <v/>
      </c>
      <c r="Y132" s="66">
        <f>IF($C132="","",IF(PULL_FUND="N","",IFERROR(BDP($C132,BESTEPS_FIELD,FWD_OVERRIDE,TEXT(MOD(YEAR_Y,100),"00")&amp;"Y"),"")))</f>
        <v/>
      </c>
      <c r="Z132" s="70">
        <f>IF($C132="","",IF(PULL_FUND="N","",IFERROR(BDP($C132,BESTDPS_FIELD,FWD_OVERRIDE,TEXT(MOD(YEAR_Y,100),"00")&amp;"Y"),"")))</f>
        <v/>
      </c>
      <c r="AA132" s="71">
        <f>IF($C132="","",IF(ISNUMBER($Y132)*ISNUMBER($Z132)*($Y132&lt;&gt;0)=0,"",$Z132/$Y132))</f>
        <v/>
      </c>
      <c r="AB132" s="41">
        <f>IF($C132="","",HSTECH!$J$27+HSTECH!$L$27)</f>
        <v/>
      </c>
      <c r="AC132" s="72">
        <f>IF($C132="","",IF(PULL_FUND="N","",IF(COUNTIFS('Fund History'!$G$732:$G$736,"&gt;="&amp;DATE(YEAR_Y-4,1,1),'Fund History'!$G$732:$G$736,"&lt;="&amp;DATE(YEAR_Y-4,12,31))=0,"",SUMIFS('Fund History'!$H$732:$H$736,'Fund History'!$G$732:$G$736,"&gt;="&amp;DATE(YEAR_Y-4,1,1),'Fund History'!$G$732:$G$736,"&lt;="&amp;DATE(YEAR_Y-4,12,31))/100)))</f>
        <v/>
      </c>
      <c r="AD132" s="73">
        <f>IF($C132="","",IF(PULL_FUND="N","",IF(COUNTIFS('Fund History'!$G$732:$G$736,"&gt;="&amp;DATE(YEAR_Y-3,1,1),'Fund History'!$G$732:$G$736,"&lt;="&amp;DATE(YEAR_Y-3,12,31))=0,"",SUMIFS('Fund History'!$H$732:$H$736,'Fund History'!$G$732:$G$736,"&gt;="&amp;DATE(YEAR_Y-3,1,1),'Fund History'!$G$732:$G$736,"&lt;="&amp;DATE(YEAR_Y-3,12,31))/100)))</f>
        <v/>
      </c>
      <c r="AE132" s="73">
        <f>IF($C132="","",IF(PULL_FUND="N","",IF(COUNTIFS('Fund History'!$G$732:$G$736,"&gt;="&amp;DATE(YEAR_Y-2,1,1),'Fund History'!$G$732:$G$736,"&lt;="&amp;DATE(YEAR_Y-2,12,31))=0,"",SUMIFS('Fund History'!$H$732:$H$736,'Fund History'!$G$732:$G$736,"&gt;="&amp;DATE(YEAR_Y-2,1,1),'Fund History'!$G$732:$G$736,"&lt;="&amp;DATE(YEAR_Y-2,12,31))/100)))</f>
        <v/>
      </c>
      <c r="AF132" s="73">
        <f>IF($C132="","",IF(PULL_FUND="N","",IF(COUNTIFS('Fund History'!$G$732:$G$736,"&gt;="&amp;DATE(YEAR_Y-1,1,1),'Fund History'!$G$732:$G$736,"&lt;="&amp;DATE(YEAR_Y-1,12,31))=0,"",SUMIFS('Fund History'!$H$732:$H$736,'Fund History'!$G$732:$G$736,"&gt;="&amp;DATE(YEAR_Y-1,1,1),'Fund History'!$G$732:$G$736,"&lt;="&amp;DATE(YEAR_Y-1,12,31))/100)))</f>
        <v/>
      </c>
      <c r="AG132" s="74">
        <f>IF($C132="","",IF(N($AF132)+N(HSTECH!$I$27)=0,"",N($AF132)+N(HSTECH!$I$27)/100))</f>
        <v/>
      </c>
      <c r="AH132" s="66">
        <f>IF($C132="","",IF(PULL_FUND="N","",IF(COUNTIFS('Fund History'!$D$732:$D$736,"&gt;="&amp;DATE(YEAR_Y-2,1,1),'Fund History'!$D$732:$D$736,"&lt;="&amp;DATE(YEAR_Y-2,12,31))=0,"",SUMIFS('Fund History'!$E$732:$E$736,'Fund History'!$D$732:$D$736,"&gt;="&amp;DATE(YEAR_Y-2,1,1),'Fund History'!$D$732:$D$736,"&lt;="&amp;DATE(YEAR_Y-2,12,31)))))</f>
        <v/>
      </c>
      <c r="AI132" s="67">
        <f>IF($C132="","",IF(PULL_FUND="N","",IF(COUNTIFS('Fund History'!$D$732:$D$736,"&gt;="&amp;DATE(YEAR_Y-1,1,1),'Fund History'!$D$732:$D$736,"&lt;="&amp;DATE(YEAR_Y-1,12,31))=0,"",SUMIFS('Fund History'!$E$732:$E$736,'Fund History'!$D$732:$D$736,"&gt;="&amp;DATE(YEAR_Y-1,1,1),'Fund History'!$D$732:$D$736,"&lt;="&amp;DATE(YEAR_Y-1,12,31)))))</f>
        <v/>
      </c>
      <c r="AJ132" s="67">
        <f>IF($C132="","",IF(PULL_FUND="N","",IFERROR(BDP($C132,NDEBITDA_FIELD),"")))</f>
        <v/>
      </c>
      <c r="AK132" s="75">
        <f>IF($C132="","",IF(PULL_FUND="N","",IFERROR(BDP($C132,EBINT_FIELD),"")))</f>
        <v/>
      </c>
      <c r="AL132" s="73">
        <f>IF($C132="","",IF(PULL_FUND="N","",IFERROR(BDP($C132,FCF_FIELD)/100,"")))</f>
        <v/>
      </c>
      <c r="AM132" s="76">
        <f>IF($C132="","",IF(ISNUMBER(HSTECH!$I$27),HSTECH!$I$27/100,""))</f>
        <v/>
      </c>
      <c r="AN132" s="47">
        <f>IF($C132="","",IF(N($AM132)=0,"",IFERROR($AL132/$AM132,"")))</f>
        <v/>
      </c>
      <c r="AO132" s="33">
        <f>IF($C132="","",IF(ISNUMBER($S132)*ISNUMBER($W132)=0,"",IF($W132&gt;$S132+0.05,"rising",IF($W132&lt;$S132-0.05,"falling","stable"))))</f>
        <v/>
      </c>
      <c r="AP132" s="77">
        <f>IF($C132="","",TRIM(IF(ISNUMBER($X132)*(N($X132)&gt;$D$4)&gt;0,"payout high  ","")&amp;IF(ISNUMBER($AN132)*(N($AN132)&lt;$F$4)&gt;0,"FCF below dvd  ","")&amp;IF(ISNUMBER($AJ132)*(N($AJ132)&gt;$H$4)&gt;0,"leverage high","")))</f>
        <v/>
      </c>
      <c r="AQ132" s="78">
        <f>IF($C132="","",IF(HSTECH!$F$27="HKD","",HSTECH!$F$27))</f>
        <v/>
      </c>
    </row>
    <row r="133">
      <c r="B133" s="62" t="inlineStr">
        <is>
          <t>HSTECH</t>
        </is>
      </c>
      <c r="C133" s="6">
        <f>IF(HSTECH!$C$28="","",HSTECH!$C$28)</f>
        <v/>
      </c>
      <c r="D133" s="6">
        <f>IF($C133="","",HSTECH!$D$28)</f>
        <v/>
      </c>
      <c r="E133" s="6">
        <f>IF($C133="","",HSTECH!$E$28)</f>
        <v/>
      </c>
      <c r="F133" s="63">
        <f>IF($C133="","",SUMPRODUCT(('Dvd Calendar'!$E$1347:$AR$1347&gt;=DATE(YEAR_Y-5,1,1))*('Dvd Calendar'!$E$1347:$AR$1347&lt;=DATE(YEAR_Y-5,12,31))*'Dvd Calendar'!$E$1350:$AR$1350*(('Dvd Calendar'!$E$1352:$AR$1352=TYPE1)*(TYPE1&lt;&gt;"")+('Dvd Calendar'!$E$1352:$AR$1352=TYPE2)*(TYPE2&lt;&gt;"")+('Dvd Calendar'!$E$1352:$AR$1352=TYPE3)*(TYPE3&lt;&gt;"")+('Dvd Calendar'!$E$1352:$AR$1352=TYPE4)*(TYPE4&lt;&gt;"")+('Dvd Calendar'!$E$1352:$AR$1352=SPECIAL_LBL)*(INC_SPECIALS="Y"))))</f>
        <v/>
      </c>
      <c r="G133" s="64">
        <f>IF($C133="","",SUMPRODUCT(('Dvd Calendar'!$E$1347:$AR$1347&gt;=DATE(YEAR_Y-4,1,1))*('Dvd Calendar'!$E$1347:$AR$1347&lt;=DATE(YEAR_Y-4,12,31))*'Dvd Calendar'!$E$1350:$AR$1350*(('Dvd Calendar'!$E$1352:$AR$1352=TYPE1)*(TYPE1&lt;&gt;"")+('Dvd Calendar'!$E$1352:$AR$1352=TYPE2)*(TYPE2&lt;&gt;"")+('Dvd Calendar'!$E$1352:$AR$1352=TYPE3)*(TYPE3&lt;&gt;"")+('Dvd Calendar'!$E$1352:$AR$1352=TYPE4)*(TYPE4&lt;&gt;"")+('Dvd Calendar'!$E$1352:$AR$1352=SPECIAL_LBL)*(INC_SPECIALS="Y"))))</f>
        <v/>
      </c>
      <c r="H133" s="64">
        <f>IF($C133="","",SUMPRODUCT(('Dvd Calendar'!$E$1347:$AR$1347&gt;=DATE(YEAR_Y-3,1,1))*('Dvd Calendar'!$E$1347:$AR$1347&lt;=DATE(YEAR_Y-3,12,31))*'Dvd Calendar'!$E$1350:$AR$1350*(('Dvd Calendar'!$E$1352:$AR$1352=TYPE1)*(TYPE1&lt;&gt;"")+('Dvd Calendar'!$E$1352:$AR$1352=TYPE2)*(TYPE2&lt;&gt;"")+('Dvd Calendar'!$E$1352:$AR$1352=TYPE3)*(TYPE3&lt;&gt;"")+('Dvd Calendar'!$E$1352:$AR$1352=TYPE4)*(TYPE4&lt;&gt;"")+('Dvd Calendar'!$E$1352:$AR$1352=SPECIAL_LBL)*(INC_SPECIALS="Y"))))</f>
        <v/>
      </c>
      <c r="I133" s="64">
        <f>IF($C133="","",SUMPRODUCT(('Dvd Calendar'!$E$1347:$AR$1347&gt;=DATE(YEAR_Y-2,1,1))*('Dvd Calendar'!$E$1347:$AR$1347&lt;=DATE(YEAR_Y-2,12,31))*'Dvd Calendar'!$E$1350:$AR$1350*(('Dvd Calendar'!$E$1352:$AR$1352=TYPE1)*(TYPE1&lt;&gt;"")+('Dvd Calendar'!$E$1352:$AR$1352=TYPE2)*(TYPE2&lt;&gt;"")+('Dvd Calendar'!$E$1352:$AR$1352=TYPE3)*(TYPE3&lt;&gt;"")+('Dvd Calendar'!$E$1352:$AR$1352=TYPE4)*(TYPE4&lt;&gt;"")+('Dvd Calendar'!$E$1352:$AR$1352=SPECIAL_LBL)*(INC_SPECIALS="Y"))))</f>
        <v/>
      </c>
      <c r="J133" s="64">
        <f>IF($C133="","",SUMPRODUCT(('Dvd Calendar'!$E$1347:$AR$1347&gt;=DATE(YEAR_Y-1,1,1))*('Dvd Calendar'!$E$1347:$AR$1347&lt;=DATE(YEAR_Y-1,12,31))*'Dvd Calendar'!$E$1350:$AR$1350*(('Dvd Calendar'!$E$1352:$AR$1352=TYPE1)*(TYPE1&lt;&gt;"")+('Dvd Calendar'!$E$1352:$AR$1352=TYPE2)*(TYPE2&lt;&gt;"")+('Dvd Calendar'!$E$1352:$AR$1352=TYPE3)*(TYPE3&lt;&gt;"")+('Dvd Calendar'!$E$1352:$AR$1352=TYPE4)*(TYPE4&lt;&gt;"")+('Dvd Calendar'!$E$1352:$AR$1352=SPECIAL_LBL)*(INC_SPECIALS="Y"))))</f>
        <v/>
      </c>
      <c r="K133" s="65">
        <f>IF($C133="","",HSTECH!$J$28)</f>
        <v/>
      </c>
      <c r="L133" s="65">
        <f>IF($C133="","",HSTECH!$K$28)</f>
        <v/>
      </c>
      <c r="M133" s="41">
        <f>IF($C133="","",AVERAGE(F133:J133))</f>
        <v/>
      </c>
      <c r="N133" s="66">
        <f>IF($C133="","",IF(PULL_FUND="N","",IFERROR(BDP($C133,EPS_FIELD,YR_OVERRIDE,TEXT(YEAR_Y-5,"0")),"")))</f>
        <v/>
      </c>
      <c r="O133" s="67">
        <f>IF($C133="","",IF(PULL_FUND="N","",IFERROR(BDP($C133,EPS_FIELD,YR_OVERRIDE,TEXT(YEAR_Y-4,"0")),"")))</f>
        <v/>
      </c>
      <c r="P133" s="67">
        <f>IF($C133="","",IF(PULL_FUND="N","",IFERROR(BDP($C133,EPS_FIELD,YR_OVERRIDE,TEXT(YEAR_Y-3,"0")),"")))</f>
        <v/>
      </c>
      <c r="Q133" s="67">
        <f>IF($C133="","",IF(PULL_FUND="N","",IFERROR(BDP($C133,EPS_FIELD,YR_OVERRIDE,TEXT(YEAR_Y-2,"0")),"")))</f>
        <v/>
      </c>
      <c r="R133" s="67">
        <f>IF($C133="","",IF(PULL_FUND="N","",IFERROR(BDP($C133,EPS_FIELD,YR_OVERRIDE,TEXT(YEAR_Y-1,"0")),"")))</f>
        <v/>
      </c>
      <c r="S133" s="68">
        <f>IF($C133="","",IF(PULL_FUND="N","",IFERROR(BDP($C133,PAYOUT_FIELD,YR_OVERRIDE,TEXT(YEAR_Y-5,"0"))/100,"")))</f>
        <v/>
      </c>
      <c r="T133" s="68">
        <f>IF($C133="","",IF(PULL_FUND="N","",IFERROR(BDP($C133,PAYOUT_FIELD,YR_OVERRIDE,TEXT(YEAR_Y-4,"0"))/100,"")))</f>
        <v/>
      </c>
      <c r="U133" s="68">
        <f>IF($C133="","",IF(PULL_FUND="N","",IFERROR(BDP($C133,PAYOUT_FIELD,YR_OVERRIDE,TEXT(YEAR_Y-3,"0"))/100,"")))</f>
        <v/>
      </c>
      <c r="V133" s="68">
        <f>IF($C133="","",IF(PULL_FUND="N","",IFERROR(BDP($C133,PAYOUT_FIELD,YR_OVERRIDE,TEXT(YEAR_Y-2,"0"))/100,"")))</f>
        <v/>
      </c>
      <c r="W133" s="68">
        <f>IF($C133="","",IF(PULL_FUND="N","",IFERROR(BDP($C133,PAYOUT_FIELD,YR_OVERRIDE,TEXT(YEAR_Y-1,"0"))/100,"")))</f>
        <v/>
      </c>
      <c r="X133" s="69">
        <f>IF($C133="","",IFERROR(AVERAGE(S133:W133),""))</f>
        <v/>
      </c>
      <c r="Y133" s="66">
        <f>IF($C133="","",IF(PULL_FUND="N","",IFERROR(BDP($C133,BESTEPS_FIELD,FWD_OVERRIDE,TEXT(MOD(YEAR_Y,100),"00")&amp;"Y"),"")))</f>
        <v/>
      </c>
      <c r="Z133" s="70">
        <f>IF($C133="","",IF(PULL_FUND="N","",IFERROR(BDP($C133,BESTDPS_FIELD,FWD_OVERRIDE,TEXT(MOD(YEAR_Y,100),"00")&amp;"Y"),"")))</f>
        <v/>
      </c>
      <c r="AA133" s="71">
        <f>IF($C133="","",IF(ISNUMBER($Y133)*ISNUMBER($Z133)*($Y133&lt;&gt;0)=0,"",$Z133/$Y133))</f>
        <v/>
      </c>
      <c r="AB133" s="41">
        <f>IF($C133="","",HSTECH!$J$28+HSTECH!$L$28)</f>
        <v/>
      </c>
      <c r="AC133" s="72">
        <f>IF($C133="","",IF(PULL_FUND="N","",IF(COUNTIFS('Fund History'!$G$738:$G$742,"&gt;="&amp;DATE(YEAR_Y-4,1,1),'Fund History'!$G$738:$G$742,"&lt;="&amp;DATE(YEAR_Y-4,12,31))=0,"",SUMIFS('Fund History'!$H$738:$H$742,'Fund History'!$G$738:$G$742,"&gt;="&amp;DATE(YEAR_Y-4,1,1),'Fund History'!$G$738:$G$742,"&lt;="&amp;DATE(YEAR_Y-4,12,31))/100)))</f>
        <v/>
      </c>
      <c r="AD133" s="73">
        <f>IF($C133="","",IF(PULL_FUND="N","",IF(COUNTIFS('Fund History'!$G$738:$G$742,"&gt;="&amp;DATE(YEAR_Y-3,1,1),'Fund History'!$G$738:$G$742,"&lt;="&amp;DATE(YEAR_Y-3,12,31))=0,"",SUMIFS('Fund History'!$H$738:$H$742,'Fund History'!$G$738:$G$742,"&gt;="&amp;DATE(YEAR_Y-3,1,1),'Fund History'!$G$738:$G$742,"&lt;="&amp;DATE(YEAR_Y-3,12,31))/100)))</f>
        <v/>
      </c>
      <c r="AE133" s="73">
        <f>IF($C133="","",IF(PULL_FUND="N","",IF(COUNTIFS('Fund History'!$G$738:$G$742,"&gt;="&amp;DATE(YEAR_Y-2,1,1),'Fund History'!$G$738:$G$742,"&lt;="&amp;DATE(YEAR_Y-2,12,31))=0,"",SUMIFS('Fund History'!$H$738:$H$742,'Fund History'!$G$738:$G$742,"&gt;="&amp;DATE(YEAR_Y-2,1,1),'Fund History'!$G$738:$G$742,"&lt;="&amp;DATE(YEAR_Y-2,12,31))/100)))</f>
        <v/>
      </c>
      <c r="AF133" s="73">
        <f>IF($C133="","",IF(PULL_FUND="N","",IF(COUNTIFS('Fund History'!$G$738:$G$742,"&gt;="&amp;DATE(YEAR_Y-1,1,1),'Fund History'!$G$738:$G$742,"&lt;="&amp;DATE(YEAR_Y-1,12,31))=0,"",SUMIFS('Fund History'!$H$738:$H$742,'Fund History'!$G$738:$G$742,"&gt;="&amp;DATE(YEAR_Y-1,1,1),'Fund History'!$G$738:$G$742,"&lt;="&amp;DATE(YEAR_Y-1,12,31))/100)))</f>
        <v/>
      </c>
      <c r="AG133" s="74">
        <f>IF($C133="","",IF(N($AF133)+N(HSTECH!$I$28)=0,"",N($AF133)+N(HSTECH!$I$28)/100))</f>
        <v/>
      </c>
      <c r="AH133" s="66">
        <f>IF($C133="","",IF(PULL_FUND="N","",IF(COUNTIFS('Fund History'!$D$738:$D$742,"&gt;="&amp;DATE(YEAR_Y-2,1,1),'Fund History'!$D$738:$D$742,"&lt;="&amp;DATE(YEAR_Y-2,12,31))=0,"",SUMIFS('Fund History'!$E$738:$E$742,'Fund History'!$D$738:$D$742,"&gt;="&amp;DATE(YEAR_Y-2,1,1),'Fund History'!$D$738:$D$742,"&lt;="&amp;DATE(YEAR_Y-2,12,31)))))</f>
        <v/>
      </c>
      <c r="AI133" s="67">
        <f>IF($C133="","",IF(PULL_FUND="N","",IF(COUNTIFS('Fund History'!$D$738:$D$742,"&gt;="&amp;DATE(YEAR_Y-1,1,1),'Fund History'!$D$738:$D$742,"&lt;="&amp;DATE(YEAR_Y-1,12,31))=0,"",SUMIFS('Fund History'!$E$738:$E$742,'Fund History'!$D$738:$D$742,"&gt;="&amp;DATE(YEAR_Y-1,1,1),'Fund History'!$D$738:$D$742,"&lt;="&amp;DATE(YEAR_Y-1,12,31)))))</f>
        <v/>
      </c>
      <c r="AJ133" s="67">
        <f>IF($C133="","",IF(PULL_FUND="N","",IFERROR(BDP($C133,NDEBITDA_FIELD),"")))</f>
        <v/>
      </c>
      <c r="AK133" s="75">
        <f>IF($C133="","",IF(PULL_FUND="N","",IFERROR(BDP($C133,EBINT_FIELD),"")))</f>
        <v/>
      </c>
      <c r="AL133" s="73">
        <f>IF($C133="","",IF(PULL_FUND="N","",IFERROR(BDP($C133,FCF_FIELD)/100,"")))</f>
        <v/>
      </c>
      <c r="AM133" s="76">
        <f>IF($C133="","",IF(ISNUMBER(HSTECH!$I$28),HSTECH!$I$28/100,""))</f>
        <v/>
      </c>
      <c r="AN133" s="47">
        <f>IF($C133="","",IF(N($AM133)=0,"",IFERROR($AL133/$AM133,"")))</f>
        <v/>
      </c>
      <c r="AO133" s="33">
        <f>IF($C133="","",IF(ISNUMBER($S133)*ISNUMBER($W133)=0,"",IF($W133&gt;$S133+0.05,"rising",IF($W133&lt;$S133-0.05,"falling","stable"))))</f>
        <v/>
      </c>
      <c r="AP133" s="77">
        <f>IF($C133="","",TRIM(IF(ISNUMBER($X133)*(N($X133)&gt;$D$4)&gt;0,"payout high  ","")&amp;IF(ISNUMBER($AN133)*(N($AN133)&lt;$F$4)&gt;0,"FCF below dvd  ","")&amp;IF(ISNUMBER($AJ133)*(N($AJ133)&gt;$H$4)&gt;0,"leverage high","")))</f>
        <v/>
      </c>
      <c r="AQ133" s="78">
        <f>IF($C133="","",IF(HSTECH!$F$28="HKD","",HSTECH!$F$28))</f>
        <v/>
      </c>
    </row>
    <row r="134">
      <c r="B134" s="62" t="inlineStr">
        <is>
          <t>HSTECH</t>
        </is>
      </c>
      <c r="C134" s="6">
        <f>IF(HSTECH!$C$29="","",HSTECH!$C$29)</f>
        <v/>
      </c>
      <c r="D134" s="6">
        <f>IF($C134="","",HSTECH!$D$29)</f>
        <v/>
      </c>
      <c r="E134" s="6">
        <f>IF($C134="","",HSTECH!$E$29)</f>
        <v/>
      </c>
      <c r="F134" s="63">
        <f>IF($C134="","",SUMPRODUCT(('Dvd Calendar'!$E$1358:$AR$1358&gt;=DATE(YEAR_Y-5,1,1))*('Dvd Calendar'!$E$1358:$AR$1358&lt;=DATE(YEAR_Y-5,12,31))*'Dvd Calendar'!$E$1361:$AR$1361*(('Dvd Calendar'!$E$1363:$AR$1363=TYPE1)*(TYPE1&lt;&gt;"")+('Dvd Calendar'!$E$1363:$AR$1363=TYPE2)*(TYPE2&lt;&gt;"")+('Dvd Calendar'!$E$1363:$AR$1363=TYPE3)*(TYPE3&lt;&gt;"")+('Dvd Calendar'!$E$1363:$AR$1363=TYPE4)*(TYPE4&lt;&gt;"")+('Dvd Calendar'!$E$1363:$AR$1363=SPECIAL_LBL)*(INC_SPECIALS="Y"))))</f>
        <v/>
      </c>
      <c r="G134" s="64">
        <f>IF($C134="","",SUMPRODUCT(('Dvd Calendar'!$E$1358:$AR$1358&gt;=DATE(YEAR_Y-4,1,1))*('Dvd Calendar'!$E$1358:$AR$1358&lt;=DATE(YEAR_Y-4,12,31))*'Dvd Calendar'!$E$1361:$AR$1361*(('Dvd Calendar'!$E$1363:$AR$1363=TYPE1)*(TYPE1&lt;&gt;"")+('Dvd Calendar'!$E$1363:$AR$1363=TYPE2)*(TYPE2&lt;&gt;"")+('Dvd Calendar'!$E$1363:$AR$1363=TYPE3)*(TYPE3&lt;&gt;"")+('Dvd Calendar'!$E$1363:$AR$1363=TYPE4)*(TYPE4&lt;&gt;"")+('Dvd Calendar'!$E$1363:$AR$1363=SPECIAL_LBL)*(INC_SPECIALS="Y"))))</f>
        <v/>
      </c>
      <c r="H134" s="64">
        <f>IF($C134="","",SUMPRODUCT(('Dvd Calendar'!$E$1358:$AR$1358&gt;=DATE(YEAR_Y-3,1,1))*('Dvd Calendar'!$E$1358:$AR$1358&lt;=DATE(YEAR_Y-3,12,31))*'Dvd Calendar'!$E$1361:$AR$1361*(('Dvd Calendar'!$E$1363:$AR$1363=TYPE1)*(TYPE1&lt;&gt;"")+('Dvd Calendar'!$E$1363:$AR$1363=TYPE2)*(TYPE2&lt;&gt;"")+('Dvd Calendar'!$E$1363:$AR$1363=TYPE3)*(TYPE3&lt;&gt;"")+('Dvd Calendar'!$E$1363:$AR$1363=TYPE4)*(TYPE4&lt;&gt;"")+('Dvd Calendar'!$E$1363:$AR$1363=SPECIAL_LBL)*(INC_SPECIALS="Y"))))</f>
        <v/>
      </c>
      <c r="I134" s="64">
        <f>IF($C134="","",SUMPRODUCT(('Dvd Calendar'!$E$1358:$AR$1358&gt;=DATE(YEAR_Y-2,1,1))*('Dvd Calendar'!$E$1358:$AR$1358&lt;=DATE(YEAR_Y-2,12,31))*'Dvd Calendar'!$E$1361:$AR$1361*(('Dvd Calendar'!$E$1363:$AR$1363=TYPE1)*(TYPE1&lt;&gt;"")+('Dvd Calendar'!$E$1363:$AR$1363=TYPE2)*(TYPE2&lt;&gt;"")+('Dvd Calendar'!$E$1363:$AR$1363=TYPE3)*(TYPE3&lt;&gt;"")+('Dvd Calendar'!$E$1363:$AR$1363=TYPE4)*(TYPE4&lt;&gt;"")+('Dvd Calendar'!$E$1363:$AR$1363=SPECIAL_LBL)*(INC_SPECIALS="Y"))))</f>
        <v/>
      </c>
      <c r="J134" s="64">
        <f>IF($C134="","",SUMPRODUCT(('Dvd Calendar'!$E$1358:$AR$1358&gt;=DATE(YEAR_Y-1,1,1))*('Dvd Calendar'!$E$1358:$AR$1358&lt;=DATE(YEAR_Y-1,12,31))*'Dvd Calendar'!$E$1361:$AR$1361*(('Dvd Calendar'!$E$1363:$AR$1363=TYPE1)*(TYPE1&lt;&gt;"")+('Dvd Calendar'!$E$1363:$AR$1363=TYPE2)*(TYPE2&lt;&gt;"")+('Dvd Calendar'!$E$1363:$AR$1363=TYPE3)*(TYPE3&lt;&gt;"")+('Dvd Calendar'!$E$1363:$AR$1363=TYPE4)*(TYPE4&lt;&gt;"")+('Dvd Calendar'!$E$1363:$AR$1363=SPECIAL_LBL)*(INC_SPECIALS="Y"))))</f>
        <v/>
      </c>
      <c r="K134" s="65">
        <f>IF($C134="","",HSTECH!$J$29)</f>
        <v/>
      </c>
      <c r="L134" s="65">
        <f>IF($C134="","",HSTECH!$K$29)</f>
        <v/>
      </c>
      <c r="M134" s="41">
        <f>IF($C134="","",AVERAGE(F134:J134))</f>
        <v/>
      </c>
      <c r="N134" s="66">
        <f>IF($C134="","",IF(PULL_FUND="N","",IFERROR(BDP($C134,EPS_FIELD,YR_OVERRIDE,TEXT(YEAR_Y-5,"0")),"")))</f>
        <v/>
      </c>
      <c r="O134" s="67">
        <f>IF($C134="","",IF(PULL_FUND="N","",IFERROR(BDP($C134,EPS_FIELD,YR_OVERRIDE,TEXT(YEAR_Y-4,"0")),"")))</f>
        <v/>
      </c>
      <c r="P134" s="67">
        <f>IF($C134="","",IF(PULL_FUND="N","",IFERROR(BDP($C134,EPS_FIELD,YR_OVERRIDE,TEXT(YEAR_Y-3,"0")),"")))</f>
        <v/>
      </c>
      <c r="Q134" s="67">
        <f>IF($C134="","",IF(PULL_FUND="N","",IFERROR(BDP($C134,EPS_FIELD,YR_OVERRIDE,TEXT(YEAR_Y-2,"0")),"")))</f>
        <v/>
      </c>
      <c r="R134" s="67">
        <f>IF($C134="","",IF(PULL_FUND="N","",IFERROR(BDP($C134,EPS_FIELD,YR_OVERRIDE,TEXT(YEAR_Y-1,"0")),"")))</f>
        <v/>
      </c>
      <c r="S134" s="68">
        <f>IF($C134="","",IF(PULL_FUND="N","",IFERROR(BDP($C134,PAYOUT_FIELD,YR_OVERRIDE,TEXT(YEAR_Y-5,"0"))/100,"")))</f>
        <v/>
      </c>
      <c r="T134" s="68">
        <f>IF($C134="","",IF(PULL_FUND="N","",IFERROR(BDP($C134,PAYOUT_FIELD,YR_OVERRIDE,TEXT(YEAR_Y-4,"0"))/100,"")))</f>
        <v/>
      </c>
      <c r="U134" s="68">
        <f>IF($C134="","",IF(PULL_FUND="N","",IFERROR(BDP($C134,PAYOUT_FIELD,YR_OVERRIDE,TEXT(YEAR_Y-3,"0"))/100,"")))</f>
        <v/>
      </c>
      <c r="V134" s="68">
        <f>IF($C134="","",IF(PULL_FUND="N","",IFERROR(BDP($C134,PAYOUT_FIELD,YR_OVERRIDE,TEXT(YEAR_Y-2,"0"))/100,"")))</f>
        <v/>
      </c>
      <c r="W134" s="68">
        <f>IF($C134="","",IF(PULL_FUND="N","",IFERROR(BDP($C134,PAYOUT_FIELD,YR_OVERRIDE,TEXT(YEAR_Y-1,"0"))/100,"")))</f>
        <v/>
      </c>
      <c r="X134" s="69">
        <f>IF($C134="","",IFERROR(AVERAGE(S134:W134),""))</f>
        <v/>
      </c>
      <c r="Y134" s="66">
        <f>IF($C134="","",IF(PULL_FUND="N","",IFERROR(BDP($C134,BESTEPS_FIELD,FWD_OVERRIDE,TEXT(MOD(YEAR_Y,100),"00")&amp;"Y"),"")))</f>
        <v/>
      </c>
      <c r="Z134" s="70">
        <f>IF($C134="","",IF(PULL_FUND="N","",IFERROR(BDP($C134,BESTDPS_FIELD,FWD_OVERRIDE,TEXT(MOD(YEAR_Y,100),"00")&amp;"Y"),"")))</f>
        <v/>
      </c>
      <c r="AA134" s="71">
        <f>IF($C134="","",IF(ISNUMBER($Y134)*ISNUMBER($Z134)*($Y134&lt;&gt;0)=0,"",$Z134/$Y134))</f>
        <v/>
      </c>
      <c r="AB134" s="41">
        <f>IF($C134="","",HSTECH!$J$29+HSTECH!$L$29)</f>
        <v/>
      </c>
      <c r="AC134" s="72">
        <f>IF($C134="","",IF(PULL_FUND="N","",IF(COUNTIFS('Fund History'!$G$744:$G$748,"&gt;="&amp;DATE(YEAR_Y-4,1,1),'Fund History'!$G$744:$G$748,"&lt;="&amp;DATE(YEAR_Y-4,12,31))=0,"",SUMIFS('Fund History'!$H$744:$H$748,'Fund History'!$G$744:$G$748,"&gt;="&amp;DATE(YEAR_Y-4,1,1),'Fund History'!$G$744:$G$748,"&lt;="&amp;DATE(YEAR_Y-4,12,31))/100)))</f>
        <v/>
      </c>
      <c r="AD134" s="73">
        <f>IF($C134="","",IF(PULL_FUND="N","",IF(COUNTIFS('Fund History'!$G$744:$G$748,"&gt;="&amp;DATE(YEAR_Y-3,1,1),'Fund History'!$G$744:$G$748,"&lt;="&amp;DATE(YEAR_Y-3,12,31))=0,"",SUMIFS('Fund History'!$H$744:$H$748,'Fund History'!$G$744:$G$748,"&gt;="&amp;DATE(YEAR_Y-3,1,1),'Fund History'!$G$744:$G$748,"&lt;="&amp;DATE(YEAR_Y-3,12,31))/100)))</f>
        <v/>
      </c>
      <c r="AE134" s="73">
        <f>IF($C134="","",IF(PULL_FUND="N","",IF(COUNTIFS('Fund History'!$G$744:$G$748,"&gt;="&amp;DATE(YEAR_Y-2,1,1),'Fund History'!$G$744:$G$748,"&lt;="&amp;DATE(YEAR_Y-2,12,31))=0,"",SUMIFS('Fund History'!$H$744:$H$748,'Fund History'!$G$744:$G$748,"&gt;="&amp;DATE(YEAR_Y-2,1,1),'Fund History'!$G$744:$G$748,"&lt;="&amp;DATE(YEAR_Y-2,12,31))/100)))</f>
        <v/>
      </c>
      <c r="AF134" s="73">
        <f>IF($C134="","",IF(PULL_FUND="N","",IF(COUNTIFS('Fund History'!$G$744:$G$748,"&gt;="&amp;DATE(YEAR_Y-1,1,1),'Fund History'!$G$744:$G$748,"&lt;="&amp;DATE(YEAR_Y-1,12,31))=0,"",SUMIFS('Fund History'!$H$744:$H$748,'Fund History'!$G$744:$G$748,"&gt;="&amp;DATE(YEAR_Y-1,1,1),'Fund History'!$G$744:$G$748,"&lt;="&amp;DATE(YEAR_Y-1,12,31))/100)))</f>
        <v/>
      </c>
      <c r="AG134" s="74">
        <f>IF($C134="","",IF(N($AF134)+N(HSTECH!$I$29)=0,"",N($AF134)+N(HSTECH!$I$29)/100))</f>
        <v/>
      </c>
      <c r="AH134" s="66">
        <f>IF($C134="","",IF(PULL_FUND="N","",IF(COUNTIFS('Fund History'!$D$744:$D$748,"&gt;="&amp;DATE(YEAR_Y-2,1,1),'Fund History'!$D$744:$D$748,"&lt;="&amp;DATE(YEAR_Y-2,12,31))=0,"",SUMIFS('Fund History'!$E$744:$E$748,'Fund History'!$D$744:$D$748,"&gt;="&amp;DATE(YEAR_Y-2,1,1),'Fund History'!$D$744:$D$748,"&lt;="&amp;DATE(YEAR_Y-2,12,31)))))</f>
        <v/>
      </c>
      <c r="AI134" s="67">
        <f>IF($C134="","",IF(PULL_FUND="N","",IF(COUNTIFS('Fund History'!$D$744:$D$748,"&gt;="&amp;DATE(YEAR_Y-1,1,1),'Fund History'!$D$744:$D$748,"&lt;="&amp;DATE(YEAR_Y-1,12,31))=0,"",SUMIFS('Fund History'!$E$744:$E$748,'Fund History'!$D$744:$D$748,"&gt;="&amp;DATE(YEAR_Y-1,1,1),'Fund History'!$D$744:$D$748,"&lt;="&amp;DATE(YEAR_Y-1,12,31)))))</f>
        <v/>
      </c>
      <c r="AJ134" s="67">
        <f>IF($C134="","",IF(PULL_FUND="N","",IFERROR(BDP($C134,NDEBITDA_FIELD),"")))</f>
        <v/>
      </c>
      <c r="AK134" s="75">
        <f>IF($C134="","",IF(PULL_FUND="N","",IFERROR(BDP($C134,EBINT_FIELD),"")))</f>
        <v/>
      </c>
      <c r="AL134" s="73">
        <f>IF($C134="","",IF(PULL_FUND="N","",IFERROR(BDP($C134,FCF_FIELD)/100,"")))</f>
        <v/>
      </c>
      <c r="AM134" s="76">
        <f>IF($C134="","",IF(ISNUMBER(HSTECH!$I$29),HSTECH!$I$29/100,""))</f>
        <v/>
      </c>
      <c r="AN134" s="47">
        <f>IF($C134="","",IF(N($AM134)=0,"",IFERROR($AL134/$AM134,"")))</f>
        <v/>
      </c>
      <c r="AO134" s="33">
        <f>IF($C134="","",IF(ISNUMBER($S134)*ISNUMBER($W134)=0,"",IF($W134&gt;$S134+0.05,"rising",IF($W134&lt;$S134-0.05,"falling","stable"))))</f>
        <v/>
      </c>
      <c r="AP134" s="77">
        <f>IF($C134="","",TRIM(IF(ISNUMBER($X134)*(N($X134)&gt;$D$4)&gt;0,"payout high  ","")&amp;IF(ISNUMBER($AN134)*(N($AN134)&lt;$F$4)&gt;0,"FCF below dvd  ","")&amp;IF(ISNUMBER($AJ134)*(N($AJ134)&gt;$H$4)&gt;0,"leverage high","")))</f>
        <v/>
      </c>
      <c r="AQ134" s="78">
        <f>IF($C134="","",IF(HSTECH!$F$29="HKD","",HSTECH!$F$29))</f>
        <v/>
      </c>
    </row>
    <row r="135">
      <c r="B135" s="62" t="inlineStr">
        <is>
          <t>HSTECH</t>
        </is>
      </c>
      <c r="C135" s="6">
        <f>IF(HSTECH!$C$30="","",HSTECH!$C$30)</f>
        <v/>
      </c>
      <c r="D135" s="6">
        <f>IF($C135="","",HSTECH!$D$30)</f>
        <v/>
      </c>
      <c r="E135" s="6">
        <f>IF($C135="","",HSTECH!$E$30)</f>
        <v/>
      </c>
      <c r="F135" s="63">
        <f>IF($C135="","",SUMPRODUCT(('Dvd Calendar'!$E$1369:$AR$1369&gt;=DATE(YEAR_Y-5,1,1))*('Dvd Calendar'!$E$1369:$AR$1369&lt;=DATE(YEAR_Y-5,12,31))*'Dvd Calendar'!$E$1372:$AR$1372*(('Dvd Calendar'!$E$1374:$AR$1374=TYPE1)*(TYPE1&lt;&gt;"")+('Dvd Calendar'!$E$1374:$AR$1374=TYPE2)*(TYPE2&lt;&gt;"")+('Dvd Calendar'!$E$1374:$AR$1374=TYPE3)*(TYPE3&lt;&gt;"")+('Dvd Calendar'!$E$1374:$AR$1374=TYPE4)*(TYPE4&lt;&gt;"")+('Dvd Calendar'!$E$1374:$AR$1374=SPECIAL_LBL)*(INC_SPECIALS="Y"))))</f>
        <v/>
      </c>
      <c r="G135" s="64">
        <f>IF($C135="","",SUMPRODUCT(('Dvd Calendar'!$E$1369:$AR$1369&gt;=DATE(YEAR_Y-4,1,1))*('Dvd Calendar'!$E$1369:$AR$1369&lt;=DATE(YEAR_Y-4,12,31))*'Dvd Calendar'!$E$1372:$AR$1372*(('Dvd Calendar'!$E$1374:$AR$1374=TYPE1)*(TYPE1&lt;&gt;"")+('Dvd Calendar'!$E$1374:$AR$1374=TYPE2)*(TYPE2&lt;&gt;"")+('Dvd Calendar'!$E$1374:$AR$1374=TYPE3)*(TYPE3&lt;&gt;"")+('Dvd Calendar'!$E$1374:$AR$1374=TYPE4)*(TYPE4&lt;&gt;"")+('Dvd Calendar'!$E$1374:$AR$1374=SPECIAL_LBL)*(INC_SPECIALS="Y"))))</f>
        <v/>
      </c>
      <c r="H135" s="64">
        <f>IF($C135="","",SUMPRODUCT(('Dvd Calendar'!$E$1369:$AR$1369&gt;=DATE(YEAR_Y-3,1,1))*('Dvd Calendar'!$E$1369:$AR$1369&lt;=DATE(YEAR_Y-3,12,31))*'Dvd Calendar'!$E$1372:$AR$1372*(('Dvd Calendar'!$E$1374:$AR$1374=TYPE1)*(TYPE1&lt;&gt;"")+('Dvd Calendar'!$E$1374:$AR$1374=TYPE2)*(TYPE2&lt;&gt;"")+('Dvd Calendar'!$E$1374:$AR$1374=TYPE3)*(TYPE3&lt;&gt;"")+('Dvd Calendar'!$E$1374:$AR$1374=TYPE4)*(TYPE4&lt;&gt;"")+('Dvd Calendar'!$E$1374:$AR$1374=SPECIAL_LBL)*(INC_SPECIALS="Y"))))</f>
        <v/>
      </c>
      <c r="I135" s="64">
        <f>IF($C135="","",SUMPRODUCT(('Dvd Calendar'!$E$1369:$AR$1369&gt;=DATE(YEAR_Y-2,1,1))*('Dvd Calendar'!$E$1369:$AR$1369&lt;=DATE(YEAR_Y-2,12,31))*'Dvd Calendar'!$E$1372:$AR$1372*(('Dvd Calendar'!$E$1374:$AR$1374=TYPE1)*(TYPE1&lt;&gt;"")+('Dvd Calendar'!$E$1374:$AR$1374=TYPE2)*(TYPE2&lt;&gt;"")+('Dvd Calendar'!$E$1374:$AR$1374=TYPE3)*(TYPE3&lt;&gt;"")+('Dvd Calendar'!$E$1374:$AR$1374=TYPE4)*(TYPE4&lt;&gt;"")+('Dvd Calendar'!$E$1374:$AR$1374=SPECIAL_LBL)*(INC_SPECIALS="Y"))))</f>
        <v/>
      </c>
      <c r="J135" s="64">
        <f>IF($C135="","",SUMPRODUCT(('Dvd Calendar'!$E$1369:$AR$1369&gt;=DATE(YEAR_Y-1,1,1))*('Dvd Calendar'!$E$1369:$AR$1369&lt;=DATE(YEAR_Y-1,12,31))*'Dvd Calendar'!$E$1372:$AR$1372*(('Dvd Calendar'!$E$1374:$AR$1374=TYPE1)*(TYPE1&lt;&gt;"")+('Dvd Calendar'!$E$1374:$AR$1374=TYPE2)*(TYPE2&lt;&gt;"")+('Dvd Calendar'!$E$1374:$AR$1374=TYPE3)*(TYPE3&lt;&gt;"")+('Dvd Calendar'!$E$1374:$AR$1374=TYPE4)*(TYPE4&lt;&gt;"")+('Dvd Calendar'!$E$1374:$AR$1374=SPECIAL_LBL)*(INC_SPECIALS="Y"))))</f>
        <v/>
      </c>
      <c r="K135" s="65">
        <f>IF($C135="","",HSTECH!$J$30)</f>
        <v/>
      </c>
      <c r="L135" s="65">
        <f>IF($C135="","",HSTECH!$K$30)</f>
        <v/>
      </c>
      <c r="M135" s="41">
        <f>IF($C135="","",AVERAGE(F135:J135))</f>
        <v/>
      </c>
      <c r="N135" s="66">
        <f>IF($C135="","",IF(PULL_FUND="N","",IFERROR(BDP($C135,EPS_FIELD,YR_OVERRIDE,TEXT(YEAR_Y-5,"0")),"")))</f>
        <v/>
      </c>
      <c r="O135" s="67">
        <f>IF($C135="","",IF(PULL_FUND="N","",IFERROR(BDP($C135,EPS_FIELD,YR_OVERRIDE,TEXT(YEAR_Y-4,"0")),"")))</f>
        <v/>
      </c>
      <c r="P135" s="67">
        <f>IF($C135="","",IF(PULL_FUND="N","",IFERROR(BDP($C135,EPS_FIELD,YR_OVERRIDE,TEXT(YEAR_Y-3,"0")),"")))</f>
        <v/>
      </c>
      <c r="Q135" s="67">
        <f>IF($C135="","",IF(PULL_FUND="N","",IFERROR(BDP($C135,EPS_FIELD,YR_OVERRIDE,TEXT(YEAR_Y-2,"0")),"")))</f>
        <v/>
      </c>
      <c r="R135" s="67">
        <f>IF($C135="","",IF(PULL_FUND="N","",IFERROR(BDP($C135,EPS_FIELD,YR_OVERRIDE,TEXT(YEAR_Y-1,"0")),"")))</f>
        <v/>
      </c>
      <c r="S135" s="68">
        <f>IF($C135="","",IF(PULL_FUND="N","",IFERROR(BDP($C135,PAYOUT_FIELD,YR_OVERRIDE,TEXT(YEAR_Y-5,"0"))/100,"")))</f>
        <v/>
      </c>
      <c r="T135" s="68">
        <f>IF($C135="","",IF(PULL_FUND="N","",IFERROR(BDP($C135,PAYOUT_FIELD,YR_OVERRIDE,TEXT(YEAR_Y-4,"0"))/100,"")))</f>
        <v/>
      </c>
      <c r="U135" s="68">
        <f>IF($C135="","",IF(PULL_FUND="N","",IFERROR(BDP($C135,PAYOUT_FIELD,YR_OVERRIDE,TEXT(YEAR_Y-3,"0"))/100,"")))</f>
        <v/>
      </c>
      <c r="V135" s="68">
        <f>IF($C135="","",IF(PULL_FUND="N","",IFERROR(BDP($C135,PAYOUT_FIELD,YR_OVERRIDE,TEXT(YEAR_Y-2,"0"))/100,"")))</f>
        <v/>
      </c>
      <c r="W135" s="68">
        <f>IF($C135="","",IF(PULL_FUND="N","",IFERROR(BDP($C135,PAYOUT_FIELD,YR_OVERRIDE,TEXT(YEAR_Y-1,"0"))/100,"")))</f>
        <v/>
      </c>
      <c r="X135" s="69">
        <f>IF($C135="","",IFERROR(AVERAGE(S135:W135),""))</f>
        <v/>
      </c>
      <c r="Y135" s="66">
        <f>IF($C135="","",IF(PULL_FUND="N","",IFERROR(BDP($C135,BESTEPS_FIELD,FWD_OVERRIDE,TEXT(MOD(YEAR_Y,100),"00")&amp;"Y"),"")))</f>
        <v/>
      </c>
      <c r="Z135" s="70">
        <f>IF($C135="","",IF(PULL_FUND="N","",IFERROR(BDP($C135,BESTDPS_FIELD,FWD_OVERRIDE,TEXT(MOD(YEAR_Y,100),"00")&amp;"Y"),"")))</f>
        <v/>
      </c>
      <c r="AA135" s="71">
        <f>IF($C135="","",IF(ISNUMBER($Y135)*ISNUMBER($Z135)*($Y135&lt;&gt;0)=0,"",$Z135/$Y135))</f>
        <v/>
      </c>
      <c r="AB135" s="41">
        <f>IF($C135="","",HSTECH!$J$30+HSTECH!$L$30)</f>
        <v/>
      </c>
      <c r="AC135" s="72">
        <f>IF($C135="","",IF(PULL_FUND="N","",IF(COUNTIFS('Fund History'!$G$750:$G$754,"&gt;="&amp;DATE(YEAR_Y-4,1,1),'Fund History'!$G$750:$G$754,"&lt;="&amp;DATE(YEAR_Y-4,12,31))=0,"",SUMIFS('Fund History'!$H$750:$H$754,'Fund History'!$G$750:$G$754,"&gt;="&amp;DATE(YEAR_Y-4,1,1),'Fund History'!$G$750:$G$754,"&lt;="&amp;DATE(YEAR_Y-4,12,31))/100)))</f>
        <v/>
      </c>
      <c r="AD135" s="73">
        <f>IF($C135="","",IF(PULL_FUND="N","",IF(COUNTIFS('Fund History'!$G$750:$G$754,"&gt;="&amp;DATE(YEAR_Y-3,1,1),'Fund History'!$G$750:$G$754,"&lt;="&amp;DATE(YEAR_Y-3,12,31))=0,"",SUMIFS('Fund History'!$H$750:$H$754,'Fund History'!$G$750:$G$754,"&gt;="&amp;DATE(YEAR_Y-3,1,1),'Fund History'!$G$750:$G$754,"&lt;="&amp;DATE(YEAR_Y-3,12,31))/100)))</f>
        <v/>
      </c>
      <c r="AE135" s="73">
        <f>IF($C135="","",IF(PULL_FUND="N","",IF(COUNTIFS('Fund History'!$G$750:$G$754,"&gt;="&amp;DATE(YEAR_Y-2,1,1),'Fund History'!$G$750:$G$754,"&lt;="&amp;DATE(YEAR_Y-2,12,31))=0,"",SUMIFS('Fund History'!$H$750:$H$754,'Fund History'!$G$750:$G$754,"&gt;="&amp;DATE(YEAR_Y-2,1,1),'Fund History'!$G$750:$G$754,"&lt;="&amp;DATE(YEAR_Y-2,12,31))/100)))</f>
        <v/>
      </c>
      <c r="AF135" s="73">
        <f>IF($C135="","",IF(PULL_FUND="N","",IF(COUNTIFS('Fund History'!$G$750:$G$754,"&gt;="&amp;DATE(YEAR_Y-1,1,1),'Fund History'!$G$750:$G$754,"&lt;="&amp;DATE(YEAR_Y-1,12,31))=0,"",SUMIFS('Fund History'!$H$750:$H$754,'Fund History'!$G$750:$G$754,"&gt;="&amp;DATE(YEAR_Y-1,1,1),'Fund History'!$G$750:$G$754,"&lt;="&amp;DATE(YEAR_Y-1,12,31))/100)))</f>
        <v/>
      </c>
      <c r="AG135" s="74">
        <f>IF($C135="","",IF(N($AF135)+N(HSTECH!$I$30)=0,"",N($AF135)+N(HSTECH!$I$30)/100))</f>
        <v/>
      </c>
      <c r="AH135" s="66">
        <f>IF($C135="","",IF(PULL_FUND="N","",IF(COUNTIFS('Fund History'!$D$750:$D$754,"&gt;="&amp;DATE(YEAR_Y-2,1,1),'Fund History'!$D$750:$D$754,"&lt;="&amp;DATE(YEAR_Y-2,12,31))=0,"",SUMIFS('Fund History'!$E$750:$E$754,'Fund History'!$D$750:$D$754,"&gt;="&amp;DATE(YEAR_Y-2,1,1),'Fund History'!$D$750:$D$754,"&lt;="&amp;DATE(YEAR_Y-2,12,31)))))</f>
        <v/>
      </c>
      <c r="AI135" s="67">
        <f>IF($C135="","",IF(PULL_FUND="N","",IF(COUNTIFS('Fund History'!$D$750:$D$754,"&gt;="&amp;DATE(YEAR_Y-1,1,1),'Fund History'!$D$750:$D$754,"&lt;="&amp;DATE(YEAR_Y-1,12,31))=0,"",SUMIFS('Fund History'!$E$750:$E$754,'Fund History'!$D$750:$D$754,"&gt;="&amp;DATE(YEAR_Y-1,1,1),'Fund History'!$D$750:$D$754,"&lt;="&amp;DATE(YEAR_Y-1,12,31)))))</f>
        <v/>
      </c>
      <c r="AJ135" s="67">
        <f>IF($C135="","",IF(PULL_FUND="N","",IFERROR(BDP($C135,NDEBITDA_FIELD),"")))</f>
        <v/>
      </c>
      <c r="AK135" s="75">
        <f>IF($C135="","",IF(PULL_FUND="N","",IFERROR(BDP($C135,EBINT_FIELD),"")))</f>
        <v/>
      </c>
      <c r="AL135" s="73">
        <f>IF($C135="","",IF(PULL_FUND="N","",IFERROR(BDP($C135,FCF_FIELD)/100,"")))</f>
        <v/>
      </c>
      <c r="AM135" s="76">
        <f>IF($C135="","",IF(ISNUMBER(HSTECH!$I$30),HSTECH!$I$30/100,""))</f>
        <v/>
      </c>
      <c r="AN135" s="47">
        <f>IF($C135="","",IF(N($AM135)=0,"",IFERROR($AL135/$AM135,"")))</f>
        <v/>
      </c>
      <c r="AO135" s="33">
        <f>IF($C135="","",IF(ISNUMBER($S135)*ISNUMBER($W135)=0,"",IF($W135&gt;$S135+0.05,"rising",IF($W135&lt;$S135-0.05,"falling","stable"))))</f>
        <v/>
      </c>
      <c r="AP135" s="77">
        <f>IF($C135="","",TRIM(IF(ISNUMBER($X135)*(N($X135)&gt;$D$4)&gt;0,"payout high  ","")&amp;IF(ISNUMBER($AN135)*(N($AN135)&lt;$F$4)&gt;0,"FCF below dvd  ","")&amp;IF(ISNUMBER($AJ135)*(N($AJ135)&gt;$H$4)&gt;0,"leverage high","")))</f>
        <v/>
      </c>
      <c r="AQ135" s="78">
        <f>IF($C135="","",IF(HSTECH!$F$30="HKD","",HSTECH!$F$30))</f>
        <v/>
      </c>
    </row>
    <row r="136">
      <c r="B136" s="62" t="inlineStr">
        <is>
          <t>HSTECH</t>
        </is>
      </c>
      <c r="C136" s="6">
        <f>IF(HSTECH!$C$31="","",HSTECH!$C$31)</f>
        <v/>
      </c>
      <c r="D136" s="6">
        <f>IF($C136="","",HSTECH!$D$31)</f>
        <v/>
      </c>
      <c r="E136" s="6">
        <f>IF($C136="","",HSTECH!$E$31)</f>
        <v/>
      </c>
      <c r="F136" s="63">
        <f>IF($C136="","",SUMPRODUCT(('Dvd Calendar'!$E$1380:$AR$1380&gt;=DATE(YEAR_Y-5,1,1))*('Dvd Calendar'!$E$1380:$AR$1380&lt;=DATE(YEAR_Y-5,12,31))*'Dvd Calendar'!$E$1383:$AR$1383*(('Dvd Calendar'!$E$1385:$AR$1385=TYPE1)*(TYPE1&lt;&gt;"")+('Dvd Calendar'!$E$1385:$AR$1385=TYPE2)*(TYPE2&lt;&gt;"")+('Dvd Calendar'!$E$1385:$AR$1385=TYPE3)*(TYPE3&lt;&gt;"")+('Dvd Calendar'!$E$1385:$AR$1385=TYPE4)*(TYPE4&lt;&gt;"")+('Dvd Calendar'!$E$1385:$AR$1385=SPECIAL_LBL)*(INC_SPECIALS="Y"))))</f>
        <v/>
      </c>
      <c r="G136" s="64">
        <f>IF($C136="","",SUMPRODUCT(('Dvd Calendar'!$E$1380:$AR$1380&gt;=DATE(YEAR_Y-4,1,1))*('Dvd Calendar'!$E$1380:$AR$1380&lt;=DATE(YEAR_Y-4,12,31))*'Dvd Calendar'!$E$1383:$AR$1383*(('Dvd Calendar'!$E$1385:$AR$1385=TYPE1)*(TYPE1&lt;&gt;"")+('Dvd Calendar'!$E$1385:$AR$1385=TYPE2)*(TYPE2&lt;&gt;"")+('Dvd Calendar'!$E$1385:$AR$1385=TYPE3)*(TYPE3&lt;&gt;"")+('Dvd Calendar'!$E$1385:$AR$1385=TYPE4)*(TYPE4&lt;&gt;"")+('Dvd Calendar'!$E$1385:$AR$1385=SPECIAL_LBL)*(INC_SPECIALS="Y"))))</f>
        <v/>
      </c>
      <c r="H136" s="64">
        <f>IF($C136="","",SUMPRODUCT(('Dvd Calendar'!$E$1380:$AR$1380&gt;=DATE(YEAR_Y-3,1,1))*('Dvd Calendar'!$E$1380:$AR$1380&lt;=DATE(YEAR_Y-3,12,31))*'Dvd Calendar'!$E$1383:$AR$1383*(('Dvd Calendar'!$E$1385:$AR$1385=TYPE1)*(TYPE1&lt;&gt;"")+('Dvd Calendar'!$E$1385:$AR$1385=TYPE2)*(TYPE2&lt;&gt;"")+('Dvd Calendar'!$E$1385:$AR$1385=TYPE3)*(TYPE3&lt;&gt;"")+('Dvd Calendar'!$E$1385:$AR$1385=TYPE4)*(TYPE4&lt;&gt;"")+('Dvd Calendar'!$E$1385:$AR$1385=SPECIAL_LBL)*(INC_SPECIALS="Y"))))</f>
        <v/>
      </c>
      <c r="I136" s="64">
        <f>IF($C136="","",SUMPRODUCT(('Dvd Calendar'!$E$1380:$AR$1380&gt;=DATE(YEAR_Y-2,1,1))*('Dvd Calendar'!$E$1380:$AR$1380&lt;=DATE(YEAR_Y-2,12,31))*'Dvd Calendar'!$E$1383:$AR$1383*(('Dvd Calendar'!$E$1385:$AR$1385=TYPE1)*(TYPE1&lt;&gt;"")+('Dvd Calendar'!$E$1385:$AR$1385=TYPE2)*(TYPE2&lt;&gt;"")+('Dvd Calendar'!$E$1385:$AR$1385=TYPE3)*(TYPE3&lt;&gt;"")+('Dvd Calendar'!$E$1385:$AR$1385=TYPE4)*(TYPE4&lt;&gt;"")+('Dvd Calendar'!$E$1385:$AR$1385=SPECIAL_LBL)*(INC_SPECIALS="Y"))))</f>
        <v/>
      </c>
      <c r="J136" s="64">
        <f>IF($C136="","",SUMPRODUCT(('Dvd Calendar'!$E$1380:$AR$1380&gt;=DATE(YEAR_Y-1,1,1))*('Dvd Calendar'!$E$1380:$AR$1380&lt;=DATE(YEAR_Y-1,12,31))*'Dvd Calendar'!$E$1383:$AR$1383*(('Dvd Calendar'!$E$1385:$AR$1385=TYPE1)*(TYPE1&lt;&gt;"")+('Dvd Calendar'!$E$1385:$AR$1385=TYPE2)*(TYPE2&lt;&gt;"")+('Dvd Calendar'!$E$1385:$AR$1385=TYPE3)*(TYPE3&lt;&gt;"")+('Dvd Calendar'!$E$1385:$AR$1385=TYPE4)*(TYPE4&lt;&gt;"")+('Dvd Calendar'!$E$1385:$AR$1385=SPECIAL_LBL)*(INC_SPECIALS="Y"))))</f>
        <v/>
      </c>
      <c r="K136" s="65">
        <f>IF($C136="","",HSTECH!$J$31)</f>
        <v/>
      </c>
      <c r="L136" s="65">
        <f>IF($C136="","",HSTECH!$K$31)</f>
        <v/>
      </c>
      <c r="M136" s="41">
        <f>IF($C136="","",AVERAGE(F136:J136))</f>
        <v/>
      </c>
      <c r="N136" s="66">
        <f>IF($C136="","",IF(PULL_FUND="N","",IFERROR(BDP($C136,EPS_FIELD,YR_OVERRIDE,TEXT(YEAR_Y-5,"0")),"")))</f>
        <v/>
      </c>
      <c r="O136" s="67">
        <f>IF($C136="","",IF(PULL_FUND="N","",IFERROR(BDP($C136,EPS_FIELD,YR_OVERRIDE,TEXT(YEAR_Y-4,"0")),"")))</f>
        <v/>
      </c>
      <c r="P136" s="67">
        <f>IF($C136="","",IF(PULL_FUND="N","",IFERROR(BDP($C136,EPS_FIELD,YR_OVERRIDE,TEXT(YEAR_Y-3,"0")),"")))</f>
        <v/>
      </c>
      <c r="Q136" s="67">
        <f>IF($C136="","",IF(PULL_FUND="N","",IFERROR(BDP($C136,EPS_FIELD,YR_OVERRIDE,TEXT(YEAR_Y-2,"0")),"")))</f>
        <v/>
      </c>
      <c r="R136" s="67">
        <f>IF($C136="","",IF(PULL_FUND="N","",IFERROR(BDP($C136,EPS_FIELD,YR_OVERRIDE,TEXT(YEAR_Y-1,"0")),"")))</f>
        <v/>
      </c>
      <c r="S136" s="68">
        <f>IF($C136="","",IF(PULL_FUND="N","",IFERROR(BDP($C136,PAYOUT_FIELD,YR_OVERRIDE,TEXT(YEAR_Y-5,"0"))/100,"")))</f>
        <v/>
      </c>
      <c r="T136" s="68">
        <f>IF($C136="","",IF(PULL_FUND="N","",IFERROR(BDP($C136,PAYOUT_FIELD,YR_OVERRIDE,TEXT(YEAR_Y-4,"0"))/100,"")))</f>
        <v/>
      </c>
      <c r="U136" s="68">
        <f>IF($C136="","",IF(PULL_FUND="N","",IFERROR(BDP($C136,PAYOUT_FIELD,YR_OVERRIDE,TEXT(YEAR_Y-3,"0"))/100,"")))</f>
        <v/>
      </c>
      <c r="V136" s="68">
        <f>IF($C136="","",IF(PULL_FUND="N","",IFERROR(BDP($C136,PAYOUT_FIELD,YR_OVERRIDE,TEXT(YEAR_Y-2,"0"))/100,"")))</f>
        <v/>
      </c>
      <c r="W136" s="68">
        <f>IF($C136="","",IF(PULL_FUND="N","",IFERROR(BDP($C136,PAYOUT_FIELD,YR_OVERRIDE,TEXT(YEAR_Y-1,"0"))/100,"")))</f>
        <v/>
      </c>
      <c r="X136" s="69">
        <f>IF($C136="","",IFERROR(AVERAGE(S136:W136),""))</f>
        <v/>
      </c>
      <c r="Y136" s="66">
        <f>IF($C136="","",IF(PULL_FUND="N","",IFERROR(BDP($C136,BESTEPS_FIELD,FWD_OVERRIDE,TEXT(MOD(YEAR_Y,100),"00")&amp;"Y"),"")))</f>
        <v/>
      </c>
      <c r="Z136" s="70">
        <f>IF($C136="","",IF(PULL_FUND="N","",IFERROR(BDP($C136,BESTDPS_FIELD,FWD_OVERRIDE,TEXT(MOD(YEAR_Y,100),"00")&amp;"Y"),"")))</f>
        <v/>
      </c>
      <c r="AA136" s="71">
        <f>IF($C136="","",IF(ISNUMBER($Y136)*ISNUMBER($Z136)*($Y136&lt;&gt;0)=0,"",$Z136/$Y136))</f>
        <v/>
      </c>
      <c r="AB136" s="41">
        <f>IF($C136="","",HSTECH!$J$31+HSTECH!$L$31)</f>
        <v/>
      </c>
      <c r="AC136" s="72">
        <f>IF($C136="","",IF(PULL_FUND="N","",IF(COUNTIFS('Fund History'!$G$756:$G$760,"&gt;="&amp;DATE(YEAR_Y-4,1,1),'Fund History'!$G$756:$G$760,"&lt;="&amp;DATE(YEAR_Y-4,12,31))=0,"",SUMIFS('Fund History'!$H$756:$H$760,'Fund History'!$G$756:$G$760,"&gt;="&amp;DATE(YEAR_Y-4,1,1),'Fund History'!$G$756:$G$760,"&lt;="&amp;DATE(YEAR_Y-4,12,31))/100)))</f>
        <v/>
      </c>
      <c r="AD136" s="73">
        <f>IF($C136="","",IF(PULL_FUND="N","",IF(COUNTIFS('Fund History'!$G$756:$G$760,"&gt;="&amp;DATE(YEAR_Y-3,1,1),'Fund History'!$G$756:$G$760,"&lt;="&amp;DATE(YEAR_Y-3,12,31))=0,"",SUMIFS('Fund History'!$H$756:$H$760,'Fund History'!$G$756:$G$760,"&gt;="&amp;DATE(YEAR_Y-3,1,1),'Fund History'!$G$756:$G$760,"&lt;="&amp;DATE(YEAR_Y-3,12,31))/100)))</f>
        <v/>
      </c>
      <c r="AE136" s="73">
        <f>IF($C136="","",IF(PULL_FUND="N","",IF(COUNTIFS('Fund History'!$G$756:$G$760,"&gt;="&amp;DATE(YEAR_Y-2,1,1),'Fund History'!$G$756:$G$760,"&lt;="&amp;DATE(YEAR_Y-2,12,31))=0,"",SUMIFS('Fund History'!$H$756:$H$760,'Fund History'!$G$756:$G$760,"&gt;="&amp;DATE(YEAR_Y-2,1,1),'Fund History'!$G$756:$G$760,"&lt;="&amp;DATE(YEAR_Y-2,12,31))/100)))</f>
        <v/>
      </c>
      <c r="AF136" s="73">
        <f>IF($C136="","",IF(PULL_FUND="N","",IF(COUNTIFS('Fund History'!$G$756:$G$760,"&gt;="&amp;DATE(YEAR_Y-1,1,1),'Fund History'!$G$756:$G$760,"&lt;="&amp;DATE(YEAR_Y-1,12,31))=0,"",SUMIFS('Fund History'!$H$756:$H$760,'Fund History'!$G$756:$G$760,"&gt;="&amp;DATE(YEAR_Y-1,1,1),'Fund History'!$G$756:$G$760,"&lt;="&amp;DATE(YEAR_Y-1,12,31))/100)))</f>
        <v/>
      </c>
      <c r="AG136" s="74">
        <f>IF($C136="","",IF(N($AF136)+N(HSTECH!$I$31)=0,"",N($AF136)+N(HSTECH!$I$31)/100))</f>
        <v/>
      </c>
      <c r="AH136" s="66">
        <f>IF($C136="","",IF(PULL_FUND="N","",IF(COUNTIFS('Fund History'!$D$756:$D$760,"&gt;="&amp;DATE(YEAR_Y-2,1,1),'Fund History'!$D$756:$D$760,"&lt;="&amp;DATE(YEAR_Y-2,12,31))=0,"",SUMIFS('Fund History'!$E$756:$E$760,'Fund History'!$D$756:$D$760,"&gt;="&amp;DATE(YEAR_Y-2,1,1),'Fund History'!$D$756:$D$760,"&lt;="&amp;DATE(YEAR_Y-2,12,31)))))</f>
        <v/>
      </c>
      <c r="AI136" s="67">
        <f>IF($C136="","",IF(PULL_FUND="N","",IF(COUNTIFS('Fund History'!$D$756:$D$760,"&gt;="&amp;DATE(YEAR_Y-1,1,1),'Fund History'!$D$756:$D$760,"&lt;="&amp;DATE(YEAR_Y-1,12,31))=0,"",SUMIFS('Fund History'!$E$756:$E$760,'Fund History'!$D$756:$D$760,"&gt;="&amp;DATE(YEAR_Y-1,1,1),'Fund History'!$D$756:$D$760,"&lt;="&amp;DATE(YEAR_Y-1,12,31)))))</f>
        <v/>
      </c>
      <c r="AJ136" s="67">
        <f>IF($C136="","",IF(PULL_FUND="N","",IFERROR(BDP($C136,NDEBITDA_FIELD),"")))</f>
        <v/>
      </c>
      <c r="AK136" s="75">
        <f>IF($C136="","",IF(PULL_FUND="N","",IFERROR(BDP($C136,EBINT_FIELD),"")))</f>
        <v/>
      </c>
      <c r="AL136" s="73">
        <f>IF($C136="","",IF(PULL_FUND="N","",IFERROR(BDP($C136,FCF_FIELD)/100,"")))</f>
        <v/>
      </c>
      <c r="AM136" s="76">
        <f>IF($C136="","",IF(ISNUMBER(HSTECH!$I$31),HSTECH!$I$31/100,""))</f>
        <v/>
      </c>
      <c r="AN136" s="47">
        <f>IF($C136="","",IF(N($AM136)=0,"",IFERROR($AL136/$AM136,"")))</f>
        <v/>
      </c>
      <c r="AO136" s="33">
        <f>IF($C136="","",IF(ISNUMBER($S136)*ISNUMBER($W136)=0,"",IF($W136&gt;$S136+0.05,"rising",IF($W136&lt;$S136-0.05,"falling","stable"))))</f>
        <v/>
      </c>
      <c r="AP136" s="77">
        <f>IF($C136="","",TRIM(IF(ISNUMBER($X136)*(N($X136)&gt;$D$4)&gt;0,"payout high  ","")&amp;IF(ISNUMBER($AN136)*(N($AN136)&lt;$F$4)&gt;0,"FCF below dvd  ","")&amp;IF(ISNUMBER($AJ136)*(N($AJ136)&gt;$H$4)&gt;0,"leverage high","")))</f>
        <v/>
      </c>
      <c r="AQ136" s="78">
        <f>IF($C136="","",IF(HSTECH!$F$31="HKD","",HSTECH!$F$31))</f>
        <v/>
      </c>
    </row>
    <row r="137">
      <c r="B137" s="62" t="inlineStr">
        <is>
          <t>HSTECH</t>
        </is>
      </c>
      <c r="C137" s="6">
        <f>IF(HSTECH!$C$32="","",HSTECH!$C$32)</f>
        <v/>
      </c>
      <c r="D137" s="6">
        <f>IF($C137="","",HSTECH!$D$32)</f>
        <v/>
      </c>
      <c r="E137" s="6">
        <f>IF($C137="","",HSTECH!$E$32)</f>
        <v/>
      </c>
      <c r="F137" s="63">
        <f>IF($C137="","",SUMPRODUCT(('Dvd Calendar'!$E$1391:$AR$1391&gt;=DATE(YEAR_Y-5,1,1))*('Dvd Calendar'!$E$1391:$AR$1391&lt;=DATE(YEAR_Y-5,12,31))*'Dvd Calendar'!$E$1394:$AR$1394*(('Dvd Calendar'!$E$1396:$AR$1396=TYPE1)*(TYPE1&lt;&gt;"")+('Dvd Calendar'!$E$1396:$AR$1396=TYPE2)*(TYPE2&lt;&gt;"")+('Dvd Calendar'!$E$1396:$AR$1396=TYPE3)*(TYPE3&lt;&gt;"")+('Dvd Calendar'!$E$1396:$AR$1396=TYPE4)*(TYPE4&lt;&gt;"")+('Dvd Calendar'!$E$1396:$AR$1396=SPECIAL_LBL)*(INC_SPECIALS="Y"))))</f>
        <v/>
      </c>
      <c r="G137" s="64">
        <f>IF($C137="","",SUMPRODUCT(('Dvd Calendar'!$E$1391:$AR$1391&gt;=DATE(YEAR_Y-4,1,1))*('Dvd Calendar'!$E$1391:$AR$1391&lt;=DATE(YEAR_Y-4,12,31))*'Dvd Calendar'!$E$1394:$AR$1394*(('Dvd Calendar'!$E$1396:$AR$1396=TYPE1)*(TYPE1&lt;&gt;"")+('Dvd Calendar'!$E$1396:$AR$1396=TYPE2)*(TYPE2&lt;&gt;"")+('Dvd Calendar'!$E$1396:$AR$1396=TYPE3)*(TYPE3&lt;&gt;"")+('Dvd Calendar'!$E$1396:$AR$1396=TYPE4)*(TYPE4&lt;&gt;"")+('Dvd Calendar'!$E$1396:$AR$1396=SPECIAL_LBL)*(INC_SPECIALS="Y"))))</f>
        <v/>
      </c>
      <c r="H137" s="64">
        <f>IF($C137="","",SUMPRODUCT(('Dvd Calendar'!$E$1391:$AR$1391&gt;=DATE(YEAR_Y-3,1,1))*('Dvd Calendar'!$E$1391:$AR$1391&lt;=DATE(YEAR_Y-3,12,31))*'Dvd Calendar'!$E$1394:$AR$1394*(('Dvd Calendar'!$E$1396:$AR$1396=TYPE1)*(TYPE1&lt;&gt;"")+('Dvd Calendar'!$E$1396:$AR$1396=TYPE2)*(TYPE2&lt;&gt;"")+('Dvd Calendar'!$E$1396:$AR$1396=TYPE3)*(TYPE3&lt;&gt;"")+('Dvd Calendar'!$E$1396:$AR$1396=TYPE4)*(TYPE4&lt;&gt;"")+('Dvd Calendar'!$E$1396:$AR$1396=SPECIAL_LBL)*(INC_SPECIALS="Y"))))</f>
        <v/>
      </c>
      <c r="I137" s="64">
        <f>IF($C137="","",SUMPRODUCT(('Dvd Calendar'!$E$1391:$AR$1391&gt;=DATE(YEAR_Y-2,1,1))*('Dvd Calendar'!$E$1391:$AR$1391&lt;=DATE(YEAR_Y-2,12,31))*'Dvd Calendar'!$E$1394:$AR$1394*(('Dvd Calendar'!$E$1396:$AR$1396=TYPE1)*(TYPE1&lt;&gt;"")+('Dvd Calendar'!$E$1396:$AR$1396=TYPE2)*(TYPE2&lt;&gt;"")+('Dvd Calendar'!$E$1396:$AR$1396=TYPE3)*(TYPE3&lt;&gt;"")+('Dvd Calendar'!$E$1396:$AR$1396=TYPE4)*(TYPE4&lt;&gt;"")+('Dvd Calendar'!$E$1396:$AR$1396=SPECIAL_LBL)*(INC_SPECIALS="Y"))))</f>
        <v/>
      </c>
      <c r="J137" s="64">
        <f>IF($C137="","",SUMPRODUCT(('Dvd Calendar'!$E$1391:$AR$1391&gt;=DATE(YEAR_Y-1,1,1))*('Dvd Calendar'!$E$1391:$AR$1391&lt;=DATE(YEAR_Y-1,12,31))*'Dvd Calendar'!$E$1394:$AR$1394*(('Dvd Calendar'!$E$1396:$AR$1396=TYPE1)*(TYPE1&lt;&gt;"")+('Dvd Calendar'!$E$1396:$AR$1396=TYPE2)*(TYPE2&lt;&gt;"")+('Dvd Calendar'!$E$1396:$AR$1396=TYPE3)*(TYPE3&lt;&gt;"")+('Dvd Calendar'!$E$1396:$AR$1396=TYPE4)*(TYPE4&lt;&gt;"")+('Dvd Calendar'!$E$1396:$AR$1396=SPECIAL_LBL)*(INC_SPECIALS="Y"))))</f>
        <v/>
      </c>
      <c r="K137" s="65">
        <f>IF($C137="","",HSTECH!$J$32)</f>
        <v/>
      </c>
      <c r="L137" s="65">
        <f>IF($C137="","",HSTECH!$K$32)</f>
        <v/>
      </c>
      <c r="M137" s="41">
        <f>IF($C137="","",AVERAGE(F137:J137))</f>
        <v/>
      </c>
      <c r="N137" s="66">
        <f>IF($C137="","",IF(PULL_FUND="N","",IFERROR(BDP($C137,EPS_FIELD,YR_OVERRIDE,TEXT(YEAR_Y-5,"0")),"")))</f>
        <v/>
      </c>
      <c r="O137" s="67">
        <f>IF($C137="","",IF(PULL_FUND="N","",IFERROR(BDP($C137,EPS_FIELD,YR_OVERRIDE,TEXT(YEAR_Y-4,"0")),"")))</f>
        <v/>
      </c>
      <c r="P137" s="67">
        <f>IF($C137="","",IF(PULL_FUND="N","",IFERROR(BDP($C137,EPS_FIELD,YR_OVERRIDE,TEXT(YEAR_Y-3,"0")),"")))</f>
        <v/>
      </c>
      <c r="Q137" s="67">
        <f>IF($C137="","",IF(PULL_FUND="N","",IFERROR(BDP($C137,EPS_FIELD,YR_OVERRIDE,TEXT(YEAR_Y-2,"0")),"")))</f>
        <v/>
      </c>
      <c r="R137" s="67">
        <f>IF($C137="","",IF(PULL_FUND="N","",IFERROR(BDP($C137,EPS_FIELD,YR_OVERRIDE,TEXT(YEAR_Y-1,"0")),"")))</f>
        <v/>
      </c>
      <c r="S137" s="68">
        <f>IF($C137="","",IF(PULL_FUND="N","",IFERROR(BDP($C137,PAYOUT_FIELD,YR_OVERRIDE,TEXT(YEAR_Y-5,"0"))/100,"")))</f>
        <v/>
      </c>
      <c r="T137" s="68">
        <f>IF($C137="","",IF(PULL_FUND="N","",IFERROR(BDP($C137,PAYOUT_FIELD,YR_OVERRIDE,TEXT(YEAR_Y-4,"0"))/100,"")))</f>
        <v/>
      </c>
      <c r="U137" s="68">
        <f>IF($C137="","",IF(PULL_FUND="N","",IFERROR(BDP($C137,PAYOUT_FIELD,YR_OVERRIDE,TEXT(YEAR_Y-3,"0"))/100,"")))</f>
        <v/>
      </c>
      <c r="V137" s="68">
        <f>IF($C137="","",IF(PULL_FUND="N","",IFERROR(BDP($C137,PAYOUT_FIELD,YR_OVERRIDE,TEXT(YEAR_Y-2,"0"))/100,"")))</f>
        <v/>
      </c>
      <c r="W137" s="68">
        <f>IF($C137="","",IF(PULL_FUND="N","",IFERROR(BDP($C137,PAYOUT_FIELD,YR_OVERRIDE,TEXT(YEAR_Y-1,"0"))/100,"")))</f>
        <v/>
      </c>
      <c r="X137" s="69">
        <f>IF($C137="","",IFERROR(AVERAGE(S137:W137),""))</f>
        <v/>
      </c>
      <c r="Y137" s="66">
        <f>IF($C137="","",IF(PULL_FUND="N","",IFERROR(BDP($C137,BESTEPS_FIELD,FWD_OVERRIDE,TEXT(MOD(YEAR_Y,100),"00")&amp;"Y"),"")))</f>
        <v/>
      </c>
      <c r="Z137" s="70">
        <f>IF($C137="","",IF(PULL_FUND="N","",IFERROR(BDP($C137,BESTDPS_FIELD,FWD_OVERRIDE,TEXT(MOD(YEAR_Y,100),"00")&amp;"Y"),"")))</f>
        <v/>
      </c>
      <c r="AA137" s="71">
        <f>IF($C137="","",IF(ISNUMBER($Y137)*ISNUMBER($Z137)*($Y137&lt;&gt;0)=0,"",$Z137/$Y137))</f>
        <v/>
      </c>
      <c r="AB137" s="41">
        <f>IF($C137="","",HSTECH!$J$32+HSTECH!$L$32)</f>
        <v/>
      </c>
      <c r="AC137" s="72">
        <f>IF($C137="","",IF(PULL_FUND="N","",IF(COUNTIFS('Fund History'!$G$762:$G$766,"&gt;="&amp;DATE(YEAR_Y-4,1,1),'Fund History'!$G$762:$G$766,"&lt;="&amp;DATE(YEAR_Y-4,12,31))=0,"",SUMIFS('Fund History'!$H$762:$H$766,'Fund History'!$G$762:$G$766,"&gt;="&amp;DATE(YEAR_Y-4,1,1),'Fund History'!$G$762:$G$766,"&lt;="&amp;DATE(YEAR_Y-4,12,31))/100)))</f>
        <v/>
      </c>
      <c r="AD137" s="73">
        <f>IF($C137="","",IF(PULL_FUND="N","",IF(COUNTIFS('Fund History'!$G$762:$G$766,"&gt;="&amp;DATE(YEAR_Y-3,1,1),'Fund History'!$G$762:$G$766,"&lt;="&amp;DATE(YEAR_Y-3,12,31))=0,"",SUMIFS('Fund History'!$H$762:$H$766,'Fund History'!$G$762:$G$766,"&gt;="&amp;DATE(YEAR_Y-3,1,1),'Fund History'!$G$762:$G$766,"&lt;="&amp;DATE(YEAR_Y-3,12,31))/100)))</f>
        <v/>
      </c>
      <c r="AE137" s="73">
        <f>IF($C137="","",IF(PULL_FUND="N","",IF(COUNTIFS('Fund History'!$G$762:$G$766,"&gt;="&amp;DATE(YEAR_Y-2,1,1),'Fund History'!$G$762:$G$766,"&lt;="&amp;DATE(YEAR_Y-2,12,31))=0,"",SUMIFS('Fund History'!$H$762:$H$766,'Fund History'!$G$762:$G$766,"&gt;="&amp;DATE(YEAR_Y-2,1,1),'Fund History'!$G$762:$G$766,"&lt;="&amp;DATE(YEAR_Y-2,12,31))/100)))</f>
        <v/>
      </c>
      <c r="AF137" s="73">
        <f>IF($C137="","",IF(PULL_FUND="N","",IF(COUNTIFS('Fund History'!$G$762:$G$766,"&gt;="&amp;DATE(YEAR_Y-1,1,1),'Fund History'!$G$762:$G$766,"&lt;="&amp;DATE(YEAR_Y-1,12,31))=0,"",SUMIFS('Fund History'!$H$762:$H$766,'Fund History'!$G$762:$G$766,"&gt;="&amp;DATE(YEAR_Y-1,1,1),'Fund History'!$G$762:$G$766,"&lt;="&amp;DATE(YEAR_Y-1,12,31))/100)))</f>
        <v/>
      </c>
      <c r="AG137" s="74">
        <f>IF($C137="","",IF(N($AF137)+N(HSTECH!$I$32)=0,"",N($AF137)+N(HSTECH!$I$32)/100))</f>
        <v/>
      </c>
      <c r="AH137" s="66">
        <f>IF($C137="","",IF(PULL_FUND="N","",IF(COUNTIFS('Fund History'!$D$762:$D$766,"&gt;="&amp;DATE(YEAR_Y-2,1,1),'Fund History'!$D$762:$D$766,"&lt;="&amp;DATE(YEAR_Y-2,12,31))=0,"",SUMIFS('Fund History'!$E$762:$E$766,'Fund History'!$D$762:$D$766,"&gt;="&amp;DATE(YEAR_Y-2,1,1),'Fund History'!$D$762:$D$766,"&lt;="&amp;DATE(YEAR_Y-2,12,31)))))</f>
        <v/>
      </c>
      <c r="AI137" s="67">
        <f>IF($C137="","",IF(PULL_FUND="N","",IF(COUNTIFS('Fund History'!$D$762:$D$766,"&gt;="&amp;DATE(YEAR_Y-1,1,1),'Fund History'!$D$762:$D$766,"&lt;="&amp;DATE(YEAR_Y-1,12,31))=0,"",SUMIFS('Fund History'!$E$762:$E$766,'Fund History'!$D$762:$D$766,"&gt;="&amp;DATE(YEAR_Y-1,1,1),'Fund History'!$D$762:$D$766,"&lt;="&amp;DATE(YEAR_Y-1,12,31)))))</f>
        <v/>
      </c>
      <c r="AJ137" s="67">
        <f>IF($C137="","",IF(PULL_FUND="N","",IFERROR(BDP($C137,NDEBITDA_FIELD),"")))</f>
        <v/>
      </c>
      <c r="AK137" s="75">
        <f>IF($C137="","",IF(PULL_FUND="N","",IFERROR(BDP($C137,EBINT_FIELD),"")))</f>
        <v/>
      </c>
      <c r="AL137" s="73">
        <f>IF($C137="","",IF(PULL_FUND="N","",IFERROR(BDP($C137,FCF_FIELD)/100,"")))</f>
        <v/>
      </c>
      <c r="AM137" s="76">
        <f>IF($C137="","",IF(ISNUMBER(HSTECH!$I$32),HSTECH!$I$32/100,""))</f>
        <v/>
      </c>
      <c r="AN137" s="47">
        <f>IF($C137="","",IF(N($AM137)=0,"",IFERROR($AL137/$AM137,"")))</f>
        <v/>
      </c>
      <c r="AO137" s="33">
        <f>IF($C137="","",IF(ISNUMBER($S137)*ISNUMBER($W137)=0,"",IF($W137&gt;$S137+0.05,"rising",IF($W137&lt;$S137-0.05,"falling","stable"))))</f>
        <v/>
      </c>
      <c r="AP137" s="77">
        <f>IF($C137="","",TRIM(IF(ISNUMBER($X137)*(N($X137)&gt;$D$4)&gt;0,"payout high  ","")&amp;IF(ISNUMBER($AN137)*(N($AN137)&lt;$F$4)&gt;0,"FCF below dvd  ","")&amp;IF(ISNUMBER($AJ137)*(N($AJ137)&gt;$H$4)&gt;0,"leverage high","")))</f>
        <v/>
      </c>
      <c r="AQ137" s="78">
        <f>IF($C137="","",IF(HSTECH!$F$32="HKD","",HSTECH!$F$32))</f>
        <v/>
      </c>
    </row>
    <row r="138">
      <c r="B138" s="62" t="inlineStr">
        <is>
          <t>HSTECH</t>
        </is>
      </c>
      <c r="C138" s="6">
        <f>IF(HSTECH!$C$33="","",HSTECH!$C$33)</f>
        <v/>
      </c>
      <c r="D138" s="6">
        <f>IF($C138="","",HSTECH!$D$33)</f>
        <v/>
      </c>
      <c r="E138" s="6">
        <f>IF($C138="","",HSTECH!$E$33)</f>
        <v/>
      </c>
      <c r="F138" s="63">
        <f>IF($C138="","",SUMPRODUCT(('Dvd Calendar'!$E$1402:$AR$1402&gt;=DATE(YEAR_Y-5,1,1))*('Dvd Calendar'!$E$1402:$AR$1402&lt;=DATE(YEAR_Y-5,12,31))*'Dvd Calendar'!$E$1405:$AR$1405*(('Dvd Calendar'!$E$1407:$AR$1407=TYPE1)*(TYPE1&lt;&gt;"")+('Dvd Calendar'!$E$1407:$AR$1407=TYPE2)*(TYPE2&lt;&gt;"")+('Dvd Calendar'!$E$1407:$AR$1407=TYPE3)*(TYPE3&lt;&gt;"")+('Dvd Calendar'!$E$1407:$AR$1407=TYPE4)*(TYPE4&lt;&gt;"")+('Dvd Calendar'!$E$1407:$AR$1407=SPECIAL_LBL)*(INC_SPECIALS="Y"))))</f>
        <v/>
      </c>
      <c r="G138" s="64">
        <f>IF($C138="","",SUMPRODUCT(('Dvd Calendar'!$E$1402:$AR$1402&gt;=DATE(YEAR_Y-4,1,1))*('Dvd Calendar'!$E$1402:$AR$1402&lt;=DATE(YEAR_Y-4,12,31))*'Dvd Calendar'!$E$1405:$AR$1405*(('Dvd Calendar'!$E$1407:$AR$1407=TYPE1)*(TYPE1&lt;&gt;"")+('Dvd Calendar'!$E$1407:$AR$1407=TYPE2)*(TYPE2&lt;&gt;"")+('Dvd Calendar'!$E$1407:$AR$1407=TYPE3)*(TYPE3&lt;&gt;"")+('Dvd Calendar'!$E$1407:$AR$1407=TYPE4)*(TYPE4&lt;&gt;"")+('Dvd Calendar'!$E$1407:$AR$1407=SPECIAL_LBL)*(INC_SPECIALS="Y"))))</f>
        <v/>
      </c>
      <c r="H138" s="64">
        <f>IF($C138="","",SUMPRODUCT(('Dvd Calendar'!$E$1402:$AR$1402&gt;=DATE(YEAR_Y-3,1,1))*('Dvd Calendar'!$E$1402:$AR$1402&lt;=DATE(YEAR_Y-3,12,31))*'Dvd Calendar'!$E$1405:$AR$1405*(('Dvd Calendar'!$E$1407:$AR$1407=TYPE1)*(TYPE1&lt;&gt;"")+('Dvd Calendar'!$E$1407:$AR$1407=TYPE2)*(TYPE2&lt;&gt;"")+('Dvd Calendar'!$E$1407:$AR$1407=TYPE3)*(TYPE3&lt;&gt;"")+('Dvd Calendar'!$E$1407:$AR$1407=TYPE4)*(TYPE4&lt;&gt;"")+('Dvd Calendar'!$E$1407:$AR$1407=SPECIAL_LBL)*(INC_SPECIALS="Y"))))</f>
        <v/>
      </c>
      <c r="I138" s="64">
        <f>IF($C138="","",SUMPRODUCT(('Dvd Calendar'!$E$1402:$AR$1402&gt;=DATE(YEAR_Y-2,1,1))*('Dvd Calendar'!$E$1402:$AR$1402&lt;=DATE(YEAR_Y-2,12,31))*'Dvd Calendar'!$E$1405:$AR$1405*(('Dvd Calendar'!$E$1407:$AR$1407=TYPE1)*(TYPE1&lt;&gt;"")+('Dvd Calendar'!$E$1407:$AR$1407=TYPE2)*(TYPE2&lt;&gt;"")+('Dvd Calendar'!$E$1407:$AR$1407=TYPE3)*(TYPE3&lt;&gt;"")+('Dvd Calendar'!$E$1407:$AR$1407=TYPE4)*(TYPE4&lt;&gt;"")+('Dvd Calendar'!$E$1407:$AR$1407=SPECIAL_LBL)*(INC_SPECIALS="Y"))))</f>
        <v/>
      </c>
      <c r="J138" s="64">
        <f>IF($C138="","",SUMPRODUCT(('Dvd Calendar'!$E$1402:$AR$1402&gt;=DATE(YEAR_Y-1,1,1))*('Dvd Calendar'!$E$1402:$AR$1402&lt;=DATE(YEAR_Y-1,12,31))*'Dvd Calendar'!$E$1405:$AR$1405*(('Dvd Calendar'!$E$1407:$AR$1407=TYPE1)*(TYPE1&lt;&gt;"")+('Dvd Calendar'!$E$1407:$AR$1407=TYPE2)*(TYPE2&lt;&gt;"")+('Dvd Calendar'!$E$1407:$AR$1407=TYPE3)*(TYPE3&lt;&gt;"")+('Dvd Calendar'!$E$1407:$AR$1407=TYPE4)*(TYPE4&lt;&gt;"")+('Dvd Calendar'!$E$1407:$AR$1407=SPECIAL_LBL)*(INC_SPECIALS="Y"))))</f>
        <v/>
      </c>
      <c r="K138" s="65">
        <f>IF($C138="","",HSTECH!$J$33)</f>
        <v/>
      </c>
      <c r="L138" s="65">
        <f>IF($C138="","",HSTECH!$K$33)</f>
        <v/>
      </c>
      <c r="M138" s="41">
        <f>IF($C138="","",AVERAGE(F138:J138))</f>
        <v/>
      </c>
      <c r="N138" s="66">
        <f>IF($C138="","",IF(PULL_FUND="N","",IFERROR(BDP($C138,EPS_FIELD,YR_OVERRIDE,TEXT(YEAR_Y-5,"0")),"")))</f>
        <v/>
      </c>
      <c r="O138" s="67">
        <f>IF($C138="","",IF(PULL_FUND="N","",IFERROR(BDP($C138,EPS_FIELD,YR_OVERRIDE,TEXT(YEAR_Y-4,"0")),"")))</f>
        <v/>
      </c>
      <c r="P138" s="67">
        <f>IF($C138="","",IF(PULL_FUND="N","",IFERROR(BDP($C138,EPS_FIELD,YR_OVERRIDE,TEXT(YEAR_Y-3,"0")),"")))</f>
        <v/>
      </c>
      <c r="Q138" s="67">
        <f>IF($C138="","",IF(PULL_FUND="N","",IFERROR(BDP($C138,EPS_FIELD,YR_OVERRIDE,TEXT(YEAR_Y-2,"0")),"")))</f>
        <v/>
      </c>
      <c r="R138" s="67">
        <f>IF($C138="","",IF(PULL_FUND="N","",IFERROR(BDP($C138,EPS_FIELD,YR_OVERRIDE,TEXT(YEAR_Y-1,"0")),"")))</f>
        <v/>
      </c>
      <c r="S138" s="68">
        <f>IF($C138="","",IF(PULL_FUND="N","",IFERROR(BDP($C138,PAYOUT_FIELD,YR_OVERRIDE,TEXT(YEAR_Y-5,"0"))/100,"")))</f>
        <v/>
      </c>
      <c r="T138" s="68">
        <f>IF($C138="","",IF(PULL_FUND="N","",IFERROR(BDP($C138,PAYOUT_FIELD,YR_OVERRIDE,TEXT(YEAR_Y-4,"0"))/100,"")))</f>
        <v/>
      </c>
      <c r="U138" s="68">
        <f>IF($C138="","",IF(PULL_FUND="N","",IFERROR(BDP($C138,PAYOUT_FIELD,YR_OVERRIDE,TEXT(YEAR_Y-3,"0"))/100,"")))</f>
        <v/>
      </c>
      <c r="V138" s="68">
        <f>IF($C138="","",IF(PULL_FUND="N","",IFERROR(BDP($C138,PAYOUT_FIELD,YR_OVERRIDE,TEXT(YEAR_Y-2,"0"))/100,"")))</f>
        <v/>
      </c>
      <c r="W138" s="68">
        <f>IF($C138="","",IF(PULL_FUND="N","",IFERROR(BDP($C138,PAYOUT_FIELD,YR_OVERRIDE,TEXT(YEAR_Y-1,"0"))/100,"")))</f>
        <v/>
      </c>
      <c r="X138" s="69">
        <f>IF($C138="","",IFERROR(AVERAGE(S138:W138),""))</f>
        <v/>
      </c>
      <c r="Y138" s="66">
        <f>IF($C138="","",IF(PULL_FUND="N","",IFERROR(BDP($C138,BESTEPS_FIELD,FWD_OVERRIDE,TEXT(MOD(YEAR_Y,100),"00")&amp;"Y"),"")))</f>
        <v/>
      </c>
      <c r="Z138" s="70">
        <f>IF($C138="","",IF(PULL_FUND="N","",IFERROR(BDP($C138,BESTDPS_FIELD,FWD_OVERRIDE,TEXT(MOD(YEAR_Y,100),"00")&amp;"Y"),"")))</f>
        <v/>
      </c>
      <c r="AA138" s="71">
        <f>IF($C138="","",IF(ISNUMBER($Y138)*ISNUMBER($Z138)*($Y138&lt;&gt;0)=0,"",$Z138/$Y138))</f>
        <v/>
      </c>
      <c r="AB138" s="41">
        <f>IF($C138="","",HSTECH!$J$33+HSTECH!$L$33)</f>
        <v/>
      </c>
      <c r="AC138" s="72">
        <f>IF($C138="","",IF(PULL_FUND="N","",IF(COUNTIFS('Fund History'!$G$768:$G$772,"&gt;="&amp;DATE(YEAR_Y-4,1,1),'Fund History'!$G$768:$G$772,"&lt;="&amp;DATE(YEAR_Y-4,12,31))=0,"",SUMIFS('Fund History'!$H$768:$H$772,'Fund History'!$G$768:$G$772,"&gt;="&amp;DATE(YEAR_Y-4,1,1),'Fund History'!$G$768:$G$772,"&lt;="&amp;DATE(YEAR_Y-4,12,31))/100)))</f>
        <v/>
      </c>
      <c r="AD138" s="73">
        <f>IF($C138="","",IF(PULL_FUND="N","",IF(COUNTIFS('Fund History'!$G$768:$G$772,"&gt;="&amp;DATE(YEAR_Y-3,1,1),'Fund History'!$G$768:$G$772,"&lt;="&amp;DATE(YEAR_Y-3,12,31))=0,"",SUMIFS('Fund History'!$H$768:$H$772,'Fund History'!$G$768:$G$772,"&gt;="&amp;DATE(YEAR_Y-3,1,1),'Fund History'!$G$768:$G$772,"&lt;="&amp;DATE(YEAR_Y-3,12,31))/100)))</f>
        <v/>
      </c>
      <c r="AE138" s="73">
        <f>IF($C138="","",IF(PULL_FUND="N","",IF(COUNTIFS('Fund History'!$G$768:$G$772,"&gt;="&amp;DATE(YEAR_Y-2,1,1),'Fund History'!$G$768:$G$772,"&lt;="&amp;DATE(YEAR_Y-2,12,31))=0,"",SUMIFS('Fund History'!$H$768:$H$772,'Fund History'!$G$768:$G$772,"&gt;="&amp;DATE(YEAR_Y-2,1,1),'Fund History'!$G$768:$G$772,"&lt;="&amp;DATE(YEAR_Y-2,12,31))/100)))</f>
        <v/>
      </c>
      <c r="AF138" s="73">
        <f>IF($C138="","",IF(PULL_FUND="N","",IF(COUNTIFS('Fund History'!$G$768:$G$772,"&gt;="&amp;DATE(YEAR_Y-1,1,1),'Fund History'!$G$768:$G$772,"&lt;="&amp;DATE(YEAR_Y-1,12,31))=0,"",SUMIFS('Fund History'!$H$768:$H$772,'Fund History'!$G$768:$G$772,"&gt;="&amp;DATE(YEAR_Y-1,1,1),'Fund History'!$G$768:$G$772,"&lt;="&amp;DATE(YEAR_Y-1,12,31))/100)))</f>
        <v/>
      </c>
      <c r="AG138" s="74">
        <f>IF($C138="","",IF(N($AF138)+N(HSTECH!$I$33)=0,"",N($AF138)+N(HSTECH!$I$33)/100))</f>
        <v/>
      </c>
      <c r="AH138" s="66">
        <f>IF($C138="","",IF(PULL_FUND="N","",IF(COUNTIFS('Fund History'!$D$768:$D$772,"&gt;="&amp;DATE(YEAR_Y-2,1,1),'Fund History'!$D$768:$D$772,"&lt;="&amp;DATE(YEAR_Y-2,12,31))=0,"",SUMIFS('Fund History'!$E$768:$E$772,'Fund History'!$D$768:$D$772,"&gt;="&amp;DATE(YEAR_Y-2,1,1),'Fund History'!$D$768:$D$772,"&lt;="&amp;DATE(YEAR_Y-2,12,31)))))</f>
        <v/>
      </c>
      <c r="AI138" s="67">
        <f>IF($C138="","",IF(PULL_FUND="N","",IF(COUNTIFS('Fund History'!$D$768:$D$772,"&gt;="&amp;DATE(YEAR_Y-1,1,1),'Fund History'!$D$768:$D$772,"&lt;="&amp;DATE(YEAR_Y-1,12,31))=0,"",SUMIFS('Fund History'!$E$768:$E$772,'Fund History'!$D$768:$D$772,"&gt;="&amp;DATE(YEAR_Y-1,1,1),'Fund History'!$D$768:$D$772,"&lt;="&amp;DATE(YEAR_Y-1,12,31)))))</f>
        <v/>
      </c>
      <c r="AJ138" s="67">
        <f>IF($C138="","",IF(PULL_FUND="N","",IFERROR(BDP($C138,NDEBITDA_FIELD),"")))</f>
        <v/>
      </c>
      <c r="AK138" s="75">
        <f>IF($C138="","",IF(PULL_FUND="N","",IFERROR(BDP($C138,EBINT_FIELD),"")))</f>
        <v/>
      </c>
      <c r="AL138" s="73">
        <f>IF($C138="","",IF(PULL_FUND="N","",IFERROR(BDP($C138,FCF_FIELD)/100,"")))</f>
        <v/>
      </c>
      <c r="AM138" s="76">
        <f>IF($C138="","",IF(ISNUMBER(HSTECH!$I$33),HSTECH!$I$33/100,""))</f>
        <v/>
      </c>
      <c r="AN138" s="47">
        <f>IF($C138="","",IF(N($AM138)=0,"",IFERROR($AL138/$AM138,"")))</f>
        <v/>
      </c>
      <c r="AO138" s="33">
        <f>IF($C138="","",IF(ISNUMBER($S138)*ISNUMBER($W138)=0,"",IF($W138&gt;$S138+0.05,"rising",IF($W138&lt;$S138-0.05,"falling","stable"))))</f>
        <v/>
      </c>
      <c r="AP138" s="77">
        <f>IF($C138="","",TRIM(IF(ISNUMBER($X138)*(N($X138)&gt;$D$4)&gt;0,"payout high  ","")&amp;IF(ISNUMBER($AN138)*(N($AN138)&lt;$F$4)&gt;0,"FCF below dvd  ","")&amp;IF(ISNUMBER($AJ138)*(N($AJ138)&gt;$H$4)&gt;0,"leverage high","")))</f>
        <v/>
      </c>
      <c r="AQ138" s="78">
        <f>IF($C138="","",IF(HSTECH!$F$33="HKD","",HSTECH!$F$33))</f>
        <v/>
      </c>
    </row>
    <row r="139">
      <c r="B139" s="62" t="inlineStr">
        <is>
          <t>HSTECH</t>
        </is>
      </c>
      <c r="C139" s="6">
        <f>IF(HSTECH!$C$34="","",HSTECH!$C$34)</f>
        <v/>
      </c>
      <c r="D139" s="6">
        <f>IF($C139="","",HSTECH!$D$34)</f>
        <v/>
      </c>
      <c r="E139" s="6">
        <f>IF($C139="","",HSTECH!$E$34)</f>
        <v/>
      </c>
      <c r="F139" s="63">
        <f>IF($C139="","",SUMPRODUCT(('Dvd Calendar'!$E$1413:$AR$1413&gt;=DATE(YEAR_Y-5,1,1))*('Dvd Calendar'!$E$1413:$AR$1413&lt;=DATE(YEAR_Y-5,12,31))*'Dvd Calendar'!$E$1416:$AR$1416*(('Dvd Calendar'!$E$1418:$AR$1418=TYPE1)*(TYPE1&lt;&gt;"")+('Dvd Calendar'!$E$1418:$AR$1418=TYPE2)*(TYPE2&lt;&gt;"")+('Dvd Calendar'!$E$1418:$AR$1418=TYPE3)*(TYPE3&lt;&gt;"")+('Dvd Calendar'!$E$1418:$AR$1418=TYPE4)*(TYPE4&lt;&gt;"")+('Dvd Calendar'!$E$1418:$AR$1418=SPECIAL_LBL)*(INC_SPECIALS="Y"))))</f>
        <v/>
      </c>
      <c r="G139" s="64">
        <f>IF($C139="","",SUMPRODUCT(('Dvd Calendar'!$E$1413:$AR$1413&gt;=DATE(YEAR_Y-4,1,1))*('Dvd Calendar'!$E$1413:$AR$1413&lt;=DATE(YEAR_Y-4,12,31))*'Dvd Calendar'!$E$1416:$AR$1416*(('Dvd Calendar'!$E$1418:$AR$1418=TYPE1)*(TYPE1&lt;&gt;"")+('Dvd Calendar'!$E$1418:$AR$1418=TYPE2)*(TYPE2&lt;&gt;"")+('Dvd Calendar'!$E$1418:$AR$1418=TYPE3)*(TYPE3&lt;&gt;"")+('Dvd Calendar'!$E$1418:$AR$1418=TYPE4)*(TYPE4&lt;&gt;"")+('Dvd Calendar'!$E$1418:$AR$1418=SPECIAL_LBL)*(INC_SPECIALS="Y"))))</f>
        <v/>
      </c>
      <c r="H139" s="64">
        <f>IF($C139="","",SUMPRODUCT(('Dvd Calendar'!$E$1413:$AR$1413&gt;=DATE(YEAR_Y-3,1,1))*('Dvd Calendar'!$E$1413:$AR$1413&lt;=DATE(YEAR_Y-3,12,31))*'Dvd Calendar'!$E$1416:$AR$1416*(('Dvd Calendar'!$E$1418:$AR$1418=TYPE1)*(TYPE1&lt;&gt;"")+('Dvd Calendar'!$E$1418:$AR$1418=TYPE2)*(TYPE2&lt;&gt;"")+('Dvd Calendar'!$E$1418:$AR$1418=TYPE3)*(TYPE3&lt;&gt;"")+('Dvd Calendar'!$E$1418:$AR$1418=TYPE4)*(TYPE4&lt;&gt;"")+('Dvd Calendar'!$E$1418:$AR$1418=SPECIAL_LBL)*(INC_SPECIALS="Y"))))</f>
        <v/>
      </c>
      <c r="I139" s="64">
        <f>IF($C139="","",SUMPRODUCT(('Dvd Calendar'!$E$1413:$AR$1413&gt;=DATE(YEAR_Y-2,1,1))*('Dvd Calendar'!$E$1413:$AR$1413&lt;=DATE(YEAR_Y-2,12,31))*'Dvd Calendar'!$E$1416:$AR$1416*(('Dvd Calendar'!$E$1418:$AR$1418=TYPE1)*(TYPE1&lt;&gt;"")+('Dvd Calendar'!$E$1418:$AR$1418=TYPE2)*(TYPE2&lt;&gt;"")+('Dvd Calendar'!$E$1418:$AR$1418=TYPE3)*(TYPE3&lt;&gt;"")+('Dvd Calendar'!$E$1418:$AR$1418=TYPE4)*(TYPE4&lt;&gt;"")+('Dvd Calendar'!$E$1418:$AR$1418=SPECIAL_LBL)*(INC_SPECIALS="Y"))))</f>
        <v/>
      </c>
      <c r="J139" s="64">
        <f>IF($C139="","",SUMPRODUCT(('Dvd Calendar'!$E$1413:$AR$1413&gt;=DATE(YEAR_Y-1,1,1))*('Dvd Calendar'!$E$1413:$AR$1413&lt;=DATE(YEAR_Y-1,12,31))*'Dvd Calendar'!$E$1416:$AR$1416*(('Dvd Calendar'!$E$1418:$AR$1418=TYPE1)*(TYPE1&lt;&gt;"")+('Dvd Calendar'!$E$1418:$AR$1418=TYPE2)*(TYPE2&lt;&gt;"")+('Dvd Calendar'!$E$1418:$AR$1418=TYPE3)*(TYPE3&lt;&gt;"")+('Dvd Calendar'!$E$1418:$AR$1418=TYPE4)*(TYPE4&lt;&gt;"")+('Dvd Calendar'!$E$1418:$AR$1418=SPECIAL_LBL)*(INC_SPECIALS="Y"))))</f>
        <v/>
      </c>
      <c r="K139" s="65">
        <f>IF($C139="","",HSTECH!$J$34)</f>
        <v/>
      </c>
      <c r="L139" s="65">
        <f>IF($C139="","",HSTECH!$K$34)</f>
        <v/>
      </c>
      <c r="M139" s="41">
        <f>IF($C139="","",AVERAGE(F139:J139))</f>
        <v/>
      </c>
      <c r="N139" s="66">
        <f>IF($C139="","",IF(PULL_FUND="N","",IFERROR(BDP($C139,EPS_FIELD,YR_OVERRIDE,TEXT(YEAR_Y-5,"0")),"")))</f>
        <v/>
      </c>
      <c r="O139" s="67">
        <f>IF($C139="","",IF(PULL_FUND="N","",IFERROR(BDP($C139,EPS_FIELD,YR_OVERRIDE,TEXT(YEAR_Y-4,"0")),"")))</f>
        <v/>
      </c>
      <c r="P139" s="67">
        <f>IF($C139="","",IF(PULL_FUND="N","",IFERROR(BDP($C139,EPS_FIELD,YR_OVERRIDE,TEXT(YEAR_Y-3,"0")),"")))</f>
        <v/>
      </c>
      <c r="Q139" s="67">
        <f>IF($C139="","",IF(PULL_FUND="N","",IFERROR(BDP($C139,EPS_FIELD,YR_OVERRIDE,TEXT(YEAR_Y-2,"0")),"")))</f>
        <v/>
      </c>
      <c r="R139" s="67">
        <f>IF($C139="","",IF(PULL_FUND="N","",IFERROR(BDP($C139,EPS_FIELD,YR_OVERRIDE,TEXT(YEAR_Y-1,"0")),"")))</f>
        <v/>
      </c>
      <c r="S139" s="68">
        <f>IF($C139="","",IF(PULL_FUND="N","",IFERROR(BDP($C139,PAYOUT_FIELD,YR_OVERRIDE,TEXT(YEAR_Y-5,"0"))/100,"")))</f>
        <v/>
      </c>
      <c r="T139" s="68">
        <f>IF($C139="","",IF(PULL_FUND="N","",IFERROR(BDP($C139,PAYOUT_FIELD,YR_OVERRIDE,TEXT(YEAR_Y-4,"0"))/100,"")))</f>
        <v/>
      </c>
      <c r="U139" s="68">
        <f>IF($C139="","",IF(PULL_FUND="N","",IFERROR(BDP($C139,PAYOUT_FIELD,YR_OVERRIDE,TEXT(YEAR_Y-3,"0"))/100,"")))</f>
        <v/>
      </c>
      <c r="V139" s="68">
        <f>IF($C139="","",IF(PULL_FUND="N","",IFERROR(BDP($C139,PAYOUT_FIELD,YR_OVERRIDE,TEXT(YEAR_Y-2,"0"))/100,"")))</f>
        <v/>
      </c>
      <c r="W139" s="68">
        <f>IF($C139="","",IF(PULL_FUND="N","",IFERROR(BDP($C139,PAYOUT_FIELD,YR_OVERRIDE,TEXT(YEAR_Y-1,"0"))/100,"")))</f>
        <v/>
      </c>
      <c r="X139" s="69">
        <f>IF($C139="","",IFERROR(AVERAGE(S139:W139),""))</f>
        <v/>
      </c>
      <c r="Y139" s="66">
        <f>IF($C139="","",IF(PULL_FUND="N","",IFERROR(BDP($C139,BESTEPS_FIELD,FWD_OVERRIDE,TEXT(MOD(YEAR_Y,100),"00")&amp;"Y"),"")))</f>
        <v/>
      </c>
      <c r="Z139" s="70">
        <f>IF($C139="","",IF(PULL_FUND="N","",IFERROR(BDP($C139,BESTDPS_FIELD,FWD_OVERRIDE,TEXT(MOD(YEAR_Y,100),"00")&amp;"Y"),"")))</f>
        <v/>
      </c>
      <c r="AA139" s="71">
        <f>IF($C139="","",IF(ISNUMBER($Y139)*ISNUMBER($Z139)*($Y139&lt;&gt;0)=0,"",$Z139/$Y139))</f>
        <v/>
      </c>
      <c r="AB139" s="41">
        <f>IF($C139="","",HSTECH!$J$34+HSTECH!$L$34)</f>
        <v/>
      </c>
      <c r="AC139" s="72">
        <f>IF($C139="","",IF(PULL_FUND="N","",IF(COUNTIFS('Fund History'!$G$774:$G$778,"&gt;="&amp;DATE(YEAR_Y-4,1,1),'Fund History'!$G$774:$G$778,"&lt;="&amp;DATE(YEAR_Y-4,12,31))=0,"",SUMIFS('Fund History'!$H$774:$H$778,'Fund History'!$G$774:$G$778,"&gt;="&amp;DATE(YEAR_Y-4,1,1),'Fund History'!$G$774:$G$778,"&lt;="&amp;DATE(YEAR_Y-4,12,31))/100)))</f>
        <v/>
      </c>
      <c r="AD139" s="73">
        <f>IF($C139="","",IF(PULL_FUND="N","",IF(COUNTIFS('Fund History'!$G$774:$G$778,"&gt;="&amp;DATE(YEAR_Y-3,1,1),'Fund History'!$G$774:$G$778,"&lt;="&amp;DATE(YEAR_Y-3,12,31))=0,"",SUMIFS('Fund History'!$H$774:$H$778,'Fund History'!$G$774:$G$778,"&gt;="&amp;DATE(YEAR_Y-3,1,1),'Fund History'!$G$774:$G$778,"&lt;="&amp;DATE(YEAR_Y-3,12,31))/100)))</f>
        <v/>
      </c>
      <c r="AE139" s="73">
        <f>IF($C139="","",IF(PULL_FUND="N","",IF(COUNTIFS('Fund History'!$G$774:$G$778,"&gt;="&amp;DATE(YEAR_Y-2,1,1),'Fund History'!$G$774:$G$778,"&lt;="&amp;DATE(YEAR_Y-2,12,31))=0,"",SUMIFS('Fund History'!$H$774:$H$778,'Fund History'!$G$774:$G$778,"&gt;="&amp;DATE(YEAR_Y-2,1,1),'Fund History'!$G$774:$G$778,"&lt;="&amp;DATE(YEAR_Y-2,12,31))/100)))</f>
        <v/>
      </c>
      <c r="AF139" s="73">
        <f>IF($C139="","",IF(PULL_FUND="N","",IF(COUNTIFS('Fund History'!$G$774:$G$778,"&gt;="&amp;DATE(YEAR_Y-1,1,1),'Fund History'!$G$774:$G$778,"&lt;="&amp;DATE(YEAR_Y-1,12,31))=0,"",SUMIFS('Fund History'!$H$774:$H$778,'Fund History'!$G$774:$G$778,"&gt;="&amp;DATE(YEAR_Y-1,1,1),'Fund History'!$G$774:$G$778,"&lt;="&amp;DATE(YEAR_Y-1,12,31))/100)))</f>
        <v/>
      </c>
      <c r="AG139" s="74">
        <f>IF($C139="","",IF(N($AF139)+N(HSTECH!$I$34)=0,"",N($AF139)+N(HSTECH!$I$34)/100))</f>
        <v/>
      </c>
      <c r="AH139" s="66">
        <f>IF($C139="","",IF(PULL_FUND="N","",IF(COUNTIFS('Fund History'!$D$774:$D$778,"&gt;="&amp;DATE(YEAR_Y-2,1,1),'Fund History'!$D$774:$D$778,"&lt;="&amp;DATE(YEAR_Y-2,12,31))=0,"",SUMIFS('Fund History'!$E$774:$E$778,'Fund History'!$D$774:$D$778,"&gt;="&amp;DATE(YEAR_Y-2,1,1),'Fund History'!$D$774:$D$778,"&lt;="&amp;DATE(YEAR_Y-2,12,31)))))</f>
        <v/>
      </c>
      <c r="AI139" s="67">
        <f>IF($C139="","",IF(PULL_FUND="N","",IF(COUNTIFS('Fund History'!$D$774:$D$778,"&gt;="&amp;DATE(YEAR_Y-1,1,1),'Fund History'!$D$774:$D$778,"&lt;="&amp;DATE(YEAR_Y-1,12,31))=0,"",SUMIFS('Fund History'!$E$774:$E$778,'Fund History'!$D$774:$D$778,"&gt;="&amp;DATE(YEAR_Y-1,1,1),'Fund History'!$D$774:$D$778,"&lt;="&amp;DATE(YEAR_Y-1,12,31)))))</f>
        <v/>
      </c>
      <c r="AJ139" s="67">
        <f>IF($C139="","",IF(PULL_FUND="N","",IFERROR(BDP($C139,NDEBITDA_FIELD),"")))</f>
        <v/>
      </c>
      <c r="AK139" s="75">
        <f>IF($C139="","",IF(PULL_FUND="N","",IFERROR(BDP($C139,EBINT_FIELD),"")))</f>
        <v/>
      </c>
      <c r="AL139" s="73">
        <f>IF($C139="","",IF(PULL_FUND="N","",IFERROR(BDP($C139,FCF_FIELD)/100,"")))</f>
        <v/>
      </c>
      <c r="AM139" s="76">
        <f>IF($C139="","",IF(ISNUMBER(HSTECH!$I$34),HSTECH!$I$34/100,""))</f>
        <v/>
      </c>
      <c r="AN139" s="47">
        <f>IF($C139="","",IF(N($AM139)=0,"",IFERROR($AL139/$AM139,"")))</f>
        <v/>
      </c>
      <c r="AO139" s="33">
        <f>IF($C139="","",IF(ISNUMBER($S139)*ISNUMBER($W139)=0,"",IF($W139&gt;$S139+0.05,"rising",IF($W139&lt;$S139-0.05,"falling","stable"))))</f>
        <v/>
      </c>
      <c r="AP139" s="77">
        <f>IF($C139="","",TRIM(IF(ISNUMBER($X139)*(N($X139)&gt;$D$4)&gt;0,"payout high  ","")&amp;IF(ISNUMBER($AN139)*(N($AN139)&lt;$F$4)&gt;0,"FCF below dvd  ","")&amp;IF(ISNUMBER($AJ139)*(N($AJ139)&gt;$H$4)&gt;0,"leverage high","")))</f>
        <v/>
      </c>
      <c r="AQ139" s="78">
        <f>IF($C139="","",IF(HSTECH!$F$34="HKD","",HSTECH!$F$34))</f>
        <v/>
      </c>
    </row>
    <row r="140">
      <c r="B140" s="62" t="inlineStr">
        <is>
          <t>HSTECH</t>
        </is>
      </c>
      <c r="C140" s="6">
        <f>IF(HSTECH!$C$35="","",HSTECH!$C$35)</f>
        <v/>
      </c>
      <c r="D140" s="6">
        <f>IF($C140="","",HSTECH!$D$35)</f>
        <v/>
      </c>
      <c r="E140" s="6">
        <f>IF($C140="","",HSTECH!$E$35)</f>
        <v/>
      </c>
      <c r="F140" s="63">
        <f>IF($C140="","",SUMPRODUCT(('Dvd Calendar'!$E$1424:$AR$1424&gt;=DATE(YEAR_Y-5,1,1))*('Dvd Calendar'!$E$1424:$AR$1424&lt;=DATE(YEAR_Y-5,12,31))*'Dvd Calendar'!$E$1427:$AR$1427*(('Dvd Calendar'!$E$1429:$AR$1429=TYPE1)*(TYPE1&lt;&gt;"")+('Dvd Calendar'!$E$1429:$AR$1429=TYPE2)*(TYPE2&lt;&gt;"")+('Dvd Calendar'!$E$1429:$AR$1429=TYPE3)*(TYPE3&lt;&gt;"")+('Dvd Calendar'!$E$1429:$AR$1429=TYPE4)*(TYPE4&lt;&gt;"")+('Dvd Calendar'!$E$1429:$AR$1429=SPECIAL_LBL)*(INC_SPECIALS="Y"))))</f>
        <v/>
      </c>
      <c r="G140" s="64">
        <f>IF($C140="","",SUMPRODUCT(('Dvd Calendar'!$E$1424:$AR$1424&gt;=DATE(YEAR_Y-4,1,1))*('Dvd Calendar'!$E$1424:$AR$1424&lt;=DATE(YEAR_Y-4,12,31))*'Dvd Calendar'!$E$1427:$AR$1427*(('Dvd Calendar'!$E$1429:$AR$1429=TYPE1)*(TYPE1&lt;&gt;"")+('Dvd Calendar'!$E$1429:$AR$1429=TYPE2)*(TYPE2&lt;&gt;"")+('Dvd Calendar'!$E$1429:$AR$1429=TYPE3)*(TYPE3&lt;&gt;"")+('Dvd Calendar'!$E$1429:$AR$1429=TYPE4)*(TYPE4&lt;&gt;"")+('Dvd Calendar'!$E$1429:$AR$1429=SPECIAL_LBL)*(INC_SPECIALS="Y"))))</f>
        <v/>
      </c>
      <c r="H140" s="64">
        <f>IF($C140="","",SUMPRODUCT(('Dvd Calendar'!$E$1424:$AR$1424&gt;=DATE(YEAR_Y-3,1,1))*('Dvd Calendar'!$E$1424:$AR$1424&lt;=DATE(YEAR_Y-3,12,31))*'Dvd Calendar'!$E$1427:$AR$1427*(('Dvd Calendar'!$E$1429:$AR$1429=TYPE1)*(TYPE1&lt;&gt;"")+('Dvd Calendar'!$E$1429:$AR$1429=TYPE2)*(TYPE2&lt;&gt;"")+('Dvd Calendar'!$E$1429:$AR$1429=TYPE3)*(TYPE3&lt;&gt;"")+('Dvd Calendar'!$E$1429:$AR$1429=TYPE4)*(TYPE4&lt;&gt;"")+('Dvd Calendar'!$E$1429:$AR$1429=SPECIAL_LBL)*(INC_SPECIALS="Y"))))</f>
        <v/>
      </c>
      <c r="I140" s="64">
        <f>IF($C140="","",SUMPRODUCT(('Dvd Calendar'!$E$1424:$AR$1424&gt;=DATE(YEAR_Y-2,1,1))*('Dvd Calendar'!$E$1424:$AR$1424&lt;=DATE(YEAR_Y-2,12,31))*'Dvd Calendar'!$E$1427:$AR$1427*(('Dvd Calendar'!$E$1429:$AR$1429=TYPE1)*(TYPE1&lt;&gt;"")+('Dvd Calendar'!$E$1429:$AR$1429=TYPE2)*(TYPE2&lt;&gt;"")+('Dvd Calendar'!$E$1429:$AR$1429=TYPE3)*(TYPE3&lt;&gt;"")+('Dvd Calendar'!$E$1429:$AR$1429=TYPE4)*(TYPE4&lt;&gt;"")+('Dvd Calendar'!$E$1429:$AR$1429=SPECIAL_LBL)*(INC_SPECIALS="Y"))))</f>
        <v/>
      </c>
      <c r="J140" s="64">
        <f>IF($C140="","",SUMPRODUCT(('Dvd Calendar'!$E$1424:$AR$1424&gt;=DATE(YEAR_Y-1,1,1))*('Dvd Calendar'!$E$1424:$AR$1424&lt;=DATE(YEAR_Y-1,12,31))*'Dvd Calendar'!$E$1427:$AR$1427*(('Dvd Calendar'!$E$1429:$AR$1429=TYPE1)*(TYPE1&lt;&gt;"")+('Dvd Calendar'!$E$1429:$AR$1429=TYPE2)*(TYPE2&lt;&gt;"")+('Dvd Calendar'!$E$1429:$AR$1429=TYPE3)*(TYPE3&lt;&gt;"")+('Dvd Calendar'!$E$1429:$AR$1429=TYPE4)*(TYPE4&lt;&gt;"")+('Dvd Calendar'!$E$1429:$AR$1429=SPECIAL_LBL)*(INC_SPECIALS="Y"))))</f>
        <v/>
      </c>
      <c r="K140" s="65">
        <f>IF($C140="","",HSTECH!$J$35)</f>
        <v/>
      </c>
      <c r="L140" s="65">
        <f>IF($C140="","",HSTECH!$K$35)</f>
        <v/>
      </c>
      <c r="M140" s="41">
        <f>IF($C140="","",AVERAGE(F140:J140))</f>
        <v/>
      </c>
      <c r="N140" s="66">
        <f>IF($C140="","",IF(PULL_FUND="N","",IFERROR(BDP($C140,EPS_FIELD,YR_OVERRIDE,TEXT(YEAR_Y-5,"0")),"")))</f>
        <v/>
      </c>
      <c r="O140" s="67">
        <f>IF($C140="","",IF(PULL_FUND="N","",IFERROR(BDP($C140,EPS_FIELD,YR_OVERRIDE,TEXT(YEAR_Y-4,"0")),"")))</f>
        <v/>
      </c>
      <c r="P140" s="67">
        <f>IF($C140="","",IF(PULL_FUND="N","",IFERROR(BDP($C140,EPS_FIELD,YR_OVERRIDE,TEXT(YEAR_Y-3,"0")),"")))</f>
        <v/>
      </c>
      <c r="Q140" s="67">
        <f>IF($C140="","",IF(PULL_FUND="N","",IFERROR(BDP($C140,EPS_FIELD,YR_OVERRIDE,TEXT(YEAR_Y-2,"0")),"")))</f>
        <v/>
      </c>
      <c r="R140" s="67">
        <f>IF($C140="","",IF(PULL_FUND="N","",IFERROR(BDP($C140,EPS_FIELD,YR_OVERRIDE,TEXT(YEAR_Y-1,"0")),"")))</f>
        <v/>
      </c>
      <c r="S140" s="68">
        <f>IF($C140="","",IF(PULL_FUND="N","",IFERROR(BDP($C140,PAYOUT_FIELD,YR_OVERRIDE,TEXT(YEAR_Y-5,"0"))/100,"")))</f>
        <v/>
      </c>
      <c r="T140" s="68">
        <f>IF($C140="","",IF(PULL_FUND="N","",IFERROR(BDP($C140,PAYOUT_FIELD,YR_OVERRIDE,TEXT(YEAR_Y-4,"0"))/100,"")))</f>
        <v/>
      </c>
      <c r="U140" s="68">
        <f>IF($C140="","",IF(PULL_FUND="N","",IFERROR(BDP($C140,PAYOUT_FIELD,YR_OVERRIDE,TEXT(YEAR_Y-3,"0"))/100,"")))</f>
        <v/>
      </c>
      <c r="V140" s="68">
        <f>IF($C140="","",IF(PULL_FUND="N","",IFERROR(BDP($C140,PAYOUT_FIELD,YR_OVERRIDE,TEXT(YEAR_Y-2,"0"))/100,"")))</f>
        <v/>
      </c>
      <c r="W140" s="68">
        <f>IF($C140="","",IF(PULL_FUND="N","",IFERROR(BDP($C140,PAYOUT_FIELD,YR_OVERRIDE,TEXT(YEAR_Y-1,"0"))/100,"")))</f>
        <v/>
      </c>
      <c r="X140" s="69">
        <f>IF($C140="","",IFERROR(AVERAGE(S140:W140),""))</f>
        <v/>
      </c>
      <c r="Y140" s="66">
        <f>IF($C140="","",IF(PULL_FUND="N","",IFERROR(BDP($C140,BESTEPS_FIELD,FWD_OVERRIDE,TEXT(MOD(YEAR_Y,100),"00")&amp;"Y"),"")))</f>
        <v/>
      </c>
      <c r="Z140" s="70">
        <f>IF($C140="","",IF(PULL_FUND="N","",IFERROR(BDP($C140,BESTDPS_FIELD,FWD_OVERRIDE,TEXT(MOD(YEAR_Y,100),"00")&amp;"Y"),"")))</f>
        <v/>
      </c>
      <c r="AA140" s="71">
        <f>IF($C140="","",IF(ISNUMBER($Y140)*ISNUMBER($Z140)*($Y140&lt;&gt;0)=0,"",$Z140/$Y140))</f>
        <v/>
      </c>
      <c r="AB140" s="41">
        <f>IF($C140="","",HSTECH!$J$35+HSTECH!$L$35)</f>
        <v/>
      </c>
      <c r="AC140" s="72">
        <f>IF($C140="","",IF(PULL_FUND="N","",IF(COUNTIFS('Fund History'!$G$780:$G$784,"&gt;="&amp;DATE(YEAR_Y-4,1,1),'Fund History'!$G$780:$G$784,"&lt;="&amp;DATE(YEAR_Y-4,12,31))=0,"",SUMIFS('Fund History'!$H$780:$H$784,'Fund History'!$G$780:$G$784,"&gt;="&amp;DATE(YEAR_Y-4,1,1),'Fund History'!$G$780:$G$784,"&lt;="&amp;DATE(YEAR_Y-4,12,31))/100)))</f>
        <v/>
      </c>
      <c r="AD140" s="73">
        <f>IF($C140="","",IF(PULL_FUND="N","",IF(COUNTIFS('Fund History'!$G$780:$G$784,"&gt;="&amp;DATE(YEAR_Y-3,1,1),'Fund History'!$G$780:$G$784,"&lt;="&amp;DATE(YEAR_Y-3,12,31))=0,"",SUMIFS('Fund History'!$H$780:$H$784,'Fund History'!$G$780:$G$784,"&gt;="&amp;DATE(YEAR_Y-3,1,1),'Fund History'!$G$780:$G$784,"&lt;="&amp;DATE(YEAR_Y-3,12,31))/100)))</f>
        <v/>
      </c>
      <c r="AE140" s="73">
        <f>IF($C140="","",IF(PULL_FUND="N","",IF(COUNTIFS('Fund History'!$G$780:$G$784,"&gt;="&amp;DATE(YEAR_Y-2,1,1),'Fund History'!$G$780:$G$784,"&lt;="&amp;DATE(YEAR_Y-2,12,31))=0,"",SUMIFS('Fund History'!$H$780:$H$784,'Fund History'!$G$780:$G$784,"&gt;="&amp;DATE(YEAR_Y-2,1,1),'Fund History'!$G$780:$G$784,"&lt;="&amp;DATE(YEAR_Y-2,12,31))/100)))</f>
        <v/>
      </c>
      <c r="AF140" s="73">
        <f>IF($C140="","",IF(PULL_FUND="N","",IF(COUNTIFS('Fund History'!$G$780:$G$784,"&gt;="&amp;DATE(YEAR_Y-1,1,1),'Fund History'!$G$780:$G$784,"&lt;="&amp;DATE(YEAR_Y-1,12,31))=0,"",SUMIFS('Fund History'!$H$780:$H$784,'Fund History'!$G$780:$G$784,"&gt;="&amp;DATE(YEAR_Y-1,1,1),'Fund History'!$G$780:$G$784,"&lt;="&amp;DATE(YEAR_Y-1,12,31))/100)))</f>
        <v/>
      </c>
      <c r="AG140" s="74">
        <f>IF($C140="","",IF(N($AF140)+N(HSTECH!$I$35)=0,"",N($AF140)+N(HSTECH!$I$35)/100))</f>
        <v/>
      </c>
      <c r="AH140" s="66">
        <f>IF($C140="","",IF(PULL_FUND="N","",IF(COUNTIFS('Fund History'!$D$780:$D$784,"&gt;="&amp;DATE(YEAR_Y-2,1,1),'Fund History'!$D$780:$D$784,"&lt;="&amp;DATE(YEAR_Y-2,12,31))=0,"",SUMIFS('Fund History'!$E$780:$E$784,'Fund History'!$D$780:$D$784,"&gt;="&amp;DATE(YEAR_Y-2,1,1),'Fund History'!$D$780:$D$784,"&lt;="&amp;DATE(YEAR_Y-2,12,31)))))</f>
        <v/>
      </c>
      <c r="AI140" s="67">
        <f>IF($C140="","",IF(PULL_FUND="N","",IF(COUNTIFS('Fund History'!$D$780:$D$784,"&gt;="&amp;DATE(YEAR_Y-1,1,1),'Fund History'!$D$780:$D$784,"&lt;="&amp;DATE(YEAR_Y-1,12,31))=0,"",SUMIFS('Fund History'!$E$780:$E$784,'Fund History'!$D$780:$D$784,"&gt;="&amp;DATE(YEAR_Y-1,1,1),'Fund History'!$D$780:$D$784,"&lt;="&amp;DATE(YEAR_Y-1,12,31)))))</f>
        <v/>
      </c>
      <c r="AJ140" s="67">
        <f>IF($C140="","",IF(PULL_FUND="N","",IFERROR(BDP($C140,NDEBITDA_FIELD),"")))</f>
        <v/>
      </c>
      <c r="AK140" s="75">
        <f>IF($C140="","",IF(PULL_FUND="N","",IFERROR(BDP($C140,EBINT_FIELD),"")))</f>
        <v/>
      </c>
      <c r="AL140" s="73">
        <f>IF($C140="","",IF(PULL_FUND="N","",IFERROR(BDP($C140,FCF_FIELD)/100,"")))</f>
        <v/>
      </c>
      <c r="AM140" s="76">
        <f>IF($C140="","",IF(ISNUMBER(HSTECH!$I$35),HSTECH!$I$35/100,""))</f>
        <v/>
      </c>
      <c r="AN140" s="47">
        <f>IF($C140="","",IF(N($AM140)=0,"",IFERROR($AL140/$AM140,"")))</f>
        <v/>
      </c>
      <c r="AO140" s="33">
        <f>IF($C140="","",IF(ISNUMBER($S140)*ISNUMBER($W140)=0,"",IF($W140&gt;$S140+0.05,"rising",IF($W140&lt;$S140-0.05,"falling","stable"))))</f>
        <v/>
      </c>
      <c r="AP140" s="77">
        <f>IF($C140="","",TRIM(IF(ISNUMBER($X140)*(N($X140)&gt;$D$4)&gt;0,"payout high  ","")&amp;IF(ISNUMBER($AN140)*(N($AN140)&lt;$F$4)&gt;0,"FCF below dvd  ","")&amp;IF(ISNUMBER($AJ140)*(N($AJ140)&gt;$H$4)&gt;0,"leverage high","")))</f>
        <v/>
      </c>
      <c r="AQ140" s="78">
        <f>IF($C140="","",IF(HSTECH!$F$35="HKD","",HSTECH!$F$35))</f>
        <v/>
      </c>
    </row>
    <row r="141">
      <c r="B141" s="62" t="inlineStr">
        <is>
          <t>HSTECH</t>
        </is>
      </c>
      <c r="C141" s="6">
        <f>IF(HSTECH!$C$36="","",HSTECH!$C$36)</f>
        <v/>
      </c>
      <c r="D141" s="6">
        <f>IF($C141="","",HSTECH!$D$36)</f>
        <v/>
      </c>
      <c r="E141" s="6">
        <f>IF($C141="","",HSTECH!$E$36)</f>
        <v/>
      </c>
      <c r="F141" s="63">
        <f>IF($C141="","",SUMPRODUCT(('Dvd Calendar'!$E$1435:$AR$1435&gt;=DATE(YEAR_Y-5,1,1))*('Dvd Calendar'!$E$1435:$AR$1435&lt;=DATE(YEAR_Y-5,12,31))*'Dvd Calendar'!$E$1438:$AR$1438*(('Dvd Calendar'!$E$1440:$AR$1440=TYPE1)*(TYPE1&lt;&gt;"")+('Dvd Calendar'!$E$1440:$AR$1440=TYPE2)*(TYPE2&lt;&gt;"")+('Dvd Calendar'!$E$1440:$AR$1440=TYPE3)*(TYPE3&lt;&gt;"")+('Dvd Calendar'!$E$1440:$AR$1440=TYPE4)*(TYPE4&lt;&gt;"")+('Dvd Calendar'!$E$1440:$AR$1440=SPECIAL_LBL)*(INC_SPECIALS="Y"))))</f>
        <v/>
      </c>
      <c r="G141" s="64">
        <f>IF($C141="","",SUMPRODUCT(('Dvd Calendar'!$E$1435:$AR$1435&gt;=DATE(YEAR_Y-4,1,1))*('Dvd Calendar'!$E$1435:$AR$1435&lt;=DATE(YEAR_Y-4,12,31))*'Dvd Calendar'!$E$1438:$AR$1438*(('Dvd Calendar'!$E$1440:$AR$1440=TYPE1)*(TYPE1&lt;&gt;"")+('Dvd Calendar'!$E$1440:$AR$1440=TYPE2)*(TYPE2&lt;&gt;"")+('Dvd Calendar'!$E$1440:$AR$1440=TYPE3)*(TYPE3&lt;&gt;"")+('Dvd Calendar'!$E$1440:$AR$1440=TYPE4)*(TYPE4&lt;&gt;"")+('Dvd Calendar'!$E$1440:$AR$1440=SPECIAL_LBL)*(INC_SPECIALS="Y"))))</f>
        <v/>
      </c>
      <c r="H141" s="64">
        <f>IF($C141="","",SUMPRODUCT(('Dvd Calendar'!$E$1435:$AR$1435&gt;=DATE(YEAR_Y-3,1,1))*('Dvd Calendar'!$E$1435:$AR$1435&lt;=DATE(YEAR_Y-3,12,31))*'Dvd Calendar'!$E$1438:$AR$1438*(('Dvd Calendar'!$E$1440:$AR$1440=TYPE1)*(TYPE1&lt;&gt;"")+('Dvd Calendar'!$E$1440:$AR$1440=TYPE2)*(TYPE2&lt;&gt;"")+('Dvd Calendar'!$E$1440:$AR$1440=TYPE3)*(TYPE3&lt;&gt;"")+('Dvd Calendar'!$E$1440:$AR$1440=TYPE4)*(TYPE4&lt;&gt;"")+('Dvd Calendar'!$E$1440:$AR$1440=SPECIAL_LBL)*(INC_SPECIALS="Y"))))</f>
        <v/>
      </c>
      <c r="I141" s="64">
        <f>IF($C141="","",SUMPRODUCT(('Dvd Calendar'!$E$1435:$AR$1435&gt;=DATE(YEAR_Y-2,1,1))*('Dvd Calendar'!$E$1435:$AR$1435&lt;=DATE(YEAR_Y-2,12,31))*'Dvd Calendar'!$E$1438:$AR$1438*(('Dvd Calendar'!$E$1440:$AR$1440=TYPE1)*(TYPE1&lt;&gt;"")+('Dvd Calendar'!$E$1440:$AR$1440=TYPE2)*(TYPE2&lt;&gt;"")+('Dvd Calendar'!$E$1440:$AR$1440=TYPE3)*(TYPE3&lt;&gt;"")+('Dvd Calendar'!$E$1440:$AR$1440=TYPE4)*(TYPE4&lt;&gt;"")+('Dvd Calendar'!$E$1440:$AR$1440=SPECIAL_LBL)*(INC_SPECIALS="Y"))))</f>
        <v/>
      </c>
      <c r="J141" s="64">
        <f>IF($C141="","",SUMPRODUCT(('Dvd Calendar'!$E$1435:$AR$1435&gt;=DATE(YEAR_Y-1,1,1))*('Dvd Calendar'!$E$1435:$AR$1435&lt;=DATE(YEAR_Y-1,12,31))*'Dvd Calendar'!$E$1438:$AR$1438*(('Dvd Calendar'!$E$1440:$AR$1440=TYPE1)*(TYPE1&lt;&gt;"")+('Dvd Calendar'!$E$1440:$AR$1440=TYPE2)*(TYPE2&lt;&gt;"")+('Dvd Calendar'!$E$1440:$AR$1440=TYPE3)*(TYPE3&lt;&gt;"")+('Dvd Calendar'!$E$1440:$AR$1440=TYPE4)*(TYPE4&lt;&gt;"")+('Dvd Calendar'!$E$1440:$AR$1440=SPECIAL_LBL)*(INC_SPECIALS="Y"))))</f>
        <v/>
      </c>
      <c r="K141" s="65">
        <f>IF($C141="","",HSTECH!$J$36)</f>
        <v/>
      </c>
      <c r="L141" s="65">
        <f>IF($C141="","",HSTECH!$K$36)</f>
        <v/>
      </c>
      <c r="M141" s="41">
        <f>IF($C141="","",AVERAGE(F141:J141))</f>
        <v/>
      </c>
      <c r="N141" s="66">
        <f>IF($C141="","",IF(PULL_FUND="N","",IFERROR(BDP($C141,EPS_FIELD,YR_OVERRIDE,TEXT(YEAR_Y-5,"0")),"")))</f>
        <v/>
      </c>
      <c r="O141" s="67">
        <f>IF($C141="","",IF(PULL_FUND="N","",IFERROR(BDP($C141,EPS_FIELD,YR_OVERRIDE,TEXT(YEAR_Y-4,"0")),"")))</f>
        <v/>
      </c>
      <c r="P141" s="67">
        <f>IF($C141="","",IF(PULL_FUND="N","",IFERROR(BDP($C141,EPS_FIELD,YR_OVERRIDE,TEXT(YEAR_Y-3,"0")),"")))</f>
        <v/>
      </c>
      <c r="Q141" s="67">
        <f>IF($C141="","",IF(PULL_FUND="N","",IFERROR(BDP($C141,EPS_FIELD,YR_OVERRIDE,TEXT(YEAR_Y-2,"0")),"")))</f>
        <v/>
      </c>
      <c r="R141" s="67">
        <f>IF($C141="","",IF(PULL_FUND="N","",IFERROR(BDP($C141,EPS_FIELD,YR_OVERRIDE,TEXT(YEAR_Y-1,"0")),"")))</f>
        <v/>
      </c>
      <c r="S141" s="68">
        <f>IF($C141="","",IF(PULL_FUND="N","",IFERROR(BDP($C141,PAYOUT_FIELD,YR_OVERRIDE,TEXT(YEAR_Y-5,"0"))/100,"")))</f>
        <v/>
      </c>
      <c r="T141" s="68">
        <f>IF($C141="","",IF(PULL_FUND="N","",IFERROR(BDP($C141,PAYOUT_FIELD,YR_OVERRIDE,TEXT(YEAR_Y-4,"0"))/100,"")))</f>
        <v/>
      </c>
      <c r="U141" s="68">
        <f>IF($C141="","",IF(PULL_FUND="N","",IFERROR(BDP($C141,PAYOUT_FIELD,YR_OVERRIDE,TEXT(YEAR_Y-3,"0"))/100,"")))</f>
        <v/>
      </c>
      <c r="V141" s="68">
        <f>IF($C141="","",IF(PULL_FUND="N","",IFERROR(BDP($C141,PAYOUT_FIELD,YR_OVERRIDE,TEXT(YEAR_Y-2,"0"))/100,"")))</f>
        <v/>
      </c>
      <c r="W141" s="68">
        <f>IF($C141="","",IF(PULL_FUND="N","",IFERROR(BDP($C141,PAYOUT_FIELD,YR_OVERRIDE,TEXT(YEAR_Y-1,"0"))/100,"")))</f>
        <v/>
      </c>
      <c r="X141" s="69">
        <f>IF($C141="","",IFERROR(AVERAGE(S141:W141),""))</f>
        <v/>
      </c>
      <c r="Y141" s="66">
        <f>IF($C141="","",IF(PULL_FUND="N","",IFERROR(BDP($C141,BESTEPS_FIELD,FWD_OVERRIDE,TEXT(MOD(YEAR_Y,100),"00")&amp;"Y"),"")))</f>
        <v/>
      </c>
      <c r="Z141" s="70">
        <f>IF($C141="","",IF(PULL_FUND="N","",IFERROR(BDP($C141,BESTDPS_FIELD,FWD_OVERRIDE,TEXT(MOD(YEAR_Y,100),"00")&amp;"Y"),"")))</f>
        <v/>
      </c>
      <c r="AA141" s="71">
        <f>IF($C141="","",IF(ISNUMBER($Y141)*ISNUMBER($Z141)*($Y141&lt;&gt;0)=0,"",$Z141/$Y141))</f>
        <v/>
      </c>
      <c r="AB141" s="41">
        <f>IF($C141="","",HSTECH!$J$36+HSTECH!$L$36)</f>
        <v/>
      </c>
      <c r="AC141" s="72">
        <f>IF($C141="","",IF(PULL_FUND="N","",IF(COUNTIFS('Fund History'!$G$786:$G$790,"&gt;="&amp;DATE(YEAR_Y-4,1,1),'Fund History'!$G$786:$G$790,"&lt;="&amp;DATE(YEAR_Y-4,12,31))=0,"",SUMIFS('Fund History'!$H$786:$H$790,'Fund History'!$G$786:$G$790,"&gt;="&amp;DATE(YEAR_Y-4,1,1),'Fund History'!$G$786:$G$790,"&lt;="&amp;DATE(YEAR_Y-4,12,31))/100)))</f>
        <v/>
      </c>
      <c r="AD141" s="73">
        <f>IF($C141="","",IF(PULL_FUND="N","",IF(COUNTIFS('Fund History'!$G$786:$G$790,"&gt;="&amp;DATE(YEAR_Y-3,1,1),'Fund History'!$G$786:$G$790,"&lt;="&amp;DATE(YEAR_Y-3,12,31))=0,"",SUMIFS('Fund History'!$H$786:$H$790,'Fund History'!$G$786:$G$790,"&gt;="&amp;DATE(YEAR_Y-3,1,1),'Fund History'!$G$786:$G$790,"&lt;="&amp;DATE(YEAR_Y-3,12,31))/100)))</f>
        <v/>
      </c>
      <c r="AE141" s="73">
        <f>IF($C141="","",IF(PULL_FUND="N","",IF(COUNTIFS('Fund History'!$G$786:$G$790,"&gt;="&amp;DATE(YEAR_Y-2,1,1),'Fund History'!$G$786:$G$790,"&lt;="&amp;DATE(YEAR_Y-2,12,31))=0,"",SUMIFS('Fund History'!$H$786:$H$790,'Fund History'!$G$786:$G$790,"&gt;="&amp;DATE(YEAR_Y-2,1,1),'Fund History'!$G$786:$G$790,"&lt;="&amp;DATE(YEAR_Y-2,12,31))/100)))</f>
        <v/>
      </c>
      <c r="AF141" s="73">
        <f>IF($C141="","",IF(PULL_FUND="N","",IF(COUNTIFS('Fund History'!$G$786:$G$790,"&gt;="&amp;DATE(YEAR_Y-1,1,1),'Fund History'!$G$786:$G$790,"&lt;="&amp;DATE(YEAR_Y-1,12,31))=0,"",SUMIFS('Fund History'!$H$786:$H$790,'Fund History'!$G$786:$G$790,"&gt;="&amp;DATE(YEAR_Y-1,1,1),'Fund History'!$G$786:$G$790,"&lt;="&amp;DATE(YEAR_Y-1,12,31))/100)))</f>
        <v/>
      </c>
      <c r="AG141" s="74">
        <f>IF($C141="","",IF(N($AF141)+N(HSTECH!$I$36)=0,"",N($AF141)+N(HSTECH!$I$36)/100))</f>
        <v/>
      </c>
      <c r="AH141" s="66">
        <f>IF($C141="","",IF(PULL_FUND="N","",IF(COUNTIFS('Fund History'!$D$786:$D$790,"&gt;="&amp;DATE(YEAR_Y-2,1,1),'Fund History'!$D$786:$D$790,"&lt;="&amp;DATE(YEAR_Y-2,12,31))=0,"",SUMIFS('Fund History'!$E$786:$E$790,'Fund History'!$D$786:$D$790,"&gt;="&amp;DATE(YEAR_Y-2,1,1),'Fund History'!$D$786:$D$790,"&lt;="&amp;DATE(YEAR_Y-2,12,31)))))</f>
        <v/>
      </c>
      <c r="AI141" s="67">
        <f>IF($C141="","",IF(PULL_FUND="N","",IF(COUNTIFS('Fund History'!$D$786:$D$790,"&gt;="&amp;DATE(YEAR_Y-1,1,1),'Fund History'!$D$786:$D$790,"&lt;="&amp;DATE(YEAR_Y-1,12,31))=0,"",SUMIFS('Fund History'!$E$786:$E$790,'Fund History'!$D$786:$D$790,"&gt;="&amp;DATE(YEAR_Y-1,1,1),'Fund History'!$D$786:$D$790,"&lt;="&amp;DATE(YEAR_Y-1,12,31)))))</f>
        <v/>
      </c>
      <c r="AJ141" s="67">
        <f>IF($C141="","",IF(PULL_FUND="N","",IFERROR(BDP($C141,NDEBITDA_FIELD),"")))</f>
        <v/>
      </c>
      <c r="AK141" s="75">
        <f>IF($C141="","",IF(PULL_FUND="N","",IFERROR(BDP($C141,EBINT_FIELD),"")))</f>
        <v/>
      </c>
      <c r="AL141" s="73">
        <f>IF($C141="","",IF(PULL_FUND="N","",IFERROR(BDP($C141,FCF_FIELD)/100,"")))</f>
        <v/>
      </c>
      <c r="AM141" s="76">
        <f>IF($C141="","",IF(ISNUMBER(HSTECH!$I$36),HSTECH!$I$36/100,""))</f>
        <v/>
      </c>
      <c r="AN141" s="47">
        <f>IF($C141="","",IF(N($AM141)=0,"",IFERROR($AL141/$AM141,"")))</f>
        <v/>
      </c>
      <c r="AO141" s="33">
        <f>IF($C141="","",IF(ISNUMBER($S141)*ISNUMBER($W141)=0,"",IF($W141&gt;$S141+0.05,"rising",IF($W141&lt;$S141-0.05,"falling","stable"))))</f>
        <v/>
      </c>
      <c r="AP141" s="77">
        <f>IF($C141="","",TRIM(IF(ISNUMBER($X141)*(N($X141)&gt;$D$4)&gt;0,"payout high  ","")&amp;IF(ISNUMBER($AN141)*(N($AN141)&lt;$F$4)&gt;0,"FCF below dvd  ","")&amp;IF(ISNUMBER($AJ141)*(N($AJ141)&gt;$H$4)&gt;0,"leverage high","")))</f>
        <v/>
      </c>
      <c r="AQ141" s="78">
        <f>IF($C141="","",IF(HSTECH!$F$36="HKD","",HSTECH!$F$36))</f>
        <v/>
      </c>
    </row>
    <row r="142">
      <c r="B142" s="62" t="inlineStr">
        <is>
          <t>HSTECH</t>
        </is>
      </c>
      <c r="C142" s="6">
        <f>IF(HSTECH!$C$37="","",HSTECH!$C$37)</f>
        <v/>
      </c>
      <c r="D142" s="6">
        <f>IF($C142="","",HSTECH!$D$37)</f>
        <v/>
      </c>
      <c r="E142" s="6">
        <f>IF($C142="","",HSTECH!$E$37)</f>
        <v/>
      </c>
      <c r="F142" s="63">
        <f>IF($C142="","",SUMPRODUCT(('Dvd Calendar'!$E$1446:$AR$1446&gt;=DATE(YEAR_Y-5,1,1))*('Dvd Calendar'!$E$1446:$AR$1446&lt;=DATE(YEAR_Y-5,12,31))*'Dvd Calendar'!$E$1449:$AR$1449*(('Dvd Calendar'!$E$1451:$AR$1451=TYPE1)*(TYPE1&lt;&gt;"")+('Dvd Calendar'!$E$1451:$AR$1451=TYPE2)*(TYPE2&lt;&gt;"")+('Dvd Calendar'!$E$1451:$AR$1451=TYPE3)*(TYPE3&lt;&gt;"")+('Dvd Calendar'!$E$1451:$AR$1451=TYPE4)*(TYPE4&lt;&gt;"")+('Dvd Calendar'!$E$1451:$AR$1451=SPECIAL_LBL)*(INC_SPECIALS="Y"))))</f>
        <v/>
      </c>
      <c r="G142" s="64">
        <f>IF($C142="","",SUMPRODUCT(('Dvd Calendar'!$E$1446:$AR$1446&gt;=DATE(YEAR_Y-4,1,1))*('Dvd Calendar'!$E$1446:$AR$1446&lt;=DATE(YEAR_Y-4,12,31))*'Dvd Calendar'!$E$1449:$AR$1449*(('Dvd Calendar'!$E$1451:$AR$1451=TYPE1)*(TYPE1&lt;&gt;"")+('Dvd Calendar'!$E$1451:$AR$1451=TYPE2)*(TYPE2&lt;&gt;"")+('Dvd Calendar'!$E$1451:$AR$1451=TYPE3)*(TYPE3&lt;&gt;"")+('Dvd Calendar'!$E$1451:$AR$1451=TYPE4)*(TYPE4&lt;&gt;"")+('Dvd Calendar'!$E$1451:$AR$1451=SPECIAL_LBL)*(INC_SPECIALS="Y"))))</f>
        <v/>
      </c>
      <c r="H142" s="64">
        <f>IF($C142="","",SUMPRODUCT(('Dvd Calendar'!$E$1446:$AR$1446&gt;=DATE(YEAR_Y-3,1,1))*('Dvd Calendar'!$E$1446:$AR$1446&lt;=DATE(YEAR_Y-3,12,31))*'Dvd Calendar'!$E$1449:$AR$1449*(('Dvd Calendar'!$E$1451:$AR$1451=TYPE1)*(TYPE1&lt;&gt;"")+('Dvd Calendar'!$E$1451:$AR$1451=TYPE2)*(TYPE2&lt;&gt;"")+('Dvd Calendar'!$E$1451:$AR$1451=TYPE3)*(TYPE3&lt;&gt;"")+('Dvd Calendar'!$E$1451:$AR$1451=TYPE4)*(TYPE4&lt;&gt;"")+('Dvd Calendar'!$E$1451:$AR$1451=SPECIAL_LBL)*(INC_SPECIALS="Y"))))</f>
        <v/>
      </c>
      <c r="I142" s="64">
        <f>IF($C142="","",SUMPRODUCT(('Dvd Calendar'!$E$1446:$AR$1446&gt;=DATE(YEAR_Y-2,1,1))*('Dvd Calendar'!$E$1446:$AR$1446&lt;=DATE(YEAR_Y-2,12,31))*'Dvd Calendar'!$E$1449:$AR$1449*(('Dvd Calendar'!$E$1451:$AR$1451=TYPE1)*(TYPE1&lt;&gt;"")+('Dvd Calendar'!$E$1451:$AR$1451=TYPE2)*(TYPE2&lt;&gt;"")+('Dvd Calendar'!$E$1451:$AR$1451=TYPE3)*(TYPE3&lt;&gt;"")+('Dvd Calendar'!$E$1451:$AR$1451=TYPE4)*(TYPE4&lt;&gt;"")+('Dvd Calendar'!$E$1451:$AR$1451=SPECIAL_LBL)*(INC_SPECIALS="Y"))))</f>
        <v/>
      </c>
      <c r="J142" s="64">
        <f>IF($C142="","",SUMPRODUCT(('Dvd Calendar'!$E$1446:$AR$1446&gt;=DATE(YEAR_Y-1,1,1))*('Dvd Calendar'!$E$1446:$AR$1446&lt;=DATE(YEAR_Y-1,12,31))*'Dvd Calendar'!$E$1449:$AR$1449*(('Dvd Calendar'!$E$1451:$AR$1451=TYPE1)*(TYPE1&lt;&gt;"")+('Dvd Calendar'!$E$1451:$AR$1451=TYPE2)*(TYPE2&lt;&gt;"")+('Dvd Calendar'!$E$1451:$AR$1451=TYPE3)*(TYPE3&lt;&gt;"")+('Dvd Calendar'!$E$1451:$AR$1451=TYPE4)*(TYPE4&lt;&gt;"")+('Dvd Calendar'!$E$1451:$AR$1451=SPECIAL_LBL)*(INC_SPECIALS="Y"))))</f>
        <v/>
      </c>
      <c r="K142" s="65">
        <f>IF($C142="","",HSTECH!$J$37)</f>
        <v/>
      </c>
      <c r="L142" s="65">
        <f>IF($C142="","",HSTECH!$K$37)</f>
        <v/>
      </c>
      <c r="M142" s="41">
        <f>IF($C142="","",AVERAGE(F142:J142))</f>
        <v/>
      </c>
      <c r="N142" s="66">
        <f>IF($C142="","",IF(PULL_FUND="N","",IFERROR(BDP($C142,EPS_FIELD,YR_OVERRIDE,TEXT(YEAR_Y-5,"0")),"")))</f>
        <v/>
      </c>
      <c r="O142" s="67">
        <f>IF($C142="","",IF(PULL_FUND="N","",IFERROR(BDP($C142,EPS_FIELD,YR_OVERRIDE,TEXT(YEAR_Y-4,"0")),"")))</f>
        <v/>
      </c>
      <c r="P142" s="67">
        <f>IF($C142="","",IF(PULL_FUND="N","",IFERROR(BDP($C142,EPS_FIELD,YR_OVERRIDE,TEXT(YEAR_Y-3,"0")),"")))</f>
        <v/>
      </c>
      <c r="Q142" s="67">
        <f>IF($C142="","",IF(PULL_FUND="N","",IFERROR(BDP($C142,EPS_FIELD,YR_OVERRIDE,TEXT(YEAR_Y-2,"0")),"")))</f>
        <v/>
      </c>
      <c r="R142" s="67">
        <f>IF($C142="","",IF(PULL_FUND="N","",IFERROR(BDP($C142,EPS_FIELD,YR_OVERRIDE,TEXT(YEAR_Y-1,"0")),"")))</f>
        <v/>
      </c>
      <c r="S142" s="68">
        <f>IF($C142="","",IF(PULL_FUND="N","",IFERROR(BDP($C142,PAYOUT_FIELD,YR_OVERRIDE,TEXT(YEAR_Y-5,"0"))/100,"")))</f>
        <v/>
      </c>
      <c r="T142" s="68">
        <f>IF($C142="","",IF(PULL_FUND="N","",IFERROR(BDP($C142,PAYOUT_FIELD,YR_OVERRIDE,TEXT(YEAR_Y-4,"0"))/100,"")))</f>
        <v/>
      </c>
      <c r="U142" s="68">
        <f>IF($C142="","",IF(PULL_FUND="N","",IFERROR(BDP($C142,PAYOUT_FIELD,YR_OVERRIDE,TEXT(YEAR_Y-3,"0"))/100,"")))</f>
        <v/>
      </c>
      <c r="V142" s="68">
        <f>IF($C142="","",IF(PULL_FUND="N","",IFERROR(BDP($C142,PAYOUT_FIELD,YR_OVERRIDE,TEXT(YEAR_Y-2,"0"))/100,"")))</f>
        <v/>
      </c>
      <c r="W142" s="68">
        <f>IF($C142="","",IF(PULL_FUND="N","",IFERROR(BDP($C142,PAYOUT_FIELD,YR_OVERRIDE,TEXT(YEAR_Y-1,"0"))/100,"")))</f>
        <v/>
      </c>
      <c r="X142" s="69">
        <f>IF($C142="","",IFERROR(AVERAGE(S142:W142),""))</f>
        <v/>
      </c>
      <c r="Y142" s="66">
        <f>IF($C142="","",IF(PULL_FUND="N","",IFERROR(BDP($C142,BESTEPS_FIELD,FWD_OVERRIDE,TEXT(MOD(YEAR_Y,100),"00")&amp;"Y"),"")))</f>
        <v/>
      </c>
      <c r="Z142" s="70">
        <f>IF($C142="","",IF(PULL_FUND="N","",IFERROR(BDP($C142,BESTDPS_FIELD,FWD_OVERRIDE,TEXT(MOD(YEAR_Y,100),"00")&amp;"Y"),"")))</f>
        <v/>
      </c>
      <c r="AA142" s="71">
        <f>IF($C142="","",IF(ISNUMBER($Y142)*ISNUMBER($Z142)*($Y142&lt;&gt;0)=0,"",$Z142/$Y142))</f>
        <v/>
      </c>
      <c r="AB142" s="41">
        <f>IF($C142="","",HSTECH!$J$37+HSTECH!$L$37)</f>
        <v/>
      </c>
      <c r="AC142" s="72">
        <f>IF($C142="","",IF(PULL_FUND="N","",IF(COUNTIFS('Fund History'!$G$792:$G$796,"&gt;="&amp;DATE(YEAR_Y-4,1,1),'Fund History'!$G$792:$G$796,"&lt;="&amp;DATE(YEAR_Y-4,12,31))=0,"",SUMIFS('Fund History'!$H$792:$H$796,'Fund History'!$G$792:$G$796,"&gt;="&amp;DATE(YEAR_Y-4,1,1),'Fund History'!$G$792:$G$796,"&lt;="&amp;DATE(YEAR_Y-4,12,31))/100)))</f>
        <v/>
      </c>
      <c r="AD142" s="73">
        <f>IF($C142="","",IF(PULL_FUND="N","",IF(COUNTIFS('Fund History'!$G$792:$G$796,"&gt;="&amp;DATE(YEAR_Y-3,1,1),'Fund History'!$G$792:$G$796,"&lt;="&amp;DATE(YEAR_Y-3,12,31))=0,"",SUMIFS('Fund History'!$H$792:$H$796,'Fund History'!$G$792:$G$796,"&gt;="&amp;DATE(YEAR_Y-3,1,1),'Fund History'!$G$792:$G$796,"&lt;="&amp;DATE(YEAR_Y-3,12,31))/100)))</f>
        <v/>
      </c>
      <c r="AE142" s="73">
        <f>IF($C142="","",IF(PULL_FUND="N","",IF(COUNTIFS('Fund History'!$G$792:$G$796,"&gt;="&amp;DATE(YEAR_Y-2,1,1),'Fund History'!$G$792:$G$796,"&lt;="&amp;DATE(YEAR_Y-2,12,31))=0,"",SUMIFS('Fund History'!$H$792:$H$796,'Fund History'!$G$792:$G$796,"&gt;="&amp;DATE(YEAR_Y-2,1,1),'Fund History'!$G$792:$G$796,"&lt;="&amp;DATE(YEAR_Y-2,12,31))/100)))</f>
        <v/>
      </c>
      <c r="AF142" s="73">
        <f>IF($C142="","",IF(PULL_FUND="N","",IF(COUNTIFS('Fund History'!$G$792:$G$796,"&gt;="&amp;DATE(YEAR_Y-1,1,1),'Fund History'!$G$792:$G$796,"&lt;="&amp;DATE(YEAR_Y-1,12,31))=0,"",SUMIFS('Fund History'!$H$792:$H$796,'Fund History'!$G$792:$G$796,"&gt;="&amp;DATE(YEAR_Y-1,1,1),'Fund History'!$G$792:$G$796,"&lt;="&amp;DATE(YEAR_Y-1,12,31))/100)))</f>
        <v/>
      </c>
      <c r="AG142" s="74">
        <f>IF($C142="","",IF(N($AF142)+N(HSTECH!$I$37)=0,"",N($AF142)+N(HSTECH!$I$37)/100))</f>
        <v/>
      </c>
      <c r="AH142" s="66">
        <f>IF($C142="","",IF(PULL_FUND="N","",IF(COUNTIFS('Fund History'!$D$792:$D$796,"&gt;="&amp;DATE(YEAR_Y-2,1,1),'Fund History'!$D$792:$D$796,"&lt;="&amp;DATE(YEAR_Y-2,12,31))=0,"",SUMIFS('Fund History'!$E$792:$E$796,'Fund History'!$D$792:$D$796,"&gt;="&amp;DATE(YEAR_Y-2,1,1),'Fund History'!$D$792:$D$796,"&lt;="&amp;DATE(YEAR_Y-2,12,31)))))</f>
        <v/>
      </c>
      <c r="AI142" s="67">
        <f>IF($C142="","",IF(PULL_FUND="N","",IF(COUNTIFS('Fund History'!$D$792:$D$796,"&gt;="&amp;DATE(YEAR_Y-1,1,1),'Fund History'!$D$792:$D$796,"&lt;="&amp;DATE(YEAR_Y-1,12,31))=0,"",SUMIFS('Fund History'!$E$792:$E$796,'Fund History'!$D$792:$D$796,"&gt;="&amp;DATE(YEAR_Y-1,1,1),'Fund History'!$D$792:$D$796,"&lt;="&amp;DATE(YEAR_Y-1,12,31)))))</f>
        <v/>
      </c>
      <c r="AJ142" s="67">
        <f>IF($C142="","",IF(PULL_FUND="N","",IFERROR(BDP($C142,NDEBITDA_FIELD),"")))</f>
        <v/>
      </c>
      <c r="AK142" s="75">
        <f>IF($C142="","",IF(PULL_FUND="N","",IFERROR(BDP($C142,EBINT_FIELD),"")))</f>
        <v/>
      </c>
      <c r="AL142" s="73">
        <f>IF($C142="","",IF(PULL_FUND="N","",IFERROR(BDP($C142,FCF_FIELD)/100,"")))</f>
        <v/>
      </c>
      <c r="AM142" s="76">
        <f>IF($C142="","",IF(ISNUMBER(HSTECH!$I$37),HSTECH!$I$37/100,""))</f>
        <v/>
      </c>
      <c r="AN142" s="47">
        <f>IF($C142="","",IF(N($AM142)=0,"",IFERROR($AL142/$AM142,"")))</f>
        <v/>
      </c>
      <c r="AO142" s="33">
        <f>IF($C142="","",IF(ISNUMBER($S142)*ISNUMBER($W142)=0,"",IF($W142&gt;$S142+0.05,"rising",IF($W142&lt;$S142-0.05,"falling","stable"))))</f>
        <v/>
      </c>
      <c r="AP142" s="77">
        <f>IF($C142="","",TRIM(IF(ISNUMBER($X142)*(N($X142)&gt;$D$4)&gt;0,"payout high  ","")&amp;IF(ISNUMBER($AN142)*(N($AN142)&lt;$F$4)&gt;0,"FCF below dvd  ","")&amp;IF(ISNUMBER($AJ142)*(N($AJ142)&gt;$H$4)&gt;0,"leverage high","")))</f>
        <v/>
      </c>
      <c r="AQ142" s="78">
        <f>IF($C142="","",IF(HSTECH!$F$37="HKD","",HSTECH!$F$37))</f>
        <v/>
      </c>
    </row>
    <row r="143">
      <c r="B143" s="62" t="inlineStr">
        <is>
          <t>HSTECH</t>
        </is>
      </c>
      <c r="C143" s="6">
        <f>IF(HSTECH!$C$38="","",HSTECH!$C$38)</f>
        <v/>
      </c>
      <c r="D143" s="6">
        <f>IF($C143="","",HSTECH!$D$38)</f>
        <v/>
      </c>
      <c r="E143" s="6">
        <f>IF($C143="","",HSTECH!$E$38)</f>
        <v/>
      </c>
      <c r="F143" s="63">
        <f>IF($C143="","",SUMPRODUCT(('Dvd Calendar'!$E$1457:$AR$1457&gt;=DATE(YEAR_Y-5,1,1))*('Dvd Calendar'!$E$1457:$AR$1457&lt;=DATE(YEAR_Y-5,12,31))*'Dvd Calendar'!$E$1460:$AR$1460*(('Dvd Calendar'!$E$1462:$AR$1462=TYPE1)*(TYPE1&lt;&gt;"")+('Dvd Calendar'!$E$1462:$AR$1462=TYPE2)*(TYPE2&lt;&gt;"")+('Dvd Calendar'!$E$1462:$AR$1462=TYPE3)*(TYPE3&lt;&gt;"")+('Dvd Calendar'!$E$1462:$AR$1462=TYPE4)*(TYPE4&lt;&gt;"")+('Dvd Calendar'!$E$1462:$AR$1462=SPECIAL_LBL)*(INC_SPECIALS="Y"))))</f>
        <v/>
      </c>
      <c r="G143" s="64">
        <f>IF($C143="","",SUMPRODUCT(('Dvd Calendar'!$E$1457:$AR$1457&gt;=DATE(YEAR_Y-4,1,1))*('Dvd Calendar'!$E$1457:$AR$1457&lt;=DATE(YEAR_Y-4,12,31))*'Dvd Calendar'!$E$1460:$AR$1460*(('Dvd Calendar'!$E$1462:$AR$1462=TYPE1)*(TYPE1&lt;&gt;"")+('Dvd Calendar'!$E$1462:$AR$1462=TYPE2)*(TYPE2&lt;&gt;"")+('Dvd Calendar'!$E$1462:$AR$1462=TYPE3)*(TYPE3&lt;&gt;"")+('Dvd Calendar'!$E$1462:$AR$1462=TYPE4)*(TYPE4&lt;&gt;"")+('Dvd Calendar'!$E$1462:$AR$1462=SPECIAL_LBL)*(INC_SPECIALS="Y"))))</f>
        <v/>
      </c>
      <c r="H143" s="64">
        <f>IF($C143="","",SUMPRODUCT(('Dvd Calendar'!$E$1457:$AR$1457&gt;=DATE(YEAR_Y-3,1,1))*('Dvd Calendar'!$E$1457:$AR$1457&lt;=DATE(YEAR_Y-3,12,31))*'Dvd Calendar'!$E$1460:$AR$1460*(('Dvd Calendar'!$E$1462:$AR$1462=TYPE1)*(TYPE1&lt;&gt;"")+('Dvd Calendar'!$E$1462:$AR$1462=TYPE2)*(TYPE2&lt;&gt;"")+('Dvd Calendar'!$E$1462:$AR$1462=TYPE3)*(TYPE3&lt;&gt;"")+('Dvd Calendar'!$E$1462:$AR$1462=TYPE4)*(TYPE4&lt;&gt;"")+('Dvd Calendar'!$E$1462:$AR$1462=SPECIAL_LBL)*(INC_SPECIALS="Y"))))</f>
        <v/>
      </c>
      <c r="I143" s="64">
        <f>IF($C143="","",SUMPRODUCT(('Dvd Calendar'!$E$1457:$AR$1457&gt;=DATE(YEAR_Y-2,1,1))*('Dvd Calendar'!$E$1457:$AR$1457&lt;=DATE(YEAR_Y-2,12,31))*'Dvd Calendar'!$E$1460:$AR$1460*(('Dvd Calendar'!$E$1462:$AR$1462=TYPE1)*(TYPE1&lt;&gt;"")+('Dvd Calendar'!$E$1462:$AR$1462=TYPE2)*(TYPE2&lt;&gt;"")+('Dvd Calendar'!$E$1462:$AR$1462=TYPE3)*(TYPE3&lt;&gt;"")+('Dvd Calendar'!$E$1462:$AR$1462=TYPE4)*(TYPE4&lt;&gt;"")+('Dvd Calendar'!$E$1462:$AR$1462=SPECIAL_LBL)*(INC_SPECIALS="Y"))))</f>
        <v/>
      </c>
      <c r="J143" s="64">
        <f>IF($C143="","",SUMPRODUCT(('Dvd Calendar'!$E$1457:$AR$1457&gt;=DATE(YEAR_Y-1,1,1))*('Dvd Calendar'!$E$1457:$AR$1457&lt;=DATE(YEAR_Y-1,12,31))*'Dvd Calendar'!$E$1460:$AR$1460*(('Dvd Calendar'!$E$1462:$AR$1462=TYPE1)*(TYPE1&lt;&gt;"")+('Dvd Calendar'!$E$1462:$AR$1462=TYPE2)*(TYPE2&lt;&gt;"")+('Dvd Calendar'!$E$1462:$AR$1462=TYPE3)*(TYPE3&lt;&gt;"")+('Dvd Calendar'!$E$1462:$AR$1462=TYPE4)*(TYPE4&lt;&gt;"")+('Dvd Calendar'!$E$1462:$AR$1462=SPECIAL_LBL)*(INC_SPECIALS="Y"))))</f>
        <v/>
      </c>
      <c r="K143" s="65">
        <f>IF($C143="","",HSTECH!$J$38)</f>
        <v/>
      </c>
      <c r="L143" s="65">
        <f>IF($C143="","",HSTECH!$K$38)</f>
        <v/>
      </c>
      <c r="M143" s="41">
        <f>IF($C143="","",AVERAGE(F143:J143))</f>
        <v/>
      </c>
      <c r="N143" s="66">
        <f>IF($C143="","",IF(PULL_FUND="N","",IFERROR(BDP($C143,EPS_FIELD,YR_OVERRIDE,TEXT(YEAR_Y-5,"0")),"")))</f>
        <v/>
      </c>
      <c r="O143" s="67">
        <f>IF($C143="","",IF(PULL_FUND="N","",IFERROR(BDP($C143,EPS_FIELD,YR_OVERRIDE,TEXT(YEAR_Y-4,"0")),"")))</f>
        <v/>
      </c>
      <c r="P143" s="67">
        <f>IF($C143="","",IF(PULL_FUND="N","",IFERROR(BDP($C143,EPS_FIELD,YR_OVERRIDE,TEXT(YEAR_Y-3,"0")),"")))</f>
        <v/>
      </c>
      <c r="Q143" s="67">
        <f>IF($C143="","",IF(PULL_FUND="N","",IFERROR(BDP($C143,EPS_FIELD,YR_OVERRIDE,TEXT(YEAR_Y-2,"0")),"")))</f>
        <v/>
      </c>
      <c r="R143" s="67">
        <f>IF($C143="","",IF(PULL_FUND="N","",IFERROR(BDP($C143,EPS_FIELD,YR_OVERRIDE,TEXT(YEAR_Y-1,"0")),"")))</f>
        <v/>
      </c>
      <c r="S143" s="68">
        <f>IF($C143="","",IF(PULL_FUND="N","",IFERROR(BDP($C143,PAYOUT_FIELD,YR_OVERRIDE,TEXT(YEAR_Y-5,"0"))/100,"")))</f>
        <v/>
      </c>
      <c r="T143" s="68">
        <f>IF($C143="","",IF(PULL_FUND="N","",IFERROR(BDP($C143,PAYOUT_FIELD,YR_OVERRIDE,TEXT(YEAR_Y-4,"0"))/100,"")))</f>
        <v/>
      </c>
      <c r="U143" s="68">
        <f>IF($C143="","",IF(PULL_FUND="N","",IFERROR(BDP($C143,PAYOUT_FIELD,YR_OVERRIDE,TEXT(YEAR_Y-3,"0"))/100,"")))</f>
        <v/>
      </c>
      <c r="V143" s="68">
        <f>IF($C143="","",IF(PULL_FUND="N","",IFERROR(BDP($C143,PAYOUT_FIELD,YR_OVERRIDE,TEXT(YEAR_Y-2,"0"))/100,"")))</f>
        <v/>
      </c>
      <c r="W143" s="68">
        <f>IF($C143="","",IF(PULL_FUND="N","",IFERROR(BDP($C143,PAYOUT_FIELD,YR_OVERRIDE,TEXT(YEAR_Y-1,"0"))/100,"")))</f>
        <v/>
      </c>
      <c r="X143" s="69">
        <f>IF($C143="","",IFERROR(AVERAGE(S143:W143),""))</f>
        <v/>
      </c>
      <c r="Y143" s="66">
        <f>IF($C143="","",IF(PULL_FUND="N","",IFERROR(BDP($C143,BESTEPS_FIELD,FWD_OVERRIDE,TEXT(MOD(YEAR_Y,100),"00")&amp;"Y"),"")))</f>
        <v/>
      </c>
      <c r="Z143" s="70">
        <f>IF($C143="","",IF(PULL_FUND="N","",IFERROR(BDP($C143,BESTDPS_FIELD,FWD_OVERRIDE,TEXT(MOD(YEAR_Y,100),"00")&amp;"Y"),"")))</f>
        <v/>
      </c>
      <c r="AA143" s="71">
        <f>IF($C143="","",IF(ISNUMBER($Y143)*ISNUMBER($Z143)*($Y143&lt;&gt;0)=0,"",$Z143/$Y143))</f>
        <v/>
      </c>
      <c r="AB143" s="41">
        <f>IF($C143="","",HSTECH!$J$38+HSTECH!$L$38)</f>
        <v/>
      </c>
      <c r="AC143" s="72">
        <f>IF($C143="","",IF(PULL_FUND="N","",IF(COUNTIFS('Fund History'!$G$798:$G$802,"&gt;="&amp;DATE(YEAR_Y-4,1,1),'Fund History'!$G$798:$G$802,"&lt;="&amp;DATE(YEAR_Y-4,12,31))=0,"",SUMIFS('Fund History'!$H$798:$H$802,'Fund History'!$G$798:$G$802,"&gt;="&amp;DATE(YEAR_Y-4,1,1),'Fund History'!$G$798:$G$802,"&lt;="&amp;DATE(YEAR_Y-4,12,31))/100)))</f>
        <v/>
      </c>
      <c r="AD143" s="73">
        <f>IF($C143="","",IF(PULL_FUND="N","",IF(COUNTIFS('Fund History'!$G$798:$G$802,"&gt;="&amp;DATE(YEAR_Y-3,1,1),'Fund History'!$G$798:$G$802,"&lt;="&amp;DATE(YEAR_Y-3,12,31))=0,"",SUMIFS('Fund History'!$H$798:$H$802,'Fund History'!$G$798:$G$802,"&gt;="&amp;DATE(YEAR_Y-3,1,1),'Fund History'!$G$798:$G$802,"&lt;="&amp;DATE(YEAR_Y-3,12,31))/100)))</f>
        <v/>
      </c>
      <c r="AE143" s="73">
        <f>IF($C143="","",IF(PULL_FUND="N","",IF(COUNTIFS('Fund History'!$G$798:$G$802,"&gt;="&amp;DATE(YEAR_Y-2,1,1),'Fund History'!$G$798:$G$802,"&lt;="&amp;DATE(YEAR_Y-2,12,31))=0,"",SUMIFS('Fund History'!$H$798:$H$802,'Fund History'!$G$798:$G$802,"&gt;="&amp;DATE(YEAR_Y-2,1,1),'Fund History'!$G$798:$G$802,"&lt;="&amp;DATE(YEAR_Y-2,12,31))/100)))</f>
        <v/>
      </c>
      <c r="AF143" s="73">
        <f>IF($C143="","",IF(PULL_FUND="N","",IF(COUNTIFS('Fund History'!$G$798:$G$802,"&gt;="&amp;DATE(YEAR_Y-1,1,1),'Fund History'!$G$798:$G$802,"&lt;="&amp;DATE(YEAR_Y-1,12,31))=0,"",SUMIFS('Fund History'!$H$798:$H$802,'Fund History'!$G$798:$G$802,"&gt;="&amp;DATE(YEAR_Y-1,1,1),'Fund History'!$G$798:$G$802,"&lt;="&amp;DATE(YEAR_Y-1,12,31))/100)))</f>
        <v/>
      </c>
      <c r="AG143" s="74">
        <f>IF($C143="","",IF(N($AF143)+N(HSTECH!$I$38)=0,"",N($AF143)+N(HSTECH!$I$38)/100))</f>
        <v/>
      </c>
      <c r="AH143" s="66">
        <f>IF($C143="","",IF(PULL_FUND="N","",IF(COUNTIFS('Fund History'!$D$798:$D$802,"&gt;="&amp;DATE(YEAR_Y-2,1,1),'Fund History'!$D$798:$D$802,"&lt;="&amp;DATE(YEAR_Y-2,12,31))=0,"",SUMIFS('Fund History'!$E$798:$E$802,'Fund History'!$D$798:$D$802,"&gt;="&amp;DATE(YEAR_Y-2,1,1),'Fund History'!$D$798:$D$802,"&lt;="&amp;DATE(YEAR_Y-2,12,31)))))</f>
        <v/>
      </c>
      <c r="AI143" s="67">
        <f>IF($C143="","",IF(PULL_FUND="N","",IF(COUNTIFS('Fund History'!$D$798:$D$802,"&gt;="&amp;DATE(YEAR_Y-1,1,1),'Fund History'!$D$798:$D$802,"&lt;="&amp;DATE(YEAR_Y-1,12,31))=0,"",SUMIFS('Fund History'!$E$798:$E$802,'Fund History'!$D$798:$D$802,"&gt;="&amp;DATE(YEAR_Y-1,1,1),'Fund History'!$D$798:$D$802,"&lt;="&amp;DATE(YEAR_Y-1,12,31)))))</f>
        <v/>
      </c>
      <c r="AJ143" s="67">
        <f>IF($C143="","",IF(PULL_FUND="N","",IFERROR(BDP($C143,NDEBITDA_FIELD),"")))</f>
        <v/>
      </c>
      <c r="AK143" s="75">
        <f>IF($C143="","",IF(PULL_FUND="N","",IFERROR(BDP($C143,EBINT_FIELD),"")))</f>
        <v/>
      </c>
      <c r="AL143" s="73">
        <f>IF($C143="","",IF(PULL_FUND="N","",IFERROR(BDP($C143,FCF_FIELD)/100,"")))</f>
        <v/>
      </c>
      <c r="AM143" s="76">
        <f>IF($C143="","",IF(ISNUMBER(HSTECH!$I$38),HSTECH!$I$38/100,""))</f>
        <v/>
      </c>
      <c r="AN143" s="47">
        <f>IF($C143="","",IF(N($AM143)=0,"",IFERROR($AL143/$AM143,"")))</f>
        <v/>
      </c>
      <c r="AO143" s="33">
        <f>IF($C143="","",IF(ISNUMBER($S143)*ISNUMBER($W143)=0,"",IF($W143&gt;$S143+0.05,"rising",IF($W143&lt;$S143-0.05,"falling","stable"))))</f>
        <v/>
      </c>
      <c r="AP143" s="77">
        <f>IF($C143="","",TRIM(IF(ISNUMBER($X143)*(N($X143)&gt;$D$4)&gt;0,"payout high  ","")&amp;IF(ISNUMBER($AN143)*(N($AN143)&lt;$F$4)&gt;0,"FCF below dvd  ","")&amp;IF(ISNUMBER($AJ143)*(N($AJ143)&gt;$H$4)&gt;0,"leverage high","")))</f>
        <v/>
      </c>
      <c r="AQ143" s="78">
        <f>IF($C143="","",IF(HSTECH!$F$38="HKD","",HSTECH!$F$38))</f>
        <v/>
      </c>
    </row>
    <row r="144">
      <c r="B144" s="62" t="inlineStr">
        <is>
          <t>HSTECH</t>
        </is>
      </c>
      <c r="C144" s="6">
        <f>IF(HSTECH!$C$39="","",HSTECH!$C$39)</f>
        <v/>
      </c>
      <c r="D144" s="6">
        <f>IF($C144="","",HSTECH!$D$39)</f>
        <v/>
      </c>
      <c r="E144" s="6">
        <f>IF($C144="","",HSTECH!$E$39)</f>
        <v/>
      </c>
      <c r="F144" s="63">
        <f>IF($C144="","",SUMPRODUCT(('Dvd Calendar'!$E$1468:$AR$1468&gt;=DATE(YEAR_Y-5,1,1))*('Dvd Calendar'!$E$1468:$AR$1468&lt;=DATE(YEAR_Y-5,12,31))*'Dvd Calendar'!$E$1471:$AR$1471*(('Dvd Calendar'!$E$1473:$AR$1473=TYPE1)*(TYPE1&lt;&gt;"")+('Dvd Calendar'!$E$1473:$AR$1473=TYPE2)*(TYPE2&lt;&gt;"")+('Dvd Calendar'!$E$1473:$AR$1473=TYPE3)*(TYPE3&lt;&gt;"")+('Dvd Calendar'!$E$1473:$AR$1473=TYPE4)*(TYPE4&lt;&gt;"")+('Dvd Calendar'!$E$1473:$AR$1473=SPECIAL_LBL)*(INC_SPECIALS="Y"))))</f>
        <v/>
      </c>
      <c r="G144" s="64">
        <f>IF($C144="","",SUMPRODUCT(('Dvd Calendar'!$E$1468:$AR$1468&gt;=DATE(YEAR_Y-4,1,1))*('Dvd Calendar'!$E$1468:$AR$1468&lt;=DATE(YEAR_Y-4,12,31))*'Dvd Calendar'!$E$1471:$AR$1471*(('Dvd Calendar'!$E$1473:$AR$1473=TYPE1)*(TYPE1&lt;&gt;"")+('Dvd Calendar'!$E$1473:$AR$1473=TYPE2)*(TYPE2&lt;&gt;"")+('Dvd Calendar'!$E$1473:$AR$1473=TYPE3)*(TYPE3&lt;&gt;"")+('Dvd Calendar'!$E$1473:$AR$1473=TYPE4)*(TYPE4&lt;&gt;"")+('Dvd Calendar'!$E$1473:$AR$1473=SPECIAL_LBL)*(INC_SPECIALS="Y"))))</f>
        <v/>
      </c>
      <c r="H144" s="64">
        <f>IF($C144="","",SUMPRODUCT(('Dvd Calendar'!$E$1468:$AR$1468&gt;=DATE(YEAR_Y-3,1,1))*('Dvd Calendar'!$E$1468:$AR$1468&lt;=DATE(YEAR_Y-3,12,31))*'Dvd Calendar'!$E$1471:$AR$1471*(('Dvd Calendar'!$E$1473:$AR$1473=TYPE1)*(TYPE1&lt;&gt;"")+('Dvd Calendar'!$E$1473:$AR$1473=TYPE2)*(TYPE2&lt;&gt;"")+('Dvd Calendar'!$E$1473:$AR$1473=TYPE3)*(TYPE3&lt;&gt;"")+('Dvd Calendar'!$E$1473:$AR$1473=TYPE4)*(TYPE4&lt;&gt;"")+('Dvd Calendar'!$E$1473:$AR$1473=SPECIAL_LBL)*(INC_SPECIALS="Y"))))</f>
        <v/>
      </c>
      <c r="I144" s="64">
        <f>IF($C144="","",SUMPRODUCT(('Dvd Calendar'!$E$1468:$AR$1468&gt;=DATE(YEAR_Y-2,1,1))*('Dvd Calendar'!$E$1468:$AR$1468&lt;=DATE(YEAR_Y-2,12,31))*'Dvd Calendar'!$E$1471:$AR$1471*(('Dvd Calendar'!$E$1473:$AR$1473=TYPE1)*(TYPE1&lt;&gt;"")+('Dvd Calendar'!$E$1473:$AR$1473=TYPE2)*(TYPE2&lt;&gt;"")+('Dvd Calendar'!$E$1473:$AR$1473=TYPE3)*(TYPE3&lt;&gt;"")+('Dvd Calendar'!$E$1473:$AR$1473=TYPE4)*(TYPE4&lt;&gt;"")+('Dvd Calendar'!$E$1473:$AR$1473=SPECIAL_LBL)*(INC_SPECIALS="Y"))))</f>
        <v/>
      </c>
      <c r="J144" s="64">
        <f>IF($C144="","",SUMPRODUCT(('Dvd Calendar'!$E$1468:$AR$1468&gt;=DATE(YEAR_Y-1,1,1))*('Dvd Calendar'!$E$1468:$AR$1468&lt;=DATE(YEAR_Y-1,12,31))*'Dvd Calendar'!$E$1471:$AR$1471*(('Dvd Calendar'!$E$1473:$AR$1473=TYPE1)*(TYPE1&lt;&gt;"")+('Dvd Calendar'!$E$1473:$AR$1473=TYPE2)*(TYPE2&lt;&gt;"")+('Dvd Calendar'!$E$1473:$AR$1473=TYPE3)*(TYPE3&lt;&gt;"")+('Dvd Calendar'!$E$1473:$AR$1473=TYPE4)*(TYPE4&lt;&gt;"")+('Dvd Calendar'!$E$1473:$AR$1473=SPECIAL_LBL)*(INC_SPECIALS="Y"))))</f>
        <v/>
      </c>
      <c r="K144" s="65">
        <f>IF($C144="","",HSTECH!$J$39)</f>
        <v/>
      </c>
      <c r="L144" s="65">
        <f>IF($C144="","",HSTECH!$K$39)</f>
        <v/>
      </c>
      <c r="M144" s="41">
        <f>IF($C144="","",AVERAGE(F144:J144))</f>
        <v/>
      </c>
      <c r="N144" s="66">
        <f>IF($C144="","",IF(PULL_FUND="N","",IFERROR(BDP($C144,EPS_FIELD,YR_OVERRIDE,TEXT(YEAR_Y-5,"0")),"")))</f>
        <v/>
      </c>
      <c r="O144" s="67">
        <f>IF($C144="","",IF(PULL_FUND="N","",IFERROR(BDP($C144,EPS_FIELD,YR_OVERRIDE,TEXT(YEAR_Y-4,"0")),"")))</f>
        <v/>
      </c>
      <c r="P144" s="67">
        <f>IF($C144="","",IF(PULL_FUND="N","",IFERROR(BDP($C144,EPS_FIELD,YR_OVERRIDE,TEXT(YEAR_Y-3,"0")),"")))</f>
        <v/>
      </c>
      <c r="Q144" s="67">
        <f>IF($C144="","",IF(PULL_FUND="N","",IFERROR(BDP($C144,EPS_FIELD,YR_OVERRIDE,TEXT(YEAR_Y-2,"0")),"")))</f>
        <v/>
      </c>
      <c r="R144" s="67">
        <f>IF($C144="","",IF(PULL_FUND="N","",IFERROR(BDP($C144,EPS_FIELD,YR_OVERRIDE,TEXT(YEAR_Y-1,"0")),"")))</f>
        <v/>
      </c>
      <c r="S144" s="68">
        <f>IF($C144="","",IF(PULL_FUND="N","",IFERROR(BDP($C144,PAYOUT_FIELD,YR_OVERRIDE,TEXT(YEAR_Y-5,"0"))/100,"")))</f>
        <v/>
      </c>
      <c r="T144" s="68">
        <f>IF($C144="","",IF(PULL_FUND="N","",IFERROR(BDP($C144,PAYOUT_FIELD,YR_OVERRIDE,TEXT(YEAR_Y-4,"0"))/100,"")))</f>
        <v/>
      </c>
      <c r="U144" s="68">
        <f>IF($C144="","",IF(PULL_FUND="N","",IFERROR(BDP($C144,PAYOUT_FIELD,YR_OVERRIDE,TEXT(YEAR_Y-3,"0"))/100,"")))</f>
        <v/>
      </c>
      <c r="V144" s="68">
        <f>IF($C144="","",IF(PULL_FUND="N","",IFERROR(BDP($C144,PAYOUT_FIELD,YR_OVERRIDE,TEXT(YEAR_Y-2,"0"))/100,"")))</f>
        <v/>
      </c>
      <c r="W144" s="68">
        <f>IF($C144="","",IF(PULL_FUND="N","",IFERROR(BDP($C144,PAYOUT_FIELD,YR_OVERRIDE,TEXT(YEAR_Y-1,"0"))/100,"")))</f>
        <v/>
      </c>
      <c r="X144" s="69">
        <f>IF($C144="","",IFERROR(AVERAGE(S144:W144),""))</f>
        <v/>
      </c>
      <c r="Y144" s="66">
        <f>IF($C144="","",IF(PULL_FUND="N","",IFERROR(BDP($C144,BESTEPS_FIELD,FWD_OVERRIDE,TEXT(MOD(YEAR_Y,100),"00")&amp;"Y"),"")))</f>
        <v/>
      </c>
      <c r="Z144" s="70">
        <f>IF($C144="","",IF(PULL_FUND="N","",IFERROR(BDP($C144,BESTDPS_FIELD,FWD_OVERRIDE,TEXT(MOD(YEAR_Y,100),"00")&amp;"Y"),"")))</f>
        <v/>
      </c>
      <c r="AA144" s="71">
        <f>IF($C144="","",IF(ISNUMBER($Y144)*ISNUMBER($Z144)*($Y144&lt;&gt;0)=0,"",$Z144/$Y144))</f>
        <v/>
      </c>
      <c r="AB144" s="41">
        <f>IF($C144="","",HSTECH!$J$39+HSTECH!$L$39)</f>
        <v/>
      </c>
      <c r="AC144" s="72">
        <f>IF($C144="","",IF(PULL_FUND="N","",IF(COUNTIFS('Fund History'!$G$804:$G$808,"&gt;="&amp;DATE(YEAR_Y-4,1,1),'Fund History'!$G$804:$G$808,"&lt;="&amp;DATE(YEAR_Y-4,12,31))=0,"",SUMIFS('Fund History'!$H$804:$H$808,'Fund History'!$G$804:$G$808,"&gt;="&amp;DATE(YEAR_Y-4,1,1),'Fund History'!$G$804:$G$808,"&lt;="&amp;DATE(YEAR_Y-4,12,31))/100)))</f>
        <v/>
      </c>
      <c r="AD144" s="73">
        <f>IF($C144="","",IF(PULL_FUND="N","",IF(COUNTIFS('Fund History'!$G$804:$G$808,"&gt;="&amp;DATE(YEAR_Y-3,1,1),'Fund History'!$G$804:$G$808,"&lt;="&amp;DATE(YEAR_Y-3,12,31))=0,"",SUMIFS('Fund History'!$H$804:$H$808,'Fund History'!$G$804:$G$808,"&gt;="&amp;DATE(YEAR_Y-3,1,1),'Fund History'!$G$804:$G$808,"&lt;="&amp;DATE(YEAR_Y-3,12,31))/100)))</f>
        <v/>
      </c>
      <c r="AE144" s="73">
        <f>IF($C144="","",IF(PULL_FUND="N","",IF(COUNTIFS('Fund History'!$G$804:$G$808,"&gt;="&amp;DATE(YEAR_Y-2,1,1),'Fund History'!$G$804:$G$808,"&lt;="&amp;DATE(YEAR_Y-2,12,31))=0,"",SUMIFS('Fund History'!$H$804:$H$808,'Fund History'!$G$804:$G$808,"&gt;="&amp;DATE(YEAR_Y-2,1,1),'Fund History'!$G$804:$G$808,"&lt;="&amp;DATE(YEAR_Y-2,12,31))/100)))</f>
        <v/>
      </c>
      <c r="AF144" s="73">
        <f>IF($C144="","",IF(PULL_FUND="N","",IF(COUNTIFS('Fund History'!$G$804:$G$808,"&gt;="&amp;DATE(YEAR_Y-1,1,1),'Fund History'!$G$804:$G$808,"&lt;="&amp;DATE(YEAR_Y-1,12,31))=0,"",SUMIFS('Fund History'!$H$804:$H$808,'Fund History'!$G$804:$G$808,"&gt;="&amp;DATE(YEAR_Y-1,1,1),'Fund History'!$G$804:$G$808,"&lt;="&amp;DATE(YEAR_Y-1,12,31))/100)))</f>
        <v/>
      </c>
      <c r="AG144" s="74">
        <f>IF($C144="","",IF(N($AF144)+N(HSTECH!$I$39)=0,"",N($AF144)+N(HSTECH!$I$39)/100))</f>
        <v/>
      </c>
      <c r="AH144" s="66">
        <f>IF($C144="","",IF(PULL_FUND="N","",IF(COUNTIFS('Fund History'!$D$804:$D$808,"&gt;="&amp;DATE(YEAR_Y-2,1,1),'Fund History'!$D$804:$D$808,"&lt;="&amp;DATE(YEAR_Y-2,12,31))=0,"",SUMIFS('Fund History'!$E$804:$E$808,'Fund History'!$D$804:$D$808,"&gt;="&amp;DATE(YEAR_Y-2,1,1),'Fund History'!$D$804:$D$808,"&lt;="&amp;DATE(YEAR_Y-2,12,31)))))</f>
        <v/>
      </c>
      <c r="AI144" s="67">
        <f>IF($C144="","",IF(PULL_FUND="N","",IF(COUNTIFS('Fund History'!$D$804:$D$808,"&gt;="&amp;DATE(YEAR_Y-1,1,1),'Fund History'!$D$804:$D$808,"&lt;="&amp;DATE(YEAR_Y-1,12,31))=0,"",SUMIFS('Fund History'!$E$804:$E$808,'Fund History'!$D$804:$D$808,"&gt;="&amp;DATE(YEAR_Y-1,1,1),'Fund History'!$D$804:$D$808,"&lt;="&amp;DATE(YEAR_Y-1,12,31)))))</f>
        <v/>
      </c>
      <c r="AJ144" s="67">
        <f>IF($C144="","",IF(PULL_FUND="N","",IFERROR(BDP($C144,NDEBITDA_FIELD),"")))</f>
        <v/>
      </c>
      <c r="AK144" s="75">
        <f>IF($C144="","",IF(PULL_FUND="N","",IFERROR(BDP($C144,EBINT_FIELD),"")))</f>
        <v/>
      </c>
      <c r="AL144" s="73">
        <f>IF($C144="","",IF(PULL_FUND="N","",IFERROR(BDP($C144,FCF_FIELD)/100,"")))</f>
        <v/>
      </c>
      <c r="AM144" s="76">
        <f>IF($C144="","",IF(ISNUMBER(HSTECH!$I$39),HSTECH!$I$39/100,""))</f>
        <v/>
      </c>
      <c r="AN144" s="47">
        <f>IF($C144="","",IF(N($AM144)=0,"",IFERROR($AL144/$AM144,"")))</f>
        <v/>
      </c>
      <c r="AO144" s="33">
        <f>IF($C144="","",IF(ISNUMBER($S144)*ISNUMBER($W144)=0,"",IF($W144&gt;$S144+0.05,"rising",IF($W144&lt;$S144-0.05,"falling","stable"))))</f>
        <v/>
      </c>
      <c r="AP144" s="77">
        <f>IF($C144="","",TRIM(IF(ISNUMBER($X144)*(N($X144)&gt;$D$4)&gt;0,"payout high  ","")&amp;IF(ISNUMBER($AN144)*(N($AN144)&lt;$F$4)&gt;0,"FCF below dvd  ","")&amp;IF(ISNUMBER($AJ144)*(N($AJ144)&gt;$H$4)&gt;0,"leverage high","")))</f>
        <v/>
      </c>
      <c r="AQ144" s="78">
        <f>IF($C144="","",IF(HSTECH!$F$39="HKD","",HSTECH!$F$39))</f>
        <v/>
      </c>
    </row>
    <row r="145">
      <c r="B145" s="62" t="inlineStr">
        <is>
          <t>HSTECH</t>
        </is>
      </c>
      <c r="C145" s="6">
        <f>IF(HSTECH!$C$40="","",HSTECH!$C$40)</f>
        <v/>
      </c>
      <c r="D145" s="6">
        <f>IF($C145="","",HSTECH!$D$40)</f>
        <v/>
      </c>
      <c r="E145" s="6">
        <f>IF($C145="","",HSTECH!$E$40)</f>
        <v/>
      </c>
      <c r="F145" s="63">
        <f>IF($C145="","",SUMPRODUCT(('Dvd Calendar'!$E$1479:$AR$1479&gt;=DATE(YEAR_Y-5,1,1))*('Dvd Calendar'!$E$1479:$AR$1479&lt;=DATE(YEAR_Y-5,12,31))*'Dvd Calendar'!$E$1482:$AR$1482*(('Dvd Calendar'!$E$1484:$AR$1484=TYPE1)*(TYPE1&lt;&gt;"")+('Dvd Calendar'!$E$1484:$AR$1484=TYPE2)*(TYPE2&lt;&gt;"")+('Dvd Calendar'!$E$1484:$AR$1484=TYPE3)*(TYPE3&lt;&gt;"")+('Dvd Calendar'!$E$1484:$AR$1484=TYPE4)*(TYPE4&lt;&gt;"")+('Dvd Calendar'!$E$1484:$AR$1484=SPECIAL_LBL)*(INC_SPECIALS="Y"))))</f>
        <v/>
      </c>
      <c r="G145" s="64">
        <f>IF($C145="","",SUMPRODUCT(('Dvd Calendar'!$E$1479:$AR$1479&gt;=DATE(YEAR_Y-4,1,1))*('Dvd Calendar'!$E$1479:$AR$1479&lt;=DATE(YEAR_Y-4,12,31))*'Dvd Calendar'!$E$1482:$AR$1482*(('Dvd Calendar'!$E$1484:$AR$1484=TYPE1)*(TYPE1&lt;&gt;"")+('Dvd Calendar'!$E$1484:$AR$1484=TYPE2)*(TYPE2&lt;&gt;"")+('Dvd Calendar'!$E$1484:$AR$1484=TYPE3)*(TYPE3&lt;&gt;"")+('Dvd Calendar'!$E$1484:$AR$1484=TYPE4)*(TYPE4&lt;&gt;"")+('Dvd Calendar'!$E$1484:$AR$1484=SPECIAL_LBL)*(INC_SPECIALS="Y"))))</f>
        <v/>
      </c>
      <c r="H145" s="64">
        <f>IF($C145="","",SUMPRODUCT(('Dvd Calendar'!$E$1479:$AR$1479&gt;=DATE(YEAR_Y-3,1,1))*('Dvd Calendar'!$E$1479:$AR$1479&lt;=DATE(YEAR_Y-3,12,31))*'Dvd Calendar'!$E$1482:$AR$1482*(('Dvd Calendar'!$E$1484:$AR$1484=TYPE1)*(TYPE1&lt;&gt;"")+('Dvd Calendar'!$E$1484:$AR$1484=TYPE2)*(TYPE2&lt;&gt;"")+('Dvd Calendar'!$E$1484:$AR$1484=TYPE3)*(TYPE3&lt;&gt;"")+('Dvd Calendar'!$E$1484:$AR$1484=TYPE4)*(TYPE4&lt;&gt;"")+('Dvd Calendar'!$E$1484:$AR$1484=SPECIAL_LBL)*(INC_SPECIALS="Y"))))</f>
        <v/>
      </c>
      <c r="I145" s="64">
        <f>IF($C145="","",SUMPRODUCT(('Dvd Calendar'!$E$1479:$AR$1479&gt;=DATE(YEAR_Y-2,1,1))*('Dvd Calendar'!$E$1479:$AR$1479&lt;=DATE(YEAR_Y-2,12,31))*'Dvd Calendar'!$E$1482:$AR$1482*(('Dvd Calendar'!$E$1484:$AR$1484=TYPE1)*(TYPE1&lt;&gt;"")+('Dvd Calendar'!$E$1484:$AR$1484=TYPE2)*(TYPE2&lt;&gt;"")+('Dvd Calendar'!$E$1484:$AR$1484=TYPE3)*(TYPE3&lt;&gt;"")+('Dvd Calendar'!$E$1484:$AR$1484=TYPE4)*(TYPE4&lt;&gt;"")+('Dvd Calendar'!$E$1484:$AR$1484=SPECIAL_LBL)*(INC_SPECIALS="Y"))))</f>
        <v/>
      </c>
      <c r="J145" s="64">
        <f>IF($C145="","",SUMPRODUCT(('Dvd Calendar'!$E$1479:$AR$1479&gt;=DATE(YEAR_Y-1,1,1))*('Dvd Calendar'!$E$1479:$AR$1479&lt;=DATE(YEAR_Y-1,12,31))*'Dvd Calendar'!$E$1482:$AR$1482*(('Dvd Calendar'!$E$1484:$AR$1484=TYPE1)*(TYPE1&lt;&gt;"")+('Dvd Calendar'!$E$1484:$AR$1484=TYPE2)*(TYPE2&lt;&gt;"")+('Dvd Calendar'!$E$1484:$AR$1484=TYPE3)*(TYPE3&lt;&gt;"")+('Dvd Calendar'!$E$1484:$AR$1484=TYPE4)*(TYPE4&lt;&gt;"")+('Dvd Calendar'!$E$1484:$AR$1484=SPECIAL_LBL)*(INC_SPECIALS="Y"))))</f>
        <v/>
      </c>
      <c r="K145" s="65">
        <f>IF($C145="","",HSTECH!$J$40)</f>
        <v/>
      </c>
      <c r="L145" s="65">
        <f>IF($C145="","",HSTECH!$K$40)</f>
        <v/>
      </c>
      <c r="M145" s="41">
        <f>IF($C145="","",AVERAGE(F145:J145))</f>
        <v/>
      </c>
      <c r="N145" s="66">
        <f>IF($C145="","",IF(PULL_FUND="N","",IFERROR(BDP($C145,EPS_FIELD,YR_OVERRIDE,TEXT(YEAR_Y-5,"0")),"")))</f>
        <v/>
      </c>
      <c r="O145" s="67">
        <f>IF($C145="","",IF(PULL_FUND="N","",IFERROR(BDP($C145,EPS_FIELD,YR_OVERRIDE,TEXT(YEAR_Y-4,"0")),"")))</f>
        <v/>
      </c>
      <c r="P145" s="67">
        <f>IF($C145="","",IF(PULL_FUND="N","",IFERROR(BDP($C145,EPS_FIELD,YR_OVERRIDE,TEXT(YEAR_Y-3,"0")),"")))</f>
        <v/>
      </c>
      <c r="Q145" s="67">
        <f>IF($C145="","",IF(PULL_FUND="N","",IFERROR(BDP($C145,EPS_FIELD,YR_OVERRIDE,TEXT(YEAR_Y-2,"0")),"")))</f>
        <v/>
      </c>
      <c r="R145" s="67">
        <f>IF($C145="","",IF(PULL_FUND="N","",IFERROR(BDP($C145,EPS_FIELD,YR_OVERRIDE,TEXT(YEAR_Y-1,"0")),"")))</f>
        <v/>
      </c>
      <c r="S145" s="68">
        <f>IF($C145="","",IF(PULL_FUND="N","",IFERROR(BDP($C145,PAYOUT_FIELD,YR_OVERRIDE,TEXT(YEAR_Y-5,"0"))/100,"")))</f>
        <v/>
      </c>
      <c r="T145" s="68">
        <f>IF($C145="","",IF(PULL_FUND="N","",IFERROR(BDP($C145,PAYOUT_FIELD,YR_OVERRIDE,TEXT(YEAR_Y-4,"0"))/100,"")))</f>
        <v/>
      </c>
      <c r="U145" s="68">
        <f>IF($C145="","",IF(PULL_FUND="N","",IFERROR(BDP($C145,PAYOUT_FIELD,YR_OVERRIDE,TEXT(YEAR_Y-3,"0"))/100,"")))</f>
        <v/>
      </c>
      <c r="V145" s="68">
        <f>IF($C145="","",IF(PULL_FUND="N","",IFERROR(BDP($C145,PAYOUT_FIELD,YR_OVERRIDE,TEXT(YEAR_Y-2,"0"))/100,"")))</f>
        <v/>
      </c>
      <c r="W145" s="68">
        <f>IF($C145="","",IF(PULL_FUND="N","",IFERROR(BDP($C145,PAYOUT_FIELD,YR_OVERRIDE,TEXT(YEAR_Y-1,"0"))/100,"")))</f>
        <v/>
      </c>
      <c r="X145" s="69">
        <f>IF($C145="","",IFERROR(AVERAGE(S145:W145),""))</f>
        <v/>
      </c>
      <c r="Y145" s="66">
        <f>IF($C145="","",IF(PULL_FUND="N","",IFERROR(BDP($C145,BESTEPS_FIELD,FWD_OVERRIDE,TEXT(MOD(YEAR_Y,100),"00")&amp;"Y"),"")))</f>
        <v/>
      </c>
      <c r="Z145" s="70">
        <f>IF($C145="","",IF(PULL_FUND="N","",IFERROR(BDP($C145,BESTDPS_FIELD,FWD_OVERRIDE,TEXT(MOD(YEAR_Y,100),"00")&amp;"Y"),"")))</f>
        <v/>
      </c>
      <c r="AA145" s="71">
        <f>IF($C145="","",IF(ISNUMBER($Y145)*ISNUMBER($Z145)*($Y145&lt;&gt;0)=0,"",$Z145/$Y145))</f>
        <v/>
      </c>
      <c r="AB145" s="41">
        <f>IF($C145="","",HSTECH!$J$40+HSTECH!$L$40)</f>
        <v/>
      </c>
      <c r="AC145" s="72">
        <f>IF($C145="","",IF(PULL_FUND="N","",IF(COUNTIFS('Fund History'!$G$810:$G$814,"&gt;="&amp;DATE(YEAR_Y-4,1,1),'Fund History'!$G$810:$G$814,"&lt;="&amp;DATE(YEAR_Y-4,12,31))=0,"",SUMIFS('Fund History'!$H$810:$H$814,'Fund History'!$G$810:$G$814,"&gt;="&amp;DATE(YEAR_Y-4,1,1),'Fund History'!$G$810:$G$814,"&lt;="&amp;DATE(YEAR_Y-4,12,31))/100)))</f>
        <v/>
      </c>
      <c r="AD145" s="73">
        <f>IF($C145="","",IF(PULL_FUND="N","",IF(COUNTIFS('Fund History'!$G$810:$G$814,"&gt;="&amp;DATE(YEAR_Y-3,1,1),'Fund History'!$G$810:$G$814,"&lt;="&amp;DATE(YEAR_Y-3,12,31))=0,"",SUMIFS('Fund History'!$H$810:$H$814,'Fund History'!$G$810:$G$814,"&gt;="&amp;DATE(YEAR_Y-3,1,1),'Fund History'!$G$810:$G$814,"&lt;="&amp;DATE(YEAR_Y-3,12,31))/100)))</f>
        <v/>
      </c>
      <c r="AE145" s="73">
        <f>IF($C145="","",IF(PULL_FUND="N","",IF(COUNTIFS('Fund History'!$G$810:$G$814,"&gt;="&amp;DATE(YEAR_Y-2,1,1),'Fund History'!$G$810:$G$814,"&lt;="&amp;DATE(YEAR_Y-2,12,31))=0,"",SUMIFS('Fund History'!$H$810:$H$814,'Fund History'!$G$810:$G$814,"&gt;="&amp;DATE(YEAR_Y-2,1,1),'Fund History'!$G$810:$G$814,"&lt;="&amp;DATE(YEAR_Y-2,12,31))/100)))</f>
        <v/>
      </c>
      <c r="AF145" s="73">
        <f>IF($C145="","",IF(PULL_FUND="N","",IF(COUNTIFS('Fund History'!$G$810:$G$814,"&gt;="&amp;DATE(YEAR_Y-1,1,1),'Fund History'!$G$810:$G$814,"&lt;="&amp;DATE(YEAR_Y-1,12,31))=0,"",SUMIFS('Fund History'!$H$810:$H$814,'Fund History'!$G$810:$G$814,"&gt;="&amp;DATE(YEAR_Y-1,1,1),'Fund History'!$G$810:$G$814,"&lt;="&amp;DATE(YEAR_Y-1,12,31))/100)))</f>
        <v/>
      </c>
      <c r="AG145" s="74">
        <f>IF($C145="","",IF(N($AF145)+N(HSTECH!$I$40)=0,"",N($AF145)+N(HSTECH!$I$40)/100))</f>
        <v/>
      </c>
      <c r="AH145" s="66">
        <f>IF($C145="","",IF(PULL_FUND="N","",IF(COUNTIFS('Fund History'!$D$810:$D$814,"&gt;="&amp;DATE(YEAR_Y-2,1,1),'Fund History'!$D$810:$D$814,"&lt;="&amp;DATE(YEAR_Y-2,12,31))=0,"",SUMIFS('Fund History'!$E$810:$E$814,'Fund History'!$D$810:$D$814,"&gt;="&amp;DATE(YEAR_Y-2,1,1),'Fund History'!$D$810:$D$814,"&lt;="&amp;DATE(YEAR_Y-2,12,31)))))</f>
        <v/>
      </c>
      <c r="AI145" s="67">
        <f>IF($C145="","",IF(PULL_FUND="N","",IF(COUNTIFS('Fund History'!$D$810:$D$814,"&gt;="&amp;DATE(YEAR_Y-1,1,1),'Fund History'!$D$810:$D$814,"&lt;="&amp;DATE(YEAR_Y-1,12,31))=0,"",SUMIFS('Fund History'!$E$810:$E$814,'Fund History'!$D$810:$D$814,"&gt;="&amp;DATE(YEAR_Y-1,1,1),'Fund History'!$D$810:$D$814,"&lt;="&amp;DATE(YEAR_Y-1,12,31)))))</f>
        <v/>
      </c>
      <c r="AJ145" s="67">
        <f>IF($C145="","",IF(PULL_FUND="N","",IFERROR(BDP($C145,NDEBITDA_FIELD),"")))</f>
        <v/>
      </c>
      <c r="AK145" s="75">
        <f>IF($C145="","",IF(PULL_FUND="N","",IFERROR(BDP($C145,EBINT_FIELD),"")))</f>
        <v/>
      </c>
      <c r="AL145" s="73">
        <f>IF($C145="","",IF(PULL_FUND="N","",IFERROR(BDP($C145,FCF_FIELD)/100,"")))</f>
        <v/>
      </c>
      <c r="AM145" s="76">
        <f>IF($C145="","",IF(ISNUMBER(HSTECH!$I$40),HSTECH!$I$40/100,""))</f>
        <v/>
      </c>
      <c r="AN145" s="47">
        <f>IF($C145="","",IF(N($AM145)=0,"",IFERROR($AL145/$AM145,"")))</f>
        <v/>
      </c>
      <c r="AO145" s="33">
        <f>IF($C145="","",IF(ISNUMBER($S145)*ISNUMBER($W145)=0,"",IF($W145&gt;$S145+0.05,"rising",IF($W145&lt;$S145-0.05,"falling","stable"))))</f>
        <v/>
      </c>
      <c r="AP145" s="77">
        <f>IF($C145="","",TRIM(IF(ISNUMBER($X145)*(N($X145)&gt;$D$4)&gt;0,"payout high  ","")&amp;IF(ISNUMBER($AN145)*(N($AN145)&lt;$F$4)&gt;0,"FCF below dvd  ","")&amp;IF(ISNUMBER($AJ145)*(N($AJ145)&gt;$H$4)&gt;0,"leverage high","")))</f>
        <v/>
      </c>
      <c r="AQ145" s="78">
        <f>IF($C145="","",IF(HSTECH!$F$40="HKD","",HSTECH!$F$40))</f>
        <v/>
      </c>
    </row>
    <row r="146">
      <c r="B146" s="62" t="inlineStr">
        <is>
          <t>HSTECH</t>
        </is>
      </c>
      <c r="C146" s="6">
        <f>IF(HSTECH!$C$41="","",HSTECH!$C$41)</f>
        <v/>
      </c>
      <c r="D146" s="6">
        <f>IF($C146="","",HSTECH!$D$41)</f>
        <v/>
      </c>
      <c r="E146" s="6">
        <f>IF($C146="","",HSTECH!$E$41)</f>
        <v/>
      </c>
      <c r="F146" s="63">
        <f>IF($C146="","",SUMPRODUCT(('Dvd Calendar'!$E$1490:$AR$1490&gt;=DATE(YEAR_Y-5,1,1))*('Dvd Calendar'!$E$1490:$AR$1490&lt;=DATE(YEAR_Y-5,12,31))*'Dvd Calendar'!$E$1493:$AR$1493*(('Dvd Calendar'!$E$1495:$AR$1495=TYPE1)*(TYPE1&lt;&gt;"")+('Dvd Calendar'!$E$1495:$AR$1495=TYPE2)*(TYPE2&lt;&gt;"")+('Dvd Calendar'!$E$1495:$AR$1495=TYPE3)*(TYPE3&lt;&gt;"")+('Dvd Calendar'!$E$1495:$AR$1495=TYPE4)*(TYPE4&lt;&gt;"")+('Dvd Calendar'!$E$1495:$AR$1495=SPECIAL_LBL)*(INC_SPECIALS="Y"))))</f>
        <v/>
      </c>
      <c r="G146" s="64">
        <f>IF($C146="","",SUMPRODUCT(('Dvd Calendar'!$E$1490:$AR$1490&gt;=DATE(YEAR_Y-4,1,1))*('Dvd Calendar'!$E$1490:$AR$1490&lt;=DATE(YEAR_Y-4,12,31))*'Dvd Calendar'!$E$1493:$AR$1493*(('Dvd Calendar'!$E$1495:$AR$1495=TYPE1)*(TYPE1&lt;&gt;"")+('Dvd Calendar'!$E$1495:$AR$1495=TYPE2)*(TYPE2&lt;&gt;"")+('Dvd Calendar'!$E$1495:$AR$1495=TYPE3)*(TYPE3&lt;&gt;"")+('Dvd Calendar'!$E$1495:$AR$1495=TYPE4)*(TYPE4&lt;&gt;"")+('Dvd Calendar'!$E$1495:$AR$1495=SPECIAL_LBL)*(INC_SPECIALS="Y"))))</f>
        <v/>
      </c>
      <c r="H146" s="64">
        <f>IF($C146="","",SUMPRODUCT(('Dvd Calendar'!$E$1490:$AR$1490&gt;=DATE(YEAR_Y-3,1,1))*('Dvd Calendar'!$E$1490:$AR$1490&lt;=DATE(YEAR_Y-3,12,31))*'Dvd Calendar'!$E$1493:$AR$1493*(('Dvd Calendar'!$E$1495:$AR$1495=TYPE1)*(TYPE1&lt;&gt;"")+('Dvd Calendar'!$E$1495:$AR$1495=TYPE2)*(TYPE2&lt;&gt;"")+('Dvd Calendar'!$E$1495:$AR$1495=TYPE3)*(TYPE3&lt;&gt;"")+('Dvd Calendar'!$E$1495:$AR$1495=TYPE4)*(TYPE4&lt;&gt;"")+('Dvd Calendar'!$E$1495:$AR$1495=SPECIAL_LBL)*(INC_SPECIALS="Y"))))</f>
        <v/>
      </c>
      <c r="I146" s="64">
        <f>IF($C146="","",SUMPRODUCT(('Dvd Calendar'!$E$1490:$AR$1490&gt;=DATE(YEAR_Y-2,1,1))*('Dvd Calendar'!$E$1490:$AR$1490&lt;=DATE(YEAR_Y-2,12,31))*'Dvd Calendar'!$E$1493:$AR$1493*(('Dvd Calendar'!$E$1495:$AR$1495=TYPE1)*(TYPE1&lt;&gt;"")+('Dvd Calendar'!$E$1495:$AR$1495=TYPE2)*(TYPE2&lt;&gt;"")+('Dvd Calendar'!$E$1495:$AR$1495=TYPE3)*(TYPE3&lt;&gt;"")+('Dvd Calendar'!$E$1495:$AR$1495=TYPE4)*(TYPE4&lt;&gt;"")+('Dvd Calendar'!$E$1495:$AR$1495=SPECIAL_LBL)*(INC_SPECIALS="Y"))))</f>
        <v/>
      </c>
      <c r="J146" s="64">
        <f>IF($C146="","",SUMPRODUCT(('Dvd Calendar'!$E$1490:$AR$1490&gt;=DATE(YEAR_Y-1,1,1))*('Dvd Calendar'!$E$1490:$AR$1490&lt;=DATE(YEAR_Y-1,12,31))*'Dvd Calendar'!$E$1493:$AR$1493*(('Dvd Calendar'!$E$1495:$AR$1495=TYPE1)*(TYPE1&lt;&gt;"")+('Dvd Calendar'!$E$1495:$AR$1495=TYPE2)*(TYPE2&lt;&gt;"")+('Dvd Calendar'!$E$1495:$AR$1495=TYPE3)*(TYPE3&lt;&gt;"")+('Dvd Calendar'!$E$1495:$AR$1495=TYPE4)*(TYPE4&lt;&gt;"")+('Dvd Calendar'!$E$1495:$AR$1495=SPECIAL_LBL)*(INC_SPECIALS="Y"))))</f>
        <v/>
      </c>
      <c r="K146" s="65">
        <f>IF($C146="","",HSTECH!$J$41)</f>
        <v/>
      </c>
      <c r="L146" s="65">
        <f>IF($C146="","",HSTECH!$K$41)</f>
        <v/>
      </c>
      <c r="M146" s="41">
        <f>IF($C146="","",AVERAGE(F146:J146))</f>
        <v/>
      </c>
      <c r="N146" s="66">
        <f>IF($C146="","",IF(PULL_FUND="N","",IFERROR(BDP($C146,EPS_FIELD,YR_OVERRIDE,TEXT(YEAR_Y-5,"0")),"")))</f>
        <v/>
      </c>
      <c r="O146" s="67">
        <f>IF($C146="","",IF(PULL_FUND="N","",IFERROR(BDP($C146,EPS_FIELD,YR_OVERRIDE,TEXT(YEAR_Y-4,"0")),"")))</f>
        <v/>
      </c>
      <c r="P146" s="67">
        <f>IF($C146="","",IF(PULL_FUND="N","",IFERROR(BDP($C146,EPS_FIELD,YR_OVERRIDE,TEXT(YEAR_Y-3,"0")),"")))</f>
        <v/>
      </c>
      <c r="Q146" s="67">
        <f>IF($C146="","",IF(PULL_FUND="N","",IFERROR(BDP($C146,EPS_FIELD,YR_OVERRIDE,TEXT(YEAR_Y-2,"0")),"")))</f>
        <v/>
      </c>
      <c r="R146" s="67">
        <f>IF($C146="","",IF(PULL_FUND="N","",IFERROR(BDP($C146,EPS_FIELD,YR_OVERRIDE,TEXT(YEAR_Y-1,"0")),"")))</f>
        <v/>
      </c>
      <c r="S146" s="68">
        <f>IF($C146="","",IF(PULL_FUND="N","",IFERROR(BDP($C146,PAYOUT_FIELD,YR_OVERRIDE,TEXT(YEAR_Y-5,"0"))/100,"")))</f>
        <v/>
      </c>
      <c r="T146" s="68">
        <f>IF($C146="","",IF(PULL_FUND="N","",IFERROR(BDP($C146,PAYOUT_FIELD,YR_OVERRIDE,TEXT(YEAR_Y-4,"0"))/100,"")))</f>
        <v/>
      </c>
      <c r="U146" s="68">
        <f>IF($C146="","",IF(PULL_FUND="N","",IFERROR(BDP($C146,PAYOUT_FIELD,YR_OVERRIDE,TEXT(YEAR_Y-3,"0"))/100,"")))</f>
        <v/>
      </c>
      <c r="V146" s="68">
        <f>IF($C146="","",IF(PULL_FUND="N","",IFERROR(BDP($C146,PAYOUT_FIELD,YR_OVERRIDE,TEXT(YEAR_Y-2,"0"))/100,"")))</f>
        <v/>
      </c>
      <c r="W146" s="68">
        <f>IF($C146="","",IF(PULL_FUND="N","",IFERROR(BDP($C146,PAYOUT_FIELD,YR_OVERRIDE,TEXT(YEAR_Y-1,"0"))/100,"")))</f>
        <v/>
      </c>
      <c r="X146" s="69">
        <f>IF($C146="","",IFERROR(AVERAGE(S146:W146),""))</f>
        <v/>
      </c>
      <c r="Y146" s="66">
        <f>IF($C146="","",IF(PULL_FUND="N","",IFERROR(BDP($C146,BESTEPS_FIELD,FWD_OVERRIDE,TEXT(MOD(YEAR_Y,100),"00")&amp;"Y"),"")))</f>
        <v/>
      </c>
      <c r="Z146" s="70">
        <f>IF($C146="","",IF(PULL_FUND="N","",IFERROR(BDP($C146,BESTDPS_FIELD,FWD_OVERRIDE,TEXT(MOD(YEAR_Y,100),"00")&amp;"Y"),"")))</f>
        <v/>
      </c>
      <c r="AA146" s="71">
        <f>IF($C146="","",IF(ISNUMBER($Y146)*ISNUMBER($Z146)*($Y146&lt;&gt;0)=0,"",$Z146/$Y146))</f>
        <v/>
      </c>
      <c r="AB146" s="41">
        <f>IF($C146="","",HSTECH!$J$41+HSTECH!$L$41)</f>
        <v/>
      </c>
      <c r="AC146" s="72">
        <f>IF($C146="","",IF(PULL_FUND="N","",IF(COUNTIFS('Fund History'!$G$816:$G$820,"&gt;="&amp;DATE(YEAR_Y-4,1,1),'Fund History'!$G$816:$G$820,"&lt;="&amp;DATE(YEAR_Y-4,12,31))=0,"",SUMIFS('Fund History'!$H$816:$H$820,'Fund History'!$G$816:$G$820,"&gt;="&amp;DATE(YEAR_Y-4,1,1),'Fund History'!$G$816:$G$820,"&lt;="&amp;DATE(YEAR_Y-4,12,31))/100)))</f>
        <v/>
      </c>
      <c r="AD146" s="73">
        <f>IF($C146="","",IF(PULL_FUND="N","",IF(COUNTIFS('Fund History'!$G$816:$G$820,"&gt;="&amp;DATE(YEAR_Y-3,1,1),'Fund History'!$G$816:$G$820,"&lt;="&amp;DATE(YEAR_Y-3,12,31))=0,"",SUMIFS('Fund History'!$H$816:$H$820,'Fund History'!$G$816:$G$820,"&gt;="&amp;DATE(YEAR_Y-3,1,1),'Fund History'!$G$816:$G$820,"&lt;="&amp;DATE(YEAR_Y-3,12,31))/100)))</f>
        <v/>
      </c>
      <c r="AE146" s="73">
        <f>IF($C146="","",IF(PULL_FUND="N","",IF(COUNTIFS('Fund History'!$G$816:$G$820,"&gt;="&amp;DATE(YEAR_Y-2,1,1),'Fund History'!$G$816:$G$820,"&lt;="&amp;DATE(YEAR_Y-2,12,31))=0,"",SUMIFS('Fund History'!$H$816:$H$820,'Fund History'!$G$816:$G$820,"&gt;="&amp;DATE(YEAR_Y-2,1,1),'Fund History'!$G$816:$G$820,"&lt;="&amp;DATE(YEAR_Y-2,12,31))/100)))</f>
        <v/>
      </c>
      <c r="AF146" s="73">
        <f>IF($C146="","",IF(PULL_FUND="N","",IF(COUNTIFS('Fund History'!$G$816:$G$820,"&gt;="&amp;DATE(YEAR_Y-1,1,1),'Fund History'!$G$816:$G$820,"&lt;="&amp;DATE(YEAR_Y-1,12,31))=0,"",SUMIFS('Fund History'!$H$816:$H$820,'Fund History'!$G$816:$G$820,"&gt;="&amp;DATE(YEAR_Y-1,1,1),'Fund History'!$G$816:$G$820,"&lt;="&amp;DATE(YEAR_Y-1,12,31))/100)))</f>
        <v/>
      </c>
      <c r="AG146" s="74">
        <f>IF($C146="","",IF(N($AF146)+N(HSTECH!$I$41)=0,"",N($AF146)+N(HSTECH!$I$41)/100))</f>
        <v/>
      </c>
      <c r="AH146" s="66">
        <f>IF($C146="","",IF(PULL_FUND="N","",IF(COUNTIFS('Fund History'!$D$816:$D$820,"&gt;="&amp;DATE(YEAR_Y-2,1,1),'Fund History'!$D$816:$D$820,"&lt;="&amp;DATE(YEAR_Y-2,12,31))=0,"",SUMIFS('Fund History'!$E$816:$E$820,'Fund History'!$D$816:$D$820,"&gt;="&amp;DATE(YEAR_Y-2,1,1),'Fund History'!$D$816:$D$820,"&lt;="&amp;DATE(YEAR_Y-2,12,31)))))</f>
        <v/>
      </c>
      <c r="AI146" s="67">
        <f>IF($C146="","",IF(PULL_FUND="N","",IF(COUNTIFS('Fund History'!$D$816:$D$820,"&gt;="&amp;DATE(YEAR_Y-1,1,1),'Fund History'!$D$816:$D$820,"&lt;="&amp;DATE(YEAR_Y-1,12,31))=0,"",SUMIFS('Fund History'!$E$816:$E$820,'Fund History'!$D$816:$D$820,"&gt;="&amp;DATE(YEAR_Y-1,1,1),'Fund History'!$D$816:$D$820,"&lt;="&amp;DATE(YEAR_Y-1,12,31)))))</f>
        <v/>
      </c>
      <c r="AJ146" s="67">
        <f>IF($C146="","",IF(PULL_FUND="N","",IFERROR(BDP($C146,NDEBITDA_FIELD),"")))</f>
        <v/>
      </c>
      <c r="AK146" s="75">
        <f>IF($C146="","",IF(PULL_FUND="N","",IFERROR(BDP($C146,EBINT_FIELD),"")))</f>
        <v/>
      </c>
      <c r="AL146" s="73">
        <f>IF($C146="","",IF(PULL_FUND="N","",IFERROR(BDP($C146,FCF_FIELD)/100,"")))</f>
        <v/>
      </c>
      <c r="AM146" s="76">
        <f>IF($C146="","",IF(ISNUMBER(HSTECH!$I$41),HSTECH!$I$41/100,""))</f>
        <v/>
      </c>
      <c r="AN146" s="47">
        <f>IF($C146="","",IF(N($AM146)=0,"",IFERROR($AL146/$AM146,"")))</f>
        <v/>
      </c>
      <c r="AO146" s="33">
        <f>IF($C146="","",IF(ISNUMBER($S146)*ISNUMBER($W146)=0,"",IF($W146&gt;$S146+0.05,"rising",IF($W146&lt;$S146-0.05,"falling","stable"))))</f>
        <v/>
      </c>
      <c r="AP146" s="77">
        <f>IF($C146="","",TRIM(IF(ISNUMBER($X146)*(N($X146)&gt;$D$4)&gt;0,"payout high  ","")&amp;IF(ISNUMBER($AN146)*(N($AN146)&lt;$F$4)&gt;0,"FCF below dvd  ","")&amp;IF(ISNUMBER($AJ146)*(N($AJ146)&gt;$H$4)&gt;0,"leverage high","")))</f>
        <v/>
      </c>
      <c r="AQ146" s="78">
        <f>IF($C146="","",IF(HSTECH!$F$41="HKD","",HSTECH!$F$41))</f>
        <v/>
      </c>
    </row>
    <row r="147">
      <c r="B147" s="62" t="inlineStr">
        <is>
          <t>HSTECH</t>
        </is>
      </c>
      <c r="C147" s="6">
        <f>IF(HSTECH!$C$42="","",HSTECH!$C$42)</f>
        <v/>
      </c>
      <c r="D147" s="6">
        <f>IF($C147="","",HSTECH!$D$42)</f>
        <v/>
      </c>
      <c r="E147" s="6">
        <f>IF($C147="","",HSTECH!$E$42)</f>
        <v/>
      </c>
      <c r="F147" s="63">
        <f>IF($C147="","",SUMPRODUCT(('Dvd Calendar'!$E$1501:$AR$1501&gt;=DATE(YEAR_Y-5,1,1))*('Dvd Calendar'!$E$1501:$AR$1501&lt;=DATE(YEAR_Y-5,12,31))*'Dvd Calendar'!$E$1504:$AR$1504*(('Dvd Calendar'!$E$1506:$AR$1506=TYPE1)*(TYPE1&lt;&gt;"")+('Dvd Calendar'!$E$1506:$AR$1506=TYPE2)*(TYPE2&lt;&gt;"")+('Dvd Calendar'!$E$1506:$AR$1506=TYPE3)*(TYPE3&lt;&gt;"")+('Dvd Calendar'!$E$1506:$AR$1506=TYPE4)*(TYPE4&lt;&gt;"")+('Dvd Calendar'!$E$1506:$AR$1506=SPECIAL_LBL)*(INC_SPECIALS="Y"))))</f>
        <v/>
      </c>
      <c r="G147" s="64">
        <f>IF($C147="","",SUMPRODUCT(('Dvd Calendar'!$E$1501:$AR$1501&gt;=DATE(YEAR_Y-4,1,1))*('Dvd Calendar'!$E$1501:$AR$1501&lt;=DATE(YEAR_Y-4,12,31))*'Dvd Calendar'!$E$1504:$AR$1504*(('Dvd Calendar'!$E$1506:$AR$1506=TYPE1)*(TYPE1&lt;&gt;"")+('Dvd Calendar'!$E$1506:$AR$1506=TYPE2)*(TYPE2&lt;&gt;"")+('Dvd Calendar'!$E$1506:$AR$1506=TYPE3)*(TYPE3&lt;&gt;"")+('Dvd Calendar'!$E$1506:$AR$1506=TYPE4)*(TYPE4&lt;&gt;"")+('Dvd Calendar'!$E$1506:$AR$1506=SPECIAL_LBL)*(INC_SPECIALS="Y"))))</f>
        <v/>
      </c>
      <c r="H147" s="64">
        <f>IF($C147="","",SUMPRODUCT(('Dvd Calendar'!$E$1501:$AR$1501&gt;=DATE(YEAR_Y-3,1,1))*('Dvd Calendar'!$E$1501:$AR$1501&lt;=DATE(YEAR_Y-3,12,31))*'Dvd Calendar'!$E$1504:$AR$1504*(('Dvd Calendar'!$E$1506:$AR$1506=TYPE1)*(TYPE1&lt;&gt;"")+('Dvd Calendar'!$E$1506:$AR$1506=TYPE2)*(TYPE2&lt;&gt;"")+('Dvd Calendar'!$E$1506:$AR$1506=TYPE3)*(TYPE3&lt;&gt;"")+('Dvd Calendar'!$E$1506:$AR$1506=TYPE4)*(TYPE4&lt;&gt;"")+('Dvd Calendar'!$E$1506:$AR$1506=SPECIAL_LBL)*(INC_SPECIALS="Y"))))</f>
        <v/>
      </c>
      <c r="I147" s="64">
        <f>IF($C147="","",SUMPRODUCT(('Dvd Calendar'!$E$1501:$AR$1501&gt;=DATE(YEAR_Y-2,1,1))*('Dvd Calendar'!$E$1501:$AR$1501&lt;=DATE(YEAR_Y-2,12,31))*'Dvd Calendar'!$E$1504:$AR$1504*(('Dvd Calendar'!$E$1506:$AR$1506=TYPE1)*(TYPE1&lt;&gt;"")+('Dvd Calendar'!$E$1506:$AR$1506=TYPE2)*(TYPE2&lt;&gt;"")+('Dvd Calendar'!$E$1506:$AR$1506=TYPE3)*(TYPE3&lt;&gt;"")+('Dvd Calendar'!$E$1506:$AR$1506=TYPE4)*(TYPE4&lt;&gt;"")+('Dvd Calendar'!$E$1506:$AR$1506=SPECIAL_LBL)*(INC_SPECIALS="Y"))))</f>
        <v/>
      </c>
      <c r="J147" s="64">
        <f>IF($C147="","",SUMPRODUCT(('Dvd Calendar'!$E$1501:$AR$1501&gt;=DATE(YEAR_Y-1,1,1))*('Dvd Calendar'!$E$1501:$AR$1501&lt;=DATE(YEAR_Y-1,12,31))*'Dvd Calendar'!$E$1504:$AR$1504*(('Dvd Calendar'!$E$1506:$AR$1506=TYPE1)*(TYPE1&lt;&gt;"")+('Dvd Calendar'!$E$1506:$AR$1506=TYPE2)*(TYPE2&lt;&gt;"")+('Dvd Calendar'!$E$1506:$AR$1506=TYPE3)*(TYPE3&lt;&gt;"")+('Dvd Calendar'!$E$1506:$AR$1506=TYPE4)*(TYPE4&lt;&gt;"")+('Dvd Calendar'!$E$1506:$AR$1506=SPECIAL_LBL)*(INC_SPECIALS="Y"))))</f>
        <v/>
      </c>
      <c r="K147" s="65">
        <f>IF($C147="","",HSTECH!$J$42)</f>
        <v/>
      </c>
      <c r="L147" s="65">
        <f>IF($C147="","",HSTECH!$K$42)</f>
        <v/>
      </c>
      <c r="M147" s="41">
        <f>IF($C147="","",AVERAGE(F147:J147))</f>
        <v/>
      </c>
      <c r="N147" s="66">
        <f>IF($C147="","",IF(PULL_FUND="N","",IFERROR(BDP($C147,EPS_FIELD,YR_OVERRIDE,TEXT(YEAR_Y-5,"0")),"")))</f>
        <v/>
      </c>
      <c r="O147" s="67">
        <f>IF($C147="","",IF(PULL_FUND="N","",IFERROR(BDP($C147,EPS_FIELD,YR_OVERRIDE,TEXT(YEAR_Y-4,"0")),"")))</f>
        <v/>
      </c>
      <c r="P147" s="67">
        <f>IF($C147="","",IF(PULL_FUND="N","",IFERROR(BDP($C147,EPS_FIELD,YR_OVERRIDE,TEXT(YEAR_Y-3,"0")),"")))</f>
        <v/>
      </c>
      <c r="Q147" s="67">
        <f>IF($C147="","",IF(PULL_FUND="N","",IFERROR(BDP($C147,EPS_FIELD,YR_OVERRIDE,TEXT(YEAR_Y-2,"0")),"")))</f>
        <v/>
      </c>
      <c r="R147" s="67">
        <f>IF($C147="","",IF(PULL_FUND="N","",IFERROR(BDP($C147,EPS_FIELD,YR_OVERRIDE,TEXT(YEAR_Y-1,"0")),"")))</f>
        <v/>
      </c>
      <c r="S147" s="68">
        <f>IF($C147="","",IF(PULL_FUND="N","",IFERROR(BDP($C147,PAYOUT_FIELD,YR_OVERRIDE,TEXT(YEAR_Y-5,"0"))/100,"")))</f>
        <v/>
      </c>
      <c r="T147" s="68">
        <f>IF($C147="","",IF(PULL_FUND="N","",IFERROR(BDP($C147,PAYOUT_FIELD,YR_OVERRIDE,TEXT(YEAR_Y-4,"0"))/100,"")))</f>
        <v/>
      </c>
      <c r="U147" s="68">
        <f>IF($C147="","",IF(PULL_FUND="N","",IFERROR(BDP($C147,PAYOUT_FIELD,YR_OVERRIDE,TEXT(YEAR_Y-3,"0"))/100,"")))</f>
        <v/>
      </c>
      <c r="V147" s="68">
        <f>IF($C147="","",IF(PULL_FUND="N","",IFERROR(BDP($C147,PAYOUT_FIELD,YR_OVERRIDE,TEXT(YEAR_Y-2,"0"))/100,"")))</f>
        <v/>
      </c>
      <c r="W147" s="68">
        <f>IF($C147="","",IF(PULL_FUND="N","",IFERROR(BDP($C147,PAYOUT_FIELD,YR_OVERRIDE,TEXT(YEAR_Y-1,"0"))/100,"")))</f>
        <v/>
      </c>
      <c r="X147" s="69">
        <f>IF($C147="","",IFERROR(AVERAGE(S147:W147),""))</f>
        <v/>
      </c>
      <c r="Y147" s="66">
        <f>IF($C147="","",IF(PULL_FUND="N","",IFERROR(BDP($C147,BESTEPS_FIELD,FWD_OVERRIDE,TEXT(MOD(YEAR_Y,100),"00")&amp;"Y"),"")))</f>
        <v/>
      </c>
      <c r="Z147" s="70">
        <f>IF($C147="","",IF(PULL_FUND="N","",IFERROR(BDP($C147,BESTDPS_FIELD,FWD_OVERRIDE,TEXT(MOD(YEAR_Y,100),"00")&amp;"Y"),"")))</f>
        <v/>
      </c>
      <c r="AA147" s="71">
        <f>IF($C147="","",IF(ISNUMBER($Y147)*ISNUMBER($Z147)*($Y147&lt;&gt;0)=0,"",$Z147/$Y147))</f>
        <v/>
      </c>
      <c r="AB147" s="41">
        <f>IF($C147="","",HSTECH!$J$42+HSTECH!$L$42)</f>
        <v/>
      </c>
      <c r="AC147" s="72">
        <f>IF($C147="","",IF(PULL_FUND="N","",IF(COUNTIFS('Fund History'!$G$822:$G$826,"&gt;="&amp;DATE(YEAR_Y-4,1,1),'Fund History'!$G$822:$G$826,"&lt;="&amp;DATE(YEAR_Y-4,12,31))=0,"",SUMIFS('Fund History'!$H$822:$H$826,'Fund History'!$G$822:$G$826,"&gt;="&amp;DATE(YEAR_Y-4,1,1),'Fund History'!$G$822:$G$826,"&lt;="&amp;DATE(YEAR_Y-4,12,31))/100)))</f>
        <v/>
      </c>
      <c r="AD147" s="73">
        <f>IF($C147="","",IF(PULL_FUND="N","",IF(COUNTIFS('Fund History'!$G$822:$G$826,"&gt;="&amp;DATE(YEAR_Y-3,1,1),'Fund History'!$G$822:$G$826,"&lt;="&amp;DATE(YEAR_Y-3,12,31))=0,"",SUMIFS('Fund History'!$H$822:$H$826,'Fund History'!$G$822:$G$826,"&gt;="&amp;DATE(YEAR_Y-3,1,1),'Fund History'!$G$822:$G$826,"&lt;="&amp;DATE(YEAR_Y-3,12,31))/100)))</f>
        <v/>
      </c>
      <c r="AE147" s="73">
        <f>IF($C147="","",IF(PULL_FUND="N","",IF(COUNTIFS('Fund History'!$G$822:$G$826,"&gt;="&amp;DATE(YEAR_Y-2,1,1),'Fund History'!$G$822:$G$826,"&lt;="&amp;DATE(YEAR_Y-2,12,31))=0,"",SUMIFS('Fund History'!$H$822:$H$826,'Fund History'!$G$822:$G$826,"&gt;="&amp;DATE(YEAR_Y-2,1,1),'Fund History'!$G$822:$G$826,"&lt;="&amp;DATE(YEAR_Y-2,12,31))/100)))</f>
        <v/>
      </c>
      <c r="AF147" s="73">
        <f>IF($C147="","",IF(PULL_FUND="N","",IF(COUNTIFS('Fund History'!$G$822:$G$826,"&gt;="&amp;DATE(YEAR_Y-1,1,1),'Fund History'!$G$822:$G$826,"&lt;="&amp;DATE(YEAR_Y-1,12,31))=0,"",SUMIFS('Fund History'!$H$822:$H$826,'Fund History'!$G$822:$G$826,"&gt;="&amp;DATE(YEAR_Y-1,1,1),'Fund History'!$G$822:$G$826,"&lt;="&amp;DATE(YEAR_Y-1,12,31))/100)))</f>
        <v/>
      </c>
      <c r="AG147" s="74">
        <f>IF($C147="","",IF(N($AF147)+N(HSTECH!$I$42)=0,"",N($AF147)+N(HSTECH!$I$42)/100))</f>
        <v/>
      </c>
      <c r="AH147" s="66">
        <f>IF($C147="","",IF(PULL_FUND="N","",IF(COUNTIFS('Fund History'!$D$822:$D$826,"&gt;="&amp;DATE(YEAR_Y-2,1,1),'Fund History'!$D$822:$D$826,"&lt;="&amp;DATE(YEAR_Y-2,12,31))=0,"",SUMIFS('Fund History'!$E$822:$E$826,'Fund History'!$D$822:$D$826,"&gt;="&amp;DATE(YEAR_Y-2,1,1),'Fund History'!$D$822:$D$826,"&lt;="&amp;DATE(YEAR_Y-2,12,31)))))</f>
        <v/>
      </c>
      <c r="AI147" s="67">
        <f>IF($C147="","",IF(PULL_FUND="N","",IF(COUNTIFS('Fund History'!$D$822:$D$826,"&gt;="&amp;DATE(YEAR_Y-1,1,1),'Fund History'!$D$822:$D$826,"&lt;="&amp;DATE(YEAR_Y-1,12,31))=0,"",SUMIFS('Fund History'!$E$822:$E$826,'Fund History'!$D$822:$D$826,"&gt;="&amp;DATE(YEAR_Y-1,1,1),'Fund History'!$D$822:$D$826,"&lt;="&amp;DATE(YEAR_Y-1,12,31)))))</f>
        <v/>
      </c>
      <c r="AJ147" s="67">
        <f>IF($C147="","",IF(PULL_FUND="N","",IFERROR(BDP($C147,NDEBITDA_FIELD),"")))</f>
        <v/>
      </c>
      <c r="AK147" s="75">
        <f>IF($C147="","",IF(PULL_FUND="N","",IFERROR(BDP($C147,EBINT_FIELD),"")))</f>
        <v/>
      </c>
      <c r="AL147" s="73">
        <f>IF($C147="","",IF(PULL_FUND="N","",IFERROR(BDP($C147,FCF_FIELD)/100,"")))</f>
        <v/>
      </c>
      <c r="AM147" s="76">
        <f>IF($C147="","",IF(ISNUMBER(HSTECH!$I$42),HSTECH!$I$42/100,""))</f>
        <v/>
      </c>
      <c r="AN147" s="47">
        <f>IF($C147="","",IF(N($AM147)=0,"",IFERROR($AL147/$AM147,"")))</f>
        <v/>
      </c>
      <c r="AO147" s="33">
        <f>IF($C147="","",IF(ISNUMBER($S147)*ISNUMBER($W147)=0,"",IF($W147&gt;$S147+0.05,"rising",IF($W147&lt;$S147-0.05,"falling","stable"))))</f>
        <v/>
      </c>
      <c r="AP147" s="77">
        <f>IF($C147="","",TRIM(IF(ISNUMBER($X147)*(N($X147)&gt;$D$4)&gt;0,"payout high  ","")&amp;IF(ISNUMBER($AN147)*(N($AN147)&lt;$F$4)&gt;0,"FCF below dvd  ","")&amp;IF(ISNUMBER($AJ147)*(N($AJ147)&gt;$H$4)&gt;0,"leverage high","")))</f>
        <v/>
      </c>
      <c r="AQ147" s="78">
        <f>IF($C147="","",IF(HSTECH!$F$42="HKD","",HSTECH!$F$42))</f>
        <v/>
      </c>
    </row>
    <row r="148">
      <c r="B148" s="62" t="inlineStr">
        <is>
          <t>HSTECH</t>
        </is>
      </c>
      <c r="C148" s="6">
        <f>IF(HSTECH!$C$43="","",HSTECH!$C$43)</f>
        <v/>
      </c>
      <c r="D148" s="6">
        <f>IF($C148="","",HSTECH!$D$43)</f>
        <v/>
      </c>
      <c r="E148" s="6">
        <f>IF($C148="","",HSTECH!$E$43)</f>
        <v/>
      </c>
      <c r="F148" s="63">
        <f>IF($C148="","",SUMPRODUCT(('Dvd Calendar'!$E$1512:$AR$1512&gt;=DATE(YEAR_Y-5,1,1))*('Dvd Calendar'!$E$1512:$AR$1512&lt;=DATE(YEAR_Y-5,12,31))*'Dvd Calendar'!$E$1515:$AR$1515*(('Dvd Calendar'!$E$1517:$AR$1517=TYPE1)*(TYPE1&lt;&gt;"")+('Dvd Calendar'!$E$1517:$AR$1517=TYPE2)*(TYPE2&lt;&gt;"")+('Dvd Calendar'!$E$1517:$AR$1517=TYPE3)*(TYPE3&lt;&gt;"")+('Dvd Calendar'!$E$1517:$AR$1517=TYPE4)*(TYPE4&lt;&gt;"")+('Dvd Calendar'!$E$1517:$AR$1517=SPECIAL_LBL)*(INC_SPECIALS="Y"))))</f>
        <v/>
      </c>
      <c r="G148" s="64">
        <f>IF($C148="","",SUMPRODUCT(('Dvd Calendar'!$E$1512:$AR$1512&gt;=DATE(YEAR_Y-4,1,1))*('Dvd Calendar'!$E$1512:$AR$1512&lt;=DATE(YEAR_Y-4,12,31))*'Dvd Calendar'!$E$1515:$AR$1515*(('Dvd Calendar'!$E$1517:$AR$1517=TYPE1)*(TYPE1&lt;&gt;"")+('Dvd Calendar'!$E$1517:$AR$1517=TYPE2)*(TYPE2&lt;&gt;"")+('Dvd Calendar'!$E$1517:$AR$1517=TYPE3)*(TYPE3&lt;&gt;"")+('Dvd Calendar'!$E$1517:$AR$1517=TYPE4)*(TYPE4&lt;&gt;"")+('Dvd Calendar'!$E$1517:$AR$1517=SPECIAL_LBL)*(INC_SPECIALS="Y"))))</f>
        <v/>
      </c>
      <c r="H148" s="64">
        <f>IF($C148="","",SUMPRODUCT(('Dvd Calendar'!$E$1512:$AR$1512&gt;=DATE(YEAR_Y-3,1,1))*('Dvd Calendar'!$E$1512:$AR$1512&lt;=DATE(YEAR_Y-3,12,31))*'Dvd Calendar'!$E$1515:$AR$1515*(('Dvd Calendar'!$E$1517:$AR$1517=TYPE1)*(TYPE1&lt;&gt;"")+('Dvd Calendar'!$E$1517:$AR$1517=TYPE2)*(TYPE2&lt;&gt;"")+('Dvd Calendar'!$E$1517:$AR$1517=TYPE3)*(TYPE3&lt;&gt;"")+('Dvd Calendar'!$E$1517:$AR$1517=TYPE4)*(TYPE4&lt;&gt;"")+('Dvd Calendar'!$E$1517:$AR$1517=SPECIAL_LBL)*(INC_SPECIALS="Y"))))</f>
        <v/>
      </c>
      <c r="I148" s="64">
        <f>IF($C148="","",SUMPRODUCT(('Dvd Calendar'!$E$1512:$AR$1512&gt;=DATE(YEAR_Y-2,1,1))*('Dvd Calendar'!$E$1512:$AR$1512&lt;=DATE(YEAR_Y-2,12,31))*'Dvd Calendar'!$E$1515:$AR$1515*(('Dvd Calendar'!$E$1517:$AR$1517=TYPE1)*(TYPE1&lt;&gt;"")+('Dvd Calendar'!$E$1517:$AR$1517=TYPE2)*(TYPE2&lt;&gt;"")+('Dvd Calendar'!$E$1517:$AR$1517=TYPE3)*(TYPE3&lt;&gt;"")+('Dvd Calendar'!$E$1517:$AR$1517=TYPE4)*(TYPE4&lt;&gt;"")+('Dvd Calendar'!$E$1517:$AR$1517=SPECIAL_LBL)*(INC_SPECIALS="Y"))))</f>
        <v/>
      </c>
      <c r="J148" s="64">
        <f>IF($C148="","",SUMPRODUCT(('Dvd Calendar'!$E$1512:$AR$1512&gt;=DATE(YEAR_Y-1,1,1))*('Dvd Calendar'!$E$1512:$AR$1512&lt;=DATE(YEAR_Y-1,12,31))*'Dvd Calendar'!$E$1515:$AR$1515*(('Dvd Calendar'!$E$1517:$AR$1517=TYPE1)*(TYPE1&lt;&gt;"")+('Dvd Calendar'!$E$1517:$AR$1517=TYPE2)*(TYPE2&lt;&gt;"")+('Dvd Calendar'!$E$1517:$AR$1517=TYPE3)*(TYPE3&lt;&gt;"")+('Dvd Calendar'!$E$1517:$AR$1517=TYPE4)*(TYPE4&lt;&gt;"")+('Dvd Calendar'!$E$1517:$AR$1517=SPECIAL_LBL)*(INC_SPECIALS="Y"))))</f>
        <v/>
      </c>
      <c r="K148" s="65">
        <f>IF($C148="","",HSTECH!$J$43)</f>
        <v/>
      </c>
      <c r="L148" s="65">
        <f>IF($C148="","",HSTECH!$K$43)</f>
        <v/>
      </c>
      <c r="M148" s="41">
        <f>IF($C148="","",AVERAGE(F148:J148))</f>
        <v/>
      </c>
      <c r="N148" s="66">
        <f>IF($C148="","",IF(PULL_FUND="N","",IFERROR(BDP($C148,EPS_FIELD,YR_OVERRIDE,TEXT(YEAR_Y-5,"0")),"")))</f>
        <v/>
      </c>
      <c r="O148" s="67">
        <f>IF($C148="","",IF(PULL_FUND="N","",IFERROR(BDP($C148,EPS_FIELD,YR_OVERRIDE,TEXT(YEAR_Y-4,"0")),"")))</f>
        <v/>
      </c>
      <c r="P148" s="67">
        <f>IF($C148="","",IF(PULL_FUND="N","",IFERROR(BDP($C148,EPS_FIELD,YR_OVERRIDE,TEXT(YEAR_Y-3,"0")),"")))</f>
        <v/>
      </c>
      <c r="Q148" s="67">
        <f>IF($C148="","",IF(PULL_FUND="N","",IFERROR(BDP($C148,EPS_FIELD,YR_OVERRIDE,TEXT(YEAR_Y-2,"0")),"")))</f>
        <v/>
      </c>
      <c r="R148" s="67">
        <f>IF($C148="","",IF(PULL_FUND="N","",IFERROR(BDP($C148,EPS_FIELD,YR_OVERRIDE,TEXT(YEAR_Y-1,"0")),"")))</f>
        <v/>
      </c>
      <c r="S148" s="68">
        <f>IF($C148="","",IF(PULL_FUND="N","",IFERROR(BDP($C148,PAYOUT_FIELD,YR_OVERRIDE,TEXT(YEAR_Y-5,"0"))/100,"")))</f>
        <v/>
      </c>
      <c r="T148" s="68">
        <f>IF($C148="","",IF(PULL_FUND="N","",IFERROR(BDP($C148,PAYOUT_FIELD,YR_OVERRIDE,TEXT(YEAR_Y-4,"0"))/100,"")))</f>
        <v/>
      </c>
      <c r="U148" s="68">
        <f>IF($C148="","",IF(PULL_FUND="N","",IFERROR(BDP($C148,PAYOUT_FIELD,YR_OVERRIDE,TEXT(YEAR_Y-3,"0"))/100,"")))</f>
        <v/>
      </c>
      <c r="V148" s="68">
        <f>IF($C148="","",IF(PULL_FUND="N","",IFERROR(BDP($C148,PAYOUT_FIELD,YR_OVERRIDE,TEXT(YEAR_Y-2,"0"))/100,"")))</f>
        <v/>
      </c>
      <c r="W148" s="68">
        <f>IF($C148="","",IF(PULL_FUND="N","",IFERROR(BDP($C148,PAYOUT_FIELD,YR_OVERRIDE,TEXT(YEAR_Y-1,"0"))/100,"")))</f>
        <v/>
      </c>
      <c r="X148" s="69">
        <f>IF($C148="","",IFERROR(AVERAGE(S148:W148),""))</f>
        <v/>
      </c>
      <c r="Y148" s="66">
        <f>IF($C148="","",IF(PULL_FUND="N","",IFERROR(BDP($C148,BESTEPS_FIELD,FWD_OVERRIDE,TEXT(MOD(YEAR_Y,100),"00")&amp;"Y"),"")))</f>
        <v/>
      </c>
      <c r="Z148" s="70">
        <f>IF($C148="","",IF(PULL_FUND="N","",IFERROR(BDP($C148,BESTDPS_FIELD,FWD_OVERRIDE,TEXT(MOD(YEAR_Y,100),"00")&amp;"Y"),"")))</f>
        <v/>
      </c>
      <c r="AA148" s="71">
        <f>IF($C148="","",IF(ISNUMBER($Y148)*ISNUMBER($Z148)*($Y148&lt;&gt;0)=0,"",$Z148/$Y148))</f>
        <v/>
      </c>
      <c r="AB148" s="41">
        <f>IF($C148="","",HSTECH!$J$43+HSTECH!$L$43)</f>
        <v/>
      </c>
      <c r="AC148" s="72">
        <f>IF($C148="","",IF(PULL_FUND="N","",IF(COUNTIFS('Fund History'!$G$828:$G$832,"&gt;="&amp;DATE(YEAR_Y-4,1,1),'Fund History'!$G$828:$G$832,"&lt;="&amp;DATE(YEAR_Y-4,12,31))=0,"",SUMIFS('Fund History'!$H$828:$H$832,'Fund History'!$G$828:$G$832,"&gt;="&amp;DATE(YEAR_Y-4,1,1),'Fund History'!$G$828:$G$832,"&lt;="&amp;DATE(YEAR_Y-4,12,31))/100)))</f>
        <v/>
      </c>
      <c r="AD148" s="73">
        <f>IF($C148="","",IF(PULL_FUND="N","",IF(COUNTIFS('Fund History'!$G$828:$G$832,"&gt;="&amp;DATE(YEAR_Y-3,1,1),'Fund History'!$G$828:$G$832,"&lt;="&amp;DATE(YEAR_Y-3,12,31))=0,"",SUMIFS('Fund History'!$H$828:$H$832,'Fund History'!$G$828:$G$832,"&gt;="&amp;DATE(YEAR_Y-3,1,1),'Fund History'!$G$828:$G$832,"&lt;="&amp;DATE(YEAR_Y-3,12,31))/100)))</f>
        <v/>
      </c>
      <c r="AE148" s="73">
        <f>IF($C148="","",IF(PULL_FUND="N","",IF(COUNTIFS('Fund History'!$G$828:$G$832,"&gt;="&amp;DATE(YEAR_Y-2,1,1),'Fund History'!$G$828:$G$832,"&lt;="&amp;DATE(YEAR_Y-2,12,31))=0,"",SUMIFS('Fund History'!$H$828:$H$832,'Fund History'!$G$828:$G$832,"&gt;="&amp;DATE(YEAR_Y-2,1,1),'Fund History'!$G$828:$G$832,"&lt;="&amp;DATE(YEAR_Y-2,12,31))/100)))</f>
        <v/>
      </c>
      <c r="AF148" s="73">
        <f>IF($C148="","",IF(PULL_FUND="N","",IF(COUNTIFS('Fund History'!$G$828:$G$832,"&gt;="&amp;DATE(YEAR_Y-1,1,1),'Fund History'!$G$828:$G$832,"&lt;="&amp;DATE(YEAR_Y-1,12,31))=0,"",SUMIFS('Fund History'!$H$828:$H$832,'Fund History'!$G$828:$G$832,"&gt;="&amp;DATE(YEAR_Y-1,1,1),'Fund History'!$G$828:$G$832,"&lt;="&amp;DATE(YEAR_Y-1,12,31))/100)))</f>
        <v/>
      </c>
      <c r="AG148" s="74">
        <f>IF($C148="","",IF(N($AF148)+N(HSTECH!$I$43)=0,"",N($AF148)+N(HSTECH!$I$43)/100))</f>
        <v/>
      </c>
      <c r="AH148" s="66">
        <f>IF($C148="","",IF(PULL_FUND="N","",IF(COUNTIFS('Fund History'!$D$828:$D$832,"&gt;="&amp;DATE(YEAR_Y-2,1,1),'Fund History'!$D$828:$D$832,"&lt;="&amp;DATE(YEAR_Y-2,12,31))=0,"",SUMIFS('Fund History'!$E$828:$E$832,'Fund History'!$D$828:$D$832,"&gt;="&amp;DATE(YEAR_Y-2,1,1),'Fund History'!$D$828:$D$832,"&lt;="&amp;DATE(YEAR_Y-2,12,31)))))</f>
        <v/>
      </c>
      <c r="AI148" s="67">
        <f>IF($C148="","",IF(PULL_FUND="N","",IF(COUNTIFS('Fund History'!$D$828:$D$832,"&gt;="&amp;DATE(YEAR_Y-1,1,1),'Fund History'!$D$828:$D$832,"&lt;="&amp;DATE(YEAR_Y-1,12,31))=0,"",SUMIFS('Fund History'!$E$828:$E$832,'Fund History'!$D$828:$D$832,"&gt;="&amp;DATE(YEAR_Y-1,1,1),'Fund History'!$D$828:$D$832,"&lt;="&amp;DATE(YEAR_Y-1,12,31)))))</f>
        <v/>
      </c>
      <c r="AJ148" s="67">
        <f>IF($C148="","",IF(PULL_FUND="N","",IFERROR(BDP($C148,NDEBITDA_FIELD),"")))</f>
        <v/>
      </c>
      <c r="AK148" s="75">
        <f>IF($C148="","",IF(PULL_FUND="N","",IFERROR(BDP($C148,EBINT_FIELD),"")))</f>
        <v/>
      </c>
      <c r="AL148" s="73">
        <f>IF($C148="","",IF(PULL_FUND="N","",IFERROR(BDP($C148,FCF_FIELD)/100,"")))</f>
        <v/>
      </c>
      <c r="AM148" s="76">
        <f>IF($C148="","",IF(ISNUMBER(HSTECH!$I$43),HSTECH!$I$43/100,""))</f>
        <v/>
      </c>
      <c r="AN148" s="47">
        <f>IF($C148="","",IF(N($AM148)=0,"",IFERROR($AL148/$AM148,"")))</f>
        <v/>
      </c>
      <c r="AO148" s="33">
        <f>IF($C148="","",IF(ISNUMBER($S148)*ISNUMBER($W148)=0,"",IF($W148&gt;$S148+0.05,"rising",IF($W148&lt;$S148-0.05,"falling","stable"))))</f>
        <v/>
      </c>
      <c r="AP148" s="77">
        <f>IF($C148="","",TRIM(IF(ISNUMBER($X148)*(N($X148)&gt;$D$4)&gt;0,"payout high  ","")&amp;IF(ISNUMBER($AN148)*(N($AN148)&lt;$F$4)&gt;0,"FCF below dvd  ","")&amp;IF(ISNUMBER($AJ148)*(N($AJ148)&gt;$H$4)&gt;0,"leverage high","")))</f>
        <v/>
      </c>
      <c r="AQ148" s="78">
        <f>IF($C148="","",IF(HSTECH!$F$43="HKD","",HSTECH!$F$43))</f>
        <v/>
      </c>
    </row>
    <row r="149">
      <c r="B149" s="62" t="inlineStr">
        <is>
          <t>HSTECH</t>
        </is>
      </c>
      <c r="C149" s="6">
        <f>IF(HSTECH!$C$44="","",HSTECH!$C$44)</f>
        <v/>
      </c>
      <c r="D149" s="6">
        <f>IF($C149="","",HSTECH!$D$44)</f>
        <v/>
      </c>
      <c r="E149" s="6">
        <f>IF($C149="","",HSTECH!$E$44)</f>
        <v/>
      </c>
      <c r="F149" s="63">
        <f>IF($C149="","",SUMPRODUCT(('Dvd Calendar'!$E$1523:$AR$1523&gt;=DATE(YEAR_Y-5,1,1))*('Dvd Calendar'!$E$1523:$AR$1523&lt;=DATE(YEAR_Y-5,12,31))*'Dvd Calendar'!$E$1526:$AR$1526*(('Dvd Calendar'!$E$1528:$AR$1528=TYPE1)*(TYPE1&lt;&gt;"")+('Dvd Calendar'!$E$1528:$AR$1528=TYPE2)*(TYPE2&lt;&gt;"")+('Dvd Calendar'!$E$1528:$AR$1528=TYPE3)*(TYPE3&lt;&gt;"")+('Dvd Calendar'!$E$1528:$AR$1528=TYPE4)*(TYPE4&lt;&gt;"")+('Dvd Calendar'!$E$1528:$AR$1528=SPECIAL_LBL)*(INC_SPECIALS="Y"))))</f>
        <v/>
      </c>
      <c r="G149" s="64">
        <f>IF($C149="","",SUMPRODUCT(('Dvd Calendar'!$E$1523:$AR$1523&gt;=DATE(YEAR_Y-4,1,1))*('Dvd Calendar'!$E$1523:$AR$1523&lt;=DATE(YEAR_Y-4,12,31))*'Dvd Calendar'!$E$1526:$AR$1526*(('Dvd Calendar'!$E$1528:$AR$1528=TYPE1)*(TYPE1&lt;&gt;"")+('Dvd Calendar'!$E$1528:$AR$1528=TYPE2)*(TYPE2&lt;&gt;"")+('Dvd Calendar'!$E$1528:$AR$1528=TYPE3)*(TYPE3&lt;&gt;"")+('Dvd Calendar'!$E$1528:$AR$1528=TYPE4)*(TYPE4&lt;&gt;"")+('Dvd Calendar'!$E$1528:$AR$1528=SPECIAL_LBL)*(INC_SPECIALS="Y"))))</f>
        <v/>
      </c>
      <c r="H149" s="64">
        <f>IF($C149="","",SUMPRODUCT(('Dvd Calendar'!$E$1523:$AR$1523&gt;=DATE(YEAR_Y-3,1,1))*('Dvd Calendar'!$E$1523:$AR$1523&lt;=DATE(YEAR_Y-3,12,31))*'Dvd Calendar'!$E$1526:$AR$1526*(('Dvd Calendar'!$E$1528:$AR$1528=TYPE1)*(TYPE1&lt;&gt;"")+('Dvd Calendar'!$E$1528:$AR$1528=TYPE2)*(TYPE2&lt;&gt;"")+('Dvd Calendar'!$E$1528:$AR$1528=TYPE3)*(TYPE3&lt;&gt;"")+('Dvd Calendar'!$E$1528:$AR$1528=TYPE4)*(TYPE4&lt;&gt;"")+('Dvd Calendar'!$E$1528:$AR$1528=SPECIAL_LBL)*(INC_SPECIALS="Y"))))</f>
        <v/>
      </c>
      <c r="I149" s="64">
        <f>IF($C149="","",SUMPRODUCT(('Dvd Calendar'!$E$1523:$AR$1523&gt;=DATE(YEAR_Y-2,1,1))*('Dvd Calendar'!$E$1523:$AR$1523&lt;=DATE(YEAR_Y-2,12,31))*'Dvd Calendar'!$E$1526:$AR$1526*(('Dvd Calendar'!$E$1528:$AR$1528=TYPE1)*(TYPE1&lt;&gt;"")+('Dvd Calendar'!$E$1528:$AR$1528=TYPE2)*(TYPE2&lt;&gt;"")+('Dvd Calendar'!$E$1528:$AR$1528=TYPE3)*(TYPE3&lt;&gt;"")+('Dvd Calendar'!$E$1528:$AR$1528=TYPE4)*(TYPE4&lt;&gt;"")+('Dvd Calendar'!$E$1528:$AR$1528=SPECIAL_LBL)*(INC_SPECIALS="Y"))))</f>
        <v/>
      </c>
      <c r="J149" s="64">
        <f>IF($C149="","",SUMPRODUCT(('Dvd Calendar'!$E$1523:$AR$1523&gt;=DATE(YEAR_Y-1,1,1))*('Dvd Calendar'!$E$1523:$AR$1523&lt;=DATE(YEAR_Y-1,12,31))*'Dvd Calendar'!$E$1526:$AR$1526*(('Dvd Calendar'!$E$1528:$AR$1528=TYPE1)*(TYPE1&lt;&gt;"")+('Dvd Calendar'!$E$1528:$AR$1528=TYPE2)*(TYPE2&lt;&gt;"")+('Dvd Calendar'!$E$1528:$AR$1528=TYPE3)*(TYPE3&lt;&gt;"")+('Dvd Calendar'!$E$1528:$AR$1528=TYPE4)*(TYPE4&lt;&gt;"")+('Dvd Calendar'!$E$1528:$AR$1528=SPECIAL_LBL)*(INC_SPECIALS="Y"))))</f>
        <v/>
      </c>
      <c r="K149" s="65">
        <f>IF($C149="","",HSTECH!$J$44)</f>
        <v/>
      </c>
      <c r="L149" s="65">
        <f>IF($C149="","",HSTECH!$K$44)</f>
        <v/>
      </c>
      <c r="M149" s="41">
        <f>IF($C149="","",AVERAGE(F149:J149))</f>
        <v/>
      </c>
      <c r="N149" s="66">
        <f>IF($C149="","",IF(PULL_FUND="N","",IFERROR(BDP($C149,EPS_FIELD,YR_OVERRIDE,TEXT(YEAR_Y-5,"0")),"")))</f>
        <v/>
      </c>
      <c r="O149" s="67">
        <f>IF($C149="","",IF(PULL_FUND="N","",IFERROR(BDP($C149,EPS_FIELD,YR_OVERRIDE,TEXT(YEAR_Y-4,"0")),"")))</f>
        <v/>
      </c>
      <c r="P149" s="67">
        <f>IF($C149="","",IF(PULL_FUND="N","",IFERROR(BDP($C149,EPS_FIELD,YR_OVERRIDE,TEXT(YEAR_Y-3,"0")),"")))</f>
        <v/>
      </c>
      <c r="Q149" s="67">
        <f>IF($C149="","",IF(PULL_FUND="N","",IFERROR(BDP($C149,EPS_FIELD,YR_OVERRIDE,TEXT(YEAR_Y-2,"0")),"")))</f>
        <v/>
      </c>
      <c r="R149" s="67">
        <f>IF($C149="","",IF(PULL_FUND="N","",IFERROR(BDP($C149,EPS_FIELD,YR_OVERRIDE,TEXT(YEAR_Y-1,"0")),"")))</f>
        <v/>
      </c>
      <c r="S149" s="68">
        <f>IF($C149="","",IF(PULL_FUND="N","",IFERROR(BDP($C149,PAYOUT_FIELD,YR_OVERRIDE,TEXT(YEAR_Y-5,"0"))/100,"")))</f>
        <v/>
      </c>
      <c r="T149" s="68">
        <f>IF($C149="","",IF(PULL_FUND="N","",IFERROR(BDP($C149,PAYOUT_FIELD,YR_OVERRIDE,TEXT(YEAR_Y-4,"0"))/100,"")))</f>
        <v/>
      </c>
      <c r="U149" s="68">
        <f>IF($C149="","",IF(PULL_FUND="N","",IFERROR(BDP($C149,PAYOUT_FIELD,YR_OVERRIDE,TEXT(YEAR_Y-3,"0"))/100,"")))</f>
        <v/>
      </c>
      <c r="V149" s="68">
        <f>IF($C149="","",IF(PULL_FUND="N","",IFERROR(BDP($C149,PAYOUT_FIELD,YR_OVERRIDE,TEXT(YEAR_Y-2,"0"))/100,"")))</f>
        <v/>
      </c>
      <c r="W149" s="68">
        <f>IF($C149="","",IF(PULL_FUND="N","",IFERROR(BDP($C149,PAYOUT_FIELD,YR_OVERRIDE,TEXT(YEAR_Y-1,"0"))/100,"")))</f>
        <v/>
      </c>
      <c r="X149" s="69">
        <f>IF($C149="","",IFERROR(AVERAGE(S149:W149),""))</f>
        <v/>
      </c>
      <c r="Y149" s="66">
        <f>IF($C149="","",IF(PULL_FUND="N","",IFERROR(BDP($C149,BESTEPS_FIELD,FWD_OVERRIDE,TEXT(MOD(YEAR_Y,100),"00")&amp;"Y"),"")))</f>
        <v/>
      </c>
      <c r="Z149" s="70">
        <f>IF($C149="","",IF(PULL_FUND="N","",IFERROR(BDP($C149,BESTDPS_FIELD,FWD_OVERRIDE,TEXT(MOD(YEAR_Y,100),"00")&amp;"Y"),"")))</f>
        <v/>
      </c>
      <c r="AA149" s="71">
        <f>IF($C149="","",IF(ISNUMBER($Y149)*ISNUMBER($Z149)*($Y149&lt;&gt;0)=0,"",$Z149/$Y149))</f>
        <v/>
      </c>
      <c r="AB149" s="41">
        <f>IF($C149="","",HSTECH!$J$44+HSTECH!$L$44)</f>
        <v/>
      </c>
      <c r="AC149" s="72">
        <f>IF($C149="","",IF(PULL_FUND="N","",IF(COUNTIFS('Fund History'!$G$834:$G$838,"&gt;="&amp;DATE(YEAR_Y-4,1,1),'Fund History'!$G$834:$G$838,"&lt;="&amp;DATE(YEAR_Y-4,12,31))=0,"",SUMIFS('Fund History'!$H$834:$H$838,'Fund History'!$G$834:$G$838,"&gt;="&amp;DATE(YEAR_Y-4,1,1),'Fund History'!$G$834:$G$838,"&lt;="&amp;DATE(YEAR_Y-4,12,31))/100)))</f>
        <v/>
      </c>
      <c r="AD149" s="73">
        <f>IF($C149="","",IF(PULL_FUND="N","",IF(COUNTIFS('Fund History'!$G$834:$G$838,"&gt;="&amp;DATE(YEAR_Y-3,1,1),'Fund History'!$G$834:$G$838,"&lt;="&amp;DATE(YEAR_Y-3,12,31))=0,"",SUMIFS('Fund History'!$H$834:$H$838,'Fund History'!$G$834:$G$838,"&gt;="&amp;DATE(YEAR_Y-3,1,1),'Fund History'!$G$834:$G$838,"&lt;="&amp;DATE(YEAR_Y-3,12,31))/100)))</f>
        <v/>
      </c>
      <c r="AE149" s="73">
        <f>IF($C149="","",IF(PULL_FUND="N","",IF(COUNTIFS('Fund History'!$G$834:$G$838,"&gt;="&amp;DATE(YEAR_Y-2,1,1),'Fund History'!$G$834:$G$838,"&lt;="&amp;DATE(YEAR_Y-2,12,31))=0,"",SUMIFS('Fund History'!$H$834:$H$838,'Fund History'!$G$834:$G$838,"&gt;="&amp;DATE(YEAR_Y-2,1,1),'Fund History'!$G$834:$G$838,"&lt;="&amp;DATE(YEAR_Y-2,12,31))/100)))</f>
        <v/>
      </c>
      <c r="AF149" s="73">
        <f>IF($C149="","",IF(PULL_FUND="N","",IF(COUNTIFS('Fund History'!$G$834:$G$838,"&gt;="&amp;DATE(YEAR_Y-1,1,1),'Fund History'!$G$834:$G$838,"&lt;="&amp;DATE(YEAR_Y-1,12,31))=0,"",SUMIFS('Fund History'!$H$834:$H$838,'Fund History'!$G$834:$G$838,"&gt;="&amp;DATE(YEAR_Y-1,1,1),'Fund History'!$G$834:$G$838,"&lt;="&amp;DATE(YEAR_Y-1,12,31))/100)))</f>
        <v/>
      </c>
      <c r="AG149" s="74">
        <f>IF($C149="","",IF(N($AF149)+N(HSTECH!$I$44)=0,"",N($AF149)+N(HSTECH!$I$44)/100))</f>
        <v/>
      </c>
      <c r="AH149" s="66">
        <f>IF($C149="","",IF(PULL_FUND="N","",IF(COUNTIFS('Fund History'!$D$834:$D$838,"&gt;="&amp;DATE(YEAR_Y-2,1,1),'Fund History'!$D$834:$D$838,"&lt;="&amp;DATE(YEAR_Y-2,12,31))=0,"",SUMIFS('Fund History'!$E$834:$E$838,'Fund History'!$D$834:$D$838,"&gt;="&amp;DATE(YEAR_Y-2,1,1),'Fund History'!$D$834:$D$838,"&lt;="&amp;DATE(YEAR_Y-2,12,31)))))</f>
        <v/>
      </c>
      <c r="AI149" s="67">
        <f>IF($C149="","",IF(PULL_FUND="N","",IF(COUNTIFS('Fund History'!$D$834:$D$838,"&gt;="&amp;DATE(YEAR_Y-1,1,1),'Fund History'!$D$834:$D$838,"&lt;="&amp;DATE(YEAR_Y-1,12,31))=0,"",SUMIFS('Fund History'!$E$834:$E$838,'Fund History'!$D$834:$D$838,"&gt;="&amp;DATE(YEAR_Y-1,1,1),'Fund History'!$D$834:$D$838,"&lt;="&amp;DATE(YEAR_Y-1,12,31)))))</f>
        <v/>
      </c>
      <c r="AJ149" s="67">
        <f>IF($C149="","",IF(PULL_FUND="N","",IFERROR(BDP($C149,NDEBITDA_FIELD),"")))</f>
        <v/>
      </c>
      <c r="AK149" s="75">
        <f>IF($C149="","",IF(PULL_FUND="N","",IFERROR(BDP($C149,EBINT_FIELD),"")))</f>
        <v/>
      </c>
      <c r="AL149" s="73">
        <f>IF($C149="","",IF(PULL_FUND="N","",IFERROR(BDP($C149,FCF_FIELD)/100,"")))</f>
        <v/>
      </c>
      <c r="AM149" s="76">
        <f>IF($C149="","",IF(ISNUMBER(HSTECH!$I$44),HSTECH!$I$44/100,""))</f>
        <v/>
      </c>
      <c r="AN149" s="47">
        <f>IF($C149="","",IF(N($AM149)=0,"",IFERROR($AL149/$AM149,"")))</f>
        <v/>
      </c>
      <c r="AO149" s="33">
        <f>IF($C149="","",IF(ISNUMBER($S149)*ISNUMBER($W149)=0,"",IF($W149&gt;$S149+0.05,"rising",IF($W149&lt;$S149-0.05,"falling","stable"))))</f>
        <v/>
      </c>
      <c r="AP149" s="77">
        <f>IF($C149="","",TRIM(IF(ISNUMBER($X149)*(N($X149)&gt;$D$4)&gt;0,"payout high  ","")&amp;IF(ISNUMBER($AN149)*(N($AN149)&lt;$F$4)&gt;0,"FCF below dvd  ","")&amp;IF(ISNUMBER($AJ149)*(N($AJ149)&gt;$H$4)&gt;0,"leverage high","")))</f>
        <v/>
      </c>
      <c r="AQ149" s="78">
        <f>IF($C149="","",IF(HSTECH!$F$44="HKD","",HSTECH!$F$44))</f>
        <v/>
      </c>
    </row>
    <row r="150">
      <c r="B150" s="62" t="inlineStr">
        <is>
          <t>HSTECH</t>
        </is>
      </c>
      <c r="C150" s="6">
        <f>IF(HSTECH!$C$45="","",HSTECH!$C$45)</f>
        <v/>
      </c>
      <c r="D150" s="6">
        <f>IF($C150="","",HSTECH!$D$45)</f>
        <v/>
      </c>
      <c r="E150" s="6">
        <f>IF($C150="","",HSTECH!$E$45)</f>
        <v/>
      </c>
      <c r="F150" s="63">
        <f>IF($C150="","",SUMPRODUCT(('Dvd Calendar'!$E$1534:$AR$1534&gt;=DATE(YEAR_Y-5,1,1))*('Dvd Calendar'!$E$1534:$AR$1534&lt;=DATE(YEAR_Y-5,12,31))*'Dvd Calendar'!$E$1537:$AR$1537*(('Dvd Calendar'!$E$1539:$AR$1539=TYPE1)*(TYPE1&lt;&gt;"")+('Dvd Calendar'!$E$1539:$AR$1539=TYPE2)*(TYPE2&lt;&gt;"")+('Dvd Calendar'!$E$1539:$AR$1539=TYPE3)*(TYPE3&lt;&gt;"")+('Dvd Calendar'!$E$1539:$AR$1539=TYPE4)*(TYPE4&lt;&gt;"")+('Dvd Calendar'!$E$1539:$AR$1539=SPECIAL_LBL)*(INC_SPECIALS="Y"))))</f>
        <v/>
      </c>
      <c r="G150" s="64">
        <f>IF($C150="","",SUMPRODUCT(('Dvd Calendar'!$E$1534:$AR$1534&gt;=DATE(YEAR_Y-4,1,1))*('Dvd Calendar'!$E$1534:$AR$1534&lt;=DATE(YEAR_Y-4,12,31))*'Dvd Calendar'!$E$1537:$AR$1537*(('Dvd Calendar'!$E$1539:$AR$1539=TYPE1)*(TYPE1&lt;&gt;"")+('Dvd Calendar'!$E$1539:$AR$1539=TYPE2)*(TYPE2&lt;&gt;"")+('Dvd Calendar'!$E$1539:$AR$1539=TYPE3)*(TYPE3&lt;&gt;"")+('Dvd Calendar'!$E$1539:$AR$1539=TYPE4)*(TYPE4&lt;&gt;"")+('Dvd Calendar'!$E$1539:$AR$1539=SPECIAL_LBL)*(INC_SPECIALS="Y"))))</f>
        <v/>
      </c>
      <c r="H150" s="64">
        <f>IF($C150="","",SUMPRODUCT(('Dvd Calendar'!$E$1534:$AR$1534&gt;=DATE(YEAR_Y-3,1,1))*('Dvd Calendar'!$E$1534:$AR$1534&lt;=DATE(YEAR_Y-3,12,31))*'Dvd Calendar'!$E$1537:$AR$1537*(('Dvd Calendar'!$E$1539:$AR$1539=TYPE1)*(TYPE1&lt;&gt;"")+('Dvd Calendar'!$E$1539:$AR$1539=TYPE2)*(TYPE2&lt;&gt;"")+('Dvd Calendar'!$E$1539:$AR$1539=TYPE3)*(TYPE3&lt;&gt;"")+('Dvd Calendar'!$E$1539:$AR$1539=TYPE4)*(TYPE4&lt;&gt;"")+('Dvd Calendar'!$E$1539:$AR$1539=SPECIAL_LBL)*(INC_SPECIALS="Y"))))</f>
        <v/>
      </c>
      <c r="I150" s="64">
        <f>IF($C150="","",SUMPRODUCT(('Dvd Calendar'!$E$1534:$AR$1534&gt;=DATE(YEAR_Y-2,1,1))*('Dvd Calendar'!$E$1534:$AR$1534&lt;=DATE(YEAR_Y-2,12,31))*'Dvd Calendar'!$E$1537:$AR$1537*(('Dvd Calendar'!$E$1539:$AR$1539=TYPE1)*(TYPE1&lt;&gt;"")+('Dvd Calendar'!$E$1539:$AR$1539=TYPE2)*(TYPE2&lt;&gt;"")+('Dvd Calendar'!$E$1539:$AR$1539=TYPE3)*(TYPE3&lt;&gt;"")+('Dvd Calendar'!$E$1539:$AR$1539=TYPE4)*(TYPE4&lt;&gt;"")+('Dvd Calendar'!$E$1539:$AR$1539=SPECIAL_LBL)*(INC_SPECIALS="Y"))))</f>
        <v/>
      </c>
      <c r="J150" s="64">
        <f>IF($C150="","",SUMPRODUCT(('Dvd Calendar'!$E$1534:$AR$1534&gt;=DATE(YEAR_Y-1,1,1))*('Dvd Calendar'!$E$1534:$AR$1534&lt;=DATE(YEAR_Y-1,12,31))*'Dvd Calendar'!$E$1537:$AR$1537*(('Dvd Calendar'!$E$1539:$AR$1539=TYPE1)*(TYPE1&lt;&gt;"")+('Dvd Calendar'!$E$1539:$AR$1539=TYPE2)*(TYPE2&lt;&gt;"")+('Dvd Calendar'!$E$1539:$AR$1539=TYPE3)*(TYPE3&lt;&gt;"")+('Dvd Calendar'!$E$1539:$AR$1539=TYPE4)*(TYPE4&lt;&gt;"")+('Dvd Calendar'!$E$1539:$AR$1539=SPECIAL_LBL)*(INC_SPECIALS="Y"))))</f>
        <v/>
      </c>
      <c r="K150" s="65">
        <f>IF($C150="","",HSTECH!$J$45)</f>
        <v/>
      </c>
      <c r="L150" s="65">
        <f>IF($C150="","",HSTECH!$K$45)</f>
        <v/>
      </c>
      <c r="M150" s="41">
        <f>IF($C150="","",AVERAGE(F150:J150))</f>
        <v/>
      </c>
      <c r="N150" s="66">
        <f>IF($C150="","",IF(PULL_FUND="N","",IFERROR(BDP($C150,EPS_FIELD,YR_OVERRIDE,TEXT(YEAR_Y-5,"0")),"")))</f>
        <v/>
      </c>
      <c r="O150" s="67">
        <f>IF($C150="","",IF(PULL_FUND="N","",IFERROR(BDP($C150,EPS_FIELD,YR_OVERRIDE,TEXT(YEAR_Y-4,"0")),"")))</f>
        <v/>
      </c>
      <c r="P150" s="67">
        <f>IF($C150="","",IF(PULL_FUND="N","",IFERROR(BDP($C150,EPS_FIELD,YR_OVERRIDE,TEXT(YEAR_Y-3,"0")),"")))</f>
        <v/>
      </c>
      <c r="Q150" s="67">
        <f>IF($C150="","",IF(PULL_FUND="N","",IFERROR(BDP($C150,EPS_FIELD,YR_OVERRIDE,TEXT(YEAR_Y-2,"0")),"")))</f>
        <v/>
      </c>
      <c r="R150" s="67">
        <f>IF($C150="","",IF(PULL_FUND="N","",IFERROR(BDP($C150,EPS_FIELD,YR_OVERRIDE,TEXT(YEAR_Y-1,"0")),"")))</f>
        <v/>
      </c>
      <c r="S150" s="68">
        <f>IF($C150="","",IF(PULL_FUND="N","",IFERROR(BDP($C150,PAYOUT_FIELD,YR_OVERRIDE,TEXT(YEAR_Y-5,"0"))/100,"")))</f>
        <v/>
      </c>
      <c r="T150" s="68">
        <f>IF($C150="","",IF(PULL_FUND="N","",IFERROR(BDP($C150,PAYOUT_FIELD,YR_OVERRIDE,TEXT(YEAR_Y-4,"0"))/100,"")))</f>
        <v/>
      </c>
      <c r="U150" s="68">
        <f>IF($C150="","",IF(PULL_FUND="N","",IFERROR(BDP($C150,PAYOUT_FIELD,YR_OVERRIDE,TEXT(YEAR_Y-3,"0"))/100,"")))</f>
        <v/>
      </c>
      <c r="V150" s="68">
        <f>IF($C150="","",IF(PULL_FUND="N","",IFERROR(BDP($C150,PAYOUT_FIELD,YR_OVERRIDE,TEXT(YEAR_Y-2,"0"))/100,"")))</f>
        <v/>
      </c>
      <c r="W150" s="68">
        <f>IF($C150="","",IF(PULL_FUND="N","",IFERROR(BDP($C150,PAYOUT_FIELD,YR_OVERRIDE,TEXT(YEAR_Y-1,"0"))/100,"")))</f>
        <v/>
      </c>
      <c r="X150" s="69">
        <f>IF($C150="","",IFERROR(AVERAGE(S150:W150),""))</f>
        <v/>
      </c>
      <c r="Y150" s="66">
        <f>IF($C150="","",IF(PULL_FUND="N","",IFERROR(BDP($C150,BESTEPS_FIELD,FWD_OVERRIDE,TEXT(MOD(YEAR_Y,100),"00")&amp;"Y"),"")))</f>
        <v/>
      </c>
      <c r="Z150" s="70">
        <f>IF($C150="","",IF(PULL_FUND="N","",IFERROR(BDP($C150,BESTDPS_FIELD,FWD_OVERRIDE,TEXT(MOD(YEAR_Y,100),"00")&amp;"Y"),"")))</f>
        <v/>
      </c>
      <c r="AA150" s="71">
        <f>IF($C150="","",IF(ISNUMBER($Y150)*ISNUMBER($Z150)*($Y150&lt;&gt;0)=0,"",$Z150/$Y150))</f>
        <v/>
      </c>
      <c r="AB150" s="41">
        <f>IF($C150="","",HSTECH!$J$45+HSTECH!$L$45)</f>
        <v/>
      </c>
      <c r="AC150" s="72">
        <f>IF($C150="","",IF(PULL_FUND="N","",IF(COUNTIFS('Fund History'!$G$840:$G$844,"&gt;="&amp;DATE(YEAR_Y-4,1,1),'Fund History'!$G$840:$G$844,"&lt;="&amp;DATE(YEAR_Y-4,12,31))=0,"",SUMIFS('Fund History'!$H$840:$H$844,'Fund History'!$G$840:$G$844,"&gt;="&amp;DATE(YEAR_Y-4,1,1),'Fund History'!$G$840:$G$844,"&lt;="&amp;DATE(YEAR_Y-4,12,31))/100)))</f>
        <v/>
      </c>
      <c r="AD150" s="73">
        <f>IF($C150="","",IF(PULL_FUND="N","",IF(COUNTIFS('Fund History'!$G$840:$G$844,"&gt;="&amp;DATE(YEAR_Y-3,1,1),'Fund History'!$G$840:$G$844,"&lt;="&amp;DATE(YEAR_Y-3,12,31))=0,"",SUMIFS('Fund History'!$H$840:$H$844,'Fund History'!$G$840:$G$844,"&gt;="&amp;DATE(YEAR_Y-3,1,1),'Fund History'!$G$840:$G$844,"&lt;="&amp;DATE(YEAR_Y-3,12,31))/100)))</f>
        <v/>
      </c>
      <c r="AE150" s="73">
        <f>IF($C150="","",IF(PULL_FUND="N","",IF(COUNTIFS('Fund History'!$G$840:$G$844,"&gt;="&amp;DATE(YEAR_Y-2,1,1),'Fund History'!$G$840:$G$844,"&lt;="&amp;DATE(YEAR_Y-2,12,31))=0,"",SUMIFS('Fund History'!$H$840:$H$844,'Fund History'!$G$840:$G$844,"&gt;="&amp;DATE(YEAR_Y-2,1,1),'Fund History'!$G$840:$G$844,"&lt;="&amp;DATE(YEAR_Y-2,12,31))/100)))</f>
        <v/>
      </c>
      <c r="AF150" s="73">
        <f>IF($C150="","",IF(PULL_FUND="N","",IF(COUNTIFS('Fund History'!$G$840:$G$844,"&gt;="&amp;DATE(YEAR_Y-1,1,1),'Fund History'!$G$840:$G$844,"&lt;="&amp;DATE(YEAR_Y-1,12,31))=0,"",SUMIFS('Fund History'!$H$840:$H$844,'Fund History'!$G$840:$G$844,"&gt;="&amp;DATE(YEAR_Y-1,1,1),'Fund History'!$G$840:$G$844,"&lt;="&amp;DATE(YEAR_Y-1,12,31))/100)))</f>
        <v/>
      </c>
      <c r="AG150" s="74">
        <f>IF($C150="","",IF(N($AF150)+N(HSTECH!$I$45)=0,"",N($AF150)+N(HSTECH!$I$45)/100))</f>
        <v/>
      </c>
      <c r="AH150" s="66">
        <f>IF($C150="","",IF(PULL_FUND="N","",IF(COUNTIFS('Fund History'!$D$840:$D$844,"&gt;="&amp;DATE(YEAR_Y-2,1,1),'Fund History'!$D$840:$D$844,"&lt;="&amp;DATE(YEAR_Y-2,12,31))=0,"",SUMIFS('Fund History'!$E$840:$E$844,'Fund History'!$D$840:$D$844,"&gt;="&amp;DATE(YEAR_Y-2,1,1),'Fund History'!$D$840:$D$844,"&lt;="&amp;DATE(YEAR_Y-2,12,31)))))</f>
        <v/>
      </c>
      <c r="AI150" s="67">
        <f>IF($C150="","",IF(PULL_FUND="N","",IF(COUNTIFS('Fund History'!$D$840:$D$844,"&gt;="&amp;DATE(YEAR_Y-1,1,1),'Fund History'!$D$840:$D$844,"&lt;="&amp;DATE(YEAR_Y-1,12,31))=0,"",SUMIFS('Fund History'!$E$840:$E$844,'Fund History'!$D$840:$D$844,"&gt;="&amp;DATE(YEAR_Y-1,1,1),'Fund History'!$D$840:$D$844,"&lt;="&amp;DATE(YEAR_Y-1,12,31)))))</f>
        <v/>
      </c>
      <c r="AJ150" s="67">
        <f>IF($C150="","",IF(PULL_FUND="N","",IFERROR(BDP($C150,NDEBITDA_FIELD),"")))</f>
        <v/>
      </c>
      <c r="AK150" s="75">
        <f>IF($C150="","",IF(PULL_FUND="N","",IFERROR(BDP($C150,EBINT_FIELD),"")))</f>
        <v/>
      </c>
      <c r="AL150" s="73">
        <f>IF($C150="","",IF(PULL_FUND="N","",IFERROR(BDP($C150,FCF_FIELD)/100,"")))</f>
        <v/>
      </c>
      <c r="AM150" s="76">
        <f>IF($C150="","",IF(ISNUMBER(HSTECH!$I$45),HSTECH!$I$45/100,""))</f>
        <v/>
      </c>
      <c r="AN150" s="47">
        <f>IF($C150="","",IF(N($AM150)=0,"",IFERROR($AL150/$AM150,"")))</f>
        <v/>
      </c>
      <c r="AO150" s="33">
        <f>IF($C150="","",IF(ISNUMBER($S150)*ISNUMBER($W150)=0,"",IF($W150&gt;$S150+0.05,"rising",IF($W150&lt;$S150-0.05,"falling","stable"))))</f>
        <v/>
      </c>
      <c r="AP150" s="77">
        <f>IF($C150="","",TRIM(IF(ISNUMBER($X150)*(N($X150)&gt;$D$4)&gt;0,"payout high  ","")&amp;IF(ISNUMBER($AN150)*(N($AN150)&lt;$F$4)&gt;0,"FCF below dvd  ","")&amp;IF(ISNUMBER($AJ150)*(N($AJ150)&gt;$H$4)&gt;0,"leverage high","")))</f>
        <v/>
      </c>
      <c r="AQ150" s="78">
        <f>IF($C150="","",IF(HSTECH!$F$45="HKD","",HSTECH!$F$45))</f>
        <v/>
      </c>
    </row>
    <row r="151">
      <c r="B151" s="62" t="inlineStr">
        <is>
          <t>HSTECH</t>
        </is>
      </c>
      <c r="C151" s="6">
        <f>IF(HSTECH!$C$46="","",HSTECH!$C$46)</f>
        <v/>
      </c>
      <c r="D151" s="6">
        <f>IF($C151="","",HSTECH!$D$46)</f>
        <v/>
      </c>
      <c r="E151" s="6">
        <f>IF($C151="","",HSTECH!$E$46)</f>
        <v/>
      </c>
      <c r="F151" s="63">
        <f>IF($C151="","",SUMPRODUCT(('Dvd Calendar'!$E$1545:$AR$1545&gt;=DATE(YEAR_Y-5,1,1))*('Dvd Calendar'!$E$1545:$AR$1545&lt;=DATE(YEAR_Y-5,12,31))*'Dvd Calendar'!$E$1548:$AR$1548*(('Dvd Calendar'!$E$1550:$AR$1550=TYPE1)*(TYPE1&lt;&gt;"")+('Dvd Calendar'!$E$1550:$AR$1550=TYPE2)*(TYPE2&lt;&gt;"")+('Dvd Calendar'!$E$1550:$AR$1550=TYPE3)*(TYPE3&lt;&gt;"")+('Dvd Calendar'!$E$1550:$AR$1550=TYPE4)*(TYPE4&lt;&gt;"")+('Dvd Calendar'!$E$1550:$AR$1550=SPECIAL_LBL)*(INC_SPECIALS="Y"))))</f>
        <v/>
      </c>
      <c r="G151" s="64">
        <f>IF($C151="","",SUMPRODUCT(('Dvd Calendar'!$E$1545:$AR$1545&gt;=DATE(YEAR_Y-4,1,1))*('Dvd Calendar'!$E$1545:$AR$1545&lt;=DATE(YEAR_Y-4,12,31))*'Dvd Calendar'!$E$1548:$AR$1548*(('Dvd Calendar'!$E$1550:$AR$1550=TYPE1)*(TYPE1&lt;&gt;"")+('Dvd Calendar'!$E$1550:$AR$1550=TYPE2)*(TYPE2&lt;&gt;"")+('Dvd Calendar'!$E$1550:$AR$1550=TYPE3)*(TYPE3&lt;&gt;"")+('Dvd Calendar'!$E$1550:$AR$1550=TYPE4)*(TYPE4&lt;&gt;"")+('Dvd Calendar'!$E$1550:$AR$1550=SPECIAL_LBL)*(INC_SPECIALS="Y"))))</f>
        <v/>
      </c>
      <c r="H151" s="64">
        <f>IF($C151="","",SUMPRODUCT(('Dvd Calendar'!$E$1545:$AR$1545&gt;=DATE(YEAR_Y-3,1,1))*('Dvd Calendar'!$E$1545:$AR$1545&lt;=DATE(YEAR_Y-3,12,31))*'Dvd Calendar'!$E$1548:$AR$1548*(('Dvd Calendar'!$E$1550:$AR$1550=TYPE1)*(TYPE1&lt;&gt;"")+('Dvd Calendar'!$E$1550:$AR$1550=TYPE2)*(TYPE2&lt;&gt;"")+('Dvd Calendar'!$E$1550:$AR$1550=TYPE3)*(TYPE3&lt;&gt;"")+('Dvd Calendar'!$E$1550:$AR$1550=TYPE4)*(TYPE4&lt;&gt;"")+('Dvd Calendar'!$E$1550:$AR$1550=SPECIAL_LBL)*(INC_SPECIALS="Y"))))</f>
        <v/>
      </c>
      <c r="I151" s="64">
        <f>IF($C151="","",SUMPRODUCT(('Dvd Calendar'!$E$1545:$AR$1545&gt;=DATE(YEAR_Y-2,1,1))*('Dvd Calendar'!$E$1545:$AR$1545&lt;=DATE(YEAR_Y-2,12,31))*'Dvd Calendar'!$E$1548:$AR$1548*(('Dvd Calendar'!$E$1550:$AR$1550=TYPE1)*(TYPE1&lt;&gt;"")+('Dvd Calendar'!$E$1550:$AR$1550=TYPE2)*(TYPE2&lt;&gt;"")+('Dvd Calendar'!$E$1550:$AR$1550=TYPE3)*(TYPE3&lt;&gt;"")+('Dvd Calendar'!$E$1550:$AR$1550=TYPE4)*(TYPE4&lt;&gt;"")+('Dvd Calendar'!$E$1550:$AR$1550=SPECIAL_LBL)*(INC_SPECIALS="Y"))))</f>
        <v/>
      </c>
      <c r="J151" s="64">
        <f>IF($C151="","",SUMPRODUCT(('Dvd Calendar'!$E$1545:$AR$1545&gt;=DATE(YEAR_Y-1,1,1))*('Dvd Calendar'!$E$1545:$AR$1545&lt;=DATE(YEAR_Y-1,12,31))*'Dvd Calendar'!$E$1548:$AR$1548*(('Dvd Calendar'!$E$1550:$AR$1550=TYPE1)*(TYPE1&lt;&gt;"")+('Dvd Calendar'!$E$1550:$AR$1550=TYPE2)*(TYPE2&lt;&gt;"")+('Dvd Calendar'!$E$1550:$AR$1550=TYPE3)*(TYPE3&lt;&gt;"")+('Dvd Calendar'!$E$1550:$AR$1550=TYPE4)*(TYPE4&lt;&gt;"")+('Dvd Calendar'!$E$1550:$AR$1550=SPECIAL_LBL)*(INC_SPECIALS="Y"))))</f>
        <v/>
      </c>
      <c r="K151" s="65">
        <f>IF($C151="","",HSTECH!$J$46)</f>
        <v/>
      </c>
      <c r="L151" s="65">
        <f>IF($C151="","",HSTECH!$K$46)</f>
        <v/>
      </c>
      <c r="M151" s="41">
        <f>IF($C151="","",AVERAGE(F151:J151))</f>
        <v/>
      </c>
      <c r="N151" s="66">
        <f>IF($C151="","",IF(PULL_FUND="N","",IFERROR(BDP($C151,EPS_FIELD,YR_OVERRIDE,TEXT(YEAR_Y-5,"0")),"")))</f>
        <v/>
      </c>
      <c r="O151" s="67">
        <f>IF($C151="","",IF(PULL_FUND="N","",IFERROR(BDP($C151,EPS_FIELD,YR_OVERRIDE,TEXT(YEAR_Y-4,"0")),"")))</f>
        <v/>
      </c>
      <c r="P151" s="67">
        <f>IF($C151="","",IF(PULL_FUND="N","",IFERROR(BDP($C151,EPS_FIELD,YR_OVERRIDE,TEXT(YEAR_Y-3,"0")),"")))</f>
        <v/>
      </c>
      <c r="Q151" s="67">
        <f>IF($C151="","",IF(PULL_FUND="N","",IFERROR(BDP($C151,EPS_FIELD,YR_OVERRIDE,TEXT(YEAR_Y-2,"0")),"")))</f>
        <v/>
      </c>
      <c r="R151" s="67">
        <f>IF($C151="","",IF(PULL_FUND="N","",IFERROR(BDP($C151,EPS_FIELD,YR_OVERRIDE,TEXT(YEAR_Y-1,"0")),"")))</f>
        <v/>
      </c>
      <c r="S151" s="68">
        <f>IF($C151="","",IF(PULL_FUND="N","",IFERROR(BDP($C151,PAYOUT_FIELD,YR_OVERRIDE,TEXT(YEAR_Y-5,"0"))/100,"")))</f>
        <v/>
      </c>
      <c r="T151" s="68">
        <f>IF($C151="","",IF(PULL_FUND="N","",IFERROR(BDP($C151,PAYOUT_FIELD,YR_OVERRIDE,TEXT(YEAR_Y-4,"0"))/100,"")))</f>
        <v/>
      </c>
      <c r="U151" s="68">
        <f>IF($C151="","",IF(PULL_FUND="N","",IFERROR(BDP($C151,PAYOUT_FIELD,YR_OVERRIDE,TEXT(YEAR_Y-3,"0"))/100,"")))</f>
        <v/>
      </c>
      <c r="V151" s="68">
        <f>IF($C151="","",IF(PULL_FUND="N","",IFERROR(BDP($C151,PAYOUT_FIELD,YR_OVERRIDE,TEXT(YEAR_Y-2,"0"))/100,"")))</f>
        <v/>
      </c>
      <c r="W151" s="68">
        <f>IF($C151="","",IF(PULL_FUND="N","",IFERROR(BDP($C151,PAYOUT_FIELD,YR_OVERRIDE,TEXT(YEAR_Y-1,"0"))/100,"")))</f>
        <v/>
      </c>
      <c r="X151" s="69">
        <f>IF($C151="","",IFERROR(AVERAGE(S151:W151),""))</f>
        <v/>
      </c>
      <c r="Y151" s="66">
        <f>IF($C151="","",IF(PULL_FUND="N","",IFERROR(BDP($C151,BESTEPS_FIELD,FWD_OVERRIDE,TEXT(MOD(YEAR_Y,100),"00")&amp;"Y"),"")))</f>
        <v/>
      </c>
      <c r="Z151" s="70">
        <f>IF($C151="","",IF(PULL_FUND="N","",IFERROR(BDP($C151,BESTDPS_FIELD,FWD_OVERRIDE,TEXT(MOD(YEAR_Y,100),"00")&amp;"Y"),"")))</f>
        <v/>
      </c>
      <c r="AA151" s="71">
        <f>IF($C151="","",IF(ISNUMBER($Y151)*ISNUMBER($Z151)*($Y151&lt;&gt;0)=0,"",$Z151/$Y151))</f>
        <v/>
      </c>
      <c r="AB151" s="41">
        <f>IF($C151="","",HSTECH!$J$46+HSTECH!$L$46)</f>
        <v/>
      </c>
      <c r="AC151" s="72">
        <f>IF($C151="","",IF(PULL_FUND="N","",IF(COUNTIFS('Fund History'!$G$846:$G$850,"&gt;="&amp;DATE(YEAR_Y-4,1,1),'Fund History'!$G$846:$G$850,"&lt;="&amp;DATE(YEAR_Y-4,12,31))=0,"",SUMIFS('Fund History'!$H$846:$H$850,'Fund History'!$G$846:$G$850,"&gt;="&amp;DATE(YEAR_Y-4,1,1),'Fund History'!$G$846:$G$850,"&lt;="&amp;DATE(YEAR_Y-4,12,31))/100)))</f>
        <v/>
      </c>
      <c r="AD151" s="73">
        <f>IF($C151="","",IF(PULL_FUND="N","",IF(COUNTIFS('Fund History'!$G$846:$G$850,"&gt;="&amp;DATE(YEAR_Y-3,1,1),'Fund History'!$G$846:$G$850,"&lt;="&amp;DATE(YEAR_Y-3,12,31))=0,"",SUMIFS('Fund History'!$H$846:$H$850,'Fund History'!$G$846:$G$850,"&gt;="&amp;DATE(YEAR_Y-3,1,1),'Fund History'!$G$846:$G$850,"&lt;="&amp;DATE(YEAR_Y-3,12,31))/100)))</f>
        <v/>
      </c>
      <c r="AE151" s="73">
        <f>IF($C151="","",IF(PULL_FUND="N","",IF(COUNTIFS('Fund History'!$G$846:$G$850,"&gt;="&amp;DATE(YEAR_Y-2,1,1),'Fund History'!$G$846:$G$850,"&lt;="&amp;DATE(YEAR_Y-2,12,31))=0,"",SUMIFS('Fund History'!$H$846:$H$850,'Fund History'!$G$846:$G$850,"&gt;="&amp;DATE(YEAR_Y-2,1,1),'Fund History'!$G$846:$G$850,"&lt;="&amp;DATE(YEAR_Y-2,12,31))/100)))</f>
        <v/>
      </c>
      <c r="AF151" s="73">
        <f>IF($C151="","",IF(PULL_FUND="N","",IF(COUNTIFS('Fund History'!$G$846:$G$850,"&gt;="&amp;DATE(YEAR_Y-1,1,1),'Fund History'!$G$846:$G$850,"&lt;="&amp;DATE(YEAR_Y-1,12,31))=0,"",SUMIFS('Fund History'!$H$846:$H$850,'Fund History'!$G$846:$G$850,"&gt;="&amp;DATE(YEAR_Y-1,1,1),'Fund History'!$G$846:$G$850,"&lt;="&amp;DATE(YEAR_Y-1,12,31))/100)))</f>
        <v/>
      </c>
      <c r="AG151" s="74">
        <f>IF($C151="","",IF(N($AF151)+N(HSTECH!$I$46)=0,"",N($AF151)+N(HSTECH!$I$46)/100))</f>
        <v/>
      </c>
      <c r="AH151" s="66">
        <f>IF($C151="","",IF(PULL_FUND="N","",IF(COUNTIFS('Fund History'!$D$846:$D$850,"&gt;="&amp;DATE(YEAR_Y-2,1,1),'Fund History'!$D$846:$D$850,"&lt;="&amp;DATE(YEAR_Y-2,12,31))=0,"",SUMIFS('Fund History'!$E$846:$E$850,'Fund History'!$D$846:$D$850,"&gt;="&amp;DATE(YEAR_Y-2,1,1),'Fund History'!$D$846:$D$850,"&lt;="&amp;DATE(YEAR_Y-2,12,31)))))</f>
        <v/>
      </c>
      <c r="AI151" s="67">
        <f>IF($C151="","",IF(PULL_FUND="N","",IF(COUNTIFS('Fund History'!$D$846:$D$850,"&gt;="&amp;DATE(YEAR_Y-1,1,1),'Fund History'!$D$846:$D$850,"&lt;="&amp;DATE(YEAR_Y-1,12,31))=0,"",SUMIFS('Fund History'!$E$846:$E$850,'Fund History'!$D$846:$D$850,"&gt;="&amp;DATE(YEAR_Y-1,1,1),'Fund History'!$D$846:$D$850,"&lt;="&amp;DATE(YEAR_Y-1,12,31)))))</f>
        <v/>
      </c>
      <c r="AJ151" s="67">
        <f>IF($C151="","",IF(PULL_FUND="N","",IFERROR(BDP($C151,NDEBITDA_FIELD),"")))</f>
        <v/>
      </c>
      <c r="AK151" s="75">
        <f>IF($C151="","",IF(PULL_FUND="N","",IFERROR(BDP($C151,EBINT_FIELD),"")))</f>
        <v/>
      </c>
      <c r="AL151" s="73">
        <f>IF($C151="","",IF(PULL_FUND="N","",IFERROR(BDP($C151,FCF_FIELD)/100,"")))</f>
        <v/>
      </c>
      <c r="AM151" s="76">
        <f>IF($C151="","",IF(ISNUMBER(HSTECH!$I$46),HSTECH!$I$46/100,""))</f>
        <v/>
      </c>
      <c r="AN151" s="47">
        <f>IF($C151="","",IF(N($AM151)=0,"",IFERROR($AL151/$AM151,"")))</f>
        <v/>
      </c>
      <c r="AO151" s="33">
        <f>IF($C151="","",IF(ISNUMBER($S151)*ISNUMBER($W151)=0,"",IF($W151&gt;$S151+0.05,"rising",IF($W151&lt;$S151-0.05,"falling","stable"))))</f>
        <v/>
      </c>
      <c r="AP151" s="77">
        <f>IF($C151="","",TRIM(IF(ISNUMBER($X151)*(N($X151)&gt;$D$4)&gt;0,"payout high  ","")&amp;IF(ISNUMBER($AN151)*(N($AN151)&lt;$F$4)&gt;0,"FCF below dvd  ","")&amp;IF(ISNUMBER($AJ151)*(N($AJ151)&gt;$H$4)&gt;0,"leverage high","")))</f>
        <v/>
      </c>
      <c r="AQ151" s="78">
        <f>IF($C151="","",IF(HSTECH!$F$46="HKD","",HSTECH!$F$46))</f>
        <v/>
      </c>
    </row>
    <row r="152">
      <c r="B152" s="62" t="inlineStr">
        <is>
          <t>HSCEI</t>
        </is>
      </c>
      <c r="C152" s="6">
        <f>IF(HSCEI!$C$7="","",HSCEI!$C$7)</f>
        <v/>
      </c>
      <c r="D152" s="6">
        <f>IF($C152="","",HSCEI!$D$7)</f>
        <v/>
      </c>
      <c r="E152" s="6">
        <f>IF($C152="","",HSCEI!$E$7)</f>
        <v/>
      </c>
      <c r="F152" s="63">
        <f>IF($C152="","",SUMPRODUCT(('Dvd Calendar'!$E$1561:$AR$1561&gt;=DATE(YEAR_Y-5,1,1))*('Dvd Calendar'!$E$1561:$AR$1561&lt;=DATE(YEAR_Y-5,12,31))*'Dvd Calendar'!$E$1564:$AR$1564*(('Dvd Calendar'!$E$1566:$AR$1566=TYPE1)*(TYPE1&lt;&gt;"")+('Dvd Calendar'!$E$1566:$AR$1566=TYPE2)*(TYPE2&lt;&gt;"")+('Dvd Calendar'!$E$1566:$AR$1566=TYPE3)*(TYPE3&lt;&gt;"")+('Dvd Calendar'!$E$1566:$AR$1566=TYPE4)*(TYPE4&lt;&gt;"")+('Dvd Calendar'!$E$1566:$AR$1566=SPECIAL_LBL)*(INC_SPECIALS="Y"))))</f>
        <v/>
      </c>
      <c r="G152" s="64">
        <f>IF($C152="","",SUMPRODUCT(('Dvd Calendar'!$E$1561:$AR$1561&gt;=DATE(YEAR_Y-4,1,1))*('Dvd Calendar'!$E$1561:$AR$1561&lt;=DATE(YEAR_Y-4,12,31))*'Dvd Calendar'!$E$1564:$AR$1564*(('Dvd Calendar'!$E$1566:$AR$1566=TYPE1)*(TYPE1&lt;&gt;"")+('Dvd Calendar'!$E$1566:$AR$1566=TYPE2)*(TYPE2&lt;&gt;"")+('Dvd Calendar'!$E$1566:$AR$1566=TYPE3)*(TYPE3&lt;&gt;"")+('Dvd Calendar'!$E$1566:$AR$1566=TYPE4)*(TYPE4&lt;&gt;"")+('Dvd Calendar'!$E$1566:$AR$1566=SPECIAL_LBL)*(INC_SPECIALS="Y"))))</f>
        <v/>
      </c>
      <c r="H152" s="64">
        <f>IF($C152="","",SUMPRODUCT(('Dvd Calendar'!$E$1561:$AR$1561&gt;=DATE(YEAR_Y-3,1,1))*('Dvd Calendar'!$E$1561:$AR$1561&lt;=DATE(YEAR_Y-3,12,31))*'Dvd Calendar'!$E$1564:$AR$1564*(('Dvd Calendar'!$E$1566:$AR$1566=TYPE1)*(TYPE1&lt;&gt;"")+('Dvd Calendar'!$E$1566:$AR$1566=TYPE2)*(TYPE2&lt;&gt;"")+('Dvd Calendar'!$E$1566:$AR$1566=TYPE3)*(TYPE3&lt;&gt;"")+('Dvd Calendar'!$E$1566:$AR$1566=TYPE4)*(TYPE4&lt;&gt;"")+('Dvd Calendar'!$E$1566:$AR$1566=SPECIAL_LBL)*(INC_SPECIALS="Y"))))</f>
        <v/>
      </c>
      <c r="I152" s="64">
        <f>IF($C152="","",SUMPRODUCT(('Dvd Calendar'!$E$1561:$AR$1561&gt;=DATE(YEAR_Y-2,1,1))*('Dvd Calendar'!$E$1561:$AR$1561&lt;=DATE(YEAR_Y-2,12,31))*'Dvd Calendar'!$E$1564:$AR$1564*(('Dvd Calendar'!$E$1566:$AR$1566=TYPE1)*(TYPE1&lt;&gt;"")+('Dvd Calendar'!$E$1566:$AR$1566=TYPE2)*(TYPE2&lt;&gt;"")+('Dvd Calendar'!$E$1566:$AR$1566=TYPE3)*(TYPE3&lt;&gt;"")+('Dvd Calendar'!$E$1566:$AR$1566=TYPE4)*(TYPE4&lt;&gt;"")+('Dvd Calendar'!$E$1566:$AR$1566=SPECIAL_LBL)*(INC_SPECIALS="Y"))))</f>
        <v/>
      </c>
      <c r="J152" s="64">
        <f>IF($C152="","",SUMPRODUCT(('Dvd Calendar'!$E$1561:$AR$1561&gt;=DATE(YEAR_Y-1,1,1))*('Dvd Calendar'!$E$1561:$AR$1561&lt;=DATE(YEAR_Y-1,12,31))*'Dvd Calendar'!$E$1564:$AR$1564*(('Dvd Calendar'!$E$1566:$AR$1566=TYPE1)*(TYPE1&lt;&gt;"")+('Dvd Calendar'!$E$1566:$AR$1566=TYPE2)*(TYPE2&lt;&gt;"")+('Dvd Calendar'!$E$1566:$AR$1566=TYPE3)*(TYPE3&lt;&gt;"")+('Dvd Calendar'!$E$1566:$AR$1566=TYPE4)*(TYPE4&lt;&gt;"")+('Dvd Calendar'!$E$1566:$AR$1566=SPECIAL_LBL)*(INC_SPECIALS="Y"))))</f>
        <v/>
      </c>
      <c r="K152" s="65">
        <f>IF($C152="","",HSCEI!$J$7)</f>
        <v/>
      </c>
      <c r="L152" s="65">
        <f>IF($C152="","",HSCEI!$K$7)</f>
        <v/>
      </c>
      <c r="M152" s="41">
        <f>IF($C152="","",AVERAGE(F152:J152))</f>
        <v/>
      </c>
      <c r="N152" s="66">
        <f>IF($C152="","",IF(PULL_FUND="N","",IFERROR(BDP($C152,EPS_FIELD,YR_OVERRIDE,TEXT(YEAR_Y-5,"0")),"")))</f>
        <v/>
      </c>
      <c r="O152" s="67">
        <f>IF($C152="","",IF(PULL_FUND="N","",IFERROR(BDP($C152,EPS_FIELD,YR_OVERRIDE,TEXT(YEAR_Y-4,"0")),"")))</f>
        <v/>
      </c>
      <c r="P152" s="67">
        <f>IF($C152="","",IF(PULL_FUND="N","",IFERROR(BDP($C152,EPS_FIELD,YR_OVERRIDE,TEXT(YEAR_Y-3,"0")),"")))</f>
        <v/>
      </c>
      <c r="Q152" s="67">
        <f>IF($C152="","",IF(PULL_FUND="N","",IFERROR(BDP($C152,EPS_FIELD,YR_OVERRIDE,TEXT(YEAR_Y-2,"0")),"")))</f>
        <v/>
      </c>
      <c r="R152" s="67">
        <f>IF($C152="","",IF(PULL_FUND="N","",IFERROR(BDP($C152,EPS_FIELD,YR_OVERRIDE,TEXT(YEAR_Y-1,"0")),"")))</f>
        <v/>
      </c>
      <c r="S152" s="68">
        <f>IF($C152="","",IF(PULL_FUND="N","",IFERROR(BDP($C152,PAYOUT_FIELD,YR_OVERRIDE,TEXT(YEAR_Y-5,"0"))/100,"")))</f>
        <v/>
      </c>
      <c r="T152" s="68">
        <f>IF($C152="","",IF(PULL_FUND="N","",IFERROR(BDP($C152,PAYOUT_FIELD,YR_OVERRIDE,TEXT(YEAR_Y-4,"0"))/100,"")))</f>
        <v/>
      </c>
      <c r="U152" s="68">
        <f>IF($C152="","",IF(PULL_FUND="N","",IFERROR(BDP($C152,PAYOUT_FIELD,YR_OVERRIDE,TEXT(YEAR_Y-3,"0"))/100,"")))</f>
        <v/>
      </c>
      <c r="V152" s="68">
        <f>IF($C152="","",IF(PULL_FUND="N","",IFERROR(BDP($C152,PAYOUT_FIELD,YR_OVERRIDE,TEXT(YEAR_Y-2,"0"))/100,"")))</f>
        <v/>
      </c>
      <c r="W152" s="68">
        <f>IF($C152="","",IF(PULL_FUND="N","",IFERROR(BDP($C152,PAYOUT_FIELD,YR_OVERRIDE,TEXT(YEAR_Y-1,"0"))/100,"")))</f>
        <v/>
      </c>
      <c r="X152" s="69">
        <f>IF($C152="","",IFERROR(AVERAGE(S152:W152),""))</f>
        <v/>
      </c>
      <c r="Y152" s="66">
        <f>IF($C152="","",IF(PULL_FUND="N","",IFERROR(BDP($C152,BESTEPS_FIELD,FWD_OVERRIDE,TEXT(MOD(YEAR_Y,100),"00")&amp;"Y"),"")))</f>
        <v/>
      </c>
      <c r="Z152" s="70">
        <f>IF($C152="","",IF(PULL_FUND="N","",IFERROR(BDP($C152,BESTDPS_FIELD,FWD_OVERRIDE,TEXT(MOD(YEAR_Y,100),"00")&amp;"Y"),"")))</f>
        <v/>
      </c>
      <c r="AA152" s="71">
        <f>IF($C152="","",IF(ISNUMBER($Y152)*ISNUMBER($Z152)*($Y152&lt;&gt;0)=0,"",$Z152/$Y152))</f>
        <v/>
      </c>
      <c r="AB152" s="41">
        <f>IF($C152="","",HSCEI!$J$7+HSCEI!$L$7)</f>
        <v/>
      </c>
      <c r="AC152" s="72">
        <f>IF($C152="","",IF(PULL_FUND="N","",IF(COUNTIFS('Fund History'!$G$856:$G$860,"&gt;="&amp;DATE(YEAR_Y-4,1,1),'Fund History'!$G$856:$G$860,"&lt;="&amp;DATE(YEAR_Y-4,12,31))=0,"",SUMIFS('Fund History'!$H$856:$H$860,'Fund History'!$G$856:$G$860,"&gt;="&amp;DATE(YEAR_Y-4,1,1),'Fund History'!$G$856:$G$860,"&lt;="&amp;DATE(YEAR_Y-4,12,31))/100)))</f>
        <v/>
      </c>
      <c r="AD152" s="73">
        <f>IF($C152="","",IF(PULL_FUND="N","",IF(COUNTIFS('Fund History'!$G$856:$G$860,"&gt;="&amp;DATE(YEAR_Y-3,1,1),'Fund History'!$G$856:$G$860,"&lt;="&amp;DATE(YEAR_Y-3,12,31))=0,"",SUMIFS('Fund History'!$H$856:$H$860,'Fund History'!$G$856:$G$860,"&gt;="&amp;DATE(YEAR_Y-3,1,1),'Fund History'!$G$856:$G$860,"&lt;="&amp;DATE(YEAR_Y-3,12,31))/100)))</f>
        <v/>
      </c>
      <c r="AE152" s="73">
        <f>IF($C152="","",IF(PULL_FUND="N","",IF(COUNTIFS('Fund History'!$G$856:$G$860,"&gt;="&amp;DATE(YEAR_Y-2,1,1),'Fund History'!$G$856:$G$860,"&lt;="&amp;DATE(YEAR_Y-2,12,31))=0,"",SUMIFS('Fund History'!$H$856:$H$860,'Fund History'!$G$856:$G$860,"&gt;="&amp;DATE(YEAR_Y-2,1,1),'Fund History'!$G$856:$G$860,"&lt;="&amp;DATE(YEAR_Y-2,12,31))/100)))</f>
        <v/>
      </c>
      <c r="AF152" s="73">
        <f>IF($C152="","",IF(PULL_FUND="N","",IF(COUNTIFS('Fund History'!$G$856:$G$860,"&gt;="&amp;DATE(YEAR_Y-1,1,1),'Fund History'!$G$856:$G$860,"&lt;="&amp;DATE(YEAR_Y-1,12,31))=0,"",SUMIFS('Fund History'!$H$856:$H$860,'Fund History'!$G$856:$G$860,"&gt;="&amp;DATE(YEAR_Y-1,1,1),'Fund History'!$G$856:$G$860,"&lt;="&amp;DATE(YEAR_Y-1,12,31))/100)))</f>
        <v/>
      </c>
      <c r="AG152" s="74">
        <f>IF($C152="","",IF(N($AF152)+N(HSCEI!$I$7)=0,"",N($AF152)+N(HSCEI!$I$7)/100))</f>
        <v/>
      </c>
      <c r="AH152" s="66">
        <f>IF($C152="","",IF(PULL_FUND="N","",IF(COUNTIFS('Fund History'!$D$856:$D$860,"&gt;="&amp;DATE(YEAR_Y-2,1,1),'Fund History'!$D$856:$D$860,"&lt;="&amp;DATE(YEAR_Y-2,12,31))=0,"",SUMIFS('Fund History'!$E$856:$E$860,'Fund History'!$D$856:$D$860,"&gt;="&amp;DATE(YEAR_Y-2,1,1),'Fund History'!$D$856:$D$860,"&lt;="&amp;DATE(YEAR_Y-2,12,31)))))</f>
        <v/>
      </c>
      <c r="AI152" s="67">
        <f>IF($C152="","",IF(PULL_FUND="N","",IF(COUNTIFS('Fund History'!$D$856:$D$860,"&gt;="&amp;DATE(YEAR_Y-1,1,1),'Fund History'!$D$856:$D$860,"&lt;="&amp;DATE(YEAR_Y-1,12,31))=0,"",SUMIFS('Fund History'!$E$856:$E$860,'Fund History'!$D$856:$D$860,"&gt;="&amp;DATE(YEAR_Y-1,1,1),'Fund History'!$D$856:$D$860,"&lt;="&amp;DATE(YEAR_Y-1,12,31)))))</f>
        <v/>
      </c>
      <c r="AJ152" s="67">
        <f>IF($C152="","",IF(PULL_FUND="N","",IFERROR(BDP($C152,NDEBITDA_FIELD),"")))</f>
        <v/>
      </c>
      <c r="AK152" s="75">
        <f>IF($C152="","",IF(PULL_FUND="N","",IFERROR(BDP($C152,EBINT_FIELD),"")))</f>
        <v/>
      </c>
      <c r="AL152" s="73">
        <f>IF($C152="","",IF(PULL_FUND="N","",IFERROR(BDP($C152,FCF_FIELD)/100,"")))</f>
        <v/>
      </c>
      <c r="AM152" s="76">
        <f>IF($C152="","",IF(ISNUMBER(HSCEI!$I$7),HSCEI!$I$7/100,""))</f>
        <v/>
      </c>
      <c r="AN152" s="47">
        <f>IF($C152="","",IF(N($AM152)=0,"",IFERROR($AL152/$AM152,"")))</f>
        <v/>
      </c>
      <c r="AO152" s="33">
        <f>IF($C152="","",IF(ISNUMBER($S152)*ISNUMBER($W152)=0,"",IF($W152&gt;$S152+0.05,"rising",IF($W152&lt;$S152-0.05,"falling","stable"))))</f>
        <v/>
      </c>
      <c r="AP152" s="77">
        <f>IF($C152="","",TRIM(IF(ISNUMBER($X152)*(N($X152)&gt;$D$4)&gt;0,"payout high  ","")&amp;IF(ISNUMBER($AN152)*(N($AN152)&lt;$F$4)&gt;0,"FCF below dvd  ","")&amp;IF(ISNUMBER($AJ152)*(N($AJ152)&gt;$H$4)&gt;0,"leverage high","")))</f>
        <v/>
      </c>
      <c r="AQ152" s="78">
        <f>IF($C152="","",IF(HSCEI!$F$7="HKD","",HSCEI!$F$7))</f>
        <v/>
      </c>
    </row>
    <row r="153">
      <c r="B153" s="62" t="inlineStr">
        <is>
          <t>HSCEI</t>
        </is>
      </c>
      <c r="C153" s="6">
        <f>IF(HSCEI!$C$8="","",HSCEI!$C$8)</f>
        <v/>
      </c>
      <c r="D153" s="6">
        <f>IF($C153="","",HSCEI!$D$8)</f>
        <v/>
      </c>
      <c r="E153" s="6">
        <f>IF($C153="","",HSCEI!$E$8)</f>
        <v/>
      </c>
      <c r="F153" s="63">
        <f>IF($C153="","",SUMPRODUCT(('Dvd Calendar'!$E$1572:$AR$1572&gt;=DATE(YEAR_Y-5,1,1))*('Dvd Calendar'!$E$1572:$AR$1572&lt;=DATE(YEAR_Y-5,12,31))*'Dvd Calendar'!$E$1575:$AR$1575*(('Dvd Calendar'!$E$1577:$AR$1577=TYPE1)*(TYPE1&lt;&gt;"")+('Dvd Calendar'!$E$1577:$AR$1577=TYPE2)*(TYPE2&lt;&gt;"")+('Dvd Calendar'!$E$1577:$AR$1577=TYPE3)*(TYPE3&lt;&gt;"")+('Dvd Calendar'!$E$1577:$AR$1577=TYPE4)*(TYPE4&lt;&gt;"")+('Dvd Calendar'!$E$1577:$AR$1577=SPECIAL_LBL)*(INC_SPECIALS="Y"))))</f>
        <v/>
      </c>
      <c r="G153" s="64">
        <f>IF($C153="","",SUMPRODUCT(('Dvd Calendar'!$E$1572:$AR$1572&gt;=DATE(YEAR_Y-4,1,1))*('Dvd Calendar'!$E$1572:$AR$1572&lt;=DATE(YEAR_Y-4,12,31))*'Dvd Calendar'!$E$1575:$AR$1575*(('Dvd Calendar'!$E$1577:$AR$1577=TYPE1)*(TYPE1&lt;&gt;"")+('Dvd Calendar'!$E$1577:$AR$1577=TYPE2)*(TYPE2&lt;&gt;"")+('Dvd Calendar'!$E$1577:$AR$1577=TYPE3)*(TYPE3&lt;&gt;"")+('Dvd Calendar'!$E$1577:$AR$1577=TYPE4)*(TYPE4&lt;&gt;"")+('Dvd Calendar'!$E$1577:$AR$1577=SPECIAL_LBL)*(INC_SPECIALS="Y"))))</f>
        <v/>
      </c>
      <c r="H153" s="64">
        <f>IF($C153="","",SUMPRODUCT(('Dvd Calendar'!$E$1572:$AR$1572&gt;=DATE(YEAR_Y-3,1,1))*('Dvd Calendar'!$E$1572:$AR$1572&lt;=DATE(YEAR_Y-3,12,31))*'Dvd Calendar'!$E$1575:$AR$1575*(('Dvd Calendar'!$E$1577:$AR$1577=TYPE1)*(TYPE1&lt;&gt;"")+('Dvd Calendar'!$E$1577:$AR$1577=TYPE2)*(TYPE2&lt;&gt;"")+('Dvd Calendar'!$E$1577:$AR$1577=TYPE3)*(TYPE3&lt;&gt;"")+('Dvd Calendar'!$E$1577:$AR$1577=TYPE4)*(TYPE4&lt;&gt;"")+('Dvd Calendar'!$E$1577:$AR$1577=SPECIAL_LBL)*(INC_SPECIALS="Y"))))</f>
        <v/>
      </c>
      <c r="I153" s="64">
        <f>IF($C153="","",SUMPRODUCT(('Dvd Calendar'!$E$1572:$AR$1572&gt;=DATE(YEAR_Y-2,1,1))*('Dvd Calendar'!$E$1572:$AR$1572&lt;=DATE(YEAR_Y-2,12,31))*'Dvd Calendar'!$E$1575:$AR$1575*(('Dvd Calendar'!$E$1577:$AR$1577=TYPE1)*(TYPE1&lt;&gt;"")+('Dvd Calendar'!$E$1577:$AR$1577=TYPE2)*(TYPE2&lt;&gt;"")+('Dvd Calendar'!$E$1577:$AR$1577=TYPE3)*(TYPE3&lt;&gt;"")+('Dvd Calendar'!$E$1577:$AR$1577=TYPE4)*(TYPE4&lt;&gt;"")+('Dvd Calendar'!$E$1577:$AR$1577=SPECIAL_LBL)*(INC_SPECIALS="Y"))))</f>
        <v/>
      </c>
      <c r="J153" s="64">
        <f>IF($C153="","",SUMPRODUCT(('Dvd Calendar'!$E$1572:$AR$1572&gt;=DATE(YEAR_Y-1,1,1))*('Dvd Calendar'!$E$1572:$AR$1572&lt;=DATE(YEAR_Y-1,12,31))*'Dvd Calendar'!$E$1575:$AR$1575*(('Dvd Calendar'!$E$1577:$AR$1577=TYPE1)*(TYPE1&lt;&gt;"")+('Dvd Calendar'!$E$1577:$AR$1577=TYPE2)*(TYPE2&lt;&gt;"")+('Dvd Calendar'!$E$1577:$AR$1577=TYPE3)*(TYPE3&lt;&gt;"")+('Dvd Calendar'!$E$1577:$AR$1577=TYPE4)*(TYPE4&lt;&gt;"")+('Dvd Calendar'!$E$1577:$AR$1577=SPECIAL_LBL)*(INC_SPECIALS="Y"))))</f>
        <v/>
      </c>
      <c r="K153" s="65">
        <f>IF($C153="","",HSCEI!$J$8)</f>
        <v/>
      </c>
      <c r="L153" s="65">
        <f>IF($C153="","",HSCEI!$K$8)</f>
        <v/>
      </c>
      <c r="M153" s="41">
        <f>IF($C153="","",AVERAGE(F153:J153))</f>
        <v/>
      </c>
      <c r="N153" s="66">
        <f>IF($C153="","",IF(PULL_FUND="N","",IFERROR(BDP($C153,EPS_FIELD,YR_OVERRIDE,TEXT(YEAR_Y-5,"0")),"")))</f>
        <v/>
      </c>
      <c r="O153" s="67">
        <f>IF($C153="","",IF(PULL_FUND="N","",IFERROR(BDP($C153,EPS_FIELD,YR_OVERRIDE,TEXT(YEAR_Y-4,"0")),"")))</f>
        <v/>
      </c>
      <c r="P153" s="67">
        <f>IF($C153="","",IF(PULL_FUND="N","",IFERROR(BDP($C153,EPS_FIELD,YR_OVERRIDE,TEXT(YEAR_Y-3,"0")),"")))</f>
        <v/>
      </c>
      <c r="Q153" s="67">
        <f>IF($C153="","",IF(PULL_FUND="N","",IFERROR(BDP($C153,EPS_FIELD,YR_OVERRIDE,TEXT(YEAR_Y-2,"0")),"")))</f>
        <v/>
      </c>
      <c r="R153" s="67">
        <f>IF($C153="","",IF(PULL_FUND="N","",IFERROR(BDP($C153,EPS_FIELD,YR_OVERRIDE,TEXT(YEAR_Y-1,"0")),"")))</f>
        <v/>
      </c>
      <c r="S153" s="68">
        <f>IF($C153="","",IF(PULL_FUND="N","",IFERROR(BDP($C153,PAYOUT_FIELD,YR_OVERRIDE,TEXT(YEAR_Y-5,"0"))/100,"")))</f>
        <v/>
      </c>
      <c r="T153" s="68">
        <f>IF($C153="","",IF(PULL_FUND="N","",IFERROR(BDP($C153,PAYOUT_FIELD,YR_OVERRIDE,TEXT(YEAR_Y-4,"0"))/100,"")))</f>
        <v/>
      </c>
      <c r="U153" s="68">
        <f>IF($C153="","",IF(PULL_FUND="N","",IFERROR(BDP($C153,PAYOUT_FIELD,YR_OVERRIDE,TEXT(YEAR_Y-3,"0"))/100,"")))</f>
        <v/>
      </c>
      <c r="V153" s="68">
        <f>IF($C153="","",IF(PULL_FUND="N","",IFERROR(BDP($C153,PAYOUT_FIELD,YR_OVERRIDE,TEXT(YEAR_Y-2,"0"))/100,"")))</f>
        <v/>
      </c>
      <c r="W153" s="68">
        <f>IF($C153="","",IF(PULL_FUND="N","",IFERROR(BDP($C153,PAYOUT_FIELD,YR_OVERRIDE,TEXT(YEAR_Y-1,"0"))/100,"")))</f>
        <v/>
      </c>
      <c r="X153" s="69">
        <f>IF($C153="","",IFERROR(AVERAGE(S153:W153),""))</f>
        <v/>
      </c>
      <c r="Y153" s="66">
        <f>IF($C153="","",IF(PULL_FUND="N","",IFERROR(BDP($C153,BESTEPS_FIELD,FWD_OVERRIDE,TEXT(MOD(YEAR_Y,100),"00")&amp;"Y"),"")))</f>
        <v/>
      </c>
      <c r="Z153" s="70">
        <f>IF($C153="","",IF(PULL_FUND="N","",IFERROR(BDP($C153,BESTDPS_FIELD,FWD_OVERRIDE,TEXT(MOD(YEAR_Y,100),"00")&amp;"Y"),"")))</f>
        <v/>
      </c>
      <c r="AA153" s="71">
        <f>IF($C153="","",IF(ISNUMBER($Y153)*ISNUMBER($Z153)*($Y153&lt;&gt;0)=0,"",$Z153/$Y153))</f>
        <v/>
      </c>
      <c r="AB153" s="41">
        <f>IF($C153="","",HSCEI!$J$8+HSCEI!$L$8)</f>
        <v/>
      </c>
      <c r="AC153" s="72">
        <f>IF($C153="","",IF(PULL_FUND="N","",IF(COUNTIFS('Fund History'!$G$862:$G$866,"&gt;="&amp;DATE(YEAR_Y-4,1,1),'Fund History'!$G$862:$G$866,"&lt;="&amp;DATE(YEAR_Y-4,12,31))=0,"",SUMIFS('Fund History'!$H$862:$H$866,'Fund History'!$G$862:$G$866,"&gt;="&amp;DATE(YEAR_Y-4,1,1),'Fund History'!$G$862:$G$866,"&lt;="&amp;DATE(YEAR_Y-4,12,31))/100)))</f>
        <v/>
      </c>
      <c r="AD153" s="73">
        <f>IF($C153="","",IF(PULL_FUND="N","",IF(COUNTIFS('Fund History'!$G$862:$G$866,"&gt;="&amp;DATE(YEAR_Y-3,1,1),'Fund History'!$G$862:$G$866,"&lt;="&amp;DATE(YEAR_Y-3,12,31))=0,"",SUMIFS('Fund History'!$H$862:$H$866,'Fund History'!$G$862:$G$866,"&gt;="&amp;DATE(YEAR_Y-3,1,1),'Fund History'!$G$862:$G$866,"&lt;="&amp;DATE(YEAR_Y-3,12,31))/100)))</f>
        <v/>
      </c>
      <c r="AE153" s="73">
        <f>IF($C153="","",IF(PULL_FUND="N","",IF(COUNTIFS('Fund History'!$G$862:$G$866,"&gt;="&amp;DATE(YEAR_Y-2,1,1),'Fund History'!$G$862:$G$866,"&lt;="&amp;DATE(YEAR_Y-2,12,31))=0,"",SUMIFS('Fund History'!$H$862:$H$866,'Fund History'!$G$862:$G$866,"&gt;="&amp;DATE(YEAR_Y-2,1,1),'Fund History'!$G$862:$G$866,"&lt;="&amp;DATE(YEAR_Y-2,12,31))/100)))</f>
        <v/>
      </c>
      <c r="AF153" s="73">
        <f>IF($C153="","",IF(PULL_FUND="N","",IF(COUNTIFS('Fund History'!$G$862:$G$866,"&gt;="&amp;DATE(YEAR_Y-1,1,1),'Fund History'!$G$862:$G$866,"&lt;="&amp;DATE(YEAR_Y-1,12,31))=0,"",SUMIFS('Fund History'!$H$862:$H$866,'Fund History'!$G$862:$G$866,"&gt;="&amp;DATE(YEAR_Y-1,1,1),'Fund History'!$G$862:$G$866,"&lt;="&amp;DATE(YEAR_Y-1,12,31))/100)))</f>
        <v/>
      </c>
      <c r="AG153" s="74">
        <f>IF($C153="","",IF(N($AF153)+N(HSCEI!$I$8)=0,"",N($AF153)+N(HSCEI!$I$8)/100))</f>
        <v/>
      </c>
      <c r="AH153" s="66">
        <f>IF($C153="","",IF(PULL_FUND="N","",IF(COUNTIFS('Fund History'!$D$862:$D$866,"&gt;="&amp;DATE(YEAR_Y-2,1,1),'Fund History'!$D$862:$D$866,"&lt;="&amp;DATE(YEAR_Y-2,12,31))=0,"",SUMIFS('Fund History'!$E$862:$E$866,'Fund History'!$D$862:$D$866,"&gt;="&amp;DATE(YEAR_Y-2,1,1),'Fund History'!$D$862:$D$866,"&lt;="&amp;DATE(YEAR_Y-2,12,31)))))</f>
        <v/>
      </c>
      <c r="AI153" s="67">
        <f>IF($C153="","",IF(PULL_FUND="N","",IF(COUNTIFS('Fund History'!$D$862:$D$866,"&gt;="&amp;DATE(YEAR_Y-1,1,1),'Fund History'!$D$862:$D$866,"&lt;="&amp;DATE(YEAR_Y-1,12,31))=0,"",SUMIFS('Fund History'!$E$862:$E$866,'Fund History'!$D$862:$D$866,"&gt;="&amp;DATE(YEAR_Y-1,1,1),'Fund History'!$D$862:$D$866,"&lt;="&amp;DATE(YEAR_Y-1,12,31)))))</f>
        <v/>
      </c>
      <c r="AJ153" s="67">
        <f>IF($C153="","",IF(PULL_FUND="N","",IFERROR(BDP($C153,NDEBITDA_FIELD),"")))</f>
        <v/>
      </c>
      <c r="AK153" s="75">
        <f>IF($C153="","",IF(PULL_FUND="N","",IFERROR(BDP($C153,EBINT_FIELD),"")))</f>
        <v/>
      </c>
      <c r="AL153" s="73">
        <f>IF($C153="","",IF(PULL_FUND="N","",IFERROR(BDP($C153,FCF_FIELD)/100,"")))</f>
        <v/>
      </c>
      <c r="AM153" s="76">
        <f>IF($C153="","",IF(ISNUMBER(HSCEI!$I$8),HSCEI!$I$8/100,""))</f>
        <v/>
      </c>
      <c r="AN153" s="47">
        <f>IF($C153="","",IF(N($AM153)=0,"",IFERROR($AL153/$AM153,"")))</f>
        <v/>
      </c>
      <c r="AO153" s="33">
        <f>IF($C153="","",IF(ISNUMBER($S153)*ISNUMBER($W153)=0,"",IF($W153&gt;$S153+0.05,"rising",IF($W153&lt;$S153-0.05,"falling","stable"))))</f>
        <v/>
      </c>
      <c r="AP153" s="77">
        <f>IF($C153="","",TRIM(IF(ISNUMBER($X153)*(N($X153)&gt;$D$4)&gt;0,"payout high  ","")&amp;IF(ISNUMBER($AN153)*(N($AN153)&lt;$F$4)&gt;0,"FCF below dvd  ","")&amp;IF(ISNUMBER($AJ153)*(N($AJ153)&gt;$H$4)&gt;0,"leverage high","")))</f>
        <v/>
      </c>
      <c r="AQ153" s="78">
        <f>IF($C153="","",IF(HSCEI!$F$8="HKD","",HSCEI!$F$8))</f>
        <v/>
      </c>
    </row>
    <row r="154">
      <c r="B154" s="62" t="inlineStr">
        <is>
          <t>HSCEI</t>
        </is>
      </c>
      <c r="C154" s="6">
        <f>IF(HSCEI!$C$9="","",HSCEI!$C$9)</f>
        <v/>
      </c>
      <c r="D154" s="6">
        <f>IF($C154="","",HSCEI!$D$9)</f>
        <v/>
      </c>
      <c r="E154" s="6">
        <f>IF($C154="","",HSCEI!$E$9)</f>
        <v/>
      </c>
      <c r="F154" s="63">
        <f>IF($C154="","",SUMPRODUCT(('Dvd Calendar'!$E$1583:$AR$1583&gt;=DATE(YEAR_Y-5,1,1))*('Dvd Calendar'!$E$1583:$AR$1583&lt;=DATE(YEAR_Y-5,12,31))*'Dvd Calendar'!$E$1586:$AR$1586*(('Dvd Calendar'!$E$1588:$AR$1588=TYPE1)*(TYPE1&lt;&gt;"")+('Dvd Calendar'!$E$1588:$AR$1588=TYPE2)*(TYPE2&lt;&gt;"")+('Dvd Calendar'!$E$1588:$AR$1588=TYPE3)*(TYPE3&lt;&gt;"")+('Dvd Calendar'!$E$1588:$AR$1588=TYPE4)*(TYPE4&lt;&gt;"")+('Dvd Calendar'!$E$1588:$AR$1588=SPECIAL_LBL)*(INC_SPECIALS="Y"))))</f>
        <v/>
      </c>
      <c r="G154" s="64">
        <f>IF($C154="","",SUMPRODUCT(('Dvd Calendar'!$E$1583:$AR$1583&gt;=DATE(YEAR_Y-4,1,1))*('Dvd Calendar'!$E$1583:$AR$1583&lt;=DATE(YEAR_Y-4,12,31))*'Dvd Calendar'!$E$1586:$AR$1586*(('Dvd Calendar'!$E$1588:$AR$1588=TYPE1)*(TYPE1&lt;&gt;"")+('Dvd Calendar'!$E$1588:$AR$1588=TYPE2)*(TYPE2&lt;&gt;"")+('Dvd Calendar'!$E$1588:$AR$1588=TYPE3)*(TYPE3&lt;&gt;"")+('Dvd Calendar'!$E$1588:$AR$1588=TYPE4)*(TYPE4&lt;&gt;"")+('Dvd Calendar'!$E$1588:$AR$1588=SPECIAL_LBL)*(INC_SPECIALS="Y"))))</f>
        <v/>
      </c>
      <c r="H154" s="64">
        <f>IF($C154="","",SUMPRODUCT(('Dvd Calendar'!$E$1583:$AR$1583&gt;=DATE(YEAR_Y-3,1,1))*('Dvd Calendar'!$E$1583:$AR$1583&lt;=DATE(YEAR_Y-3,12,31))*'Dvd Calendar'!$E$1586:$AR$1586*(('Dvd Calendar'!$E$1588:$AR$1588=TYPE1)*(TYPE1&lt;&gt;"")+('Dvd Calendar'!$E$1588:$AR$1588=TYPE2)*(TYPE2&lt;&gt;"")+('Dvd Calendar'!$E$1588:$AR$1588=TYPE3)*(TYPE3&lt;&gt;"")+('Dvd Calendar'!$E$1588:$AR$1588=TYPE4)*(TYPE4&lt;&gt;"")+('Dvd Calendar'!$E$1588:$AR$1588=SPECIAL_LBL)*(INC_SPECIALS="Y"))))</f>
        <v/>
      </c>
      <c r="I154" s="64">
        <f>IF($C154="","",SUMPRODUCT(('Dvd Calendar'!$E$1583:$AR$1583&gt;=DATE(YEAR_Y-2,1,1))*('Dvd Calendar'!$E$1583:$AR$1583&lt;=DATE(YEAR_Y-2,12,31))*'Dvd Calendar'!$E$1586:$AR$1586*(('Dvd Calendar'!$E$1588:$AR$1588=TYPE1)*(TYPE1&lt;&gt;"")+('Dvd Calendar'!$E$1588:$AR$1588=TYPE2)*(TYPE2&lt;&gt;"")+('Dvd Calendar'!$E$1588:$AR$1588=TYPE3)*(TYPE3&lt;&gt;"")+('Dvd Calendar'!$E$1588:$AR$1588=TYPE4)*(TYPE4&lt;&gt;"")+('Dvd Calendar'!$E$1588:$AR$1588=SPECIAL_LBL)*(INC_SPECIALS="Y"))))</f>
        <v/>
      </c>
      <c r="J154" s="64">
        <f>IF($C154="","",SUMPRODUCT(('Dvd Calendar'!$E$1583:$AR$1583&gt;=DATE(YEAR_Y-1,1,1))*('Dvd Calendar'!$E$1583:$AR$1583&lt;=DATE(YEAR_Y-1,12,31))*'Dvd Calendar'!$E$1586:$AR$1586*(('Dvd Calendar'!$E$1588:$AR$1588=TYPE1)*(TYPE1&lt;&gt;"")+('Dvd Calendar'!$E$1588:$AR$1588=TYPE2)*(TYPE2&lt;&gt;"")+('Dvd Calendar'!$E$1588:$AR$1588=TYPE3)*(TYPE3&lt;&gt;"")+('Dvd Calendar'!$E$1588:$AR$1588=TYPE4)*(TYPE4&lt;&gt;"")+('Dvd Calendar'!$E$1588:$AR$1588=SPECIAL_LBL)*(INC_SPECIALS="Y"))))</f>
        <v/>
      </c>
      <c r="K154" s="65">
        <f>IF($C154="","",HSCEI!$J$9)</f>
        <v/>
      </c>
      <c r="L154" s="65">
        <f>IF($C154="","",HSCEI!$K$9)</f>
        <v/>
      </c>
      <c r="M154" s="41">
        <f>IF($C154="","",AVERAGE(F154:J154))</f>
        <v/>
      </c>
      <c r="N154" s="66">
        <f>IF($C154="","",IF(PULL_FUND="N","",IFERROR(BDP($C154,EPS_FIELD,YR_OVERRIDE,TEXT(YEAR_Y-5,"0")),"")))</f>
        <v/>
      </c>
      <c r="O154" s="67">
        <f>IF($C154="","",IF(PULL_FUND="N","",IFERROR(BDP($C154,EPS_FIELD,YR_OVERRIDE,TEXT(YEAR_Y-4,"0")),"")))</f>
        <v/>
      </c>
      <c r="P154" s="67">
        <f>IF($C154="","",IF(PULL_FUND="N","",IFERROR(BDP($C154,EPS_FIELD,YR_OVERRIDE,TEXT(YEAR_Y-3,"0")),"")))</f>
        <v/>
      </c>
      <c r="Q154" s="67">
        <f>IF($C154="","",IF(PULL_FUND="N","",IFERROR(BDP($C154,EPS_FIELD,YR_OVERRIDE,TEXT(YEAR_Y-2,"0")),"")))</f>
        <v/>
      </c>
      <c r="R154" s="67">
        <f>IF($C154="","",IF(PULL_FUND="N","",IFERROR(BDP($C154,EPS_FIELD,YR_OVERRIDE,TEXT(YEAR_Y-1,"0")),"")))</f>
        <v/>
      </c>
      <c r="S154" s="68">
        <f>IF($C154="","",IF(PULL_FUND="N","",IFERROR(BDP($C154,PAYOUT_FIELD,YR_OVERRIDE,TEXT(YEAR_Y-5,"0"))/100,"")))</f>
        <v/>
      </c>
      <c r="T154" s="68">
        <f>IF($C154="","",IF(PULL_FUND="N","",IFERROR(BDP($C154,PAYOUT_FIELD,YR_OVERRIDE,TEXT(YEAR_Y-4,"0"))/100,"")))</f>
        <v/>
      </c>
      <c r="U154" s="68">
        <f>IF($C154="","",IF(PULL_FUND="N","",IFERROR(BDP($C154,PAYOUT_FIELD,YR_OVERRIDE,TEXT(YEAR_Y-3,"0"))/100,"")))</f>
        <v/>
      </c>
      <c r="V154" s="68">
        <f>IF($C154="","",IF(PULL_FUND="N","",IFERROR(BDP($C154,PAYOUT_FIELD,YR_OVERRIDE,TEXT(YEAR_Y-2,"0"))/100,"")))</f>
        <v/>
      </c>
      <c r="W154" s="68">
        <f>IF($C154="","",IF(PULL_FUND="N","",IFERROR(BDP($C154,PAYOUT_FIELD,YR_OVERRIDE,TEXT(YEAR_Y-1,"0"))/100,"")))</f>
        <v/>
      </c>
      <c r="X154" s="69">
        <f>IF($C154="","",IFERROR(AVERAGE(S154:W154),""))</f>
        <v/>
      </c>
      <c r="Y154" s="66">
        <f>IF($C154="","",IF(PULL_FUND="N","",IFERROR(BDP($C154,BESTEPS_FIELD,FWD_OVERRIDE,TEXT(MOD(YEAR_Y,100),"00")&amp;"Y"),"")))</f>
        <v/>
      </c>
      <c r="Z154" s="70">
        <f>IF($C154="","",IF(PULL_FUND="N","",IFERROR(BDP($C154,BESTDPS_FIELD,FWD_OVERRIDE,TEXT(MOD(YEAR_Y,100),"00")&amp;"Y"),"")))</f>
        <v/>
      </c>
      <c r="AA154" s="71">
        <f>IF($C154="","",IF(ISNUMBER($Y154)*ISNUMBER($Z154)*($Y154&lt;&gt;0)=0,"",$Z154/$Y154))</f>
        <v/>
      </c>
      <c r="AB154" s="41">
        <f>IF($C154="","",HSCEI!$J$9+HSCEI!$L$9)</f>
        <v/>
      </c>
      <c r="AC154" s="72">
        <f>IF($C154="","",IF(PULL_FUND="N","",IF(COUNTIFS('Fund History'!$G$868:$G$872,"&gt;="&amp;DATE(YEAR_Y-4,1,1),'Fund History'!$G$868:$G$872,"&lt;="&amp;DATE(YEAR_Y-4,12,31))=0,"",SUMIFS('Fund History'!$H$868:$H$872,'Fund History'!$G$868:$G$872,"&gt;="&amp;DATE(YEAR_Y-4,1,1),'Fund History'!$G$868:$G$872,"&lt;="&amp;DATE(YEAR_Y-4,12,31))/100)))</f>
        <v/>
      </c>
      <c r="AD154" s="73">
        <f>IF($C154="","",IF(PULL_FUND="N","",IF(COUNTIFS('Fund History'!$G$868:$G$872,"&gt;="&amp;DATE(YEAR_Y-3,1,1),'Fund History'!$G$868:$G$872,"&lt;="&amp;DATE(YEAR_Y-3,12,31))=0,"",SUMIFS('Fund History'!$H$868:$H$872,'Fund History'!$G$868:$G$872,"&gt;="&amp;DATE(YEAR_Y-3,1,1),'Fund History'!$G$868:$G$872,"&lt;="&amp;DATE(YEAR_Y-3,12,31))/100)))</f>
        <v/>
      </c>
      <c r="AE154" s="73">
        <f>IF($C154="","",IF(PULL_FUND="N","",IF(COUNTIFS('Fund History'!$G$868:$G$872,"&gt;="&amp;DATE(YEAR_Y-2,1,1),'Fund History'!$G$868:$G$872,"&lt;="&amp;DATE(YEAR_Y-2,12,31))=0,"",SUMIFS('Fund History'!$H$868:$H$872,'Fund History'!$G$868:$G$872,"&gt;="&amp;DATE(YEAR_Y-2,1,1),'Fund History'!$G$868:$G$872,"&lt;="&amp;DATE(YEAR_Y-2,12,31))/100)))</f>
        <v/>
      </c>
      <c r="AF154" s="73">
        <f>IF($C154="","",IF(PULL_FUND="N","",IF(COUNTIFS('Fund History'!$G$868:$G$872,"&gt;="&amp;DATE(YEAR_Y-1,1,1),'Fund History'!$G$868:$G$872,"&lt;="&amp;DATE(YEAR_Y-1,12,31))=0,"",SUMIFS('Fund History'!$H$868:$H$872,'Fund History'!$G$868:$G$872,"&gt;="&amp;DATE(YEAR_Y-1,1,1),'Fund History'!$G$868:$G$872,"&lt;="&amp;DATE(YEAR_Y-1,12,31))/100)))</f>
        <v/>
      </c>
      <c r="AG154" s="74">
        <f>IF($C154="","",IF(N($AF154)+N(HSCEI!$I$9)=0,"",N($AF154)+N(HSCEI!$I$9)/100))</f>
        <v/>
      </c>
      <c r="AH154" s="66">
        <f>IF($C154="","",IF(PULL_FUND="N","",IF(COUNTIFS('Fund History'!$D$868:$D$872,"&gt;="&amp;DATE(YEAR_Y-2,1,1),'Fund History'!$D$868:$D$872,"&lt;="&amp;DATE(YEAR_Y-2,12,31))=0,"",SUMIFS('Fund History'!$E$868:$E$872,'Fund History'!$D$868:$D$872,"&gt;="&amp;DATE(YEAR_Y-2,1,1),'Fund History'!$D$868:$D$872,"&lt;="&amp;DATE(YEAR_Y-2,12,31)))))</f>
        <v/>
      </c>
      <c r="AI154" s="67">
        <f>IF($C154="","",IF(PULL_FUND="N","",IF(COUNTIFS('Fund History'!$D$868:$D$872,"&gt;="&amp;DATE(YEAR_Y-1,1,1),'Fund History'!$D$868:$D$872,"&lt;="&amp;DATE(YEAR_Y-1,12,31))=0,"",SUMIFS('Fund History'!$E$868:$E$872,'Fund History'!$D$868:$D$872,"&gt;="&amp;DATE(YEAR_Y-1,1,1),'Fund History'!$D$868:$D$872,"&lt;="&amp;DATE(YEAR_Y-1,12,31)))))</f>
        <v/>
      </c>
      <c r="AJ154" s="67">
        <f>IF($C154="","",IF(PULL_FUND="N","",IFERROR(BDP($C154,NDEBITDA_FIELD),"")))</f>
        <v/>
      </c>
      <c r="AK154" s="75">
        <f>IF($C154="","",IF(PULL_FUND="N","",IFERROR(BDP($C154,EBINT_FIELD),"")))</f>
        <v/>
      </c>
      <c r="AL154" s="73">
        <f>IF($C154="","",IF(PULL_FUND="N","",IFERROR(BDP($C154,FCF_FIELD)/100,"")))</f>
        <v/>
      </c>
      <c r="AM154" s="76">
        <f>IF($C154="","",IF(ISNUMBER(HSCEI!$I$9),HSCEI!$I$9/100,""))</f>
        <v/>
      </c>
      <c r="AN154" s="47">
        <f>IF($C154="","",IF(N($AM154)=0,"",IFERROR($AL154/$AM154,"")))</f>
        <v/>
      </c>
      <c r="AO154" s="33">
        <f>IF($C154="","",IF(ISNUMBER($S154)*ISNUMBER($W154)=0,"",IF($W154&gt;$S154+0.05,"rising",IF($W154&lt;$S154-0.05,"falling","stable"))))</f>
        <v/>
      </c>
      <c r="AP154" s="77">
        <f>IF($C154="","",TRIM(IF(ISNUMBER($X154)*(N($X154)&gt;$D$4)&gt;0,"payout high  ","")&amp;IF(ISNUMBER($AN154)*(N($AN154)&lt;$F$4)&gt;0,"FCF below dvd  ","")&amp;IF(ISNUMBER($AJ154)*(N($AJ154)&gt;$H$4)&gt;0,"leverage high","")))</f>
        <v/>
      </c>
      <c r="AQ154" s="78">
        <f>IF($C154="","",IF(HSCEI!$F$9="HKD","",HSCEI!$F$9))</f>
        <v/>
      </c>
    </row>
    <row r="155">
      <c r="B155" s="62" t="inlineStr">
        <is>
          <t>HSCEI</t>
        </is>
      </c>
      <c r="C155" s="6">
        <f>IF(HSCEI!$C$10="","",HSCEI!$C$10)</f>
        <v/>
      </c>
      <c r="D155" s="6">
        <f>IF($C155="","",HSCEI!$D$10)</f>
        <v/>
      </c>
      <c r="E155" s="6">
        <f>IF($C155="","",HSCEI!$E$10)</f>
        <v/>
      </c>
      <c r="F155" s="63">
        <f>IF($C155="","",SUMPRODUCT(('Dvd Calendar'!$E$1594:$AR$1594&gt;=DATE(YEAR_Y-5,1,1))*('Dvd Calendar'!$E$1594:$AR$1594&lt;=DATE(YEAR_Y-5,12,31))*'Dvd Calendar'!$E$1597:$AR$1597*(('Dvd Calendar'!$E$1599:$AR$1599=TYPE1)*(TYPE1&lt;&gt;"")+('Dvd Calendar'!$E$1599:$AR$1599=TYPE2)*(TYPE2&lt;&gt;"")+('Dvd Calendar'!$E$1599:$AR$1599=TYPE3)*(TYPE3&lt;&gt;"")+('Dvd Calendar'!$E$1599:$AR$1599=TYPE4)*(TYPE4&lt;&gt;"")+('Dvd Calendar'!$E$1599:$AR$1599=SPECIAL_LBL)*(INC_SPECIALS="Y"))))</f>
        <v/>
      </c>
      <c r="G155" s="64">
        <f>IF($C155="","",SUMPRODUCT(('Dvd Calendar'!$E$1594:$AR$1594&gt;=DATE(YEAR_Y-4,1,1))*('Dvd Calendar'!$E$1594:$AR$1594&lt;=DATE(YEAR_Y-4,12,31))*'Dvd Calendar'!$E$1597:$AR$1597*(('Dvd Calendar'!$E$1599:$AR$1599=TYPE1)*(TYPE1&lt;&gt;"")+('Dvd Calendar'!$E$1599:$AR$1599=TYPE2)*(TYPE2&lt;&gt;"")+('Dvd Calendar'!$E$1599:$AR$1599=TYPE3)*(TYPE3&lt;&gt;"")+('Dvd Calendar'!$E$1599:$AR$1599=TYPE4)*(TYPE4&lt;&gt;"")+('Dvd Calendar'!$E$1599:$AR$1599=SPECIAL_LBL)*(INC_SPECIALS="Y"))))</f>
        <v/>
      </c>
      <c r="H155" s="64">
        <f>IF($C155="","",SUMPRODUCT(('Dvd Calendar'!$E$1594:$AR$1594&gt;=DATE(YEAR_Y-3,1,1))*('Dvd Calendar'!$E$1594:$AR$1594&lt;=DATE(YEAR_Y-3,12,31))*'Dvd Calendar'!$E$1597:$AR$1597*(('Dvd Calendar'!$E$1599:$AR$1599=TYPE1)*(TYPE1&lt;&gt;"")+('Dvd Calendar'!$E$1599:$AR$1599=TYPE2)*(TYPE2&lt;&gt;"")+('Dvd Calendar'!$E$1599:$AR$1599=TYPE3)*(TYPE3&lt;&gt;"")+('Dvd Calendar'!$E$1599:$AR$1599=TYPE4)*(TYPE4&lt;&gt;"")+('Dvd Calendar'!$E$1599:$AR$1599=SPECIAL_LBL)*(INC_SPECIALS="Y"))))</f>
        <v/>
      </c>
      <c r="I155" s="64">
        <f>IF($C155="","",SUMPRODUCT(('Dvd Calendar'!$E$1594:$AR$1594&gt;=DATE(YEAR_Y-2,1,1))*('Dvd Calendar'!$E$1594:$AR$1594&lt;=DATE(YEAR_Y-2,12,31))*'Dvd Calendar'!$E$1597:$AR$1597*(('Dvd Calendar'!$E$1599:$AR$1599=TYPE1)*(TYPE1&lt;&gt;"")+('Dvd Calendar'!$E$1599:$AR$1599=TYPE2)*(TYPE2&lt;&gt;"")+('Dvd Calendar'!$E$1599:$AR$1599=TYPE3)*(TYPE3&lt;&gt;"")+('Dvd Calendar'!$E$1599:$AR$1599=TYPE4)*(TYPE4&lt;&gt;"")+('Dvd Calendar'!$E$1599:$AR$1599=SPECIAL_LBL)*(INC_SPECIALS="Y"))))</f>
        <v/>
      </c>
      <c r="J155" s="64">
        <f>IF($C155="","",SUMPRODUCT(('Dvd Calendar'!$E$1594:$AR$1594&gt;=DATE(YEAR_Y-1,1,1))*('Dvd Calendar'!$E$1594:$AR$1594&lt;=DATE(YEAR_Y-1,12,31))*'Dvd Calendar'!$E$1597:$AR$1597*(('Dvd Calendar'!$E$1599:$AR$1599=TYPE1)*(TYPE1&lt;&gt;"")+('Dvd Calendar'!$E$1599:$AR$1599=TYPE2)*(TYPE2&lt;&gt;"")+('Dvd Calendar'!$E$1599:$AR$1599=TYPE3)*(TYPE3&lt;&gt;"")+('Dvd Calendar'!$E$1599:$AR$1599=TYPE4)*(TYPE4&lt;&gt;"")+('Dvd Calendar'!$E$1599:$AR$1599=SPECIAL_LBL)*(INC_SPECIALS="Y"))))</f>
        <v/>
      </c>
      <c r="K155" s="65">
        <f>IF($C155="","",HSCEI!$J$10)</f>
        <v/>
      </c>
      <c r="L155" s="65">
        <f>IF($C155="","",HSCEI!$K$10)</f>
        <v/>
      </c>
      <c r="M155" s="41">
        <f>IF($C155="","",AVERAGE(F155:J155))</f>
        <v/>
      </c>
      <c r="N155" s="66">
        <f>IF($C155="","",IF(PULL_FUND="N","",IFERROR(BDP($C155,EPS_FIELD,YR_OVERRIDE,TEXT(YEAR_Y-5,"0")),"")))</f>
        <v/>
      </c>
      <c r="O155" s="67">
        <f>IF($C155="","",IF(PULL_FUND="N","",IFERROR(BDP($C155,EPS_FIELD,YR_OVERRIDE,TEXT(YEAR_Y-4,"0")),"")))</f>
        <v/>
      </c>
      <c r="P155" s="67">
        <f>IF($C155="","",IF(PULL_FUND="N","",IFERROR(BDP($C155,EPS_FIELD,YR_OVERRIDE,TEXT(YEAR_Y-3,"0")),"")))</f>
        <v/>
      </c>
      <c r="Q155" s="67">
        <f>IF($C155="","",IF(PULL_FUND="N","",IFERROR(BDP($C155,EPS_FIELD,YR_OVERRIDE,TEXT(YEAR_Y-2,"0")),"")))</f>
        <v/>
      </c>
      <c r="R155" s="67">
        <f>IF($C155="","",IF(PULL_FUND="N","",IFERROR(BDP($C155,EPS_FIELD,YR_OVERRIDE,TEXT(YEAR_Y-1,"0")),"")))</f>
        <v/>
      </c>
      <c r="S155" s="68">
        <f>IF($C155="","",IF(PULL_FUND="N","",IFERROR(BDP($C155,PAYOUT_FIELD,YR_OVERRIDE,TEXT(YEAR_Y-5,"0"))/100,"")))</f>
        <v/>
      </c>
      <c r="T155" s="68">
        <f>IF($C155="","",IF(PULL_FUND="N","",IFERROR(BDP($C155,PAYOUT_FIELD,YR_OVERRIDE,TEXT(YEAR_Y-4,"0"))/100,"")))</f>
        <v/>
      </c>
      <c r="U155" s="68">
        <f>IF($C155="","",IF(PULL_FUND="N","",IFERROR(BDP($C155,PAYOUT_FIELD,YR_OVERRIDE,TEXT(YEAR_Y-3,"0"))/100,"")))</f>
        <v/>
      </c>
      <c r="V155" s="68">
        <f>IF($C155="","",IF(PULL_FUND="N","",IFERROR(BDP($C155,PAYOUT_FIELD,YR_OVERRIDE,TEXT(YEAR_Y-2,"0"))/100,"")))</f>
        <v/>
      </c>
      <c r="W155" s="68">
        <f>IF($C155="","",IF(PULL_FUND="N","",IFERROR(BDP($C155,PAYOUT_FIELD,YR_OVERRIDE,TEXT(YEAR_Y-1,"0"))/100,"")))</f>
        <v/>
      </c>
      <c r="X155" s="69">
        <f>IF($C155="","",IFERROR(AVERAGE(S155:W155),""))</f>
        <v/>
      </c>
      <c r="Y155" s="66">
        <f>IF($C155="","",IF(PULL_FUND="N","",IFERROR(BDP($C155,BESTEPS_FIELD,FWD_OVERRIDE,TEXT(MOD(YEAR_Y,100),"00")&amp;"Y"),"")))</f>
        <v/>
      </c>
      <c r="Z155" s="70">
        <f>IF($C155="","",IF(PULL_FUND="N","",IFERROR(BDP($C155,BESTDPS_FIELD,FWD_OVERRIDE,TEXT(MOD(YEAR_Y,100),"00")&amp;"Y"),"")))</f>
        <v/>
      </c>
      <c r="AA155" s="71">
        <f>IF($C155="","",IF(ISNUMBER($Y155)*ISNUMBER($Z155)*($Y155&lt;&gt;0)=0,"",$Z155/$Y155))</f>
        <v/>
      </c>
      <c r="AB155" s="41">
        <f>IF($C155="","",HSCEI!$J$10+HSCEI!$L$10)</f>
        <v/>
      </c>
      <c r="AC155" s="72">
        <f>IF($C155="","",IF(PULL_FUND="N","",IF(COUNTIFS('Fund History'!$G$874:$G$878,"&gt;="&amp;DATE(YEAR_Y-4,1,1),'Fund History'!$G$874:$G$878,"&lt;="&amp;DATE(YEAR_Y-4,12,31))=0,"",SUMIFS('Fund History'!$H$874:$H$878,'Fund History'!$G$874:$G$878,"&gt;="&amp;DATE(YEAR_Y-4,1,1),'Fund History'!$G$874:$G$878,"&lt;="&amp;DATE(YEAR_Y-4,12,31))/100)))</f>
        <v/>
      </c>
      <c r="AD155" s="73">
        <f>IF($C155="","",IF(PULL_FUND="N","",IF(COUNTIFS('Fund History'!$G$874:$G$878,"&gt;="&amp;DATE(YEAR_Y-3,1,1),'Fund History'!$G$874:$G$878,"&lt;="&amp;DATE(YEAR_Y-3,12,31))=0,"",SUMIFS('Fund History'!$H$874:$H$878,'Fund History'!$G$874:$G$878,"&gt;="&amp;DATE(YEAR_Y-3,1,1),'Fund History'!$G$874:$G$878,"&lt;="&amp;DATE(YEAR_Y-3,12,31))/100)))</f>
        <v/>
      </c>
      <c r="AE155" s="73">
        <f>IF($C155="","",IF(PULL_FUND="N","",IF(COUNTIFS('Fund History'!$G$874:$G$878,"&gt;="&amp;DATE(YEAR_Y-2,1,1),'Fund History'!$G$874:$G$878,"&lt;="&amp;DATE(YEAR_Y-2,12,31))=0,"",SUMIFS('Fund History'!$H$874:$H$878,'Fund History'!$G$874:$G$878,"&gt;="&amp;DATE(YEAR_Y-2,1,1),'Fund History'!$G$874:$G$878,"&lt;="&amp;DATE(YEAR_Y-2,12,31))/100)))</f>
        <v/>
      </c>
      <c r="AF155" s="73">
        <f>IF($C155="","",IF(PULL_FUND="N","",IF(COUNTIFS('Fund History'!$G$874:$G$878,"&gt;="&amp;DATE(YEAR_Y-1,1,1),'Fund History'!$G$874:$G$878,"&lt;="&amp;DATE(YEAR_Y-1,12,31))=0,"",SUMIFS('Fund History'!$H$874:$H$878,'Fund History'!$G$874:$G$878,"&gt;="&amp;DATE(YEAR_Y-1,1,1),'Fund History'!$G$874:$G$878,"&lt;="&amp;DATE(YEAR_Y-1,12,31))/100)))</f>
        <v/>
      </c>
      <c r="AG155" s="74">
        <f>IF($C155="","",IF(N($AF155)+N(HSCEI!$I$10)=0,"",N($AF155)+N(HSCEI!$I$10)/100))</f>
        <v/>
      </c>
      <c r="AH155" s="66">
        <f>IF($C155="","",IF(PULL_FUND="N","",IF(COUNTIFS('Fund History'!$D$874:$D$878,"&gt;="&amp;DATE(YEAR_Y-2,1,1),'Fund History'!$D$874:$D$878,"&lt;="&amp;DATE(YEAR_Y-2,12,31))=0,"",SUMIFS('Fund History'!$E$874:$E$878,'Fund History'!$D$874:$D$878,"&gt;="&amp;DATE(YEAR_Y-2,1,1),'Fund History'!$D$874:$D$878,"&lt;="&amp;DATE(YEAR_Y-2,12,31)))))</f>
        <v/>
      </c>
      <c r="AI155" s="67">
        <f>IF($C155="","",IF(PULL_FUND="N","",IF(COUNTIFS('Fund History'!$D$874:$D$878,"&gt;="&amp;DATE(YEAR_Y-1,1,1),'Fund History'!$D$874:$D$878,"&lt;="&amp;DATE(YEAR_Y-1,12,31))=0,"",SUMIFS('Fund History'!$E$874:$E$878,'Fund History'!$D$874:$D$878,"&gt;="&amp;DATE(YEAR_Y-1,1,1),'Fund History'!$D$874:$D$878,"&lt;="&amp;DATE(YEAR_Y-1,12,31)))))</f>
        <v/>
      </c>
      <c r="AJ155" s="67">
        <f>IF($C155="","",IF(PULL_FUND="N","",IFERROR(BDP($C155,NDEBITDA_FIELD),"")))</f>
        <v/>
      </c>
      <c r="AK155" s="75">
        <f>IF($C155="","",IF(PULL_FUND="N","",IFERROR(BDP($C155,EBINT_FIELD),"")))</f>
        <v/>
      </c>
      <c r="AL155" s="73">
        <f>IF($C155="","",IF(PULL_FUND="N","",IFERROR(BDP($C155,FCF_FIELD)/100,"")))</f>
        <v/>
      </c>
      <c r="AM155" s="76">
        <f>IF($C155="","",IF(ISNUMBER(HSCEI!$I$10),HSCEI!$I$10/100,""))</f>
        <v/>
      </c>
      <c r="AN155" s="47">
        <f>IF($C155="","",IF(N($AM155)=0,"",IFERROR($AL155/$AM155,"")))</f>
        <v/>
      </c>
      <c r="AO155" s="33">
        <f>IF($C155="","",IF(ISNUMBER($S155)*ISNUMBER($W155)=0,"",IF($W155&gt;$S155+0.05,"rising",IF($W155&lt;$S155-0.05,"falling","stable"))))</f>
        <v/>
      </c>
      <c r="AP155" s="77">
        <f>IF($C155="","",TRIM(IF(ISNUMBER($X155)*(N($X155)&gt;$D$4)&gt;0,"payout high  ","")&amp;IF(ISNUMBER($AN155)*(N($AN155)&lt;$F$4)&gt;0,"FCF below dvd  ","")&amp;IF(ISNUMBER($AJ155)*(N($AJ155)&gt;$H$4)&gt;0,"leverage high","")))</f>
        <v/>
      </c>
      <c r="AQ155" s="78">
        <f>IF($C155="","",IF(HSCEI!$F$10="HKD","",HSCEI!$F$10))</f>
        <v/>
      </c>
    </row>
    <row r="156">
      <c r="B156" s="62" t="inlineStr">
        <is>
          <t>HSCEI</t>
        </is>
      </c>
      <c r="C156" s="6">
        <f>IF(HSCEI!$C$11="","",HSCEI!$C$11)</f>
        <v/>
      </c>
      <c r="D156" s="6">
        <f>IF($C156="","",HSCEI!$D$11)</f>
        <v/>
      </c>
      <c r="E156" s="6">
        <f>IF($C156="","",HSCEI!$E$11)</f>
        <v/>
      </c>
      <c r="F156" s="63">
        <f>IF($C156="","",SUMPRODUCT(('Dvd Calendar'!$E$1605:$AR$1605&gt;=DATE(YEAR_Y-5,1,1))*('Dvd Calendar'!$E$1605:$AR$1605&lt;=DATE(YEAR_Y-5,12,31))*'Dvd Calendar'!$E$1608:$AR$1608*(('Dvd Calendar'!$E$1610:$AR$1610=TYPE1)*(TYPE1&lt;&gt;"")+('Dvd Calendar'!$E$1610:$AR$1610=TYPE2)*(TYPE2&lt;&gt;"")+('Dvd Calendar'!$E$1610:$AR$1610=TYPE3)*(TYPE3&lt;&gt;"")+('Dvd Calendar'!$E$1610:$AR$1610=TYPE4)*(TYPE4&lt;&gt;"")+('Dvd Calendar'!$E$1610:$AR$1610=SPECIAL_LBL)*(INC_SPECIALS="Y"))))</f>
        <v/>
      </c>
      <c r="G156" s="64">
        <f>IF($C156="","",SUMPRODUCT(('Dvd Calendar'!$E$1605:$AR$1605&gt;=DATE(YEAR_Y-4,1,1))*('Dvd Calendar'!$E$1605:$AR$1605&lt;=DATE(YEAR_Y-4,12,31))*'Dvd Calendar'!$E$1608:$AR$1608*(('Dvd Calendar'!$E$1610:$AR$1610=TYPE1)*(TYPE1&lt;&gt;"")+('Dvd Calendar'!$E$1610:$AR$1610=TYPE2)*(TYPE2&lt;&gt;"")+('Dvd Calendar'!$E$1610:$AR$1610=TYPE3)*(TYPE3&lt;&gt;"")+('Dvd Calendar'!$E$1610:$AR$1610=TYPE4)*(TYPE4&lt;&gt;"")+('Dvd Calendar'!$E$1610:$AR$1610=SPECIAL_LBL)*(INC_SPECIALS="Y"))))</f>
        <v/>
      </c>
      <c r="H156" s="64">
        <f>IF($C156="","",SUMPRODUCT(('Dvd Calendar'!$E$1605:$AR$1605&gt;=DATE(YEAR_Y-3,1,1))*('Dvd Calendar'!$E$1605:$AR$1605&lt;=DATE(YEAR_Y-3,12,31))*'Dvd Calendar'!$E$1608:$AR$1608*(('Dvd Calendar'!$E$1610:$AR$1610=TYPE1)*(TYPE1&lt;&gt;"")+('Dvd Calendar'!$E$1610:$AR$1610=TYPE2)*(TYPE2&lt;&gt;"")+('Dvd Calendar'!$E$1610:$AR$1610=TYPE3)*(TYPE3&lt;&gt;"")+('Dvd Calendar'!$E$1610:$AR$1610=TYPE4)*(TYPE4&lt;&gt;"")+('Dvd Calendar'!$E$1610:$AR$1610=SPECIAL_LBL)*(INC_SPECIALS="Y"))))</f>
        <v/>
      </c>
      <c r="I156" s="64">
        <f>IF($C156="","",SUMPRODUCT(('Dvd Calendar'!$E$1605:$AR$1605&gt;=DATE(YEAR_Y-2,1,1))*('Dvd Calendar'!$E$1605:$AR$1605&lt;=DATE(YEAR_Y-2,12,31))*'Dvd Calendar'!$E$1608:$AR$1608*(('Dvd Calendar'!$E$1610:$AR$1610=TYPE1)*(TYPE1&lt;&gt;"")+('Dvd Calendar'!$E$1610:$AR$1610=TYPE2)*(TYPE2&lt;&gt;"")+('Dvd Calendar'!$E$1610:$AR$1610=TYPE3)*(TYPE3&lt;&gt;"")+('Dvd Calendar'!$E$1610:$AR$1610=TYPE4)*(TYPE4&lt;&gt;"")+('Dvd Calendar'!$E$1610:$AR$1610=SPECIAL_LBL)*(INC_SPECIALS="Y"))))</f>
        <v/>
      </c>
      <c r="J156" s="64">
        <f>IF($C156="","",SUMPRODUCT(('Dvd Calendar'!$E$1605:$AR$1605&gt;=DATE(YEAR_Y-1,1,1))*('Dvd Calendar'!$E$1605:$AR$1605&lt;=DATE(YEAR_Y-1,12,31))*'Dvd Calendar'!$E$1608:$AR$1608*(('Dvd Calendar'!$E$1610:$AR$1610=TYPE1)*(TYPE1&lt;&gt;"")+('Dvd Calendar'!$E$1610:$AR$1610=TYPE2)*(TYPE2&lt;&gt;"")+('Dvd Calendar'!$E$1610:$AR$1610=TYPE3)*(TYPE3&lt;&gt;"")+('Dvd Calendar'!$E$1610:$AR$1610=TYPE4)*(TYPE4&lt;&gt;"")+('Dvd Calendar'!$E$1610:$AR$1610=SPECIAL_LBL)*(INC_SPECIALS="Y"))))</f>
        <v/>
      </c>
      <c r="K156" s="65">
        <f>IF($C156="","",HSCEI!$J$11)</f>
        <v/>
      </c>
      <c r="L156" s="65">
        <f>IF($C156="","",HSCEI!$K$11)</f>
        <v/>
      </c>
      <c r="M156" s="41">
        <f>IF($C156="","",AVERAGE(F156:J156))</f>
        <v/>
      </c>
      <c r="N156" s="66">
        <f>IF($C156="","",IF(PULL_FUND="N","",IFERROR(BDP($C156,EPS_FIELD,YR_OVERRIDE,TEXT(YEAR_Y-5,"0")),"")))</f>
        <v/>
      </c>
      <c r="O156" s="67">
        <f>IF($C156="","",IF(PULL_FUND="N","",IFERROR(BDP($C156,EPS_FIELD,YR_OVERRIDE,TEXT(YEAR_Y-4,"0")),"")))</f>
        <v/>
      </c>
      <c r="P156" s="67">
        <f>IF($C156="","",IF(PULL_FUND="N","",IFERROR(BDP($C156,EPS_FIELD,YR_OVERRIDE,TEXT(YEAR_Y-3,"0")),"")))</f>
        <v/>
      </c>
      <c r="Q156" s="67">
        <f>IF($C156="","",IF(PULL_FUND="N","",IFERROR(BDP($C156,EPS_FIELD,YR_OVERRIDE,TEXT(YEAR_Y-2,"0")),"")))</f>
        <v/>
      </c>
      <c r="R156" s="67">
        <f>IF($C156="","",IF(PULL_FUND="N","",IFERROR(BDP($C156,EPS_FIELD,YR_OVERRIDE,TEXT(YEAR_Y-1,"0")),"")))</f>
        <v/>
      </c>
      <c r="S156" s="68">
        <f>IF($C156="","",IF(PULL_FUND="N","",IFERROR(BDP($C156,PAYOUT_FIELD,YR_OVERRIDE,TEXT(YEAR_Y-5,"0"))/100,"")))</f>
        <v/>
      </c>
      <c r="T156" s="68">
        <f>IF($C156="","",IF(PULL_FUND="N","",IFERROR(BDP($C156,PAYOUT_FIELD,YR_OVERRIDE,TEXT(YEAR_Y-4,"0"))/100,"")))</f>
        <v/>
      </c>
      <c r="U156" s="68">
        <f>IF($C156="","",IF(PULL_FUND="N","",IFERROR(BDP($C156,PAYOUT_FIELD,YR_OVERRIDE,TEXT(YEAR_Y-3,"0"))/100,"")))</f>
        <v/>
      </c>
      <c r="V156" s="68">
        <f>IF($C156="","",IF(PULL_FUND="N","",IFERROR(BDP($C156,PAYOUT_FIELD,YR_OVERRIDE,TEXT(YEAR_Y-2,"0"))/100,"")))</f>
        <v/>
      </c>
      <c r="W156" s="68">
        <f>IF($C156="","",IF(PULL_FUND="N","",IFERROR(BDP($C156,PAYOUT_FIELD,YR_OVERRIDE,TEXT(YEAR_Y-1,"0"))/100,"")))</f>
        <v/>
      </c>
      <c r="X156" s="69">
        <f>IF($C156="","",IFERROR(AVERAGE(S156:W156),""))</f>
        <v/>
      </c>
      <c r="Y156" s="66">
        <f>IF($C156="","",IF(PULL_FUND="N","",IFERROR(BDP($C156,BESTEPS_FIELD,FWD_OVERRIDE,TEXT(MOD(YEAR_Y,100),"00")&amp;"Y"),"")))</f>
        <v/>
      </c>
      <c r="Z156" s="70">
        <f>IF($C156="","",IF(PULL_FUND="N","",IFERROR(BDP($C156,BESTDPS_FIELD,FWD_OVERRIDE,TEXT(MOD(YEAR_Y,100),"00")&amp;"Y"),"")))</f>
        <v/>
      </c>
      <c r="AA156" s="71">
        <f>IF($C156="","",IF(ISNUMBER($Y156)*ISNUMBER($Z156)*($Y156&lt;&gt;0)=0,"",$Z156/$Y156))</f>
        <v/>
      </c>
      <c r="AB156" s="41">
        <f>IF($C156="","",HSCEI!$J$11+HSCEI!$L$11)</f>
        <v/>
      </c>
      <c r="AC156" s="72">
        <f>IF($C156="","",IF(PULL_FUND="N","",IF(COUNTIFS('Fund History'!$G$880:$G$884,"&gt;="&amp;DATE(YEAR_Y-4,1,1),'Fund History'!$G$880:$G$884,"&lt;="&amp;DATE(YEAR_Y-4,12,31))=0,"",SUMIFS('Fund History'!$H$880:$H$884,'Fund History'!$G$880:$G$884,"&gt;="&amp;DATE(YEAR_Y-4,1,1),'Fund History'!$G$880:$G$884,"&lt;="&amp;DATE(YEAR_Y-4,12,31))/100)))</f>
        <v/>
      </c>
      <c r="AD156" s="73">
        <f>IF($C156="","",IF(PULL_FUND="N","",IF(COUNTIFS('Fund History'!$G$880:$G$884,"&gt;="&amp;DATE(YEAR_Y-3,1,1),'Fund History'!$G$880:$G$884,"&lt;="&amp;DATE(YEAR_Y-3,12,31))=0,"",SUMIFS('Fund History'!$H$880:$H$884,'Fund History'!$G$880:$G$884,"&gt;="&amp;DATE(YEAR_Y-3,1,1),'Fund History'!$G$880:$G$884,"&lt;="&amp;DATE(YEAR_Y-3,12,31))/100)))</f>
        <v/>
      </c>
      <c r="AE156" s="73">
        <f>IF($C156="","",IF(PULL_FUND="N","",IF(COUNTIFS('Fund History'!$G$880:$G$884,"&gt;="&amp;DATE(YEAR_Y-2,1,1),'Fund History'!$G$880:$G$884,"&lt;="&amp;DATE(YEAR_Y-2,12,31))=0,"",SUMIFS('Fund History'!$H$880:$H$884,'Fund History'!$G$880:$G$884,"&gt;="&amp;DATE(YEAR_Y-2,1,1),'Fund History'!$G$880:$G$884,"&lt;="&amp;DATE(YEAR_Y-2,12,31))/100)))</f>
        <v/>
      </c>
      <c r="AF156" s="73">
        <f>IF($C156="","",IF(PULL_FUND="N","",IF(COUNTIFS('Fund History'!$G$880:$G$884,"&gt;="&amp;DATE(YEAR_Y-1,1,1),'Fund History'!$G$880:$G$884,"&lt;="&amp;DATE(YEAR_Y-1,12,31))=0,"",SUMIFS('Fund History'!$H$880:$H$884,'Fund History'!$G$880:$G$884,"&gt;="&amp;DATE(YEAR_Y-1,1,1),'Fund History'!$G$880:$G$884,"&lt;="&amp;DATE(YEAR_Y-1,12,31))/100)))</f>
        <v/>
      </c>
      <c r="AG156" s="74">
        <f>IF($C156="","",IF(N($AF156)+N(HSCEI!$I$11)=0,"",N($AF156)+N(HSCEI!$I$11)/100))</f>
        <v/>
      </c>
      <c r="AH156" s="66">
        <f>IF($C156="","",IF(PULL_FUND="N","",IF(COUNTIFS('Fund History'!$D$880:$D$884,"&gt;="&amp;DATE(YEAR_Y-2,1,1),'Fund History'!$D$880:$D$884,"&lt;="&amp;DATE(YEAR_Y-2,12,31))=0,"",SUMIFS('Fund History'!$E$880:$E$884,'Fund History'!$D$880:$D$884,"&gt;="&amp;DATE(YEAR_Y-2,1,1),'Fund History'!$D$880:$D$884,"&lt;="&amp;DATE(YEAR_Y-2,12,31)))))</f>
        <v/>
      </c>
      <c r="AI156" s="67">
        <f>IF($C156="","",IF(PULL_FUND="N","",IF(COUNTIFS('Fund History'!$D$880:$D$884,"&gt;="&amp;DATE(YEAR_Y-1,1,1),'Fund History'!$D$880:$D$884,"&lt;="&amp;DATE(YEAR_Y-1,12,31))=0,"",SUMIFS('Fund History'!$E$880:$E$884,'Fund History'!$D$880:$D$884,"&gt;="&amp;DATE(YEAR_Y-1,1,1),'Fund History'!$D$880:$D$884,"&lt;="&amp;DATE(YEAR_Y-1,12,31)))))</f>
        <v/>
      </c>
      <c r="AJ156" s="67">
        <f>IF($C156="","",IF(PULL_FUND="N","",IFERROR(BDP($C156,NDEBITDA_FIELD),"")))</f>
        <v/>
      </c>
      <c r="AK156" s="75">
        <f>IF($C156="","",IF(PULL_FUND="N","",IFERROR(BDP($C156,EBINT_FIELD),"")))</f>
        <v/>
      </c>
      <c r="AL156" s="73">
        <f>IF($C156="","",IF(PULL_FUND="N","",IFERROR(BDP($C156,FCF_FIELD)/100,"")))</f>
        <v/>
      </c>
      <c r="AM156" s="76">
        <f>IF($C156="","",IF(ISNUMBER(HSCEI!$I$11),HSCEI!$I$11/100,""))</f>
        <v/>
      </c>
      <c r="AN156" s="47">
        <f>IF($C156="","",IF(N($AM156)=0,"",IFERROR($AL156/$AM156,"")))</f>
        <v/>
      </c>
      <c r="AO156" s="33">
        <f>IF($C156="","",IF(ISNUMBER($S156)*ISNUMBER($W156)=0,"",IF($W156&gt;$S156+0.05,"rising",IF($W156&lt;$S156-0.05,"falling","stable"))))</f>
        <v/>
      </c>
      <c r="AP156" s="77">
        <f>IF($C156="","",TRIM(IF(ISNUMBER($X156)*(N($X156)&gt;$D$4)&gt;0,"payout high  ","")&amp;IF(ISNUMBER($AN156)*(N($AN156)&lt;$F$4)&gt;0,"FCF below dvd  ","")&amp;IF(ISNUMBER($AJ156)*(N($AJ156)&gt;$H$4)&gt;0,"leverage high","")))</f>
        <v/>
      </c>
      <c r="AQ156" s="78">
        <f>IF($C156="","",IF(HSCEI!$F$11="HKD","",HSCEI!$F$11))</f>
        <v/>
      </c>
    </row>
    <row r="157">
      <c r="B157" s="62" t="inlineStr">
        <is>
          <t>HSCEI</t>
        </is>
      </c>
      <c r="C157" s="6">
        <f>IF(HSCEI!$C$12="","",HSCEI!$C$12)</f>
        <v/>
      </c>
      <c r="D157" s="6">
        <f>IF($C157="","",HSCEI!$D$12)</f>
        <v/>
      </c>
      <c r="E157" s="6">
        <f>IF($C157="","",HSCEI!$E$12)</f>
        <v/>
      </c>
      <c r="F157" s="63">
        <f>IF($C157="","",SUMPRODUCT(('Dvd Calendar'!$E$1616:$AR$1616&gt;=DATE(YEAR_Y-5,1,1))*('Dvd Calendar'!$E$1616:$AR$1616&lt;=DATE(YEAR_Y-5,12,31))*'Dvd Calendar'!$E$1619:$AR$1619*(('Dvd Calendar'!$E$1621:$AR$1621=TYPE1)*(TYPE1&lt;&gt;"")+('Dvd Calendar'!$E$1621:$AR$1621=TYPE2)*(TYPE2&lt;&gt;"")+('Dvd Calendar'!$E$1621:$AR$1621=TYPE3)*(TYPE3&lt;&gt;"")+('Dvd Calendar'!$E$1621:$AR$1621=TYPE4)*(TYPE4&lt;&gt;"")+('Dvd Calendar'!$E$1621:$AR$1621=SPECIAL_LBL)*(INC_SPECIALS="Y"))))</f>
        <v/>
      </c>
      <c r="G157" s="64">
        <f>IF($C157="","",SUMPRODUCT(('Dvd Calendar'!$E$1616:$AR$1616&gt;=DATE(YEAR_Y-4,1,1))*('Dvd Calendar'!$E$1616:$AR$1616&lt;=DATE(YEAR_Y-4,12,31))*'Dvd Calendar'!$E$1619:$AR$1619*(('Dvd Calendar'!$E$1621:$AR$1621=TYPE1)*(TYPE1&lt;&gt;"")+('Dvd Calendar'!$E$1621:$AR$1621=TYPE2)*(TYPE2&lt;&gt;"")+('Dvd Calendar'!$E$1621:$AR$1621=TYPE3)*(TYPE3&lt;&gt;"")+('Dvd Calendar'!$E$1621:$AR$1621=TYPE4)*(TYPE4&lt;&gt;"")+('Dvd Calendar'!$E$1621:$AR$1621=SPECIAL_LBL)*(INC_SPECIALS="Y"))))</f>
        <v/>
      </c>
      <c r="H157" s="64">
        <f>IF($C157="","",SUMPRODUCT(('Dvd Calendar'!$E$1616:$AR$1616&gt;=DATE(YEAR_Y-3,1,1))*('Dvd Calendar'!$E$1616:$AR$1616&lt;=DATE(YEAR_Y-3,12,31))*'Dvd Calendar'!$E$1619:$AR$1619*(('Dvd Calendar'!$E$1621:$AR$1621=TYPE1)*(TYPE1&lt;&gt;"")+('Dvd Calendar'!$E$1621:$AR$1621=TYPE2)*(TYPE2&lt;&gt;"")+('Dvd Calendar'!$E$1621:$AR$1621=TYPE3)*(TYPE3&lt;&gt;"")+('Dvd Calendar'!$E$1621:$AR$1621=TYPE4)*(TYPE4&lt;&gt;"")+('Dvd Calendar'!$E$1621:$AR$1621=SPECIAL_LBL)*(INC_SPECIALS="Y"))))</f>
        <v/>
      </c>
      <c r="I157" s="64">
        <f>IF($C157="","",SUMPRODUCT(('Dvd Calendar'!$E$1616:$AR$1616&gt;=DATE(YEAR_Y-2,1,1))*('Dvd Calendar'!$E$1616:$AR$1616&lt;=DATE(YEAR_Y-2,12,31))*'Dvd Calendar'!$E$1619:$AR$1619*(('Dvd Calendar'!$E$1621:$AR$1621=TYPE1)*(TYPE1&lt;&gt;"")+('Dvd Calendar'!$E$1621:$AR$1621=TYPE2)*(TYPE2&lt;&gt;"")+('Dvd Calendar'!$E$1621:$AR$1621=TYPE3)*(TYPE3&lt;&gt;"")+('Dvd Calendar'!$E$1621:$AR$1621=TYPE4)*(TYPE4&lt;&gt;"")+('Dvd Calendar'!$E$1621:$AR$1621=SPECIAL_LBL)*(INC_SPECIALS="Y"))))</f>
        <v/>
      </c>
      <c r="J157" s="64">
        <f>IF($C157="","",SUMPRODUCT(('Dvd Calendar'!$E$1616:$AR$1616&gt;=DATE(YEAR_Y-1,1,1))*('Dvd Calendar'!$E$1616:$AR$1616&lt;=DATE(YEAR_Y-1,12,31))*'Dvd Calendar'!$E$1619:$AR$1619*(('Dvd Calendar'!$E$1621:$AR$1621=TYPE1)*(TYPE1&lt;&gt;"")+('Dvd Calendar'!$E$1621:$AR$1621=TYPE2)*(TYPE2&lt;&gt;"")+('Dvd Calendar'!$E$1621:$AR$1621=TYPE3)*(TYPE3&lt;&gt;"")+('Dvd Calendar'!$E$1621:$AR$1621=TYPE4)*(TYPE4&lt;&gt;"")+('Dvd Calendar'!$E$1621:$AR$1621=SPECIAL_LBL)*(INC_SPECIALS="Y"))))</f>
        <v/>
      </c>
      <c r="K157" s="65">
        <f>IF($C157="","",HSCEI!$J$12)</f>
        <v/>
      </c>
      <c r="L157" s="65">
        <f>IF($C157="","",HSCEI!$K$12)</f>
        <v/>
      </c>
      <c r="M157" s="41">
        <f>IF($C157="","",AVERAGE(F157:J157))</f>
        <v/>
      </c>
      <c r="N157" s="66">
        <f>IF($C157="","",IF(PULL_FUND="N","",IFERROR(BDP($C157,EPS_FIELD,YR_OVERRIDE,TEXT(YEAR_Y-5,"0")),"")))</f>
        <v/>
      </c>
      <c r="O157" s="67">
        <f>IF($C157="","",IF(PULL_FUND="N","",IFERROR(BDP($C157,EPS_FIELD,YR_OVERRIDE,TEXT(YEAR_Y-4,"0")),"")))</f>
        <v/>
      </c>
      <c r="P157" s="67">
        <f>IF($C157="","",IF(PULL_FUND="N","",IFERROR(BDP($C157,EPS_FIELD,YR_OVERRIDE,TEXT(YEAR_Y-3,"0")),"")))</f>
        <v/>
      </c>
      <c r="Q157" s="67">
        <f>IF($C157="","",IF(PULL_FUND="N","",IFERROR(BDP($C157,EPS_FIELD,YR_OVERRIDE,TEXT(YEAR_Y-2,"0")),"")))</f>
        <v/>
      </c>
      <c r="R157" s="67">
        <f>IF($C157="","",IF(PULL_FUND="N","",IFERROR(BDP($C157,EPS_FIELD,YR_OVERRIDE,TEXT(YEAR_Y-1,"0")),"")))</f>
        <v/>
      </c>
      <c r="S157" s="68">
        <f>IF($C157="","",IF(PULL_FUND="N","",IFERROR(BDP($C157,PAYOUT_FIELD,YR_OVERRIDE,TEXT(YEAR_Y-5,"0"))/100,"")))</f>
        <v/>
      </c>
      <c r="T157" s="68">
        <f>IF($C157="","",IF(PULL_FUND="N","",IFERROR(BDP($C157,PAYOUT_FIELD,YR_OVERRIDE,TEXT(YEAR_Y-4,"0"))/100,"")))</f>
        <v/>
      </c>
      <c r="U157" s="68">
        <f>IF($C157="","",IF(PULL_FUND="N","",IFERROR(BDP($C157,PAYOUT_FIELD,YR_OVERRIDE,TEXT(YEAR_Y-3,"0"))/100,"")))</f>
        <v/>
      </c>
      <c r="V157" s="68">
        <f>IF($C157="","",IF(PULL_FUND="N","",IFERROR(BDP($C157,PAYOUT_FIELD,YR_OVERRIDE,TEXT(YEAR_Y-2,"0"))/100,"")))</f>
        <v/>
      </c>
      <c r="W157" s="68">
        <f>IF($C157="","",IF(PULL_FUND="N","",IFERROR(BDP($C157,PAYOUT_FIELD,YR_OVERRIDE,TEXT(YEAR_Y-1,"0"))/100,"")))</f>
        <v/>
      </c>
      <c r="X157" s="69">
        <f>IF($C157="","",IFERROR(AVERAGE(S157:W157),""))</f>
        <v/>
      </c>
      <c r="Y157" s="66">
        <f>IF($C157="","",IF(PULL_FUND="N","",IFERROR(BDP($C157,BESTEPS_FIELD,FWD_OVERRIDE,TEXT(MOD(YEAR_Y,100),"00")&amp;"Y"),"")))</f>
        <v/>
      </c>
      <c r="Z157" s="70">
        <f>IF($C157="","",IF(PULL_FUND="N","",IFERROR(BDP($C157,BESTDPS_FIELD,FWD_OVERRIDE,TEXT(MOD(YEAR_Y,100),"00")&amp;"Y"),"")))</f>
        <v/>
      </c>
      <c r="AA157" s="71">
        <f>IF($C157="","",IF(ISNUMBER($Y157)*ISNUMBER($Z157)*($Y157&lt;&gt;0)=0,"",$Z157/$Y157))</f>
        <v/>
      </c>
      <c r="AB157" s="41">
        <f>IF($C157="","",HSCEI!$J$12+HSCEI!$L$12)</f>
        <v/>
      </c>
      <c r="AC157" s="72">
        <f>IF($C157="","",IF(PULL_FUND="N","",IF(COUNTIFS('Fund History'!$G$886:$G$890,"&gt;="&amp;DATE(YEAR_Y-4,1,1),'Fund History'!$G$886:$G$890,"&lt;="&amp;DATE(YEAR_Y-4,12,31))=0,"",SUMIFS('Fund History'!$H$886:$H$890,'Fund History'!$G$886:$G$890,"&gt;="&amp;DATE(YEAR_Y-4,1,1),'Fund History'!$G$886:$G$890,"&lt;="&amp;DATE(YEAR_Y-4,12,31))/100)))</f>
        <v/>
      </c>
      <c r="AD157" s="73">
        <f>IF($C157="","",IF(PULL_FUND="N","",IF(COUNTIFS('Fund History'!$G$886:$G$890,"&gt;="&amp;DATE(YEAR_Y-3,1,1),'Fund History'!$G$886:$G$890,"&lt;="&amp;DATE(YEAR_Y-3,12,31))=0,"",SUMIFS('Fund History'!$H$886:$H$890,'Fund History'!$G$886:$G$890,"&gt;="&amp;DATE(YEAR_Y-3,1,1),'Fund History'!$G$886:$G$890,"&lt;="&amp;DATE(YEAR_Y-3,12,31))/100)))</f>
        <v/>
      </c>
      <c r="AE157" s="73">
        <f>IF($C157="","",IF(PULL_FUND="N","",IF(COUNTIFS('Fund History'!$G$886:$G$890,"&gt;="&amp;DATE(YEAR_Y-2,1,1),'Fund History'!$G$886:$G$890,"&lt;="&amp;DATE(YEAR_Y-2,12,31))=0,"",SUMIFS('Fund History'!$H$886:$H$890,'Fund History'!$G$886:$G$890,"&gt;="&amp;DATE(YEAR_Y-2,1,1),'Fund History'!$G$886:$G$890,"&lt;="&amp;DATE(YEAR_Y-2,12,31))/100)))</f>
        <v/>
      </c>
      <c r="AF157" s="73">
        <f>IF($C157="","",IF(PULL_FUND="N","",IF(COUNTIFS('Fund History'!$G$886:$G$890,"&gt;="&amp;DATE(YEAR_Y-1,1,1),'Fund History'!$G$886:$G$890,"&lt;="&amp;DATE(YEAR_Y-1,12,31))=0,"",SUMIFS('Fund History'!$H$886:$H$890,'Fund History'!$G$886:$G$890,"&gt;="&amp;DATE(YEAR_Y-1,1,1),'Fund History'!$G$886:$G$890,"&lt;="&amp;DATE(YEAR_Y-1,12,31))/100)))</f>
        <v/>
      </c>
      <c r="AG157" s="74">
        <f>IF($C157="","",IF(N($AF157)+N(HSCEI!$I$12)=0,"",N($AF157)+N(HSCEI!$I$12)/100))</f>
        <v/>
      </c>
      <c r="AH157" s="66">
        <f>IF($C157="","",IF(PULL_FUND="N","",IF(COUNTIFS('Fund History'!$D$886:$D$890,"&gt;="&amp;DATE(YEAR_Y-2,1,1),'Fund History'!$D$886:$D$890,"&lt;="&amp;DATE(YEAR_Y-2,12,31))=0,"",SUMIFS('Fund History'!$E$886:$E$890,'Fund History'!$D$886:$D$890,"&gt;="&amp;DATE(YEAR_Y-2,1,1),'Fund History'!$D$886:$D$890,"&lt;="&amp;DATE(YEAR_Y-2,12,31)))))</f>
        <v/>
      </c>
      <c r="AI157" s="67">
        <f>IF($C157="","",IF(PULL_FUND="N","",IF(COUNTIFS('Fund History'!$D$886:$D$890,"&gt;="&amp;DATE(YEAR_Y-1,1,1),'Fund History'!$D$886:$D$890,"&lt;="&amp;DATE(YEAR_Y-1,12,31))=0,"",SUMIFS('Fund History'!$E$886:$E$890,'Fund History'!$D$886:$D$890,"&gt;="&amp;DATE(YEAR_Y-1,1,1),'Fund History'!$D$886:$D$890,"&lt;="&amp;DATE(YEAR_Y-1,12,31)))))</f>
        <v/>
      </c>
      <c r="AJ157" s="67">
        <f>IF($C157="","",IF(PULL_FUND="N","",IFERROR(BDP($C157,NDEBITDA_FIELD),"")))</f>
        <v/>
      </c>
      <c r="AK157" s="75">
        <f>IF($C157="","",IF(PULL_FUND="N","",IFERROR(BDP($C157,EBINT_FIELD),"")))</f>
        <v/>
      </c>
      <c r="AL157" s="73">
        <f>IF($C157="","",IF(PULL_FUND="N","",IFERROR(BDP($C157,FCF_FIELD)/100,"")))</f>
        <v/>
      </c>
      <c r="AM157" s="76">
        <f>IF($C157="","",IF(ISNUMBER(HSCEI!$I$12),HSCEI!$I$12/100,""))</f>
        <v/>
      </c>
      <c r="AN157" s="47">
        <f>IF($C157="","",IF(N($AM157)=0,"",IFERROR($AL157/$AM157,"")))</f>
        <v/>
      </c>
      <c r="AO157" s="33">
        <f>IF($C157="","",IF(ISNUMBER($S157)*ISNUMBER($W157)=0,"",IF($W157&gt;$S157+0.05,"rising",IF($W157&lt;$S157-0.05,"falling","stable"))))</f>
        <v/>
      </c>
      <c r="AP157" s="77">
        <f>IF($C157="","",TRIM(IF(ISNUMBER($X157)*(N($X157)&gt;$D$4)&gt;0,"payout high  ","")&amp;IF(ISNUMBER($AN157)*(N($AN157)&lt;$F$4)&gt;0,"FCF below dvd  ","")&amp;IF(ISNUMBER($AJ157)*(N($AJ157)&gt;$H$4)&gt;0,"leverage high","")))</f>
        <v/>
      </c>
      <c r="AQ157" s="78">
        <f>IF($C157="","",IF(HSCEI!$F$12="HKD","",HSCEI!$F$12))</f>
        <v/>
      </c>
    </row>
    <row r="158">
      <c r="B158" s="62" t="inlineStr">
        <is>
          <t>HSCEI</t>
        </is>
      </c>
      <c r="C158" s="6">
        <f>IF(HSCEI!$C$13="","",HSCEI!$C$13)</f>
        <v/>
      </c>
      <c r="D158" s="6">
        <f>IF($C158="","",HSCEI!$D$13)</f>
        <v/>
      </c>
      <c r="E158" s="6">
        <f>IF($C158="","",HSCEI!$E$13)</f>
        <v/>
      </c>
      <c r="F158" s="63">
        <f>IF($C158="","",SUMPRODUCT(('Dvd Calendar'!$E$1627:$AR$1627&gt;=DATE(YEAR_Y-5,1,1))*('Dvd Calendar'!$E$1627:$AR$1627&lt;=DATE(YEAR_Y-5,12,31))*'Dvd Calendar'!$E$1630:$AR$1630*(('Dvd Calendar'!$E$1632:$AR$1632=TYPE1)*(TYPE1&lt;&gt;"")+('Dvd Calendar'!$E$1632:$AR$1632=TYPE2)*(TYPE2&lt;&gt;"")+('Dvd Calendar'!$E$1632:$AR$1632=TYPE3)*(TYPE3&lt;&gt;"")+('Dvd Calendar'!$E$1632:$AR$1632=TYPE4)*(TYPE4&lt;&gt;"")+('Dvd Calendar'!$E$1632:$AR$1632=SPECIAL_LBL)*(INC_SPECIALS="Y"))))</f>
        <v/>
      </c>
      <c r="G158" s="64">
        <f>IF($C158="","",SUMPRODUCT(('Dvd Calendar'!$E$1627:$AR$1627&gt;=DATE(YEAR_Y-4,1,1))*('Dvd Calendar'!$E$1627:$AR$1627&lt;=DATE(YEAR_Y-4,12,31))*'Dvd Calendar'!$E$1630:$AR$1630*(('Dvd Calendar'!$E$1632:$AR$1632=TYPE1)*(TYPE1&lt;&gt;"")+('Dvd Calendar'!$E$1632:$AR$1632=TYPE2)*(TYPE2&lt;&gt;"")+('Dvd Calendar'!$E$1632:$AR$1632=TYPE3)*(TYPE3&lt;&gt;"")+('Dvd Calendar'!$E$1632:$AR$1632=TYPE4)*(TYPE4&lt;&gt;"")+('Dvd Calendar'!$E$1632:$AR$1632=SPECIAL_LBL)*(INC_SPECIALS="Y"))))</f>
        <v/>
      </c>
      <c r="H158" s="64">
        <f>IF($C158="","",SUMPRODUCT(('Dvd Calendar'!$E$1627:$AR$1627&gt;=DATE(YEAR_Y-3,1,1))*('Dvd Calendar'!$E$1627:$AR$1627&lt;=DATE(YEAR_Y-3,12,31))*'Dvd Calendar'!$E$1630:$AR$1630*(('Dvd Calendar'!$E$1632:$AR$1632=TYPE1)*(TYPE1&lt;&gt;"")+('Dvd Calendar'!$E$1632:$AR$1632=TYPE2)*(TYPE2&lt;&gt;"")+('Dvd Calendar'!$E$1632:$AR$1632=TYPE3)*(TYPE3&lt;&gt;"")+('Dvd Calendar'!$E$1632:$AR$1632=TYPE4)*(TYPE4&lt;&gt;"")+('Dvd Calendar'!$E$1632:$AR$1632=SPECIAL_LBL)*(INC_SPECIALS="Y"))))</f>
        <v/>
      </c>
      <c r="I158" s="64">
        <f>IF($C158="","",SUMPRODUCT(('Dvd Calendar'!$E$1627:$AR$1627&gt;=DATE(YEAR_Y-2,1,1))*('Dvd Calendar'!$E$1627:$AR$1627&lt;=DATE(YEAR_Y-2,12,31))*'Dvd Calendar'!$E$1630:$AR$1630*(('Dvd Calendar'!$E$1632:$AR$1632=TYPE1)*(TYPE1&lt;&gt;"")+('Dvd Calendar'!$E$1632:$AR$1632=TYPE2)*(TYPE2&lt;&gt;"")+('Dvd Calendar'!$E$1632:$AR$1632=TYPE3)*(TYPE3&lt;&gt;"")+('Dvd Calendar'!$E$1632:$AR$1632=TYPE4)*(TYPE4&lt;&gt;"")+('Dvd Calendar'!$E$1632:$AR$1632=SPECIAL_LBL)*(INC_SPECIALS="Y"))))</f>
        <v/>
      </c>
      <c r="J158" s="64">
        <f>IF($C158="","",SUMPRODUCT(('Dvd Calendar'!$E$1627:$AR$1627&gt;=DATE(YEAR_Y-1,1,1))*('Dvd Calendar'!$E$1627:$AR$1627&lt;=DATE(YEAR_Y-1,12,31))*'Dvd Calendar'!$E$1630:$AR$1630*(('Dvd Calendar'!$E$1632:$AR$1632=TYPE1)*(TYPE1&lt;&gt;"")+('Dvd Calendar'!$E$1632:$AR$1632=TYPE2)*(TYPE2&lt;&gt;"")+('Dvd Calendar'!$E$1632:$AR$1632=TYPE3)*(TYPE3&lt;&gt;"")+('Dvd Calendar'!$E$1632:$AR$1632=TYPE4)*(TYPE4&lt;&gt;"")+('Dvd Calendar'!$E$1632:$AR$1632=SPECIAL_LBL)*(INC_SPECIALS="Y"))))</f>
        <v/>
      </c>
      <c r="K158" s="65">
        <f>IF($C158="","",HSCEI!$J$13)</f>
        <v/>
      </c>
      <c r="L158" s="65">
        <f>IF($C158="","",HSCEI!$K$13)</f>
        <v/>
      </c>
      <c r="M158" s="41">
        <f>IF($C158="","",AVERAGE(F158:J158))</f>
        <v/>
      </c>
      <c r="N158" s="66">
        <f>IF($C158="","",IF(PULL_FUND="N","",IFERROR(BDP($C158,EPS_FIELD,YR_OVERRIDE,TEXT(YEAR_Y-5,"0")),"")))</f>
        <v/>
      </c>
      <c r="O158" s="67">
        <f>IF($C158="","",IF(PULL_FUND="N","",IFERROR(BDP($C158,EPS_FIELD,YR_OVERRIDE,TEXT(YEAR_Y-4,"0")),"")))</f>
        <v/>
      </c>
      <c r="P158" s="67">
        <f>IF($C158="","",IF(PULL_FUND="N","",IFERROR(BDP($C158,EPS_FIELD,YR_OVERRIDE,TEXT(YEAR_Y-3,"0")),"")))</f>
        <v/>
      </c>
      <c r="Q158" s="67">
        <f>IF($C158="","",IF(PULL_FUND="N","",IFERROR(BDP($C158,EPS_FIELD,YR_OVERRIDE,TEXT(YEAR_Y-2,"0")),"")))</f>
        <v/>
      </c>
      <c r="R158" s="67">
        <f>IF($C158="","",IF(PULL_FUND="N","",IFERROR(BDP($C158,EPS_FIELD,YR_OVERRIDE,TEXT(YEAR_Y-1,"0")),"")))</f>
        <v/>
      </c>
      <c r="S158" s="68">
        <f>IF($C158="","",IF(PULL_FUND="N","",IFERROR(BDP($C158,PAYOUT_FIELD,YR_OVERRIDE,TEXT(YEAR_Y-5,"0"))/100,"")))</f>
        <v/>
      </c>
      <c r="T158" s="68">
        <f>IF($C158="","",IF(PULL_FUND="N","",IFERROR(BDP($C158,PAYOUT_FIELD,YR_OVERRIDE,TEXT(YEAR_Y-4,"0"))/100,"")))</f>
        <v/>
      </c>
      <c r="U158" s="68">
        <f>IF($C158="","",IF(PULL_FUND="N","",IFERROR(BDP($C158,PAYOUT_FIELD,YR_OVERRIDE,TEXT(YEAR_Y-3,"0"))/100,"")))</f>
        <v/>
      </c>
      <c r="V158" s="68">
        <f>IF($C158="","",IF(PULL_FUND="N","",IFERROR(BDP($C158,PAYOUT_FIELD,YR_OVERRIDE,TEXT(YEAR_Y-2,"0"))/100,"")))</f>
        <v/>
      </c>
      <c r="W158" s="68">
        <f>IF($C158="","",IF(PULL_FUND="N","",IFERROR(BDP($C158,PAYOUT_FIELD,YR_OVERRIDE,TEXT(YEAR_Y-1,"0"))/100,"")))</f>
        <v/>
      </c>
      <c r="X158" s="69">
        <f>IF($C158="","",IFERROR(AVERAGE(S158:W158),""))</f>
        <v/>
      </c>
      <c r="Y158" s="66">
        <f>IF($C158="","",IF(PULL_FUND="N","",IFERROR(BDP($C158,BESTEPS_FIELD,FWD_OVERRIDE,TEXT(MOD(YEAR_Y,100),"00")&amp;"Y"),"")))</f>
        <v/>
      </c>
      <c r="Z158" s="70">
        <f>IF($C158="","",IF(PULL_FUND="N","",IFERROR(BDP($C158,BESTDPS_FIELD,FWD_OVERRIDE,TEXT(MOD(YEAR_Y,100),"00")&amp;"Y"),"")))</f>
        <v/>
      </c>
      <c r="AA158" s="71">
        <f>IF($C158="","",IF(ISNUMBER($Y158)*ISNUMBER($Z158)*($Y158&lt;&gt;0)=0,"",$Z158/$Y158))</f>
        <v/>
      </c>
      <c r="AB158" s="41">
        <f>IF($C158="","",HSCEI!$J$13+HSCEI!$L$13)</f>
        <v/>
      </c>
      <c r="AC158" s="72">
        <f>IF($C158="","",IF(PULL_FUND="N","",IF(COUNTIFS('Fund History'!$G$892:$G$896,"&gt;="&amp;DATE(YEAR_Y-4,1,1),'Fund History'!$G$892:$G$896,"&lt;="&amp;DATE(YEAR_Y-4,12,31))=0,"",SUMIFS('Fund History'!$H$892:$H$896,'Fund History'!$G$892:$G$896,"&gt;="&amp;DATE(YEAR_Y-4,1,1),'Fund History'!$G$892:$G$896,"&lt;="&amp;DATE(YEAR_Y-4,12,31))/100)))</f>
        <v/>
      </c>
      <c r="AD158" s="73">
        <f>IF($C158="","",IF(PULL_FUND="N","",IF(COUNTIFS('Fund History'!$G$892:$G$896,"&gt;="&amp;DATE(YEAR_Y-3,1,1),'Fund History'!$G$892:$G$896,"&lt;="&amp;DATE(YEAR_Y-3,12,31))=0,"",SUMIFS('Fund History'!$H$892:$H$896,'Fund History'!$G$892:$G$896,"&gt;="&amp;DATE(YEAR_Y-3,1,1),'Fund History'!$G$892:$G$896,"&lt;="&amp;DATE(YEAR_Y-3,12,31))/100)))</f>
        <v/>
      </c>
      <c r="AE158" s="73">
        <f>IF($C158="","",IF(PULL_FUND="N","",IF(COUNTIFS('Fund History'!$G$892:$G$896,"&gt;="&amp;DATE(YEAR_Y-2,1,1),'Fund History'!$G$892:$G$896,"&lt;="&amp;DATE(YEAR_Y-2,12,31))=0,"",SUMIFS('Fund History'!$H$892:$H$896,'Fund History'!$G$892:$G$896,"&gt;="&amp;DATE(YEAR_Y-2,1,1),'Fund History'!$G$892:$G$896,"&lt;="&amp;DATE(YEAR_Y-2,12,31))/100)))</f>
        <v/>
      </c>
      <c r="AF158" s="73">
        <f>IF($C158="","",IF(PULL_FUND="N","",IF(COUNTIFS('Fund History'!$G$892:$G$896,"&gt;="&amp;DATE(YEAR_Y-1,1,1),'Fund History'!$G$892:$G$896,"&lt;="&amp;DATE(YEAR_Y-1,12,31))=0,"",SUMIFS('Fund History'!$H$892:$H$896,'Fund History'!$G$892:$G$896,"&gt;="&amp;DATE(YEAR_Y-1,1,1),'Fund History'!$G$892:$G$896,"&lt;="&amp;DATE(YEAR_Y-1,12,31))/100)))</f>
        <v/>
      </c>
      <c r="AG158" s="74">
        <f>IF($C158="","",IF(N($AF158)+N(HSCEI!$I$13)=0,"",N($AF158)+N(HSCEI!$I$13)/100))</f>
        <v/>
      </c>
      <c r="AH158" s="66">
        <f>IF($C158="","",IF(PULL_FUND="N","",IF(COUNTIFS('Fund History'!$D$892:$D$896,"&gt;="&amp;DATE(YEAR_Y-2,1,1),'Fund History'!$D$892:$D$896,"&lt;="&amp;DATE(YEAR_Y-2,12,31))=0,"",SUMIFS('Fund History'!$E$892:$E$896,'Fund History'!$D$892:$D$896,"&gt;="&amp;DATE(YEAR_Y-2,1,1),'Fund History'!$D$892:$D$896,"&lt;="&amp;DATE(YEAR_Y-2,12,31)))))</f>
        <v/>
      </c>
      <c r="AI158" s="67">
        <f>IF($C158="","",IF(PULL_FUND="N","",IF(COUNTIFS('Fund History'!$D$892:$D$896,"&gt;="&amp;DATE(YEAR_Y-1,1,1),'Fund History'!$D$892:$D$896,"&lt;="&amp;DATE(YEAR_Y-1,12,31))=0,"",SUMIFS('Fund History'!$E$892:$E$896,'Fund History'!$D$892:$D$896,"&gt;="&amp;DATE(YEAR_Y-1,1,1),'Fund History'!$D$892:$D$896,"&lt;="&amp;DATE(YEAR_Y-1,12,31)))))</f>
        <v/>
      </c>
      <c r="AJ158" s="67">
        <f>IF($C158="","",IF(PULL_FUND="N","",IFERROR(BDP($C158,NDEBITDA_FIELD),"")))</f>
        <v/>
      </c>
      <c r="AK158" s="75">
        <f>IF($C158="","",IF(PULL_FUND="N","",IFERROR(BDP($C158,EBINT_FIELD),"")))</f>
        <v/>
      </c>
      <c r="AL158" s="73">
        <f>IF($C158="","",IF(PULL_FUND="N","",IFERROR(BDP($C158,FCF_FIELD)/100,"")))</f>
        <v/>
      </c>
      <c r="AM158" s="76">
        <f>IF($C158="","",IF(ISNUMBER(HSCEI!$I$13),HSCEI!$I$13/100,""))</f>
        <v/>
      </c>
      <c r="AN158" s="47">
        <f>IF($C158="","",IF(N($AM158)=0,"",IFERROR($AL158/$AM158,"")))</f>
        <v/>
      </c>
      <c r="AO158" s="33">
        <f>IF($C158="","",IF(ISNUMBER($S158)*ISNUMBER($W158)=0,"",IF($W158&gt;$S158+0.05,"rising",IF($W158&lt;$S158-0.05,"falling","stable"))))</f>
        <v/>
      </c>
      <c r="AP158" s="77">
        <f>IF($C158="","",TRIM(IF(ISNUMBER($X158)*(N($X158)&gt;$D$4)&gt;0,"payout high  ","")&amp;IF(ISNUMBER($AN158)*(N($AN158)&lt;$F$4)&gt;0,"FCF below dvd  ","")&amp;IF(ISNUMBER($AJ158)*(N($AJ158)&gt;$H$4)&gt;0,"leverage high","")))</f>
        <v/>
      </c>
      <c r="AQ158" s="78">
        <f>IF($C158="","",IF(HSCEI!$F$13="HKD","",HSCEI!$F$13))</f>
        <v/>
      </c>
    </row>
    <row r="159">
      <c r="B159" s="62" t="inlineStr">
        <is>
          <t>HSCEI</t>
        </is>
      </c>
      <c r="C159" s="6">
        <f>IF(HSCEI!$C$14="","",HSCEI!$C$14)</f>
        <v/>
      </c>
      <c r="D159" s="6">
        <f>IF($C159="","",HSCEI!$D$14)</f>
        <v/>
      </c>
      <c r="E159" s="6">
        <f>IF($C159="","",HSCEI!$E$14)</f>
        <v/>
      </c>
      <c r="F159" s="63">
        <f>IF($C159="","",SUMPRODUCT(('Dvd Calendar'!$E$1638:$AR$1638&gt;=DATE(YEAR_Y-5,1,1))*('Dvd Calendar'!$E$1638:$AR$1638&lt;=DATE(YEAR_Y-5,12,31))*'Dvd Calendar'!$E$1641:$AR$1641*(('Dvd Calendar'!$E$1643:$AR$1643=TYPE1)*(TYPE1&lt;&gt;"")+('Dvd Calendar'!$E$1643:$AR$1643=TYPE2)*(TYPE2&lt;&gt;"")+('Dvd Calendar'!$E$1643:$AR$1643=TYPE3)*(TYPE3&lt;&gt;"")+('Dvd Calendar'!$E$1643:$AR$1643=TYPE4)*(TYPE4&lt;&gt;"")+('Dvd Calendar'!$E$1643:$AR$1643=SPECIAL_LBL)*(INC_SPECIALS="Y"))))</f>
        <v/>
      </c>
      <c r="G159" s="64">
        <f>IF($C159="","",SUMPRODUCT(('Dvd Calendar'!$E$1638:$AR$1638&gt;=DATE(YEAR_Y-4,1,1))*('Dvd Calendar'!$E$1638:$AR$1638&lt;=DATE(YEAR_Y-4,12,31))*'Dvd Calendar'!$E$1641:$AR$1641*(('Dvd Calendar'!$E$1643:$AR$1643=TYPE1)*(TYPE1&lt;&gt;"")+('Dvd Calendar'!$E$1643:$AR$1643=TYPE2)*(TYPE2&lt;&gt;"")+('Dvd Calendar'!$E$1643:$AR$1643=TYPE3)*(TYPE3&lt;&gt;"")+('Dvd Calendar'!$E$1643:$AR$1643=TYPE4)*(TYPE4&lt;&gt;"")+('Dvd Calendar'!$E$1643:$AR$1643=SPECIAL_LBL)*(INC_SPECIALS="Y"))))</f>
        <v/>
      </c>
      <c r="H159" s="64">
        <f>IF($C159="","",SUMPRODUCT(('Dvd Calendar'!$E$1638:$AR$1638&gt;=DATE(YEAR_Y-3,1,1))*('Dvd Calendar'!$E$1638:$AR$1638&lt;=DATE(YEAR_Y-3,12,31))*'Dvd Calendar'!$E$1641:$AR$1641*(('Dvd Calendar'!$E$1643:$AR$1643=TYPE1)*(TYPE1&lt;&gt;"")+('Dvd Calendar'!$E$1643:$AR$1643=TYPE2)*(TYPE2&lt;&gt;"")+('Dvd Calendar'!$E$1643:$AR$1643=TYPE3)*(TYPE3&lt;&gt;"")+('Dvd Calendar'!$E$1643:$AR$1643=TYPE4)*(TYPE4&lt;&gt;"")+('Dvd Calendar'!$E$1643:$AR$1643=SPECIAL_LBL)*(INC_SPECIALS="Y"))))</f>
        <v/>
      </c>
      <c r="I159" s="64">
        <f>IF($C159="","",SUMPRODUCT(('Dvd Calendar'!$E$1638:$AR$1638&gt;=DATE(YEAR_Y-2,1,1))*('Dvd Calendar'!$E$1638:$AR$1638&lt;=DATE(YEAR_Y-2,12,31))*'Dvd Calendar'!$E$1641:$AR$1641*(('Dvd Calendar'!$E$1643:$AR$1643=TYPE1)*(TYPE1&lt;&gt;"")+('Dvd Calendar'!$E$1643:$AR$1643=TYPE2)*(TYPE2&lt;&gt;"")+('Dvd Calendar'!$E$1643:$AR$1643=TYPE3)*(TYPE3&lt;&gt;"")+('Dvd Calendar'!$E$1643:$AR$1643=TYPE4)*(TYPE4&lt;&gt;"")+('Dvd Calendar'!$E$1643:$AR$1643=SPECIAL_LBL)*(INC_SPECIALS="Y"))))</f>
        <v/>
      </c>
      <c r="J159" s="64">
        <f>IF($C159="","",SUMPRODUCT(('Dvd Calendar'!$E$1638:$AR$1638&gt;=DATE(YEAR_Y-1,1,1))*('Dvd Calendar'!$E$1638:$AR$1638&lt;=DATE(YEAR_Y-1,12,31))*'Dvd Calendar'!$E$1641:$AR$1641*(('Dvd Calendar'!$E$1643:$AR$1643=TYPE1)*(TYPE1&lt;&gt;"")+('Dvd Calendar'!$E$1643:$AR$1643=TYPE2)*(TYPE2&lt;&gt;"")+('Dvd Calendar'!$E$1643:$AR$1643=TYPE3)*(TYPE3&lt;&gt;"")+('Dvd Calendar'!$E$1643:$AR$1643=TYPE4)*(TYPE4&lt;&gt;"")+('Dvd Calendar'!$E$1643:$AR$1643=SPECIAL_LBL)*(INC_SPECIALS="Y"))))</f>
        <v/>
      </c>
      <c r="K159" s="65">
        <f>IF($C159="","",HSCEI!$J$14)</f>
        <v/>
      </c>
      <c r="L159" s="65">
        <f>IF($C159="","",HSCEI!$K$14)</f>
        <v/>
      </c>
      <c r="M159" s="41">
        <f>IF($C159="","",AVERAGE(F159:J159))</f>
        <v/>
      </c>
      <c r="N159" s="66">
        <f>IF($C159="","",IF(PULL_FUND="N","",IFERROR(BDP($C159,EPS_FIELD,YR_OVERRIDE,TEXT(YEAR_Y-5,"0")),"")))</f>
        <v/>
      </c>
      <c r="O159" s="67">
        <f>IF($C159="","",IF(PULL_FUND="N","",IFERROR(BDP($C159,EPS_FIELD,YR_OVERRIDE,TEXT(YEAR_Y-4,"0")),"")))</f>
        <v/>
      </c>
      <c r="P159" s="67">
        <f>IF($C159="","",IF(PULL_FUND="N","",IFERROR(BDP($C159,EPS_FIELD,YR_OVERRIDE,TEXT(YEAR_Y-3,"0")),"")))</f>
        <v/>
      </c>
      <c r="Q159" s="67">
        <f>IF($C159="","",IF(PULL_FUND="N","",IFERROR(BDP($C159,EPS_FIELD,YR_OVERRIDE,TEXT(YEAR_Y-2,"0")),"")))</f>
        <v/>
      </c>
      <c r="R159" s="67">
        <f>IF($C159="","",IF(PULL_FUND="N","",IFERROR(BDP($C159,EPS_FIELD,YR_OVERRIDE,TEXT(YEAR_Y-1,"0")),"")))</f>
        <v/>
      </c>
      <c r="S159" s="68">
        <f>IF($C159="","",IF(PULL_FUND="N","",IFERROR(BDP($C159,PAYOUT_FIELD,YR_OVERRIDE,TEXT(YEAR_Y-5,"0"))/100,"")))</f>
        <v/>
      </c>
      <c r="T159" s="68">
        <f>IF($C159="","",IF(PULL_FUND="N","",IFERROR(BDP($C159,PAYOUT_FIELD,YR_OVERRIDE,TEXT(YEAR_Y-4,"0"))/100,"")))</f>
        <v/>
      </c>
      <c r="U159" s="68">
        <f>IF($C159="","",IF(PULL_FUND="N","",IFERROR(BDP($C159,PAYOUT_FIELD,YR_OVERRIDE,TEXT(YEAR_Y-3,"0"))/100,"")))</f>
        <v/>
      </c>
      <c r="V159" s="68">
        <f>IF($C159="","",IF(PULL_FUND="N","",IFERROR(BDP($C159,PAYOUT_FIELD,YR_OVERRIDE,TEXT(YEAR_Y-2,"0"))/100,"")))</f>
        <v/>
      </c>
      <c r="W159" s="68">
        <f>IF($C159="","",IF(PULL_FUND="N","",IFERROR(BDP($C159,PAYOUT_FIELD,YR_OVERRIDE,TEXT(YEAR_Y-1,"0"))/100,"")))</f>
        <v/>
      </c>
      <c r="X159" s="69">
        <f>IF($C159="","",IFERROR(AVERAGE(S159:W159),""))</f>
        <v/>
      </c>
      <c r="Y159" s="66">
        <f>IF($C159="","",IF(PULL_FUND="N","",IFERROR(BDP($C159,BESTEPS_FIELD,FWD_OVERRIDE,TEXT(MOD(YEAR_Y,100),"00")&amp;"Y"),"")))</f>
        <v/>
      </c>
      <c r="Z159" s="70">
        <f>IF($C159="","",IF(PULL_FUND="N","",IFERROR(BDP($C159,BESTDPS_FIELD,FWD_OVERRIDE,TEXT(MOD(YEAR_Y,100),"00")&amp;"Y"),"")))</f>
        <v/>
      </c>
      <c r="AA159" s="71">
        <f>IF($C159="","",IF(ISNUMBER($Y159)*ISNUMBER($Z159)*($Y159&lt;&gt;0)=0,"",$Z159/$Y159))</f>
        <v/>
      </c>
      <c r="AB159" s="41">
        <f>IF($C159="","",HSCEI!$J$14+HSCEI!$L$14)</f>
        <v/>
      </c>
      <c r="AC159" s="72">
        <f>IF($C159="","",IF(PULL_FUND="N","",IF(COUNTIFS('Fund History'!$G$898:$G$902,"&gt;="&amp;DATE(YEAR_Y-4,1,1),'Fund History'!$G$898:$G$902,"&lt;="&amp;DATE(YEAR_Y-4,12,31))=0,"",SUMIFS('Fund History'!$H$898:$H$902,'Fund History'!$G$898:$G$902,"&gt;="&amp;DATE(YEAR_Y-4,1,1),'Fund History'!$G$898:$G$902,"&lt;="&amp;DATE(YEAR_Y-4,12,31))/100)))</f>
        <v/>
      </c>
      <c r="AD159" s="73">
        <f>IF($C159="","",IF(PULL_FUND="N","",IF(COUNTIFS('Fund History'!$G$898:$G$902,"&gt;="&amp;DATE(YEAR_Y-3,1,1),'Fund History'!$G$898:$G$902,"&lt;="&amp;DATE(YEAR_Y-3,12,31))=0,"",SUMIFS('Fund History'!$H$898:$H$902,'Fund History'!$G$898:$G$902,"&gt;="&amp;DATE(YEAR_Y-3,1,1),'Fund History'!$G$898:$G$902,"&lt;="&amp;DATE(YEAR_Y-3,12,31))/100)))</f>
        <v/>
      </c>
      <c r="AE159" s="73">
        <f>IF($C159="","",IF(PULL_FUND="N","",IF(COUNTIFS('Fund History'!$G$898:$G$902,"&gt;="&amp;DATE(YEAR_Y-2,1,1),'Fund History'!$G$898:$G$902,"&lt;="&amp;DATE(YEAR_Y-2,12,31))=0,"",SUMIFS('Fund History'!$H$898:$H$902,'Fund History'!$G$898:$G$902,"&gt;="&amp;DATE(YEAR_Y-2,1,1),'Fund History'!$G$898:$G$902,"&lt;="&amp;DATE(YEAR_Y-2,12,31))/100)))</f>
        <v/>
      </c>
      <c r="AF159" s="73">
        <f>IF($C159="","",IF(PULL_FUND="N","",IF(COUNTIFS('Fund History'!$G$898:$G$902,"&gt;="&amp;DATE(YEAR_Y-1,1,1),'Fund History'!$G$898:$G$902,"&lt;="&amp;DATE(YEAR_Y-1,12,31))=0,"",SUMIFS('Fund History'!$H$898:$H$902,'Fund History'!$G$898:$G$902,"&gt;="&amp;DATE(YEAR_Y-1,1,1),'Fund History'!$G$898:$G$902,"&lt;="&amp;DATE(YEAR_Y-1,12,31))/100)))</f>
        <v/>
      </c>
      <c r="AG159" s="74">
        <f>IF($C159="","",IF(N($AF159)+N(HSCEI!$I$14)=0,"",N($AF159)+N(HSCEI!$I$14)/100))</f>
        <v/>
      </c>
      <c r="AH159" s="66">
        <f>IF($C159="","",IF(PULL_FUND="N","",IF(COUNTIFS('Fund History'!$D$898:$D$902,"&gt;="&amp;DATE(YEAR_Y-2,1,1),'Fund History'!$D$898:$D$902,"&lt;="&amp;DATE(YEAR_Y-2,12,31))=0,"",SUMIFS('Fund History'!$E$898:$E$902,'Fund History'!$D$898:$D$902,"&gt;="&amp;DATE(YEAR_Y-2,1,1),'Fund History'!$D$898:$D$902,"&lt;="&amp;DATE(YEAR_Y-2,12,31)))))</f>
        <v/>
      </c>
      <c r="AI159" s="67">
        <f>IF($C159="","",IF(PULL_FUND="N","",IF(COUNTIFS('Fund History'!$D$898:$D$902,"&gt;="&amp;DATE(YEAR_Y-1,1,1),'Fund History'!$D$898:$D$902,"&lt;="&amp;DATE(YEAR_Y-1,12,31))=0,"",SUMIFS('Fund History'!$E$898:$E$902,'Fund History'!$D$898:$D$902,"&gt;="&amp;DATE(YEAR_Y-1,1,1),'Fund History'!$D$898:$D$902,"&lt;="&amp;DATE(YEAR_Y-1,12,31)))))</f>
        <v/>
      </c>
      <c r="AJ159" s="67">
        <f>IF($C159="","",IF(PULL_FUND="N","",IFERROR(BDP($C159,NDEBITDA_FIELD),"")))</f>
        <v/>
      </c>
      <c r="AK159" s="75">
        <f>IF($C159="","",IF(PULL_FUND="N","",IFERROR(BDP($C159,EBINT_FIELD),"")))</f>
        <v/>
      </c>
      <c r="AL159" s="73">
        <f>IF($C159="","",IF(PULL_FUND="N","",IFERROR(BDP($C159,FCF_FIELD)/100,"")))</f>
        <v/>
      </c>
      <c r="AM159" s="76">
        <f>IF($C159="","",IF(ISNUMBER(HSCEI!$I$14),HSCEI!$I$14/100,""))</f>
        <v/>
      </c>
      <c r="AN159" s="47">
        <f>IF($C159="","",IF(N($AM159)=0,"",IFERROR($AL159/$AM159,"")))</f>
        <v/>
      </c>
      <c r="AO159" s="33">
        <f>IF($C159="","",IF(ISNUMBER($S159)*ISNUMBER($W159)=0,"",IF($W159&gt;$S159+0.05,"rising",IF($W159&lt;$S159-0.05,"falling","stable"))))</f>
        <v/>
      </c>
      <c r="AP159" s="77">
        <f>IF($C159="","",TRIM(IF(ISNUMBER($X159)*(N($X159)&gt;$D$4)&gt;0,"payout high  ","")&amp;IF(ISNUMBER($AN159)*(N($AN159)&lt;$F$4)&gt;0,"FCF below dvd  ","")&amp;IF(ISNUMBER($AJ159)*(N($AJ159)&gt;$H$4)&gt;0,"leverage high","")))</f>
        <v/>
      </c>
      <c r="AQ159" s="78">
        <f>IF($C159="","",IF(HSCEI!$F$14="HKD","",HSCEI!$F$14))</f>
        <v/>
      </c>
    </row>
    <row r="160">
      <c r="B160" s="62" t="inlineStr">
        <is>
          <t>HSCEI</t>
        </is>
      </c>
      <c r="C160" s="6">
        <f>IF(HSCEI!$C$15="","",HSCEI!$C$15)</f>
        <v/>
      </c>
      <c r="D160" s="6">
        <f>IF($C160="","",HSCEI!$D$15)</f>
        <v/>
      </c>
      <c r="E160" s="6">
        <f>IF($C160="","",HSCEI!$E$15)</f>
        <v/>
      </c>
      <c r="F160" s="63">
        <f>IF($C160="","",SUMPRODUCT(('Dvd Calendar'!$E$1649:$AR$1649&gt;=DATE(YEAR_Y-5,1,1))*('Dvd Calendar'!$E$1649:$AR$1649&lt;=DATE(YEAR_Y-5,12,31))*'Dvd Calendar'!$E$1652:$AR$1652*(('Dvd Calendar'!$E$1654:$AR$1654=TYPE1)*(TYPE1&lt;&gt;"")+('Dvd Calendar'!$E$1654:$AR$1654=TYPE2)*(TYPE2&lt;&gt;"")+('Dvd Calendar'!$E$1654:$AR$1654=TYPE3)*(TYPE3&lt;&gt;"")+('Dvd Calendar'!$E$1654:$AR$1654=TYPE4)*(TYPE4&lt;&gt;"")+('Dvd Calendar'!$E$1654:$AR$1654=SPECIAL_LBL)*(INC_SPECIALS="Y"))))</f>
        <v/>
      </c>
      <c r="G160" s="64">
        <f>IF($C160="","",SUMPRODUCT(('Dvd Calendar'!$E$1649:$AR$1649&gt;=DATE(YEAR_Y-4,1,1))*('Dvd Calendar'!$E$1649:$AR$1649&lt;=DATE(YEAR_Y-4,12,31))*'Dvd Calendar'!$E$1652:$AR$1652*(('Dvd Calendar'!$E$1654:$AR$1654=TYPE1)*(TYPE1&lt;&gt;"")+('Dvd Calendar'!$E$1654:$AR$1654=TYPE2)*(TYPE2&lt;&gt;"")+('Dvd Calendar'!$E$1654:$AR$1654=TYPE3)*(TYPE3&lt;&gt;"")+('Dvd Calendar'!$E$1654:$AR$1654=TYPE4)*(TYPE4&lt;&gt;"")+('Dvd Calendar'!$E$1654:$AR$1654=SPECIAL_LBL)*(INC_SPECIALS="Y"))))</f>
        <v/>
      </c>
      <c r="H160" s="64">
        <f>IF($C160="","",SUMPRODUCT(('Dvd Calendar'!$E$1649:$AR$1649&gt;=DATE(YEAR_Y-3,1,1))*('Dvd Calendar'!$E$1649:$AR$1649&lt;=DATE(YEAR_Y-3,12,31))*'Dvd Calendar'!$E$1652:$AR$1652*(('Dvd Calendar'!$E$1654:$AR$1654=TYPE1)*(TYPE1&lt;&gt;"")+('Dvd Calendar'!$E$1654:$AR$1654=TYPE2)*(TYPE2&lt;&gt;"")+('Dvd Calendar'!$E$1654:$AR$1654=TYPE3)*(TYPE3&lt;&gt;"")+('Dvd Calendar'!$E$1654:$AR$1654=TYPE4)*(TYPE4&lt;&gt;"")+('Dvd Calendar'!$E$1654:$AR$1654=SPECIAL_LBL)*(INC_SPECIALS="Y"))))</f>
        <v/>
      </c>
      <c r="I160" s="64">
        <f>IF($C160="","",SUMPRODUCT(('Dvd Calendar'!$E$1649:$AR$1649&gt;=DATE(YEAR_Y-2,1,1))*('Dvd Calendar'!$E$1649:$AR$1649&lt;=DATE(YEAR_Y-2,12,31))*'Dvd Calendar'!$E$1652:$AR$1652*(('Dvd Calendar'!$E$1654:$AR$1654=TYPE1)*(TYPE1&lt;&gt;"")+('Dvd Calendar'!$E$1654:$AR$1654=TYPE2)*(TYPE2&lt;&gt;"")+('Dvd Calendar'!$E$1654:$AR$1654=TYPE3)*(TYPE3&lt;&gt;"")+('Dvd Calendar'!$E$1654:$AR$1654=TYPE4)*(TYPE4&lt;&gt;"")+('Dvd Calendar'!$E$1654:$AR$1654=SPECIAL_LBL)*(INC_SPECIALS="Y"))))</f>
        <v/>
      </c>
      <c r="J160" s="64">
        <f>IF($C160="","",SUMPRODUCT(('Dvd Calendar'!$E$1649:$AR$1649&gt;=DATE(YEAR_Y-1,1,1))*('Dvd Calendar'!$E$1649:$AR$1649&lt;=DATE(YEAR_Y-1,12,31))*'Dvd Calendar'!$E$1652:$AR$1652*(('Dvd Calendar'!$E$1654:$AR$1654=TYPE1)*(TYPE1&lt;&gt;"")+('Dvd Calendar'!$E$1654:$AR$1654=TYPE2)*(TYPE2&lt;&gt;"")+('Dvd Calendar'!$E$1654:$AR$1654=TYPE3)*(TYPE3&lt;&gt;"")+('Dvd Calendar'!$E$1654:$AR$1654=TYPE4)*(TYPE4&lt;&gt;"")+('Dvd Calendar'!$E$1654:$AR$1654=SPECIAL_LBL)*(INC_SPECIALS="Y"))))</f>
        <v/>
      </c>
      <c r="K160" s="65">
        <f>IF($C160="","",HSCEI!$J$15)</f>
        <v/>
      </c>
      <c r="L160" s="65">
        <f>IF($C160="","",HSCEI!$K$15)</f>
        <v/>
      </c>
      <c r="M160" s="41">
        <f>IF($C160="","",AVERAGE(F160:J160))</f>
        <v/>
      </c>
      <c r="N160" s="66">
        <f>IF($C160="","",IF(PULL_FUND="N","",IFERROR(BDP($C160,EPS_FIELD,YR_OVERRIDE,TEXT(YEAR_Y-5,"0")),"")))</f>
        <v/>
      </c>
      <c r="O160" s="67">
        <f>IF($C160="","",IF(PULL_FUND="N","",IFERROR(BDP($C160,EPS_FIELD,YR_OVERRIDE,TEXT(YEAR_Y-4,"0")),"")))</f>
        <v/>
      </c>
      <c r="P160" s="67">
        <f>IF($C160="","",IF(PULL_FUND="N","",IFERROR(BDP($C160,EPS_FIELD,YR_OVERRIDE,TEXT(YEAR_Y-3,"0")),"")))</f>
        <v/>
      </c>
      <c r="Q160" s="67">
        <f>IF($C160="","",IF(PULL_FUND="N","",IFERROR(BDP($C160,EPS_FIELD,YR_OVERRIDE,TEXT(YEAR_Y-2,"0")),"")))</f>
        <v/>
      </c>
      <c r="R160" s="67">
        <f>IF($C160="","",IF(PULL_FUND="N","",IFERROR(BDP($C160,EPS_FIELD,YR_OVERRIDE,TEXT(YEAR_Y-1,"0")),"")))</f>
        <v/>
      </c>
      <c r="S160" s="68">
        <f>IF($C160="","",IF(PULL_FUND="N","",IFERROR(BDP($C160,PAYOUT_FIELD,YR_OVERRIDE,TEXT(YEAR_Y-5,"0"))/100,"")))</f>
        <v/>
      </c>
      <c r="T160" s="68">
        <f>IF($C160="","",IF(PULL_FUND="N","",IFERROR(BDP($C160,PAYOUT_FIELD,YR_OVERRIDE,TEXT(YEAR_Y-4,"0"))/100,"")))</f>
        <v/>
      </c>
      <c r="U160" s="68">
        <f>IF($C160="","",IF(PULL_FUND="N","",IFERROR(BDP($C160,PAYOUT_FIELD,YR_OVERRIDE,TEXT(YEAR_Y-3,"0"))/100,"")))</f>
        <v/>
      </c>
      <c r="V160" s="68">
        <f>IF($C160="","",IF(PULL_FUND="N","",IFERROR(BDP($C160,PAYOUT_FIELD,YR_OVERRIDE,TEXT(YEAR_Y-2,"0"))/100,"")))</f>
        <v/>
      </c>
      <c r="W160" s="68">
        <f>IF($C160="","",IF(PULL_FUND="N","",IFERROR(BDP($C160,PAYOUT_FIELD,YR_OVERRIDE,TEXT(YEAR_Y-1,"0"))/100,"")))</f>
        <v/>
      </c>
      <c r="X160" s="69">
        <f>IF($C160="","",IFERROR(AVERAGE(S160:W160),""))</f>
        <v/>
      </c>
      <c r="Y160" s="66">
        <f>IF($C160="","",IF(PULL_FUND="N","",IFERROR(BDP($C160,BESTEPS_FIELD,FWD_OVERRIDE,TEXT(MOD(YEAR_Y,100),"00")&amp;"Y"),"")))</f>
        <v/>
      </c>
      <c r="Z160" s="70">
        <f>IF($C160="","",IF(PULL_FUND="N","",IFERROR(BDP($C160,BESTDPS_FIELD,FWD_OVERRIDE,TEXT(MOD(YEAR_Y,100),"00")&amp;"Y"),"")))</f>
        <v/>
      </c>
      <c r="AA160" s="71">
        <f>IF($C160="","",IF(ISNUMBER($Y160)*ISNUMBER($Z160)*($Y160&lt;&gt;0)=0,"",$Z160/$Y160))</f>
        <v/>
      </c>
      <c r="AB160" s="41">
        <f>IF($C160="","",HSCEI!$J$15+HSCEI!$L$15)</f>
        <v/>
      </c>
      <c r="AC160" s="72">
        <f>IF($C160="","",IF(PULL_FUND="N","",IF(COUNTIFS('Fund History'!$G$904:$G$908,"&gt;="&amp;DATE(YEAR_Y-4,1,1),'Fund History'!$G$904:$G$908,"&lt;="&amp;DATE(YEAR_Y-4,12,31))=0,"",SUMIFS('Fund History'!$H$904:$H$908,'Fund History'!$G$904:$G$908,"&gt;="&amp;DATE(YEAR_Y-4,1,1),'Fund History'!$G$904:$G$908,"&lt;="&amp;DATE(YEAR_Y-4,12,31))/100)))</f>
        <v/>
      </c>
      <c r="AD160" s="73">
        <f>IF($C160="","",IF(PULL_FUND="N","",IF(COUNTIFS('Fund History'!$G$904:$G$908,"&gt;="&amp;DATE(YEAR_Y-3,1,1),'Fund History'!$G$904:$G$908,"&lt;="&amp;DATE(YEAR_Y-3,12,31))=0,"",SUMIFS('Fund History'!$H$904:$H$908,'Fund History'!$G$904:$G$908,"&gt;="&amp;DATE(YEAR_Y-3,1,1),'Fund History'!$G$904:$G$908,"&lt;="&amp;DATE(YEAR_Y-3,12,31))/100)))</f>
        <v/>
      </c>
      <c r="AE160" s="73">
        <f>IF($C160="","",IF(PULL_FUND="N","",IF(COUNTIFS('Fund History'!$G$904:$G$908,"&gt;="&amp;DATE(YEAR_Y-2,1,1),'Fund History'!$G$904:$G$908,"&lt;="&amp;DATE(YEAR_Y-2,12,31))=0,"",SUMIFS('Fund History'!$H$904:$H$908,'Fund History'!$G$904:$G$908,"&gt;="&amp;DATE(YEAR_Y-2,1,1),'Fund History'!$G$904:$G$908,"&lt;="&amp;DATE(YEAR_Y-2,12,31))/100)))</f>
        <v/>
      </c>
      <c r="AF160" s="73">
        <f>IF($C160="","",IF(PULL_FUND="N","",IF(COUNTIFS('Fund History'!$G$904:$G$908,"&gt;="&amp;DATE(YEAR_Y-1,1,1),'Fund History'!$G$904:$G$908,"&lt;="&amp;DATE(YEAR_Y-1,12,31))=0,"",SUMIFS('Fund History'!$H$904:$H$908,'Fund History'!$G$904:$G$908,"&gt;="&amp;DATE(YEAR_Y-1,1,1),'Fund History'!$G$904:$G$908,"&lt;="&amp;DATE(YEAR_Y-1,12,31))/100)))</f>
        <v/>
      </c>
      <c r="AG160" s="74">
        <f>IF($C160="","",IF(N($AF160)+N(HSCEI!$I$15)=0,"",N($AF160)+N(HSCEI!$I$15)/100))</f>
        <v/>
      </c>
      <c r="AH160" s="66">
        <f>IF($C160="","",IF(PULL_FUND="N","",IF(COUNTIFS('Fund History'!$D$904:$D$908,"&gt;="&amp;DATE(YEAR_Y-2,1,1),'Fund History'!$D$904:$D$908,"&lt;="&amp;DATE(YEAR_Y-2,12,31))=0,"",SUMIFS('Fund History'!$E$904:$E$908,'Fund History'!$D$904:$D$908,"&gt;="&amp;DATE(YEAR_Y-2,1,1),'Fund History'!$D$904:$D$908,"&lt;="&amp;DATE(YEAR_Y-2,12,31)))))</f>
        <v/>
      </c>
      <c r="AI160" s="67">
        <f>IF($C160="","",IF(PULL_FUND="N","",IF(COUNTIFS('Fund History'!$D$904:$D$908,"&gt;="&amp;DATE(YEAR_Y-1,1,1),'Fund History'!$D$904:$D$908,"&lt;="&amp;DATE(YEAR_Y-1,12,31))=0,"",SUMIFS('Fund History'!$E$904:$E$908,'Fund History'!$D$904:$D$908,"&gt;="&amp;DATE(YEAR_Y-1,1,1),'Fund History'!$D$904:$D$908,"&lt;="&amp;DATE(YEAR_Y-1,12,31)))))</f>
        <v/>
      </c>
      <c r="AJ160" s="67">
        <f>IF($C160="","",IF(PULL_FUND="N","",IFERROR(BDP($C160,NDEBITDA_FIELD),"")))</f>
        <v/>
      </c>
      <c r="AK160" s="75">
        <f>IF($C160="","",IF(PULL_FUND="N","",IFERROR(BDP($C160,EBINT_FIELD),"")))</f>
        <v/>
      </c>
      <c r="AL160" s="73">
        <f>IF($C160="","",IF(PULL_FUND="N","",IFERROR(BDP($C160,FCF_FIELD)/100,"")))</f>
        <v/>
      </c>
      <c r="AM160" s="76">
        <f>IF($C160="","",IF(ISNUMBER(HSCEI!$I$15),HSCEI!$I$15/100,""))</f>
        <v/>
      </c>
      <c r="AN160" s="47">
        <f>IF($C160="","",IF(N($AM160)=0,"",IFERROR($AL160/$AM160,"")))</f>
        <v/>
      </c>
      <c r="AO160" s="33">
        <f>IF($C160="","",IF(ISNUMBER($S160)*ISNUMBER($W160)=0,"",IF($W160&gt;$S160+0.05,"rising",IF($W160&lt;$S160-0.05,"falling","stable"))))</f>
        <v/>
      </c>
      <c r="AP160" s="77">
        <f>IF($C160="","",TRIM(IF(ISNUMBER($X160)*(N($X160)&gt;$D$4)&gt;0,"payout high  ","")&amp;IF(ISNUMBER($AN160)*(N($AN160)&lt;$F$4)&gt;0,"FCF below dvd  ","")&amp;IF(ISNUMBER($AJ160)*(N($AJ160)&gt;$H$4)&gt;0,"leverage high","")))</f>
        <v/>
      </c>
      <c r="AQ160" s="78">
        <f>IF($C160="","",IF(HSCEI!$F$15="HKD","",HSCEI!$F$15))</f>
        <v/>
      </c>
    </row>
    <row r="161">
      <c r="B161" s="62" t="inlineStr">
        <is>
          <t>HSCEI</t>
        </is>
      </c>
      <c r="C161" s="6">
        <f>IF(HSCEI!$C$16="","",HSCEI!$C$16)</f>
        <v/>
      </c>
      <c r="D161" s="6">
        <f>IF($C161="","",HSCEI!$D$16)</f>
        <v/>
      </c>
      <c r="E161" s="6">
        <f>IF($C161="","",HSCEI!$E$16)</f>
        <v/>
      </c>
      <c r="F161" s="63">
        <f>IF($C161="","",SUMPRODUCT(('Dvd Calendar'!$E$1660:$AR$1660&gt;=DATE(YEAR_Y-5,1,1))*('Dvd Calendar'!$E$1660:$AR$1660&lt;=DATE(YEAR_Y-5,12,31))*'Dvd Calendar'!$E$1663:$AR$1663*(('Dvd Calendar'!$E$1665:$AR$1665=TYPE1)*(TYPE1&lt;&gt;"")+('Dvd Calendar'!$E$1665:$AR$1665=TYPE2)*(TYPE2&lt;&gt;"")+('Dvd Calendar'!$E$1665:$AR$1665=TYPE3)*(TYPE3&lt;&gt;"")+('Dvd Calendar'!$E$1665:$AR$1665=TYPE4)*(TYPE4&lt;&gt;"")+('Dvd Calendar'!$E$1665:$AR$1665=SPECIAL_LBL)*(INC_SPECIALS="Y"))))</f>
        <v/>
      </c>
      <c r="G161" s="64">
        <f>IF($C161="","",SUMPRODUCT(('Dvd Calendar'!$E$1660:$AR$1660&gt;=DATE(YEAR_Y-4,1,1))*('Dvd Calendar'!$E$1660:$AR$1660&lt;=DATE(YEAR_Y-4,12,31))*'Dvd Calendar'!$E$1663:$AR$1663*(('Dvd Calendar'!$E$1665:$AR$1665=TYPE1)*(TYPE1&lt;&gt;"")+('Dvd Calendar'!$E$1665:$AR$1665=TYPE2)*(TYPE2&lt;&gt;"")+('Dvd Calendar'!$E$1665:$AR$1665=TYPE3)*(TYPE3&lt;&gt;"")+('Dvd Calendar'!$E$1665:$AR$1665=TYPE4)*(TYPE4&lt;&gt;"")+('Dvd Calendar'!$E$1665:$AR$1665=SPECIAL_LBL)*(INC_SPECIALS="Y"))))</f>
        <v/>
      </c>
      <c r="H161" s="64">
        <f>IF($C161="","",SUMPRODUCT(('Dvd Calendar'!$E$1660:$AR$1660&gt;=DATE(YEAR_Y-3,1,1))*('Dvd Calendar'!$E$1660:$AR$1660&lt;=DATE(YEAR_Y-3,12,31))*'Dvd Calendar'!$E$1663:$AR$1663*(('Dvd Calendar'!$E$1665:$AR$1665=TYPE1)*(TYPE1&lt;&gt;"")+('Dvd Calendar'!$E$1665:$AR$1665=TYPE2)*(TYPE2&lt;&gt;"")+('Dvd Calendar'!$E$1665:$AR$1665=TYPE3)*(TYPE3&lt;&gt;"")+('Dvd Calendar'!$E$1665:$AR$1665=TYPE4)*(TYPE4&lt;&gt;"")+('Dvd Calendar'!$E$1665:$AR$1665=SPECIAL_LBL)*(INC_SPECIALS="Y"))))</f>
        <v/>
      </c>
      <c r="I161" s="64">
        <f>IF($C161="","",SUMPRODUCT(('Dvd Calendar'!$E$1660:$AR$1660&gt;=DATE(YEAR_Y-2,1,1))*('Dvd Calendar'!$E$1660:$AR$1660&lt;=DATE(YEAR_Y-2,12,31))*'Dvd Calendar'!$E$1663:$AR$1663*(('Dvd Calendar'!$E$1665:$AR$1665=TYPE1)*(TYPE1&lt;&gt;"")+('Dvd Calendar'!$E$1665:$AR$1665=TYPE2)*(TYPE2&lt;&gt;"")+('Dvd Calendar'!$E$1665:$AR$1665=TYPE3)*(TYPE3&lt;&gt;"")+('Dvd Calendar'!$E$1665:$AR$1665=TYPE4)*(TYPE4&lt;&gt;"")+('Dvd Calendar'!$E$1665:$AR$1665=SPECIAL_LBL)*(INC_SPECIALS="Y"))))</f>
        <v/>
      </c>
      <c r="J161" s="64">
        <f>IF($C161="","",SUMPRODUCT(('Dvd Calendar'!$E$1660:$AR$1660&gt;=DATE(YEAR_Y-1,1,1))*('Dvd Calendar'!$E$1660:$AR$1660&lt;=DATE(YEAR_Y-1,12,31))*'Dvd Calendar'!$E$1663:$AR$1663*(('Dvd Calendar'!$E$1665:$AR$1665=TYPE1)*(TYPE1&lt;&gt;"")+('Dvd Calendar'!$E$1665:$AR$1665=TYPE2)*(TYPE2&lt;&gt;"")+('Dvd Calendar'!$E$1665:$AR$1665=TYPE3)*(TYPE3&lt;&gt;"")+('Dvd Calendar'!$E$1665:$AR$1665=TYPE4)*(TYPE4&lt;&gt;"")+('Dvd Calendar'!$E$1665:$AR$1665=SPECIAL_LBL)*(INC_SPECIALS="Y"))))</f>
        <v/>
      </c>
      <c r="K161" s="65">
        <f>IF($C161="","",HSCEI!$J$16)</f>
        <v/>
      </c>
      <c r="L161" s="65">
        <f>IF($C161="","",HSCEI!$K$16)</f>
        <v/>
      </c>
      <c r="M161" s="41">
        <f>IF($C161="","",AVERAGE(F161:J161))</f>
        <v/>
      </c>
      <c r="N161" s="66">
        <f>IF($C161="","",IF(PULL_FUND="N","",IFERROR(BDP($C161,EPS_FIELD,YR_OVERRIDE,TEXT(YEAR_Y-5,"0")),"")))</f>
        <v/>
      </c>
      <c r="O161" s="67">
        <f>IF($C161="","",IF(PULL_FUND="N","",IFERROR(BDP($C161,EPS_FIELD,YR_OVERRIDE,TEXT(YEAR_Y-4,"0")),"")))</f>
        <v/>
      </c>
      <c r="P161" s="67">
        <f>IF($C161="","",IF(PULL_FUND="N","",IFERROR(BDP($C161,EPS_FIELD,YR_OVERRIDE,TEXT(YEAR_Y-3,"0")),"")))</f>
        <v/>
      </c>
      <c r="Q161" s="67">
        <f>IF($C161="","",IF(PULL_FUND="N","",IFERROR(BDP($C161,EPS_FIELD,YR_OVERRIDE,TEXT(YEAR_Y-2,"0")),"")))</f>
        <v/>
      </c>
      <c r="R161" s="67">
        <f>IF($C161="","",IF(PULL_FUND="N","",IFERROR(BDP($C161,EPS_FIELD,YR_OVERRIDE,TEXT(YEAR_Y-1,"0")),"")))</f>
        <v/>
      </c>
      <c r="S161" s="68">
        <f>IF($C161="","",IF(PULL_FUND="N","",IFERROR(BDP($C161,PAYOUT_FIELD,YR_OVERRIDE,TEXT(YEAR_Y-5,"0"))/100,"")))</f>
        <v/>
      </c>
      <c r="T161" s="68">
        <f>IF($C161="","",IF(PULL_FUND="N","",IFERROR(BDP($C161,PAYOUT_FIELD,YR_OVERRIDE,TEXT(YEAR_Y-4,"0"))/100,"")))</f>
        <v/>
      </c>
      <c r="U161" s="68">
        <f>IF($C161="","",IF(PULL_FUND="N","",IFERROR(BDP($C161,PAYOUT_FIELD,YR_OVERRIDE,TEXT(YEAR_Y-3,"0"))/100,"")))</f>
        <v/>
      </c>
      <c r="V161" s="68">
        <f>IF($C161="","",IF(PULL_FUND="N","",IFERROR(BDP($C161,PAYOUT_FIELD,YR_OVERRIDE,TEXT(YEAR_Y-2,"0"))/100,"")))</f>
        <v/>
      </c>
      <c r="W161" s="68">
        <f>IF($C161="","",IF(PULL_FUND="N","",IFERROR(BDP($C161,PAYOUT_FIELD,YR_OVERRIDE,TEXT(YEAR_Y-1,"0"))/100,"")))</f>
        <v/>
      </c>
      <c r="X161" s="69">
        <f>IF($C161="","",IFERROR(AVERAGE(S161:W161),""))</f>
        <v/>
      </c>
      <c r="Y161" s="66">
        <f>IF($C161="","",IF(PULL_FUND="N","",IFERROR(BDP($C161,BESTEPS_FIELD,FWD_OVERRIDE,TEXT(MOD(YEAR_Y,100),"00")&amp;"Y"),"")))</f>
        <v/>
      </c>
      <c r="Z161" s="70">
        <f>IF($C161="","",IF(PULL_FUND="N","",IFERROR(BDP($C161,BESTDPS_FIELD,FWD_OVERRIDE,TEXT(MOD(YEAR_Y,100),"00")&amp;"Y"),"")))</f>
        <v/>
      </c>
      <c r="AA161" s="71">
        <f>IF($C161="","",IF(ISNUMBER($Y161)*ISNUMBER($Z161)*($Y161&lt;&gt;0)=0,"",$Z161/$Y161))</f>
        <v/>
      </c>
      <c r="AB161" s="41">
        <f>IF($C161="","",HSCEI!$J$16+HSCEI!$L$16)</f>
        <v/>
      </c>
      <c r="AC161" s="72">
        <f>IF($C161="","",IF(PULL_FUND="N","",IF(COUNTIFS('Fund History'!$G$910:$G$914,"&gt;="&amp;DATE(YEAR_Y-4,1,1),'Fund History'!$G$910:$G$914,"&lt;="&amp;DATE(YEAR_Y-4,12,31))=0,"",SUMIFS('Fund History'!$H$910:$H$914,'Fund History'!$G$910:$G$914,"&gt;="&amp;DATE(YEAR_Y-4,1,1),'Fund History'!$G$910:$G$914,"&lt;="&amp;DATE(YEAR_Y-4,12,31))/100)))</f>
        <v/>
      </c>
      <c r="AD161" s="73">
        <f>IF($C161="","",IF(PULL_FUND="N","",IF(COUNTIFS('Fund History'!$G$910:$G$914,"&gt;="&amp;DATE(YEAR_Y-3,1,1),'Fund History'!$G$910:$G$914,"&lt;="&amp;DATE(YEAR_Y-3,12,31))=0,"",SUMIFS('Fund History'!$H$910:$H$914,'Fund History'!$G$910:$G$914,"&gt;="&amp;DATE(YEAR_Y-3,1,1),'Fund History'!$G$910:$G$914,"&lt;="&amp;DATE(YEAR_Y-3,12,31))/100)))</f>
        <v/>
      </c>
      <c r="AE161" s="73">
        <f>IF($C161="","",IF(PULL_FUND="N","",IF(COUNTIFS('Fund History'!$G$910:$G$914,"&gt;="&amp;DATE(YEAR_Y-2,1,1),'Fund History'!$G$910:$G$914,"&lt;="&amp;DATE(YEAR_Y-2,12,31))=0,"",SUMIFS('Fund History'!$H$910:$H$914,'Fund History'!$G$910:$G$914,"&gt;="&amp;DATE(YEAR_Y-2,1,1),'Fund History'!$G$910:$G$914,"&lt;="&amp;DATE(YEAR_Y-2,12,31))/100)))</f>
        <v/>
      </c>
      <c r="AF161" s="73">
        <f>IF($C161="","",IF(PULL_FUND="N","",IF(COUNTIFS('Fund History'!$G$910:$G$914,"&gt;="&amp;DATE(YEAR_Y-1,1,1),'Fund History'!$G$910:$G$914,"&lt;="&amp;DATE(YEAR_Y-1,12,31))=0,"",SUMIFS('Fund History'!$H$910:$H$914,'Fund History'!$G$910:$G$914,"&gt;="&amp;DATE(YEAR_Y-1,1,1),'Fund History'!$G$910:$G$914,"&lt;="&amp;DATE(YEAR_Y-1,12,31))/100)))</f>
        <v/>
      </c>
      <c r="AG161" s="74">
        <f>IF($C161="","",IF(N($AF161)+N(HSCEI!$I$16)=0,"",N($AF161)+N(HSCEI!$I$16)/100))</f>
        <v/>
      </c>
      <c r="AH161" s="66">
        <f>IF($C161="","",IF(PULL_FUND="N","",IF(COUNTIFS('Fund History'!$D$910:$D$914,"&gt;="&amp;DATE(YEAR_Y-2,1,1),'Fund History'!$D$910:$D$914,"&lt;="&amp;DATE(YEAR_Y-2,12,31))=0,"",SUMIFS('Fund History'!$E$910:$E$914,'Fund History'!$D$910:$D$914,"&gt;="&amp;DATE(YEAR_Y-2,1,1),'Fund History'!$D$910:$D$914,"&lt;="&amp;DATE(YEAR_Y-2,12,31)))))</f>
        <v/>
      </c>
      <c r="AI161" s="67">
        <f>IF($C161="","",IF(PULL_FUND="N","",IF(COUNTIFS('Fund History'!$D$910:$D$914,"&gt;="&amp;DATE(YEAR_Y-1,1,1),'Fund History'!$D$910:$D$914,"&lt;="&amp;DATE(YEAR_Y-1,12,31))=0,"",SUMIFS('Fund History'!$E$910:$E$914,'Fund History'!$D$910:$D$914,"&gt;="&amp;DATE(YEAR_Y-1,1,1),'Fund History'!$D$910:$D$914,"&lt;="&amp;DATE(YEAR_Y-1,12,31)))))</f>
        <v/>
      </c>
      <c r="AJ161" s="67">
        <f>IF($C161="","",IF(PULL_FUND="N","",IFERROR(BDP($C161,NDEBITDA_FIELD),"")))</f>
        <v/>
      </c>
      <c r="AK161" s="75">
        <f>IF($C161="","",IF(PULL_FUND="N","",IFERROR(BDP($C161,EBINT_FIELD),"")))</f>
        <v/>
      </c>
      <c r="AL161" s="73">
        <f>IF($C161="","",IF(PULL_FUND="N","",IFERROR(BDP($C161,FCF_FIELD)/100,"")))</f>
        <v/>
      </c>
      <c r="AM161" s="76">
        <f>IF($C161="","",IF(ISNUMBER(HSCEI!$I$16),HSCEI!$I$16/100,""))</f>
        <v/>
      </c>
      <c r="AN161" s="47">
        <f>IF($C161="","",IF(N($AM161)=0,"",IFERROR($AL161/$AM161,"")))</f>
        <v/>
      </c>
      <c r="AO161" s="33">
        <f>IF($C161="","",IF(ISNUMBER($S161)*ISNUMBER($W161)=0,"",IF($W161&gt;$S161+0.05,"rising",IF($W161&lt;$S161-0.05,"falling","stable"))))</f>
        <v/>
      </c>
      <c r="AP161" s="77">
        <f>IF($C161="","",TRIM(IF(ISNUMBER($X161)*(N($X161)&gt;$D$4)&gt;0,"payout high  ","")&amp;IF(ISNUMBER($AN161)*(N($AN161)&lt;$F$4)&gt;0,"FCF below dvd  ","")&amp;IF(ISNUMBER($AJ161)*(N($AJ161)&gt;$H$4)&gt;0,"leverage high","")))</f>
        <v/>
      </c>
      <c r="AQ161" s="78">
        <f>IF($C161="","",IF(HSCEI!$F$16="HKD","",HSCEI!$F$16))</f>
        <v/>
      </c>
    </row>
    <row r="162">
      <c r="B162" s="62" t="inlineStr">
        <is>
          <t>HSCEI</t>
        </is>
      </c>
      <c r="C162" s="6">
        <f>IF(HSCEI!$C$17="","",HSCEI!$C$17)</f>
        <v/>
      </c>
      <c r="D162" s="6">
        <f>IF($C162="","",HSCEI!$D$17)</f>
        <v/>
      </c>
      <c r="E162" s="6">
        <f>IF($C162="","",HSCEI!$E$17)</f>
        <v/>
      </c>
      <c r="F162" s="63">
        <f>IF($C162="","",SUMPRODUCT(('Dvd Calendar'!$E$1671:$AR$1671&gt;=DATE(YEAR_Y-5,1,1))*('Dvd Calendar'!$E$1671:$AR$1671&lt;=DATE(YEAR_Y-5,12,31))*'Dvd Calendar'!$E$1674:$AR$1674*(('Dvd Calendar'!$E$1676:$AR$1676=TYPE1)*(TYPE1&lt;&gt;"")+('Dvd Calendar'!$E$1676:$AR$1676=TYPE2)*(TYPE2&lt;&gt;"")+('Dvd Calendar'!$E$1676:$AR$1676=TYPE3)*(TYPE3&lt;&gt;"")+('Dvd Calendar'!$E$1676:$AR$1676=TYPE4)*(TYPE4&lt;&gt;"")+('Dvd Calendar'!$E$1676:$AR$1676=SPECIAL_LBL)*(INC_SPECIALS="Y"))))</f>
        <v/>
      </c>
      <c r="G162" s="64">
        <f>IF($C162="","",SUMPRODUCT(('Dvd Calendar'!$E$1671:$AR$1671&gt;=DATE(YEAR_Y-4,1,1))*('Dvd Calendar'!$E$1671:$AR$1671&lt;=DATE(YEAR_Y-4,12,31))*'Dvd Calendar'!$E$1674:$AR$1674*(('Dvd Calendar'!$E$1676:$AR$1676=TYPE1)*(TYPE1&lt;&gt;"")+('Dvd Calendar'!$E$1676:$AR$1676=TYPE2)*(TYPE2&lt;&gt;"")+('Dvd Calendar'!$E$1676:$AR$1676=TYPE3)*(TYPE3&lt;&gt;"")+('Dvd Calendar'!$E$1676:$AR$1676=TYPE4)*(TYPE4&lt;&gt;"")+('Dvd Calendar'!$E$1676:$AR$1676=SPECIAL_LBL)*(INC_SPECIALS="Y"))))</f>
        <v/>
      </c>
      <c r="H162" s="64">
        <f>IF($C162="","",SUMPRODUCT(('Dvd Calendar'!$E$1671:$AR$1671&gt;=DATE(YEAR_Y-3,1,1))*('Dvd Calendar'!$E$1671:$AR$1671&lt;=DATE(YEAR_Y-3,12,31))*'Dvd Calendar'!$E$1674:$AR$1674*(('Dvd Calendar'!$E$1676:$AR$1676=TYPE1)*(TYPE1&lt;&gt;"")+('Dvd Calendar'!$E$1676:$AR$1676=TYPE2)*(TYPE2&lt;&gt;"")+('Dvd Calendar'!$E$1676:$AR$1676=TYPE3)*(TYPE3&lt;&gt;"")+('Dvd Calendar'!$E$1676:$AR$1676=TYPE4)*(TYPE4&lt;&gt;"")+('Dvd Calendar'!$E$1676:$AR$1676=SPECIAL_LBL)*(INC_SPECIALS="Y"))))</f>
        <v/>
      </c>
      <c r="I162" s="64">
        <f>IF($C162="","",SUMPRODUCT(('Dvd Calendar'!$E$1671:$AR$1671&gt;=DATE(YEAR_Y-2,1,1))*('Dvd Calendar'!$E$1671:$AR$1671&lt;=DATE(YEAR_Y-2,12,31))*'Dvd Calendar'!$E$1674:$AR$1674*(('Dvd Calendar'!$E$1676:$AR$1676=TYPE1)*(TYPE1&lt;&gt;"")+('Dvd Calendar'!$E$1676:$AR$1676=TYPE2)*(TYPE2&lt;&gt;"")+('Dvd Calendar'!$E$1676:$AR$1676=TYPE3)*(TYPE3&lt;&gt;"")+('Dvd Calendar'!$E$1676:$AR$1676=TYPE4)*(TYPE4&lt;&gt;"")+('Dvd Calendar'!$E$1676:$AR$1676=SPECIAL_LBL)*(INC_SPECIALS="Y"))))</f>
        <v/>
      </c>
      <c r="J162" s="64">
        <f>IF($C162="","",SUMPRODUCT(('Dvd Calendar'!$E$1671:$AR$1671&gt;=DATE(YEAR_Y-1,1,1))*('Dvd Calendar'!$E$1671:$AR$1671&lt;=DATE(YEAR_Y-1,12,31))*'Dvd Calendar'!$E$1674:$AR$1674*(('Dvd Calendar'!$E$1676:$AR$1676=TYPE1)*(TYPE1&lt;&gt;"")+('Dvd Calendar'!$E$1676:$AR$1676=TYPE2)*(TYPE2&lt;&gt;"")+('Dvd Calendar'!$E$1676:$AR$1676=TYPE3)*(TYPE3&lt;&gt;"")+('Dvd Calendar'!$E$1676:$AR$1676=TYPE4)*(TYPE4&lt;&gt;"")+('Dvd Calendar'!$E$1676:$AR$1676=SPECIAL_LBL)*(INC_SPECIALS="Y"))))</f>
        <v/>
      </c>
      <c r="K162" s="65">
        <f>IF($C162="","",HSCEI!$J$17)</f>
        <v/>
      </c>
      <c r="L162" s="65">
        <f>IF($C162="","",HSCEI!$K$17)</f>
        <v/>
      </c>
      <c r="M162" s="41">
        <f>IF($C162="","",AVERAGE(F162:J162))</f>
        <v/>
      </c>
      <c r="N162" s="66">
        <f>IF($C162="","",IF(PULL_FUND="N","",IFERROR(BDP($C162,EPS_FIELD,YR_OVERRIDE,TEXT(YEAR_Y-5,"0")),"")))</f>
        <v/>
      </c>
      <c r="O162" s="67">
        <f>IF($C162="","",IF(PULL_FUND="N","",IFERROR(BDP($C162,EPS_FIELD,YR_OVERRIDE,TEXT(YEAR_Y-4,"0")),"")))</f>
        <v/>
      </c>
      <c r="P162" s="67">
        <f>IF($C162="","",IF(PULL_FUND="N","",IFERROR(BDP($C162,EPS_FIELD,YR_OVERRIDE,TEXT(YEAR_Y-3,"0")),"")))</f>
        <v/>
      </c>
      <c r="Q162" s="67">
        <f>IF($C162="","",IF(PULL_FUND="N","",IFERROR(BDP($C162,EPS_FIELD,YR_OVERRIDE,TEXT(YEAR_Y-2,"0")),"")))</f>
        <v/>
      </c>
      <c r="R162" s="67">
        <f>IF($C162="","",IF(PULL_FUND="N","",IFERROR(BDP($C162,EPS_FIELD,YR_OVERRIDE,TEXT(YEAR_Y-1,"0")),"")))</f>
        <v/>
      </c>
      <c r="S162" s="68">
        <f>IF($C162="","",IF(PULL_FUND="N","",IFERROR(BDP($C162,PAYOUT_FIELD,YR_OVERRIDE,TEXT(YEAR_Y-5,"0"))/100,"")))</f>
        <v/>
      </c>
      <c r="T162" s="68">
        <f>IF($C162="","",IF(PULL_FUND="N","",IFERROR(BDP($C162,PAYOUT_FIELD,YR_OVERRIDE,TEXT(YEAR_Y-4,"0"))/100,"")))</f>
        <v/>
      </c>
      <c r="U162" s="68">
        <f>IF($C162="","",IF(PULL_FUND="N","",IFERROR(BDP($C162,PAYOUT_FIELD,YR_OVERRIDE,TEXT(YEAR_Y-3,"0"))/100,"")))</f>
        <v/>
      </c>
      <c r="V162" s="68">
        <f>IF($C162="","",IF(PULL_FUND="N","",IFERROR(BDP($C162,PAYOUT_FIELD,YR_OVERRIDE,TEXT(YEAR_Y-2,"0"))/100,"")))</f>
        <v/>
      </c>
      <c r="W162" s="68">
        <f>IF($C162="","",IF(PULL_FUND="N","",IFERROR(BDP($C162,PAYOUT_FIELD,YR_OVERRIDE,TEXT(YEAR_Y-1,"0"))/100,"")))</f>
        <v/>
      </c>
      <c r="X162" s="69">
        <f>IF($C162="","",IFERROR(AVERAGE(S162:W162),""))</f>
        <v/>
      </c>
      <c r="Y162" s="66">
        <f>IF($C162="","",IF(PULL_FUND="N","",IFERROR(BDP($C162,BESTEPS_FIELD,FWD_OVERRIDE,TEXT(MOD(YEAR_Y,100),"00")&amp;"Y"),"")))</f>
        <v/>
      </c>
      <c r="Z162" s="70">
        <f>IF($C162="","",IF(PULL_FUND="N","",IFERROR(BDP($C162,BESTDPS_FIELD,FWD_OVERRIDE,TEXT(MOD(YEAR_Y,100),"00")&amp;"Y"),"")))</f>
        <v/>
      </c>
      <c r="AA162" s="71">
        <f>IF($C162="","",IF(ISNUMBER($Y162)*ISNUMBER($Z162)*($Y162&lt;&gt;0)=0,"",$Z162/$Y162))</f>
        <v/>
      </c>
      <c r="AB162" s="41">
        <f>IF($C162="","",HSCEI!$J$17+HSCEI!$L$17)</f>
        <v/>
      </c>
      <c r="AC162" s="72">
        <f>IF($C162="","",IF(PULL_FUND="N","",IF(COUNTIFS('Fund History'!$G$916:$G$920,"&gt;="&amp;DATE(YEAR_Y-4,1,1),'Fund History'!$G$916:$G$920,"&lt;="&amp;DATE(YEAR_Y-4,12,31))=0,"",SUMIFS('Fund History'!$H$916:$H$920,'Fund History'!$G$916:$G$920,"&gt;="&amp;DATE(YEAR_Y-4,1,1),'Fund History'!$G$916:$G$920,"&lt;="&amp;DATE(YEAR_Y-4,12,31))/100)))</f>
        <v/>
      </c>
      <c r="AD162" s="73">
        <f>IF($C162="","",IF(PULL_FUND="N","",IF(COUNTIFS('Fund History'!$G$916:$G$920,"&gt;="&amp;DATE(YEAR_Y-3,1,1),'Fund History'!$G$916:$G$920,"&lt;="&amp;DATE(YEAR_Y-3,12,31))=0,"",SUMIFS('Fund History'!$H$916:$H$920,'Fund History'!$G$916:$G$920,"&gt;="&amp;DATE(YEAR_Y-3,1,1),'Fund History'!$G$916:$G$920,"&lt;="&amp;DATE(YEAR_Y-3,12,31))/100)))</f>
        <v/>
      </c>
      <c r="AE162" s="73">
        <f>IF($C162="","",IF(PULL_FUND="N","",IF(COUNTIFS('Fund History'!$G$916:$G$920,"&gt;="&amp;DATE(YEAR_Y-2,1,1),'Fund History'!$G$916:$G$920,"&lt;="&amp;DATE(YEAR_Y-2,12,31))=0,"",SUMIFS('Fund History'!$H$916:$H$920,'Fund History'!$G$916:$G$920,"&gt;="&amp;DATE(YEAR_Y-2,1,1),'Fund History'!$G$916:$G$920,"&lt;="&amp;DATE(YEAR_Y-2,12,31))/100)))</f>
        <v/>
      </c>
      <c r="AF162" s="73">
        <f>IF($C162="","",IF(PULL_FUND="N","",IF(COUNTIFS('Fund History'!$G$916:$G$920,"&gt;="&amp;DATE(YEAR_Y-1,1,1),'Fund History'!$G$916:$G$920,"&lt;="&amp;DATE(YEAR_Y-1,12,31))=0,"",SUMIFS('Fund History'!$H$916:$H$920,'Fund History'!$G$916:$G$920,"&gt;="&amp;DATE(YEAR_Y-1,1,1),'Fund History'!$G$916:$G$920,"&lt;="&amp;DATE(YEAR_Y-1,12,31))/100)))</f>
        <v/>
      </c>
      <c r="AG162" s="74">
        <f>IF($C162="","",IF(N($AF162)+N(HSCEI!$I$17)=0,"",N($AF162)+N(HSCEI!$I$17)/100))</f>
        <v/>
      </c>
      <c r="AH162" s="66">
        <f>IF($C162="","",IF(PULL_FUND="N","",IF(COUNTIFS('Fund History'!$D$916:$D$920,"&gt;="&amp;DATE(YEAR_Y-2,1,1),'Fund History'!$D$916:$D$920,"&lt;="&amp;DATE(YEAR_Y-2,12,31))=0,"",SUMIFS('Fund History'!$E$916:$E$920,'Fund History'!$D$916:$D$920,"&gt;="&amp;DATE(YEAR_Y-2,1,1),'Fund History'!$D$916:$D$920,"&lt;="&amp;DATE(YEAR_Y-2,12,31)))))</f>
        <v/>
      </c>
      <c r="AI162" s="67">
        <f>IF($C162="","",IF(PULL_FUND="N","",IF(COUNTIFS('Fund History'!$D$916:$D$920,"&gt;="&amp;DATE(YEAR_Y-1,1,1),'Fund History'!$D$916:$D$920,"&lt;="&amp;DATE(YEAR_Y-1,12,31))=0,"",SUMIFS('Fund History'!$E$916:$E$920,'Fund History'!$D$916:$D$920,"&gt;="&amp;DATE(YEAR_Y-1,1,1),'Fund History'!$D$916:$D$920,"&lt;="&amp;DATE(YEAR_Y-1,12,31)))))</f>
        <v/>
      </c>
      <c r="AJ162" s="67">
        <f>IF($C162="","",IF(PULL_FUND="N","",IFERROR(BDP($C162,NDEBITDA_FIELD),"")))</f>
        <v/>
      </c>
      <c r="AK162" s="75">
        <f>IF($C162="","",IF(PULL_FUND="N","",IFERROR(BDP($C162,EBINT_FIELD),"")))</f>
        <v/>
      </c>
      <c r="AL162" s="73">
        <f>IF($C162="","",IF(PULL_FUND="N","",IFERROR(BDP($C162,FCF_FIELD)/100,"")))</f>
        <v/>
      </c>
      <c r="AM162" s="76">
        <f>IF($C162="","",IF(ISNUMBER(HSCEI!$I$17),HSCEI!$I$17/100,""))</f>
        <v/>
      </c>
      <c r="AN162" s="47">
        <f>IF($C162="","",IF(N($AM162)=0,"",IFERROR($AL162/$AM162,"")))</f>
        <v/>
      </c>
      <c r="AO162" s="33">
        <f>IF($C162="","",IF(ISNUMBER($S162)*ISNUMBER($W162)=0,"",IF($W162&gt;$S162+0.05,"rising",IF($W162&lt;$S162-0.05,"falling","stable"))))</f>
        <v/>
      </c>
      <c r="AP162" s="77">
        <f>IF($C162="","",TRIM(IF(ISNUMBER($X162)*(N($X162)&gt;$D$4)&gt;0,"payout high  ","")&amp;IF(ISNUMBER($AN162)*(N($AN162)&lt;$F$4)&gt;0,"FCF below dvd  ","")&amp;IF(ISNUMBER($AJ162)*(N($AJ162)&gt;$H$4)&gt;0,"leverage high","")))</f>
        <v/>
      </c>
      <c r="AQ162" s="78">
        <f>IF($C162="","",IF(HSCEI!$F$17="HKD","",HSCEI!$F$17))</f>
        <v/>
      </c>
    </row>
    <row r="163">
      <c r="B163" s="62" t="inlineStr">
        <is>
          <t>HSCEI</t>
        </is>
      </c>
      <c r="C163" s="6">
        <f>IF(HSCEI!$C$18="","",HSCEI!$C$18)</f>
        <v/>
      </c>
      <c r="D163" s="6">
        <f>IF($C163="","",HSCEI!$D$18)</f>
        <v/>
      </c>
      <c r="E163" s="6">
        <f>IF($C163="","",HSCEI!$E$18)</f>
        <v/>
      </c>
      <c r="F163" s="63">
        <f>IF($C163="","",SUMPRODUCT(('Dvd Calendar'!$E$1682:$AR$1682&gt;=DATE(YEAR_Y-5,1,1))*('Dvd Calendar'!$E$1682:$AR$1682&lt;=DATE(YEAR_Y-5,12,31))*'Dvd Calendar'!$E$1685:$AR$1685*(('Dvd Calendar'!$E$1687:$AR$1687=TYPE1)*(TYPE1&lt;&gt;"")+('Dvd Calendar'!$E$1687:$AR$1687=TYPE2)*(TYPE2&lt;&gt;"")+('Dvd Calendar'!$E$1687:$AR$1687=TYPE3)*(TYPE3&lt;&gt;"")+('Dvd Calendar'!$E$1687:$AR$1687=TYPE4)*(TYPE4&lt;&gt;"")+('Dvd Calendar'!$E$1687:$AR$1687=SPECIAL_LBL)*(INC_SPECIALS="Y"))))</f>
        <v/>
      </c>
      <c r="G163" s="64">
        <f>IF($C163="","",SUMPRODUCT(('Dvd Calendar'!$E$1682:$AR$1682&gt;=DATE(YEAR_Y-4,1,1))*('Dvd Calendar'!$E$1682:$AR$1682&lt;=DATE(YEAR_Y-4,12,31))*'Dvd Calendar'!$E$1685:$AR$1685*(('Dvd Calendar'!$E$1687:$AR$1687=TYPE1)*(TYPE1&lt;&gt;"")+('Dvd Calendar'!$E$1687:$AR$1687=TYPE2)*(TYPE2&lt;&gt;"")+('Dvd Calendar'!$E$1687:$AR$1687=TYPE3)*(TYPE3&lt;&gt;"")+('Dvd Calendar'!$E$1687:$AR$1687=TYPE4)*(TYPE4&lt;&gt;"")+('Dvd Calendar'!$E$1687:$AR$1687=SPECIAL_LBL)*(INC_SPECIALS="Y"))))</f>
        <v/>
      </c>
      <c r="H163" s="64">
        <f>IF($C163="","",SUMPRODUCT(('Dvd Calendar'!$E$1682:$AR$1682&gt;=DATE(YEAR_Y-3,1,1))*('Dvd Calendar'!$E$1682:$AR$1682&lt;=DATE(YEAR_Y-3,12,31))*'Dvd Calendar'!$E$1685:$AR$1685*(('Dvd Calendar'!$E$1687:$AR$1687=TYPE1)*(TYPE1&lt;&gt;"")+('Dvd Calendar'!$E$1687:$AR$1687=TYPE2)*(TYPE2&lt;&gt;"")+('Dvd Calendar'!$E$1687:$AR$1687=TYPE3)*(TYPE3&lt;&gt;"")+('Dvd Calendar'!$E$1687:$AR$1687=TYPE4)*(TYPE4&lt;&gt;"")+('Dvd Calendar'!$E$1687:$AR$1687=SPECIAL_LBL)*(INC_SPECIALS="Y"))))</f>
        <v/>
      </c>
      <c r="I163" s="64">
        <f>IF($C163="","",SUMPRODUCT(('Dvd Calendar'!$E$1682:$AR$1682&gt;=DATE(YEAR_Y-2,1,1))*('Dvd Calendar'!$E$1682:$AR$1682&lt;=DATE(YEAR_Y-2,12,31))*'Dvd Calendar'!$E$1685:$AR$1685*(('Dvd Calendar'!$E$1687:$AR$1687=TYPE1)*(TYPE1&lt;&gt;"")+('Dvd Calendar'!$E$1687:$AR$1687=TYPE2)*(TYPE2&lt;&gt;"")+('Dvd Calendar'!$E$1687:$AR$1687=TYPE3)*(TYPE3&lt;&gt;"")+('Dvd Calendar'!$E$1687:$AR$1687=TYPE4)*(TYPE4&lt;&gt;"")+('Dvd Calendar'!$E$1687:$AR$1687=SPECIAL_LBL)*(INC_SPECIALS="Y"))))</f>
        <v/>
      </c>
      <c r="J163" s="64">
        <f>IF($C163="","",SUMPRODUCT(('Dvd Calendar'!$E$1682:$AR$1682&gt;=DATE(YEAR_Y-1,1,1))*('Dvd Calendar'!$E$1682:$AR$1682&lt;=DATE(YEAR_Y-1,12,31))*'Dvd Calendar'!$E$1685:$AR$1685*(('Dvd Calendar'!$E$1687:$AR$1687=TYPE1)*(TYPE1&lt;&gt;"")+('Dvd Calendar'!$E$1687:$AR$1687=TYPE2)*(TYPE2&lt;&gt;"")+('Dvd Calendar'!$E$1687:$AR$1687=TYPE3)*(TYPE3&lt;&gt;"")+('Dvd Calendar'!$E$1687:$AR$1687=TYPE4)*(TYPE4&lt;&gt;"")+('Dvd Calendar'!$E$1687:$AR$1687=SPECIAL_LBL)*(INC_SPECIALS="Y"))))</f>
        <v/>
      </c>
      <c r="K163" s="65">
        <f>IF($C163="","",HSCEI!$J$18)</f>
        <v/>
      </c>
      <c r="L163" s="65">
        <f>IF($C163="","",HSCEI!$K$18)</f>
        <v/>
      </c>
      <c r="M163" s="41">
        <f>IF($C163="","",AVERAGE(F163:J163))</f>
        <v/>
      </c>
      <c r="N163" s="66">
        <f>IF($C163="","",IF(PULL_FUND="N","",IFERROR(BDP($C163,EPS_FIELD,YR_OVERRIDE,TEXT(YEAR_Y-5,"0")),"")))</f>
        <v/>
      </c>
      <c r="O163" s="67">
        <f>IF($C163="","",IF(PULL_FUND="N","",IFERROR(BDP($C163,EPS_FIELD,YR_OVERRIDE,TEXT(YEAR_Y-4,"0")),"")))</f>
        <v/>
      </c>
      <c r="P163" s="67">
        <f>IF($C163="","",IF(PULL_FUND="N","",IFERROR(BDP($C163,EPS_FIELD,YR_OVERRIDE,TEXT(YEAR_Y-3,"0")),"")))</f>
        <v/>
      </c>
      <c r="Q163" s="67">
        <f>IF($C163="","",IF(PULL_FUND="N","",IFERROR(BDP($C163,EPS_FIELD,YR_OVERRIDE,TEXT(YEAR_Y-2,"0")),"")))</f>
        <v/>
      </c>
      <c r="R163" s="67">
        <f>IF($C163="","",IF(PULL_FUND="N","",IFERROR(BDP($C163,EPS_FIELD,YR_OVERRIDE,TEXT(YEAR_Y-1,"0")),"")))</f>
        <v/>
      </c>
      <c r="S163" s="68">
        <f>IF($C163="","",IF(PULL_FUND="N","",IFERROR(BDP($C163,PAYOUT_FIELD,YR_OVERRIDE,TEXT(YEAR_Y-5,"0"))/100,"")))</f>
        <v/>
      </c>
      <c r="T163" s="68">
        <f>IF($C163="","",IF(PULL_FUND="N","",IFERROR(BDP($C163,PAYOUT_FIELD,YR_OVERRIDE,TEXT(YEAR_Y-4,"0"))/100,"")))</f>
        <v/>
      </c>
      <c r="U163" s="68">
        <f>IF($C163="","",IF(PULL_FUND="N","",IFERROR(BDP($C163,PAYOUT_FIELD,YR_OVERRIDE,TEXT(YEAR_Y-3,"0"))/100,"")))</f>
        <v/>
      </c>
      <c r="V163" s="68">
        <f>IF($C163="","",IF(PULL_FUND="N","",IFERROR(BDP($C163,PAYOUT_FIELD,YR_OVERRIDE,TEXT(YEAR_Y-2,"0"))/100,"")))</f>
        <v/>
      </c>
      <c r="W163" s="68">
        <f>IF($C163="","",IF(PULL_FUND="N","",IFERROR(BDP($C163,PAYOUT_FIELD,YR_OVERRIDE,TEXT(YEAR_Y-1,"0"))/100,"")))</f>
        <v/>
      </c>
      <c r="X163" s="69">
        <f>IF($C163="","",IFERROR(AVERAGE(S163:W163),""))</f>
        <v/>
      </c>
      <c r="Y163" s="66">
        <f>IF($C163="","",IF(PULL_FUND="N","",IFERROR(BDP($C163,BESTEPS_FIELD,FWD_OVERRIDE,TEXT(MOD(YEAR_Y,100),"00")&amp;"Y"),"")))</f>
        <v/>
      </c>
      <c r="Z163" s="70">
        <f>IF($C163="","",IF(PULL_FUND="N","",IFERROR(BDP($C163,BESTDPS_FIELD,FWD_OVERRIDE,TEXT(MOD(YEAR_Y,100),"00")&amp;"Y"),"")))</f>
        <v/>
      </c>
      <c r="AA163" s="71">
        <f>IF($C163="","",IF(ISNUMBER($Y163)*ISNUMBER($Z163)*($Y163&lt;&gt;0)=0,"",$Z163/$Y163))</f>
        <v/>
      </c>
      <c r="AB163" s="41">
        <f>IF($C163="","",HSCEI!$J$18+HSCEI!$L$18)</f>
        <v/>
      </c>
      <c r="AC163" s="72">
        <f>IF($C163="","",IF(PULL_FUND="N","",IF(COUNTIFS('Fund History'!$G$922:$G$926,"&gt;="&amp;DATE(YEAR_Y-4,1,1),'Fund History'!$G$922:$G$926,"&lt;="&amp;DATE(YEAR_Y-4,12,31))=0,"",SUMIFS('Fund History'!$H$922:$H$926,'Fund History'!$G$922:$G$926,"&gt;="&amp;DATE(YEAR_Y-4,1,1),'Fund History'!$G$922:$G$926,"&lt;="&amp;DATE(YEAR_Y-4,12,31))/100)))</f>
        <v/>
      </c>
      <c r="AD163" s="73">
        <f>IF($C163="","",IF(PULL_FUND="N","",IF(COUNTIFS('Fund History'!$G$922:$G$926,"&gt;="&amp;DATE(YEAR_Y-3,1,1),'Fund History'!$G$922:$G$926,"&lt;="&amp;DATE(YEAR_Y-3,12,31))=0,"",SUMIFS('Fund History'!$H$922:$H$926,'Fund History'!$G$922:$G$926,"&gt;="&amp;DATE(YEAR_Y-3,1,1),'Fund History'!$G$922:$G$926,"&lt;="&amp;DATE(YEAR_Y-3,12,31))/100)))</f>
        <v/>
      </c>
      <c r="AE163" s="73">
        <f>IF($C163="","",IF(PULL_FUND="N","",IF(COUNTIFS('Fund History'!$G$922:$G$926,"&gt;="&amp;DATE(YEAR_Y-2,1,1),'Fund History'!$G$922:$G$926,"&lt;="&amp;DATE(YEAR_Y-2,12,31))=0,"",SUMIFS('Fund History'!$H$922:$H$926,'Fund History'!$G$922:$G$926,"&gt;="&amp;DATE(YEAR_Y-2,1,1),'Fund History'!$G$922:$G$926,"&lt;="&amp;DATE(YEAR_Y-2,12,31))/100)))</f>
        <v/>
      </c>
      <c r="AF163" s="73">
        <f>IF($C163="","",IF(PULL_FUND="N","",IF(COUNTIFS('Fund History'!$G$922:$G$926,"&gt;="&amp;DATE(YEAR_Y-1,1,1),'Fund History'!$G$922:$G$926,"&lt;="&amp;DATE(YEAR_Y-1,12,31))=0,"",SUMIFS('Fund History'!$H$922:$H$926,'Fund History'!$G$922:$G$926,"&gt;="&amp;DATE(YEAR_Y-1,1,1),'Fund History'!$G$922:$G$926,"&lt;="&amp;DATE(YEAR_Y-1,12,31))/100)))</f>
        <v/>
      </c>
      <c r="AG163" s="74">
        <f>IF($C163="","",IF(N($AF163)+N(HSCEI!$I$18)=0,"",N($AF163)+N(HSCEI!$I$18)/100))</f>
        <v/>
      </c>
      <c r="AH163" s="66">
        <f>IF($C163="","",IF(PULL_FUND="N","",IF(COUNTIFS('Fund History'!$D$922:$D$926,"&gt;="&amp;DATE(YEAR_Y-2,1,1),'Fund History'!$D$922:$D$926,"&lt;="&amp;DATE(YEAR_Y-2,12,31))=0,"",SUMIFS('Fund History'!$E$922:$E$926,'Fund History'!$D$922:$D$926,"&gt;="&amp;DATE(YEAR_Y-2,1,1),'Fund History'!$D$922:$D$926,"&lt;="&amp;DATE(YEAR_Y-2,12,31)))))</f>
        <v/>
      </c>
      <c r="AI163" s="67">
        <f>IF($C163="","",IF(PULL_FUND="N","",IF(COUNTIFS('Fund History'!$D$922:$D$926,"&gt;="&amp;DATE(YEAR_Y-1,1,1),'Fund History'!$D$922:$D$926,"&lt;="&amp;DATE(YEAR_Y-1,12,31))=0,"",SUMIFS('Fund History'!$E$922:$E$926,'Fund History'!$D$922:$D$926,"&gt;="&amp;DATE(YEAR_Y-1,1,1),'Fund History'!$D$922:$D$926,"&lt;="&amp;DATE(YEAR_Y-1,12,31)))))</f>
        <v/>
      </c>
      <c r="AJ163" s="67">
        <f>IF($C163="","",IF(PULL_FUND="N","",IFERROR(BDP($C163,NDEBITDA_FIELD),"")))</f>
        <v/>
      </c>
      <c r="AK163" s="75">
        <f>IF($C163="","",IF(PULL_FUND="N","",IFERROR(BDP($C163,EBINT_FIELD),"")))</f>
        <v/>
      </c>
      <c r="AL163" s="73">
        <f>IF($C163="","",IF(PULL_FUND="N","",IFERROR(BDP($C163,FCF_FIELD)/100,"")))</f>
        <v/>
      </c>
      <c r="AM163" s="76">
        <f>IF($C163="","",IF(ISNUMBER(HSCEI!$I$18),HSCEI!$I$18/100,""))</f>
        <v/>
      </c>
      <c r="AN163" s="47">
        <f>IF($C163="","",IF(N($AM163)=0,"",IFERROR($AL163/$AM163,"")))</f>
        <v/>
      </c>
      <c r="AO163" s="33">
        <f>IF($C163="","",IF(ISNUMBER($S163)*ISNUMBER($W163)=0,"",IF($W163&gt;$S163+0.05,"rising",IF($W163&lt;$S163-0.05,"falling","stable"))))</f>
        <v/>
      </c>
      <c r="AP163" s="77">
        <f>IF($C163="","",TRIM(IF(ISNUMBER($X163)*(N($X163)&gt;$D$4)&gt;0,"payout high  ","")&amp;IF(ISNUMBER($AN163)*(N($AN163)&lt;$F$4)&gt;0,"FCF below dvd  ","")&amp;IF(ISNUMBER($AJ163)*(N($AJ163)&gt;$H$4)&gt;0,"leverage high","")))</f>
        <v/>
      </c>
      <c r="AQ163" s="78">
        <f>IF($C163="","",IF(HSCEI!$F$18="HKD","",HSCEI!$F$18))</f>
        <v/>
      </c>
    </row>
    <row r="164">
      <c r="B164" s="62" t="inlineStr">
        <is>
          <t>HSCEI</t>
        </is>
      </c>
      <c r="C164" s="6">
        <f>IF(HSCEI!$C$19="","",HSCEI!$C$19)</f>
        <v/>
      </c>
      <c r="D164" s="6">
        <f>IF($C164="","",HSCEI!$D$19)</f>
        <v/>
      </c>
      <c r="E164" s="6">
        <f>IF($C164="","",HSCEI!$E$19)</f>
        <v/>
      </c>
      <c r="F164" s="63">
        <f>IF($C164="","",SUMPRODUCT(('Dvd Calendar'!$E$1693:$AR$1693&gt;=DATE(YEAR_Y-5,1,1))*('Dvd Calendar'!$E$1693:$AR$1693&lt;=DATE(YEAR_Y-5,12,31))*'Dvd Calendar'!$E$1696:$AR$1696*(('Dvd Calendar'!$E$1698:$AR$1698=TYPE1)*(TYPE1&lt;&gt;"")+('Dvd Calendar'!$E$1698:$AR$1698=TYPE2)*(TYPE2&lt;&gt;"")+('Dvd Calendar'!$E$1698:$AR$1698=TYPE3)*(TYPE3&lt;&gt;"")+('Dvd Calendar'!$E$1698:$AR$1698=TYPE4)*(TYPE4&lt;&gt;"")+('Dvd Calendar'!$E$1698:$AR$1698=SPECIAL_LBL)*(INC_SPECIALS="Y"))))</f>
        <v/>
      </c>
      <c r="G164" s="64">
        <f>IF($C164="","",SUMPRODUCT(('Dvd Calendar'!$E$1693:$AR$1693&gt;=DATE(YEAR_Y-4,1,1))*('Dvd Calendar'!$E$1693:$AR$1693&lt;=DATE(YEAR_Y-4,12,31))*'Dvd Calendar'!$E$1696:$AR$1696*(('Dvd Calendar'!$E$1698:$AR$1698=TYPE1)*(TYPE1&lt;&gt;"")+('Dvd Calendar'!$E$1698:$AR$1698=TYPE2)*(TYPE2&lt;&gt;"")+('Dvd Calendar'!$E$1698:$AR$1698=TYPE3)*(TYPE3&lt;&gt;"")+('Dvd Calendar'!$E$1698:$AR$1698=TYPE4)*(TYPE4&lt;&gt;"")+('Dvd Calendar'!$E$1698:$AR$1698=SPECIAL_LBL)*(INC_SPECIALS="Y"))))</f>
        <v/>
      </c>
      <c r="H164" s="64">
        <f>IF($C164="","",SUMPRODUCT(('Dvd Calendar'!$E$1693:$AR$1693&gt;=DATE(YEAR_Y-3,1,1))*('Dvd Calendar'!$E$1693:$AR$1693&lt;=DATE(YEAR_Y-3,12,31))*'Dvd Calendar'!$E$1696:$AR$1696*(('Dvd Calendar'!$E$1698:$AR$1698=TYPE1)*(TYPE1&lt;&gt;"")+('Dvd Calendar'!$E$1698:$AR$1698=TYPE2)*(TYPE2&lt;&gt;"")+('Dvd Calendar'!$E$1698:$AR$1698=TYPE3)*(TYPE3&lt;&gt;"")+('Dvd Calendar'!$E$1698:$AR$1698=TYPE4)*(TYPE4&lt;&gt;"")+('Dvd Calendar'!$E$1698:$AR$1698=SPECIAL_LBL)*(INC_SPECIALS="Y"))))</f>
        <v/>
      </c>
      <c r="I164" s="64">
        <f>IF($C164="","",SUMPRODUCT(('Dvd Calendar'!$E$1693:$AR$1693&gt;=DATE(YEAR_Y-2,1,1))*('Dvd Calendar'!$E$1693:$AR$1693&lt;=DATE(YEAR_Y-2,12,31))*'Dvd Calendar'!$E$1696:$AR$1696*(('Dvd Calendar'!$E$1698:$AR$1698=TYPE1)*(TYPE1&lt;&gt;"")+('Dvd Calendar'!$E$1698:$AR$1698=TYPE2)*(TYPE2&lt;&gt;"")+('Dvd Calendar'!$E$1698:$AR$1698=TYPE3)*(TYPE3&lt;&gt;"")+('Dvd Calendar'!$E$1698:$AR$1698=TYPE4)*(TYPE4&lt;&gt;"")+('Dvd Calendar'!$E$1698:$AR$1698=SPECIAL_LBL)*(INC_SPECIALS="Y"))))</f>
        <v/>
      </c>
      <c r="J164" s="64">
        <f>IF($C164="","",SUMPRODUCT(('Dvd Calendar'!$E$1693:$AR$1693&gt;=DATE(YEAR_Y-1,1,1))*('Dvd Calendar'!$E$1693:$AR$1693&lt;=DATE(YEAR_Y-1,12,31))*'Dvd Calendar'!$E$1696:$AR$1696*(('Dvd Calendar'!$E$1698:$AR$1698=TYPE1)*(TYPE1&lt;&gt;"")+('Dvd Calendar'!$E$1698:$AR$1698=TYPE2)*(TYPE2&lt;&gt;"")+('Dvd Calendar'!$E$1698:$AR$1698=TYPE3)*(TYPE3&lt;&gt;"")+('Dvd Calendar'!$E$1698:$AR$1698=TYPE4)*(TYPE4&lt;&gt;"")+('Dvd Calendar'!$E$1698:$AR$1698=SPECIAL_LBL)*(INC_SPECIALS="Y"))))</f>
        <v/>
      </c>
      <c r="K164" s="65">
        <f>IF($C164="","",HSCEI!$J$19)</f>
        <v/>
      </c>
      <c r="L164" s="65">
        <f>IF($C164="","",HSCEI!$K$19)</f>
        <v/>
      </c>
      <c r="M164" s="41">
        <f>IF($C164="","",AVERAGE(F164:J164))</f>
        <v/>
      </c>
      <c r="N164" s="66">
        <f>IF($C164="","",IF(PULL_FUND="N","",IFERROR(BDP($C164,EPS_FIELD,YR_OVERRIDE,TEXT(YEAR_Y-5,"0")),"")))</f>
        <v/>
      </c>
      <c r="O164" s="67">
        <f>IF($C164="","",IF(PULL_FUND="N","",IFERROR(BDP($C164,EPS_FIELD,YR_OVERRIDE,TEXT(YEAR_Y-4,"0")),"")))</f>
        <v/>
      </c>
      <c r="P164" s="67">
        <f>IF($C164="","",IF(PULL_FUND="N","",IFERROR(BDP($C164,EPS_FIELD,YR_OVERRIDE,TEXT(YEAR_Y-3,"0")),"")))</f>
        <v/>
      </c>
      <c r="Q164" s="67">
        <f>IF($C164="","",IF(PULL_FUND="N","",IFERROR(BDP($C164,EPS_FIELD,YR_OVERRIDE,TEXT(YEAR_Y-2,"0")),"")))</f>
        <v/>
      </c>
      <c r="R164" s="67">
        <f>IF($C164="","",IF(PULL_FUND="N","",IFERROR(BDP($C164,EPS_FIELD,YR_OVERRIDE,TEXT(YEAR_Y-1,"0")),"")))</f>
        <v/>
      </c>
      <c r="S164" s="68">
        <f>IF($C164="","",IF(PULL_FUND="N","",IFERROR(BDP($C164,PAYOUT_FIELD,YR_OVERRIDE,TEXT(YEAR_Y-5,"0"))/100,"")))</f>
        <v/>
      </c>
      <c r="T164" s="68">
        <f>IF($C164="","",IF(PULL_FUND="N","",IFERROR(BDP($C164,PAYOUT_FIELD,YR_OVERRIDE,TEXT(YEAR_Y-4,"0"))/100,"")))</f>
        <v/>
      </c>
      <c r="U164" s="68">
        <f>IF($C164="","",IF(PULL_FUND="N","",IFERROR(BDP($C164,PAYOUT_FIELD,YR_OVERRIDE,TEXT(YEAR_Y-3,"0"))/100,"")))</f>
        <v/>
      </c>
      <c r="V164" s="68">
        <f>IF($C164="","",IF(PULL_FUND="N","",IFERROR(BDP($C164,PAYOUT_FIELD,YR_OVERRIDE,TEXT(YEAR_Y-2,"0"))/100,"")))</f>
        <v/>
      </c>
      <c r="W164" s="68">
        <f>IF($C164="","",IF(PULL_FUND="N","",IFERROR(BDP($C164,PAYOUT_FIELD,YR_OVERRIDE,TEXT(YEAR_Y-1,"0"))/100,"")))</f>
        <v/>
      </c>
      <c r="X164" s="69">
        <f>IF($C164="","",IFERROR(AVERAGE(S164:W164),""))</f>
        <v/>
      </c>
      <c r="Y164" s="66">
        <f>IF($C164="","",IF(PULL_FUND="N","",IFERROR(BDP($C164,BESTEPS_FIELD,FWD_OVERRIDE,TEXT(MOD(YEAR_Y,100),"00")&amp;"Y"),"")))</f>
        <v/>
      </c>
      <c r="Z164" s="70">
        <f>IF($C164="","",IF(PULL_FUND="N","",IFERROR(BDP($C164,BESTDPS_FIELD,FWD_OVERRIDE,TEXT(MOD(YEAR_Y,100),"00")&amp;"Y"),"")))</f>
        <v/>
      </c>
      <c r="AA164" s="71">
        <f>IF($C164="","",IF(ISNUMBER($Y164)*ISNUMBER($Z164)*($Y164&lt;&gt;0)=0,"",$Z164/$Y164))</f>
        <v/>
      </c>
      <c r="AB164" s="41">
        <f>IF($C164="","",HSCEI!$J$19+HSCEI!$L$19)</f>
        <v/>
      </c>
      <c r="AC164" s="72">
        <f>IF($C164="","",IF(PULL_FUND="N","",IF(COUNTIFS('Fund History'!$G$928:$G$932,"&gt;="&amp;DATE(YEAR_Y-4,1,1),'Fund History'!$G$928:$G$932,"&lt;="&amp;DATE(YEAR_Y-4,12,31))=0,"",SUMIFS('Fund History'!$H$928:$H$932,'Fund History'!$G$928:$G$932,"&gt;="&amp;DATE(YEAR_Y-4,1,1),'Fund History'!$G$928:$G$932,"&lt;="&amp;DATE(YEAR_Y-4,12,31))/100)))</f>
        <v/>
      </c>
      <c r="AD164" s="73">
        <f>IF($C164="","",IF(PULL_FUND="N","",IF(COUNTIFS('Fund History'!$G$928:$G$932,"&gt;="&amp;DATE(YEAR_Y-3,1,1),'Fund History'!$G$928:$G$932,"&lt;="&amp;DATE(YEAR_Y-3,12,31))=0,"",SUMIFS('Fund History'!$H$928:$H$932,'Fund History'!$G$928:$G$932,"&gt;="&amp;DATE(YEAR_Y-3,1,1),'Fund History'!$G$928:$G$932,"&lt;="&amp;DATE(YEAR_Y-3,12,31))/100)))</f>
        <v/>
      </c>
      <c r="AE164" s="73">
        <f>IF($C164="","",IF(PULL_FUND="N","",IF(COUNTIFS('Fund History'!$G$928:$G$932,"&gt;="&amp;DATE(YEAR_Y-2,1,1),'Fund History'!$G$928:$G$932,"&lt;="&amp;DATE(YEAR_Y-2,12,31))=0,"",SUMIFS('Fund History'!$H$928:$H$932,'Fund History'!$G$928:$G$932,"&gt;="&amp;DATE(YEAR_Y-2,1,1),'Fund History'!$G$928:$G$932,"&lt;="&amp;DATE(YEAR_Y-2,12,31))/100)))</f>
        <v/>
      </c>
      <c r="AF164" s="73">
        <f>IF($C164="","",IF(PULL_FUND="N","",IF(COUNTIFS('Fund History'!$G$928:$G$932,"&gt;="&amp;DATE(YEAR_Y-1,1,1),'Fund History'!$G$928:$G$932,"&lt;="&amp;DATE(YEAR_Y-1,12,31))=0,"",SUMIFS('Fund History'!$H$928:$H$932,'Fund History'!$G$928:$G$932,"&gt;="&amp;DATE(YEAR_Y-1,1,1),'Fund History'!$G$928:$G$932,"&lt;="&amp;DATE(YEAR_Y-1,12,31))/100)))</f>
        <v/>
      </c>
      <c r="AG164" s="74">
        <f>IF($C164="","",IF(N($AF164)+N(HSCEI!$I$19)=0,"",N($AF164)+N(HSCEI!$I$19)/100))</f>
        <v/>
      </c>
      <c r="AH164" s="66">
        <f>IF($C164="","",IF(PULL_FUND="N","",IF(COUNTIFS('Fund History'!$D$928:$D$932,"&gt;="&amp;DATE(YEAR_Y-2,1,1),'Fund History'!$D$928:$D$932,"&lt;="&amp;DATE(YEAR_Y-2,12,31))=0,"",SUMIFS('Fund History'!$E$928:$E$932,'Fund History'!$D$928:$D$932,"&gt;="&amp;DATE(YEAR_Y-2,1,1),'Fund History'!$D$928:$D$932,"&lt;="&amp;DATE(YEAR_Y-2,12,31)))))</f>
        <v/>
      </c>
      <c r="AI164" s="67">
        <f>IF($C164="","",IF(PULL_FUND="N","",IF(COUNTIFS('Fund History'!$D$928:$D$932,"&gt;="&amp;DATE(YEAR_Y-1,1,1),'Fund History'!$D$928:$D$932,"&lt;="&amp;DATE(YEAR_Y-1,12,31))=0,"",SUMIFS('Fund History'!$E$928:$E$932,'Fund History'!$D$928:$D$932,"&gt;="&amp;DATE(YEAR_Y-1,1,1),'Fund History'!$D$928:$D$932,"&lt;="&amp;DATE(YEAR_Y-1,12,31)))))</f>
        <v/>
      </c>
      <c r="AJ164" s="67">
        <f>IF($C164="","",IF(PULL_FUND="N","",IFERROR(BDP($C164,NDEBITDA_FIELD),"")))</f>
        <v/>
      </c>
      <c r="AK164" s="75">
        <f>IF($C164="","",IF(PULL_FUND="N","",IFERROR(BDP($C164,EBINT_FIELD),"")))</f>
        <v/>
      </c>
      <c r="AL164" s="73">
        <f>IF($C164="","",IF(PULL_FUND="N","",IFERROR(BDP($C164,FCF_FIELD)/100,"")))</f>
        <v/>
      </c>
      <c r="AM164" s="76">
        <f>IF($C164="","",IF(ISNUMBER(HSCEI!$I$19),HSCEI!$I$19/100,""))</f>
        <v/>
      </c>
      <c r="AN164" s="47">
        <f>IF($C164="","",IF(N($AM164)=0,"",IFERROR($AL164/$AM164,"")))</f>
        <v/>
      </c>
      <c r="AO164" s="33">
        <f>IF($C164="","",IF(ISNUMBER($S164)*ISNUMBER($W164)=0,"",IF($W164&gt;$S164+0.05,"rising",IF($W164&lt;$S164-0.05,"falling","stable"))))</f>
        <v/>
      </c>
      <c r="AP164" s="77">
        <f>IF($C164="","",TRIM(IF(ISNUMBER($X164)*(N($X164)&gt;$D$4)&gt;0,"payout high  ","")&amp;IF(ISNUMBER($AN164)*(N($AN164)&lt;$F$4)&gt;0,"FCF below dvd  ","")&amp;IF(ISNUMBER($AJ164)*(N($AJ164)&gt;$H$4)&gt;0,"leverage high","")))</f>
        <v/>
      </c>
      <c r="AQ164" s="78">
        <f>IF($C164="","",IF(HSCEI!$F$19="HKD","",HSCEI!$F$19))</f>
        <v/>
      </c>
    </row>
    <row r="165">
      <c r="B165" s="62" t="inlineStr">
        <is>
          <t>HSCEI</t>
        </is>
      </c>
      <c r="C165" s="6">
        <f>IF(HSCEI!$C$20="","",HSCEI!$C$20)</f>
        <v/>
      </c>
      <c r="D165" s="6">
        <f>IF($C165="","",HSCEI!$D$20)</f>
        <v/>
      </c>
      <c r="E165" s="6">
        <f>IF($C165="","",HSCEI!$E$20)</f>
        <v/>
      </c>
      <c r="F165" s="63">
        <f>IF($C165="","",SUMPRODUCT(('Dvd Calendar'!$E$1704:$AR$1704&gt;=DATE(YEAR_Y-5,1,1))*('Dvd Calendar'!$E$1704:$AR$1704&lt;=DATE(YEAR_Y-5,12,31))*'Dvd Calendar'!$E$1707:$AR$1707*(('Dvd Calendar'!$E$1709:$AR$1709=TYPE1)*(TYPE1&lt;&gt;"")+('Dvd Calendar'!$E$1709:$AR$1709=TYPE2)*(TYPE2&lt;&gt;"")+('Dvd Calendar'!$E$1709:$AR$1709=TYPE3)*(TYPE3&lt;&gt;"")+('Dvd Calendar'!$E$1709:$AR$1709=TYPE4)*(TYPE4&lt;&gt;"")+('Dvd Calendar'!$E$1709:$AR$1709=SPECIAL_LBL)*(INC_SPECIALS="Y"))))</f>
        <v/>
      </c>
      <c r="G165" s="64">
        <f>IF($C165="","",SUMPRODUCT(('Dvd Calendar'!$E$1704:$AR$1704&gt;=DATE(YEAR_Y-4,1,1))*('Dvd Calendar'!$E$1704:$AR$1704&lt;=DATE(YEAR_Y-4,12,31))*'Dvd Calendar'!$E$1707:$AR$1707*(('Dvd Calendar'!$E$1709:$AR$1709=TYPE1)*(TYPE1&lt;&gt;"")+('Dvd Calendar'!$E$1709:$AR$1709=TYPE2)*(TYPE2&lt;&gt;"")+('Dvd Calendar'!$E$1709:$AR$1709=TYPE3)*(TYPE3&lt;&gt;"")+('Dvd Calendar'!$E$1709:$AR$1709=TYPE4)*(TYPE4&lt;&gt;"")+('Dvd Calendar'!$E$1709:$AR$1709=SPECIAL_LBL)*(INC_SPECIALS="Y"))))</f>
        <v/>
      </c>
      <c r="H165" s="64">
        <f>IF($C165="","",SUMPRODUCT(('Dvd Calendar'!$E$1704:$AR$1704&gt;=DATE(YEAR_Y-3,1,1))*('Dvd Calendar'!$E$1704:$AR$1704&lt;=DATE(YEAR_Y-3,12,31))*'Dvd Calendar'!$E$1707:$AR$1707*(('Dvd Calendar'!$E$1709:$AR$1709=TYPE1)*(TYPE1&lt;&gt;"")+('Dvd Calendar'!$E$1709:$AR$1709=TYPE2)*(TYPE2&lt;&gt;"")+('Dvd Calendar'!$E$1709:$AR$1709=TYPE3)*(TYPE3&lt;&gt;"")+('Dvd Calendar'!$E$1709:$AR$1709=TYPE4)*(TYPE4&lt;&gt;"")+('Dvd Calendar'!$E$1709:$AR$1709=SPECIAL_LBL)*(INC_SPECIALS="Y"))))</f>
        <v/>
      </c>
      <c r="I165" s="64">
        <f>IF($C165="","",SUMPRODUCT(('Dvd Calendar'!$E$1704:$AR$1704&gt;=DATE(YEAR_Y-2,1,1))*('Dvd Calendar'!$E$1704:$AR$1704&lt;=DATE(YEAR_Y-2,12,31))*'Dvd Calendar'!$E$1707:$AR$1707*(('Dvd Calendar'!$E$1709:$AR$1709=TYPE1)*(TYPE1&lt;&gt;"")+('Dvd Calendar'!$E$1709:$AR$1709=TYPE2)*(TYPE2&lt;&gt;"")+('Dvd Calendar'!$E$1709:$AR$1709=TYPE3)*(TYPE3&lt;&gt;"")+('Dvd Calendar'!$E$1709:$AR$1709=TYPE4)*(TYPE4&lt;&gt;"")+('Dvd Calendar'!$E$1709:$AR$1709=SPECIAL_LBL)*(INC_SPECIALS="Y"))))</f>
        <v/>
      </c>
      <c r="J165" s="64">
        <f>IF($C165="","",SUMPRODUCT(('Dvd Calendar'!$E$1704:$AR$1704&gt;=DATE(YEAR_Y-1,1,1))*('Dvd Calendar'!$E$1704:$AR$1704&lt;=DATE(YEAR_Y-1,12,31))*'Dvd Calendar'!$E$1707:$AR$1707*(('Dvd Calendar'!$E$1709:$AR$1709=TYPE1)*(TYPE1&lt;&gt;"")+('Dvd Calendar'!$E$1709:$AR$1709=TYPE2)*(TYPE2&lt;&gt;"")+('Dvd Calendar'!$E$1709:$AR$1709=TYPE3)*(TYPE3&lt;&gt;"")+('Dvd Calendar'!$E$1709:$AR$1709=TYPE4)*(TYPE4&lt;&gt;"")+('Dvd Calendar'!$E$1709:$AR$1709=SPECIAL_LBL)*(INC_SPECIALS="Y"))))</f>
        <v/>
      </c>
      <c r="K165" s="65">
        <f>IF($C165="","",HSCEI!$J$20)</f>
        <v/>
      </c>
      <c r="L165" s="65">
        <f>IF($C165="","",HSCEI!$K$20)</f>
        <v/>
      </c>
      <c r="M165" s="41">
        <f>IF($C165="","",AVERAGE(F165:J165))</f>
        <v/>
      </c>
      <c r="N165" s="66">
        <f>IF($C165="","",IF(PULL_FUND="N","",IFERROR(BDP($C165,EPS_FIELD,YR_OVERRIDE,TEXT(YEAR_Y-5,"0")),"")))</f>
        <v/>
      </c>
      <c r="O165" s="67">
        <f>IF($C165="","",IF(PULL_FUND="N","",IFERROR(BDP($C165,EPS_FIELD,YR_OVERRIDE,TEXT(YEAR_Y-4,"0")),"")))</f>
        <v/>
      </c>
      <c r="P165" s="67">
        <f>IF($C165="","",IF(PULL_FUND="N","",IFERROR(BDP($C165,EPS_FIELD,YR_OVERRIDE,TEXT(YEAR_Y-3,"0")),"")))</f>
        <v/>
      </c>
      <c r="Q165" s="67">
        <f>IF($C165="","",IF(PULL_FUND="N","",IFERROR(BDP($C165,EPS_FIELD,YR_OVERRIDE,TEXT(YEAR_Y-2,"0")),"")))</f>
        <v/>
      </c>
      <c r="R165" s="67">
        <f>IF($C165="","",IF(PULL_FUND="N","",IFERROR(BDP($C165,EPS_FIELD,YR_OVERRIDE,TEXT(YEAR_Y-1,"0")),"")))</f>
        <v/>
      </c>
      <c r="S165" s="68">
        <f>IF($C165="","",IF(PULL_FUND="N","",IFERROR(BDP($C165,PAYOUT_FIELD,YR_OVERRIDE,TEXT(YEAR_Y-5,"0"))/100,"")))</f>
        <v/>
      </c>
      <c r="T165" s="68">
        <f>IF($C165="","",IF(PULL_FUND="N","",IFERROR(BDP($C165,PAYOUT_FIELD,YR_OVERRIDE,TEXT(YEAR_Y-4,"0"))/100,"")))</f>
        <v/>
      </c>
      <c r="U165" s="68">
        <f>IF($C165="","",IF(PULL_FUND="N","",IFERROR(BDP($C165,PAYOUT_FIELD,YR_OVERRIDE,TEXT(YEAR_Y-3,"0"))/100,"")))</f>
        <v/>
      </c>
      <c r="V165" s="68">
        <f>IF($C165="","",IF(PULL_FUND="N","",IFERROR(BDP($C165,PAYOUT_FIELD,YR_OVERRIDE,TEXT(YEAR_Y-2,"0"))/100,"")))</f>
        <v/>
      </c>
      <c r="W165" s="68">
        <f>IF($C165="","",IF(PULL_FUND="N","",IFERROR(BDP($C165,PAYOUT_FIELD,YR_OVERRIDE,TEXT(YEAR_Y-1,"0"))/100,"")))</f>
        <v/>
      </c>
      <c r="X165" s="69">
        <f>IF($C165="","",IFERROR(AVERAGE(S165:W165),""))</f>
        <v/>
      </c>
      <c r="Y165" s="66">
        <f>IF($C165="","",IF(PULL_FUND="N","",IFERROR(BDP($C165,BESTEPS_FIELD,FWD_OVERRIDE,TEXT(MOD(YEAR_Y,100),"00")&amp;"Y"),"")))</f>
        <v/>
      </c>
      <c r="Z165" s="70">
        <f>IF($C165="","",IF(PULL_FUND="N","",IFERROR(BDP($C165,BESTDPS_FIELD,FWD_OVERRIDE,TEXT(MOD(YEAR_Y,100),"00")&amp;"Y"),"")))</f>
        <v/>
      </c>
      <c r="AA165" s="71">
        <f>IF($C165="","",IF(ISNUMBER($Y165)*ISNUMBER($Z165)*($Y165&lt;&gt;0)=0,"",$Z165/$Y165))</f>
        <v/>
      </c>
      <c r="AB165" s="41">
        <f>IF($C165="","",HSCEI!$J$20+HSCEI!$L$20)</f>
        <v/>
      </c>
      <c r="AC165" s="72">
        <f>IF($C165="","",IF(PULL_FUND="N","",IF(COUNTIFS('Fund History'!$G$934:$G$938,"&gt;="&amp;DATE(YEAR_Y-4,1,1),'Fund History'!$G$934:$G$938,"&lt;="&amp;DATE(YEAR_Y-4,12,31))=0,"",SUMIFS('Fund History'!$H$934:$H$938,'Fund History'!$G$934:$G$938,"&gt;="&amp;DATE(YEAR_Y-4,1,1),'Fund History'!$G$934:$G$938,"&lt;="&amp;DATE(YEAR_Y-4,12,31))/100)))</f>
        <v/>
      </c>
      <c r="AD165" s="73">
        <f>IF($C165="","",IF(PULL_FUND="N","",IF(COUNTIFS('Fund History'!$G$934:$G$938,"&gt;="&amp;DATE(YEAR_Y-3,1,1),'Fund History'!$G$934:$G$938,"&lt;="&amp;DATE(YEAR_Y-3,12,31))=0,"",SUMIFS('Fund History'!$H$934:$H$938,'Fund History'!$G$934:$G$938,"&gt;="&amp;DATE(YEAR_Y-3,1,1),'Fund History'!$G$934:$G$938,"&lt;="&amp;DATE(YEAR_Y-3,12,31))/100)))</f>
        <v/>
      </c>
      <c r="AE165" s="73">
        <f>IF($C165="","",IF(PULL_FUND="N","",IF(COUNTIFS('Fund History'!$G$934:$G$938,"&gt;="&amp;DATE(YEAR_Y-2,1,1),'Fund History'!$G$934:$G$938,"&lt;="&amp;DATE(YEAR_Y-2,12,31))=0,"",SUMIFS('Fund History'!$H$934:$H$938,'Fund History'!$G$934:$G$938,"&gt;="&amp;DATE(YEAR_Y-2,1,1),'Fund History'!$G$934:$G$938,"&lt;="&amp;DATE(YEAR_Y-2,12,31))/100)))</f>
        <v/>
      </c>
      <c r="AF165" s="73">
        <f>IF($C165="","",IF(PULL_FUND="N","",IF(COUNTIFS('Fund History'!$G$934:$G$938,"&gt;="&amp;DATE(YEAR_Y-1,1,1),'Fund History'!$G$934:$G$938,"&lt;="&amp;DATE(YEAR_Y-1,12,31))=0,"",SUMIFS('Fund History'!$H$934:$H$938,'Fund History'!$G$934:$G$938,"&gt;="&amp;DATE(YEAR_Y-1,1,1),'Fund History'!$G$934:$G$938,"&lt;="&amp;DATE(YEAR_Y-1,12,31))/100)))</f>
        <v/>
      </c>
      <c r="AG165" s="74">
        <f>IF($C165="","",IF(N($AF165)+N(HSCEI!$I$20)=0,"",N($AF165)+N(HSCEI!$I$20)/100))</f>
        <v/>
      </c>
      <c r="AH165" s="66">
        <f>IF($C165="","",IF(PULL_FUND="N","",IF(COUNTIFS('Fund History'!$D$934:$D$938,"&gt;="&amp;DATE(YEAR_Y-2,1,1),'Fund History'!$D$934:$D$938,"&lt;="&amp;DATE(YEAR_Y-2,12,31))=0,"",SUMIFS('Fund History'!$E$934:$E$938,'Fund History'!$D$934:$D$938,"&gt;="&amp;DATE(YEAR_Y-2,1,1),'Fund History'!$D$934:$D$938,"&lt;="&amp;DATE(YEAR_Y-2,12,31)))))</f>
        <v/>
      </c>
      <c r="AI165" s="67">
        <f>IF($C165="","",IF(PULL_FUND="N","",IF(COUNTIFS('Fund History'!$D$934:$D$938,"&gt;="&amp;DATE(YEAR_Y-1,1,1),'Fund History'!$D$934:$D$938,"&lt;="&amp;DATE(YEAR_Y-1,12,31))=0,"",SUMIFS('Fund History'!$E$934:$E$938,'Fund History'!$D$934:$D$938,"&gt;="&amp;DATE(YEAR_Y-1,1,1),'Fund History'!$D$934:$D$938,"&lt;="&amp;DATE(YEAR_Y-1,12,31)))))</f>
        <v/>
      </c>
      <c r="AJ165" s="67">
        <f>IF($C165="","",IF(PULL_FUND="N","",IFERROR(BDP($C165,NDEBITDA_FIELD),"")))</f>
        <v/>
      </c>
      <c r="AK165" s="75">
        <f>IF($C165="","",IF(PULL_FUND="N","",IFERROR(BDP($C165,EBINT_FIELD),"")))</f>
        <v/>
      </c>
      <c r="AL165" s="73">
        <f>IF($C165="","",IF(PULL_FUND="N","",IFERROR(BDP($C165,FCF_FIELD)/100,"")))</f>
        <v/>
      </c>
      <c r="AM165" s="76">
        <f>IF($C165="","",IF(ISNUMBER(HSCEI!$I$20),HSCEI!$I$20/100,""))</f>
        <v/>
      </c>
      <c r="AN165" s="47">
        <f>IF($C165="","",IF(N($AM165)=0,"",IFERROR($AL165/$AM165,"")))</f>
        <v/>
      </c>
      <c r="AO165" s="33">
        <f>IF($C165="","",IF(ISNUMBER($S165)*ISNUMBER($W165)=0,"",IF($W165&gt;$S165+0.05,"rising",IF($W165&lt;$S165-0.05,"falling","stable"))))</f>
        <v/>
      </c>
      <c r="AP165" s="77">
        <f>IF($C165="","",TRIM(IF(ISNUMBER($X165)*(N($X165)&gt;$D$4)&gt;0,"payout high  ","")&amp;IF(ISNUMBER($AN165)*(N($AN165)&lt;$F$4)&gt;0,"FCF below dvd  ","")&amp;IF(ISNUMBER($AJ165)*(N($AJ165)&gt;$H$4)&gt;0,"leverage high","")))</f>
        <v/>
      </c>
      <c r="AQ165" s="78">
        <f>IF($C165="","",IF(HSCEI!$F$20="HKD","",HSCEI!$F$20))</f>
        <v/>
      </c>
    </row>
    <row r="166">
      <c r="B166" s="62" t="inlineStr">
        <is>
          <t>HSCEI</t>
        </is>
      </c>
      <c r="C166" s="6">
        <f>IF(HSCEI!$C$21="","",HSCEI!$C$21)</f>
        <v/>
      </c>
      <c r="D166" s="6">
        <f>IF($C166="","",HSCEI!$D$21)</f>
        <v/>
      </c>
      <c r="E166" s="6">
        <f>IF($C166="","",HSCEI!$E$21)</f>
        <v/>
      </c>
      <c r="F166" s="63">
        <f>IF($C166="","",SUMPRODUCT(('Dvd Calendar'!$E$1715:$AR$1715&gt;=DATE(YEAR_Y-5,1,1))*('Dvd Calendar'!$E$1715:$AR$1715&lt;=DATE(YEAR_Y-5,12,31))*'Dvd Calendar'!$E$1718:$AR$1718*(('Dvd Calendar'!$E$1720:$AR$1720=TYPE1)*(TYPE1&lt;&gt;"")+('Dvd Calendar'!$E$1720:$AR$1720=TYPE2)*(TYPE2&lt;&gt;"")+('Dvd Calendar'!$E$1720:$AR$1720=TYPE3)*(TYPE3&lt;&gt;"")+('Dvd Calendar'!$E$1720:$AR$1720=TYPE4)*(TYPE4&lt;&gt;"")+('Dvd Calendar'!$E$1720:$AR$1720=SPECIAL_LBL)*(INC_SPECIALS="Y"))))</f>
        <v/>
      </c>
      <c r="G166" s="64">
        <f>IF($C166="","",SUMPRODUCT(('Dvd Calendar'!$E$1715:$AR$1715&gt;=DATE(YEAR_Y-4,1,1))*('Dvd Calendar'!$E$1715:$AR$1715&lt;=DATE(YEAR_Y-4,12,31))*'Dvd Calendar'!$E$1718:$AR$1718*(('Dvd Calendar'!$E$1720:$AR$1720=TYPE1)*(TYPE1&lt;&gt;"")+('Dvd Calendar'!$E$1720:$AR$1720=TYPE2)*(TYPE2&lt;&gt;"")+('Dvd Calendar'!$E$1720:$AR$1720=TYPE3)*(TYPE3&lt;&gt;"")+('Dvd Calendar'!$E$1720:$AR$1720=TYPE4)*(TYPE4&lt;&gt;"")+('Dvd Calendar'!$E$1720:$AR$1720=SPECIAL_LBL)*(INC_SPECIALS="Y"))))</f>
        <v/>
      </c>
      <c r="H166" s="64">
        <f>IF($C166="","",SUMPRODUCT(('Dvd Calendar'!$E$1715:$AR$1715&gt;=DATE(YEAR_Y-3,1,1))*('Dvd Calendar'!$E$1715:$AR$1715&lt;=DATE(YEAR_Y-3,12,31))*'Dvd Calendar'!$E$1718:$AR$1718*(('Dvd Calendar'!$E$1720:$AR$1720=TYPE1)*(TYPE1&lt;&gt;"")+('Dvd Calendar'!$E$1720:$AR$1720=TYPE2)*(TYPE2&lt;&gt;"")+('Dvd Calendar'!$E$1720:$AR$1720=TYPE3)*(TYPE3&lt;&gt;"")+('Dvd Calendar'!$E$1720:$AR$1720=TYPE4)*(TYPE4&lt;&gt;"")+('Dvd Calendar'!$E$1720:$AR$1720=SPECIAL_LBL)*(INC_SPECIALS="Y"))))</f>
        <v/>
      </c>
      <c r="I166" s="64">
        <f>IF($C166="","",SUMPRODUCT(('Dvd Calendar'!$E$1715:$AR$1715&gt;=DATE(YEAR_Y-2,1,1))*('Dvd Calendar'!$E$1715:$AR$1715&lt;=DATE(YEAR_Y-2,12,31))*'Dvd Calendar'!$E$1718:$AR$1718*(('Dvd Calendar'!$E$1720:$AR$1720=TYPE1)*(TYPE1&lt;&gt;"")+('Dvd Calendar'!$E$1720:$AR$1720=TYPE2)*(TYPE2&lt;&gt;"")+('Dvd Calendar'!$E$1720:$AR$1720=TYPE3)*(TYPE3&lt;&gt;"")+('Dvd Calendar'!$E$1720:$AR$1720=TYPE4)*(TYPE4&lt;&gt;"")+('Dvd Calendar'!$E$1720:$AR$1720=SPECIAL_LBL)*(INC_SPECIALS="Y"))))</f>
        <v/>
      </c>
      <c r="J166" s="64">
        <f>IF($C166="","",SUMPRODUCT(('Dvd Calendar'!$E$1715:$AR$1715&gt;=DATE(YEAR_Y-1,1,1))*('Dvd Calendar'!$E$1715:$AR$1715&lt;=DATE(YEAR_Y-1,12,31))*'Dvd Calendar'!$E$1718:$AR$1718*(('Dvd Calendar'!$E$1720:$AR$1720=TYPE1)*(TYPE1&lt;&gt;"")+('Dvd Calendar'!$E$1720:$AR$1720=TYPE2)*(TYPE2&lt;&gt;"")+('Dvd Calendar'!$E$1720:$AR$1720=TYPE3)*(TYPE3&lt;&gt;"")+('Dvd Calendar'!$E$1720:$AR$1720=TYPE4)*(TYPE4&lt;&gt;"")+('Dvd Calendar'!$E$1720:$AR$1720=SPECIAL_LBL)*(INC_SPECIALS="Y"))))</f>
        <v/>
      </c>
      <c r="K166" s="65">
        <f>IF($C166="","",HSCEI!$J$21)</f>
        <v/>
      </c>
      <c r="L166" s="65">
        <f>IF($C166="","",HSCEI!$K$21)</f>
        <v/>
      </c>
      <c r="M166" s="41">
        <f>IF($C166="","",AVERAGE(F166:J166))</f>
        <v/>
      </c>
      <c r="N166" s="66">
        <f>IF($C166="","",IF(PULL_FUND="N","",IFERROR(BDP($C166,EPS_FIELD,YR_OVERRIDE,TEXT(YEAR_Y-5,"0")),"")))</f>
        <v/>
      </c>
      <c r="O166" s="67">
        <f>IF($C166="","",IF(PULL_FUND="N","",IFERROR(BDP($C166,EPS_FIELD,YR_OVERRIDE,TEXT(YEAR_Y-4,"0")),"")))</f>
        <v/>
      </c>
      <c r="P166" s="67">
        <f>IF($C166="","",IF(PULL_FUND="N","",IFERROR(BDP($C166,EPS_FIELD,YR_OVERRIDE,TEXT(YEAR_Y-3,"0")),"")))</f>
        <v/>
      </c>
      <c r="Q166" s="67">
        <f>IF($C166="","",IF(PULL_FUND="N","",IFERROR(BDP($C166,EPS_FIELD,YR_OVERRIDE,TEXT(YEAR_Y-2,"0")),"")))</f>
        <v/>
      </c>
      <c r="R166" s="67">
        <f>IF($C166="","",IF(PULL_FUND="N","",IFERROR(BDP($C166,EPS_FIELD,YR_OVERRIDE,TEXT(YEAR_Y-1,"0")),"")))</f>
        <v/>
      </c>
      <c r="S166" s="68">
        <f>IF($C166="","",IF(PULL_FUND="N","",IFERROR(BDP($C166,PAYOUT_FIELD,YR_OVERRIDE,TEXT(YEAR_Y-5,"0"))/100,"")))</f>
        <v/>
      </c>
      <c r="T166" s="68">
        <f>IF($C166="","",IF(PULL_FUND="N","",IFERROR(BDP($C166,PAYOUT_FIELD,YR_OVERRIDE,TEXT(YEAR_Y-4,"0"))/100,"")))</f>
        <v/>
      </c>
      <c r="U166" s="68">
        <f>IF($C166="","",IF(PULL_FUND="N","",IFERROR(BDP($C166,PAYOUT_FIELD,YR_OVERRIDE,TEXT(YEAR_Y-3,"0"))/100,"")))</f>
        <v/>
      </c>
      <c r="V166" s="68">
        <f>IF($C166="","",IF(PULL_FUND="N","",IFERROR(BDP($C166,PAYOUT_FIELD,YR_OVERRIDE,TEXT(YEAR_Y-2,"0"))/100,"")))</f>
        <v/>
      </c>
      <c r="W166" s="68">
        <f>IF($C166="","",IF(PULL_FUND="N","",IFERROR(BDP($C166,PAYOUT_FIELD,YR_OVERRIDE,TEXT(YEAR_Y-1,"0"))/100,"")))</f>
        <v/>
      </c>
      <c r="X166" s="69">
        <f>IF($C166="","",IFERROR(AVERAGE(S166:W166),""))</f>
        <v/>
      </c>
      <c r="Y166" s="66">
        <f>IF($C166="","",IF(PULL_FUND="N","",IFERROR(BDP($C166,BESTEPS_FIELD,FWD_OVERRIDE,TEXT(MOD(YEAR_Y,100),"00")&amp;"Y"),"")))</f>
        <v/>
      </c>
      <c r="Z166" s="70">
        <f>IF($C166="","",IF(PULL_FUND="N","",IFERROR(BDP($C166,BESTDPS_FIELD,FWD_OVERRIDE,TEXT(MOD(YEAR_Y,100),"00")&amp;"Y"),"")))</f>
        <v/>
      </c>
      <c r="AA166" s="71">
        <f>IF($C166="","",IF(ISNUMBER($Y166)*ISNUMBER($Z166)*($Y166&lt;&gt;0)=0,"",$Z166/$Y166))</f>
        <v/>
      </c>
      <c r="AB166" s="41">
        <f>IF($C166="","",HSCEI!$J$21+HSCEI!$L$21)</f>
        <v/>
      </c>
      <c r="AC166" s="72">
        <f>IF($C166="","",IF(PULL_FUND="N","",IF(COUNTIFS('Fund History'!$G$940:$G$944,"&gt;="&amp;DATE(YEAR_Y-4,1,1),'Fund History'!$G$940:$G$944,"&lt;="&amp;DATE(YEAR_Y-4,12,31))=0,"",SUMIFS('Fund History'!$H$940:$H$944,'Fund History'!$G$940:$G$944,"&gt;="&amp;DATE(YEAR_Y-4,1,1),'Fund History'!$G$940:$G$944,"&lt;="&amp;DATE(YEAR_Y-4,12,31))/100)))</f>
        <v/>
      </c>
      <c r="AD166" s="73">
        <f>IF($C166="","",IF(PULL_FUND="N","",IF(COUNTIFS('Fund History'!$G$940:$G$944,"&gt;="&amp;DATE(YEAR_Y-3,1,1),'Fund History'!$G$940:$G$944,"&lt;="&amp;DATE(YEAR_Y-3,12,31))=0,"",SUMIFS('Fund History'!$H$940:$H$944,'Fund History'!$G$940:$G$944,"&gt;="&amp;DATE(YEAR_Y-3,1,1),'Fund History'!$G$940:$G$944,"&lt;="&amp;DATE(YEAR_Y-3,12,31))/100)))</f>
        <v/>
      </c>
      <c r="AE166" s="73">
        <f>IF($C166="","",IF(PULL_FUND="N","",IF(COUNTIFS('Fund History'!$G$940:$G$944,"&gt;="&amp;DATE(YEAR_Y-2,1,1),'Fund History'!$G$940:$G$944,"&lt;="&amp;DATE(YEAR_Y-2,12,31))=0,"",SUMIFS('Fund History'!$H$940:$H$944,'Fund History'!$G$940:$G$944,"&gt;="&amp;DATE(YEAR_Y-2,1,1),'Fund History'!$G$940:$G$944,"&lt;="&amp;DATE(YEAR_Y-2,12,31))/100)))</f>
        <v/>
      </c>
      <c r="AF166" s="73">
        <f>IF($C166="","",IF(PULL_FUND="N","",IF(COUNTIFS('Fund History'!$G$940:$G$944,"&gt;="&amp;DATE(YEAR_Y-1,1,1),'Fund History'!$G$940:$G$944,"&lt;="&amp;DATE(YEAR_Y-1,12,31))=0,"",SUMIFS('Fund History'!$H$940:$H$944,'Fund History'!$G$940:$G$944,"&gt;="&amp;DATE(YEAR_Y-1,1,1),'Fund History'!$G$940:$G$944,"&lt;="&amp;DATE(YEAR_Y-1,12,31))/100)))</f>
        <v/>
      </c>
      <c r="AG166" s="74">
        <f>IF($C166="","",IF(N($AF166)+N(HSCEI!$I$21)=0,"",N($AF166)+N(HSCEI!$I$21)/100))</f>
        <v/>
      </c>
      <c r="AH166" s="66">
        <f>IF($C166="","",IF(PULL_FUND="N","",IF(COUNTIFS('Fund History'!$D$940:$D$944,"&gt;="&amp;DATE(YEAR_Y-2,1,1),'Fund History'!$D$940:$D$944,"&lt;="&amp;DATE(YEAR_Y-2,12,31))=0,"",SUMIFS('Fund History'!$E$940:$E$944,'Fund History'!$D$940:$D$944,"&gt;="&amp;DATE(YEAR_Y-2,1,1),'Fund History'!$D$940:$D$944,"&lt;="&amp;DATE(YEAR_Y-2,12,31)))))</f>
        <v/>
      </c>
      <c r="AI166" s="67">
        <f>IF($C166="","",IF(PULL_FUND="N","",IF(COUNTIFS('Fund History'!$D$940:$D$944,"&gt;="&amp;DATE(YEAR_Y-1,1,1),'Fund History'!$D$940:$D$944,"&lt;="&amp;DATE(YEAR_Y-1,12,31))=0,"",SUMIFS('Fund History'!$E$940:$E$944,'Fund History'!$D$940:$D$944,"&gt;="&amp;DATE(YEAR_Y-1,1,1),'Fund History'!$D$940:$D$944,"&lt;="&amp;DATE(YEAR_Y-1,12,31)))))</f>
        <v/>
      </c>
      <c r="AJ166" s="67">
        <f>IF($C166="","",IF(PULL_FUND="N","",IFERROR(BDP($C166,NDEBITDA_FIELD),"")))</f>
        <v/>
      </c>
      <c r="AK166" s="75">
        <f>IF($C166="","",IF(PULL_FUND="N","",IFERROR(BDP($C166,EBINT_FIELD),"")))</f>
        <v/>
      </c>
      <c r="AL166" s="73">
        <f>IF($C166="","",IF(PULL_FUND="N","",IFERROR(BDP($C166,FCF_FIELD)/100,"")))</f>
        <v/>
      </c>
      <c r="AM166" s="76">
        <f>IF($C166="","",IF(ISNUMBER(HSCEI!$I$21),HSCEI!$I$21/100,""))</f>
        <v/>
      </c>
      <c r="AN166" s="47">
        <f>IF($C166="","",IF(N($AM166)=0,"",IFERROR($AL166/$AM166,"")))</f>
        <v/>
      </c>
      <c r="AO166" s="33">
        <f>IF($C166="","",IF(ISNUMBER($S166)*ISNUMBER($W166)=0,"",IF($W166&gt;$S166+0.05,"rising",IF($W166&lt;$S166-0.05,"falling","stable"))))</f>
        <v/>
      </c>
      <c r="AP166" s="77">
        <f>IF($C166="","",TRIM(IF(ISNUMBER($X166)*(N($X166)&gt;$D$4)&gt;0,"payout high  ","")&amp;IF(ISNUMBER($AN166)*(N($AN166)&lt;$F$4)&gt;0,"FCF below dvd  ","")&amp;IF(ISNUMBER($AJ166)*(N($AJ166)&gt;$H$4)&gt;0,"leverage high","")))</f>
        <v/>
      </c>
      <c r="AQ166" s="78">
        <f>IF($C166="","",IF(HSCEI!$F$21="HKD","",HSCEI!$F$21))</f>
        <v/>
      </c>
    </row>
    <row r="167">
      <c r="B167" s="62" t="inlineStr">
        <is>
          <t>HSCEI</t>
        </is>
      </c>
      <c r="C167" s="6">
        <f>IF(HSCEI!$C$22="","",HSCEI!$C$22)</f>
        <v/>
      </c>
      <c r="D167" s="6">
        <f>IF($C167="","",HSCEI!$D$22)</f>
        <v/>
      </c>
      <c r="E167" s="6">
        <f>IF($C167="","",HSCEI!$E$22)</f>
        <v/>
      </c>
      <c r="F167" s="63">
        <f>IF($C167="","",SUMPRODUCT(('Dvd Calendar'!$E$1726:$AR$1726&gt;=DATE(YEAR_Y-5,1,1))*('Dvd Calendar'!$E$1726:$AR$1726&lt;=DATE(YEAR_Y-5,12,31))*'Dvd Calendar'!$E$1729:$AR$1729*(('Dvd Calendar'!$E$1731:$AR$1731=TYPE1)*(TYPE1&lt;&gt;"")+('Dvd Calendar'!$E$1731:$AR$1731=TYPE2)*(TYPE2&lt;&gt;"")+('Dvd Calendar'!$E$1731:$AR$1731=TYPE3)*(TYPE3&lt;&gt;"")+('Dvd Calendar'!$E$1731:$AR$1731=TYPE4)*(TYPE4&lt;&gt;"")+('Dvd Calendar'!$E$1731:$AR$1731=SPECIAL_LBL)*(INC_SPECIALS="Y"))))</f>
        <v/>
      </c>
      <c r="G167" s="64">
        <f>IF($C167="","",SUMPRODUCT(('Dvd Calendar'!$E$1726:$AR$1726&gt;=DATE(YEAR_Y-4,1,1))*('Dvd Calendar'!$E$1726:$AR$1726&lt;=DATE(YEAR_Y-4,12,31))*'Dvd Calendar'!$E$1729:$AR$1729*(('Dvd Calendar'!$E$1731:$AR$1731=TYPE1)*(TYPE1&lt;&gt;"")+('Dvd Calendar'!$E$1731:$AR$1731=TYPE2)*(TYPE2&lt;&gt;"")+('Dvd Calendar'!$E$1731:$AR$1731=TYPE3)*(TYPE3&lt;&gt;"")+('Dvd Calendar'!$E$1731:$AR$1731=TYPE4)*(TYPE4&lt;&gt;"")+('Dvd Calendar'!$E$1731:$AR$1731=SPECIAL_LBL)*(INC_SPECIALS="Y"))))</f>
        <v/>
      </c>
      <c r="H167" s="64">
        <f>IF($C167="","",SUMPRODUCT(('Dvd Calendar'!$E$1726:$AR$1726&gt;=DATE(YEAR_Y-3,1,1))*('Dvd Calendar'!$E$1726:$AR$1726&lt;=DATE(YEAR_Y-3,12,31))*'Dvd Calendar'!$E$1729:$AR$1729*(('Dvd Calendar'!$E$1731:$AR$1731=TYPE1)*(TYPE1&lt;&gt;"")+('Dvd Calendar'!$E$1731:$AR$1731=TYPE2)*(TYPE2&lt;&gt;"")+('Dvd Calendar'!$E$1731:$AR$1731=TYPE3)*(TYPE3&lt;&gt;"")+('Dvd Calendar'!$E$1731:$AR$1731=TYPE4)*(TYPE4&lt;&gt;"")+('Dvd Calendar'!$E$1731:$AR$1731=SPECIAL_LBL)*(INC_SPECIALS="Y"))))</f>
        <v/>
      </c>
      <c r="I167" s="64">
        <f>IF($C167="","",SUMPRODUCT(('Dvd Calendar'!$E$1726:$AR$1726&gt;=DATE(YEAR_Y-2,1,1))*('Dvd Calendar'!$E$1726:$AR$1726&lt;=DATE(YEAR_Y-2,12,31))*'Dvd Calendar'!$E$1729:$AR$1729*(('Dvd Calendar'!$E$1731:$AR$1731=TYPE1)*(TYPE1&lt;&gt;"")+('Dvd Calendar'!$E$1731:$AR$1731=TYPE2)*(TYPE2&lt;&gt;"")+('Dvd Calendar'!$E$1731:$AR$1731=TYPE3)*(TYPE3&lt;&gt;"")+('Dvd Calendar'!$E$1731:$AR$1731=TYPE4)*(TYPE4&lt;&gt;"")+('Dvd Calendar'!$E$1731:$AR$1731=SPECIAL_LBL)*(INC_SPECIALS="Y"))))</f>
        <v/>
      </c>
      <c r="J167" s="64">
        <f>IF($C167="","",SUMPRODUCT(('Dvd Calendar'!$E$1726:$AR$1726&gt;=DATE(YEAR_Y-1,1,1))*('Dvd Calendar'!$E$1726:$AR$1726&lt;=DATE(YEAR_Y-1,12,31))*'Dvd Calendar'!$E$1729:$AR$1729*(('Dvd Calendar'!$E$1731:$AR$1731=TYPE1)*(TYPE1&lt;&gt;"")+('Dvd Calendar'!$E$1731:$AR$1731=TYPE2)*(TYPE2&lt;&gt;"")+('Dvd Calendar'!$E$1731:$AR$1731=TYPE3)*(TYPE3&lt;&gt;"")+('Dvd Calendar'!$E$1731:$AR$1731=TYPE4)*(TYPE4&lt;&gt;"")+('Dvd Calendar'!$E$1731:$AR$1731=SPECIAL_LBL)*(INC_SPECIALS="Y"))))</f>
        <v/>
      </c>
      <c r="K167" s="65">
        <f>IF($C167="","",HSCEI!$J$22)</f>
        <v/>
      </c>
      <c r="L167" s="65">
        <f>IF($C167="","",HSCEI!$K$22)</f>
        <v/>
      </c>
      <c r="M167" s="41">
        <f>IF($C167="","",AVERAGE(F167:J167))</f>
        <v/>
      </c>
      <c r="N167" s="66">
        <f>IF($C167="","",IF(PULL_FUND="N","",IFERROR(BDP($C167,EPS_FIELD,YR_OVERRIDE,TEXT(YEAR_Y-5,"0")),"")))</f>
        <v/>
      </c>
      <c r="O167" s="67">
        <f>IF($C167="","",IF(PULL_FUND="N","",IFERROR(BDP($C167,EPS_FIELD,YR_OVERRIDE,TEXT(YEAR_Y-4,"0")),"")))</f>
        <v/>
      </c>
      <c r="P167" s="67">
        <f>IF($C167="","",IF(PULL_FUND="N","",IFERROR(BDP($C167,EPS_FIELD,YR_OVERRIDE,TEXT(YEAR_Y-3,"0")),"")))</f>
        <v/>
      </c>
      <c r="Q167" s="67">
        <f>IF($C167="","",IF(PULL_FUND="N","",IFERROR(BDP($C167,EPS_FIELD,YR_OVERRIDE,TEXT(YEAR_Y-2,"0")),"")))</f>
        <v/>
      </c>
      <c r="R167" s="67">
        <f>IF($C167="","",IF(PULL_FUND="N","",IFERROR(BDP($C167,EPS_FIELD,YR_OVERRIDE,TEXT(YEAR_Y-1,"0")),"")))</f>
        <v/>
      </c>
      <c r="S167" s="68">
        <f>IF($C167="","",IF(PULL_FUND="N","",IFERROR(BDP($C167,PAYOUT_FIELD,YR_OVERRIDE,TEXT(YEAR_Y-5,"0"))/100,"")))</f>
        <v/>
      </c>
      <c r="T167" s="68">
        <f>IF($C167="","",IF(PULL_FUND="N","",IFERROR(BDP($C167,PAYOUT_FIELD,YR_OVERRIDE,TEXT(YEAR_Y-4,"0"))/100,"")))</f>
        <v/>
      </c>
      <c r="U167" s="68">
        <f>IF($C167="","",IF(PULL_FUND="N","",IFERROR(BDP($C167,PAYOUT_FIELD,YR_OVERRIDE,TEXT(YEAR_Y-3,"0"))/100,"")))</f>
        <v/>
      </c>
      <c r="V167" s="68">
        <f>IF($C167="","",IF(PULL_FUND="N","",IFERROR(BDP($C167,PAYOUT_FIELD,YR_OVERRIDE,TEXT(YEAR_Y-2,"0"))/100,"")))</f>
        <v/>
      </c>
      <c r="W167" s="68">
        <f>IF($C167="","",IF(PULL_FUND="N","",IFERROR(BDP($C167,PAYOUT_FIELD,YR_OVERRIDE,TEXT(YEAR_Y-1,"0"))/100,"")))</f>
        <v/>
      </c>
      <c r="X167" s="69">
        <f>IF($C167="","",IFERROR(AVERAGE(S167:W167),""))</f>
        <v/>
      </c>
      <c r="Y167" s="66">
        <f>IF($C167="","",IF(PULL_FUND="N","",IFERROR(BDP($C167,BESTEPS_FIELD,FWD_OVERRIDE,TEXT(MOD(YEAR_Y,100),"00")&amp;"Y"),"")))</f>
        <v/>
      </c>
      <c r="Z167" s="70">
        <f>IF($C167="","",IF(PULL_FUND="N","",IFERROR(BDP($C167,BESTDPS_FIELD,FWD_OVERRIDE,TEXT(MOD(YEAR_Y,100),"00")&amp;"Y"),"")))</f>
        <v/>
      </c>
      <c r="AA167" s="71">
        <f>IF($C167="","",IF(ISNUMBER($Y167)*ISNUMBER($Z167)*($Y167&lt;&gt;0)=0,"",$Z167/$Y167))</f>
        <v/>
      </c>
      <c r="AB167" s="41">
        <f>IF($C167="","",HSCEI!$J$22+HSCEI!$L$22)</f>
        <v/>
      </c>
      <c r="AC167" s="72">
        <f>IF($C167="","",IF(PULL_FUND="N","",IF(COUNTIFS('Fund History'!$G$946:$G$950,"&gt;="&amp;DATE(YEAR_Y-4,1,1),'Fund History'!$G$946:$G$950,"&lt;="&amp;DATE(YEAR_Y-4,12,31))=0,"",SUMIFS('Fund History'!$H$946:$H$950,'Fund History'!$G$946:$G$950,"&gt;="&amp;DATE(YEAR_Y-4,1,1),'Fund History'!$G$946:$G$950,"&lt;="&amp;DATE(YEAR_Y-4,12,31))/100)))</f>
        <v/>
      </c>
      <c r="AD167" s="73">
        <f>IF($C167="","",IF(PULL_FUND="N","",IF(COUNTIFS('Fund History'!$G$946:$G$950,"&gt;="&amp;DATE(YEAR_Y-3,1,1),'Fund History'!$G$946:$G$950,"&lt;="&amp;DATE(YEAR_Y-3,12,31))=0,"",SUMIFS('Fund History'!$H$946:$H$950,'Fund History'!$G$946:$G$950,"&gt;="&amp;DATE(YEAR_Y-3,1,1),'Fund History'!$G$946:$G$950,"&lt;="&amp;DATE(YEAR_Y-3,12,31))/100)))</f>
        <v/>
      </c>
      <c r="AE167" s="73">
        <f>IF($C167="","",IF(PULL_FUND="N","",IF(COUNTIFS('Fund History'!$G$946:$G$950,"&gt;="&amp;DATE(YEAR_Y-2,1,1),'Fund History'!$G$946:$G$950,"&lt;="&amp;DATE(YEAR_Y-2,12,31))=0,"",SUMIFS('Fund History'!$H$946:$H$950,'Fund History'!$G$946:$G$950,"&gt;="&amp;DATE(YEAR_Y-2,1,1),'Fund History'!$G$946:$G$950,"&lt;="&amp;DATE(YEAR_Y-2,12,31))/100)))</f>
        <v/>
      </c>
      <c r="AF167" s="73">
        <f>IF($C167="","",IF(PULL_FUND="N","",IF(COUNTIFS('Fund History'!$G$946:$G$950,"&gt;="&amp;DATE(YEAR_Y-1,1,1),'Fund History'!$G$946:$G$950,"&lt;="&amp;DATE(YEAR_Y-1,12,31))=0,"",SUMIFS('Fund History'!$H$946:$H$950,'Fund History'!$G$946:$G$950,"&gt;="&amp;DATE(YEAR_Y-1,1,1),'Fund History'!$G$946:$G$950,"&lt;="&amp;DATE(YEAR_Y-1,12,31))/100)))</f>
        <v/>
      </c>
      <c r="AG167" s="74">
        <f>IF($C167="","",IF(N($AF167)+N(HSCEI!$I$22)=0,"",N($AF167)+N(HSCEI!$I$22)/100))</f>
        <v/>
      </c>
      <c r="AH167" s="66">
        <f>IF($C167="","",IF(PULL_FUND="N","",IF(COUNTIFS('Fund History'!$D$946:$D$950,"&gt;="&amp;DATE(YEAR_Y-2,1,1),'Fund History'!$D$946:$D$950,"&lt;="&amp;DATE(YEAR_Y-2,12,31))=0,"",SUMIFS('Fund History'!$E$946:$E$950,'Fund History'!$D$946:$D$950,"&gt;="&amp;DATE(YEAR_Y-2,1,1),'Fund History'!$D$946:$D$950,"&lt;="&amp;DATE(YEAR_Y-2,12,31)))))</f>
        <v/>
      </c>
      <c r="AI167" s="67">
        <f>IF($C167="","",IF(PULL_FUND="N","",IF(COUNTIFS('Fund History'!$D$946:$D$950,"&gt;="&amp;DATE(YEAR_Y-1,1,1),'Fund History'!$D$946:$D$950,"&lt;="&amp;DATE(YEAR_Y-1,12,31))=0,"",SUMIFS('Fund History'!$E$946:$E$950,'Fund History'!$D$946:$D$950,"&gt;="&amp;DATE(YEAR_Y-1,1,1),'Fund History'!$D$946:$D$950,"&lt;="&amp;DATE(YEAR_Y-1,12,31)))))</f>
        <v/>
      </c>
      <c r="AJ167" s="67">
        <f>IF($C167="","",IF(PULL_FUND="N","",IFERROR(BDP($C167,NDEBITDA_FIELD),"")))</f>
        <v/>
      </c>
      <c r="AK167" s="75">
        <f>IF($C167="","",IF(PULL_FUND="N","",IFERROR(BDP($C167,EBINT_FIELD),"")))</f>
        <v/>
      </c>
      <c r="AL167" s="73">
        <f>IF($C167="","",IF(PULL_FUND="N","",IFERROR(BDP($C167,FCF_FIELD)/100,"")))</f>
        <v/>
      </c>
      <c r="AM167" s="76">
        <f>IF($C167="","",IF(ISNUMBER(HSCEI!$I$22),HSCEI!$I$22/100,""))</f>
        <v/>
      </c>
      <c r="AN167" s="47">
        <f>IF($C167="","",IF(N($AM167)=0,"",IFERROR($AL167/$AM167,"")))</f>
        <v/>
      </c>
      <c r="AO167" s="33">
        <f>IF($C167="","",IF(ISNUMBER($S167)*ISNUMBER($W167)=0,"",IF($W167&gt;$S167+0.05,"rising",IF($W167&lt;$S167-0.05,"falling","stable"))))</f>
        <v/>
      </c>
      <c r="AP167" s="77">
        <f>IF($C167="","",TRIM(IF(ISNUMBER($X167)*(N($X167)&gt;$D$4)&gt;0,"payout high  ","")&amp;IF(ISNUMBER($AN167)*(N($AN167)&lt;$F$4)&gt;0,"FCF below dvd  ","")&amp;IF(ISNUMBER($AJ167)*(N($AJ167)&gt;$H$4)&gt;0,"leverage high","")))</f>
        <v/>
      </c>
      <c r="AQ167" s="78">
        <f>IF($C167="","",IF(HSCEI!$F$22="HKD","",HSCEI!$F$22))</f>
        <v/>
      </c>
    </row>
    <row r="168">
      <c r="B168" s="62" t="inlineStr">
        <is>
          <t>HSCEI</t>
        </is>
      </c>
      <c r="C168" s="6">
        <f>IF(HSCEI!$C$23="","",HSCEI!$C$23)</f>
        <v/>
      </c>
      <c r="D168" s="6">
        <f>IF($C168="","",HSCEI!$D$23)</f>
        <v/>
      </c>
      <c r="E168" s="6">
        <f>IF($C168="","",HSCEI!$E$23)</f>
        <v/>
      </c>
      <c r="F168" s="63">
        <f>IF($C168="","",SUMPRODUCT(('Dvd Calendar'!$E$1737:$AR$1737&gt;=DATE(YEAR_Y-5,1,1))*('Dvd Calendar'!$E$1737:$AR$1737&lt;=DATE(YEAR_Y-5,12,31))*'Dvd Calendar'!$E$1740:$AR$1740*(('Dvd Calendar'!$E$1742:$AR$1742=TYPE1)*(TYPE1&lt;&gt;"")+('Dvd Calendar'!$E$1742:$AR$1742=TYPE2)*(TYPE2&lt;&gt;"")+('Dvd Calendar'!$E$1742:$AR$1742=TYPE3)*(TYPE3&lt;&gt;"")+('Dvd Calendar'!$E$1742:$AR$1742=TYPE4)*(TYPE4&lt;&gt;"")+('Dvd Calendar'!$E$1742:$AR$1742=SPECIAL_LBL)*(INC_SPECIALS="Y"))))</f>
        <v/>
      </c>
      <c r="G168" s="64">
        <f>IF($C168="","",SUMPRODUCT(('Dvd Calendar'!$E$1737:$AR$1737&gt;=DATE(YEAR_Y-4,1,1))*('Dvd Calendar'!$E$1737:$AR$1737&lt;=DATE(YEAR_Y-4,12,31))*'Dvd Calendar'!$E$1740:$AR$1740*(('Dvd Calendar'!$E$1742:$AR$1742=TYPE1)*(TYPE1&lt;&gt;"")+('Dvd Calendar'!$E$1742:$AR$1742=TYPE2)*(TYPE2&lt;&gt;"")+('Dvd Calendar'!$E$1742:$AR$1742=TYPE3)*(TYPE3&lt;&gt;"")+('Dvd Calendar'!$E$1742:$AR$1742=TYPE4)*(TYPE4&lt;&gt;"")+('Dvd Calendar'!$E$1742:$AR$1742=SPECIAL_LBL)*(INC_SPECIALS="Y"))))</f>
        <v/>
      </c>
      <c r="H168" s="64">
        <f>IF($C168="","",SUMPRODUCT(('Dvd Calendar'!$E$1737:$AR$1737&gt;=DATE(YEAR_Y-3,1,1))*('Dvd Calendar'!$E$1737:$AR$1737&lt;=DATE(YEAR_Y-3,12,31))*'Dvd Calendar'!$E$1740:$AR$1740*(('Dvd Calendar'!$E$1742:$AR$1742=TYPE1)*(TYPE1&lt;&gt;"")+('Dvd Calendar'!$E$1742:$AR$1742=TYPE2)*(TYPE2&lt;&gt;"")+('Dvd Calendar'!$E$1742:$AR$1742=TYPE3)*(TYPE3&lt;&gt;"")+('Dvd Calendar'!$E$1742:$AR$1742=TYPE4)*(TYPE4&lt;&gt;"")+('Dvd Calendar'!$E$1742:$AR$1742=SPECIAL_LBL)*(INC_SPECIALS="Y"))))</f>
        <v/>
      </c>
      <c r="I168" s="64">
        <f>IF($C168="","",SUMPRODUCT(('Dvd Calendar'!$E$1737:$AR$1737&gt;=DATE(YEAR_Y-2,1,1))*('Dvd Calendar'!$E$1737:$AR$1737&lt;=DATE(YEAR_Y-2,12,31))*'Dvd Calendar'!$E$1740:$AR$1740*(('Dvd Calendar'!$E$1742:$AR$1742=TYPE1)*(TYPE1&lt;&gt;"")+('Dvd Calendar'!$E$1742:$AR$1742=TYPE2)*(TYPE2&lt;&gt;"")+('Dvd Calendar'!$E$1742:$AR$1742=TYPE3)*(TYPE3&lt;&gt;"")+('Dvd Calendar'!$E$1742:$AR$1742=TYPE4)*(TYPE4&lt;&gt;"")+('Dvd Calendar'!$E$1742:$AR$1742=SPECIAL_LBL)*(INC_SPECIALS="Y"))))</f>
        <v/>
      </c>
      <c r="J168" s="64">
        <f>IF($C168="","",SUMPRODUCT(('Dvd Calendar'!$E$1737:$AR$1737&gt;=DATE(YEAR_Y-1,1,1))*('Dvd Calendar'!$E$1737:$AR$1737&lt;=DATE(YEAR_Y-1,12,31))*'Dvd Calendar'!$E$1740:$AR$1740*(('Dvd Calendar'!$E$1742:$AR$1742=TYPE1)*(TYPE1&lt;&gt;"")+('Dvd Calendar'!$E$1742:$AR$1742=TYPE2)*(TYPE2&lt;&gt;"")+('Dvd Calendar'!$E$1742:$AR$1742=TYPE3)*(TYPE3&lt;&gt;"")+('Dvd Calendar'!$E$1742:$AR$1742=TYPE4)*(TYPE4&lt;&gt;"")+('Dvd Calendar'!$E$1742:$AR$1742=SPECIAL_LBL)*(INC_SPECIALS="Y"))))</f>
        <v/>
      </c>
      <c r="K168" s="65">
        <f>IF($C168="","",HSCEI!$J$23)</f>
        <v/>
      </c>
      <c r="L168" s="65">
        <f>IF($C168="","",HSCEI!$K$23)</f>
        <v/>
      </c>
      <c r="M168" s="41">
        <f>IF($C168="","",AVERAGE(F168:J168))</f>
        <v/>
      </c>
      <c r="N168" s="66">
        <f>IF($C168="","",IF(PULL_FUND="N","",IFERROR(BDP($C168,EPS_FIELD,YR_OVERRIDE,TEXT(YEAR_Y-5,"0")),"")))</f>
        <v/>
      </c>
      <c r="O168" s="67">
        <f>IF($C168="","",IF(PULL_FUND="N","",IFERROR(BDP($C168,EPS_FIELD,YR_OVERRIDE,TEXT(YEAR_Y-4,"0")),"")))</f>
        <v/>
      </c>
      <c r="P168" s="67">
        <f>IF($C168="","",IF(PULL_FUND="N","",IFERROR(BDP($C168,EPS_FIELD,YR_OVERRIDE,TEXT(YEAR_Y-3,"0")),"")))</f>
        <v/>
      </c>
      <c r="Q168" s="67">
        <f>IF($C168="","",IF(PULL_FUND="N","",IFERROR(BDP($C168,EPS_FIELD,YR_OVERRIDE,TEXT(YEAR_Y-2,"0")),"")))</f>
        <v/>
      </c>
      <c r="R168" s="67">
        <f>IF($C168="","",IF(PULL_FUND="N","",IFERROR(BDP($C168,EPS_FIELD,YR_OVERRIDE,TEXT(YEAR_Y-1,"0")),"")))</f>
        <v/>
      </c>
      <c r="S168" s="68">
        <f>IF($C168="","",IF(PULL_FUND="N","",IFERROR(BDP($C168,PAYOUT_FIELD,YR_OVERRIDE,TEXT(YEAR_Y-5,"0"))/100,"")))</f>
        <v/>
      </c>
      <c r="T168" s="68">
        <f>IF($C168="","",IF(PULL_FUND="N","",IFERROR(BDP($C168,PAYOUT_FIELD,YR_OVERRIDE,TEXT(YEAR_Y-4,"0"))/100,"")))</f>
        <v/>
      </c>
      <c r="U168" s="68">
        <f>IF($C168="","",IF(PULL_FUND="N","",IFERROR(BDP($C168,PAYOUT_FIELD,YR_OVERRIDE,TEXT(YEAR_Y-3,"0"))/100,"")))</f>
        <v/>
      </c>
      <c r="V168" s="68">
        <f>IF($C168="","",IF(PULL_FUND="N","",IFERROR(BDP($C168,PAYOUT_FIELD,YR_OVERRIDE,TEXT(YEAR_Y-2,"0"))/100,"")))</f>
        <v/>
      </c>
      <c r="W168" s="68">
        <f>IF($C168="","",IF(PULL_FUND="N","",IFERROR(BDP($C168,PAYOUT_FIELD,YR_OVERRIDE,TEXT(YEAR_Y-1,"0"))/100,"")))</f>
        <v/>
      </c>
      <c r="X168" s="69">
        <f>IF($C168="","",IFERROR(AVERAGE(S168:W168),""))</f>
        <v/>
      </c>
      <c r="Y168" s="66">
        <f>IF($C168="","",IF(PULL_FUND="N","",IFERROR(BDP($C168,BESTEPS_FIELD,FWD_OVERRIDE,TEXT(MOD(YEAR_Y,100),"00")&amp;"Y"),"")))</f>
        <v/>
      </c>
      <c r="Z168" s="70">
        <f>IF($C168="","",IF(PULL_FUND="N","",IFERROR(BDP($C168,BESTDPS_FIELD,FWD_OVERRIDE,TEXT(MOD(YEAR_Y,100),"00")&amp;"Y"),"")))</f>
        <v/>
      </c>
      <c r="AA168" s="71">
        <f>IF($C168="","",IF(ISNUMBER($Y168)*ISNUMBER($Z168)*($Y168&lt;&gt;0)=0,"",$Z168/$Y168))</f>
        <v/>
      </c>
      <c r="AB168" s="41">
        <f>IF($C168="","",HSCEI!$J$23+HSCEI!$L$23)</f>
        <v/>
      </c>
      <c r="AC168" s="72">
        <f>IF($C168="","",IF(PULL_FUND="N","",IF(COUNTIFS('Fund History'!$G$952:$G$956,"&gt;="&amp;DATE(YEAR_Y-4,1,1),'Fund History'!$G$952:$G$956,"&lt;="&amp;DATE(YEAR_Y-4,12,31))=0,"",SUMIFS('Fund History'!$H$952:$H$956,'Fund History'!$G$952:$G$956,"&gt;="&amp;DATE(YEAR_Y-4,1,1),'Fund History'!$G$952:$G$956,"&lt;="&amp;DATE(YEAR_Y-4,12,31))/100)))</f>
        <v/>
      </c>
      <c r="AD168" s="73">
        <f>IF($C168="","",IF(PULL_FUND="N","",IF(COUNTIFS('Fund History'!$G$952:$G$956,"&gt;="&amp;DATE(YEAR_Y-3,1,1),'Fund History'!$G$952:$G$956,"&lt;="&amp;DATE(YEAR_Y-3,12,31))=0,"",SUMIFS('Fund History'!$H$952:$H$956,'Fund History'!$G$952:$G$956,"&gt;="&amp;DATE(YEAR_Y-3,1,1),'Fund History'!$G$952:$G$956,"&lt;="&amp;DATE(YEAR_Y-3,12,31))/100)))</f>
        <v/>
      </c>
      <c r="AE168" s="73">
        <f>IF($C168="","",IF(PULL_FUND="N","",IF(COUNTIFS('Fund History'!$G$952:$G$956,"&gt;="&amp;DATE(YEAR_Y-2,1,1),'Fund History'!$G$952:$G$956,"&lt;="&amp;DATE(YEAR_Y-2,12,31))=0,"",SUMIFS('Fund History'!$H$952:$H$956,'Fund History'!$G$952:$G$956,"&gt;="&amp;DATE(YEAR_Y-2,1,1),'Fund History'!$G$952:$G$956,"&lt;="&amp;DATE(YEAR_Y-2,12,31))/100)))</f>
        <v/>
      </c>
      <c r="AF168" s="73">
        <f>IF($C168="","",IF(PULL_FUND="N","",IF(COUNTIFS('Fund History'!$G$952:$G$956,"&gt;="&amp;DATE(YEAR_Y-1,1,1),'Fund History'!$G$952:$G$956,"&lt;="&amp;DATE(YEAR_Y-1,12,31))=0,"",SUMIFS('Fund History'!$H$952:$H$956,'Fund History'!$G$952:$G$956,"&gt;="&amp;DATE(YEAR_Y-1,1,1),'Fund History'!$G$952:$G$956,"&lt;="&amp;DATE(YEAR_Y-1,12,31))/100)))</f>
        <v/>
      </c>
      <c r="AG168" s="74">
        <f>IF($C168="","",IF(N($AF168)+N(HSCEI!$I$23)=0,"",N($AF168)+N(HSCEI!$I$23)/100))</f>
        <v/>
      </c>
      <c r="AH168" s="66">
        <f>IF($C168="","",IF(PULL_FUND="N","",IF(COUNTIFS('Fund History'!$D$952:$D$956,"&gt;="&amp;DATE(YEAR_Y-2,1,1),'Fund History'!$D$952:$D$956,"&lt;="&amp;DATE(YEAR_Y-2,12,31))=0,"",SUMIFS('Fund History'!$E$952:$E$956,'Fund History'!$D$952:$D$956,"&gt;="&amp;DATE(YEAR_Y-2,1,1),'Fund History'!$D$952:$D$956,"&lt;="&amp;DATE(YEAR_Y-2,12,31)))))</f>
        <v/>
      </c>
      <c r="AI168" s="67">
        <f>IF($C168="","",IF(PULL_FUND="N","",IF(COUNTIFS('Fund History'!$D$952:$D$956,"&gt;="&amp;DATE(YEAR_Y-1,1,1),'Fund History'!$D$952:$D$956,"&lt;="&amp;DATE(YEAR_Y-1,12,31))=0,"",SUMIFS('Fund History'!$E$952:$E$956,'Fund History'!$D$952:$D$956,"&gt;="&amp;DATE(YEAR_Y-1,1,1),'Fund History'!$D$952:$D$956,"&lt;="&amp;DATE(YEAR_Y-1,12,31)))))</f>
        <v/>
      </c>
      <c r="AJ168" s="67">
        <f>IF($C168="","",IF(PULL_FUND="N","",IFERROR(BDP($C168,NDEBITDA_FIELD),"")))</f>
        <v/>
      </c>
      <c r="AK168" s="75">
        <f>IF($C168="","",IF(PULL_FUND="N","",IFERROR(BDP($C168,EBINT_FIELD),"")))</f>
        <v/>
      </c>
      <c r="AL168" s="73">
        <f>IF($C168="","",IF(PULL_FUND="N","",IFERROR(BDP($C168,FCF_FIELD)/100,"")))</f>
        <v/>
      </c>
      <c r="AM168" s="76">
        <f>IF($C168="","",IF(ISNUMBER(HSCEI!$I$23),HSCEI!$I$23/100,""))</f>
        <v/>
      </c>
      <c r="AN168" s="47">
        <f>IF($C168="","",IF(N($AM168)=0,"",IFERROR($AL168/$AM168,"")))</f>
        <v/>
      </c>
      <c r="AO168" s="33">
        <f>IF($C168="","",IF(ISNUMBER($S168)*ISNUMBER($W168)=0,"",IF($W168&gt;$S168+0.05,"rising",IF($W168&lt;$S168-0.05,"falling","stable"))))</f>
        <v/>
      </c>
      <c r="AP168" s="77">
        <f>IF($C168="","",TRIM(IF(ISNUMBER($X168)*(N($X168)&gt;$D$4)&gt;0,"payout high  ","")&amp;IF(ISNUMBER($AN168)*(N($AN168)&lt;$F$4)&gt;0,"FCF below dvd  ","")&amp;IF(ISNUMBER($AJ168)*(N($AJ168)&gt;$H$4)&gt;0,"leverage high","")))</f>
        <v/>
      </c>
      <c r="AQ168" s="78">
        <f>IF($C168="","",IF(HSCEI!$F$23="HKD","",HSCEI!$F$23))</f>
        <v/>
      </c>
    </row>
    <row r="169">
      <c r="B169" s="62" t="inlineStr">
        <is>
          <t>HSCEI</t>
        </is>
      </c>
      <c r="C169" s="6">
        <f>IF(HSCEI!$C$24="","",HSCEI!$C$24)</f>
        <v/>
      </c>
      <c r="D169" s="6">
        <f>IF($C169="","",HSCEI!$D$24)</f>
        <v/>
      </c>
      <c r="E169" s="6">
        <f>IF($C169="","",HSCEI!$E$24)</f>
        <v/>
      </c>
      <c r="F169" s="63">
        <f>IF($C169="","",SUMPRODUCT(('Dvd Calendar'!$E$1748:$AR$1748&gt;=DATE(YEAR_Y-5,1,1))*('Dvd Calendar'!$E$1748:$AR$1748&lt;=DATE(YEAR_Y-5,12,31))*'Dvd Calendar'!$E$1751:$AR$1751*(('Dvd Calendar'!$E$1753:$AR$1753=TYPE1)*(TYPE1&lt;&gt;"")+('Dvd Calendar'!$E$1753:$AR$1753=TYPE2)*(TYPE2&lt;&gt;"")+('Dvd Calendar'!$E$1753:$AR$1753=TYPE3)*(TYPE3&lt;&gt;"")+('Dvd Calendar'!$E$1753:$AR$1753=TYPE4)*(TYPE4&lt;&gt;"")+('Dvd Calendar'!$E$1753:$AR$1753=SPECIAL_LBL)*(INC_SPECIALS="Y"))))</f>
        <v/>
      </c>
      <c r="G169" s="64">
        <f>IF($C169="","",SUMPRODUCT(('Dvd Calendar'!$E$1748:$AR$1748&gt;=DATE(YEAR_Y-4,1,1))*('Dvd Calendar'!$E$1748:$AR$1748&lt;=DATE(YEAR_Y-4,12,31))*'Dvd Calendar'!$E$1751:$AR$1751*(('Dvd Calendar'!$E$1753:$AR$1753=TYPE1)*(TYPE1&lt;&gt;"")+('Dvd Calendar'!$E$1753:$AR$1753=TYPE2)*(TYPE2&lt;&gt;"")+('Dvd Calendar'!$E$1753:$AR$1753=TYPE3)*(TYPE3&lt;&gt;"")+('Dvd Calendar'!$E$1753:$AR$1753=TYPE4)*(TYPE4&lt;&gt;"")+('Dvd Calendar'!$E$1753:$AR$1753=SPECIAL_LBL)*(INC_SPECIALS="Y"))))</f>
        <v/>
      </c>
      <c r="H169" s="64">
        <f>IF($C169="","",SUMPRODUCT(('Dvd Calendar'!$E$1748:$AR$1748&gt;=DATE(YEAR_Y-3,1,1))*('Dvd Calendar'!$E$1748:$AR$1748&lt;=DATE(YEAR_Y-3,12,31))*'Dvd Calendar'!$E$1751:$AR$1751*(('Dvd Calendar'!$E$1753:$AR$1753=TYPE1)*(TYPE1&lt;&gt;"")+('Dvd Calendar'!$E$1753:$AR$1753=TYPE2)*(TYPE2&lt;&gt;"")+('Dvd Calendar'!$E$1753:$AR$1753=TYPE3)*(TYPE3&lt;&gt;"")+('Dvd Calendar'!$E$1753:$AR$1753=TYPE4)*(TYPE4&lt;&gt;"")+('Dvd Calendar'!$E$1753:$AR$1753=SPECIAL_LBL)*(INC_SPECIALS="Y"))))</f>
        <v/>
      </c>
      <c r="I169" s="64">
        <f>IF($C169="","",SUMPRODUCT(('Dvd Calendar'!$E$1748:$AR$1748&gt;=DATE(YEAR_Y-2,1,1))*('Dvd Calendar'!$E$1748:$AR$1748&lt;=DATE(YEAR_Y-2,12,31))*'Dvd Calendar'!$E$1751:$AR$1751*(('Dvd Calendar'!$E$1753:$AR$1753=TYPE1)*(TYPE1&lt;&gt;"")+('Dvd Calendar'!$E$1753:$AR$1753=TYPE2)*(TYPE2&lt;&gt;"")+('Dvd Calendar'!$E$1753:$AR$1753=TYPE3)*(TYPE3&lt;&gt;"")+('Dvd Calendar'!$E$1753:$AR$1753=TYPE4)*(TYPE4&lt;&gt;"")+('Dvd Calendar'!$E$1753:$AR$1753=SPECIAL_LBL)*(INC_SPECIALS="Y"))))</f>
        <v/>
      </c>
      <c r="J169" s="64">
        <f>IF($C169="","",SUMPRODUCT(('Dvd Calendar'!$E$1748:$AR$1748&gt;=DATE(YEAR_Y-1,1,1))*('Dvd Calendar'!$E$1748:$AR$1748&lt;=DATE(YEAR_Y-1,12,31))*'Dvd Calendar'!$E$1751:$AR$1751*(('Dvd Calendar'!$E$1753:$AR$1753=TYPE1)*(TYPE1&lt;&gt;"")+('Dvd Calendar'!$E$1753:$AR$1753=TYPE2)*(TYPE2&lt;&gt;"")+('Dvd Calendar'!$E$1753:$AR$1753=TYPE3)*(TYPE3&lt;&gt;"")+('Dvd Calendar'!$E$1753:$AR$1753=TYPE4)*(TYPE4&lt;&gt;"")+('Dvd Calendar'!$E$1753:$AR$1753=SPECIAL_LBL)*(INC_SPECIALS="Y"))))</f>
        <v/>
      </c>
      <c r="K169" s="65">
        <f>IF($C169="","",HSCEI!$J$24)</f>
        <v/>
      </c>
      <c r="L169" s="65">
        <f>IF($C169="","",HSCEI!$K$24)</f>
        <v/>
      </c>
      <c r="M169" s="41">
        <f>IF($C169="","",AVERAGE(F169:J169))</f>
        <v/>
      </c>
      <c r="N169" s="66">
        <f>IF($C169="","",IF(PULL_FUND="N","",IFERROR(BDP($C169,EPS_FIELD,YR_OVERRIDE,TEXT(YEAR_Y-5,"0")),"")))</f>
        <v/>
      </c>
      <c r="O169" s="67">
        <f>IF($C169="","",IF(PULL_FUND="N","",IFERROR(BDP($C169,EPS_FIELD,YR_OVERRIDE,TEXT(YEAR_Y-4,"0")),"")))</f>
        <v/>
      </c>
      <c r="P169" s="67">
        <f>IF($C169="","",IF(PULL_FUND="N","",IFERROR(BDP($C169,EPS_FIELD,YR_OVERRIDE,TEXT(YEAR_Y-3,"0")),"")))</f>
        <v/>
      </c>
      <c r="Q169" s="67">
        <f>IF($C169="","",IF(PULL_FUND="N","",IFERROR(BDP($C169,EPS_FIELD,YR_OVERRIDE,TEXT(YEAR_Y-2,"0")),"")))</f>
        <v/>
      </c>
      <c r="R169" s="67">
        <f>IF($C169="","",IF(PULL_FUND="N","",IFERROR(BDP($C169,EPS_FIELD,YR_OVERRIDE,TEXT(YEAR_Y-1,"0")),"")))</f>
        <v/>
      </c>
      <c r="S169" s="68">
        <f>IF($C169="","",IF(PULL_FUND="N","",IFERROR(BDP($C169,PAYOUT_FIELD,YR_OVERRIDE,TEXT(YEAR_Y-5,"0"))/100,"")))</f>
        <v/>
      </c>
      <c r="T169" s="68">
        <f>IF($C169="","",IF(PULL_FUND="N","",IFERROR(BDP($C169,PAYOUT_FIELD,YR_OVERRIDE,TEXT(YEAR_Y-4,"0"))/100,"")))</f>
        <v/>
      </c>
      <c r="U169" s="68">
        <f>IF($C169="","",IF(PULL_FUND="N","",IFERROR(BDP($C169,PAYOUT_FIELD,YR_OVERRIDE,TEXT(YEAR_Y-3,"0"))/100,"")))</f>
        <v/>
      </c>
      <c r="V169" s="68">
        <f>IF($C169="","",IF(PULL_FUND="N","",IFERROR(BDP($C169,PAYOUT_FIELD,YR_OVERRIDE,TEXT(YEAR_Y-2,"0"))/100,"")))</f>
        <v/>
      </c>
      <c r="W169" s="68">
        <f>IF($C169="","",IF(PULL_FUND="N","",IFERROR(BDP($C169,PAYOUT_FIELD,YR_OVERRIDE,TEXT(YEAR_Y-1,"0"))/100,"")))</f>
        <v/>
      </c>
      <c r="X169" s="69">
        <f>IF($C169="","",IFERROR(AVERAGE(S169:W169),""))</f>
        <v/>
      </c>
      <c r="Y169" s="66">
        <f>IF($C169="","",IF(PULL_FUND="N","",IFERROR(BDP($C169,BESTEPS_FIELD,FWD_OVERRIDE,TEXT(MOD(YEAR_Y,100),"00")&amp;"Y"),"")))</f>
        <v/>
      </c>
      <c r="Z169" s="70">
        <f>IF($C169="","",IF(PULL_FUND="N","",IFERROR(BDP($C169,BESTDPS_FIELD,FWD_OVERRIDE,TEXT(MOD(YEAR_Y,100),"00")&amp;"Y"),"")))</f>
        <v/>
      </c>
      <c r="AA169" s="71">
        <f>IF($C169="","",IF(ISNUMBER($Y169)*ISNUMBER($Z169)*($Y169&lt;&gt;0)=0,"",$Z169/$Y169))</f>
        <v/>
      </c>
      <c r="AB169" s="41">
        <f>IF($C169="","",HSCEI!$J$24+HSCEI!$L$24)</f>
        <v/>
      </c>
      <c r="AC169" s="72">
        <f>IF($C169="","",IF(PULL_FUND="N","",IF(COUNTIFS('Fund History'!$G$958:$G$962,"&gt;="&amp;DATE(YEAR_Y-4,1,1),'Fund History'!$G$958:$G$962,"&lt;="&amp;DATE(YEAR_Y-4,12,31))=0,"",SUMIFS('Fund History'!$H$958:$H$962,'Fund History'!$G$958:$G$962,"&gt;="&amp;DATE(YEAR_Y-4,1,1),'Fund History'!$G$958:$G$962,"&lt;="&amp;DATE(YEAR_Y-4,12,31))/100)))</f>
        <v/>
      </c>
      <c r="AD169" s="73">
        <f>IF($C169="","",IF(PULL_FUND="N","",IF(COUNTIFS('Fund History'!$G$958:$G$962,"&gt;="&amp;DATE(YEAR_Y-3,1,1),'Fund History'!$G$958:$G$962,"&lt;="&amp;DATE(YEAR_Y-3,12,31))=0,"",SUMIFS('Fund History'!$H$958:$H$962,'Fund History'!$G$958:$G$962,"&gt;="&amp;DATE(YEAR_Y-3,1,1),'Fund History'!$G$958:$G$962,"&lt;="&amp;DATE(YEAR_Y-3,12,31))/100)))</f>
        <v/>
      </c>
      <c r="AE169" s="73">
        <f>IF($C169="","",IF(PULL_FUND="N","",IF(COUNTIFS('Fund History'!$G$958:$G$962,"&gt;="&amp;DATE(YEAR_Y-2,1,1),'Fund History'!$G$958:$G$962,"&lt;="&amp;DATE(YEAR_Y-2,12,31))=0,"",SUMIFS('Fund History'!$H$958:$H$962,'Fund History'!$G$958:$G$962,"&gt;="&amp;DATE(YEAR_Y-2,1,1),'Fund History'!$G$958:$G$962,"&lt;="&amp;DATE(YEAR_Y-2,12,31))/100)))</f>
        <v/>
      </c>
      <c r="AF169" s="73">
        <f>IF($C169="","",IF(PULL_FUND="N","",IF(COUNTIFS('Fund History'!$G$958:$G$962,"&gt;="&amp;DATE(YEAR_Y-1,1,1),'Fund History'!$G$958:$G$962,"&lt;="&amp;DATE(YEAR_Y-1,12,31))=0,"",SUMIFS('Fund History'!$H$958:$H$962,'Fund History'!$G$958:$G$962,"&gt;="&amp;DATE(YEAR_Y-1,1,1),'Fund History'!$G$958:$G$962,"&lt;="&amp;DATE(YEAR_Y-1,12,31))/100)))</f>
        <v/>
      </c>
      <c r="AG169" s="74">
        <f>IF($C169="","",IF(N($AF169)+N(HSCEI!$I$24)=0,"",N($AF169)+N(HSCEI!$I$24)/100))</f>
        <v/>
      </c>
      <c r="AH169" s="66">
        <f>IF($C169="","",IF(PULL_FUND="N","",IF(COUNTIFS('Fund History'!$D$958:$D$962,"&gt;="&amp;DATE(YEAR_Y-2,1,1),'Fund History'!$D$958:$D$962,"&lt;="&amp;DATE(YEAR_Y-2,12,31))=0,"",SUMIFS('Fund History'!$E$958:$E$962,'Fund History'!$D$958:$D$962,"&gt;="&amp;DATE(YEAR_Y-2,1,1),'Fund History'!$D$958:$D$962,"&lt;="&amp;DATE(YEAR_Y-2,12,31)))))</f>
        <v/>
      </c>
      <c r="AI169" s="67">
        <f>IF($C169="","",IF(PULL_FUND="N","",IF(COUNTIFS('Fund History'!$D$958:$D$962,"&gt;="&amp;DATE(YEAR_Y-1,1,1),'Fund History'!$D$958:$D$962,"&lt;="&amp;DATE(YEAR_Y-1,12,31))=0,"",SUMIFS('Fund History'!$E$958:$E$962,'Fund History'!$D$958:$D$962,"&gt;="&amp;DATE(YEAR_Y-1,1,1),'Fund History'!$D$958:$D$962,"&lt;="&amp;DATE(YEAR_Y-1,12,31)))))</f>
        <v/>
      </c>
      <c r="AJ169" s="67">
        <f>IF($C169="","",IF(PULL_FUND="N","",IFERROR(BDP($C169,NDEBITDA_FIELD),"")))</f>
        <v/>
      </c>
      <c r="AK169" s="75">
        <f>IF($C169="","",IF(PULL_FUND="N","",IFERROR(BDP($C169,EBINT_FIELD),"")))</f>
        <v/>
      </c>
      <c r="AL169" s="73">
        <f>IF($C169="","",IF(PULL_FUND="N","",IFERROR(BDP($C169,FCF_FIELD)/100,"")))</f>
        <v/>
      </c>
      <c r="AM169" s="76">
        <f>IF($C169="","",IF(ISNUMBER(HSCEI!$I$24),HSCEI!$I$24/100,""))</f>
        <v/>
      </c>
      <c r="AN169" s="47">
        <f>IF($C169="","",IF(N($AM169)=0,"",IFERROR($AL169/$AM169,"")))</f>
        <v/>
      </c>
      <c r="AO169" s="33">
        <f>IF($C169="","",IF(ISNUMBER($S169)*ISNUMBER($W169)=0,"",IF($W169&gt;$S169+0.05,"rising",IF($W169&lt;$S169-0.05,"falling","stable"))))</f>
        <v/>
      </c>
      <c r="AP169" s="77">
        <f>IF($C169="","",TRIM(IF(ISNUMBER($X169)*(N($X169)&gt;$D$4)&gt;0,"payout high  ","")&amp;IF(ISNUMBER($AN169)*(N($AN169)&lt;$F$4)&gt;0,"FCF below dvd  ","")&amp;IF(ISNUMBER($AJ169)*(N($AJ169)&gt;$H$4)&gt;0,"leverage high","")))</f>
        <v/>
      </c>
      <c r="AQ169" s="78">
        <f>IF($C169="","",IF(HSCEI!$F$24="HKD","",HSCEI!$F$24))</f>
        <v/>
      </c>
    </row>
    <row r="170">
      <c r="B170" s="62" t="inlineStr">
        <is>
          <t>HSCEI</t>
        </is>
      </c>
      <c r="C170" s="6">
        <f>IF(HSCEI!$C$25="","",HSCEI!$C$25)</f>
        <v/>
      </c>
      <c r="D170" s="6">
        <f>IF($C170="","",HSCEI!$D$25)</f>
        <v/>
      </c>
      <c r="E170" s="6">
        <f>IF($C170="","",HSCEI!$E$25)</f>
        <v/>
      </c>
      <c r="F170" s="63">
        <f>IF($C170="","",SUMPRODUCT(('Dvd Calendar'!$E$1759:$AR$1759&gt;=DATE(YEAR_Y-5,1,1))*('Dvd Calendar'!$E$1759:$AR$1759&lt;=DATE(YEAR_Y-5,12,31))*'Dvd Calendar'!$E$1762:$AR$1762*(('Dvd Calendar'!$E$1764:$AR$1764=TYPE1)*(TYPE1&lt;&gt;"")+('Dvd Calendar'!$E$1764:$AR$1764=TYPE2)*(TYPE2&lt;&gt;"")+('Dvd Calendar'!$E$1764:$AR$1764=TYPE3)*(TYPE3&lt;&gt;"")+('Dvd Calendar'!$E$1764:$AR$1764=TYPE4)*(TYPE4&lt;&gt;"")+('Dvd Calendar'!$E$1764:$AR$1764=SPECIAL_LBL)*(INC_SPECIALS="Y"))))</f>
        <v/>
      </c>
      <c r="G170" s="64">
        <f>IF($C170="","",SUMPRODUCT(('Dvd Calendar'!$E$1759:$AR$1759&gt;=DATE(YEAR_Y-4,1,1))*('Dvd Calendar'!$E$1759:$AR$1759&lt;=DATE(YEAR_Y-4,12,31))*'Dvd Calendar'!$E$1762:$AR$1762*(('Dvd Calendar'!$E$1764:$AR$1764=TYPE1)*(TYPE1&lt;&gt;"")+('Dvd Calendar'!$E$1764:$AR$1764=TYPE2)*(TYPE2&lt;&gt;"")+('Dvd Calendar'!$E$1764:$AR$1764=TYPE3)*(TYPE3&lt;&gt;"")+('Dvd Calendar'!$E$1764:$AR$1764=TYPE4)*(TYPE4&lt;&gt;"")+('Dvd Calendar'!$E$1764:$AR$1764=SPECIAL_LBL)*(INC_SPECIALS="Y"))))</f>
        <v/>
      </c>
      <c r="H170" s="64">
        <f>IF($C170="","",SUMPRODUCT(('Dvd Calendar'!$E$1759:$AR$1759&gt;=DATE(YEAR_Y-3,1,1))*('Dvd Calendar'!$E$1759:$AR$1759&lt;=DATE(YEAR_Y-3,12,31))*'Dvd Calendar'!$E$1762:$AR$1762*(('Dvd Calendar'!$E$1764:$AR$1764=TYPE1)*(TYPE1&lt;&gt;"")+('Dvd Calendar'!$E$1764:$AR$1764=TYPE2)*(TYPE2&lt;&gt;"")+('Dvd Calendar'!$E$1764:$AR$1764=TYPE3)*(TYPE3&lt;&gt;"")+('Dvd Calendar'!$E$1764:$AR$1764=TYPE4)*(TYPE4&lt;&gt;"")+('Dvd Calendar'!$E$1764:$AR$1764=SPECIAL_LBL)*(INC_SPECIALS="Y"))))</f>
        <v/>
      </c>
      <c r="I170" s="64">
        <f>IF($C170="","",SUMPRODUCT(('Dvd Calendar'!$E$1759:$AR$1759&gt;=DATE(YEAR_Y-2,1,1))*('Dvd Calendar'!$E$1759:$AR$1759&lt;=DATE(YEAR_Y-2,12,31))*'Dvd Calendar'!$E$1762:$AR$1762*(('Dvd Calendar'!$E$1764:$AR$1764=TYPE1)*(TYPE1&lt;&gt;"")+('Dvd Calendar'!$E$1764:$AR$1764=TYPE2)*(TYPE2&lt;&gt;"")+('Dvd Calendar'!$E$1764:$AR$1764=TYPE3)*(TYPE3&lt;&gt;"")+('Dvd Calendar'!$E$1764:$AR$1764=TYPE4)*(TYPE4&lt;&gt;"")+('Dvd Calendar'!$E$1764:$AR$1764=SPECIAL_LBL)*(INC_SPECIALS="Y"))))</f>
        <v/>
      </c>
      <c r="J170" s="64">
        <f>IF($C170="","",SUMPRODUCT(('Dvd Calendar'!$E$1759:$AR$1759&gt;=DATE(YEAR_Y-1,1,1))*('Dvd Calendar'!$E$1759:$AR$1759&lt;=DATE(YEAR_Y-1,12,31))*'Dvd Calendar'!$E$1762:$AR$1762*(('Dvd Calendar'!$E$1764:$AR$1764=TYPE1)*(TYPE1&lt;&gt;"")+('Dvd Calendar'!$E$1764:$AR$1764=TYPE2)*(TYPE2&lt;&gt;"")+('Dvd Calendar'!$E$1764:$AR$1764=TYPE3)*(TYPE3&lt;&gt;"")+('Dvd Calendar'!$E$1764:$AR$1764=TYPE4)*(TYPE4&lt;&gt;"")+('Dvd Calendar'!$E$1764:$AR$1764=SPECIAL_LBL)*(INC_SPECIALS="Y"))))</f>
        <v/>
      </c>
      <c r="K170" s="65">
        <f>IF($C170="","",HSCEI!$J$25)</f>
        <v/>
      </c>
      <c r="L170" s="65">
        <f>IF($C170="","",HSCEI!$K$25)</f>
        <v/>
      </c>
      <c r="M170" s="41">
        <f>IF($C170="","",AVERAGE(F170:J170))</f>
        <v/>
      </c>
      <c r="N170" s="66">
        <f>IF($C170="","",IF(PULL_FUND="N","",IFERROR(BDP($C170,EPS_FIELD,YR_OVERRIDE,TEXT(YEAR_Y-5,"0")),"")))</f>
        <v/>
      </c>
      <c r="O170" s="67">
        <f>IF($C170="","",IF(PULL_FUND="N","",IFERROR(BDP($C170,EPS_FIELD,YR_OVERRIDE,TEXT(YEAR_Y-4,"0")),"")))</f>
        <v/>
      </c>
      <c r="P170" s="67">
        <f>IF($C170="","",IF(PULL_FUND="N","",IFERROR(BDP($C170,EPS_FIELD,YR_OVERRIDE,TEXT(YEAR_Y-3,"0")),"")))</f>
        <v/>
      </c>
      <c r="Q170" s="67">
        <f>IF($C170="","",IF(PULL_FUND="N","",IFERROR(BDP($C170,EPS_FIELD,YR_OVERRIDE,TEXT(YEAR_Y-2,"0")),"")))</f>
        <v/>
      </c>
      <c r="R170" s="67">
        <f>IF($C170="","",IF(PULL_FUND="N","",IFERROR(BDP($C170,EPS_FIELD,YR_OVERRIDE,TEXT(YEAR_Y-1,"0")),"")))</f>
        <v/>
      </c>
      <c r="S170" s="68">
        <f>IF($C170="","",IF(PULL_FUND="N","",IFERROR(BDP($C170,PAYOUT_FIELD,YR_OVERRIDE,TEXT(YEAR_Y-5,"0"))/100,"")))</f>
        <v/>
      </c>
      <c r="T170" s="68">
        <f>IF($C170="","",IF(PULL_FUND="N","",IFERROR(BDP($C170,PAYOUT_FIELD,YR_OVERRIDE,TEXT(YEAR_Y-4,"0"))/100,"")))</f>
        <v/>
      </c>
      <c r="U170" s="68">
        <f>IF($C170="","",IF(PULL_FUND="N","",IFERROR(BDP($C170,PAYOUT_FIELD,YR_OVERRIDE,TEXT(YEAR_Y-3,"0"))/100,"")))</f>
        <v/>
      </c>
      <c r="V170" s="68">
        <f>IF($C170="","",IF(PULL_FUND="N","",IFERROR(BDP($C170,PAYOUT_FIELD,YR_OVERRIDE,TEXT(YEAR_Y-2,"0"))/100,"")))</f>
        <v/>
      </c>
      <c r="W170" s="68">
        <f>IF($C170="","",IF(PULL_FUND="N","",IFERROR(BDP($C170,PAYOUT_FIELD,YR_OVERRIDE,TEXT(YEAR_Y-1,"0"))/100,"")))</f>
        <v/>
      </c>
      <c r="X170" s="69">
        <f>IF($C170="","",IFERROR(AVERAGE(S170:W170),""))</f>
        <v/>
      </c>
      <c r="Y170" s="66">
        <f>IF($C170="","",IF(PULL_FUND="N","",IFERROR(BDP($C170,BESTEPS_FIELD,FWD_OVERRIDE,TEXT(MOD(YEAR_Y,100),"00")&amp;"Y"),"")))</f>
        <v/>
      </c>
      <c r="Z170" s="70">
        <f>IF($C170="","",IF(PULL_FUND="N","",IFERROR(BDP($C170,BESTDPS_FIELD,FWD_OVERRIDE,TEXT(MOD(YEAR_Y,100),"00")&amp;"Y"),"")))</f>
        <v/>
      </c>
      <c r="AA170" s="71">
        <f>IF($C170="","",IF(ISNUMBER($Y170)*ISNUMBER($Z170)*($Y170&lt;&gt;0)=0,"",$Z170/$Y170))</f>
        <v/>
      </c>
      <c r="AB170" s="41">
        <f>IF($C170="","",HSCEI!$J$25+HSCEI!$L$25)</f>
        <v/>
      </c>
      <c r="AC170" s="72">
        <f>IF($C170="","",IF(PULL_FUND="N","",IF(COUNTIFS('Fund History'!$G$964:$G$968,"&gt;="&amp;DATE(YEAR_Y-4,1,1),'Fund History'!$G$964:$G$968,"&lt;="&amp;DATE(YEAR_Y-4,12,31))=0,"",SUMIFS('Fund History'!$H$964:$H$968,'Fund History'!$G$964:$G$968,"&gt;="&amp;DATE(YEAR_Y-4,1,1),'Fund History'!$G$964:$G$968,"&lt;="&amp;DATE(YEAR_Y-4,12,31))/100)))</f>
        <v/>
      </c>
      <c r="AD170" s="73">
        <f>IF($C170="","",IF(PULL_FUND="N","",IF(COUNTIFS('Fund History'!$G$964:$G$968,"&gt;="&amp;DATE(YEAR_Y-3,1,1),'Fund History'!$G$964:$G$968,"&lt;="&amp;DATE(YEAR_Y-3,12,31))=0,"",SUMIFS('Fund History'!$H$964:$H$968,'Fund History'!$G$964:$G$968,"&gt;="&amp;DATE(YEAR_Y-3,1,1),'Fund History'!$G$964:$G$968,"&lt;="&amp;DATE(YEAR_Y-3,12,31))/100)))</f>
        <v/>
      </c>
      <c r="AE170" s="73">
        <f>IF($C170="","",IF(PULL_FUND="N","",IF(COUNTIFS('Fund History'!$G$964:$G$968,"&gt;="&amp;DATE(YEAR_Y-2,1,1),'Fund History'!$G$964:$G$968,"&lt;="&amp;DATE(YEAR_Y-2,12,31))=0,"",SUMIFS('Fund History'!$H$964:$H$968,'Fund History'!$G$964:$G$968,"&gt;="&amp;DATE(YEAR_Y-2,1,1),'Fund History'!$G$964:$G$968,"&lt;="&amp;DATE(YEAR_Y-2,12,31))/100)))</f>
        <v/>
      </c>
      <c r="AF170" s="73">
        <f>IF($C170="","",IF(PULL_FUND="N","",IF(COUNTIFS('Fund History'!$G$964:$G$968,"&gt;="&amp;DATE(YEAR_Y-1,1,1),'Fund History'!$G$964:$G$968,"&lt;="&amp;DATE(YEAR_Y-1,12,31))=0,"",SUMIFS('Fund History'!$H$964:$H$968,'Fund History'!$G$964:$G$968,"&gt;="&amp;DATE(YEAR_Y-1,1,1),'Fund History'!$G$964:$G$968,"&lt;="&amp;DATE(YEAR_Y-1,12,31))/100)))</f>
        <v/>
      </c>
      <c r="AG170" s="74">
        <f>IF($C170="","",IF(N($AF170)+N(HSCEI!$I$25)=0,"",N($AF170)+N(HSCEI!$I$25)/100))</f>
        <v/>
      </c>
      <c r="AH170" s="66">
        <f>IF($C170="","",IF(PULL_FUND="N","",IF(COUNTIFS('Fund History'!$D$964:$D$968,"&gt;="&amp;DATE(YEAR_Y-2,1,1),'Fund History'!$D$964:$D$968,"&lt;="&amp;DATE(YEAR_Y-2,12,31))=0,"",SUMIFS('Fund History'!$E$964:$E$968,'Fund History'!$D$964:$D$968,"&gt;="&amp;DATE(YEAR_Y-2,1,1),'Fund History'!$D$964:$D$968,"&lt;="&amp;DATE(YEAR_Y-2,12,31)))))</f>
        <v/>
      </c>
      <c r="AI170" s="67">
        <f>IF($C170="","",IF(PULL_FUND="N","",IF(COUNTIFS('Fund History'!$D$964:$D$968,"&gt;="&amp;DATE(YEAR_Y-1,1,1),'Fund History'!$D$964:$D$968,"&lt;="&amp;DATE(YEAR_Y-1,12,31))=0,"",SUMIFS('Fund History'!$E$964:$E$968,'Fund History'!$D$964:$D$968,"&gt;="&amp;DATE(YEAR_Y-1,1,1),'Fund History'!$D$964:$D$968,"&lt;="&amp;DATE(YEAR_Y-1,12,31)))))</f>
        <v/>
      </c>
      <c r="AJ170" s="67">
        <f>IF($C170="","",IF(PULL_FUND="N","",IFERROR(BDP($C170,NDEBITDA_FIELD),"")))</f>
        <v/>
      </c>
      <c r="AK170" s="75">
        <f>IF($C170="","",IF(PULL_FUND="N","",IFERROR(BDP($C170,EBINT_FIELD),"")))</f>
        <v/>
      </c>
      <c r="AL170" s="73">
        <f>IF($C170="","",IF(PULL_FUND="N","",IFERROR(BDP($C170,FCF_FIELD)/100,"")))</f>
        <v/>
      </c>
      <c r="AM170" s="76">
        <f>IF($C170="","",IF(ISNUMBER(HSCEI!$I$25),HSCEI!$I$25/100,""))</f>
        <v/>
      </c>
      <c r="AN170" s="47">
        <f>IF($C170="","",IF(N($AM170)=0,"",IFERROR($AL170/$AM170,"")))</f>
        <v/>
      </c>
      <c r="AO170" s="33">
        <f>IF($C170="","",IF(ISNUMBER($S170)*ISNUMBER($W170)=0,"",IF($W170&gt;$S170+0.05,"rising",IF($W170&lt;$S170-0.05,"falling","stable"))))</f>
        <v/>
      </c>
      <c r="AP170" s="77">
        <f>IF($C170="","",TRIM(IF(ISNUMBER($X170)*(N($X170)&gt;$D$4)&gt;0,"payout high  ","")&amp;IF(ISNUMBER($AN170)*(N($AN170)&lt;$F$4)&gt;0,"FCF below dvd  ","")&amp;IF(ISNUMBER($AJ170)*(N($AJ170)&gt;$H$4)&gt;0,"leverage high","")))</f>
        <v/>
      </c>
      <c r="AQ170" s="78">
        <f>IF($C170="","",IF(HSCEI!$F$25="HKD","",HSCEI!$F$25))</f>
        <v/>
      </c>
    </row>
    <row r="171">
      <c r="B171" s="62" t="inlineStr">
        <is>
          <t>HSCEI</t>
        </is>
      </c>
      <c r="C171" s="6">
        <f>IF(HSCEI!$C$26="","",HSCEI!$C$26)</f>
        <v/>
      </c>
      <c r="D171" s="6">
        <f>IF($C171="","",HSCEI!$D$26)</f>
        <v/>
      </c>
      <c r="E171" s="6">
        <f>IF($C171="","",HSCEI!$E$26)</f>
        <v/>
      </c>
      <c r="F171" s="63">
        <f>IF($C171="","",SUMPRODUCT(('Dvd Calendar'!$E$1770:$AR$1770&gt;=DATE(YEAR_Y-5,1,1))*('Dvd Calendar'!$E$1770:$AR$1770&lt;=DATE(YEAR_Y-5,12,31))*'Dvd Calendar'!$E$1773:$AR$1773*(('Dvd Calendar'!$E$1775:$AR$1775=TYPE1)*(TYPE1&lt;&gt;"")+('Dvd Calendar'!$E$1775:$AR$1775=TYPE2)*(TYPE2&lt;&gt;"")+('Dvd Calendar'!$E$1775:$AR$1775=TYPE3)*(TYPE3&lt;&gt;"")+('Dvd Calendar'!$E$1775:$AR$1775=TYPE4)*(TYPE4&lt;&gt;"")+('Dvd Calendar'!$E$1775:$AR$1775=SPECIAL_LBL)*(INC_SPECIALS="Y"))))</f>
        <v/>
      </c>
      <c r="G171" s="64">
        <f>IF($C171="","",SUMPRODUCT(('Dvd Calendar'!$E$1770:$AR$1770&gt;=DATE(YEAR_Y-4,1,1))*('Dvd Calendar'!$E$1770:$AR$1770&lt;=DATE(YEAR_Y-4,12,31))*'Dvd Calendar'!$E$1773:$AR$1773*(('Dvd Calendar'!$E$1775:$AR$1775=TYPE1)*(TYPE1&lt;&gt;"")+('Dvd Calendar'!$E$1775:$AR$1775=TYPE2)*(TYPE2&lt;&gt;"")+('Dvd Calendar'!$E$1775:$AR$1775=TYPE3)*(TYPE3&lt;&gt;"")+('Dvd Calendar'!$E$1775:$AR$1775=TYPE4)*(TYPE4&lt;&gt;"")+('Dvd Calendar'!$E$1775:$AR$1775=SPECIAL_LBL)*(INC_SPECIALS="Y"))))</f>
        <v/>
      </c>
      <c r="H171" s="64">
        <f>IF($C171="","",SUMPRODUCT(('Dvd Calendar'!$E$1770:$AR$1770&gt;=DATE(YEAR_Y-3,1,1))*('Dvd Calendar'!$E$1770:$AR$1770&lt;=DATE(YEAR_Y-3,12,31))*'Dvd Calendar'!$E$1773:$AR$1773*(('Dvd Calendar'!$E$1775:$AR$1775=TYPE1)*(TYPE1&lt;&gt;"")+('Dvd Calendar'!$E$1775:$AR$1775=TYPE2)*(TYPE2&lt;&gt;"")+('Dvd Calendar'!$E$1775:$AR$1775=TYPE3)*(TYPE3&lt;&gt;"")+('Dvd Calendar'!$E$1775:$AR$1775=TYPE4)*(TYPE4&lt;&gt;"")+('Dvd Calendar'!$E$1775:$AR$1775=SPECIAL_LBL)*(INC_SPECIALS="Y"))))</f>
        <v/>
      </c>
      <c r="I171" s="64">
        <f>IF($C171="","",SUMPRODUCT(('Dvd Calendar'!$E$1770:$AR$1770&gt;=DATE(YEAR_Y-2,1,1))*('Dvd Calendar'!$E$1770:$AR$1770&lt;=DATE(YEAR_Y-2,12,31))*'Dvd Calendar'!$E$1773:$AR$1773*(('Dvd Calendar'!$E$1775:$AR$1775=TYPE1)*(TYPE1&lt;&gt;"")+('Dvd Calendar'!$E$1775:$AR$1775=TYPE2)*(TYPE2&lt;&gt;"")+('Dvd Calendar'!$E$1775:$AR$1775=TYPE3)*(TYPE3&lt;&gt;"")+('Dvd Calendar'!$E$1775:$AR$1775=TYPE4)*(TYPE4&lt;&gt;"")+('Dvd Calendar'!$E$1775:$AR$1775=SPECIAL_LBL)*(INC_SPECIALS="Y"))))</f>
        <v/>
      </c>
      <c r="J171" s="64">
        <f>IF($C171="","",SUMPRODUCT(('Dvd Calendar'!$E$1770:$AR$1770&gt;=DATE(YEAR_Y-1,1,1))*('Dvd Calendar'!$E$1770:$AR$1770&lt;=DATE(YEAR_Y-1,12,31))*'Dvd Calendar'!$E$1773:$AR$1773*(('Dvd Calendar'!$E$1775:$AR$1775=TYPE1)*(TYPE1&lt;&gt;"")+('Dvd Calendar'!$E$1775:$AR$1775=TYPE2)*(TYPE2&lt;&gt;"")+('Dvd Calendar'!$E$1775:$AR$1775=TYPE3)*(TYPE3&lt;&gt;"")+('Dvd Calendar'!$E$1775:$AR$1775=TYPE4)*(TYPE4&lt;&gt;"")+('Dvd Calendar'!$E$1775:$AR$1775=SPECIAL_LBL)*(INC_SPECIALS="Y"))))</f>
        <v/>
      </c>
      <c r="K171" s="65">
        <f>IF($C171="","",HSCEI!$J$26)</f>
        <v/>
      </c>
      <c r="L171" s="65">
        <f>IF($C171="","",HSCEI!$K$26)</f>
        <v/>
      </c>
      <c r="M171" s="41">
        <f>IF($C171="","",AVERAGE(F171:J171))</f>
        <v/>
      </c>
      <c r="N171" s="66">
        <f>IF($C171="","",IF(PULL_FUND="N","",IFERROR(BDP($C171,EPS_FIELD,YR_OVERRIDE,TEXT(YEAR_Y-5,"0")),"")))</f>
        <v/>
      </c>
      <c r="O171" s="67">
        <f>IF($C171="","",IF(PULL_FUND="N","",IFERROR(BDP($C171,EPS_FIELD,YR_OVERRIDE,TEXT(YEAR_Y-4,"0")),"")))</f>
        <v/>
      </c>
      <c r="P171" s="67">
        <f>IF($C171="","",IF(PULL_FUND="N","",IFERROR(BDP($C171,EPS_FIELD,YR_OVERRIDE,TEXT(YEAR_Y-3,"0")),"")))</f>
        <v/>
      </c>
      <c r="Q171" s="67">
        <f>IF($C171="","",IF(PULL_FUND="N","",IFERROR(BDP($C171,EPS_FIELD,YR_OVERRIDE,TEXT(YEAR_Y-2,"0")),"")))</f>
        <v/>
      </c>
      <c r="R171" s="67">
        <f>IF($C171="","",IF(PULL_FUND="N","",IFERROR(BDP($C171,EPS_FIELD,YR_OVERRIDE,TEXT(YEAR_Y-1,"0")),"")))</f>
        <v/>
      </c>
      <c r="S171" s="68">
        <f>IF($C171="","",IF(PULL_FUND="N","",IFERROR(BDP($C171,PAYOUT_FIELD,YR_OVERRIDE,TEXT(YEAR_Y-5,"0"))/100,"")))</f>
        <v/>
      </c>
      <c r="T171" s="68">
        <f>IF($C171="","",IF(PULL_FUND="N","",IFERROR(BDP($C171,PAYOUT_FIELD,YR_OVERRIDE,TEXT(YEAR_Y-4,"0"))/100,"")))</f>
        <v/>
      </c>
      <c r="U171" s="68">
        <f>IF($C171="","",IF(PULL_FUND="N","",IFERROR(BDP($C171,PAYOUT_FIELD,YR_OVERRIDE,TEXT(YEAR_Y-3,"0"))/100,"")))</f>
        <v/>
      </c>
      <c r="V171" s="68">
        <f>IF($C171="","",IF(PULL_FUND="N","",IFERROR(BDP($C171,PAYOUT_FIELD,YR_OVERRIDE,TEXT(YEAR_Y-2,"0"))/100,"")))</f>
        <v/>
      </c>
      <c r="W171" s="68">
        <f>IF($C171="","",IF(PULL_FUND="N","",IFERROR(BDP($C171,PAYOUT_FIELD,YR_OVERRIDE,TEXT(YEAR_Y-1,"0"))/100,"")))</f>
        <v/>
      </c>
      <c r="X171" s="69">
        <f>IF($C171="","",IFERROR(AVERAGE(S171:W171),""))</f>
        <v/>
      </c>
      <c r="Y171" s="66">
        <f>IF($C171="","",IF(PULL_FUND="N","",IFERROR(BDP($C171,BESTEPS_FIELD,FWD_OVERRIDE,TEXT(MOD(YEAR_Y,100),"00")&amp;"Y"),"")))</f>
        <v/>
      </c>
      <c r="Z171" s="70">
        <f>IF($C171="","",IF(PULL_FUND="N","",IFERROR(BDP($C171,BESTDPS_FIELD,FWD_OVERRIDE,TEXT(MOD(YEAR_Y,100),"00")&amp;"Y"),"")))</f>
        <v/>
      </c>
      <c r="AA171" s="71">
        <f>IF($C171="","",IF(ISNUMBER($Y171)*ISNUMBER($Z171)*($Y171&lt;&gt;0)=0,"",$Z171/$Y171))</f>
        <v/>
      </c>
      <c r="AB171" s="41">
        <f>IF($C171="","",HSCEI!$J$26+HSCEI!$L$26)</f>
        <v/>
      </c>
      <c r="AC171" s="72">
        <f>IF($C171="","",IF(PULL_FUND="N","",IF(COUNTIFS('Fund History'!$G$970:$G$974,"&gt;="&amp;DATE(YEAR_Y-4,1,1),'Fund History'!$G$970:$G$974,"&lt;="&amp;DATE(YEAR_Y-4,12,31))=0,"",SUMIFS('Fund History'!$H$970:$H$974,'Fund History'!$G$970:$G$974,"&gt;="&amp;DATE(YEAR_Y-4,1,1),'Fund History'!$G$970:$G$974,"&lt;="&amp;DATE(YEAR_Y-4,12,31))/100)))</f>
        <v/>
      </c>
      <c r="AD171" s="73">
        <f>IF($C171="","",IF(PULL_FUND="N","",IF(COUNTIFS('Fund History'!$G$970:$G$974,"&gt;="&amp;DATE(YEAR_Y-3,1,1),'Fund History'!$G$970:$G$974,"&lt;="&amp;DATE(YEAR_Y-3,12,31))=0,"",SUMIFS('Fund History'!$H$970:$H$974,'Fund History'!$G$970:$G$974,"&gt;="&amp;DATE(YEAR_Y-3,1,1),'Fund History'!$G$970:$G$974,"&lt;="&amp;DATE(YEAR_Y-3,12,31))/100)))</f>
        <v/>
      </c>
      <c r="AE171" s="73">
        <f>IF($C171="","",IF(PULL_FUND="N","",IF(COUNTIFS('Fund History'!$G$970:$G$974,"&gt;="&amp;DATE(YEAR_Y-2,1,1),'Fund History'!$G$970:$G$974,"&lt;="&amp;DATE(YEAR_Y-2,12,31))=0,"",SUMIFS('Fund History'!$H$970:$H$974,'Fund History'!$G$970:$G$974,"&gt;="&amp;DATE(YEAR_Y-2,1,1),'Fund History'!$G$970:$G$974,"&lt;="&amp;DATE(YEAR_Y-2,12,31))/100)))</f>
        <v/>
      </c>
      <c r="AF171" s="73">
        <f>IF($C171="","",IF(PULL_FUND="N","",IF(COUNTIFS('Fund History'!$G$970:$G$974,"&gt;="&amp;DATE(YEAR_Y-1,1,1),'Fund History'!$G$970:$G$974,"&lt;="&amp;DATE(YEAR_Y-1,12,31))=0,"",SUMIFS('Fund History'!$H$970:$H$974,'Fund History'!$G$970:$G$974,"&gt;="&amp;DATE(YEAR_Y-1,1,1),'Fund History'!$G$970:$G$974,"&lt;="&amp;DATE(YEAR_Y-1,12,31))/100)))</f>
        <v/>
      </c>
      <c r="AG171" s="74">
        <f>IF($C171="","",IF(N($AF171)+N(HSCEI!$I$26)=0,"",N($AF171)+N(HSCEI!$I$26)/100))</f>
        <v/>
      </c>
      <c r="AH171" s="66">
        <f>IF($C171="","",IF(PULL_FUND="N","",IF(COUNTIFS('Fund History'!$D$970:$D$974,"&gt;="&amp;DATE(YEAR_Y-2,1,1),'Fund History'!$D$970:$D$974,"&lt;="&amp;DATE(YEAR_Y-2,12,31))=0,"",SUMIFS('Fund History'!$E$970:$E$974,'Fund History'!$D$970:$D$974,"&gt;="&amp;DATE(YEAR_Y-2,1,1),'Fund History'!$D$970:$D$974,"&lt;="&amp;DATE(YEAR_Y-2,12,31)))))</f>
        <v/>
      </c>
      <c r="AI171" s="67">
        <f>IF($C171="","",IF(PULL_FUND="N","",IF(COUNTIFS('Fund History'!$D$970:$D$974,"&gt;="&amp;DATE(YEAR_Y-1,1,1),'Fund History'!$D$970:$D$974,"&lt;="&amp;DATE(YEAR_Y-1,12,31))=0,"",SUMIFS('Fund History'!$E$970:$E$974,'Fund History'!$D$970:$D$974,"&gt;="&amp;DATE(YEAR_Y-1,1,1),'Fund History'!$D$970:$D$974,"&lt;="&amp;DATE(YEAR_Y-1,12,31)))))</f>
        <v/>
      </c>
      <c r="AJ171" s="67">
        <f>IF($C171="","",IF(PULL_FUND="N","",IFERROR(BDP($C171,NDEBITDA_FIELD),"")))</f>
        <v/>
      </c>
      <c r="AK171" s="75">
        <f>IF($C171="","",IF(PULL_FUND="N","",IFERROR(BDP($C171,EBINT_FIELD),"")))</f>
        <v/>
      </c>
      <c r="AL171" s="73">
        <f>IF($C171="","",IF(PULL_FUND="N","",IFERROR(BDP($C171,FCF_FIELD)/100,"")))</f>
        <v/>
      </c>
      <c r="AM171" s="76">
        <f>IF($C171="","",IF(ISNUMBER(HSCEI!$I$26),HSCEI!$I$26/100,""))</f>
        <v/>
      </c>
      <c r="AN171" s="47">
        <f>IF($C171="","",IF(N($AM171)=0,"",IFERROR($AL171/$AM171,"")))</f>
        <v/>
      </c>
      <c r="AO171" s="33">
        <f>IF($C171="","",IF(ISNUMBER($S171)*ISNUMBER($W171)=0,"",IF($W171&gt;$S171+0.05,"rising",IF($W171&lt;$S171-0.05,"falling","stable"))))</f>
        <v/>
      </c>
      <c r="AP171" s="77">
        <f>IF($C171="","",TRIM(IF(ISNUMBER($X171)*(N($X171)&gt;$D$4)&gt;0,"payout high  ","")&amp;IF(ISNUMBER($AN171)*(N($AN171)&lt;$F$4)&gt;0,"FCF below dvd  ","")&amp;IF(ISNUMBER($AJ171)*(N($AJ171)&gt;$H$4)&gt;0,"leverage high","")))</f>
        <v/>
      </c>
      <c r="AQ171" s="78">
        <f>IF($C171="","",IF(HSCEI!$F$26="HKD","",HSCEI!$F$26))</f>
        <v/>
      </c>
    </row>
    <row r="172">
      <c r="B172" s="62" t="inlineStr">
        <is>
          <t>HSCEI</t>
        </is>
      </c>
      <c r="C172" s="6">
        <f>IF(HSCEI!$C$27="","",HSCEI!$C$27)</f>
        <v/>
      </c>
      <c r="D172" s="6">
        <f>IF($C172="","",HSCEI!$D$27)</f>
        <v/>
      </c>
      <c r="E172" s="6">
        <f>IF($C172="","",HSCEI!$E$27)</f>
        <v/>
      </c>
      <c r="F172" s="63">
        <f>IF($C172="","",SUMPRODUCT(('Dvd Calendar'!$E$1781:$AR$1781&gt;=DATE(YEAR_Y-5,1,1))*('Dvd Calendar'!$E$1781:$AR$1781&lt;=DATE(YEAR_Y-5,12,31))*'Dvd Calendar'!$E$1784:$AR$1784*(('Dvd Calendar'!$E$1786:$AR$1786=TYPE1)*(TYPE1&lt;&gt;"")+('Dvd Calendar'!$E$1786:$AR$1786=TYPE2)*(TYPE2&lt;&gt;"")+('Dvd Calendar'!$E$1786:$AR$1786=TYPE3)*(TYPE3&lt;&gt;"")+('Dvd Calendar'!$E$1786:$AR$1786=TYPE4)*(TYPE4&lt;&gt;"")+('Dvd Calendar'!$E$1786:$AR$1786=SPECIAL_LBL)*(INC_SPECIALS="Y"))))</f>
        <v/>
      </c>
      <c r="G172" s="64">
        <f>IF($C172="","",SUMPRODUCT(('Dvd Calendar'!$E$1781:$AR$1781&gt;=DATE(YEAR_Y-4,1,1))*('Dvd Calendar'!$E$1781:$AR$1781&lt;=DATE(YEAR_Y-4,12,31))*'Dvd Calendar'!$E$1784:$AR$1784*(('Dvd Calendar'!$E$1786:$AR$1786=TYPE1)*(TYPE1&lt;&gt;"")+('Dvd Calendar'!$E$1786:$AR$1786=TYPE2)*(TYPE2&lt;&gt;"")+('Dvd Calendar'!$E$1786:$AR$1786=TYPE3)*(TYPE3&lt;&gt;"")+('Dvd Calendar'!$E$1786:$AR$1786=TYPE4)*(TYPE4&lt;&gt;"")+('Dvd Calendar'!$E$1786:$AR$1786=SPECIAL_LBL)*(INC_SPECIALS="Y"))))</f>
        <v/>
      </c>
      <c r="H172" s="64">
        <f>IF($C172="","",SUMPRODUCT(('Dvd Calendar'!$E$1781:$AR$1781&gt;=DATE(YEAR_Y-3,1,1))*('Dvd Calendar'!$E$1781:$AR$1781&lt;=DATE(YEAR_Y-3,12,31))*'Dvd Calendar'!$E$1784:$AR$1784*(('Dvd Calendar'!$E$1786:$AR$1786=TYPE1)*(TYPE1&lt;&gt;"")+('Dvd Calendar'!$E$1786:$AR$1786=TYPE2)*(TYPE2&lt;&gt;"")+('Dvd Calendar'!$E$1786:$AR$1786=TYPE3)*(TYPE3&lt;&gt;"")+('Dvd Calendar'!$E$1786:$AR$1786=TYPE4)*(TYPE4&lt;&gt;"")+('Dvd Calendar'!$E$1786:$AR$1786=SPECIAL_LBL)*(INC_SPECIALS="Y"))))</f>
        <v/>
      </c>
      <c r="I172" s="64">
        <f>IF($C172="","",SUMPRODUCT(('Dvd Calendar'!$E$1781:$AR$1781&gt;=DATE(YEAR_Y-2,1,1))*('Dvd Calendar'!$E$1781:$AR$1781&lt;=DATE(YEAR_Y-2,12,31))*'Dvd Calendar'!$E$1784:$AR$1784*(('Dvd Calendar'!$E$1786:$AR$1786=TYPE1)*(TYPE1&lt;&gt;"")+('Dvd Calendar'!$E$1786:$AR$1786=TYPE2)*(TYPE2&lt;&gt;"")+('Dvd Calendar'!$E$1786:$AR$1786=TYPE3)*(TYPE3&lt;&gt;"")+('Dvd Calendar'!$E$1786:$AR$1786=TYPE4)*(TYPE4&lt;&gt;"")+('Dvd Calendar'!$E$1786:$AR$1786=SPECIAL_LBL)*(INC_SPECIALS="Y"))))</f>
        <v/>
      </c>
      <c r="J172" s="64">
        <f>IF($C172="","",SUMPRODUCT(('Dvd Calendar'!$E$1781:$AR$1781&gt;=DATE(YEAR_Y-1,1,1))*('Dvd Calendar'!$E$1781:$AR$1781&lt;=DATE(YEAR_Y-1,12,31))*'Dvd Calendar'!$E$1784:$AR$1784*(('Dvd Calendar'!$E$1786:$AR$1786=TYPE1)*(TYPE1&lt;&gt;"")+('Dvd Calendar'!$E$1786:$AR$1786=TYPE2)*(TYPE2&lt;&gt;"")+('Dvd Calendar'!$E$1786:$AR$1786=TYPE3)*(TYPE3&lt;&gt;"")+('Dvd Calendar'!$E$1786:$AR$1786=TYPE4)*(TYPE4&lt;&gt;"")+('Dvd Calendar'!$E$1786:$AR$1786=SPECIAL_LBL)*(INC_SPECIALS="Y"))))</f>
        <v/>
      </c>
      <c r="K172" s="65">
        <f>IF($C172="","",HSCEI!$J$27)</f>
        <v/>
      </c>
      <c r="L172" s="65">
        <f>IF($C172="","",HSCEI!$K$27)</f>
        <v/>
      </c>
      <c r="M172" s="41">
        <f>IF($C172="","",AVERAGE(F172:J172))</f>
        <v/>
      </c>
      <c r="N172" s="66">
        <f>IF($C172="","",IF(PULL_FUND="N","",IFERROR(BDP($C172,EPS_FIELD,YR_OVERRIDE,TEXT(YEAR_Y-5,"0")),"")))</f>
        <v/>
      </c>
      <c r="O172" s="67">
        <f>IF($C172="","",IF(PULL_FUND="N","",IFERROR(BDP($C172,EPS_FIELD,YR_OVERRIDE,TEXT(YEAR_Y-4,"0")),"")))</f>
        <v/>
      </c>
      <c r="P172" s="67">
        <f>IF($C172="","",IF(PULL_FUND="N","",IFERROR(BDP($C172,EPS_FIELD,YR_OVERRIDE,TEXT(YEAR_Y-3,"0")),"")))</f>
        <v/>
      </c>
      <c r="Q172" s="67">
        <f>IF($C172="","",IF(PULL_FUND="N","",IFERROR(BDP($C172,EPS_FIELD,YR_OVERRIDE,TEXT(YEAR_Y-2,"0")),"")))</f>
        <v/>
      </c>
      <c r="R172" s="67">
        <f>IF($C172="","",IF(PULL_FUND="N","",IFERROR(BDP($C172,EPS_FIELD,YR_OVERRIDE,TEXT(YEAR_Y-1,"0")),"")))</f>
        <v/>
      </c>
      <c r="S172" s="68">
        <f>IF($C172="","",IF(PULL_FUND="N","",IFERROR(BDP($C172,PAYOUT_FIELD,YR_OVERRIDE,TEXT(YEAR_Y-5,"0"))/100,"")))</f>
        <v/>
      </c>
      <c r="T172" s="68">
        <f>IF($C172="","",IF(PULL_FUND="N","",IFERROR(BDP($C172,PAYOUT_FIELD,YR_OVERRIDE,TEXT(YEAR_Y-4,"0"))/100,"")))</f>
        <v/>
      </c>
      <c r="U172" s="68">
        <f>IF($C172="","",IF(PULL_FUND="N","",IFERROR(BDP($C172,PAYOUT_FIELD,YR_OVERRIDE,TEXT(YEAR_Y-3,"0"))/100,"")))</f>
        <v/>
      </c>
      <c r="V172" s="68">
        <f>IF($C172="","",IF(PULL_FUND="N","",IFERROR(BDP($C172,PAYOUT_FIELD,YR_OVERRIDE,TEXT(YEAR_Y-2,"0"))/100,"")))</f>
        <v/>
      </c>
      <c r="W172" s="68">
        <f>IF($C172="","",IF(PULL_FUND="N","",IFERROR(BDP($C172,PAYOUT_FIELD,YR_OVERRIDE,TEXT(YEAR_Y-1,"0"))/100,"")))</f>
        <v/>
      </c>
      <c r="X172" s="69">
        <f>IF($C172="","",IFERROR(AVERAGE(S172:W172),""))</f>
        <v/>
      </c>
      <c r="Y172" s="66">
        <f>IF($C172="","",IF(PULL_FUND="N","",IFERROR(BDP($C172,BESTEPS_FIELD,FWD_OVERRIDE,TEXT(MOD(YEAR_Y,100),"00")&amp;"Y"),"")))</f>
        <v/>
      </c>
      <c r="Z172" s="70">
        <f>IF($C172="","",IF(PULL_FUND="N","",IFERROR(BDP($C172,BESTDPS_FIELD,FWD_OVERRIDE,TEXT(MOD(YEAR_Y,100),"00")&amp;"Y"),"")))</f>
        <v/>
      </c>
      <c r="AA172" s="71">
        <f>IF($C172="","",IF(ISNUMBER($Y172)*ISNUMBER($Z172)*($Y172&lt;&gt;0)=0,"",$Z172/$Y172))</f>
        <v/>
      </c>
      <c r="AB172" s="41">
        <f>IF($C172="","",HSCEI!$J$27+HSCEI!$L$27)</f>
        <v/>
      </c>
      <c r="AC172" s="72">
        <f>IF($C172="","",IF(PULL_FUND="N","",IF(COUNTIFS('Fund History'!$G$976:$G$980,"&gt;="&amp;DATE(YEAR_Y-4,1,1),'Fund History'!$G$976:$G$980,"&lt;="&amp;DATE(YEAR_Y-4,12,31))=0,"",SUMIFS('Fund History'!$H$976:$H$980,'Fund History'!$G$976:$G$980,"&gt;="&amp;DATE(YEAR_Y-4,1,1),'Fund History'!$G$976:$G$980,"&lt;="&amp;DATE(YEAR_Y-4,12,31))/100)))</f>
        <v/>
      </c>
      <c r="AD172" s="73">
        <f>IF($C172="","",IF(PULL_FUND="N","",IF(COUNTIFS('Fund History'!$G$976:$G$980,"&gt;="&amp;DATE(YEAR_Y-3,1,1),'Fund History'!$G$976:$G$980,"&lt;="&amp;DATE(YEAR_Y-3,12,31))=0,"",SUMIFS('Fund History'!$H$976:$H$980,'Fund History'!$G$976:$G$980,"&gt;="&amp;DATE(YEAR_Y-3,1,1),'Fund History'!$G$976:$G$980,"&lt;="&amp;DATE(YEAR_Y-3,12,31))/100)))</f>
        <v/>
      </c>
      <c r="AE172" s="73">
        <f>IF($C172="","",IF(PULL_FUND="N","",IF(COUNTIFS('Fund History'!$G$976:$G$980,"&gt;="&amp;DATE(YEAR_Y-2,1,1),'Fund History'!$G$976:$G$980,"&lt;="&amp;DATE(YEAR_Y-2,12,31))=0,"",SUMIFS('Fund History'!$H$976:$H$980,'Fund History'!$G$976:$G$980,"&gt;="&amp;DATE(YEAR_Y-2,1,1),'Fund History'!$G$976:$G$980,"&lt;="&amp;DATE(YEAR_Y-2,12,31))/100)))</f>
        <v/>
      </c>
      <c r="AF172" s="73">
        <f>IF($C172="","",IF(PULL_FUND="N","",IF(COUNTIFS('Fund History'!$G$976:$G$980,"&gt;="&amp;DATE(YEAR_Y-1,1,1),'Fund History'!$G$976:$G$980,"&lt;="&amp;DATE(YEAR_Y-1,12,31))=0,"",SUMIFS('Fund History'!$H$976:$H$980,'Fund History'!$G$976:$G$980,"&gt;="&amp;DATE(YEAR_Y-1,1,1),'Fund History'!$G$976:$G$980,"&lt;="&amp;DATE(YEAR_Y-1,12,31))/100)))</f>
        <v/>
      </c>
      <c r="AG172" s="74">
        <f>IF($C172="","",IF(N($AF172)+N(HSCEI!$I$27)=0,"",N($AF172)+N(HSCEI!$I$27)/100))</f>
        <v/>
      </c>
      <c r="AH172" s="66">
        <f>IF($C172="","",IF(PULL_FUND="N","",IF(COUNTIFS('Fund History'!$D$976:$D$980,"&gt;="&amp;DATE(YEAR_Y-2,1,1),'Fund History'!$D$976:$D$980,"&lt;="&amp;DATE(YEAR_Y-2,12,31))=0,"",SUMIFS('Fund History'!$E$976:$E$980,'Fund History'!$D$976:$D$980,"&gt;="&amp;DATE(YEAR_Y-2,1,1),'Fund History'!$D$976:$D$980,"&lt;="&amp;DATE(YEAR_Y-2,12,31)))))</f>
        <v/>
      </c>
      <c r="AI172" s="67">
        <f>IF($C172="","",IF(PULL_FUND="N","",IF(COUNTIFS('Fund History'!$D$976:$D$980,"&gt;="&amp;DATE(YEAR_Y-1,1,1),'Fund History'!$D$976:$D$980,"&lt;="&amp;DATE(YEAR_Y-1,12,31))=0,"",SUMIFS('Fund History'!$E$976:$E$980,'Fund History'!$D$976:$D$980,"&gt;="&amp;DATE(YEAR_Y-1,1,1),'Fund History'!$D$976:$D$980,"&lt;="&amp;DATE(YEAR_Y-1,12,31)))))</f>
        <v/>
      </c>
      <c r="AJ172" s="67">
        <f>IF($C172="","",IF(PULL_FUND="N","",IFERROR(BDP($C172,NDEBITDA_FIELD),"")))</f>
        <v/>
      </c>
      <c r="AK172" s="75">
        <f>IF($C172="","",IF(PULL_FUND="N","",IFERROR(BDP($C172,EBINT_FIELD),"")))</f>
        <v/>
      </c>
      <c r="AL172" s="73">
        <f>IF($C172="","",IF(PULL_FUND="N","",IFERROR(BDP($C172,FCF_FIELD)/100,"")))</f>
        <v/>
      </c>
      <c r="AM172" s="76">
        <f>IF($C172="","",IF(ISNUMBER(HSCEI!$I$27),HSCEI!$I$27/100,""))</f>
        <v/>
      </c>
      <c r="AN172" s="47">
        <f>IF($C172="","",IF(N($AM172)=0,"",IFERROR($AL172/$AM172,"")))</f>
        <v/>
      </c>
      <c r="AO172" s="33">
        <f>IF($C172="","",IF(ISNUMBER($S172)*ISNUMBER($W172)=0,"",IF($W172&gt;$S172+0.05,"rising",IF($W172&lt;$S172-0.05,"falling","stable"))))</f>
        <v/>
      </c>
      <c r="AP172" s="77">
        <f>IF($C172="","",TRIM(IF(ISNUMBER($X172)*(N($X172)&gt;$D$4)&gt;0,"payout high  ","")&amp;IF(ISNUMBER($AN172)*(N($AN172)&lt;$F$4)&gt;0,"FCF below dvd  ","")&amp;IF(ISNUMBER($AJ172)*(N($AJ172)&gt;$H$4)&gt;0,"leverage high","")))</f>
        <v/>
      </c>
      <c r="AQ172" s="78">
        <f>IF($C172="","",IF(HSCEI!$F$27="HKD","",HSCEI!$F$27))</f>
        <v/>
      </c>
    </row>
    <row r="173">
      <c r="B173" s="62" t="inlineStr">
        <is>
          <t>HSCEI</t>
        </is>
      </c>
      <c r="C173" s="6">
        <f>IF(HSCEI!$C$28="","",HSCEI!$C$28)</f>
        <v/>
      </c>
      <c r="D173" s="6">
        <f>IF($C173="","",HSCEI!$D$28)</f>
        <v/>
      </c>
      <c r="E173" s="6">
        <f>IF($C173="","",HSCEI!$E$28)</f>
        <v/>
      </c>
      <c r="F173" s="63">
        <f>IF($C173="","",SUMPRODUCT(('Dvd Calendar'!$E$1792:$AR$1792&gt;=DATE(YEAR_Y-5,1,1))*('Dvd Calendar'!$E$1792:$AR$1792&lt;=DATE(YEAR_Y-5,12,31))*'Dvd Calendar'!$E$1795:$AR$1795*(('Dvd Calendar'!$E$1797:$AR$1797=TYPE1)*(TYPE1&lt;&gt;"")+('Dvd Calendar'!$E$1797:$AR$1797=TYPE2)*(TYPE2&lt;&gt;"")+('Dvd Calendar'!$E$1797:$AR$1797=TYPE3)*(TYPE3&lt;&gt;"")+('Dvd Calendar'!$E$1797:$AR$1797=TYPE4)*(TYPE4&lt;&gt;"")+('Dvd Calendar'!$E$1797:$AR$1797=SPECIAL_LBL)*(INC_SPECIALS="Y"))))</f>
        <v/>
      </c>
      <c r="G173" s="64">
        <f>IF($C173="","",SUMPRODUCT(('Dvd Calendar'!$E$1792:$AR$1792&gt;=DATE(YEAR_Y-4,1,1))*('Dvd Calendar'!$E$1792:$AR$1792&lt;=DATE(YEAR_Y-4,12,31))*'Dvd Calendar'!$E$1795:$AR$1795*(('Dvd Calendar'!$E$1797:$AR$1797=TYPE1)*(TYPE1&lt;&gt;"")+('Dvd Calendar'!$E$1797:$AR$1797=TYPE2)*(TYPE2&lt;&gt;"")+('Dvd Calendar'!$E$1797:$AR$1797=TYPE3)*(TYPE3&lt;&gt;"")+('Dvd Calendar'!$E$1797:$AR$1797=TYPE4)*(TYPE4&lt;&gt;"")+('Dvd Calendar'!$E$1797:$AR$1797=SPECIAL_LBL)*(INC_SPECIALS="Y"))))</f>
        <v/>
      </c>
      <c r="H173" s="64">
        <f>IF($C173="","",SUMPRODUCT(('Dvd Calendar'!$E$1792:$AR$1792&gt;=DATE(YEAR_Y-3,1,1))*('Dvd Calendar'!$E$1792:$AR$1792&lt;=DATE(YEAR_Y-3,12,31))*'Dvd Calendar'!$E$1795:$AR$1795*(('Dvd Calendar'!$E$1797:$AR$1797=TYPE1)*(TYPE1&lt;&gt;"")+('Dvd Calendar'!$E$1797:$AR$1797=TYPE2)*(TYPE2&lt;&gt;"")+('Dvd Calendar'!$E$1797:$AR$1797=TYPE3)*(TYPE3&lt;&gt;"")+('Dvd Calendar'!$E$1797:$AR$1797=TYPE4)*(TYPE4&lt;&gt;"")+('Dvd Calendar'!$E$1797:$AR$1797=SPECIAL_LBL)*(INC_SPECIALS="Y"))))</f>
        <v/>
      </c>
      <c r="I173" s="64">
        <f>IF($C173="","",SUMPRODUCT(('Dvd Calendar'!$E$1792:$AR$1792&gt;=DATE(YEAR_Y-2,1,1))*('Dvd Calendar'!$E$1792:$AR$1792&lt;=DATE(YEAR_Y-2,12,31))*'Dvd Calendar'!$E$1795:$AR$1795*(('Dvd Calendar'!$E$1797:$AR$1797=TYPE1)*(TYPE1&lt;&gt;"")+('Dvd Calendar'!$E$1797:$AR$1797=TYPE2)*(TYPE2&lt;&gt;"")+('Dvd Calendar'!$E$1797:$AR$1797=TYPE3)*(TYPE3&lt;&gt;"")+('Dvd Calendar'!$E$1797:$AR$1797=TYPE4)*(TYPE4&lt;&gt;"")+('Dvd Calendar'!$E$1797:$AR$1797=SPECIAL_LBL)*(INC_SPECIALS="Y"))))</f>
        <v/>
      </c>
      <c r="J173" s="64">
        <f>IF($C173="","",SUMPRODUCT(('Dvd Calendar'!$E$1792:$AR$1792&gt;=DATE(YEAR_Y-1,1,1))*('Dvd Calendar'!$E$1792:$AR$1792&lt;=DATE(YEAR_Y-1,12,31))*'Dvd Calendar'!$E$1795:$AR$1795*(('Dvd Calendar'!$E$1797:$AR$1797=TYPE1)*(TYPE1&lt;&gt;"")+('Dvd Calendar'!$E$1797:$AR$1797=TYPE2)*(TYPE2&lt;&gt;"")+('Dvd Calendar'!$E$1797:$AR$1797=TYPE3)*(TYPE3&lt;&gt;"")+('Dvd Calendar'!$E$1797:$AR$1797=TYPE4)*(TYPE4&lt;&gt;"")+('Dvd Calendar'!$E$1797:$AR$1797=SPECIAL_LBL)*(INC_SPECIALS="Y"))))</f>
        <v/>
      </c>
      <c r="K173" s="65">
        <f>IF($C173="","",HSCEI!$J$28)</f>
        <v/>
      </c>
      <c r="L173" s="65">
        <f>IF($C173="","",HSCEI!$K$28)</f>
        <v/>
      </c>
      <c r="M173" s="41">
        <f>IF($C173="","",AVERAGE(F173:J173))</f>
        <v/>
      </c>
      <c r="N173" s="66">
        <f>IF($C173="","",IF(PULL_FUND="N","",IFERROR(BDP($C173,EPS_FIELD,YR_OVERRIDE,TEXT(YEAR_Y-5,"0")),"")))</f>
        <v/>
      </c>
      <c r="O173" s="67">
        <f>IF($C173="","",IF(PULL_FUND="N","",IFERROR(BDP($C173,EPS_FIELD,YR_OVERRIDE,TEXT(YEAR_Y-4,"0")),"")))</f>
        <v/>
      </c>
      <c r="P173" s="67">
        <f>IF($C173="","",IF(PULL_FUND="N","",IFERROR(BDP($C173,EPS_FIELD,YR_OVERRIDE,TEXT(YEAR_Y-3,"0")),"")))</f>
        <v/>
      </c>
      <c r="Q173" s="67">
        <f>IF($C173="","",IF(PULL_FUND="N","",IFERROR(BDP($C173,EPS_FIELD,YR_OVERRIDE,TEXT(YEAR_Y-2,"0")),"")))</f>
        <v/>
      </c>
      <c r="R173" s="67">
        <f>IF($C173="","",IF(PULL_FUND="N","",IFERROR(BDP($C173,EPS_FIELD,YR_OVERRIDE,TEXT(YEAR_Y-1,"0")),"")))</f>
        <v/>
      </c>
      <c r="S173" s="68">
        <f>IF($C173="","",IF(PULL_FUND="N","",IFERROR(BDP($C173,PAYOUT_FIELD,YR_OVERRIDE,TEXT(YEAR_Y-5,"0"))/100,"")))</f>
        <v/>
      </c>
      <c r="T173" s="68">
        <f>IF($C173="","",IF(PULL_FUND="N","",IFERROR(BDP($C173,PAYOUT_FIELD,YR_OVERRIDE,TEXT(YEAR_Y-4,"0"))/100,"")))</f>
        <v/>
      </c>
      <c r="U173" s="68">
        <f>IF($C173="","",IF(PULL_FUND="N","",IFERROR(BDP($C173,PAYOUT_FIELD,YR_OVERRIDE,TEXT(YEAR_Y-3,"0"))/100,"")))</f>
        <v/>
      </c>
      <c r="V173" s="68">
        <f>IF($C173="","",IF(PULL_FUND="N","",IFERROR(BDP($C173,PAYOUT_FIELD,YR_OVERRIDE,TEXT(YEAR_Y-2,"0"))/100,"")))</f>
        <v/>
      </c>
      <c r="W173" s="68">
        <f>IF($C173="","",IF(PULL_FUND="N","",IFERROR(BDP($C173,PAYOUT_FIELD,YR_OVERRIDE,TEXT(YEAR_Y-1,"0"))/100,"")))</f>
        <v/>
      </c>
      <c r="X173" s="69">
        <f>IF($C173="","",IFERROR(AVERAGE(S173:W173),""))</f>
        <v/>
      </c>
      <c r="Y173" s="66">
        <f>IF($C173="","",IF(PULL_FUND="N","",IFERROR(BDP($C173,BESTEPS_FIELD,FWD_OVERRIDE,TEXT(MOD(YEAR_Y,100),"00")&amp;"Y"),"")))</f>
        <v/>
      </c>
      <c r="Z173" s="70">
        <f>IF($C173="","",IF(PULL_FUND="N","",IFERROR(BDP($C173,BESTDPS_FIELD,FWD_OVERRIDE,TEXT(MOD(YEAR_Y,100),"00")&amp;"Y"),"")))</f>
        <v/>
      </c>
      <c r="AA173" s="71">
        <f>IF($C173="","",IF(ISNUMBER($Y173)*ISNUMBER($Z173)*($Y173&lt;&gt;0)=0,"",$Z173/$Y173))</f>
        <v/>
      </c>
      <c r="AB173" s="41">
        <f>IF($C173="","",HSCEI!$J$28+HSCEI!$L$28)</f>
        <v/>
      </c>
      <c r="AC173" s="72">
        <f>IF($C173="","",IF(PULL_FUND="N","",IF(COUNTIFS('Fund History'!$G$982:$G$986,"&gt;="&amp;DATE(YEAR_Y-4,1,1),'Fund History'!$G$982:$G$986,"&lt;="&amp;DATE(YEAR_Y-4,12,31))=0,"",SUMIFS('Fund History'!$H$982:$H$986,'Fund History'!$G$982:$G$986,"&gt;="&amp;DATE(YEAR_Y-4,1,1),'Fund History'!$G$982:$G$986,"&lt;="&amp;DATE(YEAR_Y-4,12,31))/100)))</f>
        <v/>
      </c>
      <c r="AD173" s="73">
        <f>IF($C173="","",IF(PULL_FUND="N","",IF(COUNTIFS('Fund History'!$G$982:$G$986,"&gt;="&amp;DATE(YEAR_Y-3,1,1),'Fund History'!$G$982:$G$986,"&lt;="&amp;DATE(YEAR_Y-3,12,31))=0,"",SUMIFS('Fund History'!$H$982:$H$986,'Fund History'!$G$982:$G$986,"&gt;="&amp;DATE(YEAR_Y-3,1,1),'Fund History'!$G$982:$G$986,"&lt;="&amp;DATE(YEAR_Y-3,12,31))/100)))</f>
        <v/>
      </c>
      <c r="AE173" s="73">
        <f>IF($C173="","",IF(PULL_FUND="N","",IF(COUNTIFS('Fund History'!$G$982:$G$986,"&gt;="&amp;DATE(YEAR_Y-2,1,1),'Fund History'!$G$982:$G$986,"&lt;="&amp;DATE(YEAR_Y-2,12,31))=0,"",SUMIFS('Fund History'!$H$982:$H$986,'Fund History'!$G$982:$G$986,"&gt;="&amp;DATE(YEAR_Y-2,1,1),'Fund History'!$G$982:$G$986,"&lt;="&amp;DATE(YEAR_Y-2,12,31))/100)))</f>
        <v/>
      </c>
      <c r="AF173" s="73">
        <f>IF($C173="","",IF(PULL_FUND="N","",IF(COUNTIFS('Fund History'!$G$982:$G$986,"&gt;="&amp;DATE(YEAR_Y-1,1,1),'Fund History'!$G$982:$G$986,"&lt;="&amp;DATE(YEAR_Y-1,12,31))=0,"",SUMIFS('Fund History'!$H$982:$H$986,'Fund History'!$G$982:$G$986,"&gt;="&amp;DATE(YEAR_Y-1,1,1),'Fund History'!$G$982:$G$986,"&lt;="&amp;DATE(YEAR_Y-1,12,31))/100)))</f>
        <v/>
      </c>
      <c r="AG173" s="74">
        <f>IF($C173="","",IF(N($AF173)+N(HSCEI!$I$28)=0,"",N($AF173)+N(HSCEI!$I$28)/100))</f>
        <v/>
      </c>
      <c r="AH173" s="66">
        <f>IF($C173="","",IF(PULL_FUND="N","",IF(COUNTIFS('Fund History'!$D$982:$D$986,"&gt;="&amp;DATE(YEAR_Y-2,1,1),'Fund History'!$D$982:$D$986,"&lt;="&amp;DATE(YEAR_Y-2,12,31))=0,"",SUMIFS('Fund History'!$E$982:$E$986,'Fund History'!$D$982:$D$986,"&gt;="&amp;DATE(YEAR_Y-2,1,1),'Fund History'!$D$982:$D$986,"&lt;="&amp;DATE(YEAR_Y-2,12,31)))))</f>
        <v/>
      </c>
      <c r="AI173" s="67">
        <f>IF($C173="","",IF(PULL_FUND="N","",IF(COUNTIFS('Fund History'!$D$982:$D$986,"&gt;="&amp;DATE(YEAR_Y-1,1,1),'Fund History'!$D$982:$D$986,"&lt;="&amp;DATE(YEAR_Y-1,12,31))=0,"",SUMIFS('Fund History'!$E$982:$E$986,'Fund History'!$D$982:$D$986,"&gt;="&amp;DATE(YEAR_Y-1,1,1),'Fund History'!$D$982:$D$986,"&lt;="&amp;DATE(YEAR_Y-1,12,31)))))</f>
        <v/>
      </c>
      <c r="AJ173" s="67">
        <f>IF($C173="","",IF(PULL_FUND="N","",IFERROR(BDP($C173,NDEBITDA_FIELD),"")))</f>
        <v/>
      </c>
      <c r="AK173" s="75">
        <f>IF($C173="","",IF(PULL_FUND="N","",IFERROR(BDP($C173,EBINT_FIELD),"")))</f>
        <v/>
      </c>
      <c r="AL173" s="73">
        <f>IF($C173="","",IF(PULL_FUND="N","",IFERROR(BDP($C173,FCF_FIELD)/100,"")))</f>
        <v/>
      </c>
      <c r="AM173" s="76">
        <f>IF($C173="","",IF(ISNUMBER(HSCEI!$I$28),HSCEI!$I$28/100,""))</f>
        <v/>
      </c>
      <c r="AN173" s="47">
        <f>IF($C173="","",IF(N($AM173)=0,"",IFERROR($AL173/$AM173,"")))</f>
        <v/>
      </c>
      <c r="AO173" s="33">
        <f>IF($C173="","",IF(ISNUMBER($S173)*ISNUMBER($W173)=0,"",IF($W173&gt;$S173+0.05,"rising",IF($W173&lt;$S173-0.05,"falling","stable"))))</f>
        <v/>
      </c>
      <c r="AP173" s="77">
        <f>IF($C173="","",TRIM(IF(ISNUMBER($X173)*(N($X173)&gt;$D$4)&gt;0,"payout high  ","")&amp;IF(ISNUMBER($AN173)*(N($AN173)&lt;$F$4)&gt;0,"FCF below dvd  ","")&amp;IF(ISNUMBER($AJ173)*(N($AJ173)&gt;$H$4)&gt;0,"leverage high","")))</f>
        <v/>
      </c>
      <c r="AQ173" s="78">
        <f>IF($C173="","",IF(HSCEI!$F$28="HKD","",HSCEI!$F$28))</f>
        <v/>
      </c>
    </row>
    <row r="174">
      <c r="B174" s="62" t="inlineStr">
        <is>
          <t>HSCEI</t>
        </is>
      </c>
      <c r="C174" s="6">
        <f>IF(HSCEI!$C$29="","",HSCEI!$C$29)</f>
        <v/>
      </c>
      <c r="D174" s="6">
        <f>IF($C174="","",HSCEI!$D$29)</f>
        <v/>
      </c>
      <c r="E174" s="6">
        <f>IF($C174="","",HSCEI!$E$29)</f>
        <v/>
      </c>
      <c r="F174" s="63">
        <f>IF($C174="","",SUMPRODUCT(('Dvd Calendar'!$E$1803:$AR$1803&gt;=DATE(YEAR_Y-5,1,1))*('Dvd Calendar'!$E$1803:$AR$1803&lt;=DATE(YEAR_Y-5,12,31))*'Dvd Calendar'!$E$1806:$AR$1806*(('Dvd Calendar'!$E$1808:$AR$1808=TYPE1)*(TYPE1&lt;&gt;"")+('Dvd Calendar'!$E$1808:$AR$1808=TYPE2)*(TYPE2&lt;&gt;"")+('Dvd Calendar'!$E$1808:$AR$1808=TYPE3)*(TYPE3&lt;&gt;"")+('Dvd Calendar'!$E$1808:$AR$1808=TYPE4)*(TYPE4&lt;&gt;"")+('Dvd Calendar'!$E$1808:$AR$1808=SPECIAL_LBL)*(INC_SPECIALS="Y"))))</f>
        <v/>
      </c>
      <c r="G174" s="64">
        <f>IF($C174="","",SUMPRODUCT(('Dvd Calendar'!$E$1803:$AR$1803&gt;=DATE(YEAR_Y-4,1,1))*('Dvd Calendar'!$E$1803:$AR$1803&lt;=DATE(YEAR_Y-4,12,31))*'Dvd Calendar'!$E$1806:$AR$1806*(('Dvd Calendar'!$E$1808:$AR$1808=TYPE1)*(TYPE1&lt;&gt;"")+('Dvd Calendar'!$E$1808:$AR$1808=TYPE2)*(TYPE2&lt;&gt;"")+('Dvd Calendar'!$E$1808:$AR$1808=TYPE3)*(TYPE3&lt;&gt;"")+('Dvd Calendar'!$E$1808:$AR$1808=TYPE4)*(TYPE4&lt;&gt;"")+('Dvd Calendar'!$E$1808:$AR$1808=SPECIAL_LBL)*(INC_SPECIALS="Y"))))</f>
        <v/>
      </c>
      <c r="H174" s="64">
        <f>IF($C174="","",SUMPRODUCT(('Dvd Calendar'!$E$1803:$AR$1803&gt;=DATE(YEAR_Y-3,1,1))*('Dvd Calendar'!$E$1803:$AR$1803&lt;=DATE(YEAR_Y-3,12,31))*'Dvd Calendar'!$E$1806:$AR$1806*(('Dvd Calendar'!$E$1808:$AR$1808=TYPE1)*(TYPE1&lt;&gt;"")+('Dvd Calendar'!$E$1808:$AR$1808=TYPE2)*(TYPE2&lt;&gt;"")+('Dvd Calendar'!$E$1808:$AR$1808=TYPE3)*(TYPE3&lt;&gt;"")+('Dvd Calendar'!$E$1808:$AR$1808=TYPE4)*(TYPE4&lt;&gt;"")+('Dvd Calendar'!$E$1808:$AR$1808=SPECIAL_LBL)*(INC_SPECIALS="Y"))))</f>
        <v/>
      </c>
      <c r="I174" s="64">
        <f>IF($C174="","",SUMPRODUCT(('Dvd Calendar'!$E$1803:$AR$1803&gt;=DATE(YEAR_Y-2,1,1))*('Dvd Calendar'!$E$1803:$AR$1803&lt;=DATE(YEAR_Y-2,12,31))*'Dvd Calendar'!$E$1806:$AR$1806*(('Dvd Calendar'!$E$1808:$AR$1808=TYPE1)*(TYPE1&lt;&gt;"")+('Dvd Calendar'!$E$1808:$AR$1808=TYPE2)*(TYPE2&lt;&gt;"")+('Dvd Calendar'!$E$1808:$AR$1808=TYPE3)*(TYPE3&lt;&gt;"")+('Dvd Calendar'!$E$1808:$AR$1808=TYPE4)*(TYPE4&lt;&gt;"")+('Dvd Calendar'!$E$1808:$AR$1808=SPECIAL_LBL)*(INC_SPECIALS="Y"))))</f>
        <v/>
      </c>
      <c r="J174" s="64">
        <f>IF($C174="","",SUMPRODUCT(('Dvd Calendar'!$E$1803:$AR$1803&gt;=DATE(YEAR_Y-1,1,1))*('Dvd Calendar'!$E$1803:$AR$1803&lt;=DATE(YEAR_Y-1,12,31))*'Dvd Calendar'!$E$1806:$AR$1806*(('Dvd Calendar'!$E$1808:$AR$1808=TYPE1)*(TYPE1&lt;&gt;"")+('Dvd Calendar'!$E$1808:$AR$1808=TYPE2)*(TYPE2&lt;&gt;"")+('Dvd Calendar'!$E$1808:$AR$1808=TYPE3)*(TYPE3&lt;&gt;"")+('Dvd Calendar'!$E$1808:$AR$1808=TYPE4)*(TYPE4&lt;&gt;"")+('Dvd Calendar'!$E$1808:$AR$1808=SPECIAL_LBL)*(INC_SPECIALS="Y"))))</f>
        <v/>
      </c>
      <c r="K174" s="65">
        <f>IF($C174="","",HSCEI!$J$29)</f>
        <v/>
      </c>
      <c r="L174" s="65">
        <f>IF($C174="","",HSCEI!$K$29)</f>
        <v/>
      </c>
      <c r="M174" s="41">
        <f>IF($C174="","",AVERAGE(F174:J174))</f>
        <v/>
      </c>
      <c r="N174" s="66">
        <f>IF($C174="","",IF(PULL_FUND="N","",IFERROR(BDP($C174,EPS_FIELD,YR_OVERRIDE,TEXT(YEAR_Y-5,"0")),"")))</f>
        <v/>
      </c>
      <c r="O174" s="67">
        <f>IF($C174="","",IF(PULL_FUND="N","",IFERROR(BDP($C174,EPS_FIELD,YR_OVERRIDE,TEXT(YEAR_Y-4,"0")),"")))</f>
        <v/>
      </c>
      <c r="P174" s="67">
        <f>IF($C174="","",IF(PULL_FUND="N","",IFERROR(BDP($C174,EPS_FIELD,YR_OVERRIDE,TEXT(YEAR_Y-3,"0")),"")))</f>
        <v/>
      </c>
      <c r="Q174" s="67">
        <f>IF($C174="","",IF(PULL_FUND="N","",IFERROR(BDP($C174,EPS_FIELD,YR_OVERRIDE,TEXT(YEAR_Y-2,"0")),"")))</f>
        <v/>
      </c>
      <c r="R174" s="67">
        <f>IF($C174="","",IF(PULL_FUND="N","",IFERROR(BDP($C174,EPS_FIELD,YR_OVERRIDE,TEXT(YEAR_Y-1,"0")),"")))</f>
        <v/>
      </c>
      <c r="S174" s="68">
        <f>IF($C174="","",IF(PULL_FUND="N","",IFERROR(BDP($C174,PAYOUT_FIELD,YR_OVERRIDE,TEXT(YEAR_Y-5,"0"))/100,"")))</f>
        <v/>
      </c>
      <c r="T174" s="68">
        <f>IF($C174="","",IF(PULL_FUND="N","",IFERROR(BDP($C174,PAYOUT_FIELD,YR_OVERRIDE,TEXT(YEAR_Y-4,"0"))/100,"")))</f>
        <v/>
      </c>
      <c r="U174" s="68">
        <f>IF($C174="","",IF(PULL_FUND="N","",IFERROR(BDP($C174,PAYOUT_FIELD,YR_OVERRIDE,TEXT(YEAR_Y-3,"0"))/100,"")))</f>
        <v/>
      </c>
      <c r="V174" s="68">
        <f>IF($C174="","",IF(PULL_FUND="N","",IFERROR(BDP($C174,PAYOUT_FIELD,YR_OVERRIDE,TEXT(YEAR_Y-2,"0"))/100,"")))</f>
        <v/>
      </c>
      <c r="W174" s="68">
        <f>IF($C174="","",IF(PULL_FUND="N","",IFERROR(BDP($C174,PAYOUT_FIELD,YR_OVERRIDE,TEXT(YEAR_Y-1,"0"))/100,"")))</f>
        <v/>
      </c>
      <c r="X174" s="69">
        <f>IF($C174="","",IFERROR(AVERAGE(S174:W174),""))</f>
        <v/>
      </c>
      <c r="Y174" s="66">
        <f>IF($C174="","",IF(PULL_FUND="N","",IFERROR(BDP($C174,BESTEPS_FIELD,FWD_OVERRIDE,TEXT(MOD(YEAR_Y,100),"00")&amp;"Y"),"")))</f>
        <v/>
      </c>
      <c r="Z174" s="70">
        <f>IF($C174="","",IF(PULL_FUND="N","",IFERROR(BDP($C174,BESTDPS_FIELD,FWD_OVERRIDE,TEXT(MOD(YEAR_Y,100),"00")&amp;"Y"),"")))</f>
        <v/>
      </c>
      <c r="AA174" s="71">
        <f>IF($C174="","",IF(ISNUMBER($Y174)*ISNUMBER($Z174)*($Y174&lt;&gt;0)=0,"",$Z174/$Y174))</f>
        <v/>
      </c>
      <c r="AB174" s="41">
        <f>IF($C174="","",HSCEI!$J$29+HSCEI!$L$29)</f>
        <v/>
      </c>
      <c r="AC174" s="72">
        <f>IF($C174="","",IF(PULL_FUND="N","",IF(COUNTIFS('Fund History'!$G$988:$G$992,"&gt;="&amp;DATE(YEAR_Y-4,1,1),'Fund History'!$G$988:$G$992,"&lt;="&amp;DATE(YEAR_Y-4,12,31))=0,"",SUMIFS('Fund History'!$H$988:$H$992,'Fund History'!$G$988:$G$992,"&gt;="&amp;DATE(YEAR_Y-4,1,1),'Fund History'!$G$988:$G$992,"&lt;="&amp;DATE(YEAR_Y-4,12,31))/100)))</f>
        <v/>
      </c>
      <c r="AD174" s="73">
        <f>IF($C174="","",IF(PULL_FUND="N","",IF(COUNTIFS('Fund History'!$G$988:$G$992,"&gt;="&amp;DATE(YEAR_Y-3,1,1),'Fund History'!$G$988:$G$992,"&lt;="&amp;DATE(YEAR_Y-3,12,31))=0,"",SUMIFS('Fund History'!$H$988:$H$992,'Fund History'!$G$988:$G$992,"&gt;="&amp;DATE(YEAR_Y-3,1,1),'Fund History'!$G$988:$G$992,"&lt;="&amp;DATE(YEAR_Y-3,12,31))/100)))</f>
        <v/>
      </c>
      <c r="AE174" s="73">
        <f>IF($C174="","",IF(PULL_FUND="N","",IF(COUNTIFS('Fund History'!$G$988:$G$992,"&gt;="&amp;DATE(YEAR_Y-2,1,1),'Fund History'!$G$988:$G$992,"&lt;="&amp;DATE(YEAR_Y-2,12,31))=0,"",SUMIFS('Fund History'!$H$988:$H$992,'Fund History'!$G$988:$G$992,"&gt;="&amp;DATE(YEAR_Y-2,1,1),'Fund History'!$G$988:$G$992,"&lt;="&amp;DATE(YEAR_Y-2,12,31))/100)))</f>
        <v/>
      </c>
      <c r="AF174" s="73">
        <f>IF($C174="","",IF(PULL_FUND="N","",IF(COUNTIFS('Fund History'!$G$988:$G$992,"&gt;="&amp;DATE(YEAR_Y-1,1,1),'Fund History'!$G$988:$G$992,"&lt;="&amp;DATE(YEAR_Y-1,12,31))=0,"",SUMIFS('Fund History'!$H$988:$H$992,'Fund History'!$G$988:$G$992,"&gt;="&amp;DATE(YEAR_Y-1,1,1),'Fund History'!$G$988:$G$992,"&lt;="&amp;DATE(YEAR_Y-1,12,31))/100)))</f>
        <v/>
      </c>
      <c r="AG174" s="74">
        <f>IF($C174="","",IF(N($AF174)+N(HSCEI!$I$29)=0,"",N($AF174)+N(HSCEI!$I$29)/100))</f>
        <v/>
      </c>
      <c r="AH174" s="66">
        <f>IF($C174="","",IF(PULL_FUND="N","",IF(COUNTIFS('Fund History'!$D$988:$D$992,"&gt;="&amp;DATE(YEAR_Y-2,1,1),'Fund History'!$D$988:$D$992,"&lt;="&amp;DATE(YEAR_Y-2,12,31))=0,"",SUMIFS('Fund History'!$E$988:$E$992,'Fund History'!$D$988:$D$992,"&gt;="&amp;DATE(YEAR_Y-2,1,1),'Fund History'!$D$988:$D$992,"&lt;="&amp;DATE(YEAR_Y-2,12,31)))))</f>
        <v/>
      </c>
      <c r="AI174" s="67">
        <f>IF($C174="","",IF(PULL_FUND="N","",IF(COUNTIFS('Fund History'!$D$988:$D$992,"&gt;="&amp;DATE(YEAR_Y-1,1,1),'Fund History'!$D$988:$D$992,"&lt;="&amp;DATE(YEAR_Y-1,12,31))=0,"",SUMIFS('Fund History'!$E$988:$E$992,'Fund History'!$D$988:$D$992,"&gt;="&amp;DATE(YEAR_Y-1,1,1),'Fund History'!$D$988:$D$992,"&lt;="&amp;DATE(YEAR_Y-1,12,31)))))</f>
        <v/>
      </c>
      <c r="AJ174" s="67">
        <f>IF($C174="","",IF(PULL_FUND="N","",IFERROR(BDP($C174,NDEBITDA_FIELD),"")))</f>
        <v/>
      </c>
      <c r="AK174" s="75">
        <f>IF($C174="","",IF(PULL_FUND="N","",IFERROR(BDP($C174,EBINT_FIELD),"")))</f>
        <v/>
      </c>
      <c r="AL174" s="73">
        <f>IF($C174="","",IF(PULL_FUND="N","",IFERROR(BDP($C174,FCF_FIELD)/100,"")))</f>
        <v/>
      </c>
      <c r="AM174" s="76">
        <f>IF($C174="","",IF(ISNUMBER(HSCEI!$I$29),HSCEI!$I$29/100,""))</f>
        <v/>
      </c>
      <c r="AN174" s="47">
        <f>IF($C174="","",IF(N($AM174)=0,"",IFERROR($AL174/$AM174,"")))</f>
        <v/>
      </c>
      <c r="AO174" s="33">
        <f>IF($C174="","",IF(ISNUMBER($S174)*ISNUMBER($W174)=0,"",IF($W174&gt;$S174+0.05,"rising",IF($W174&lt;$S174-0.05,"falling","stable"))))</f>
        <v/>
      </c>
      <c r="AP174" s="77">
        <f>IF($C174="","",TRIM(IF(ISNUMBER($X174)*(N($X174)&gt;$D$4)&gt;0,"payout high  ","")&amp;IF(ISNUMBER($AN174)*(N($AN174)&lt;$F$4)&gt;0,"FCF below dvd  ","")&amp;IF(ISNUMBER($AJ174)*(N($AJ174)&gt;$H$4)&gt;0,"leverage high","")))</f>
        <v/>
      </c>
      <c r="AQ174" s="78">
        <f>IF($C174="","",IF(HSCEI!$F$29="HKD","",HSCEI!$F$29))</f>
        <v/>
      </c>
    </row>
    <row r="175">
      <c r="B175" s="62" t="inlineStr">
        <is>
          <t>HSCEI</t>
        </is>
      </c>
      <c r="C175" s="6">
        <f>IF(HSCEI!$C$30="","",HSCEI!$C$30)</f>
        <v/>
      </c>
      <c r="D175" s="6">
        <f>IF($C175="","",HSCEI!$D$30)</f>
        <v/>
      </c>
      <c r="E175" s="6">
        <f>IF($C175="","",HSCEI!$E$30)</f>
        <v/>
      </c>
      <c r="F175" s="63">
        <f>IF($C175="","",SUMPRODUCT(('Dvd Calendar'!$E$1814:$AR$1814&gt;=DATE(YEAR_Y-5,1,1))*('Dvd Calendar'!$E$1814:$AR$1814&lt;=DATE(YEAR_Y-5,12,31))*'Dvd Calendar'!$E$1817:$AR$1817*(('Dvd Calendar'!$E$1819:$AR$1819=TYPE1)*(TYPE1&lt;&gt;"")+('Dvd Calendar'!$E$1819:$AR$1819=TYPE2)*(TYPE2&lt;&gt;"")+('Dvd Calendar'!$E$1819:$AR$1819=TYPE3)*(TYPE3&lt;&gt;"")+('Dvd Calendar'!$E$1819:$AR$1819=TYPE4)*(TYPE4&lt;&gt;"")+('Dvd Calendar'!$E$1819:$AR$1819=SPECIAL_LBL)*(INC_SPECIALS="Y"))))</f>
        <v/>
      </c>
      <c r="G175" s="64">
        <f>IF($C175="","",SUMPRODUCT(('Dvd Calendar'!$E$1814:$AR$1814&gt;=DATE(YEAR_Y-4,1,1))*('Dvd Calendar'!$E$1814:$AR$1814&lt;=DATE(YEAR_Y-4,12,31))*'Dvd Calendar'!$E$1817:$AR$1817*(('Dvd Calendar'!$E$1819:$AR$1819=TYPE1)*(TYPE1&lt;&gt;"")+('Dvd Calendar'!$E$1819:$AR$1819=TYPE2)*(TYPE2&lt;&gt;"")+('Dvd Calendar'!$E$1819:$AR$1819=TYPE3)*(TYPE3&lt;&gt;"")+('Dvd Calendar'!$E$1819:$AR$1819=TYPE4)*(TYPE4&lt;&gt;"")+('Dvd Calendar'!$E$1819:$AR$1819=SPECIAL_LBL)*(INC_SPECIALS="Y"))))</f>
        <v/>
      </c>
      <c r="H175" s="64">
        <f>IF($C175="","",SUMPRODUCT(('Dvd Calendar'!$E$1814:$AR$1814&gt;=DATE(YEAR_Y-3,1,1))*('Dvd Calendar'!$E$1814:$AR$1814&lt;=DATE(YEAR_Y-3,12,31))*'Dvd Calendar'!$E$1817:$AR$1817*(('Dvd Calendar'!$E$1819:$AR$1819=TYPE1)*(TYPE1&lt;&gt;"")+('Dvd Calendar'!$E$1819:$AR$1819=TYPE2)*(TYPE2&lt;&gt;"")+('Dvd Calendar'!$E$1819:$AR$1819=TYPE3)*(TYPE3&lt;&gt;"")+('Dvd Calendar'!$E$1819:$AR$1819=TYPE4)*(TYPE4&lt;&gt;"")+('Dvd Calendar'!$E$1819:$AR$1819=SPECIAL_LBL)*(INC_SPECIALS="Y"))))</f>
        <v/>
      </c>
      <c r="I175" s="64">
        <f>IF($C175="","",SUMPRODUCT(('Dvd Calendar'!$E$1814:$AR$1814&gt;=DATE(YEAR_Y-2,1,1))*('Dvd Calendar'!$E$1814:$AR$1814&lt;=DATE(YEAR_Y-2,12,31))*'Dvd Calendar'!$E$1817:$AR$1817*(('Dvd Calendar'!$E$1819:$AR$1819=TYPE1)*(TYPE1&lt;&gt;"")+('Dvd Calendar'!$E$1819:$AR$1819=TYPE2)*(TYPE2&lt;&gt;"")+('Dvd Calendar'!$E$1819:$AR$1819=TYPE3)*(TYPE3&lt;&gt;"")+('Dvd Calendar'!$E$1819:$AR$1819=TYPE4)*(TYPE4&lt;&gt;"")+('Dvd Calendar'!$E$1819:$AR$1819=SPECIAL_LBL)*(INC_SPECIALS="Y"))))</f>
        <v/>
      </c>
      <c r="J175" s="64">
        <f>IF($C175="","",SUMPRODUCT(('Dvd Calendar'!$E$1814:$AR$1814&gt;=DATE(YEAR_Y-1,1,1))*('Dvd Calendar'!$E$1814:$AR$1814&lt;=DATE(YEAR_Y-1,12,31))*'Dvd Calendar'!$E$1817:$AR$1817*(('Dvd Calendar'!$E$1819:$AR$1819=TYPE1)*(TYPE1&lt;&gt;"")+('Dvd Calendar'!$E$1819:$AR$1819=TYPE2)*(TYPE2&lt;&gt;"")+('Dvd Calendar'!$E$1819:$AR$1819=TYPE3)*(TYPE3&lt;&gt;"")+('Dvd Calendar'!$E$1819:$AR$1819=TYPE4)*(TYPE4&lt;&gt;"")+('Dvd Calendar'!$E$1819:$AR$1819=SPECIAL_LBL)*(INC_SPECIALS="Y"))))</f>
        <v/>
      </c>
      <c r="K175" s="65">
        <f>IF($C175="","",HSCEI!$J$30)</f>
        <v/>
      </c>
      <c r="L175" s="65">
        <f>IF($C175="","",HSCEI!$K$30)</f>
        <v/>
      </c>
      <c r="M175" s="41">
        <f>IF($C175="","",AVERAGE(F175:J175))</f>
        <v/>
      </c>
      <c r="N175" s="66">
        <f>IF($C175="","",IF(PULL_FUND="N","",IFERROR(BDP($C175,EPS_FIELD,YR_OVERRIDE,TEXT(YEAR_Y-5,"0")),"")))</f>
        <v/>
      </c>
      <c r="O175" s="67">
        <f>IF($C175="","",IF(PULL_FUND="N","",IFERROR(BDP($C175,EPS_FIELD,YR_OVERRIDE,TEXT(YEAR_Y-4,"0")),"")))</f>
        <v/>
      </c>
      <c r="P175" s="67">
        <f>IF($C175="","",IF(PULL_FUND="N","",IFERROR(BDP($C175,EPS_FIELD,YR_OVERRIDE,TEXT(YEAR_Y-3,"0")),"")))</f>
        <v/>
      </c>
      <c r="Q175" s="67">
        <f>IF($C175="","",IF(PULL_FUND="N","",IFERROR(BDP($C175,EPS_FIELD,YR_OVERRIDE,TEXT(YEAR_Y-2,"0")),"")))</f>
        <v/>
      </c>
      <c r="R175" s="67">
        <f>IF($C175="","",IF(PULL_FUND="N","",IFERROR(BDP($C175,EPS_FIELD,YR_OVERRIDE,TEXT(YEAR_Y-1,"0")),"")))</f>
        <v/>
      </c>
      <c r="S175" s="68">
        <f>IF($C175="","",IF(PULL_FUND="N","",IFERROR(BDP($C175,PAYOUT_FIELD,YR_OVERRIDE,TEXT(YEAR_Y-5,"0"))/100,"")))</f>
        <v/>
      </c>
      <c r="T175" s="68">
        <f>IF($C175="","",IF(PULL_FUND="N","",IFERROR(BDP($C175,PAYOUT_FIELD,YR_OVERRIDE,TEXT(YEAR_Y-4,"0"))/100,"")))</f>
        <v/>
      </c>
      <c r="U175" s="68">
        <f>IF($C175="","",IF(PULL_FUND="N","",IFERROR(BDP($C175,PAYOUT_FIELD,YR_OVERRIDE,TEXT(YEAR_Y-3,"0"))/100,"")))</f>
        <v/>
      </c>
      <c r="V175" s="68">
        <f>IF($C175="","",IF(PULL_FUND="N","",IFERROR(BDP($C175,PAYOUT_FIELD,YR_OVERRIDE,TEXT(YEAR_Y-2,"0"))/100,"")))</f>
        <v/>
      </c>
      <c r="W175" s="68">
        <f>IF($C175="","",IF(PULL_FUND="N","",IFERROR(BDP($C175,PAYOUT_FIELD,YR_OVERRIDE,TEXT(YEAR_Y-1,"0"))/100,"")))</f>
        <v/>
      </c>
      <c r="X175" s="69">
        <f>IF($C175="","",IFERROR(AVERAGE(S175:W175),""))</f>
        <v/>
      </c>
      <c r="Y175" s="66">
        <f>IF($C175="","",IF(PULL_FUND="N","",IFERROR(BDP($C175,BESTEPS_FIELD,FWD_OVERRIDE,TEXT(MOD(YEAR_Y,100),"00")&amp;"Y"),"")))</f>
        <v/>
      </c>
      <c r="Z175" s="70">
        <f>IF($C175="","",IF(PULL_FUND="N","",IFERROR(BDP($C175,BESTDPS_FIELD,FWD_OVERRIDE,TEXT(MOD(YEAR_Y,100),"00")&amp;"Y"),"")))</f>
        <v/>
      </c>
      <c r="AA175" s="71">
        <f>IF($C175="","",IF(ISNUMBER($Y175)*ISNUMBER($Z175)*($Y175&lt;&gt;0)=0,"",$Z175/$Y175))</f>
        <v/>
      </c>
      <c r="AB175" s="41">
        <f>IF($C175="","",HSCEI!$J$30+HSCEI!$L$30)</f>
        <v/>
      </c>
      <c r="AC175" s="72">
        <f>IF($C175="","",IF(PULL_FUND="N","",IF(COUNTIFS('Fund History'!$G$994:$G$998,"&gt;="&amp;DATE(YEAR_Y-4,1,1),'Fund History'!$G$994:$G$998,"&lt;="&amp;DATE(YEAR_Y-4,12,31))=0,"",SUMIFS('Fund History'!$H$994:$H$998,'Fund History'!$G$994:$G$998,"&gt;="&amp;DATE(YEAR_Y-4,1,1),'Fund History'!$G$994:$G$998,"&lt;="&amp;DATE(YEAR_Y-4,12,31))/100)))</f>
        <v/>
      </c>
      <c r="AD175" s="73">
        <f>IF($C175="","",IF(PULL_FUND="N","",IF(COUNTIFS('Fund History'!$G$994:$G$998,"&gt;="&amp;DATE(YEAR_Y-3,1,1),'Fund History'!$G$994:$G$998,"&lt;="&amp;DATE(YEAR_Y-3,12,31))=0,"",SUMIFS('Fund History'!$H$994:$H$998,'Fund History'!$G$994:$G$998,"&gt;="&amp;DATE(YEAR_Y-3,1,1),'Fund History'!$G$994:$G$998,"&lt;="&amp;DATE(YEAR_Y-3,12,31))/100)))</f>
        <v/>
      </c>
      <c r="AE175" s="73">
        <f>IF($C175="","",IF(PULL_FUND="N","",IF(COUNTIFS('Fund History'!$G$994:$G$998,"&gt;="&amp;DATE(YEAR_Y-2,1,1),'Fund History'!$G$994:$G$998,"&lt;="&amp;DATE(YEAR_Y-2,12,31))=0,"",SUMIFS('Fund History'!$H$994:$H$998,'Fund History'!$G$994:$G$998,"&gt;="&amp;DATE(YEAR_Y-2,1,1),'Fund History'!$G$994:$G$998,"&lt;="&amp;DATE(YEAR_Y-2,12,31))/100)))</f>
        <v/>
      </c>
      <c r="AF175" s="73">
        <f>IF($C175="","",IF(PULL_FUND="N","",IF(COUNTIFS('Fund History'!$G$994:$G$998,"&gt;="&amp;DATE(YEAR_Y-1,1,1),'Fund History'!$G$994:$G$998,"&lt;="&amp;DATE(YEAR_Y-1,12,31))=0,"",SUMIFS('Fund History'!$H$994:$H$998,'Fund History'!$G$994:$G$998,"&gt;="&amp;DATE(YEAR_Y-1,1,1),'Fund History'!$G$994:$G$998,"&lt;="&amp;DATE(YEAR_Y-1,12,31))/100)))</f>
        <v/>
      </c>
      <c r="AG175" s="74">
        <f>IF($C175="","",IF(N($AF175)+N(HSCEI!$I$30)=0,"",N($AF175)+N(HSCEI!$I$30)/100))</f>
        <v/>
      </c>
      <c r="AH175" s="66">
        <f>IF($C175="","",IF(PULL_FUND="N","",IF(COUNTIFS('Fund History'!$D$994:$D$998,"&gt;="&amp;DATE(YEAR_Y-2,1,1),'Fund History'!$D$994:$D$998,"&lt;="&amp;DATE(YEAR_Y-2,12,31))=0,"",SUMIFS('Fund History'!$E$994:$E$998,'Fund History'!$D$994:$D$998,"&gt;="&amp;DATE(YEAR_Y-2,1,1),'Fund History'!$D$994:$D$998,"&lt;="&amp;DATE(YEAR_Y-2,12,31)))))</f>
        <v/>
      </c>
      <c r="AI175" s="67">
        <f>IF($C175="","",IF(PULL_FUND="N","",IF(COUNTIFS('Fund History'!$D$994:$D$998,"&gt;="&amp;DATE(YEAR_Y-1,1,1),'Fund History'!$D$994:$D$998,"&lt;="&amp;DATE(YEAR_Y-1,12,31))=0,"",SUMIFS('Fund History'!$E$994:$E$998,'Fund History'!$D$994:$D$998,"&gt;="&amp;DATE(YEAR_Y-1,1,1),'Fund History'!$D$994:$D$998,"&lt;="&amp;DATE(YEAR_Y-1,12,31)))))</f>
        <v/>
      </c>
      <c r="AJ175" s="67">
        <f>IF($C175="","",IF(PULL_FUND="N","",IFERROR(BDP($C175,NDEBITDA_FIELD),"")))</f>
        <v/>
      </c>
      <c r="AK175" s="75">
        <f>IF($C175="","",IF(PULL_FUND="N","",IFERROR(BDP($C175,EBINT_FIELD),"")))</f>
        <v/>
      </c>
      <c r="AL175" s="73">
        <f>IF($C175="","",IF(PULL_FUND="N","",IFERROR(BDP($C175,FCF_FIELD)/100,"")))</f>
        <v/>
      </c>
      <c r="AM175" s="76">
        <f>IF($C175="","",IF(ISNUMBER(HSCEI!$I$30),HSCEI!$I$30/100,""))</f>
        <v/>
      </c>
      <c r="AN175" s="47">
        <f>IF($C175="","",IF(N($AM175)=0,"",IFERROR($AL175/$AM175,"")))</f>
        <v/>
      </c>
      <c r="AO175" s="33">
        <f>IF($C175="","",IF(ISNUMBER($S175)*ISNUMBER($W175)=0,"",IF($W175&gt;$S175+0.05,"rising",IF($W175&lt;$S175-0.05,"falling","stable"))))</f>
        <v/>
      </c>
      <c r="AP175" s="77">
        <f>IF($C175="","",TRIM(IF(ISNUMBER($X175)*(N($X175)&gt;$D$4)&gt;0,"payout high  ","")&amp;IF(ISNUMBER($AN175)*(N($AN175)&lt;$F$4)&gt;0,"FCF below dvd  ","")&amp;IF(ISNUMBER($AJ175)*(N($AJ175)&gt;$H$4)&gt;0,"leverage high","")))</f>
        <v/>
      </c>
      <c r="AQ175" s="78">
        <f>IF($C175="","",IF(HSCEI!$F$30="HKD","",HSCEI!$F$30))</f>
        <v/>
      </c>
    </row>
    <row r="176">
      <c r="B176" s="62" t="inlineStr">
        <is>
          <t>HSCEI</t>
        </is>
      </c>
      <c r="C176" s="6">
        <f>IF(HSCEI!$C$31="","",HSCEI!$C$31)</f>
        <v/>
      </c>
      <c r="D176" s="6">
        <f>IF($C176="","",HSCEI!$D$31)</f>
        <v/>
      </c>
      <c r="E176" s="6">
        <f>IF($C176="","",HSCEI!$E$31)</f>
        <v/>
      </c>
      <c r="F176" s="63">
        <f>IF($C176="","",SUMPRODUCT(('Dvd Calendar'!$E$1825:$AR$1825&gt;=DATE(YEAR_Y-5,1,1))*('Dvd Calendar'!$E$1825:$AR$1825&lt;=DATE(YEAR_Y-5,12,31))*'Dvd Calendar'!$E$1828:$AR$1828*(('Dvd Calendar'!$E$1830:$AR$1830=TYPE1)*(TYPE1&lt;&gt;"")+('Dvd Calendar'!$E$1830:$AR$1830=TYPE2)*(TYPE2&lt;&gt;"")+('Dvd Calendar'!$E$1830:$AR$1830=TYPE3)*(TYPE3&lt;&gt;"")+('Dvd Calendar'!$E$1830:$AR$1830=TYPE4)*(TYPE4&lt;&gt;"")+('Dvd Calendar'!$E$1830:$AR$1830=SPECIAL_LBL)*(INC_SPECIALS="Y"))))</f>
        <v/>
      </c>
      <c r="G176" s="64">
        <f>IF($C176="","",SUMPRODUCT(('Dvd Calendar'!$E$1825:$AR$1825&gt;=DATE(YEAR_Y-4,1,1))*('Dvd Calendar'!$E$1825:$AR$1825&lt;=DATE(YEAR_Y-4,12,31))*'Dvd Calendar'!$E$1828:$AR$1828*(('Dvd Calendar'!$E$1830:$AR$1830=TYPE1)*(TYPE1&lt;&gt;"")+('Dvd Calendar'!$E$1830:$AR$1830=TYPE2)*(TYPE2&lt;&gt;"")+('Dvd Calendar'!$E$1830:$AR$1830=TYPE3)*(TYPE3&lt;&gt;"")+('Dvd Calendar'!$E$1830:$AR$1830=TYPE4)*(TYPE4&lt;&gt;"")+('Dvd Calendar'!$E$1830:$AR$1830=SPECIAL_LBL)*(INC_SPECIALS="Y"))))</f>
        <v/>
      </c>
      <c r="H176" s="64">
        <f>IF($C176="","",SUMPRODUCT(('Dvd Calendar'!$E$1825:$AR$1825&gt;=DATE(YEAR_Y-3,1,1))*('Dvd Calendar'!$E$1825:$AR$1825&lt;=DATE(YEAR_Y-3,12,31))*'Dvd Calendar'!$E$1828:$AR$1828*(('Dvd Calendar'!$E$1830:$AR$1830=TYPE1)*(TYPE1&lt;&gt;"")+('Dvd Calendar'!$E$1830:$AR$1830=TYPE2)*(TYPE2&lt;&gt;"")+('Dvd Calendar'!$E$1830:$AR$1830=TYPE3)*(TYPE3&lt;&gt;"")+('Dvd Calendar'!$E$1830:$AR$1830=TYPE4)*(TYPE4&lt;&gt;"")+('Dvd Calendar'!$E$1830:$AR$1830=SPECIAL_LBL)*(INC_SPECIALS="Y"))))</f>
        <v/>
      </c>
      <c r="I176" s="64">
        <f>IF($C176="","",SUMPRODUCT(('Dvd Calendar'!$E$1825:$AR$1825&gt;=DATE(YEAR_Y-2,1,1))*('Dvd Calendar'!$E$1825:$AR$1825&lt;=DATE(YEAR_Y-2,12,31))*'Dvd Calendar'!$E$1828:$AR$1828*(('Dvd Calendar'!$E$1830:$AR$1830=TYPE1)*(TYPE1&lt;&gt;"")+('Dvd Calendar'!$E$1830:$AR$1830=TYPE2)*(TYPE2&lt;&gt;"")+('Dvd Calendar'!$E$1830:$AR$1830=TYPE3)*(TYPE3&lt;&gt;"")+('Dvd Calendar'!$E$1830:$AR$1830=TYPE4)*(TYPE4&lt;&gt;"")+('Dvd Calendar'!$E$1830:$AR$1830=SPECIAL_LBL)*(INC_SPECIALS="Y"))))</f>
        <v/>
      </c>
      <c r="J176" s="64">
        <f>IF($C176="","",SUMPRODUCT(('Dvd Calendar'!$E$1825:$AR$1825&gt;=DATE(YEAR_Y-1,1,1))*('Dvd Calendar'!$E$1825:$AR$1825&lt;=DATE(YEAR_Y-1,12,31))*'Dvd Calendar'!$E$1828:$AR$1828*(('Dvd Calendar'!$E$1830:$AR$1830=TYPE1)*(TYPE1&lt;&gt;"")+('Dvd Calendar'!$E$1830:$AR$1830=TYPE2)*(TYPE2&lt;&gt;"")+('Dvd Calendar'!$E$1830:$AR$1830=TYPE3)*(TYPE3&lt;&gt;"")+('Dvd Calendar'!$E$1830:$AR$1830=TYPE4)*(TYPE4&lt;&gt;"")+('Dvd Calendar'!$E$1830:$AR$1830=SPECIAL_LBL)*(INC_SPECIALS="Y"))))</f>
        <v/>
      </c>
      <c r="K176" s="65">
        <f>IF($C176="","",HSCEI!$J$31)</f>
        <v/>
      </c>
      <c r="L176" s="65">
        <f>IF($C176="","",HSCEI!$K$31)</f>
        <v/>
      </c>
      <c r="M176" s="41">
        <f>IF($C176="","",AVERAGE(F176:J176))</f>
        <v/>
      </c>
      <c r="N176" s="66">
        <f>IF($C176="","",IF(PULL_FUND="N","",IFERROR(BDP($C176,EPS_FIELD,YR_OVERRIDE,TEXT(YEAR_Y-5,"0")),"")))</f>
        <v/>
      </c>
      <c r="O176" s="67">
        <f>IF($C176="","",IF(PULL_FUND="N","",IFERROR(BDP($C176,EPS_FIELD,YR_OVERRIDE,TEXT(YEAR_Y-4,"0")),"")))</f>
        <v/>
      </c>
      <c r="P176" s="67">
        <f>IF($C176="","",IF(PULL_FUND="N","",IFERROR(BDP($C176,EPS_FIELD,YR_OVERRIDE,TEXT(YEAR_Y-3,"0")),"")))</f>
        <v/>
      </c>
      <c r="Q176" s="67">
        <f>IF($C176="","",IF(PULL_FUND="N","",IFERROR(BDP($C176,EPS_FIELD,YR_OVERRIDE,TEXT(YEAR_Y-2,"0")),"")))</f>
        <v/>
      </c>
      <c r="R176" s="67">
        <f>IF($C176="","",IF(PULL_FUND="N","",IFERROR(BDP($C176,EPS_FIELD,YR_OVERRIDE,TEXT(YEAR_Y-1,"0")),"")))</f>
        <v/>
      </c>
      <c r="S176" s="68">
        <f>IF($C176="","",IF(PULL_FUND="N","",IFERROR(BDP($C176,PAYOUT_FIELD,YR_OVERRIDE,TEXT(YEAR_Y-5,"0"))/100,"")))</f>
        <v/>
      </c>
      <c r="T176" s="68">
        <f>IF($C176="","",IF(PULL_FUND="N","",IFERROR(BDP($C176,PAYOUT_FIELD,YR_OVERRIDE,TEXT(YEAR_Y-4,"0"))/100,"")))</f>
        <v/>
      </c>
      <c r="U176" s="68">
        <f>IF($C176="","",IF(PULL_FUND="N","",IFERROR(BDP($C176,PAYOUT_FIELD,YR_OVERRIDE,TEXT(YEAR_Y-3,"0"))/100,"")))</f>
        <v/>
      </c>
      <c r="V176" s="68">
        <f>IF($C176="","",IF(PULL_FUND="N","",IFERROR(BDP($C176,PAYOUT_FIELD,YR_OVERRIDE,TEXT(YEAR_Y-2,"0"))/100,"")))</f>
        <v/>
      </c>
      <c r="W176" s="68">
        <f>IF($C176="","",IF(PULL_FUND="N","",IFERROR(BDP($C176,PAYOUT_FIELD,YR_OVERRIDE,TEXT(YEAR_Y-1,"0"))/100,"")))</f>
        <v/>
      </c>
      <c r="X176" s="69">
        <f>IF($C176="","",IFERROR(AVERAGE(S176:W176),""))</f>
        <v/>
      </c>
      <c r="Y176" s="66">
        <f>IF($C176="","",IF(PULL_FUND="N","",IFERROR(BDP($C176,BESTEPS_FIELD,FWD_OVERRIDE,TEXT(MOD(YEAR_Y,100),"00")&amp;"Y"),"")))</f>
        <v/>
      </c>
      <c r="Z176" s="70">
        <f>IF($C176="","",IF(PULL_FUND="N","",IFERROR(BDP($C176,BESTDPS_FIELD,FWD_OVERRIDE,TEXT(MOD(YEAR_Y,100),"00")&amp;"Y"),"")))</f>
        <v/>
      </c>
      <c r="AA176" s="71">
        <f>IF($C176="","",IF(ISNUMBER($Y176)*ISNUMBER($Z176)*($Y176&lt;&gt;0)=0,"",$Z176/$Y176))</f>
        <v/>
      </c>
      <c r="AB176" s="41">
        <f>IF($C176="","",HSCEI!$J$31+HSCEI!$L$31)</f>
        <v/>
      </c>
      <c r="AC176" s="72">
        <f>IF($C176="","",IF(PULL_FUND="N","",IF(COUNTIFS('Fund History'!$G$1000:$G$1004,"&gt;="&amp;DATE(YEAR_Y-4,1,1),'Fund History'!$G$1000:$G$1004,"&lt;="&amp;DATE(YEAR_Y-4,12,31))=0,"",SUMIFS('Fund History'!$H$1000:$H$1004,'Fund History'!$G$1000:$G$1004,"&gt;="&amp;DATE(YEAR_Y-4,1,1),'Fund History'!$G$1000:$G$1004,"&lt;="&amp;DATE(YEAR_Y-4,12,31))/100)))</f>
        <v/>
      </c>
      <c r="AD176" s="73">
        <f>IF($C176="","",IF(PULL_FUND="N","",IF(COUNTIFS('Fund History'!$G$1000:$G$1004,"&gt;="&amp;DATE(YEAR_Y-3,1,1),'Fund History'!$G$1000:$G$1004,"&lt;="&amp;DATE(YEAR_Y-3,12,31))=0,"",SUMIFS('Fund History'!$H$1000:$H$1004,'Fund History'!$G$1000:$G$1004,"&gt;="&amp;DATE(YEAR_Y-3,1,1),'Fund History'!$G$1000:$G$1004,"&lt;="&amp;DATE(YEAR_Y-3,12,31))/100)))</f>
        <v/>
      </c>
      <c r="AE176" s="73">
        <f>IF($C176="","",IF(PULL_FUND="N","",IF(COUNTIFS('Fund History'!$G$1000:$G$1004,"&gt;="&amp;DATE(YEAR_Y-2,1,1),'Fund History'!$G$1000:$G$1004,"&lt;="&amp;DATE(YEAR_Y-2,12,31))=0,"",SUMIFS('Fund History'!$H$1000:$H$1004,'Fund History'!$G$1000:$G$1004,"&gt;="&amp;DATE(YEAR_Y-2,1,1),'Fund History'!$G$1000:$G$1004,"&lt;="&amp;DATE(YEAR_Y-2,12,31))/100)))</f>
        <v/>
      </c>
      <c r="AF176" s="73">
        <f>IF($C176="","",IF(PULL_FUND="N","",IF(COUNTIFS('Fund History'!$G$1000:$G$1004,"&gt;="&amp;DATE(YEAR_Y-1,1,1),'Fund History'!$G$1000:$G$1004,"&lt;="&amp;DATE(YEAR_Y-1,12,31))=0,"",SUMIFS('Fund History'!$H$1000:$H$1004,'Fund History'!$G$1000:$G$1004,"&gt;="&amp;DATE(YEAR_Y-1,1,1),'Fund History'!$G$1000:$G$1004,"&lt;="&amp;DATE(YEAR_Y-1,12,31))/100)))</f>
        <v/>
      </c>
      <c r="AG176" s="74">
        <f>IF($C176="","",IF(N($AF176)+N(HSCEI!$I$31)=0,"",N($AF176)+N(HSCEI!$I$31)/100))</f>
        <v/>
      </c>
      <c r="AH176" s="66">
        <f>IF($C176="","",IF(PULL_FUND="N","",IF(COUNTIFS('Fund History'!$D$1000:$D$1004,"&gt;="&amp;DATE(YEAR_Y-2,1,1),'Fund History'!$D$1000:$D$1004,"&lt;="&amp;DATE(YEAR_Y-2,12,31))=0,"",SUMIFS('Fund History'!$E$1000:$E$1004,'Fund History'!$D$1000:$D$1004,"&gt;="&amp;DATE(YEAR_Y-2,1,1),'Fund History'!$D$1000:$D$1004,"&lt;="&amp;DATE(YEAR_Y-2,12,31)))))</f>
        <v/>
      </c>
      <c r="AI176" s="67">
        <f>IF($C176="","",IF(PULL_FUND="N","",IF(COUNTIFS('Fund History'!$D$1000:$D$1004,"&gt;="&amp;DATE(YEAR_Y-1,1,1),'Fund History'!$D$1000:$D$1004,"&lt;="&amp;DATE(YEAR_Y-1,12,31))=0,"",SUMIFS('Fund History'!$E$1000:$E$1004,'Fund History'!$D$1000:$D$1004,"&gt;="&amp;DATE(YEAR_Y-1,1,1),'Fund History'!$D$1000:$D$1004,"&lt;="&amp;DATE(YEAR_Y-1,12,31)))))</f>
        <v/>
      </c>
      <c r="AJ176" s="67">
        <f>IF($C176="","",IF(PULL_FUND="N","",IFERROR(BDP($C176,NDEBITDA_FIELD),"")))</f>
        <v/>
      </c>
      <c r="AK176" s="75">
        <f>IF($C176="","",IF(PULL_FUND="N","",IFERROR(BDP($C176,EBINT_FIELD),"")))</f>
        <v/>
      </c>
      <c r="AL176" s="73">
        <f>IF($C176="","",IF(PULL_FUND="N","",IFERROR(BDP($C176,FCF_FIELD)/100,"")))</f>
        <v/>
      </c>
      <c r="AM176" s="76">
        <f>IF($C176="","",IF(ISNUMBER(HSCEI!$I$31),HSCEI!$I$31/100,""))</f>
        <v/>
      </c>
      <c r="AN176" s="47">
        <f>IF($C176="","",IF(N($AM176)=0,"",IFERROR($AL176/$AM176,"")))</f>
        <v/>
      </c>
      <c r="AO176" s="33">
        <f>IF($C176="","",IF(ISNUMBER($S176)*ISNUMBER($W176)=0,"",IF($W176&gt;$S176+0.05,"rising",IF($W176&lt;$S176-0.05,"falling","stable"))))</f>
        <v/>
      </c>
      <c r="AP176" s="77">
        <f>IF($C176="","",TRIM(IF(ISNUMBER($X176)*(N($X176)&gt;$D$4)&gt;0,"payout high  ","")&amp;IF(ISNUMBER($AN176)*(N($AN176)&lt;$F$4)&gt;0,"FCF below dvd  ","")&amp;IF(ISNUMBER($AJ176)*(N($AJ176)&gt;$H$4)&gt;0,"leverage high","")))</f>
        <v/>
      </c>
      <c r="AQ176" s="78">
        <f>IF($C176="","",IF(HSCEI!$F$31="HKD","",HSCEI!$F$31))</f>
        <v/>
      </c>
    </row>
    <row r="177">
      <c r="B177" s="62" t="inlineStr">
        <is>
          <t>HSCEI</t>
        </is>
      </c>
      <c r="C177" s="6">
        <f>IF(HSCEI!$C$32="","",HSCEI!$C$32)</f>
        <v/>
      </c>
      <c r="D177" s="6">
        <f>IF($C177="","",HSCEI!$D$32)</f>
        <v/>
      </c>
      <c r="E177" s="6">
        <f>IF($C177="","",HSCEI!$E$32)</f>
        <v/>
      </c>
      <c r="F177" s="63">
        <f>IF($C177="","",SUMPRODUCT(('Dvd Calendar'!$E$1836:$AR$1836&gt;=DATE(YEAR_Y-5,1,1))*('Dvd Calendar'!$E$1836:$AR$1836&lt;=DATE(YEAR_Y-5,12,31))*'Dvd Calendar'!$E$1839:$AR$1839*(('Dvd Calendar'!$E$1841:$AR$1841=TYPE1)*(TYPE1&lt;&gt;"")+('Dvd Calendar'!$E$1841:$AR$1841=TYPE2)*(TYPE2&lt;&gt;"")+('Dvd Calendar'!$E$1841:$AR$1841=TYPE3)*(TYPE3&lt;&gt;"")+('Dvd Calendar'!$E$1841:$AR$1841=TYPE4)*(TYPE4&lt;&gt;"")+('Dvd Calendar'!$E$1841:$AR$1841=SPECIAL_LBL)*(INC_SPECIALS="Y"))))</f>
        <v/>
      </c>
      <c r="G177" s="64">
        <f>IF($C177="","",SUMPRODUCT(('Dvd Calendar'!$E$1836:$AR$1836&gt;=DATE(YEAR_Y-4,1,1))*('Dvd Calendar'!$E$1836:$AR$1836&lt;=DATE(YEAR_Y-4,12,31))*'Dvd Calendar'!$E$1839:$AR$1839*(('Dvd Calendar'!$E$1841:$AR$1841=TYPE1)*(TYPE1&lt;&gt;"")+('Dvd Calendar'!$E$1841:$AR$1841=TYPE2)*(TYPE2&lt;&gt;"")+('Dvd Calendar'!$E$1841:$AR$1841=TYPE3)*(TYPE3&lt;&gt;"")+('Dvd Calendar'!$E$1841:$AR$1841=TYPE4)*(TYPE4&lt;&gt;"")+('Dvd Calendar'!$E$1841:$AR$1841=SPECIAL_LBL)*(INC_SPECIALS="Y"))))</f>
        <v/>
      </c>
      <c r="H177" s="64">
        <f>IF($C177="","",SUMPRODUCT(('Dvd Calendar'!$E$1836:$AR$1836&gt;=DATE(YEAR_Y-3,1,1))*('Dvd Calendar'!$E$1836:$AR$1836&lt;=DATE(YEAR_Y-3,12,31))*'Dvd Calendar'!$E$1839:$AR$1839*(('Dvd Calendar'!$E$1841:$AR$1841=TYPE1)*(TYPE1&lt;&gt;"")+('Dvd Calendar'!$E$1841:$AR$1841=TYPE2)*(TYPE2&lt;&gt;"")+('Dvd Calendar'!$E$1841:$AR$1841=TYPE3)*(TYPE3&lt;&gt;"")+('Dvd Calendar'!$E$1841:$AR$1841=TYPE4)*(TYPE4&lt;&gt;"")+('Dvd Calendar'!$E$1841:$AR$1841=SPECIAL_LBL)*(INC_SPECIALS="Y"))))</f>
        <v/>
      </c>
      <c r="I177" s="64">
        <f>IF($C177="","",SUMPRODUCT(('Dvd Calendar'!$E$1836:$AR$1836&gt;=DATE(YEAR_Y-2,1,1))*('Dvd Calendar'!$E$1836:$AR$1836&lt;=DATE(YEAR_Y-2,12,31))*'Dvd Calendar'!$E$1839:$AR$1839*(('Dvd Calendar'!$E$1841:$AR$1841=TYPE1)*(TYPE1&lt;&gt;"")+('Dvd Calendar'!$E$1841:$AR$1841=TYPE2)*(TYPE2&lt;&gt;"")+('Dvd Calendar'!$E$1841:$AR$1841=TYPE3)*(TYPE3&lt;&gt;"")+('Dvd Calendar'!$E$1841:$AR$1841=TYPE4)*(TYPE4&lt;&gt;"")+('Dvd Calendar'!$E$1841:$AR$1841=SPECIAL_LBL)*(INC_SPECIALS="Y"))))</f>
        <v/>
      </c>
      <c r="J177" s="64">
        <f>IF($C177="","",SUMPRODUCT(('Dvd Calendar'!$E$1836:$AR$1836&gt;=DATE(YEAR_Y-1,1,1))*('Dvd Calendar'!$E$1836:$AR$1836&lt;=DATE(YEAR_Y-1,12,31))*'Dvd Calendar'!$E$1839:$AR$1839*(('Dvd Calendar'!$E$1841:$AR$1841=TYPE1)*(TYPE1&lt;&gt;"")+('Dvd Calendar'!$E$1841:$AR$1841=TYPE2)*(TYPE2&lt;&gt;"")+('Dvd Calendar'!$E$1841:$AR$1841=TYPE3)*(TYPE3&lt;&gt;"")+('Dvd Calendar'!$E$1841:$AR$1841=TYPE4)*(TYPE4&lt;&gt;"")+('Dvd Calendar'!$E$1841:$AR$1841=SPECIAL_LBL)*(INC_SPECIALS="Y"))))</f>
        <v/>
      </c>
      <c r="K177" s="65">
        <f>IF($C177="","",HSCEI!$J$32)</f>
        <v/>
      </c>
      <c r="L177" s="65">
        <f>IF($C177="","",HSCEI!$K$32)</f>
        <v/>
      </c>
      <c r="M177" s="41">
        <f>IF($C177="","",AVERAGE(F177:J177))</f>
        <v/>
      </c>
      <c r="N177" s="66">
        <f>IF($C177="","",IF(PULL_FUND="N","",IFERROR(BDP($C177,EPS_FIELD,YR_OVERRIDE,TEXT(YEAR_Y-5,"0")),"")))</f>
        <v/>
      </c>
      <c r="O177" s="67">
        <f>IF($C177="","",IF(PULL_FUND="N","",IFERROR(BDP($C177,EPS_FIELD,YR_OVERRIDE,TEXT(YEAR_Y-4,"0")),"")))</f>
        <v/>
      </c>
      <c r="P177" s="67">
        <f>IF($C177="","",IF(PULL_FUND="N","",IFERROR(BDP($C177,EPS_FIELD,YR_OVERRIDE,TEXT(YEAR_Y-3,"0")),"")))</f>
        <v/>
      </c>
      <c r="Q177" s="67">
        <f>IF($C177="","",IF(PULL_FUND="N","",IFERROR(BDP($C177,EPS_FIELD,YR_OVERRIDE,TEXT(YEAR_Y-2,"0")),"")))</f>
        <v/>
      </c>
      <c r="R177" s="67">
        <f>IF($C177="","",IF(PULL_FUND="N","",IFERROR(BDP($C177,EPS_FIELD,YR_OVERRIDE,TEXT(YEAR_Y-1,"0")),"")))</f>
        <v/>
      </c>
      <c r="S177" s="68">
        <f>IF($C177="","",IF(PULL_FUND="N","",IFERROR(BDP($C177,PAYOUT_FIELD,YR_OVERRIDE,TEXT(YEAR_Y-5,"0"))/100,"")))</f>
        <v/>
      </c>
      <c r="T177" s="68">
        <f>IF($C177="","",IF(PULL_FUND="N","",IFERROR(BDP($C177,PAYOUT_FIELD,YR_OVERRIDE,TEXT(YEAR_Y-4,"0"))/100,"")))</f>
        <v/>
      </c>
      <c r="U177" s="68">
        <f>IF($C177="","",IF(PULL_FUND="N","",IFERROR(BDP($C177,PAYOUT_FIELD,YR_OVERRIDE,TEXT(YEAR_Y-3,"0"))/100,"")))</f>
        <v/>
      </c>
      <c r="V177" s="68">
        <f>IF($C177="","",IF(PULL_FUND="N","",IFERROR(BDP($C177,PAYOUT_FIELD,YR_OVERRIDE,TEXT(YEAR_Y-2,"0"))/100,"")))</f>
        <v/>
      </c>
      <c r="W177" s="68">
        <f>IF($C177="","",IF(PULL_FUND="N","",IFERROR(BDP($C177,PAYOUT_FIELD,YR_OVERRIDE,TEXT(YEAR_Y-1,"0"))/100,"")))</f>
        <v/>
      </c>
      <c r="X177" s="69">
        <f>IF($C177="","",IFERROR(AVERAGE(S177:W177),""))</f>
        <v/>
      </c>
      <c r="Y177" s="66">
        <f>IF($C177="","",IF(PULL_FUND="N","",IFERROR(BDP($C177,BESTEPS_FIELD,FWD_OVERRIDE,TEXT(MOD(YEAR_Y,100),"00")&amp;"Y"),"")))</f>
        <v/>
      </c>
      <c r="Z177" s="70">
        <f>IF($C177="","",IF(PULL_FUND="N","",IFERROR(BDP($C177,BESTDPS_FIELD,FWD_OVERRIDE,TEXT(MOD(YEAR_Y,100),"00")&amp;"Y"),"")))</f>
        <v/>
      </c>
      <c r="AA177" s="71">
        <f>IF($C177="","",IF(ISNUMBER($Y177)*ISNUMBER($Z177)*($Y177&lt;&gt;0)=0,"",$Z177/$Y177))</f>
        <v/>
      </c>
      <c r="AB177" s="41">
        <f>IF($C177="","",HSCEI!$J$32+HSCEI!$L$32)</f>
        <v/>
      </c>
      <c r="AC177" s="72">
        <f>IF($C177="","",IF(PULL_FUND="N","",IF(COUNTIFS('Fund History'!$G$1006:$G$1010,"&gt;="&amp;DATE(YEAR_Y-4,1,1),'Fund History'!$G$1006:$G$1010,"&lt;="&amp;DATE(YEAR_Y-4,12,31))=0,"",SUMIFS('Fund History'!$H$1006:$H$1010,'Fund History'!$G$1006:$G$1010,"&gt;="&amp;DATE(YEAR_Y-4,1,1),'Fund History'!$G$1006:$G$1010,"&lt;="&amp;DATE(YEAR_Y-4,12,31))/100)))</f>
        <v/>
      </c>
      <c r="AD177" s="73">
        <f>IF($C177="","",IF(PULL_FUND="N","",IF(COUNTIFS('Fund History'!$G$1006:$G$1010,"&gt;="&amp;DATE(YEAR_Y-3,1,1),'Fund History'!$G$1006:$G$1010,"&lt;="&amp;DATE(YEAR_Y-3,12,31))=0,"",SUMIFS('Fund History'!$H$1006:$H$1010,'Fund History'!$G$1006:$G$1010,"&gt;="&amp;DATE(YEAR_Y-3,1,1),'Fund History'!$G$1006:$G$1010,"&lt;="&amp;DATE(YEAR_Y-3,12,31))/100)))</f>
        <v/>
      </c>
      <c r="AE177" s="73">
        <f>IF($C177="","",IF(PULL_FUND="N","",IF(COUNTIFS('Fund History'!$G$1006:$G$1010,"&gt;="&amp;DATE(YEAR_Y-2,1,1),'Fund History'!$G$1006:$G$1010,"&lt;="&amp;DATE(YEAR_Y-2,12,31))=0,"",SUMIFS('Fund History'!$H$1006:$H$1010,'Fund History'!$G$1006:$G$1010,"&gt;="&amp;DATE(YEAR_Y-2,1,1),'Fund History'!$G$1006:$G$1010,"&lt;="&amp;DATE(YEAR_Y-2,12,31))/100)))</f>
        <v/>
      </c>
      <c r="AF177" s="73">
        <f>IF($C177="","",IF(PULL_FUND="N","",IF(COUNTIFS('Fund History'!$G$1006:$G$1010,"&gt;="&amp;DATE(YEAR_Y-1,1,1),'Fund History'!$G$1006:$G$1010,"&lt;="&amp;DATE(YEAR_Y-1,12,31))=0,"",SUMIFS('Fund History'!$H$1006:$H$1010,'Fund History'!$G$1006:$G$1010,"&gt;="&amp;DATE(YEAR_Y-1,1,1),'Fund History'!$G$1006:$G$1010,"&lt;="&amp;DATE(YEAR_Y-1,12,31))/100)))</f>
        <v/>
      </c>
      <c r="AG177" s="74">
        <f>IF($C177="","",IF(N($AF177)+N(HSCEI!$I$32)=0,"",N($AF177)+N(HSCEI!$I$32)/100))</f>
        <v/>
      </c>
      <c r="AH177" s="66">
        <f>IF($C177="","",IF(PULL_FUND="N","",IF(COUNTIFS('Fund History'!$D$1006:$D$1010,"&gt;="&amp;DATE(YEAR_Y-2,1,1),'Fund History'!$D$1006:$D$1010,"&lt;="&amp;DATE(YEAR_Y-2,12,31))=0,"",SUMIFS('Fund History'!$E$1006:$E$1010,'Fund History'!$D$1006:$D$1010,"&gt;="&amp;DATE(YEAR_Y-2,1,1),'Fund History'!$D$1006:$D$1010,"&lt;="&amp;DATE(YEAR_Y-2,12,31)))))</f>
        <v/>
      </c>
      <c r="AI177" s="67">
        <f>IF($C177="","",IF(PULL_FUND="N","",IF(COUNTIFS('Fund History'!$D$1006:$D$1010,"&gt;="&amp;DATE(YEAR_Y-1,1,1),'Fund History'!$D$1006:$D$1010,"&lt;="&amp;DATE(YEAR_Y-1,12,31))=0,"",SUMIFS('Fund History'!$E$1006:$E$1010,'Fund History'!$D$1006:$D$1010,"&gt;="&amp;DATE(YEAR_Y-1,1,1),'Fund History'!$D$1006:$D$1010,"&lt;="&amp;DATE(YEAR_Y-1,12,31)))))</f>
        <v/>
      </c>
      <c r="AJ177" s="67">
        <f>IF($C177="","",IF(PULL_FUND="N","",IFERROR(BDP($C177,NDEBITDA_FIELD),"")))</f>
        <v/>
      </c>
      <c r="AK177" s="75">
        <f>IF($C177="","",IF(PULL_FUND="N","",IFERROR(BDP($C177,EBINT_FIELD),"")))</f>
        <v/>
      </c>
      <c r="AL177" s="73">
        <f>IF($C177="","",IF(PULL_FUND="N","",IFERROR(BDP($C177,FCF_FIELD)/100,"")))</f>
        <v/>
      </c>
      <c r="AM177" s="76">
        <f>IF($C177="","",IF(ISNUMBER(HSCEI!$I$32),HSCEI!$I$32/100,""))</f>
        <v/>
      </c>
      <c r="AN177" s="47">
        <f>IF($C177="","",IF(N($AM177)=0,"",IFERROR($AL177/$AM177,"")))</f>
        <v/>
      </c>
      <c r="AO177" s="33">
        <f>IF($C177="","",IF(ISNUMBER($S177)*ISNUMBER($W177)=0,"",IF($W177&gt;$S177+0.05,"rising",IF($W177&lt;$S177-0.05,"falling","stable"))))</f>
        <v/>
      </c>
      <c r="AP177" s="77">
        <f>IF($C177="","",TRIM(IF(ISNUMBER($X177)*(N($X177)&gt;$D$4)&gt;0,"payout high  ","")&amp;IF(ISNUMBER($AN177)*(N($AN177)&lt;$F$4)&gt;0,"FCF below dvd  ","")&amp;IF(ISNUMBER($AJ177)*(N($AJ177)&gt;$H$4)&gt;0,"leverage high","")))</f>
        <v/>
      </c>
      <c r="AQ177" s="78">
        <f>IF($C177="","",IF(HSCEI!$F$32="HKD","",HSCEI!$F$32))</f>
        <v/>
      </c>
    </row>
    <row r="178">
      <c r="B178" s="62" t="inlineStr">
        <is>
          <t>HSCEI</t>
        </is>
      </c>
      <c r="C178" s="6">
        <f>IF(HSCEI!$C$33="","",HSCEI!$C$33)</f>
        <v/>
      </c>
      <c r="D178" s="6">
        <f>IF($C178="","",HSCEI!$D$33)</f>
        <v/>
      </c>
      <c r="E178" s="6">
        <f>IF($C178="","",HSCEI!$E$33)</f>
        <v/>
      </c>
      <c r="F178" s="63">
        <f>IF($C178="","",SUMPRODUCT(('Dvd Calendar'!$E$1847:$AR$1847&gt;=DATE(YEAR_Y-5,1,1))*('Dvd Calendar'!$E$1847:$AR$1847&lt;=DATE(YEAR_Y-5,12,31))*'Dvd Calendar'!$E$1850:$AR$1850*(('Dvd Calendar'!$E$1852:$AR$1852=TYPE1)*(TYPE1&lt;&gt;"")+('Dvd Calendar'!$E$1852:$AR$1852=TYPE2)*(TYPE2&lt;&gt;"")+('Dvd Calendar'!$E$1852:$AR$1852=TYPE3)*(TYPE3&lt;&gt;"")+('Dvd Calendar'!$E$1852:$AR$1852=TYPE4)*(TYPE4&lt;&gt;"")+('Dvd Calendar'!$E$1852:$AR$1852=SPECIAL_LBL)*(INC_SPECIALS="Y"))))</f>
        <v/>
      </c>
      <c r="G178" s="64">
        <f>IF($C178="","",SUMPRODUCT(('Dvd Calendar'!$E$1847:$AR$1847&gt;=DATE(YEAR_Y-4,1,1))*('Dvd Calendar'!$E$1847:$AR$1847&lt;=DATE(YEAR_Y-4,12,31))*'Dvd Calendar'!$E$1850:$AR$1850*(('Dvd Calendar'!$E$1852:$AR$1852=TYPE1)*(TYPE1&lt;&gt;"")+('Dvd Calendar'!$E$1852:$AR$1852=TYPE2)*(TYPE2&lt;&gt;"")+('Dvd Calendar'!$E$1852:$AR$1852=TYPE3)*(TYPE3&lt;&gt;"")+('Dvd Calendar'!$E$1852:$AR$1852=TYPE4)*(TYPE4&lt;&gt;"")+('Dvd Calendar'!$E$1852:$AR$1852=SPECIAL_LBL)*(INC_SPECIALS="Y"))))</f>
        <v/>
      </c>
      <c r="H178" s="64">
        <f>IF($C178="","",SUMPRODUCT(('Dvd Calendar'!$E$1847:$AR$1847&gt;=DATE(YEAR_Y-3,1,1))*('Dvd Calendar'!$E$1847:$AR$1847&lt;=DATE(YEAR_Y-3,12,31))*'Dvd Calendar'!$E$1850:$AR$1850*(('Dvd Calendar'!$E$1852:$AR$1852=TYPE1)*(TYPE1&lt;&gt;"")+('Dvd Calendar'!$E$1852:$AR$1852=TYPE2)*(TYPE2&lt;&gt;"")+('Dvd Calendar'!$E$1852:$AR$1852=TYPE3)*(TYPE3&lt;&gt;"")+('Dvd Calendar'!$E$1852:$AR$1852=TYPE4)*(TYPE4&lt;&gt;"")+('Dvd Calendar'!$E$1852:$AR$1852=SPECIAL_LBL)*(INC_SPECIALS="Y"))))</f>
        <v/>
      </c>
      <c r="I178" s="64">
        <f>IF($C178="","",SUMPRODUCT(('Dvd Calendar'!$E$1847:$AR$1847&gt;=DATE(YEAR_Y-2,1,1))*('Dvd Calendar'!$E$1847:$AR$1847&lt;=DATE(YEAR_Y-2,12,31))*'Dvd Calendar'!$E$1850:$AR$1850*(('Dvd Calendar'!$E$1852:$AR$1852=TYPE1)*(TYPE1&lt;&gt;"")+('Dvd Calendar'!$E$1852:$AR$1852=TYPE2)*(TYPE2&lt;&gt;"")+('Dvd Calendar'!$E$1852:$AR$1852=TYPE3)*(TYPE3&lt;&gt;"")+('Dvd Calendar'!$E$1852:$AR$1852=TYPE4)*(TYPE4&lt;&gt;"")+('Dvd Calendar'!$E$1852:$AR$1852=SPECIAL_LBL)*(INC_SPECIALS="Y"))))</f>
        <v/>
      </c>
      <c r="J178" s="64">
        <f>IF($C178="","",SUMPRODUCT(('Dvd Calendar'!$E$1847:$AR$1847&gt;=DATE(YEAR_Y-1,1,1))*('Dvd Calendar'!$E$1847:$AR$1847&lt;=DATE(YEAR_Y-1,12,31))*'Dvd Calendar'!$E$1850:$AR$1850*(('Dvd Calendar'!$E$1852:$AR$1852=TYPE1)*(TYPE1&lt;&gt;"")+('Dvd Calendar'!$E$1852:$AR$1852=TYPE2)*(TYPE2&lt;&gt;"")+('Dvd Calendar'!$E$1852:$AR$1852=TYPE3)*(TYPE3&lt;&gt;"")+('Dvd Calendar'!$E$1852:$AR$1852=TYPE4)*(TYPE4&lt;&gt;"")+('Dvd Calendar'!$E$1852:$AR$1852=SPECIAL_LBL)*(INC_SPECIALS="Y"))))</f>
        <v/>
      </c>
      <c r="K178" s="65">
        <f>IF($C178="","",HSCEI!$J$33)</f>
        <v/>
      </c>
      <c r="L178" s="65">
        <f>IF($C178="","",HSCEI!$K$33)</f>
        <v/>
      </c>
      <c r="M178" s="41">
        <f>IF($C178="","",AVERAGE(F178:J178))</f>
        <v/>
      </c>
      <c r="N178" s="66">
        <f>IF($C178="","",IF(PULL_FUND="N","",IFERROR(BDP($C178,EPS_FIELD,YR_OVERRIDE,TEXT(YEAR_Y-5,"0")),"")))</f>
        <v/>
      </c>
      <c r="O178" s="67">
        <f>IF($C178="","",IF(PULL_FUND="N","",IFERROR(BDP($C178,EPS_FIELD,YR_OVERRIDE,TEXT(YEAR_Y-4,"0")),"")))</f>
        <v/>
      </c>
      <c r="P178" s="67">
        <f>IF($C178="","",IF(PULL_FUND="N","",IFERROR(BDP($C178,EPS_FIELD,YR_OVERRIDE,TEXT(YEAR_Y-3,"0")),"")))</f>
        <v/>
      </c>
      <c r="Q178" s="67">
        <f>IF($C178="","",IF(PULL_FUND="N","",IFERROR(BDP($C178,EPS_FIELD,YR_OVERRIDE,TEXT(YEAR_Y-2,"0")),"")))</f>
        <v/>
      </c>
      <c r="R178" s="67">
        <f>IF($C178="","",IF(PULL_FUND="N","",IFERROR(BDP($C178,EPS_FIELD,YR_OVERRIDE,TEXT(YEAR_Y-1,"0")),"")))</f>
        <v/>
      </c>
      <c r="S178" s="68">
        <f>IF($C178="","",IF(PULL_FUND="N","",IFERROR(BDP($C178,PAYOUT_FIELD,YR_OVERRIDE,TEXT(YEAR_Y-5,"0"))/100,"")))</f>
        <v/>
      </c>
      <c r="T178" s="68">
        <f>IF($C178="","",IF(PULL_FUND="N","",IFERROR(BDP($C178,PAYOUT_FIELD,YR_OVERRIDE,TEXT(YEAR_Y-4,"0"))/100,"")))</f>
        <v/>
      </c>
      <c r="U178" s="68">
        <f>IF($C178="","",IF(PULL_FUND="N","",IFERROR(BDP($C178,PAYOUT_FIELD,YR_OVERRIDE,TEXT(YEAR_Y-3,"0"))/100,"")))</f>
        <v/>
      </c>
      <c r="V178" s="68">
        <f>IF($C178="","",IF(PULL_FUND="N","",IFERROR(BDP($C178,PAYOUT_FIELD,YR_OVERRIDE,TEXT(YEAR_Y-2,"0"))/100,"")))</f>
        <v/>
      </c>
      <c r="W178" s="68">
        <f>IF($C178="","",IF(PULL_FUND="N","",IFERROR(BDP($C178,PAYOUT_FIELD,YR_OVERRIDE,TEXT(YEAR_Y-1,"0"))/100,"")))</f>
        <v/>
      </c>
      <c r="X178" s="69">
        <f>IF($C178="","",IFERROR(AVERAGE(S178:W178),""))</f>
        <v/>
      </c>
      <c r="Y178" s="66">
        <f>IF($C178="","",IF(PULL_FUND="N","",IFERROR(BDP($C178,BESTEPS_FIELD,FWD_OVERRIDE,TEXT(MOD(YEAR_Y,100),"00")&amp;"Y"),"")))</f>
        <v/>
      </c>
      <c r="Z178" s="70">
        <f>IF($C178="","",IF(PULL_FUND="N","",IFERROR(BDP($C178,BESTDPS_FIELD,FWD_OVERRIDE,TEXT(MOD(YEAR_Y,100),"00")&amp;"Y"),"")))</f>
        <v/>
      </c>
      <c r="AA178" s="71">
        <f>IF($C178="","",IF(ISNUMBER($Y178)*ISNUMBER($Z178)*($Y178&lt;&gt;0)=0,"",$Z178/$Y178))</f>
        <v/>
      </c>
      <c r="AB178" s="41">
        <f>IF($C178="","",HSCEI!$J$33+HSCEI!$L$33)</f>
        <v/>
      </c>
      <c r="AC178" s="72">
        <f>IF($C178="","",IF(PULL_FUND="N","",IF(COUNTIFS('Fund History'!$G$1012:$G$1016,"&gt;="&amp;DATE(YEAR_Y-4,1,1),'Fund History'!$G$1012:$G$1016,"&lt;="&amp;DATE(YEAR_Y-4,12,31))=0,"",SUMIFS('Fund History'!$H$1012:$H$1016,'Fund History'!$G$1012:$G$1016,"&gt;="&amp;DATE(YEAR_Y-4,1,1),'Fund History'!$G$1012:$G$1016,"&lt;="&amp;DATE(YEAR_Y-4,12,31))/100)))</f>
        <v/>
      </c>
      <c r="AD178" s="73">
        <f>IF($C178="","",IF(PULL_FUND="N","",IF(COUNTIFS('Fund History'!$G$1012:$G$1016,"&gt;="&amp;DATE(YEAR_Y-3,1,1),'Fund History'!$G$1012:$G$1016,"&lt;="&amp;DATE(YEAR_Y-3,12,31))=0,"",SUMIFS('Fund History'!$H$1012:$H$1016,'Fund History'!$G$1012:$G$1016,"&gt;="&amp;DATE(YEAR_Y-3,1,1),'Fund History'!$G$1012:$G$1016,"&lt;="&amp;DATE(YEAR_Y-3,12,31))/100)))</f>
        <v/>
      </c>
      <c r="AE178" s="73">
        <f>IF($C178="","",IF(PULL_FUND="N","",IF(COUNTIFS('Fund History'!$G$1012:$G$1016,"&gt;="&amp;DATE(YEAR_Y-2,1,1),'Fund History'!$G$1012:$G$1016,"&lt;="&amp;DATE(YEAR_Y-2,12,31))=0,"",SUMIFS('Fund History'!$H$1012:$H$1016,'Fund History'!$G$1012:$G$1016,"&gt;="&amp;DATE(YEAR_Y-2,1,1),'Fund History'!$G$1012:$G$1016,"&lt;="&amp;DATE(YEAR_Y-2,12,31))/100)))</f>
        <v/>
      </c>
      <c r="AF178" s="73">
        <f>IF($C178="","",IF(PULL_FUND="N","",IF(COUNTIFS('Fund History'!$G$1012:$G$1016,"&gt;="&amp;DATE(YEAR_Y-1,1,1),'Fund History'!$G$1012:$G$1016,"&lt;="&amp;DATE(YEAR_Y-1,12,31))=0,"",SUMIFS('Fund History'!$H$1012:$H$1016,'Fund History'!$G$1012:$G$1016,"&gt;="&amp;DATE(YEAR_Y-1,1,1),'Fund History'!$G$1012:$G$1016,"&lt;="&amp;DATE(YEAR_Y-1,12,31))/100)))</f>
        <v/>
      </c>
      <c r="AG178" s="74">
        <f>IF($C178="","",IF(N($AF178)+N(HSCEI!$I$33)=0,"",N($AF178)+N(HSCEI!$I$33)/100))</f>
        <v/>
      </c>
      <c r="AH178" s="66">
        <f>IF($C178="","",IF(PULL_FUND="N","",IF(COUNTIFS('Fund History'!$D$1012:$D$1016,"&gt;="&amp;DATE(YEAR_Y-2,1,1),'Fund History'!$D$1012:$D$1016,"&lt;="&amp;DATE(YEAR_Y-2,12,31))=0,"",SUMIFS('Fund History'!$E$1012:$E$1016,'Fund History'!$D$1012:$D$1016,"&gt;="&amp;DATE(YEAR_Y-2,1,1),'Fund History'!$D$1012:$D$1016,"&lt;="&amp;DATE(YEAR_Y-2,12,31)))))</f>
        <v/>
      </c>
      <c r="AI178" s="67">
        <f>IF($C178="","",IF(PULL_FUND="N","",IF(COUNTIFS('Fund History'!$D$1012:$D$1016,"&gt;="&amp;DATE(YEAR_Y-1,1,1),'Fund History'!$D$1012:$D$1016,"&lt;="&amp;DATE(YEAR_Y-1,12,31))=0,"",SUMIFS('Fund History'!$E$1012:$E$1016,'Fund History'!$D$1012:$D$1016,"&gt;="&amp;DATE(YEAR_Y-1,1,1),'Fund History'!$D$1012:$D$1016,"&lt;="&amp;DATE(YEAR_Y-1,12,31)))))</f>
        <v/>
      </c>
      <c r="AJ178" s="67">
        <f>IF($C178="","",IF(PULL_FUND="N","",IFERROR(BDP($C178,NDEBITDA_FIELD),"")))</f>
        <v/>
      </c>
      <c r="AK178" s="75">
        <f>IF($C178="","",IF(PULL_FUND="N","",IFERROR(BDP($C178,EBINT_FIELD),"")))</f>
        <v/>
      </c>
      <c r="AL178" s="73">
        <f>IF($C178="","",IF(PULL_FUND="N","",IFERROR(BDP($C178,FCF_FIELD)/100,"")))</f>
        <v/>
      </c>
      <c r="AM178" s="76">
        <f>IF($C178="","",IF(ISNUMBER(HSCEI!$I$33),HSCEI!$I$33/100,""))</f>
        <v/>
      </c>
      <c r="AN178" s="47">
        <f>IF($C178="","",IF(N($AM178)=0,"",IFERROR($AL178/$AM178,"")))</f>
        <v/>
      </c>
      <c r="AO178" s="33">
        <f>IF($C178="","",IF(ISNUMBER($S178)*ISNUMBER($W178)=0,"",IF($W178&gt;$S178+0.05,"rising",IF($W178&lt;$S178-0.05,"falling","stable"))))</f>
        <v/>
      </c>
      <c r="AP178" s="77">
        <f>IF($C178="","",TRIM(IF(ISNUMBER($X178)*(N($X178)&gt;$D$4)&gt;0,"payout high  ","")&amp;IF(ISNUMBER($AN178)*(N($AN178)&lt;$F$4)&gt;0,"FCF below dvd  ","")&amp;IF(ISNUMBER($AJ178)*(N($AJ178)&gt;$H$4)&gt;0,"leverage high","")))</f>
        <v/>
      </c>
      <c r="AQ178" s="78">
        <f>IF($C178="","",IF(HSCEI!$F$33="HKD","",HSCEI!$F$33))</f>
        <v/>
      </c>
    </row>
    <row r="179">
      <c r="B179" s="62" t="inlineStr">
        <is>
          <t>HSCEI</t>
        </is>
      </c>
      <c r="C179" s="6">
        <f>IF(HSCEI!$C$34="","",HSCEI!$C$34)</f>
        <v/>
      </c>
      <c r="D179" s="6">
        <f>IF($C179="","",HSCEI!$D$34)</f>
        <v/>
      </c>
      <c r="E179" s="6">
        <f>IF($C179="","",HSCEI!$E$34)</f>
        <v/>
      </c>
      <c r="F179" s="63">
        <f>IF($C179="","",SUMPRODUCT(('Dvd Calendar'!$E$1858:$AR$1858&gt;=DATE(YEAR_Y-5,1,1))*('Dvd Calendar'!$E$1858:$AR$1858&lt;=DATE(YEAR_Y-5,12,31))*'Dvd Calendar'!$E$1861:$AR$1861*(('Dvd Calendar'!$E$1863:$AR$1863=TYPE1)*(TYPE1&lt;&gt;"")+('Dvd Calendar'!$E$1863:$AR$1863=TYPE2)*(TYPE2&lt;&gt;"")+('Dvd Calendar'!$E$1863:$AR$1863=TYPE3)*(TYPE3&lt;&gt;"")+('Dvd Calendar'!$E$1863:$AR$1863=TYPE4)*(TYPE4&lt;&gt;"")+('Dvd Calendar'!$E$1863:$AR$1863=SPECIAL_LBL)*(INC_SPECIALS="Y"))))</f>
        <v/>
      </c>
      <c r="G179" s="64">
        <f>IF($C179="","",SUMPRODUCT(('Dvd Calendar'!$E$1858:$AR$1858&gt;=DATE(YEAR_Y-4,1,1))*('Dvd Calendar'!$E$1858:$AR$1858&lt;=DATE(YEAR_Y-4,12,31))*'Dvd Calendar'!$E$1861:$AR$1861*(('Dvd Calendar'!$E$1863:$AR$1863=TYPE1)*(TYPE1&lt;&gt;"")+('Dvd Calendar'!$E$1863:$AR$1863=TYPE2)*(TYPE2&lt;&gt;"")+('Dvd Calendar'!$E$1863:$AR$1863=TYPE3)*(TYPE3&lt;&gt;"")+('Dvd Calendar'!$E$1863:$AR$1863=TYPE4)*(TYPE4&lt;&gt;"")+('Dvd Calendar'!$E$1863:$AR$1863=SPECIAL_LBL)*(INC_SPECIALS="Y"))))</f>
        <v/>
      </c>
      <c r="H179" s="64">
        <f>IF($C179="","",SUMPRODUCT(('Dvd Calendar'!$E$1858:$AR$1858&gt;=DATE(YEAR_Y-3,1,1))*('Dvd Calendar'!$E$1858:$AR$1858&lt;=DATE(YEAR_Y-3,12,31))*'Dvd Calendar'!$E$1861:$AR$1861*(('Dvd Calendar'!$E$1863:$AR$1863=TYPE1)*(TYPE1&lt;&gt;"")+('Dvd Calendar'!$E$1863:$AR$1863=TYPE2)*(TYPE2&lt;&gt;"")+('Dvd Calendar'!$E$1863:$AR$1863=TYPE3)*(TYPE3&lt;&gt;"")+('Dvd Calendar'!$E$1863:$AR$1863=TYPE4)*(TYPE4&lt;&gt;"")+('Dvd Calendar'!$E$1863:$AR$1863=SPECIAL_LBL)*(INC_SPECIALS="Y"))))</f>
        <v/>
      </c>
      <c r="I179" s="64">
        <f>IF($C179="","",SUMPRODUCT(('Dvd Calendar'!$E$1858:$AR$1858&gt;=DATE(YEAR_Y-2,1,1))*('Dvd Calendar'!$E$1858:$AR$1858&lt;=DATE(YEAR_Y-2,12,31))*'Dvd Calendar'!$E$1861:$AR$1861*(('Dvd Calendar'!$E$1863:$AR$1863=TYPE1)*(TYPE1&lt;&gt;"")+('Dvd Calendar'!$E$1863:$AR$1863=TYPE2)*(TYPE2&lt;&gt;"")+('Dvd Calendar'!$E$1863:$AR$1863=TYPE3)*(TYPE3&lt;&gt;"")+('Dvd Calendar'!$E$1863:$AR$1863=TYPE4)*(TYPE4&lt;&gt;"")+('Dvd Calendar'!$E$1863:$AR$1863=SPECIAL_LBL)*(INC_SPECIALS="Y"))))</f>
        <v/>
      </c>
      <c r="J179" s="64">
        <f>IF($C179="","",SUMPRODUCT(('Dvd Calendar'!$E$1858:$AR$1858&gt;=DATE(YEAR_Y-1,1,1))*('Dvd Calendar'!$E$1858:$AR$1858&lt;=DATE(YEAR_Y-1,12,31))*'Dvd Calendar'!$E$1861:$AR$1861*(('Dvd Calendar'!$E$1863:$AR$1863=TYPE1)*(TYPE1&lt;&gt;"")+('Dvd Calendar'!$E$1863:$AR$1863=TYPE2)*(TYPE2&lt;&gt;"")+('Dvd Calendar'!$E$1863:$AR$1863=TYPE3)*(TYPE3&lt;&gt;"")+('Dvd Calendar'!$E$1863:$AR$1863=TYPE4)*(TYPE4&lt;&gt;"")+('Dvd Calendar'!$E$1863:$AR$1863=SPECIAL_LBL)*(INC_SPECIALS="Y"))))</f>
        <v/>
      </c>
      <c r="K179" s="65">
        <f>IF($C179="","",HSCEI!$J$34)</f>
        <v/>
      </c>
      <c r="L179" s="65">
        <f>IF($C179="","",HSCEI!$K$34)</f>
        <v/>
      </c>
      <c r="M179" s="41">
        <f>IF($C179="","",AVERAGE(F179:J179))</f>
        <v/>
      </c>
      <c r="N179" s="66">
        <f>IF($C179="","",IF(PULL_FUND="N","",IFERROR(BDP($C179,EPS_FIELD,YR_OVERRIDE,TEXT(YEAR_Y-5,"0")),"")))</f>
        <v/>
      </c>
      <c r="O179" s="67">
        <f>IF($C179="","",IF(PULL_FUND="N","",IFERROR(BDP($C179,EPS_FIELD,YR_OVERRIDE,TEXT(YEAR_Y-4,"0")),"")))</f>
        <v/>
      </c>
      <c r="P179" s="67">
        <f>IF($C179="","",IF(PULL_FUND="N","",IFERROR(BDP($C179,EPS_FIELD,YR_OVERRIDE,TEXT(YEAR_Y-3,"0")),"")))</f>
        <v/>
      </c>
      <c r="Q179" s="67">
        <f>IF($C179="","",IF(PULL_FUND="N","",IFERROR(BDP($C179,EPS_FIELD,YR_OVERRIDE,TEXT(YEAR_Y-2,"0")),"")))</f>
        <v/>
      </c>
      <c r="R179" s="67">
        <f>IF($C179="","",IF(PULL_FUND="N","",IFERROR(BDP($C179,EPS_FIELD,YR_OVERRIDE,TEXT(YEAR_Y-1,"0")),"")))</f>
        <v/>
      </c>
      <c r="S179" s="68">
        <f>IF($C179="","",IF(PULL_FUND="N","",IFERROR(BDP($C179,PAYOUT_FIELD,YR_OVERRIDE,TEXT(YEAR_Y-5,"0"))/100,"")))</f>
        <v/>
      </c>
      <c r="T179" s="68">
        <f>IF($C179="","",IF(PULL_FUND="N","",IFERROR(BDP($C179,PAYOUT_FIELD,YR_OVERRIDE,TEXT(YEAR_Y-4,"0"))/100,"")))</f>
        <v/>
      </c>
      <c r="U179" s="68">
        <f>IF($C179="","",IF(PULL_FUND="N","",IFERROR(BDP($C179,PAYOUT_FIELD,YR_OVERRIDE,TEXT(YEAR_Y-3,"0"))/100,"")))</f>
        <v/>
      </c>
      <c r="V179" s="68">
        <f>IF($C179="","",IF(PULL_FUND="N","",IFERROR(BDP($C179,PAYOUT_FIELD,YR_OVERRIDE,TEXT(YEAR_Y-2,"0"))/100,"")))</f>
        <v/>
      </c>
      <c r="W179" s="68">
        <f>IF($C179="","",IF(PULL_FUND="N","",IFERROR(BDP($C179,PAYOUT_FIELD,YR_OVERRIDE,TEXT(YEAR_Y-1,"0"))/100,"")))</f>
        <v/>
      </c>
      <c r="X179" s="69">
        <f>IF($C179="","",IFERROR(AVERAGE(S179:W179),""))</f>
        <v/>
      </c>
      <c r="Y179" s="66">
        <f>IF($C179="","",IF(PULL_FUND="N","",IFERROR(BDP($C179,BESTEPS_FIELD,FWD_OVERRIDE,TEXT(MOD(YEAR_Y,100),"00")&amp;"Y"),"")))</f>
        <v/>
      </c>
      <c r="Z179" s="70">
        <f>IF($C179="","",IF(PULL_FUND="N","",IFERROR(BDP($C179,BESTDPS_FIELD,FWD_OVERRIDE,TEXT(MOD(YEAR_Y,100),"00")&amp;"Y"),"")))</f>
        <v/>
      </c>
      <c r="AA179" s="71">
        <f>IF($C179="","",IF(ISNUMBER($Y179)*ISNUMBER($Z179)*($Y179&lt;&gt;0)=0,"",$Z179/$Y179))</f>
        <v/>
      </c>
      <c r="AB179" s="41">
        <f>IF($C179="","",HSCEI!$J$34+HSCEI!$L$34)</f>
        <v/>
      </c>
      <c r="AC179" s="72">
        <f>IF($C179="","",IF(PULL_FUND="N","",IF(COUNTIFS('Fund History'!$G$1018:$G$1022,"&gt;="&amp;DATE(YEAR_Y-4,1,1),'Fund History'!$G$1018:$G$1022,"&lt;="&amp;DATE(YEAR_Y-4,12,31))=0,"",SUMIFS('Fund History'!$H$1018:$H$1022,'Fund History'!$G$1018:$G$1022,"&gt;="&amp;DATE(YEAR_Y-4,1,1),'Fund History'!$G$1018:$G$1022,"&lt;="&amp;DATE(YEAR_Y-4,12,31))/100)))</f>
        <v/>
      </c>
      <c r="AD179" s="73">
        <f>IF($C179="","",IF(PULL_FUND="N","",IF(COUNTIFS('Fund History'!$G$1018:$G$1022,"&gt;="&amp;DATE(YEAR_Y-3,1,1),'Fund History'!$G$1018:$G$1022,"&lt;="&amp;DATE(YEAR_Y-3,12,31))=0,"",SUMIFS('Fund History'!$H$1018:$H$1022,'Fund History'!$G$1018:$G$1022,"&gt;="&amp;DATE(YEAR_Y-3,1,1),'Fund History'!$G$1018:$G$1022,"&lt;="&amp;DATE(YEAR_Y-3,12,31))/100)))</f>
        <v/>
      </c>
      <c r="AE179" s="73">
        <f>IF($C179="","",IF(PULL_FUND="N","",IF(COUNTIFS('Fund History'!$G$1018:$G$1022,"&gt;="&amp;DATE(YEAR_Y-2,1,1),'Fund History'!$G$1018:$G$1022,"&lt;="&amp;DATE(YEAR_Y-2,12,31))=0,"",SUMIFS('Fund History'!$H$1018:$H$1022,'Fund History'!$G$1018:$G$1022,"&gt;="&amp;DATE(YEAR_Y-2,1,1),'Fund History'!$G$1018:$G$1022,"&lt;="&amp;DATE(YEAR_Y-2,12,31))/100)))</f>
        <v/>
      </c>
      <c r="AF179" s="73">
        <f>IF($C179="","",IF(PULL_FUND="N","",IF(COUNTIFS('Fund History'!$G$1018:$G$1022,"&gt;="&amp;DATE(YEAR_Y-1,1,1),'Fund History'!$G$1018:$G$1022,"&lt;="&amp;DATE(YEAR_Y-1,12,31))=0,"",SUMIFS('Fund History'!$H$1018:$H$1022,'Fund History'!$G$1018:$G$1022,"&gt;="&amp;DATE(YEAR_Y-1,1,1),'Fund History'!$G$1018:$G$1022,"&lt;="&amp;DATE(YEAR_Y-1,12,31))/100)))</f>
        <v/>
      </c>
      <c r="AG179" s="74">
        <f>IF($C179="","",IF(N($AF179)+N(HSCEI!$I$34)=0,"",N($AF179)+N(HSCEI!$I$34)/100))</f>
        <v/>
      </c>
      <c r="AH179" s="66">
        <f>IF($C179="","",IF(PULL_FUND="N","",IF(COUNTIFS('Fund History'!$D$1018:$D$1022,"&gt;="&amp;DATE(YEAR_Y-2,1,1),'Fund History'!$D$1018:$D$1022,"&lt;="&amp;DATE(YEAR_Y-2,12,31))=0,"",SUMIFS('Fund History'!$E$1018:$E$1022,'Fund History'!$D$1018:$D$1022,"&gt;="&amp;DATE(YEAR_Y-2,1,1),'Fund History'!$D$1018:$D$1022,"&lt;="&amp;DATE(YEAR_Y-2,12,31)))))</f>
        <v/>
      </c>
      <c r="AI179" s="67">
        <f>IF($C179="","",IF(PULL_FUND="N","",IF(COUNTIFS('Fund History'!$D$1018:$D$1022,"&gt;="&amp;DATE(YEAR_Y-1,1,1),'Fund History'!$D$1018:$D$1022,"&lt;="&amp;DATE(YEAR_Y-1,12,31))=0,"",SUMIFS('Fund History'!$E$1018:$E$1022,'Fund History'!$D$1018:$D$1022,"&gt;="&amp;DATE(YEAR_Y-1,1,1),'Fund History'!$D$1018:$D$1022,"&lt;="&amp;DATE(YEAR_Y-1,12,31)))))</f>
        <v/>
      </c>
      <c r="AJ179" s="67">
        <f>IF($C179="","",IF(PULL_FUND="N","",IFERROR(BDP($C179,NDEBITDA_FIELD),"")))</f>
        <v/>
      </c>
      <c r="AK179" s="75">
        <f>IF($C179="","",IF(PULL_FUND="N","",IFERROR(BDP($C179,EBINT_FIELD),"")))</f>
        <v/>
      </c>
      <c r="AL179" s="73">
        <f>IF($C179="","",IF(PULL_FUND="N","",IFERROR(BDP($C179,FCF_FIELD)/100,"")))</f>
        <v/>
      </c>
      <c r="AM179" s="76">
        <f>IF($C179="","",IF(ISNUMBER(HSCEI!$I$34),HSCEI!$I$34/100,""))</f>
        <v/>
      </c>
      <c r="AN179" s="47">
        <f>IF($C179="","",IF(N($AM179)=0,"",IFERROR($AL179/$AM179,"")))</f>
        <v/>
      </c>
      <c r="AO179" s="33">
        <f>IF($C179="","",IF(ISNUMBER($S179)*ISNUMBER($W179)=0,"",IF($W179&gt;$S179+0.05,"rising",IF($W179&lt;$S179-0.05,"falling","stable"))))</f>
        <v/>
      </c>
      <c r="AP179" s="77">
        <f>IF($C179="","",TRIM(IF(ISNUMBER($X179)*(N($X179)&gt;$D$4)&gt;0,"payout high  ","")&amp;IF(ISNUMBER($AN179)*(N($AN179)&lt;$F$4)&gt;0,"FCF below dvd  ","")&amp;IF(ISNUMBER($AJ179)*(N($AJ179)&gt;$H$4)&gt;0,"leverage high","")))</f>
        <v/>
      </c>
      <c r="AQ179" s="78">
        <f>IF($C179="","",IF(HSCEI!$F$34="HKD","",HSCEI!$F$34))</f>
        <v/>
      </c>
    </row>
    <row r="180">
      <c r="B180" s="62" t="inlineStr">
        <is>
          <t>HSCEI</t>
        </is>
      </c>
      <c r="C180" s="6">
        <f>IF(HSCEI!$C$35="","",HSCEI!$C$35)</f>
        <v/>
      </c>
      <c r="D180" s="6">
        <f>IF($C180="","",HSCEI!$D$35)</f>
        <v/>
      </c>
      <c r="E180" s="6">
        <f>IF($C180="","",HSCEI!$E$35)</f>
        <v/>
      </c>
      <c r="F180" s="63">
        <f>IF($C180="","",SUMPRODUCT(('Dvd Calendar'!$E$1869:$AR$1869&gt;=DATE(YEAR_Y-5,1,1))*('Dvd Calendar'!$E$1869:$AR$1869&lt;=DATE(YEAR_Y-5,12,31))*'Dvd Calendar'!$E$1872:$AR$1872*(('Dvd Calendar'!$E$1874:$AR$1874=TYPE1)*(TYPE1&lt;&gt;"")+('Dvd Calendar'!$E$1874:$AR$1874=TYPE2)*(TYPE2&lt;&gt;"")+('Dvd Calendar'!$E$1874:$AR$1874=TYPE3)*(TYPE3&lt;&gt;"")+('Dvd Calendar'!$E$1874:$AR$1874=TYPE4)*(TYPE4&lt;&gt;"")+('Dvd Calendar'!$E$1874:$AR$1874=SPECIAL_LBL)*(INC_SPECIALS="Y"))))</f>
        <v/>
      </c>
      <c r="G180" s="64">
        <f>IF($C180="","",SUMPRODUCT(('Dvd Calendar'!$E$1869:$AR$1869&gt;=DATE(YEAR_Y-4,1,1))*('Dvd Calendar'!$E$1869:$AR$1869&lt;=DATE(YEAR_Y-4,12,31))*'Dvd Calendar'!$E$1872:$AR$1872*(('Dvd Calendar'!$E$1874:$AR$1874=TYPE1)*(TYPE1&lt;&gt;"")+('Dvd Calendar'!$E$1874:$AR$1874=TYPE2)*(TYPE2&lt;&gt;"")+('Dvd Calendar'!$E$1874:$AR$1874=TYPE3)*(TYPE3&lt;&gt;"")+('Dvd Calendar'!$E$1874:$AR$1874=TYPE4)*(TYPE4&lt;&gt;"")+('Dvd Calendar'!$E$1874:$AR$1874=SPECIAL_LBL)*(INC_SPECIALS="Y"))))</f>
        <v/>
      </c>
      <c r="H180" s="64">
        <f>IF($C180="","",SUMPRODUCT(('Dvd Calendar'!$E$1869:$AR$1869&gt;=DATE(YEAR_Y-3,1,1))*('Dvd Calendar'!$E$1869:$AR$1869&lt;=DATE(YEAR_Y-3,12,31))*'Dvd Calendar'!$E$1872:$AR$1872*(('Dvd Calendar'!$E$1874:$AR$1874=TYPE1)*(TYPE1&lt;&gt;"")+('Dvd Calendar'!$E$1874:$AR$1874=TYPE2)*(TYPE2&lt;&gt;"")+('Dvd Calendar'!$E$1874:$AR$1874=TYPE3)*(TYPE3&lt;&gt;"")+('Dvd Calendar'!$E$1874:$AR$1874=TYPE4)*(TYPE4&lt;&gt;"")+('Dvd Calendar'!$E$1874:$AR$1874=SPECIAL_LBL)*(INC_SPECIALS="Y"))))</f>
        <v/>
      </c>
      <c r="I180" s="64">
        <f>IF($C180="","",SUMPRODUCT(('Dvd Calendar'!$E$1869:$AR$1869&gt;=DATE(YEAR_Y-2,1,1))*('Dvd Calendar'!$E$1869:$AR$1869&lt;=DATE(YEAR_Y-2,12,31))*'Dvd Calendar'!$E$1872:$AR$1872*(('Dvd Calendar'!$E$1874:$AR$1874=TYPE1)*(TYPE1&lt;&gt;"")+('Dvd Calendar'!$E$1874:$AR$1874=TYPE2)*(TYPE2&lt;&gt;"")+('Dvd Calendar'!$E$1874:$AR$1874=TYPE3)*(TYPE3&lt;&gt;"")+('Dvd Calendar'!$E$1874:$AR$1874=TYPE4)*(TYPE4&lt;&gt;"")+('Dvd Calendar'!$E$1874:$AR$1874=SPECIAL_LBL)*(INC_SPECIALS="Y"))))</f>
        <v/>
      </c>
      <c r="J180" s="64">
        <f>IF($C180="","",SUMPRODUCT(('Dvd Calendar'!$E$1869:$AR$1869&gt;=DATE(YEAR_Y-1,1,1))*('Dvd Calendar'!$E$1869:$AR$1869&lt;=DATE(YEAR_Y-1,12,31))*'Dvd Calendar'!$E$1872:$AR$1872*(('Dvd Calendar'!$E$1874:$AR$1874=TYPE1)*(TYPE1&lt;&gt;"")+('Dvd Calendar'!$E$1874:$AR$1874=TYPE2)*(TYPE2&lt;&gt;"")+('Dvd Calendar'!$E$1874:$AR$1874=TYPE3)*(TYPE3&lt;&gt;"")+('Dvd Calendar'!$E$1874:$AR$1874=TYPE4)*(TYPE4&lt;&gt;"")+('Dvd Calendar'!$E$1874:$AR$1874=SPECIAL_LBL)*(INC_SPECIALS="Y"))))</f>
        <v/>
      </c>
      <c r="K180" s="65">
        <f>IF($C180="","",HSCEI!$J$35)</f>
        <v/>
      </c>
      <c r="L180" s="65">
        <f>IF($C180="","",HSCEI!$K$35)</f>
        <v/>
      </c>
      <c r="M180" s="41">
        <f>IF($C180="","",AVERAGE(F180:J180))</f>
        <v/>
      </c>
      <c r="N180" s="66">
        <f>IF($C180="","",IF(PULL_FUND="N","",IFERROR(BDP($C180,EPS_FIELD,YR_OVERRIDE,TEXT(YEAR_Y-5,"0")),"")))</f>
        <v/>
      </c>
      <c r="O180" s="67">
        <f>IF($C180="","",IF(PULL_FUND="N","",IFERROR(BDP($C180,EPS_FIELD,YR_OVERRIDE,TEXT(YEAR_Y-4,"0")),"")))</f>
        <v/>
      </c>
      <c r="P180" s="67">
        <f>IF($C180="","",IF(PULL_FUND="N","",IFERROR(BDP($C180,EPS_FIELD,YR_OVERRIDE,TEXT(YEAR_Y-3,"0")),"")))</f>
        <v/>
      </c>
      <c r="Q180" s="67">
        <f>IF($C180="","",IF(PULL_FUND="N","",IFERROR(BDP($C180,EPS_FIELD,YR_OVERRIDE,TEXT(YEAR_Y-2,"0")),"")))</f>
        <v/>
      </c>
      <c r="R180" s="67">
        <f>IF($C180="","",IF(PULL_FUND="N","",IFERROR(BDP($C180,EPS_FIELD,YR_OVERRIDE,TEXT(YEAR_Y-1,"0")),"")))</f>
        <v/>
      </c>
      <c r="S180" s="68">
        <f>IF($C180="","",IF(PULL_FUND="N","",IFERROR(BDP($C180,PAYOUT_FIELD,YR_OVERRIDE,TEXT(YEAR_Y-5,"0"))/100,"")))</f>
        <v/>
      </c>
      <c r="T180" s="68">
        <f>IF($C180="","",IF(PULL_FUND="N","",IFERROR(BDP($C180,PAYOUT_FIELD,YR_OVERRIDE,TEXT(YEAR_Y-4,"0"))/100,"")))</f>
        <v/>
      </c>
      <c r="U180" s="68">
        <f>IF($C180="","",IF(PULL_FUND="N","",IFERROR(BDP($C180,PAYOUT_FIELD,YR_OVERRIDE,TEXT(YEAR_Y-3,"0"))/100,"")))</f>
        <v/>
      </c>
      <c r="V180" s="68">
        <f>IF($C180="","",IF(PULL_FUND="N","",IFERROR(BDP($C180,PAYOUT_FIELD,YR_OVERRIDE,TEXT(YEAR_Y-2,"0"))/100,"")))</f>
        <v/>
      </c>
      <c r="W180" s="68">
        <f>IF($C180="","",IF(PULL_FUND="N","",IFERROR(BDP($C180,PAYOUT_FIELD,YR_OVERRIDE,TEXT(YEAR_Y-1,"0"))/100,"")))</f>
        <v/>
      </c>
      <c r="X180" s="69">
        <f>IF($C180="","",IFERROR(AVERAGE(S180:W180),""))</f>
        <v/>
      </c>
      <c r="Y180" s="66">
        <f>IF($C180="","",IF(PULL_FUND="N","",IFERROR(BDP($C180,BESTEPS_FIELD,FWD_OVERRIDE,TEXT(MOD(YEAR_Y,100),"00")&amp;"Y"),"")))</f>
        <v/>
      </c>
      <c r="Z180" s="70">
        <f>IF($C180="","",IF(PULL_FUND="N","",IFERROR(BDP($C180,BESTDPS_FIELD,FWD_OVERRIDE,TEXT(MOD(YEAR_Y,100),"00")&amp;"Y"),"")))</f>
        <v/>
      </c>
      <c r="AA180" s="71">
        <f>IF($C180="","",IF(ISNUMBER($Y180)*ISNUMBER($Z180)*($Y180&lt;&gt;0)=0,"",$Z180/$Y180))</f>
        <v/>
      </c>
      <c r="AB180" s="41">
        <f>IF($C180="","",HSCEI!$J$35+HSCEI!$L$35)</f>
        <v/>
      </c>
      <c r="AC180" s="72">
        <f>IF($C180="","",IF(PULL_FUND="N","",IF(COUNTIFS('Fund History'!$G$1024:$G$1028,"&gt;="&amp;DATE(YEAR_Y-4,1,1),'Fund History'!$G$1024:$G$1028,"&lt;="&amp;DATE(YEAR_Y-4,12,31))=0,"",SUMIFS('Fund History'!$H$1024:$H$1028,'Fund History'!$G$1024:$G$1028,"&gt;="&amp;DATE(YEAR_Y-4,1,1),'Fund History'!$G$1024:$G$1028,"&lt;="&amp;DATE(YEAR_Y-4,12,31))/100)))</f>
        <v/>
      </c>
      <c r="AD180" s="73">
        <f>IF($C180="","",IF(PULL_FUND="N","",IF(COUNTIFS('Fund History'!$G$1024:$G$1028,"&gt;="&amp;DATE(YEAR_Y-3,1,1),'Fund History'!$G$1024:$G$1028,"&lt;="&amp;DATE(YEAR_Y-3,12,31))=0,"",SUMIFS('Fund History'!$H$1024:$H$1028,'Fund History'!$G$1024:$G$1028,"&gt;="&amp;DATE(YEAR_Y-3,1,1),'Fund History'!$G$1024:$G$1028,"&lt;="&amp;DATE(YEAR_Y-3,12,31))/100)))</f>
        <v/>
      </c>
      <c r="AE180" s="73">
        <f>IF($C180="","",IF(PULL_FUND="N","",IF(COUNTIFS('Fund History'!$G$1024:$G$1028,"&gt;="&amp;DATE(YEAR_Y-2,1,1),'Fund History'!$G$1024:$G$1028,"&lt;="&amp;DATE(YEAR_Y-2,12,31))=0,"",SUMIFS('Fund History'!$H$1024:$H$1028,'Fund History'!$G$1024:$G$1028,"&gt;="&amp;DATE(YEAR_Y-2,1,1),'Fund History'!$G$1024:$G$1028,"&lt;="&amp;DATE(YEAR_Y-2,12,31))/100)))</f>
        <v/>
      </c>
      <c r="AF180" s="73">
        <f>IF($C180="","",IF(PULL_FUND="N","",IF(COUNTIFS('Fund History'!$G$1024:$G$1028,"&gt;="&amp;DATE(YEAR_Y-1,1,1),'Fund History'!$G$1024:$G$1028,"&lt;="&amp;DATE(YEAR_Y-1,12,31))=0,"",SUMIFS('Fund History'!$H$1024:$H$1028,'Fund History'!$G$1024:$G$1028,"&gt;="&amp;DATE(YEAR_Y-1,1,1),'Fund History'!$G$1024:$G$1028,"&lt;="&amp;DATE(YEAR_Y-1,12,31))/100)))</f>
        <v/>
      </c>
      <c r="AG180" s="74">
        <f>IF($C180="","",IF(N($AF180)+N(HSCEI!$I$35)=0,"",N($AF180)+N(HSCEI!$I$35)/100))</f>
        <v/>
      </c>
      <c r="AH180" s="66">
        <f>IF($C180="","",IF(PULL_FUND="N","",IF(COUNTIFS('Fund History'!$D$1024:$D$1028,"&gt;="&amp;DATE(YEAR_Y-2,1,1),'Fund History'!$D$1024:$D$1028,"&lt;="&amp;DATE(YEAR_Y-2,12,31))=0,"",SUMIFS('Fund History'!$E$1024:$E$1028,'Fund History'!$D$1024:$D$1028,"&gt;="&amp;DATE(YEAR_Y-2,1,1),'Fund History'!$D$1024:$D$1028,"&lt;="&amp;DATE(YEAR_Y-2,12,31)))))</f>
        <v/>
      </c>
      <c r="AI180" s="67">
        <f>IF($C180="","",IF(PULL_FUND="N","",IF(COUNTIFS('Fund History'!$D$1024:$D$1028,"&gt;="&amp;DATE(YEAR_Y-1,1,1),'Fund History'!$D$1024:$D$1028,"&lt;="&amp;DATE(YEAR_Y-1,12,31))=0,"",SUMIFS('Fund History'!$E$1024:$E$1028,'Fund History'!$D$1024:$D$1028,"&gt;="&amp;DATE(YEAR_Y-1,1,1),'Fund History'!$D$1024:$D$1028,"&lt;="&amp;DATE(YEAR_Y-1,12,31)))))</f>
        <v/>
      </c>
      <c r="AJ180" s="67">
        <f>IF($C180="","",IF(PULL_FUND="N","",IFERROR(BDP($C180,NDEBITDA_FIELD),"")))</f>
        <v/>
      </c>
      <c r="AK180" s="75">
        <f>IF($C180="","",IF(PULL_FUND="N","",IFERROR(BDP($C180,EBINT_FIELD),"")))</f>
        <v/>
      </c>
      <c r="AL180" s="73">
        <f>IF($C180="","",IF(PULL_FUND="N","",IFERROR(BDP($C180,FCF_FIELD)/100,"")))</f>
        <v/>
      </c>
      <c r="AM180" s="76">
        <f>IF($C180="","",IF(ISNUMBER(HSCEI!$I$35),HSCEI!$I$35/100,""))</f>
        <v/>
      </c>
      <c r="AN180" s="47">
        <f>IF($C180="","",IF(N($AM180)=0,"",IFERROR($AL180/$AM180,"")))</f>
        <v/>
      </c>
      <c r="AO180" s="33">
        <f>IF($C180="","",IF(ISNUMBER($S180)*ISNUMBER($W180)=0,"",IF($W180&gt;$S180+0.05,"rising",IF($W180&lt;$S180-0.05,"falling","stable"))))</f>
        <v/>
      </c>
      <c r="AP180" s="77">
        <f>IF($C180="","",TRIM(IF(ISNUMBER($X180)*(N($X180)&gt;$D$4)&gt;0,"payout high  ","")&amp;IF(ISNUMBER($AN180)*(N($AN180)&lt;$F$4)&gt;0,"FCF below dvd  ","")&amp;IF(ISNUMBER($AJ180)*(N($AJ180)&gt;$H$4)&gt;0,"leverage high","")))</f>
        <v/>
      </c>
      <c r="AQ180" s="78">
        <f>IF($C180="","",IF(HSCEI!$F$35="HKD","",HSCEI!$F$35))</f>
        <v/>
      </c>
    </row>
    <row r="181">
      <c r="B181" s="62" t="inlineStr">
        <is>
          <t>HSCEI</t>
        </is>
      </c>
      <c r="C181" s="6">
        <f>IF(HSCEI!$C$36="","",HSCEI!$C$36)</f>
        <v/>
      </c>
      <c r="D181" s="6">
        <f>IF($C181="","",HSCEI!$D$36)</f>
        <v/>
      </c>
      <c r="E181" s="6">
        <f>IF($C181="","",HSCEI!$E$36)</f>
        <v/>
      </c>
      <c r="F181" s="63">
        <f>IF($C181="","",SUMPRODUCT(('Dvd Calendar'!$E$1880:$AR$1880&gt;=DATE(YEAR_Y-5,1,1))*('Dvd Calendar'!$E$1880:$AR$1880&lt;=DATE(YEAR_Y-5,12,31))*'Dvd Calendar'!$E$1883:$AR$1883*(('Dvd Calendar'!$E$1885:$AR$1885=TYPE1)*(TYPE1&lt;&gt;"")+('Dvd Calendar'!$E$1885:$AR$1885=TYPE2)*(TYPE2&lt;&gt;"")+('Dvd Calendar'!$E$1885:$AR$1885=TYPE3)*(TYPE3&lt;&gt;"")+('Dvd Calendar'!$E$1885:$AR$1885=TYPE4)*(TYPE4&lt;&gt;"")+('Dvd Calendar'!$E$1885:$AR$1885=SPECIAL_LBL)*(INC_SPECIALS="Y"))))</f>
        <v/>
      </c>
      <c r="G181" s="64">
        <f>IF($C181="","",SUMPRODUCT(('Dvd Calendar'!$E$1880:$AR$1880&gt;=DATE(YEAR_Y-4,1,1))*('Dvd Calendar'!$E$1880:$AR$1880&lt;=DATE(YEAR_Y-4,12,31))*'Dvd Calendar'!$E$1883:$AR$1883*(('Dvd Calendar'!$E$1885:$AR$1885=TYPE1)*(TYPE1&lt;&gt;"")+('Dvd Calendar'!$E$1885:$AR$1885=TYPE2)*(TYPE2&lt;&gt;"")+('Dvd Calendar'!$E$1885:$AR$1885=TYPE3)*(TYPE3&lt;&gt;"")+('Dvd Calendar'!$E$1885:$AR$1885=TYPE4)*(TYPE4&lt;&gt;"")+('Dvd Calendar'!$E$1885:$AR$1885=SPECIAL_LBL)*(INC_SPECIALS="Y"))))</f>
        <v/>
      </c>
      <c r="H181" s="64">
        <f>IF($C181="","",SUMPRODUCT(('Dvd Calendar'!$E$1880:$AR$1880&gt;=DATE(YEAR_Y-3,1,1))*('Dvd Calendar'!$E$1880:$AR$1880&lt;=DATE(YEAR_Y-3,12,31))*'Dvd Calendar'!$E$1883:$AR$1883*(('Dvd Calendar'!$E$1885:$AR$1885=TYPE1)*(TYPE1&lt;&gt;"")+('Dvd Calendar'!$E$1885:$AR$1885=TYPE2)*(TYPE2&lt;&gt;"")+('Dvd Calendar'!$E$1885:$AR$1885=TYPE3)*(TYPE3&lt;&gt;"")+('Dvd Calendar'!$E$1885:$AR$1885=TYPE4)*(TYPE4&lt;&gt;"")+('Dvd Calendar'!$E$1885:$AR$1885=SPECIAL_LBL)*(INC_SPECIALS="Y"))))</f>
        <v/>
      </c>
      <c r="I181" s="64">
        <f>IF($C181="","",SUMPRODUCT(('Dvd Calendar'!$E$1880:$AR$1880&gt;=DATE(YEAR_Y-2,1,1))*('Dvd Calendar'!$E$1880:$AR$1880&lt;=DATE(YEAR_Y-2,12,31))*'Dvd Calendar'!$E$1883:$AR$1883*(('Dvd Calendar'!$E$1885:$AR$1885=TYPE1)*(TYPE1&lt;&gt;"")+('Dvd Calendar'!$E$1885:$AR$1885=TYPE2)*(TYPE2&lt;&gt;"")+('Dvd Calendar'!$E$1885:$AR$1885=TYPE3)*(TYPE3&lt;&gt;"")+('Dvd Calendar'!$E$1885:$AR$1885=TYPE4)*(TYPE4&lt;&gt;"")+('Dvd Calendar'!$E$1885:$AR$1885=SPECIAL_LBL)*(INC_SPECIALS="Y"))))</f>
        <v/>
      </c>
      <c r="J181" s="64">
        <f>IF($C181="","",SUMPRODUCT(('Dvd Calendar'!$E$1880:$AR$1880&gt;=DATE(YEAR_Y-1,1,1))*('Dvd Calendar'!$E$1880:$AR$1880&lt;=DATE(YEAR_Y-1,12,31))*'Dvd Calendar'!$E$1883:$AR$1883*(('Dvd Calendar'!$E$1885:$AR$1885=TYPE1)*(TYPE1&lt;&gt;"")+('Dvd Calendar'!$E$1885:$AR$1885=TYPE2)*(TYPE2&lt;&gt;"")+('Dvd Calendar'!$E$1885:$AR$1885=TYPE3)*(TYPE3&lt;&gt;"")+('Dvd Calendar'!$E$1885:$AR$1885=TYPE4)*(TYPE4&lt;&gt;"")+('Dvd Calendar'!$E$1885:$AR$1885=SPECIAL_LBL)*(INC_SPECIALS="Y"))))</f>
        <v/>
      </c>
      <c r="K181" s="65">
        <f>IF($C181="","",HSCEI!$J$36)</f>
        <v/>
      </c>
      <c r="L181" s="65">
        <f>IF($C181="","",HSCEI!$K$36)</f>
        <v/>
      </c>
      <c r="M181" s="41">
        <f>IF($C181="","",AVERAGE(F181:J181))</f>
        <v/>
      </c>
      <c r="N181" s="66">
        <f>IF($C181="","",IF(PULL_FUND="N","",IFERROR(BDP($C181,EPS_FIELD,YR_OVERRIDE,TEXT(YEAR_Y-5,"0")),"")))</f>
        <v/>
      </c>
      <c r="O181" s="67">
        <f>IF($C181="","",IF(PULL_FUND="N","",IFERROR(BDP($C181,EPS_FIELD,YR_OVERRIDE,TEXT(YEAR_Y-4,"0")),"")))</f>
        <v/>
      </c>
      <c r="P181" s="67">
        <f>IF($C181="","",IF(PULL_FUND="N","",IFERROR(BDP($C181,EPS_FIELD,YR_OVERRIDE,TEXT(YEAR_Y-3,"0")),"")))</f>
        <v/>
      </c>
      <c r="Q181" s="67">
        <f>IF($C181="","",IF(PULL_FUND="N","",IFERROR(BDP($C181,EPS_FIELD,YR_OVERRIDE,TEXT(YEAR_Y-2,"0")),"")))</f>
        <v/>
      </c>
      <c r="R181" s="67">
        <f>IF($C181="","",IF(PULL_FUND="N","",IFERROR(BDP($C181,EPS_FIELD,YR_OVERRIDE,TEXT(YEAR_Y-1,"0")),"")))</f>
        <v/>
      </c>
      <c r="S181" s="68">
        <f>IF($C181="","",IF(PULL_FUND="N","",IFERROR(BDP($C181,PAYOUT_FIELD,YR_OVERRIDE,TEXT(YEAR_Y-5,"0"))/100,"")))</f>
        <v/>
      </c>
      <c r="T181" s="68">
        <f>IF($C181="","",IF(PULL_FUND="N","",IFERROR(BDP($C181,PAYOUT_FIELD,YR_OVERRIDE,TEXT(YEAR_Y-4,"0"))/100,"")))</f>
        <v/>
      </c>
      <c r="U181" s="68">
        <f>IF($C181="","",IF(PULL_FUND="N","",IFERROR(BDP($C181,PAYOUT_FIELD,YR_OVERRIDE,TEXT(YEAR_Y-3,"0"))/100,"")))</f>
        <v/>
      </c>
      <c r="V181" s="68">
        <f>IF($C181="","",IF(PULL_FUND="N","",IFERROR(BDP($C181,PAYOUT_FIELD,YR_OVERRIDE,TEXT(YEAR_Y-2,"0"))/100,"")))</f>
        <v/>
      </c>
      <c r="W181" s="68">
        <f>IF($C181="","",IF(PULL_FUND="N","",IFERROR(BDP($C181,PAYOUT_FIELD,YR_OVERRIDE,TEXT(YEAR_Y-1,"0"))/100,"")))</f>
        <v/>
      </c>
      <c r="X181" s="69">
        <f>IF($C181="","",IFERROR(AVERAGE(S181:W181),""))</f>
        <v/>
      </c>
      <c r="Y181" s="66">
        <f>IF($C181="","",IF(PULL_FUND="N","",IFERROR(BDP($C181,BESTEPS_FIELD,FWD_OVERRIDE,TEXT(MOD(YEAR_Y,100),"00")&amp;"Y"),"")))</f>
        <v/>
      </c>
      <c r="Z181" s="70">
        <f>IF($C181="","",IF(PULL_FUND="N","",IFERROR(BDP($C181,BESTDPS_FIELD,FWD_OVERRIDE,TEXT(MOD(YEAR_Y,100),"00")&amp;"Y"),"")))</f>
        <v/>
      </c>
      <c r="AA181" s="71">
        <f>IF($C181="","",IF(ISNUMBER($Y181)*ISNUMBER($Z181)*($Y181&lt;&gt;0)=0,"",$Z181/$Y181))</f>
        <v/>
      </c>
      <c r="AB181" s="41">
        <f>IF($C181="","",HSCEI!$J$36+HSCEI!$L$36)</f>
        <v/>
      </c>
      <c r="AC181" s="72">
        <f>IF($C181="","",IF(PULL_FUND="N","",IF(COUNTIFS('Fund History'!$G$1030:$G$1034,"&gt;="&amp;DATE(YEAR_Y-4,1,1),'Fund History'!$G$1030:$G$1034,"&lt;="&amp;DATE(YEAR_Y-4,12,31))=0,"",SUMIFS('Fund History'!$H$1030:$H$1034,'Fund History'!$G$1030:$G$1034,"&gt;="&amp;DATE(YEAR_Y-4,1,1),'Fund History'!$G$1030:$G$1034,"&lt;="&amp;DATE(YEAR_Y-4,12,31))/100)))</f>
        <v/>
      </c>
      <c r="AD181" s="73">
        <f>IF($C181="","",IF(PULL_FUND="N","",IF(COUNTIFS('Fund History'!$G$1030:$G$1034,"&gt;="&amp;DATE(YEAR_Y-3,1,1),'Fund History'!$G$1030:$G$1034,"&lt;="&amp;DATE(YEAR_Y-3,12,31))=0,"",SUMIFS('Fund History'!$H$1030:$H$1034,'Fund History'!$G$1030:$G$1034,"&gt;="&amp;DATE(YEAR_Y-3,1,1),'Fund History'!$G$1030:$G$1034,"&lt;="&amp;DATE(YEAR_Y-3,12,31))/100)))</f>
        <v/>
      </c>
      <c r="AE181" s="73">
        <f>IF($C181="","",IF(PULL_FUND="N","",IF(COUNTIFS('Fund History'!$G$1030:$G$1034,"&gt;="&amp;DATE(YEAR_Y-2,1,1),'Fund History'!$G$1030:$G$1034,"&lt;="&amp;DATE(YEAR_Y-2,12,31))=0,"",SUMIFS('Fund History'!$H$1030:$H$1034,'Fund History'!$G$1030:$G$1034,"&gt;="&amp;DATE(YEAR_Y-2,1,1),'Fund History'!$G$1030:$G$1034,"&lt;="&amp;DATE(YEAR_Y-2,12,31))/100)))</f>
        <v/>
      </c>
      <c r="AF181" s="73">
        <f>IF($C181="","",IF(PULL_FUND="N","",IF(COUNTIFS('Fund History'!$G$1030:$G$1034,"&gt;="&amp;DATE(YEAR_Y-1,1,1),'Fund History'!$G$1030:$G$1034,"&lt;="&amp;DATE(YEAR_Y-1,12,31))=0,"",SUMIFS('Fund History'!$H$1030:$H$1034,'Fund History'!$G$1030:$G$1034,"&gt;="&amp;DATE(YEAR_Y-1,1,1),'Fund History'!$G$1030:$G$1034,"&lt;="&amp;DATE(YEAR_Y-1,12,31))/100)))</f>
        <v/>
      </c>
      <c r="AG181" s="74">
        <f>IF($C181="","",IF(N($AF181)+N(HSCEI!$I$36)=0,"",N($AF181)+N(HSCEI!$I$36)/100))</f>
        <v/>
      </c>
      <c r="AH181" s="66">
        <f>IF($C181="","",IF(PULL_FUND="N","",IF(COUNTIFS('Fund History'!$D$1030:$D$1034,"&gt;="&amp;DATE(YEAR_Y-2,1,1),'Fund History'!$D$1030:$D$1034,"&lt;="&amp;DATE(YEAR_Y-2,12,31))=0,"",SUMIFS('Fund History'!$E$1030:$E$1034,'Fund History'!$D$1030:$D$1034,"&gt;="&amp;DATE(YEAR_Y-2,1,1),'Fund History'!$D$1030:$D$1034,"&lt;="&amp;DATE(YEAR_Y-2,12,31)))))</f>
        <v/>
      </c>
      <c r="AI181" s="67">
        <f>IF($C181="","",IF(PULL_FUND="N","",IF(COUNTIFS('Fund History'!$D$1030:$D$1034,"&gt;="&amp;DATE(YEAR_Y-1,1,1),'Fund History'!$D$1030:$D$1034,"&lt;="&amp;DATE(YEAR_Y-1,12,31))=0,"",SUMIFS('Fund History'!$E$1030:$E$1034,'Fund History'!$D$1030:$D$1034,"&gt;="&amp;DATE(YEAR_Y-1,1,1),'Fund History'!$D$1030:$D$1034,"&lt;="&amp;DATE(YEAR_Y-1,12,31)))))</f>
        <v/>
      </c>
      <c r="AJ181" s="67">
        <f>IF($C181="","",IF(PULL_FUND="N","",IFERROR(BDP($C181,NDEBITDA_FIELD),"")))</f>
        <v/>
      </c>
      <c r="AK181" s="75">
        <f>IF($C181="","",IF(PULL_FUND="N","",IFERROR(BDP($C181,EBINT_FIELD),"")))</f>
        <v/>
      </c>
      <c r="AL181" s="73">
        <f>IF($C181="","",IF(PULL_FUND="N","",IFERROR(BDP($C181,FCF_FIELD)/100,"")))</f>
        <v/>
      </c>
      <c r="AM181" s="76">
        <f>IF($C181="","",IF(ISNUMBER(HSCEI!$I$36),HSCEI!$I$36/100,""))</f>
        <v/>
      </c>
      <c r="AN181" s="47">
        <f>IF($C181="","",IF(N($AM181)=0,"",IFERROR($AL181/$AM181,"")))</f>
        <v/>
      </c>
      <c r="AO181" s="33">
        <f>IF($C181="","",IF(ISNUMBER($S181)*ISNUMBER($W181)=0,"",IF($W181&gt;$S181+0.05,"rising",IF($W181&lt;$S181-0.05,"falling","stable"))))</f>
        <v/>
      </c>
      <c r="AP181" s="77">
        <f>IF($C181="","",TRIM(IF(ISNUMBER($X181)*(N($X181)&gt;$D$4)&gt;0,"payout high  ","")&amp;IF(ISNUMBER($AN181)*(N($AN181)&lt;$F$4)&gt;0,"FCF below dvd  ","")&amp;IF(ISNUMBER($AJ181)*(N($AJ181)&gt;$H$4)&gt;0,"leverage high","")))</f>
        <v/>
      </c>
      <c r="AQ181" s="78">
        <f>IF($C181="","",IF(HSCEI!$F$36="HKD","",HSCEI!$F$36))</f>
        <v/>
      </c>
    </row>
    <row r="182">
      <c r="B182" s="62" t="inlineStr">
        <is>
          <t>HSCEI</t>
        </is>
      </c>
      <c r="C182" s="6">
        <f>IF(HSCEI!$C$37="","",HSCEI!$C$37)</f>
        <v/>
      </c>
      <c r="D182" s="6">
        <f>IF($C182="","",HSCEI!$D$37)</f>
        <v/>
      </c>
      <c r="E182" s="6">
        <f>IF($C182="","",HSCEI!$E$37)</f>
        <v/>
      </c>
      <c r="F182" s="63">
        <f>IF($C182="","",SUMPRODUCT(('Dvd Calendar'!$E$1891:$AR$1891&gt;=DATE(YEAR_Y-5,1,1))*('Dvd Calendar'!$E$1891:$AR$1891&lt;=DATE(YEAR_Y-5,12,31))*'Dvd Calendar'!$E$1894:$AR$1894*(('Dvd Calendar'!$E$1896:$AR$1896=TYPE1)*(TYPE1&lt;&gt;"")+('Dvd Calendar'!$E$1896:$AR$1896=TYPE2)*(TYPE2&lt;&gt;"")+('Dvd Calendar'!$E$1896:$AR$1896=TYPE3)*(TYPE3&lt;&gt;"")+('Dvd Calendar'!$E$1896:$AR$1896=TYPE4)*(TYPE4&lt;&gt;"")+('Dvd Calendar'!$E$1896:$AR$1896=SPECIAL_LBL)*(INC_SPECIALS="Y"))))</f>
        <v/>
      </c>
      <c r="G182" s="64">
        <f>IF($C182="","",SUMPRODUCT(('Dvd Calendar'!$E$1891:$AR$1891&gt;=DATE(YEAR_Y-4,1,1))*('Dvd Calendar'!$E$1891:$AR$1891&lt;=DATE(YEAR_Y-4,12,31))*'Dvd Calendar'!$E$1894:$AR$1894*(('Dvd Calendar'!$E$1896:$AR$1896=TYPE1)*(TYPE1&lt;&gt;"")+('Dvd Calendar'!$E$1896:$AR$1896=TYPE2)*(TYPE2&lt;&gt;"")+('Dvd Calendar'!$E$1896:$AR$1896=TYPE3)*(TYPE3&lt;&gt;"")+('Dvd Calendar'!$E$1896:$AR$1896=TYPE4)*(TYPE4&lt;&gt;"")+('Dvd Calendar'!$E$1896:$AR$1896=SPECIAL_LBL)*(INC_SPECIALS="Y"))))</f>
        <v/>
      </c>
      <c r="H182" s="64">
        <f>IF($C182="","",SUMPRODUCT(('Dvd Calendar'!$E$1891:$AR$1891&gt;=DATE(YEAR_Y-3,1,1))*('Dvd Calendar'!$E$1891:$AR$1891&lt;=DATE(YEAR_Y-3,12,31))*'Dvd Calendar'!$E$1894:$AR$1894*(('Dvd Calendar'!$E$1896:$AR$1896=TYPE1)*(TYPE1&lt;&gt;"")+('Dvd Calendar'!$E$1896:$AR$1896=TYPE2)*(TYPE2&lt;&gt;"")+('Dvd Calendar'!$E$1896:$AR$1896=TYPE3)*(TYPE3&lt;&gt;"")+('Dvd Calendar'!$E$1896:$AR$1896=TYPE4)*(TYPE4&lt;&gt;"")+('Dvd Calendar'!$E$1896:$AR$1896=SPECIAL_LBL)*(INC_SPECIALS="Y"))))</f>
        <v/>
      </c>
      <c r="I182" s="64">
        <f>IF($C182="","",SUMPRODUCT(('Dvd Calendar'!$E$1891:$AR$1891&gt;=DATE(YEAR_Y-2,1,1))*('Dvd Calendar'!$E$1891:$AR$1891&lt;=DATE(YEAR_Y-2,12,31))*'Dvd Calendar'!$E$1894:$AR$1894*(('Dvd Calendar'!$E$1896:$AR$1896=TYPE1)*(TYPE1&lt;&gt;"")+('Dvd Calendar'!$E$1896:$AR$1896=TYPE2)*(TYPE2&lt;&gt;"")+('Dvd Calendar'!$E$1896:$AR$1896=TYPE3)*(TYPE3&lt;&gt;"")+('Dvd Calendar'!$E$1896:$AR$1896=TYPE4)*(TYPE4&lt;&gt;"")+('Dvd Calendar'!$E$1896:$AR$1896=SPECIAL_LBL)*(INC_SPECIALS="Y"))))</f>
        <v/>
      </c>
      <c r="J182" s="64">
        <f>IF($C182="","",SUMPRODUCT(('Dvd Calendar'!$E$1891:$AR$1891&gt;=DATE(YEAR_Y-1,1,1))*('Dvd Calendar'!$E$1891:$AR$1891&lt;=DATE(YEAR_Y-1,12,31))*'Dvd Calendar'!$E$1894:$AR$1894*(('Dvd Calendar'!$E$1896:$AR$1896=TYPE1)*(TYPE1&lt;&gt;"")+('Dvd Calendar'!$E$1896:$AR$1896=TYPE2)*(TYPE2&lt;&gt;"")+('Dvd Calendar'!$E$1896:$AR$1896=TYPE3)*(TYPE3&lt;&gt;"")+('Dvd Calendar'!$E$1896:$AR$1896=TYPE4)*(TYPE4&lt;&gt;"")+('Dvd Calendar'!$E$1896:$AR$1896=SPECIAL_LBL)*(INC_SPECIALS="Y"))))</f>
        <v/>
      </c>
      <c r="K182" s="65">
        <f>IF($C182="","",HSCEI!$J$37)</f>
        <v/>
      </c>
      <c r="L182" s="65">
        <f>IF($C182="","",HSCEI!$K$37)</f>
        <v/>
      </c>
      <c r="M182" s="41">
        <f>IF($C182="","",AVERAGE(F182:J182))</f>
        <v/>
      </c>
      <c r="N182" s="66">
        <f>IF($C182="","",IF(PULL_FUND="N","",IFERROR(BDP($C182,EPS_FIELD,YR_OVERRIDE,TEXT(YEAR_Y-5,"0")),"")))</f>
        <v/>
      </c>
      <c r="O182" s="67">
        <f>IF($C182="","",IF(PULL_FUND="N","",IFERROR(BDP($C182,EPS_FIELD,YR_OVERRIDE,TEXT(YEAR_Y-4,"0")),"")))</f>
        <v/>
      </c>
      <c r="P182" s="67">
        <f>IF($C182="","",IF(PULL_FUND="N","",IFERROR(BDP($C182,EPS_FIELD,YR_OVERRIDE,TEXT(YEAR_Y-3,"0")),"")))</f>
        <v/>
      </c>
      <c r="Q182" s="67">
        <f>IF($C182="","",IF(PULL_FUND="N","",IFERROR(BDP($C182,EPS_FIELD,YR_OVERRIDE,TEXT(YEAR_Y-2,"0")),"")))</f>
        <v/>
      </c>
      <c r="R182" s="67">
        <f>IF($C182="","",IF(PULL_FUND="N","",IFERROR(BDP($C182,EPS_FIELD,YR_OVERRIDE,TEXT(YEAR_Y-1,"0")),"")))</f>
        <v/>
      </c>
      <c r="S182" s="68">
        <f>IF($C182="","",IF(PULL_FUND="N","",IFERROR(BDP($C182,PAYOUT_FIELD,YR_OVERRIDE,TEXT(YEAR_Y-5,"0"))/100,"")))</f>
        <v/>
      </c>
      <c r="T182" s="68">
        <f>IF($C182="","",IF(PULL_FUND="N","",IFERROR(BDP($C182,PAYOUT_FIELD,YR_OVERRIDE,TEXT(YEAR_Y-4,"0"))/100,"")))</f>
        <v/>
      </c>
      <c r="U182" s="68">
        <f>IF($C182="","",IF(PULL_FUND="N","",IFERROR(BDP($C182,PAYOUT_FIELD,YR_OVERRIDE,TEXT(YEAR_Y-3,"0"))/100,"")))</f>
        <v/>
      </c>
      <c r="V182" s="68">
        <f>IF($C182="","",IF(PULL_FUND="N","",IFERROR(BDP($C182,PAYOUT_FIELD,YR_OVERRIDE,TEXT(YEAR_Y-2,"0"))/100,"")))</f>
        <v/>
      </c>
      <c r="W182" s="68">
        <f>IF($C182="","",IF(PULL_FUND="N","",IFERROR(BDP($C182,PAYOUT_FIELD,YR_OVERRIDE,TEXT(YEAR_Y-1,"0"))/100,"")))</f>
        <v/>
      </c>
      <c r="X182" s="69">
        <f>IF($C182="","",IFERROR(AVERAGE(S182:W182),""))</f>
        <v/>
      </c>
      <c r="Y182" s="66">
        <f>IF($C182="","",IF(PULL_FUND="N","",IFERROR(BDP($C182,BESTEPS_FIELD,FWD_OVERRIDE,TEXT(MOD(YEAR_Y,100),"00")&amp;"Y"),"")))</f>
        <v/>
      </c>
      <c r="Z182" s="70">
        <f>IF($C182="","",IF(PULL_FUND="N","",IFERROR(BDP($C182,BESTDPS_FIELD,FWD_OVERRIDE,TEXT(MOD(YEAR_Y,100),"00")&amp;"Y"),"")))</f>
        <v/>
      </c>
      <c r="AA182" s="71">
        <f>IF($C182="","",IF(ISNUMBER($Y182)*ISNUMBER($Z182)*($Y182&lt;&gt;0)=0,"",$Z182/$Y182))</f>
        <v/>
      </c>
      <c r="AB182" s="41">
        <f>IF($C182="","",HSCEI!$J$37+HSCEI!$L$37)</f>
        <v/>
      </c>
      <c r="AC182" s="72">
        <f>IF($C182="","",IF(PULL_FUND="N","",IF(COUNTIFS('Fund History'!$G$1036:$G$1040,"&gt;="&amp;DATE(YEAR_Y-4,1,1),'Fund History'!$G$1036:$G$1040,"&lt;="&amp;DATE(YEAR_Y-4,12,31))=0,"",SUMIFS('Fund History'!$H$1036:$H$1040,'Fund History'!$G$1036:$G$1040,"&gt;="&amp;DATE(YEAR_Y-4,1,1),'Fund History'!$G$1036:$G$1040,"&lt;="&amp;DATE(YEAR_Y-4,12,31))/100)))</f>
        <v/>
      </c>
      <c r="AD182" s="73">
        <f>IF($C182="","",IF(PULL_FUND="N","",IF(COUNTIFS('Fund History'!$G$1036:$G$1040,"&gt;="&amp;DATE(YEAR_Y-3,1,1),'Fund History'!$G$1036:$G$1040,"&lt;="&amp;DATE(YEAR_Y-3,12,31))=0,"",SUMIFS('Fund History'!$H$1036:$H$1040,'Fund History'!$G$1036:$G$1040,"&gt;="&amp;DATE(YEAR_Y-3,1,1),'Fund History'!$G$1036:$G$1040,"&lt;="&amp;DATE(YEAR_Y-3,12,31))/100)))</f>
        <v/>
      </c>
      <c r="AE182" s="73">
        <f>IF($C182="","",IF(PULL_FUND="N","",IF(COUNTIFS('Fund History'!$G$1036:$G$1040,"&gt;="&amp;DATE(YEAR_Y-2,1,1),'Fund History'!$G$1036:$G$1040,"&lt;="&amp;DATE(YEAR_Y-2,12,31))=0,"",SUMIFS('Fund History'!$H$1036:$H$1040,'Fund History'!$G$1036:$G$1040,"&gt;="&amp;DATE(YEAR_Y-2,1,1),'Fund History'!$G$1036:$G$1040,"&lt;="&amp;DATE(YEAR_Y-2,12,31))/100)))</f>
        <v/>
      </c>
      <c r="AF182" s="73">
        <f>IF($C182="","",IF(PULL_FUND="N","",IF(COUNTIFS('Fund History'!$G$1036:$G$1040,"&gt;="&amp;DATE(YEAR_Y-1,1,1),'Fund History'!$G$1036:$G$1040,"&lt;="&amp;DATE(YEAR_Y-1,12,31))=0,"",SUMIFS('Fund History'!$H$1036:$H$1040,'Fund History'!$G$1036:$G$1040,"&gt;="&amp;DATE(YEAR_Y-1,1,1),'Fund History'!$G$1036:$G$1040,"&lt;="&amp;DATE(YEAR_Y-1,12,31))/100)))</f>
        <v/>
      </c>
      <c r="AG182" s="74">
        <f>IF($C182="","",IF(N($AF182)+N(HSCEI!$I$37)=0,"",N($AF182)+N(HSCEI!$I$37)/100))</f>
        <v/>
      </c>
      <c r="AH182" s="66">
        <f>IF($C182="","",IF(PULL_FUND="N","",IF(COUNTIFS('Fund History'!$D$1036:$D$1040,"&gt;="&amp;DATE(YEAR_Y-2,1,1),'Fund History'!$D$1036:$D$1040,"&lt;="&amp;DATE(YEAR_Y-2,12,31))=0,"",SUMIFS('Fund History'!$E$1036:$E$1040,'Fund History'!$D$1036:$D$1040,"&gt;="&amp;DATE(YEAR_Y-2,1,1),'Fund History'!$D$1036:$D$1040,"&lt;="&amp;DATE(YEAR_Y-2,12,31)))))</f>
        <v/>
      </c>
      <c r="AI182" s="67">
        <f>IF($C182="","",IF(PULL_FUND="N","",IF(COUNTIFS('Fund History'!$D$1036:$D$1040,"&gt;="&amp;DATE(YEAR_Y-1,1,1),'Fund History'!$D$1036:$D$1040,"&lt;="&amp;DATE(YEAR_Y-1,12,31))=0,"",SUMIFS('Fund History'!$E$1036:$E$1040,'Fund History'!$D$1036:$D$1040,"&gt;="&amp;DATE(YEAR_Y-1,1,1),'Fund History'!$D$1036:$D$1040,"&lt;="&amp;DATE(YEAR_Y-1,12,31)))))</f>
        <v/>
      </c>
      <c r="AJ182" s="67">
        <f>IF($C182="","",IF(PULL_FUND="N","",IFERROR(BDP($C182,NDEBITDA_FIELD),"")))</f>
        <v/>
      </c>
      <c r="AK182" s="75">
        <f>IF($C182="","",IF(PULL_FUND="N","",IFERROR(BDP($C182,EBINT_FIELD),"")))</f>
        <v/>
      </c>
      <c r="AL182" s="73">
        <f>IF($C182="","",IF(PULL_FUND="N","",IFERROR(BDP($C182,FCF_FIELD)/100,"")))</f>
        <v/>
      </c>
      <c r="AM182" s="76">
        <f>IF($C182="","",IF(ISNUMBER(HSCEI!$I$37),HSCEI!$I$37/100,""))</f>
        <v/>
      </c>
      <c r="AN182" s="47">
        <f>IF($C182="","",IF(N($AM182)=0,"",IFERROR($AL182/$AM182,"")))</f>
        <v/>
      </c>
      <c r="AO182" s="33">
        <f>IF($C182="","",IF(ISNUMBER($S182)*ISNUMBER($W182)=0,"",IF($W182&gt;$S182+0.05,"rising",IF($W182&lt;$S182-0.05,"falling","stable"))))</f>
        <v/>
      </c>
      <c r="AP182" s="77">
        <f>IF($C182="","",TRIM(IF(ISNUMBER($X182)*(N($X182)&gt;$D$4)&gt;0,"payout high  ","")&amp;IF(ISNUMBER($AN182)*(N($AN182)&lt;$F$4)&gt;0,"FCF below dvd  ","")&amp;IF(ISNUMBER($AJ182)*(N($AJ182)&gt;$H$4)&gt;0,"leverage high","")))</f>
        <v/>
      </c>
      <c r="AQ182" s="78">
        <f>IF($C182="","",IF(HSCEI!$F$37="HKD","",HSCEI!$F$37))</f>
        <v/>
      </c>
    </row>
    <row r="183">
      <c r="B183" s="62" t="inlineStr">
        <is>
          <t>HSCEI</t>
        </is>
      </c>
      <c r="C183" s="6">
        <f>IF(HSCEI!$C$38="","",HSCEI!$C$38)</f>
        <v/>
      </c>
      <c r="D183" s="6">
        <f>IF($C183="","",HSCEI!$D$38)</f>
        <v/>
      </c>
      <c r="E183" s="6">
        <f>IF($C183="","",HSCEI!$E$38)</f>
        <v/>
      </c>
      <c r="F183" s="63">
        <f>IF($C183="","",SUMPRODUCT(('Dvd Calendar'!$E$1902:$AR$1902&gt;=DATE(YEAR_Y-5,1,1))*('Dvd Calendar'!$E$1902:$AR$1902&lt;=DATE(YEAR_Y-5,12,31))*'Dvd Calendar'!$E$1905:$AR$1905*(('Dvd Calendar'!$E$1907:$AR$1907=TYPE1)*(TYPE1&lt;&gt;"")+('Dvd Calendar'!$E$1907:$AR$1907=TYPE2)*(TYPE2&lt;&gt;"")+('Dvd Calendar'!$E$1907:$AR$1907=TYPE3)*(TYPE3&lt;&gt;"")+('Dvd Calendar'!$E$1907:$AR$1907=TYPE4)*(TYPE4&lt;&gt;"")+('Dvd Calendar'!$E$1907:$AR$1907=SPECIAL_LBL)*(INC_SPECIALS="Y"))))</f>
        <v/>
      </c>
      <c r="G183" s="64">
        <f>IF($C183="","",SUMPRODUCT(('Dvd Calendar'!$E$1902:$AR$1902&gt;=DATE(YEAR_Y-4,1,1))*('Dvd Calendar'!$E$1902:$AR$1902&lt;=DATE(YEAR_Y-4,12,31))*'Dvd Calendar'!$E$1905:$AR$1905*(('Dvd Calendar'!$E$1907:$AR$1907=TYPE1)*(TYPE1&lt;&gt;"")+('Dvd Calendar'!$E$1907:$AR$1907=TYPE2)*(TYPE2&lt;&gt;"")+('Dvd Calendar'!$E$1907:$AR$1907=TYPE3)*(TYPE3&lt;&gt;"")+('Dvd Calendar'!$E$1907:$AR$1907=TYPE4)*(TYPE4&lt;&gt;"")+('Dvd Calendar'!$E$1907:$AR$1907=SPECIAL_LBL)*(INC_SPECIALS="Y"))))</f>
        <v/>
      </c>
      <c r="H183" s="64">
        <f>IF($C183="","",SUMPRODUCT(('Dvd Calendar'!$E$1902:$AR$1902&gt;=DATE(YEAR_Y-3,1,1))*('Dvd Calendar'!$E$1902:$AR$1902&lt;=DATE(YEAR_Y-3,12,31))*'Dvd Calendar'!$E$1905:$AR$1905*(('Dvd Calendar'!$E$1907:$AR$1907=TYPE1)*(TYPE1&lt;&gt;"")+('Dvd Calendar'!$E$1907:$AR$1907=TYPE2)*(TYPE2&lt;&gt;"")+('Dvd Calendar'!$E$1907:$AR$1907=TYPE3)*(TYPE3&lt;&gt;"")+('Dvd Calendar'!$E$1907:$AR$1907=TYPE4)*(TYPE4&lt;&gt;"")+('Dvd Calendar'!$E$1907:$AR$1907=SPECIAL_LBL)*(INC_SPECIALS="Y"))))</f>
        <v/>
      </c>
      <c r="I183" s="64">
        <f>IF($C183="","",SUMPRODUCT(('Dvd Calendar'!$E$1902:$AR$1902&gt;=DATE(YEAR_Y-2,1,1))*('Dvd Calendar'!$E$1902:$AR$1902&lt;=DATE(YEAR_Y-2,12,31))*'Dvd Calendar'!$E$1905:$AR$1905*(('Dvd Calendar'!$E$1907:$AR$1907=TYPE1)*(TYPE1&lt;&gt;"")+('Dvd Calendar'!$E$1907:$AR$1907=TYPE2)*(TYPE2&lt;&gt;"")+('Dvd Calendar'!$E$1907:$AR$1907=TYPE3)*(TYPE3&lt;&gt;"")+('Dvd Calendar'!$E$1907:$AR$1907=TYPE4)*(TYPE4&lt;&gt;"")+('Dvd Calendar'!$E$1907:$AR$1907=SPECIAL_LBL)*(INC_SPECIALS="Y"))))</f>
        <v/>
      </c>
      <c r="J183" s="64">
        <f>IF($C183="","",SUMPRODUCT(('Dvd Calendar'!$E$1902:$AR$1902&gt;=DATE(YEAR_Y-1,1,1))*('Dvd Calendar'!$E$1902:$AR$1902&lt;=DATE(YEAR_Y-1,12,31))*'Dvd Calendar'!$E$1905:$AR$1905*(('Dvd Calendar'!$E$1907:$AR$1907=TYPE1)*(TYPE1&lt;&gt;"")+('Dvd Calendar'!$E$1907:$AR$1907=TYPE2)*(TYPE2&lt;&gt;"")+('Dvd Calendar'!$E$1907:$AR$1907=TYPE3)*(TYPE3&lt;&gt;"")+('Dvd Calendar'!$E$1907:$AR$1907=TYPE4)*(TYPE4&lt;&gt;"")+('Dvd Calendar'!$E$1907:$AR$1907=SPECIAL_LBL)*(INC_SPECIALS="Y"))))</f>
        <v/>
      </c>
      <c r="K183" s="65">
        <f>IF($C183="","",HSCEI!$J$38)</f>
        <v/>
      </c>
      <c r="L183" s="65">
        <f>IF($C183="","",HSCEI!$K$38)</f>
        <v/>
      </c>
      <c r="M183" s="41">
        <f>IF($C183="","",AVERAGE(F183:J183))</f>
        <v/>
      </c>
      <c r="N183" s="66">
        <f>IF($C183="","",IF(PULL_FUND="N","",IFERROR(BDP($C183,EPS_FIELD,YR_OVERRIDE,TEXT(YEAR_Y-5,"0")),"")))</f>
        <v/>
      </c>
      <c r="O183" s="67">
        <f>IF($C183="","",IF(PULL_FUND="N","",IFERROR(BDP($C183,EPS_FIELD,YR_OVERRIDE,TEXT(YEAR_Y-4,"0")),"")))</f>
        <v/>
      </c>
      <c r="P183" s="67">
        <f>IF($C183="","",IF(PULL_FUND="N","",IFERROR(BDP($C183,EPS_FIELD,YR_OVERRIDE,TEXT(YEAR_Y-3,"0")),"")))</f>
        <v/>
      </c>
      <c r="Q183" s="67">
        <f>IF($C183="","",IF(PULL_FUND="N","",IFERROR(BDP($C183,EPS_FIELD,YR_OVERRIDE,TEXT(YEAR_Y-2,"0")),"")))</f>
        <v/>
      </c>
      <c r="R183" s="67">
        <f>IF($C183="","",IF(PULL_FUND="N","",IFERROR(BDP($C183,EPS_FIELD,YR_OVERRIDE,TEXT(YEAR_Y-1,"0")),"")))</f>
        <v/>
      </c>
      <c r="S183" s="68">
        <f>IF($C183="","",IF(PULL_FUND="N","",IFERROR(BDP($C183,PAYOUT_FIELD,YR_OVERRIDE,TEXT(YEAR_Y-5,"0"))/100,"")))</f>
        <v/>
      </c>
      <c r="T183" s="68">
        <f>IF($C183="","",IF(PULL_FUND="N","",IFERROR(BDP($C183,PAYOUT_FIELD,YR_OVERRIDE,TEXT(YEAR_Y-4,"0"))/100,"")))</f>
        <v/>
      </c>
      <c r="U183" s="68">
        <f>IF($C183="","",IF(PULL_FUND="N","",IFERROR(BDP($C183,PAYOUT_FIELD,YR_OVERRIDE,TEXT(YEAR_Y-3,"0"))/100,"")))</f>
        <v/>
      </c>
      <c r="V183" s="68">
        <f>IF($C183="","",IF(PULL_FUND="N","",IFERROR(BDP($C183,PAYOUT_FIELD,YR_OVERRIDE,TEXT(YEAR_Y-2,"0"))/100,"")))</f>
        <v/>
      </c>
      <c r="W183" s="68">
        <f>IF($C183="","",IF(PULL_FUND="N","",IFERROR(BDP($C183,PAYOUT_FIELD,YR_OVERRIDE,TEXT(YEAR_Y-1,"0"))/100,"")))</f>
        <v/>
      </c>
      <c r="X183" s="69">
        <f>IF($C183="","",IFERROR(AVERAGE(S183:W183),""))</f>
        <v/>
      </c>
      <c r="Y183" s="66">
        <f>IF($C183="","",IF(PULL_FUND="N","",IFERROR(BDP($C183,BESTEPS_FIELD,FWD_OVERRIDE,TEXT(MOD(YEAR_Y,100),"00")&amp;"Y"),"")))</f>
        <v/>
      </c>
      <c r="Z183" s="70">
        <f>IF($C183="","",IF(PULL_FUND="N","",IFERROR(BDP($C183,BESTDPS_FIELD,FWD_OVERRIDE,TEXT(MOD(YEAR_Y,100),"00")&amp;"Y"),"")))</f>
        <v/>
      </c>
      <c r="AA183" s="71">
        <f>IF($C183="","",IF(ISNUMBER($Y183)*ISNUMBER($Z183)*($Y183&lt;&gt;0)=0,"",$Z183/$Y183))</f>
        <v/>
      </c>
      <c r="AB183" s="41">
        <f>IF($C183="","",HSCEI!$J$38+HSCEI!$L$38)</f>
        <v/>
      </c>
      <c r="AC183" s="72">
        <f>IF($C183="","",IF(PULL_FUND="N","",IF(COUNTIFS('Fund History'!$G$1042:$G$1046,"&gt;="&amp;DATE(YEAR_Y-4,1,1),'Fund History'!$G$1042:$G$1046,"&lt;="&amp;DATE(YEAR_Y-4,12,31))=0,"",SUMIFS('Fund History'!$H$1042:$H$1046,'Fund History'!$G$1042:$G$1046,"&gt;="&amp;DATE(YEAR_Y-4,1,1),'Fund History'!$G$1042:$G$1046,"&lt;="&amp;DATE(YEAR_Y-4,12,31))/100)))</f>
        <v/>
      </c>
      <c r="AD183" s="73">
        <f>IF($C183="","",IF(PULL_FUND="N","",IF(COUNTIFS('Fund History'!$G$1042:$G$1046,"&gt;="&amp;DATE(YEAR_Y-3,1,1),'Fund History'!$G$1042:$G$1046,"&lt;="&amp;DATE(YEAR_Y-3,12,31))=0,"",SUMIFS('Fund History'!$H$1042:$H$1046,'Fund History'!$G$1042:$G$1046,"&gt;="&amp;DATE(YEAR_Y-3,1,1),'Fund History'!$G$1042:$G$1046,"&lt;="&amp;DATE(YEAR_Y-3,12,31))/100)))</f>
        <v/>
      </c>
      <c r="AE183" s="73">
        <f>IF($C183="","",IF(PULL_FUND="N","",IF(COUNTIFS('Fund History'!$G$1042:$G$1046,"&gt;="&amp;DATE(YEAR_Y-2,1,1),'Fund History'!$G$1042:$G$1046,"&lt;="&amp;DATE(YEAR_Y-2,12,31))=0,"",SUMIFS('Fund History'!$H$1042:$H$1046,'Fund History'!$G$1042:$G$1046,"&gt;="&amp;DATE(YEAR_Y-2,1,1),'Fund History'!$G$1042:$G$1046,"&lt;="&amp;DATE(YEAR_Y-2,12,31))/100)))</f>
        <v/>
      </c>
      <c r="AF183" s="73">
        <f>IF($C183="","",IF(PULL_FUND="N","",IF(COUNTIFS('Fund History'!$G$1042:$G$1046,"&gt;="&amp;DATE(YEAR_Y-1,1,1),'Fund History'!$G$1042:$G$1046,"&lt;="&amp;DATE(YEAR_Y-1,12,31))=0,"",SUMIFS('Fund History'!$H$1042:$H$1046,'Fund History'!$G$1042:$G$1046,"&gt;="&amp;DATE(YEAR_Y-1,1,1),'Fund History'!$G$1042:$G$1046,"&lt;="&amp;DATE(YEAR_Y-1,12,31))/100)))</f>
        <v/>
      </c>
      <c r="AG183" s="74">
        <f>IF($C183="","",IF(N($AF183)+N(HSCEI!$I$38)=0,"",N($AF183)+N(HSCEI!$I$38)/100))</f>
        <v/>
      </c>
      <c r="AH183" s="66">
        <f>IF($C183="","",IF(PULL_FUND="N","",IF(COUNTIFS('Fund History'!$D$1042:$D$1046,"&gt;="&amp;DATE(YEAR_Y-2,1,1),'Fund History'!$D$1042:$D$1046,"&lt;="&amp;DATE(YEAR_Y-2,12,31))=0,"",SUMIFS('Fund History'!$E$1042:$E$1046,'Fund History'!$D$1042:$D$1046,"&gt;="&amp;DATE(YEAR_Y-2,1,1),'Fund History'!$D$1042:$D$1046,"&lt;="&amp;DATE(YEAR_Y-2,12,31)))))</f>
        <v/>
      </c>
      <c r="AI183" s="67">
        <f>IF($C183="","",IF(PULL_FUND="N","",IF(COUNTIFS('Fund History'!$D$1042:$D$1046,"&gt;="&amp;DATE(YEAR_Y-1,1,1),'Fund History'!$D$1042:$D$1046,"&lt;="&amp;DATE(YEAR_Y-1,12,31))=0,"",SUMIFS('Fund History'!$E$1042:$E$1046,'Fund History'!$D$1042:$D$1046,"&gt;="&amp;DATE(YEAR_Y-1,1,1),'Fund History'!$D$1042:$D$1046,"&lt;="&amp;DATE(YEAR_Y-1,12,31)))))</f>
        <v/>
      </c>
      <c r="AJ183" s="67">
        <f>IF($C183="","",IF(PULL_FUND="N","",IFERROR(BDP($C183,NDEBITDA_FIELD),"")))</f>
        <v/>
      </c>
      <c r="AK183" s="75">
        <f>IF($C183="","",IF(PULL_FUND="N","",IFERROR(BDP($C183,EBINT_FIELD),"")))</f>
        <v/>
      </c>
      <c r="AL183" s="73">
        <f>IF($C183="","",IF(PULL_FUND="N","",IFERROR(BDP($C183,FCF_FIELD)/100,"")))</f>
        <v/>
      </c>
      <c r="AM183" s="76">
        <f>IF($C183="","",IF(ISNUMBER(HSCEI!$I$38),HSCEI!$I$38/100,""))</f>
        <v/>
      </c>
      <c r="AN183" s="47">
        <f>IF($C183="","",IF(N($AM183)=0,"",IFERROR($AL183/$AM183,"")))</f>
        <v/>
      </c>
      <c r="AO183" s="33">
        <f>IF($C183="","",IF(ISNUMBER($S183)*ISNUMBER($W183)=0,"",IF($W183&gt;$S183+0.05,"rising",IF($W183&lt;$S183-0.05,"falling","stable"))))</f>
        <v/>
      </c>
      <c r="AP183" s="77">
        <f>IF($C183="","",TRIM(IF(ISNUMBER($X183)*(N($X183)&gt;$D$4)&gt;0,"payout high  ","")&amp;IF(ISNUMBER($AN183)*(N($AN183)&lt;$F$4)&gt;0,"FCF below dvd  ","")&amp;IF(ISNUMBER($AJ183)*(N($AJ183)&gt;$H$4)&gt;0,"leverage high","")))</f>
        <v/>
      </c>
      <c r="AQ183" s="78">
        <f>IF($C183="","",IF(HSCEI!$F$38="HKD","",HSCEI!$F$38))</f>
        <v/>
      </c>
    </row>
    <row r="184">
      <c r="B184" s="62" t="inlineStr">
        <is>
          <t>HSCEI</t>
        </is>
      </c>
      <c r="C184" s="6">
        <f>IF(HSCEI!$C$39="","",HSCEI!$C$39)</f>
        <v/>
      </c>
      <c r="D184" s="6">
        <f>IF($C184="","",HSCEI!$D$39)</f>
        <v/>
      </c>
      <c r="E184" s="6">
        <f>IF($C184="","",HSCEI!$E$39)</f>
        <v/>
      </c>
      <c r="F184" s="63">
        <f>IF($C184="","",SUMPRODUCT(('Dvd Calendar'!$E$1913:$AR$1913&gt;=DATE(YEAR_Y-5,1,1))*('Dvd Calendar'!$E$1913:$AR$1913&lt;=DATE(YEAR_Y-5,12,31))*'Dvd Calendar'!$E$1916:$AR$1916*(('Dvd Calendar'!$E$1918:$AR$1918=TYPE1)*(TYPE1&lt;&gt;"")+('Dvd Calendar'!$E$1918:$AR$1918=TYPE2)*(TYPE2&lt;&gt;"")+('Dvd Calendar'!$E$1918:$AR$1918=TYPE3)*(TYPE3&lt;&gt;"")+('Dvd Calendar'!$E$1918:$AR$1918=TYPE4)*(TYPE4&lt;&gt;"")+('Dvd Calendar'!$E$1918:$AR$1918=SPECIAL_LBL)*(INC_SPECIALS="Y"))))</f>
        <v/>
      </c>
      <c r="G184" s="64">
        <f>IF($C184="","",SUMPRODUCT(('Dvd Calendar'!$E$1913:$AR$1913&gt;=DATE(YEAR_Y-4,1,1))*('Dvd Calendar'!$E$1913:$AR$1913&lt;=DATE(YEAR_Y-4,12,31))*'Dvd Calendar'!$E$1916:$AR$1916*(('Dvd Calendar'!$E$1918:$AR$1918=TYPE1)*(TYPE1&lt;&gt;"")+('Dvd Calendar'!$E$1918:$AR$1918=TYPE2)*(TYPE2&lt;&gt;"")+('Dvd Calendar'!$E$1918:$AR$1918=TYPE3)*(TYPE3&lt;&gt;"")+('Dvd Calendar'!$E$1918:$AR$1918=TYPE4)*(TYPE4&lt;&gt;"")+('Dvd Calendar'!$E$1918:$AR$1918=SPECIAL_LBL)*(INC_SPECIALS="Y"))))</f>
        <v/>
      </c>
      <c r="H184" s="64">
        <f>IF($C184="","",SUMPRODUCT(('Dvd Calendar'!$E$1913:$AR$1913&gt;=DATE(YEAR_Y-3,1,1))*('Dvd Calendar'!$E$1913:$AR$1913&lt;=DATE(YEAR_Y-3,12,31))*'Dvd Calendar'!$E$1916:$AR$1916*(('Dvd Calendar'!$E$1918:$AR$1918=TYPE1)*(TYPE1&lt;&gt;"")+('Dvd Calendar'!$E$1918:$AR$1918=TYPE2)*(TYPE2&lt;&gt;"")+('Dvd Calendar'!$E$1918:$AR$1918=TYPE3)*(TYPE3&lt;&gt;"")+('Dvd Calendar'!$E$1918:$AR$1918=TYPE4)*(TYPE4&lt;&gt;"")+('Dvd Calendar'!$E$1918:$AR$1918=SPECIAL_LBL)*(INC_SPECIALS="Y"))))</f>
        <v/>
      </c>
      <c r="I184" s="64">
        <f>IF($C184="","",SUMPRODUCT(('Dvd Calendar'!$E$1913:$AR$1913&gt;=DATE(YEAR_Y-2,1,1))*('Dvd Calendar'!$E$1913:$AR$1913&lt;=DATE(YEAR_Y-2,12,31))*'Dvd Calendar'!$E$1916:$AR$1916*(('Dvd Calendar'!$E$1918:$AR$1918=TYPE1)*(TYPE1&lt;&gt;"")+('Dvd Calendar'!$E$1918:$AR$1918=TYPE2)*(TYPE2&lt;&gt;"")+('Dvd Calendar'!$E$1918:$AR$1918=TYPE3)*(TYPE3&lt;&gt;"")+('Dvd Calendar'!$E$1918:$AR$1918=TYPE4)*(TYPE4&lt;&gt;"")+('Dvd Calendar'!$E$1918:$AR$1918=SPECIAL_LBL)*(INC_SPECIALS="Y"))))</f>
        <v/>
      </c>
      <c r="J184" s="64">
        <f>IF($C184="","",SUMPRODUCT(('Dvd Calendar'!$E$1913:$AR$1913&gt;=DATE(YEAR_Y-1,1,1))*('Dvd Calendar'!$E$1913:$AR$1913&lt;=DATE(YEAR_Y-1,12,31))*'Dvd Calendar'!$E$1916:$AR$1916*(('Dvd Calendar'!$E$1918:$AR$1918=TYPE1)*(TYPE1&lt;&gt;"")+('Dvd Calendar'!$E$1918:$AR$1918=TYPE2)*(TYPE2&lt;&gt;"")+('Dvd Calendar'!$E$1918:$AR$1918=TYPE3)*(TYPE3&lt;&gt;"")+('Dvd Calendar'!$E$1918:$AR$1918=TYPE4)*(TYPE4&lt;&gt;"")+('Dvd Calendar'!$E$1918:$AR$1918=SPECIAL_LBL)*(INC_SPECIALS="Y"))))</f>
        <v/>
      </c>
      <c r="K184" s="65">
        <f>IF($C184="","",HSCEI!$J$39)</f>
        <v/>
      </c>
      <c r="L184" s="65">
        <f>IF($C184="","",HSCEI!$K$39)</f>
        <v/>
      </c>
      <c r="M184" s="41">
        <f>IF($C184="","",AVERAGE(F184:J184))</f>
        <v/>
      </c>
      <c r="N184" s="66">
        <f>IF($C184="","",IF(PULL_FUND="N","",IFERROR(BDP($C184,EPS_FIELD,YR_OVERRIDE,TEXT(YEAR_Y-5,"0")),"")))</f>
        <v/>
      </c>
      <c r="O184" s="67">
        <f>IF($C184="","",IF(PULL_FUND="N","",IFERROR(BDP($C184,EPS_FIELD,YR_OVERRIDE,TEXT(YEAR_Y-4,"0")),"")))</f>
        <v/>
      </c>
      <c r="P184" s="67">
        <f>IF($C184="","",IF(PULL_FUND="N","",IFERROR(BDP($C184,EPS_FIELD,YR_OVERRIDE,TEXT(YEAR_Y-3,"0")),"")))</f>
        <v/>
      </c>
      <c r="Q184" s="67">
        <f>IF($C184="","",IF(PULL_FUND="N","",IFERROR(BDP($C184,EPS_FIELD,YR_OVERRIDE,TEXT(YEAR_Y-2,"0")),"")))</f>
        <v/>
      </c>
      <c r="R184" s="67">
        <f>IF($C184="","",IF(PULL_FUND="N","",IFERROR(BDP($C184,EPS_FIELD,YR_OVERRIDE,TEXT(YEAR_Y-1,"0")),"")))</f>
        <v/>
      </c>
      <c r="S184" s="68">
        <f>IF($C184="","",IF(PULL_FUND="N","",IFERROR(BDP($C184,PAYOUT_FIELD,YR_OVERRIDE,TEXT(YEAR_Y-5,"0"))/100,"")))</f>
        <v/>
      </c>
      <c r="T184" s="68">
        <f>IF($C184="","",IF(PULL_FUND="N","",IFERROR(BDP($C184,PAYOUT_FIELD,YR_OVERRIDE,TEXT(YEAR_Y-4,"0"))/100,"")))</f>
        <v/>
      </c>
      <c r="U184" s="68">
        <f>IF($C184="","",IF(PULL_FUND="N","",IFERROR(BDP($C184,PAYOUT_FIELD,YR_OVERRIDE,TEXT(YEAR_Y-3,"0"))/100,"")))</f>
        <v/>
      </c>
      <c r="V184" s="68">
        <f>IF($C184="","",IF(PULL_FUND="N","",IFERROR(BDP($C184,PAYOUT_FIELD,YR_OVERRIDE,TEXT(YEAR_Y-2,"0"))/100,"")))</f>
        <v/>
      </c>
      <c r="W184" s="68">
        <f>IF($C184="","",IF(PULL_FUND="N","",IFERROR(BDP($C184,PAYOUT_FIELD,YR_OVERRIDE,TEXT(YEAR_Y-1,"0"))/100,"")))</f>
        <v/>
      </c>
      <c r="X184" s="69">
        <f>IF($C184="","",IFERROR(AVERAGE(S184:W184),""))</f>
        <v/>
      </c>
      <c r="Y184" s="66">
        <f>IF($C184="","",IF(PULL_FUND="N","",IFERROR(BDP($C184,BESTEPS_FIELD,FWD_OVERRIDE,TEXT(MOD(YEAR_Y,100),"00")&amp;"Y"),"")))</f>
        <v/>
      </c>
      <c r="Z184" s="70">
        <f>IF($C184="","",IF(PULL_FUND="N","",IFERROR(BDP($C184,BESTDPS_FIELD,FWD_OVERRIDE,TEXT(MOD(YEAR_Y,100),"00")&amp;"Y"),"")))</f>
        <v/>
      </c>
      <c r="AA184" s="71">
        <f>IF($C184="","",IF(ISNUMBER($Y184)*ISNUMBER($Z184)*($Y184&lt;&gt;0)=0,"",$Z184/$Y184))</f>
        <v/>
      </c>
      <c r="AB184" s="41">
        <f>IF($C184="","",HSCEI!$J$39+HSCEI!$L$39)</f>
        <v/>
      </c>
      <c r="AC184" s="72">
        <f>IF($C184="","",IF(PULL_FUND="N","",IF(COUNTIFS('Fund History'!$G$1048:$G$1052,"&gt;="&amp;DATE(YEAR_Y-4,1,1),'Fund History'!$G$1048:$G$1052,"&lt;="&amp;DATE(YEAR_Y-4,12,31))=0,"",SUMIFS('Fund History'!$H$1048:$H$1052,'Fund History'!$G$1048:$G$1052,"&gt;="&amp;DATE(YEAR_Y-4,1,1),'Fund History'!$G$1048:$G$1052,"&lt;="&amp;DATE(YEAR_Y-4,12,31))/100)))</f>
        <v/>
      </c>
      <c r="AD184" s="73">
        <f>IF($C184="","",IF(PULL_FUND="N","",IF(COUNTIFS('Fund History'!$G$1048:$G$1052,"&gt;="&amp;DATE(YEAR_Y-3,1,1),'Fund History'!$G$1048:$G$1052,"&lt;="&amp;DATE(YEAR_Y-3,12,31))=0,"",SUMIFS('Fund History'!$H$1048:$H$1052,'Fund History'!$G$1048:$G$1052,"&gt;="&amp;DATE(YEAR_Y-3,1,1),'Fund History'!$G$1048:$G$1052,"&lt;="&amp;DATE(YEAR_Y-3,12,31))/100)))</f>
        <v/>
      </c>
      <c r="AE184" s="73">
        <f>IF($C184="","",IF(PULL_FUND="N","",IF(COUNTIFS('Fund History'!$G$1048:$G$1052,"&gt;="&amp;DATE(YEAR_Y-2,1,1),'Fund History'!$G$1048:$G$1052,"&lt;="&amp;DATE(YEAR_Y-2,12,31))=0,"",SUMIFS('Fund History'!$H$1048:$H$1052,'Fund History'!$G$1048:$G$1052,"&gt;="&amp;DATE(YEAR_Y-2,1,1),'Fund History'!$G$1048:$G$1052,"&lt;="&amp;DATE(YEAR_Y-2,12,31))/100)))</f>
        <v/>
      </c>
      <c r="AF184" s="73">
        <f>IF($C184="","",IF(PULL_FUND="N","",IF(COUNTIFS('Fund History'!$G$1048:$G$1052,"&gt;="&amp;DATE(YEAR_Y-1,1,1),'Fund History'!$G$1048:$G$1052,"&lt;="&amp;DATE(YEAR_Y-1,12,31))=0,"",SUMIFS('Fund History'!$H$1048:$H$1052,'Fund History'!$G$1048:$G$1052,"&gt;="&amp;DATE(YEAR_Y-1,1,1),'Fund History'!$G$1048:$G$1052,"&lt;="&amp;DATE(YEAR_Y-1,12,31))/100)))</f>
        <v/>
      </c>
      <c r="AG184" s="74">
        <f>IF($C184="","",IF(N($AF184)+N(HSCEI!$I$39)=0,"",N($AF184)+N(HSCEI!$I$39)/100))</f>
        <v/>
      </c>
      <c r="AH184" s="66">
        <f>IF($C184="","",IF(PULL_FUND="N","",IF(COUNTIFS('Fund History'!$D$1048:$D$1052,"&gt;="&amp;DATE(YEAR_Y-2,1,1),'Fund History'!$D$1048:$D$1052,"&lt;="&amp;DATE(YEAR_Y-2,12,31))=0,"",SUMIFS('Fund History'!$E$1048:$E$1052,'Fund History'!$D$1048:$D$1052,"&gt;="&amp;DATE(YEAR_Y-2,1,1),'Fund History'!$D$1048:$D$1052,"&lt;="&amp;DATE(YEAR_Y-2,12,31)))))</f>
        <v/>
      </c>
      <c r="AI184" s="67">
        <f>IF($C184="","",IF(PULL_FUND="N","",IF(COUNTIFS('Fund History'!$D$1048:$D$1052,"&gt;="&amp;DATE(YEAR_Y-1,1,1),'Fund History'!$D$1048:$D$1052,"&lt;="&amp;DATE(YEAR_Y-1,12,31))=0,"",SUMIFS('Fund History'!$E$1048:$E$1052,'Fund History'!$D$1048:$D$1052,"&gt;="&amp;DATE(YEAR_Y-1,1,1),'Fund History'!$D$1048:$D$1052,"&lt;="&amp;DATE(YEAR_Y-1,12,31)))))</f>
        <v/>
      </c>
      <c r="AJ184" s="67">
        <f>IF($C184="","",IF(PULL_FUND="N","",IFERROR(BDP($C184,NDEBITDA_FIELD),"")))</f>
        <v/>
      </c>
      <c r="AK184" s="75">
        <f>IF($C184="","",IF(PULL_FUND="N","",IFERROR(BDP($C184,EBINT_FIELD),"")))</f>
        <v/>
      </c>
      <c r="AL184" s="73">
        <f>IF($C184="","",IF(PULL_FUND="N","",IFERROR(BDP($C184,FCF_FIELD)/100,"")))</f>
        <v/>
      </c>
      <c r="AM184" s="76">
        <f>IF($C184="","",IF(ISNUMBER(HSCEI!$I$39),HSCEI!$I$39/100,""))</f>
        <v/>
      </c>
      <c r="AN184" s="47">
        <f>IF($C184="","",IF(N($AM184)=0,"",IFERROR($AL184/$AM184,"")))</f>
        <v/>
      </c>
      <c r="AO184" s="33">
        <f>IF($C184="","",IF(ISNUMBER($S184)*ISNUMBER($W184)=0,"",IF($W184&gt;$S184+0.05,"rising",IF($W184&lt;$S184-0.05,"falling","stable"))))</f>
        <v/>
      </c>
      <c r="AP184" s="77">
        <f>IF($C184="","",TRIM(IF(ISNUMBER($X184)*(N($X184)&gt;$D$4)&gt;0,"payout high  ","")&amp;IF(ISNUMBER($AN184)*(N($AN184)&lt;$F$4)&gt;0,"FCF below dvd  ","")&amp;IF(ISNUMBER($AJ184)*(N($AJ184)&gt;$H$4)&gt;0,"leverage high","")))</f>
        <v/>
      </c>
      <c r="AQ184" s="78">
        <f>IF($C184="","",IF(HSCEI!$F$39="HKD","",HSCEI!$F$39))</f>
        <v/>
      </c>
    </row>
    <row r="185">
      <c r="B185" s="62" t="inlineStr">
        <is>
          <t>HSCEI</t>
        </is>
      </c>
      <c r="C185" s="6">
        <f>IF(HSCEI!$C$40="","",HSCEI!$C$40)</f>
        <v/>
      </c>
      <c r="D185" s="6">
        <f>IF($C185="","",HSCEI!$D$40)</f>
        <v/>
      </c>
      <c r="E185" s="6">
        <f>IF($C185="","",HSCEI!$E$40)</f>
        <v/>
      </c>
      <c r="F185" s="63">
        <f>IF($C185="","",SUMPRODUCT(('Dvd Calendar'!$E$1924:$AR$1924&gt;=DATE(YEAR_Y-5,1,1))*('Dvd Calendar'!$E$1924:$AR$1924&lt;=DATE(YEAR_Y-5,12,31))*'Dvd Calendar'!$E$1927:$AR$1927*(('Dvd Calendar'!$E$1929:$AR$1929=TYPE1)*(TYPE1&lt;&gt;"")+('Dvd Calendar'!$E$1929:$AR$1929=TYPE2)*(TYPE2&lt;&gt;"")+('Dvd Calendar'!$E$1929:$AR$1929=TYPE3)*(TYPE3&lt;&gt;"")+('Dvd Calendar'!$E$1929:$AR$1929=TYPE4)*(TYPE4&lt;&gt;"")+('Dvd Calendar'!$E$1929:$AR$1929=SPECIAL_LBL)*(INC_SPECIALS="Y"))))</f>
        <v/>
      </c>
      <c r="G185" s="64">
        <f>IF($C185="","",SUMPRODUCT(('Dvd Calendar'!$E$1924:$AR$1924&gt;=DATE(YEAR_Y-4,1,1))*('Dvd Calendar'!$E$1924:$AR$1924&lt;=DATE(YEAR_Y-4,12,31))*'Dvd Calendar'!$E$1927:$AR$1927*(('Dvd Calendar'!$E$1929:$AR$1929=TYPE1)*(TYPE1&lt;&gt;"")+('Dvd Calendar'!$E$1929:$AR$1929=TYPE2)*(TYPE2&lt;&gt;"")+('Dvd Calendar'!$E$1929:$AR$1929=TYPE3)*(TYPE3&lt;&gt;"")+('Dvd Calendar'!$E$1929:$AR$1929=TYPE4)*(TYPE4&lt;&gt;"")+('Dvd Calendar'!$E$1929:$AR$1929=SPECIAL_LBL)*(INC_SPECIALS="Y"))))</f>
        <v/>
      </c>
      <c r="H185" s="64">
        <f>IF($C185="","",SUMPRODUCT(('Dvd Calendar'!$E$1924:$AR$1924&gt;=DATE(YEAR_Y-3,1,1))*('Dvd Calendar'!$E$1924:$AR$1924&lt;=DATE(YEAR_Y-3,12,31))*'Dvd Calendar'!$E$1927:$AR$1927*(('Dvd Calendar'!$E$1929:$AR$1929=TYPE1)*(TYPE1&lt;&gt;"")+('Dvd Calendar'!$E$1929:$AR$1929=TYPE2)*(TYPE2&lt;&gt;"")+('Dvd Calendar'!$E$1929:$AR$1929=TYPE3)*(TYPE3&lt;&gt;"")+('Dvd Calendar'!$E$1929:$AR$1929=TYPE4)*(TYPE4&lt;&gt;"")+('Dvd Calendar'!$E$1929:$AR$1929=SPECIAL_LBL)*(INC_SPECIALS="Y"))))</f>
        <v/>
      </c>
      <c r="I185" s="64">
        <f>IF($C185="","",SUMPRODUCT(('Dvd Calendar'!$E$1924:$AR$1924&gt;=DATE(YEAR_Y-2,1,1))*('Dvd Calendar'!$E$1924:$AR$1924&lt;=DATE(YEAR_Y-2,12,31))*'Dvd Calendar'!$E$1927:$AR$1927*(('Dvd Calendar'!$E$1929:$AR$1929=TYPE1)*(TYPE1&lt;&gt;"")+('Dvd Calendar'!$E$1929:$AR$1929=TYPE2)*(TYPE2&lt;&gt;"")+('Dvd Calendar'!$E$1929:$AR$1929=TYPE3)*(TYPE3&lt;&gt;"")+('Dvd Calendar'!$E$1929:$AR$1929=TYPE4)*(TYPE4&lt;&gt;"")+('Dvd Calendar'!$E$1929:$AR$1929=SPECIAL_LBL)*(INC_SPECIALS="Y"))))</f>
        <v/>
      </c>
      <c r="J185" s="64">
        <f>IF($C185="","",SUMPRODUCT(('Dvd Calendar'!$E$1924:$AR$1924&gt;=DATE(YEAR_Y-1,1,1))*('Dvd Calendar'!$E$1924:$AR$1924&lt;=DATE(YEAR_Y-1,12,31))*'Dvd Calendar'!$E$1927:$AR$1927*(('Dvd Calendar'!$E$1929:$AR$1929=TYPE1)*(TYPE1&lt;&gt;"")+('Dvd Calendar'!$E$1929:$AR$1929=TYPE2)*(TYPE2&lt;&gt;"")+('Dvd Calendar'!$E$1929:$AR$1929=TYPE3)*(TYPE3&lt;&gt;"")+('Dvd Calendar'!$E$1929:$AR$1929=TYPE4)*(TYPE4&lt;&gt;"")+('Dvd Calendar'!$E$1929:$AR$1929=SPECIAL_LBL)*(INC_SPECIALS="Y"))))</f>
        <v/>
      </c>
      <c r="K185" s="65">
        <f>IF($C185="","",HSCEI!$J$40)</f>
        <v/>
      </c>
      <c r="L185" s="65">
        <f>IF($C185="","",HSCEI!$K$40)</f>
        <v/>
      </c>
      <c r="M185" s="41">
        <f>IF($C185="","",AVERAGE(F185:J185))</f>
        <v/>
      </c>
      <c r="N185" s="66">
        <f>IF($C185="","",IF(PULL_FUND="N","",IFERROR(BDP($C185,EPS_FIELD,YR_OVERRIDE,TEXT(YEAR_Y-5,"0")),"")))</f>
        <v/>
      </c>
      <c r="O185" s="67">
        <f>IF($C185="","",IF(PULL_FUND="N","",IFERROR(BDP($C185,EPS_FIELD,YR_OVERRIDE,TEXT(YEAR_Y-4,"0")),"")))</f>
        <v/>
      </c>
      <c r="P185" s="67">
        <f>IF($C185="","",IF(PULL_FUND="N","",IFERROR(BDP($C185,EPS_FIELD,YR_OVERRIDE,TEXT(YEAR_Y-3,"0")),"")))</f>
        <v/>
      </c>
      <c r="Q185" s="67">
        <f>IF($C185="","",IF(PULL_FUND="N","",IFERROR(BDP($C185,EPS_FIELD,YR_OVERRIDE,TEXT(YEAR_Y-2,"0")),"")))</f>
        <v/>
      </c>
      <c r="R185" s="67">
        <f>IF($C185="","",IF(PULL_FUND="N","",IFERROR(BDP($C185,EPS_FIELD,YR_OVERRIDE,TEXT(YEAR_Y-1,"0")),"")))</f>
        <v/>
      </c>
      <c r="S185" s="68">
        <f>IF($C185="","",IF(PULL_FUND="N","",IFERROR(BDP($C185,PAYOUT_FIELD,YR_OVERRIDE,TEXT(YEAR_Y-5,"0"))/100,"")))</f>
        <v/>
      </c>
      <c r="T185" s="68">
        <f>IF($C185="","",IF(PULL_FUND="N","",IFERROR(BDP($C185,PAYOUT_FIELD,YR_OVERRIDE,TEXT(YEAR_Y-4,"0"))/100,"")))</f>
        <v/>
      </c>
      <c r="U185" s="68">
        <f>IF($C185="","",IF(PULL_FUND="N","",IFERROR(BDP($C185,PAYOUT_FIELD,YR_OVERRIDE,TEXT(YEAR_Y-3,"0"))/100,"")))</f>
        <v/>
      </c>
      <c r="V185" s="68">
        <f>IF($C185="","",IF(PULL_FUND="N","",IFERROR(BDP($C185,PAYOUT_FIELD,YR_OVERRIDE,TEXT(YEAR_Y-2,"0"))/100,"")))</f>
        <v/>
      </c>
      <c r="W185" s="68">
        <f>IF($C185="","",IF(PULL_FUND="N","",IFERROR(BDP($C185,PAYOUT_FIELD,YR_OVERRIDE,TEXT(YEAR_Y-1,"0"))/100,"")))</f>
        <v/>
      </c>
      <c r="X185" s="69">
        <f>IF($C185="","",IFERROR(AVERAGE(S185:W185),""))</f>
        <v/>
      </c>
      <c r="Y185" s="66">
        <f>IF($C185="","",IF(PULL_FUND="N","",IFERROR(BDP($C185,BESTEPS_FIELD,FWD_OVERRIDE,TEXT(MOD(YEAR_Y,100),"00")&amp;"Y"),"")))</f>
        <v/>
      </c>
      <c r="Z185" s="70">
        <f>IF($C185="","",IF(PULL_FUND="N","",IFERROR(BDP($C185,BESTDPS_FIELD,FWD_OVERRIDE,TEXT(MOD(YEAR_Y,100),"00")&amp;"Y"),"")))</f>
        <v/>
      </c>
      <c r="AA185" s="71">
        <f>IF($C185="","",IF(ISNUMBER($Y185)*ISNUMBER($Z185)*($Y185&lt;&gt;0)=0,"",$Z185/$Y185))</f>
        <v/>
      </c>
      <c r="AB185" s="41">
        <f>IF($C185="","",HSCEI!$J$40+HSCEI!$L$40)</f>
        <v/>
      </c>
      <c r="AC185" s="72">
        <f>IF($C185="","",IF(PULL_FUND="N","",IF(COUNTIFS('Fund History'!$G$1054:$G$1058,"&gt;="&amp;DATE(YEAR_Y-4,1,1),'Fund History'!$G$1054:$G$1058,"&lt;="&amp;DATE(YEAR_Y-4,12,31))=0,"",SUMIFS('Fund History'!$H$1054:$H$1058,'Fund History'!$G$1054:$G$1058,"&gt;="&amp;DATE(YEAR_Y-4,1,1),'Fund History'!$G$1054:$G$1058,"&lt;="&amp;DATE(YEAR_Y-4,12,31))/100)))</f>
        <v/>
      </c>
      <c r="AD185" s="73">
        <f>IF($C185="","",IF(PULL_FUND="N","",IF(COUNTIFS('Fund History'!$G$1054:$G$1058,"&gt;="&amp;DATE(YEAR_Y-3,1,1),'Fund History'!$G$1054:$G$1058,"&lt;="&amp;DATE(YEAR_Y-3,12,31))=0,"",SUMIFS('Fund History'!$H$1054:$H$1058,'Fund History'!$G$1054:$G$1058,"&gt;="&amp;DATE(YEAR_Y-3,1,1),'Fund History'!$G$1054:$G$1058,"&lt;="&amp;DATE(YEAR_Y-3,12,31))/100)))</f>
        <v/>
      </c>
      <c r="AE185" s="73">
        <f>IF($C185="","",IF(PULL_FUND="N","",IF(COUNTIFS('Fund History'!$G$1054:$G$1058,"&gt;="&amp;DATE(YEAR_Y-2,1,1),'Fund History'!$G$1054:$G$1058,"&lt;="&amp;DATE(YEAR_Y-2,12,31))=0,"",SUMIFS('Fund History'!$H$1054:$H$1058,'Fund History'!$G$1054:$G$1058,"&gt;="&amp;DATE(YEAR_Y-2,1,1),'Fund History'!$G$1054:$G$1058,"&lt;="&amp;DATE(YEAR_Y-2,12,31))/100)))</f>
        <v/>
      </c>
      <c r="AF185" s="73">
        <f>IF($C185="","",IF(PULL_FUND="N","",IF(COUNTIFS('Fund History'!$G$1054:$G$1058,"&gt;="&amp;DATE(YEAR_Y-1,1,1),'Fund History'!$G$1054:$G$1058,"&lt;="&amp;DATE(YEAR_Y-1,12,31))=0,"",SUMIFS('Fund History'!$H$1054:$H$1058,'Fund History'!$G$1054:$G$1058,"&gt;="&amp;DATE(YEAR_Y-1,1,1),'Fund History'!$G$1054:$G$1058,"&lt;="&amp;DATE(YEAR_Y-1,12,31))/100)))</f>
        <v/>
      </c>
      <c r="AG185" s="74">
        <f>IF($C185="","",IF(N($AF185)+N(HSCEI!$I$40)=0,"",N($AF185)+N(HSCEI!$I$40)/100))</f>
        <v/>
      </c>
      <c r="AH185" s="66">
        <f>IF($C185="","",IF(PULL_FUND="N","",IF(COUNTIFS('Fund History'!$D$1054:$D$1058,"&gt;="&amp;DATE(YEAR_Y-2,1,1),'Fund History'!$D$1054:$D$1058,"&lt;="&amp;DATE(YEAR_Y-2,12,31))=0,"",SUMIFS('Fund History'!$E$1054:$E$1058,'Fund History'!$D$1054:$D$1058,"&gt;="&amp;DATE(YEAR_Y-2,1,1),'Fund History'!$D$1054:$D$1058,"&lt;="&amp;DATE(YEAR_Y-2,12,31)))))</f>
        <v/>
      </c>
      <c r="AI185" s="67">
        <f>IF($C185="","",IF(PULL_FUND="N","",IF(COUNTIFS('Fund History'!$D$1054:$D$1058,"&gt;="&amp;DATE(YEAR_Y-1,1,1),'Fund History'!$D$1054:$D$1058,"&lt;="&amp;DATE(YEAR_Y-1,12,31))=0,"",SUMIFS('Fund History'!$E$1054:$E$1058,'Fund History'!$D$1054:$D$1058,"&gt;="&amp;DATE(YEAR_Y-1,1,1),'Fund History'!$D$1054:$D$1058,"&lt;="&amp;DATE(YEAR_Y-1,12,31)))))</f>
        <v/>
      </c>
      <c r="AJ185" s="67">
        <f>IF($C185="","",IF(PULL_FUND="N","",IFERROR(BDP($C185,NDEBITDA_FIELD),"")))</f>
        <v/>
      </c>
      <c r="AK185" s="75">
        <f>IF($C185="","",IF(PULL_FUND="N","",IFERROR(BDP($C185,EBINT_FIELD),"")))</f>
        <v/>
      </c>
      <c r="AL185" s="73">
        <f>IF($C185="","",IF(PULL_FUND="N","",IFERROR(BDP($C185,FCF_FIELD)/100,"")))</f>
        <v/>
      </c>
      <c r="AM185" s="76">
        <f>IF($C185="","",IF(ISNUMBER(HSCEI!$I$40),HSCEI!$I$40/100,""))</f>
        <v/>
      </c>
      <c r="AN185" s="47">
        <f>IF($C185="","",IF(N($AM185)=0,"",IFERROR($AL185/$AM185,"")))</f>
        <v/>
      </c>
      <c r="AO185" s="33">
        <f>IF($C185="","",IF(ISNUMBER($S185)*ISNUMBER($W185)=0,"",IF($W185&gt;$S185+0.05,"rising",IF($W185&lt;$S185-0.05,"falling","stable"))))</f>
        <v/>
      </c>
      <c r="AP185" s="77">
        <f>IF($C185="","",TRIM(IF(ISNUMBER($X185)*(N($X185)&gt;$D$4)&gt;0,"payout high  ","")&amp;IF(ISNUMBER($AN185)*(N($AN185)&lt;$F$4)&gt;0,"FCF below dvd  ","")&amp;IF(ISNUMBER($AJ185)*(N($AJ185)&gt;$H$4)&gt;0,"leverage high","")))</f>
        <v/>
      </c>
      <c r="AQ185" s="78">
        <f>IF($C185="","",IF(HSCEI!$F$40="HKD","",HSCEI!$F$40))</f>
        <v/>
      </c>
    </row>
    <row r="186">
      <c r="B186" s="62" t="inlineStr">
        <is>
          <t>HSCEI</t>
        </is>
      </c>
      <c r="C186" s="6">
        <f>IF(HSCEI!$C$41="","",HSCEI!$C$41)</f>
        <v/>
      </c>
      <c r="D186" s="6">
        <f>IF($C186="","",HSCEI!$D$41)</f>
        <v/>
      </c>
      <c r="E186" s="6">
        <f>IF($C186="","",HSCEI!$E$41)</f>
        <v/>
      </c>
      <c r="F186" s="63">
        <f>IF($C186="","",SUMPRODUCT(('Dvd Calendar'!$E$1935:$AR$1935&gt;=DATE(YEAR_Y-5,1,1))*('Dvd Calendar'!$E$1935:$AR$1935&lt;=DATE(YEAR_Y-5,12,31))*'Dvd Calendar'!$E$1938:$AR$1938*(('Dvd Calendar'!$E$1940:$AR$1940=TYPE1)*(TYPE1&lt;&gt;"")+('Dvd Calendar'!$E$1940:$AR$1940=TYPE2)*(TYPE2&lt;&gt;"")+('Dvd Calendar'!$E$1940:$AR$1940=TYPE3)*(TYPE3&lt;&gt;"")+('Dvd Calendar'!$E$1940:$AR$1940=TYPE4)*(TYPE4&lt;&gt;"")+('Dvd Calendar'!$E$1940:$AR$1940=SPECIAL_LBL)*(INC_SPECIALS="Y"))))</f>
        <v/>
      </c>
      <c r="G186" s="64">
        <f>IF($C186="","",SUMPRODUCT(('Dvd Calendar'!$E$1935:$AR$1935&gt;=DATE(YEAR_Y-4,1,1))*('Dvd Calendar'!$E$1935:$AR$1935&lt;=DATE(YEAR_Y-4,12,31))*'Dvd Calendar'!$E$1938:$AR$1938*(('Dvd Calendar'!$E$1940:$AR$1940=TYPE1)*(TYPE1&lt;&gt;"")+('Dvd Calendar'!$E$1940:$AR$1940=TYPE2)*(TYPE2&lt;&gt;"")+('Dvd Calendar'!$E$1940:$AR$1940=TYPE3)*(TYPE3&lt;&gt;"")+('Dvd Calendar'!$E$1940:$AR$1940=TYPE4)*(TYPE4&lt;&gt;"")+('Dvd Calendar'!$E$1940:$AR$1940=SPECIAL_LBL)*(INC_SPECIALS="Y"))))</f>
        <v/>
      </c>
      <c r="H186" s="64">
        <f>IF($C186="","",SUMPRODUCT(('Dvd Calendar'!$E$1935:$AR$1935&gt;=DATE(YEAR_Y-3,1,1))*('Dvd Calendar'!$E$1935:$AR$1935&lt;=DATE(YEAR_Y-3,12,31))*'Dvd Calendar'!$E$1938:$AR$1938*(('Dvd Calendar'!$E$1940:$AR$1940=TYPE1)*(TYPE1&lt;&gt;"")+('Dvd Calendar'!$E$1940:$AR$1940=TYPE2)*(TYPE2&lt;&gt;"")+('Dvd Calendar'!$E$1940:$AR$1940=TYPE3)*(TYPE3&lt;&gt;"")+('Dvd Calendar'!$E$1940:$AR$1940=TYPE4)*(TYPE4&lt;&gt;"")+('Dvd Calendar'!$E$1940:$AR$1940=SPECIAL_LBL)*(INC_SPECIALS="Y"))))</f>
        <v/>
      </c>
      <c r="I186" s="64">
        <f>IF($C186="","",SUMPRODUCT(('Dvd Calendar'!$E$1935:$AR$1935&gt;=DATE(YEAR_Y-2,1,1))*('Dvd Calendar'!$E$1935:$AR$1935&lt;=DATE(YEAR_Y-2,12,31))*'Dvd Calendar'!$E$1938:$AR$1938*(('Dvd Calendar'!$E$1940:$AR$1940=TYPE1)*(TYPE1&lt;&gt;"")+('Dvd Calendar'!$E$1940:$AR$1940=TYPE2)*(TYPE2&lt;&gt;"")+('Dvd Calendar'!$E$1940:$AR$1940=TYPE3)*(TYPE3&lt;&gt;"")+('Dvd Calendar'!$E$1940:$AR$1940=TYPE4)*(TYPE4&lt;&gt;"")+('Dvd Calendar'!$E$1940:$AR$1940=SPECIAL_LBL)*(INC_SPECIALS="Y"))))</f>
        <v/>
      </c>
      <c r="J186" s="64">
        <f>IF($C186="","",SUMPRODUCT(('Dvd Calendar'!$E$1935:$AR$1935&gt;=DATE(YEAR_Y-1,1,1))*('Dvd Calendar'!$E$1935:$AR$1935&lt;=DATE(YEAR_Y-1,12,31))*'Dvd Calendar'!$E$1938:$AR$1938*(('Dvd Calendar'!$E$1940:$AR$1940=TYPE1)*(TYPE1&lt;&gt;"")+('Dvd Calendar'!$E$1940:$AR$1940=TYPE2)*(TYPE2&lt;&gt;"")+('Dvd Calendar'!$E$1940:$AR$1940=TYPE3)*(TYPE3&lt;&gt;"")+('Dvd Calendar'!$E$1940:$AR$1940=TYPE4)*(TYPE4&lt;&gt;"")+('Dvd Calendar'!$E$1940:$AR$1940=SPECIAL_LBL)*(INC_SPECIALS="Y"))))</f>
        <v/>
      </c>
      <c r="K186" s="65">
        <f>IF($C186="","",HSCEI!$J$41)</f>
        <v/>
      </c>
      <c r="L186" s="65">
        <f>IF($C186="","",HSCEI!$K$41)</f>
        <v/>
      </c>
      <c r="M186" s="41">
        <f>IF($C186="","",AVERAGE(F186:J186))</f>
        <v/>
      </c>
      <c r="N186" s="66">
        <f>IF($C186="","",IF(PULL_FUND="N","",IFERROR(BDP($C186,EPS_FIELD,YR_OVERRIDE,TEXT(YEAR_Y-5,"0")),"")))</f>
        <v/>
      </c>
      <c r="O186" s="67">
        <f>IF($C186="","",IF(PULL_FUND="N","",IFERROR(BDP($C186,EPS_FIELD,YR_OVERRIDE,TEXT(YEAR_Y-4,"0")),"")))</f>
        <v/>
      </c>
      <c r="P186" s="67">
        <f>IF($C186="","",IF(PULL_FUND="N","",IFERROR(BDP($C186,EPS_FIELD,YR_OVERRIDE,TEXT(YEAR_Y-3,"0")),"")))</f>
        <v/>
      </c>
      <c r="Q186" s="67">
        <f>IF($C186="","",IF(PULL_FUND="N","",IFERROR(BDP($C186,EPS_FIELD,YR_OVERRIDE,TEXT(YEAR_Y-2,"0")),"")))</f>
        <v/>
      </c>
      <c r="R186" s="67">
        <f>IF($C186="","",IF(PULL_FUND="N","",IFERROR(BDP($C186,EPS_FIELD,YR_OVERRIDE,TEXT(YEAR_Y-1,"0")),"")))</f>
        <v/>
      </c>
      <c r="S186" s="68">
        <f>IF($C186="","",IF(PULL_FUND="N","",IFERROR(BDP($C186,PAYOUT_FIELD,YR_OVERRIDE,TEXT(YEAR_Y-5,"0"))/100,"")))</f>
        <v/>
      </c>
      <c r="T186" s="68">
        <f>IF($C186="","",IF(PULL_FUND="N","",IFERROR(BDP($C186,PAYOUT_FIELD,YR_OVERRIDE,TEXT(YEAR_Y-4,"0"))/100,"")))</f>
        <v/>
      </c>
      <c r="U186" s="68">
        <f>IF($C186="","",IF(PULL_FUND="N","",IFERROR(BDP($C186,PAYOUT_FIELD,YR_OVERRIDE,TEXT(YEAR_Y-3,"0"))/100,"")))</f>
        <v/>
      </c>
      <c r="V186" s="68">
        <f>IF($C186="","",IF(PULL_FUND="N","",IFERROR(BDP($C186,PAYOUT_FIELD,YR_OVERRIDE,TEXT(YEAR_Y-2,"0"))/100,"")))</f>
        <v/>
      </c>
      <c r="W186" s="68">
        <f>IF($C186="","",IF(PULL_FUND="N","",IFERROR(BDP($C186,PAYOUT_FIELD,YR_OVERRIDE,TEXT(YEAR_Y-1,"0"))/100,"")))</f>
        <v/>
      </c>
      <c r="X186" s="69">
        <f>IF($C186="","",IFERROR(AVERAGE(S186:W186),""))</f>
        <v/>
      </c>
      <c r="Y186" s="66">
        <f>IF($C186="","",IF(PULL_FUND="N","",IFERROR(BDP($C186,BESTEPS_FIELD,FWD_OVERRIDE,TEXT(MOD(YEAR_Y,100),"00")&amp;"Y"),"")))</f>
        <v/>
      </c>
      <c r="Z186" s="70">
        <f>IF($C186="","",IF(PULL_FUND="N","",IFERROR(BDP($C186,BESTDPS_FIELD,FWD_OVERRIDE,TEXT(MOD(YEAR_Y,100),"00")&amp;"Y"),"")))</f>
        <v/>
      </c>
      <c r="AA186" s="71">
        <f>IF($C186="","",IF(ISNUMBER($Y186)*ISNUMBER($Z186)*($Y186&lt;&gt;0)=0,"",$Z186/$Y186))</f>
        <v/>
      </c>
      <c r="AB186" s="41">
        <f>IF($C186="","",HSCEI!$J$41+HSCEI!$L$41)</f>
        <v/>
      </c>
      <c r="AC186" s="72">
        <f>IF($C186="","",IF(PULL_FUND="N","",IF(COUNTIFS('Fund History'!$G$1060:$G$1064,"&gt;="&amp;DATE(YEAR_Y-4,1,1),'Fund History'!$G$1060:$G$1064,"&lt;="&amp;DATE(YEAR_Y-4,12,31))=0,"",SUMIFS('Fund History'!$H$1060:$H$1064,'Fund History'!$G$1060:$G$1064,"&gt;="&amp;DATE(YEAR_Y-4,1,1),'Fund History'!$G$1060:$G$1064,"&lt;="&amp;DATE(YEAR_Y-4,12,31))/100)))</f>
        <v/>
      </c>
      <c r="AD186" s="73">
        <f>IF($C186="","",IF(PULL_FUND="N","",IF(COUNTIFS('Fund History'!$G$1060:$G$1064,"&gt;="&amp;DATE(YEAR_Y-3,1,1),'Fund History'!$G$1060:$G$1064,"&lt;="&amp;DATE(YEAR_Y-3,12,31))=0,"",SUMIFS('Fund History'!$H$1060:$H$1064,'Fund History'!$G$1060:$G$1064,"&gt;="&amp;DATE(YEAR_Y-3,1,1),'Fund History'!$G$1060:$G$1064,"&lt;="&amp;DATE(YEAR_Y-3,12,31))/100)))</f>
        <v/>
      </c>
      <c r="AE186" s="73">
        <f>IF($C186="","",IF(PULL_FUND="N","",IF(COUNTIFS('Fund History'!$G$1060:$G$1064,"&gt;="&amp;DATE(YEAR_Y-2,1,1),'Fund History'!$G$1060:$G$1064,"&lt;="&amp;DATE(YEAR_Y-2,12,31))=0,"",SUMIFS('Fund History'!$H$1060:$H$1064,'Fund History'!$G$1060:$G$1064,"&gt;="&amp;DATE(YEAR_Y-2,1,1),'Fund History'!$G$1060:$G$1064,"&lt;="&amp;DATE(YEAR_Y-2,12,31))/100)))</f>
        <v/>
      </c>
      <c r="AF186" s="73">
        <f>IF($C186="","",IF(PULL_FUND="N","",IF(COUNTIFS('Fund History'!$G$1060:$G$1064,"&gt;="&amp;DATE(YEAR_Y-1,1,1),'Fund History'!$G$1060:$G$1064,"&lt;="&amp;DATE(YEAR_Y-1,12,31))=0,"",SUMIFS('Fund History'!$H$1060:$H$1064,'Fund History'!$G$1060:$G$1064,"&gt;="&amp;DATE(YEAR_Y-1,1,1),'Fund History'!$G$1060:$G$1064,"&lt;="&amp;DATE(YEAR_Y-1,12,31))/100)))</f>
        <v/>
      </c>
      <c r="AG186" s="74">
        <f>IF($C186="","",IF(N($AF186)+N(HSCEI!$I$41)=0,"",N($AF186)+N(HSCEI!$I$41)/100))</f>
        <v/>
      </c>
      <c r="AH186" s="66">
        <f>IF($C186="","",IF(PULL_FUND="N","",IF(COUNTIFS('Fund History'!$D$1060:$D$1064,"&gt;="&amp;DATE(YEAR_Y-2,1,1),'Fund History'!$D$1060:$D$1064,"&lt;="&amp;DATE(YEAR_Y-2,12,31))=0,"",SUMIFS('Fund History'!$E$1060:$E$1064,'Fund History'!$D$1060:$D$1064,"&gt;="&amp;DATE(YEAR_Y-2,1,1),'Fund History'!$D$1060:$D$1064,"&lt;="&amp;DATE(YEAR_Y-2,12,31)))))</f>
        <v/>
      </c>
      <c r="AI186" s="67">
        <f>IF($C186="","",IF(PULL_FUND="N","",IF(COUNTIFS('Fund History'!$D$1060:$D$1064,"&gt;="&amp;DATE(YEAR_Y-1,1,1),'Fund History'!$D$1060:$D$1064,"&lt;="&amp;DATE(YEAR_Y-1,12,31))=0,"",SUMIFS('Fund History'!$E$1060:$E$1064,'Fund History'!$D$1060:$D$1064,"&gt;="&amp;DATE(YEAR_Y-1,1,1),'Fund History'!$D$1060:$D$1064,"&lt;="&amp;DATE(YEAR_Y-1,12,31)))))</f>
        <v/>
      </c>
      <c r="AJ186" s="67">
        <f>IF($C186="","",IF(PULL_FUND="N","",IFERROR(BDP($C186,NDEBITDA_FIELD),"")))</f>
        <v/>
      </c>
      <c r="AK186" s="75">
        <f>IF($C186="","",IF(PULL_FUND="N","",IFERROR(BDP($C186,EBINT_FIELD),"")))</f>
        <v/>
      </c>
      <c r="AL186" s="73">
        <f>IF($C186="","",IF(PULL_FUND="N","",IFERROR(BDP($C186,FCF_FIELD)/100,"")))</f>
        <v/>
      </c>
      <c r="AM186" s="76">
        <f>IF($C186="","",IF(ISNUMBER(HSCEI!$I$41),HSCEI!$I$41/100,""))</f>
        <v/>
      </c>
      <c r="AN186" s="47">
        <f>IF($C186="","",IF(N($AM186)=0,"",IFERROR($AL186/$AM186,"")))</f>
        <v/>
      </c>
      <c r="AO186" s="33">
        <f>IF($C186="","",IF(ISNUMBER($S186)*ISNUMBER($W186)=0,"",IF($W186&gt;$S186+0.05,"rising",IF($W186&lt;$S186-0.05,"falling","stable"))))</f>
        <v/>
      </c>
      <c r="AP186" s="77">
        <f>IF($C186="","",TRIM(IF(ISNUMBER($X186)*(N($X186)&gt;$D$4)&gt;0,"payout high  ","")&amp;IF(ISNUMBER($AN186)*(N($AN186)&lt;$F$4)&gt;0,"FCF below dvd  ","")&amp;IF(ISNUMBER($AJ186)*(N($AJ186)&gt;$H$4)&gt;0,"leverage high","")))</f>
        <v/>
      </c>
      <c r="AQ186" s="78">
        <f>IF($C186="","",IF(HSCEI!$F$41="HKD","",HSCEI!$F$41))</f>
        <v/>
      </c>
    </row>
    <row r="187">
      <c r="B187" s="62" t="inlineStr">
        <is>
          <t>HSCEI</t>
        </is>
      </c>
      <c r="C187" s="6">
        <f>IF(HSCEI!$C$42="","",HSCEI!$C$42)</f>
        <v/>
      </c>
      <c r="D187" s="6">
        <f>IF($C187="","",HSCEI!$D$42)</f>
        <v/>
      </c>
      <c r="E187" s="6">
        <f>IF($C187="","",HSCEI!$E$42)</f>
        <v/>
      </c>
      <c r="F187" s="63">
        <f>IF($C187="","",SUMPRODUCT(('Dvd Calendar'!$E$1946:$AR$1946&gt;=DATE(YEAR_Y-5,1,1))*('Dvd Calendar'!$E$1946:$AR$1946&lt;=DATE(YEAR_Y-5,12,31))*'Dvd Calendar'!$E$1949:$AR$1949*(('Dvd Calendar'!$E$1951:$AR$1951=TYPE1)*(TYPE1&lt;&gt;"")+('Dvd Calendar'!$E$1951:$AR$1951=TYPE2)*(TYPE2&lt;&gt;"")+('Dvd Calendar'!$E$1951:$AR$1951=TYPE3)*(TYPE3&lt;&gt;"")+('Dvd Calendar'!$E$1951:$AR$1951=TYPE4)*(TYPE4&lt;&gt;"")+('Dvd Calendar'!$E$1951:$AR$1951=SPECIAL_LBL)*(INC_SPECIALS="Y"))))</f>
        <v/>
      </c>
      <c r="G187" s="64">
        <f>IF($C187="","",SUMPRODUCT(('Dvd Calendar'!$E$1946:$AR$1946&gt;=DATE(YEAR_Y-4,1,1))*('Dvd Calendar'!$E$1946:$AR$1946&lt;=DATE(YEAR_Y-4,12,31))*'Dvd Calendar'!$E$1949:$AR$1949*(('Dvd Calendar'!$E$1951:$AR$1951=TYPE1)*(TYPE1&lt;&gt;"")+('Dvd Calendar'!$E$1951:$AR$1951=TYPE2)*(TYPE2&lt;&gt;"")+('Dvd Calendar'!$E$1951:$AR$1951=TYPE3)*(TYPE3&lt;&gt;"")+('Dvd Calendar'!$E$1951:$AR$1951=TYPE4)*(TYPE4&lt;&gt;"")+('Dvd Calendar'!$E$1951:$AR$1951=SPECIAL_LBL)*(INC_SPECIALS="Y"))))</f>
        <v/>
      </c>
      <c r="H187" s="64">
        <f>IF($C187="","",SUMPRODUCT(('Dvd Calendar'!$E$1946:$AR$1946&gt;=DATE(YEAR_Y-3,1,1))*('Dvd Calendar'!$E$1946:$AR$1946&lt;=DATE(YEAR_Y-3,12,31))*'Dvd Calendar'!$E$1949:$AR$1949*(('Dvd Calendar'!$E$1951:$AR$1951=TYPE1)*(TYPE1&lt;&gt;"")+('Dvd Calendar'!$E$1951:$AR$1951=TYPE2)*(TYPE2&lt;&gt;"")+('Dvd Calendar'!$E$1951:$AR$1951=TYPE3)*(TYPE3&lt;&gt;"")+('Dvd Calendar'!$E$1951:$AR$1951=TYPE4)*(TYPE4&lt;&gt;"")+('Dvd Calendar'!$E$1951:$AR$1951=SPECIAL_LBL)*(INC_SPECIALS="Y"))))</f>
        <v/>
      </c>
      <c r="I187" s="64">
        <f>IF($C187="","",SUMPRODUCT(('Dvd Calendar'!$E$1946:$AR$1946&gt;=DATE(YEAR_Y-2,1,1))*('Dvd Calendar'!$E$1946:$AR$1946&lt;=DATE(YEAR_Y-2,12,31))*'Dvd Calendar'!$E$1949:$AR$1949*(('Dvd Calendar'!$E$1951:$AR$1951=TYPE1)*(TYPE1&lt;&gt;"")+('Dvd Calendar'!$E$1951:$AR$1951=TYPE2)*(TYPE2&lt;&gt;"")+('Dvd Calendar'!$E$1951:$AR$1951=TYPE3)*(TYPE3&lt;&gt;"")+('Dvd Calendar'!$E$1951:$AR$1951=TYPE4)*(TYPE4&lt;&gt;"")+('Dvd Calendar'!$E$1951:$AR$1951=SPECIAL_LBL)*(INC_SPECIALS="Y"))))</f>
        <v/>
      </c>
      <c r="J187" s="64">
        <f>IF($C187="","",SUMPRODUCT(('Dvd Calendar'!$E$1946:$AR$1946&gt;=DATE(YEAR_Y-1,1,1))*('Dvd Calendar'!$E$1946:$AR$1946&lt;=DATE(YEAR_Y-1,12,31))*'Dvd Calendar'!$E$1949:$AR$1949*(('Dvd Calendar'!$E$1951:$AR$1951=TYPE1)*(TYPE1&lt;&gt;"")+('Dvd Calendar'!$E$1951:$AR$1951=TYPE2)*(TYPE2&lt;&gt;"")+('Dvd Calendar'!$E$1951:$AR$1951=TYPE3)*(TYPE3&lt;&gt;"")+('Dvd Calendar'!$E$1951:$AR$1951=TYPE4)*(TYPE4&lt;&gt;"")+('Dvd Calendar'!$E$1951:$AR$1951=SPECIAL_LBL)*(INC_SPECIALS="Y"))))</f>
        <v/>
      </c>
      <c r="K187" s="65">
        <f>IF($C187="","",HSCEI!$J$42)</f>
        <v/>
      </c>
      <c r="L187" s="65">
        <f>IF($C187="","",HSCEI!$K$42)</f>
        <v/>
      </c>
      <c r="M187" s="41">
        <f>IF($C187="","",AVERAGE(F187:J187))</f>
        <v/>
      </c>
      <c r="N187" s="66">
        <f>IF($C187="","",IF(PULL_FUND="N","",IFERROR(BDP($C187,EPS_FIELD,YR_OVERRIDE,TEXT(YEAR_Y-5,"0")),"")))</f>
        <v/>
      </c>
      <c r="O187" s="67">
        <f>IF($C187="","",IF(PULL_FUND="N","",IFERROR(BDP($C187,EPS_FIELD,YR_OVERRIDE,TEXT(YEAR_Y-4,"0")),"")))</f>
        <v/>
      </c>
      <c r="P187" s="67">
        <f>IF($C187="","",IF(PULL_FUND="N","",IFERROR(BDP($C187,EPS_FIELD,YR_OVERRIDE,TEXT(YEAR_Y-3,"0")),"")))</f>
        <v/>
      </c>
      <c r="Q187" s="67">
        <f>IF($C187="","",IF(PULL_FUND="N","",IFERROR(BDP($C187,EPS_FIELD,YR_OVERRIDE,TEXT(YEAR_Y-2,"0")),"")))</f>
        <v/>
      </c>
      <c r="R187" s="67">
        <f>IF($C187="","",IF(PULL_FUND="N","",IFERROR(BDP($C187,EPS_FIELD,YR_OVERRIDE,TEXT(YEAR_Y-1,"0")),"")))</f>
        <v/>
      </c>
      <c r="S187" s="68">
        <f>IF($C187="","",IF(PULL_FUND="N","",IFERROR(BDP($C187,PAYOUT_FIELD,YR_OVERRIDE,TEXT(YEAR_Y-5,"0"))/100,"")))</f>
        <v/>
      </c>
      <c r="T187" s="68">
        <f>IF($C187="","",IF(PULL_FUND="N","",IFERROR(BDP($C187,PAYOUT_FIELD,YR_OVERRIDE,TEXT(YEAR_Y-4,"0"))/100,"")))</f>
        <v/>
      </c>
      <c r="U187" s="68">
        <f>IF($C187="","",IF(PULL_FUND="N","",IFERROR(BDP($C187,PAYOUT_FIELD,YR_OVERRIDE,TEXT(YEAR_Y-3,"0"))/100,"")))</f>
        <v/>
      </c>
      <c r="V187" s="68">
        <f>IF($C187="","",IF(PULL_FUND="N","",IFERROR(BDP($C187,PAYOUT_FIELD,YR_OVERRIDE,TEXT(YEAR_Y-2,"0"))/100,"")))</f>
        <v/>
      </c>
      <c r="W187" s="68">
        <f>IF($C187="","",IF(PULL_FUND="N","",IFERROR(BDP($C187,PAYOUT_FIELD,YR_OVERRIDE,TEXT(YEAR_Y-1,"0"))/100,"")))</f>
        <v/>
      </c>
      <c r="X187" s="69">
        <f>IF($C187="","",IFERROR(AVERAGE(S187:W187),""))</f>
        <v/>
      </c>
      <c r="Y187" s="66">
        <f>IF($C187="","",IF(PULL_FUND="N","",IFERROR(BDP($C187,BESTEPS_FIELD,FWD_OVERRIDE,TEXT(MOD(YEAR_Y,100),"00")&amp;"Y"),"")))</f>
        <v/>
      </c>
      <c r="Z187" s="70">
        <f>IF($C187="","",IF(PULL_FUND="N","",IFERROR(BDP($C187,BESTDPS_FIELD,FWD_OVERRIDE,TEXT(MOD(YEAR_Y,100),"00")&amp;"Y"),"")))</f>
        <v/>
      </c>
      <c r="AA187" s="71">
        <f>IF($C187="","",IF(ISNUMBER($Y187)*ISNUMBER($Z187)*($Y187&lt;&gt;0)=0,"",$Z187/$Y187))</f>
        <v/>
      </c>
      <c r="AB187" s="41">
        <f>IF($C187="","",HSCEI!$J$42+HSCEI!$L$42)</f>
        <v/>
      </c>
      <c r="AC187" s="72">
        <f>IF($C187="","",IF(PULL_FUND="N","",IF(COUNTIFS('Fund History'!$G$1066:$G$1070,"&gt;="&amp;DATE(YEAR_Y-4,1,1),'Fund History'!$G$1066:$G$1070,"&lt;="&amp;DATE(YEAR_Y-4,12,31))=0,"",SUMIFS('Fund History'!$H$1066:$H$1070,'Fund History'!$G$1066:$G$1070,"&gt;="&amp;DATE(YEAR_Y-4,1,1),'Fund History'!$G$1066:$G$1070,"&lt;="&amp;DATE(YEAR_Y-4,12,31))/100)))</f>
        <v/>
      </c>
      <c r="AD187" s="73">
        <f>IF($C187="","",IF(PULL_FUND="N","",IF(COUNTIFS('Fund History'!$G$1066:$G$1070,"&gt;="&amp;DATE(YEAR_Y-3,1,1),'Fund History'!$G$1066:$G$1070,"&lt;="&amp;DATE(YEAR_Y-3,12,31))=0,"",SUMIFS('Fund History'!$H$1066:$H$1070,'Fund History'!$G$1066:$G$1070,"&gt;="&amp;DATE(YEAR_Y-3,1,1),'Fund History'!$G$1066:$G$1070,"&lt;="&amp;DATE(YEAR_Y-3,12,31))/100)))</f>
        <v/>
      </c>
      <c r="AE187" s="73">
        <f>IF($C187="","",IF(PULL_FUND="N","",IF(COUNTIFS('Fund History'!$G$1066:$G$1070,"&gt;="&amp;DATE(YEAR_Y-2,1,1),'Fund History'!$G$1066:$G$1070,"&lt;="&amp;DATE(YEAR_Y-2,12,31))=0,"",SUMIFS('Fund History'!$H$1066:$H$1070,'Fund History'!$G$1066:$G$1070,"&gt;="&amp;DATE(YEAR_Y-2,1,1),'Fund History'!$G$1066:$G$1070,"&lt;="&amp;DATE(YEAR_Y-2,12,31))/100)))</f>
        <v/>
      </c>
      <c r="AF187" s="73">
        <f>IF($C187="","",IF(PULL_FUND="N","",IF(COUNTIFS('Fund History'!$G$1066:$G$1070,"&gt;="&amp;DATE(YEAR_Y-1,1,1),'Fund History'!$G$1066:$G$1070,"&lt;="&amp;DATE(YEAR_Y-1,12,31))=0,"",SUMIFS('Fund History'!$H$1066:$H$1070,'Fund History'!$G$1066:$G$1070,"&gt;="&amp;DATE(YEAR_Y-1,1,1),'Fund History'!$G$1066:$G$1070,"&lt;="&amp;DATE(YEAR_Y-1,12,31))/100)))</f>
        <v/>
      </c>
      <c r="AG187" s="74">
        <f>IF($C187="","",IF(N($AF187)+N(HSCEI!$I$42)=0,"",N($AF187)+N(HSCEI!$I$42)/100))</f>
        <v/>
      </c>
      <c r="AH187" s="66">
        <f>IF($C187="","",IF(PULL_FUND="N","",IF(COUNTIFS('Fund History'!$D$1066:$D$1070,"&gt;="&amp;DATE(YEAR_Y-2,1,1),'Fund History'!$D$1066:$D$1070,"&lt;="&amp;DATE(YEAR_Y-2,12,31))=0,"",SUMIFS('Fund History'!$E$1066:$E$1070,'Fund History'!$D$1066:$D$1070,"&gt;="&amp;DATE(YEAR_Y-2,1,1),'Fund History'!$D$1066:$D$1070,"&lt;="&amp;DATE(YEAR_Y-2,12,31)))))</f>
        <v/>
      </c>
      <c r="AI187" s="67">
        <f>IF($C187="","",IF(PULL_FUND="N","",IF(COUNTIFS('Fund History'!$D$1066:$D$1070,"&gt;="&amp;DATE(YEAR_Y-1,1,1),'Fund History'!$D$1066:$D$1070,"&lt;="&amp;DATE(YEAR_Y-1,12,31))=0,"",SUMIFS('Fund History'!$E$1066:$E$1070,'Fund History'!$D$1066:$D$1070,"&gt;="&amp;DATE(YEAR_Y-1,1,1),'Fund History'!$D$1066:$D$1070,"&lt;="&amp;DATE(YEAR_Y-1,12,31)))))</f>
        <v/>
      </c>
      <c r="AJ187" s="67">
        <f>IF($C187="","",IF(PULL_FUND="N","",IFERROR(BDP($C187,NDEBITDA_FIELD),"")))</f>
        <v/>
      </c>
      <c r="AK187" s="75">
        <f>IF($C187="","",IF(PULL_FUND="N","",IFERROR(BDP($C187,EBINT_FIELD),"")))</f>
        <v/>
      </c>
      <c r="AL187" s="73">
        <f>IF($C187="","",IF(PULL_FUND="N","",IFERROR(BDP($C187,FCF_FIELD)/100,"")))</f>
        <v/>
      </c>
      <c r="AM187" s="76">
        <f>IF($C187="","",IF(ISNUMBER(HSCEI!$I$42),HSCEI!$I$42/100,""))</f>
        <v/>
      </c>
      <c r="AN187" s="47">
        <f>IF($C187="","",IF(N($AM187)=0,"",IFERROR($AL187/$AM187,"")))</f>
        <v/>
      </c>
      <c r="AO187" s="33">
        <f>IF($C187="","",IF(ISNUMBER($S187)*ISNUMBER($W187)=0,"",IF($W187&gt;$S187+0.05,"rising",IF($W187&lt;$S187-0.05,"falling","stable"))))</f>
        <v/>
      </c>
      <c r="AP187" s="77">
        <f>IF($C187="","",TRIM(IF(ISNUMBER($X187)*(N($X187)&gt;$D$4)&gt;0,"payout high  ","")&amp;IF(ISNUMBER($AN187)*(N($AN187)&lt;$F$4)&gt;0,"FCF below dvd  ","")&amp;IF(ISNUMBER($AJ187)*(N($AJ187)&gt;$H$4)&gt;0,"leverage high","")))</f>
        <v/>
      </c>
      <c r="AQ187" s="78">
        <f>IF($C187="","",IF(HSCEI!$F$42="HKD","",HSCEI!$F$42))</f>
        <v/>
      </c>
    </row>
    <row r="188">
      <c r="B188" s="62" t="inlineStr">
        <is>
          <t>HSCEI</t>
        </is>
      </c>
      <c r="C188" s="6">
        <f>IF(HSCEI!$C$43="","",HSCEI!$C$43)</f>
        <v/>
      </c>
      <c r="D188" s="6">
        <f>IF($C188="","",HSCEI!$D$43)</f>
        <v/>
      </c>
      <c r="E188" s="6">
        <f>IF($C188="","",HSCEI!$E$43)</f>
        <v/>
      </c>
      <c r="F188" s="63">
        <f>IF($C188="","",SUMPRODUCT(('Dvd Calendar'!$E$1957:$AR$1957&gt;=DATE(YEAR_Y-5,1,1))*('Dvd Calendar'!$E$1957:$AR$1957&lt;=DATE(YEAR_Y-5,12,31))*'Dvd Calendar'!$E$1960:$AR$1960*(('Dvd Calendar'!$E$1962:$AR$1962=TYPE1)*(TYPE1&lt;&gt;"")+('Dvd Calendar'!$E$1962:$AR$1962=TYPE2)*(TYPE2&lt;&gt;"")+('Dvd Calendar'!$E$1962:$AR$1962=TYPE3)*(TYPE3&lt;&gt;"")+('Dvd Calendar'!$E$1962:$AR$1962=TYPE4)*(TYPE4&lt;&gt;"")+('Dvd Calendar'!$E$1962:$AR$1962=SPECIAL_LBL)*(INC_SPECIALS="Y"))))</f>
        <v/>
      </c>
      <c r="G188" s="64">
        <f>IF($C188="","",SUMPRODUCT(('Dvd Calendar'!$E$1957:$AR$1957&gt;=DATE(YEAR_Y-4,1,1))*('Dvd Calendar'!$E$1957:$AR$1957&lt;=DATE(YEAR_Y-4,12,31))*'Dvd Calendar'!$E$1960:$AR$1960*(('Dvd Calendar'!$E$1962:$AR$1962=TYPE1)*(TYPE1&lt;&gt;"")+('Dvd Calendar'!$E$1962:$AR$1962=TYPE2)*(TYPE2&lt;&gt;"")+('Dvd Calendar'!$E$1962:$AR$1962=TYPE3)*(TYPE3&lt;&gt;"")+('Dvd Calendar'!$E$1962:$AR$1962=TYPE4)*(TYPE4&lt;&gt;"")+('Dvd Calendar'!$E$1962:$AR$1962=SPECIAL_LBL)*(INC_SPECIALS="Y"))))</f>
        <v/>
      </c>
      <c r="H188" s="64">
        <f>IF($C188="","",SUMPRODUCT(('Dvd Calendar'!$E$1957:$AR$1957&gt;=DATE(YEAR_Y-3,1,1))*('Dvd Calendar'!$E$1957:$AR$1957&lt;=DATE(YEAR_Y-3,12,31))*'Dvd Calendar'!$E$1960:$AR$1960*(('Dvd Calendar'!$E$1962:$AR$1962=TYPE1)*(TYPE1&lt;&gt;"")+('Dvd Calendar'!$E$1962:$AR$1962=TYPE2)*(TYPE2&lt;&gt;"")+('Dvd Calendar'!$E$1962:$AR$1962=TYPE3)*(TYPE3&lt;&gt;"")+('Dvd Calendar'!$E$1962:$AR$1962=TYPE4)*(TYPE4&lt;&gt;"")+('Dvd Calendar'!$E$1962:$AR$1962=SPECIAL_LBL)*(INC_SPECIALS="Y"))))</f>
        <v/>
      </c>
      <c r="I188" s="64">
        <f>IF($C188="","",SUMPRODUCT(('Dvd Calendar'!$E$1957:$AR$1957&gt;=DATE(YEAR_Y-2,1,1))*('Dvd Calendar'!$E$1957:$AR$1957&lt;=DATE(YEAR_Y-2,12,31))*'Dvd Calendar'!$E$1960:$AR$1960*(('Dvd Calendar'!$E$1962:$AR$1962=TYPE1)*(TYPE1&lt;&gt;"")+('Dvd Calendar'!$E$1962:$AR$1962=TYPE2)*(TYPE2&lt;&gt;"")+('Dvd Calendar'!$E$1962:$AR$1962=TYPE3)*(TYPE3&lt;&gt;"")+('Dvd Calendar'!$E$1962:$AR$1962=TYPE4)*(TYPE4&lt;&gt;"")+('Dvd Calendar'!$E$1962:$AR$1962=SPECIAL_LBL)*(INC_SPECIALS="Y"))))</f>
        <v/>
      </c>
      <c r="J188" s="64">
        <f>IF($C188="","",SUMPRODUCT(('Dvd Calendar'!$E$1957:$AR$1957&gt;=DATE(YEAR_Y-1,1,1))*('Dvd Calendar'!$E$1957:$AR$1957&lt;=DATE(YEAR_Y-1,12,31))*'Dvd Calendar'!$E$1960:$AR$1960*(('Dvd Calendar'!$E$1962:$AR$1962=TYPE1)*(TYPE1&lt;&gt;"")+('Dvd Calendar'!$E$1962:$AR$1962=TYPE2)*(TYPE2&lt;&gt;"")+('Dvd Calendar'!$E$1962:$AR$1962=TYPE3)*(TYPE3&lt;&gt;"")+('Dvd Calendar'!$E$1962:$AR$1962=TYPE4)*(TYPE4&lt;&gt;"")+('Dvd Calendar'!$E$1962:$AR$1962=SPECIAL_LBL)*(INC_SPECIALS="Y"))))</f>
        <v/>
      </c>
      <c r="K188" s="65">
        <f>IF($C188="","",HSCEI!$J$43)</f>
        <v/>
      </c>
      <c r="L188" s="65">
        <f>IF($C188="","",HSCEI!$K$43)</f>
        <v/>
      </c>
      <c r="M188" s="41">
        <f>IF($C188="","",AVERAGE(F188:J188))</f>
        <v/>
      </c>
      <c r="N188" s="66">
        <f>IF($C188="","",IF(PULL_FUND="N","",IFERROR(BDP($C188,EPS_FIELD,YR_OVERRIDE,TEXT(YEAR_Y-5,"0")),"")))</f>
        <v/>
      </c>
      <c r="O188" s="67">
        <f>IF($C188="","",IF(PULL_FUND="N","",IFERROR(BDP($C188,EPS_FIELD,YR_OVERRIDE,TEXT(YEAR_Y-4,"0")),"")))</f>
        <v/>
      </c>
      <c r="P188" s="67">
        <f>IF($C188="","",IF(PULL_FUND="N","",IFERROR(BDP($C188,EPS_FIELD,YR_OVERRIDE,TEXT(YEAR_Y-3,"0")),"")))</f>
        <v/>
      </c>
      <c r="Q188" s="67">
        <f>IF($C188="","",IF(PULL_FUND="N","",IFERROR(BDP($C188,EPS_FIELD,YR_OVERRIDE,TEXT(YEAR_Y-2,"0")),"")))</f>
        <v/>
      </c>
      <c r="R188" s="67">
        <f>IF($C188="","",IF(PULL_FUND="N","",IFERROR(BDP($C188,EPS_FIELD,YR_OVERRIDE,TEXT(YEAR_Y-1,"0")),"")))</f>
        <v/>
      </c>
      <c r="S188" s="68">
        <f>IF($C188="","",IF(PULL_FUND="N","",IFERROR(BDP($C188,PAYOUT_FIELD,YR_OVERRIDE,TEXT(YEAR_Y-5,"0"))/100,"")))</f>
        <v/>
      </c>
      <c r="T188" s="68">
        <f>IF($C188="","",IF(PULL_FUND="N","",IFERROR(BDP($C188,PAYOUT_FIELD,YR_OVERRIDE,TEXT(YEAR_Y-4,"0"))/100,"")))</f>
        <v/>
      </c>
      <c r="U188" s="68">
        <f>IF($C188="","",IF(PULL_FUND="N","",IFERROR(BDP($C188,PAYOUT_FIELD,YR_OVERRIDE,TEXT(YEAR_Y-3,"0"))/100,"")))</f>
        <v/>
      </c>
      <c r="V188" s="68">
        <f>IF($C188="","",IF(PULL_FUND="N","",IFERROR(BDP($C188,PAYOUT_FIELD,YR_OVERRIDE,TEXT(YEAR_Y-2,"0"))/100,"")))</f>
        <v/>
      </c>
      <c r="W188" s="68">
        <f>IF($C188="","",IF(PULL_FUND="N","",IFERROR(BDP($C188,PAYOUT_FIELD,YR_OVERRIDE,TEXT(YEAR_Y-1,"0"))/100,"")))</f>
        <v/>
      </c>
      <c r="X188" s="69">
        <f>IF($C188="","",IFERROR(AVERAGE(S188:W188),""))</f>
        <v/>
      </c>
      <c r="Y188" s="66">
        <f>IF($C188="","",IF(PULL_FUND="N","",IFERROR(BDP($C188,BESTEPS_FIELD,FWD_OVERRIDE,TEXT(MOD(YEAR_Y,100),"00")&amp;"Y"),"")))</f>
        <v/>
      </c>
      <c r="Z188" s="70">
        <f>IF($C188="","",IF(PULL_FUND="N","",IFERROR(BDP($C188,BESTDPS_FIELD,FWD_OVERRIDE,TEXT(MOD(YEAR_Y,100),"00")&amp;"Y"),"")))</f>
        <v/>
      </c>
      <c r="AA188" s="71">
        <f>IF($C188="","",IF(ISNUMBER($Y188)*ISNUMBER($Z188)*($Y188&lt;&gt;0)=0,"",$Z188/$Y188))</f>
        <v/>
      </c>
      <c r="AB188" s="41">
        <f>IF($C188="","",HSCEI!$J$43+HSCEI!$L$43)</f>
        <v/>
      </c>
      <c r="AC188" s="72">
        <f>IF($C188="","",IF(PULL_FUND="N","",IF(COUNTIFS('Fund History'!$G$1072:$G$1076,"&gt;="&amp;DATE(YEAR_Y-4,1,1),'Fund History'!$G$1072:$G$1076,"&lt;="&amp;DATE(YEAR_Y-4,12,31))=0,"",SUMIFS('Fund History'!$H$1072:$H$1076,'Fund History'!$G$1072:$G$1076,"&gt;="&amp;DATE(YEAR_Y-4,1,1),'Fund History'!$G$1072:$G$1076,"&lt;="&amp;DATE(YEAR_Y-4,12,31))/100)))</f>
        <v/>
      </c>
      <c r="AD188" s="73">
        <f>IF($C188="","",IF(PULL_FUND="N","",IF(COUNTIFS('Fund History'!$G$1072:$G$1076,"&gt;="&amp;DATE(YEAR_Y-3,1,1),'Fund History'!$G$1072:$G$1076,"&lt;="&amp;DATE(YEAR_Y-3,12,31))=0,"",SUMIFS('Fund History'!$H$1072:$H$1076,'Fund History'!$G$1072:$G$1076,"&gt;="&amp;DATE(YEAR_Y-3,1,1),'Fund History'!$G$1072:$G$1076,"&lt;="&amp;DATE(YEAR_Y-3,12,31))/100)))</f>
        <v/>
      </c>
      <c r="AE188" s="73">
        <f>IF($C188="","",IF(PULL_FUND="N","",IF(COUNTIFS('Fund History'!$G$1072:$G$1076,"&gt;="&amp;DATE(YEAR_Y-2,1,1),'Fund History'!$G$1072:$G$1076,"&lt;="&amp;DATE(YEAR_Y-2,12,31))=0,"",SUMIFS('Fund History'!$H$1072:$H$1076,'Fund History'!$G$1072:$G$1076,"&gt;="&amp;DATE(YEAR_Y-2,1,1),'Fund History'!$G$1072:$G$1076,"&lt;="&amp;DATE(YEAR_Y-2,12,31))/100)))</f>
        <v/>
      </c>
      <c r="AF188" s="73">
        <f>IF($C188="","",IF(PULL_FUND="N","",IF(COUNTIFS('Fund History'!$G$1072:$G$1076,"&gt;="&amp;DATE(YEAR_Y-1,1,1),'Fund History'!$G$1072:$G$1076,"&lt;="&amp;DATE(YEAR_Y-1,12,31))=0,"",SUMIFS('Fund History'!$H$1072:$H$1076,'Fund History'!$G$1072:$G$1076,"&gt;="&amp;DATE(YEAR_Y-1,1,1),'Fund History'!$G$1072:$G$1076,"&lt;="&amp;DATE(YEAR_Y-1,12,31))/100)))</f>
        <v/>
      </c>
      <c r="AG188" s="74">
        <f>IF($C188="","",IF(N($AF188)+N(HSCEI!$I$43)=0,"",N($AF188)+N(HSCEI!$I$43)/100))</f>
        <v/>
      </c>
      <c r="AH188" s="66">
        <f>IF($C188="","",IF(PULL_FUND="N","",IF(COUNTIFS('Fund History'!$D$1072:$D$1076,"&gt;="&amp;DATE(YEAR_Y-2,1,1),'Fund History'!$D$1072:$D$1076,"&lt;="&amp;DATE(YEAR_Y-2,12,31))=0,"",SUMIFS('Fund History'!$E$1072:$E$1076,'Fund History'!$D$1072:$D$1076,"&gt;="&amp;DATE(YEAR_Y-2,1,1),'Fund History'!$D$1072:$D$1076,"&lt;="&amp;DATE(YEAR_Y-2,12,31)))))</f>
        <v/>
      </c>
      <c r="AI188" s="67">
        <f>IF($C188="","",IF(PULL_FUND="N","",IF(COUNTIFS('Fund History'!$D$1072:$D$1076,"&gt;="&amp;DATE(YEAR_Y-1,1,1),'Fund History'!$D$1072:$D$1076,"&lt;="&amp;DATE(YEAR_Y-1,12,31))=0,"",SUMIFS('Fund History'!$E$1072:$E$1076,'Fund History'!$D$1072:$D$1076,"&gt;="&amp;DATE(YEAR_Y-1,1,1),'Fund History'!$D$1072:$D$1076,"&lt;="&amp;DATE(YEAR_Y-1,12,31)))))</f>
        <v/>
      </c>
      <c r="AJ188" s="67">
        <f>IF($C188="","",IF(PULL_FUND="N","",IFERROR(BDP($C188,NDEBITDA_FIELD),"")))</f>
        <v/>
      </c>
      <c r="AK188" s="75">
        <f>IF($C188="","",IF(PULL_FUND="N","",IFERROR(BDP($C188,EBINT_FIELD),"")))</f>
        <v/>
      </c>
      <c r="AL188" s="73">
        <f>IF($C188="","",IF(PULL_FUND="N","",IFERROR(BDP($C188,FCF_FIELD)/100,"")))</f>
        <v/>
      </c>
      <c r="AM188" s="76">
        <f>IF($C188="","",IF(ISNUMBER(HSCEI!$I$43),HSCEI!$I$43/100,""))</f>
        <v/>
      </c>
      <c r="AN188" s="47">
        <f>IF($C188="","",IF(N($AM188)=0,"",IFERROR($AL188/$AM188,"")))</f>
        <v/>
      </c>
      <c r="AO188" s="33">
        <f>IF($C188="","",IF(ISNUMBER($S188)*ISNUMBER($W188)=0,"",IF($W188&gt;$S188+0.05,"rising",IF($W188&lt;$S188-0.05,"falling","stable"))))</f>
        <v/>
      </c>
      <c r="AP188" s="77">
        <f>IF($C188="","",TRIM(IF(ISNUMBER($X188)*(N($X188)&gt;$D$4)&gt;0,"payout high  ","")&amp;IF(ISNUMBER($AN188)*(N($AN188)&lt;$F$4)&gt;0,"FCF below dvd  ","")&amp;IF(ISNUMBER($AJ188)*(N($AJ188)&gt;$H$4)&gt;0,"leverage high","")))</f>
        <v/>
      </c>
      <c r="AQ188" s="78">
        <f>IF($C188="","",IF(HSCEI!$F$43="HKD","",HSCEI!$F$43))</f>
        <v/>
      </c>
    </row>
    <row r="189">
      <c r="B189" s="62" t="inlineStr">
        <is>
          <t>HSCEI</t>
        </is>
      </c>
      <c r="C189" s="6">
        <f>IF(HSCEI!$C$44="","",HSCEI!$C$44)</f>
        <v/>
      </c>
      <c r="D189" s="6">
        <f>IF($C189="","",HSCEI!$D$44)</f>
        <v/>
      </c>
      <c r="E189" s="6">
        <f>IF($C189="","",HSCEI!$E$44)</f>
        <v/>
      </c>
      <c r="F189" s="63">
        <f>IF($C189="","",SUMPRODUCT(('Dvd Calendar'!$E$1968:$AR$1968&gt;=DATE(YEAR_Y-5,1,1))*('Dvd Calendar'!$E$1968:$AR$1968&lt;=DATE(YEAR_Y-5,12,31))*'Dvd Calendar'!$E$1971:$AR$1971*(('Dvd Calendar'!$E$1973:$AR$1973=TYPE1)*(TYPE1&lt;&gt;"")+('Dvd Calendar'!$E$1973:$AR$1973=TYPE2)*(TYPE2&lt;&gt;"")+('Dvd Calendar'!$E$1973:$AR$1973=TYPE3)*(TYPE3&lt;&gt;"")+('Dvd Calendar'!$E$1973:$AR$1973=TYPE4)*(TYPE4&lt;&gt;"")+('Dvd Calendar'!$E$1973:$AR$1973=SPECIAL_LBL)*(INC_SPECIALS="Y"))))</f>
        <v/>
      </c>
      <c r="G189" s="64">
        <f>IF($C189="","",SUMPRODUCT(('Dvd Calendar'!$E$1968:$AR$1968&gt;=DATE(YEAR_Y-4,1,1))*('Dvd Calendar'!$E$1968:$AR$1968&lt;=DATE(YEAR_Y-4,12,31))*'Dvd Calendar'!$E$1971:$AR$1971*(('Dvd Calendar'!$E$1973:$AR$1973=TYPE1)*(TYPE1&lt;&gt;"")+('Dvd Calendar'!$E$1973:$AR$1973=TYPE2)*(TYPE2&lt;&gt;"")+('Dvd Calendar'!$E$1973:$AR$1973=TYPE3)*(TYPE3&lt;&gt;"")+('Dvd Calendar'!$E$1973:$AR$1973=TYPE4)*(TYPE4&lt;&gt;"")+('Dvd Calendar'!$E$1973:$AR$1973=SPECIAL_LBL)*(INC_SPECIALS="Y"))))</f>
        <v/>
      </c>
      <c r="H189" s="64">
        <f>IF($C189="","",SUMPRODUCT(('Dvd Calendar'!$E$1968:$AR$1968&gt;=DATE(YEAR_Y-3,1,1))*('Dvd Calendar'!$E$1968:$AR$1968&lt;=DATE(YEAR_Y-3,12,31))*'Dvd Calendar'!$E$1971:$AR$1971*(('Dvd Calendar'!$E$1973:$AR$1973=TYPE1)*(TYPE1&lt;&gt;"")+('Dvd Calendar'!$E$1973:$AR$1973=TYPE2)*(TYPE2&lt;&gt;"")+('Dvd Calendar'!$E$1973:$AR$1973=TYPE3)*(TYPE3&lt;&gt;"")+('Dvd Calendar'!$E$1973:$AR$1973=TYPE4)*(TYPE4&lt;&gt;"")+('Dvd Calendar'!$E$1973:$AR$1973=SPECIAL_LBL)*(INC_SPECIALS="Y"))))</f>
        <v/>
      </c>
      <c r="I189" s="64">
        <f>IF($C189="","",SUMPRODUCT(('Dvd Calendar'!$E$1968:$AR$1968&gt;=DATE(YEAR_Y-2,1,1))*('Dvd Calendar'!$E$1968:$AR$1968&lt;=DATE(YEAR_Y-2,12,31))*'Dvd Calendar'!$E$1971:$AR$1971*(('Dvd Calendar'!$E$1973:$AR$1973=TYPE1)*(TYPE1&lt;&gt;"")+('Dvd Calendar'!$E$1973:$AR$1973=TYPE2)*(TYPE2&lt;&gt;"")+('Dvd Calendar'!$E$1973:$AR$1973=TYPE3)*(TYPE3&lt;&gt;"")+('Dvd Calendar'!$E$1973:$AR$1973=TYPE4)*(TYPE4&lt;&gt;"")+('Dvd Calendar'!$E$1973:$AR$1973=SPECIAL_LBL)*(INC_SPECIALS="Y"))))</f>
        <v/>
      </c>
      <c r="J189" s="64">
        <f>IF($C189="","",SUMPRODUCT(('Dvd Calendar'!$E$1968:$AR$1968&gt;=DATE(YEAR_Y-1,1,1))*('Dvd Calendar'!$E$1968:$AR$1968&lt;=DATE(YEAR_Y-1,12,31))*'Dvd Calendar'!$E$1971:$AR$1971*(('Dvd Calendar'!$E$1973:$AR$1973=TYPE1)*(TYPE1&lt;&gt;"")+('Dvd Calendar'!$E$1973:$AR$1973=TYPE2)*(TYPE2&lt;&gt;"")+('Dvd Calendar'!$E$1973:$AR$1973=TYPE3)*(TYPE3&lt;&gt;"")+('Dvd Calendar'!$E$1973:$AR$1973=TYPE4)*(TYPE4&lt;&gt;"")+('Dvd Calendar'!$E$1973:$AR$1973=SPECIAL_LBL)*(INC_SPECIALS="Y"))))</f>
        <v/>
      </c>
      <c r="K189" s="65">
        <f>IF($C189="","",HSCEI!$J$44)</f>
        <v/>
      </c>
      <c r="L189" s="65">
        <f>IF($C189="","",HSCEI!$K$44)</f>
        <v/>
      </c>
      <c r="M189" s="41">
        <f>IF($C189="","",AVERAGE(F189:J189))</f>
        <v/>
      </c>
      <c r="N189" s="66">
        <f>IF($C189="","",IF(PULL_FUND="N","",IFERROR(BDP($C189,EPS_FIELD,YR_OVERRIDE,TEXT(YEAR_Y-5,"0")),"")))</f>
        <v/>
      </c>
      <c r="O189" s="67">
        <f>IF($C189="","",IF(PULL_FUND="N","",IFERROR(BDP($C189,EPS_FIELD,YR_OVERRIDE,TEXT(YEAR_Y-4,"0")),"")))</f>
        <v/>
      </c>
      <c r="P189" s="67">
        <f>IF($C189="","",IF(PULL_FUND="N","",IFERROR(BDP($C189,EPS_FIELD,YR_OVERRIDE,TEXT(YEAR_Y-3,"0")),"")))</f>
        <v/>
      </c>
      <c r="Q189" s="67">
        <f>IF($C189="","",IF(PULL_FUND="N","",IFERROR(BDP($C189,EPS_FIELD,YR_OVERRIDE,TEXT(YEAR_Y-2,"0")),"")))</f>
        <v/>
      </c>
      <c r="R189" s="67">
        <f>IF($C189="","",IF(PULL_FUND="N","",IFERROR(BDP($C189,EPS_FIELD,YR_OVERRIDE,TEXT(YEAR_Y-1,"0")),"")))</f>
        <v/>
      </c>
      <c r="S189" s="68">
        <f>IF($C189="","",IF(PULL_FUND="N","",IFERROR(BDP($C189,PAYOUT_FIELD,YR_OVERRIDE,TEXT(YEAR_Y-5,"0"))/100,"")))</f>
        <v/>
      </c>
      <c r="T189" s="68">
        <f>IF($C189="","",IF(PULL_FUND="N","",IFERROR(BDP($C189,PAYOUT_FIELD,YR_OVERRIDE,TEXT(YEAR_Y-4,"0"))/100,"")))</f>
        <v/>
      </c>
      <c r="U189" s="68">
        <f>IF($C189="","",IF(PULL_FUND="N","",IFERROR(BDP($C189,PAYOUT_FIELD,YR_OVERRIDE,TEXT(YEAR_Y-3,"0"))/100,"")))</f>
        <v/>
      </c>
      <c r="V189" s="68">
        <f>IF($C189="","",IF(PULL_FUND="N","",IFERROR(BDP($C189,PAYOUT_FIELD,YR_OVERRIDE,TEXT(YEAR_Y-2,"0"))/100,"")))</f>
        <v/>
      </c>
      <c r="W189" s="68">
        <f>IF($C189="","",IF(PULL_FUND="N","",IFERROR(BDP($C189,PAYOUT_FIELD,YR_OVERRIDE,TEXT(YEAR_Y-1,"0"))/100,"")))</f>
        <v/>
      </c>
      <c r="X189" s="69">
        <f>IF($C189="","",IFERROR(AVERAGE(S189:W189),""))</f>
        <v/>
      </c>
      <c r="Y189" s="66">
        <f>IF($C189="","",IF(PULL_FUND="N","",IFERROR(BDP($C189,BESTEPS_FIELD,FWD_OVERRIDE,TEXT(MOD(YEAR_Y,100),"00")&amp;"Y"),"")))</f>
        <v/>
      </c>
      <c r="Z189" s="70">
        <f>IF($C189="","",IF(PULL_FUND="N","",IFERROR(BDP($C189,BESTDPS_FIELD,FWD_OVERRIDE,TEXT(MOD(YEAR_Y,100),"00")&amp;"Y"),"")))</f>
        <v/>
      </c>
      <c r="AA189" s="71">
        <f>IF($C189="","",IF(ISNUMBER($Y189)*ISNUMBER($Z189)*($Y189&lt;&gt;0)=0,"",$Z189/$Y189))</f>
        <v/>
      </c>
      <c r="AB189" s="41">
        <f>IF($C189="","",HSCEI!$J$44+HSCEI!$L$44)</f>
        <v/>
      </c>
      <c r="AC189" s="72">
        <f>IF($C189="","",IF(PULL_FUND="N","",IF(COUNTIFS('Fund History'!$G$1078:$G$1082,"&gt;="&amp;DATE(YEAR_Y-4,1,1),'Fund History'!$G$1078:$G$1082,"&lt;="&amp;DATE(YEAR_Y-4,12,31))=0,"",SUMIFS('Fund History'!$H$1078:$H$1082,'Fund History'!$G$1078:$G$1082,"&gt;="&amp;DATE(YEAR_Y-4,1,1),'Fund History'!$G$1078:$G$1082,"&lt;="&amp;DATE(YEAR_Y-4,12,31))/100)))</f>
        <v/>
      </c>
      <c r="AD189" s="73">
        <f>IF($C189="","",IF(PULL_FUND="N","",IF(COUNTIFS('Fund History'!$G$1078:$G$1082,"&gt;="&amp;DATE(YEAR_Y-3,1,1),'Fund History'!$G$1078:$G$1082,"&lt;="&amp;DATE(YEAR_Y-3,12,31))=0,"",SUMIFS('Fund History'!$H$1078:$H$1082,'Fund History'!$G$1078:$G$1082,"&gt;="&amp;DATE(YEAR_Y-3,1,1),'Fund History'!$G$1078:$G$1082,"&lt;="&amp;DATE(YEAR_Y-3,12,31))/100)))</f>
        <v/>
      </c>
      <c r="AE189" s="73">
        <f>IF($C189="","",IF(PULL_FUND="N","",IF(COUNTIFS('Fund History'!$G$1078:$G$1082,"&gt;="&amp;DATE(YEAR_Y-2,1,1),'Fund History'!$G$1078:$G$1082,"&lt;="&amp;DATE(YEAR_Y-2,12,31))=0,"",SUMIFS('Fund History'!$H$1078:$H$1082,'Fund History'!$G$1078:$G$1082,"&gt;="&amp;DATE(YEAR_Y-2,1,1),'Fund History'!$G$1078:$G$1082,"&lt;="&amp;DATE(YEAR_Y-2,12,31))/100)))</f>
        <v/>
      </c>
      <c r="AF189" s="73">
        <f>IF($C189="","",IF(PULL_FUND="N","",IF(COUNTIFS('Fund History'!$G$1078:$G$1082,"&gt;="&amp;DATE(YEAR_Y-1,1,1),'Fund History'!$G$1078:$G$1082,"&lt;="&amp;DATE(YEAR_Y-1,12,31))=0,"",SUMIFS('Fund History'!$H$1078:$H$1082,'Fund History'!$G$1078:$G$1082,"&gt;="&amp;DATE(YEAR_Y-1,1,1),'Fund History'!$G$1078:$G$1082,"&lt;="&amp;DATE(YEAR_Y-1,12,31))/100)))</f>
        <v/>
      </c>
      <c r="AG189" s="74">
        <f>IF($C189="","",IF(N($AF189)+N(HSCEI!$I$44)=0,"",N($AF189)+N(HSCEI!$I$44)/100))</f>
        <v/>
      </c>
      <c r="AH189" s="66">
        <f>IF($C189="","",IF(PULL_FUND="N","",IF(COUNTIFS('Fund History'!$D$1078:$D$1082,"&gt;="&amp;DATE(YEAR_Y-2,1,1),'Fund History'!$D$1078:$D$1082,"&lt;="&amp;DATE(YEAR_Y-2,12,31))=0,"",SUMIFS('Fund History'!$E$1078:$E$1082,'Fund History'!$D$1078:$D$1082,"&gt;="&amp;DATE(YEAR_Y-2,1,1),'Fund History'!$D$1078:$D$1082,"&lt;="&amp;DATE(YEAR_Y-2,12,31)))))</f>
        <v/>
      </c>
      <c r="AI189" s="67">
        <f>IF($C189="","",IF(PULL_FUND="N","",IF(COUNTIFS('Fund History'!$D$1078:$D$1082,"&gt;="&amp;DATE(YEAR_Y-1,1,1),'Fund History'!$D$1078:$D$1082,"&lt;="&amp;DATE(YEAR_Y-1,12,31))=0,"",SUMIFS('Fund History'!$E$1078:$E$1082,'Fund History'!$D$1078:$D$1082,"&gt;="&amp;DATE(YEAR_Y-1,1,1),'Fund History'!$D$1078:$D$1082,"&lt;="&amp;DATE(YEAR_Y-1,12,31)))))</f>
        <v/>
      </c>
      <c r="AJ189" s="67">
        <f>IF($C189="","",IF(PULL_FUND="N","",IFERROR(BDP($C189,NDEBITDA_FIELD),"")))</f>
        <v/>
      </c>
      <c r="AK189" s="75">
        <f>IF($C189="","",IF(PULL_FUND="N","",IFERROR(BDP($C189,EBINT_FIELD),"")))</f>
        <v/>
      </c>
      <c r="AL189" s="73">
        <f>IF($C189="","",IF(PULL_FUND="N","",IFERROR(BDP($C189,FCF_FIELD)/100,"")))</f>
        <v/>
      </c>
      <c r="AM189" s="76">
        <f>IF($C189="","",IF(ISNUMBER(HSCEI!$I$44),HSCEI!$I$44/100,""))</f>
        <v/>
      </c>
      <c r="AN189" s="47">
        <f>IF($C189="","",IF(N($AM189)=0,"",IFERROR($AL189/$AM189,"")))</f>
        <v/>
      </c>
      <c r="AO189" s="33">
        <f>IF($C189="","",IF(ISNUMBER($S189)*ISNUMBER($W189)=0,"",IF($W189&gt;$S189+0.05,"rising",IF($W189&lt;$S189-0.05,"falling","stable"))))</f>
        <v/>
      </c>
      <c r="AP189" s="77">
        <f>IF($C189="","",TRIM(IF(ISNUMBER($X189)*(N($X189)&gt;$D$4)&gt;0,"payout high  ","")&amp;IF(ISNUMBER($AN189)*(N($AN189)&lt;$F$4)&gt;0,"FCF below dvd  ","")&amp;IF(ISNUMBER($AJ189)*(N($AJ189)&gt;$H$4)&gt;0,"leverage high","")))</f>
        <v/>
      </c>
      <c r="AQ189" s="78">
        <f>IF($C189="","",IF(HSCEI!$F$44="HKD","",HSCEI!$F$44))</f>
        <v/>
      </c>
    </row>
    <row r="190">
      <c r="B190" s="62" t="inlineStr">
        <is>
          <t>HSCEI</t>
        </is>
      </c>
      <c r="C190" s="6">
        <f>IF(HSCEI!$C$45="","",HSCEI!$C$45)</f>
        <v/>
      </c>
      <c r="D190" s="6">
        <f>IF($C190="","",HSCEI!$D$45)</f>
        <v/>
      </c>
      <c r="E190" s="6">
        <f>IF($C190="","",HSCEI!$E$45)</f>
        <v/>
      </c>
      <c r="F190" s="63">
        <f>IF($C190="","",SUMPRODUCT(('Dvd Calendar'!$E$1979:$AR$1979&gt;=DATE(YEAR_Y-5,1,1))*('Dvd Calendar'!$E$1979:$AR$1979&lt;=DATE(YEAR_Y-5,12,31))*'Dvd Calendar'!$E$1982:$AR$1982*(('Dvd Calendar'!$E$1984:$AR$1984=TYPE1)*(TYPE1&lt;&gt;"")+('Dvd Calendar'!$E$1984:$AR$1984=TYPE2)*(TYPE2&lt;&gt;"")+('Dvd Calendar'!$E$1984:$AR$1984=TYPE3)*(TYPE3&lt;&gt;"")+('Dvd Calendar'!$E$1984:$AR$1984=TYPE4)*(TYPE4&lt;&gt;"")+('Dvd Calendar'!$E$1984:$AR$1984=SPECIAL_LBL)*(INC_SPECIALS="Y"))))</f>
        <v/>
      </c>
      <c r="G190" s="64">
        <f>IF($C190="","",SUMPRODUCT(('Dvd Calendar'!$E$1979:$AR$1979&gt;=DATE(YEAR_Y-4,1,1))*('Dvd Calendar'!$E$1979:$AR$1979&lt;=DATE(YEAR_Y-4,12,31))*'Dvd Calendar'!$E$1982:$AR$1982*(('Dvd Calendar'!$E$1984:$AR$1984=TYPE1)*(TYPE1&lt;&gt;"")+('Dvd Calendar'!$E$1984:$AR$1984=TYPE2)*(TYPE2&lt;&gt;"")+('Dvd Calendar'!$E$1984:$AR$1984=TYPE3)*(TYPE3&lt;&gt;"")+('Dvd Calendar'!$E$1984:$AR$1984=TYPE4)*(TYPE4&lt;&gt;"")+('Dvd Calendar'!$E$1984:$AR$1984=SPECIAL_LBL)*(INC_SPECIALS="Y"))))</f>
        <v/>
      </c>
      <c r="H190" s="64">
        <f>IF($C190="","",SUMPRODUCT(('Dvd Calendar'!$E$1979:$AR$1979&gt;=DATE(YEAR_Y-3,1,1))*('Dvd Calendar'!$E$1979:$AR$1979&lt;=DATE(YEAR_Y-3,12,31))*'Dvd Calendar'!$E$1982:$AR$1982*(('Dvd Calendar'!$E$1984:$AR$1984=TYPE1)*(TYPE1&lt;&gt;"")+('Dvd Calendar'!$E$1984:$AR$1984=TYPE2)*(TYPE2&lt;&gt;"")+('Dvd Calendar'!$E$1984:$AR$1984=TYPE3)*(TYPE3&lt;&gt;"")+('Dvd Calendar'!$E$1984:$AR$1984=TYPE4)*(TYPE4&lt;&gt;"")+('Dvd Calendar'!$E$1984:$AR$1984=SPECIAL_LBL)*(INC_SPECIALS="Y"))))</f>
        <v/>
      </c>
      <c r="I190" s="64">
        <f>IF($C190="","",SUMPRODUCT(('Dvd Calendar'!$E$1979:$AR$1979&gt;=DATE(YEAR_Y-2,1,1))*('Dvd Calendar'!$E$1979:$AR$1979&lt;=DATE(YEAR_Y-2,12,31))*'Dvd Calendar'!$E$1982:$AR$1982*(('Dvd Calendar'!$E$1984:$AR$1984=TYPE1)*(TYPE1&lt;&gt;"")+('Dvd Calendar'!$E$1984:$AR$1984=TYPE2)*(TYPE2&lt;&gt;"")+('Dvd Calendar'!$E$1984:$AR$1984=TYPE3)*(TYPE3&lt;&gt;"")+('Dvd Calendar'!$E$1984:$AR$1984=TYPE4)*(TYPE4&lt;&gt;"")+('Dvd Calendar'!$E$1984:$AR$1984=SPECIAL_LBL)*(INC_SPECIALS="Y"))))</f>
        <v/>
      </c>
      <c r="J190" s="64">
        <f>IF($C190="","",SUMPRODUCT(('Dvd Calendar'!$E$1979:$AR$1979&gt;=DATE(YEAR_Y-1,1,1))*('Dvd Calendar'!$E$1979:$AR$1979&lt;=DATE(YEAR_Y-1,12,31))*'Dvd Calendar'!$E$1982:$AR$1982*(('Dvd Calendar'!$E$1984:$AR$1984=TYPE1)*(TYPE1&lt;&gt;"")+('Dvd Calendar'!$E$1984:$AR$1984=TYPE2)*(TYPE2&lt;&gt;"")+('Dvd Calendar'!$E$1984:$AR$1984=TYPE3)*(TYPE3&lt;&gt;"")+('Dvd Calendar'!$E$1984:$AR$1984=TYPE4)*(TYPE4&lt;&gt;"")+('Dvd Calendar'!$E$1984:$AR$1984=SPECIAL_LBL)*(INC_SPECIALS="Y"))))</f>
        <v/>
      </c>
      <c r="K190" s="65">
        <f>IF($C190="","",HSCEI!$J$45)</f>
        <v/>
      </c>
      <c r="L190" s="65">
        <f>IF($C190="","",HSCEI!$K$45)</f>
        <v/>
      </c>
      <c r="M190" s="41">
        <f>IF($C190="","",AVERAGE(F190:J190))</f>
        <v/>
      </c>
      <c r="N190" s="66">
        <f>IF($C190="","",IF(PULL_FUND="N","",IFERROR(BDP($C190,EPS_FIELD,YR_OVERRIDE,TEXT(YEAR_Y-5,"0")),"")))</f>
        <v/>
      </c>
      <c r="O190" s="67">
        <f>IF($C190="","",IF(PULL_FUND="N","",IFERROR(BDP($C190,EPS_FIELD,YR_OVERRIDE,TEXT(YEAR_Y-4,"0")),"")))</f>
        <v/>
      </c>
      <c r="P190" s="67">
        <f>IF($C190="","",IF(PULL_FUND="N","",IFERROR(BDP($C190,EPS_FIELD,YR_OVERRIDE,TEXT(YEAR_Y-3,"0")),"")))</f>
        <v/>
      </c>
      <c r="Q190" s="67">
        <f>IF($C190="","",IF(PULL_FUND="N","",IFERROR(BDP($C190,EPS_FIELD,YR_OVERRIDE,TEXT(YEAR_Y-2,"0")),"")))</f>
        <v/>
      </c>
      <c r="R190" s="67">
        <f>IF($C190="","",IF(PULL_FUND="N","",IFERROR(BDP($C190,EPS_FIELD,YR_OVERRIDE,TEXT(YEAR_Y-1,"0")),"")))</f>
        <v/>
      </c>
      <c r="S190" s="68">
        <f>IF($C190="","",IF(PULL_FUND="N","",IFERROR(BDP($C190,PAYOUT_FIELD,YR_OVERRIDE,TEXT(YEAR_Y-5,"0"))/100,"")))</f>
        <v/>
      </c>
      <c r="T190" s="68">
        <f>IF($C190="","",IF(PULL_FUND="N","",IFERROR(BDP($C190,PAYOUT_FIELD,YR_OVERRIDE,TEXT(YEAR_Y-4,"0"))/100,"")))</f>
        <v/>
      </c>
      <c r="U190" s="68">
        <f>IF($C190="","",IF(PULL_FUND="N","",IFERROR(BDP($C190,PAYOUT_FIELD,YR_OVERRIDE,TEXT(YEAR_Y-3,"0"))/100,"")))</f>
        <v/>
      </c>
      <c r="V190" s="68">
        <f>IF($C190="","",IF(PULL_FUND="N","",IFERROR(BDP($C190,PAYOUT_FIELD,YR_OVERRIDE,TEXT(YEAR_Y-2,"0"))/100,"")))</f>
        <v/>
      </c>
      <c r="W190" s="68">
        <f>IF($C190="","",IF(PULL_FUND="N","",IFERROR(BDP($C190,PAYOUT_FIELD,YR_OVERRIDE,TEXT(YEAR_Y-1,"0"))/100,"")))</f>
        <v/>
      </c>
      <c r="X190" s="69">
        <f>IF($C190="","",IFERROR(AVERAGE(S190:W190),""))</f>
        <v/>
      </c>
      <c r="Y190" s="66">
        <f>IF($C190="","",IF(PULL_FUND="N","",IFERROR(BDP($C190,BESTEPS_FIELD,FWD_OVERRIDE,TEXT(MOD(YEAR_Y,100),"00")&amp;"Y"),"")))</f>
        <v/>
      </c>
      <c r="Z190" s="70">
        <f>IF($C190="","",IF(PULL_FUND="N","",IFERROR(BDP($C190,BESTDPS_FIELD,FWD_OVERRIDE,TEXT(MOD(YEAR_Y,100),"00")&amp;"Y"),"")))</f>
        <v/>
      </c>
      <c r="AA190" s="71">
        <f>IF($C190="","",IF(ISNUMBER($Y190)*ISNUMBER($Z190)*($Y190&lt;&gt;0)=0,"",$Z190/$Y190))</f>
        <v/>
      </c>
      <c r="AB190" s="41">
        <f>IF($C190="","",HSCEI!$J$45+HSCEI!$L$45)</f>
        <v/>
      </c>
      <c r="AC190" s="72">
        <f>IF($C190="","",IF(PULL_FUND="N","",IF(COUNTIFS('Fund History'!$G$1084:$G$1088,"&gt;="&amp;DATE(YEAR_Y-4,1,1),'Fund History'!$G$1084:$G$1088,"&lt;="&amp;DATE(YEAR_Y-4,12,31))=0,"",SUMIFS('Fund History'!$H$1084:$H$1088,'Fund History'!$G$1084:$G$1088,"&gt;="&amp;DATE(YEAR_Y-4,1,1),'Fund History'!$G$1084:$G$1088,"&lt;="&amp;DATE(YEAR_Y-4,12,31))/100)))</f>
        <v/>
      </c>
      <c r="AD190" s="73">
        <f>IF($C190="","",IF(PULL_FUND="N","",IF(COUNTIFS('Fund History'!$G$1084:$G$1088,"&gt;="&amp;DATE(YEAR_Y-3,1,1),'Fund History'!$G$1084:$G$1088,"&lt;="&amp;DATE(YEAR_Y-3,12,31))=0,"",SUMIFS('Fund History'!$H$1084:$H$1088,'Fund History'!$G$1084:$G$1088,"&gt;="&amp;DATE(YEAR_Y-3,1,1),'Fund History'!$G$1084:$G$1088,"&lt;="&amp;DATE(YEAR_Y-3,12,31))/100)))</f>
        <v/>
      </c>
      <c r="AE190" s="73">
        <f>IF($C190="","",IF(PULL_FUND="N","",IF(COUNTIFS('Fund History'!$G$1084:$G$1088,"&gt;="&amp;DATE(YEAR_Y-2,1,1),'Fund History'!$G$1084:$G$1088,"&lt;="&amp;DATE(YEAR_Y-2,12,31))=0,"",SUMIFS('Fund History'!$H$1084:$H$1088,'Fund History'!$G$1084:$G$1088,"&gt;="&amp;DATE(YEAR_Y-2,1,1),'Fund History'!$G$1084:$G$1088,"&lt;="&amp;DATE(YEAR_Y-2,12,31))/100)))</f>
        <v/>
      </c>
      <c r="AF190" s="73">
        <f>IF($C190="","",IF(PULL_FUND="N","",IF(COUNTIFS('Fund History'!$G$1084:$G$1088,"&gt;="&amp;DATE(YEAR_Y-1,1,1),'Fund History'!$G$1084:$G$1088,"&lt;="&amp;DATE(YEAR_Y-1,12,31))=0,"",SUMIFS('Fund History'!$H$1084:$H$1088,'Fund History'!$G$1084:$G$1088,"&gt;="&amp;DATE(YEAR_Y-1,1,1),'Fund History'!$G$1084:$G$1088,"&lt;="&amp;DATE(YEAR_Y-1,12,31))/100)))</f>
        <v/>
      </c>
      <c r="AG190" s="74">
        <f>IF($C190="","",IF(N($AF190)+N(HSCEI!$I$45)=0,"",N($AF190)+N(HSCEI!$I$45)/100))</f>
        <v/>
      </c>
      <c r="AH190" s="66">
        <f>IF($C190="","",IF(PULL_FUND="N","",IF(COUNTIFS('Fund History'!$D$1084:$D$1088,"&gt;="&amp;DATE(YEAR_Y-2,1,1),'Fund History'!$D$1084:$D$1088,"&lt;="&amp;DATE(YEAR_Y-2,12,31))=0,"",SUMIFS('Fund History'!$E$1084:$E$1088,'Fund History'!$D$1084:$D$1088,"&gt;="&amp;DATE(YEAR_Y-2,1,1),'Fund History'!$D$1084:$D$1088,"&lt;="&amp;DATE(YEAR_Y-2,12,31)))))</f>
        <v/>
      </c>
      <c r="AI190" s="67">
        <f>IF($C190="","",IF(PULL_FUND="N","",IF(COUNTIFS('Fund History'!$D$1084:$D$1088,"&gt;="&amp;DATE(YEAR_Y-1,1,1),'Fund History'!$D$1084:$D$1088,"&lt;="&amp;DATE(YEAR_Y-1,12,31))=0,"",SUMIFS('Fund History'!$E$1084:$E$1088,'Fund History'!$D$1084:$D$1088,"&gt;="&amp;DATE(YEAR_Y-1,1,1),'Fund History'!$D$1084:$D$1088,"&lt;="&amp;DATE(YEAR_Y-1,12,31)))))</f>
        <v/>
      </c>
      <c r="AJ190" s="67">
        <f>IF($C190="","",IF(PULL_FUND="N","",IFERROR(BDP($C190,NDEBITDA_FIELD),"")))</f>
        <v/>
      </c>
      <c r="AK190" s="75">
        <f>IF($C190="","",IF(PULL_FUND="N","",IFERROR(BDP($C190,EBINT_FIELD),"")))</f>
        <v/>
      </c>
      <c r="AL190" s="73">
        <f>IF($C190="","",IF(PULL_FUND="N","",IFERROR(BDP($C190,FCF_FIELD)/100,"")))</f>
        <v/>
      </c>
      <c r="AM190" s="76">
        <f>IF($C190="","",IF(ISNUMBER(HSCEI!$I$45),HSCEI!$I$45/100,""))</f>
        <v/>
      </c>
      <c r="AN190" s="47">
        <f>IF($C190="","",IF(N($AM190)=0,"",IFERROR($AL190/$AM190,"")))</f>
        <v/>
      </c>
      <c r="AO190" s="33">
        <f>IF($C190="","",IF(ISNUMBER($S190)*ISNUMBER($W190)=0,"",IF($W190&gt;$S190+0.05,"rising",IF($W190&lt;$S190-0.05,"falling","stable"))))</f>
        <v/>
      </c>
      <c r="AP190" s="77">
        <f>IF($C190="","",TRIM(IF(ISNUMBER($X190)*(N($X190)&gt;$D$4)&gt;0,"payout high  ","")&amp;IF(ISNUMBER($AN190)*(N($AN190)&lt;$F$4)&gt;0,"FCF below dvd  ","")&amp;IF(ISNUMBER($AJ190)*(N($AJ190)&gt;$H$4)&gt;0,"leverage high","")))</f>
        <v/>
      </c>
      <c r="AQ190" s="78">
        <f>IF($C190="","",IF(HSCEI!$F$45="HKD","",HSCEI!$F$45))</f>
        <v/>
      </c>
    </row>
    <row r="191">
      <c r="B191" s="62" t="inlineStr">
        <is>
          <t>HSCEI</t>
        </is>
      </c>
      <c r="C191" s="6">
        <f>IF(HSCEI!$C$46="","",HSCEI!$C$46)</f>
        <v/>
      </c>
      <c r="D191" s="6">
        <f>IF($C191="","",HSCEI!$D$46)</f>
        <v/>
      </c>
      <c r="E191" s="6">
        <f>IF($C191="","",HSCEI!$E$46)</f>
        <v/>
      </c>
      <c r="F191" s="63">
        <f>IF($C191="","",SUMPRODUCT(('Dvd Calendar'!$E$1990:$AR$1990&gt;=DATE(YEAR_Y-5,1,1))*('Dvd Calendar'!$E$1990:$AR$1990&lt;=DATE(YEAR_Y-5,12,31))*'Dvd Calendar'!$E$1993:$AR$1993*(('Dvd Calendar'!$E$1995:$AR$1995=TYPE1)*(TYPE1&lt;&gt;"")+('Dvd Calendar'!$E$1995:$AR$1995=TYPE2)*(TYPE2&lt;&gt;"")+('Dvd Calendar'!$E$1995:$AR$1995=TYPE3)*(TYPE3&lt;&gt;"")+('Dvd Calendar'!$E$1995:$AR$1995=TYPE4)*(TYPE4&lt;&gt;"")+('Dvd Calendar'!$E$1995:$AR$1995=SPECIAL_LBL)*(INC_SPECIALS="Y"))))</f>
        <v/>
      </c>
      <c r="G191" s="64">
        <f>IF($C191="","",SUMPRODUCT(('Dvd Calendar'!$E$1990:$AR$1990&gt;=DATE(YEAR_Y-4,1,1))*('Dvd Calendar'!$E$1990:$AR$1990&lt;=DATE(YEAR_Y-4,12,31))*'Dvd Calendar'!$E$1993:$AR$1993*(('Dvd Calendar'!$E$1995:$AR$1995=TYPE1)*(TYPE1&lt;&gt;"")+('Dvd Calendar'!$E$1995:$AR$1995=TYPE2)*(TYPE2&lt;&gt;"")+('Dvd Calendar'!$E$1995:$AR$1995=TYPE3)*(TYPE3&lt;&gt;"")+('Dvd Calendar'!$E$1995:$AR$1995=TYPE4)*(TYPE4&lt;&gt;"")+('Dvd Calendar'!$E$1995:$AR$1995=SPECIAL_LBL)*(INC_SPECIALS="Y"))))</f>
        <v/>
      </c>
      <c r="H191" s="64">
        <f>IF($C191="","",SUMPRODUCT(('Dvd Calendar'!$E$1990:$AR$1990&gt;=DATE(YEAR_Y-3,1,1))*('Dvd Calendar'!$E$1990:$AR$1990&lt;=DATE(YEAR_Y-3,12,31))*'Dvd Calendar'!$E$1993:$AR$1993*(('Dvd Calendar'!$E$1995:$AR$1995=TYPE1)*(TYPE1&lt;&gt;"")+('Dvd Calendar'!$E$1995:$AR$1995=TYPE2)*(TYPE2&lt;&gt;"")+('Dvd Calendar'!$E$1995:$AR$1995=TYPE3)*(TYPE3&lt;&gt;"")+('Dvd Calendar'!$E$1995:$AR$1995=TYPE4)*(TYPE4&lt;&gt;"")+('Dvd Calendar'!$E$1995:$AR$1995=SPECIAL_LBL)*(INC_SPECIALS="Y"))))</f>
        <v/>
      </c>
      <c r="I191" s="64">
        <f>IF($C191="","",SUMPRODUCT(('Dvd Calendar'!$E$1990:$AR$1990&gt;=DATE(YEAR_Y-2,1,1))*('Dvd Calendar'!$E$1990:$AR$1990&lt;=DATE(YEAR_Y-2,12,31))*'Dvd Calendar'!$E$1993:$AR$1993*(('Dvd Calendar'!$E$1995:$AR$1995=TYPE1)*(TYPE1&lt;&gt;"")+('Dvd Calendar'!$E$1995:$AR$1995=TYPE2)*(TYPE2&lt;&gt;"")+('Dvd Calendar'!$E$1995:$AR$1995=TYPE3)*(TYPE3&lt;&gt;"")+('Dvd Calendar'!$E$1995:$AR$1995=TYPE4)*(TYPE4&lt;&gt;"")+('Dvd Calendar'!$E$1995:$AR$1995=SPECIAL_LBL)*(INC_SPECIALS="Y"))))</f>
        <v/>
      </c>
      <c r="J191" s="64">
        <f>IF($C191="","",SUMPRODUCT(('Dvd Calendar'!$E$1990:$AR$1990&gt;=DATE(YEAR_Y-1,1,1))*('Dvd Calendar'!$E$1990:$AR$1990&lt;=DATE(YEAR_Y-1,12,31))*'Dvd Calendar'!$E$1993:$AR$1993*(('Dvd Calendar'!$E$1995:$AR$1995=TYPE1)*(TYPE1&lt;&gt;"")+('Dvd Calendar'!$E$1995:$AR$1995=TYPE2)*(TYPE2&lt;&gt;"")+('Dvd Calendar'!$E$1995:$AR$1995=TYPE3)*(TYPE3&lt;&gt;"")+('Dvd Calendar'!$E$1995:$AR$1995=TYPE4)*(TYPE4&lt;&gt;"")+('Dvd Calendar'!$E$1995:$AR$1995=SPECIAL_LBL)*(INC_SPECIALS="Y"))))</f>
        <v/>
      </c>
      <c r="K191" s="65">
        <f>IF($C191="","",HSCEI!$J$46)</f>
        <v/>
      </c>
      <c r="L191" s="65">
        <f>IF($C191="","",HSCEI!$K$46)</f>
        <v/>
      </c>
      <c r="M191" s="41">
        <f>IF($C191="","",AVERAGE(F191:J191))</f>
        <v/>
      </c>
      <c r="N191" s="66">
        <f>IF($C191="","",IF(PULL_FUND="N","",IFERROR(BDP($C191,EPS_FIELD,YR_OVERRIDE,TEXT(YEAR_Y-5,"0")),"")))</f>
        <v/>
      </c>
      <c r="O191" s="67">
        <f>IF($C191="","",IF(PULL_FUND="N","",IFERROR(BDP($C191,EPS_FIELD,YR_OVERRIDE,TEXT(YEAR_Y-4,"0")),"")))</f>
        <v/>
      </c>
      <c r="P191" s="67">
        <f>IF($C191="","",IF(PULL_FUND="N","",IFERROR(BDP($C191,EPS_FIELD,YR_OVERRIDE,TEXT(YEAR_Y-3,"0")),"")))</f>
        <v/>
      </c>
      <c r="Q191" s="67">
        <f>IF($C191="","",IF(PULL_FUND="N","",IFERROR(BDP($C191,EPS_FIELD,YR_OVERRIDE,TEXT(YEAR_Y-2,"0")),"")))</f>
        <v/>
      </c>
      <c r="R191" s="67">
        <f>IF($C191="","",IF(PULL_FUND="N","",IFERROR(BDP($C191,EPS_FIELD,YR_OVERRIDE,TEXT(YEAR_Y-1,"0")),"")))</f>
        <v/>
      </c>
      <c r="S191" s="68">
        <f>IF($C191="","",IF(PULL_FUND="N","",IFERROR(BDP($C191,PAYOUT_FIELD,YR_OVERRIDE,TEXT(YEAR_Y-5,"0"))/100,"")))</f>
        <v/>
      </c>
      <c r="T191" s="68">
        <f>IF($C191="","",IF(PULL_FUND="N","",IFERROR(BDP($C191,PAYOUT_FIELD,YR_OVERRIDE,TEXT(YEAR_Y-4,"0"))/100,"")))</f>
        <v/>
      </c>
      <c r="U191" s="68">
        <f>IF($C191="","",IF(PULL_FUND="N","",IFERROR(BDP($C191,PAYOUT_FIELD,YR_OVERRIDE,TEXT(YEAR_Y-3,"0"))/100,"")))</f>
        <v/>
      </c>
      <c r="V191" s="68">
        <f>IF($C191="","",IF(PULL_FUND="N","",IFERROR(BDP($C191,PAYOUT_FIELD,YR_OVERRIDE,TEXT(YEAR_Y-2,"0"))/100,"")))</f>
        <v/>
      </c>
      <c r="W191" s="68">
        <f>IF($C191="","",IF(PULL_FUND="N","",IFERROR(BDP($C191,PAYOUT_FIELD,YR_OVERRIDE,TEXT(YEAR_Y-1,"0"))/100,"")))</f>
        <v/>
      </c>
      <c r="X191" s="69">
        <f>IF($C191="","",IFERROR(AVERAGE(S191:W191),""))</f>
        <v/>
      </c>
      <c r="Y191" s="66">
        <f>IF($C191="","",IF(PULL_FUND="N","",IFERROR(BDP($C191,BESTEPS_FIELD,FWD_OVERRIDE,TEXT(MOD(YEAR_Y,100),"00")&amp;"Y"),"")))</f>
        <v/>
      </c>
      <c r="Z191" s="70">
        <f>IF($C191="","",IF(PULL_FUND="N","",IFERROR(BDP($C191,BESTDPS_FIELD,FWD_OVERRIDE,TEXT(MOD(YEAR_Y,100),"00")&amp;"Y"),"")))</f>
        <v/>
      </c>
      <c r="AA191" s="71">
        <f>IF($C191="","",IF(ISNUMBER($Y191)*ISNUMBER($Z191)*($Y191&lt;&gt;0)=0,"",$Z191/$Y191))</f>
        <v/>
      </c>
      <c r="AB191" s="41">
        <f>IF($C191="","",HSCEI!$J$46+HSCEI!$L$46)</f>
        <v/>
      </c>
      <c r="AC191" s="72">
        <f>IF($C191="","",IF(PULL_FUND="N","",IF(COUNTIFS('Fund History'!$G$1090:$G$1094,"&gt;="&amp;DATE(YEAR_Y-4,1,1),'Fund History'!$G$1090:$G$1094,"&lt;="&amp;DATE(YEAR_Y-4,12,31))=0,"",SUMIFS('Fund History'!$H$1090:$H$1094,'Fund History'!$G$1090:$G$1094,"&gt;="&amp;DATE(YEAR_Y-4,1,1),'Fund History'!$G$1090:$G$1094,"&lt;="&amp;DATE(YEAR_Y-4,12,31))/100)))</f>
        <v/>
      </c>
      <c r="AD191" s="73">
        <f>IF($C191="","",IF(PULL_FUND="N","",IF(COUNTIFS('Fund History'!$G$1090:$G$1094,"&gt;="&amp;DATE(YEAR_Y-3,1,1),'Fund History'!$G$1090:$G$1094,"&lt;="&amp;DATE(YEAR_Y-3,12,31))=0,"",SUMIFS('Fund History'!$H$1090:$H$1094,'Fund History'!$G$1090:$G$1094,"&gt;="&amp;DATE(YEAR_Y-3,1,1),'Fund History'!$G$1090:$G$1094,"&lt;="&amp;DATE(YEAR_Y-3,12,31))/100)))</f>
        <v/>
      </c>
      <c r="AE191" s="73">
        <f>IF($C191="","",IF(PULL_FUND="N","",IF(COUNTIFS('Fund History'!$G$1090:$G$1094,"&gt;="&amp;DATE(YEAR_Y-2,1,1),'Fund History'!$G$1090:$G$1094,"&lt;="&amp;DATE(YEAR_Y-2,12,31))=0,"",SUMIFS('Fund History'!$H$1090:$H$1094,'Fund History'!$G$1090:$G$1094,"&gt;="&amp;DATE(YEAR_Y-2,1,1),'Fund History'!$G$1090:$G$1094,"&lt;="&amp;DATE(YEAR_Y-2,12,31))/100)))</f>
        <v/>
      </c>
      <c r="AF191" s="73">
        <f>IF($C191="","",IF(PULL_FUND="N","",IF(COUNTIFS('Fund History'!$G$1090:$G$1094,"&gt;="&amp;DATE(YEAR_Y-1,1,1),'Fund History'!$G$1090:$G$1094,"&lt;="&amp;DATE(YEAR_Y-1,12,31))=0,"",SUMIFS('Fund History'!$H$1090:$H$1094,'Fund History'!$G$1090:$G$1094,"&gt;="&amp;DATE(YEAR_Y-1,1,1),'Fund History'!$G$1090:$G$1094,"&lt;="&amp;DATE(YEAR_Y-1,12,31))/100)))</f>
        <v/>
      </c>
      <c r="AG191" s="74">
        <f>IF($C191="","",IF(N($AF191)+N(HSCEI!$I$46)=0,"",N($AF191)+N(HSCEI!$I$46)/100))</f>
        <v/>
      </c>
      <c r="AH191" s="66">
        <f>IF($C191="","",IF(PULL_FUND="N","",IF(COUNTIFS('Fund History'!$D$1090:$D$1094,"&gt;="&amp;DATE(YEAR_Y-2,1,1),'Fund History'!$D$1090:$D$1094,"&lt;="&amp;DATE(YEAR_Y-2,12,31))=0,"",SUMIFS('Fund History'!$E$1090:$E$1094,'Fund History'!$D$1090:$D$1094,"&gt;="&amp;DATE(YEAR_Y-2,1,1),'Fund History'!$D$1090:$D$1094,"&lt;="&amp;DATE(YEAR_Y-2,12,31)))))</f>
        <v/>
      </c>
      <c r="AI191" s="67">
        <f>IF($C191="","",IF(PULL_FUND="N","",IF(COUNTIFS('Fund History'!$D$1090:$D$1094,"&gt;="&amp;DATE(YEAR_Y-1,1,1),'Fund History'!$D$1090:$D$1094,"&lt;="&amp;DATE(YEAR_Y-1,12,31))=0,"",SUMIFS('Fund History'!$E$1090:$E$1094,'Fund History'!$D$1090:$D$1094,"&gt;="&amp;DATE(YEAR_Y-1,1,1),'Fund History'!$D$1090:$D$1094,"&lt;="&amp;DATE(YEAR_Y-1,12,31)))))</f>
        <v/>
      </c>
      <c r="AJ191" s="67">
        <f>IF($C191="","",IF(PULL_FUND="N","",IFERROR(BDP($C191,NDEBITDA_FIELD),"")))</f>
        <v/>
      </c>
      <c r="AK191" s="75">
        <f>IF($C191="","",IF(PULL_FUND="N","",IFERROR(BDP($C191,EBINT_FIELD),"")))</f>
        <v/>
      </c>
      <c r="AL191" s="73">
        <f>IF($C191="","",IF(PULL_FUND="N","",IFERROR(BDP($C191,FCF_FIELD)/100,"")))</f>
        <v/>
      </c>
      <c r="AM191" s="76">
        <f>IF($C191="","",IF(ISNUMBER(HSCEI!$I$46),HSCEI!$I$46/100,""))</f>
        <v/>
      </c>
      <c r="AN191" s="47">
        <f>IF($C191="","",IF(N($AM191)=0,"",IFERROR($AL191/$AM191,"")))</f>
        <v/>
      </c>
      <c r="AO191" s="33">
        <f>IF($C191="","",IF(ISNUMBER($S191)*ISNUMBER($W191)=0,"",IF($W191&gt;$S191+0.05,"rising",IF($W191&lt;$S191-0.05,"falling","stable"))))</f>
        <v/>
      </c>
      <c r="AP191" s="77">
        <f>IF($C191="","",TRIM(IF(ISNUMBER($X191)*(N($X191)&gt;$D$4)&gt;0,"payout high  ","")&amp;IF(ISNUMBER($AN191)*(N($AN191)&lt;$F$4)&gt;0,"FCF below dvd  ","")&amp;IF(ISNUMBER($AJ191)*(N($AJ191)&gt;$H$4)&gt;0,"leverage high","")))</f>
        <v/>
      </c>
      <c r="AQ191" s="78">
        <f>IF($C191="","",IF(HSCEI!$F$46="HKD","",HSCEI!$F$46))</f>
        <v/>
      </c>
    </row>
    <row r="192">
      <c r="B192" s="62" t="inlineStr">
        <is>
          <t>HSCEI</t>
        </is>
      </c>
      <c r="C192" s="6">
        <f>IF(HSCEI!$C$47="","",HSCEI!$C$47)</f>
        <v/>
      </c>
      <c r="D192" s="6">
        <f>IF($C192="","",HSCEI!$D$47)</f>
        <v/>
      </c>
      <c r="E192" s="6">
        <f>IF($C192="","",HSCEI!$E$47)</f>
        <v/>
      </c>
      <c r="F192" s="63">
        <f>IF($C192="","",SUMPRODUCT(('Dvd Calendar'!$E$2001:$AR$2001&gt;=DATE(YEAR_Y-5,1,1))*('Dvd Calendar'!$E$2001:$AR$2001&lt;=DATE(YEAR_Y-5,12,31))*'Dvd Calendar'!$E$2004:$AR$2004*(('Dvd Calendar'!$E$2006:$AR$2006=TYPE1)*(TYPE1&lt;&gt;"")+('Dvd Calendar'!$E$2006:$AR$2006=TYPE2)*(TYPE2&lt;&gt;"")+('Dvd Calendar'!$E$2006:$AR$2006=TYPE3)*(TYPE3&lt;&gt;"")+('Dvd Calendar'!$E$2006:$AR$2006=TYPE4)*(TYPE4&lt;&gt;"")+('Dvd Calendar'!$E$2006:$AR$2006=SPECIAL_LBL)*(INC_SPECIALS="Y"))))</f>
        <v/>
      </c>
      <c r="G192" s="64">
        <f>IF($C192="","",SUMPRODUCT(('Dvd Calendar'!$E$2001:$AR$2001&gt;=DATE(YEAR_Y-4,1,1))*('Dvd Calendar'!$E$2001:$AR$2001&lt;=DATE(YEAR_Y-4,12,31))*'Dvd Calendar'!$E$2004:$AR$2004*(('Dvd Calendar'!$E$2006:$AR$2006=TYPE1)*(TYPE1&lt;&gt;"")+('Dvd Calendar'!$E$2006:$AR$2006=TYPE2)*(TYPE2&lt;&gt;"")+('Dvd Calendar'!$E$2006:$AR$2006=TYPE3)*(TYPE3&lt;&gt;"")+('Dvd Calendar'!$E$2006:$AR$2006=TYPE4)*(TYPE4&lt;&gt;"")+('Dvd Calendar'!$E$2006:$AR$2006=SPECIAL_LBL)*(INC_SPECIALS="Y"))))</f>
        <v/>
      </c>
      <c r="H192" s="64">
        <f>IF($C192="","",SUMPRODUCT(('Dvd Calendar'!$E$2001:$AR$2001&gt;=DATE(YEAR_Y-3,1,1))*('Dvd Calendar'!$E$2001:$AR$2001&lt;=DATE(YEAR_Y-3,12,31))*'Dvd Calendar'!$E$2004:$AR$2004*(('Dvd Calendar'!$E$2006:$AR$2006=TYPE1)*(TYPE1&lt;&gt;"")+('Dvd Calendar'!$E$2006:$AR$2006=TYPE2)*(TYPE2&lt;&gt;"")+('Dvd Calendar'!$E$2006:$AR$2006=TYPE3)*(TYPE3&lt;&gt;"")+('Dvd Calendar'!$E$2006:$AR$2006=TYPE4)*(TYPE4&lt;&gt;"")+('Dvd Calendar'!$E$2006:$AR$2006=SPECIAL_LBL)*(INC_SPECIALS="Y"))))</f>
        <v/>
      </c>
      <c r="I192" s="64">
        <f>IF($C192="","",SUMPRODUCT(('Dvd Calendar'!$E$2001:$AR$2001&gt;=DATE(YEAR_Y-2,1,1))*('Dvd Calendar'!$E$2001:$AR$2001&lt;=DATE(YEAR_Y-2,12,31))*'Dvd Calendar'!$E$2004:$AR$2004*(('Dvd Calendar'!$E$2006:$AR$2006=TYPE1)*(TYPE1&lt;&gt;"")+('Dvd Calendar'!$E$2006:$AR$2006=TYPE2)*(TYPE2&lt;&gt;"")+('Dvd Calendar'!$E$2006:$AR$2006=TYPE3)*(TYPE3&lt;&gt;"")+('Dvd Calendar'!$E$2006:$AR$2006=TYPE4)*(TYPE4&lt;&gt;"")+('Dvd Calendar'!$E$2006:$AR$2006=SPECIAL_LBL)*(INC_SPECIALS="Y"))))</f>
        <v/>
      </c>
      <c r="J192" s="64">
        <f>IF($C192="","",SUMPRODUCT(('Dvd Calendar'!$E$2001:$AR$2001&gt;=DATE(YEAR_Y-1,1,1))*('Dvd Calendar'!$E$2001:$AR$2001&lt;=DATE(YEAR_Y-1,12,31))*'Dvd Calendar'!$E$2004:$AR$2004*(('Dvd Calendar'!$E$2006:$AR$2006=TYPE1)*(TYPE1&lt;&gt;"")+('Dvd Calendar'!$E$2006:$AR$2006=TYPE2)*(TYPE2&lt;&gt;"")+('Dvd Calendar'!$E$2006:$AR$2006=TYPE3)*(TYPE3&lt;&gt;"")+('Dvd Calendar'!$E$2006:$AR$2006=TYPE4)*(TYPE4&lt;&gt;"")+('Dvd Calendar'!$E$2006:$AR$2006=SPECIAL_LBL)*(INC_SPECIALS="Y"))))</f>
        <v/>
      </c>
      <c r="K192" s="65">
        <f>IF($C192="","",HSCEI!$J$47)</f>
        <v/>
      </c>
      <c r="L192" s="65">
        <f>IF($C192="","",HSCEI!$K$47)</f>
        <v/>
      </c>
      <c r="M192" s="41">
        <f>IF($C192="","",AVERAGE(F192:J192))</f>
        <v/>
      </c>
      <c r="N192" s="66">
        <f>IF($C192="","",IF(PULL_FUND="N","",IFERROR(BDP($C192,EPS_FIELD,YR_OVERRIDE,TEXT(YEAR_Y-5,"0")),"")))</f>
        <v/>
      </c>
      <c r="O192" s="67">
        <f>IF($C192="","",IF(PULL_FUND="N","",IFERROR(BDP($C192,EPS_FIELD,YR_OVERRIDE,TEXT(YEAR_Y-4,"0")),"")))</f>
        <v/>
      </c>
      <c r="P192" s="67">
        <f>IF($C192="","",IF(PULL_FUND="N","",IFERROR(BDP($C192,EPS_FIELD,YR_OVERRIDE,TEXT(YEAR_Y-3,"0")),"")))</f>
        <v/>
      </c>
      <c r="Q192" s="67">
        <f>IF($C192="","",IF(PULL_FUND="N","",IFERROR(BDP($C192,EPS_FIELD,YR_OVERRIDE,TEXT(YEAR_Y-2,"0")),"")))</f>
        <v/>
      </c>
      <c r="R192" s="67">
        <f>IF($C192="","",IF(PULL_FUND="N","",IFERROR(BDP($C192,EPS_FIELD,YR_OVERRIDE,TEXT(YEAR_Y-1,"0")),"")))</f>
        <v/>
      </c>
      <c r="S192" s="68">
        <f>IF($C192="","",IF(PULL_FUND="N","",IFERROR(BDP($C192,PAYOUT_FIELD,YR_OVERRIDE,TEXT(YEAR_Y-5,"0"))/100,"")))</f>
        <v/>
      </c>
      <c r="T192" s="68">
        <f>IF($C192="","",IF(PULL_FUND="N","",IFERROR(BDP($C192,PAYOUT_FIELD,YR_OVERRIDE,TEXT(YEAR_Y-4,"0"))/100,"")))</f>
        <v/>
      </c>
      <c r="U192" s="68">
        <f>IF($C192="","",IF(PULL_FUND="N","",IFERROR(BDP($C192,PAYOUT_FIELD,YR_OVERRIDE,TEXT(YEAR_Y-3,"0"))/100,"")))</f>
        <v/>
      </c>
      <c r="V192" s="68">
        <f>IF($C192="","",IF(PULL_FUND="N","",IFERROR(BDP($C192,PAYOUT_FIELD,YR_OVERRIDE,TEXT(YEAR_Y-2,"0"))/100,"")))</f>
        <v/>
      </c>
      <c r="W192" s="68">
        <f>IF($C192="","",IF(PULL_FUND="N","",IFERROR(BDP($C192,PAYOUT_FIELD,YR_OVERRIDE,TEXT(YEAR_Y-1,"0"))/100,"")))</f>
        <v/>
      </c>
      <c r="X192" s="69">
        <f>IF($C192="","",IFERROR(AVERAGE(S192:W192),""))</f>
        <v/>
      </c>
      <c r="Y192" s="66">
        <f>IF($C192="","",IF(PULL_FUND="N","",IFERROR(BDP($C192,BESTEPS_FIELD,FWD_OVERRIDE,TEXT(MOD(YEAR_Y,100),"00")&amp;"Y"),"")))</f>
        <v/>
      </c>
      <c r="Z192" s="70">
        <f>IF($C192="","",IF(PULL_FUND="N","",IFERROR(BDP($C192,BESTDPS_FIELD,FWD_OVERRIDE,TEXT(MOD(YEAR_Y,100),"00")&amp;"Y"),"")))</f>
        <v/>
      </c>
      <c r="AA192" s="71">
        <f>IF($C192="","",IF(ISNUMBER($Y192)*ISNUMBER($Z192)*($Y192&lt;&gt;0)=0,"",$Z192/$Y192))</f>
        <v/>
      </c>
      <c r="AB192" s="41">
        <f>IF($C192="","",HSCEI!$J$47+HSCEI!$L$47)</f>
        <v/>
      </c>
      <c r="AC192" s="72">
        <f>IF($C192="","",IF(PULL_FUND="N","",IF(COUNTIFS('Fund History'!$G$1096:$G$1100,"&gt;="&amp;DATE(YEAR_Y-4,1,1),'Fund History'!$G$1096:$G$1100,"&lt;="&amp;DATE(YEAR_Y-4,12,31))=0,"",SUMIFS('Fund History'!$H$1096:$H$1100,'Fund History'!$G$1096:$G$1100,"&gt;="&amp;DATE(YEAR_Y-4,1,1),'Fund History'!$G$1096:$G$1100,"&lt;="&amp;DATE(YEAR_Y-4,12,31))/100)))</f>
        <v/>
      </c>
      <c r="AD192" s="73">
        <f>IF($C192="","",IF(PULL_FUND="N","",IF(COUNTIFS('Fund History'!$G$1096:$G$1100,"&gt;="&amp;DATE(YEAR_Y-3,1,1),'Fund History'!$G$1096:$G$1100,"&lt;="&amp;DATE(YEAR_Y-3,12,31))=0,"",SUMIFS('Fund History'!$H$1096:$H$1100,'Fund History'!$G$1096:$G$1100,"&gt;="&amp;DATE(YEAR_Y-3,1,1),'Fund History'!$G$1096:$G$1100,"&lt;="&amp;DATE(YEAR_Y-3,12,31))/100)))</f>
        <v/>
      </c>
      <c r="AE192" s="73">
        <f>IF($C192="","",IF(PULL_FUND="N","",IF(COUNTIFS('Fund History'!$G$1096:$G$1100,"&gt;="&amp;DATE(YEAR_Y-2,1,1),'Fund History'!$G$1096:$G$1100,"&lt;="&amp;DATE(YEAR_Y-2,12,31))=0,"",SUMIFS('Fund History'!$H$1096:$H$1100,'Fund History'!$G$1096:$G$1100,"&gt;="&amp;DATE(YEAR_Y-2,1,1),'Fund History'!$G$1096:$G$1100,"&lt;="&amp;DATE(YEAR_Y-2,12,31))/100)))</f>
        <v/>
      </c>
      <c r="AF192" s="73">
        <f>IF($C192="","",IF(PULL_FUND="N","",IF(COUNTIFS('Fund History'!$G$1096:$G$1100,"&gt;="&amp;DATE(YEAR_Y-1,1,1),'Fund History'!$G$1096:$G$1100,"&lt;="&amp;DATE(YEAR_Y-1,12,31))=0,"",SUMIFS('Fund History'!$H$1096:$H$1100,'Fund History'!$G$1096:$G$1100,"&gt;="&amp;DATE(YEAR_Y-1,1,1),'Fund History'!$G$1096:$G$1100,"&lt;="&amp;DATE(YEAR_Y-1,12,31))/100)))</f>
        <v/>
      </c>
      <c r="AG192" s="74">
        <f>IF($C192="","",IF(N($AF192)+N(HSCEI!$I$47)=0,"",N($AF192)+N(HSCEI!$I$47)/100))</f>
        <v/>
      </c>
      <c r="AH192" s="66">
        <f>IF($C192="","",IF(PULL_FUND="N","",IF(COUNTIFS('Fund History'!$D$1096:$D$1100,"&gt;="&amp;DATE(YEAR_Y-2,1,1),'Fund History'!$D$1096:$D$1100,"&lt;="&amp;DATE(YEAR_Y-2,12,31))=0,"",SUMIFS('Fund History'!$E$1096:$E$1100,'Fund History'!$D$1096:$D$1100,"&gt;="&amp;DATE(YEAR_Y-2,1,1),'Fund History'!$D$1096:$D$1100,"&lt;="&amp;DATE(YEAR_Y-2,12,31)))))</f>
        <v/>
      </c>
      <c r="AI192" s="67">
        <f>IF($C192="","",IF(PULL_FUND="N","",IF(COUNTIFS('Fund History'!$D$1096:$D$1100,"&gt;="&amp;DATE(YEAR_Y-1,1,1),'Fund History'!$D$1096:$D$1100,"&lt;="&amp;DATE(YEAR_Y-1,12,31))=0,"",SUMIFS('Fund History'!$E$1096:$E$1100,'Fund History'!$D$1096:$D$1100,"&gt;="&amp;DATE(YEAR_Y-1,1,1),'Fund History'!$D$1096:$D$1100,"&lt;="&amp;DATE(YEAR_Y-1,12,31)))))</f>
        <v/>
      </c>
      <c r="AJ192" s="67">
        <f>IF($C192="","",IF(PULL_FUND="N","",IFERROR(BDP($C192,NDEBITDA_FIELD),"")))</f>
        <v/>
      </c>
      <c r="AK192" s="75">
        <f>IF($C192="","",IF(PULL_FUND="N","",IFERROR(BDP($C192,EBINT_FIELD),"")))</f>
        <v/>
      </c>
      <c r="AL192" s="73">
        <f>IF($C192="","",IF(PULL_FUND="N","",IFERROR(BDP($C192,FCF_FIELD)/100,"")))</f>
        <v/>
      </c>
      <c r="AM192" s="76">
        <f>IF($C192="","",IF(ISNUMBER(HSCEI!$I$47),HSCEI!$I$47/100,""))</f>
        <v/>
      </c>
      <c r="AN192" s="47">
        <f>IF($C192="","",IF(N($AM192)=0,"",IFERROR($AL192/$AM192,"")))</f>
        <v/>
      </c>
      <c r="AO192" s="33">
        <f>IF($C192="","",IF(ISNUMBER($S192)*ISNUMBER($W192)=0,"",IF($W192&gt;$S192+0.05,"rising",IF($W192&lt;$S192-0.05,"falling","stable"))))</f>
        <v/>
      </c>
      <c r="AP192" s="77">
        <f>IF($C192="","",TRIM(IF(ISNUMBER($X192)*(N($X192)&gt;$D$4)&gt;0,"payout high  ","")&amp;IF(ISNUMBER($AN192)*(N($AN192)&lt;$F$4)&gt;0,"FCF below dvd  ","")&amp;IF(ISNUMBER($AJ192)*(N($AJ192)&gt;$H$4)&gt;0,"leverage high","")))</f>
        <v/>
      </c>
      <c r="AQ192" s="78">
        <f>IF($C192="","",IF(HSCEI!$F$47="HKD","",HSCEI!$F$47))</f>
        <v/>
      </c>
    </row>
    <row r="193">
      <c r="B193" s="62" t="inlineStr">
        <is>
          <t>HSCEI</t>
        </is>
      </c>
      <c r="C193" s="6">
        <f>IF(HSCEI!$C$48="","",HSCEI!$C$48)</f>
        <v/>
      </c>
      <c r="D193" s="6">
        <f>IF($C193="","",HSCEI!$D$48)</f>
        <v/>
      </c>
      <c r="E193" s="6">
        <f>IF($C193="","",HSCEI!$E$48)</f>
        <v/>
      </c>
      <c r="F193" s="63">
        <f>IF($C193="","",SUMPRODUCT(('Dvd Calendar'!$E$2012:$AR$2012&gt;=DATE(YEAR_Y-5,1,1))*('Dvd Calendar'!$E$2012:$AR$2012&lt;=DATE(YEAR_Y-5,12,31))*'Dvd Calendar'!$E$2015:$AR$2015*(('Dvd Calendar'!$E$2017:$AR$2017=TYPE1)*(TYPE1&lt;&gt;"")+('Dvd Calendar'!$E$2017:$AR$2017=TYPE2)*(TYPE2&lt;&gt;"")+('Dvd Calendar'!$E$2017:$AR$2017=TYPE3)*(TYPE3&lt;&gt;"")+('Dvd Calendar'!$E$2017:$AR$2017=TYPE4)*(TYPE4&lt;&gt;"")+('Dvd Calendar'!$E$2017:$AR$2017=SPECIAL_LBL)*(INC_SPECIALS="Y"))))</f>
        <v/>
      </c>
      <c r="G193" s="64">
        <f>IF($C193="","",SUMPRODUCT(('Dvd Calendar'!$E$2012:$AR$2012&gt;=DATE(YEAR_Y-4,1,1))*('Dvd Calendar'!$E$2012:$AR$2012&lt;=DATE(YEAR_Y-4,12,31))*'Dvd Calendar'!$E$2015:$AR$2015*(('Dvd Calendar'!$E$2017:$AR$2017=TYPE1)*(TYPE1&lt;&gt;"")+('Dvd Calendar'!$E$2017:$AR$2017=TYPE2)*(TYPE2&lt;&gt;"")+('Dvd Calendar'!$E$2017:$AR$2017=TYPE3)*(TYPE3&lt;&gt;"")+('Dvd Calendar'!$E$2017:$AR$2017=TYPE4)*(TYPE4&lt;&gt;"")+('Dvd Calendar'!$E$2017:$AR$2017=SPECIAL_LBL)*(INC_SPECIALS="Y"))))</f>
        <v/>
      </c>
      <c r="H193" s="64">
        <f>IF($C193="","",SUMPRODUCT(('Dvd Calendar'!$E$2012:$AR$2012&gt;=DATE(YEAR_Y-3,1,1))*('Dvd Calendar'!$E$2012:$AR$2012&lt;=DATE(YEAR_Y-3,12,31))*'Dvd Calendar'!$E$2015:$AR$2015*(('Dvd Calendar'!$E$2017:$AR$2017=TYPE1)*(TYPE1&lt;&gt;"")+('Dvd Calendar'!$E$2017:$AR$2017=TYPE2)*(TYPE2&lt;&gt;"")+('Dvd Calendar'!$E$2017:$AR$2017=TYPE3)*(TYPE3&lt;&gt;"")+('Dvd Calendar'!$E$2017:$AR$2017=TYPE4)*(TYPE4&lt;&gt;"")+('Dvd Calendar'!$E$2017:$AR$2017=SPECIAL_LBL)*(INC_SPECIALS="Y"))))</f>
        <v/>
      </c>
      <c r="I193" s="64">
        <f>IF($C193="","",SUMPRODUCT(('Dvd Calendar'!$E$2012:$AR$2012&gt;=DATE(YEAR_Y-2,1,1))*('Dvd Calendar'!$E$2012:$AR$2012&lt;=DATE(YEAR_Y-2,12,31))*'Dvd Calendar'!$E$2015:$AR$2015*(('Dvd Calendar'!$E$2017:$AR$2017=TYPE1)*(TYPE1&lt;&gt;"")+('Dvd Calendar'!$E$2017:$AR$2017=TYPE2)*(TYPE2&lt;&gt;"")+('Dvd Calendar'!$E$2017:$AR$2017=TYPE3)*(TYPE3&lt;&gt;"")+('Dvd Calendar'!$E$2017:$AR$2017=TYPE4)*(TYPE4&lt;&gt;"")+('Dvd Calendar'!$E$2017:$AR$2017=SPECIAL_LBL)*(INC_SPECIALS="Y"))))</f>
        <v/>
      </c>
      <c r="J193" s="64">
        <f>IF($C193="","",SUMPRODUCT(('Dvd Calendar'!$E$2012:$AR$2012&gt;=DATE(YEAR_Y-1,1,1))*('Dvd Calendar'!$E$2012:$AR$2012&lt;=DATE(YEAR_Y-1,12,31))*'Dvd Calendar'!$E$2015:$AR$2015*(('Dvd Calendar'!$E$2017:$AR$2017=TYPE1)*(TYPE1&lt;&gt;"")+('Dvd Calendar'!$E$2017:$AR$2017=TYPE2)*(TYPE2&lt;&gt;"")+('Dvd Calendar'!$E$2017:$AR$2017=TYPE3)*(TYPE3&lt;&gt;"")+('Dvd Calendar'!$E$2017:$AR$2017=TYPE4)*(TYPE4&lt;&gt;"")+('Dvd Calendar'!$E$2017:$AR$2017=SPECIAL_LBL)*(INC_SPECIALS="Y"))))</f>
        <v/>
      </c>
      <c r="K193" s="65">
        <f>IF($C193="","",HSCEI!$J$48)</f>
        <v/>
      </c>
      <c r="L193" s="65">
        <f>IF($C193="","",HSCEI!$K$48)</f>
        <v/>
      </c>
      <c r="M193" s="41">
        <f>IF($C193="","",AVERAGE(F193:J193))</f>
        <v/>
      </c>
      <c r="N193" s="66">
        <f>IF($C193="","",IF(PULL_FUND="N","",IFERROR(BDP($C193,EPS_FIELD,YR_OVERRIDE,TEXT(YEAR_Y-5,"0")),"")))</f>
        <v/>
      </c>
      <c r="O193" s="67">
        <f>IF($C193="","",IF(PULL_FUND="N","",IFERROR(BDP($C193,EPS_FIELD,YR_OVERRIDE,TEXT(YEAR_Y-4,"0")),"")))</f>
        <v/>
      </c>
      <c r="P193" s="67">
        <f>IF($C193="","",IF(PULL_FUND="N","",IFERROR(BDP($C193,EPS_FIELD,YR_OVERRIDE,TEXT(YEAR_Y-3,"0")),"")))</f>
        <v/>
      </c>
      <c r="Q193" s="67">
        <f>IF($C193="","",IF(PULL_FUND="N","",IFERROR(BDP($C193,EPS_FIELD,YR_OVERRIDE,TEXT(YEAR_Y-2,"0")),"")))</f>
        <v/>
      </c>
      <c r="R193" s="67">
        <f>IF($C193="","",IF(PULL_FUND="N","",IFERROR(BDP($C193,EPS_FIELD,YR_OVERRIDE,TEXT(YEAR_Y-1,"0")),"")))</f>
        <v/>
      </c>
      <c r="S193" s="68">
        <f>IF($C193="","",IF(PULL_FUND="N","",IFERROR(BDP($C193,PAYOUT_FIELD,YR_OVERRIDE,TEXT(YEAR_Y-5,"0"))/100,"")))</f>
        <v/>
      </c>
      <c r="T193" s="68">
        <f>IF($C193="","",IF(PULL_FUND="N","",IFERROR(BDP($C193,PAYOUT_FIELD,YR_OVERRIDE,TEXT(YEAR_Y-4,"0"))/100,"")))</f>
        <v/>
      </c>
      <c r="U193" s="68">
        <f>IF($C193="","",IF(PULL_FUND="N","",IFERROR(BDP($C193,PAYOUT_FIELD,YR_OVERRIDE,TEXT(YEAR_Y-3,"0"))/100,"")))</f>
        <v/>
      </c>
      <c r="V193" s="68">
        <f>IF($C193="","",IF(PULL_FUND="N","",IFERROR(BDP($C193,PAYOUT_FIELD,YR_OVERRIDE,TEXT(YEAR_Y-2,"0"))/100,"")))</f>
        <v/>
      </c>
      <c r="W193" s="68">
        <f>IF($C193="","",IF(PULL_FUND="N","",IFERROR(BDP($C193,PAYOUT_FIELD,YR_OVERRIDE,TEXT(YEAR_Y-1,"0"))/100,"")))</f>
        <v/>
      </c>
      <c r="X193" s="69">
        <f>IF($C193="","",IFERROR(AVERAGE(S193:W193),""))</f>
        <v/>
      </c>
      <c r="Y193" s="66">
        <f>IF($C193="","",IF(PULL_FUND="N","",IFERROR(BDP($C193,BESTEPS_FIELD,FWD_OVERRIDE,TEXT(MOD(YEAR_Y,100),"00")&amp;"Y"),"")))</f>
        <v/>
      </c>
      <c r="Z193" s="70">
        <f>IF($C193="","",IF(PULL_FUND="N","",IFERROR(BDP($C193,BESTDPS_FIELD,FWD_OVERRIDE,TEXT(MOD(YEAR_Y,100),"00")&amp;"Y"),"")))</f>
        <v/>
      </c>
      <c r="AA193" s="71">
        <f>IF($C193="","",IF(ISNUMBER($Y193)*ISNUMBER($Z193)*($Y193&lt;&gt;0)=0,"",$Z193/$Y193))</f>
        <v/>
      </c>
      <c r="AB193" s="41">
        <f>IF($C193="","",HSCEI!$J$48+HSCEI!$L$48)</f>
        <v/>
      </c>
      <c r="AC193" s="72">
        <f>IF($C193="","",IF(PULL_FUND="N","",IF(COUNTIFS('Fund History'!$G$1102:$G$1106,"&gt;="&amp;DATE(YEAR_Y-4,1,1),'Fund History'!$G$1102:$G$1106,"&lt;="&amp;DATE(YEAR_Y-4,12,31))=0,"",SUMIFS('Fund History'!$H$1102:$H$1106,'Fund History'!$G$1102:$G$1106,"&gt;="&amp;DATE(YEAR_Y-4,1,1),'Fund History'!$G$1102:$G$1106,"&lt;="&amp;DATE(YEAR_Y-4,12,31))/100)))</f>
        <v/>
      </c>
      <c r="AD193" s="73">
        <f>IF($C193="","",IF(PULL_FUND="N","",IF(COUNTIFS('Fund History'!$G$1102:$G$1106,"&gt;="&amp;DATE(YEAR_Y-3,1,1),'Fund History'!$G$1102:$G$1106,"&lt;="&amp;DATE(YEAR_Y-3,12,31))=0,"",SUMIFS('Fund History'!$H$1102:$H$1106,'Fund History'!$G$1102:$G$1106,"&gt;="&amp;DATE(YEAR_Y-3,1,1),'Fund History'!$G$1102:$G$1106,"&lt;="&amp;DATE(YEAR_Y-3,12,31))/100)))</f>
        <v/>
      </c>
      <c r="AE193" s="73">
        <f>IF($C193="","",IF(PULL_FUND="N","",IF(COUNTIFS('Fund History'!$G$1102:$G$1106,"&gt;="&amp;DATE(YEAR_Y-2,1,1),'Fund History'!$G$1102:$G$1106,"&lt;="&amp;DATE(YEAR_Y-2,12,31))=0,"",SUMIFS('Fund History'!$H$1102:$H$1106,'Fund History'!$G$1102:$G$1106,"&gt;="&amp;DATE(YEAR_Y-2,1,1),'Fund History'!$G$1102:$G$1106,"&lt;="&amp;DATE(YEAR_Y-2,12,31))/100)))</f>
        <v/>
      </c>
      <c r="AF193" s="73">
        <f>IF($C193="","",IF(PULL_FUND="N","",IF(COUNTIFS('Fund History'!$G$1102:$G$1106,"&gt;="&amp;DATE(YEAR_Y-1,1,1),'Fund History'!$G$1102:$G$1106,"&lt;="&amp;DATE(YEAR_Y-1,12,31))=0,"",SUMIFS('Fund History'!$H$1102:$H$1106,'Fund History'!$G$1102:$G$1106,"&gt;="&amp;DATE(YEAR_Y-1,1,1),'Fund History'!$G$1102:$G$1106,"&lt;="&amp;DATE(YEAR_Y-1,12,31))/100)))</f>
        <v/>
      </c>
      <c r="AG193" s="74">
        <f>IF($C193="","",IF(N($AF193)+N(HSCEI!$I$48)=0,"",N($AF193)+N(HSCEI!$I$48)/100))</f>
        <v/>
      </c>
      <c r="AH193" s="66">
        <f>IF($C193="","",IF(PULL_FUND="N","",IF(COUNTIFS('Fund History'!$D$1102:$D$1106,"&gt;="&amp;DATE(YEAR_Y-2,1,1),'Fund History'!$D$1102:$D$1106,"&lt;="&amp;DATE(YEAR_Y-2,12,31))=0,"",SUMIFS('Fund History'!$E$1102:$E$1106,'Fund History'!$D$1102:$D$1106,"&gt;="&amp;DATE(YEAR_Y-2,1,1),'Fund History'!$D$1102:$D$1106,"&lt;="&amp;DATE(YEAR_Y-2,12,31)))))</f>
        <v/>
      </c>
      <c r="AI193" s="67">
        <f>IF($C193="","",IF(PULL_FUND="N","",IF(COUNTIFS('Fund History'!$D$1102:$D$1106,"&gt;="&amp;DATE(YEAR_Y-1,1,1),'Fund History'!$D$1102:$D$1106,"&lt;="&amp;DATE(YEAR_Y-1,12,31))=0,"",SUMIFS('Fund History'!$E$1102:$E$1106,'Fund History'!$D$1102:$D$1106,"&gt;="&amp;DATE(YEAR_Y-1,1,1),'Fund History'!$D$1102:$D$1106,"&lt;="&amp;DATE(YEAR_Y-1,12,31)))))</f>
        <v/>
      </c>
      <c r="AJ193" s="67">
        <f>IF($C193="","",IF(PULL_FUND="N","",IFERROR(BDP($C193,NDEBITDA_FIELD),"")))</f>
        <v/>
      </c>
      <c r="AK193" s="75">
        <f>IF($C193="","",IF(PULL_FUND="N","",IFERROR(BDP($C193,EBINT_FIELD),"")))</f>
        <v/>
      </c>
      <c r="AL193" s="73">
        <f>IF($C193="","",IF(PULL_FUND="N","",IFERROR(BDP($C193,FCF_FIELD)/100,"")))</f>
        <v/>
      </c>
      <c r="AM193" s="76">
        <f>IF($C193="","",IF(ISNUMBER(HSCEI!$I$48),HSCEI!$I$48/100,""))</f>
        <v/>
      </c>
      <c r="AN193" s="47">
        <f>IF($C193="","",IF(N($AM193)=0,"",IFERROR($AL193/$AM193,"")))</f>
        <v/>
      </c>
      <c r="AO193" s="33">
        <f>IF($C193="","",IF(ISNUMBER($S193)*ISNUMBER($W193)=0,"",IF($W193&gt;$S193+0.05,"rising",IF($W193&lt;$S193-0.05,"falling","stable"))))</f>
        <v/>
      </c>
      <c r="AP193" s="77">
        <f>IF($C193="","",TRIM(IF(ISNUMBER($X193)*(N($X193)&gt;$D$4)&gt;0,"payout high  ","")&amp;IF(ISNUMBER($AN193)*(N($AN193)&lt;$F$4)&gt;0,"FCF below dvd  ","")&amp;IF(ISNUMBER($AJ193)*(N($AJ193)&gt;$H$4)&gt;0,"leverage high","")))</f>
        <v/>
      </c>
      <c r="AQ193" s="78">
        <f>IF($C193="","",IF(HSCEI!$F$48="HKD","",HSCEI!$F$48))</f>
        <v/>
      </c>
    </row>
    <row r="194">
      <c r="B194" s="62" t="inlineStr">
        <is>
          <t>HSCEI</t>
        </is>
      </c>
      <c r="C194" s="6">
        <f>IF(HSCEI!$C$49="","",HSCEI!$C$49)</f>
        <v/>
      </c>
      <c r="D194" s="6">
        <f>IF($C194="","",HSCEI!$D$49)</f>
        <v/>
      </c>
      <c r="E194" s="6">
        <f>IF($C194="","",HSCEI!$E$49)</f>
        <v/>
      </c>
      <c r="F194" s="63">
        <f>IF($C194="","",SUMPRODUCT(('Dvd Calendar'!$E$2023:$AR$2023&gt;=DATE(YEAR_Y-5,1,1))*('Dvd Calendar'!$E$2023:$AR$2023&lt;=DATE(YEAR_Y-5,12,31))*'Dvd Calendar'!$E$2026:$AR$2026*(('Dvd Calendar'!$E$2028:$AR$2028=TYPE1)*(TYPE1&lt;&gt;"")+('Dvd Calendar'!$E$2028:$AR$2028=TYPE2)*(TYPE2&lt;&gt;"")+('Dvd Calendar'!$E$2028:$AR$2028=TYPE3)*(TYPE3&lt;&gt;"")+('Dvd Calendar'!$E$2028:$AR$2028=TYPE4)*(TYPE4&lt;&gt;"")+('Dvd Calendar'!$E$2028:$AR$2028=SPECIAL_LBL)*(INC_SPECIALS="Y"))))</f>
        <v/>
      </c>
      <c r="G194" s="64">
        <f>IF($C194="","",SUMPRODUCT(('Dvd Calendar'!$E$2023:$AR$2023&gt;=DATE(YEAR_Y-4,1,1))*('Dvd Calendar'!$E$2023:$AR$2023&lt;=DATE(YEAR_Y-4,12,31))*'Dvd Calendar'!$E$2026:$AR$2026*(('Dvd Calendar'!$E$2028:$AR$2028=TYPE1)*(TYPE1&lt;&gt;"")+('Dvd Calendar'!$E$2028:$AR$2028=TYPE2)*(TYPE2&lt;&gt;"")+('Dvd Calendar'!$E$2028:$AR$2028=TYPE3)*(TYPE3&lt;&gt;"")+('Dvd Calendar'!$E$2028:$AR$2028=TYPE4)*(TYPE4&lt;&gt;"")+('Dvd Calendar'!$E$2028:$AR$2028=SPECIAL_LBL)*(INC_SPECIALS="Y"))))</f>
        <v/>
      </c>
      <c r="H194" s="64">
        <f>IF($C194="","",SUMPRODUCT(('Dvd Calendar'!$E$2023:$AR$2023&gt;=DATE(YEAR_Y-3,1,1))*('Dvd Calendar'!$E$2023:$AR$2023&lt;=DATE(YEAR_Y-3,12,31))*'Dvd Calendar'!$E$2026:$AR$2026*(('Dvd Calendar'!$E$2028:$AR$2028=TYPE1)*(TYPE1&lt;&gt;"")+('Dvd Calendar'!$E$2028:$AR$2028=TYPE2)*(TYPE2&lt;&gt;"")+('Dvd Calendar'!$E$2028:$AR$2028=TYPE3)*(TYPE3&lt;&gt;"")+('Dvd Calendar'!$E$2028:$AR$2028=TYPE4)*(TYPE4&lt;&gt;"")+('Dvd Calendar'!$E$2028:$AR$2028=SPECIAL_LBL)*(INC_SPECIALS="Y"))))</f>
        <v/>
      </c>
      <c r="I194" s="64">
        <f>IF($C194="","",SUMPRODUCT(('Dvd Calendar'!$E$2023:$AR$2023&gt;=DATE(YEAR_Y-2,1,1))*('Dvd Calendar'!$E$2023:$AR$2023&lt;=DATE(YEAR_Y-2,12,31))*'Dvd Calendar'!$E$2026:$AR$2026*(('Dvd Calendar'!$E$2028:$AR$2028=TYPE1)*(TYPE1&lt;&gt;"")+('Dvd Calendar'!$E$2028:$AR$2028=TYPE2)*(TYPE2&lt;&gt;"")+('Dvd Calendar'!$E$2028:$AR$2028=TYPE3)*(TYPE3&lt;&gt;"")+('Dvd Calendar'!$E$2028:$AR$2028=TYPE4)*(TYPE4&lt;&gt;"")+('Dvd Calendar'!$E$2028:$AR$2028=SPECIAL_LBL)*(INC_SPECIALS="Y"))))</f>
        <v/>
      </c>
      <c r="J194" s="64">
        <f>IF($C194="","",SUMPRODUCT(('Dvd Calendar'!$E$2023:$AR$2023&gt;=DATE(YEAR_Y-1,1,1))*('Dvd Calendar'!$E$2023:$AR$2023&lt;=DATE(YEAR_Y-1,12,31))*'Dvd Calendar'!$E$2026:$AR$2026*(('Dvd Calendar'!$E$2028:$AR$2028=TYPE1)*(TYPE1&lt;&gt;"")+('Dvd Calendar'!$E$2028:$AR$2028=TYPE2)*(TYPE2&lt;&gt;"")+('Dvd Calendar'!$E$2028:$AR$2028=TYPE3)*(TYPE3&lt;&gt;"")+('Dvd Calendar'!$E$2028:$AR$2028=TYPE4)*(TYPE4&lt;&gt;"")+('Dvd Calendar'!$E$2028:$AR$2028=SPECIAL_LBL)*(INC_SPECIALS="Y"))))</f>
        <v/>
      </c>
      <c r="K194" s="65">
        <f>IF($C194="","",HSCEI!$J$49)</f>
        <v/>
      </c>
      <c r="L194" s="65">
        <f>IF($C194="","",HSCEI!$K$49)</f>
        <v/>
      </c>
      <c r="M194" s="41">
        <f>IF($C194="","",AVERAGE(F194:J194))</f>
        <v/>
      </c>
      <c r="N194" s="66">
        <f>IF($C194="","",IF(PULL_FUND="N","",IFERROR(BDP($C194,EPS_FIELD,YR_OVERRIDE,TEXT(YEAR_Y-5,"0")),"")))</f>
        <v/>
      </c>
      <c r="O194" s="67">
        <f>IF($C194="","",IF(PULL_FUND="N","",IFERROR(BDP($C194,EPS_FIELD,YR_OVERRIDE,TEXT(YEAR_Y-4,"0")),"")))</f>
        <v/>
      </c>
      <c r="P194" s="67">
        <f>IF($C194="","",IF(PULL_FUND="N","",IFERROR(BDP($C194,EPS_FIELD,YR_OVERRIDE,TEXT(YEAR_Y-3,"0")),"")))</f>
        <v/>
      </c>
      <c r="Q194" s="67">
        <f>IF($C194="","",IF(PULL_FUND="N","",IFERROR(BDP($C194,EPS_FIELD,YR_OVERRIDE,TEXT(YEAR_Y-2,"0")),"")))</f>
        <v/>
      </c>
      <c r="R194" s="67">
        <f>IF($C194="","",IF(PULL_FUND="N","",IFERROR(BDP($C194,EPS_FIELD,YR_OVERRIDE,TEXT(YEAR_Y-1,"0")),"")))</f>
        <v/>
      </c>
      <c r="S194" s="68">
        <f>IF($C194="","",IF(PULL_FUND="N","",IFERROR(BDP($C194,PAYOUT_FIELD,YR_OVERRIDE,TEXT(YEAR_Y-5,"0"))/100,"")))</f>
        <v/>
      </c>
      <c r="T194" s="68">
        <f>IF($C194="","",IF(PULL_FUND="N","",IFERROR(BDP($C194,PAYOUT_FIELD,YR_OVERRIDE,TEXT(YEAR_Y-4,"0"))/100,"")))</f>
        <v/>
      </c>
      <c r="U194" s="68">
        <f>IF($C194="","",IF(PULL_FUND="N","",IFERROR(BDP($C194,PAYOUT_FIELD,YR_OVERRIDE,TEXT(YEAR_Y-3,"0"))/100,"")))</f>
        <v/>
      </c>
      <c r="V194" s="68">
        <f>IF($C194="","",IF(PULL_FUND="N","",IFERROR(BDP($C194,PAYOUT_FIELD,YR_OVERRIDE,TEXT(YEAR_Y-2,"0"))/100,"")))</f>
        <v/>
      </c>
      <c r="W194" s="68">
        <f>IF($C194="","",IF(PULL_FUND="N","",IFERROR(BDP($C194,PAYOUT_FIELD,YR_OVERRIDE,TEXT(YEAR_Y-1,"0"))/100,"")))</f>
        <v/>
      </c>
      <c r="X194" s="69">
        <f>IF($C194="","",IFERROR(AVERAGE(S194:W194),""))</f>
        <v/>
      </c>
      <c r="Y194" s="66">
        <f>IF($C194="","",IF(PULL_FUND="N","",IFERROR(BDP($C194,BESTEPS_FIELD,FWD_OVERRIDE,TEXT(MOD(YEAR_Y,100),"00")&amp;"Y"),"")))</f>
        <v/>
      </c>
      <c r="Z194" s="70">
        <f>IF($C194="","",IF(PULL_FUND="N","",IFERROR(BDP($C194,BESTDPS_FIELD,FWD_OVERRIDE,TEXT(MOD(YEAR_Y,100),"00")&amp;"Y"),"")))</f>
        <v/>
      </c>
      <c r="AA194" s="71">
        <f>IF($C194="","",IF(ISNUMBER($Y194)*ISNUMBER($Z194)*($Y194&lt;&gt;0)=0,"",$Z194/$Y194))</f>
        <v/>
      </c>
      <c r="AB194" s="41">
        <f>IF($C194="","",HSCEI!$J$49+HSCEI!$L$49)</f>
        <v/>
      </c>
      <c r="AC194" s="72">
        <f>IF($C194="","",IF(PULL_FUND="N","",IF(COUNTIFS('Fund History'!$G$1108:$G$1112,"&gt;="&amp;DATE(YEAR_Y-4,1,1),'Fund History'!$G$1108:$G$1112,"&lt;="&amp;DATE(YEAR_Y-4,12,31))=0,"",SUMIFS('Fund History'!$H$1108:$H$1112,'Fund History'!$G$1108:$G$1112,"&gt;="&amp;DATE(YEAR_Y-4,1,1),'Fund History'!$G$1108:$G$1112,"&lt;="&amp;DATE(YEAR_Y-4,12,31))/100)))</f>
        <v/>
      </c>
      <c r="AD194" s="73">
        <f>IF($C194="","",IF(PULL_FUND="N","",IF(COUNTIFS('Fund History'!$G$1108:$G$1112,"&gt;="&amp;DATE(YEAR_Y-3,1,1),'Fund History'!$G$1108:$G$1112,"&lt;="&amp;DATE(YEAR_Y-3,12,31))=0,"",SUMIFS('Fund History'!$H$1108:$H$1112,'Fund History'!$G$1108:$G$1112,"&gt;="&amp;DATE(YEAR_Y-3,1,1),'Fund History'!$G$1108:$G$1112,"&lt;="&amp;DATE(YEAR_Y-3,12,31))/100)))</f>
        <v/>
      </c>
      <c r="AE194" s="73">
        <f>IF($C194="","",IF(PULL_FUND="N","",IF(COUNTIFS('Fund History'!$G$1108:$G$1112,"&gt;="&amp;DATE(YEAR_Y-2,1,1),'Fund History'!$G$1108:$G$1112,"&lt;="&amp;DATE(YEAR_Y-2,12,31))=0,"",SUMIFS('Fund History'!$H$1108:$H$1112,'Fund History'!$G$1108:$G$1112,"&gt;="&amp;DATE(YEAR_Y-2,1,1),'Fund History'!$G$1108:$G$1112,"&lt;="&amp;DATE(YEAR_Y-2,12,31))/100)))</f>
        <v/>
      </c>
      <c r="AF194" s="73">
        <f>IF($C194="","",IF(PULL_FUND="N","",IF(COUNTIFS('Fund History'!$G$1108:$G$1112,"&gt;="&amp;DATE(YEAR_Y-1,1,1),'Fund History'!$G$1108:$G$1112,"&lt;="&amp;DATE(YEAR_Y-1,12,31))=0,"",SUMIFS('Fund History'!$H$1108:$H$1112,'Fund History'!$G$1108:$G$1112,"&gt;="&amp;DATE(YEAR_Y-1,1,1),'Fund History'!$G$1108:$G$1112,"&lt;="&amp;DATE(YEAR_Y-1,12,31))/100)))</f>
        <v/>
      </c>
      <c r="AG194" s="74">
        <f>IF($C194="","",IF(N($AF194)+N(HSCEI!$I$49)=0,"",N($AF194)+N(HSCEI!$I$49)/100))</f>
        <v/>
      </c>
      <c r="AH194" s="66">
        <f>IF($C194="","",IF(PULL_FUND="N","",IF(COUNTIFS('Fund History'!$D$1108:$D$1112,"&gt;="&amp;DATE(YEAR_Y-2,1,1),'Fund History'!$D$1108:$D$1112,"&lt;="&amp;DATE(YEAR_Y-2,12,31))=0,"",SUMIFS('Fund History'!$E$1108:$E$1112,'Fund History'!$D$1108:$D$1112,"&gt;="&amp;DATE(YEAR_Y-2,1,1),'Fund History'!$D$1108:$D$1112,"&lt;="&amp;DATE(YEAR_Y-2,12,31)))))</f>
        <v/>
      </c>
      <c r="AI194" s="67">
        <f>IF($C194="","",IF(PULL_FUND="N","",IF(COUNTIFS('Fund History'!$D$1108:$D$1112,"&gt;="&amp;DATE(YEAR_Y-1,1,1),'Fund History'!$D$1108:$D$1112,"&lt;="&amp;DATE(YEAR_Y-1,12,31))=0,"",SUMIFS('Fund History'!$E$1108:$E$1112,'Fund History'!$D$1108:$D$1112,"&gt;="&amp;DATE(YEAR_Y-1,1,1),'Fund History'!$D$1108:$D$1112,"&lt;="&amp;DATE(YEAR_Y-1,12,31)))))</f>
        <v/>
      </c>
      <c r="AJ194" s="67">
        <f>IF($C194="","",IF(PULL_FUND="N","",IFERROR(BDP($C194,NDEBITDA_FIELD),"")))</f>
        <v/>
      </c>
      <c r="AK194" s="75">
        <f>IF($C194="","",IF(PULL_FUND="N","",IFERROR(BDP($C194,EBINT_FIELD),"")))</f>
        <v/>
      </c>
      <c r="AL194" s="73">
        <f>IF($C194="","",IF(PULL_FUND="N","",IFERROR(BDP($C194,FCF_FIELD)/100,"")))</f>
        <v/>
      </c>
      <c r="AM194" s="76">
        <f>IF($C194="","",IF(ISNUMBER(HSCEI!$I$49),HSCEI!$I$49/100,""))</f>
        <v/>
      </c>
      <c r="AN194" s="47">
        <f>IF($C194="","",IF(N($AM194)=0,"",IFERROR($AL194/$AM194,"")))</f>
        <v/>
      </c>
      <c r="AO194" s="33">
        <f>IF($C194="","",IF(ISNUMBER($S194)*ISNUMBER($W194)=0,"",IF($W194&gt;$S194+0.05,"rising",IF($W194&lt;$S194-0.05,"falling","stable"))))</f>
        <v/>
      </c>
      <c r="AP194" s="77">
        <f>IF($C194="","",TRIM(IF(ISNUMBER($X194)*(N($X194)&gt;$D$4)&gt;0,"payout high  ","")&amp;IF(ISNUMBER($AN194)*(N($AN194)&lt;$F$4)&gt;0,"FCF below dvd  ","")&amp;IF(ISNUMBER($AJ194)*(N($AJ194)&gt;$H$4)&gt;0,"leverage high","")))</f>
        <v/>
      </c>
      <c r="AQ194" s="78">
        <f>IF($C194="","",IF(HSCEI!$F$49="HKD","",HSCEI!$F$49))</f>
        <v/>
      </c>
    </row>
    <row r="195">
      <c r="B195" s="62" t="inlineStr">
        <is>
          <t>HSCEI</t>
        </is>
      </c>
      <c r="C195" s="6">
        <f>IF(HSCEI!$C$50="","",HSCEI!$C$50)</f>
        <v/>
      </c>
      <c r="D195" s="6">
        <f>IF($C195="","",HSCEI!$D$50)</f>
        <v/>
      </c>
      <c r="E195" s="6">
        <f>IF($C195="","",HSCEI!$E$50)</f>
        <v/>
      </c>
      <c r="F195" s="63">
        <f>IF($C195="","",SUMPRODUCT(('Dvd Calendar'!$E$2034:$AR$2034&gt;=DATE(YEAR_Y-5,1,1))*('Dvd Calendar'!$E$2034:$AR$2034&lt;=DATE(YEAR_Y-5,12,31))*'Dvd Calendar'!$E$2037:$AR$2037*(('Dvd Calendar'!$E$2039:$AR$2039=TYPE1)*(TYPE1&lt;&gt;"")+('Dvd Calendar'!$E$2039:$AR$2039=TYPE2)*(TYPE2&lt;&gt;"")+('Dvd Calendar'!$E$2039:$AR$2039=TYPE3)*(TYPE3&lt;&gt;"")+('Dvd Calendar'!$E$2039:$AR$2039=TYPE4)*(TYPE4&lt;&gt;"")+('Dvd Calendar'!$E$2039:$AR$2039=SPECIAL_LBL)*(INC_SPECIALS="Y"))))</f>
        <v/>
      </c>
      <c r="G195" s="64">
        <f>IF($C195="","",SUMPRODUCT(('Dvd Calendar'!$E$2034:$AR$2034&gt;=DATE(YEAR_Y-4,1,1))*('Dvd Calendar'!$E$2034:$AR$2034&lt;=DATE(YEAR_Y-4,12,31))*'Dvd Calendar'!$E$2037:$AR$2037*(('Dvd Calendar'!$E$2039:$AR$2039=TYPE1)*(TYPE1&lt;&gt;"")+('Dvd Calendar'!$E$2039:$AR$2039=TYPE2)*(TYPE2&lt;&gt;"")+('Dvd Calendar'!$E$2039:$AR$2039=TYPE3)*(TYPE3&lt;&gt;"")+('Dvd Calendar'!$E$2039:$AR$2039=TYPE4)*(TYPE4&lt;&gt;"")+('Dvd Calendar'!$E$2039:$AR$2039=SPECIAL_LBL)*(INC_SPECIALS="Y"))))</f>
        <v/>
      </c>
      <c r="H195" s="64">
        <f>IF($C195="","",SUMPRODUCT(('Dvd Calendar'!$E$2034:$AR$2034&gt;=DATE(YEAR_Y-3,1,1))*('Dvd Calendar'!$E$2034:$AR$2034&lt;=DATE(YEAR_Y-3,12,31))*'Dvd Calendar'!$E$2037:$AR$2037*(('Dvd Calendar'!$E$2039:$AR$2039=TYPE1)*(TYPE1&lt;&gt;"")+('Dvd Calendar'!$E$2039:$AR$2039=TYPE2)*(TYPE2&lt;&gt;"")+('Dvd Calendar'!$E$2039:$AR$2039=TYPE3)*(TYPE3&lt;&gt;"")+('Dvd Calendar'!$E$2039:$AR$2039=TYPE4)*(TYPE4&lt;&gt;"")+('Dvd Calendar'!$E$2039:$AR$2039=SPECIAL_LBL)*(INC_SPECIALS="Y"))))</f>
        <v/>
      </c>
      <c r="I195" s="64">
        <f>IF($C195="","",SUMPRODUCT(('Dvd Calendar'!$E$2034:$AR$2034&gt;=DATE(YEAR_Y-2,1,1))*('Dvd Calendar'!$E$2034:$AR$2034&lt;=DATE(YEAR_Y-2,12,31))*'Dvd Calendar'!$E$2037:$AR$2037*(('Dvd Calendar'!$E$2039:$AR$2039=TYPE1)*(TYPE1&lt;&gt;"")+('Dvd Calendar'!$E$2039:$AR$2039=TYPE2)*(TYPE2&lt;&gt;"")+('Dvd Calendar'!$E$2039:$AR$2039=TYPE3)*(TYPE3&lt;&gt;"")+('Dvd Calendar'!$E$2039:$AR$2039=TYPE4)*(TYPE4&lt;&gt;"")+('Dvd Calendar'!$E$2039:$AR$2039=SPECIAL_LBL)*(INC_SPECIALS="Y"))))</f>
        <v/>
      </c>
      <c r="J195" s="64">
        <f>IF($C195="","",SUMPRODUCT(('Dvd Calendar'!$E$2034:$AR$2034&gt;=DATE(YEAR_Y-1,1,1))*('Dvd Calendar'!$E$2034:$AR$2034&lt;=DATE(YEAR_Y-1,12,31))*'Dvd Calendar'!$E$2037:$AR$2037*(('Dvd Calendar'!$E$2039:$AR$2039=TYPE1)*(TYPE1&lt;&gt;"")+('Dvd Calendar'!$E$2039:$AR$2039=TYPE2)*(TYPE2&lt;&gt;"")+('Dvd Calendar'!$E$2039:$AR$2039=TYPE3)*(TYPE3&lt;&gt;"")+('Dvd Calendar'!$E$2039:$AR$2039=TYPE4)*(TYPE4&lt;&gt;"")+('Dvd Calendar'!$E$2039:$AR$2039=SPECIAL_LBL)*(INC_SPECIALS="Y"))))</f>
        <v/>
      </c>
      <c r="K195" s="65">
        <f>IF($C195="","",HSCEI!$J$50)</f>
        <v/>
      </c>
      <c r="L195" s="65">
        <f>IF($C195="","",HSCEI!$K$50)</f>
        <v/>
      </c>
      <c r="M195" s="41">
        <f>IF($C195="","",AVERAGE(F195:J195))</f>
        <v/>
      </c>
      <c r="N195" s="66">
        <f>IF($C195="","",IF(PULL_FUND="N","",IFERROR(BDP($C195,EPS_FIELD,YR_OVERRIDE,TEXT(YEAR_Y-5,"0")),"")))</f>
        <v/>
      </c>
      <c r="O195" s="67">
        <f>IF($C195="","",IF(PULL_FUND="N","",IFERROR(BDP($C195,EPS_FIELD,YR_OVERRIDE,TEXT(YEAR_Y-4,"0")),"")))</f>
        <v/>
      </c>
      <c r="P195" s="67">
        <f>IF($C195="","",IF(PULL_FUND="N","",IFERROR(BDP($C195,EPS_FIELD,YR_OVERRIDE,TEXT(YEAR_Y-3,"0")),"")))</f>
        <v/>
      </c>
      <c r="Q195" s="67">
        <f>IF($C195="","",IF(PULL_FUND="N","",IFERROR(BDP($C195,EPS_FIELD,YR_OVERRIDE,TEXT(YEAR_Y-2,"0")),"")))</f>
        <v/>
      </c>
      <c r="R195" s="67">
        <f>IF($C195="","",IF(PULL_FUND="N","",IFERROR(BDP($C195,EPS_FIELD,YR_OVERRIDE,TEXT(YEAR_Y-1,"0")),"")))</f>
        <v/>
      </c>
      <c r="S195" s="68">
        <f>IF($C195="","",IF(PULL_FUND="N","",IFERROR(BDP($C195,PAYOUT_FIELD,YR_OVERRIDE,TEXT(YEAR_Y-5,"0"))/100,"")))</f>
        <v/>
      </c>
      <c r="T195" s="68">
        <f>IF($C195="","",IF(PULL_FUND="N","",IFERROR(BDP($C195,PAYOUT_FIELD,YR_OVERRIDE,TEXT(YEAR_Y-4,"0"))/100,"")))</f>
        <v/>
      </c>
      <c r="U195" s="68">
        <f>IF($C195="","",IF(PULL_FUND="N","",IFERROR(BDP($C195,PAYOUT_FIELD,YR_OVERRIDE,TEXT(YEAR_Y-3,"0"))/100,"")))</f>
        <v/>
      </c>
      <c r="V195" s="68">
        <f>IF($C195="","",IF(PULL_FUND="N","",IFERROR(BDP($C195,PAYOUT_FIELD,YR_OVERRIDE,TEXT(YEAR_Y-2,"0"))/100,"")))</f>
        <v/>
      </c>
      <c r="W195" s="68">
        <f>IF($C195="","",IF(PULL_FUND="N","",IFERROR(BDP($C195,PAYOUT_FIELD,YR_OVERRIDE,TEXT(YEAR_Y-1,"0"))/100,"")))</f>
        <v/>
      </c>
      <c r="X195" s="69">
        <f>IF($C195="","",IFERROR(AVERAGE(S195:W195),""))</f>
        <v/>
      </c>
      <c r="Y195" s="66">
        <f>IF($C195="","",IF(PULL_FUND="N","",IFERROR(BDP($C195,BESTEPS_FIELD,FWD_OVERRIDE,TEXT(MOD(YEAR_Y,100),"00")&amp;"Y"),"")))</f>
        <v/>
      </c>
      <c r="Z195" s="70">
        <f>IF($C195="","",IF(PULL_FUND="N","",IFERROR(BDP($C195,BESTDPS_FIELD,FWD_OVERRIDE,TEXT(MOD(YEAR_Y,100),"00")&amp;"Y"),"")))</f>
        <v/>
      </c>
      <c r="AA195" s="71">
        <f>IF($C195="","",IF(ISNUMBER($Y195)*ISNUMBER($Z195)*($Y195&lt;&gt;0)=0,"",$Z195/$Y195))</f>
        <v/>
      </c>
      <c r="AB195" s="41">
        <f>IF($C195="","",HSCEI!$J$50+HSCEI!$L$50)</f>
        <v/>
      </c>
      <c r="AC195" s="72">
        <f>IF($C195="","",IF(PULL_FUND="N","",IF(COUNTIFS('Fund History'!$G$1114:$G$1118,"&gt;="&amp;DATE(YEAR_Y-4,1,1),'Fund History'!$G$1114:$G$1118,"&lt;="&amp;DATE(YEAR_Y-4,12,31))=0,"",SUMIFS('Fund History'!$H$1114:$H$1118,'Fund History'!$G$1114:$G$1118,"&gt;="&amp;DATE(YEAR_Y-4,1,1),'Fund History'!$G$1114:$G$1118,"&lt;="&amp;DATE(YEAR_Y-4,12,31))/100)))</f>
        <v/>
      </c>
      <c r="AD195" s="73">
        <f>IF($C195="","",IF(PULL_FUND="N","",IF(COUNTIFS('Fund History'!$G$1114:$G$1118,"&gt;="&amp;DATE(YEAR_Y-3,1,1),'Fund History'!$G$1114:$G$1118,"&lt;="&amp;DATE(YEAR_Y-3,12,31))=0,"",SUMIFS('Fund History'!$H$1114:$H$1118,'Fund History'!$G$1114:$G$1118,"&gt;="&amp;DATE(YEAR_Y-3,1,1),'Fund History'!$G$1114:$G$1118,"&lt;="&amp;DATE(YEAR_Y-3,12,31))/100)))</f>
        <v/>
      </c>
      <c r="AE195" s="73">
        <f>IF($C195="","",IF(PULL_FUND="N","",IF(COUNTIFS('Fund History'!$G$1114:$G$1118,"&gt;="&amp;DATE(YEAR_Y-2,1,1),'Fund History'!$G$1114:$G$1118,"&lt;="&amp;DATE(YEAR_Y-2,12,31))=0,"",SUMIFS('Fund History'!$H$1114:$H$1118,'Fund History'!$G$1114:$G$1118,"&gt;="&amp;DATE(YEAR_Y-2,1,1),'Fund History'!$G$1114:$G$1118,"&lt;="&amp;DATE(YEAR_Y-2,12,31))/100)))</f>
        <v/>
      </c>
      <c r="AF195" s="73">
        <f>IF($C195="","",IF(PULL_FUND="N","",IF(COUNTIFS('Fund History'!$G$1114:$G$1118,"&gt;="&amp;DATE(YEAR_Y-1,1,1),'Fund History'!$G$1114:$G$1118,"&lt;="&amp;DATE(YEAR_Y-1,12,31))=0,"",SUMIFS('Fund History'!$H$1114:$H$1118,'Fund History'!$G$1114:$G$1118,"&gt;="&amp;DATE(YEAR_Y-1,1,1),'Fund History'!$G$1114:$G$1118,"&lt;="&amp;DATE(YEAR_Y-1,12,31))/100)))</f>
        <v/>
      </c>
      <c r="AG195" s="74">
        <f>IF($C195="","",IF(N($AF195)+N(HSCEI!$I$50)=0,"",N($AF195)+N(HSCEI!$I$50)/100))</f>
        <v/>
      </c>
      <c r="AH195" s="66">
        <f>IF($C195="","",IF(PULL_FUND="N","",IF(COUNTIFS('Fund History'!$D$1114:$D$1118,"&gt;="&amp;DATE(YEAR_Y-2,1,1),'Fund History'!$D$1114:$D$1118,"&lt;="&amp;DATE(YEAR_Y-2,12,31))=0,"",SUMIFS('Fund History'!$E$1114:$E$1118,'Fund History'!$D$1114:$D$1118,"&gt;="&amp;DATE(YEAR_Y-2,1,1),'Fund History'!$D$1114:$D$1118,"&lt;="&amp;DATE(YEAR_Y-2,12,31)))))</f>
        <v/>
      </c>
      <c r="AI195" s="67">
        <f>IF($C195="","",IF(PULL_FUND="N","",IF(COUNTIFS('Fund History'!$D$1114:$D$1118,"&gt;="&amp;DATE(YEAR_Y-1,1,1),'Fund History'!$D$1114:$D$1118,"&lt;="&amp;DATE(YEAR_Y-1,12,31))=0,"",SUMIFS('Fund History'!$E$1114:$E$1118,'Fund History'!$D$1114:$D$1118,"&gt;="&amp;DATE(YEAR_Y-1,1,1),'Fund History'!$D$1114:$D$1118,"&lt;="&amp;DATE(YEAR_Y-1,12,31)))))</f>
        <v/>
      </c>
      <c r="AJ195" s="67">
        <f>IF($C195="","",IF(PULL_FUND="N","",IFERROR(BDP($C195,NDEBITDA_FIELD),"")))</f>
        <v/>
      </c>
      <c r="AK195" s="75">
        <f>IF($C195="","",IF(PULL_FUND="N","",IFERROR(BDP($C195,EBINT_FIELD),"")))</f>
        <v/>
      </c>
      <c r="AL195" s="73">
        <f>IF($C195="","",IF(PULL_FUND="N","",IFERROR(BDP($C195,FCF_FIELD)/100,"")))</f>
        <v/>
      </c>
      <c r="AM195" s="76">
        <f>IF($C195="","",IF(ISNUMBER(HSCEI!$I$50),HSCEI!$I$50/100,""))</f>
        <v/>
      </c>
      <c r="AN195" s="47">
        <f>IF($C195="","",IF(N($AM195)=0,"",IFERROR($AL195/$AM195,"")))</f>
        <v/>
      </c>
      <c r="AO195" s="33">
        <f>IF($C195="","",IF(ISNUMBER($S195)*ISNUMBER($W195)=0,"",IF($W195&gt;$S195+0.05,"rising",IF($W195&lt;$S195-0.05,"falling","stable"))))</f>
        <v/>
      </c>
      <c r="AP195" s="77">
        <f>IF($C195="","",TRIM(IF(ISNUMBER($X195)*(N($X195)&gt;$D$4)&gt;0,"payout high  ","")&amp;IF(ISNUMBER($AN195)*(N($AN195)&lt;$F$4)&gt;0,"FCF below dvd  ","")&amp;IF(ISNUMBER($AJ195)*(N($AJ195)&gt;$H$4)&gt;0,"leverage high","")))</f>
        <v/>
      </c>
      <c r="AQ195" s="78">
        <f>IF($C195="","",IF(HSCEI!$F$50="HKD","",HSCEI!$F$50))</f>
        <v/>
      </c>
    </row>
    <row r="196">
      <c r="B196" s="62" t="inlineStr">
        <is>
          <t>HSCEI</t>
        </is>
      </c>
      <c r="C196" s="6">
        <f>IF(HSCEI!$C$51="","",HSCEI!$C$51)</f>
        <v/>
      </c>
      <c r="D196" s="6">
        <f>IF($C196="","",HSCEI!$D$51)</f>
        <v/>
      </c>
      <c r="E196" s="6">
        <f>IF($C196="","",HSCEI!$E$51)</f>
        <v/>
      </c>
      <c r="F196" s="63">
        <f>IF($C196="","",SUMPRODUCT(('Dvd Calendar'!$E$2045:$AR$2045&gt;=DATE(YEAR_Y-5,1,1))*('Dvd Calendar'!$E$2045:$AR$2045&lt;=DATE(YEAR_Y-5,12,31))*'Dvd Calendar'!$E$2048:$AR$2048*(('Dvd Calendar'!$E$2050:$AR$2050=TYPE1)*(TYPE1&lt;&gt;"")+('Dvd Calendar'!$E$2050:$AR$2050=TYPE2)*(TYPE2&lt;&gt;"")+('Dvd Calendar'!$E$2050:$AR$2050=TYPE3)*(TYPE3&lt;&gt;"")+('Dvd Calendar'!$E$2050:$AR$2050=TYPE4)*(TYPE4&lt;&gt;"")+('Dvd Calendar'!$E$2050:$AR$2050=SPECIAL_LBL)*(INC_SPECIALS="Y"))))</f>
        <v/>
      </c>
      <c r="G196" s="64">
        <f>IF($C196="","",SUMPRODUCT(('Dvd Calendar'!$E$2045:$AR$2045&gt;=DATE(YEAR_Y-4,1,1))*('Dvd Calendar'!$E$2045:$AR$2045&lt;=DATE(YEAR_Y-4,12,31))*'Dvd Calendar'!$E$2048:$AR$2048*(('Dvd Calendar'!$E$2050:$AR$2050=TYPE1)*(TYPE1&lt;&gt;"")+('Dvd Calendar'!$E$2050:$AR$2050=TYPE2)*(TYPE2&lt;&gt;"")+('Dvd Calendar'!$E$2050:$AR$2050=TYPE3)*(TYPE3&lt;&gt;"")+('Dvd Calendar'!$E$2050:$AR$2050=TYPE4)*(TYPE4&lt;&gt;"")+('Dvd Calendar'!$E$2050:$AR$2050=SPECIAL_LBL)*(INC_SPECIALS="Y"))))</f>
        <v/>
      </c>
      <c r="H196" s="64">
        <f>IF($C196="","",SUMPRODUCT(('Dvd Calendar'!$E$2045:$AR$2045&gt;=DATE(YEAR_Y-3,1,1))*('Dvd Calendar'!$E$2045:$AR$2045&lt;=DATE(YEAR_Y-3,12,31))*'Dvd Calendar'!$E$2048:$AR$2048*(('Dvd Calendar'!$E$2050:$AR$2050=TYPE1)*(TYPE1&lt;&gt;"")+('Dvd Calendar'!$E$2050:$AR$2050=TYPE2)*(TYPE2&lt;&gt;"")+('Dvd Calendar'!$E$2050:$AR$2050=TYPE3)*(TYPE3&lt;&gt;"")+('Dvd Calendar'!$E$2050:$AR$2050=TYPE4)*(TYPE4&lt;&gt;"")+('Dvd Calendar'!$E$2050:$AR$2050=SPECIAL_LBL)*(INC_SPECIALS="Y"))))</f>
        <v/>
      </c>
      <c r="I196" s="64">
        <f>IF($C196="","",SUMPRODUCT(('Dvd Calendar'!$E$2045:$AR$2045&gt;=DATE(YEAR_Y-2,1,1))*('Dvd Calendar'!$E$2045:$AR$2045&lt;=DATE(YEAR_Y-2,12,31))*'Dvd Calendar'!$E$2048:$AR$2048*(('Dvd Calendar'!$E$2050:$AR$2050=TYPE1)*(TYPE1&lt;&gt;"")+('Dvd Calendar'!$E$2050:$AR$2050=TYPE2)*(TYPE2&lt;&gt;"")+('Dvd Calendar'!$E$2050:$AR$2050=TYPE3)*(TYPE3&lt;&gt;"")+('Dvd Calendar'!$E$2050:$AR$2050=TYPE4)*(TYPE4&lt;&gt;"")+('Dvd Calendar'!$E$2050:$AR$2050=SPECIAL_LBL)*(INC_SPECIALS="Y"))))</f>
        <v/>
      </c>
      <c r="J196" s="64">
        <f>IF($C196="","",SUMPRODUCT(('Dvd Calendar'!$E$2045:$AR$2045&gt;=DATE(YEAR_Y-1,1,1))*('Dvd Calendar'!$E$2045:$AR$2045&lt;=DATE(YEAR_Y-1,12,31))*'Dvd Calendar'!$E$2048:$AR$2048*(('Dvd Calendar'!$E$2050:$AR$2050=TYPE1)*(TYPE1&lt;&gt;"")+('Dvd Calendar'!$E$2050:$AR$2050=TYPE2)*(TYPE2&lt;&gt;"")+('Dvd Calendar'!$E$2050:$AR$2050=TYPE3)*(TYPE3&lt;&gt;"")+('Dvd Calendar'!$E$2050:$AR$2050=TYPE4)*(TYPE4&lt;&gt;"")+('Dvd Calendar'!$E$2050:$AR$2050=SPECIAL_LBL)*(INC_SPECIALS="Y"))))</f>
        <v/>
      </c>
      <c r="K196" s="65">
        <f>IF($C196="","",HSCEI!$J$51)</f>
        <v/>
      </c>
      <c r="L196" s="65">
        <f>IF($C196="","",HSCEI!$K$51)</f>
        <v/>
      </c>
      <c r="M196" s="41">
        <f>IF($C196="","",AVERAGE(F196:J196))</f>
        <v/>
      </c>
      <c r="N196" s="66">
        <f>IF($C196="","",IF(PULL_FUND="N","",IFERROR(BDP($C196,EPS_FIELD,YR_OVERRIDE,TEXT(YEAR_Y-5,"0")),"")))</f>
        <v/>
      </c>
      <c r="O196" s="67">
        <f>IF($C196="","",IF(PULL_FUND="N","",IFERROR(BDP($C196,EPS_FIELD,YR_OVERRIDE,TEXT(YEAR_Y-4,"0")),"")))</f>
        <v/>
      </c>
      <c r="P196" s="67">
        <f>IF($C196="","",IF(PULL_FUND="N","",IFERROR(BDP($C196,EPS_FIELD,YR_OVERRIDE,TEXT(YEAR_Y-3,"0")),"")))</f>
        <v/>
      </c>
      <c r="Q196" s="67">
        <f>IF($C196="","",IF(PULL_FUND="N","",IFERROR(BDP($C196,EPS_FIELD,YR_OVERRIDE,TEXT(YEAR_Y-2,"0")),"")))</f>
        <v/>
      </c>
      <c r="R196" s="67">
        <f>IF($C196="","",IF(PULL_FUND="N","",IFERROR(BDP($C196,EPS_FIELD,YR_OVERRIDE,TEXT(YEAR_Y-1,"0")),"")))</f>
        <v/>
      </c>
      <c r="S196" s="68">
        <f>IF($C196="","",IF(PULL_FUND="N","",IFERROR(BDP($C196,PAYOUT_FIELD,YR_OVERRIDE,TEXT(YEAR_Y-5,"0"))/100,"")))</f>
        <v/>
      </c>
      <c r="T196" s="68">
        <f>IF($C196="","",IF(PULL_FUND="N","",IFERROR(BDP($C196,PAYOUT_FIELD,YR_OVERRIDE,TEXT(YEAR_Y-4,"0"))/100,"")))</f>
        <v/>
      </c>
      <c r="U196" s="68">
        <f>IF($C196="","",IF(PULL_FUND="N","",IFERROR(BDP($C196,PAYOUT_FIELD,YR_OVERRIDE,TEXT(YEAR_Y-3,"0"))/100,"")))</f>
        <v/>
      </c>
      <c r="V196" s="68">
        <f>IF($C196="","",IF(PULL_FUND="N","",IFERROR(BDP($C196,PAYOUT_FIELD,YR_OVERRIDE,TEXT(YEAR_Y-2,"0"))/100,"")))</f>
        <v/>
      </c>
      <c r="W196" s="68">
        <f>IF($C196="","",IF(PULL_FUND="N","",IFERROR(BDP($C196,PAYOUT_FIELD,YR_OVERRIDE,TEXT(YEAR_Y-1,"0"))/100,"")))</f>
        <v/>
      </c>
      <c r="X196" s="69">
        <f>IF($C196="","",IFERROR(AVERAGE(S196:W196),""))</f>
        <v/>
      </c>
      <c r="Y196" s="66">
        <f>IF($C196="","",IF(PULL_FUND="N","",IFERROR(BDP($C196,BESTEPS_FIELD,FWD_OVERRIDE,TEXT(MOD(YEAR_Y,100),"00")&amp;"Y"),"")))</f>
        <v/>
      </c>
      <c r="Z196" s="70">
        <f>IF($C196="","",IF(PULL_FUND="N","",IFERROR(BDP($C196,BESTDPS_FIELD,FWD_OVERRIDE,TEXT(MOD(YEAR_Y,100),"00")&amp;"Y"),"")))</f>
        <v/>
      </c>
      <c r="AA196" s="71">
        <f>IF($C196="","",IF(ISNUMBER($Y196)*ISNUMBER($Z196)*($Y196&lt;&gt;0)=0,"",$Z196/$Y196))</f>
        <v/>
      </c>
      <c r="AB196" s="41">
        <f>IF($C196="","",HSCEI!$J$51+HSCEI!$L$51)</f>
        <v/>
      </c>
      <c r="AC196" s="72">
        <f>IF($C196="","",IF(PULL_FUND="N","",IF(COUNTIFS('Fund History'!$G$1120:$G$1124,"&gt;="&amp;DATE(YEAR_Y-4,1,1),'Fund History'!$G$1120:$G$1124,"&lt;="&amp;DATE(YEAR_Y-4,12,31))=0,"",SUMIFS('Fund History'!$H$1120:$H$1124,'Fund History'!$G$1120:$G$1124,"&gt;="&amp;DATE(YEAR_Y-4,1,1),'Fund History'!$G$1120:$G$1124,"&lt;="&amp;DATE(YEAR_Y-4,12,31))/100)))</f>
        <v/>
      </c>
      <c r="AD196" s="73">
        <f>IF($C196="","",IF(PULL_FUND="N","",IF(COUNTIFS('Fund History'!$G$1120:$G$1124,"&gt;="&amp;DATE(YEAR_Y-3,1,1),'Fund History'!$G$1120:$G$1124,"&lt;="&amp;DATE(YEAR_Y-3,12,31))=0,"",SUMIFS('Fund History'!$H$1120:$H$1124,'Fund History'!$G$1120:$G$1124,"&gt;="&amp;DATE(YEAR_Y-3,1,1),'Fund History'!$G$1120:$G$1124,"&lt;="&amp;DATE(YEAR_Y-3,12,31))/100)))</f>
        <v/>
      </c>
      <c r="AE196" s="73">
        <f>IF($C196="","",IF(PULL_FUND="N","",IF(COUNTIFS('Fund History'!$G$1120:$G$1124,"&gt;="&amp;DATE(YEAR_Y-2,1,1),'Fund History'!$G$1120:$G$1124,"&lt;="&amp;DATE(YEAR_Y-2,12,31))=0,"",SUMIFS('Fund History'!$H$1120:$H$1124,'Fund History'!$G$1120:$G$1124,"&gt;="&amp;DATE(YEAR_Y-2,1,1),'Fund History'!$G$1120:$G$1124,"&lt;="&amp;DATE(YEAR_Y-2,12,31))/100)))</f>
        <v/>
      </c>
      <c r="AF196" s="73">
        <f>IF($C196="","",IF(PULL_FUND="N","",IF(COUNTIFS('Fund History'!$G$1120:$G$1124,"&gt;="&amp;DATE(YEAR_Y-1,1,1),'Fund History'!$G$1120:$G$1124,"&lt;="&amp;DATE(YEAR_Y-1,12,31))=0,"",SUMIFS('Fund History'!$H$1120:$H$1124,'Fund History'!$G$1120:$G$1124,"&gt;="&amp;DATE(YEAR_Y-1,1,1),'Fund History'!$G$1120:$G$1124,"&lt;="&amp;DATE(YEAR_Y-1,12,31))/100)))</f>
        <v/>
      </c>
      <c r="AG196" s="74">
        <f>IF($C196="","",IF(N($AF196)+N(HSCEI!$I$51)=0,"",N($AF196)+N(HSCEI!$I$51)/100))</f>
        <v/>
      </c>
      <c r="AH196" s="66">
        <f>IF($C196="","",IF(PULL_FUND="N","",IF(COUNTIFS('Fund History'!$D$1120:$D$1124,"&gt;="&amp;DATE(YEAR_Y-2,1,1),'Fund History'!$D$1120:$D$1124,"&lt;="&amp;DATE(YEAR_Y-2,12,31))=0,"",SUMIFS('Fund History'!$E$1120:$E$1124,'Fund History'!$D$1120:$D$1124,"&gt;="&amp;DATE(YEAR_Y-2,1,1),'Fund History'!$D$1120:$D$1124,"&lt;="&amp;DATE(YEAR_Y-2,12,31)))))</f>
        <v/>
      </c>
      <c r="AI196" s="67">
        <f>IF($C196="","",IF(PULL_FUND="N","",IF(COUNTIFS('Fund History'!$D$1120:$D$1124,"&gt;="&amp;DATE(YEAR_Y-1,1,1),'Fund History'!$D$1120:$D$1124,"&lt;="&amp;DATE(YEAR_Y-1,12,31))=0,"",SUMIFS('Fund History'!$E$1120:$E$1124,'Fund History'!$D$1120:$D$1124,"&gt;="&amp;DATE(YEAR_Y-1,1,1),'Fund History'!$D$1120:$D$1124,"&lt;="&amp;DATE(YEAR_Y-1,12,31)))))</f>
        <v/>
      </c>
      <c r="AJ196" s="67">
        <f>IF($C196="","",IF(PULL_FUND="N","",IFERROR(BDP($C196,NDEBITDA_FIELD),"")))</f>
        <v/>
      </c>
      <c r="AK196" s="75">
        <f>IF($C196="","",IF(PULL_FUND="N","",IFERROR(BDP($C196,EBINT_FIELD),"")))</f>
        <v/>
      </c>
      <c r="AL196" s="73">
        <f>IF($C196="","",IF(PULL_FUND="N","",IFERROR(BDP($C196,FCF_FIELD)/100,"")))</f>
        <v/>
      </c>
      <c r="AM196" s="76">
        <f>IF($C196="","",IF(ISNUMBER(HSCEI!$I$51),HSCEI!$I$51/100,""))</f>
        <v/>
      </c>
      <c r="AN196" s="47">
        <f>IF($C196="","",IF(N($AM196)=0,"",IFERROR($AL196/$AM196,"")))</f>
        <v/>
      </c>
      <c r="AO196" s="33">
        <f>IF($C196="","",IF(ISNUMBER($S196)*ISNUMBER($W196)=0,"",IF($W196&gt;$S196+0.05,"rising",IF($W196&lt;$S196-0.05,"falling","stable"))))</f>
        <v/>
      </c>
      <c r="AP196" s="77">
        <f>IF($C196="","",TRIM(IF(ISNUMBER($X196)*(N($X196)&gt;$D$4)&gt;0,"payout high  ","")&amp;IF(ISNUMBER($AN196)*(N($AN196)&lt;$F$4)&gt;0,"FCF below dvd  ","")&amp;IF(ISNUMBER($AJ196)*(N($AJ196)&gt;$H$4)&gt;0,"leverage high","")))</f>
        <v/>
      </c>
      <c r="AQ196" s="78">
        <f>IF($C196="","",IF(HSCEI!$F$51="HKD","",HSCEI!$F$51))</f>
        <v/>
      </c>
    </row>
    <row r="197">
      <c r="B197" s="62" t="inlineStr">
        <is>
          <t>HSCEI</t>
        </is>
      </c>
      <c r="C197" s="6">
        <f>IF(HSCEI!$C$52="","",HSCEI!$C$52)</f>
        <v/>
      </c>
      <c r="D197" s="6">
        <f>IF($C197="","",HSCEI!$D$52)</f>
        <v/>
      </c>
      <c r="E197" s="6">
        <f>IF($C197="","",HSCEI!$E$52)</f>
        <v/>
      </c>
      <c r="F197" s="63">
        <f>IF($C197="","",SUMPRODUCT(('Dvd Calendar'!$E$2056:$AR$2056&gt;=DATE(YEAR_Y-5,1,1))*('Dvd Calendar'!$E$2056:$AR$2056&lt;=DATE(YEAR_Y-5,12,31))*'Dvd Calendar'!$E$2059:$AR$2059*(('Dvd Calendar'!$E$2061:$AR$2061=TYPE1)*(TYPE1&lt;&gt;"")+('Dvd Calendar'!$E$2061:$AR$2061=TYPE2)*(TYPE2&lt;&gt;"")+('Dvd Calendar'!$E$2061:$AR$2061=TYPE3)*(TYPE3&lt;&gt;"")+('Dvd Calendar'!$E$2061:$AR$2061=TYPE4)*(TYPE4&lt;&gt;"")+('Dvd Calendar'!$E$2061:$AR$2061=SPECIAL_LBL)*(INC_SPECIALS="Y"))))</f>
        <v/>
      </c>
      <c r="G197" s="64">
        <f>IF($C197="","",SUMPRODUCT(('Dvd Calendar'!$E$2056:$AR$2056&gt;=DATE(YEAR_Y-4,1,1))*('Dvd Calendar'!$E$2056:$AR$2056&lt;=DATE(YEAR_Y-4,12,31))*'Dvd Calendar'!$E$2059:$AR$2059*(('Dvd Calendar'!$E$2061:$AR$2061=TYPE1)*(TYPE1&lt;&gt;"")+('Dvd Calendar'!$E$2061:$AR$2061=TYPE2)*(TYPE2&lt;&gt;"")+('Dvd Calendar'!$E$2061:$AR$2061=TYPE3)*(TYPE3&lt;&gt;"")+('Dvd Calendar'!$E$2061:$AR$2061=TYPE4)*(TYPE4&lt;&gt;"")+('Dvd Calendar'!$E$2061:$AR$2061=SPECIAL_LBL)*(INC_SPECIALS="Y"))))</f>
        <v/>
      </c>
      <c r="H197" s="64">
        <f>IF($C197="","",SUMPRODUCT(('Dvd Calendar'!$E$2056:$AR$2056&gt;=DATE(YEAR_Y-3,1,1))*('Dvd Calendar'!$E$2056:$AR$2056&lt;=DATE(YEAR_Y-3,12,31))*'Dvd Calendar'!$E$2059:$AR$2059*(('Dvd Calendar'!$E$2061:$AR$2061=TYPE1)*(TYPE1&lt;&gt;"")+('Dvd Calendar'!$E$2061:$AR$2061=TYPE2)*(TYPE2&lt;&gt;"")+('Dvd Calendar'!$E$2061:$AR$2061=TYPE3)*(TYPE3&lt;&gt;"")+('Dvd Calendar'!$E$2061:$AR$2061=TYPE4)*(TYPE4&lt;&gt;"")+('Dvd Calendar'!$E$2061:$AR$2061=SPECIAL_LBL)*(INC_SPECIALS="Y"))))</f>
        <v/>
      </c>
      <c r="I197" s="64">
        <f>IF($C197="","",SUMPRODUCT(('Dvd Calendar'!$E$2056:$AR$2056&gt;=DATE(YEAR_Y-2,1,1))*('Dvd Calendar'!$E$2056:$AR$2056&lt;=DATE(YEAR_Y-2,12,31))*'Dvd Calendar'!$E$2059:$AR$2059*(('Dvd Calendar'!$E$2061:$AR$2061=TYPE1)*(TYPE1&lt;&gt;"")+('Dvd Calendar'!$E$2061:$AR$2061=TYPE2)*(TYPE2&lt;&gt;"")+('Dvd Calendar'!$E$2061:$AR$2061=TYPE3)*(TYPE3&lt;&gt;"")+('Dvd Calendar'!$E$2061:$AR$2061=TYPE4)*(TYPE4&lt;&gt;"")+('Dvd Calendar'!$E$2061:$AR$2061=SPECIAL_LBL)*(INC_SPECIALS="Y"))))</f>
        <v/>
      </c>
      <c r="J197" s="64">
        <f>IF($C197="","",SUMPRODUCT(('Dvd Calendar'!$E$2056:$AR$2056&gt;=DATE(YEAR_Y-1,1,1))*('Dvd Calendar'!$E$2056:$AR$2056&lt;=DATE(YEAR_Y-1,12,31))*'Dvd Calendar'!$E$2059:$AR$2059*(('Dvd Calendar'!$E$2061:$AR$2061=TYPE1)*(TYPE1&lt;&gt;"")+('Dvd Calendar'!$E$2061:$AR$2061=TYPE2)*(TYPE2&lt;&gt;"")+('Dvd Calendar'!$E$2061:$AR$2061=TYPE3)*(TYPE3&lt;&gt;"")+('Dvd Calendar'!$E$2061:$AR$2061=TYPE4)*(TYPE4&lt;&gt;"")+('Dvd Calendar'!$E$2061:$AR$2061=SPECIAL_LBL)*(INC_SPECIALS="Y"))))</f>
        <v/>
      </c>
      <c r="K197" s="65">
        <f>IF($C197="","",HSCEI!$J$52)</f>
        <v/>
      </c>
      <c r="L197" s="65">
        <f>IF($C197="","",HSCEI!$K$52)</f>
        <v/>
      </c>
      <c r="M197" s="41">
        <f>IF($C197="","",AVERAGE(F197:J197))</f>
        <v/>
      </c>
      <c r="N197" s="66">
        <f>IF($C197="","",IF(PULL_FUND="N","",IFERROR(BDP($C197,EPS_FIELD,YR_OVERRIDE,TEXT(YEAR_Y-5,"0")),"")))</f>
        <v/>
      </c>
      <c r="O197" s="67">
        <f>IF($C197="","",IF(PULL_FUND="N","",IFERROR(BDP($C197,EPS_FIELD,YR_OVERRIDE,TEXT(YEAR_Y-4,"0")),"")))</f>
        <v/>
      </c>
      <c r="P197" s="67">
        <f>IF($C197="","",IF(PULL_FUND="N","",IFERROR(BDP($C197,EPS_FIELD,YR_OVERRIDE,TEXT(YEAR_Y-3,"0")),"")))</f>
        <v/>
      </c>
      <c r="Q197" s="67">
        <f>IF($C197="","",IF(PULL_FUND="N","",IFERROR(BDP($C197,EPS_FIELD,YR_OVERRIDE,TEXT(YEAR_Y-2,"0")),"")))</f>
        <v/>
      </c>
      <c r="R197" s="67">
        <f>IF($C197="","",IF(PULL_FUND="N","",IFERROR(BDP($C197,EPS_FIELD,YR_OVERRIDE,TEXT(YEAR_Y-1,"0")),"")))</f>
        <v/>
      </c>
      <c r="S197" s="68">
        <f>IF($C197="","",IF(PULL_FUND="N","",IFERROR(BDP($C197,PAYOUT_FIELD,YR_OVERRIDE,TEXT(YEAR_Y-5,"0"))/100,"")))</f>
        <v/>
      </c>
      <c r="T197" s="68">
        <f>IF($C197="","",IF(PULL_FUND="N","",IFERROR(BDP($C197,PAYOUT_FIELD,YR_OVERRIDE,TEXT(YEAR_Y-4,"0"))/100,"")))</f>
        <v/>
      </c>
      <c r="U197" s="68">
        <f>IF($C197="","",IF(PULL_FUND="N","",IFERROR(BDP($C197,PAYOUT_FIELD,YR_OVERRIDE,TEXT(YEAR_Y-3,"0"))/100,"")))</f>
        <v/>
      </c>
      <c r="V197" s="68">
        <f>IF($C197="","",IF(PULL_FUND="N","",IFERROR(BDP($C197,PAYOUT_FIELD,YR_OVERRIDE,TEXT(YEAR_Y-2,"0"))/100,"")))</f>
        <v/>
      </c>
      <c r="W197" s="68">
        <f>IF($C197="","",IF(PULL_FUND="N","",IFERROR(BDP($C197,PAYOUT_FIELD,YR_OVERRIDE,TEXT(YEAR_Y-1,"0"))/100,"")))</f>
        <v/>
      </c>
      <c r="X197" s="69">
        <f>IF($C197="","",IFERROR(AVERAGE(S197:W197),""))</f>
        <v/>
      </c>
      <c r="Y197" s="66">
        <f>IF($C197="","",IF(PULL_FUND="N","",IFERROR(BDP($C197,BESTEPS_FIELD,FWD_OVERRIDE,TEXT(MOD(YEAR_Y,100),"00")&amp;"Y"),"")))</f>
        <v/>
      </c>
      <c r="Z197" s="70">
        <f>IF($C197="","",IF(PULL_FUND="N","",IFERROR(BDP($C197,BESTDPS_FIELD,FWD_OVERRIDE,TEXT(MOD(YEAR_Y,100),"00")&amp;"Y"),"")))</f>
        <v/>
      </c>
      <c r="AA197" s="71">
        <f>IF($C197="","",IF(ISNUMBER($Y197)*ISNUMBER($Z197)*($Y197&lt;&gt;0)=0,"",$Z197/$Y197))</f>
        <v/>
      </c>
      <c r="AB197" s="41">
        <f>IF($C197="","",HSCEI!$J$52+HSCEI!$L$52)</f>
        <v/>
      </c>
      <c r="AC197" s="72">
        <f>IF($C197="","",IF(PULL_FUND="N","",IF(COUNTIFS('Fund History'!$G$1126:$G$1130,"&gt;="&amp;DATE(YEAR_Y-4,1,1),'Fund History'!$G$1126:$G$1130,"&lt;="&amp;DATE(YEAR_Y-4,12,31))=0,"",SUMIFS('Fund History'!$H$1126:$H$1130,'Fund History'!$G$1126:$G$1130,"&gt;="&amp;DATE(YEAR_Y-4,1,1),'Fund History'!$G$1126:$G$1130,"&lt;="&amp;DATE(YEAR_Y-4,12,31))/100)))</f>
        <v/>
      </c>
      <c r="AD197" s="73">
        <f>IF($C197="","",IF(PULL_FUND="N","",IF(COUNTIFS('Fund History'!$G$1126:$G$1130,"&gt;="&amp;DATE(YEAR_Y-3,1,1),'Fund History'!$G$1126:$G$1130,"&lt;="&amp;DATE(YEAR_Y-3,12,31))=0,"",SUMIFS('Fund History'!$H$1126:$H$1130,'Fund History'!$G$1126:$G$1130,"&gt;="&amp;DATE(YEAR_Y-3,1,1),'Fund History'!$G$1126:$G$1130,"&lt;="&amp;DATE(YEAR_Y-3,12,31))/100)))</f>
        <v/>
      </c>
      <c r="AE197" s="73">
        <f>IF($C197="","",IF(PULL_FUND="N","",IF(COUNTIFS('Fund History'!$G$1126:$G$1130,"&gt;="&amp;DATE(YEAR_Y-2,1,1),'Fund History'!$G$1126:$G$1130,"&lt;="&amp;DATE(YEAR_Y-2,12,31))=0,"",SUMIFS('Fund History'!$H$1126:$H$1130,'Fund History'!$G$1126:$G$1130,"&gt;="&amp;DATE(YEAR_Y-2,1,1),'Fund History'!$G$1126:$G$1130,"&lt;="&amp;DATE(YEAR_Y-2,12,31))/100)))</f>
        <v/>
      </c>
      <c r="AF197" s="73">
        <f>IF($C197="","",IF(PULL_FUND="N","",IF(COUNTIFS('Fund History'!$G$1126:$G$1130,"&gt;="&amp;DATE(YEAR_Y-1,1,1),'Fund History'!$G$1126:$G$1130,"&lt;="&amp;DATE(YEAR_Y-1,12,31))=0,"",SUMIFS('Fund History'!$H$1126:$H$1130,'Fund History'!$G$1126:$G$1130,"&gt;="&amp;DATE(YEAR_Y-1,1,1),'Fund History'!$G$1126:$G$1130,"&lt;="&amp;DATE(YEAR_Y-1,12,31))/100)))</f>
        <v/>
      </c>
      <c r="AG197" s="74">
        <f>IF($C197="","",IF(N($AF197)+N(HSCEI!$I$52)=0,"",N($AF197)+N(HSCEI!$I$52)/100))</f>
        <v/>
      </c>
      <c r="AH197" s="66">
        <f>IF($C197="","",IF(PULL_FUND="N","",IF(COUNTIFS('Fund History'!$D$1126:$D$1130,"&gt;="&amp;DATE(YEAR_Y-2,1,1),'Fund History'!$D$1126:$D$1130,"&lt;="&amp;DATE(YEAR_Y-2,12,31))=0,"",SUMIFS('Fund History'!$E$1126:$E$1130,'Fund History'!$D$1126:$D$1130,"&gt;="&amp;DATE(YEAR_Y-2,1,1),'Fund History'!$D$1126:$D$1130,"&lt;="&amp;DATE(YEAR_Y-2,12,31)))))</f>
        <v/>
      </c>
      <c r="AI197" s="67">
        <f>IF($C197="","",IF(PULL_FUND="N","",IF(COUNTIFS('Fund History'!$D$1126:$D$1130,"&gt;="&amp;DATE(YEAR_Y-1,1,1),'Fund History'!$D$1126:$D$1130,"&lt;="&amp;DATE(YEAR_Y-1,12,31))=0,"",SUMIFS('Fund History'!$E$1126:$E$1130,'Fund History'!$D$1126:$D$1130,"&gt;="&amp;DATE(YEAR_Y-1,1,1),'Fund History'!$D$1126:$D$1130,"&lt;="&amp;DATE(YEAR_Y-1,12,31)))))</f>
        <v/>
      </c>
      <c r="AJ197" s="67">
        <f>IF($C197="","",IF(PULL_FUND="N","",IFERROR(BDP($C197,NDEBITDA_FIELD),"")))</f>
        <v/>
      </c>
      <c r="AK197" s="75">
        <f>IF($C197="","",IF(PULL_FUND="N","",IFERROR(BDP($C197,EBINT_FIELD),"")))</f>
        <v/>
      </c>
      <c r="AL197" s="73">
        <f>IF($C197="","",IF(PULL_FUND="N","",IFERROR(BDP($C197,FCF_FIELD)/100,"")))</f>
        <v/>
      </c>
      <c r="AM197" s="76">
        <f>IF($C197="","",IF(ISNUMBER(HSCEI!$I$52),HSCEI!$I$52/100,""))</f>
        <v/>
      </c>
      <c r="AN197" s="47">
        <f>IF($C197="","",IF(N($AM197)=0,"",IFERROR($AL197/$AM197,"")))</f>
        <v/>
      </c>
      <c r="AO197" s="33">
        <f>IF($C197="","",IF(ISNUMBER($S197)*ISNUMBER($W197)=0,"",IF($W197&gt;$S197+0.05,"rising",IF($W197&lt;$S197-0.05,"falling","stable"))))</f>
        <v/>
      </c>
      <c r="AP197" s="77">
        <f>IF($C197="","",TRIM(IF(ISNUMBER($X197)*(N($X197)&gt;$D$4)&gt;0,"payout high  ","")&amp;IF(ISNUMBER($AN197)*(N($AN197)&lt;$F$4)&gt;0,"FCF below dvd  ","")&amp;IF(ISNUMBER($AJ197)*(N($AJ197)&gt;$H$4)&gt;0,"leverage high","")))</f>
        <v/>
      </c>
      <c r="AQ197" s="78">
        <f>IF($C197="","",IF(HSCEI!$F$52="HKD","",HSCEI!$F$52))</f>
        <v/>
      </c>
    </row>
    <row r="198">
      <c r="B198" s="62" t="inlineStr">
        <is>
          <t>HSCEI</t>
        </is>
      </c>
      <c r="C198" s="6">
        <f>IF(HSCEI!$C$53="","",HSCEI!$C$53)</f>
        <v/>
      </c>
      <c r="D198" s="6">
        <f>IF($C198="","",HSCEI!$D$53)</f>
        <v/>
      </c>
      <c r="E198" s="6">
        <f>IF($C198="","",HSCEI!$E$53)</f>
        <v/>
      </c>
      <c r="F198" s="63">
        <f>IF($C198="","",SUMPRODUCT(('Dvd Calendar'!$E$2067:$AR$2067&gt;=DATE(YEAR_Y-5,1,1))*('Dvd Calendar'!$E$2067:$AR$2067&lt;=DATE(YEAR_Y-5,12,31))*'Dvd Calendar'!$E$2070:$AR$2070*(('Dvd Calendar'!$E$2072:$AR$2072=TYPE1)*(TYPE1&lt;&gt;"")+('Dvd Calendar'!$E$2072:$AR$2072=TYPE2)*(TYPE2&lt;&gt;"")+('Dvd Calendar'!$E$2072:$AR$2072=TYPE3)*(TYPE3&lt;&gt;"")+('Dvd Calendar'!$E$2072:$AR$2072=TYPE4)*(TYPE4&lt;&gt;"")+('Dvd Calendar'!$E$2072:$AR$2072=SPECIAL_LBL)*(INC_SPECIALS="Y"))))</f>
        <v/>
      </c>
      <c r="G198" s="64">
        <f>IF($C198="","",SUMPRODUCT(('Dvd Calendar'!$E$2067:$AR$2067&gt;=DATE(YEAR_Y-4,1,1))*('Dvd Calendar'!$E$2067:$AR$2067&lt;=DATE(YEAR_Y-4,12,31))*'Dvd Calendar'!$E$2070:$AR$2070*(('Dvd Calendar'!$E$2072:$AR$2072=TYPE1)*(TYPE1&lt;&gt;"")+('Dvd Calendar'!$E$2072:$AR$2072=TYPE2)*(TYPE2&lt;&gt;"")+('Dvd Calendar'!$E$2072:$AR$2072=TYPE3)*(TYPE3&lt;&gt;"")+('Dvd Calendar'!$E$2072:$AR$2072=TYPE4)*(TYPE4&lt;&gt;"")+('Dvd Calendar'!$E$2072:$AR$2072=SPECIAL_LBL)*(INC_SPECIALS="Y"))))</f>
        <v/>
      </c>
      <c r="H198" s="64">
        <f>IF($C198="","",SUMPRODUCT(('Dvd Calendar'!$E$2067:$AR$2067&gt;=DATE(YEAR_Y-3,1,1))*('Dvd Calendar'!$E$2067:$AR$2067&lt;=DATE(YEAR_Y-3,12,31))*'Dvd Calendar'!$E$2070:$AR$2070*(('Dvd Calendar'!$E$2072:$AR$2072=TYPE1)*(TYPE1&lt;&gt;"")+('Dvd Calendar'!$E$2072:$AR$2072=TYPE2)*(TYPE2&lt;&gt;"")+('Dvd Calendar'!$E$2072:$AR$2072=TYPE3)*(TYPE3&lt;&gt;"")+('Dvd Calendar'!$E$2072:$AR$2072=TYPE4)*(TYPE4&lt;&gt;"")+('Dvd Calendar'!$E$2072:$AR$2072=SPECIAL_LBL)*(INC_SPECIALS="Y"))))</f>
        <v/>
      </c>
      <c r="I198" s="64">
        <f>IF($C198="","",SUMPRODUCT(('Dvd Calendar'!$E$2067:$AR$2067&gt;=DATE(YEAR_Y-2,1,1))*('Dvd Calendar'!$E$2067:$AR$2067&lt;=DATE(YEAR_Y-2,12,31))*'Dvd Calendar'!$E$2070:$AR$2070*(('Dvd Calendar'!$E$2072:$AR$2072=TYPE1)*(TYPE1&lt;&gt;"")+('Dvd Calendar'!$E$2072:$AR$2072=TYPE2)*(TYPE2&lt;&gt;"")+('Dvd Calendar'!$E$2072:$AR$2072=TYPE3)*(TYPE3&lt;&gt;"")+('Dvd Calendar'!$E$2072:$AR$2072=TYPE4)*(TYPE4&lt;&gt;"")+('Dvd Calendar'!$E$2072:$AR$2072=SPECIAL_LBL)*(INC_SPECIALS="Y"))))</f>
        <v/>
      </c>
      <c r="J198" s="64">
        <f>IF($C198="","",SUMPRODUCT(('Dvd Calendar'!$E$2067:$AR$2067&gt;=DATE(YEAR_Y-1,1,1))*('Dvd Calendar'!$E$2067:$AR$2067&lt;=DATE(YEAR_Y-1,12,31))*'Dvd Calendar'!$E$2070:$AR$2070*(('Dvd Calendar'!$E$2072:$AR$2072=TYPE1)*(TYPE1&lt;&gt;"")+('Dvd Calendar'!$E$2072:$AR$2072=TYPE2)*(TYPE2&lt;&gt;"")+('Dvd Calendar'!$E$2072:$AR$2072=TYPE3)*(TYPE3&lt;&gt;"")+('Dvd Calendar'!$E$2072:$AR$2072=TYPE4)*(TYPE4&lt;&gt;"")+('Dvd Calendar'!$E$2072:$AR$2072=SPECIAL_LBL)*(INC_SPECIALS="Y"))))</f>
        <v/>
      </c>
      <c r="K198" s="65">
        <f>IF($C198="","",HSCEI!$J$53)</f>
        <v/>
      </c>
      <c r="L198" s="65">
        <f>IF($C198="","",HSCEI!$K$53)</f>
        <v/>
      </c>
      <c r="M198" s="41">
        <f>IF($C198="","",AVERAGE(F198:J198))</f>
        <v/>
      </c>
      <c r="N198" s="66">
        <f>IF($C198="","",IF(PULL_FUND="N","",IFERROR(BDP($C198,EPS_FIELD,YR_OVERRIDE,TEXT(YEAR_Y-5,"0")),"")))</f>
        <v/>
      </c>
      <c r="O198" s="67">
        <f>IF($C198="","",IF(PULL_FUND="N","",IFERROR(BDP($C198,EPS_FIELD,YR_OVERRIDE,TEXT(YEAR_Y-4,"0")),"")))</f>
        <v/>
      </c>
      <c r="P198" s="67">
        <f>IF($C198="","",IF(PULL_FUND="N","",IFERROR(BDP($C198,EPS_FIELD,YR_OVERRIDE,TEXT(YEAR_Y-3,"0")),"")))</f>
        <v/>
      </c>
      <c r="Q198" s="67">
        <f>IF($C198="","",IF(PULL_FUND="N","",IFERROR(BDP($C198,EPS_FIELD,YR_OVERRIDE,TEXT(YEAR_Y-2,"0")),"")))</f>
        <v/>
      </c>
      <c r="R198" s="67">
        <f>IF($C198="","",IF(PULL_FUND="N","",IFERROR(BDP($C198,EPS_FIELD,YR_OVERRIDE,TEXT(YEAR_Y-1,"0")),"")))</f>
        <v/>
      </c>
      <c r="S198" s="68">
        <f>IF($C198="","",IF(PULL_FUND="N","",IFERROR(BDP($C198,PAYOUT_FIELD,YR_OVERRIDE,TEXT(YEAR_Y-5,"0"))/100,"")))</f>
        <v/>
      </c>
      <c r="T198" s="68">
        <f>IF($C198="","",IF(PULL_FUND="N","",IFERROR(BDP($C198,PAYOUT_FIELD,YR_OVERRIDE,TEXT(YEAR_Y-4,"0"))/100,"")))</f>
        <v/>
      </c>
      <c r="U198" s="68">
        <f>IF($C198="","",IF(PULL_FUND="N","",IFERROR(BDP($C198,PAYOUT_FIELD,YR_OVERRIDE,TEXT(YEAR_Y-3,"0"))/100,"")))</f>
        <v/>
      </c>
      <c r="V198" s="68">
        <f>IF($C198="","",IF(PULL_FUND="N","",IFERROR(BDP($C198,PAYOUT_FIELD,YR_OVERRIDE,TEXT(YEAR_Y-2,"0"))/100,"")))</f>
        <v/>
      </c>
      <c r="W198" s="68">
        <f>IF($C198="","",IF(PULL_FUND="N","",IFERROR(BDP($C198,PAYOUT_FIELD,YR_OVERRIDE,TEXT(YEAR_Y-1,"0"))/100,"")))</f>
        <v/>
      </c>
      <c r="X198" s="69">
        <f>IF($C198="","",IFERROR(AVERAGE(S198:W198),""))</f>
        <v/>
      </c>
      <c r="Y198" s="66">
        <f>IF($C198="","",IF(PULL_FUND="N","",IFERROR(BDP($C198,BESTEPS_FIELD,FWD_OVERRIDE,TEXT(MOD(YEAR_Y,100),"00")&amp;"Y"),"")))</f>
        <v/>
      </c>
      <c r="Z198" s="70">
        <f>IF($C198="","",IF(PULL_FUND="N","",IFERROR(BDP($C198,BESTDPS_FIELD,FWD_OVERRIDE,TEXT(MOD(YEAR_Y,100),"00")&amp;"Y"),"")))</f>
        <v/>
      </c>
      <c r="AA198" s="71">
        <f>IF($C198="","",IF(ISNUMBER($Y198)*ISNUMBER($Z198)*($Y198&lt;&gt;0)=0,"",$Z198/$Y198))</f>
        <v/>
      </c>
      <c r="AB198" s="41">
        <f>IF($C198="","",HSCEI!$J$53+HSCEI!$L$53)</f>
        <v/>
      </c>
      <c r="AC198" s="72">
        <f>IF($C198="","",IF(PULL_FUND="N","",IF(COUNTIFS('Fund History'!$G$1132:$G$1136,"&gt;="&amp;DATE(YEAR_Y-4,1,1),'Fund History'!$G$1132:$G$1136,"&lt;="&amp;DATE(YEAR_Y-4,12,31))=0,"",SUMIFS('Fund History'!$H$1132:$H$1136,'Fund History'!$G$1132:$G$1136,"&gt;="&amp;DATE(YEAR_Y-4,1,1),'Fund History'!$G$1132:$G$1136,"&lt;="&amp;DATE(YEAR_Y-4,12,31))/100)))</f>
        <v/>
      </c>
      <c r="AD198" s="73">
        <f>IF($C198="","",IF(PULL_FUND="N","",IF(COUNTIFS('Fund History'!$G$1132:$G$1136,"&gt;="&amp;DATE(YEAR_Y-3,1,1),'Fund History'!$G$1132:$G$1136,"&lt;="&amp;DATE(YEAR_Y-3,12,31))=0,"",SUMIFS('Fund History'!$H$1132:$H$1136,'Fund History'!$G$1132:$G$1136,"&gt;="&amp;DATE(YEAR_Y-3,1,1),'Fund History'!$G$1132:$G$1136,"&lt;="&amp;DATE(YEAR_Y-3,12,31))/100)))</f>
        <v/>
      </c>
      <c r="AE198" s="73">
        <f>IF($C198="","",IF(PULL_FUND="N","",IF(COUNTIFS('Fund History'!$G$1132:$G$1136,"&gt;="&amp;DATE(YEAR_Y-2,1,1),'Fund History'!$G$1132:$G$1136,"&lt;="&amp;DATE(YEAR_Y-2,12,31))=0,"",SUMIFS('Fund History'!$H$1132:$H$1136,'Fund History'!$G$1132:$G$1136,"&gt;="&amp;DATE(YEAR_Y-2,1,1),'Fund History'!$G$1132:$G$1136,"&lt;="&amp;DATE(YEAR_Y-2,12,31))/100)))</f>
        <v/>
      </c>
      <c r="AF198" s="73">
        <f>IF($C198="","",IF(PULL_FUND="N","",IF(COUNTIFS('Fund History'!$G$1132:$G$1136,"&gt;="&amp;DATE(YEAR_Y-1,1,1),'Fund History'!$G$1132:$G$1136,"&lt;="&amp;DATE(YEAR_Y-1,12,31))=0,"",SUMIFS('Fund History'!$H$1132:$H$1136,'Fund History'!$G$1132:$G$1136,"&gt;="&amp;DATE(YEAR_Y-1,1,1),'Fund History'!$G$1132:$G$1136,"&lt;="&amp;DATE(YEAR_Y-1,12,31))/100)))</f>
        <v/>
      </c>
      <c r="AG198" s="74">
        <f>IF($C198="","",IF(N($AF198)+N(HSCEI!$I$53)=0,"",N($AF198)+N(HSCEI!$I$53)/100))</f>
        <v/>
      </c>
      <c r="AH198" s="66">
        <f>IF($C198="","",IF(PULL_FUND="N","",IF(COUNTIFS('Fund History'!$D$1132:$D$1136,"&gt;="&amp;DATE(YEAR_Y-2,1,1),'Fund History'!$D$1132:$D$1136,"&lt;="&amp;DATE(YEAR_Y-2,12,31))=0,"",SUMIFS('Fund History'!$E$1132:$E$1136,'Fund History'!$D$1132:$D$1136,"&gt;="&amp;DATE(YEAR_Y-2,1,1),'Fund History'!$D$1132:$D$1136,"&lt;="&amp;DATE(YEAR_Y-2,12,31)))))</f>
        <v/>
      </c>
      <c r="AI198" s="67">
        <f>IF($C198="","",IF(PULL_FUND="N","",IF(COUNTIFS('Fund History'!$D$1132:$D$1136,"&gt;="&amp;DATE(YEAR_Y-1,1,1),'Fund History'!$D$1132:$D$1136,"&lt;="&amp;DATE(YEAR_Y-1,12,31))=0,"",SUMIFS('Fund History'!$E$1132:$E$1136,'Fund History'!$D$1132:$D$1136,"&gt;="&amp;DATE(YEAR_Y-1,1,1),'Fund History'!$D$1132:$D$1136,"&lt;="&amp;DATE(YEAR_Y-1,12,31)))))</f>
        <v/>
      </c>
      <c r="AJ198" s="67">
        <f>IF($C198="","",IF(PULL_FUND="N","",IFERROR(BDP($C198,NDEBITDA_FIELD),"")))</f>
        <v/>
      </c>
      <c r="AK198" s="75">
        <f>IF($C198="","",IF(PULL_FUND="N","",IFERROR(BDP($C198,EBINT_FIELD),"")))</f>
        <v/>
      </c>
      <c r="AL198" s="73">
        <f>IF($C198="","",IF(PULL_FUND="N","",IFERROR(BDP($C198,FCF_FIELD)/100,"")))</f>
        <v/>
      </c>
      <c r="AM198" s="76">
        <f>IF($C198="","",IF(ISNUMBER(HSCEI!$I$53),HSCEI!$I$53/100,""))</f>
        <v/>
      </c>
      <c r="AN198" s="47">
        <f>IF($C198="","",IF(N($AM198)=0,"",IFERROR($AL198/$AM198,"")))</f>
        <v/>
      </c>
      <c r="AO198" s="33">
        <f>IF($C198="","",IF(ISNUMBER($S198)*ISNUMBER($W198)=0,"",IF($W198&gt;$S198+0.05,"rising",IF($W198&lt;$S198-0.05,"falling","stable"))))</f>
        <v/>
      </c>
      <c r="AP198" s="77">
        <f>IF($C198="","",TRIM(IF(ISNUMBER($X198)*(N($X198)&gt;$D$4)&gt;0,"payout high  ","")&amp;IF(ISNUMBER($AN198)*(N($AN198)&lt;$F$4)&gt;0,"FCF below dvd  ","")&amp;IF(ISNUMBER($AJ198)*(N($AJ198)&gt;$H$4)&gt;0,"leverage high","")))</f>
        <v/>
      </c>
      <c r="AQ198" s="78">
        <f>IF($C198="","",IF(HSCEI!$F$53="HKD","",HSCEI!$F$53))</f>
        <v/>
      </c>
    </row>
    <row r="199">
      <c r="B199" s="62" t="inlineStr">
        <is>
          <t>HSCEI</t>
        </is>
      </c>
      <c r="C199" s="6">
        <f>IF(HSCEI!$C$54="","",HSCEI!$C$54)</f>
        <v/>
      </c>
      <c r="D199" s="6">
        <f>IF($C199="","",HSCEI!$D$54)</f>
        <v/>
      </c>
      <c r="E199" s="6">
        <f>IF($C199="","",HSCEI!$E$54)</f>
        <v/>
      </c>
      <c r="F199" s="63">
        <f>IF($C199="","",SUMPRODUCT(('Dvd Calendar'!$E$2078:$AR$2078&gt;=DATE(YEAR_Y-5,1,1))*('Dvd Calendar'!$E$2078:$AR$2078&lt;=DATE(YEAR_Y-5,12,31))*'Dvd Calendar'!$E$2081:$AR$2081*(('Dvd Calendar'!$E$2083:$AR$2083=TYPE1)*(TYPE1&lt;&gt;"")+('Dvd Calendar'!$E$2083:$AR$2083=TYPE2)*(TYPE2&lt;&gt;"")+('Dvd Calendar'!$E$2083:$AR$2083=TYPE3)*(TYPE3&lt;&gt;"")+('Dvd Calendar'!$E$2083:$AR$2083=TYPE4)*(TYPE4&lt;&gt;"")+('Dvd Calendar'!$E$2083:$AR$2083=SPECIAL_LBL)*(INC_SPECIALS="Y"))))</f>
        <v/>
      </c>
      <c r="G199" s="64">
        <f>IF($C199="","",SUMPRODUCT(('Dvd Calendar'!$E$2078:$AR$2078&gt;=DATE(YEAR_Y-4,1,1))*('Dvd Calendar'!$E$2078:$AR$2078&lt;=DATE(YEAR_Y-4,12,31))*'Dvd Calendar'!$E$2081:$AR$2081*(('Dvd Calendar'!$E$2083:$AR$2083=TYPE1)*(TYPE1&lt;&gt;"")+('Dvd Calendar'!$E$2083:$AR$2083=TYPE2)*(TYPE2&lt;&gt;"")+('Dvd Calendar'!$E$2083:$AR$2083=TYPE3)*(TYPE3&lt;&gt;"")+('Dvd Calendar'!$E$2083:$AR$2083=TYPE4)*(TYPE4&lt;&gt;"")+('Dvd Calendar'!$E$2083:$AR$2083=SPECIAL_LBL)*(INC_SPECIALS="Y"))))</f>
        <v/>
      </c>
      <c r="H199" s="64">
        <f>IF($C199="","",SUMPRODUCT(('Dvd Calendar'!$E$2078:$AR$2078&gt;=DATE(YEAR_Y-3,1,1))*('Dvd Calendar'!$E$2078:$AR$2078&lt;=DATE(YEAR_Y-3,12,31))*'Dvd Calendar'!$E$2081:$AR$2081*(('Dvd Calendar'!$E$2083:$AR$2083=TYPE1)*(TYPE1&lt;&gt;"")+('Dvd Calendar'!$E$2083:$AR$2083=TYPE2)*(TYPE2&lt;&gt;"")+('Dvd Calendar'!$E$2083:$AR$2083=TYPE3)*(TYPE3&lt;&gt;"")+('Dvd Calendar'!$E$2083:$AR$2083=TYPE4)*(TYPE4&lt;&gt;"")+('Dvd Calendar'!$E$2083:$AR$2083=SPECIAL_LBL)*(INC_SPECIALS="Y"))))</f>
        <v/>
      </c>
      <c r="I199" s="64">
        <f>IF($C199="","",SUMPRODUCT(('Dvd Calendar'!$E$2078:$AR$2078&gt;=DATE(YEAR_Y-2,1,1))*('Dvd Calendar'!$E$2078:$AR$2078&lt;=DATE(YEAR_Y-2,12,31))*'Dvd Calendar'!$E$2081:$AR$2081*(('Dvd Calendar'!$E$2083:$AR$2083=TYPE1)*(TYPE1&lt;&gt;"")+('Dvd Calendar'!$E$2083:$AR$2083=TYPE2)*(TYPE2&lt;&gt;"")+('Dvd Calendar'!$E$2083:$AR$2083=TYPE3)*(TYPE3&lt;&gt;"")+('Dvd Calendar'!$E$2083:$AR$2083=TYPE4)*(TYPE4&lt;&gt;"")+('Dvd Calendar'!$E$2083:$AR$2083=SPECIAL_LBL)*(INC_SPECIALS="Y"))))</f>
        <v/>
      </c>
      <c r="J199" s="64">
        <f>IF($C199="","",SUMPRODUCT(('Dvd Calendar'!$E$2078:$AR$2078&gt;=DATE(YEAR_Y-1,1,1))*('Dvd Calendar'!$E$2078:$AR$2078&lt;=DATE(YEAR_Y-1,12,31))*'Dvd Calendar'!$E$2081:$AR$2081*(('Dvd Calendar'!$E$2083:$AR$2083=TYPE1)*(TYPE1&lt;&gt;"")+('Dvd Calendar'!$E$2083:$AR$2083=TYPE2)*(TYPE2&lt;&gt;"")+('Dvd Calendar'!$E$2083:$AR$2083=TYPE3)*(TYPE3&lt;&gt;"")+('Dvd Calendar'!$E$2083:$AR$2083=TYPE4)*(TYPE4&lt;&gt;"")+('Dvd Calendar'!$E$2083:$AR$2083=SPECIAL_LBL)*(INC_SPECIALS="Y"))))</f>
        <v/>
      </c>
      <c r="K199" s="65">
        <f>IF($C199="","",HSCEI!$J$54)</f>
        <v/>
      </c>
      <c r="L199" s="65">
        <f>IF($C199="","",HSCEI!$K$54)</f>
        <v/>
      </c>
      <c r="M199" s="41">
        <f>IF($C199="","",AVERAGE(F199:J199))</f>
        <v/>
      </c>
      <c r="N199" s="66">
        <f>IF($C199="","",IF(PULL_FUND="N","",IFERROR(BDP($C199,EPS_FIELD,YR_OVERRIDE,TEXT(YEAR_Y-5,"0")),"")))</f>
        <v/>
      </c>
      <c r="O199" s="67">
        <f>IF($C199="","",IF(PULL_FUND="N","",IFERROR(BDP($C199,EPS_FIELD,YR_OVERRIDE,TEXT(YEAR_Y-4,"0")),"")))</f>
        <v/>
      </c>
      <c r="P199" s="67">
        <f>IF($C199="","",IF(PULL_FUND="N","",IFERROR(BDP($C199,EPS_FIELD,YR_OVERRIDE,TEXT(YEAR_Y-3,"0")),"")))</f>
        <v/>
      </c>
      <c r="Q199" s="67">
        <f>IF($C199="","",IF(PULL_FUND="N","",IFERROR(BDP($C199,EPS_FIELD,YR_OVERRIDE,TEXT(YEAR_Y-2,"0")),"")))</f>
        <v/>
      </c>
      <c r="R199" s="67">
        <f>IF($C199="","",IF(PULL_FUND="N","",IFERROR(BDP($C199,EPS_FIELD,YR_OVERRIDE,TEXT(YEAR_Y-1,"0")),"")))</f>
        <v/>
      </c>
      <c r="S199" s="68">
        <f>IF($C199="","",IF(PULL_FUND="N","",IFERROR(BDP($C199,PAYOUT_FIELD,YR_OVERRIDE,TEXT(YEAR_Y-5,"0"))/100,"")))</f>
        <v/>
      </c>
      <c r="T199" s="68">
        <f>IF($C199="","",IF(PULL_FUND="N","",IFERROR(BDP($C199,PAYOUT_FIELD,YR_OVERRIDE,TEXT(YEAR_Y-4,"0"))/100,"")))</f>
        <v/>
      </c>
      <c r="U199" s="68">
        <f>IF($C199="","",IF(PULL_FUND="N","",IFERROR(BDP($C199,PAYOUT_FIELD,YR_OVERRIDE,TEXT(YEAR_Y-3,"0"))/100,"")))</f>
        <v/>
      </c>
      <c r="V199" s="68">
        <f>IF($C199="","",IF(PULL_FUND="N","",IFERROR(BDP($C199,PAYOUT_FIELD,YR_OVERRIDE,TEXT(YEAR_Y-2,"0"))/100,"")))</f>
        <v/>
      </c>
      <c r="W199" s="68">
        <f>IF($C199="","",IF(PULL_FUND="N","",IFERROR(BDP($C199,PAYOUT_FIELD,YR_OVERRIDE,TEXT(YEAR_Y-1,"0"))/100,"")))</f>
        <v/>
      </c>
      <c r="X199" s="69">
        <f>IF($C199="","",IFERROR(AVERAGE(S199:W199),""))</f>
        <v/>
      </c>
      <c r="Y199" s="66">
        <f>IF($C199="","",IF(PULL_FUND="N","",IFERROR(BDP($C199,BESTEPS_FIELD,FWD_OVERRIDE,TEXT(MOD(YEAR_Y,100),"00")&amp;"Y"),"")))</f>
        <v/>
      </c>
      <c r="Z199" s="70">
        <f>IF($C199="","",IF(PULL_FUND="N","",IFERROR(BDP($C199,BESTDPS_FIELD,FWD_OVERRIDE,TEXT(MOD(YEAR_Y,100),"00")&amp;"Y"),"")))</f>
        <v/>
      </c>
      <c r="AA199" s="71">
        <f>IF($C199="","",IF(ISNUMBER($Y199)*ISNUMBER($Z199)*($Y199&lt;&gt;0)=0,"",$Z199/$Y199))</f>
        <v/>
      </c>
      <c r="AB199" s="41">
        <f>IF($C199="","",HSCEI!$J$54+HSCEI!$L$54)</f>
        <v/>
      </c>
      <c r="AC199" s="72">
        <f>IF($C199="","",IF(PULL_FUND="N","",IF(COUNTIFS('Fund History'!$G$1138:$G$1142,"&gt;="&amp;DATE(YEAR_Y-4,1,1),'Fund History'!$G$1138:$G$1142,"&lt;="&amp;DATE(YEAR_Y-4,12,31))=0,"",SUMIFS('Fund History'!$H$1138:$H$1142,'Fund History'!$G$1138:$G$1142,"&gt;="&amp;DATE(YEAR_Y-4,1,1),'Fund History'!$G$1138:$G$1142,"&lt;="&amp;DATE(YEAR_Y-4,12,31))/100)))</f>
        <v/>
      </c>
      <c r="AD199" s="73">
        <f>IF($C199="","",IF(PULL_FUND="N","",IF(COUNTIFS('Fund History'!$G$1138:$G$1142,"&gt;="&amp;DATE(YEAR_Y-3,1,1),'Fund History'!$G$1138:$G$1142,"&lt;="&amp;DATE(YEAR_Y-3,12,31))=0,"",SUMIFS('Fund History'!$H$1138:$H$1142,'Fund History'!$G$1138:$G$1142,"&gt;="&amp;DATE(YEAR_Y-3,1,1),'Fund History'!$G$1138:$G$1142,"&lt;="&amp;DATE(YEAR_Y-3,12,31))/100)))</f>
        <v/>
      </c>
      <c r="AE199" s="73">
        <f>IF($C199="","",IF(PULL_FUND="N","",IF(COUNTIFS('Fund History'!$G$1138:$G$1142,"&gt;="&amp;DATE(YEAR_Y-2,1,1),'Fund History'!$G$1138:$G$1142,"&lt;="&amp;DATE(YEAR_Y-2,12,31))=0,"",SUMIFS('Fund History'!$H$1138:$H$1142,'Fund History'!$G$1138:$G$1142,"&gt;="&amp;DATE(YEAR_Y-2,1,1),'Fund History'!$G$1138:$G$1142,"&lt;="&amp;DATE(YEAR_Y-2,12,31))/100)))</f>
        <v/>
      </c>
      <c r="AF199" s="73">
        <f>IF($C199="","",IF(PULL_FUND="N","",IF(COUNTIFS('Fund History'!$G$1138:$G$1142,"&gt;="&amp;DATE(YEAR_Y-1,1,1),'Fund History'!$G$1138:$G$1142,"&lt;="&amp;DATE(YEAR_Y-1,12,31))=0,"",SUMIFS('Fund History'!$H$1138:$H$1142,'Fund History'!$G$1138:$G$1142,"&gt;="&amp;DATE(YEAR_Y-1,1,1),'Fund History'!$G$1138:$G$1142,"&lt;="&amp;DATE(YEAR_Y-1,12,31))/100)))</f>
        <v/>
      </c>
      <c r="AG199" s="74">
        <f>IF($C199="","",IF(N($AF199)+N(HSCEI!$I$54)=0,"",N($AF199)+N(HSCEI!$I$54)/100))</f>
        <v/>
      </c>
      <c r="AH199" s="66">
        <f>IF($C199="","",IF(PULL_FUND="N","",IF(COUNTIFS('Fund History'!$D$1138:$D$1142,"&gt;="&amp;DATE(YEAR_Y-2,1,1),'Fund History'!$D$1138:$D$1142,"&lt;="&amp;DATE(YEAR_Y-2,12,31))=0,"",SUMIFS('Fund History'!$E$1138:$E$1142,'Fund History'!$D$1138:$D$1142,"&gt;="&amp;DATE(YEAR_Y-2,1,1),'Fund History'!$D$1138:$D$1142,"&lt;="&amp;DATE(YEAR_Y-2,12,31)))))</f>
        <v/>
      </c>
      <c r="AI199" s="67">
        <f>IF($C199="","",IF(PULL_FUND="N","",IF(COUNTIFS('Fund History'!$D$1138:$D$1142,"&gt;="&amp;DATE(YEAR_Y-1,1,1),'Fund History'!$D$1138:$D$1142,"&lt;="&amp;DATE(YEAR_Y-1,12,31))=0,"",SUMIFS('Fund History'!$E$1138:$E$1142,'Fund History'!$D$1138:$D$1142,"&gt;="&amp;DATE(YEAR_Y-1,1,1),'Fund History'!$D$1138:$D$1142,"&lt;="&amp;DATE(YEAR_Y-1,12,31)))))</f>
        <v/>
      </c>
      <c r="AJ199" s="67">
        <f>IF($C199="","",IF(PULL_FUND="N","",IFERROR(BDP($C199,NDEBITDA_FIELD),"")))</f>
        <v/>
      </c>
      <c r="AK199" s="75">
        <f>IF($C199="","",IF(PULL_FUND="N","",IFERROR(BDP($C199,EBINT_FIELD),"")))</f>
        <v/>
      </c>
      <c r="AL199" s="73">
        <f>IF($C199="","",IF(PULL_FUND="N","",IFERROR(BDP($C199,FCF_FIELD)/100,"")))</f>
        <v/>
      </c>
      <c r="AM199" s="76">
        <f>IF($C199="","",IF(ISNUMBER(HSCEI!$I$54),HSCEI!$I$54/100,""))</f>
        <v/>
      </c>
      <c r="AN199" s="47">
        <f>IF($C199="","",IF(N($AM199)=0,"",IFERROR($AL199/$AM199,"")))</f>
        <v/>
      </c>
      <c r="AO199" s="33">
        <f>IF($C199="","",IF(ISNUMBER($S199)*ISNUMBER($W199)=0,"",IF($W199&gt;$S199+0.05,"rising",IF($W199&lt;$S199-0.05,"falling","stable"))))</f>
        <v/>
      </c>
      <c r="AP199" s="77">
        <f>IF($C199="","",TRIM(IF(ISNUMBER($X199)*(N($X199)&gt;$D$4)&gt;0,"payout high  ","")&amp;IF(ISNUMBER($AN199)*(N($AN199)&lt;$F$4)&gt;0,"FCF below dvd  ","")&amp;IF(ISNUMBER($AJ199)*(N($AJ199)&gt;$H$4)&gt;0,"leverage high","")))</f>
        <v/>
      </c>
      <c r="AQ199" s="78">
        <f>IF($C199="","",IF(HSCEI!$F$54="HKD","",HSCEI!$F$54))</f>
        <v/>
      </c>
    </row>
    <row r="200">
      <c r="B200" s="62" t="inlineStr">
        <is>
          <t>HSCEI</t>
        </is>
      </c>
      <c r="C200" s="6">
        <f>IF(HSCEI!$C$55="","",HSCEI!$C$55)</f>
        <v/>
      </c>
      <c r="D200" s="6">
        <f>IF($C200="","",HSCEI!$D$55)</f>
        <v/>
      </c>
      <c r="E200" s="6">
        <f>IF($C200="","",HSCEI!$E$55)</f>
        <v/>
      </c>
      <c r="F200" s="63">
        <f>IF($C200="","",SUMPRODUCT(('Dvd Calendar'!$E$2089:$AR$2089&gt;=DATE(YEAR_Y-5,1,1))*('Dvd Calendar'!$E$2089:$AR$2089&lt;=DATE(YEAR_Y-5,12,31))*'Dvd Calendar'!$E$2092:$AR$2092*(('Dvd Calendar'!$E$2094:$AR$2094=TYPE1)*(TYPE1&lt;&gt;"")+('Dvd Calendar'!$E$2094:$AR$2094=TYPE2)*(TYPE2&lt;&gt;"")+('Dvd Calendar'!$E$2094:$AR$2094=TYPE3)*(TYPE3&lt;&gt;"")+('Dvd Calendar'!$E$2094:$AR$2094=TYPE4)*(TYPE4&lt;&gt;"")+('Dvd Calendar'!$E$2094:$AR$2094=SPECIAL_LBL)*(INC_SPECIALS="Y"))))</f>
        <v/>
      </c>
      <c r="G200" s="64">
        <f>IF($C200="","",SUMPRODUCT(('Dvd Calendar'!$E$2089:$AR$2089&gt;=DATE(YEAR_Y-4,1,1))*('Dvd Calendar'!$E$2089:$AR$2089&lt;=DATE(YEAR_Y-4,12,31))*'Dvd Calendar'!$E$2092:$AR$2092*(('Dvd Calendar'!$E$2094:$AR$2094=TYPE1)*(TYPE1&lt;&gt;"")+('Dvd Calendar'!$E$2094:$AR$2094=TYPE2)*(TYPE2&lt;&gt;"")+('Dvd Calendar'!$E$2094:$AR$2094=TYPE3)*(TYPE3&lt;&gt;"")+('Dvd Calendar'!$E$2094:$AR$2094=TYPE4)*(TYPE4&lt;&gt;"")+('Dvd Calendar'!$E$2094:$AR$2094=SPECIAL_LBL)*(INC_SPECIALS="Y"))))</f>
        <v/>
      </c>
      <c r="H200" s="64">
        <f>IF($C200="","",SUMPRODUCT(('Dvd Calendar'!$E$2089:$AR$2089&gt;=DATE(YEAR_Y-3,1,1))*('Dvd Calendar'!$E$2089:$AR$2089&lt;=DATE(YEAR_Y-3,12,31))*'Dvd Calendar'!$E$2092:$AR$2092*(('Dvd Calendar'!$E$2094:$AR$2094=TYPE1)*(TYPE1&lt;&gt;"")+('Dvd Calendar'!$E$2094:$AR$2094=TYPE2)*(TYPE2&lt;&gt;"")+('Dvd Calendar'!$E$2094:$AR$2094=TYPE3)*(TYPE3&lt;&gt;"")+('Dvd Calendar'!$E$2094:$AR$2094=TYPE4)*(TYPE4&lt;&gt;"")+('Dvd Calendar'!$E$2094:$AR$2094=SPECIAL_LBL)*(INC_SPECIALS="Y"))))</f>
        <v/>
      </c>
      <c r="I200" s="64">
        <f>IF($C200="","",SUMPRODUCT(('Dvd Calendar'!$E$2089:$AR$2089&gt;=DATE(YEAR_Y-2,1,1))*('Dvd Calendar'!$E$2089:$AR$2089&lt;=DATE(YEAR_Y-2,12,31))*'Dvd Calendar'!$E$2092:$AR$2092*(('Dvd Calendar'!$E$2094:$AR$2094=TYPE1)*(TYPE1&lt;&gt;"")+('Dvd Calendar'!$E$2094:$AR$2094=TYPE2)*(TYPE2&lt;&gt;"")+('Dvd Calendar'!$E$2094:$AR$2094=TYPE3)*(TYPE3&lt;&gt;"")+('Dvd Calendar'!$E$2094:$AR$2094=TYPE4)*(TYPE4&lt;&gt;"")+('Dvd Calendar'!$E$2094:$AR$2094=SPECIAL_LBL)*(INC_SPECIALS="Y"))))</f>
        <v/>
      </c>
      <c r="J200" s="64">
        <f>IF($C200="","",SUMPRODUCT(('Dvd Calendar'!$E$2089:$AR$2089&gt;=DATE(YEAR_Y-1,1,1))*('Dvd Calendar'!$E$2089:$AR$2089&lt;=DATE(YEAR_Y-1,12,31))*'Dvd Calendar'!$E$2092:$AR$2092*(('Dvd Calendar'!$E$2094:$AR$2094=TYPE1)*(TYPE1&lt;&gt;"")+('Dvd Calendar'!$E$2094:$AR$2094=TYPE2)*(TYPE2&lt;&gt;"")+('Dvd Calendar'!$E$2094:$AR$2094=TYPE3)*(TYPE3&lt;&gt;"")+('Dvd Calendar'!$E$2094:$AR$2094=TYPE4)*(TYPE4&lt;&gt;"")+('Dvd Calendar'!$E$2094:$AR$2094=SPECIAL_LBL)*(INC_SPECIALS="Y"))))</f>
        <v/>
      </c>
      <c r="K200" s="65">
        <f>IF($C200="","",HSCEI!$J$55)</f>
        <v/>
      </c>
      <c r="L200" s="65">
        <f>IF($C200="","",HSCEI!$K$55)</f>
        <v/>
      </c>
      <c r="M200" s="41">
        <f>IF($C200="","",AVERAGE(F200:J200))</f>
        <v/>
      </c>
      <c r="N200" s="66">
        <f>IF($C200="","",IF(PULL_FUND="N","",IFERROR(BDP($C200,EPS_FIELD,YR_OVERRIDE,TEXT(YEAR_Y-5,"0")),"")))</f>
        <v/>
      </c>
      <c r="O200" s="67">
        <f>IF($C200="","",IF(PULL_FUND="N","",IFERROR(BDP($C200,EPS_FIELD,YR_OVERRIDE,TEXT(YEAR_Y-4,"0")),"")))</f>
        <v/>
      </c>
      <c r="P200" s="67">
        <f>IF($C200="","",IF(PULL_FUND="N","",IFERROR(BDP($C200,EPS_FIELD,YR_OVERRIDE,TEXT(YEAR_Y-3,"0")),"")))</f>
        <v/>
      </c>
      <c r="Q200" s="67">
        <f>IF($C200="","",IF(PULL_FUND="N","",IFERROR(BDP($C200,EPS_FIELD,YR_OVERRIDE,TEXT(YEAR_Y-2,"0")),"")))</f>
        <v/>
      </c>
      <c r="R200" s="67">
        <f>IF($C200="","",IF(PULL_FUND="N","",IFERROR(BDP($C200,EPS_FIELD,YR_OVERRIDE,TEXT(YEAR_Y-1,"0")),"")))</f>
        <v/>
      </c>
      <c r="S200" s="68">
        <f>IF($C200="","",IF(PULL_FUND="N","",IFERROR(BDP($C200,PAYOUT_FIELD,YR_OVERRIDE,TEXT(YEAR_Y-5,"0"))/100,"")))</f>
        <v/>
      </c>
      <c r="T200" s="68">
        <f>IF($C200="","",IF(PULL_FUND="N","",IFERROR(BDP($C200,PAYOUT_FIELD,YR_OVERRIDE,TEXT(YEAR_Y-4,"0"))/100,"")))</f>
        <v/>
      </c>
      <c r="U200" s="68">
        <f>IF($C200="","",IF(PULL_FUND="N","",IFERROR(BDP($C200,PAYOUT_FIELD,YR_OVERRIDE,TEXT(YEAR_Y-3,"0"))/100,"")))</f>
        <v/>
      </c>
      <c r="V200" s="68">
        <f>IF($C200="","",IF(PULL_FUND="N","",IFERROR(BDP($C200,PAYOUT_FIELD,YR_OVERRIDE,TEXT(YEAR_Y-2,"0"))/100,"")))</f>
        <v/>
      </c>
      <c r="W200" s="68">
        <f>IF($C200="","",IF(PULL_FUND="N","",IFERROR(BDP($C200,PAYOUT_FIELD,YR_OVERRIDE,TEXT(YEAR_Y-1,"0"))/100,"")))</f>
        <v/>
      </c>
      <c r="X200" s="69">
        <f>IF($C200="","",IFERROR(AVERAGE(S200:W200),""))</f>
        <v/>
      </c>
      <c r="Y200" s="66">
        <f>IF($C200="","",IF(PULL_FUND="N","",IFERROR(BDP($C200,BESTEPS_FIELD,FWD_OVERRIDE,TEXT(MOD(YEAR_Y,100),"00")&amp;"Y"),"")))</f>
        <v/>
      </c>
      <c r="Z200" s="70">
        <f>IF($C200="","",IF(PULL_FUND="N","",IFERROR(BDP($C200,BESTDPS_FIELD,FWD_OVERRIDE,TEXT(MOD(YEAR_Y,100),"00")&amp;"Y"),"")))</f>
        <v/>
      </c>
      <c r="AA200" s="71">
        <f>IF($C200="","",IF(ISNUMBER($Y200)*ISNUMBER($Z200)*($Y200&lt;&gt;0)=0,"",$Z200/$Y200))</f>
        <v/>
      </c>
      <c r="AB200" s="41">
        <f>IF($C200="","",HSCEI!$J$55+HSCEI!$L$55)</f>
        <v/>
      </c>
      <c r="AC200" s="72">
        <f>IF($C200="","",IF(PULL_FUND="N","",IF(COUNTIFS('Fund History'!$G$1144:$G$1148,"&gt;="&amp;DATE(YEAR_Y-4,1,1),'Fund History'!$G$1144:$G$1148,"&lt;="&amp;DATE(YEAR_Y-4,12,31))=0,"",SUMIFS('Fund History'!$H$1144:$H$1148,'Fund History'!$G$1144:$G$1148,"&gt;="&amp;DATE(YEAR_Y-4,1,1),'Fund History'!$G$1144:$G$1148,"&lt;="&amp;DATE(YEAR_Y-4,12,31))/100)))</f>
        <v/>
      </c>
      <c r="AD200" s="73">
        <f>IF($C200="","",IF(PULL_FUND="N","",IF(COUNTIFS('Fund History'!$G$1144:$G$1148,"&gt;="&amp;DATE(YEAR_Y-3,1,1),'Fund History'!$G$1144:$G$1148,"&lt;="&amp;DATE(YEAR_Y-3,12,31))=0,"",SUMIFS('Fund History'!$H$1144:$H$1148,'Fund History'!$G$1144:$G$1148,"&gt;="&amp;DATE(YEAR_Y-3,1,1),'Fund History'!$G$1144:$G$1148,"&lt;="&amp;DATE(YEAR_Y-3,12,31))/100)))</f>
        <v/>
      </c>
      <c r="AE200" s="73">
        <f>IF($C200="","",IF(PULL_FUND="N","",IF(COUNTIFS('Fund History'!$G$1144:$G$1148,"&gt;="&amp;DATE(YEAR_Y-2,1,1),'Fund History'!$G$1144:$G$1148,"&lt;="&amp;DATE(YEAR_Y-2,12,31))=0,"",SUMIFS('Fund History'!$H$1144:$H$1148,'Fund History'!$G$1144:$G$1148,"&gt;="&amp;DATE(YEAR_Y-2,1,1),'Fund History'!$G$1144:$G$1148,"&lt;="&amp;DATE(YEAR_Y-2,12,31))/100)))</f>
        <v/>
      </c>
      <c r="AF200" s="73">
        <f>IF($C200="","",IF(PULL_FUND="N","",IF(COUNTIFS('Fund History'!$G$1144:$G$1148,"&gt;="&amp;DATE(YEAR_Y-1,1,1),'Fund History'!$G$1144:$G$1148,"&lt;="&amp;DATE(YEAR_Y-1,12,31))=0,"",SUMIFS('Fund History'!$H$1144:$H$1148,'Fund History'!$G$1144:$G$1148,"&gt;="&amp;DATE(YEAR_Y-1,1,1),'Fund History'!$G$1144:$G$1148,"&lt;="&amp;DATE(YEAR_Y-1,12,31))/100)))</f>
        <v/>
      </c>
      <c r="AG200" s="74">
        <f>IF($C200="","",IF(N($AF200)+N(HSCEI!$I$55)=0,"",N($AF200)+N(HSCEI!$I$55)/100))</f>
        <v/>
      </c>
      <c r="AH200" s="66">
        <f>IF($C200="","",IF(PULL_FUND="N","",IF(COUNTIFS('Fund History'!$D$1144:$D$1148,"&gt;="&amp;DATE(YEAR_Y-2,1,1),'Fund History'!$D$1144:$D$1148,"&lt;="&amp;DATE(YEAR_Y-2,12,31))=0,"",SUMIFS('Fund History'!$E$1144:$E$1148,'Fund History'!$D$1144:$D$1148,"&gt;="&amp;DATE(YEAR_Y-2,1,1),'Fund History'!$D$1144:$D$1148,"&lt;="&amp;DATE(YEAR_Y-2,12,31)))))</f>
        <v/>
      </c>
      <c r="AI200" s="67">
        <f>IF($C200="","",IF(PULL_FUND="N","",IF(COUNTIFS('Fund History'!$D$1144:$D$1148,"&gt;="&amp;DATE(YEAR_Y-1,1,1),'Fund History'!$D$1144:$D$1148,"&lt;="&amp;DATE(YEAR_Y-1,12,31))=0,"",SUMIFS('Fund History'!$E$1144:$E$1148,'Fund History'!$D$1144:$D$1148,"&gt;="&amp;DATE(YEAR_Y-1,1,1),'Fund History'!$D$1144:$D$1148,"&lt;="&amp;DATE(YEAR_Y-1,12,31)))))</f>
        <v/>
      </c>
      <c r="AJ200" s="67">
        <f>IF($C200="","",IF(PULL_FUND="N","",IFERROR(BDP($C200,NDEBITDA_FIELD),"")))</f>
        <v/>
      </c>
      <c r="AK200" s="75">
        <f>IF($C200="","",IF(PULL_FUND="N","",IFERROR(BDP($C200,EBINT_FIELD),"")))</f>
        <v/>
      </c>
      <c r="AL200" s="73">
        <f>IF($C200="","",IF(PULL_FUND="N","",IFERROR(BDP($C200,FCF_FIELD)/100,"")))</f>
        <v/>
      </c>
      <c r="AM200" s="76">
        <f>IF($C200="","",IF(ISNUMBER(HSCEI!$I$55),HSCEI!$I$55/100,""))</f>
        <v/>
      </c>
      <c r="AN200" s="47">
        <f>IF($C200="","",IF(N($AM200)=0,"",IFERROR($AL200/$AM200,"")))</f>
        <v/>
      </c>
      <c r="AO200" s="33">
        <f>IF($C200="","",IF(ISNUMBER($S200)*ISNUMBER($W200)=0,"",IF($W200&gt;$S200+0.05,"rising",IF($W200&lt;$S200-0.05,"falling","stable"))))</f>
        <v/>
      </c>
      <c r="AP200" s="77">
        <f>IF($C200="","",TRIM(IF(ISNUMBER($X200)*(N($X200)&gt;$D$4)&gt;0,"payout high  ","")&amp;IF(ISNUMBER($AN200)*(N($AN200)&lt;$F$4)&gt;0,"FCF below dvd  ","")&amp;IF(ISNUMBER($AJ200)*(N($AJ200)&gt;$H$4)&gt;0,"leverage high","")))</f>
        <v/>
      </c>
      <c r="AQ200" s="78">
        <f>IF($C200="","",IF(HSCEI!$F$55="HKD","",HSCEI!$F$55))</f>
        <v/>
      </c>
    </row>
    <row r="201">
      <c r="B201" s="62" t="inlineStr">
        <is>
          <t>HSCEI</t>
        </is>
      </c>
      <c r="C201" s="6">
        <f>IF(HSCEI!$C$56="","",HSCEI!$C$56)</f>
        <v/>
      </c>
      <c r="D201" s="6">
        <f>IF($C201="","",HSCEI!$D$56)</f>
        <v/>
      </c>
      <c r="E201" s="6">
        <f>IF($C201="","",HSCEI!$E$56)</f>
        <v/>
      </c>
      <c r="F201" s="63">
        <f>IF($C201="","",SUMPRODUCT(('Dvd Calendar'!$E$2100:$AR$2100&gt;=DATE(YEAR_Y-5,1,1))*('Dvd Calendar'!$E$2100:$AR$2100&lt;=DATE(YEAR_Y-5,12,31))*'Dvd Calendar'!$E$2103:$AR$2103*(('Dvd Calendar'!$E$2105:$AR$2105=TYPE1)*(TYPE1&lt;&gt;"")+('Dvd Calendar'!$E$2105:$AR$2105=TYPE2)*(TYPE2&lt;&gt;"")+('Dvd Calendar'!$E$2105:$AR$2105=TYPE3)*(TYPE3&lt;&gt;"")+('Dvd Calendar'!$E$2105:$AR$2105=TYPE4)*(TYPE4&lt;&gt;"")+('Dvd Calendar'!$E$2105:$AR$2105=SPECIAL_LBL)*(INC_SPECIALS="Y"))))</f>
        <v/>
      </c>
      <c r="G201" s="64">
        <f>IF($C201="","",SUMPRODUCT(('Dvd Calendar'!$E$2100:$AR$2100&gt;=DATE(YEAR_Y-4,1,1))*('Dvd Calendar'!$E$2100:$AR$2100&lt;=DATE(YEAR_Y-4,12,31))*'Dvd Calendar'!$E$2103:$AR$2103*(('Dvd Calendar'!$E$2105:$AR$2105=TYPE1)*(TYPE1&lt;&gt;"")+('Dvd Calendar'!$E$2105:$AR$2105=TYPE2)*(TYPE2&lt;&gt;"")+('Dvd Calendar'!$E$2105:$AR$2105=TYPE3)*(TYPE3&lt;&gt;"")+('Dvd Calendar'!$E$2105:$AR$2105=TYPE4)*(TYPE4&lt;&gt;"")+('Dvd Calendar'!$E$2105:$AR$2105=SPECIAL_LBL)*(INC_SPECIALS="Y"))))</f>
        <v/>
      </c>
      <c r="H201" s="64">
        <f>IF($C201="","",SUMPRODUCT(('Dvd Calendar'!$E$2100:$AR$2100&gt;=DATE(YEAR_Y-3,1,1))*('Dvd Calendar'!$E$2100:$AR$2100&lt;=DATE(YEAR_Y-3,12,31))*'Dvd Calendar'!$E$2103:$AR$2103*(('Dvd Calendar'!$E$2105:$AR$2105=TYPE1)*(TYPE1&lt;&gt;"")+('Dvd Calendar'!$E$2105:$AR$2105=TYPE2)*(TYPE2&lt;&gt;"")+('Dvd Calendar'!$E$2105:$AR$2105=TYPE3)*(TYPE3&lt;&gt;"")+('Dvd Calendar'!$E$2105:$AR$2105=TYPE4)*(TYPE4&lt;&gt;"")+('Dvd Calendar'!$E$2105:$AR$2105=SPECIAL_LBL)*(INC_SPECIALS="Y"))))</f>
        <v/>
      </c>
      <c r="I201" s="64">
        <f>IF($C201="","",SUMPRODUCT(('Dvd Calendar'!$E$2100:$AR$2100&gt;=DATE(YEAR_Y-2,1,1))*('Dvd Calendar'!$E$2100:$AR$2100&lt;=DATE(YEAR_Y-2,12,31))*'Dvd Calendar'!$E$2103:$AR$2103*(('Dvd Calendar'!$E$2105:$AR$2105=TYPE1)*(TYPE1&lt;&gt;"")+('Dvd Calendar'!$E$2105:$AR$2105=TYPE2)*(TYPE2&lt;&gt;"")+('Dvd Calendar'!$E$2105:$AR$2105=TYPE3)*(TYPE3&lt;&gt;"")+('Dvd Calendar'!$E$2105:$AR$2105=TYPE4)*(TYPE4&lt;&gt;"")+('Dvd Calendar'!$E$2105:$AR$2105=SPECIAL_LBL)*(INC_SPECIALS="Y"))))</f>
        <v/>
      </c>
      <c r="J201" s="64">
        <f>IF($C201="","",SUMPRODUCT(('Dvd Calendar'!$E$2100:$AR$2100&gt;=DATE(YEAR_Y-1,1,1))*('Dvd Calendar'!$E$2100:$AR$2100&lt;=DATE(YEAR_Y-1,12,31))*'Dvd Calendar'!$E$2103:$AR$2103*(('Dvd Calendar'!$E$2105:$AR$2105=TYPE1)*(TYPE1&lt;&gt;"")+('Dvd Calendar'!$E$2105:$AR$2105=TYPE2)*(TYPE2&lt;&gt;"")+('Dvd Calendar'!$E$2105:$AR$2105=TYPE3)*(TYPE3&lt;&gt;"")+('Dvd Calendar'!$E$2105:$AR$2105=TYPE4)*(TYPE4&lt;&gt;"")+('Dvd Calendar'!$E$2105:$AR$2105=SPECIAL_LBL)*(INC_SPECIALS="Y"))))</f>
        <v/>
      </c>
      <c r="K201" s="65">
        <f>IF($C201="","",HSCEI!$J$56)</f>
        <v/>
      </c>
      <c r="L201" s="65">
        <f>IF($C201="","",HSCEI!$K$56)</f>
        <v/>
      </c>
      <c r="M201" s="41">
        <f>IF($C201="","",AVERAGE(F201:J201))</f>
        <v/>
      </c>
      <c r="N201" s="66">
        <f>IF($C201="","",IF(PULL_FUND="N","",IFERROR(BDP($C201,EPS_FIELD,YR_OVERRIDE,TEXT(YEAR_Y-5,"0")),"")))</f>
        <v/>
      </c>
      <c r="O201" s="67">
        <f>IF($C201="","",IF(PULL_FUND="N","",IFERROR(BDP($C201,EPS_FIELD,YR_OVERRIDE,TEXT(YEAR_Y-4,"0")),"")))</f>
        <v/>
      </c>
      <c r="P201" s="67">
        <f>IF($C201="","",IF(PULL_FUND="N","",IFERROR(BDP($C201,EPS_FIELD,YR_OVERRIDE,TEXT(YEAR_Y-3,"0")),"")))</f>
        <v/>
      </c>
      <c r="Q201" s="67">
        <f>IF($C201="","",IF(PULL_FUND="N","",IFERROR(BDP($C201,EPS_FIELD,YR_OVERRIDE,TEXT(YEAR_Y-2,"0")),"")))</f>
        <v/>
      </c>
      <c r="R201" s="67">
        <f>IF($C201="","",IF(PULL_FUND="N","",IFERROR(BDP($C201,EPS_FIELD,YR_OVERRIDE,TEXT(YEAR_Y-1,"0")),"")))</f>
        <v/>
      </c>
      <c r="S201" s="68">
        <f>IF($C201="","",IF(PULL_FUND="N","",IFERROR(BDP($C201,PAYOUT_FIELD,YR_OVERRIDE,TEXT(YEAR_Y-5,"0"))/100,"")))</f>
        <v/>
      </c>
      <c r="T201" s="68">
        <f>IF($C201="","",IF(PULL_FUND="N","",IFERROR(BDP($C201,PAYOUT_FIELD,YR_OVERRIDE,TEXT(YEAR_Y-4,"0"))/100,"")))</f>
        <v/>
      </c>
      <c r="U201" s="68">
        <f>IF($C201="","",IF(PULL_FUND="N","",IFERROR(BDP($C201,PAYOUT_FIELD,YR_OVERRIDE,TEXT(YEAR_Y-3,"0"))/100,"")))</f>
        <v/>
      </c>
      <c r="V201" s="68">
        <f>IF($C201="","",IF(PULL_FUND="N","",IFERROR(BDP($C201,PAYOUT_FIELD,YR_OVERRIDE,TEXT(YEAR_Y-2,"0"))/100,"")))</f>
        <v/>
      </c>
      <c r="W201" s="68">
        <f>IF($C201="","",IF(PULL_FUND="N","",IFERROR(BDP($C201,PAYOUT_FIELD,YR_OVERRIDE,TEXT(YEAR_Y-1,"0"))/100,"")))</f>
        <v/>
      </c>
      <c r="X201" s="69">
        <f>IF($C201="","",IFERROR(AVERAGE(S201:W201),""))</f>
        <v/>
      </c>
      <c r="Y201" s="66">
        <f>IF($C201="","",IF(PULL_FUND="N","",IFERROR(BDP($C201,BESTEPS_FIELD,FWD_OVERRIDE,TEXT(MOD(YEAR_Y,100),"00")&amp;"Y"),"")))</f>
        <v/>
      </c>
      <c r="Z201" s="70">
        <f>IF($C201="","",IF(PULL_FUND="N","",IFERROR(BDP($C201,BESTDPS_FIELD,FWD_OVERRIDE,TEXT(MOD(YEAR_Y,100),"00")&amp;"Y"),"")))</f>
        <v/>
      </c>
      <c r="AA201" s="71">
        <f>IF($C201="","",IF(ISNUMBER($Y201)*ISNUMBER($Z201)*($Y201&lt;&gt;0)=0,"",$Z201/$Y201))</f>
        <v/>
      </c>
      <c r="AB201" s="41">
        <f>IF($C201="","",HSCEI!$J$56+HSCEI!$L$56)</f>
        <v/>
      </c>
      <c r="AC201" s="72">
        <f>IF($C201="","",IF(PULL_FUND="N","",IF(COUNTIFS('Fund History'!$G$1150:$G$1154,"&gt;="&amp;DATE(YEAR_Y-4,1,1),'Fund History'!$G$1150:$G$1154,"&lt;="&amp;DATE(YEAR_Y-4,12,31))=0,"",SUMIFS('Fund History'!$H$1150:$H$1154,'Fund History'!$G$1150:$G$1154,"&gt;="&amp;DATE(YEAR_Y-4,1,1),'Fund History'!$G$1150:$G$1154,"&lt;="&amp;DATE(YEAR_Y-4,12,31))/100)))</f>
        <v/>
      </c>
      <c r="AD201" s="73">
        <f>IF($C201="","",IF(PULL_FUND="N","",IF(COUNTIFS('Fund History'!$G$1150:$G$1154,"&gt;="&amp;DATE(YEAR_Y-3,1,1),'Fund History'!$G$1150:$G$1154,"&lt;="&amp;DATE(YEAR_Y-3,12,31))=0,"",SUMIFS('Fund History'!$H$1150:$H$1154,'Fund History'!$G$1150:$G$1154,"&gt;="&amp;DATE(YEAR_Y-3,1,1),'Fund History'!$G$1150:$G$1154,"&lt;="&amp;DATE(YEAR_Y-3,12,31))/100)))</f>
        <v/>
      </c>
      <c r="AE201" s="73">
        <f>IF($C201="","",IF(PULL_FUND="N","",IF(COUNTIFS('Fund History'!$G$1150:$G$1154,"&gt;="&amp;DATE(YEAR_Y-2,1,1),'Fund History'!$G$1150:$G$1154,"&lt;="&amp;DATE(YEAR_Y-2,12,31))=0,"",SUMIFS('Fund History'!$H$1150:$H$1154,'Fund History'!$G$1150:$G$1154,"&gt;="&amp;DATE(YEAR_Y-2,1,1),'Fund History'!$G$1150:$G$1154,"&lt;="&amp;DATE(YEAR_Y-2,12,31))/100)))</f>
        <v/>
      </c>
      <c r="AF201" s="73">
        <f>IF($C201="","",IF(PULL_FUND="N","",IF(COUNTIFS('Fund History'!$G$1150:$G$1154,"&gt;="&amp;DATE(YEAR_Y-1,1,1),'Fund History'!$G$1150:$G$1154,"&lt;="&amp;DATE(YEAR_Y-1,12,31))=0,"",SUMIFS('Fund History'!$H$1150:$H$1154,'Fund History'!$G$1150:$G$1154,"&gt;="&amp;DATE(YEAR_Y-1,1,1),'Fund History'!$G$1150:$G$1154,"&lt;="&amp;DATE(YEAR_Y-1,12,31))/100)))</f>
        <v/>
      </c>
      <c r="AG201" s="74">
        <f>IF($C201="","",IF(N($AF201)+N(HSCEI!$I$56)=0,"",N($AF201)+N(HSCEI!$I$56)/100))</f>
        <v/>
      </c>
      <c r="AH201" s="66">
        <f>IF($C201="","",IF(PULL_FUND="N","",IF(COUNTIFS('Fund History'!$D$1150:$D$1154,"&gt;="&amp;DATE(YEAR_Y-2,1,1),'Fund History'!$D$1150:$D$1154,"&lt;="&amp;DATE(YEAR_Y-2,12,31))=0,"",SUMIFS('Fund History'!$E$1150:$E$1154,'Fund History'!$D$1150:$D$1154,"&gt;="&amp;DATE(YEAR_Y-2,1,1),'Fund History'!$D$1150:$D$1154,"&lt;="&amp;DATE(YEAR_Y-2,12,31)))))</f>
        <v/>
      </c>
      <c r="AI201" s="67">
        <f>IF($C201="","",IF(PULL_FUND="N","",IF(COUNTIFS('Fund History'!$D$1150:$D$1154,"&gt;="&amp;DATE(YEAR_Y-1,1,1),'Fund History'!$D$1150:$D$1154,"&lt;="&amp;DATE(YEAR_Y-1,12,31))=0,"",SUMIFS('Fund History'!$E$1150:$E$1154,'Fund History'!$D$1150:$D$1154,"&gt;="&amp;DATE(YEAR_Y-1,1,1),'Fund History'!$D$1150:$D$1154,"&lt;="&amp;DATE(YEAR_Y-1,12,31)))))</f>
        <v/>
      </c>
      <c r="AJ201" s="67">
        <f>IF($C201="","",IF(PULL_FUND="N","",IFERROR(BDP($C201,NDEBITDA_FIELD),"")))</f>
        <v/>
      </c>
      <c r="AK201" s="75">
        <f>IF($C201="","",IF(PULL_FUND="N","",IFERROR(BDP($C201,EBINT_FIELD),"")))</f>
        <v/>
      </c>
      <c r="AL201" s="73">
        <f>IF($C201="","",IF(PULL_FUND="N","",IFERROR(BDP($C201,FCF_FIELD)/100,"")))</f>
        <v/>
      </c>
      <c r="AM201" s="76">
        <f>IF($C201="","",IF(ISNUMBER(HSCEI!$I$56),HSCEI!$I$56/100,""))</f>
        <v/>
      </c>
      <c r="AN201" s="47">
        <f>IF($C201="","",IF(N($AM201)=0,"",IFERROR($AL201/$AM201,"")))</f>
        <v/>
      </c>
      <c r="AO201" s="33">
        <f>IF($C201="","",IF(ISNUMBER($S201)*ISNUMBER($W201)=0,"",IF($W201&gt;$S201+0.05,"rising",IF($W201&lt;$S201-0.05,"falling","stable"))))</f>
        <v/>
      </c>
      <c r="AP201" s="77">
        <f>IF($C201="","",TRIM(IF(ISNUMBER($X201)*(N($X201)&gt;$D$4)&gt;0,"payout high  ","")&amp;IF(ISNUMBER($AN201)*(N($AN201)&lt;$F$4)&gt;0,"FCF below dvd  ","")&amp;IF(ISNUMBER($AJ201)*(N($AJ201)&gt;$H$4)&gt;0,"leverage high","")))</f>
        <v/>
      </c>
      <c r="AQ201" s="78">
        <f>IF($C201="","",IF(HSCEI!$F$56="HKD","",HSCEI!$F$56))</f>
        <v/>
      </c>
    </row>
    <row r="202">
      <c r="B202" s="62" t="inlineStr">
        <is>
          <t>HSCEI</t>
        </is>
      </c>
      <c r="C202" s="6">
        <f>IF(HSCEI!$C$57="","",HSCEI!$C$57)</f>
        <v/>
      </c>
      <c r="D202" s="6">
        <f>IF($C202="","",HSCEI!$D$57)</f>
        <v/>
      </c>
      <c r="E202" s="6">
        <f>IF($C202="","",HSCEI!$E$57)</f>
        <v/>
      </c>
      <c r="F202" s="63">
        <f>IF($C202="","",SUMPRODUCT(('Dvd Calendar'!$E$2111:$AR$2111&gt;=DATE(YEAR_Y-5,1,1))*('Dvd Calendar'!$E$2111:$AR$2111&lt;=DATE(YEAR_Y-5,12,31))*'Dvd Calendar'!$E$2114:$AR$2114*(('Dvd Calendar'!$E$2116:$AR$2116=TYPE1)*(TYPE1&lt;&gt;"")+('Dvd Calendar'!$E$2116:$AR$2116=TYPE2)*(TYPE2&lt;&gt;"")+('Dvd Calendar'!$E$2116:$AR$2116=TYPE3)*(TYPE3&lt;&gt;"")+('Dvd Calendar'!$E$2116:$AR$2116=TYPE4)*(TYPE4&lt;&gt;"")+('Dvd Calendar'!$E$2116:$AR$2116=SPECIAL_LBL)*(INC_SPECIALS="Y"))))</f>
        <v/>
      </c>
      <c r="G202" s="64">
        <f>IF($C202="","",SUMPRODUCT(('Dvd Calendar'!$E$2111:$AR$2111&gt;=DATE(YEAR_Y-4,1,1))*('Dvd Calendar'!$E$2111:$AR$2111&lt;=DATE(YEAR_Y-4,12,31))*'Dvd Calendar'!$E$2114:$AR$2114*(('Dvd Calendar'!$E$2116:$AR$2116=TYPE1)*(TYPE1&lt;&gt;"")+('Dvd Calendar'!$E$2116:$AR$2116=TYPE2)*(TYPE2&lt;&gt;"")+('Dvd Calendar'!$E$2116:$AR$2116=TYPE3)*(TYPE3&lt;&gt;"")+('Dvd Calendar'!$E$2116:$AR$2116=TYPE4)*(TYPE4&lt;&gt;"")+('Dvd Calendar'!$E$2116:$AR$2116=SPECIAL_LBL)*(INC_SPECIALS="Y"))))</f>
        <v/>
      </c>
      <c r="H202" s="64">
        <f>IF($C202="","",SUMPRODUCT(('Dvd Calendar'!$E$2111:$AR$2111&gt;=DATE(YEAR_Y-3,1,1))*('Dvd Calendar'!$E$2111:$AR$2111&lt;=DATE(YEAR_Y-3,12,31))*'Dvd Calendar'!$E$2114:$AR$2114*(('Dvd Calendar'!$E$2116:$AR$2116=TYPE1)*(TYPE1&lt;&gt;"")+('Dvd Calendar'!$E$2116:$AR$2116=TYPE2)*(TYPE2&lt;&gt;"")+('Dvd Calendar'!$E$2116:$AR$2116=TYPE3)*(TYPE3&lt;&gt;"")+('Dvd Calendar'!$E$2116:$AR$2116=TYPE4)*(TYPE4&lt;&gt;"")+('Dvd Calendar'!$E$2116:$AR$2116=SPECIAL_LBL)*(INC_SPECIALS="Y"))))</f>
        <v/>
      </c>
      <c r="I202" s="64">
        <f>IF($C202="","",SUMPRODUCT(('Dvd Calendar'!$E$2111:$AR$2111&gt;=DATE(YEAR_Y-2,1,1))*('Dvd Calendar'!$E$2111:$AR$2111&lt;=DATE(YEAR_Y-2,12,31))*'Dvd Calendar'!$E$2114:$AR$2114*(('Dvd Calendar'!$E$2116:$AR$2116=TYPE1)*(TYPE1&lt;&gt;"")+('Dvd Calendar'!$E$2116:$AR$2116=TYPE2)*(TYPE2&lt;&gt;"")+('Dvd Calendar'!$E$2116:$AR$2116=TYPE3)*(TYPE3&lt;&gt;"")+('Dvd Calendar'!$E$2116:$AR$2116=TYPE4)*(TYPE4&lt;&gt;"")+('Dvd Calendar'!$E$2116:$AR$2116=SPECIAL_LBL)*(INC_SPECIALS="Y"))))</f>
        <v/>
      </c>
      <c r="J202" s="64">
        <f>IF($C202="","",SUMPRODUCT(('Dvd Calendar'!$E$2111:$AR$2111&gt;=DATE(YEAR_Y-1,1,1))*('Dvd Calendar'!$E$2111:$AR$2111&lt;=DATE(YEAR_Y-1,12,31))*'Dvd Calendar'!$E$2114:$AR$2114*(('Dvd Calendar'!$E$2116:$AR$2116=TYPE1)*(TYPE1&lt;&gt;"")+('Dvd Calendar'!$E$2116:$AR$2116=TYPE2)*(TYPE2&lt;&gt;"")+('Dvd Calendar'!$E$2116:$AR$2116=TYPE3)*(TYPE3&lt;&gt;"")+('Dvd Calendar'!$E$2116:$AR$2116=TYPE4)*(TYPE4&lt;&gt;"")+('Dvd Calendar'!$E$2116:$AR$2116=SPECIAL_LBL)*(INC_SPECIALS="Y"))))</f>
        <v/>
      </c>
      <c r="K202" s="65">
        <f>IF($C202="","",HSCEI!$J$57)</f>
        <v/>
      </c>
      <c r="L202" s="65">
        <f>IF($C202="","",HSCEI!$K$57)</f>
        <v/>
      </c>
      <c r="M202" s="41">
        <f>IF($C202="","",AVERAGE(F202:J202))</f>
        <v/>
      </c>
      <c r="N202" s="66">
        <f>IF($C202="","",IF(PULL_FUND="N","",IFERROR(BDP($C202,EPS_FIELD,YR_OVERRIDE,TEXT(YEAR_Y-5,"0")),"")))</f>
        <v/>
      </c>
      <c r="O202" s="67">
        <f>IF($C202="","",IF(PULL_FUND="N","",IFERROR(BDP($C202,EPS_FIELD,YR_OVERRIDE,TEXT(YEAR_Y-4,"0")),"")))</f>
        <v/>
      </c>
      <c r="P202" s="67">
        <f>IF($C202="","",IF(PULL_FUND="N","",IFERROR(BDP($C202,EPS_FIELD,YR_OVERRIDE,TEXT(YEAR_Y-3,"0")),"")))</f>
        <v/>
      </c>
      <c r="Q202" s="67">
        <f>IF($C202="","",IF(PULL_FUND="N","",IFERROR(BDP($C202,EPS_FIELD,YR_OVERRIDE,TEXT(YEAR_Y-2,"0")),"")))</f>
        <v/>
      </c>
      <c r="R202" s="67">
        <f>IF($C202="","",IF(PULL_FUND="N","",IFERROR(BDP($C202,EPS_FIELD,YR_OVERRIDE,TEXT(YEAR_Y-1,"0")),"")))</f>
        <v/>
      </c>
      <c r="S202" s="68">
        <f>IF($C202="","",IF(PULL_FUND="N","",IFERROR(BDP($C202,PAYOUT_FIELD,YR_OVERRIDE,TEXT(YEAR_Y-5,"0"))/100,"")))</f>
        <v/>
      </c>
      <c r="T202" s="68">
        <f>IF($C202="","",IF(PULL_FUND="N","",IFERROR(BDP($C202,PAYOUT_FIELD,YR_OVERRIDE,TEXT(YEAR_Y-4,"0"))/100,"")))</f>
        <v/>
      </c>
      <c r="U202" s="68">
        <f>IF($C202="","",IF(PULL_FUND="N","",IFERROR(BDP($C202,PAYOUT_FIELD,YR_OVERRIDE,TEXT(YEAR_Y-3,"0"))/100,"")))</f>
        <v/>
      </c>
      <c r="V202" s="68">
        <f>IF($C202="","",IF(PULL_FUND="N","",IFERROR(BDP($C202,PAYOUT_FIELD,YR_OVERRIDE,TEXT(YEAR_Y-2,"0"))/100,"")))</f>
        <v/>
      </c>
      <c r="W202" s="68">
        <f>IF($C202="","",IF(PULL_FUND="N","",IFERROR(BDP($C202,PAYOUT_FIELD,YR_OVERRIDE,TEXT(YEAR_Y-1,"0"))/100,"")))</f>
        <v/>
      </c>
      <c r="X202" s="69">
        <f>IF($C202="","",IFERROR(AVERAGE(S202:W202),""))</f>
        <v/>
      </c>
      <c r="Y202" s="66">
        <f>IF($C202="","",IF(PULL_FUND="N","",IFERROR(BDP($C202,BESTEPS_FIELD,FWD_OVERRIDE,TEXT(MOD(YEAR_Y,100),"00")&amp;"Y"),"")))</f>
        <v/>
      </c>
      <c r="Z202" s="70">
        <f>IF($C202="","",IF(PULL_FUND="N","",IFERROR(BDP($C202,BESTDPS_FIELD,FWD_OVERRIDE,TEXT(MOD(YEAR_Y,100),"00")&amp;"Y"),"")))</f>
        <v/>
      </c>
      <c r="AA202" s="71">
        <f>IF($C202="","",IF(ISNUMBER($Y202)*ISNUMBER($Z202)*($Y202&lt;&gt;0)=0,"",$Z202/$Y202))</f>
        <v/>
      </c>
      <c r="AB202" s="41">
        <f>IF($C202="","",HSCEI!$J$57+HSCEI!$L$57)</f>
        <v/>
      </c>
      <c r="AC202" s="72">
        <f>IF($C202="","",IF(PULL_FUND="N","",IF(COUNTIFS('Fund History'!$G$1156:$G$1160,"&gt;="&amp;DATE(YEAR_Y-4,1,1),'Fund History'!$G$1156:$G$1160,"&lt;="&amp;DATE(YEAR_Y-4,12,31))=0,"",SUMIFS('Fund History'!$H$1156:$H$1160,'Fund History'!$G$1156:$G$1160,"&gt;="&amp;DATE(YEAR_Y-4,1,1),'Fund History'!$G$1156:$G$1160,"&lt;="&amp;DATE(YEAR_Y-4,12,31))/100)))</f>
        <v/>
      </c>
      <c r="AD202" s="73">
        <f>IF($C202="","",IF(PULL_FUND="N","",IF(COUNTIFS('Fund History'!$G$1156:$G$1160,"&gt;="&amp;DATE(YEAR_Y-3,1,1),'Fund History'!$G$1156:$G$1160,"&lt;="&amp;DATE(YEAR_Y-3,12,31))=0,"",SUMIFS('Fund History'!$H$1156:$H$1160,'Fund History'!$G$1156:$G$1160,"&gt;="&amp;DATE(YEAR_Y-3,1,1),'Fund History'!$G$1156:$G$1160,"&lt;="&amp;DATE(YEAR_Y-3,12,31))/100)))</f>
        <v/>
      </c>
      <c r="AE202" s="73">
        <f>IF($C202="","",IF(PULL_FUND="N","",IF(COUNTIFS('Fund History'!$G$1156:$G$1160,"&gt;="&amp;DATE(YEAR_Y-2,1,1),'Fund History'!$G$1156:$G$1160,"&lt;="&amp;DATE(YEAR_Y-2,12,31))=0,"",SUMIFS('Fund History'!$H$1156:$H$1160,'Fund History'!$G$1156:$G$1160,"&gt;="&amp;DATE(YEAR_Y-2,1,1),'Fund History'!$G$1156:$G$1160,"&lt;="&amp;DATE(YEAR_Y-2,12,31))/100)))</f>
        <v/>
      </c>
      <c r="AF202" s="73">
        <f>IF($C202="","",IF(PULL_FUND="N","",IF(COUNTIFS('Fund History'!$G$1156:$G$1160,"&gt;="&amp;DATE(YEAR_Y-1,1,1),'Fund History'!$G$1156:$G$1160,"&lt;="&amp;DATE(YEAR_Y-1,12,31))=0,"",SUMIFS('Fund History'!$H$1156:$H$1160,'Fund History'!$G$1156:$G$1160,"&gt;="&amp;DATE(YEAR_Y-1,1,1),'Fund History'!$G$1156:$G$1160,"&lt;="&amp;DATE(YEAR_Y-1,12,31))/100)))</f>
        <v/>
      </c>
      <c r="AG202" s="74">
        <f>IF($C202="","",IF(N($AF202)+N(HSCEI!$I$57)=0,"",N($AF202)+N(HSCEI!$I$57)/100))</f>
        <v/>
      </c>
      <c r="AH202" s="66">
        <f>IF($C202="","",IF(PULL_FUND="N","",IF(COUNTIFS('Fund History'!$D$1156:$D$1160,"&gt;="&amp;DATE(YEAR_Y-2,1,1),'Fund History'!$D$1156:$D$1160,"&lt;="&amp;DATE(YEAR_Y-2,12,31))=0,"",SUMIFS('Fund History'!$E$1156:$E$1160,'Fund History'!$D$1156:$D$1160,"&gt;="&amp;DATE(YEAR_Y-2,1,1),'Fund History'!$D$1156:$D$1160,"&lt;="&amp;DATE(YEAR_Y-2,12,31)))))</f>
        <v/>
      </c>
      <c r="AI202" s="67">
        <f>IF($C202="","",IF(PULL_FUND="N","",IF(COUNTIFS('Fund History'!$D$1156:$D$1160,"&gt;="&amp;DATE(YEAR_Y-1,1,1),'Fund History'!$D$1156:$D$1160,"&lt;="&amp;DATE(YEAR_Y-1,12,31))=0,"",SUMIFS('Fund History'!$E$1156:$E$1160,'Fund History'!$D$1156:$D$1160,"&gt;="&amp;DATE(YEAR_Y-1,1,1),'Fund History'!$D$1156:$D$1160,"&lt;="&amp;DATE(YEAR_Y-1,12,31)))))</f>
        <v/>
      </c>
      <c r="AJ202" s="67">
        <f>IF($C202="","",IF(PULL_FUND="N","",IFERROR(BDP($C202,NDEBITDA_FIELD),"")))</f>
        <v/>
      </c>
      <c r="AK202" s="75">
        <f>IF($C202="","",IF(PULL_FUND="N","",IFERROR(BDP($C202,EBINT_FIELD),"")))</f>
        <v/>
      </c>
      <c r="AL202" s="73">
        <f>IF($C202="","",IF(PULL_FUND="N","",IFERROR(BDP($C202,FCF_FIELD)/100,"")))</f>
        <v/>
      </c>
      <c r="AM202" s="76">
        <f>IF($C202="","",IF(ISNUMBER(HSCEI!$I$57),HSCEI!$I$57/100,""))</f>
        <v/>
      </c>
      <c r="AN202" s="47">
        <f>IF($C202="","",IF(N($AM202)=0,"",IFERROR($AL202/$AM202,"")))</f>
        <v/>
      </c>
      <c r="AO202" s="33">
        <f>IF($C202="","",IF(ISNUMBER($S202)*ISNUMBER($W202)=0,"",IF($W202&gt;$S202+0.05,"rising",IF($W202&lt;$S202-0.05,"falling","stable"))))</f>
        <v/>
      </c>
      <c r="AP202" s="77">
        <f>IF($C202="","",TRIM(IF(ISNUMBER($X202)*(N($X202)&gt;$D$4)&gt;0,"payout high  ","")&amp;IF(ISNUMBER($AN202)*(N($AN202)&lt;$F$4)&gt;0,"FCF below dvd  ","")&amp;IF(ISNUMBER($AJ202)*(N($AJ202)&gt;$H$4)&gt;0,"leverage high","")))</f>
        <v/>
      </c>
      <c r="AQ202" s="78">
        <f>IF($C202="","",IF(HSCEI!$F$57="HKD","",HSCEI!$F$57))</f>
        <v/>
      </c>
    </row>
    <row r="203">
      <c r="B203" s="62" t="inlineStr">
        <is>
          <t>HSCEI</t>
        </is>
      </c>
      <c r="C203" s="6">
        <f>IF(HSCEI!$C$58="","",HSCEI!$C$58)</f>
        <v/>
      </c>
      <c r="D203" s="6">
        <f>IF($C203="","",HSCEI!$D$58)</f>
        <v/>
      </c>
      <c r="E203" s="6">
        <f>IF($C203="","",HSCEI!$E$58)</f>
        <v/>
      </c>
      <c r="F203" s="63">
        <f>IF($C203="","",SUMPRODUCT(('Dvd Calendar'!$E$2122:$AR$2122&gt;=DATE(YEAR_Y-5,1,1))*('Dvd Calendar'!$E$2122:$AR$2122&lt;=DATE(YEAR_Y-5,12,31))*'Dvd Calendar'!$E$2125:$AR$2125*(('Dvd Calendar'!$E$2127:$AR$2127=TYPE1)*(TYPE1&lt;&gt;"")+('Dvd Calendar'!$E$2127:$AR$2127=TYPE2)*(TYPE2&lt;&gt;"")+('Dvd Calendar'!$E$2127:$AR$2127=TYPE3)*(TYPE3&lt;&gt;"")+('Dvd Calendar'!$E$2127:$AR$2127=TYPE4)*(TYPE4&lt;&gt;"")+('Dvd Calendar'!$E$2127:$AR$2127=SPECIAL_LBL)*(INC_SPECIALS="Y"))))</f>
        <v/>
      </c>
      <c r="G203" s="64">
        <f>IF($C203="","",SUMPRODUCT(('Dvd Calendar'!$E$2122:$AR$2122&gt;=DATE(YEAR_Y-4,1,1))*('Dvd Calendar'!$E$2122:$AR$2122&lt;=DATE(YEAR_Y-4,12,31))*'Dvd Calendar'!$E$2125:$AR$2125*(('Dvd Calendar'!$E$2127:$AR$2127=TYPE1)*(TYPE1&lt;&gt;"")+('Dvd Calendar'!$E$2127:$AR$2127=TYPE2)*(TYPE2&lt;&gt;"")+('Dvd Calendar'!$E$2127:$AR$2127=TYPE3)*(TYPE3&lt;&gt;"")+('Dvd Calendar'!$E$2127:$AR$2127=TYPE4)*(TYPE4&lt;&gt;"")+('Dvd Calendar'!$E$2127:$AR$2127=SPECIAL_LBL)*(INC_SPECIALS="Y"))))</f>
        <v/>
      </c>
      <c r="H203" s="64">
        <f>IF($C203="","",SUMPRODUCT(('Dvd Calendar'!$E$2122:$AR$2122&gt;=DATE(YEAR_Y-3,1,1))*('Dvd Calendar'!$E$2122:$AR$2122&lt;=DATE(YEAR_Y-3,12,31))*'Dvd Calendar'!$E$2125:$AR$2125*(('Dvd Calendar'!$E$2127:$AR$2127=TYPE1)*(TYPE1&lt;&gt;"")+('Dvd Calendar'!$E$2127:$AR$2127=TYPE2)*(TYPE2&lt;&gt;"")+('Dvd Calendar'!$E$2127:$AR$2127=TYPE3)*(TYPE3&lt;&gt;"")+('Dvd Calendar'!$E$2127:$AR$2127=TYPE4)*(TYPE4&lt;&gt;"")+('Dvd Calendar'!$E$2127:$AR$2127=SPECIAL_LBL)*(INC_SPECIALS="Y"))))</f>
        <v/>
      </c>
      <c r="I203" s="64">
        <f>IF($C203="","",SUMPRODUCT(('Dvd Calendar'!$E$2122:$AR$2122&gt;=DATE(YEAR_Y-2,1,1))*('Dvd Calendar'!$E$2122:$AR$2122&lt;=DATE(YEAR_Y-2,12,31))*'Dvd Calendar'!$E$2125:$AR$2125*(('Dvd Calendar'!$E$2127:$AR$2127=TYPE1)*(TYPE1&lt;&gt;"")+('Dvd Calendar'!$E$2127:$AR$2127=TYPE2)*(TYPE2&lt;&gt;"")+('Dvd Calendar'!$E$2127:$AR$2127=TYPE3)*(TYPE3&lt;&gt;"")+('Dvd Calendar'!$E$2127:$AR$2127=TYPE4)*(TYPE4&lt;&gt;"")+('Dvd Calendar'!$E$2127:$AR$2127=SPECIAL_LBL)*(INC_SPECIALS="Y"))))</f>
        <v/>
      </c>
      <c r="J203" s="64">
        <f>IF($C203="","",SUMPRODUCT(('Dvd Calendar'!$E$2122:$AR$2122&gt;=DATE(YEAR_Y-1,1,1))*('Dvd Calendar'!$E$2122:$AR$2122&lt;=DATE(YEAR_Y-1,12,31))*'Dvd Calendar'!$E$2125:$AR$2125*(('Dvd Calendar'!$E$2127:$AR$2127=TYPE1)*(TYPE1&lt;&gt;"")+('Dvd Calendar'!$E$2127:$AR$2127=TYPE2)*(TYPE2&lt;&gt;"")+('Dvd Calendar'!$E$2127:$AR$2127=TYPE3)*(TYPE3&lt;&gt;"")+('Dvd Calendar'!$E$2127:$AR$2127=TYPE4)*(TYPE4&lt;&gt;"")+('Dvd Calendar'!$E$2127:$AR$2127=SPECIAL_LBL)*(INC_SPECIALS="Y"))))</f>
        <v/>
      </c>
      <c r="K203" s="65">
        <f>IF($C203="","",HSCEI!$J$58)</f>
        <v/>
      </c>
      <c r="L203" s="65">
        <f>IF($C203="","",HSCEI!$K$58)</f>
        <v/>
      </c>
      <c r="M203" s="41">
        <f>IF($C203="","",AVERAGE(F203:J203))</f>
        <v/>
      </c>
      <c r="N203" s="66">
        <f>IF($C203="","",IF(PULL_FUND="N","",IFERROR(BDP($C203,EPS_FIELD,YR_OVERRIDE,TEXT(YEAR_Y-5,"0")),"")))</f>
        <v/>
      </c>
      <c r="O203" s="67">
        <f>IF($C203="","",IF(PULL_FUND="N","",IFERROR(BDP($C203,EPS_FIELD,YR_OVERRIDE,TEXT(YEAR_Y-4,"0")),"")))</f>
        <v/>
      </c>
      <c r="P203" s="67">
        <f>IF($C203="","",IF(PULL_FUND="N","",IFERROR(BDP($C203,EPS_FIELD,YR_OVERRIDE,TEXT(YEAR_Y-3,"0")),"")))</f>
        <v/>
      </c>
      <c r="Q203" s="67">
        <f>IF($C203="","",IF(PULL_FUND="N","",IFERROR(BDP($C203,EPS_FIELD,YR_OVERRIDE,TEXT(YEAR_Y-2,"0")),"")))</f>
        <v/>
      </c>
      <c r="R203" s="67">
        <f>IF($C203="","",IF(PULL_FUND="N","",IFERROR(BDP($C203,EPS_FIELD,YR_OVERRIDE,TEXT(YEAR_Y-1,"0")),"")))</f>
        <v/>
      </c>
      <c r="S203" s="68">
        <f>IF($C203="","",IF(PULL_FUND="N","",IFERROR(BDP($C203,PAYOUT_FIELD,YR_OVERRIDE,TEXT(YEAR_Y-5,"0"))/100,"")))</f>
        <v/>
      </c>
      <c r="T203" s="68">
        <f>IF($C203="","",IF(PULL_FUND="N","",IFERROR(BDP($C203,PAYOUT_FIELD,YR_OVERRIDE,TEXT(YEAR_Y-4,"0"))/100,"")))</f>
        <v/>
      </c>
      <c r="U203" s="68">
        <f>IF($C203="","",IF(PULL_FUND="N","",IFERROR(BDP($C203,PAYOUT_FIELD,YR_OVERRIDE,TEXT(YEAR_Y-3,"0"))/100,"")))</f>
        <v/>
      </c>
      <c r="V203" s="68">
        <f>IF($C203="","",IF(PULL_FUND="N","",IFERROR(BDP($C203,PAYOUT_FIELD,YR_OVERRIDE,TEXT(YEAR_Y-2,"0"))/100,"")))</f>
        <v/>
      </c>
      <c r="W203" s="68">
        <f>IF($C203="","",IF(PULL_FUND="N","",IFERROR(BDP($C203,PAYOUT_FIELD,YR_OVERRIDE,TEXT(YEAR_Y-1,"0"))/100,"")))</f>
        <v/>
      </c>
      <c r="X203" s="69">
        <f>IF($C203="","",IFERROR(AVERAGE(S203:W203),""))</f>
        <v/>
      </c>
      <c r="Y203" s="66">
        <f>IF($C203="","",IF(PULL_FUND="N","",IFERROR(BDP($C203,BESTEPS_FIELD,FWD_OVERRIDE,TEXT(MOD(YEAR_Y,100),"00")&amp;"Y"),"")))</f>
        <v/>
      </c>
      <c r="Z203" s="70">
        <f>IF($C203="","",IF(PULL_FUND="N","",IFERROR(BDP($C203,BESTDPS_FIELD,FWD_OVERRIDE,TEXT(MOD(YEAR_Y,100),"00")&amp;"Y"),"")))</f>
        <v/>
      </c>
      <c r="AA203" s="71">
        <f>IF($C203="","",IF(ISNUMBER($Y203)*ISNUMBER($Z203)*($Y203&lt;&gt;0)=0,"",$Z203/$Y203))</f>
        <v/>
      </c>
      <c r="AB203" s="41">
        <f>IF($C203="","",HSCEI!$J$58+HSCEI!$L$58)</f>
        <v/>
      </c>
      <c r="AC203" s="72">
        <f>IF($C203="","",IF(PULL_FUND="N","",IF(COUNTIFS('Fund History'!$G$1162:$G$1166,"&gt;="&amp;DATE(YEAR_Y-4,1,1),'Fund History'!$G$1162:$G$1166,"&lt;="&amp;DATE(YEAR_Y-4,12,31))=0,"",SUMIFS('Fund History'!$H$1162:$H$1166,'Fund History'!$G$1162:$G$1166,"&gt;="&amp;DATE(YEAR_Y-4,1,1),'Fund History'!$G$1162:$G$1166,"&lt;="&amp;DATE(YEAR_Y-4,12,31))/100)))</f>
        <v/>
      </c>
      <c r="AD203" s="73">
        <f>IF($C203="","",IF(PULL_FUND="N","",IF(COUNTIFS('Fund History'!$G$1162:$G$1166,"&gt;="&amp;DATE(YEAR_Y-3,1,1),'Fund History'!$G$1162:$G$1166,"&lt;="&amp;DATE(YEAR_Y-3,12,31))=0,"",SUMIFS('Fund History'!$H$1162:$H$1166,'Fund History'!$G$1162:$G$1166,"&gt;="&amp;DATE(YEAR_Y-3,1,1),'Fund History'!$G$1162:$G$1166,"&lt;="&amp;DATE(YEAR_Y-3,12,31))/100)))</f>
        <v/>
      </c>
      <c r="AE203" s="73">
        <f>IF($C203="","",IF(PULL_FUND="N","",IF(COUNTIFS('Fund History'!$G$1162:$G$1166,"&gt;="&amp;DATE(YEAR_Y-2,1,1),'Fund History'!$G$1162:$G$1166,"&lt;="&amp;DATE(YEAR_Y-2,12,31))=0,"",SUMIFS('Fund History'!$H$1162:$H$1166,'Fund History'!$G$1162:$G$1166,"&gt;="&amp;DATE(YEAR_Y-2,1,1),'Fund History'!$G$1162:$G$1166,"&lt;="&amp;DATE(YEAR_Y-2,12,31))/100)))</f>
        <v/>
      </c>
      <c r="AF203" s="73">
        <f>IF($C203="","",IF(PULL_FUND="N","",IF(COUNTIFS('Fund History'!$G$1162:$G$1166,"&gt;="&amp;DATE(YEAR_Y-1,1,1),'Fund History'!$G$1162:$G$1166,"&lt;="&amp;DATE(YEAR_Y-1,12,31))=0,"",SUMIFS('Fund History'!$H$1162:$H$1166,'Fund History'!$G$1162:$G$1166,"&gt;="&amp;DATE(YEAR_Y-1,1,1),'Fund History'!$G$1162:$G$1166,"&lt;="&amp;DATE(YEAR_Y-1,12,31))/100)))</f>
        <v/>
      </c>
      <c r="AG203" s="74">
        <f>IF($C203="","",IF(N($AF203)+N(HSCEI!$I$58)=0,"",N($AF203)+N(HSCEI!$I$58)/100))</f>
        <v/>
      </c>
      <c r="AH203" s="66">
        <f>IF($C203="","",IF(PULL_FUND="N","",IF(COUNTIFS('Fund History'!$D$1162:$D$1166,"&gt;="&amp;DATE(YEAR_Y-2,1,1),'Fund History'!$D$1162:$D$1166,"&lt;="&amp;DATE(YEAR_Y-2,12,31))=0,"",SUMIFS('Fund History'!$E$1162:$E$1166,'Fund History'!$D$1162:$D$1166,"&gt;="&amp;DATE(YEAR_Y-2,1,1),'Fund History'!$D$1162:$D$1166,"&lt;="&amp;DATE(YEAR_Y-2,12,31)))))</f>
        <v/>
      </c>
      <c r="AI203" s="67">
        <f>IF($C203="","",IF(PULL_FUND="N","",IF(COUNTIFS('Fund History'!$D$1162:$D$1166,"&gt;="&amp;DATE(YEAR_Y-1,1,1),'Fund History'!$D$1162:$D$1166,"&lt;="&amp;DATE(YEAR_Y-1,12,31))=0,"",SUMIFS('Fund History'!$E$1162:$E$1166,'Fund History'!$D$1162:$D$1166,"&gt;="&amp;DATE(YEAR_Y-1,1,1),'Fund History'!$D$1162:$D$1166,"&lt;="&amp;DATE(YEAR_Y-1,12,31)))))</f>
        <v/>
      </c>
      <c r="AJ203" s="67">
        <f>IF($C203="","",IF(PULL_FUND="N","",IFERROR(BDP($C203,NDEBITDA_FIELD),"")))</f>
        <v/>
      </c>
      <c r="AK203" s="75">
        <f>IF($C203="","",IF(PULL_FUND="N","",IFERROR(BDP($C203,EBINT_FIELD),"")))</f>
        <v/>
      </c>
      <c r="AL203" s="73">
        <f>IF($C203="","",IF(PULL_FUND="N","",IFERROR(BDP($C203,FCF_FIELD)/100,"")))</f>
        <v/>
      </c>
      <c r="AM203" s="76">
        <f>IF($C203="","",IF(ISNUMBER(HSCEI!$I$58),HSCEI!$I$58/100,""))</f>
        <v/>
      </c>
      <c r="AN203" s="47">
        <f>IF($C203="","",IF(N($AM203)=0,"",IFERROR($AL203/$AM203,"")))</f>
        <v/>
      </c>
      <c r="AO203" s="33">
        <f>IF($C203="","",IF(ISNUMBER($S203)*ISNUMBER($W203)=0,"",IF($W203&gt;$S203+0.05,"rising",IF($W203&lt;$S203-0.05,"falling","stable"))))</f>
        <v/>
      </c>
      <c r="AP203" s="77">
        <f>IF($C203="","",TRIM(IF(ISNUMBER($X203)*(N($X203)&gt;$D$4)&gt;0,"payout high  ","")&amp;IF(ISNUMBER($AN203)*(N($AN203)&lt;$F$4)&gt;0,"FCF below dvd  ","")&amp;IF(ISNUMBER($AJ203)*(N($AJ203)&gt;$H$4)&gt;0,"leverage high","")))</f>
        <v/>
      </c>
      <c r="AQ203" s="78">
        <f>IF($C203="","",IF(HSCEI!$F$58="HKD","",HSCEI!$F$58))</f>
        <v/>
      </c>
    </row>
    <row r="204">
      <c r="B204" s="62" t="inlineStr">
        <is>
          <t>HSCEI</t>
        </is>
      </c>
      <c r="C204" s="6">
        <f>IF(HSCEI!$C$59="","",HSCEI!$C$59)</f>
        <v/>
      </c>
      <c r="D204" s="6">
        <f>IF($C204="","",HSCEI!$D$59)</f>
        <v/>
      </c>
      <c r="E204" s="6">
        <f>IF($C204="","",HSCEI!$E$59)</f>
        <v/>
      </c>
      <c r="F204" s="63">
        <f>IF($C204="","",SUMPRODUCT(('Dvd Calendar'!$E$2133:$AR$2133&gt;=DATE(YEAR_Y-5,1,1))*('Dvd Calendar'!$E$2133:$AR$2133&lt;=DATE(YEAR_Y-5,12,31))*'Dvd Calendar'!$E$2136:$AR$2136*(('Dvd Calendar'!$E$2138:$AR$2138=TYPE1)*(TYPE1&lt;&gt;"")+('Dvd Calendar'!$E$2138:$AR$2138=TYPE2)*(TYPE2&lt;&gt;"")+('Dvd Calendar'!$E$2138:$AR$2138=TYPE3)*(TYPE3&lt;&gt;"")+('Dvd Calendar'!$E$2138:$AR$2138=TYPE4)*(TYPE4&lt;&gt;"")+('Dvd Calendar'!$E$2138:$AR$2138=SPECIAL_LBL)*(INC_SPECIALS="Y"))))</f>
        <v/>
      </c>
      <c r="G204" s="64">
        <f>IF($C204="","",SUMPRODUCT(('Dvd Calendar'!$E$2133:$AR$2133&gt;=DATE(YEAR_Y-4,1,1))*('Dvd Calendar'!$E$2133:$AR$2133&lt;=DATE(YEAR_Y-4,12,31))*'Dvd Calendar'!$E$2136:$AR$2136*(('Dvd Calendar'!$E$2138:$AR$2138=TYPE1)*(TYPE1&lt;&gt;"")+('Dvd Calendar'!$E$2138:$AR$2138=TYPE2)*(TYPE2&lt;&gt;"")+('Dvd Calendar'!$E$2138:$AR$2138=TYPE3)*(TYPE3&lt;&gt;"")+('Dvd Calendar'!$E$2138:$AR$2138=TYPE4)*(TYPE4&lt;&gt;"")+('Dvd Calendar'!$E$2138:$AR$2138=SPECIAL_LBL)*(INC_SPECIALS="Y"))))</f>
        <v/>
      </c>
      <c r="H204" s="64">
        <f>IF($C204="","",SUMPRODUCT(('Dvd Calendar'!$E$2133:$AR$2133&gt;=DATE(YEAR_Y-3,1,1))*('Dvd Calendar'!$E$2133:$AR$2133&lt;=DATE(YEAR_Y-3,12,31))*'Dvd Calendar'!$E$2136:$AR$2136*(('Dvd Calendar'!$E$2138:$AR$2138=TYPE1)*(TYPE1&lt;&gt;"")+('Dvd Calendar'!$E$2138:$AR$2138=TYPE2)*(TYPE2&lt;&gt;"")+('Dvd Calendar'!$E$2138:$AR$2138=TYPE3)*(TYPE3&lt;&gt;"")+('Dvd Calendar'!$E$2138:$AR$2138=TYPE4)*(TYPE4&lt;&gt;"")+('Dvd Calendar'!$E$2138:$AR$2138=SPECIAL_LBL)*(INC_SPECIALS="Y"))))</f>
        <v/>
      </c>
      <c r="I204" s="64">
        <f>IF($C204="","",SUMPRODUCT(('Dvd Calendar'!$E$2133:$AR$2133&gt;=DATE(YEAR_Y-2,1,1))*('Dvd Calendar'!$E$2133:$AR$2133&lt;=DATE(YEAR_Y-2,12,31))*'Dvd Calendar'!$E$2136:$AR$2136*(('Dvd Calendar'!$E$2138:$AR$2138=TYPE1)*(TYPE1&lt;&gt;"")+('Dvd Calendar'!$E$2138:$AR$2138=TYPE2)*(TYPE2&lt;&gt;"")+('Dvd Calendar'!$E$2138:$AR$2138=TYPE3)*(TYPE3&lt;&gt;"")+('Dvd Calendar'!$E$2138:$AR$2138=TYPE4)*(TYPE4&lt;&gt;"")+('Dvd Calendar'!$E$2138:$AR$2138=SPECIAL_LBL)*(INC_SPECIALS="Y"))))</f>
        <v/>
      </c>
      <c r="J204" s="64">
        <f>IF($C204="","",SUMPRODUCT(('Dvd Calendar'!$E$2133:$AR$2133&gt;=DATE(YEAR_Y-1,1,1))*('Dvd Calendar'!$E$2133:$AR$2133&lt;=DATE(YEAR_Y-1,12,31))*'Dvd Calendar'!$E$2136:$AR$2136*(('Dvd Calendar'!$E$2138:$AR$2138=TYPE1)*(TYPE1&lt;&gt;"")+('Dvd Calendar'!$E$2138:$AR$2138=TYPE2)*(TYPE2&lt;&gt;"")+('Dvd Calendar'!$E$2138:$AR$2138=TYPE3)*(TYPE3&lt;&gt;"")+('Dvd Calendar'!$E$2138:$AR$2138=TYPE4)*(TYPE4&lt;&gt;"")+('Dvd Calendar'!$E$2138:$AR$2138=SPECIAL_LBL)*(INC_SPECIALS="Y"))))</f>
        <v/>
      </c>
      <c r="K204" s="65">
        <f>IF($C204="","",HSCEI!$J$59)</f>
        <v/>
      </c>
      <c r="L204" s="65">
        <f>IF($C204="","",HSCEI!$K$59)</f>
        <v/>
      </c>
      <c r="M204" s="41">
        <f>IF($C204="","",AVERAGE(F204:J204))</f>
        <v/>
      </c>
      <c r="N204" s="66">
        <f>IF($C204="","",IF(PULL_FUND="N","",IFERROR(BDP($C204,EPS_FIELD,YR_OVERRIDE,TEXT(YEAR_Y-5,"0")),"")))</f>
        <v/>
      </c>
      <c r="O204" s="67">
        <f>IF($C204="","",IF(PULL_FUND="N","",IFERROR(BDP($C204,EPS_FIELD,YR_OVERRIDE,TEXT(YEAR_Y-4,"0")),"")))</f>
        <v/>
      </c>
      <c r="P204" s="67">
        <f>IF($C204="","",IF(PULL_FUND="N","",IFERROR(BDP($C204,EPS_FIELD,YR_OVERRIDE,TEXT(YEAR_Y-3,"0")),"")))</f>
        <v/>
      </c>
      <c r="Q204" s="67">
        <f>IF($C204="","",IF(PULL_FUND="N","",IFERROR(BDP($C204,EPS_FIELD,YR_OVERRIDE,TEXT(YEAR_Y-2,"0")),"")))</f>
        <v/>
      </c>
      <c r="R204" s="67">
        <f>IF($C204="","",IF(PULL_FUND="N","",IFERROR(BDP($C204,EPS_FIELD,YR_OVERRIDE,TEXT(YEAR_Y-1,"0")),"")))</f>
        <v/>
      </c>
      <c r="S204" s="68">
        <f>IF($C204="","",IF(PULL_FUND="N","",IFERROR(BDP($C204,PAYOUT_FIELD,YR_OVERRIDE,TEXT(YEAR_Y-5,"0"))/100,"")))</f>
        <v/>
      </c>
      <c r="T204" s="68">
        <f>IF($C204="","",IF(PULL_FUND="N","",IFERROR(BDP($C204,PAYOUT_FIELD,YR_OVERRIDE,TEXT(YEAR_Y-4,"0"))/100,"")))</f>
        <v/>
      </c>
      <c r="U204" s="68">
        <f>IF($C204="","",IF(PULL_FUND="N","",IFERROR(BDP($C204,PAYOUT_FIELD,YR_OVERRIDE,TEXT(YEAR_Y-3,"0"))/100,"")))</f>
        <v/>
      </c>
      <c r="V204" s="68">
        <f>IF($C204="","",IF(PULL_FUND="N","",IFERROR(BDP($C204,PAYOUT_FIELD,YR_OVERRIDE,TEXT(YEAR_Y-2,"0"))/100,"")))</f>
        <v/>
      </c>
      <c r="W204" s="68">
        <f>IF($C204="","",IF(PULL_FUND="N","",IFERROR(BDP($C204,PAYOUT_FIELD,YR_OVERRIDE,TEXT(YEAR_Y-1,"0"))/100,"")))</f>
        <v/>
      </c>
      <c r="X204" s="69">
        <f>IF($C204="","",IFERROR(AVERAGE(S204:W204),""))</f>
        <v/>
      </c>
      <c r="Y204" s="66">
        <f>IF($C204="","",IF(PULL_FUND="N","",IFERROR(BDP($C204,BESTEPS_FIELD,FWD_OVERRIDE,TEXT(MOD(YEAR_Y,100),"00")&amp;"Y"),"")))</f>
        <v/>
      </c>
      <c r="Z204" s="70">
        <f>IF($C204="","",IF(PULL_FUND="N","",IFERROR(BDP($C204,BESTDPS_FIELD,FWD_OVERRIDE,TEXT(MOD(YEAR_Y,100),"00")&amp;"Y"),"")))</f>
        <v/>
      </c>
      <c r="AA204" s="71">
        <f>IF($C204="","",IF(ISNUMBER($Y204)*ISNUMBER($Z204)*($Y204&lt;&gt;0)=0,"",$Z204/$Y204))</f>
        <v/>
      </c>
      <c r="AB204" s="41">
        <f>IF($C204="","",HSCEI!$J$59+HSCEI!$L$59)</f>
        <v/>
      </c>
      <c r="AC204" s="72">
        <f>IF($C204="","",IF(PULL_FUND="N","",IF(COUNTIFS('Fund History'!$G$1168:$G$1172,"&gt;="&amp;DATE(YEAR_Y-4,1,1),'Fund History'!$G$1168:$G$1172,"&lt;="&amp;DATE(YEAR_Y-4,12,31))=0,"",SUMIFS('Fund History'!$H$1168:$H$1172,'Fund History'!$G$1168:$G$1172,"&gt;="&amp;DATE(YEAR_Y-4,1,1),'Fund History'!$G$1168:$G$1172,"&lt;="&amp;DATE(YEAR_Y-4,12,31))/100)))</f>
        <v/>
      </c>
      <c r="AD204" s="73">
        <f>IF($C204="","",IF(PULL_FUND="N","",IF(COUNTIFS('Fund History'!$G$1168:$G$1172,"&gt;="&amp;DATE(YEAR_Y-3,1,1),'Fund History'!$G$1168:$G$1172,"&lt;="&amp;DATE(YEAR_Y-3,12,31))=0,"",SUMIFS('Fund History'!$H$1168:$H$1172,'Fund History'!$G$1168:$G$1172,"&gt;="&amp;DATE(YEAR_Y-3,1,1),'Fund History'!$G$1168:$G$1172,"&lt;="&amp;DATE(YEAR_Y-3,12,31))/100)))</f>
        <v/>
      </c>
      <c r="AE204" s="73">
        <f>IF($C204="","",IF(PULL_FUND="N","",IF(COUNTIFS('Fund History'!$G$1168:$G$1172,"&gt;="&amp;DATE(YEAR_Y-2,1,1),'Fund History'!$G$1168:$G$1172,"&lt;="&amp;DATE(YEAR_Y-2,12,31))=0,"",SUMIFS('Fund History'!$H$1168:$H$1172,'Fund History'!$G$1168:$G$1172,"&gt;="&amp;DATE(YEAR_Y-2,1,1),'Fund History'!$G$1168:$G$1172,"&lt;="&amp;DATE(YEAR_Y-2,12,31))/100)))</f>
        <v/>
      </c>
      <c r="AF204" s="73">
        <f>IF($C204="","",IF(PULL_FUND="N","",IF(COUNTIFS('Fund History'!$G$1168:$G$1172,"&gt;="&amp;DATE(YEAR_Y-1,1,1),'Fund History'!$G$1168:$G$1172,"&lt;="&amp;DATE(YEAR_Y-1,12,31))=0,"",SUMIFS('Fund History'!$H$1168:$H$1172,'Fund History'!$G$1168:$G$1172,"&gt;="&amp;DATE(YEAR_Y-1,1,1),'Fund History'!$G$1168:$G$1172,"&lt;="&amp;DATE(YEAR_Y-1,12,31))/100)))</f>
        <v/>
      </c>
      <c r="AG204" s="74">
        <f>IF($C204="","",IF(N($AF204)+N(HSCEI!$I$59)=0,"",N($AF204)+N(HSCEI!$I$59)/100))</f>
        <v/>
      </c>
      <c r="AH204" s="66">
        <f>IF($C204="","",IF(PULL_FUND="N","",IF(COUNTIFS('Fund History'!$D$1168:$D$1172,"&gt;="&amp;DATE(YEAR_Y-2,1,1),'Fund History'!$D$1168:$D$1172,"&lt;="&amp;DATE(YEAR_Y-2,12,31))=0,"",SUMIFS('Fund History'!$E$1168:$E$1172,'Fund History'!$D$1168:$D$1172,"&gt;="&amp;DATE(YEAR_Y-2,1,1),'Fund History'!$D$1168:$D$1172,"&lt;="&amp;DATE(YEAR_Y-2,12,31)))))</f>
        <v/>
      </c>
      <c r="AI204" s="67">
        <f>IF($C204="","",IF(PULL_FUND="N","",IF(COUNTIFS('Fund History'!$D$1168:$D$1172,"&gt;="&amp;DATE(YEAR_Y-1,1,1),'Fund History'!$D$1168:$D$1172,"&lt;="&amp;DATE(YEAR_Y-1,12,31))=0,"",SUMIFS('Fund History'!$E$1168:$E$1172,'Fund History'!$D$1168:$D$1172,"&gt;="&amp;DATE(YEAR_Y-1,1,1),'Fund History'!$D$1168:$D$1172,"&lt;="&amp;DATE(YEAR_Y-1,12,31)))))</f>
        <v/>
      </c>
      <c r="AJ204" s="67">
        <f>IF($C204="","",IF(PULL_FUND="N","",IFERROR(BDP($C204,NDEBITDA_FIELD),"")))</f>
        <v/>
      </c>
      <c r="AK204" s="75">
        <f>IF($C204="","",IF(PULL_FUND="N","",IFERROR(BDP($C204,EBINT_FIELD),"")))</f>
        <v/>
      </c>
      <c r="AL204" s="73">
        <f>IF($C204="","",IF(PULL_FUND="N","",IFERROR(BDP($C204,FCF_FIELD)/100,"")))</f>
        <v/>
      </c>
      <c r="AM204" s="76">
        <f>IF($C204="","",IF(ISNUMBER(HSCEI!$I$59),HSCEI!$I$59/100,""))</f>
        <v/>
      </c>
      <c r="AN204" s="47">
        <f>IF($C204="","",IF(N($AM204)=0,"",IFERROR($AL204/$AM204,"")))</f>
        <v/>
      </c>
      <c r="AO204" s="33">
        <f>IF($C204="","",IF(ISNUMBER($S204)*ISNUMBER($W204)=0,"",IF($W204&gt;$S204+0.05,"rising",IF($W204&lt;$S204-0.05,"falling","stable"))))</f>
        <v/>
      </c>
      <c r="AP204" s="77">
        <f>IF($C204="","",TRIM(IF(ISNUMBER($X204)*(N($X204)&gt;$D$4)&gt;0,"payout high  ","")&amp;IF(ISNUMBER($AN204)*(N($AN204)&lt;$F$4)&gt;0,"FCF below dvd  ","")&amp;IF(ISNUMBER($AJ204)*(N($AJ204)&gt;$H$4)&gt;0,"leverage high","")))</f>
        <v/>
      </c>
      <c r="AQ204" s="78">
        <f>IF($C204="","",IF(HSCEI!$F$59="HKD","",HSCEI!$F$59))</f>
        <v/>
      </c>
    </row>
    <row r="205">
      <c r="B205" s="62" t="inlineStr">
        <is>
          <t>HSCEI</t>
        </is>
      </c>
      <c r="C205" s="6">
        <f>IF(HSCEI!$C$60="","",HSCEI!$C$60)</f>
        <v/>
      </c>
      <c r="D205" s="6">
        <f>IF($C205="","",HSCEI!$D$60)</f>
        <v/>
      </c>
      <c r="E205" s="6">
        <f>IF($C205="","",HSCEI!$E$60)</f>
        <v/>
      </c>
      <c r="F205" s="63">
        <f>IF($C205="","",SUMPRODUCT(('Dvd Calendar'!$E$2144:$AR$2144&gt;=DATE(YEAR_Y-5,1,1))*('Dvd Calendar'!$E$2144:$AR$2144&lt;=DATE(YEAR_Y-5,12,31))*'Dvd Calendar'!$E$2147:$AR$2147*(('Dvd Calendar'!$E$2149:$AR$2149=TYPE1)*(TYPE1&lt;&gt;"")+('Dvd Calendar'!$E$2149:$AR$2149=TYPE2)*(TYPE2&lt;&gt;"")+('Dvd Calendar'!$E$2149:$AR$2149=TYPE3)*(TYPE3&lt;&gt;"")+('Dvd Calendar'!$E$2149:$AR$2149=TYPE4)*(TYPE4&lt;&gt;"")+('Dvd Calendar'!$E$2149:$AR$2149=SPECIAL_LBL)*(INC_SPECIALS="Y"))))</f>
        <v/>
      </c>
      <c r="G205" s="64">
        <f>IF($C205="","",SUMPRODUCT(('Dvd Calendar'!$E$2144:$AR$2144&gt;=DATE(YEAR_Y-4,1,1))*('Dvd Calendar'!$E$2144:$AR$2144&lt;=DATE(YEAR_Y-4,12,31))*'Dvd Calendar'!$E$2147:$AR$2147*(('Dvd Calendar'!$E$2149:$AR$2149=TYPE1)*(TYPE1&lt;&gt;"")+('Dvd Calendar'!$E$2149:$AR$2149=TYPE2)*(TYPE2&lt;&gt;"")+('Dvd Calendar'!$E$2149:$AR$2149=TYPE3)*(TYPE3&lt;&gt;"")+('Dvd Calendar'!$E$2149:$AR$2149=TYPE4)*(TYPE4&lt;&gt;"")+('Dvd Calendar'!$E$2149:$AR$2149=SPECIAL_LBL)*(INC_SPECIALS="Y"))))</f>
        <v/>
      </c>
      <c r="H205" s="64">
        <f>IF($C205="","",SUMPRODUCT(('Dvd Calendar'!$E$2144:$AR$2144&gt;=DATE(YEAR_Y-3,1,1))*('Dvd Calendar'!$E$2144:$AR$2144&lt;=DATE(YEAR_Y-3,12,31))*'Dvd Calendar'!$E$2147:$AR$2147*(('Dvd Calendar'!$E$2149:$AR$2149=TYPE1)*(TYPE1&lt;&gt;"")+('Dvd Calendar'!$E$2149:$AR$2149=TYPE2)*(TYPE2&lt;&gt;"")+('Dvd Calendar'!$E$2149:$AR$2149=TYPE3)*(TYPE3&lt;&gt;"")+('Dvd Calendar'!$E$2149:$AR$2149=TYPE4)*(TYPE4&lt;&gt;"")+('Dvd Calendar'!$E$2149:$AR$2149=SPECIAL_LBL)*(INC_SPECIALS="Y"))))</f>
        <v/>
      </c>
      <c r="I205" s="64">
        <f>IF($C205="","",SUMPRODUCT(('Dvd Calendar'!$E$2144:$AR$2144&gt;=DATE(YEAR_Y-2,1,1))*('Dvd Calendar'!$E$2144:$AR$2144&lt;=DATE(YEAR_Y-2,12,31))*'Dvd Calendar'!$E$2147:$AR$2147*(('Dvd Calendar'!$E$2149:$AR$2149=TYPE1)*(TYPE1&lt;&gt;"")+('Dvd Calendar'!$E$2149:$AR$2149=TYPE2)*(TYPE2&lt;&gt;"")+('Dvd Calendar'!$E$2149:$AR$2149=TYPE3)*(TYPE3&lt;&gt;"")+('Dvd Calendar'!$E$2149:$AR$2149=TYPE4)*(TYPE4&lt;&gt;"")+('Dvd Calendar'!$E$2149:$AR$2149=SPECIAL_LBL)*(INC_SPECIALS="Y"))))</f>
        <v/>
      </c>
      <c r="J205" s="64">
        <f>IF($C205="","",SUMPRODUCT(('Dvd Calendar'!$E$2144:$AR$2144&gt;=DATE(YEAR_Y-1,1,1))*('Dvd Calendar'!$E$2144:$AR$2144&lt;=DATE(YEAR_Y-1,12,31))*'Dvd Calendar'!$E$2147:$AR$2147*(('Dvd Calendar'!$E$2149:$AR$2149=TYPE1)*(TYPE1&lt;&gt;"")+('Dvd Calendar'!$E$2149:$AR$2149=TYPE2)*(TYPE2&lt;&gt;"")+('Dvd Calendar'!$E$2149:$AR$2149=TYPE3)*(TYPE3&lt;&gt;"")+('Dvd Calendar'!$E$2149:$AR$2149=TYPE4)*(TYPE4&lt;&gt;"")+('Dvd Calendar'!$E$2149:$AR$2149=SPECIAL_LBL)*(INC_SPECIALS="Y"))))</f>
        <v/>
      </c>
      <c r="K205" s="65">
        <f>IF($C205="","",HSCEI!$J$60)</f>
        <v/>
      </c>
      <c r="L205" s="65">
        <f>IF($C205="","",HSCEI!$K$60)</f>
        <v/>
      </c>
      <c r="M205" s="41">
        <f>IF($C205="","",AVERAGE(F205:J205))</f>
        <v/>
      </c>
      <c r="N205" s="66">
        <f>IF($C205="","",IF(PULL_FUND="N","",IFERROR(BDP($C205,EPS_FIELD,YR_OVERRIDE,TEXT(YEAR_Y-5,"0")),"")))</f>
        <v/>
      </c>
      <c r="O205" s="67">
        <f>IF($C205="","",IF(PULL_FUND="N","",IFERROR(BDP($C205,EPS_FIELD,YR_OVERRIDE,TEXT(YEAR_Y-4,"0")),"")))</f>
        <v/>
      </c>
      <c r="P205" s="67">
        <f>IF($C205="","",IF(PULL_FUND="N","",IFERROR(BDP($C205,EPS_FIELD,YR_OVERRIDE,TEXT(YEAR_Y-3,"0")),"")))</f>
        <v/>
      </c>
      <c r="Q205" s="67">
        <f>IF($C205="","",IF(PULL_FUND="N","",IFERROR(BDP($C205,EPS_FIELD,YR_OVERRIDE,TEXT(YEAR_Y-2,"0")),"")))</f>
        <v/>
      </c>
      <c r="R205" s="67">
        <f>IF($C205="","",IF(PULL_FUND="N","",IFERROR(BDP($C205,EPS_FIELD,YR_OVERRIDE,TEXT(YEAR_Y-1,"0")),"")))</f>
        <v/>
      </c>
      <c r="S205" s="68">
        <f>IF($C205="","",IF(PULL_FUND="N","",IFERROR(BDP($C205,PAYOUT_FIELD,YR_OVERRIDE,TEXT(YEAR_Y-5,"0"))/100,"")))</f>
        <v/>
      </c>
      <c r="T205" s="68">
        <f>IF($C205="","",IF(PULL_FUND="N","",IFERROR(BDP($C205,PAYOUT_FIELD,YR_OVERRIDE,TEXT(YEAR_Y-4,"0"))/100,"")))</f>
        <v/>
      </c>
      <c r="U205" s="68">
        <f>IF($C205="","",IF(PULL_FUND="N","",IFERROR(BDP($C205,PAYOUT_FIELD,YR_OVERRIDE,TEXT(YEAR_Y-3,"0"))/100,"")))</f>
        <v/>
      </c>
      <c r="V205" s="68">
        <f>IF($C205="","",IF(PULL_FUND="N","",IFERROR(BDP($C205,PAYOUT_FIELD,YR_OVERRIDE,TEXT(YEAR_Y-2,"0"))/100,"")))</f>
        <v/>
      </c>
      <c r="W205" s="68">
        <f>IF($C205="","",IF(PULL_FUND="N","",IFERROR(BDP($C205,PAYOUT_FIELD,YR_OVERRIDE,TEXT(YEAR_Y-1,"0"))/100,"")))</f>
        <v/>
      </c>
      <c r="X205" s="69">
        <f>IF($C205="","",IFERROR(AVERAGE(S205:W205),""))</f>
        <v/>
      </c>
      <c r="Y205" s="66">
        <f>IF($C205="","",IF(PULL_FUND="N","",IFERROR(BDP($C205,BESTEPS_FIELD,FWD_OVERRIDE,TEXT(MOD(YEAR_Y,100),"00")&amp;"Y"),"")))</f>
        <v/>
      </c>
      <c r="Z205" s="70">
        <f>IF($C205="","",IF(PULL_FUND="N","",IFERROR(BDP($C205,BESTDPS_FIELD,FWD_OVERRIDE,TEXT(MOD(YEAR_Y,100),"00")&amp;"Y"),"")))</f>
        <v/>
      </c>
      <c r="AA205" s="71">
        <f>IF($C205="","",IF(ISNUMBER($Y205)*ISNUMBER($Z205)*($Y205&lt;&gt;0)=0,"",$Z205/$Y205))</f>
        <v/>
      </c>
      <c r="AB205" s="41">
        <f>IF($C205="","",HSCEI!$J$60+HSCEI!$L$60)</f>
        <v/>
      </c>
      <c r="AC205" s="72">
        <f>IF($C205="","",IF(PULL_FUND="N","",IF(COUNTIFS('Fund History'!$G$1174:$G$1178,"&gt;="&amp;DATE(YEAR_Y-4,1,1),'Fund History'!$G$1174:$G$1178,"&lt;="&amp;DATE(YEAR_Y-4,12,31))=0,"",SUMIFS('Fund History'!$H$1174:$H$1178,'Fund History'!$G$1174:$G$1178,"&gt;="&amp;DATE(YEAR_Y-4,1,1),'Fund History'!$G$1174:$G$1178,"&lt;="&amp;DATE(YEAR_Y-4,12,31))/100)))</f>
        <v/>
      </c>
      <c r="AD205" s="73">
        <f>IF($C205="","",IF(PULL_FUND="N","",IF(COUNTIFS('Fund History'!$G$1174:$G$1178,"&gt;="&amp;DATE(YEAR_Y-3,1,1),'Fund History'!$G$1174:$G$1178,"&lt;="&amp;DATE(YEAR_Y-3,12,31))=0,"",SUMIFS('Fund History'!$H$1174:$H$1178,'Fund History'!$G$1174:$G$1178,"&gt;="&amp;DATE(YEAR_Y-3,1,1),'Fund History'!$G$1174:$G$1178,"&lt;="&amp;DATE(YEAR_Y-3,12,31))/100)))</f>
        <v/>
      </c>
      <c r="AE205" s="73">
        <f>IF($C205="","",IF(PULL_FUND="N","",IF(COUNTIFS('Fund History'!$G$1174:$G$1178,"&gt;="&amp;DATE(YEAR_Y-2,1,1),'Fund History'!$G$1174:$G$1178,"&lt;="&amp;DATE(YEAR_Y-2,12,31))=0,"",SUMIFS('Fund History'!$H$1174:$H$1178,'Fund History'!$G$1174:$G$1178,"&gt;="&amp;DATE(YEAR_Y-2,1,1),'Fund History'!$G$1174:$G$1178,"&lt;="&amp;DATE(YEAR_Y-2,12,31))/100)))</f>
        <v/>
      </c>
      <c r="AF205" s="73">
        <f>IF($C205="","",IF(PULL_FUND="N","",IF(COUNTIFS('Fund History'!$G$1174:$G$1178,"&gt;="&amp;DATE(YEAR_Y-1,1,1),'Fund History'!$G$1174:$G$1178,"&lt;="&amp;DATE(YEAR_Y-1,12,31))=0,"",SUMIFS('Fund History'!$H$1174:$H$1178,'Fund History'!$G$1174:$G$1178,"&gt;="&amp;DATE(YEAR_Y-1,1,1),'Fund History'!$G$1174:$G$1178,"&lt;="&amp;DATE(YEAR_Y-1,12,31))/100)))</f>
        <v/>
      </c>
      <c r="AG205" s="74">
        <f>IF($C205="","",IF(N($AF205)+N(HSCEI!$I$60)=0,"",N($AF205)+N(HSCEI!$I$60)/100))</f>
        <v/>
      </c>
      <c r="AH205" s="66">
        <f>IF($C205="","",IF(PULL_FUND="N","",IF(COUNTIFS('Fund History'!$D$1174:$D$1178,"&gt;="&amp;DATE(YEAR_Y-2,1,1),'Fund History'!$D$1174:$D$1178,"&lt;="&amp;DATE(YEAR_Y-2,12,31))=0,"",SUMIFS('Fund History'!$E$1174:$E$1178,'Fund History'!$D$1174:$D$1178,"&gt;="&amp;DATE(YEAR_Y-2,1,1),'Fund History'!$D$1174:$D$1178,"&lt;="&amp;DATE(YEAR_Y-2,12,31)))))</f>
        <v/>
      </c>
      <c r="AI205" s="67">
        <f>IF($C205="","",IF(PULL_FUND="N","",IF(COUNTIFS('Fund History'!$D$1174:$D$1178,"&gt;="&amp;DATE(YEAR_Y-1,1,1),'Fund History'!$D$1174:$D$1178,"&lt;="&amp;DATE(YEAR_Y-1,12,31))=0,"",SUMIFS('Fund History'!$E$1174:$E$1178,'Fund History'!$D$1174:$D$1178,"&gt;="&amp;DATE(YEAR_Y-1,1,1),'Fund History'!$D$1174:$D$1178,"&lt;="&amp;DATE(YEAR_Y-1,12,31)))))</f>
        <v/>
      </c>
      <c r="AJ205" s="67">
        <f>IF($C205="","",IF(PULL_FUND="N","",IFERROR(BDP($C205,NDEBITDA_FIELD),"")))</f>
        <v/>
      </c>
      <c r="AK205" s="75">
        <f>IF($C205="","",IF(PULL_FUND="N","",IFERROR(BDP($C205,EBINT_FIELD),"")))</f>
        <v/>
      </c>
      <c r="AL205" s="73">
        <f>IF($C205="","",IF(PULL_FUND="N","",IFERROR(BDP($C205,FCF_FIELD)/100,"")))</f>
        <v/>
      </c>
      <c r="AM205" s="76">
        <f>IF($C205="","",IF(ISNUMBER(HSCEI!$I$60),HSCEI!$I$60/100,""))</f>
        <v/>
      </c>
      <c r="AN205" s="47">
        <f>IF($C205="","",IF(N($AM205)=0,"",IFERROR($AL205/$AM205,"")))</f>
        <v/>
      </c>
      <c r="AO205" s="33">
        <f>IF($C205="","",IF(ISNUMBER($S205)*ISNUMBER($W205)=0,"",IF($W205&gt;$S205+0.05,"rising",IF($W205&lt;$S205-0.05,"falling","stable"))))</f>
        <v/>
      </c>
      <c r="AP205" s="77">
        <f>IF($C205="","",TRIM(IF(ISNUMBER($X205)*(N($X205)&gt;$D$4)&gt;0,"payout high  ","")&amp;IF(ISNUMBER($AN205)*(N($AN205)&lt;$F$4)&gt;0,"FCF below dvd  ","")&amp;IF(ISNUMBER($AJ205)*(N($AJ205)&gt;$H$4)&gt;0,"leverage high","")))</f>
        <v/>
      </c>
      <c r="AQ205" s="78">
        <f>IF($C205="","",IF(HSCEI!$F$60="HKD","",HSCEI!$F$60))</f>
        <v/>
      </c>
    </row>
    <row r="206">
      <c r="B206" s="62" t="inlineStr">
        <is>
          <t>HSCEI</t>
        </is>
      </c>
      <c r="C206" s="6">
        <f>IF(HSCEI!$C$61="","",HSCEI!$C$61)</f>
        <v/>
      </c>
      <c r="D206" s="6">
        <f>IF($C206="","",HSCEI!$D$61)</f>
        <v/>
      </c>
      <c r="E206" s="6">
        <f>IF($C206="","",HSCEI!$E$61)</f>
        <v/>
      </c>
      <c r="F206" s="63">
        <f>IF($C206="","",SUMPRODUCT(('Dvd Calendar'!$E$2155:$AR$2155&gt;=DATE(YEAR_Y-5,1,1))*('Dvd Calendar'!$E$2155:$AR$2155&lt;=DATE(YEAR_Y-5,12,31))*'Dvd Calendar'!$E$2158:$AR$2158*(('Dvd Calendar'!$E$2160:$AR$2160=TYPE1)*(TYPE1&lt;&gt;"")+('Dvd Calendar'!$E$2160:$AR$2160=TYPE2)*(TYPE2&lt;&gt;"")+('Dvd Calendar'!$E$2160:$AR$2160=TYPE3)*(TYPE3&lt;&gt;"")+('Dvd Calendar'!$E$2160:$AR$2160=TYPE4)*(TYPE4&lt;&gt;"")+('Dvd Calendar'!$E$2160:$AR$2160=SPECIAL_LBL)*(INC_SPECIALS="Y"))))</f>
        <v/>
      </c>
      <c r="G206" s="64">
        <f>IF($C206="","",SUMPRODUCT(('Dvd Calendar'!$E$2155:$AR$2155&gt;=DATE(YEAR_Y-4,1,1))*('Dvd Calendar'!$E$2155:$AR$2155&lt;=DATE(YEAR_Y-4,12,31))*'Dvd Calendar'!$E$2158:$AR$2158*(('Dvd Calendar'!$E$2160:$AR$2160=TYPE1)*(TYPE1&lt;&gt;"")+('Dvd Calendar'!$E$2160:$AR$2160=TYPE2)*(TYPE2&lt;&gt;"")+('Dvd Calendar'!$E$2160:$AR$2160=TYPE3)*(TYPE3&lt;&gt;"")+('Dvd Calendar'!$E$2160:$AR$2160=TYPE4)*(TYPE4&lt;&gt;"")+('Dvd Calendar'!$E$2160:$AR$2160=SPECIAL_LBL)*(INC_SPECIALS="Y"))))</f>
        <v/>
      </c>
      <c r="H206" s="64">
        <f>IF($C206="","",SUMPRODUCT(('Dvd Calendar'!$E$2155:$AR$2155&gt;=DATE(YEAR_Y-3,1,1))*('Dvd Calendar'!$E$2155:$AR$2155&lt;=DATE(YEAR_Y-3,12,31))*'Dvd Calendar'!$E$2158:$AR$2158*(('Dvd Calendar'!$E$2160:$AR$2160=TYPE1)*(TYPE1&lt;&gt;"")+('Dvd Calendar'!$E$2160:$AR$2160=TYPE2)*(TYPE2&lt;&gt;"")+('Dvd Calendar'!$E$2160:$AR$2160=TYPE3)*(TYPE3&lt;&gt;"")+('Dvd Calendar'!$E$2160:$AR$2160=TYPE4)*(TYPE4&lt;&gt;"")+('Dvd Calendar'!$E$2160:$AR$2160=SPECIAL_LBL)*(INC_SPECIALS="Y"))))</f>
        <v/>
      </c>
      <c r="I206" s="64">
        <f>IF($C206="","",SUMPRODUCT(('Dvd Calendar'!$E$2155:$AR$2155&gt;=DATE(YEAR_Y-2,1,1))*('Dvd Calendar'!$E$2155:$AR$2155&lt;=DATE(YEAR_Y-2,12,31))*'Dvd Calendar'!$E$2158:$AR$2158*(('Dvd Calendar'!$E$2160:$AR$2160=TYPE1)*(TYPE1&lt;&gt;"")+('Dvd Calendar'!$E$2160:$AR$2160=TYPE2)*(TYPE2&lt;&gt;"")+('Dvd Calendar'!$E$2160:$AR$2160=TYPE3)*(TYPE3&lt;&gt;"")+('Dvd Calendar'!$E$2160:$AR$2160=TYPE4)*(TYPE4&lt;&gt;"")+('Dvd Calendar'!$E$2160:$AR$2160=SPECIAL_LBL)*(INC_SPECIALS="Y"))))</f>
        <v/>
      </c>
      <c r="J206" s="64">
        <f>IF($C206="","",SUMPRODUCT(('Dvd Calendar'!$E$2155:$AR$2155&gt;=DATE(YEAR_Y-1,1,1))*('Dvd Calendar'!$E$2155:$AR$2155&lt;=DATE(YEAR_Y-1,12,31))*'Dvd Calendar'!$E$2158:$AR$2158*(('Dvd Calendar'!$E$2160:$AR$2160=TYPE1)*(TYPE1&lt;&gt;"")+('Dvd Calendar'!$E$2160:$AR$2160=TYPE2)*(TYPE2&lt;&gt;"")+('Dvd Calendar'!$E$2160:$AR$2160=TYPE3)*(TYPE3&lt;&gt;"")+('Dvd Calendar'!$E$2160:$AR$2160=TYPE4)*(TYPE4&lt;&gt;"")+('Dvd Calendar'!$E$2160:$AR$2160=SPECIAL_LBL)*(INC_SPECIALS="Y"))))</f>
        <v/>
      </c>
      <c r="K206" s="65">
        <f>IF($C206="","",HSCEI!$J$61)</f>
        <v/>
      </c>
      <c r="L206" s="65">
        <f>IF($C206="","",HSCEI!$K$61)</f>
        <v/>
      </c>
      <c r="M206" s="41">
        <f>IF($C206="","",AVERAGE(F206:J206))</f>
        <v/>
      </c>
      <c r="N206" s="66">
        <f>IF($C206="","",IF(PULL_FUND="N","",IFERROR(BDP($C206,EPS_FIELD,YR_OVERRIDE,TEXT(YEAR_Y-5,"0")),"")))</f>
        <v/>
      </c>
      <c r="O206" s="67">
        <f>IF($C206="","",IF(PULL_FUND="N","",IFERROR(BDP($C206,EPS_FIELD,YR_OVERRIDE,TEXT(YEAR_Y-4,"0")),"")))</f>
        <v/>
      </c>
      <c r="P206" s="67">
        <f>IF($C206="","",IF(PULL_FUND="N","",IFERROR(BDP($C206,EPS_FIELD,YR_OVERRIDE,TEXT(YEAR_Y-3,"0")),"")))</f>
        <v/>
      </c>
      <c r="Q206" s="67">
        <f>IF($C206="","",IF(PULL_FUND="N","",IFERROR(BDP($C206,EPS_FIELD,YR_OVERRIDE,TEXT(YEAR_Y-2,"0")),"")))</f>
        <v/>
      </c>
      <c r="R206" s="67">
        <f>IF($C206="","",IF(PULL_FUND="N","",IFERROR(BDP($C206,EPS_FIELD,YR_OVERRIDE,TEXT(YEAR_Y-1,"0")),"")))</f>
        <v/>
      </c>
      <c r="S206" s="68">
        <f>IF($C206="","",IF(PULL_FUND="N","",IFERROR(BDP($C206,PAYOUT_FIELD,YR_OVERRIDE,TEXT(YEAR_Y-5,"0"))/100,"")))</f>
        <v/>
      </c>
      <c r="T206" s="68">
        <f>IF($C206="","",IF(PULL_FUND="N","",IFERROR(BDP($C206,PAYOUT_FIELD,YR_OVERRIDE,TEXT(YEAR_Y-4,"0"))/100,"")))</f>
        <v/>
      </c>
      <c r="U206" s="68">
        <f>IF($C206="","",IF(PULL_FUND="N","",IFERROR(BDP($C206,PAYOUT_FIELD,YR_OVERRIDE,TEXT(YEAR_Y-3,"0"))/100,"")))</f>
        <v/>
      </c>
      <c r="V206" s="68">
        <f>IF($C206="","",IF(PULL_FUND="N","",IFERROR(BDP($C206,PAYOUT_FIELD,YR_OVERRIDE,TEXT(YEAR_Y-2,"0"))/100,"")))</f>
        <v/>
      </c>
      <c r="W206" s="68">
        <f>IF($C206="","",IF(PULL_FUND="N","",IFERROR(BDP($C206,PAYOUT_FIELD,YR_OVERRIDE,TEXT(YEAR_Y-1,"0"))/100,"")))</f>
        <v/>
      </c>
      <c r="X206" s="69">
        <f>IF($C206="","",IFERROR(AVERAGE(S206:W206),""))</f>
        <v/>
      </c>
      <c r="Y206" s="66">
        <f>IF($C206="","",IF(PULL_FUND="N","",IFERROR(BDP($C206,BESTEPS_FIELD,FWD_OVERRIDE,TEXT(MOD(YEAR_Y,100),"00")&amp;"Y"),"")))</f>
        <v/>
      </c>
      <c r="Z206" s="70">
        <f>IF($C206="","",IF(PULL_FUND="N","",IFERROR(BDP($C206,BESTDPS_FIELD,FWD_OVERRIDE,TEXT(MOD(YEAR_Y,100),"00")&amp;"Y"),"")))</f>
        <v/>
      </c>
      <c r="AA206" s="71">
        <f>IF($C206="","",IF(ISNUMBER($Y206)*ISNUMBER($Z206)*($Y206&lt;&gt;0)=0,"",$Z206/$Y206))</f>
        <v/>
      </c>
      <c r="AB206" s="41">
        <f>IF($C206="","",HSCEI!$J$61+HSCEI!$L$61)</f>
        <v/>
      </c>
      <c r="AC206" s="72">
        <f>IF($C206="","",IF(PULL_FUND="N","",IF(COUNTIFS('Fund History'!$G$1180:$G$1184,"&gt;="&amp;DATE(YEAR_Y-4,1,1),'Fund History'!$G$1180:$G$1184,"&lt;="&amp;DATE(YEAR_Y-4,12,31))=0,"",SUMIFS('Fund History'!$H$1180:$H$1184,'Fund History'!$G$1180:$G$1184,"&gt;="&amp;DATE(YEAR_Y-4,1,1),'Fund History'!$G$1180:$G$1184,"&lt;="&amp;DATE(YEAR_Y-4,12,31))/100)))</f>
        <v/>
      </c>
      <c r="AD206" s="73">
        <f>IF($C206="","",IF(PULL_FUND="N","",IF(COUNTIFS('Fund History'!$G$1180:$G$1184,"&gt;="&amp;DATE(YEAR_Y-3,1,1),'Fund History'!$G$1180:$G$1184,"&lt;="&amp;DATE(YEAR_Y-3,12,31))=0,"",SUMIFS('Fund History'!$H$1180:$H$1184,'Fund History'!$G$1180:$G$1184,"&gt;="&amp;DATE(YEAR_Y-3,1,1),'Fund History'!$G$1180:$G$1184,"&lt;="&amp;DATE(YEAR_Y-3,12,31))/100)))</f>
        <v/>
      </c>
      <c r="AE206" s="73">
        <f>IF($C206="","",IF(PULL_FUND="N","",IF(COUNTIFS('Fund History'!$G$1180:$G$1184,"&gt;="&amp;DATE(YEAR_Y-2,1,1),'Fund History'!$G$1180:$G$1184,"&lt;="&amp;DATE(YEAR_Y-2,12,31))=0,"",SUMIFS('Fund History'!$H$1180:$H$1184,'Fund History'!$G$1180:$G$1184,"&gt;="&amp;DATE(YEAR_Y-2,1,1),'Fund History'!$G$1180:$G$1184,"&lt;="&amp;DATE(YEAR_Y-2,12,31))/100)))</f>
        <v/>
      </c>
      <c r="AF206" s="73">
        <f>IF($C206="","",IF(PULL_FUND="N","",IF(COUNTIFS('Fund History'!$G$1180:$G$1184,"&gt;="&amp;DATE(YEAR_Y-1,1,1),'Fund History'!$G$1180:$G$1184,"&lt;="&amp;DATE(YEAR_Y-1,12,31))=0,"",SUMIFS('Fund History'!$H$1180:$H$1184,'Fund History'!$G$1180:$G$1184,"&gt;="&amp;DATE(YEAR_Y-1,1,1),'Fund History'!$G$1180:$G$1184,"&lt;="&amp;DATE(YEAR_Y-1,12,31))/100)))</f>
        <v/>
      </c>
      <c r="AG206" s="74">
        <f>IF($C206="","",IF(N($AF206)+N(HSCEI!$I$61)=0,"",N($AF206)+N(HSCEI!$I$61)/100))</f>
        <v/>
      </c>
      <c r="AH206" s="66">
        <f>IF($C206="","",IF(PULL_FUND="N","",IF(COUNTIFS('Fund History'!$D$1180:$D$1184,"&gt;="&amp;DATE(YEAR_Y-2,1,1),'Fund History'!$D$1180:$D$1184,"&lt;="&amp;DATE(YEAR_Y-2,12,31))=0,"",SUMIFS('Fund History'!$E$1180:$E$1184,'Fund History'!$D$1180:$D$1184,"&gt;="&amp;DATE(YEAR_Y-2,1,1),'Fund History'!$D$1180:$D$1184,"&lt;="&amp;DATE(YEAR_Y-2,12,31)))))</f>
        <v/>
      </c>
      <c r="AI206" s="67">
        <f>IF($C206="","",IF(PULL_FUND="N","",IF(COUNTIFS('Fund History'!$D$1180:$D$1184,"&gt;="&amp;DATE(YEAR_Y-1,1,1),'Fund History'!$D$1180:$D$1184,"&lt;="&amp;DATE(YEAR_Y-1,12,31))=0,"",SUMIFS('Fund History'!$E$1180:$E$1184,'Fund History'!$D$1180:$D$1184,"&gt;="&amp;DATE(YEAR_Y-1,1,1),'Fund History'!$D$1180:$D$1184,"&lt;="&amp;DATE(YEAR_Y-1,12,31)))))</f>
        <v/>
      </c>
      <c r="AJ206" s="67">
        <f>IF($C206="","",IF(PULL_FUND="N","",IFERROR(BDP($C206,NDEBITDA_FIELD),"")))</f>
        <v/>
      </c>
      <c r="AK206" s="75">
        <f>IF($C206="","",IF(PULL_FUND="N","",IFERROR(BDP($C206,EBINT_FIELD),"")))</f>
        <v/>
      </c>
      <c r="AL206" s="73">
        <f>IF($C206="","",IF(PULL_FUND="N","",IFERROR(BDP($C206,FCF_FIELD)/100,"")))</f>
        <v/>
      </c>
      <c r="AM206" s="76">
        <f>IF($C206="","",IF(ISNUMBER(HSCEI!$I$61),HSCEI!$I$61/100,""))</f>
        <v/>
      </c>
      <c r="AN206" s="47">
        <f>IF($C206="","",IF(N($AM206)=0,"",IFERROR($AL206/$AM206,"")))</f>
        <v/>
      </c>
      <c r="AO206" s="33">
        <f>IF($C206="","",IF(ISNUMBER($S206)*ISNUMBER($W206)=0,"",IF($W206&gt;$S206+0.05,"rising",IF($W206&lt;$S206-0.05,"falling","stable"))))</f>
        <v/>
      </c>
      <c r="AP206" s="77">
        <f>IF($C206="","",TRIM(IF(ISNUMBER($X206)*(N($X206)&gt;$D$4)&gt;0,"payout high  ","")&amp;IF(ISNUMBER($AN206)*(N($AN206)&lt;$F$4)&gt;0,"FCF below dvd  ","")&amp;IF(ISNUMBER($AJ206)*(N($AJ206)&gt;$H$4)&gt;0,"leverage high","")))</f>
        <v/>
      </c>
      <c r="AQ206" s="78">
        <f>IF($C206="","",IF(HSCEI!$F$61="HKD","",HSCEI!$F$61))</f>
        <v/>
      </c>
    </row>
    <row r="207">
      <c r="B207" s="62" t="inlineStr">
        <is>
          <t>HSCEI</t>
        </is>
      </c>
      <c r="C207" s="6">
        <f>IF(HSCEI!$C$62="","",HSCEI!$C$62)</f>
        <v/>
      </c>
      <c r="D207" s="6">
        <f>IF($C207="","",HSCEI!$D$62)</f>
        <v/>
      </c>
      <c r="E207" s="6">
        <f>IF($C207="","",HSCEI!$E$62)</f>
        <v/>
      </c>
      <c r="F207" s="63">
        <f>IF($C207="","",SUMPRODUCT(('Dvd Calendar'!$E$2166:$AR$2166&gt;=DATE(YEAR_Y-5,1,1))*('Dvd Calendar'!$E$2166:$AR$2166&lt;=DATE(YEAR_Y-5,12,31))*'Dvd Calendar'!$E$2169:$AR$2169*(('Dvd Calendar'!$E$2171:$AR$2171=TYPE1)*(TYPE1&lt;&gt;"")+('Dvd Calendar'!$E$2171:$AR$2171=TYPE2)*(TYPE2&lt;&gt;"")+('Dvd Calendar'!$E$2171:$AR$2171=TYPE3)*(TYPE3&lt;&gt;"")+('Dvd Calendar'!$E$2171:$AR$2171=TYPE4)*(TYPE4&lt;&gt;"")+('Dvd Calendar'!$E$2171:$AR$2171=SPECIAL_LBL)*(INC_SPECIALS="Y"))))</f>
        <v/>
      </c>
      <c r="G207" s="64">
        <f>IF($C207="","",SUMPRODUCT(('Dvd Calendar'!$E$2166:$AR$2166&gt;=DATE(YEAR_Y-4,1,1))*('Dvd Calendar'!$E$2166:$AR$2166&lt;=DATE(YEAR_Y-4,12,31))*'Dvd Calendar'!$E$2169:$AR$2169*(('Dvd Calendar'!$E$2171:$AR$2171=TYPE1)*(TYPE1&lt;&gt;"")+('Dvd Calendar'!$E$2171:$AR$2171=TYPE2)*(TYPE2&lt;&gt;"")+('Dvd Calendar'!$E$2171:$AR$2171=TYPE3)*(TYPE3&lt;&gt;"")+('Dvd Calendar'!$E$2171:$AR$2171=TYPE4)*(TYPE4&lt;&gt;"")+('Dvd Calendar'!$E$2171:$AR$2171=SPECIAL_LBL)*(INC_SPECIALS="Y"))))</f>
        <v/>
      </c>
      <c r="H207" s="64">
        <f>IF($C207="","",SUMPRODUCT(('Dvd Calendar'!$E$2166:$AR$2166&gt;=DATE(YEAR_Y-3,1,1))*('Dvd Calendar'!$E$2166:$AR$2166&lt;=DATE(YEAR_Y-3,12,31))*'Dvd Calendar'!$E$2169:$AR$2169*(('Dvd Calendar'!$E$2171:$AR$2171=TYPE1)*(TYPE1&lt;&gt;"")+('Dvd Calendar'!$E$2171:$AR$2171=TYPE2)*(TYPE2&lt;&gt;"")+('Dvd Calendar'!$E$2171:$AR$2171=TYPE3)*(TYPE3&lt;&gt;"")+('Dvd Calendar'!$E$2171:$AR$2171=TYPE4)*(TYPE4&lt;&gt;"")+('Dvd Calendar'!$E$2171:$AR$2171=SPECIAL_LBL)*(INC_SPECIALS="Y"))))</f>
        <v/>
      </c>
      <c r="I207" s="64">
        <f>IF($C207="","",SUMPRODUCT(('Dvd Calendar'!$E$2166:$AR$2166&gt;=DATE(YEAR_Y-2,1,1))*('Dvd Calendar'!$E$2166:$AR$2166&lt;=DATE(YEAR_Y-2,12,31))*'Dvd Calendar'!$E$2169:$AR$2169*(('Dvd Calendar'!$E$2171:$AR$2171=TYPE1)*(TYPE1&lt;&gt;"")+('Dvd Calendar'!$E$2171:$AR$2171=TYPE2)*(TYPE2&lt;&gt;"")+('Dvd Calendar'!$E$2171:$AR$2171=TYPE3)*(TYPE3&lt;&gt;"")+('Dvd Calendar'!$E$2171:$AR$2171=TYPE4)*(TYPE4&lt;&gt;"")+('Dvd Calendar'!$E$2171:$AR$2171=SPECIAL_LBL)*(INC_SPECIALS="Y"))))</f>
        <v/>
      </c>
      <c r="J207" s="64">
        <f>IF($C207="","",SUMPRODUCT(('Dvd Calendar'!$E$2166:$AR$2166&gt;=DATE(YEAR_Y-1,1,1))*('Dvd Calendar'!$E$2166:$AR$2166&lt;=DATE(YEAR_Y-1,12,31))*'Dvd Calendar'!$E$2169:$AR$2169*(('Dvd Calendar'!$E$2171:$AR$2171=TYPE1)*(TYPE1&lt;&gt;"")+('Dvd Calendar'!$E$2171:$AR$2171=TYPE2)*(TYPE2&lt;&gt;"")+('Dvd Calendar'!$E$2171:$AR$2171=TYPE3)*(TYPE3&lt;&gt;"")+('Dvd Calendar'!$E$2171:$AR$2171=TYPE4)*(TYPE4&lt;&gt;"")+('Dvd Calendar'!$E$2171:$AR$2171=SPECIAL_LBL)*(INC_SPECIALS="Y"))))</f>
        <v/>
      </c>
      <c r="K207" s="65">
        <f>IF($C207="","",HSCEI!$J$62)</f>
        <v/>
      </c>
      <c r="L207" s="65">
        <f>IF($C207="","",HSCEI!$K$62)</f>
        <v/>
      </c>
      <c r="M207" s="41">
        <f>IF($C207="","",AVERAGE(F207:J207))</f>
        <v/>
      </c>
      <c r="N207" s="66">
        <f>IF($C207="","",IF(PULL_FUND="N","",IFERROR(BDP($C207,EPS_FIELD,YR_OVERRIDE,TEXT(YEAR_Y-5,"0")),"")))</f>
        <v/>
      </c>
      <c r="O207" s="67">
        <f>IF($C207="","",IF(PULL_FUND="N","",IFERROR(BDP($C207,EPS_FIELD,YR_OVERRIDE,TEXT(YEAR_Y-4,"0")),"")))</f>
        <v/>
      </c>
      <c r="P207" s="67">
        <f>IF($C207="","",IF(PULL_FUND="N","",IFERROR(BDP($C207,EPS_FIELD,YR_OVERRIDE,TEXT(YEAR_Y-3,"0")),"")))</f>
        <v/>
      </c>
      <c r="Q207" s="67">
        <f>IF($C207="","",IF(PULL_FUND="N","",IFERROR(BDP($C207,EPS_FIELD,YR_OVERRIDE,TEXT(YEAR_Y-2,"0")),"")))</f>
        <v/>
      </c>
      <c r="R207" s="67">
        <f>IF($C207="","",IF(PULL_FUND="N","",IFERROR(BDP($C207,EPS_FIELD,YR_OVERRIDE,TEXT(YEAR_Y-1,"0")),"")))</f>
        <v/>
      </c>
      <c r="S207" s="68">
        <f>IF($C207="","",IF(PULL_FUND="N","",IFERROR(BDP($C207,PAYOUT_FIELD,YR_OVERRIDE,TEXT(YEAR_Y-5,"0"))/100,"")))</f>
        <v/>
      </c>
      <c r="T207" s="68">
        <f>IF($C207="","",IF(PULL_FUND="N","",IFERROR(BDP($C207,PAYOUT_FIELD,YR_OVERRIDE,TEXT(YEAR_Y-4,"0"))/100,"")))</f>
        <v/>
      </c>
      <c r="U207" s="68">
        <f>IF($C207="","",IF(PULL_FUND="N","",IFERROR(BDP($C207,PAYOUT_FIELD,YR_OVERRIDE,TEXT(YEAR_Y-3,"0"))/100,"")))</f>
        <v/>
      </c>
      <c r="V207" s="68">
        <f>IF($C207="","",IF(PULL_FUND="N","",IFERROR(BDP($C207,PAYOUT_FIELD,YR_OVERRIDE,TEXT(YEAR_Y-2,"0"))/100,"")))</f>
        <v/>
      </c>
      <c r="W207" s="68">
        <f>IF($C207="","",IF(PULL_FUND="N","",IFERROR(BDP($C207,PAYOUT_FIELD,YR_OVERRIDE,TEXT(YEAR_Y-1,"0"))/100,"")))</f>
        <v/>
      </c>
      <c r="X207" s="69">
        <f>IF($C207="","",IFERROR(AVERAGE(S207:W207),""))</f>
        <v/>
      </c>
      <c r="Y207" s="66">
        <f>IF($C207="","",IF(PULL_FUND="N","",IFERROR(BDP($C207,BESTEPS_FIELD,FWD_OVERRIDE,TEXT(MOD(YEAR_Y,100),"00")&amp;"Y"),"")))</f>
        <v/>
      </c>
      <c r="Z207" s="70">
        <f>IF($C207="","",IF(PULL_FUND="N","",IFERROR(BDP($C207,BESTDPS_FIELD,FWD_OVERRIDE,TEXT(MOD(YEAR_Y,100),"00")&amp;"Y"),"")))</f>
        <v/>
      </c>
      <c r="AA207" s="71">
        <f>IF($C207="","",IF(ISNUMBER($Y207)*ISNUMBER($Z207)*($Y207&lt;&gt;0)=0,"",$Z207/$Y207))</f>
        <v/>
      </c>
      <c r="AB207" s="41">
        <f>IF($C207="","",HSCEI!$J$62+HSCEI!$L$62)</f>
        <v/>
      </c>
      <c r="AC207" s="72">
        <f>IF($C207="","",IF(PULL_FUND="N","",IF(COUNTIFS('Fund History'!$G$1186:$G$1190,"&gt;="&amp;DATE(YEAR_Y-4,1,1),'Fund History'!$G$1186:$G$1190,"&lt;="&amp;DATE(YEAR_Y-4,12,31))=0,"",SUMIFS('Fund History'!$H$1186:$H$1190,'Fund History'!$G$1186:$G$1190,"&gt;="&amp;DATE(YEAR_Y-4,1,1),'Fund History'!$G$1186:$G$1190,"&lt;="&amp;DATE(YEAR_Y-4,12,31))/100)))</f>
        <v/>
      </c>
      <c r="AD207" s="73">
        <f>IF($C207="","",IF(PULL_FUND="N","",IF(COUNTIFS('Fund History'!$G$1186:$G$1190,"&gt;="&amp;DATE(YEAR_Y-3,1,1),'Fund History'!$G$1186:$G$1190,"&lt;="&amp;DATE(YEAR_Y-3,12,31))=0,"",SUMIFS('Fund History'!$H$1186:$H$1190,'Fund History'!$G$1186:$G$1190,"&gt;="&amp;DATE(YEAR_Y-3,1,1),'Fund History'!$G$1186:$G$1190,"&lt;="&amp;DATE(YEAR_Y-3,12,31))/100)))</f>
        <v/>
      </c>
      <c r="AE207" s="73">
        <f>IF($C207="","",IF(PULL_FUND="N","",IF(COUNTIFS('Fund History'!$G$1186:$G$1190,"&gt;="&amp;DATE(YEAR_Y-2,1,1),'Fund History'!$G$1186:$G$1190,"&lt;="&amp;DATE(YEAR_Y-2,12,31))=0,"",SUMIFS('Fund History'!$H$1186:$H$1190,'Fund History'!$G$1186:$G$1190,"&gt;="&amp;DATE(YEAR_Y-2,1,1),'Fund History'!$G$1186:$G$1190,"&lt;="&amp;DATE(YEAR_Y-2,12,31))/100)))</f>
        <v/>
      </c>
      <c r="AF207" s="73">
        <f>IF($C207="","",IF(PULL_FUND="N","",IF(COUNTIFS('Fund History'!$G$1186:$G$1190,"&gt;="&amp;DATE(YEAR_Y-1,1,1),'Fund History'!$G$1186:$G$1190,"&lt;="&amp;DATE(YEAR_Y-1,12,31))=0,"",SUMIFS('Fund History'!$H$1186:$H$1190,'Fund History'!$G$1186:$G$1190,"&gt;="&amp;DATE(YEAR_Y-1,1,1),'Fund History'!$G$1186:$G$1190,"&lt;="&amp;DATE(YEAR_Y-1,12,31))/100)))</f>
        <v/>
      </c>
      <c r="AG207" s="74">
        <f>IF($C207="","",IF(N($AF207)+N(HSCEI!$I$62)=0,"",N($AF207)+N(HSCEI!$I$62)/100))</f>
        <v/>
      </c>
      <c r="AH207" s="66">
        <f>IF($C207="","",IF(PULL_FUND="N","",IF(COUNTIFS('Fund History'!$D$1186:$D$1190,"&gt;="&amp;DATE(YEAR_Y-2,1,1),'Fund History'!$D$1186:$D$1190,"&lt;="&amp;DATE(YEAR_Y-2,12,31))=0,"",SUMIFS('Fund History'!$E$1186:$E$1190,'Fund History'!$D$1186:$D$1190,"&gt;="&amp;DATE(YEAR_Y-2,1,1),'Fund History'!$D$1186:$D$1190,"&lt;="&amp;DATE(YEAR_Y-2,12,31)))))</f>
        <v/>
      </c>
      <c r="AI207" s="67">
        <f>IF($C207="","",IF(PULL_FUND="N","",IF(COUNTIFS('Fund History'!$D$1186:$D$1190,"&gt;="&amp;DATE(YEAR_Y-1,1,1),'Fund History'!$D$1186:$D$1190,"&lt;="&amp;DATE(YEAR_Y-1,12,31))=0,"",SUMIFS('Fund History'!$E$1186:$E$1190,'Fund History'!$D$1186:$D$1190,"&gt;="&amp;DATE(YEAR_Y-1,1,1),'Fund History'!$D$1186:$D$1190,"&lt;="&amp;DATE(YEAR_Y-1,12,31)))))</f>
        <v/>
      </c>
      <c r="AJ207" s="67">
        <f>IF($C207="","",IF(PULL_FUND="N","",IFERROR(BDP($C207,NDEBITDA_FIELD),"")))</f>
        <v/>
      </c>
      <c r="AK207" s="75">
        <f>IF($C207="","",IF(PULL_FUND="N","",IFERROR(BDP($C207,EBINT_FIELD),"")))</f>
        <v/>
      </c>
      <c r="AL207" s="73">
        <f>IF($C207="","",IF(PULL_FUND="N","",IFERROR(BDP($C207,FCF_FIELD)/100,"")))</f>
        <v/>
      </c>
      <c r="AM207" s="76">
        <f>IF($C207="","",IF(ISNUMBER(HSCEI!$I$62),HSCEI!$I$62/100,""))</f>
        <v/>
      </c>
      <c r="AN207" s="47">
        <f>IF($C207="","",IF(N($AM207)=0,"",IFERROR($AL207/$AM207,"")))</f>
        <v/>
      </c>
      <c r="AO207" s="33">
        <f>IF($C207="","",IF(ISNUMBER($S207)*ISNUMBER($W207)=0,"",IF($W207&gt;$S207+0.05,"rising",IF($W207&lt;$S207-0.05,"falling","stable"))))</f>
        <v/>
      </c>
      <c r="AP207" s="77">
        <f>IF($C207="","",TRIM(IF(ISNUMBER($X207)*(N($X207)&gt;$D$4)&gt;0,"payout high  ","")&amp;IF(ISNUMBER($AN207)*(N($AN207)&lt;$F$4)&gt;0,"FCF below dvd  ","")&amp;IF(ISNUMBER($AJ207)*(N($AJ207)&gt;$H$4)&gt;0,"leverage high","")))</f>
        <v/>
      </c>
      <c r="AQ207" s="78">
        <f>IF($C207="","",IF(HSCEI!$F$62="HKD","",HSCEI!$F$62))</f>
        <v/>
      </c>
    </row>
    <row r="208">
      <c r="B208" s="62" t="inlineStr">
        <is>
          <t>HSCEI</t>
        </is>
      </c>
      <c r="C208" s="6">
        <f>IF(HSCEI!$C$63="","",HSCEI!$C$63)</f>
        <v/>
      </c>
      <c r="D208" s="6">
        <f>IF($C208="","",HSCEI!$D$63)</f>
        <v/>
      </c>
      <c r="E208" s="6">
        <f>IF($C208="","",HSCEI!$E$63)</f>
        <v/>
      </c>
      <c r="F208" s="63">
        <f>IF($C208="","",SUMPRODUCT(('Dvd Calendar'!$E$2177:$AR$2177&gt;=DATE(YEAR_Y-5,1,1))*('Dvd Calendar'!$E$2177:$AR$2177&lt;=DATE(YEAR_Y-5,12,31))*'Dvd Calendar'!$E$2180:$AR$2180*(('Dvd Calendar'!$E$2182:$AR$2182=TYPE1)*(TYPE1&lt;&gt;"")+('Dvd Calendar'!$E$2182:$AR$2182=TYPE2)*(TYPE2&lt;&gt;"")+('Dvd Calendar'!$E$2182:$AR$2182=TYPE3)*(TYPE3&lt;&gt;"")+('Dvd Calendar'!$E$2182:$AR$2182=TYPE4)*(TYPE4&lt;&gt;"")+('Dvd Calendar'!$E$2182:$AR$2182=SPECIAL_LBL)*(INC_SPECIALS="Y"))))</f>
        <v/>
      </c>
      <c r="G208" s="64">
        <f>IF($C208="","",SUMPRODUCT(('Dvd Calendar'!$E$2177:$AR$2177&gt;=DATE(YEAR_Y-4,1,1))*('Dvd Calendar'!$E$2177:$AR$2177&lt;=DATE(YEAR_Y-4,12,31))*'Dvd Calendar'!$E$2180:$AR$2180*(('Dvd Calendar'!$E$2182:$AR$2182=TYPE1)*(TYPE1&lt;&gt;"")+('Dvd Calendar'!$E$2182:$AR$2182=TYPE2)*(TYPE2&lt;&gt;"")+('Dvd Calendar'!$E$2182:$AR$2182=TYPE3)*(TYPE3&lt;&gt;"")+('Dvd Calendar'!$E$2182:$AR$2182=TYPE4)*(TYPE4&lt;&gt;"")+('Dvd Calendar'!$E$2182:$AR$2182=SPECIAL_LBL)*(INC_SPECIALS="Y"))))</f>
        <v/>
      </c>
      <c r="H208" s="64">
        <f>IF($C208="","",SUMPRODUCT(('Dvd Calendar'!$E$2177:$AR$2177&gt;=DATE(YEAR_Y-3,1,1))*('Dvd Calendar'!$E$2177:$AR$2177&lt;=DATE(YEAR_Y-3,12,31))*'Dvd Calendar'!$E$2180:$AR$2180*(('Dvd Calendar'!$E$2182:$AR$2182=TYPE1)*(TYPE1&lt;&gt;"")+('Dvd Calendar'!$E$2182:$AR$2182=TYPE2)*(TYPE2&lt;&gt;"")+('Dvd Calendar'!$E$2182:$AR$2182=TYPE3)*(TYPE3&lt;&gt;"")+('Dvd Calendar'!$E$2182:$AR$2182=TYPE4)*(TYPE4&lt;&gt;"")+('Dvd Calendar'!$E$2182:$AR$2182=SPECIAL_LBL)*(INC_SPECIALS="Y"))))</f>
        <v/>
      </c>
      <c r="I208" s="64">
        <f>IF($C208="","",SUMPRODUCT(('Dvd Calendar'!$E$2177:$AR$2177&gt;=DATE(YEAR_Y-2,1,1))*('Dvd Calendar'!$E$2177:$AR$2177&lt;=DATE(YEAR_Y-2,12,31))*'Dvd Calendar'!$E$2180:$AR$2180*(('Dvd Calendar'!$E$2182:$AR$2182=TYPE1)*(TYPE1&lt;&gt;"")+('Dvd Calendar'!$E$2182:$AR$2182=TYPE2)*(TYPE2&lt;&gt;"")+('Dvd Calendar'!$E$2182:$AR$2182=TYPE3)*(TYPE3&lt;&gt;"")+('Dvd Calendar'!$E$2182:$AR$2182=TYPE4)*(TYPE4&lt;&gt;"")+('Dvd Calendar'!$E$2182:$AR$2182=SPECIAL_LBL)*(INC_SPECIALS="Y"))))</f>
        <v/>
      </c>
      <c r="J208" s="64">
        <f>IF($C208="","",SUMPRODUCT(('Dvd Calendar'!$E$2177:$AR$2177&gt;=DATE(YEAR_Y-1,1,1))*('Dvd Calendar'!$E$2177:$AR$2177&lt;=DATE(YEAR_Y-1,12,31))*'Dvd Calendar'!$E$2180:$AR$2180*(('Dvd Calendar'!$E$2182:$AR$2182=TYPE1)*(TYPE1&lt;&gt;"")+('Dvd Calendar'!$E$2182:$AR$2182=TYPE2)*(TYPE2&lt;&gt;"")+('Dvd Calendar'!$E$2182:$AR$2182=TYPE3)*(TYPE3&lt;&gt;"")+('Dvd Calendar'!$E$2182:$AR$2182=TYPE4)*(TYPE4&lt;&gt;"")+('Dvd Calendar'!$E$2182:$AR$2182=SPECIAL_LBL)*(INC_SPECIALS="Y"))))</f>
        <v/>
      </c>
      <c r="K208" s="65">
        <f>IF($C208="","",HSCEI!$J$63)</f>
        <v/>
      </c>
      <c r="L208" s="65">
        <f>IF($C208="","",HSCEI!$K$63)</f>
        <v/>
      </c>
      <c r="M208" s="41">
        <f>IF($C208="","",AVERAGE(F208:J208))</f>
        <v/>
      </c>
      <c r="N208" s="66">
        <f>IF($C208="","",IF(PULL_FUND="N","",IFERROR(BDP($C208,EPS_FIELD,YR_OVERRIDE,TEXT(YEAR_Y-5,"0")),"")))</f>
        <v/>
      </c>
      <c r="O208" s="67">
        <f>IF($C208="","",IF(PULL_FUND="N","",IFERROR(BDP($C208,EPS_FIELD,YR_OVERRIDE,TEXT(YEAR_Y-4,"0")),"")))</f>
        <v/>
      </c>
      <c r="P208" s="67">
        <f>IF($C208="","",IF(PULL_FUND="N","",IFERROR(BDP($C208,EPS_FIELD,YR_OVERRIDE,TEXT(YEAR_Y-3,"0")),"")))</f>
        <v/>
      </c>
      <c r="Q208" s="67">
        <f>IF($C208="","",IF(PULL_FUND="N","",IFERROR(BDP($C208,EPS_FIELD,YR_OVERRIDE,TEXT(YEAR_Y-2,"0")),"")))</f>
        <v/>
      </c>
      <c r="R208" s="67">
        <f>IF($C208="","",IF(PULL_FUND="N","",IFERROR(BDP($C208,EPS_FIELD,YR_OVERRIDE,TEXT(YEAR_Y-1,"0")),"")))</f>
        <v/>
      </c>
      <c r="S208" s="68">
        <f>IF($C208="","",IF(PULL_FUND="N","",IFERROR(BDP($C208,PAYOUT_FIELD,YR_OVERRIDE,TEXT(YEAR_Y-5,"0"))/100,"")))</f>
        <v/>
      </c>
      <c r="T208" s="68">
        <f>IF($C208="","",IF(PULL_FUND="N","",IFERROR(BDP($C208,PAYOUT_FIELD,YR_OVERRIDE,TEXT(YEAR_Y-4,"0"))/100,"")))</f>
        <v/>
      </c>
      <c r="U208" s="68">
        <f>IF($C208="","",IF(PULL_FUND="N","",IFERROR(BDP($C208,PAYOUT_FIELD,YR_OVERRIDE,TEXT(YEAR_Y-3,"0"))/100,"")))</f>
        <v/>
      </c>
      <c r="V208" s="68">
        <f>IF($C208="","",IF(PULL_FUND="N","",IFERROR(BDP($C208,PAYOUT_FIELD,YR_OVERRIDE,TEXT(YEAR_Y-2,"0"))/100,"")))</f>
        <v/>
      </c>
      <c r="W208" s="68">
        <f>IF($C208="","",IF(PULL_FUND="N","",IFERROR(BDP($C208,PAYOUT_FIELD,YR_OVERRIDE,TEXT(YEAR_Y-1,"0"))/100,"")))</f>
        <v/>
      </c>
      <c r="X208" s="69">
        <f>IF($C208="","",IFERROR(AVERAGE(S208:W208),""))</f>
        <v/>
      </c>
      <c r="Y208" s="66">
        <f>IF($C208="","",IF(PULL_FUND="N","",IFERROR(BDP($C208,BESTEPS_FIELD,FWD_OVERRIDE,TEXT(MOD(YEAR_Y,100),"00")&amp;"Y"),"")))</f>
        <v/>
      </c>
      <c r="Z208" s="70">
        <f>IF($C208="","",IF(PULL_FUND="N","",IFERROR(BDP($C208,BESTDPS_FIELD,FWD_OVERRIDE,TEXT(MOD(YEAR_Y,100),"00")&amp;"Y"),"")))</f>
        <v/>
      </c>
      <c r="AA208" s="71">
        <f>IF($C208="","",IF(ISNUMBER($Y208)*ISNUMBER($Z208)*($Y208&lt;&gt;0)=0,"",$Z208/$Y208))</f>
        <v/>
      </c>
      <c r="AB208" s="41">
        <f>IF($C208="","",HSCEI!$J$63+HSCEI!$L$63)</f>
        <v/>
      </c>
      <c r="AC208" s="72">
        <f>IF($C208="","",IF(PULL_FUND="N","",IF(COUNTIFS('Fund History'!$G$1192:$G$1196,"&gt;="&amp;DATE(YEAR_Y-4,1,1),'Fund History'!$G$1192:$G$1196,"&lt;="&amp;DATE(YEAR_Y-4,12,31))=0,"",SUMIFS('Fund History'!$H$1192:$H$1196,'Fund History'!$G$1192:$G$1196,"&gt;="&amp;DATE(YEAR_Y-4,1,1),'Fund History'!$G$1192:$G$1196,"&lt;="&amp;DATE(YEAR_Y-4,12,31))/100)))</f>
        <v/>
      </c>
      <c r="AD208" s="73">
        <f>IF($C208="","",IF(PULL_FUND="N","",IF(COUNTIFS('Fund History'!$G$1192:$G$1196,"&gt;="&amp;DATE(YEAR_Y-3,1,1),'Fund History'!$G$1192:$G$1196,"&lt;="&amp;DATE(YEAR_Y-3,12,31))=0,"",SUMIFS('Fund History'!$H$1192:$H$1196,'Fund History'!$G$1192:$G$1196,"&gt;="&amp;DATE(YEAR_Y-3,1,1),'Fund History'!$G$1192:$G$1196,"&lt;="&amp;DATE(YEAR_Y-3,12,31))/100)))</f>
        <v/>
      </c>
      <c r="AE208" s="73">
        <f>IF($C208="","",IF(PULL_FUND="N","",IF(COUNTIFS('Fund History'!$G$1192:$G$1196,"&gt;="&amp;DATE(YEAR_Y-2,1,1),'Fund History'!$G$1192:$G$1196,"&lt;="&amp;DATE(YEAR_Y-2,12,31))=0,"",SUMIFS('Fund History'!$H$1192:$H$1196,'Fund History'!$G$1192:$G$1196,"&gt;="&amp;DATE(YEAR_Y-2,1,1),'Fund History'!$G$1192:$G$1196,"&lt;="&amp;DATE(YEAR_Y-2,12,31))/100)))</f>
        <v/>
      </c>
      <c r="AF208" s="73">
        <f>IF($C208="","",IF(PULL_FUND="N","",IF(COUNTIFS('Fund History'!$G$1192:$G$1196,"&gt;="&amp;DATE(YEAR_Y-1,1,1),'Fund History'!$G$1192:$G$1196,"&lt;="&amp;DATE(YEAR_Y-1,12,31))=0,"",SUMIFS('Fund History'!$H$1192:$H$1196,'Fund History'!$G$1192:$G$1196,"&gt;="&amp;DATE(YEAR_Y-1,1,1),'Fund History'!$G$1192:$G$1196,"&lt;="&amp;DATE(YEAR_Y-1,12,31))/100)))</f>
        <v/>
      </c>
      <c r="AG208" s="74">
        <f>IF($C208="","",IF(N($AF208)+N(HSCEI!$I$63)=0,"",N($AF208)+N(HSCEI!$I$63)/100))</f>
        <v/>
      </c>
      <c r="AH208" s="66">
        <f>IF($C208="","",IF(PULL_FUND="N","",IF(COUNTIFS('Fund History'!$D$1192:$D$1196,"&gt;="&amp;DATE(YEAR_Y-2,1,1),'Fund History'!$D$1192:$D$1196,"&lt;="&amp;DATE(YEAR_Y-2,12,31))=0,"",SUMIFS('Fund History'!$E$1192:$E$1196,'Fund History'!$D$1192:$D$1196,"&gt;="&amp;DATE(YEAR_Y-2,1,1),'Fund History'!$D$1192:$D$1196,"&lt;="&amp;DATE(YEAR_Y-2,12,31)))))</f>
        <v/>
      </c>
      <c r="AI208" s="67">
        <f>IF($C208="","",IF(PULL_FUND="N","",IF(COUNTIFS('Fund History'!$D$1192:$D$1196,"&gt;="&amp;DATE(YEAR_Y-1,1,1),'Fund History'!$D$1192:$D$1196,"&lt;="&amp;DATE(YEAR_Y-1,12,31))=0,"",SUMIFS('Fund History'!$E$1192:$E$1196,'Fund History'!$D$1192:$D$1196,"&gt;="&amp;DATE(YEAR_Y-1,1,1),'Fund History'!$D$1192:$D$1196,"&lt;="&amp;DATE(YEAR_Y-1,12,31)))))</f>
        <v/>
      </c>
      <c r="AJ208" s="67">
        <f>IF($C208="","",IF(PULL_FUND="N","",IFERROR(BDP($C208,NDEBITDA_FIELD),"")))</f>
        <v/>
      </c>
      <c r="AK208" s="75">
        <f>IF($C208="","",IF(PULL_FUND="N","",IFERROR(BDP($C208,EBINT_FIELD),"")))</f>
        <v/>
      </c>
      <c r="AL208" s="73">
        <f>IF($C208="","",IF(PULL_FUND="N","",IFERROR(BDP($C208,FCF_FIELD)/100,"")))</f>
        <v/>
      </c>
      <c r="AM208" s="76">
        <f>IF($C208="","",IF(ISNUMBER(HSCEI!$I$63),HSCEI!$I$63/100,""))</f>
        <v/>
      </c>
      <c r="AN208" s="47">
        <f>IF($C208="","",IF(N($AM208)=0,"",IFERROR($AL208/$AM208,"")))</f>
        <v/>
      </c>
      <c r="AO208" s="33">
        <f>IF($C208="","",IF(ISNUMBER($S208)*ISNUMBER($W208)=0,"",IF($W208&gt;$S208+0.05,"rising",IF($W208&lt;$S208-0.05,"falling","stable"))))</f>
        <v/>
      </c>
      <c r="AP208" s="77">
        <f>IF($C208="","",TRIM(IF(ISNUMBER($X208)*(N($X208)&gt;$D$4)&gt;0,"payout high  ","")&amp;IF(ISNUMBER($AN208)*(N($AN208)&lt;$F$4)&gt;0,"FCF below dvd  ","")&amp;IF(ISNUMBER($AJ208)*(N($AJ208)&gt;$H$4)&gt;0,"leverage high","")))</f>
        <v/>
      </c>
      <c r="AQ208" s="78">
        <f>IF($C208="","",IF(HSCEI!$F$63="HKD","",HSCEI!$F$63))</f>
        <v/>
      </c>
    </row>
    <row r="209">
      <c r="B209" s="62" t="inlineStr">
        <is>
          <t>HSCEI</t>
        </is>
      </c>
      <c r="C209" s="6">
        <f>IF(HSCEI!$C$64="","",HSCEI!$C$64)</f>
        <v/>
      </c>
      <c r="D209" s="6">
        <f>IF($C209="","",HSCEI!$D$64)</f>
        <v/>
      </c>
      <c r="E209" s="6">
        <f>IF($C209="","",HSCEI!$E$64)</f>
        <v/>
      </c>
      <c r="F209" s="63">
        <f>IF($C209="","",SUMPRODUCT(('Dvd Calendar'!$E$2188:$AR$2188&gt;=DATE(YEAR_Y-5,1,1))*('Dvd Calendar'!$E$2188:$AR$2188&lt;=DATE(YEAR_Y-5,12,31))*'Dvd Calendar'!$E$2191:$AR$2191*(('Dvd Calendar'!$E$2193:$AR$2193=TYPE1)*(TYPE1&lt;&gt;"")+('Dvd Calendar'!$E$2193:$AR$2193=TYPE2)*(TYPE2&lt;&gt;"")+('Dvd Calendar'!$E$2193:$AR$2193=TYPE3)*(TYPE3&lt;&gt;"")+('Dvd Calendar'!$E$2193:$AR$2193=TYPE4)*(TYPE4&lt;&gt;"")+('Dvd Calendar'!$E$2193:$AR$2193=SPECIAL_LBL)*(INC_SPECIALS="Y"))))</f>
        <v/>
      </c>
      <c r="G209" s="64">
        <f>IF($C209="","",SUMPRODUCT(('Dvd Calendar'!$E$2188:$AR$2188&gt;=DATE(YEAR_Y-4,1,1))*('Dvd Calendar'!$E$2188:$AR$2188&lt;=DATE(YEAR_Y-4,12,31))*'Dvd Calendar'!$E$2191:$AR$2191*(('Dvd Calendar'!$E$2193:$AR$2193=TYPE1)*(TYPE1&lt;&gt;"")+('Dvd Calendar'!$E$2193:$AR$2193=TYPE2)*(TYPE2&lt;&gt;"")+('Dvd Calendar'!$E$2193:$AR$2193=TYPE3)*(TYPE3&lt;&gt;"")+('Dvd Calendar'!$E$2193:$AR$2193=TYPE4)*(TYPE4&lt;&gt;"")+('Dvd Calendar'!$E$2193:$AR$2193=SPECIAL_LBL)*(INC_SPECIALS="Y"))))</f>
        <v/>
      </c>
      <c r="H209" s="64">
        <f>IF($C209="","",SUMPRODUCT(('Dvd Calendar'!$E$2188:$AR$2188&gt;=DATE(YEAR_Y-3,1,1))*('Dvd Calendar'!$E$2188:$AR$2188&lt;=DATE(YEAR_Y-3,12,31))*'Dvd Calendar'!$E$2191:$AR$2191*(('Dvd Calendar'!$E$2193:$AR$2193=TYPE1)*(TYPE1&lt;&gt;"")+('Dvd Calendar'!$E$2193:$AR$2193=TYPE2)*(TYPE2&lt;&gt;"")+('Dvd Calendar'!$E$2193:$AR$2193=TYPE3)*(TYPE3&lt;&gt;"")+('Dvd Calendar'!$E$2193:$AR$2193=TYPE4)*(TYPE4&lt;&gt;"")+('Dvd Calendar'!$E$2193:$AR$2193=SPECIAL_LBL)*(INC_SPECIALS="Y"))))</f>
        <v/>
      </c>
      <c r="I209" s="64">
        <f>IF($C209="","",SUMPRODUCT(('Dvd Calendar'!$E$2188:$AR$2188&gt;=DATE(YEAR_Y-2,1,1))*('Dvd Calendar'!$E$2188:$AR$2188&lt;=DATE(YEAR_Y-2,12,31))*'Dvd Calendar'!$E$2191:$AR$2191*(('Dvd Calendar'!$E$2193:$AR$2193=TYPE1)*(TYPE1&lt;&gt;"")+('Dvd Calendar'!$E$2193:$AR$2193=TYPE2)*(TYPE2&lt;&gt;"")+('Dvd Calendar'!$E$2193:$AR$2193=TYPE3)*(TYPE3&lt;&gt;"")+('Dvd Calendar'!$E$2193:$AR$2193=TYPE4)*(TYPE4&lt;&gt;"")+('Dvd Calendar'!$E$2193:$AR$2193=SPECIAL_LBL)*(INC_SPECIALS="Y"))))</f>
        <v/>
      </c>
      <c r="J209" s="64">
        <f>IF($C209="","",SUMPRODUCT(('Dvd Calendar'!$E$2188:$AR$2188&gt;=DATE(YEAR_Y-1,1,1))*('Dvd Calendar'!$E$2188:$AR$2188&lt;=DATE(YEAR_Y-1,12,31))*'Dvd Calendar'!$E$2191:$AR$2191*(('Dvd Calendar'!$E$2193:$AR$2193=TYPE1)*(TYPE1&lt;&gt;"")+('Dvd Calendar'!$E$2193:$AR$2193=TYPE2)*(TYPE2&lt;&gt;"")+('Dvd Calendar'!$E$2193:$AR$2193=TYPE3)*(TYPE3&lt;&gt;"")+('Dvd Calendar'!$E$2193:$AR$2193=TYPE4)*(TYPE4&lt;&gt;"")+('Dvd Calendar'!$E$2193:$AR$2193=SPECIAL_LBL)*(INC_SPECIALS="Y"))))</f>
        <v/>
      </c>
      <c r="K209" s="65">
        <f>IF($C209="","",HSCEI!$J$64)</f>
        <v/>
      </c>
      <c r="L209" s="65">
        <f>IF($C209="","",HSCEI!$K$64)</f>
        <v/>
      </c>
      <c r="M209" s="41">
        <f>IF($C209="","",AVERAGE(F209:J209))</f>
        <v/>
      </c>
      <c r="N209" s="66">
        <f>IF($C209="","",IF(PULL_FUND="N","",IFERROR(BDP($C209,EPS_FIELD,YR_OVERRIDE,TEXT(YEAR_Y-5,"0")),"")))</f>
        <v/>
      </c>
      <c r="O209" s="67">
        <f>IF($C209="","",IF(PULL_FUND="N","",IFERROR(BDP($C209,EPS_FIELD,YR_OVERRIDE,TEXT(YEAR_Y-4,"0")),"")))</f>
        <v/>
      </c>
      <c r="P209" s="67">
        <f>IF($C209="","",IF(PULL_FUND="N","",IFERROR(BDP($C209,EPS_FIELD,YR_OVERRIDE,TEXT(YEAR_Y-3,"0")),"")))</f>
        <v/>
      </c>
      <c r="Q209" s="67">
        <f>IF($C209="","",IF(PULL_FUND="N","",IFERROR(BDP($C209,EPS_FIELD,YR_OVERRIDE,TEXT(YEAR_Y-2,"0")),"")))</f>
        <v/>
      </c>
      <c r="R209" s="67">
        <f>IF($C209="","",IF(PULL_FUND="N","",IFERROR(BDP($C209,EPS_FIELD,YR_OVERRIDE,TEXT(YEAR_Y-1,"0")),"")))</f>
        <v/>
      </c>
      <c r="S209" s="68">
        <f>IF($C209="","",IF(PULL_FUND="N","",IFERROR(BDP($C209,PAYOUT_FIELD,YR_OVERRIDE,TEXT(YEAR_Y-5,"0"))/100,"")))</f>
        <v/>
      </c>
      <c r="T209" s="68">
        <f>IF($C209="","",IF(PULL_FUND="N","",IFERROR(BDP($C209,PAYOUT_FIELD,YR_OVERRIDE,TEXT(YEAR_Y-4,"0"))/100,"")))</f>
        <v/>
      </c>
      <c r="U209" s="68">
        <f>IF($C209="","",IF(PULL_FUND="N","",IFERROR(BDP($C209,PAYOUT_FIELD,YR_OVERRIDE,TEXT(YEAR_Y-3,"0"))/100,"")))</f>
        <v/>
      </c>
      <c r="V209" s="68">
        <f>IF($C209="","",IF(PULL_FUND="N","",IFERROR(BDP($C209,PAYOUT_FIELD,YR_OVERRIDE,TEXT(YEAR_Y-2,"0"))/100,"")))</f>
        <v/>
      </c>
      <c r="W209" s="68">
        <f>IF($C209="","",IF(PULL_FUND="N","",IFERROR(BDP($C209,PAYOUT_FIELD,YR_OVERRIDE,TEXT(YEAR_Y-1,"0"))/100,"")))</f>
        <v/>
      </c>
      <c r="X209" s="69">
        <f>IF($C209="","",IFERROR(AVERAGE(S209:W209),""))</f>
        <v/>
      </c>
      <c r="Y209" s="66">
        <f>IF($C209="","",IF(PULL_FUND="N","",IFERROR(BDP($C209,BESTEPS_FIELD,FWD_OVERRIDE,TEXT(MOD(YEAR_Y,100),"00")&amp;"Y"),"")))</f>
        <v/>
      </c>
      <c r="Z209" s="70">
        <f>IF($C209="","",IF(PULL_FUND="N","",IFERROR(BDP($C209,BESTDPS_FIELD,FWD_OVERRIDE,TEXT(MOD(YEAR_Y,100),"00")&amp;"Y"),"")))</f>
        <v/>
      </c>
      <c r="AA209" s="71">
        <f>IF($C209="","",IF(ISNUMBER($Y209)*ISNUMBER($Z209)*($Y209&lt;&gt;0)=0,"",$Z209/$Y209))</f>
        <v/>
      </c>
      <c r="AB209" s="41">
        <f>IF($C209="","",HSCEI!$J$64+HSCEI!$L$64)</f>
        <v/>
      </c>
      <c r="AC209" s="72">
        <f>IF($C209="","",IF(PULL_FUND="N","",IF(COUNTIFS('Fund History'!$G$1198:$G$1202,"&gt;="&amp;DATE(YEAR_Y-4,1,1),'Fund History'!$G$1198:$G$1202,"&lt;="&amp;DATE(YEAR_Y-4,12,31))=0,"",SUMIFS('Fund History'!$H$1198:$H$1202,'Fund History'!$G$1198:$G$1202,"&gt;="&amp;DATE(YEAR_Y-4,1,1),'Fund History'!$G$1198:$G$1202,"&lt;="&amp;DATE(YEAR_Y-4,12,31))/100)))</f>
        <v/>
      </c>
      <c r="AD209" s="73">
        <f>IF($C209="","",IF(PULL_FUND="N","",IF(COUNTIFS('Fund History'!$G$1198:$G$1202,"&gt;="&amp;DATE(YEAR_Y-3,1,1),'Fund History'!$G$1198:$G$1202,"&lt;="&amp;DATE(YEAR_Y-3,12,31))=0,"",SUMIFS('Fund History'!$H$1198:$H$1202,'Fund History'!$G$1198:$G$1202,"&gt;="&amp;DATE(YEAR_Y-3,1,1),'Fund History'!$G$1198:$G$1202,"&lt;="&amp;DATE(YEAR_Y-3,12,31))/100)))</f>
        <v/>
      </c>
      <c r="AE209" s="73">
        <f>IF($C209="","",IF(PULL_FUND="N","",IF(COUNTIFS('Fund History'!$G$1198:$G$1202,"&gt;="&amp;DATE(YEAR_Y-2,1,1),'Fund History'!$G$1198:$G$1202,"&lt;="&amp;DATE(YEAR_Y-2,12,31))=0,"",SUMIFS('Fund History'!$H$1198:$H$1202,'Fund History'!$G$1198:$G$1202,"&gt;="&amp;DATE(YEAR_Y-2,1,1),'Fund History'!$G$1198:$G$1202,"&lt;="&amp;DATE(YEAR_Y-2,12,31))/100)))</f>
        <v/>
      </c>
      <c r="AF209" s="73">
        <f>IF($C209="","",IF(PULL_FUND="N","",IF(COUNTIFS('Fund History'!$G$1198:$G$1202,"&gt;="&amp;DATE(YEAR_Y-1,1,1),'Fund History'!$G$1198:$G$1202,"&lt;="&amp;DATE(YEAR_Y-1,12,31))=0,"",SUMIFS('Fund History'!$H$1198:$H$1202,'Fund History'!$G$1198:$G$1202,"&gt;="&amp;DATE(YEAR_Y-1,1,1),'Fund History'!$G$1198:$G$1202,"&lt;="&amp;DATE(YEAR_Y-1,12,31))/100)))</f>
        <v/>
      </c>
      <c r="AG209" s="74">
        <f>IF($C209="","",IF(N($AF209)+N(HSCEI!$I$64)=0,"",N($AF209)+N(HSCEI!$I$64)/100))</f>
        <v/>
      </c>
      <c r="AH209" s="66">
        <f>IF($C209="","",IF(PULL_FUND="N","",IF(COUNTIFS('Fund History'!$D$1198:$D$1202,"&gt;="&amp;DATE(YEAR_Y-2,1,1),'Fund History'!$D$1198:$D$1202,"&lt;="&amp;DATE(YEAR_Y-2,12,31))=0,"",SUMIFS('Fund History'!$E$1198:$E$1202,'Fund History'!$D$1198:$D$1202,"&gt;="&amp;DATE(YEAR_Y-2,1,1),'Fund History'!$D$1198:$D$1202,"&lt;="&amp;DATE(YEAR_Y-2,12,31)))))</f>
        <v/>
      </c>
      <c r="AI209" s="67">
        <f>IF($C209="","",IF(PULL_FUND="N","",IF(COUNTIFS('Fund History'!$D$1198:$D$1202,"&gt;="&amp;DATE(YEAR_Y-1,1,1),'Fund History'!$D$1198:$D$1202,"&lt;="&amp;DATE(YEAR_Y-1,12,31))=0,"",SUMIFS('Fund History'!$E$1198:$E$1202,'Fund History'!$D$1198:$D$1202,"&gt;="&amp;DATE(YEAR_Y-1,1,1),'Fund History'!$D$1198:$D$1202,"&lt;="&amp;DATE(YEAR_Y-1,12,31)))))</f>
        <v/>
      </c>
      <c r="AJ209" s="67">
        <f>IF($C209="","",IF(PULL_FUND="N","",IFERROR(BDP($C209,NDEBITDA_FIELD),"")))</f>
        <v/>
      </c>
      <c r="AK209" s="75">
        <f>IF($C209="","",IF(PULL_FUND="N","",IFERROR(BDP($C209,EBINT_FIELD),"")))</f>
        <v/>
      </c>
      <c r="AL209" s="73">
        <f>IF($C209="","",IF(PULL_FUND="N","",IFERROR(BDP($C209,FCF_FIELD)/100,"")))</f>
        <v/>
      </c>
      <c r="AM209" s="76">
        <f>IF($C209="","",IF(ISNUMBER(HSCEI!$I$64),HSCEI!$I$64/100,""))</f>
        <v/>
      </c>
      <c r="AN209" s="47">
        <f>IF($C209="","",IF(N($AM209)=0,"",IFERROR($AL209/$AM209,"")))</f>
        <v/>
      </c>
      <c r="AO209" s="33">
        <f>IF($C209="","",IF(ISNUMBER($S209)*ISNUMBER($W209)=0,"",IF($W209&gt;$S209+0.05,"rising",IF($W209&lt;$S209-0.05,"falling","stable"))))</f>
        <v/>
      </c>
      <c r="AP209" s="77">
        <f>IF($C209="","",TRIM(IF(ISNUMBER($X209)*(N($X209)&gt;$D$4)&gt;0,"payout high  ","")&amp;IF(ISNUMBER($AN209)*(N($AN209)&lt;$F$4)&gt;0,"FCF below dvd  ","")&amp;IF(ISNUMBER($AJ209)*(N($AJ209)&gt;$H$4)&gt;0,"leverage high","")))</f>
        <v/>
      </c>
      <c r="AQ209" s="78">
        <f>IF($C209="","",IF(HSCEI!$F$64="HKD","",HSCEI!$F$64))</f>
        <v/>
      </c>
    </row>
    <row r="210">
      <c r="B210" s="62" t="inlineStr">
        <is>
          <t>HSCEI</t>
        </is>
      </c>
      <c r="C210" s="6">
        <f>IF(HSCEI!$C$65="","",HSCEI!$C$65)</f>
        <v/>
      </c>
      <c r="D210" s="6">
        <f>IF($C210="","",HSCEI!$D$65)</f>
        <v/>
      </c>
      <c r="E210" s="6">
        <f>IF($C210="","",HSCEI!$E$65)</f>
        <v/>
      </c>
      <c r="F210" s="63">
        <f>IF($C210="","",SUMPRODUCT(('Dvd Calendar'!$E$2199:$AR$2199&gt;=DATE(YEAR_Y-5,1,1))*('Dvd Calendar'!$E$2199:$AR$2199&lt;=DATE(YEAR_Y-5,12,31))*'Dvd Calendar'!$E$2202:$AR$2202*(('Dvd Calendar'!$E$2204:$AR$2204=TYPE1)*(TYPE1&lt;&gt;"")+('Dvd Calendar'!$E$2204:$AR$2204=TYPE2)*(TYPE2&lt;&gt;"")+('Dvd Calendar'!$E$2204:$AR$2204=TYPE3)*(TYPE3&lt;&gt;"")+('Dvd Calendar'!$E$2204:$AR$2204=TYPE4)*(TYPE4&lt;&gt;"")+('Dvd Calendar'!$E$2204:$AR$2204=SPECIAL_LBL)*(INC_SPECIALS="Y"))))</f>
        <v/>
      </c>
      <c r="G210" s="64">
        <f>IF($C210="","",SUMPRODUCT(('Dvd Calendar'!$E$2199:$AR$2199&gt;=DATE(YEAR_Y-4,1,1))*('Dvd Calendar'!$E$2199:$AR$2199&lt;=DATE(YEAR_Y-4,12,31))*'Dvd Calendar'!$E$2202:$AR$2202*(('Dvd Calendar'!$E$2204:$AR$2204=TYPE1)*(TYPE1&lt;&gt;"")+('Dvd Calendar'!$E$2204:$AR$2204=TYPE2)*(TYPE2&lt;&gt;"")+('Dvd Calendar'!$E$2204:$AR$2204=TYPE3)*(TYPE3&lt;&gt;"")+('Dvd Calendar'!$E$2204:$AR$2204=TYPE4)*(TYPE4&lt;&gt;"")+('Dvd Calendar'!$E$2204:$AR$2204=SPECIAL_LBL)*(INC_SPECIALS="Y"))))</f>
        <v/>
      </c>
      <c r="H210" s="64">
        <f>IF($C210="","",SUMPRODUCT(('Dvd Calendar'!$E$2199:$AR$2199&gt;=DATE(YEAR_Y-3,1,1))*('Dvd Calendar'!$E$2199:$AR$2199&lt;=DATE(YEAR_Y-3,12,31))*'Dvd Calendar'!$E$2202:$AR$2202*(('Dvd Calendar'!$E$2204:$AR$2204=TYPE1)*(TYPE1&lt;&gt;"")+('Dvd Calendar'!$E$2204:$AR$2204=TYPE2)*(TYPE2&lt;&gt;"")+('Dvd Calendar'!$E$2204:$AR$2204=TYPE3)*(TYPE3&lt;&gt;"")+('Dvd Calendar'!$E$2204:$AR$2204=TYPE4)*(TYPE4&lt;&gt;"")+('Dvd Calendar'!$E$2204:$AR$2204=SPECIAL_LBL)*(INC_SPECIALS="Y"))))</f>
        <v/>
      </c>
      <c r="I210" s="64">
        <f>IF($C210="","",SUMPRODUCT(('Dvd Calendar'!$E$2199:$AR$2199&gt;=DATE(YEAR_Y-2,1,1))*('Dvd Calendar'!$E$2199:$AR$2199&lt;=DATE(YEAR_Y-2,12,31))*'Dvd Calendar'!$E$2202:$AR$2202*(('Dvd Calendar'!$E$2204:$AR$2204=TYPE1)*(TYPE1&lt;&gt;"")+('Dvd Calendar'!$E$2204:$AR$2204=TYPE2)*(TYPE2&lt;&gt;"")+('Dvd Calendar'!$E$2204:$AR$2204=TYPE3)*(TYPE3&lt;&gt;"")+('Dvd Calendar'!$E$2204:$AR$2204=TYPE4)*(TYPE4&lt;&gt;"")+('Dvd Calendar'!$E$2204:$AR$2204=SPECIAL_LBL)*(INC_SPECIALS="Y"))))</f>
        <v/>
      </c>
      <c r="J210" s="64">
        <f>IF($C210="","",SUMPRODUCT(('Dvd Calendar'!$E$2199:$AR$2199&gt;=DATE(YEAR_Y-1,1,1))*('Dvd Calendar'!$E$2199:$AR$2199&lt;=DATE(YEAR_Y-1,12,31))*'Dvd Calendar'!$E$2202:$AR$2202*(('Dvd Calendar'!$E$2204:$AR$2204=TYPE1)*(TYPE1&lt;&gt;"")+('Dvd Calendar'!$E$2204:$AR$2204=TYPE2)*(TYPE2&lt;&gt;"")+('Dvd Calendar'!$E$2204:$AR$2204=TYPE3)*(TYPE3&lt;&gt;"")+('Dvd Calendar'!$E$2204:$AR$2204=TYPE4)*(TYPE4&lt;&gt;"")+('Dvd Calendar'!$E$2204:$AR$2204=SPECIAL_LBL)*(INC_SPECIALS="Y"))))</f>
        <v/>
      </c>
      <c r="K210" s="65">
        <f>IF($C210="","",HSCEI!$J$65)</f>
        <v/>
      </c>
      <c r="L210" s="65">
        <f>IF($C210="","",HSCEI!$K$65)</f>
        <v/>
      </c>
      <c r="M210" s="41">
        <f>IF($C210="","",AVERAGE(F210:J210))</f>
        <v/>
      </c>
      <c r="N210" s="66">
        <f>IF($C210="","",IF(PULL_FUND="N","",IFERROR(BDP($C210,EPS_FIELD,YR_OVERRIDE,TEXT(YEAR_Y-5,"0")),"")))</f>
        <v/>
      </c>
      <c r="O210" s="67">
        <f>IF($C210="","",IF(PULL_FUND="N","",IFERROR(BDP($C210,EPS_FIELD,YR_OVERRIDE,TEXT(YEAR_Y-4,"0")),"")))</f>
        <v/>
      </c>
      <c r="P210" s="67">
        <f>IF($C210="","",IF(PULL_FUND="N","",IFERROR(BDP($C210,EPS_FIELD,YR_OVERRIDE,TEXT(YEAR_Y-3,"0")),"")))</f>
        <v/>
      </c>
      <c r="Q210" s="67">
        <f>IF($C210="","",IF(PULL_FUND="N","",IFERROR(BDP($C210,EPS_FIELD,YR_OVERRIDE,TEXT(YEAR_Y-2,"0")),"")))</f>
        <v/>
      </c>
      <c r="R210" s="67">
        <f>IF($C210="","",IF(PULL_FUND="N","",IFERROR(BDP($C210,EPS_FIELD,YR_OVERRIDE,TEXT(YEAR_Y-1,"0")),"")))</f>
        <v/>
      </c>
      <c r="S210" s="68">
        <f>IF($C210="","",IF(PULL_FUND="N","",IFERROR(BDP($C210,PAYOUT_FIELD,YR_OVERRIDE,TEXT(YEAR_Y-5,"0"))/100,"")))</f>
        <v/>
      </c>
      <c r="T210" s="68">
        <f>IF($C210="","",IF(PULL_FUND="N","",IFERROR(BDP($C210,PAYOUT_FIELD,YR_OVERRIDE,TEXT(YEAR_Y-4,"0"))/100,"")))</f>
        <v/>
      </c>
      <c r="U210" s="68">
        <f>IF($C210="","",IF(PULL_FUND="N","",IFERROR(BDP($C210,PAYOUT_FIELD,YR_OVERRIDE,TEXT(YEAR_Y-3,"0"))/100,"")))</f>
        <v/>
      </c>
      <c r="V210" s="68">
        <f>IF($C210="","",IF(PULL_FUND="N","",IFERROR(BDP($C210,PAYOUT_FIELD,YR_OVERRIDE,TEXT(YEAR_Y-2,"0"))/100,"")))</f>
        <v/>
      </c>
      <c r="W210" s="68">
        <f>IF($C210="","",IF(PULL_FUND="N","",IFERROR(BDP($C210,PAYOUT_FIELD,YR_OVERRIDE,TEXT(YEAR_Y-1,"0"))/100,"")))</f>
        <v/>
      </c>
      <c r="X210" s="69">
        <f>IF($C210="","",IFERROR(AVERAGE(S210:W210),""))</f>
        <v/>
      </c>
      <c r="Y210" s="66">
        <f>IF($C210="","",IF(PULL_FUND="N","",IFERROR(BDP($C210,BESTEPS_FIELD,FWD_OVERRIDE,TEXT(MOD(YEAR_Y,100),"00")&amp;"Y"),"")))</f>
        <v/>
      </c>
      <c r="Z210" s="70">
        <f>IF($C210="","",IF(PULL_FUND="N","",IFERROR(BDP($C210,BESTDPS_FIELD,FWD_OVERRIDE,TEXT(MOD(YEAR_Y,100),"00")&amp;"Y"),"")))</f>
        <v/>
      </c>
      <c r="AA210" s="71">
        <f>IF($C210="","",IF(ISNUMBER($Y210)*ISNUMBER($Z210)*($Y210&lt;&gt;0)=0,"",$Z210/$Y210))</f>
        <v/>
      </c>
      <c r="AB210" s="41">
        <f>IF($C210="","",HSCEI!$J$65+HSCEI!$L$65)</f>
        <v/>
      </c>
      <c r="AC210" s="72">
        <f>IF($C210="","",IF(PULL_FUND="N","",IF(COUNTIFS('Fund History'!$G$1204:$G$1208,"&gt;="&amp;DATE(YEAR_Y-4,1,1),'Fund History'!$G$1204:$G$1208,"&lt;="&amp;DATE(YEAR_Y-4,12,31))=0,"",SUMIFS('Fund History'!$H$1204:$H$1208,'Fund History'!$G$1204:$G$1208,"&gt;="&amp;DATE(YEAR_Y-4,1,1),'Fund History'!$G$1204:$G$1208,"&lt;="&amp;DATE(YEAR_Y-4,12,31))/100)))</f>
        <v/>
      </c>
      <c r="AD210" s="73">
        <f>IF($C210="","",IF(PULL_FUND="N","",IF(COUNTIFS('Fund History'!$G$1204:$G$1208,"&gt;="&amp;DATE(YEAR_Y-3,1,1),'Fund History'!$G$1204:$G$1208,"&lt;="&amp;DATE(YEAR_Y-3,12,31))=0,"",SUMIFS('Fund History'!$H$1204:$H$1208,'Fund History'!$G$1204:$G$1208,"&gt;="&amp;DATE(YEAR_Y-3,1,1),'Fund History'!$G$1204:$G$1208,"&lt;="&amp;DATE(YEAR_Y-3,12,31))/100)))</f>
        <v/>
      </c>
      <c r="AE210" s="73">
        <f>IF($C210="","",IF(PULL_FUND="N","",IF(COUNTIFS('Fund History'!$G$1204:$G$1208,"&gt;="&amp;DATE(YEAR_Y-2,1,1),'Fund History'!$G$1204:$G$1208,"&lt;="&amp;DATE(YEAR_Y-2,12,31))=0,"",SUMIFS('Fund History'!$H$1204:$H$1208,'Fund History'!$G$1204:$G$1208,"&gt;="&amp;DATE(YEAR_Y-2,1,1),'Fund History'!$G$1204:$G$1208,"&lt;="&amp;DATE(YEAR_Y-2,12,31))/100)))</f>
        <v/>
      </c>
      <c r="AF210" s="73">
        <f>IF($C210="","",IF(PULL_FUND="N","",IF(COUNTIFS('Fund History'!$G$1204:$G$1208,"&gt;="&amp;DATE(YEAR_Y-1,1,1),'Fund History'!$G$1204:$G$1208,"&lt;="&amp;DATE(YEAR_Y-1,12,31))=0,"",SUMIFS('Fund History'!$H$1204:$H$1208,'Fund History'!$G$1204:$G$1208,"&gt;="&amp;DATE(YEAR_Y-1,1,1),'Fund History'!$G$1204:$G$1208,"&lt;="&amp;DATE(YEAR_Y-1,12,31))/100)))</f>
        <v/>
      </c>
      <c r="AG210" s="74">
        <f>IF($C210="","",IF(N($AF210)+N(HSCEI!$I$65)=0,"",N($AF210)+N(HSCEI!$I$65)/100))</f>
        <v/>
      </c>
      <c r="AH210" s="66">
        <f>IF($C210="","",IF(PULL_FUND="N","",IF(COUNTIFS('Fund History'!$D$1204:$D$1208,"&gt;="&amp;DATE(YEAR_Y-2,1,1),'Fund History'!$D$1204:$D$1208,"&lt;="&amp;DATE(YEAR_Y-2,12,31))=0,"",SUMIFS('Fund History'!$E$1204:$E$1208,'Fund History'!$D$1204:$D$1208,"&gt;="&amp;DATE(YEAR_Y-2,1,1),'Fund History'!$D$1204:$D$1208,"&lt;="&amp;DATE(YEAR_Y-2,12,31)))))</f>
        <v/>
      </c>
      <c r="AI210" s="67">
        <f>IF($C210="","",IF(PULL_FUND="N","",IF(COUNTIFS('Fund History'!$D$1204:$D$1208,"&gt;="&amp;DATE(YEAR_Y-1,1,1),'Fund History'!$D$1204:$D$1208,"&lt;="&amp;DATE(YEAR_Y-1,12,31))=0,"",SUMIFS('Fund History'!$E$1204:$E$1208,'Fund History'!$D$1204:$D$1208,"&gt;="&amp;DATE(YEAR_Y-1,1,1),'Fund History'!$D$1204:$D$1208,"&lt;="&amp;DATE(YEAR_Y-1,12,31)))))</f>
        <v/>
      </c>
      <c r="AJ210" s="67">
        <f>IF($C210="","",IF(PULL_FUND="N","",IFERROR(BDP($C210,NDEBITDA_FIELD),"")))</f>
        <v/>
      </c>
      <c r="AK210" s="75">
        <f>IF($C210="","",IF(PULL_FUND="N","",IFERROR(BDP($C210,EBINT_FIELD),"")))</f>
        <v/>
      </c>
      <c r="AL210" s="73">
        <f>IF($C210="","",IF(PULL_FUND="N","",IFERROR(BDP($C210,FCF_FIELD)/100,"")))</f>
        <v/>
      </c>
      <c r="AM210" s="76">
        <f>IF($C210="","",IF(ISNUMBER(HSCEI!$I$65),HSCEI!$I$65/100,""))</f>
        <v/>
      </c>
      <c r="AN210" s="47">
        <f>IF($C210="","",IF(N($AM210)=0,"",IFERROR($AL210/$AM210,"")))</f>
        <v/>
      </c>
      <c r="AO210" s="33">
        <f>IF($C210="","",IF(ISNUMBER($S210)*ISNUMBER($W210)=0,"",IF($W210&gt;$S210+0.05,"rising",IF($W210&lt;$S210-0.05,"falling","stable"))))</f>
        <v/>
      </c>
      <c r="AP210" s="77">
        <f>IF($C210="","",TRIM(IF(ISNUMBER($X210)*(N($X210)&gt;$D$4)&gt;0,"payout high  ","")&amp;IF(ISNUMBER($AN210)*(N($AN210)&lt;$F$4)&gt;0,"FCF below dvd  ","")&amp;IF(ISNUMBER($AJ210)*(N($AJ210)&gt;$H$4)&gt;0,"leverage high","")))</f>
        <v/>
      </c>
      <c r="AQ210" s="78">
        <f>IF($C210="","",IF(HSCEI!$F$65="HKD","",HSCEI!$F$65))</f>
        <v/>
      </c>
    </row>
    <row r="211">
      <c r="B211" s="62" t="inlineStr">
        <is>
          <t>HSCEI</t>
        </is>
      </c>
      <c r="C211" s="6">
        <f>IF(HSCEI!$C$66="","",HSCEI!$C$66)</f>
        <v/>
      </c>
      <c r="D211" s="6">
        <f>IF($C211="","",HSCEI!$D$66)</f>
        <v/>
      </c>
      <c r="E211" s="6">
        <f>IF($C211="","",HSCEI!$E$66)</f>
        <v/>
      </c>
      <c r="F211" s="63">
        <f>IF($C211="","",SUMPRODUCT(('Dvd Calendar'!$E$2210:$AR$2210&gt;=DATE(YEAR_Y-5,1,1))*('Dvd Calendar'!$E$2210:$AR$2210&lt;=DATE(YEAR_Y-5,12,31))*'Dvd Calendar'!$E$2213:$AR$2213*(('Dvd Calendar'!$E$2215:$AR$2215=TYPE1)*(TYPE1&lt;&gt;"")+('Dvd Calendar'!$E$2215:$AR$2215=TYPE2)*(TYPE2&lt;&gt;"")+('Dvd Calendar'!$E$2215:$AR$2215=TYPE3)*(TYPE3&lt;&gt;"")+('Dvd Calendar'!$E$2215:$AR$2215=TYPE4)*(TYPE4&lt;&gt;"")+('Dvd Calendar'!$E$2215:$AR$2215=SPECIAL_LBL)*(INC_SPECIALS="Y"))))</f>
        <v/>
      </c>
      <c r="G211" s="64">
        <f>IF($C211="","",SUMPRODUCT(('Dvd Calendar'!$E$2210:$AR$2210&gt;=DATE(YEAR_Y-4,1,1))*('Dvd Calendar'!$E$2210:$AR$2210&lt;=DATE(YEAR_Y-4,12,31))*'Dvd Calendar'!$E$2213:$AR$2213*(('Dvd Calendar'!$E$2215:$AR$2215=TYPE1)*(TYPE1&lt;&gt;"")+('Dvd Calendar'!$E$2215:$AR$2215=TYPE2)*(TYPE2&lt;&gt;"")+('Dvd Calendar'!$E$2215:$AR$2215=TYPE3)*(TYPE3&lt;&gt;"")+('Dvd Calendar'!$E$2215:$AR$2215=TYPE4)*(TYPE4&lt;&gt;"")+('Dvd Calendar'!$E$2215:$AR$2215=SPECIAL_LBL)*(INC_SPECIALS="Y"))))</f>
        <v/>
      </c>
      <c r="H211" s="64">
        <f>IF($C211="","",SUMPRODUCT(('Dvd Calendar'!$E$2210:$AR$2210&gt;=DATE(YEAR_Y-3,1,1))*('Dvd Calendar'!$E$2210:$AR$2210&lt;=DATE(YEAR_Y-3,12,31))*'Dvd Calendar'!$E$2213:$AR$2213*(('Dvd Calendar'!$E$2215:$AR$2215=TYPE1)*(TYPE1&lt;&gt;"")+('Dvd Calendar'!$E$2215:$AR$2215=TYPE2)*(TYPE2&lt;&gt;"")+('Dvd Calendar'!$E$2215:$AR$2215=TYPE3)*(TYPE3&lt;&gt;"")+('Dvd Calendar'!$E$2215:$AR$2215=TYPE4)*(TYPE4&lt;&gt;"")+('Dvd Calendar'!$E$2215:$AR$2215=SPECIAL_LBL)*(INC_SPECIALS="Y"))))</f>
        <v/>
      </c>
      <c r="I211" s="64">
        <f>IF($C211="","",SUMPRODUCT(('Dvd Calendar'!$E$2210:$AR$2210&gt;=DATE(YEAR_Y-2,1,1))*('Dvd Calendar'!$E$2210:$AR$2210&lt;=DATE(YEAR_Y-2,12,31))*'Dvd Calendar'!$E$2213:$AR$2213*(('Dvd Calendar'!$E$2215:$AR$2215=TYPE1)*(TYPE1&lt;&gt;"")+('Dvd Calendar'!$E$2215:$AR$2215=TYPE2)*(TYPE2&lt;&gt;"")+('Dvd Calendar'!$E$2215:$AR$2215=TYPE3)*(TYPE3&lt;&gt;"")+('Dvd Calendar'!$E$2215:$AR$2215=TYPE4)*(TYPE4&lt;&gt;"")+('Dvd Calendar'!$E$2215:$AR$2215=SPECIAL_LBL)*(INC_SPECIALS="Y"))))</f>
        <v/>
      </c>
      <c r="J211" s="64">
        <f>IF($C211="","",SUMPRODUCT(('Dvd Calendar'!$E$2210:$AR$2210&gt;=DATE(YEAR_Y-1,1,1))*('Dvd Calendar'!$E$2210:$AR$2210&lt;=DATE(YEAR_Y-1,12,31))*'Dvd Calendar'!$E$2213:$AR$2213*(('Dvd Calendar'!$E$2215:$AR$2215=TYPE1)*(TYPE1&lt;&gt;"")+('Dvd Calendar'!$E$2215:$AR$2215=TYPE2)*(TYPE2&lt;&gt;"")+('Dvd Calendar'!$E$2215:$AR$2215=TYPE3)*(TYPE3&lt;&gt;"")+('Dvd Calendar'!$E$2215:$AR$2215=TYPE4)*(TYPE4&lt;&gt;"")+('Dvd Calendar'!$E$2215:$AR$2215=SPECIAL_LBL)*(INC_SPECIALS="Y"))))</f>
        <v/>
      </c>
      <c r="K211" s="65">
        <f>IF($C211="","",HSCEI!$J$66)</f>
        <v/>
      </c>
      <c r="L211" s="65">
        <f>IF($C211="","",HSCEI!$K$66)</f>
        <v/>
      </c>
      <c r="M211" s="41">
        <f>IF($C211="","",AVERAGE(F211:J211))</f>
        <v/>
      </c>
      <c r="N211" s="66">
        <f>IF($C211="","",IF(PULL_FUND="N","",IFERROR(BDP($C211,EPS_FIELD,YR_OVERRIDE,TEXT(YEAR_Y-5,"0")),"")))</f>
        <v/>
      </c>
      <c r="O211" s="67">
        <f>IF($C211="","",IF(PULL_FUND="N","",IFERROR(BDP($C211,EPS_FIELD,YR_OVERRIDE,TEXT(YEAR_Y-4,"0")),"")))</f>
        <v/>
      </c>
      <c r="P211" s="67">
        <f>IF($C211="","",IF(PULL_FUND="N","",IFERROR(BDP($C211,EPS_FIELD,YR_OVERRIDE,TEXT(YEAR_Y-3,"0")),"")))</f>
        <v/>
      </c>
      <c r="Q211" s="67">
        <f>IF($C211="","",IF(PULL_FUND="N","",IFERROR(BDP($C211,EPS_FIELD,YR_OVERRIDE,TEXT(YEAR_Y-2,"0")),"")))</f>
        <v/>
      </c>
      <c r="R211" s="67">
        <f>IF($C211="","",IF(PULL_FUND="N","",IFERROR(BDP($C211,EPS_FIELD,YR_OVERRIDE,TEXT(YEAR_Y-1,"0")),"")))</f>
        <v/>
      </c>
      <c r="S211" s="68">
        <f>IF($C211="","",IF(PULL_FUND="N","",IFERROR(BDP($C211,PAYOUT_FIELD,YR_OVERRIDE,TEXT(YEAR_Y-5,"0"))/100,"")))</f>
        <v/>
      </c>
      <c r="T211" s="68">
        <f>IF($C211="","",IF(PULL_FUND="N","",IFERROR(BDP($C211,PAYOUT_FIELD,YR_OVERRIDE,TEXT(YEAR_Y-4,"0"))/100,"")))</f>
        <v/>
      </c>
      <c r="U211" s="68">
        <f>IF($C211="","",IF(PULL_FUND="N","",IFERROR(BDP($C211,PAYOUT_FIELD,YR_OVERRIDE,TEXT(YEAR_Y-3,"0"))/100,"")))</f>
        <v/>
      </c>
      <c r="V211" s="68">
        <f>IF($C211="","",IF(PULL_FUND="N","",IFERROR(BDP($C211,PAYOUT_FIELD,YR_OVERRIDE,TEXT(YEAR_Y-2,"0"))/100,"")))</f>
        <v/>
      </c>
      <c r="W211" s="68">
        <f>IF($C211="","",IF(PULL_FUND="N","",IFERROR(BDP($C211,PAYOUT_FIELD,YR_OVERRIDE,TEXT(YEAR_Y-1,"0"))/100,"")))</f>
        <v/>
      </c>
      <c r="X211" s="69">
        <f>IF($C211="","",IFERROR(AVERAGE(S211:W211),""))</f>
        <v/>
      </c>
      <c r="Y211" s="66">
        <f>IF($C211="","",IF(PULL_FUND="N","",IFERROR(BDP($C211,BESTEPS_FIELD,FWD_OVERRIDE,TEXT(MOD(YEAR_Y,100),"00")&amp;"Y"),"")))</f>
        <v/>
      </c>
      <c r="Z211" s="70">
        <f>IF($C211="","",IF(PULL_FUND="N","",IFERROR(BDP($C211,BESTDPS_FIELD,FWD_OVERRIDE,TEXT(MOD(YEAR_Y,100),"00")&amp;"Y"),"")))</f>
        <v/>
      </c>
      <c r="AA211" s="71">
        <f>IF($C211="","",IF(ISNUMBER($Y211)*ISNUMBER($Z211)*($Y211&lt;&gt;0)=0,"",$Z211/$Y211))</f>
        <v/>
      </c>
      <c r="AB211" s="41">
        <f>IF($C211="","",HSCEI!$J$66+HSCEI!$L$66)</f>
        <v/>
      </c>
      <c r="AC211" s="72">
        <f>IF($C211="","",IF(PULL_FUND="N","",IF(COUNTIFS('Fund History'!$G$1210:$G$1214,"&gt;="&amp;DATE(YEAR_Y-4,1,1),'Fund History'!$G$1210:$G$1214,"&lt;="&amp;DATE(YEAR_Y-4,12,31))=0,"",SUMIFS('Fund History'!$H$1210:$H$1214,'Fund History'!$G$1210:$G$1214,"&gt;="&amp;DATE(YEAR_Y-4,1,1),'Fund History'!$G$1210:$G$1214,"&lt;="&amp;DATE(YEAR_Y-4,12,31))/100)))</f>
        <v/>
      </c>
      <c r="AD211" s="73">
        <f>IF($C211="","",IF(PULL_FUND="N","",IF(COUNTIFS('Fund History'!$G$1210:$G$1214,"&gt;="&amp;DATE(YEAR_Y-3,1,1),'Fund History'!$G$1210:$G$1214,"&lt;="&amp;DATE(YEAR_Y-3,12,31))=0,"",SUMIFS('Fund History'!$H$1210:$H$1214,'Fund History'!$G$1210:$G$1214,"&gt;="&amp;DATE(YEAR_Y-3,1,1),'Fund History'!$G$1210:$G$1214,"&lt;="&amp;DATE(YEAR_Y-3,12,31))/100)))</f>
        <v/>
      </c>
      <c r="AE211" s="73">
        <f>IF($C211="","",IF(PULL_FUND="N","",IF(COUNTIFS('Fund History'!$G$1210:$G$1214,"&gt;="&amp;DATE(YEAR_Y-2,1,1),'Fund History'!$G$1210:$G$1214,"&lt;="&amp;DATE(YEAR_Y-2,12,31))=0,"",SUMIFS('Fund History'!$H$1210:$H$1214,'Fund History'!$G$1210:$G$1214,"&gt;="&amp;DATE(YEAR_Y-2,1,1),'Fund History'!$G$1210:$G$1214,"&lt;="&amp;DATE(YEAR_Y-2,12,31))/100)))</f>
        <v/>
      </c>
      <c r="AF211" s="73">
        <f>IF($C211="","",IF(PULL_FUND="N","",IF(COUNTIFS('Fund History'!$G$1210:$G$1214,"&gt;="&amp;DATE(YEAR_Y-1,1,1),'Fund History'!$G$1210:$G$1214,"&lt;="&amp;DATE(YEAR_Y-1,12,31))=0,"",SUMIFS('Fund History'!$H$1210:$H$1214,'Fund History'!$G$1210:$G$1214,"&gt;="&amp;DATE(YEAR_Y-1,1,1),'Fund History'!$G$1210:$G$1214,"&lt;="&amp;DATE(YEAR_Y-1,12,31))/100)))</f>
        <v/>
      </c>
      <c r="AG211" s="74">
        <f>IF($C211="","",IF(N($AF211)+N(HSCEI!$I$66)=0,"",N($AF211)+N(HSCEI!$I$66)/100))</f>
        <v/>
      </c>
      <c r="AH211" s="66">
        <f>IF($C211="","",IF(PULL_FUND="N","",IF(COUNTIFS('Fund History'!$D$1210:$D$1214,"&gt;="&amp;DATE(YEAR_Y-2,1,1),'Fund History'!$D$1210:$D$1214,"&lt;="&amp;DATE(YEAR_Y-2,12,31))=0,"",SUMIFS('Fund History'!$E$1210:$E$1214,'Fund History'!$D$1210:$D$1214,"&gt;="&amp;DATE(YEAR_Y-2,1,1),'Fund History'!$D$1210:$D$1214,"&lt;="&amp;DATE(YEAR_Y-2,12,31)))))</f>
        <v/>
      </c>
      <c r="AI211" s="67">
        <f>IF($C211="","",IF(PULL_FUND="N","",IF(COUNTIFS('Fund History'!$D$1210:$D$1214,"&gt;="&amp;DATE(YEAR_Y-1,1,1),'Fund History'!$D$1210:$D$1214,"&lt;="&amp;DATE(YEAR_Y-1,12,31))=0,"",SUMIFS('Fund History'!$E$1210:$E$1214,'Fund History'!$D$1210:$D$1214,"&gt;="&amp;DATE(YEAR_Y-1,1,1),'Fund History'!$D$1210:$D$1214,"&lt;="&amp;DATE(YEAR_Y-1,12,31)))))</f>
        <v/>
      </c>
      <c r="AJ211" s="67">
        <f>IF($C211="","",IF(PULL_FUND="N","",IFERROR(BDP($C211,NDEBITDA_FIELD),"")))</f>
        <v/>
      </c>
      <c r="AK211" s="75">
        <f>IF($C211="","",IF(PULL_FUND="N","",IFERROR(BDP($C211,EBINT_FIELD),"")))</f>
        <v/>
      </c>
      <c r="AL211" s="73">
        <f>IF($C211="","",IF(PULL_FUND="N","",IFERROR(BDP($C211,FCF_FIELD)/100,"")))</f>
        <v/>
      </c>
      <c r="AM211" s="76">
        <f>IF($C211="","",IF(ISNUMBER(HSCEI!$I$66),HSCEI!$I$66/100,""))</f>
        <v/>
      </c>
      <c r="AN211" s="47">
        <f>IF($C211="","",IF(N($AM211)=0,"",IFERROR($AL211/$AM211,"")))</f>
        <v/>
      </c>
      <c r="AO211" s="33">
        <f>IF($C211="","",IF(ISNUMBER($S211)*ISNUMBER($W211)=0,"",IF($W211&gt;$S211+0.05,"rising",IF($W211&lt;$S211-0.05,"falling","stable"))))</f>
        <v/>
      </c>
      <c r="AP211" s="77">
        <f>IF($C211="","",TRIM(IF(ISNUMBER($X211)*(N($X211)&gt;$D$4)&gt;0,"payout high  ","")&amp;IF(ISNUMBER($AN211)*(N($AN211)&lt;$F$4)&gt;0,"FCF below dvd  ","")&amp;IF(ISNUMBER($AJ211)*(N($AJ211)&gt;$H$4)&gt;0,"leverage high","")))</f>
        <v/>
      </c>
      <c r="AQ211" s="78">
        <f>IF($C211="","",IF(HSCEI!$F$66="HKD","",HSCEI!$F$66))</f>
        <v/>
      </c>
    </row>
    <row r="213">
      <c r="B213" s="37" t="inlineStr">
        <is>
          <t>Filter, do not sort - rows are live formulas tied to their position.</t>
        </is>
      </c>
    </row>
    <row r="214">
      <c r="B214" s="3" t="inlineStr">
        <is>
          <t>SECTOR AVERAGES - Hang Seng Index (HSI)</t>
        </is>
      </c>
      <c r="C214" s="4" t="n"/>
      <c r="D214" s="4" t="n"/>
      <c r="E214" s="4" t="n"/>
      <c r="F214" s="4" t="n"/>
      <c r="G214" s="4" t="n"/>
      <c r="H214" s="4" t="n"/>
      <c r="I214" s="4" t="n"/>
      <c r="J214" s="4" t="n"/>
      <c r="K214" s="4" t="n"/>
      <c r="L214" s="4" t="n"/>
      <c r="M214" s="4" t="n"/>
    </row>
    <row r="215">
      <c r="B215" s="58" t="inlineStr">
        <is>
          <t>GICS Sector</t>
        </is>
      </c>
      <c r="C215" s="58" t="inlineStr">
        <is>
          <t>#</t>
        </is>
      </c>
      <c r="D215" s="58" t="inlineStr">
        <is>
          <t>5Y avg
payout</t>
        </is>
      </c>
      <c r="E215" s="58" t="inlineStr">
        <is>
          <t>Fwd
payout</t>
        </is>
      </c>
      <c r="F215" s="58" t="inlineStr">
        <is>
          <t>Dvd yld
12M</t>
        </is>
      </c>
      <c r="G215" s="58" t="inlineStr">
        <is>
          <t>Buyback
Y-1</t>
        </is>
      </c>
      <c r="H215" s="58" t="inlineStr">
        <is>
          <t>Bb+dvd
yield</t>
        </is>
      </c>
      <c r="I215" s="58" t="inlineStr">
        <is>
          <t>ND/E
Y-1</t>
        </is>
      </c>
      <c r="J215" s="58" t="inlineStr">
        <is>
          <t>Net debt
/EBITDA</t>
        </is>
      </c>
      <c r="K215" s="58" t="inlineStr">
        <is>
          <t>FCF
cover</t>
        </is>
      </c>
      <c r="L215" s="58" t="inlineStr">
        <is>
          <t>Year pts
(model)</t>
        </is>
      </c>
      <c r="M215" s="58" t="inlineStr">
        <is>
          <t>% of yr
dvds</t>
        </is>
      </c>
    </row>
    <row r="216">
      <c r="B216" s="14" t="inlineStr">
        <is>
          <t>Energy</t>
        </is>
      </c>
      <c r="C216" s="79">
        <f>COUNTIFS($B$12:$B$111,"HSI",$E$12:$E$111,$B216)</f>
        <v/>
      </c>
      <c r="D216" s="71">
        <f>IFERROR(AVERAGEIFS($X$12:$X$111,$B$12:$B$111,"HSI",$E$12:$E$111,$B216),"")</f>
        <v/>
      </c>
      <c r="E216" s="71">
        <f>IFERROR(AVERAGEIFS($AA$12:$AA$111,$B$12:$B$111,"HSI",$E$12:$E$111,$B216),"")</f>
        <v/>
      </c>
      <c r="F216" s="76">
        <f>IFERROR(AVERAGEIFS($AM$12:$AM$111,$B$12:$B$111,"HSI",$E$12:$E$111,$B216),"")</f>
        <v/>
      </c>
      <c r="G216" s="80">
        <f>IFERROR(AVERAGEIFS($AF$12:$AF$111,$B$12:$B$111,"HSI",$E$12:$E$111,$B216),"")</f>
        <v/>
      </c>
      <c r="H216" s="80">
        <f>IFERROR(AVERAGEIFS($AG$12:$AG$111,$B$12:$B$111,"HSI",$E$12:$E$111,$B216),"")</f>
        <v/>
      </c>
      <c r="I216" s="47">
        <f>IFERROR(AVERAGEIFS($AI$12:$AI$111,$B$12:$B$111,"HSI",$E$12:$E$111,$B216),"")</f>
        <v/>
      </c>
      <c r="J216" s="47">
        <f>IFERROR(AVERAGEIFS($AJ$12:$AJ$111,$B$12:$B$111,"HSI",$E$12:$E$111,$B216),"")</f>
        <v/>
      </c>
      <c r="K216" s="47">
        <f>IFERROR(AVERAGEIFS($AN$12:$AN$111,$B$12:$B$111,"HSI",$E$12:$E$111,$B216),"")</f>
        <v/>
      </c>
      <c r="L216" s="47">
        <f>IFERROR(SUMIF(HSI!$E$7:$E$106,$B216,HSI!$Q$7:$Q$106),"")</f>
        <v/>
      </c>
      <c r="M216" s="80">
        <f>IFERROR($L216/HSI!$Q$5,"")</f>
        <v/>
      </c>
    </row>
    <row r="217">
      <c r="B217" s="14" t="inlineStr">
        <is>
          <t>Materials</t>
        </is>
      </c>
      <c r="C217" s="79">
        <f>COUNTIFS($B$12:$B$111,"HSI",$E$12:$E$111,$B217)</f>
        <v/>
      </c>
      <c r="D217" s="71">
        <f>IFERROR(AVERAGEIFS($X$12:$X$111,$B$12:$B$111,"HSI",$E$12:$E$111,$B217),"")</f>
        <v/>
      </c>
      <c r="E217" s="71">
        <f>IFERROR(AVERAGEIFS($AA$12:$AA$111,$B$12:$B$111,"HSI",$E$12:$E$111,$B217),"")</f>
        <v/>
      </c>
      <c r="F217" s="76">
        <f>IFERROR(AVERAGEIFS($AM$12:$AM$111,$B$12:$B$111,"HSI",$E$12:$E$111,$B217),"")</f>
        <v/>
      </c>
      <c r="G217" s="80">
        <f>IFERROR(AVERAGEIFS($AF$12:$AF$111,$B$12:$B$111,"HSI",$E$12:$E$111,$B217),"")</f>
        <v/>
      </c>
      <c r="H217" s="80">
        <f>IFERROR(AVERAGEIFS($AG$12:$AG$111,$B$12:$B$111,"HSI",$E$12:$E$111,$B217),"")</f>
        <v/>
      </c>
      <c r="I217" s="47">
        <f>IFERROR(AVERAGEIFS($AI$12:$AI$111,$B$12:$B$111,"HSI",$E$12:$E$111,$B217),"")</f>
        <v/>
      </c>
      <c r="J217" s="47">
        <f>IFERROR(AVERAGEIFS($AJ$12:$AJ$111,$B$12:$B$111,"HSI",$E$12:$E$111,$B217),"")</f>
        <v/>
      </c>
      <c r="K217" s="47">
        <f>IFERROR(AVERAGEIFS($AN$12:$AN$111,$B$12:$B$111,"HSI",$E$12:$E$111,$B217),"")</f>
        <v/>
      </c>
      <c r="L217" s="47">
        <f>IFERROR(SUMIF(HSI!$E$7:$E$106,$B217,HSI!$Q$7:$Q$106),"")</f>
        <v/>
      </c>
      <c r="M217" s="80">
        <f>IFERROR($L217/HSI!$Q$5,"")</f>
        <v/>
      </c>
    </row>
    <row r="218">
      <c r="B218" s="14" t="inlineStr">
        <is>
          <t>Industrials</t>
        </is>
      </c>
      <c r="C218" s="79">
        <f>COUNTIFS($B$12:$B$111,"HSI",$E$12:$E$111,$B218)</f>
        <v/>
      </c>
      <c r="D218" s="71">
        <f>IFERROR(AVERAGEIFS($X$12:$X$111,$B$12:$B$111,"HSI",$E$12:$E$111,$B218),"")</f>
        <v/>
      </c>
      <c r="E218" s="71">
        <f>IFERROR(AVERAGEIFS($AA$12:$AA$111,$B$12:$B$111,"HSI",$E$12:$E$111,$B218),"")</f>
        <v/>
      </c>
      <c r="F218" s="76">
        <f>IFERROR(AVERAGEIFS($AM$12:$AM$111,$B$12:$B$111,"HSI",$E$12:$E$111,$B218),"")</f>
        <v/>
      </c>
      <c r="G218" s="80">
        <f>IFERROR(AVERAGEIFS($AF$12:$AF$111,$B$12:$B$111,"HSI",$E$12:$E$111,$B218),"")</f>
        <v/>
      </c>
      <c r="H218" s="80">
        <f>IFERROR(AVERAGEIFS($AG$12:$AG$111,$B$12:$B$111,"HSI",$E$12:$E$111,$B218),"")</f>
        <v/>
      </c>
      <c r="I218" s="47">
        <f>IFERROR(AVERAGEIFS($AI$12:$AI$111,$B$12:$B$111,"HSI",$E$12:$E$111,$B218),"")</f>
        <v/>
      </c>
      <c r="J218" s="47">
        <f>IFERROR(AVERAGEIFS($AJ$12:$AJ$111,$B$12:$B$111,"HSI",$E$12:$E$111,$B218),"")</f>
        <v/>
      </c>
      <c r="K218" s="47">
        <f>IFERROR(AVERAGEIFS($AN$12:$AN$111,$B$12:$B$111,"HSI",$E$12:$E$111,$B218),"")</f>
        <v/>
      </c>
      <c r="L218" s="47">
        <f>IFERROR(SUMIF(HSI!$E$7:$E$106,$B218,HSI!$Q$7:$Q$106),"")</f>
        <v/>
      </c>
      <c r="M218" s="80">
        <f>IFERROR($L218/HSI!$Q$5,"")</f>
        <v/>
      </c>
    </row>
    <row r="219">
      <c r="B219" s="14" t="inlineStr">
        <is>
          <t>Consumer Discretionary</t>
        </is>
      </c>
      <c r="C219" s="79">
        <f>COUNTIFS($B$12:$B$111,"HSI",$E$12:$E$111,$B219)</f>
        <v/>
      </c>
      <c r="D219" s="71">
        <f>IFERROR(AVERAGEIFS($X$12:$X$111,$B$12:$B$111,"HSI",$E$12:$E$111,$B219),"")</f>
        <v/>
      </c>
      <c r="E219" s="71">
        <f>IFERROR(AVERAGEIFS($AA$12:$AA$111,$B$12:$B$111,"HSI",$E$12:$E$111,$B219),"")</f>
        <v/>
      </c>
      <c r="F219" s="76">
        <f>IFERROR(AVERAGEIFS($AM$12:$AM$111,$B$12:$B$111,"HSI",$E$12:$E$111,$B219),"")</f>
        <v/>
      </c>
      <c r="G219" s="80">
        <f>IFERROR(AVERAGEIFS($AF$12:$AF$111,$B$12:$B$111,"HSI",$E$12:$E$111,$B219),"")</f>
        <v/>
      </c>
      <c r="H219" s="80">
        <f>IFERROR(AVERAGEIFS($AG$12:$AG$111,$B$12:$B$111,"HSI",$E$12:$E$111,$B219),"")</f>
        <v/>
      </c>
      <c r="I219" s="47">
        <f>IFERROR(AVERAGEIFS($AI$12:$AI$111,$B$12:$B$111,"HSI",$E$12:$E$111,$B219),"")</f>
        <v/>
      </c>
      <c r="J219" s="47">
        <f>IFERROR(AVERAGEIFS($AJ$12:$AJ$111,$B$12:$B$111,"HSI",$E$12:$E$111,$B219),"")</f>
        <v/>
      </c>
      <c r="K219" s="47">
        <f>IFERROR(AVERAGEIFS($AN$12:$AN$111,$B$12:$B$111,"HSI",$E$12:$E$111,$B219),"")</f>
        <v/>
      </c>
      <c r="L219" s="47">
        <f>IFERROR(SUMIF(HSI!$E$7:$E$106,$B219,HSI!$Q$7:$Q$106),"")</f>
        <v/>
      </c>
      <c r="M219" s="80">
        <f>IFERROR($L219/HSI!$Q$5,"")</f>
        <v/>
      </c>
    </row>
    <row r="220">
      <c r="B220" s="14" t="inlineStr">
        <is>
          <t>Consumer Staples</t>
        </is>
      </c>
      <c r="C220" s="79">
        <f>COUNTIFS($B$12:$B$111,"HSI",$E$12:$E$111,$B220)</f>
        <v/>
      </c>
      <c r="D220" s="71">
        <f>IFERROR(AVERAGEIFS($X$12:$X$111,$B$12:$B$111,"HSI",$E$12:$E$111,$B220),"")</f>
        <v/>
      </c>
      <c r="E220" s="71">
        <f>IFERROR(AVERAGEIFS($AA$12:$AA$111,$B$12:$B$111,"HSI",$E$12:$E$111,$B220),"")</f>
        <v/>
      </c>
      <c r="F220" s="76">
        <f>IFERROR(AVERAGEIFS($AM$12:$AM$111,$B$12:$B$111,"HSI",$E$12:$E$111,$B220),"")</f>
        <v/>
      </c>
      <c r="G220" s="80">
        <f>IFERROR(AVERAGEIFS($AF$12:$AF$111,$B$12:$B$111,"HSI",$E$12:$E$111,$B220),"")</f>
        <v/>
      </c>
      <c r="H220" s="80">
        <f>IFERROR(AVERAGEIFS($AG$12:$AG$111,$B$12:$B$111,"HSI",$E$12:$E$111,$B220),"")</f>
        <v/>
      </c>
      <c r="I220" s="47">
        <f>IFERROR(AVERAGEIFS($AI$12:$AI$111,$B$12:$B$111,"HSI",$E$12:$E$111,$B220),"")</f>
        <v/>
      </c>
      <c r="J220" s="47">
        <f>IFERROR(AVERAGEIFS($AJ$12:$AJ$111,$B$12:$B$111,"HSI",$E$12:$E$111,$B220),"")</f>
        <v/>
      </c>
      <c r="K220" s="47">
        <f>IFERROR(AVERAGEIFS($AN$12:$AN$111,$B$12:$B$111,"HSI",$E$12:$E$111,$B220),"")</f>
        <v/>
      </c>
      <c r="L220" s="47">
        <f>IFERROR(SUMIF(HSI!$E$7:$E$106,$B220,HSI!$Q$7:$Q$106),"")</f>
        <v/>
      </c>
      <c r="M220" s="80">
        <f>IFERROR($L220/HSI!$Q$5,"")</f>
        <v/>
      </c>
    </row>
    <row r="221">
      <c r="B221" s="14" t="inlineStr">
        <is>
          <t>Health Care</t>
        </is>
      </c>
      <c r="C221" s="79">
        <f>COUNTIFS($B$12:$B$111,"HSI",$E$12:$E$111,$B221)</f>
        <v/>
      </c>
      <c r="D221" s="71">
        <f>IFERROR(AVERAGEIFS($X$12:$X$111,$B$12:$B$111,"HSI",$E$12:$E$111,$B221),"")</f>
        <v/>
      </c>
      <c r="E221" s="71">
        <f>IFERROR(AVERAGEIFS($AA$12:$AA$111,$B$12:$B$111,"HSI",$E$12:$E$111,$B221),"")</f>
        <v/>
      </c>
      <c r="F221" s="76">
        <f>IFERROR(AVERAGEIFS($AM$12:$AM$111,$B$12:$B$111,"HSI",$E$12:$E$111,$B221),"")</f>
        <v/>
      </c>
      <c r="G221" s="80">
        <f>IFERROR(AVERAGEIFS($AF$12:$AF$111,$B$12:$B$111,"HSI",$E$12:$E$111,$B221),"")</f>
        <v/>
      </c>
      <c r="H221" s="80">
        <f>IFERROR(AVERAGEIFS($AG$12:$AG$111,$B$12:$B$111,"HSI",$E$12:$E$111,$B221),"")</f>
        <v/>
      </c>
      <c r="I221" s="47">
        <f>IFERROR(AVERAGEIFS($AI$12:$AI$111,$B$12:$B$111,"HSI",$E$12:$E$111,$B221),"")</f>
        <v/>
      </c>
      <c r="J221" s="47">
        <f>IFERROR(AVERAGEIFS($AJ$12:$AJ$111,$B$12:$B$111,"HSI",$E$12:$E$111,$B221),"")</f>
        <v/>
      </c>
      <c r="K221" s="47">
        <f>IFERROR(AVERAGEIFS($AN$12:$AN$111,$B$12:$B$111,"HSI",$E$12:$E$111,$B221),"")</f>
        <v/>
      </c>
      <c r="L221" s="47">
        <f>IFERROR(SUMIF(HSI!$E$7:$E$106,$B221,HSI!$Q$7:$Q$106),"")</f>
        <v/>
      </c>
      <c r="M221" s="80">
        <f>IFERROR($L221/HSI!$Q$5,"")</f>
        <v/>
      </c>
    </row>
    <row r="222">
      <c r="B222" s="14" t="inlineStr">
        <is>
          <t>Financials</t>
        </is>
      </c>
      <c r="C222" s="79">
        <f>COUNTIFS($B$12:$B$111,"HSI",$E$12:$E$111,$B222)</f>
        <v/>
      </c>
      <c r="D222" s="71">
        <f>IFERROR(AVERAGEIFS($X$12:$X$111,$B$12:$B$111,"HSI",$E$12:$E$111,$B222),"")</f>
        <v/>
      </c>
      <c r="E222" s="71">
        <f>IFERROR(AVERAGEIFS($AA$12:$AA$111,$B$12:$B$111,"HSI",$E$12:$E$111,$B222),"")</f>
        <v/>
      </c>
      <c r="F222" s="76">
        <f>IFERROR(AVERAGEIFS($AM$12:$AM$111,$B$12:$B$111,"HSI",$E$12:$E$111,$B222),"")</f>
        <v/>
      </c>
      <c r="G222" s="80">
        <f>IFERROR(AVERAGEIFS($AF$12:$AF$111,$B$12:$B$111,"HSI",$E$12:$E$111,$B222),"")</f>
        <v/>
      </c>
      <c r="H222" s="80">
        <f>IFERROR(AVERAGEIFS($AG$12:$AG$111,$B$12:$B$111,"HSI",$E$12:$E$111,$B222),"")</f>
        <v/>
      </c>
      <c r="I222" s="47">
        <f>IFERROR(AVERAGEIFS($AI$12:$AI$111,$B$12:$B$111,"HSI",$E$12:$E$111,$B222),"")</f>
        <v/>
      </c>
      <c r="J222" s="47">
        <f>IFERROR(AVERAGEIFS($AJ$12:$AJ$111,$B$12:$B$111,"HSI",$E$12:$E$111,$B222),"")</f>
        <v/>
      </c>
      <c r="K222" s="47">
        <f>IFERROR(AVERAGEIFS($AN$12:$AN$111,$B$12:$B$111,"HSI",$E$12:$E$111,$B222),"")</f>
        <v/>
      </c>
      <c r="L222" s="47">
        <f>IFERROR(SUMIF(HSI!$E$7:$E$106,$B222,HSI!$Q$7:$Q$106),"")</f>
        <v/>
      </c>
      <c r="M222" s="80">
        <f>IFERROR($L222/HSI!$Q$5,"")</f>
        <v/>
      </c>
    </row>
    <row r="223">
      <c r="B223" s="14" t="inlineStr">
        <is>
          <t>Information Technology</t>
        </is>
      </c>
      <c r="C223" s="79">
        <f>COUNTIFS($B$12:$B$111,"HSI",$E$12:$E$111,$B223)</f>
        <v/>
      </c>
      <c r="D223" s="71">
        <f>IFERROR(AVERAGEIFS($X$12:$X$111,$B$12:$B$111,"HSI",$E$12:$E$111,$B223),"")</f>
        <v/>
      </c>
      <c r="E223" s="71">
        <f>IFERROR(AVERAGEIFS($AA$12:$AA$111,$B$12:$B$111,"HSI",$E$12:$E$111,$B223),"")</f>
        <v/>
      </c>
      <c r="F223" s="76">
        <f>IFERROR(AVERAGEIFS($AM$12:$AM$111,$B$12:$B$111,"HSI",$E$12:$E$111,$B223),"")</f>
        <v/>
      </c>
      <c r="G223" s="80">
        <f>IFERROR(AVERAGEIFS($AF$12:$AF$111,$B$12:$B$111,"HSI",$E$12:$E$111,$B223),"")</f>
        <v/>
      </c>
      <c r="H223" s="80">
        <f>IFERROR(AVERAGEIFS($AG$12:$AG$111,$B$12:$B$111,"HSI",$E$12:$E$111,$B223),"")</f>
        <v/>
      </c>
      <c r="I223" s="47">
        <f>IFERROR(AVERAGEIFS($AI$12:$AI$111,$B$12:$B$111,"HSI",$E$12:$E$111,$B223),"")</f>
        <v/>
      </c>
      <c r="J223" s="47">
        <f>IFERROR(AVERAGEIFS($AJ$12:$AJ$111,$B$12:$B$111,"HSI",$E$12:$E$111,$B223),"")</f>
        <v/>
      </c>
      <c r="K223" s="47">
        <f>IFERROR(AVERAGEIFS($AN$12:$AN$111,$B$12:$B$111,"HSI",$E$12:$E$111,$B223),"")</f>
        <v/>
      </c>
      <c r="L223" s="47">
        <f>IFERROR(SUMIF(HSI!$E$7:$E$106,$B223,HSI!$Q$7:$Q$106),"")</f>
        <v/>
      </c>
      <c r="M223" s="80">
        <f>IFERROR($L223/HSI!$Q$5,"")</f>
        <v/>
      </c>
    </row>
    <row r="224">
      <c r="B224" s="14" t="inlineStr">
        <is>
          <t>Communication Services</t>
        </is>
      </c>
      <c r="C224" s="79">
        <f>COUNTIFS($B$12:$B$111,"HSI",$E$12:$E$111,$B224)</f>
        <v/>
      </c>
      <c r="D224" s="71">
        <f>IFERROR(AVERAGEIFS($X$12:$X$111,$B$12:$B$111,"HSI",$E$12:$E$111,$B224),"")</f>
        <v/>
      </c>
      <c r="E224" s="71">
        <f>IFERROR(AVERAGEIFS($AA$12:$AA$111,$B$12:$B$111,"HSI",$E$12:$E$111,$B224),"")</f>
        <v/>
      </c>
      <c r="F224" s="76">
        <f>IFERROR(AVERAGEIFS($AM$12:$AM$111,$B$12:$B$111,"HSI",$E$12:$E$111,$B224),"")</f>
        <v/>
      </c>
      <c r="G224" s="80">
        <f>IFERROR(AVERAGEIFS($AF$12:$AF$111,$B$12:$B$111,"HSI",$E$12:$E$111,$B224),"")</f>
        <v/>
      </c>
      <c r="H224" s="80">
        <f>IFERROR(AVERAGEIFS($AG$12:$AG$111,$B$12:$B$111,"HSI",$E$12:$E$111,$B224),"")</f>
        <v/>
      </c>
      <c r="I224" s="47">
        <f>IFERROR(AVERAGEIFS($AI$12:$AI$111,$B$12:$B$111,"HSI",$E$12:$E$111,$B224),"")</f>
        <v/>
      </c>
      <c r="J224" s="47">
        <f>IFERROR(AVERAGEIFS($AJ$12:$AJ$111,$B$12:$B$111,"HSI",$E$12:$E$111,$B224),"")</f>
        <v/>
      </c>
      <c r="K224" s="47">
        <f>IFERROR(AVERAGEIFS($AN$12:$AN$111,$B$12:$B$111,"HSI",$E$12:$E$111,$B224),"")</f>
        <v/>
      </c>
      <c r="L224" s="47">
        <f>IFERROR(SUMIF(HSI!$E$7:$E$106,$B224,HSI!$Q$7:$Q$106),"")</f>
        <v/>
      </c>
      <c r="M224" s="80">
        <f>IFERROR($L224/HSI!$Q$5,"")</f>
        <v/>
      </c>
    </row>
    <row r="225">
      <c r="B225" s="14" t="inlineStr">
        <is>
          <t>Utilities</t>
        </is>
      </c>
      <c r="C225" s="79">
        <f>COUNTIFS($B$12:$B$111,"HSI",$E$12:$E$111,$B225)</f>
        <v/>
      </c>
      <c r="D225" s="71">
        <f>IFERROR(AVERAGEIFS($X$12:$X$111,$B$12:$B$111,"HSI",$E$12:$E$111,$B225),"")</f>
        <v/>
      </c>
      <c r="E225" s="71">
        <f>IFERROR(AVERAGEIFS($AA$12:$AA$111,$B$12:$B$111,"HSI",$E$12:$E$111,$B225),"")</f>
        <v/>
      </c>
      <c r="F225" s="76">
        <f>IFERROR(AVERAGEIFS($AM$12:$AM$111,$B$12:$B$111,"HSI",$E$12:$E$111,$B225),"")</f>
        <v/>
      </c>
      <c r="G225" s="80">
        <f>IFERROR(AVERAGEIFS($AF$12:$AF$111,$B$12:$B$111,"HSI",$E$12:$E$111,$B225),"")</f>
        <v/>
      </c>
      <c r="H225" s="80">
        <f>IFERROR(AVERAGEIFS($AG$12:$AG$111,$B$12:$B$111,"HSI",$E$12:$E$111,$B225),"")</f>
        <v/>
      </c>
      <c r="I225" s="47">
        <f>IFERROR(AVERAGEIFS($AI$12:$AI$111,$B$12:$B$111,"HSI",$E$12:$E$111,$B225),"")</f>
        <v/>
      </c>
      <c r="J225" s="47">
        <f>IFERROR(AVERAGEIFS($AJ$12:$AJ$111,$B$12:$B$111,"HSI",$E$12:$E$111,$B225),"")</f>
        <v/>
      </c>
      <c r="K225" s="47">
        <f>IFERROR(AVERAGEIFS($AN$12:$AN$111,$B$12:$B$111,"HSI",$E$12:$E$111,$B225),"")</f>
        <v/>
      </c>
      <c r="L225" s="47">
        <f>IFERROR(SUMIF(HSI!$E$7:$E$106,$B225,HSI!$Q$7:$Q$106),"")</f>
        <v/>
      </c>
      <c r="M225" s="80">
        <f>IFERROR($L225/HSI!$Q$5,"")</f>
        <v/>
      </c>
    </row>
    <row r="226">
      <c r="B226" s="14" t="inlineStr">
        <is>
          <t>Real Estate</t>
        </is>
      </c>
      <c r="C226" s="79">
        <f>COUNTIFS($B$12:$B$111,"HSI",$E$12:$E$111,$B226)</f>
        <v/>
      </c>
      <c r="D226" s="71">
        <f>IFERROR(AVERAGEIFS($X$12:$X$111,$B$12:$B$111,"HSI",$E$12:$E$111,$B226),"")</f>
        <v/>
      </c>
      <c r="E226" s="71">
        <f>IFERROR(AVERAGEIFS($AA$12:$AA$111,$B$12:$B$111,"HSI",$E$12:$E$111,$B226),"")</f>
        <v/>
      </c>
      <c r="F226" s="76">
        <f>IFERROR(AVERAGEIFS($AM$12:$AM$111,$B$12:$B$111,"HSI",$E$12:$E$111,$B226),"")</f>
        <v/>
      </c>
      <c r="G226" s="80">
        <f>IFERROR(AVERAGEIFS($AF$12:$AF$111,$B$12:$B$111,"HSI",$E$12:$E$111,$B226),"")</f>
        <v/>
      </c>
      <c r="H226" s="80">
        <f>IFERROR(AVERAGEIFS($AG$12:$AG$111,$B$12:$B$111,"HSI",$E$12:$E$111,$B226),"")</f>
        <v/>
      </c>
      <c r="I226" s="47">
        <f>IFERROR(AVERAGEIFS($AI$12:$AI$111,$B$12:$B$111,"HSI",$E$12:$E$111,$B226),"")</f>
        <v/>
      </c>
      <c r="J226" s="47">
        <f>IFERROR(AVERAGEIFS($AJ$12:$AJ$111,$B$12:$B$111,"HSI",$E$12:$E$111,$B226),"")</f>
        <v/>
      </c>
      <c r="K226" s="47">
        <f>IFERROR(AVERAGEIFS($AN$12:$AN$111,$B$12:$B$111,"HSI",$E$12:$E$111,$B226),"")</f>
        <v/>
      </c>
      <c r="L226" s="47">
        <f>IFERROR(SUMIF(HSI!$E$7:$E$106,$B226,HSI!$Q$7:$Q$106),"")</f>
        <v/>
      </c>
      <c r="M226" s="80">
        <f>IFERROR($L226/HSI!$Q$5,"")</f>
        <v/>
      </c>
    </row>
    <row r="227">
      <c r="B227" s="9" t="inlineStr">
        <is>
          <t>TOTAL</t>
        </is>
      </c>
      <c r="C227" s="81">
        <f>SUM(C216:C226)</f>
        <v/>
      </c>
      <c r="L227" s="82">
        <f>IFERROR(SUM(L216:L226),"")</f>
        <v/>
      </c>
      <c r="M227" s="74">
        <f>IFERROR(SUM(M216:M226),"")</f>
        <v/>
      </c>
      <c r="N227" s="2">
        <f>IF(ABS(N($L227)-N(HSI!$Q$5))&lt;0.01,"sector split reconciles","CHECK - a GICS name does not match")</f>
        <v/>
      </c>
    </row>
    <row r="230">
      <c r="B230" s="3" t="inlineStr">
        <is>
          <t>SECTOR AVERAGES - Hang Seng TECH Index (HSTECH)</t>
        </is>
      </c>
      <c r="C230" s="4" t="n"/>
      <c r="D230" s="4" t="n"/>
      <c r="E230" s="4" t="n"/>
      <c r="F230" s="4" t="n"/>
      <c r="G230" s="4" t="n"/>
      <c r="H230" s="4" t="n"/>
      <c r="I230" s="4" t="n"/>
      <c r="J230" s="4" t="n"/>
      <c r="K230" s="4" t="n"/>
      <c r="L230" s="4" t="n"/>
      <c r="M230" s="4" t="n"/>
    </row>
    <row r="231">
      <c r="B231" s="58" t="inlineStr">
        <is>
          <t>GICS Sector</t>
        </is>
      </c>
      <c r="C231" s="58" t="inlineStr">
        <is>
          <t>#</t>
        </is>
      </c>
      <c r="D231" s="58" t="inlineStr">
        <is>
          <t>5Y avg
payout</t>
        </is>
      </c>
      <c r="E231" s="58" t="inlineStr">
        <is>
          <t>Fwd
payout</t>
        </is>
      </c>
      <c r="F231" s="58" t="inlineStr">
        <is>
          <t>Dvd yld
12M</t>
        </is>
      </c>
      <c r="G231" s="58" t="inlineStr">
        <is>
          <t>Buyback
Y-1</t>
        </is>
      </c>
      <c r="H231" s="58" t="inlineStr">
        <is>
          <t>Bb+dvd
yield</t>
        </is>
      </c>
      <c r="I231" s="58" t="inlineStr">
        <is>
          <t>ND/E
Y-1</t>
        </is>
      </c>
      <c r="J231" s="58" t="inlineStr">
        <is>
          <t>Net debt
/EBITDA</t>
        </is>
      </c>
      <c r="K231" s="58" t="inlineStr">
        <is>
          <t>FCF
cover</t>
        </is>
      </c>
      <c r="L231" s="58" t="inlineStr">
        <is>
          <t>Year pts
(model)</t>
        </is>
      </c>
      <c r="M231" s="58" t="inlineStr">
        <is>
          <t>% of yr
dvds</t>
        </is>
      </c>
    </row>
    <row r="232">
      <c r="B232" s="14" t="inlineStr">
        <is>
          <t>Energy</t>
        </is>
      </c>
      <c r="C232" s="79">
        <f>COUNTIFS($B$112:$B$151,"HSTECH",$E$112:$E$151,$B232)</f>
        <v/>
      </c>
      <c r="D232" s="71">
        <f>IFERROR(AVERAGEIFS($X$112:$X$151,$B$112:$B$151,"HSTECH",$E$112:$E$151,$B232),"")</f>
        <v/>
      </c>
      <c r="E232" s="71">
        <f>IFERROR(AVERAGEIFS($AA$112:$AA$151,$B$112:$B$151,"HSTECH",$E$112:$E$151,$B232),"")</f>
        <v/>
      </c>
      <c r="F232" s="76">
        <f>IFERROR(AVERAGEIFS($AM$112:$AM$151,$B$112:$B$151,"HSTECH",$E$112:$E$151,$B232),"")</f>
        <v/>
      </c>
      <c r="G232" s="80">
        <f>IFERROR(AVERAGEIFS($AF$112:$AF$151,$B$112:$B$151,"HSTECH",$E$112:$E$151,$B232),"")</f>
        <v/>
      </c>
      <c r="H232" s="80">
        <f>IFERROR(AVERAGEIFS($AG$112:$AG$151,$B$112:$B$151,"HSTECH",$E$112:$E$151,$B232),"")</f>
        <v/>
      </c>
      <c r="I232" s="47">
        <f>IFERROR(AVERAGEIFS($AI$112:$AI$151,$B$112:$B$151,"HSTECH",$E$112:$E$151,$B232),"")</f>
        <v/>
      </c>
      <c r="J232" s="47">
        <f>IFERROR(AVERAGEIFS($AJ$112:$AJ$151,$B$112:$B$151,"HSTECH",$E$112:$E$151,$B232),"")</f>
        <v/>
      </c>
      <c r="K232" s="47">
        <f>IFERROR(AVERAGEIFS($AN$112:$AN$151,$B$112:$B$151,"HSTECH",$E$112:$E$151,$B232),"")</f>
        <v/>
      </c>
      <c r="L232" s="47">
        <f>IFERROR(SUMIF(HSTECH!$E$7:$E$46,$B232,HSTECH!$Q$7:$Q$46),"")</f>
        <v/>
      </c>
      <c r="M232" s="80">
        <f>IFERROR($L232/HSTECH!$Q$5,"")</f>
        <v/>
      </c>
    </row>
    <row r="233">
      <c r="B233" s="14" t="inlineStr">
        <is>
          <t>Materials</t>
        </is>
      </c>
      <c r="C233" s="79">
        <f>COUNTIFS($B$112:$B$151,"HSTECH",$E$112:$E$151,$B233)</f>
        <v/>
      </c>
      <c r="D233" s="71">
        <f>IFERROR(AVERAGEIFS($X$112:$X$151,$B$112:$B$151,"HSTECH",$E$112:$E$151,$B233),"")</f>
        <v/>
      </c>
      <c r="E233" s="71">
        <f>IFERROR(AVERAGEIFS($AA$112:$AA$151,$B$112:$B$151,"HSTECH",$E$112:$E$151,$B233),"")</f>
        <v/>
      </c>
      <c r="F233" s="76">
        <f>IFERROR(AVERAGEIFS($AM$112:$AM$151,$B$112:$B$151,"HSTECH",$E$112:$E$151,$B233),"")</f>
        <v/>
      </c>
      <c r="G233" s="80">
        <f>IFERROR(AVERAGEIFS($AF$112:$AF$151,$B$112:$B$151,"HSTECH",$E$112:$E$151,$B233),"")</f>
        <v/>
      </c>
      <c r="H233" s="80">
        <f>IFERROR(AVERAGEIFS($AG$112:$AG$151,$B$112:$B$151,"HSTECH",$E$112:$E$151,$B233),"")</f>
        <v/>
      </c>
      <c r="I233" s="47">
        <f>IFERROR(AVERAGEIFS($AI$112:$AI$151,$B$112:$B$151,"HSTECH",$E$112:$E$151,$B233),"")</f>
        <v/>
      </c>
      <c r="J233" s="47">
        <f>IFERROR(AVERAGEIFS($AJ$112:$AJ$151,$B$112:$B$151,"HSTECH",$E$112:$E$151,$B233),"")</f>
        <v/>
      </c>
      <c r="K233" s="47">
        <f>IFERROR(AVERAGEIFS($AN$112:$AN$151,$B$112:$B$151,"HSTECH",$E$112:$E$151,$B233),"")</f>
        <v/>
      </c>
      <c r="L233" s="47">
        <f>IFERROR(SUMIF(HSTECH!$E$7:$E$46,$B233,HSTECH!$Q$7:$Q$46),"")</f>
        <v/>
      </c>
      <c r="M233" s="80">
        <f>IFERROR($L233/HSTECH!$Q$5,"")</f>
        <v/>
      </c>
    </row>
    <row r="234">
      <c r="B234" s="14" t="inlineStr">
        <is>
          <t>Industrials</t>
        </is>
      </c>
      <c r="C234" s="79">
        <f>COUNTIFS($B$112:$B$151,"HSTECH",$E$112:$E$151,$B234)</f>
        <v/>
      </c>
      <c r="D234" s="71">
        <f>IFERROR(AVERAGEIFS($X$112:$X$151,$B$112:$B$151,"HSTECH",$E$112:$E$151,$B234),"")</f>
        <v/>
      </c>
      <c r="E234" s="71">
        <f>IFERROR(AVERAGEIFS($AA$112:$AA$151,$B$112:$B$151,"HSTECH",$E$112:$E$151,$B234),"")</f>
        <v/>
      </c>
      <c r="F234" s="76">
        <f>IFERROR(AVERAGEIFS($AM$112:$AM$151,$B$112:$B$151,"HSTECH",$E$112:$E$151,$B234),"")</f>
        <v/>
      </c>
      <c r="G234" s="80">
        <f>IFERROR(AVERAGEIFS($AF$112:$AF$151,$B$112:$B$151,"HSTECH",$E$112:$E$151,$B234),"")</f>
        <v/>
      </c>
      <c r="H234" s="80">
        <f>IFERROR(AVERAGEIFS($AG$112:$AG$151,$B$112:$B$151,"HSTECH",$E$112:$E$151,$B234),"")</f>
        <v/>
      </c>
      <c r="I234" s="47">
        <f>IFERROR(AVERAGEIFS($AI$112:$AI$151,$B$112:$B$151,"HSTECH",$E$112:$E$151,$B234),"")</f>
        <v/>
      </c>
      <c r="J234" s="47">
        <f>IFERROR(AVERAGEIFS($AJ$112:$AJ$151,$B$112:$B$151,"HSTECH",$E$112:$E$151,$B234),"")</f>
        <v/>
      </c>
      <c r="K234" s="47">
        <f>IFERROR(AVERAGEIFS($AN$112:$AN$151,$B$112:$B$151,"HSTECH",$E$112:$E$151,$B234),"")</f>
        <v/>
      </c>
      <c r="L234" s="47">
        <f>IFERROR(SUMIF(HSTECH!$E$7:$E$46,$B234,HSTECH!$Q$7:$Q$46),"")</f>
        <v/>
      </c>
      <c r="M234" s="80">
        <f>IFERROR($L234/HSTECH!$Q$5,"")</f>
        <v/>
      </c>
    </row>
    <row r="235">
      <c r="B235" s="14" t="inlineStr">
        <is>
          <t>Consumer Discretionary</t>
        </is>
      </c>
      <c r="C235" s="79">
        <f>COUNTIFS($B$112:$B$151,"HSTECH",$E$112:$E$151,$B235)</f>
        <v/>
      </c>
      <c r="D235" s="71">
        <f>IFERROR(AVERAGEIFS($X$112:$X$151,$B$112:$B$151,"HSTECH",$E$112:$E$151,$B235),"")</f>
        <v/>
      </c>
      <c r="E235" s="71">
        <f>IFERROR(AVERAGEIFS($AA$112:$AA$151,$B$112:$B$151,"HSTECH",$E$112:$E$151,$B235),"")</f>
        <v/>
      </c>
      <c r="F235" s="76">
        <f>IFERROR(AVERAGEIFS($AM$112:$AM$151,$B$112:$B$151,"HSTECH",$E$112:$E$151,$B235),"")</f>
        <v/>
      </c>
      <c r="G235" s="80">
        <f>IFERROR(AVERAGEIFS($AF$112:$AF$151,$B$112:$B$151,"HSTECH",$E$112:$E$151,$B235),"")</f>
        <v/>
      </c>
      <c r="H235" s="80">
        <f>IFERROR(AVERAGEIFS($AG$112:$AG$151,$B$112:$B$151,"HSTECH",$E$112:$E$151,$B235),"")</f>
        <v/>
      </c>
      <c r="I235" s="47">
        <f>IFERROR(AVERAGEIFS($AI$112:$AI$151,$B$112:$B$151,"HSTECH",$E$112:$E$151,$B235),"")</f>
        <v/>
      </c>
      <c r="J235" s="47">
        <f>IFERROR(AVERAGEIFS($AJ$112:$AJ$151,$B$112:$B$151,"HSTECH",$E$112:$E$151,$B235),"")</f>
        <v/>
      </c>
      <c r="K235" s="47">
        <f>IFERROR(AVERAGEIFS($AN$112:$AN$151,$B$112:$B$151,"HSTECH",$E$112:$E$151,$B235),"")</f>
        <v/>
      </c>
      <c r="L235" s="47">
        <f>IFERROR(SUMIF(HSTECH!$E$7:$E$46,$B235,HSTECH!$Q$7:$Q$46),"")</f>
        <v/>
      </c>
      <c r="M235" s="80">
        <f>IFERROR($L235/HSTECH!$Q$5,"")</f>
        <v/>
      </c>
    </row>
    <row r="236">
      <c r="B236" s="14" t="inlineStr">
        <is>
          <t>Consumer Staples</t>
        </is>
      </c>
      <c r="C236" s="79">
        <f>COUNTIFS($B$112:$B$151,"HSTECH",$E$112:$E$151,$B236)</f>
        <v/>
      </c>
      <c r="D236" s="71">
        <f>IFERROR(AVERAGEIFS($X$112:$X$151,$B$112:$B$151,"HSTECH",$E$112:$E$151,$B236),"")</f>
        <v/>
      </c>
      <c r="E236" s="71">
        <f>IFERROR(AVERAGEIFS($AA$112:$AA$151,$B$112:$B$151,"HSTECH",$E$112:$E$151,$B236),"")</f>
        <v/>
      </c>
      <c r="F236" s="76">
        <f>IFERROR(AVERAGEIFS($AM$112:$AM$151,$B$112:$B$151,"HSTECH",$E$112:$E$151,$B236),"")</f>
        <v/>
      </c>
      <c r="G236" s="80">
        <f>IFERROR(AVERAGEIFS($AF$112:$AF$151,$B$112:$B$151,"HSTECH",$E$112:$E$151,$B236),"")</f>
        <v/>
      </c>
      <c r="H236" s="80">
        <f>IFERROR(AVERAGEIFS($AG$112:$AG$151,$B$112:$B$151,"HSTECH",$E$112:$E$151,$B236),"")</f>
        <v/>
      </c>
      <c r="I236" s="47">
        <f>IFERROR(AVERAGEIFS($AI$112:$AI$151,$B$112:$B$151,"HSTECH",$E$112:$E$151,$B236),"")</f>
        <v/>
      </c>
      <c r="J236" s="47">
        <f>IFERROR(AVERAGEIFS($AJ$112:$AJ$151,$B$112:$B$151,"HSTECH",$E$112:$E$151,$B236),"")</f>
        <v/>
      </c>
      <c r="K236" s="47">
        <f>IFERROR(AVERAGEIFS($AN$112:$AN$151,$B$112:$B$151,"HSTECH",$E$112:$E$151,$B236),"")</f>
        <v/>
      </c>
      <c r="L236" s="47">
        <f>IFERROR(SUMIF(HSTECH!$E$7:$E$46,$B236,HSTECH!$Q$7:$Q$46),"")</f>
        <v/>
      </c>
      <c r="M236" s="80">
        <f>IFERROR($L236/HSTECH!$Q$5,"")</f>
        <v/>
      </c>
    </row>
    <row r="237">
      <c r="B237" s="14" t="inlineStr">
        <is>
          <t>Health Care</t>
        </is>
      </c>
      <c r="C237" s="79">
        <f>COUNTIFS($B$112:$B$151,"HSTECH",$E$112:$E$151,$B237)</f>
        <v/>
      </c>
      <c r="D237" s="71">
        <f>IFERROR(AVERAGEIFS($X$112:$X$151,$B$112:$B$151,"HSTECH",$E$112:$E$151,$B237),"")</f>
        <v/>
      </c>
      <c r="E237" s="71">
        <f>IFERROR(AVERAGEIFS($AA$112:$AA$151,$B$112:$B$151,"HSTECH",$E$112:$E$151,$B237),"")</f>
        <v/>
      </c>
      <c r="F237" s="76">
        <f>IFERROR(AVERAGEIFS($AM$112:$AM$151,$B$112:$B$151,"HSTECH",$E$112:$E$151,$B237),"")</f>
        <v/>
      </c>
      <c r="G237" s="80">
        <f>IFERROR(AVERAGEIFS($AF$112:$AF$151,$B$112:$B$151,"HSTECH",$E$112:$E$151,$B237),"")</f>
        <v/>
      </c>
      <c r="H237" s="80">
        <f>IFERROR(AVERAGEIFS($AG$112:$AG$151,$B$112:$B$151,"HSTECH",$E$112:$E$151,$B237),"")</f>
        <v/>
      </c>
      <c r="I237" s="47">
        <f>IFERROR(AVERAGEIFS($AI$112:$AI$151,$B$112:$B$151,"HSTECH",$E$112:$E$151,$B237),"")</f>
        <v/>
      </c>
      <c r="J237" s="47">
        <f>IFERROR(AVERAGEIFS($AJ$112:$AJ$151,$B$112:$B$151,"HSTECH",$E$112:$E$151,$B237),"")</f>
        <v/>
      </c>
      <c r="K237" s="47">
        <f>IFERROR(AVERAGEIFS($AN$112:$AN$151,$B$112:$B$151,"HSTECH",$E$112:$E$151,$B237),"")</f>
        <v/>
      </c>
      <c r="L237" s="47">
        <f>IFERROR(SUMIF(HSTECH!$E$7:$E$46,$B237,HSTECH!$Q$7:$Q$46),"")</f>
        <v/>
      </c>
      <c r="M237" s="80">
        <f>IFERROR($L237/HSTECH!$Q$5,"")</f>
        <v/>
      </c>
    </row>
    <row r="238">
      <c r="B238" s="14" t="inlineStr">
        <is>
          <t>Financials</t>
        </is>
      </c>
      <c r="C238" s="79">
        <f>COUNTIFS($B$112:$B$151,"HSTECH",$E$112:$E$151,$B238)</f>
        <v/>
      </c>
      <c r="D238" s="71">
        <f>IFERROR(AVERAGEIFS($X$112:$X$151,$B$112:$B$151,"HSTECH",$E$112:$E$151,$B238),"")</f>
        <v/>
      </c>
      <c r="E238" s="71">
        <f>IFERROR(AVERAGEIFS($AA$112:$AA$151,$B$112:$B$151,"HSTECH",$E$112:$E$151,$B238),"")</f>
        <v/>
      </c>
      <c r="F238" s="76">
        <f>IFERROR(AVERAGEIFS($AM$112:$AM$151,$B$112:$B$151,"HSTECH",$E$112:$E$151,$B238),"")</f>
        <v/>
      </c>
      <c r="G238" s="80">
        <f>IFERROR(AVERAGEIFS($AF$112:$AF$151,$B$112:$B$151,"HSTECH",$E$112:$E$151,$B238),"")</f>
        <v/>
      </c>
      <c r="H238" s="80">
        <f>IFERROR(AVERAGEIFS($AG$112:$AG$151,$B$112:$B$151,"HSTECH",$E$112:$E$151,$B238),"")</f>
        <v/>
      </c>
      <c r="I238" s="47">
        <f>IFERROR(AVERAGEIFS($AI$112:$AI$151,$B$112:$B$151,"HSTECH",$E$112:$E$151,$B238),"")</f>
        <v/>
      </c>
      <c r="J238" s="47">
        <f>IFERROR(AVERAGEIFS($AJ$112:$AJ$151,$B$112:$B$151,"HSTECH",$E$112:$E$151,$B238),"")</f>
        <v/>
      </c>
      <c r="K238" s="47">
        <f>IFERROR(AVERAGEIFS($AN$112:$AN$151,$B$112:$B$151,"HSTECH",$E$112:$E$151,$B238),"")</f>
        <v/>
      </c>
      <c r="L238" s="47">
        <f>IFERROR(SUMIF(HSTECH!$E$7:$E$46,$B238,HSTECH!$Q$7:$Q$46),"")</f>
        <v/>
      </c>
      <c r="M238" s="80">
        <f>IFERROR($L238/HSTECH!$Q$5,"")</f>
        <v/>
      </c>
    </row>
    <row r="239">
      <c r="B239" s="14" t="inlineStr">
        <is>
          <t>Information Technology</t>
        </is>
      </c>
      <c r="C239" s="79">
        <f>COUNTIFS($B$112:$B$151,"HSTECH",$E$112:$E$151,$B239)</f>
        <v/>
      </c>
      <c r="D239" s="71">
        <f>IFERROR(AVERAGEIFS($X$112:$X$151,$B$112:$B$151,"HSTECH",$E$112:$E$151,$B239),"")</f>
        <v/>
      </c>
      <c r="E239" s="71">
        <f>IFERROR(AVERAGEIFS($AA$112:$AA$151,$B$112:$B$151,"HSTECH",$E$112:$E$151,$B239),"")</f>
        <v/>
      </c>
      <c r="F239" s="76">
        <f>IFERROR(AVERAGEIFS($AM$112:$AM$151,$B$112:$B$151,"HSTECH",$E$112:$E$151,$B239),"")</f>
        <v/>
      </c>
      <c r="G239" s="80">
        <f>IFERROR(AVERAGEIFS($AF$112:$AF$151,$B$112:$B$151,"HSTECH",$E$112:$E$151,$B239),"")</f>
        <v/>
      </c>
      <c r="H239" s="80">
        <f>IFERROR(AVERAGEIFS($AG$112:$AG$151,$B$112:$B$151,"HSTECH",$E$112:$E$151,$B239),"")</f>
        <v/>
      </c>
      <c r="I239" s="47">
        <f>IFERROR(AVERAGEIFS($AI$112:$AI$151,$B$112:$B$151,"HSTECH",$E$112:$E$151,$B239),"")</f>
        <v/>
      </c>
      <c r="J239" s="47">
        <f>IFERROR(AVERAGEIFS($AJ$112:$AJ$151,$B$112:$B$151,"HSTECH",$E$112:$E$151,$B239),"")</f>
        <v/>
      </c>
      <c r="K239" s="47">
        <f>IFERROR(AVERAGEIFS($AN$112:$AN$151,$B$112:$B$151,"HSTECH",$E$112:$E$151,$B239),"")</f>
        <v/>
      </c>
      <c r="L239" s="47">
        <f>IFERROR(SUMIF(HSTECH!$E$7:$E$46,$B239,HSTECH!$Q$7:$Q$46),"")</f>
        <v/>
      </c>
      <c r="M239" s="80">
        <f>IFERROR($L239/HSTECH!$Q$5,"")</f>
        <v/>
      </c>
    </row>
    <row r="240">
      <c r="B240" s="14" t="inlineStr">
        <is>
          <t>Communication Services</t>
        </is>
      </c>
      <c r="C240" s="79">
        <f>COUNTIFS($B$112:$B$151,"HSTECH",$E$112:$E$151,$B240)</f>
        <v/>
      </c>
      <c r="D240" s="71">
        <f>IFERROR(AVERAGEIFS($X$112:$X$151,$B$112:$B$151,"HSTECH",$E$112:$E$151,$B240),"")</f>
        <v/>
      </c>
      <c r="E240" s="71">
        <f>IFERROR(AVERAGEIFS($AA$112:$AA$151,$B$112:$B$151,"HSTECH",$E$112:$E$151,$B240),"")</f>
        <v/>
      </c>
      <c r="F240" s="76">
        <f>IFERROR(AVERAGEIFS($AM$112:$AM$151,$B$112:$B$151,"HSTECH",$E$112:$E$151,$B240),"")</f>
        <v/>
      </c>
      <c r="G240" s="80">
        <f>IFERROR(AVERAGEIFS($AF$112:$AF$151,$B$112:$B$151,"HSTECH",$E$112:$E$151,$B240),"")</f>
        <v/>
      </c>
      <c r="H240" s="80">
        <f>IFERROR(AVERAGEIFS($AG$112:$AG$151,$B$112:$B$151,"HSTECH",$E$112:$E$151,$B240),"")</f>
        <v/>
      </c>
      <c r="I240" s="47">
        <f>IFERROR(AVERAGEIFS($AI$112:$AI$151,$B$112:$B$151,"HSTECH",$E$112:$E$151,$B240),"")</f>
        <v/>
      </c>
      <c r="J240" s="47">
        <f>IFERROR(AVERAGEIFS($AJ$112:$AJ$151,$B$112:$B$151,"HSTECH",$E$112:$E$151,$B240),"")</f>
        <v/>
      </c>
      <c r="K240" s="47">
        <f>IFERROR(AVERAGEIFS($AN$112:$AN$151,$B$112:$B$151,"HSTECH",$E$112:$E$151,$B240),"")</f>
        <v/>
      </c>
      <c r="L240" s="47">
        <f>IFERROR(SUMIF(HSTECH!$E$7:$E$46,$B240,HSTECH!$Q$7:$Q$46),"")</f>
        <v/>
      </c>
      <c r="M240" s="80">
        <f>IFERROR($L240/HSTECH!$Q$5,"")</f>
        <v/>
      </c>
    </row>
    <row r="241">
      <c r="B241" s="14" t="inlineStr">
        <is>
          <t>Utilities</t>
        </is>
      </c>
      <c r="C241" s="79">
        <f>COUNTIFS($B$112:$B$151,"HSTECH",$E$112:$E$151,$B241)</f>
        <v/>
      </c>
      <c r="D241" s="71">
        <f>IFERROR(AVERAGEIFS($X$112:$X$151,$B$112:$B$151,"HSTECH",$E$112:$E$151,$B241),"")</f>
        <v/>
      </c>
      <c r="E241" s="71">
        <f>IFERROR(AVERAGEIFS($AA$112:$AA$151,$B$112:$B$151,"HSTECH",$E$112:$E$151,$B241),"")</f>
        <v/>
      </c>
      <c r="F241" s="76">
        <f>IFERROR(AVERAGEIFS($AM$112:$AM$151,$B$112:$B$151,"HSTECH",$E$112:$E$151,$B241),"")</f>
        <v/>
      </c>
      <c r="G241" s="80">
        <f>IFERROR(AVERAGEIFS($AF$112:$AF$151,$B$112:$B$151,"HSTECH",$E$112:$E$151,$B241),"")</f>
        <v/>
      </c>
      <c r="H241" s="80">
        <f>IFERROR(AVERAGEIFS($AG$112:$AG$151,$B$112:$B$151,"HSTECH",$E$112:$E$151,$B241),"")</f>
        <v/>
      </c>
      <c r="I241" s="47">
        <f>IFERROR(AVERAGEIFS($AI$112:$AI$151,$B$112:$B$151,"HSTECH",$E$112:$E$151,$B241),"")</f>
        <v/>
      </c>
      <c r="J241" s="47">
        <f>IFERROR(AVERAGEIFS($AJ$112:$AJ$151,$B$112:$B$151,"HSTECH",$E$112:$E$151,$B241),"")</f>
        <v/>
      </c>
      <c r="K241" s="47">
        <f>IFERROR(AVERAGEIFS($AN$112:$AN$151,$B$112:$B$151,"HSTECH",$E$112:$E$151,$B241),"")</f>
        <v/>
      </c>
      <c r="L241" s="47">
        <f>IFERROR(SUMIF(HSTECH!$E$7:$E$46,$B241,HSTECH!$Q$7:$Q$46),"")</f>
        <v/>
      </c>
      <c r="M241" s="80">
        <f>IFERROR($L241/HSTECH!$Q$5,"")</f>
        <v/>
      </c>
    </row>
    <row r="242">
      <c r="B242" s="14" t="inlineStr">
        <is>
          <t>Real Estate</t>
        </is>
      </c>
      <c r="C242" s="79">
        <f>COUNTIFS($B$112:$B$151,"HSTECH",$E$112:$E$151,$B242)</f>
        <v/>
      </c>
      <c r="D242" s="71">
        <f>IFERROR(AVERAGEIFS($X$112:$X$151,$B$112:$B$151,"HSTECH",$E$112:$E$151,$B242),"")</f>
        <v/>
      </c>
      <c r="E242" s="71">
        <f>IFERROR(AVERAGEIFS($AA$112:$AA$151,$B$112:$B$151,"HSTECH",$E$112:$E$151,$B242),"")</f>
        <v/>
      </c>
      <c r="F242" s="76">
        <f>IFERROR(AVERAGEIFS($AM$112:$AM$151,$B$112:$B$151,"HSTECH",$E$112:$E$151,$B242),"")</f>
        <v/>
      </c>
      <c r="G242" s="80">
        <f>IFERROR(AVERAGEIFS($AF$112:$AF$151,$B$112:$B$151,"HSTECH",$E$112:$E$151,$B242),"")</f>
        <v/>
      </c>
      <c r="H242" s="80">
        <f>IFERROR(AVERAGEIFS($AG$112:$AG$151,$B$112:$B$151,"HSTECH",$E$112:$E$151,$B242),"")</f>
        <v/>
      </c>
      <c r="I242" s="47">
        <f>IFERROR(AVERAGEIFS($AI$112:$AI$151,$B$112:$B$151,"HSTECH",$E$112:$E$151,$B242),"")</f>
        <v/>
      </c>
      <c r="J242" s="47">
        <f>IFERROR(AVERAGEIFS($AJ$112:$AJ$151,$B$112:$B$151,"HSTECH",$E$112:$E$151,$B242),"")</f>
        <v/>
      </c>
      <c r="K242" s="47">
        <f>IFERROR(AVERAGEIFS($AN$112:$AN$151,$B$112:$B$151,"HSTECH",$E$112:$E$151,$B242),"")</f>
        <v/>
      </c>
      <c r="L242" s="47">
        <f>IFERROR(SUMIF(HSTECH!$E$7:$E$46,$B242,HSTECH!$Q$7:$Q$46),"")</f>
        <v/>
      </c>
      <c r="M242" s="80">
        <f>IFERROR($L242/HSTECH!$Q$5,"")</f>
        <v/>
      </c>
    </row>
    <row r="243">
      <c r="B243" s="9" t="inlineStr">
        <is>
          <t>TOTAL</t>
        </is>
      </c>
      <c r="C243" s="81">
        <f>SUM(C232:C242)</f>
        <v/>
      </c>
      <c r="L243" s="82">
        <f>IFERROR(SUM(L232:L242),"")</f>
        <v/>
      </c>
      <c r="M243" s="74">
        <f>IFERROR(SUM(M232:M242),"")</f>
        <v/>
      </c>
      <c r="N243" s="2">
        <f>IF(ABS(N($L243)-N(HSTECH!$Q$5))&lt;0.01,"sector split reconciles","CHECK - a GICS name does not match")</f>
        <v/>
      </c>
    </row>
    <row r="246">
      <c r="B246" s="3" t="inlineStr">
        <is>
          <t>SECTOR AVERAGES - Hang Seng China Enterprises (HSCEI)</t>
        </is>
      </c>
      <c r="C246" s="4" t="n"/>
      <c r="D246" s="4" t="n"/>
      <c r="E246" s="4" t="n"/>
      <c r="F246" s="4" t="n"/>
      <c r="G246" s="4" t="n"/>
      <c r="H246" s="4" t="n"/>
      <c r="I246" s="4" t="n"/>
      <c r="J246" s="4" t="n"/>
      <c r="K246" s="4" t="n"/>
      <c r="L246" s="4" t="n"/>
      <c r="M246" s="4" t="n"/>
    </row>
    <row r="247">
      <c r="B247" s="58" t="inlineStr">
        <is>
          <t>GICS Sector</t>
        </is>
      </c>
      <c r="C247" s="58" t="inlineStr">
        <is>
          <t>#</t>
        </is>
      </c>
      <c r="D247" s="58" t="inlineStr">
        <is>
          <t>5Y avg
payout</t>
        </is>
      </c>
      <c r="E247" s="58" t="inlineStr">
        <is>
          <t>Fwd
payout</t>
        </is>
      </c>
      <c r="F247" s="58" t="inlineStr">
        <is>
          <t>Dvd yld
12M</t>
        </is>
      </c>
      <c r="G247" s="58" t="inlineStr">
        <is>
          <t>Buyback
Y-1</t>
        </is>
      </c>
      <c r="H247" s="58" t="inlineStr">
        <is>
          <t>Bb+dvd
yield</t>
        </is>
      </c>
      <c r="I247" s="58" t="inlineStr">
        <is>
          <t>ND/E
Y-1</t>
        </is>
      </c>
      <c r="J247" s="58" t="inlineStr">
        <is>
          <t>Net debt
/EBITDA</t>
        </is>
      </c>
      <c r="K247" s="58" t="inlineStr">
        <is>
          <t>FCF
cover</t>
        </is>
      </c>
      <c r="L247" s="58" t="inlineStr">
        <is>
          <t>Year pts
(model)</t>
        </is>
      </c>
      <c r="M247" s="58" t="inlineStr">
        <is>
          <t>% of yr
dvds</t>
        </is>
      </c>
    </row>
    <row r="248">
      <c r="B248" s="14" t="inlineStr">
        <is>
          <t>Energy</t>
        </is>
      </c>
      <c r="C248" s="79">
        <f>COUNTIFS($B$152:$B$211,"HSCEI",$E$152:$E$211,$B248)</f>
        <v/>
      </c>
      <c r="D248" s="71">
        <f>IFERROR(AVERAGEIFS($X$152:$X$211,$B$152:$B$211,"HSCEI",$E$152:$E$211,$B248),"")</f>
        <v/>
      </c>
      <c r="E248" s="71">
        <f>IFERROR(AVERAGEIFS($AA$152:$AA$211,$B$152:$B$211,"HSCEI",$E$152:$E$211,$B248),"")</f>
        <v/>
      </c>
      <c r="F248" s="76">
        <f>IFERROR(AVERAGEIFS($AM$152:$AM$211,$B$152:$B$211,"HSCEI",$E$152:$E$211,$B248),"")</f>
        <v/>
      </c>
      <c r="G248" s="80">
        <f>IFERROR(AVERAGEIFS($AF$152:$AF$211,$B$152:$B$211,"HSCEI",$E$152:$E$211,$B248),"")</f>
        <v/>
      </c>
      <c r="H248" s="80">
        <f>IFERROR(AVERAGEIFS($AG$152:$AG$211,$B$152:$B$211,"HSCEI",$E$152:$E$211,$B248),"")</f>
        <v/>
      </c>
      <c r="I248" s="47">
        <f>IFERROR(AVERAGEIFS($AI$152:$AI$211,$B$152:$B$211,"HSCEI",$E$152:$E$211,$B248),"")</f>
        <v/>
      </c>
      <c r="J248" s="47">
        <f>IFERROR(AVERAGEIFS($AJ$152:$AJ$211,$B$152:$B$211,"HSCEI",$E$152:$E$211,$B248),"")</f>
        <v/>
      </c>
      <c r="K248" s="47">
        <f>IFERROR(AVERAGEIFS($AN$152:$AN$211,$B$152:$B$211,"HSCEI",$E$152:$E$211,$B248),"")</f>
        <v/>
      </c>
      <c r="L248" s="47">
        <f>IFERROR(SUMIF(HSCEI!$E$7:$E$66,$B248,HSCEI!$Q$7:$Q$66),"")</f>
        <v/>
      </c>
      <c r="M248" s="80">
        <f>IFERROR($L248/HSCEI!$Q$5,"")</f>
        <v/>
      </c>
    </row>
    <row r="249">
      <c r="B249" s="14" t="inlineStr">
        <is>
          <t>Materials</t>
        </is>
      </c>
      <c r="C249" s="79">
        <f>COUNTIFS($B$152:$B$211,"HSCEI",$E$152:$E$211,$B249)</f>
        <v/>
      </c>
      <c r="D249" s="71">
        <f>IFERROR(AVERAGEIFS($X$152:$X$211,$B$152:$B$211,"HSCEI",$E$152:$E$211,$B249),"")</f>
        <v/>
      </c>
      <c r="E249" s="71">
        <f>IFERROR(AVERAGEIFS($AA$152:$AA$211,$B$152:$B$211,"HSCEI",$E$152:$E$211,$B249),"")</f>
        <v/>
      </c>
      <c r="F249" s="76">
        <f>IFERROR(AVERAGEIFS($AM$152:$AM$211,$B$152:$B$211,"HSCEI",$E$152:$E$211,$B249),"")</f>
        <v/>
      </c>
      <c r="G249" s="80">
        <f>IFERROR(AVERAGEIFS($AF$152:$AF$211,$B$152:$B$211,"HSCEI",$E$152:$E$211,$B249),"")</f>
        <v/>
      </c>
      <c r="H249" s="80">
        <f>IFERROR(AVERAGEIFS($AG$152:$AG$211,$B$152:$B$211,"HSCEI",$E$152:$E$211,$B249),"")</f>
        <v/>
      </c>
      <c r="I249" s="47">
        <f>IFERROR(AVERAGEIFS($AI$152:$AI$211,$B$152:$B$211,"HSCEI",$E$152:$E$211,$B249),"")</f>
        <v/>
      </c>
      <c r="J249" s="47">
        <f>IFERROR(AVERAGEIFS($AJ$152:$AJ$211,$B$152:$B$211,"HSCEI",$E$152:$E$211,$B249),"")</f>
        <v/>
      </c>
      <c r="K249" s="47">
        <f>IFERROR(AVERAGEIFS($AN$152:$AN$211,$B$152:$B$211,"HSCEI",$E$152:$E$211,$B249),"")</f>
        <v/>
      </c>
      <c r="L249" s="47">
        <f>IFERROR(SUMIF(HSCEI!$E$7:$E$66,$B249,HSCEI!$Q$7:$Q$66),"")</f>
        <v/>
      </c>
      <c r="M249" s="80">
        <f>IFERROR($L249/HSCEI!$Q$5,"")</f>
        <v/>
      </c>
    </row>
    <row r="250">
      <c r="B250" s="14" t="inlineStr">
        <is>
          <t>Industrials</t>
        </is>
      </c>
      <c r="C250" s="79">
        <f>COUNTIFS($B$152:$B$211,"HSCEI",$E$152:$E$211,$B250)</f>
        <v/>
      </c>
      <c r="D250" s="71">
        <f>IFERROR(AVERAGEIFS($X$152:$X$211,$B$152:$B$211,"HSCEI",$E$152:$E$211,$B250),"")</f>
        <v/>
      </c>
      <c r="E250" s="71">
        <f>IFERROR(AVERAGEIFS($AA$152:$AA$211,$B$152:$B$211,"HSCEI",$E$152:$E$211,$B250),"")</f>
        <v/>
      </c>
      <c r="F250" s="76">
        <f>IFERROR(AVERAGEIFS($AM$152:$AM$211,$B$152:$B$211,"HSCEI",$E$152:$E$211,$B250),"")</f>
        <v/>
      </c>
      <c r="G250" s="80">
        <f>IFERROR(AVERAGEIFS($AF$152:$AF$211,$B$152:$B$211,"HSCEI",$E$152:$E$211,$B250),"")</f>
        <v/>
      </c>
      <c r="H250" s="80">
        <f>IFERROR(AVERAGEIFS($AG$152:$AG$211,$B$152:$B$211,"HSCEI",$E$152:$E$211,$B250),"")</f>
        <v/>
      </c>
      <c r="I250" s="47">
        <f>IFERROR(AVERAGEIFS($AI$152:$AI$211,$B$152:$B$211,"HSCEI",$E$152:$E$211,$B250),"")</f>
        <v/>
      </c>
      <c r="J250" s="47">
        <f>IFERROR(AVERAGEIFS($AJ$152:$AJ$211,$B$152:$B$211,"HSCEI",$E$152:$E$211,$B250),"")</f>
        <v/>
      </c>
      <c r="K250" s="47">
        <f>IFERROR(AVERAGEIFS($AN$152:$AN$211,$B$152:$B$211,"HSCEI",$E$152:$E$211,$B250),"")</f>
        <v/>
      </c>
      <c r="L250" s="47">
        <f>IFERROR(SUMIF(HSCEI!$E$7:$E$66,$B250,HSCEI!$Q$7:$Q$66),"")</f>
        <v/>
      </c>
      <c r="M250" s="80">
        <f>IFERROR($L250/HSCEI!$Q$5,"")</f>
        <v/>
      </c>
    </row>
    <row r="251">
      <c r="B251" s="14" t="inlineStr">
        <is>
          <t>Consumer Discretionary</t>
        </is>
      </c>
      <c r="C251" s="79">
        <f>COUNTIFS($B$152:$B$211,"HSCEI",$E$152:$E$211,$B251)</f>
        <v/>
      </c>
      <c r="D251" s="71">
        <f>IFERROR(AVERAGEIFS($X$152:$X$211,$B$152:$B$211,"HSCEI",$E$152:$E$211,$B251),"")</f>
        <v/>
      </c>
      <c r="E251" s="71">
        <f>IFERROR(AVERAGEIFS($AA$152:$AA$211,$B$152:$B$211,"HSCEI",$E$152:$E$211,$B251),"")</f>
        <v/>
      </c>
      <c r="F251" s="76">
        <f>IFERROR(AVERAGEIFS($AM$152:$AM$211,$B$152:$B$211,"HSCEI",$E$152:$E$211,$B251),"")</f>
        <v/>
      </c>
      <c r="G251" s="80">
        <f>IFERROR(AVERAGEIFS($AF$152:$AF$211,$B$152:$B$211,"HSCEI",$E$152:$E$211,$B251),"")</f>
        <v/>
      </c>
      <c r="H251" s="80">
        <f>IFERROR(AVERAGEIFS($AG$152:$AG$211,$B$152:$B$211,"HSCEI",$E$152:$E$211,$B251),"")</f>
        <v/>
      </c>
      <c r="I251" s="47">
        <f>IFERROR(AVERAGEIFS($AI$152:$AI$211,$B$152:$B$211,"HSCEI",$E$152:$E$211,$B251),"")</f>
        <v/>
      </c>
      <c r="J251" s="47">
        <f>IFERROR(AVERAGEIFS($AJ$152:$AJ$211,$B$152:$B$211,"HSCEI",$E$152:$E$211,$B251),"")</f>
        <v/>
      </c>
      <c r="K251" s="47">
        <f>IFERROR(AVERAGEIFS($AN$152:$AN$211,$B$152:$B$211,"HSCEI",$E$152:$E$211,$B251),"")</f>
        <v/>
      </c>
      <c r="L251" s="47">
        <f>IFERROR(SUMIF(HSCEI!$E$7:$E$66,$B251,HSCEI!$Q$7:$Q$66),"")</f>
        <v/>
      </c>
      <c r="M251" s="80">
        <f>IFERROR($L251/HSCEI!$Q$5,"")</f>
        <v/>
      </c>
    </row>
    <row r="252">
      <c r="B252" s="14" t="inlineStr">
        <is>
          <t>Consumer Staples</t>
        </is>
      </c>
      <c r="C252" s="79">
        <f>COUNTIFS($B$152:$B$211,"HSCEI",$E$152:$E$211,$B252)</f>
        <v/>
      </c>
      <c r="D252" s="71">
        <f>IFERROR(AVERAGEIFS($X$152:$X$211,$B$152:$B$211,"HSCEI",$E$152:$E$211,$B252),"")</f>
        <v/>
      </c>
      <c r="E252" s="71">
        <f>IFERROR(AVERAGEIFS($AA$152:$AA$211,$B$152:$B$211,"HSCEI",$E$152:$E$211,$B252),"")</f>
        <v/>
      </c>
      <c r="F252" s="76">
        <f>IFERROR(AVERAGEIFS($AM$152:$AM$211,$B$152:$B$211,"HSCEI",$E$152:$E$211,$B252),"")</f>
        <v/>
      </c>
      <c r="G252" s="80">
        <f>IFERROR(AVERAGEIFS($AF$152:$AF$211,$B$152:$B$211,"HSCEI",$E$152:$E$211,$B252),"")</f>
        <v/>
      </c>
      <c r="H252" s="80">
        <f>IFERROR(AVERAGEIFS($AG$152:$AG$211,$B$152:$B$211,"HSCEI",$E$152:$E$211,$B252),"")</f>
        <v/>
      </c>
      <c r="I252" s="47">
        <f>IFERROR(AVERAGEIFS($AI$152:$AI$211,$B$152:$B$211,"HSCEI",$E$152:$E$211,$B252),"")</f>
        <v/>
      </c>
      <c r="J252" s="47">
        <f>IFERROR(AVERAGEIFS($AJ$152:$AJ$211,$B$152:$B$211,"HSCEI",$E$152:$E$211,$B252),"")</f>
        <v/>
      </c>
      <c r="K252" s="47">
        <f>IFERROR(AVERAGEIFS($AN$152:$AN$211,$B$152:$B$211,"HSCEI",$E$152:$E$211,$B252),"")</f>
        <v/>
      </c>
      <c r="L252" s="47">
        <f>IFERROR(SUMIF(HSCEI!$E$7:$E$66,$B252,HSCEI!$Q$7:$Q$66),"")</f>
        <v/>
      </c>
      <c r="M252" s="80">
        <f>IFERROR($L252/HSCEI!$Q$5,"")</f>
        <v/>
      </c>
    </row>
    <row r="253">
      <c r="B253" s="14" t="inlineStr">
        <is>
          <t>Health Care</t>
        </is>
      </c>
      <c r="C253" s="79">
        <f>COUNTIFS($B$152:$B$211,"HSCEI",$E$152:$E$211,$B253)</f>
        <v/>
      </c>
      <c r="D253" s="71">
        <f>IFERROR(AVERAGEIFS($X$152:$X$211,$B$152:$B$211,"HSCEI",$E$152:$E$211,$B253),"")</f>
        <v/>
      </c>
      <c r="E253" s="71">
        <f>IFERROR(AVERAGEIFS($AA$152:$AA$211,$B$152:$B$211,"HSCEI",$E$152:$E$211,$B253),"")</f>
        <v/>
      </c>
      <c r="F253" s="76">
        <f>IFERROR(AVERAGEIFS($AM$152:$AM$211,$B$152:$B$211,"HSCEI",$E$152:$E$211,$B253),"")</f>
        <v/>
      </c>
      <c r="G253" s="80">
        <f>IFERROR(AVERAGEIFS($AF$152:$AF$211,$B$152:$B$211,"HSCEI",$E$152:$E$211,$B253),"")</f>
        <v/>
      </c>
      <c r="H253" s="80">
        <f>IFERROR(AVERAGEIFS($AG$152:$AG$211,$B$152:$B$211,"HSCEI",$E$152:$E$211,$B253),"")</f>
        <v/>
      </c>
      <c r="I253" s="47">
        <f>IFERROR(AVERAGEIFS($AI$152:$AI$211,$B$152:$B$211,"HSCEI",$E$152:$E$211,$B253),"")</f>
        <v/>
      </c>
      <c r="J253" s="47">
        <f>IFERROR(AVERAGEIFS($AJ$152:$AJ$211,$B$152:$B$211,"HSCEI",$E$152:$E$211,$B253),"")</f>
        <v/>
      </c>
      <c r="K253" s="47">
        <f>IFERROR(AVERAGEIFS($AN$152:$AN$211,$B$152:$B$211,"HSCEI",$E$152:$E$211,$B253),"")</f>
        <v/>
      </c>
      <c r="L253" s="47">
        <f>IFERROR(SUMIF(HSCEI!$E$7:$E$66,$B253,HSCEI!$Q$7:$Q$66),"")</f>
        <v/>
      </c>
      <c r="M253" s="80">
        <f>IFERROR($L253/HSCEI!$Q$5,"")</f>
        <v/>
      </c>
    </row>
    <row r="254">
      <c r="B254" s="14" t="inlineStr">
        <is>
          <t>Financials</t>
        </is>
      </c>
      <c r="C254" s="79">
        <f>COUNTIFS($B$152:$B$211,"HSCEI",$E$152:$E$211,$B254)</f>
        <v/>
      </c>
      <c r="D254" s="71">
        <f>IFERROR(AVERAGEIFS($X$152:$X$211,$B$152:$B$211,"HSCEI",$E$152:$E$211,$B254),"")</f>
        <v/>
      </c>
      <c r="E254" s="71">
        <f>IFERROR(AVERAGEIFS($AA$152:$AA$211,$B$152:$B$211,"HSCEI",$E$152:$E$211,$B254),"")</f>
        <v/>
      </c>
      <c r="F254" s="76">
        <f>IFERROR(AVERAGEIFS($AM$152:$AM$211,$B$152:$B$211,"HSCEI",$E$152:$E$211,$B254),"")</f>
        <v/>
      </c>
      <c r="G254" s="80">
        <f>IFERROR(AVERAGEIFS($AF$152:$AF$211,$B$152:$B$211,"HSCEI",$E$152:$E$211,$B254),"")</f>
        <v/>
      </c>
      <c r="H254" s="80">
        <f>IFERROR(AVERAGEIFS($AG$152:$AG$211,$B$152:$B$211,"HSCEI",$E$152:$E$211,$B254),"")</f>
        <v/>
      </c>
      <c r="I254" s="47">
        <f>IFERROR(AVERAGEIFS($AI$152:$AI$211,$B$152:$B$211,"HSCEI",$E$152:$E$211,$B254),"")</f>
        <v/>
      </c>
      <c r="J254" s="47">
        <f>IFERROR(AVERAGEIFS($AJ$152:$AJ$211,$B$152:$B$211,"HSCEI",$E$152:$E$211,$B254),"")</f>
        <v/>
      </c>
      <c r="K254" s="47">
        <f>IFERROR(AVERAGEIFS($AN$152:$AN$211,$B$152:$B$211,"HSCEI",$E$152:$E$211,$B254),"")</f>
        <v/>
      </c>
      <c r="L254" s="47">
        <f>IFERROR(SUMIF(HSCEI!$E$7:$E$66,$B254,HSCEI!$Q$7:$Q$66),"")</f>
        <v/>
      </c>
      <c r="M254" s="80">
        <f>IFERROR($L254/HSCEI!$Q$5,"")</f>
        <v/>
      </c>
    </row>
    <row r="255">
      <c r="B255" s="14" t="inlineStr">
        <is>
          <t>Information Technology</t>
        </is>
      </c>
      <c r="C255" s="79">
        <f>COUNTIFS($B$152:$B$211,"HSCEI",$E$152:$E$211,$B255)</f>
        <v/>
      </c>
      <c r="D255" s="71">
        <f>IFERROR(AVERAGEIFS($X$152:$X$211,$B$152:$B$211,"HSCEI",$E$152:$E$211,$B255),"")</f>
        <v/>
      </c>
      <c r="E255" s="71">
        <f>IFERROR(AVERAGEIFS($AA$152:$AA$211,$B$152:$B$211,"HSCEI",$E$152:$E$211,$B255),"")</f>
        <v/>
      </c>
      <c r="F255" s="76">
        <f>IFERROR(AVERAGEIFS($AM$152:$AM$211,$B$152:$B$211,"HSCEI",$E$152:$E$211,$B255),"")</f>
        <v/>
      </c>
      <c r="G255" s="80">
        <f>IFERROR(AVERAGEIFS($AF$152:$AF$211,$B$152:$B$211,"HSCEI",$E$152:$E$211,$B255),"")</f>
        <v/>
      </c>
      <c r="H255" s="80">
        <f>IFERROR(AVERAGEIFS($AG$152:$AG$211,$B$152:$B$211,"HSCEI",$E$152:$E$211,$B255),"")</f>
        <v/>
      </c>
      <c r="I255" s="47">
        <f>IFERROR(AVERAGEIFS($AI$152:$AI$211,$B$152:$B$211,"HSCEI",$E$152:$E$211,$B255),"")</f>
        <v/>
      </c>
      <c r="J255" s="47">
        <f>IFERROR(AVERAGEIFS($AJ$152:$AJ$211,$B$152:$B$211,"HSCEI",$E$152:$E$211,$B255),"")</f>
        <v/>
      </c>
      <c r="K255" s="47">
        <f>IFERROR(AVERAGEIFS($AN$152:$AN$211,$B$152:$B$211,"HSCEI",$E$152:$E$211,$B255),"")</f>
        <v/>
      </c>
      <c r="L255" s="47">
        <f>IFERROR(SUMIF(HSCEI!$E$7:$E$66,$B255,HSCEI!$Q$7:$Q$66),"")</f>
        <v/>
      </c>
      <c r="M255" s="80">
        <f>IFERROR($L255/HSCEI!$Q$5,"")</f>
        <v/>
      </c>
    </row>
    <row r="256">
      <c r="B256" s="14" t="inlineStr">
        <is>
          <t>Communication Services</t>
        </is>
      </c>
      <c r="C256" s="79">
        <f>COUNTIFS($B$152:$B$211,"HSCEI",$E$152:$E$211,$B256)</f>
        <v/>
      </c>
      <c r="D256" s="71">
        <f>IFERROR(AVERAGEIFS($X$152:$X$211,$B$152:$B$211,"HSCEI",$E$152:$E$211,$B256),"")</f>
        <v/>
      </c>
      <c r="E256" s="71">
        <f>IFERROR(AVERAGEIFS($AA$152:$AA$211,$B$152:$B$211,"HSCEI",$E$152:$E$211,$B256),"")</f>
        <v/>
      </c>
      <c r="F256" s="76">
        <f>IFERROR(AVERAGEIFS($AM$152:$AM$211,$B$152:$B$211,"HSCEI",$E$152:$E$211,$B256),"")</f>
        <v/>
      </c>
      <c r="G256" s="80">
        <f>IFERROR(AVERAGEIFS($AF$152:$AF$211,$B$152:$B$211,"HSCEI",$E$152:$E$211,$B256),"")</f>
        <v/>
      </c>
      <c r="H256" s="80">
        <f>IFERROR(AVERAGEIFS($AG$152:$AG$211,$B$152:$B$211,"HSCEI",$E$152:$E$211,$B256),"")</f>
        <v/>
      </c>
      <c r="I256" s="47">
        <f>IFERROR(AVERAGEIFS($AI$152:$AI$211,$B$152:$B$211,"HSCEI",$E$152:$E$211,$B256),"")</f>
        <v/>
      </c>
      <c r="J256" s="47">
        <f>IFERROR(AVERAGEIFS($AJ$152:$AJ$211,$B$152:$B$211,"HSCEI",$E$152:$E$211,$B256),"")</f>
        <v/>
      </c>
      <c r="K256" s="47">
        <f>IFERROR(AVERAGEIFS($AN$152:$AN$211,$B$152:$B$211,"HSCEI",$E$152:$E$211,$B256),"")</f>
        <v/>
      </c>
      <c r="L256" s="47">
        <f>IFERROR(SUMIF(HSCEI!$E$7:$E$66,$B256,HSCEI!$Q$7:$Q$66),"")</f>
        <v/>
      </c>
      <c r="M256" s="80">
        <f>IFERROR($L256/HSCEI!$Q$5,"")</f>
        <v/>
      </c>
    </row>
    <row r="257">
      <c r="B257" s="14" t="inlineStr">
        <is>
          <t>Utilities</t>
        </is>
      </c>
      <c r="C257" s="79">
        <f>COUNTIFS($B$152:$B$211,"HSCEI",$E$152:$E$211,$B257)</f>
        <v/>
      </c>
      <c r="D257" s="71">
        <f>IFERROR(AVERAGEIFS($X$152:$X$211,$B$152:$B$211,"HSCEI",$E$152:$E$211,$B257),"")</f>
        <v/>
      </c>
      <c r="E257" s="71">
        <f>IFERROR(AVERAGEIFS($AA$152:$AA$211,$B$152:$B$211,"HSCEI",$E$152:$E$211,$B257),"")</f>
        <v/>
      </c>
      <c r="F257" s="76">
        <f>IFERROR(AVERAGEIFS($AM$152:$AM$211,$B$152:$B$211,"HSCEI",$E$152:$E$211,$B257),"")</f>
        <v/>
      </c>
      <c r="G257" s="80">
        <f>IFERROR(AVERAGEIFS($AF$152:$AF$211,$B$152:$B$211,"HSCEI",$E$152:$E$211,$B257),"")</f>
        <v/>
      </c>
      <c r="H257" s="80">
        <f>IFERROR(AVERAGEIFS($AG$152:$AG$211,$B$152:$B$211,"HSCEI",$E$152:$E$211,$B257),"")</f>
        <v/>
      </c>
      <c r="I257" s="47">
        <f>IFERROR(AVERAGEIFS($AI$152:$AI$211,$B$152:$B$211,"HSCEI",$E$152:$E$211,$B257),"")</f>
        <v/>
      </c>
      <c r="J257" s="47">
        <f>IFERROR(AVERAGEIFS($AJ$152:$AJ$211,$B$152:$B$211,"HSCEI",$E$152:$E$211,$B257),"")</f>
        <v/>
      </c>
      <c r="K257" s="47">
        <f>IFERROR(AVERAGEIFS($AN$152:$AN$211,$B$152:$B$211,"HSCEI",$E$152:$E$211,$B257),"")</f>
        <v/>
      </c>
      <c r="L257" s="47">
        <f>IFERROR(SUMIF(HSCEI!$E$7:$E$66,$B257,HSCEI!$Q$7:$Q$66),"")</f>
        <v/>
      </c>
      <c r="M257" s="80">
        <f>IFERROR($L257/HSCEI!$Q$5,"")</f>
        <v/>
      </c>
    </row>
    <row r="258">
      <c r="B258" s="14" t="inlineStr">
        <is>
          <t>Real Estate</t>
        </is>
      </c>
      <c r="C258" s="79">
        <f>COUNTIFS($B$152:$B$211,"HSCEI",$E$152:$E$211,$B258)</f>
        <v/>
      </c>
      <c r="D258" s="71">
        <f>IFERROR(AVERAGEIFS($X$152:$X$211,$B$152:$B$211,"HSCEI",$E$152:$E$211,$B258),"")</f>
        <v/>
      </c>
      <c r="E258" s="71">
        <f>IFERROR(AVERAGEIFS($AA$152:$AA$211,$B$152:$B$211,"HSCEI",$E$152:$E$211,$B258),"")</f>
        <v/>
      </c>
      <c r="F258" s="76">
        <f>IFERROR(AVERAGEIFS($AM$152:$AM$211,$B$152:$B$211,"HSCEI",$E$152:$E$211,$B258),"")</f>
        <v/>
      </c>
      <c r="G258" s="80">
        <f>IFERROR(AVERAGEIFS($AF$152:$AF$211,$B$152:$B$211,"HSCEI",$E$152:$E$211,$B258),"")</f>
        <v/>
      </c>
      <c r="H258" s="80">
        <f>IFERROR(AVERAGEIFS($AG$152:$AG$211,$B$152:$B$211,"HSCEI",$E$152:$E$211,$B258),"")</f>
        <v/>
      </c>
      <c r="I258" s="47">
        <f>IFERROR(AVERAGEIFS($AI$152:$AI$211,$B$152:$B$211,"HSCEI",$E$152:$E$211,$B258),"")</f>
        <v/>
      </c>
      <c r="J258" s="47">
        <f>IFERROR(AVERAGEIFS($AJ$152:$AJ$211,$B$152:$B$211,"HSCEI",$E$152:$E$211,$B258),"")</f>
        <v/>
      </c>
      <c r="K258" s="47">
        <f>IFERROR(AVERAGEIFS($AN$152:$AN$211,$B$152:$B$211,"HSCEI",$E$152:$E$211,$B258),"")</f>
        <v/>
      </c>
      <c r="L258" s="47">
        <f>IFERROR(SUMIF(HSCEI!$E$7:$E$66,$B258,HSCEI!$Q$7:$Q$66),"")</f>
        <v/>
      </c>
      <c r="M258" s="80">
        <f>IFERROR($L258/HSCEI!$Q$5,"")</f>
        <v/>
      </c>
    </row>
    <row r="259">
      <c r="B259" s="9" t="inlineStr">
        <is>
          <t>TOTAL</t>
        </is>
      </c>
      <c r="C259" s="81">
        <f>SUM(C248:C258)</f>
        <v/>
      </c>
      <c r="L259" s="82">
        <f>IFERROR(SUM(L248:L258),"")</f>
        <v/>
      </c>
      <c r="M259" s="74">
        <f>IFERROR(SUM(M248:M258),"")</f>
        <v/>
      </c>
      <c r="N259" s="2">
        <f>IF(ABS(N($L259)-N(HSCEI!$Q$5))&lt;0.01,"sector split reconciles","CHECK - a GICS name does not match")</f>
        <v/>
      </c>
    </row>
  </sheetData>
  <autoFilter ref="B11:AQ211"/>
  <mergeCells count="1">
    <mergeCell ref="C5:H5"/>
  </mergeCells>
  <conditionalFormatting sqref="X12:X211">
    <cfRule type="colorScale" priority="1">
      <colorScale>
        <cfvo type="min"/>
        <cfvo type="percentile" val="50"/>
        <cfvo type="max"/>
        <color rgb="FF63BE7B"/>
        <color rgb="FFFFEB84"/>
        <color rgb="FFF8696B"/>
      </colorScale>
    </cfRule>
  </conditionalFormatting>
  <conditionalFormatting sqref="AG12:AG211">
    <cfRule type="colorScale" priority="2">
      <colorScale>
        <cfvo type="min"/>
        <cfvo type="percentile" val="50"/>
        <cfvo type="max"/>
        <color rgb="FFF8696B"/>
        <color rgb="FFFFEB84"/>
        <color rgb="FF63BE7B"/>
      </colorScale>
    </cfRule>
  </conditionalFormatting>
  <conditionalFormatting sqref="AN12:AN211">
    <cfRule type="colorScale" priority="3">
      <colorScale>
        <cfvo type="min"/>
        <cfvo type="percentile" val="50"/>
        <cfvo type="max"/>
        <color rgb="FFF8696B"/>
        <color rgb="FFFFEB84"/>
        <color rgb="FF63BE7B"/>
      </colorScale>
    </cfRule>
  </conditionalFormatting>
  <hyperlinks>
    <hyperlink xmlns:r="http://schemas.openxmlformats.org/officeDocument/2006/relationships" ref="C8" r:id="rId1"/>
    <hyperlink xmlns:r="http://schemas.openxmlformats.org/officeDocument/2006/relationships" ref="D8" r:id="rId2"/>
    <hyperlink xmlns:r="http://schemas.openxmlformats.org/officeDocument/2006/relationships" ref="E8" r:id="rId3"/>
    <hyperlink xmlns:r="http://schemas.openxmlformats.org/officeDocument/2006/relationships" ref="F8" r:id="rId4"/>
    <hyperlink xmlns:r="http://schemas.openxmlformats.org/officeDocument/2006/relationships" ref="G8" r:id="rId5"/>
    <hyperlink xmlns:r="http://schemas.openxmlformats.org/officeDocument/2006/relationships" ref="H8" r:id="rId6"/>
  </hyperlinks>
  <pageMargins left="0.75" right="0.75" top="1" bottom="1" header="0.5" footer="0.5"/>
</worksheet>
</file>

<file path=xl/worksheets/sheet6.xml><?xml version="1.0" encoding="utf-8"?>
<worksheet xmlns="http://schemas.openxmlformats.org/spreadsheetml/2006/main">
  <sheetPr>
    <tabColor rgb="00FFC000"/>
    <outlinePr summaryBelow="1" summaryRight="1"/>
    <pageSetUpPr/>
  </sheetPr>
  <dimension ref="B1:L283"/>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4" customWidth="1" min="3" max="3"/>
    <col width="10" customWidth="1" min="4" max="4"/>
    <col width="10" customWidth="1" min="5" max="5"/>
    <col width="10" customWidth="1" min="6" max="6"/>
    <col width="30" customWidth="1" min="7" max="7"/>
    <col width="11" customWidth="1" min="8" max="8"/>
    <col width="22" customWidth="1" min="9" max="9"/>
    <col width="3" customWidth="1" min="10" max="10"/>
    <col width="8" customWidth="1" min="11" max="11"/>
    <col width="8" customWidth="1" min="12" max="12"/>
  </cols>
  <sheetData>
    <row r="1">
      <c r="B1" s="1" t="inlineStr">
        <is>
          <t>OVERRIDE - YOUR VIEW vs BLOOMBERG'S</t>
        </is>
      </c>
    </row>
    <row r="2">
      <c r="B2" s="2" t="inlineStr">
        <is>
          <t>Type a ticker and YOUR rest-of-year DPS (base / low / high, per share, declared currency) in the list - it is keyed by ticker, so it survives index reshuffles. The BY-SECTOR view below shows every stock with your numbers merged in. Realized dividends are fact and never overridable; switch OFF and the whole book is pure Bloomberg again.</t>
        </is>
      </c>
    </row>
    <row r="4">
      <c r="B4" s="9" t="inlineStr">
        <is>
          <t>Use overrides?</t>
        </is>
      </c>
      <c r="C4" s="83" t="inlineStr">
        <is>
          <t>OFF</t>
        </is>
      </c>
      <c r="D4" s="2" t="inlineStr">
        <is>
          <t>Rows set:</t>
        </is>
      </c>
      <c r="E4" s="44">
        <f>SUMPRODUCT(($B$12:$B$71&lt;&gt;"")*ISNUMBER($D$12:$D$71))</f>
        <v/>
      </c>
      <c r="F4" s="2" t="inlineStr">
        <is>
          <t>Impact (pts):</t>
        </is>
      </c>
      <c r="G4" s="2" t="inlineStr">
        <is>
          <t>HSI</t>
        </is>
      </c>
      <c r="H4" s="84">
        <f>IF($C$4="OFF","-",HSI!$Q$5-(HSI!$O$5+HSI!$W$5))</f>
        <v/>
      </c>
      <c r="I4" s="2" t="inlineStr">
        <is>
          <t>HSTECH</t>
        </is>
      </c>
      <c r="J4" s="84">
        <f>IF($C$4="OFF","-",HSTECH!$Q$5-(HSTECH!$O$5+HSTECH!$W$5))</f>
        <v/>
      </c>
      <c r="K4" s="2" t="inlineStr">
        <is>
          <t>HSCEI</t>
        </is>
      </c>
      <c r="L4" s="84">
        <f>IF($C$4="OFF","-",HSCEI!$Q$5-(HSCEI!$O$5+HSCEI!$W$5))</f>
        <v/>
      </c>
    </row>
    <row r="10">
      <c r="B10" s="3" t="inlineStr">
        <is>
          <t>YOUR INPUT LIST  (typed, ticker-keyed - one row per stock)</t>
        </is>
      </c>
      <c r="C10" s="4" t="n"/>
      <c r="D10" s="4" t="n"/>
      <c r="E10" s="4" t="n"/>
      <c r="F10" s="4" t="n"/>
      <c r="G10" s="4" t="n"/>
      <c r="H10" s="4" t="n"/>
      <c r="I10" s="4" t="n"/>
    </row>
    <row r="11">
      <c r="B11" s="19" t="inlineStr">
        <is>
          <t>Ticker
(e.g. 700 HK Equity)</t>
        </is>
      </c>
      <c r="C11" s="19" t="inlineStr">
        <is>
          <t>Name (auto)</t>
        </is>
      </c>
      <c r="D11" s="58" t="inlineStr">
        <is>
          <t>YOUR DPS
(base)</t>
        </is>
      </c>
      <c r="E11" s="58" t="inlineStr">
        <is>
          <t>LOW</t>
        </is>
      </c>
      <c r="F11" s="58" t="inlineStr">
        <is>
          <t>HIGH</t>
        </is>
      </c>
      <c r="G11" s="58" t="inlineStr">
        <is>
          <t>Why - note to self</t>
        </is>
      </c>
      <c r="H11" s="19" t="inlineStr">
        <is>
          <t>BBG still
to come</t>
        </is>
      </c>
      <c r="I11" s="19" t="inlineStr">
        <is>
          <t>Status</t>
        </is>
      </c>
    </row>
    <row r="12">
      <c r="B12" s="14" t="n"/>
      <c r="C12" s="18">
        <f>IF($B12="","",IFERROR(INDEX(HSI!$D$7:$D$106,MATCH($B12,HSI!$C$7:$C$106,0)),IFERROR(INDEX(HSTECH!$D$7:$D$46,MATCH($B12,HSTECH!$C$7:$C$46,0)),IFERROR(INDEX(HSCEI!$D$7:$D$66,MATCH($B12,HSCEI!$C$7:$C$66,0)),"?"))))</f>
        <v/>
      </c>
      <c r="D12" s="85" t="n"/>
      <c r="E12" s="85" t="n"/>
      <c r="F12" s="85" t="n"/>
      <c r="G12" s="14" t="n"/>
      <c r="H12" s="40">
        <f>IF($B12="","",IFERROR(INDEX(HSI!$K$7:$K$106,MATCH($B12,HSI!$C$7:$C$106,0)),IFERROR(INDEX(HSTECH!$K$7:$K$46,MATCH($B12,HSTECH!$C$7:$C$46,0)),IFERROR(INDEX(HSCEI!$K$7:$K$66,MATCH($B12,HSCEI!$C$7:$C$66,0)),"?"))))</f>
        <v/>
      </c>
      <c r="I12" s="86">
        <f>IF($B12="","",IF($C12="?","ticker? not in any index",IF(COUNTIF($B$12:$B$71,$B12)&gt;1,"DUP - rows add up",IF((ISNUMBER($E12)*ISNUMBER($D12)*($E12&gt;$D12)+ISNUMBER($F12)*ISNUMBER($D12)*($F12&lt;$D12)+ISNUMBER($E12)*ISNUMBER($F12)*($E12&gt;$F12))&gt;0,"low/high crossed",""))))</f>
        <v/>
      </c>
    </row>
    <row r="13">
      <c r="B13" s="14" t="n"/>
      <c r="C13" s="18">
        <f>IF($B13="","",IFERROR(INDEX(HSI!$D$7:$D$106,MATCH($B13,HSI!$C$7:$C$106,0)),IFERROR(INDEX(HSTECH!$D$7:$D$46,MATCH($B13,HSTECH!$C$7:$C$46,0)),IFERROR(INDEX(HSCEI!$D$7:$D$66,MATCH($B13,HSCEI!$C$7:$C$66,0)),"?"))))</f>
        <v/>
      </c>
      <c r="D13" s="85" t="n"/>
      <c r="E13" s="85" t="n"/>
      <c r="F13" s="85" t="n"/>
      <c r="G13" s="14" t="n"/>
      <c r="H13" s="40">
        <f>IF($B13="","",IFERROR(INDEX(HSI!$K$7:$K$106,MATCH($B13,HSI!$C$7:$C$106,0)),IFERROR(INDEX(HSTECH!$K$7:$K$46,MATCH($B13,HSTECH!$C$7:$C$46,0)),IFERROR(INDEX(HSCEI!$K$7:$K$66,MATCH($B13,HSCEI!$C$7:$C$66,0)),"?"))))</f>
        <v/>
      </c>
      <c r="I13" s="86">
        <f>IF($B13="","",IF($C13="?","ticker? not in any index",IF(COUNTIF($B$12:$B$71,$B13)&gt;1,"DUP - rows add up",IF((ISNUMBER($E13)*ISNUMBER($D13)*($E13&gt;$D13)+ISNUMBER($F13)*ISNUMBER($D13)*($F13&lt;$D13)+ISNUMBER($E13)*ISNUMBER($F13)*($E13&gt;$F13))&gt;0,"low/high crossed",""))))</f>
        <v/>
      </c>
    </row>
    <row r="14">
      <c r="B14" s="14" t="n"/>
      <c r="C14" s="18">
        <f>IF($B14="","",IFERROR(INDEX(HSI!$D$7:$D$106,MATCH($B14,HSI!$C$7:$C$106,0)),IFERROR(INDEX(HSTECH!$D$7:$D$46,MATCH($B14,HSTECH!$C$7:$C$46,0)),IFERROR(INDEX(HSCEI!$D$7:$D$66,MATCH($B14,HSCEI!$C$7:$C$66,0)),"?"))))</f>
        <v/>
      </c>
      <c r="D14" s="85" t="n"/>
      <c r="E14" s="85" t="n"/>
      <c r="F14" s="85" t="n"/>
      <c r="G14" s="14" t="n"/>
      <c r="H14" s="40">
        <f>IF($B14="","",IFERROR(INDEX(HSI!$K$7:$K$106,MATCH($B14,HSI!$C$7:$C$106,0)),IFERROR(INDEX(HSTECH!$K$7:$K$46,MATCH($B14,HSTECH!$C$7:$C$46,0)),IFERROR(INDEX(HSCEI!$K$7:$K$66,MATCH($B14,HSCEI!$C$7:$C$66,0)),"?"))))</f>
        <v/>
      </c>
      <c r="I14" s="86">
        <f>IF($B14="","",IF($C14="?","ticker? not in any index",IF(COUNTIF($B$12:$B$71,$B14)&gt;1,"DUP - rows add up",IF((ISNUMBER($E14)*ISNUMBER($D14)*($E14&gt;$D14)+ISNUMBER($F14)*ISNUMBER($D14)*($F14&lt;$D14)+ISNUMBER($E14)*ISNUMBER($F14)*($E14&gt;$F14))&gt;0,"low/high crossed",""))))</f>
        <v/>
      </c>
    </row>
    <row r="15">
      <c r="B15" s="14" t="n"/>
      <c r="C15" s="18">
        <f>IF($B15="","",IFERROR(INDEX(HSI!$D$7:$D$106,MATCH($B15,HSI!$C$7:$C$106,0)),IFERROR(INDEX(HSTECH!$D$7:$D$46,MATCH($B15,HSTECH!$C$7:$C$46,0)),IFERROR(INDEX(HSCEI!$D$7:$D$66,MATCH($B15,HSCEI!$C$7:$C$66,0)),"?"))))</f>
        <v/>
      </c>
      <c r="D15" s="85" t="n"/>
      <c r="E15" s="85" t="n"/>
      <c r="F15" s="85" t="n"/>
      <c r="G15" s="14" t="n"/>
      <c r="H15" s="40">
        <f>IF($B15="","",IFERROR(INDEX(HSI!$K$7:$K$106,MATCH($B15,HSI!$C$7:$C$106,0)),IFERROR(INDEX(HSTECH!$K$7:$K$46,MATCH($B15,HSTECH!$C$7:$C$46,0)),IFERROR(INDEX(HSCEI!$K$7:$K$66,MATCH($B15,HSCEI!$C$7:$C$66,0)),"?"))))</f>
        <v/>
      </c>
      <c r="I15" s="86">
        <f>IF($B15="","",IF($C15="?","ticker? not in any index",IF(COUNTIF($B$12:$B$71,$B15)&gt;1,"DUP - rows add up",IF((ISNUMBER($E15)*ISNUMBER($D15)*($E15&gt;$D15)+ISNUMBER($F15)*ISNUMBER($D15)*($F15&lt;$D15)+ISNUMBER($E15)*ISNUMBER($F15)*($E15&gt;$F15))&gt;0,"low/high crossed",""))))</f>
        <v/>
      </c>
    </row>
    <row r="16">
      <c r="B16" s="14" t="n"/>
      <c r="C16" s="18">
        <f>IF($B16="","",IFERROR(INDEX(HSI!$D$7:$D$106,MATCH($B16,HSI!$C$7:$C$106,0)),IFERROR(INDEX(HSTECH!$D$7:$D$46,MATCH($B16,HSTECH!$C$7:$C$46,0)),IFERROR(INDEX(HSCEI!$D$7:$D$66,MATCH($B16,HSCEI!$C$7:$C$66,0)),"?"))))</f>
        <v/>
      </c>
      <c r="D16" s="85" t="n"/>
      <c r="E16" s="85" t="n"/>
      <c r="F16" s="85" t="n"/>
      <c r="G16" s="14" t="n"/>
      <c r="H16" s="40">
        <f>IF($B16="","",IFERROR(INDEX(HSI!$K$7:$K$106,MATCH($B16,HSI!$C$7:$C$106,0)),IFERROR(INDEX(HSTECH!$K$7:$K$46,MATCH($B16,HSTECH!$C$7:$C$46,0)),IFERROR(INDEX(HSCEI!$K$7:$K$66,MATCH($B16,HSCEI!$C$7:$C$66,0)),"?"))))</f>
        <v/>
      </c>
      <c r="I16" s="86">
        <f>IF($B16="","",IF($C16="?","ticker? not in any index",IF(COUNTIF($B$12:$B$71,$B16)&gt;1,"DUP - rows add up",IF((ISNUMBER($E16)*ISNUMBER($D16)*($E16&gt;$D16)+ISNUMBER($F16)*ISNUMBER($D16)*($F16&lt;$D16)+ISNUMBER($E16)*ISNUMBER($F16)*($E16&gt;$F16))&gt;0,"low/high crossed",""))))</f>
        <v/>
      </c>
    </row>
    <row r="17">
      <c r="B17" s="14" t="n"/>
      <c r="C17" s="18">
        <f>IF($B17="","",IFERROR(INDEX(HSI!$D$7:$D$106,MATCH($B17,HSI!$C$7:$C$106,0)),IFERROR(INDEX(HSTECH!$D$7:$D$46,MATCH($B17,HSTECH!$C$7:$C$46,0)),IFERROR(INDEX(HSCEI!$D$7:$D$66,MATCH($B17,HSCEI!$C$7:$C$66,0)),"?"))))</f>
        <v/>
      </c>
      <c r="D17" s="85" t="n"/>
      <c r="E17" s="85" t="n"/>
      <c r="F17" s="85" t="n"/>
      <c r="G17" s="14" t="n"/>
      <c r="H17" s="40">
        <f>IF($B17="","",IFERROR(INDEX(HSI!$K$7:$K$106,MATCH($B17,HSI!$C$7:$C$106,0)),IFERROR(INDEX(HSTECH!$K$7:$K$46,MATCH($B17,HSTECH!$C$7:$C$46,0)),IFERROR(INDEX(HSCEI!$K$7:$K$66,MATCH($B17,HSCEI!$C$7:$C$66,0)),"?"))))</f>
        <v/>
      </c>
      <c r="I17" s="86">
        <f>IF($B17="","",IF($C17="?","ticker? not in any index",IF(COUNTIF($B$12:$B$71,$B17)&gt;1,"DUP - rows add up",IF((ISNUMBER($E17)*ISNUMBER($D17)*($E17&gt;$D17)+ISNUMBER($F17)*ISNUMBER($D17)*($F17&lt;$D17)+ISNUMBER($E17)*ISNUMBER($F17)*($E17&gt;$F17))&gt;0,"low/high crossed",""))))</f>
        <v/>
      </c>
    </row>
    <row r="18">
      <c r="B18" s="14" t="n"/>
      <c r="C18" s="18">
        <f>IF($B18="","",IFERROR(INDEX(HSI!$D$7:$D$106,MATCH($B18,HSI!$C$7:$C$106,0)),IFERROR(INDEX(HSTECH!$D$7:$D$46,MATCH($B18,HSTECH!$C$7:$C$46,0)),IFERROR(INDEX(HSCEI!$D$7:$D$66,MATCH($B18,HSCEI!$C$7:$C$66,0)),"?"))))</f>
        <v/>
      </c>
      <c r="D18" s="85" t="n"/>
      <c r="E18" s="85" t="n"/>
      <c r="F18" s="85" t="n"/>
      <c r="G18" s="14" t="n"/>
      <c r="H18" s="40">
        <f>IF($B18="","",IFERROR(INDEX(HSI!$K$7:$K$106,MATCH($B18,HSI!$C$7:$C$106,0)),IFERROR(INDEX(HSTECH!$K$7:$K$46,MATCH($B18,HSTECH!$C$7:$C$46,0)),IFERROR(INDEX(HSCEI!$K$7:$K$66,MATCH($B18,HSCEI!$C$7:$C$66,0)),"?"))))</f>
        <v/>
      </c>
      <c r="I18" s="86">
        <f>IF($B18="","",IF($C18="?","ticker? not in any index",IF(COUNTIF($B$12:$B$71,$B18)&gt;1,"DUP - rows add up",IF((ISNUMBER($E18)*ISNUMBER($D18)*($E18&gt;$D18)+ISNUMBER($F18)*ISNUMBER($D18)*($F18&lt;$D18)+ISNUMBER($E18)*ISNUMBER($F18)*($E18&gt;$F18))&gt;0,"low/high crossed",""))))</f>
        <v/>
      </c>
    </row>
    <row r="19">
      <c r="B19" s="14" t="n"/>
      <c r="C19" s="18">
        <f>IF($B19="","",IFERROR(INDEX(HSI!$D$7:$D$106,MATCH($B19,HSI!$C$7:$C$106,0)),IFERROR(INDEX(HSTECH!$D$7:$D$46,MATCH($B19,HSTECH!$C$7:$C$46,0)),IFERROR(INDEX(HSCEI!$D$7:$D$66,MATCH($B19,HSCEI!$C$7:$C$66,0)),"?"))))</f>
        <v/>
      </c>
      <c r="D19" s="85" t="n"/>
      <c r="E19" s="85" t="n"/>
      <c r="F19" s="85" t="n"/>
      <c r="G19" s="14" t="n"/>
      <c r="H19" s="40">
        <f>IF($B19="","",IFERROR(INDEX(HSI!$K$7:$K$106,MATCH($B19,HSI!$C$7:$C$106,0)),IFERROR(INDEX(HSTECH!$K$7:$K$46,MATCH($B19,HSTECH!$C$7:$C$46,0)),IFERROR(INDEX(HSCEI!$K$7:$K$66,MATCH($B19,HSCEI!$C$7:$C$66,0)),"?"))))</f>
        <v/>
      </c>
      <c r="I19" s="86">
        <f>IF($B19="","",IF($C19="?","ticker? not in any index",IF(COUNTIF($B$12:$B$71,$B19)&gt;1,"DUP - rows add up",IF((ISNUMBER($E19)*ISNUMBER($D19)*($E19&gt;$D19)+ISNUMBER($F19)*ISNUMBER($D19)*($F19&lt;$D19)+ISNUMBER($E19)*ISNUMBER($F19)*($E19&gt;$F19))&gt;0,"low/high crossed",""))))</f>
        <v/>
      </c>
    </row>
    <row r="20">
      <c r="B20" s="14" t="n"/>
      <c r="C20" s="18">
        <f>IF($B20="","",IFERROR(INDEX(HSI!$D$7:$D$106,MATCH($B20,HSI!$C$7:$C$106,0)),IFERROR(INDEX(HSTECH!$D$7:$D$46,MATCH($B20,HSTECH!$C$7:$C$46,0)),IFERROR(INDEX(HSCEI!$D$7:$D$66,MATCH($B20,HSCEI!$C$7:$C$66,0)),"?"))))</f>
        <v/>
      </c>
      <c r="D20" s="85" t="n"/>
      <c r="E20" s="85" t="n"/>
      <c r="F20" s="85" t="n"/>
      <c r="G20" s="14" t="n"/>
      <c r="H20" s="40">
        <f>IF($B20="","",IFERROR(INDEX(HSI!$K$7:$K$106,MATCH($B20,HSI!$C$7:$C$106,0)),IFERROR(INDEX(HSTECH!$K$7:$K$46,MATCH($B20,HSTECH!$C$7:$C$46,0)),IFERROR(INDEX(HSCEI!$K$7:$K$66,MATCH($B20,HSCEI!$C$7:$C$66,0)),"?"))))</f>
        <v/>
      </c>
      <c r="I20" s="86">
        <f>IF($B20="","",IF($C20="?","ticker? not in any index",IF(COUNTIF($B$12:$B$71,$B20)&gt;1,"DUP - rows add up",IF((ISNUMBER($E20)*ISNUMBER($D20)*($E20&gt;$D20)+ISNUMBER($F20)*ISNUMBER($D20)*($F20&lt;$D20)+ISNUMBER($E20)*ISNUMBER($F20)*($E20&gt;$F20))&gt;0,"low/high crossed",""))))</f>
        <v/>
      </c>
    </row>
    <row r="21">
      <c r="B21" s="14" t="n"/>
      <c r="C21" s="18">
        <f>IF($B21="","",IFERROR(INDEX(HSI!$D$7:$D$106,MATCH($B21,HSI!$C$7:$C$106,0)),IFERROR(INDEX(HSTECH!$D$7:$D$46,MATCH($B21,HSTECH!$C$7:$C$46,0)),IFERROR(INDEX(HSCEI!$D$7:$D$66,MATCH($B21,HSCEI!$C$7:$C$66,0)),"?"))))</f>
        <v/>
      </c>
      <c r="D21" s="85" t="n"/>
      <c r="E21" s="85" t="n"/>
      <c r="F21" s="85" t="n"/>
      <c r="G21" s="14" t="n"/>
      <c r="H21" s="40">
        <f>IF($B21="","",IFERROR(INDEX(HSI!$K$7:$K$106,MATCH($B21,HSI!$C$7:$C$106,0)),IFERROR(INDEX(HSTECH!$K$7:$K$46,MATCH($B21,HSTECH!$C$7:$C$46,0)),IFERROR(INDEX(HSCEI!$K$7:$K$66,MATCH($B21,HSCEI!$C$7:$C$66,0)),"?"))))</f>
        <v/>
      </c>
      <c r="I21" s="86">
        <f>IF($B21="","",IF($C21="?","ticker? not in any index",IF(COUNTIF($B$12:$B$71,$B21)&gt;1,"DUP - rows add up",IF((ISNUMBER($E21)*ISNUMBER($D21)*($E21&gt;$D21)+ISNUMBER($F21)*ISNUMBER($D21)*($F21&lt;$D21)+ISNUMBER($E21)*ISNUMBER($F21)*($E21&gt;$F21))&gt;0,"low/high crossed",""))))</f>
        <v/>
      </c>
    </row>
    <row r="22">
      <c r="B22" s="14" t="n"/>
      <c r="C22" s="18">
        <f>IF($B22="","",IFERROR(INDEX(HSI!$D$7:$D$106,MATCH($B22,HSI!$C$7:$C$106,0)),IFERROR(INDEX(HSTECH!$D$7:$D$46,MATCH($B22,HSTECH!$C$7:$C$46,0)),IFERROR(INDEX(HSCEI!$D$7:$D$66,MATCH($B22,HSCEI!$C$7:$C$66,0)),"?"))))</f>
        <v/>
      </c>
      <c r="D22" s="85" t="n"/>
      <c r="E22" s="85" t="n"/>
      <c r="F22" s="85" t="n"/>
      <c r="G22" s="14" t="n"/>
      <c r="H22" s="40">
        <f>IF($B22="","",IFERROR(INDEX(HSI!$K$7:$K$106,MATCH($B22,HSI!$C$7:$C$106,0)),IFERROR(INDEX(HSTECH!$K$7:$K$46,MATCH($B22,HSTECH!$C$7:$C$46,0)),IFERROR(INDEX(HSCEI!$K$7:$K$66,MATCH($B22,HSCEI!$C$7:$C$66,0)),"?"))))</f>
        <v/>
      </c>
      <c r="I22" s="86">
        <f>IF($B22="","",IF($C22="?","ticker? not in any index",IF(COUNTIF($B$12:$B$71,$B22)&gt;1,"DUP - rows add up",IF((ISNUMBER($E22)*ISNUMBER($D22)*($E22&gt;$D22)+ISNUMBER($F22)*ISNUMBER($D22)*($F22&lt;$D22)+ISNUMBER($E22)*ISNUMBER($F22)*($E22&gt;$F22))&gt;0,"low/high crossed",""))))</f>
        <v/>
      </c>
    </row>
    <row r="23">
      <c r="B23" s="14" t="n"/>
      <c r="C23" s="18">
        <f>IF($B23="","",IFERROR(INDEX(HSI!$D$7:$D$106,MATCH($B23,HSI!$C$7:$C$106,0)),IFERROR(INDEX(HSTECH!$D$7:$D$46,MATCH($B23,HSTECH!$C$7:$C$46,0)),IFERROR(INDEX(HSCEI!$D$7:$D$66,MATCH($B23,HSCEI!$C$7:$C$66,0)),"?"))))</f>
        <v/>
      </c>
      <c r="D23" s="85" t="n"/>
      <c r="E23" s="85" t="n"/>
      <c r="F23" s="85" t="n"/>
      <c r="G23" s="14" t="n"/>
      <c r="H23" s="40">
        <f>IF($B23="","",IFERROR(INDEX(HSI!$K$7:$K$106,MATCH($B23,HSI!$C$7:$C$106,0)),IFERROR(INDEX(HSTECH!$K$7:$K$46,MATCH($B23,HSTECH!$C$7:$C$46,0)),IFERROR(INDEX(HSCEI!$K$7:$K$66,MATCH($B23,HSCEI!$C$7:$C$66,0)),"?"))))</f>
        <v/>
      </c>
      <c r="I23" s="86">
        <f>IF($B23="","",IF($C23="?","ticker? not in any index",IF(COUNTIF($B$12:$B$71,$B23)&gt;1,"DUP - rows add up",IF((ISNUMBER($E23)*ISNUMBER($D23)*($E23&gt;$D23)+ISNUMBER($F23)*ISNUMBER($D23)*($F23&lt;$D23)+ISNUMBER($E23)*ISNUMBER($F23)*($E23&gt;$F23))&gt;0,"low/high crossed",""))))</f>
        <v/>
      </c>
    </row>
    <row r="24">
      <c r="B24" s="14" t="n"/>
      <c r="C24" s="18">
        <f>IF($B24="","",IFERROR(INDEX(HSI!$D$7:$D$106,MATCH($B24,HSI!$C$7:$C$106,0)),IFERROR(INDEX(HSTECH!$D$7:$D$46,MATCH($B24,HSTECH!$C$7:$C$46,0)),IFERROR(INDEX(HSCEI!$D$7:$D$66,MATCH($B24,HSCEI!$C$7:$C$66,0)),"?"))))</f>
        <v/>
      </c>
      <c r="D24" s="85" t="n"/>
      <c r="E24" s="85" t="n"/>
      <c r="F24" s="85" t="n"/>
      <c r="G24" s="14" t="n"/>
      <c r="H24" s="40">
        <f>IF($B24="","",IFERROR(INDEX(HSI!$K$7:$K$106,MATCH($B24,HSI!$C$7:$C$106,0)),IFERROR(INDEX(HSTECH!$K$7:$K$46,MATCH($B24,HSTECH!$C$7:$C$46,0)),IFERROR(INDEX(HSCEI!$K$7:$K$66,MATCH($B24,HSCEI!$C$7:$C$66,0)),"?"))))</f>
        <v/>
      </c>
      <c r="I24" s="86">
        <f>IF($B24="","",IF($C24="?","ticker? not in any index",IF(COUNTIF($B$12:$B$71,$B24)&gt;1,"DUP - rows add up",IF((ISNUMBER($E24)*ISNUMBER($D24)*($E24&gt;$D24)+ISNUMBER($F24)*ISNUMBER($D24)*($F24&lt;$D24)+ISNUMBER($E24)*ISNUMBER($F24)*($E24&gt;$F24))&gt;0,"low/high crossed",""))))</f>
        <v/>
      </c>
    </row>
    <row r="25">
      <c r="B25" s="14" t="n"/>
      <c r="C25" s="18">
        <f>IF($B25="","",IFERROR(INDEX(HSI!$D$7:$D$106,MATCH($B25,HSI!$C$7:$C$106,0)),IFERROR(INDEX(HSTECH!$D$7:$D$46,MATCH($B25,HSTECH!$C$7:$C$46,0)),IFERROR(INDEX(HSCEI!$D$7:$D$66,MATCH($B25,HSCEI!$C$7:$C$66,0)),"?"))))</f>
        <v/>
      </c>
      <c r="D25" s="85" t="n"/>
      <c r="E25" s="85" t="n"/>
      <c r="F25" s="85" t="n"/>
      <c r="G25" s="14" t="n"/>
      <c r="H25" s="40">
        <f>IF($B25="","",IFERROR(INDEX(HSI!$K$7:$K$106,MATCH($B25,HSI!$C$7:$C$106,0)),IFERROR(INDEX(HSTECH!$K$7:$K$46,MATCH($B25,HSTECH!$C$7:$C$46,0)),IFERROR(INDEX(HSCEI!$K$7:$K$66,MATCH($B25,HSCEI!$C$7:$C$66,0)),"?"))))</f>
        <v/>
      </c>
      <c r="I25" s="86">
        <f>IF($B25="","",IF($C25="?","ticker? not in any index",IF(COUNTIF($B$12:$B$71,$B25)&gt;1,"DUP - rows add up",IF((ISNUMBER($E25)*ISNUMBER($D25)*($E25&gt;$D25)+ISNUMBER($F25)*ISNUMBER($D25)*($F25&lt;$D25)+ISNUMBER($E25)*ISNUMBER($F25)*($E25&gt;$F25))&gt;0,"low/high crossed",""))))</f>
        <v/>
      </c>
    </row>
    <row r="26">
      <c r="B26" s="14" t="n"/>
      <c r="C26" s="18">
        <f>IF($B26="","",IFERROR(INDEX(HSI!$D$7:$D$106,MATCH($B26,HSI!$C$7:$C$106,0)),IFERROR(INDEX(HSTECH!$D$7:$D$46,MATCH($B26,HSTECH!$C$7:$C$46,0)),IFERROR(INDEX(HSCEI!$D$7:$D$66,MATCH($B26,HSCEI!$C$7:$C$66,0)),"?"))))</f>
        <v/>
      </c>
      <c r="D26" s="85" t="n"/>
      <c r="E26" s="85" t="n"/>
      <c r="F26" s="85" t="n"/>
      <c r="G26" s="14" t="n"/>
      <c r="H26" s="40">
        <f>IF($B26="","",IFERROR(INDEX(HSI!$K$7:$K$106,MATCH($B26,HSI!$C$7:$C$106,0)),IFERROR(INDEX(HSTECH!$K$7:$K$46,MATCH($B26,HSTECH!$C$7:$C$46,0)),IFERROR(INDEX(HSCEI!$K$7:$K$66,MATCH($B26,HSCEI!$C$7:$C$66,0)),"?"))))</f>
        <v/>
      </c>
      <c r="I26" s="86">
        <f>IF($B26="","",IF($C26="?","ticker? not in any index",IF(COUNTIF($B$12:$B$71,$B26)&gt;1,"DUP - rows add up",IF((ISNUMBER($E26)*ISNUMBER($D26)*($E26&gt;$D26)+ISNUMBER($F26)*ISNUMBER($D26)*($F26&lt;$D26)+ISNUMBER($E26)*ISNUMBER($F26)*($E26&gt;$F26))&gt;0,"low/high crossed",""))))</f>
        <v/>
      </c>
    </row>
    <row r="27">
      <c r="B27" s="14" t="n"/>
      <c r="C27" s="18">
        <f>IF($B27="","",IFERROR(INDEX(HSI!$D$7:$D$106,MATCH($B27,HSI!$C$7:$C$106,0)),IFERROR(INDEX(HSTECH!$D$7:$D$46,MATCH($B27,HSTECH!$C$7:$C$46,0)),IFERROR(INDEX(HSCEI!$D$7:$D$66,MATCH($B27,HSCEI!$C$7:$C$66,0)),"?"))))</f>
        <v/>
      </c>
      <c r="D27" s="85" t="n"/>
      <c r="E27" s="85" t="n"/>
      <c r="F27" s="85" t="n"/>
      <c r="G27" s="14" t="n"/>
      <c r="H27" s="40">
        <f>IF($B27="","",IFERROR(INDEX(HSI!$K$7:$K$106,MATCH($B27,HSI!$C$7:$C$106,0)),IFERROR(INDEX(HSTECH!$K$7:$K$46,MATCH($B27,HSTECH!$C$7:$C$46,0)),IFERROR(INDEX(HSCEI!$K$7:$K$66,MATCH($B27,HSCEI!$C$7:$C$66,0)),"?"))))</f>
        <v/>
      </c>
      <c r="I27" s="86">
        <f>IF($B27="","",IF($C27="?","ticker? not in any index",IF(COUNTIF($B$12:$B$71,$B27)&gt;1,"DUP - rows add up",IF((ISNUMBER($E27)*ISNUMBER($D27)*($E27&gt;$D27)+ISNUMBER($F27)*ISNUMBER($D27)*($F27&lt;$D27)+ISNUMBER($E27)*ISNUMBER($F27)*($E27&gt;$F27))&gt;0,"low/high crossed",""))))</f>
        <v/>
      </c>
    </row>
    <row r="28">
      <c r="B28" s="14" t="n"/>
      <c r="C28" s="18">
        <f>IF($B28="","",IFERROR(INDEX(HSI!$D$7:$D$106,MATCH($B28,HSI!$C$7:$C$106,0)),IFERROR(INDEX(HSTECH!$D$7:$D$46,MATCH($B28,HSTECH!$C$7:$C$46,0)),IFERROR(INDEX(HSCEI!$D$7:$D$66,MATCH($B28,HSCEI!$C$7:$C$66,0)),"?"))))</f>
        <v/>
      </c>
      <c r="D28" s="85" t="n"/>
      <c r="E28" s="85" t="n"/>
      <c r="F28" s="85" t="n"/>
      <c r="G28" s="14" t="n"/>
      <c r="H28" s="40">
        <f>IF($B28="","",IFERROR(INDEX(HSI!$K$7:$K$106,MATCH($B28,HSI!$C$7:$C$106,0)),IFERROR(INDEX(HSTECH!$K$7:$K$46,MATCH($B28,HSTECH!$C$7:$C$46,0)),IFERROR(INDEX(HSCEI!$K$7:$K$66,MATCH($B28,HSCEI!$C$7:$C$66,0)),"?"))))</f>
        <v/>
      </c>
      <c r="I28" s="86">
        <f>IF($B28="","",IF($C28="?","ticker? not in any index",IF(COUNTIF($B$12:$B$71,$B28)&gt;1,"DUP - rows add up",IF((ISNUMBER($E28)*ISNUMBER($D28)*($E28&gt;$D28)+ISNUMBER($F28)*ISNUMBER($D28)*($F28&lt;$D28)+ISNUMBER($E28)*ISNUMBER($F28)*($E28&gt;$F28))&gt;0,"low/high crossed",""))))</f>
        <v/>
      </c>
    </row>
    <row r="29">
      <c r="B29" s="14" t="n"/>
      <c r="C29" s="18">
        <f>IF($B29="","",IFERROR(INDEX(HSI!$D$7:$D$106,MATCH($B29,HSI!$C$7:$C$106,0)),IFERROR(INDEX(HSTECH!$D$7:$D$46,MATCH($B29,HSTECH!$C$7:$C$46,0)),IFERROR(INDEX(HSCEI!$D$7:$D$66,MATCH($B29,HSCEI!$C$7:$C$66,0)),"?"))))</f>
        <v/>
      </c>
      <c r="D29" s="85" t="n"/>
      <c r="E29" s="85" t="n"/>
      <c r="F29" s="85" t="n"/>
      <c r="G29" s="14" t="n"/>
      <c r="H29" s="40">
        <f>IF($B29="","",IFERROR(INDEX(HSI!$K$7:$K$106,MATCH($B29,HSI!$C$7:$C$106,0)),IFERROR(INDEX(HSTECH!$K$7:$K$46,MATCH($B29,HSTECH!$C$7:$C$46,0)),IFERROR(INDEX(HSCEI!$K$7:$K$66,MATCH($B29,HSCEI!$C$7:$C$66,0)),"?"))))</f>
        <v/>
      </c>
      <c r="I29" s="86">
        <f>IF($B29="","",IF($C29="?","ticker? not in any index",IF(COUNTIF($B$12:$B$71,$B29)&gt;1,"DUP - rows add up",IF((ISNUMBER($E29)*ISNUMBER($D29)*($E29&gt;$D29)+ISNUMBER($F29)*ISNUMBER($D29)*($F29&lt;$D29)+ISNUMBER($E29)*ISNUMBER($F29)*($E29&gt;$F29))&gt;0,"low/high crossed",""))))</f>
        <v/>
      </c>
    </row>
    <row r="30">
      <c r="B30" s="14" t="n"/>
      <c r="C30" s="18">
        <f>IF($B30="","",IFERROR(INDEX(HSI!$D$7:$D$106,MATCH($B30,HSI!$C$7:$C$106,0)),IFERROR(INDEX(HSTECH!$D$7:$D$46,MATCH($B30,HSTECH!$C$7:$C$46,0)),IFERROR(INDEX(HSCEI!$D$7:$D$66,MATCH($B30,HSCEI!$C$7:$C$66,0)),"?"))))</f>
        <v/>
      </c>
      <c r="D30" s="85" t="n"/>
      <c r="E30" s="85" t="n"/>
      <c r="F30" s="85" t="n"/>
      <c r="G30" s="14" t="n"/>
      <c r="H30" s="40">
        <f>IF($B30="","",IFERROR(INDEX(HSI!$K$7:$K$106,MATCH($B30,HSI!$C$7:$C$106,0)),IFERROR(INDEX(HSTECH!$K$7:$K$46,MATCH($B30,HSTECH!$C$7:$C$46,0)),IFERROR(INDEX(HSCEI!$K$7:$K$66,MATCH($B30,HSCEI!$C$7:$C$66,0)),"?"))))</f>
        <v/>
      </c>
      <c r="I30" s="86">
        <f>IF($B30="","",IF($C30="?","ticker? not in any index",IF(COUNTIF($B$12:$B$71,$B30)&gt;1,"DUP - rows add up",IF((ISNUMBER($E30)*ISNUMBER($D30)*($E30&gt;$D30)+ISNUMBER($F30)*ISNUMBER($D30)*($F30&lt;$D30)+ISNUMBER($E30)*ISNUMBER($F30)*($E30&gt;$F30))&gt;0,"low/high crossed",""))))</f>
        <v/>
      </c>
    </row>
    <row r="31">
      <c r="B31" s="14" t="n"/>
      <c r="C31" s="18">
        <f>IF($B31="","",IFERROR(INDEX(HSI!$D$7:$D$106,MATCH($B31,HSI!$C$7:$C$106,0)),IFERROR(INDEX(HSTECH!$D$7:$D$46,MATCH($B31,HSTECH!$C$7:$C$46,0)),IFERROR(INDEX(HSCEI!$D$7:$D$66,MATCH($B31,HSCEI!$C$7:$C$66,0)),"?"))))</f>
        <v/>
      </c>
      <c r="D31" s="85" t="n"/>
      <c r="E31" s="85" t="n"/>
      <c r="F31" s="85" t="n"/>
      <c r="G31" s="14" t="n"/>
      <c r="H31" s="40">
        <f>IF($B31="","",IFERROR(INDEX(HSI!$K$7:$K$106,MATCH($B31,HSI!$C$7:$C$106,0)),IFERROR(INDEX(HSTECH!$K$7:$K$46,MATCH($B31,HSTECH!$C$7:$C$46,0)),IFERROR(INDEX(HSCEI!$K$7:$K$66,MATCH($B31,HSCEI!$C$7:$C$66,0)),"?"))))</f>
        <v/>
      </c>
      <c r="I31" s="86">
        <f>IF($B31="","",IF($C31="?","ticker? not in any index",IF(COUNTIF($B$12:$B$71,$B31)&gt;1,"DUP - rows add up",IF((ISNUMBER($E31)*ISNUMBER($D31)*($E31&gt;$D31)+ISNUMBER($F31)*ISNUMBER($D31)*($F31&lt;$D31)+ISNUMBER($E31)*ISNUMBER($F31)*($E31&gt;$F31))&gt;0,"low/high crossed",""))))</f>
        <v/>
      </c>
    </row>
    <row r="32">
      <c r="B32" s="14" t="n"/>
      <c r="C32" s="18">
        <f>IF($B32="","",IFERROR(INDEX(HSI!$D$7:$D$106,MATCH($B32,HSI!$C$7:$C$106,0)),IFERROR(INDEX(HSTECH!$D$7:$D$46,MATCH($B32,HSTECH!$C$7:$C$46,0)),IFERROR(INDEX(HSCEI!$D$7:$D$66,MATCH($B32,HSCEI!$C$7:$C$66,0)),"?"))))</f>
        <v/>
      </c>
      <c r="D32" s="85" t="n"/>
      <c r="E32" s="85" t="n"/>
      <c r="F32" s="85" t="n"/>
      <c r="G32" s="14" t="n"/>
      <c r="H32" s="40">
        <f>IF($B32="","",IFERROR(INDEX(HSI!$K$7:$K$106,MATCH($B32,HSI!$C$7:$C$106,0)),IFERROR(INDEX(HSTECH!$K$7:$K$46,MATCH($B32,HSTECH!$C$7:$C$46,0)),IFERROR(INDEX(HSCEI!$K$7:$K$66,MATCH($B32,HSCEI!$C$7:$C$66,0)),"?"))))</f>
        <v/>
      </c>
      <c r="I32" s="86">
        <f>IF($B32="","",IF($C32="?","ticker? not in any index",IF(COUNTIF($B$12:$B$71,$B32)&gt;1,"DUP - rows add up",IF((ISNUMBER($E32)*ISNUMBER($D32)*($E32&gt;$D32)+ISNUMBER($F32)*ISNUMBER($D32)*($F32&lt;$D32)+ISNUMBER($E32)*ISNUMBER($F32)*($E32&gt;$F32))&gt;0,"low/high crossed",""))))</f>
        <v/>
      </c>
    </row>
    <row r="33">
      <c r="B33" s="14" t="n"/>
      <c r="C33" s="18">
        <f>IF($B33="","",IFERROR(INDEX(HSI!$D$7:$D$106,MATCH($B33,HSI!$C$7:$C$106,0)),IFERROR(INDEX(HSTECH!$D$7:$D$46,MATCH($B33,HSTECH!$C$7:$C$46,0)),IFERROR(INDEX(HSCEI!$D$7:$D$66,MATCH($B33,HSCEI!$C$7:$C$66,0)),"?"))))</f>
        <v/>
      </c>
      <c r="D33" s="85" t="n"/>
      <c r="E33" s="85" t="n"/>
      <c r="F33" s="85" t="n"/>
      <c r="G33" s="14" t="n"/>
      <c r="H33" s="40">
        <f>IF($B33="","",IFERROR(INDEX(HSI!$K$7:$K$106,MATCH($B33,HSI!$C$7:$C$106,0)),IFERROR(INDEX(HSTECH!$K$7:$K$46,MATCH($B33,HSTECH!$C$7:$C$46,0)),IFERROR(INDEX(HSCEI!$K$7:$K$66,MATCH($B33,HSCEI!$C$7:$C$66,0)),"?"))))</f>
        <v/>
      </c>
      <c r="I33" s="86">
        <f>IF($B33="","",IF($C33="?","ticker? not in any index",IF(COUNTIF($B$12:$B$71,$B33)&gt;1,"DUP - rows add up",IF((ISNUMBER($E33)*ISNUMBER($D33)*($E33&gt;$D33)+ISNUMBER($F33)*ISNUMBER($D33)*($F33&lt;$D33)+ISNUMBER($E33)*ISNUMBER($F33)*($E33&gt;$F33))&gt;0,"low/high crossed",""))))</f>
        <v/>
      </c>
    </row>
    <row r="34">
      <c r="B34" s="14" t="n"/>
      <c r="C34" s="18">
        <f>IF($B34="","",IFERROR(INDEX(HSI!$D$7:$D$106,MATCH($B34,HSI!$C$7:$C$106,0)),IFERROR(INDEX(HSTECH!$D$7:$D$46,MATCH($B34,HSTECH!$C$7:$C$46,0)),IFERROR(INDEX(HSCEI!$D$7:$D$66,MATCH($B34,HSCEI!$C$7:$C$66,0)),"?"))))</f>
        <v/>
      </c>
      <c r="D34" s="85" t="n"/>
      <c r="E34" s="85" t="n"/>
      <c r="F34" s="85" t="n"/>
      <c r="G34" s="14" t="n"/>
      <c r="H34" s="40">
        <f>IF($B34="","",IFERROR(INDEX(HSI!$K$7:$K$106,MATCH($B34,HSI!$C$7:$C$106,0)),IFERROR(INDEX(HSTECH!$K$7:$K$46,MATCH($B34,HSTECH!$C$7:$C$46,0)),IFERROR(INDEX(HSCEI!$K$7:$K$66,MATCH($B34,HSCEI!$C$7:$C$66,0)),"?"))))</f>
        <v/>
      </c>
      <c r="I34" s="86">
        <f>IF($B34="","",IF($C34="?","ticker? not in any index",IF(COUNTIF($B$12:$B$71,$B34)&gt;1,"DUP - rows add up",IF((ISNUMBER($E34)*ISNUMBER($D34)*($E34&gt;$D34)+ISNUMBER($F34)*ISNUMBER($D34)*($F34&lt;$D34)+ISNUMBER($E34)*ISNUMBER($F34)*($E34&gt;$F34))&gt;0,"low/high crossed",""))))</f>
        <v/>
      </c>
    </row>
    <row r="35">
      <c r="B35" s="14" t="n"/>
      <c r="C35" s="18">
        <f>IF($B35="","",IFERROR(INDEX(HSI!$D$7:$D$106,MATCH($B35,HSI!$C$7:$C$106,0)),IFERROR(INDEX(HSTECH!$D$7:$D$46,MATCH($B35,HSTECH!$C$7:$C$46,0)),IFERROR(INDEX(HSCEI!$D$7:$D$66,MATCH($B35,HSCEI!$C$7:$C$66,0)),"?"))))</f>
        <v/>
      </c>
      <c r="D35" s="85" t="n"/>
      <c r="E35" s="85" t="n"/>
      <c r="F35" s="85" t="n"/>
      <c r="G35" s="14" t="n"/>
      <c r="H35" s="40">
        <f>IF($B35="","",IFERROR(INDEX(HSI!$K$7:$K$106,MATCH($B35,HSI!$C$7:$C$106,0)),IFERROR(INDEX(HSTECH!$K$7:$K$46,MATCH($B35,HSTECH!$C$7:$C$46,0)),IFERROR(INDEX(HSCEI!$K$7:$K$66,MATCH($B35,HSCEI!$C$7:$C$66,0)),"?"))))</f>
        <v/>
      </c>
      <c r="I35" s="86">
        <f>IF($B35="","",IF($C35="?","ticker? not in any index",IF(COUNTIF($B$12:$B$71,$B35)&gt;1,"DUP - rows add up",IF((ISNUMBER($E35)*ISNUMBER($D35)*($E35&gt;$D35)+ISNUMBER($F35)*ISNUMBER($D35)*($F35&lt;$D35)+ISNUMBER($E35)*ISNUMBER($F35)*($E35&gt;$F35))&gt;0,"low/high crossed",""))))</f>
        <v/>
      </c>
    </row>
    <row r="36">
      <c r="B36" s="14" t="n"/>
      <c r="C36" s="18">
        <f>IF($B36="","",IFERROR(INDEX(HSI!$D$7:$D$106,MATCH($B36,HSI!$C$7:$C$106,0)),IFERROR(INDEX(HSTECH!$D$7:$D$46,MATCH($B36,HSTECH!$C$7:$C$46,0)),IFERROR(INDEX(HSCEI!$D$7:$D$66,MATCH($B36,HSCEI!$C$7:$C$66,0)),"?"))))</f>
        <v/>
      </c>
      <c r="D36" s="85" t="n"/>
      <c r="E36" s="85" t="n"/>
      <c r="F36" s="85" t="n"/>
      <c r="G36" s="14" t="n"/>
      <c r="H36" s="40">
        <f>IF($B36="","",IFERROR(INDEX(HSI!$K$7:$K$106,MATCH($B36,HSI!$C$7:$C$106,0)),IFERROR(INDEX(HSTECH!$K$7:$K$46,MATCH($B36,HSTECH!$C$7:$C$46,0)),IFERROR(INDEX(HSCEI!$K$7:$K$66,MATCH($B36,HSCEI!$C$7:$C$66,0)),"?"))))</f>
        <v/>
      </c>
      <c r="I36" s="86">
        <f>IF($B36="","",IF($C36="?","ticker? not in any index",IF(COUNTIF($B$12:$B$71,$B36)&gt;1,"DUP - rows add up",IF((ISNUMBER($E36)*ISNUMBER($D36)*($E36&gt;$D36)+ISNUMBER($F36)*ISNUMBER($D36)*($F36&lt;$D36)+ISNUMBER($E36)*ISNUMBER($F36)*($E36&gt;$F36))&gt;0,"low/high crossed",""))))</f>
        <v/>
      </c>
    </row>
    <row r="37">
      <c r="B37" s="14" t="n"/>
      <c r="C37" s="18">
        <f>IF($B37="","",IFERROR(INDEX(HSI!$D$7:$D$106,MATCH($B37,HSI!$C$7:$C$106,0)),IFERROR(INDEX(HSTECH!$D$7:$D$46,MATCH($B37,HSTECH!$C$7:$C$46,0)),IFERROR(INDEX(HSCEI!$D$7:$D$66,MATCH($B37,HSCEI!$C$7:$C$66,0)),"?"))))</f>
        <v/>
      </c>
      <c r="D37" s="85" t="n"/>
      <c r="E37" s="85" t="n"/>
      <c r="F37" s="85" t="n"/>
      <c r="G37" s="14" t="n"/>
      <c r="H37" s="40">
        <f>IF($B37="","",IFERROR(INDEX(HSI!$K$7:$K$106,MATCH($B37,HSI!$C$7:$C$106,0)),IFERROR(INDEX(HSTECH!$K$7:$K$46,MATCH($B37,HSTECH!$C$7:$C$46,0)),IFERROR(INDEX(HSCEI!$K$7:$K$66,MATCH($B37,HSCEI!$C$7:$C$66,0)),"?"))))</f>
        <v/>
      </c>
      <c r="I37" s="86">
        <f>IF($B37="","",IF($C37="?","ticker? not in any index",IF(COUNTIF($B$12:$B$71,$B37)&gt;1,"DUP - rows add up",IF((ISNUMBER($E37)*ISNUMBER($D37)*($E37&gt;$D37)+ISNUMBER($F37)*ISNUMBER($D37)*($F37&lt;$D37)+ISNUMBER($E37)*ISNUMBER($F37)*($E37&gt;$F37))&gt;0,"low/high crossed",""))))</f>
        <v/>
      </c>
    </row>
    <row r="38">
      <c r="B38" s="14" t="n"/>
      <c r="C38" s="18">
        <f>IF($B38="","",IFERROR(INDEX(HSI!$D$7:$D$106,MATCH($B38,HSI!$C$7:$C$106,0)),IFERROR(INDEX(HSTECH!$D$7:$D$46,MATCH($B38,HSTECH!$C$7:$C$46,0)),IFERROR(INDEX(HSCEI!$D$7:$D$66,MATCH($B38,HSCEI!$C$7:$C$66,0)),"?"))))</f>
        <v/>
      </c>
      <c r="D38" s="85" t="n"/>
      <c r="E38" s="85" t="n"/>
      <c r="F38" s="85" t="n"/>
      <c r="G38" s="14" t="n"/>
      <c r="H38" s="40">
        <f>IF($B38="","",IFERROR(INDEX(HSI!$K$7:$K$106,MATCH($B38,HSI!$C$7:$C$106,0)),IFERROR(INDEX(HSTECH!$K$7:$K$46,MATCH($B38,HSTECH!$C$7:$C$46,0)),IFERROR(INDEX(HSCEI!$K$7:$K$66,MATCH($B38,HSCEI!$C$7:$C$66,0)),"?"))))</f>
        <v/>
      </c>
      <c r="I38" s="86">
        <f>IF($B38="","",IF($C38="?","ticker? not in any index",IF(COUNTIF($B$12:$B$71,$B38)&gt;1,"DUP - rows add up",IF((ISNUMBER($E38)*ISNUMBER($D38)*($E38&gt;$D38)+ISNUMBER($F38)*ISNUMBER($D38)*($F38&lt;$D38)+ISNUMBER($E38)*ISNUMBER($F38)*($E38&gt;$F38))&gt;0,"low/high crossed",""))))</f>
        <v/>
      </c>
    </row>
    <row r="39">
      <c r="B39" s="14" t="n"/>
      <c r="C39" s="18">
        <f>IF($B39="","",IFERROR(INDEX(HSI!$D$7:$D$106,MATCH($B39,HSI!$C$7:$C$106,0)),IFERROR(INDEX(HSTECH!$D$7:$D$46,MATCH($B39,HSTECH!$C$7:$C$46,0)),IFERROR(INDEX(HSCEI!$D$7:$D$66,MATCH($B39,HSCEI!$C$7:$C$66,0)),"?"))))</f>
        <v/>
      </c>
      <c r="D39" s="85" t="n"/>
      <c r="E39" s="85" t="n"/>
      <c r="F39" s="85" t="n"/>
      <c r="G39" s="14" t="n"/>
      <c r="H39" s="40">
        <f>IF($B39="","",IFERROR(INDEX(HSI!$K$7:$K$106,MATCH($B39,HSI!$C$7:$C$106,0)),IFERROR(INDEX(HSTECH!$K$7:$K$46,MATCH($B39,HSTECH!$C$7:$C$46,0)),IFERROR(INDEX(HSCEI!$K$7:$K$66,MATCH($B39,HSCEI!$C$7:$C$66,0)),"?"))))</f>
        <v/>
      </c>
      <c r="I39" s="86">
        <f>IF($B39="","",IF($C39="?","ticker? not in any index",IF(COUNTIF($B$12:$B$71,$B39)&gt;1,"DUP - rows add up",IF((ISNUMBER($E39)*ISNUMBER($D39)*($E39&gt;$D39)+ISNUMBER($F39)*ISNUMBER($D39)*($F39&lt;$D39)+ISNUMBER($E39)*ISNUMBER($F39)*($E39&gt;$F39))&gt;0,"low/high crossed",""))))</f>
        <v/>
      </c>
    </row>
    <row r="40">
      <c r="B40" s="14" t="n"/>
      <c r="C40" s="18">
        <f>IF($B40="","",IFERROR(INDEX(HSI!$D$7:$D$106,MATCH($B40,HSI!$C$7:$C$106,0)),IFERROR(INDEX(HSTECH!$D$7:$D$46,MATCH($B40,HSTECH!$C$7:$C$46,0)),IFERROR(INDEX(HSCEI!$D$7:$D$66,MATCH($B40,HSCEI!$C$7:$C$66,0)),"?"))))</f>
        <v/>
      </c>
      <c r="D40" s="85" t="n"/>
      <c r="E40" s="85" t="n"/>
      <c r="F40" s="85" t="n"/>
      <c r="G40" s="14" t="n"/>
      <c r="H40" s="40">
        <f>IF($B40="","",IFERROR(INDEX(HSI!$K$7:$K$106,MATCH($B40,HSI!$C$7:$C$106,0)),IFERROR(INDEX(HSTECH!$K$7:$K$46,MATCH($B40,HSTECH!$C$7:$C$46,0)),IFERROR(INDEX(HSCEI!$K$7:$K$66,MATCH($B40,HSCEI!$C$7:$C$66,0)),"?"))))</f>
        <v/>
      </c>
      <c r="I40" s="86">
        <f>IF($B40="","",IF($C40="?","ticker? not in any index",IF(COUNTIF($B$12:$B$71,$B40)&gt;1,"DUP - rows add up",IF((ISNUMBER($E40)*ISNUMBER($D40)*($E40&gt;$D40)+ISNUMBER($F40)*ISNUMBER($D40)*($F40&lt;$D40)+ISNUMBER($E40)*ISNUMBER($F40)*($E40&gt;$F40))&gt;0,"low/high crossed",""))))</f>
        <v/>
      </c>
    </row>
    <row r="41">
      <c r="B41" s="14" t="n"/>
      <c r="C41" s="18">
        <f>IF($B41="","",IFERROR(INDEX(HSI!$D$7:$D$106,MATCH($B41,HSI!$C$7:$C$106,0)),IFERROR(INDEX(HSTECH!$D$7:$D$46,MATCH($B41,HSTECH!$C$7:$C$46,0)),IFERROR(INDEX(HSCEI!$D$7:$D$66,MATCH($B41,HSCEI!$C$7:$C$66,0)),"?"))))</f>
        <v/>
      </c>
      <c r="D41" s="85" t="n"/>
      <c r="E41" s="85" t="n"/>
      <c r="F41" s="85" t="n"/>
      <c r="G41" s="14" t="n"/>
      <c r="H41" s="40">
        <f>IF($B41="","",IFERROR(INDEX(HSI!$K$7:$K$106,MATCH($B41,HSI!$C$7:$C$106,0)),IFERROR(INDEX(HSTECH!$K$7:$K$46,MATCH($B41,HSTECH!$C$7:$C$46,0)),IFERROR(INDEX(HSCEI!$K$7:$K$66,MATCH($B41,HSCEI!$C$7:$C$66,0)),"?"))))</f>
        <v/>
      </c>
      <c r="I41" s="86">
        <f>IF($B41="","",IF($C41="?","ticker? not in any index",IF(COUNTIF($B$12:$B$71,$B41)&gt;1,"DUP - rows add up",IF((ISNUMBER($E41)*ISNUMBER($D41)*($E41&gt;$D41)+ISNUMBER($F41)*ISNUMBER($D41)*($F41&lt;$D41)+ISNUMBER($E41)*ISNUMBER($F41)*($E41&gt;$F41))&gt;0,"low/high crossed",""))))</f>
        <v/>
      </c>
    </row>
    <row r="42">
      <c r="B42" s="14" t="n"/>
      <c r="C42" s="18">
        <f>IF($B42="","",IFERROR(INDEX(HSI!$D$7:$D$106,MATCH($B42,HSI!$C$7:$C$106,0)),IFERROR(INDEX(HSTECH!$D$7:$D$46,MATCH($B42,HSTECH!$C$7:$C$46,0)),IFERROR(INDEX(HSCEI!$D$7:$D$66,MATCH($B42,HSCEI!$C$7:$C$66,0)),"?"))))</f>
        <v/>
      </c>
      <c r="D42" s="85" t="n"/>
      <c r="E42" s="85" t="n"/>
      <c r="F42" s="85" t="n"/>
      <c r="G42" s="14" t="n"/>
      <c r="H42" s="40">
        <f>IF($B42="","",IFERROR(INDEX(HSI!$K$7:$K$106,MATCH($B42,HSI!$C$7:$C$106,0)),IFERROR(INDEX(HSTECH!$K$7:$K$46,MATCH($B42,HSTECH!$C$7:$C$46,0)),IFERROR(INDEX(HSCEI!$K$7:$K$66,MATCH($B42,HSCEI!$C$7:$C$66,0)),"?"))))</f>
        <v/>
      </c>
      <c r="I42" s="86">
        <f>IF($B42="","",IF($C42="?","ticker? not in any index",IF(COUNTIF($B$12:$B$71,$B42)&gt;1,"DUP - rows add up",IF((ISNUMBER($E42)*ISNUMBER($D42)*($E42&gt;$D42)+ISNUMBER($F42)*ISNUMBER($D42)*($F42&lt;$D42)+ISNUMBER($E42)*ISNUMBER($F42)*($E42&gt;$F42))&gt;0,"low/high crossed",""))))</f>
        <v/>
      </c>
    </row>
    <row r="43">
      <c r="B43" s="14" t="n"/>
      <c r="C43" s="18">
        <f>IF($B43="","",IFERROR(INDEX(HSI!$D$7:$D$106,MATCH($B43,HSI!$C$7:$C$106,0)),IFERROR(INDEX(HSTECH!$D$7:$D$46,MATCH($B43,HSTECH!$C$7:$C$46,0)),IFERROR(INDEX(HSCEI!$D$7:$D$66,MATCH($B43,HSCEI!$C$7:$C$66,0)),"?"))))</f>
        <v/>
      </c>
      <c r="D43" s="85" t="n"/>
      <c r="E43" s="85" t="n"/>
      <c r="F43" s="85" t="n"/>
      <c r="G43" s="14" t="n"/>
      <c r="H43" s="40">
        <f>IF($B43="","",IFERROR(INDEX(HSI!$K$7:$K$106,MATCH($B43,HSI!$C$7:$C$106,0)),IFERROR(INDEX(HSTECH!$K$7:$K$46,MATCH($B43,HSTECH!$C$7:$C$46,0)),IFERROR(INDEX(HSCEI!$K$7:$K$66,MATCH($B43,HSCEI!$C$7:$C$66,0)),"?"))))</f>
        <v/>
      </c>
      <c r="I43" s="86">
        <f>IF($B43="","",IF($C43="?","ticker? not in any index",IF(COUNTIF($B$12:$B$71,$B43)&gt;1,"DUP - rows add up",IF((ISNUMBER($E43)*ISNUMBER($D43)*($E43&gt;$D43)+ISNUMBER($F43)*ISNUMBER($D43)*($F43&lt;$D43)+ISNUMBER($E43)*ISNUMBER($F43)*($E43&gt;$F43))&gt;0,"low/high crossed",""))))</f>
        <v/>
      </c>
    </row>
    <row r="44">
      <c r="B44" s="14" t="n"/>
      <c r="C44" s="18">
        <f>IF($B44="","",IFERROR(INDEX(HSI!$D$7:$D$106,MATCH($B44,HSI!$C$7:$C$106,0)),IFERROR(INDEX(HSTECH!$D$7:$D$46,MATCH($B44,HSTECH!$C$7:$C$46,0)),IFERROR(INDEX(HSCEI!$D$7:$D$66,MATCH($B44,HSCEI!$C$7:$C$66,0)),"?"))))</f>
        <v/>
      </c>
      <c r="D44" s="85" t="n"/>
      <c r="E44" s="85" t="n"/>
      <c r="F44" s="85" t="n"/>
      <c r="G44" s="14" t="n"/>
      <c r="H44" s="40">
        <f>IF($B44="","",IFERROR(INDEX(HSI!$K$7:$K$106,MATCH($B44,HSI!$C$7:$C$106,0)),IFERROR(INDEX(HSTECH!$K$7:$K$46,MATCH($B44,HSTECH!$C$7:$C$46,0)),IFERROR(INDEX(HSCEI!$K$7:$K$66,MATCH($B44,HSCEI!$C$7:$C$66,0)),"?"))))</f>
        <v/>
      </c>
      <c r="I44" s="86">
        <f>IF($B44="","",IF($C44="?","ticker? not in any index",IF(COUNTIF($B$12:$B$71,$B44)&gt;1,"DUP - rows add up",IF((ISNUMBER($E44)*ISNUMBER($D44)*($E44&gt;$D44)+ISNUMBER($F44)*ISNUMBER($D44)*($F44&lt;$D44)+ISNUMBER($E44)*ISNUMBER($F44)*($E44&gt;$F44))&gt;0,"low/high crossed",""))))</f>
        <v/>
      </c>
    </row>
    <row r="45">
      <c r="B45" s="14" t="n"/>
      <c r="C45" s="18">
        <f>IF($B45="","",IFERROR(INDEX(HSI!$D$7:$D$106,MATCH($B45,HSI!$C$7:$C$106,0)),IFERROR(INDEX(HSTECH!$D$7:$D$46,MATCH($B45,HSTECH!$C$7:$C$46,0)),IFERROR(INDEX(HSCEI!$D$7:$D$66,MATCH($B45,HSCEI!$C$7:$C$66,0)),"?"))))</f>
        <v/>
      </c>
      <c r="D45" s="85" t="n"/>
      <c r="E45" s="85" t="n"/>
      <c r="F45" s="85" t="n"/>
      <c r="G45" s="14" t="n"/>
      <c r="H45" s="40">
        <f>IF($B45="","",IFERROR(INDEX(HSI!$K$7:$K$106,MATCH($B45,HSI!$C$7:$C$106,0)),IFERROR(INDEX(HSTECH!$K$7:$K$46,MATCH($B45,HSTECH!$C$7:$C$46,0)),IFERROR(INDEX(HSCEI!$K$7:$K$66,MATCH($B45,HSCEI!$C$7:$C$66,0)),"?"))))</f>
        <v/>
      </c>
      <c r="I45" s="86">
        <f>IF($B45="","",IF($C45="?","ticker? not in any index",IF(COUNTIF($B$12:$B$71,$B45)&gt;1,"DUP - rows add up",IF((ISNUMBER($E45)*ISNUMBER($D45)*($E45&gt;$D45)+ISNUMBER($F45)*ISNUMBER($D45)*($F45&lt;$D45)+ISNUMBER($E45)*ISNUMBER($F45)*($E45&gt;$F45))&gt;0,"low/high crossed",""))))</f>
        <v/>
      </c>
    </row>
    <row r="46">
      <c r="B46" s="14" t="n"/>
      <c r="C46" s="18">
        <f>IF($B46="","",IFERROR(INDEX(HSI!$D$7:$D$106,MATCH($B46,HSI!$C$7:$C$106,0)),IFERROR(INDEX(HSTECH!$D$7:$D$46,MATCH($B46,HSTECH!$C$7:$C$46,0)),IFERROR(INDEX(HSCEI!$D$7:$D$66,MATCH($B46,HSCEI!$C$7:$C$66,0)),"?"))))</f>
        <v/>
      </c>
      <c r="D46" s="85" t="n"/>
      <c r="E46" s="85" t="n"/>
      <c r="F46" s="85" t="n"/>
      <c r="G46" s="14" t="n"/>
      <c r="H46" s="40">
        <f>IF($B46="","",IFERROR(INDEX(HSI!$K$7:$K$106,MATCH($B46,HSI!$C$7:$C$106,0)),IFERROR(INDEX(HSTECH!$K$7:$K$46,MATCH($B46,HSTECH!$C$7:$C$46,0)),IFERROR(INDEX(HSCEI!$K$7:$K$66,MATCH($B46,HSCEI!$C$7:$C$66,0)),"?"))))</f>
        <v/>
      </c>
      <c r="I46" s="86">
        <f>IF($B46="","",IF($C46="?","ticker? not in any index",IF(COUNTIF($B$12:$B$71,$B46)&gt;1,"DUP - rows add up",IF((ISNUMBER($E46)*ISNUMBER($D46)*($E46&gt;$D46)+ISNUMBER($F46)*ISNUMBER($D46)*($F46&lt;$D46)+ISNUMBER($E46)*ISNUMBER($F46)*($E46&gt;$F46))&gt;0,"low/high crossed",""))))</f>
        <v/>
      </c>
    </row>
    <row r="47">
      <c r="B47" s="14" t="n"/>
      <c r="C47" s="18">
        <f>IF($B47="","",IFERROR(INDEX(HSI!$D$7:$D$106,MATCH($B47,HSI!$C$7:$C$106,0)),IFERROR(INDEX(HSTECH!$D$7:$D$46,MATCH($B47,HSTECH!$C$7:$C$46,0)),IFERROR(INDEX(HSCEI!$D$7:$D$66,MATCH($B47,HSCEI!$C$7:$C$66,0)),"?"))))</f>
        <v/>
      </c>
      <c r="D47" s="85" t="n"/>
      <c r="E47" s="85" t="n"/>
      <c r="F47" s="85" t="n"/>
      <c r="G47" s="14" t="n"/>
      <c r="H47" s="40">
        <f>IF($B47="","",IFERROR(INDEX(HSI!$K$7:$K$106,MATCH($B47,HSI!$C$7:$C$106,0)),IFERROR(INDEX(HSTECH!$K$7:$K$46,MATCH($B47,HSTECH!$C$7:$C$46,0)),IFERROR(INDEX(HSCEI!$K$7:$K$66,MATCH($B47,HSCEI!$C$7:$C$66,0)),"?"))))</f>
        <v/>
      </c>
      <c r="I47" s="86">
        <f>IF($B47="","",IF($C47="?","ticker? not in any index",IF(COUNTIF($B$12:$B$71,$B47)&gt;1,"DUP - rows add up",IF((ISNUMBER($E47)*ISNUMBER($D47)*($E47&gt;$D47)+ISNUMBER($F47)*ISNUMBER($D47)*($F47&lt;$D47)+ISNUMBER($E47)*ISNUMBER($F47)*($E47&gt;$F47))&gt;0,"low/high crossed",""))))</f>
        <v/>
      </c>
    </row>
    <row r="48">
      <c r="B48" s="14" t="n"/>
      <c r="C48" s="18">
        <f>IF($B48="","",IFERROR(INDEX(HSI!$D$7:$D$106,MATCH($B48,HSI!$C$7:$C$106,0)),IFERROR(INDEX(HSTECH!$D$7:$D$46,MATCH($B48,HSTECH!$C$7:$C$46,0)),IFERROR(INDEX(HSCEI!$D$7:$D$66,MATCH($B48,HSCEI!$C$7:$C$66,0)),"?"))))</f>
        <v/>
      </c>
      <c r="D48" s="85" t="n"/>
      <c r="E48" s="85" t="n"/>
      <c r="F48" s="85" t="n"/>
      <c r="G48" s="14" t="n"/>
      <c r="H48" s="40">
        <f>IF($B48="","",IFERROR(INDEX(HSI!$K$7:$K$106,MATCH($B48,HSI!$C$7:$C$106,0)),IFERROR(INDEX(HSTECH!$K$7:$K$46,MATCH($B48,HSTECH!$C$7:$C$46,0)),IFERROR(INDEX(HSCEI!$K$7:$K$66,MATCH($B48,HSCEI!$C$7:$C$66,0)),"?"))))</f>
        <v/>
      </c>
      <c r="I48" s="86">
        <f>IF($B48="","",IF($C48="?","ticker? not in any index",IF(COUNTIF($B$12:$B$71,$B48)&gt;1,"DUP - rows add up",IF((ISNUMBER($E48)*ISNUMBER($D48)*($E48&gt;$D48)+ISNUMBER($F48)*ISNUMBER($D48)*($F48&lt;$D48)+ISNUMBER($E48)*ISNUMBER($F48)*($E48&gt;$F48))&gt;0,"low/high crossed",""))))</f>
        <v/>
      </c>
    </row>
    <row r="49">
      <c r="B49" s="14" t="n"/>
      <c r="C49" s="18">
        <f>IF($B49="","",IFERROR(INDEX(HSI!$D$7:$D$106,MATCH($B49,HSI!$C$7:$C$106,0)),IFERROR(INDEX(HSTECH!$D$7:$D$46,MATCH($B49,HSTECH!$C$7:$C$46,0)),IFERROR(INDEX(HSCEI!$D$7:$D$66,MATCH($B49,HSCEI!$C$7:$C$66,0)),"?"))))</f>
        <v/>
      </c>
      <c r="D49" s="85" t="n"/>
      <c r="E49" s="85" t="n"/>
      <c r="F49" s="85" t="n"/>
      <c r="G49" s="14" t="n"/>
      <c r="H49" s="40">
        <f>IF($B49="","",IFERROR(INDEX(HSI!$K$7:$K$106,MATCH($B49,HSI!$C$7:$C$106,0)),IFERROR(INDEX(HSTECH!$K$7:$K$46,MATCH($B49,HSTECH!$C$7:$C$46,0)),IFERROR(INDEX(HSCEI!$K$7:$K$66,MATCH($B49,HSCEI!$C$7:$C$66,0)),"?"))))</f>
        <v/>
      </c>
      <c r="I49" s="86">
        <f>IF($B49="","",IF($C49="?","ticker? not in any index",IF(COUNTIF($B$12:$B$71,$B49)&gt;1,"DUP - rows add up",IF((ISNUMBER($E49)*ISNUMBER($D49)*($E49&gt;$D49)+ISNUMBER($F49)*ISNUMBER($D49)*($F49&lt;$D49)+ISNUMBER($E49)*ISNUMBER($F49)*($E49&gt;$F49))&gt;0,"low/high crossed",""))))</f>
        <v/>
      </c>
    </row>
    <row r="50">
      <c r="B50" s="14" t="n"/>
      <c r="C50" s="18">
        <f>IF($B50="","",IFERROR(INDEX(HSI!$D$7:$D$106,MATCH($B50,HSI!$C$7:$C$106,0)),IFERROR(INDEX(HSTECH!$D$7:$D$46,MATCH($B50,HSTECH!$C$7:$C$46,0)),IFERROR(INDEX(HSCEI!$D$7:$D$66,MATCH($B50,HSCEI!$C$7:$C$66,0)),"?"))))</f>
        <v/>
      </c>
      <c r="D50" s="85" t="n"/>
      <c r="E50" s="85" t="n"/>
      <c r="F50" s="85" t="n"/>
      <c r="G50" s="14" t="n"/>
      <c r="H50" s="40">
        <f>IF($B50="","",IFERROR(INDEX(HSI!$K$7:$K$106,MATCH($B50,HSI!$C$7:$C$106,0)),IFERROR(INDEX(HSTECH!$K$7:$K$46,MATCH($B50,HSTECH!$C$7:$C$46,0)),IFERROR(INDEX(HSCEI!$K$7:$K$66,MATCH($B50,HSCEI!$C$7:$C$66,0)),"?"))))</f>
        <v/>
      </c>
      <c r="I50" s="86">
        <f>IF($B50="","",IF($C50="?","ticker? not in any index",IF(COUNTIF($B$12:$B$71,$B50)&gt;1,"DUP - rows add up",IF((ISNUMBER($E50)*ISNUMBER($D50)*($E50&gt;$D50)+ISNUMBER($F50)*ISNUMBER($D50)*($F50&lt;$D50)+ISNUMBER($E50)*ISNUMBER($F50)*($E50&gt;$F50))&gt;0,"low/high crossed",""))))</f>
        <v/>
      </c>
    </row>
    <row r="51">
      <c r="B51" s="14" t="n"/>
      <c r="C51" s="18">
        <f>IF($B51="","",IFERROR(INDEX(HSI!$D$7:$D$106,MATCH($B51,HSI!$C$7:$C$106,0)),IFERROR(INDEX(HSTECH!$D$7:$D$46,MATCH($B51,HSTECH!$C$7:$C$46,0)),IFERROR(INDEX(HSCEI!$D$7:$D$66,MATCH($B51,HSCEI!$C$7:$C$66,0)),"?"))))</f>
        <v/>
      </c>
      <c r="D51" s="85" t="n"/>
      <c r="E51" s="85" t="n"/>
      <c r="F51" s="85" t="n"/>
      <c r="G51" s="14" t="n"/>
      <c r="H51" s="40">
        <f>IF($B51="","",IFERROR(INDEX(HSI!$K$7:$K$106,MATCH($B51,HSI!$C$7:$C$106,0)),IFERROR(INDEX(HSTECH!$K$7:$K$46,MATCH($B51,HSTECH!$C$7:$C$46,0)),IFERROR(INDEX(HSCEI!$K$7:$K$66,MATCH($B51,HSCEI!$C$7:$C$66,0)),"?"))))</f>
        <v/>
      </c>
      <c r="I51" s="86">
        <f>IF($B51="","",IF($C51="?","ticker? not in any index",IF(COUNTIF($B$12:$B$71,$B51)&gt;1,"DUP - rows add up",IF((ISNUMBER($E51)*ISNUMBER($D51)*($E51&gt;$D51)+ISNUMBER($F51)*ISNUMBER($D51)*($F51&lt;$D51)+ISNUMBER($E51)*ISNUMBER($F51)*($E51&gt;$F51))&gt;0,"low/high crossed",""))))</f>
        <v/>
      </c>
    </row>
    <row r="52">
      <c r="B52" s="14" t="n"/>
      <c r="C52" s="18">
        <f>IF($B52="","",IFERROR(INDEX(HSI!$D$7:$D$106,MATCH($B52,HSI!$C$7:$C$106,0)),IFERROR(INDEX(HSTECH!$D$7:$D$46,MATCH($B52,HSTECH!$C$7:$C$46,0)),IFERROR(INDEX(HSCEI!$D$7:$D$66,MATCH($B52,HSCEI!$C$7:$C$66,0)),"?"))))</f>
        <v/>
      </c>
      <c r="D52" s="85" t="n"/>
      <c r="E52" s="85" t="n"/>
      <c r="F52" s="85" t="n"/>
      <c r="G52" s="14" t="n"/>
      <c r="H52" s="40">
        <f>IF($B52="","",IFERROR(INDEX(HSI!$K$7:$K$106,MATCH($B52,HSI!$C$7:$C$106,0)),IFERROR(INDEX(HSTECH!$K$7:$K$46,MATCH($B52,HSTECH!$C$7:$C$46,0)),IFERROR(INDEX(HSCEI!$K$7:$K$66,MATCH($B52,HSCEI!$C$7:$C$66,0)),"?"))))</f>
        <v/>
      </c>
      <c r="I52" s="86">
        <f>IF($B52="","",IF($C52="?","ticker? not in any index",IF(COUNTIF($B$12:$B$71,$B52)&gt;1,"DUP - rows add up",IF((ISNUMBER($E52)*ISNUMBER($D52)*($E52&gt;$D52)+ISNUMBER($F52)*ISNUMBER($D52)*($F52&lt;$D52)+ISNUMBER($E52)*ISNUMBER($F52)*($E52&gt;$F52))&gt;0,"low/high crossed",""))))</f>
        <v/>
      </c>
    </row>
    <row r="53">
      <c r="B53" s="14" t="n"/>
      <c r="C53" s="18">
        <f>IF($B53="","",IFERROR(INDEX(HSI!$D$7:$D$106,MATCH($B53,HSI!$C$7:$C$106,0)),IFERROR(INDEX(HSTECH!$D$7:$D$46,MATCH($B53,HSTECH!$C$7:$C$46,0)),IFERROR(INDEX(HSCEI!$D$7:$D$66,MATCH($B53,HSCEI!$C$7:$C$66,0)),"?"))))</f>
        <v/>
      </c>
      <c r="D53" s="85" t="n"/>
      <c r="E53" s="85" t="n"/>
      <c r="F53" s="85" t="n"/>
      <c r="G53" s="14" t="n"/>
      <c r="H53" s="40">
        <f>IF($B53="","",IFERROR(INDEX(HSI!$K$7:$K$106,MATCH($B53,HSI!$C$7:$C$106,0)),IFERROR(INDEX(HSTECH!$K$7:$K$46,MATCH($B53,HSTECH!$C$7:$C$46,0)),IFERROR(INDEX(HSCEI!$K$7:$K$66,MATCH($B53,HSCEI!$C$7:$C$66,0)),"?"))))</f>
        <v/>
      </c>
      <c r="I53" s="86">
        <f>IF($B53="","",IF($C53="?","ticker? not in any index",IF(COUNTIF($B$12:$B$71,$B53)&gt;1,"DUP - rows add up",IF((ISNUMBER($E53)*ISNUMBER($D53)*($E53&gt;$D53)+ISNUMBER($F53)*ISNUMBER($D53)*($F53&lt;$D53)+ISNUMBER($E53)*ISNUMBER($F53)*($E53&gt;$F53))&gt;0,"low/high crossed",""))))</f>
        <v/>
      </c>
    </row>
    <row r="54">
      <c r="B54" s="14" t="n"/>
      <c r="C54" s="18">
        <f>IF($B54="","",IFERROR(INDEX(HSI!$D$7:$D$106,MATCH($B54,HSI!$C$7:$C$106,0)),IFERROR(INDEX(HSTECH!$D$7:$D$46,MATCH($B54,HSTECH!$C$7:$C$46,0)),IFERROR(INDEX(HSCEI!$D$7:$D$66,MATCH($B54,HSCEI!$C$7:$C$66,0)),"?"))))</f>
        <v/>
      </c>
      <c r="D54" s="85" t="n"/>
      <c r="E54" s="85" t="n"/>
      <c r="F54" s="85" t="n"/>
      <c r="G54" s="14" t="n"/>
      <c r="H54" s="40">
        <f>IF($B54="","",IFERROR(INDEX(HSI!$K$7:$K$106,MATCH($B54,HSI!$C$7:$C$106,0)),IFERROR(INDEX(HSTECH!$K$7:$K$46,MATCH($B54,HSTECH!$C$7:$C$46,0)),IFERROR(INDEX(HSCEI!$K$7:$K$66,MATCH($B54,HSCEI!$C$7:$C$66,0)),"?"))))</f>
        <v/>
      </c>
      <c r="I54" s="86">
        <f>IF($B54="","",IF($C54="?","ticker? not in any index",IF(COUNTIF($B$12:$B$71,$B54)&gt;1,"DUP - rows add up",IF((ISNUMBER($E54)*ISNUMBER($D54)*($E54&gt;$D54)+ISNUMBER($F54)*ISNUMBER($D54)*($F54&lt;$D54)+ISNUMBER($E54)*ISNUMBER($F54)*($E54&gt;$F54))&gt;0,"low/high crossed",""))))</f>
        <v/>
      </c>
    </row>
    <row r="55">
      <c r="B55" s="14" t="n"/>
      <c r="C55" s="18">
        <f>IF($B55="","",IFERROR(INDEX(HSI!$D$7:$D$106,MATCH($B55,HSI!$C$7:$C$106,0)),IFERROR(INDEX(HSTECH!$D$7:$D$46,MATCH($B55,HSTECH!$C$7:$C$46,0)),IFERROR(INDEX(HSCEI!$D$7:$D$66,MATCH($B55,HSCEI!$C$7:$C$66,0)),"?"))))</f>
        <v/>
      </c>
      <c r="D55" s="85" t="n"/>
      <c r="E55" s="85" t="n"/>
      <c r="F55" s="85" t="n"/>
      <c r="G55" s="14" t="n"/>
      <c r="H55" s="40">
        <f>IF($B55="","",IFERROR(INDEX(HSI!$K$7:$K$106,MATCH($B55,HSI!$C$7:$C$106,0)),IFERROR(INDEX(HSTECH!$K$7:$K$46,MATCH($B55,HSTECH!$C$7:$C$46,0)),IFERROR(INDEX(HSCEI!$K$7:$K$66,MATCH($B55,HSCEI!$C$7:$C$66,0)),"?"))))</f>
        <v/>
      </c>
      <c r="I55" s="86">
        <f>IF($B55="","",IF($C55="?","ticker? not in any index",IF(COUNTIF($B$12:$B$71,$B55)&gt;1,"DUP - rows add up",IF((ISNUMBER($E55)*ISNUMBER($D55)*($E55&gt;$D55)+ISNUMBER($F55)*ISNUMBER($D55)*($F55&lt;$D55)+ISNUMBER($E55)*ISNUMBER($F55)*($E55&gt;$F55))&gt;0,"low/high crossed",""))))</f>
        <v/>
      </c>
    </row>
    <row r="56">
      <c r="B56" s="14" t="n"/>
      <c r="C56" s="18">
        <f>IF($B56="","",IFERROR(INDEX(HSI!$D$7:$D$106,MATCH($B56,HSI!$C$7:$C$106,0)),IFERROR(INDEX(HSTECH!$D$7:$D$46,MATCH($B56,HSTECH!$C$7:$C$46,0)),IFERROR(INDEX(HSCEI!$D$7:$D$66,MATCH($B56,HSCEI!$C$7:$C$66,0)),"?"))))</f>
        <v/>
      </c>
      <c r="D56" s="85" t="n"/>
      <c r="E56" s="85" t="n"/>
      <c r="F56" s="85" t="n"/>
      <c r="G56" s="14" t="n"/>
      <c r="H56" s="40">
        <f>IF($B56="","",IFERROR(INDEX(HSI!$K$7:$K$106,MATCH($B56,HSI!$C$7:$C$106,0)),IFERROR(INDEX(HSTECH!$K$7:$K$46,MATCH($B56,HSTECH!$C$7:$C$46,0)),IFERROR(INDEX(HSCEI!$K$7:$K$66,MATCH($B56,HSCEI!$C$7:$C$66,0)),"?"))))</f>
        <v/>
      </c>
      <c r="I56" s="86">
        <f>IF($B56="","",IF($C56="?","ticker? not in any index",IF(COUNTIF($B$12:$B$71,$B56)&gt;1,"DUP - rows add up",IF((ISNUMBER($E56)*ISNUMBER($D56)*($E56&gt;$D56)+ISNUMBER($F56)*ISNUMBER($D56)*($F56&lt;$D56)+ISNUMBER($E56)*ISNUMBER($F56)*($E56&gt;$F56))&gt;0,"low/high crossed",""))))</f>
        <v/>
      </c>
    </row>
    <row r="57">
      <c r="B57" s="14" t="n"/>
      <c r="C57" s="18">
        <f>IF($B57="","",IFERROR(INDEX(HSI!$D$7:$D$106,MATCH($B57,HSI!$C$7:$C$106,0)),IFERROR(INDEX(HSTECH!$D$7:$D$46,MATCH($B57,HSTECH!$C$7:$C$46,0)),IFERROR(INDEX(HSCEI!$D$7:$D$66,MATCH($B57,HSCEI!$C$7:$C$66,0)),"?"))))</f>
        <v/>
      </c>
      <c r="D57" s="85" t="n"/>
      <c r="E57" s="85" t="n"/>
      <c r="F57" s="85" t="n"/>
      <c r="G57" s="14" t="n"/>
      <c r="H57" s="40">
        <f>IF($B57="","",IFERROR(INDEX(HSI!$K$7:$K$106,MATCH($B57,HSI!$C$7:$C$106,0)),IFERROR(INDEX(HSTECH!$K$7:$K$46,MATCH($B57,HSTECH!$C$7:$C$46,0)),IFERROR(INDEX(HSCEI!$K$7:$K$66,MATCH($B57,HSCEI!$C$7:$C$66,0)),"?"))))</f>
        <v/>
      </c>
      <c r="I57" s="86">
        <f>IF($B57="","",IF($C57="?","ticker? not in any index",IF(COUNTIF($B$12:$B$71,$B57)&gt;1,"DUP - rows add up",IF((ISNUMBER($E57)*ISNUMBER($D57)*($E57&gt;$D57)+ISNUMBER($F57)*ISNUMBER($D57)*($F57&lt;$D57)+ISNUMBER($E57)*ISNUMBER($F57)*($E57&gt;$F57))&gt;0,"low/high crossed",""))))</f>
        <v/>
      </c>
    </row>
    <row r="58">
      <c r="B58" s="14" t="n"/>
      <c r="C58" s="18">
        <f>IF($B58="","",IFERROR(INDEX(HSI!$D$7:$D$106,MATCH($B58,HSI!$C$7:$C$106,0)),IFERROR(INDEX(HSTECH!$D$7:$D$46,MATCH($B58,HSTECH!$C$7:$C$46,0)),IFERROR(INDEX(HSCEI!$D$7:$D$66,MATCH($B58,HSCEI!$C$7:$C$66,0)),"?"))))</f>
        <v/>
      </c>
      <c r="D58" s="85" t="n"/>
      <c r="E58" s="85" t="n"/>
      <c r="F58" s="85" t="n"/>
      <c r="G58" s="14" t="n"/>
      <c r="H58" s="40">
        <f>IF($B58="","",IFERROR(INDEX(HSI!$K$7:$K$106,MATCH($B58,HSI!$C$7:$C$106,0)),IFERROR(INDEX(HSTECH!$K$7:$K$46,MATCH($B58,HSTECH!$C$7:$C$46,0)),IFERROR(INDEX(HSCEI!$K$7:$K$66,MATCH($B58,HSCEI!$C$7:$C$66,0)),"?"))))</f>
        <v/>
      </c>
      <c r="I58" s="86">
        <f>IF($B58="","",IF($C58="?","ticker? not in any index",IF(COUNTIF($B$12:$B$71,$B58)&gt;1,"DUP - rows add up",IF((ISNUMBER($E58)*ISNUMBER($D58)*($E58&gt;$D58)+ISNUMBER($F58)*ISNUMBER($D58)*($F58&lt;$D58)+ISNUMBER($E58)*ISNUMBER($F58)*($E58&gt;$F58))&gt;0,"low/high crossed",""))))</f>
        <v/>
      </c>
    </row>
    <row r="59">
      <c r="B59" s="14" t="n"/>
      <c r="C59" s="18">
        <f>IF($B59="","",IFERROR(INDEX(HSI!$D$7:$D$106,MATCH($B59,HSI!$C$7:$C$106,0)),IFERROR(INDEX(HSTECH!$D$7:$D$46,MATCH($B59,HSTECH!$C$7:$C$46,0)),IFERROR(INDEX(HSCEI!$D$7:$D$66,MATCH($B59,HSCEI!$C$7:$C$66,0)),"?"))))</f>
        <v/>
      </c>
      <c r="D59" s="85" t="n"/>
      <c r="E59" s="85" t="n"/>
      <c r="F59" s="85" t="n"/>
      <c r="G59" s="14" t="n"/>
      <c r="H59" s="40">
        <f>IF($B59="","",IFERROR(INDEX(HSI!$K$7:$K$106,MATCH($B59,HSI!$C$7:$C$106,0)),IFERROR(INDEX(HSTECH!$K$7:$K$46,MATCH($B59,HSTECH!$C$7:$C$46,0)),IFERROR(INDEX(HSCEI!$K$7:$K$66,MATCH($B59,HSCEI!$C$7:$C$66,0)),"?"))))</f>
        <v/>
      </c>
      <c r="I59" s="86">
        <f>IF($B59="","",IF($C59="?","ticker? not in any index",IF(COUNTIF($B$12:$B$71,$B59)&gt;1,"DUP - rows add up",IF((ISNUMBER($E59)*ISNUMBER($D59)*($E59&gt;$D59)+ISNUMBER($F59)*ISNUMBER($D59)*($F59&lt;$D59)+ISNUMBER($E59)*ISNUMBER($F59)*($E59&gt;$F59))&gt;0,"low/high crossed",""))))</f>
        <v/>
      </c>
    </row>
    <row r="60">
      <c r="B60" s="14" t="n"/>
      <c r="C60" s="18">
        <f>IF($B60="","",IFERROR(INDEX(HSI!$D$7:$D$106,MATCH($B60,HSI!$C$7:$C$106,0)),IFERROR(INDEX(HSTECH!$D$7:$D$46,MATCH($B60,HSTECH!$C$7:$C$46,0)),IFERROR(INDEX(HSCEI!$D$7:$D$66,MATCH($B60,HSCEI!$C$7:$C$66,0)),"?"))))</f>
        <v/>
      </c>
      <c r="D60" s="85" t="n"/>
      <c r="E60" s="85" t="n"/>
      <c r="F60" s="85" t="n"/>
      <c r="G60" s="14" t="n"/>
      <c r="H60" s="40">
        <f>IF($B60="","",IFERROR(INDEX(HSI!$K$7:$K$106,MATCH($B60,HSI!$C$7:$C$106,0)),IFERROR(INDEX(HSTECH!$K$7:$K$46,MATCH($B60,HSTECH!$C$7:$C$46,0)),IFERROR(INDEX(HSCEI!$K$7:$K$66,MATCH($B60,HSCEI!$C$7:$C$66,0)),"?"))))</f>
        <v/>
      </c>
      <c r="I60" s="86">
        <f>IF($B60="","",IF($C60="?","ticker? not in any index",IF(COUNTIF($B$12:$B$71,$B60)&gt;1,"DUP - rows add up",IF((ISNUMBER($E60)*ISNUMBER($D60)*($E60&gt;$D60)+ISNUMBER($F60)*ISNUMBER($D60)*($F60&lt;$D60)+ISNUMBER($E60)*ISNUMBER($F60)*($E60&gt;$F60))&gt;0,"low/high crossed",""))))</f>
        <v/>
      </c>
    </row>
    <row r="61">
      <c r="B61" s="14" t="n"/>
      <c r="C61" s="18">
        <f>IF($B61="","",IFERROR(INDEX(HSI!$D$7:$D$106,MATCH($B61,HSI!$C$7:$C$106,0)),IFERROR(INDEX(HSTECH!$D$7:$D$46,MATCH($B61,HSTECH!$C$7:$C$46,0)),IFERROR(INDEX(HSCEI!$D$7:$D$66,MATCH($B61,HSCEI!$C$7:$C$66,0)),"?"))))</f>
        <v/>
      </c>
      <c r="D61" s="85" t="n"/>
      <c r="E61" s="85" t="n"/>
      <c r="F61" s="85" t="n"/>
      <c r="G61" s="14" t="n"/>
      <c r="H61" s="40">
        <f>IF($B61="","",IFERROR(INDEX(HSI!$K$7:$K$106,MATCH($B61,HSI!$C$7:$C$106,0)),IFERROR(INDEX(HSTECH!$K$7:$K$46,MATCH($B61,HSTECH!$C$7:$C$46,0)),IFERROR(INDEX(HSCEI!$K$7:$K$66,MATCH($B61,HSCEI!$C$7:$C$66,0)),"?"))))</f>
        <v/>
      </c>
      <c r="I61" s="86">
        <f>IF($B61="","",IF($C61="?","ticker? not in any index",IF(COUNTIF($B$12:$B$71,$B61)&gt;1,"DUP - rows add up",IF((ISNUMBER($E61)*ISNUMBER($D61)*($E61&gt;$D61)+ISNUMBER($F61)*ISNUMBER($D61)*($F61&lt;$D61)+ISNUMBER($E61)*ISNUMBER($F61)*($E61&gt;$F61))&gt;0,"low/high crossed",""))))</f>
        <v/>
      </c>
    </row>
    <row r="62">
      <c r="B62" s="14" t="n"/>
      <c r="C62" s="18">
        <f>IF($B62="","",IFERROR(INDEX(HSI!$D$7:$D$106,MATCH($B62,HSI!$C$7:$C$106,0)),IFERROR(INDEX(HSTECH!$D$7:$D$46,MATCH($B62,HSTECH!$C$7:$C$46,0)),IFERROR(INDEX(HSCEI!$D$7:$D$66,MATCH($B62,HSCEI!$C$7:$C$66,0)),"?"))))</f>
        <v/>
      </c>
      <c r="D62" s="85" t="n"/>
      <c r="E62" s="85" t="n"/>
      <c r="F62" s="85" t="n"/>
      <c r="G62" s="14" t="n"/>
      <c r="H62" s="40">
        <f>IF($B62="","",IFERROR(INDEX(HSI!$K$7:$K$106,MATCH($B62,HSI!$C$7:$C$106,0)),IFERROR(INDEX(HSTECH!$K$7:$K$46,MATCH($B62,HSTECH!$C$7:$C$46,0)),IFERROR(INDEX(HSCEI!$K$7:$K$66,MATCH($B62,HSCEI!$C$7:$C$66,0)),"?"))))</f>
        <v/>
      </c>
      <c r="I62" s="86">
        <f>IF($B62="","",IF($C62="?","ticker? not in any index",IF(COUNTIF($B$12:$B$71,$B62)&gt;1,"DUP - rows add up",IF((ISNUMBER($E62)*ISNUMBER($D62)*($E62&gt;$D62)+ISNUMBER($F62)*ISNUMBER($D62)*($F62&lt;$D62)+ISNUMBER($E62)*ISNUMBER($F62)*($E62&gt;$F62))&gt;0,"low/high crossed",""))))</f>
        <v/>
      </c>
    </row>
    <row r="63">
      <c r="B63" s="14" t="n"/>
      <c r="C63" s="18">
        <f>IF($B63="","",IFERROR(INDEX(HSI!$D$7:$D$106,MATCH($B63,HSI!$C$7:$C$106,0)),IFERROR(INDEX(HSTECH!$D$7:$D$46,MATCH($B63,HSTECH!$C$7:$C$46,0)),IFERROR(INDEX(HSCEI!$D$7:$D$66,MATCH($B63,HSCEI!$C$7:$C$66,0)),"?"))))</f>
        <v/>
      </c>
      <c r="D63" s="85" t="n"/>
      <c r="E63" s="85" t="n"/>
      <c r="F63" s="85" t="n"/>
      <c r="G63" s="14" t="n"/>
      <c r="H63" s="40">
        <f>IF($B63="","",IFERROR(INDEX(HSI!$K$7:$K$106,MATCH($B63,HSI!$C$7:$C$106,0)),IFERROR(INDEX(HSTECH!$K$7:$K$46,MATCH($B63,HSTECH!$C$7:$C$46,0)),IFERROR(INDEX(HSCEI!$K$7:$K$66,MATCH($B63,HSCEI!$C$7:$C$66,0)),"?"))))</f>
        <v/>
      </c>
      <c r="I63" s="86">
        <f>IF($B63="","",IF($C63="?","ticker? not in any index",IF(COUNTIF($B$12:$B$71,$B63)&gt;1,"DUP - rows add up",IF((ISNUMBER($E63)*ISNUMBER($D63)*($E63&gt;$D63)+ISNUMBER($F63)*ISNUMBER($D63)*($F63&lt;$D63)+ISNUMBER($E63)*ISNUMBER($F63)*($E63&gt;$F63))&gt;0,"low/high crossed",""))))</f>
        <v/>
      </c>
    </row>
    <row r="64">
      <c r="B64" s="14" t="n"/>
      <c r="C64" s="18">
        <f>IF($B64="","",IFERROR(INDEX(HSI!$D$7:$D$106,MATCH($B64,HSI!$C$7:$C$106,0)),IFERROR(INDEX(HSTECH!$D$7:$D$46,MATCH($B64,HSTECH!$C$7:$C$46,0)),IFERROR(INDEX(HSCEI!$D$7:$D$66,MATCH($B64,HSCEI!$C$7:$C$66,0)),"?"))))</f>
        <v/>
      </c>
      <c r="D64" s="85" t="n"/>
      <c r="E64" s="85" t="n"/>
      <c r="F64" s="85" t="n"/>
      <c r="G64" s="14" t="n"/>
      <c r="H64" s="40">
        <f>IF($B64="","",IFERROR(INDEX(HSI!$K$7:$K$106,MATCH($B64,HSI!$C$7:$C$106,0)),IFERROR(INDEX(HSTECH!$K$7:$K$46,MATCH($B64,HSTECH!$C$7:$C$46,0)),IFERROR(INDEX(HSCEI!$K$7:$K$66,MATCH($B64,HSCEI!$C$7:$C$66,0)),"?"))))</f>
        <v/>
      </c>
      <c r="I64" s="86">
        <f>IF($B64="","",IF($C64="?","ticker? not in any index",IF(COUNTIF($B$12:$B$71,$B64)&gt;1,"DUP - rows add up",IF((ISNUMBER($E64)*ISNUMBER($D64)*($E64&gt;$D64)+ISNUMBER($F64)*ISNUMBER($D64)*($F64&lt;$D64)+ISNUMBER($E64)*ISNUMBER($F64)*($E64&gt;$F64))&gt;0,"low/high crossed",""))))</f>
        <v/>
      </c>
    </row>
    <row r="65">
      <c r="B65" s="14" t="n"/>
      <c r="C65" s="18">
        <f>IF($B65="","",IFERROR(INDEX(HSI!$D$7:$D$106,MATCH($B65,HSI!$C$7:$C$106,0)),IFERROR(INDEX(HSTECH!$D$7:$D$46,MATCH($B65,HSTECH!$C$7:$C$46,0)),IFERROR(INDEX(HSCEI!$D$7:$D$66,MATCH($B65,HSCEI!$C$7:$C$66,0)),"?"))))</f>
        <v/>
      </c>
      <c r="D65" s="85" t="n"/>
      <c r="E65" s="85" t="n"/>
      <c r="F65" s="85" t="n"/>
      <c r="G65" s="14" t="n"/>
      <c r="H65" s="40">
        <f>IF($B65="","",IFERROR(INDEX(HSI!$K$7:$K$106,MATCH($B65,HSI!$C$7:$C$106,0)),IFERROR(INDEX(HSTECH!$K$7:$K$46,MATCH($B65,HSTECH!$C$7:$C$46,0)),IFERROR(INDEX(HSCEI!$K$7:$K$66,MATCH($B65,HSCEI!$C$7:$C$66,0)),"?"))))</f>
        <v/>
      </c>
      <c r="I65" s="86">
        <f>IF($B65="","",IF($C65="?","ticker? not in any index",IF(COUNTIF($B$12:$B$71,$B65)&gt;1,"DUP - rows add up",IF((ISNUMBER($E65)*ISNUMBER($D65)*($E65&gt;$D65)+ISNUMBER($F65)*ISNUMBER($D65)*($F65&lt;$D65)+ISNUMBER($E65)*ISNUMBER($F65)*($E65&gt;$F65))&gt;0,"low/high crossed",""))))</f>
        <v/>
      </c>
    </row>
    <row r="66">
      <c r="B66" s="14" t="n"/>
      <c r="C66" s="18">
        <f>IF($B66="","",IFERROR(INDEX(HSI!$D$7:$D$106,MATCH($B66,HSI!$C$7:$C$106,0)),IFERROR(INDEX(HSTECH!$D$7:$D$46,MATCH($B66,HSTECH!$C$7:$C$46,0)),IFERROR(INDEX(HSCEI!$D$7:$D$66,MATCH($B66,HSCEI!$C$7:$C$66,0)),"?"))))</f>
        <v/>
      </c>
      <c r="D66" s="85" t="n"/>
      <c r="E66" s="85" t="n"/>
      <c r="F66" s="85" t="n"/>
      <c r="G66" s="14" t="n"/>
      <c r="H66" s="40">
        <f>IF($B66="","",IFERROR(INDEX(HSI!$K$7:$K$106,MATCH($B66,HSI!$C$7:$C$106,0)),IFERROR(INDEX(HSTECH!$K$7:$K$46,MATCH($B66,HSTECH!$C$7:$C$46,0)),IFERROR(INDEX(HSCEI!$K$7:$K$66,MATCH($B66,HSCEI!$C$7:$C$66,0)),"?"))))</f>
        <v/>
      </c>
      <c r="I66" s="86">
        <f>IF($B66="","",IF($C66="?","ticker? not in any index",IF(COUNTIF($B$12:$B$71,$B66)&gt;1,"DUP - rows add up",IF((ISNUMBER($E66)*ISNUMBER($D66)*($E66&gt;$D66)+ISNUMBER($F66)*ISNUMBER($D66)*($F66&lt;$D66)+ISNUMBER($E66)*ISNUMBER($F66)*($E66&gt;$F66))&gt;0,"low/high crossed",""))))</f>
        <v/>
      </c>
    </row>
    <row r="67">
      <c r="B67" s="14" t="n"/>
      <c r="C67" s="18">
        <f>IF($B67="","",IFERROR(INDEX(HSI!$D$7:$D$106,MATCH($B67,HSI!$C$7:$C$106,0)),IFERROR(INDEX(HSTECH!$D$7:$D$46,MATCH($B67,HSTECH!$C$7:$C$46,0)),IFERROR(INDEX(HSCEI!$D$7:$D$66,MATCH($B67,HSCEI!$C$7:$C$66,0)),"?"))))</f>
        <v/>
      </c>
      <c r="D67" s="85" t="n"/>
      <c r="E67" s="85" t="n"/>
      <c r="F67" s="85" t="n"/>
      <c r="G67" s="14" t="n"/>
      <c r="H67" s="40">
        <f>IF($B67="","",IFERROR(INDEX(HSI!$K$7:$K$106,MATCH($B67,HSI!$C$7:$C$106,0)),IFERROR(INDEX(HSTECH!$K$7:$K$46,MATCH($B67,HSTECH!$C$7:$C$46,0)),IFERROR(INDEX(HSCEI!$K$7:$K$66,MATCH($B67,HSCEI!$C$7:$C$66,0)),"?"))))</f>
        <v/>
      </c>
      <c r="I67" s="86">
        <f>IF($B67="","",IF($C67="?","ticker? not in any index",IF(COUNTIF($B$12:$B$71,$B67)&gt;1,"DUP - rows add up",IF((ISNUMBER($E67)*ISNUMBER($D67)*($E67&gt;$D67)+ISNUMBER($F67)*ISNUMBER($D67)*($F67&lt;$D67)+ISNUMBER($E67)*ISNUMBER($F67)*($E67&gt;$F67))&gt;0,"low/high crossed",""))))</f>
        <v/>
      </c>
    </row>
    <row r="68">
      <c r="B68" s="14" t="n"/>
      <c r="C68" s="18">
        <f>IF($B68="","",IFERROR(INDEX(HSI!$D$7:$D$106,MATCH($B68,HSI!$C$7:$C$106,0)),IFERROR(INDEX(HSTECH!$D$7:$D$46,MATCH($B68,HSTECH!$C$7:$C$46,0)),IFERROR(INDEX(HSCEI!$D$7:$D$66,MATCH($B68,HSCEI!$C$7:$C$66,0)),"?"))))</f>
        <v/>
      </c>
      <c r="D68" s="85" t="n"/>
      <c r="E68" s="85" t="n"/>
      <c r="F68" s="85" t="n"/>
      <c r="G68" s="14" t="n"/>
      <c r="H68" s="40">
        <f>IF($B68="","",IFERROR(INDEX(HSI!$K$7:$K$106,MATCH($B68,HSI!$C$7:$C$106,0)),IFERROR(INDEX(HSTECH!$K$7:$K$46,MATCH($B68,HSTECH!$C$7:$C$46,0)),IFERROR(INDEX(HSCEI!$K$7:$K$66,MATCH($B68,HSCEI!$C$7:$C$66,0)),"?"))))</f>
        <v/>
      </c>
      <c r="I68" s="86">
        <f>IF($B68="","",IF($C68="?","ticker? not in any index",IF(COUNTIF($B$12:$B$71,$B68)&gt;1,"DUP - rows add up",IF((ISNUMBER($E68)*ISNUMBER($D68)*($E68&gt;$D68)+ISNUMBER($F68)*ISNUMBER($D68)*($F68&lt;$D68)+ISNUMBER($E68)*ISNUMBER($F68)*($E68&gt;$F68))&gt;0,"low/high crossed",""))))</f>
        <v/>
      </c>
    </row>
    <row r="69">
      <c r="B69" s="14" t="n"/>
      <c r="C69" s="18">
        <f>IF($B69="","",IFERROR(INDEX(HSI!$D$7:$D$106,MATCH($B69,HSI!$C$7:$C$106,0)),IFERROR(INDEX(HSTECH!$D$7:$D$46,MATCH($B69,HSTECH!$C$7:$C$46,0)),IFERROR(INDEX(HSCEI!$D$7:$D$66,MATCH($B69,HSCEI!$C$7:$C$66,0)),"?"))))</f>
        <v/>
      </c>
      <c r="D69" s="85" t="n"/>
      <c r="E69" s="85" t="n"/>
      <c r="F69" s="85" t="n"/>
      <c r="G69" s="14" t="n"/>
      <c r="H69" s="40">
        <f>IF($B69="","",IFERROR(INDEX(HSI!$K$7:$K$106,MATCH($B69,HSI!$C$7:$C$106,0)),IFERROR(INDEX(HSTECH!$K$7:$K$46,MATCH($B69,HSTECH!$C$7:$C$46,0)),IFERROR(INDEX(HSCEI!$K$7:$K$66,MATCH($B69,HSCEI!$C$7:$C$66,0)),"?"))))</f>
        <v/>
      </c>
      <c r="I69" s="86">
        <f>IF($B69="","",IF($C69="?","ticker? not in any index",IF(COUNTIF($B$12:$B$71,$B69)&gt;1,"DUP - rows add up",IF((ISNUMBER($E69)*ISNUMBER($D69)*($E69&gt;$D69)+ISNUMBER($F69)*ISNUMBER($D69)*($F69&lt;$D69)+ISNUMBER($E69)*ISNUMBER($F69)*($E69&gt;$F69))&gt;0,"low/high crossed",""))))</f>
        <v/>
      </c>
    </row>
    <row r="70">
      <c r="B70" s="14" t="n"/>
      <c r="C70" s="18">
        <f>IF($B70="","",IFERROR(INDEX(HSI!$D$7:$D$106,MATCH($B70,HSI!$C$7:$C$106,0)),IFERROR(INDEX(HSTECH!$D$7:$D$46,MATCH($B70,HSTECH!$C$7:$C$46,0)),IFERROR(INDEX(HSCEI!$D$7:$D$66,MATCH($B70,HSCEI!$C$7:$C$66,0)),"?"))))</f>
        <v/>
      </c>
      <c r="D70" s="85" t="n"/>
      <c r="E70" s="85" t="n"/>
      <c r="F70" s="85" t="n"/>
      <c r="G70" s="14" t="n"/>
      <c r="H70" s="40">
        <f>IF($B70="","",IFERROR(INDEX(HSI!$K$7:$K$106,MATCH($B70,HSI!$C$7:$C$106,0)),IFERROR(INDEX(HSTECH!$K$7:$K$46,MATCH($B70,HSTECH!$C$7:$C$46,0)),IFERROR(INDEX(HSCEI!$K$7:$K$66,MATCH($B70,HSCEI!$C$7:$C$66,0)),"?"))))</f>
        <v/>
      </c>
      <c r="I70" s="86">
        <f>IF($B70="","",IF($C70="?","ticker? not in any index",IF(COUNTIF($B$12:$B$71,$B70)&gt;1,"DUP - rows add up",IF((ISNUMBER($E70)*ISNUMBER($D70)*($E70&gt;$D70)+ISNUMBER($F70)*ISNUMBER($D70)*($F70&lt;$D70)+ISNUMBER($E70)*ISNUMBER($F70)*($E70&gt;$F70))&gt;0,"low/high crossed",""))))</f>
        <v/>
      </c>
    </row>
    <row r="71">
      <c r="B71" s="14" t="n"/>
      <c r="C71" s="18">
        <f>IF($B71="","",IFERROR(INDEX(HSI!$D$7:$D$106,MATCH($B71,HSI!$C$7:$C$106,0)),IFERROR(INDEX(HSTECH!$D$7:$D$46,MATCH($B71,HSTECH!$C$7:$C$46,0)),IFERROR(INDEX(HSCEI!$D$7:$D$66,MATCH($B71,HSCEI!$C$7:$C$66,0)),"?"))))</f>
        <v/>
      </c>
      <c r="D71" s="85" t="n"/>
      <c r="E71" s="85" t="n"/>
      <c r="F71" s="85" t="n"/>
      <c r="G71" s="14" t="n"/>
      <c r="H71" s="40">
        <f>IF($B71="","",IFERROR(INDEX(HSI!$K$7:$K$106,MATCH($B71,HSI!$C$7:$C$106,0)),IFERROR(INDEX(HSTECH!$K$7:$K$46,MATCH($B71,HSTECH!$C$7:$C$46,0)),IFERROR(INDEX(HSCEI!$K$7:$K$66,MATCH($B71,HSCEI!$C$7:$C$66,0)),"?"))))</f>
        <v/>
      </c>
      <c r="I71" s="86">
        <f>IF($B71="","",IF($C71="?","ticker? not in any index",IF(COUNTIF($B$12:$B$71,$B71)&gt;1,"DUP - rows add up",IF((ISNUMBER($E71)*ISNUMBER($D71)*($E71&gt;$D71)+ISNUMBER($F71)*ISNUMBER($D71)*($F71&lt;$D71)+ISNUMBER($E71)*ISNUMBER($F71)*($E71&gt;$F71))&gt;0,"low/high crossed",""))))</f>
        <v/>
      </c>
    </row>
    <row r="74">
      <c r="B74" s="3" t="inlineStr">
        <is>
          <t>BY SECTOR - Hang Seng Index (HSI)   (read-only, sorted by sector at refresh)</t>
        </is>
      </c>
      <c r="C74" s="4" t="n"/>
      <c r="D74" s="4" t="n"/>
      <c r="E74" s="4" t="n"/>
      <c r="F74" s="4" t="n"/>
      <c r="G74" s="4" t="n"/>
      <c r="H74" s="4" t="n"/>
      <c r="I74" s="4" t="n"/>
    </row>
    <row r="75">
      <c r="B75" s="19" t="inlineStr">
        <is>
          <t>GICS Sector</t>
        </is>
      </c>
      <c r="C75" s="19" t="inlineStr">
        <is>
          <t>Name</t>
        </is>
      </c>
      <c r="D75" s="19" t="inlineStr">
        <is>
          <t>Ticker</t>
        </is>
      </c>
      <c r="E75" s="19" t="inlineStr">
        <is>
          <t>BBG rest
of yr</t>
        </is>
      </c>
      <c r="F75" s="19" t="inlineStr">
        <is>
          <t>YOUR base</t>
        </is>
      </c>
      <c r="G75" s="19" t="inlineStr">
        <is>
          <t>Effective</t>
        </is>
      </c>
      <c r="H75" s="19" t="inlineStr">
        <is>
          <t>Impact
(pts)</t>
        </is>
      </c>
      <c r="I75" s="19" t="inlineStr">
        <is>
          <t>Flag</t>
        </is>
      </c>
      <c r="K75" s="2" t="inlineStr">
        <is>
          <t>engine</t>
        </is>
      </c>
    </row>
    <row r="76">
      <c r="B76" s="18">
        <f>IF($L76="","",INDEX(HSI!$E$7:$E$106,($L76-INT($L76/1000)*1000)))</f>
        <v/>
      </c>
      <c r="C76" s="18">
        <f>IF($L76="","",INDEX(HSI!$D$7:$D$106,($L76-INT($L76/1000)*1000)))</f>
        <v/>
      </c>
      <c r="D76" s="18">
        <f>IF($L76="","",INDEX(HSI!$C$7:$C$106,($L76-INT($L76/1000)*1000)))</f>
        <v/>
      </c>
      <c r="E76" s="65">
        <f>IF($L76="","",INDEX(HSI!$K$7:$K$106,($L76-INT($L76/1000)*1000)))</f>
        <v/>
      </c>
      <c r="F76" s="40">
        <f>IF($L76="","",IF(COUNTIFS(OVR_TICKERS,$D76,OVR_BASE,"&gt;=0")=0,"",SUMIFS(OVR_BASE,OVR_TICKERS,$D76)))</f>
        <v/>
      </c>
      <c r="G76" s="65">
        <f>IF($L76="","",INDEX(HSI!$L$7:$L$106,($L76-INT($L76/1000)*1000)))</f>
        <v/>
      </c>
      <c r="H76" s="87">
        <f>IF($L76="","",IF($F76="","",IFERROR(($F76-$E76)*INDEX(HSI!$B$7:$B$106,($L76-INT($L76/1000)*1000))*INDEX(HSI!$G$7:$G$106,($L76-INT($L76/1000)*1000))/HSI!$B$3,"")))</f>
        <v/>
      </c>
      <c r="I76" s="43">
        <f>IF($L76="","",INDEX(HSI!$U$7:$U$106,($L76-INT($L76/1000)*1000)))</f>
        <v/>
      </c>
      <c r="K76" s="35">
        <f>IF(HSI!$C$7="","",IFERROR(MATCH(HSI!$E$7,Fundamentals!$B$216:$B$226,0),99)*1000+1)</f>
        <v/>
      </c>
      <c r="L76" s="35">
        <f>IFERROR(SMALL($K$76:$K$175,1),"")</f>
        <v/>
      </c>
    </row>
    <row r="77">
      <c r="B77" s="18">
        <f>IF($L77="","",INDEX(HSI!$E$7:$E$106,($L77-INT($L77/1000)*1000)))</f>
        <v/>
      </c>
      <c r="C77" s="18">
        <f>IF($L77="","",INDEX(HSI!$D$7:$D$106,($L77-INT($L77/1000)*1000)))</f>
        <v/>
      </c>
      <c r="D77" s="18">
        <f>IF($L77="","",INDEX(HSI!$C$7:$C$106,($L77-INT($L77/1000)*1000)))</f>
        <v/>
      </c>
      <c r="E77" s="65">
        <f>IF($L77="","",INDEX(HSI!$K$7:$K$106,($L77-INT($L77/1000)*1000)))</f>
        <v/>
      </c>
      <c r="F77" s="40">
        <f>IF($L77="","",IF(COUNTIFS(OVR_TICKERS,$D77,OVR_BASE,"&gt;=0")=0,"",SUMIFS(OVR_BASE,OVR_TICKERS,$D77)))</f>
        <v/>
      </c>
      <c r="G77" s="65">
        <f>IF($L77="","",INDEX(HSI!$L$7:$L$106,($L77-INT($L77/1000)*1000)))</f>
        <v/>
      </c>
      <c r="H77" s="87">
        <f>IF($L77="","",IF($F77="","",IFERROR(($F77-$E77)*INDEX(HSI!$B$7:$B$106,($L77-INT($L77/1000)*1000))*INDEX(HSI!$G$7:$G$106,($L77-INT($L77/1000)*1000))/HSI!$B$3,"")))</f>
        <v/>
      </c>
      <c r="I77" s="43">
        <f>IF($L77="","",INDEX(HSI!$U$7:$U$106,($L77-INT($L77/1000)*1000)))</f>
        <v/>
      </c>
      <c r="K77" s="35">
        <f>IF(HSI!$C$8="","",IFERROR(MATCH(HSI!$E$8,Fundamentals!$B$216:$B$226,0),99)*1000+2)</f>
        <v/>
      </c>
      <c r="L77" s="35">
        <f>IFERROR(SMALL($K$76:$K$175,2),"")</f>
        <v/>
      </c>
    </row>
    <row r="78">
      <c r="B78" s="18">
        <f>IF($L78="","",INDEX(HSI!$E$7:$E$106,($L78-INT($L78/1000)*1000)))</f>
        <v/>
      </c>
      <c r="C78" s="18">
        <f>IF($L78="","",INDEX(HSI!$D$7:$D$106,($L78-INT($L78/1000)*1000)))</f>
        <v/>
      </c>
      <c r="D78" s="18">
        <f>IF($L78="","",INDEX(HSI!$C$7:$C$106,($L78-INT($L78/1000)*1000)))</f>
        <v/>
      </c>
      <c r="E78" s="65">
        <f>IF($L78="","",INDEX(HSI!$K$7:$K$106,($L78-INT($L78/1000)*1000)))</f>
        <v/>
      </c>
      <c r="F78" s="40">
        <f>IF($L78="","",IF(COUNTIFS(OVR_TICKERS,$D78,OVR_BASE,"&gt;=0")=0,"",SUMIFS(OVR_BASE,OVR_TICKERS,$D78)))</f>
        <v/>
      </c>
      <c r="G78" s="65">
        <f>IF($L78="","",INDEX(HSI!$L$7:$L$106,($L78-INT($L78/1000)*1000)))</f>
        <v/>
      </c>
      <c r="H78" s="87">
        <f>IF($L78="","",IF($F78="","",IFERROR(($F78-$E78)*INDEX(HSI!$B$7:$B$106,($L78-INT($L78/1000)*1000))*INDEX(HSI!$G$7:$G$106,($L78-INT($L78/1000)*1000))/HSI!$B$3,"")))</f>
        <v/>
      </c>
      <c r="I78" s="43">
        <f>IF($L78="","",INDEX(HSI!$U$7:$U$106,($L78-INT($L78/1000)*1000)))</f>
        <v/>
      </c>
      <c r="K78" s="35">
        <f>IF(HSI!$C$9="","",IFERROR(MATCH(HSI!$E$9,Fundamentals!$B$216:$B$226,0),99)*1000+3)</f>
        <v/>
      </c>
      <c r="L78" s="35">
        <f>IFERROR(SMALL($K$76:$K$175,3),"")</f>
        <v/>
      </c>
    </row>
    <row r="79">
      <c r="B79" s="18">
        <f>IF($L79="","",INDEX(HSI!$E$7:$E$106,($L79-INT($L79/1000)*1000)))</f>
        <v/>
      </c>
      <c r="C79" s="18">
        <f>IF($L79="","",INDEX(HSI!$D$7:$D$106,($L79-INT($L79/1000)*1000)))</f>
        <v/>
      </c>
      <c r="D79" s="18">
        <f>IF($L79="","",INDEX(HSI!$C$7:$C$106,($L79-INT($L79/1000)*1000)))</f>
        <v/>
      </c>
      <c r="E79" s="65">
        <f>IF($L79="","",INDEX(HSI!$K$7:$K$106,($L79-INT($L79/1000)*1000)))</f>
        <v/>
      </c>
      <c r="F79" s="40">
        <f>IF($L79="","",IF(COUNTIFS(OVR_TICKERS,$D79,OVR_BASE,"&gt;=0")=0,"",SUMIFS(OVR_BASE,OVR_TICKERS,$D79)))</f>
        <v/>
      </c>
      <c r="G79" s="65">
        <f>IF($L79="","",INDEX(HSI!$L$7:$L$106,($L79-INT($L79/1000)*1000)))</f>
        <v/>
      </c>
      <c r="H79" s="87">
        <f>IF($L79="","",IF($F79="","",IFERROR(($F79-$E79)*INDEX(HSI!$B$7:$B$106,($L79-INT($L79/1000)*1000))*INDEX(HSI!$G$7:$G$106,($L79-INT($L79/1000)*1000))/HSI!$B$3,"")))</f>
        <v/>
      </c>
      <c r="I79" s="43">
        <f>IF($L79="","",INDEX(HSI!$U$7:$U$106,($L79-INT($L79/1000)*1000)))</f>
        <v/>
      </c>
      <c r="K79" s="35">
        <f>IF(HSI!$C$10="","",IFERROR(MATCH(HSI!$E$10,Fundamentals!$B$216:$B$226,0),99)*1000+4)</f>
        <v/>
      </c>
      <c r="L79" s="35">
        <f>IFERROR(SMALL($K$76:$K$175,4),"")</f>
        <v/>
      </c>
    </row>
    <row r="80">
      <c r="B80" s="18">
        <f>IF($L80="","",INDEX(HSI!$E$7:$E$106,($L80-INT($L80/1000)*1000)))</f>
        <v/>
      </c>
      <c r="C80" s="18">
        <f>IF($L80="","",INDEX(HSI!$D$7:$D$106,($L80-INT($L80/1000)*1000)))</f>
        <v/>
      </c>
      <c r="D80" s="18">
        <f>IF($L80="","",INDEX(HSI!$C$7:$C$106,($L80-INT($L80/1000)*1000)))</f>
        <v/>
      </c>
      <c r="E80" s="65">
        <f>IF($L80="","",INDEX(HSI!$K$7:$K$106,($L80-INT($L80/1000)*1000)))</f>
        <v/>
      </c>
      <c r="F80" s="40">
        <f>IF($L80="","",IF(COUNTIFS(OVR_TICKERS,$D80,OVR_BASE,"&gt;=0")=0,"",SUMIFS(OVR_BASE,OVR_TICKERS,$D80)))</f>
        <v/>
      </c>
      <c r="G80" s="65">
        <f>IF($L80="","",INDEX(HSI!$L$7:$L$106,($L80-INT($L80/1000)*1000)))</f>
        <v/>
      </c>
      <c r="H80" s="87">
        <f>IF($L80="","",IF($F80="","",IFERROR(($F80-$E80)*INDEX(HSI!$B$7:$B$106,($L80-INT($L80/1000)*1000))*INDEX(HSI!$G$7:$G$106,($L80-INT($L80/1000)*1000))/HSI!$B$3,"")))</f>
        <v/>
      </c>
      <c r="I80" s="43">
        <f>IF($L80="","",INDEX(HSI!$U$7:$U$106,($L80-INT($L80/1000)*1000)))</f>
        <v/>
      </c>
      <c r="K80" s="35">
        <f>IF(HSI!$C$11="","",IFERROR(MATCH(HSI!$E$11,Fundamentals!$B$216:$B$226,0),99)*1000+5)</f>
        <v/>
      </c>
      <c r="L80" s="35">
        <f>IFERROR(SMALL($K$76:$K$175,5),"")</f>
        <v/>
      </c>
    </row>
    <row r="81">
      <c r="B81" s="18">
        <f>IF($L81="","",INDEX(HSI!$E$7:$E$106,($L81-INT($L81/1000)*1000)))</f>
        <v/>
      </c>
      <c r="C81" s="18">
        <f>IF($L81="","",INDEX(HSI!$D$7:$D$106,($L81-INT($L81/1000)*1000)))</f>
        <v/>
      </c>
      <c r="D81" s="18">
        <f>IF($L81="","",INDEX(HSI!$C$7:$C$106,($L81-INT($L81/1000)*1000)))</f>
        <v/>
      </c>
      <c r="E81" s="65">
        <f>IF($L81="","",INDEX(HSI!$K$7:$K$106,($L81-INT($L81/1000)*1000)))</f>
        <v/>
      </c>
      <c r="F81" s="40">
        <f>IF($L81="","",IF(COUNTIFS(OVR_TICKERS,$D81,OVR_BASE,"&gt;=0")=0,"",SUMIFS(OVR_BASE,OVR_TICKERS,$D81)))</f>
        <v/>
      </c>
      <c r="G81" s="65">
        <f>IF($L81="","",INDEX(HSI!$L$7:$L$106,($L81-INT($L81/1000)*1000)))</f>
        <v/>
      </c>
      <c r="H81" s="87">
        <f>IF($L81="","",IF($F81="","",IFERROR(($F81-$E81)*INDEX(HSI!$B$7:$B$106,($L81-INT($L81/1000)*1000))*INDEX(HSI!$G$7:$G$106,($L81-INT($L81/1000)*1000))/HSI!$B$3,"")))</f>
        <v/>
      </c>
      <c r="I81" s="43">
        <f>IF($L81="","",INDEX(HSI!$U$7:$U$106,($L81-INT($L81/1000)*1000)))</f>
        <v/>
      </c>
      <c r="K81" s="35">
        <f>IF(HSI!$C$12="","",IFERROR(MATCH(HSI!$E$12,Fundamentals!$B$216:$B$226,0),99)*1000+6)</f>
        <v/>
      </c>
      <c r="L81" s="35">
        <f>IFERROR(SMALL($K$76:$K$175,6),"")</f>
        <v/>
      </c>
    </row>
    <row r="82">
      <c r="B82" s="18">
        <f>IF($L82="","",INDEX(HSI!$E$7:$E$106,($L82-INT($L82/1000)*1000)))</f>
        <v/>
      </c>
      <c r="C82" s="18">
        <f>IF($L82="","",INDEX(HSI!$D$7:$D$106,($L82-INT($L82/1000)*1000)))</f>
        <v/>
      </c>
      <c r="D82" s="18">
        <f>IF($L82="","",INDEX(HSI!$C$7:$C$106,($L82-INT($L82/1000)*1000)))</f>
        <v/>
      </c>
      <c r="E82" s="65">
        <f>IF($L82="","",INDEX(HSI!$K$7:$K$106,($L82-INT($L82/1000)*1000)))</f>
        <v/>
      </c>
      <c r="F82" s="40">
        <f>IF($L82="","",IF(COUNTIFS(OVR_TICKERS,$D82,OVR_BASE,"&gt;=0")=0,"",SUMIFS(OVR_BASE,OVR_TICKERS,$D82)))</f>
        <v/>
      </c>
      <c r="G82" s="65">
        <f>IF($L82="","",INDEX(HSI!$L$7:$L$106,($L82-INT($L82/1000)*1000)))</f>
        <v/>
      </c>
      <c r="H82" s="87">
        <f>IF($L82="","",IF($F82="","",IFERROR(($F82-$E82)*INDEX(HSI!$B$7:$B$106,($L82-INT($L82/1000)*1000))*INDEX(HSI!$G$7:$G$106,($L82-INT($L82/1000)*1000))/HSI!$B$3,"")))</f>
        <v/>
      </c>
      <c r="I82" s="43">
        <f>IF($L82="","",INDEX(HSI!$U$7:$U$106,($L82-INT($L82/1000)*1000)))</f>
        <v/>
      </c>
      <c r="K82" s="35">
        <f>IF(HSI!$C$13="","",IFERROR(MATCH(HSI!$E$13,Fundamentals!$B$216:$B$226,0),99)*1000+7)</f>
        <v/>
      </c>
      <c r="L82" s="35">
        <f>IFERROR(SMALL($K$76:$K$175,7),"")</f>
        <v/>
      </c>
    </row>
    <row r="83">
      <c r="B83" s="18">
        <f>IF($L83="","",INDEX(HSI!$E$7:$E$106,($L83-INT($L83/1000)*1000)))</f>
        <v/>
      </c>
      <c r="C83" s="18">
        <f>IF($L83="","",INDEX(HSI!$D$7:$D$106,($L83-INT($L83/1000)*1000)))</f>
        <v/>
      </c>
      <c r="D83" s="18">
        <f>IF($L83="","",INDEX(HSI!$C$7:$C$106,($L83-INT($L83/1000)*1000)))</f>
        <v/>
      </c>
      <c r="E83" s="65">
        <f>IF($L83="","",INDEX(HSI!$K$7:$K$106,($L83-INT($L83/1000)*1000)))</f>
        <v/>
      </c>
      <c r="F83" s="40">
        <f>IF($L83="","",IF(COUNTIFS(OVR_TICKERS,$D83,OVR_BASE,"&gt;=0")=0,"",SUMIFS(OVR_BASE,OVR_TICKERS,$D83)))</f>
        <v/>
      </c>
      <c r="G83" s="65">
        <f>IF($L83="","",INDEX(HSI!$L$7:$L$106,($L83-INT($L83/1000)*1000)))</f>
        <v/>
      </c>
      <c r="H83" s="87">
        <f>IF($L83="","",IF($F83="","",IFERROR(($F83-$E83)*INDEX(HSI!$B$7:$B$106,($L83-INT($L83/1000)*1000))*INDEX(HSI!$G$7:$G$106,($L83-INT($L83/1000)*1000))/HSI!$B$3,"")))</f>
        <v/>
      </c>
      <c r="I83" s="43">
        <f>IF($L83="","",INDEX(HSI!$U$7:$U$106,($L83-INT($L83/1000)*1000)))</f>
        <v/>
      </c>
      <c r="K83" s="35">
        <f>IF(HSI!$C$14="","",IFERROR(MATCH(HSI!$E$14,Fundamentals!$B$216:$B$226,0),99)*1000+8)</f>
        <v/>
      </c>
      <c r="L83" s="35">
        <f>IFERROR(SMALL($K$76:$K$175,8),"")</f>
        <v/>
      </c>
    </row>
    <row r="84">
      <c r="B84" s="18">
        <f>IF($L84="","",INDEX(HSI!$E$7:$E$106,($L84-INT($L84/1000)*1000)))</f>
        <v/>
      </c>
      <c r="C84" s="18">
        <f>IF($L84="","",INDEX(HSI!$D$7:$D$106,($L84-INT($L84/1000)*1000)))</f>
        <v/>
      </c>
      <c r="D84" s="18">
        <f>IF($L84="","",INDEX(HSI!$C$7:$C$106,($L84-INT($L84/1000)*1000)))</f>
        <v/>
      </c>
      <c r="E84" s="65">
        <f>IF($L84="","",INDEX(HSI!$K$7:$K$106,($L84-INT($L84/1000)*1000)))</f>
        <v/>
      </c>
      <c r="F84" s="40">
        <f>IF($L84="","",IF(COUNTIFS(OVR_TICKERS,$D84,OVR_BASE,"&gt;=0")=0,"",SUMIFS(OVR_BASE,OVR_TICKERS,$D84)))</f>
        <v/>
      </c>
      <c r="G84" s="65">
        <f>IF($L84="","",INDEX(HSI!$L$7:$L$106,($L84-INT($L84/1000)*1000)))</f>
        <v/>
      </c>
      <c r="H84" s="87">
        <f>IF($L84="","",IF($F84="","",IFERROR(($F84-$E84)*INDEX(HSI!$B$7:$B$106,($L84-INT($L84/1000)*1000))*INDEX(HSI!$G$7:$G$106,($L84-INT($L84/1000)*1000))/HSI!$B$3,"")))</f>
        <v/>
      </c>
      <c r="I84" s="43">
        <f>IF($L84="","",INDEX(HSI!$U$7:$U$106,($L84-INT($L84/1000)*1000)))</f>
        <v/>
      </c>
      <c r="K84" s="35">
        <f>IF(HSI!$C$15="","",IFERROR(MATCH(HSI!$E$15,Fundamentals!$B$216:$B$226,0),99)*1000+9)</f>
        <v/>
      </c>
      <c r="L84" s="35">
        <f>IFERROR(SMALL($K$76:$K$175,9),"")</f>
        <v/>
      </c>
    </row>
    <row r="85">
      <c r="B85" s="18">
        <f>IF($L85="","",INDEX(HSI!$E$7:$E$106,($L85-INT($L85/1000)*1000)))</f>
        <v/>
      </c>
      <c r="C85" s="18">
        <f>IF($L85="","",INDEX(HSI!$D$7:$D$106,($L85-INT($L85/1000)*1000)))</f>
        <v/>
      </c>
      <c r="D85" s="18">
        <f>IF($L85="","",INDEX(HSI!$C$7:$C$106,($L85-INT($L85/1000)*1000)))</f>
        <v/>
      </c>
      <c r="E85" s="65">
        <f>IF($L85="","",INDEX(HSI!$K$7:$K$106,($L85-INT($L85/1000)*1000)))</f>
        <v/>
      </c>
      <c r="F85" s="40">
        <f>IF($L85="","",IF(COUNTIFS(OVR_TICKERS,$D85,OVR_BASE,"&gt;=0")=0,"",SUMIFS(OVR_BASE,OVR_TICKERS,$D85)))</f>
        <v/>
      </c>
      <c r="G85" s="65">
        <f>IF($L85="","",INDEX(HSI!$L$7:$L$106,($L85-INT($L85/1000)*1000)))</f>
        <v/>
      </c>
      <c r="H85" s="87">
        <f>IF($L85="","",IF($F85="","",IFERROR(($F85-$E85)*INDEX(HSI!$B$7:$B$106,($L85-INT($L85/1000)*1000))*INDEX(HSI!$G$7:$G$106,($L85-INT($L85/1000)*1000))/HSI!$B$3,"")))</f>
        <v/>
      </c>
      <c r="I85" s="43">
        <f>IF($L85="","",INDEX(HSI!$U$7:$U$106,($L85-INT($L85/1000)*1000)))</f>
        <v/>
      </c>
      <c r="K85" s="35">
        <f>IF(HSI!$C$16="","",IFERROR(MATCH(HSI!$E$16,Fundamentals!$B$216:$B$226,0),99)*1000+10)</f>
        <v/>
      </c>
      <c r="L85" s="35">
        <f>IFERROR(SMALL($K$76:$K$175,10),"")</f>
        <v/>
      </c>
    </row>
    <row r="86">
      <c r="B86" s="18">
        <f>IF($L86="","",INDEX(HSI!$E$7:$E$106,($L86-INT($L86/1000)*1000)))</f>
        <v/>
      </c>
      <c r="C86" s="18">
        <f>IF($L86="","",INDEX(HSI!$D$7:$D$106,($L86-INT($L86/1000)*1000)))</f>
        <v/>
      </c>
      <c r="D86" s="18">
        <f>IF($L86="","",INDEX(HSI!$C$7:$C$106,($L86-INT($L86/1000)*1000)))</f>
        <v/>
      </c>
      <c r="E86" s="65">
        <f>IF($L86="","",INDEX(HSI!$K$7:$K$106,($L86-INT($L86/1000)*1000)))</f>
        <v/>
      </c>
      <c r="F86" s="40">
        <f>IF($L86="","",IF(COUNTIFS(OVR_TICKERS,$D86,OVR_BASE,"&gt;=0")=0,"",SUMIFS(OVR_BASE,OVR_TICKERS,$D86)))</f>
        <v/>
      </c>
      <c r="G86" s="65">
        <f>IF($L86="","",INDEX(HSI!$L$7:$L$106,($L86-INT($L86/1000)*1000)))</f>
        <v/>
      </c>
      <c r="H86" s="87">
        <f>IF($L86="","",IF($F86="","",IFERROR(($F86-$E86)*INDEX(HSI!$B$7:$B$106,($L86-INT($L86/1000)*1000))*INDEX(HSI!$G$7:$G$106,($L86-INT($L86/1000)*1000))/HSI!$B$3,"")))</f>
        <v/>
      </c>
      <c r="I86" s="43">
        <f>IF($L86="","",INDEX(HSI!$U$7:$U$106,($L86-INT($L86/1000)*1000)))</f>
        <v/>
      </c>
      <c r="K86" s="35">
        <f>IF(HSI!$C$17="","",IFERROR(MATCH(HSI!$E$17,Fundamentals!$B$216:$B$226,0),99)*1000+11)</f>
        <v/>
      </c>
      <c r="L86" s="35">
        <f>IFERROR(SMALL($K$76:$K$175,11),"")</f>
        <v/>
      </c>
    </row>
    <row r="87">
      <c r="B87" s="18">
        <f>IF($L87="","",INDEX(HSI!$E$7:$E$106,($L87-INT($L87/1000)*1000)))</f>
        <v/>
      </c>
      <c r="C87" s="18">
        <f>IF($L87="","",INDEX(HSI!$D$7:$D$106,($L87-INT($L87/1000)*1000)))</f>
        <v/>
      </c>
      <c r="D87" s="18">
        <f>IF($L87="","",INDEX(HSI!$C$7:$C$106,($L87-INT($L87/1000)*1000)))</f>
        <v/>
      </c>
      <c r="E87" s="65">
        <f>IF($L87="","",INDEX(HSI!$K$7:$K$106,($L87-INT($L87/1000)*1000)))</f>
        <v/>
      </c>
      <c r="F87" s="40">
        <f>IF($L87="","",IF(COUNTIFS(OVR_TICKERS,$D87,OVR_BASE,"&gt;=0")=0,"",SUMIFS(OVR_BASE,OVR_TICKERS,$D87)))</f>
        <v/>
      </c>
      <c r="G87" s="65">
        <f>IF($L87="","",INDEX(HSI!$L$7:$L$106,($L87-INT($L87/1000)*1000)))</f>
        <v/>
      </c>
      <c r="H87" s="87">
        <f>IF($L87="","",IF($F87="","",IFERROR(($F87-$E87)*INDEX(HSI!$B$7:$B$106,($L87-INT($L87/1000)*1000))*INDEX(HSI!$G$7:$G$106,($L87-INT($L87/1000)*1000))/HSI!$B$3,"")))</f>
        <v/>
      </c>
      <c r="I87" s="43">
        <f>IF($L87="","",INDEX(HSI!$U$7:$U$106,($L87-INT($L87/1000)*1000)))</f>
        <v/>
      </c>
      <c r="K87" s="35">
        <f>IF(HSI!$C$18="","",IFERROR(MATCH(HSI!$E$18,Fundamentals!$B$216:$B$226,0),99)*1000+12)</f>
        <v/>
      </c>
      <c r="L87" s="35">
        <f>IFERROR(SMALL($K$76:$K$175,12),"")</f>
        <v/>
      </c>
    </row>
    <row r="88">
      <c r="B88" s="18">
        <f>IF($L88="","",INDEX(HSI!$E$7:$E$106,($L88-INT($L88/1000)*1000)))</f>
        <v/>
      </c>
      <c r="C88" s="18">
        <f>IF($L88="","",INDEX(HSI!$D$7:$D$106,($L88-INT($L88/1000)*1000)))</f>
        <v/>
      </c>
      <c r="D88" s="18">
        <f>IF($L88="","",INDEX(HSI!$C$7:$C$106,($L88-INT($L88/1000)*1000)))</f>
        <v/>
      </c>
      <c r="E88" s="65">
        <f>IF($L88="","",INDEX(HSI!$K$7:$K$106,($L88-INT($L88/1000)*1000)))</f>
        <v/>
      </c>
      <c r="F88" s="40">
        <f>IF($L88="","",IF(COUNTIFS(OVR_TICKERS,$D88,OVR_BASE,"&gt;=0")=0,"",SUMIFS(OVR_BASE,OVR_TICKERS,$D88)))</f>
        <v/>
      </c>
      <c r="G88" s="65">
        <f>IF($L88="","",INDEX(HSI!$L$7:$L$106,($L88-INT($L88/1000)*1000)))</f>
        <v/>
      </c>
      <c r="H88" s="87">
        <f>IF($L88="","",IF($F88="","",IFERROR(($F88-$E88)*INDEX(HSI!$B$7:$B$106,($L88-INT($L88/1000)*1000))*INDEX(HSI!$G$7:$G$106,($L88-INT($L88/1000)*1000))/HSI!$B$3,"")))</f>
        <v/>
      </c>
      <c r="I88" s="43">
        <f>IF($L88="","",INDEX(HSI!$U$7:$U$106,($L88-INT($L88/1000)*1000)))</f>
        <v/>
      </c>
      <c r="K88" s="35">
        <f>IF(HSI!$C$19="","",IFERROR(MATCH(HSI!$E$19,Fundamentals!$B$216:$B$226,0),99)*1000+13)</f>
        <v/>
      </c>
      <c r="L88" s="35">
        <f>IFERROR(SMALL($K$76:$K$175,13),"")</f>
        <v/>
      </c>
    </row>
    <row r="89">
      <c r="B89" s="18">
        <f>IF($L89="","",INDEX(HSI!$E$7:$E$106,($L89-INT($L89/1000)*1000)))</f>
        <v/>
      </c>
      <c r="C89" s="18">
        <f>IF($L89="","",INDEX(HSI!$D$7:$D$106,($L89-INT($L89/1000)*1000)))</f>
        <v/>
      </c>
      <c r="D89" s="18">
        <f>IF($L89="","",INDEX(HSI!$C$7:$C$106,($L89-INT($L89/1000)*1000)))</f>
        <v/>
      </c>
      <c r="E89" s="65">
        <f>IF($L89="","",INDEX(HSI!$K$7:$K$106,($L89-INT($L89/1000)*1000)))</f>
        <v/>
      </c>
      <c r="F89" s="40">
        <f>IF($L89="","",IF(COUNTIFS(OVR_TICKERS,$D89,OVR_BASE,"&gt;=0")=0,"",SUMIFS(OVR_BASE,OVR_TICKERS,$D89)))</f>
        <v/>
      </c>
      <c r="G89" s="65">
        <f>IF($L89="","",INDEX(HSI!$L$7:$L$106,($L89-INT($L89/1000)*1000)))</f>
        <v/>
      </c>
      <c r="H89" s="87">
        <f>IF($L89="","",IF($F89="","",IFERROR(($F89-$E89)*INDEX(HSI!$B$7:$B$106,($L89-INT($L89/1000)*1000))*INDEX(HSI!$G$7:$G$106,($L89-INT($L89/1000)*1000))/HSI!$B$3,"")))</f>
        <v/>
      </c>
      <c r="I89" s="43">
        <f>IF($L89="","",INDEX(HSI!$U$7:$U$106,($L89-INT($L89/1000)*1000)))</f>
        <v/>
      </c>
      <c r="K89" s="35">
        <f>IF(HSI!$C$20="","",IFERROR(MATCH(HSI!$E$20,Fundamentals!$B$216:$B$226,0),99)*1000+14)</f>
        <v/>
      </c>
      <c r="L89" s="35">
        <f>IFERROR(SMALL($K$76:$K$175,14),"")</f>
        <v/>
      </c>
    </row>
    <row r="90">
      <c r="B90" s="18">
        <f>IF($L90="","",INDEX(HSI!$E$7:$E$106,($L90-INT($L90/1000)*1000)))</f>
        <v/>
      </c>
      <c r="C90" s="18">
        <f>IF($L90="","",INDEX(HSI!$D$7:$D$106,($L90-INT($L90/1000)*1000)))</f>
        <v/>
      </c>
      <c r="D90" s="18">
        <f>IF($L90="","",INDEX(HSI!$C$7:$C$106,($L90-INT($L90/1000)*1000)))</f>
        <v/>
      </c>
      <c r="E90" s="65">
        <f>IF($L90="","",INDEX(HSI!$K$7:$K$106,($L90-INT($L90/1000)*1000)))</f>
        <v/>
      </c>
      <c r="F90" s="40">
        <f>IF($L90="","",IF(COUNTIFS(OVR_TICKERS,$D90,OVR_BASE,"&gt;=0")=0,"",SUMIFS(OVR_BASE,OVR_TICKERS,$D90)))</f>
        <v/>
      </c>
      <c r="G90" s="65">
        <f>IF($L90="","",INDEX(HSI!$L$7:$L$106,($L90-INT($L90/1000)*1000)))</f>
        <v/>
      </c>
      <c r="H90" s="87">
        <f>IF($L90="","",IF($F90="","",IFERROR(($F90-$E90)*INDEX(HSI!$B$7:$B$106,($L90-INT($L90/1000)*1000))*INDEX(HSI!$G$7:$G$106,($L90-INT($L90/1000)*1000))/HSI!$B$3,"")))</f>
        <v/>
      </c>
      <c r="I90" s="43">
        <f>IF($L90="","",INDEX(HSI!$U$7:$U$106,($L90-INT($L90/1000)*1000)))</f>
        <v/>
      </c>
      <c r="K90" s="35">
        <f>IF(HSI!$C$21="","",IFERROR(MATCH(HSI!$E$21,Fundamentals!$B$216:$B$226,0),99)*1000+15)</f>
        <v/>
      </c>
      <c r="L90" s="35">
        <f>IFERROR(SMALL($K$76:$K$175,15),"")</f>
        <v/>
      </c>
    </row>
    <row r="91">
      <c r="B91" s="18">
        <f>IF($L91="","",INDEX(HSI!$E$7:$E$106,($L91-INT($L91/1000)*1000)))</f>
        <v/>
      </c>
      <c r="C91" s="18">
        <f>IF($L91="","",INDEX(HSI!$D$7:$D$106,($L91-INT($L91/1000)*1000)))</f>
        <v/>
      </c>
      <c r="D91" s="18">
        <f>IF($L91="","",INDEX(HSI!$C$7:$C$106,($L91-INT($L91/1000)*1000)))</f>
        <v/>
      </c>
      <c r="E91" s="65">
        <f>IF($L91="","",INDEX(HSI!$K$7:$K$106,($L91-INT($L91/1000)*1000)))</f>
        <v/>
      </c>
      <c r="F91" s="40">
        <f>IF($L91="","",IF(COUNTIFS(OVR_TICKERS,$D91,OVR_BASE,"&gt;=0")=0,"",SUMIFS(OVR_BASE,OVR_TICKERS,$D91)))</f>
        <v/>
      </c>
      <c r="G91" s="65">
        <f>IF($L91="","",INDEX(HSI!$L$7:$L$106,($L91-INT($L91/1000)*1000)))</f>
        <v/>
      </c>
      <c r="H91" s="87">
        <f>IF($L91="","",IF($F91="","",IFERROR(($F91-$E91)*INDEX(HSI!$B$7:$B$106,($L91-INT($L91/1000)*1000))*INDEX(HSI!$G$7:$G$106,($L91-INT($L91/1000)*1000))/HSI!$B$3,"")))</f>
        <v/>
      </c>
      <c r="I91" s="43">
        <f>IF($L91="","",INDEX(HSI!$U$7:$U$106,($L91-INT($L91/1000)*1000)))</f>
        <v/>
      </c>
      <c r="K91" s="35">
        <f>IF(HSI!$C$22="","",IFERROR(MATCH(HSI!$E$22,Fundamentals!$B$216:$B$226,0),99)*1000+16)</f>
        <v/>
      </c>
      <c r="L91" s="35">
        <f>IFERROR(SMALL($K$76:$K$175,16),"")</f>
        <v/>
      </c>
    </row>
    <row r="92">
      <c r="B92" s="18">
        <f>IF($L92="","",INDEX(HSI!$E$7:$E$106,($L92-INT($L92/1000)*1000)))</f>
        <v/>
      </c>
      <c r="C92" s="18">
        <f>IF($L92="","",INDEX(HSI!$D$7:$D$106,($L92-INT($L92/1000)*1000)))</f>
        <v/>
      </c>
      <c r="D92" s="18">
        <f>IF($L92="","",INDEX(HSI!$C$7:$C$106,($L92-INT($L92/1000)*1000)))</f>
        <v/>
      </c>
      <c r="E92" s="65">
        <f>IF($L92="","",INDEX(HSI!$K$7:$K$106,($L92-INT($L92/1000)*1000)))</f>
        <v/>
      </c>
      <c r="F92" s="40">
        <f>IF($L92="","",IF(COUNTIFS(OVR_TICKERS,$D92,OVR_BASE,"&gt;=0")=0,"",SUMIFS(OVR_BASE,OVR_TICKERS,$D92)))</f>
        <v/>
      </c>
      <c r="G92" s="65">
        <f>IF($L92="","",INDEX(HSI!$L$7:$L$106,($L92-INT($L92/1000)*1000)))</f>
        <v/>
      </c>
      <c r="H92" s="87">
        <f>IF($L92="","",IF($F92="","",IFERROR(($F92-$E92)*INDEX(HSI!$B$7:$B$106,($L92-INT($L92/1000)*1000))*INDEX(HSI!$G$7:$G$106,($L92-INT($L92/1000)*1000))/HSI!$B$3,"")))</f>
        <v/>
      </c>
      <c r="I92" s="43">
        <f>IF($L92="","",INDEX(HSI!$U$7:$U$106,($L92-INT($L92/1000)*1000)))</f>
        <v/>
      </c>
      <c r="K92" s="35">
        <f>IF(HSI!$C$23="","",IFERROR(MATCH(HSI!$E$23,Fundamentals!$B$216:$B$226,0),99)*1000+17)</f>
        <v/>
      </c>
      <c r="L92" s="35">
        <f>IFERROR(SMALL($K$76:$K$175,17),"")</f>
        <v/>
      </c>
    </row>
    <row r="93">
      <c r="B93" s="18">
        <f>IF($L93="","",INDEX(HSI!$E$7:$E$106,($L93-INT($L93/1000)*1000)))</f>
        <v/>
      </c>
      <c r="C93" s="18">
        <f>IF($L93="","",INDEX(HSI!$D$7:$D$106,($L93-INT($L93/1000)*1000)))</f>
        <v/>
      </c>
      <c r="D93" s="18">
        <f>IF($L93="","",INDEX(HSI!$C$7:$C$106,($L93-INT($L93/1000)*1000)))</f>
        <v/>
      </c>
      <c r="E93" s="65">
        <f>IF($L93="","",INDEX(HSI!$K$7:$K$106,($L93-INT($L93/1000)*1000)))</f>
        <v/>
      </c>
      <c r="F93" s="40">
        <f>IF($L93="","",IF(COUNTIFS(OVR_TICKERS,$D93,OVR_BASE,"&gt;=0")=0,"",SUMIFS(OVR_BASE,OVR_TICKERS,$D93)))</f>
        <v/>
      </c>
      <c r="G93" s="65">
        <f>IF($L93="","",INDEX(HSI!$L$7:$L$106,($L93-INT($L93/1000)*1000)))</f>
        <v/>
      </c>
      <c r="H93" s="87">
        <f>IF($L93="","",IF($F93="","",IFERROR(($F93-$E93)*INDEX(HSI!$B$7:$B$106,($L93-INT($L93/1000)*1000))*INDEX(HSI!$G$7:$G$106,($L93-INT($L93/1000)*1000))/HSI!$B$3,"")))</f>
        <v/>
      </c>
      <c r="I93" s="43">
        <f>IF($L93="","",INDEX(HSI!$U$7:$U$106,($L93-INT($L93/1000)*1000)))</f>
        <v/>
      </c>
      <c r="K93" s="35">
        <f>IF(HSI!$C$24="","",IFERROR(MATCH(HSI!$E$24,Fundamentals!$B$216:$B$226,0),99)*1000+18)</f>
        <v/>
      </c>
      <c r="L93" s="35">
        <f>IFERROR(SMALL($K$76:$K$175,18),"")</f>
        <v/>
      </c>
    </row>
    <row r="94">
      <c r="B94" s="18">
        <f>IF($L94="","",INDEX(HSI!$E$7:$E$106,($L94-INT($L94/1000)*1000)))</f>
        <v/>
      </c>
      <c r="C94" s="18">
        <f>IF($L94="","",INDEX(HSI!$D$7:$D$106,($L94-INT($L94/1000)*1000)))</f>
        <v/>
      </c>
      <c r="D94" s="18">
        <f>IF($L94="","",INDEX(HSI!$C$7:$C$106,($L94-INT($L94/1000)*1000)))</f>
        <v/>
      </c>
      <c r="E94" s="65">
        <f>IF($L94="","",INDEX(HSI!$K$7:$K$106,($L94-INT($L94/1000)*1000)))</f>
        <v/>
      </c>
      <c r="F94" s="40">
        <f>IF($L94="","",IF(COUNTIFS(OVR_TICKERS,$D94,OVR_BASE,"&gt;=0")=0,"",SUMIFS(OVR_BASE,OVR_TICKERS,$D94)))</f>
        <v/>
      </c>
      <c r="G94" s="65">
        <f>IF($L94="","",INDEX(HSI!$L$7:$L$106,($L94-INT($L94/1000)*1000)))</f>
        <v/>
      </c>
      <c r="H94" s="87">
        <f>IF($L94="","",IF($F94="","",IFERROR(($F94-$E94)*INDEX(HSI!$B$7:$B$106,($L94-INT($L94/1000)*1000))*INDEX(HSI!$G$7:$G$106,($L94-INT($L94/1000)*1000))/HSI!$B$3,"")))</f>
        <v/>
      </c>
      <c r="I94" s="43">
        <f>IF($L94="","",INDEX(HSI!$U$7:$U$106,($L94-INT($L94/1000)*1000)))</f>
        <v/>
      </c>
      <c r="K94" s="35">
        <f>IF(HSI!$C$25="","",IFERROR(MATCH(HSI!$E$25,Fundamentals!$B$216:$B$226,0),99)*1000+19)</f>
        <v/>
      </c>
      <c r="L94" s="35">
        <f>IFERROR(SMALL($K$76:$K$175,19),"")</f>
        <v/>
      </c>
    </row>
    <row r="95">
      <c r="B95" s="18">
        <f>IF($L95="","",INDEX(HSI!$E$7:$E$106,($L95-INT($L95/1000)*1000)))</f>
        <v/>
      </c>
      <c r="C95" s="18">
        <f>IF($L95="","",INDEX(HSI!$D$7:$D$106,($L95-INT($L95/1000)*1000)))</f>
        <v/>
      </c>
      <c r="D95" s="18">
        <f>IF($L95="","",INDEX(HSI!$C$7:$C$106,($L95-INT($L95/1000)*1000)))</f>
        <v/>
      </c>
      <c r="E95" s="65">
        <f>IF($L95="","",INDEX(HSI!$K$7:$K$106,($L95-INT($L95/1000)*1000)))</f>
        <v/>
      </c>
      <c r="F95" s="40">
        <f>IF($L95="","",IF(COUNTIFS(OVR_TICKERS,$D95,OVR_BASE,"&gt;=0")=0,"",SUMIFS(OVR_BASE,OVR_TICKERS,$D95)))</f>
        <v/>
      </c>
      <c r="G95" s="65">
        <f>IF($L95="","",INDEX(HSI!$L$7:$L$106,($L95-INT($L95/1000)*1000)))</f>
        <v/>
      </c>
      <c r="H95" s="87">
        <f>IF($L95="","",IF($F95="","",IFERROR(($F95-$E95)*INDEX(HSI!$B$7:$B$106,($L95-INT($L95/1000)*1000))*INDEX(HSI!$G$7:$G$106,($L95-INT($L95/1000)*1000))/HSI!$B$3,"")))</f>
        <v/>
      </c>
      <c r="I95" s="43">
        <f>IF($L95="","",INDEX(HSI!$U$7:$U$106,($L95-INT($L95/1000)*1000)))</f>
        <v/>
      </c>
      <c r="K95" s="35">
        <f>IF(HSI!$C$26="","",IFERROR(MATCH(HSI!$E$26,Fundamentals!$B$216:$B$226,0),99)*1000+20)</f>
        <v/>
      </c>
      <c r="L95" s="35">
        <f>IFERROR(SMALL($K$76:$K$175,20),"")</f>
        <v/>
      </c>
    </row>
    <row r="96">
      <c r="B96" s="18">
        <f>IF($L96="","",INDEX(HSI!$E$7:$E$106,($L96-INT($L96/1000)*1000)))</f>
        <v/>
      </c>
      <c r="C96" s="18">
        <f>IF($L96="","",INDEX(HSI!$D$7:$D$106,($L96-INT($L96/1000)*1000)))</f>
        <v/>
      </c>
      <c r="D96" s="18">
        <f>IF($L96="","",INDEX(HSI!$C$7:$C$106,($L96-INT($L96/1000)*1000)))</f>
        <v/>
      </c>
      <c r="E96" s="65">
        <f>IF($L96="","",INDEX(HSI!$K$7:$K$106,($L96-INT($L96/1000)*1000)))</f>
        <v/>
      </c>
      <c r="F96" s="40">
        <f>IF($L96="","",IF(COUNTIFS(OVR_TICKERS,$D96,OVR_BASE,"&gt;=0")=0,"",SUMIFS(OVR_BASE,OVR_TICKERS,$D96)))</f>
        <v/>
      </c>
      <c r="G96" s="65">
        <f>IF($L96="","",INDEX(HSI!$L$7:$L$106,($L96-INT($L96/1000)*1000)))</f>
        <v/>
      </c>
      <c r="H96" s="87">
        <f>IF($L96="","",IF($F96="","",IFERROR(($F96-$E96)*INDEX(HSI!$B$7:$B$106,($L96-INT($L96/1000)*1000))*INDEX(HSI!$G$7:$G$106,($L96-INT($L96/1000)*1000))/HSI!$B$3,"")))</f>
        <v/>
      </c>
      <c r="I96" s="43">
        <f>IF($L96="","",INDEX(HSI!$U$7:$U$106,($L96-INT($L96/1000)*1000)))</f>
        <v/>
      </c>
      <c r="K96" s="35">
        <f>IF(HSI!$C$27="","",IFERROR(MATCH(HSI!$E$27,Fundamentals!$B$216:$B$226,0),99)*1000+21)</f>
        <v/>
      </c>
      <c r="L96" s="35">
        <f>IFERROR(SMALL($K$76:$K$175,21),"")</f>
        <v/>
      </c>
    </row>
    <row r="97">
      <c r="B97" s="18">
        <f>IF($L97="","",INDEX(HSI!$E$7:$E$106,($L97-INT($L97/1000)*1000)))</f>
        <v/>
      </c>
      <c r="C97" s="18">
        <f>IF($L97="","",INDEX(HSI!$D$7:$D$106,($L97-INT($L97/1000)*1000)))</f>
        <v/>
      </c>
      <c r="D97" s="18">
        <f>IF($L97="","",INDEX(HSI!$C$7:$C$106,($L97-INT($L97/1000)*1000)))</f>
        <v/>
      </c>
      <c r="E97" s="65">
        <f>IF($L97="","",INDEX(HSI!$K$7:$K$106,($L97-INT($L97/1000)*1000)))</f>
        <v/>
      </c>
      <c r="F97" s="40">
        <f>IF($L97="","",IF(COUNTIFS(OVR_TICKERS,$D97,OVR_BASE,"&gt;=0")=0,"",SUMIFS(OVR_BASE,OVR_TICKERS,$D97)))</f>
        <v/>
      </c>
      <c r="G97" s="65">
        <f>IF($L97="","",INDEX(HSI!$L$7:$L$106,($L97-INT($L97/1000)*1000)))</f>
        <v/>
      </c>
      <c r="H97" s="87">
        <f>IF($L97="","",IF($F97="","",IFERROR(($F97-$E97)*INDEX(HSI!$B$7:$B$106,($L97-INT($L97/1000)*1000))*INDEX(HSI!$G$7:$G$106,($L97-INT($L97/1000)*1000))/HSI!$B$3,"")))</f>
        <v/>
      </c>
      <c r="I97" s="43">
        <f>IF($L97="","",INDEX(HSI!$U$7:$U$106,($L97-INT($L97/1000)*1000)))</f>
        <v/>
      </c>
      <c r="K97" s="35">
        <f>IF(HSI!$C$28="","",IFERROR(MATCH(HSI!$E$28,Fundamentals!$B$216:$B$226,0),99)*1000+22)</f>
        <v/>
      </c>
      <c r="L97" s="35">
        <f>IFERROR(SMALL($K$76:$K$175,22),"")</f>
        <v/>
      </c>
    </row>
    <row r="98">
      <c r="B98" s="18">
        <f>IF($L98="","",INDEX(HSI!$E$7:$E$106,($L98-INT($L98/1000)*1000)))</f>
        <v/>
      </c>
      <c r="C98" s="18">
        <f>IF($L98="","",INDEX(HSI!$D$7:$D$106,($L98-INT($L98/1000)*1000)))</f>
        <v/>
      </c>
      <c r="D98" s="18">
        <f>IF($L98="","",INDEX(HSI!$C$7:$C$106,($L98-INT($L98/1000)*1000)))</f>
        <v/>
      </c>
      <c r="E98" s="65">
        <f>IF($L98="","",INDEX(HSI!$K$7:$K$106,($L98-INT($L98/1000)*1000)))</f>
        <v/>
      </c>
      <c r="F98" s="40">
        <f>IF($L98="","",IF(COUNTIFS(OVR_TICKERS,$D98,OVR_BASE,"&gt;=0")=0,"",SUMIFS(OVR_BASE,OVR_TICKERS,$D98)))</f>
        <v/>
      </c>
      <c r="G98" s="65">
        <f>IF($L98="","",INDEX(HSI!$L$7:$L$106,($L98-INT($L98/1000)*1000)))</f>
        <v/>
      </c>
      <c r="H98" s="87">
        <f>IF($L98="","",IF($F98="","",IFERROR(($F98-$E98)*INDEX(HSI!$B$7:$B$106,($L98-INT($L98/1000)*1000))*INDEX(HSI!$G$7:$G$106,($L98-INT($L98/1000)*1000))/HSI!$B$3,"")))</f>
        <v/>
      </c>
      <c r="I98" s="43">
        <f>IF($L98="","",INDEX(HSI!$U$7:$U$106,($L98-INT($L98/1000)*1000)))</f>
        <v/>
      </c>
      <c r="K98" s="35">
        <f>IF(HSI!$C$29="","",IFERROR(MATCH(HSI!$E$29,Fundamentals!$B$216:$B$226,0),99)*1000+23)</f>
        <v/>
      </c>
      <c r="L98" s="35">
        <f>IFERROR(SMALL($K$76:$K$175,23),"")</f>
        <v/>
      </c>
    </row>
    <row r="99">
      <c r="B99" s="18">
        <f>IF($L99="","",INDEX(HSI!$E$7:$E$106,($L99-INT($L99/1000)*1000)))</f>
        <v/>
      </c>
      <c r="C99" s="18">
        <f>IF($L99="","",INDEX(HSI!$D$7:$D$106,($L99-INT($L99/1000)*1000)))</f>
        <v/>
      </c>
      <c r="D99" s="18">
        <f>IF($L99="","",INDEX(HSI!$C$7:$C$106,($L99-INT($L99/1000)*1000)))</f>
        <v/>
      </c>
      <c r="E99" s="65">
        <f>IF($L99="","",INDEX(HSI!$K$7:$K$106,($L99-INT($L99/1000)*1000)))</f>
        <v/>
      </c>
      <c r="F99" s="40">
        <f>IF($L99="","",IF(COUNTIFS(OVR_TICKERS,$D99,OVR_BASE,"&gt;=0")=0,"",SUMIFS(OVR_BASE,OVR_TICKERS,$D99)))</f>
        <v/>
      </c>
      <c r="G99" s="65">
        <f>IF($L99="","",INDEX(HSI!$L$7:$L$106,($L99-INT($L99/1000)*1000)))</f>
        <v/>
      </c>
      <c r="H99" s="87">
        <f>IF($L99="","",IF($F99="","",IFERROR(($F99-$E99)*INDEX(HSI!$B$7:$B$106,($L99-INT($L99/1000)*1000))*INDEX(HSI!$G$7:$G$106,($L99-INT($L99/1000)*1000))/HSI!$B$3,"")))</f>
        <v/>
      </c>
      <c r="I99" s="43">
        <f>IF($L99="","",INDEX(HSI!$U$7:$U$106,($L99-INT($L99/1000)*1000)))</f>
        <v/>
      </c>
      <c r="K99" s="35">
        <f>IF(HSI!$C$30="","",IFERROR(MATCH(HSI!$E$30,Fundamentals!$B$216:$B$226,0),99)*1000+24)</f>
        <v/>
      </c>
      <c r="L99" s="35">
        <f>IFERROR(SMALL($K$76:$K$175,24),"")</f>
        <v/>
      </c>
    </row>
    <row r="100">
      <c r="B100" s="18">
        <f>IF($L100="","",INDEX(HSI!$E$7:$E$106,($L100-INT($L100/1000)*1000)))</f>
        <v/>
      </c>
      <c r="C100" s="18">
        <f>IF($L100="","",INDEX(HSI!$D$7:$D$106,($L100-INT($L100/1000)*1000)))</f>
        <v/>
      </c>
      <c r="D100" s="18">
        <f>IF($L100="","",INDEX(HSI!$C$7:$C$106,($L100-INT($L100/1000)*1000)))</f>
        <v/>
      </c>
      <c r="E100" s="65">
        <f>IF($L100="","",INDEX(HSI!$K$7:$K$106,($L100-INT($L100/1000)*1000)))</f>
        <v/>
      </c>
      <c r="F100" s="40">
        <f>IF($L100="","",IF(COUNTIFS(OVR_TICKERS,$D100,OVR_BASE,"&gt;=0")=0,"",SUMIFS(OVR_BASE,OVR_TICKERS,$D100)))</f>
        <v/>
      </c>
      <c r="G100" s="65">
        <f>IF($L100="","",INDEX(HSI!$L$7:$L$106,($L100-INT($L100/1000)*1000)))</f>
        <v/>
      </c>
      <c r="H100" s="87">
        <f>IF($L100="","",IF($F100="","",IFERROR(($F100-$E100)*INDEX(HSI!$B$7:$B$106,($L100-INT($L100/1000)*1000))*INDEX(HSI!$G$7:$G$106,($L100-INT($L100/1000)*1000))/HSI!$B$3,"")))</f>
        <v/>
      </c>
      <c r="I100" s="43">
        <f>IF($L100="","",INDEX(HSI!$U$7:$U$106,($L100-INT($L100/1000)*1000)))</f>
        <v/>
      </c>
      <c r="K100" s="35">
        <f>IF(HSI!$C$31="","",IFERROR(MATCH(HSI!$E$31,Fundamentals!$B$216:$B$226,0),99)*1000+25)</f>
        <v/>
      </c>
      <c r="L100" s="35">
        <f>IFERROR(SMALL($K$76:$K$175,25),"")</f>
        <v/>
      </c>
    </row>
    <row r="101">
      <c r="B101" s="18">
        <f>IF($L101="","",INDEX(HSI!$E$7:$E$106,($L101-INT($L101/1000)*1000)))</f>
        <v/>
      </c>
      <c r="C101" s="18">
        <f>IF($L101="","",INDEX(HSI!$D$7:$D$106,($L101-INT($L101/1000)*1000)))</f>
        <v/>
      </c>
      <c r="D101" s="18">
        <f>IF($L101="","",INDEX(HSI!$C$7:$C$106,($L101-INT($L101/1000)*1000)))</f>
        <v/>
      </c>
      <c r="E101" s="65">
        <f>IF($L101="","",INDEX(HSI!$K$7:$K$106,($L101-INT($L101/1000)*1000)))</f>
        <v/>
      </c>
      <c r="F101" s="40">
        <f>IF($L101="","",IF(COUNTIFS(OVR_TICKERS,$D101,OVR_BASE,"&gt;=0")=0,"",SUMIFS(OVR_BASE,OVR_TICKERS,$D101)))</f>
        <v/>
      </c>
      <c r="G101" s="65">
        <f>IF($L101="","",INDEX(HSI!$L$7:$L$106,($L101-INT($L101/1000)*1000)))</f>
        <v/>
      </c>
      <c r="H101" s="87">
        <f>IF($L101="","",IF($F101="","",IFERROR(($F101-$E101)*INDEX(HSI!$B$7:$B$106,($L101-INT($L101/1000)*1000))*INDEX(HSI!$G$7:$G$106,($L101-INT($L101/1000)*1000))/HSI!$B$3,"")))</f>
        <v/>
      </c>
      <c r="I101" s="43">
        <f>IF($L101="","",INDEX(HSI!$U$7:$U$106,($L101-INT($L101/1000)*1000)))</f>
        <v/>
      </c>
      <c r="K101" s="35">
        <f>IF(HSI!$C$32="","",IFERROR(MATCH(HSI!$E$32,Fundamentals!$B$216:$B$226,0),99)*1000+26)</f>
        <v/>
      </c>
      <c r="L101" s="35">
        <f>IFERROR(SMALL($K$76:$K$175,26),"")</f>
        <v/>
      </c>
    </row>
    <row r="102">
      <c r="B102" s="18">
        <f>IF($L102="","",INDEX(HSI!$E$7:$E$106,($L102-INT($L102/1000)*1000)))</f>
        <v/>
      </c>
      <c r="C102" s="18">
        <f>IF($L102="","",INDEX(HSI!$D$7:$D$106,($L102-INT($L102/1000)*1000)))</f>
        <v/>
      </c>
      <c r="D102" s="18">
        <f>IF($L102="","",INDEX(HSI!$C$7:$C$106,($L102-INT($L102/1000)*1000)))</f>
        <v/>
      </c>
      <c r="E102" s="65">
        <f>IF($L102="","",INDEX(HSI!$K$7:$K$106,($L102-INT($L102/1000)*1000)))</f>
        <v/>
      </c>
      <c r="F102" s="40">
        <f>IF($L102="","",IF(COUNTIFS(OVR_TICKERS,$D102,OVR_BASE,"&gt;=0")=0,"",SUMIFS(OVR_BASE,OVR_TICKERS,$D102)))</f>
        <v/>
      </c>
      <c r="G102" s="65">
        <f>IF($L102="","",INDEX(HSI!$L$7:$L$106,($L102-INT($L102/1000)*1000)))</f>
        <v/>
      </c>
      <c r="H102" s="87">
        <f>IF($L102="","",IF($F102="","",IFERROR(($F102-$E102)*INDEX(HSI!$B$7:$B$106,($L102-INT($L102/1000)*1000))*INDEX(HSI!$G$7:$G$106,($L102-INT($L102/1000)*1000))/HSI!$B$3,"")))</f>
        <v/>
      </c>
      <c r="I102" s="43">
        <f>IF($L102="","",INDEX(HSI!$U$7:$U$106,($L102-INT($L102/1000)*1000)))</f>
        <v/>
      </c>
      <c r="K102" s="35">
        <f>IF(HSI!$C$33="","",IFERROR(MATCH(HSI!$E$33,Fundamentals!$B$216:$B$226,0),99)*1000+27)</f>
        <v/>
      </c>
      <c r="L102" s="35">
        <f>IFERROR(SMALL($K$76:$K$175,27),"")</f>
        <v/>
      </c>
    </row>
    <row r="103">
      <c r="B103" s="18">
        <f>IF($L103="","",INDEX(HSI!$E$7:$E$106,($L103-INT($L103/1000)*1000)))</f>
        <v/>
      </c>
      <c r="C103" s="18">
        <f>IF($L103="","",INDEX(HSI!$D$7:$D$106,($L103-INT($L103/1000)*1000)))</f>
        <v/>
      </c>
      <c r="D103" s="18">
        <f>IF($L103="","",INDEX(HSI!$C$7:$C$106,($L103-INT($L103/1000)*1000)))</f>
        <v/>
      </c>
      <c r="E103" s="65">
        <f>IF($L103="","",INDEX(HSI!$K$7:$K$106,($L103-INT($L103/1000)*1000)))</f>
        <v/>
      </c>
      <c r="F103" s="40">
        <f>IF($L103="","",IF(COUNTIFS(OVR_TICKERS,$D103,OVR_BASE,"&gt;=0")=0,"",SUMIFS(OVR_BASE,OVR_TICKERS,$D103)))</f>
        <v/>
      </c>
      <c r="G103" s="65">
        <f>IF($L103="","",INDEX(HSI!$L$7:$L$106,($L103-INT($L103/1000)*1000)))</f>
        <v/>
      </c>
      <c r="H103" s="87">
        <f>IF($L103="","",IF($F103="","",IFERROR(($F103-$E103)*INDEX(HSI!$B$7:$B$106,($L103-INT($L103/1000)*1000))*INDEX(HSI!$G$7:$G$106,($L103-INT($L103/1000)*1000))/HSI!$B$3,"")))</f>
        <v/>
      </c>
      <c r="I103" s="43">
        <f>IF($L103="","",INDEX(HSI!$U$7:$U$106,($L103-INT($L103/1000)*1000)))</f>
        <v/>
      </c>
      <c r="K103" s="35">
        <f>IF(HSI!$C$34="","",IFERROR(MATCH(HSI!$E$34,Fundamentals!$B$216:$B$226,0),99)*1000+28)</f>
        <v/>
      </c>
      <c r="L103" s="35">
        <f>IFERROR(SMALL($K$76:$K$175,28),"")</f>
        <v/>
      </c>
    </row>
    <row r="104">
      <c r="B104" s="18">
        <f>IF($L104="","",INDEX(HSI!$E$7:$E$106,($L104-INT($L104/1000)*1000)))</f>
        <v/>
      </c>
      <c r="C104" s="18">
        <f>IF($L104="","",INDEX(HSI!$D$7:$D$106,($L104-INT($L104/1000)*1000)))</f>
        <v/>
      </c>
      <c r="D104" s="18">
        <f>IF($L104="","",INDEX(HSI!$C$7:$C$106,($L104-INT($L104/1000)*1000)))</f>
        <v/>
      </c>
      <c r="E104" s="65">
        <f>IF($L104="","",INDEX(HSI!$K$7:$K$106,($L104-INT($L104/1000)*1000)))</f>
        <v/>
      </c>
      <c r="F104" s="40">
        <f>IF($L104="","",IF(COUNTIFS(OVR_TICKERS,$D104,OVR_BASE,"&gt;=0")=0,"",SUMIFS(OVR_BASE,OVR_TICKERS,$D104)))</f>
        <v/>
      </c>
      <c r="G104" s="65">
        <f>IF($L104="","",INDEX(HSI!$L$7:$L$106,($L104-INT($L104/1000)*1000)))</f>
        <v/>
      </c>
      <c r="H104" s="87">
        <f>IF($L104="","",IF($F104="","",IFERROR(($F104-$E104)*INDEX(HSI!$B$7:$B$106,($L104-INT($L104/1000)*1000))*INDEX(HSI!$G$7:$G$106,($L104-INT($L104/1000)*1000))/HSI!$B$3,"")))</f>
        <v/>
      </c>
      <c r="I104" s="43">
        <f>IF($L104="","",INDEX(HSI!$U$7:$U$106,($L104-INT($L104/1000)*1000)))</f>
        <v/>
      </c>
      <c r="K104" s="35">
        <f>IF(HSI!$C$35="","",IFERROR(MATCH(HSI!$E$35,Fundamentals!$B$216:$B$226,0),99)*1000+29)</f>
        <v/>
      </c>
      <c r="L104" s="35">
        <f>IFERROR(SMALL($K$76:$K$175,29),"")</f>
        <v/>
      </c>
    </row>
    <row r="105">
      <c r="B105" s="18">
        <f>IF($L105="","",INDEX(HSI!$E$7:$E$106,($L105-INT($L105/1000)*1000)))</f>
        <v/>
      </c>
      <c r="C105" s="18">
        <f>IF($L105="","",INDEX(HSI!$D$7:$D$106,($L105-INT($L105/1000)*1000)))</f>
        <v/>
      </c>
      <c r="D105" s="18">
        <f>IF($L105="","",INDEX(HSI!$C$7:$C$106,($L105-INT($L105/1000)*1000)))</f>
        <v/>
      </c>
      <c r="E105" s="65">
        <f>IF($L105="","",INDEX(HSI!$K$7:$K$106,($L105-INT($L105/1000)*1000)))</f>
        <v/>
      </c>
      <c r="F105" s="40">
        <f>IF($L105="","",IF(COUNTIFS(OVR_TICKERS,$D105,OVR_BASE,"&gt;=0")=0,"",SUMIFS(OVR_BASE,OVR_TICKERS,$D105)))</f>
        <v/>
      </c>
      <c r="G105" s="65">
        <f>IF($L105="","",INDEX(HSI!$L$7:$L$106,($L105-INT($L105/1000)*1000)))</f>
        <v/>
      </c>
      <c r="H105" s="87">
        <f>IF($L105="","",IF($F105="","",IFERROR(($F105-$E105)*INDEX(HSI!$B$7:$B$106,($L105-INT($L105/1000)*1000))*INDEX(HSI!$G$7:$G$106,($L105-INT($L105/1000)*1000))/HSI!$B$3,"")))</f>
        <v/>
      </c>
      <c r="I105" s="43">
        <f>IF($L105="","",INDEX(HSI!$U$7:$U$106,($L105-INT($L105/1000)*1000)))</f>
        <v/>
      </c>
      <c r="K105" s="35">
        <f>IF(HSI!$C$36="","",IFERROR(MATCH(HSI!$E$36,Fundamentals!$B$216:$B$226,0),99)*1000+30)</f>
        <v/>
      </c>
      <c r="L105" s="35">
        <f>IFERROR(SMALL($K$76:$K$175,30),"")</f>
        <v/>
      </c>
    </row>
    <row r="106">
      <c r="B106" s="18">
        <f>IF($L106="","",INDEX(HSI!$E$7:$E$106,($L106-INT($L106/1000)*1000)))</f>
        <v/>
      </c>
      <c r="C106" s="18">
        <f>IF($L106="","",INDEX(HSI!$D$7:$D$106,($L106-INT($L106/1000)*1000)))</f>
        <v/>
      </c>
      <c r="D106" s="18">
        <f>IF($L106="","",INDEX(HSI!$C$7:$C$106,($L106-INT($L106/1000)*1000)))</f>
        <v/>
      </c>
      <c r="E106" s="65">
        <f>IF($L106="","",INDEX(HSI!$K$7:$K$106,($L106-INT($L106/1000)*1000)))</f>
        <v/>
      </c>
      <c r="F106" s="40">
        <f>IF($L106="","",IF(COUNTIFS(OVR_TICKERS,$D106,OVR_BASE,"&gt;=0")=0,"",SUMIFS(OVR_BASE,OVR_TICKERS,$D106)))</f>
        <v/>
      </c>
      <c r="G106" s="65">
        <f>IF($L106="","",INDEX(HSI!$L$7:$L$106,($L106-INT($L106/1000)*1000)))</f>
        <v/>
      </c>
      <c r="H106" s="87">
        <f>IF($L106="","",IF($F106="","",IFERROR(($F106-$E106)*INDEX(HSI!$B$7:$B$106,($L106-INT($L106/1000)*1000))*INDEX(HSI!$G$7:$G$106,($L106-INT($L106/1000)*1000))/HSI!$B$3,"")))</f>
        <v/>
      </c>
      <c r="I106" s="43">
        <f>IF($L106="","",INDEX(HSI!$U$7:$U$106,($L106-INT($L106/1000)*1000)))</f>
        <v/>
      </c>
      <c r="K106" s="35">
        <f>IF(HSI!$C$37="","",IFERROR(MATCH(HSI!$E$37,Fundamentals!$B$216:$B$226,0),99)*1000+31)</f>
        <v/>
      </c>
      <c r="L106" s="35">
        <f>IFERROR(SMALL($K$76:$K$175,31),"")</f>
        <v/>
      </c>
    </row>
    <row r="107">
      <c r="B107" s="18">
        <f>IF($L107="","",INDEX(HSI!$E$7:$E$106,($L107-INT($L107/1000)*1000)))</f>
        <v/>
      </c>
      <c r="C107" s="18">
        <f>IF($L107="","",INDEX(HSI!$D$7:$D$106,($L107-INT($L107/1000)*1000)))</f>
        <v/>
      </c>
      <c r="D107" s="18">
        <f>IF($L107="","",INDEX(HSI!$C$7:$C$106,($L107-INT($L107/1000)*1000)))</f>
        <v/>
      </c>
      <c r="E107" s="65">
        <f>IF($L107="","",INDEX(HSI!$K$7:$K$106,($L107-INT($L107/1000)*1000)))</f>
        <v/>
      </c>
      <c r="F107" s="40">
        <f>IF($L107="","",IF(COUNTIFS(OVR_TICKERS,$D107,OVR_BASE,"&gt;=0")=0,"",SUMIFS(OVR_BASE,OVR_TICKERS,$D107)))</f>
        <v/>
      </c>
      <c r="G107" s="65">
        <f>IF($L107="","",INDEX(HSI!$L$7:$L$106,($L107-INT($L107/1000)*1000)))</f>
        <v/>
      </c>
      <c r="H107" s="87">
        <f>IF($L107="","",IF($F107="","",IFERROR(($F107-$E107)*INDEX(HSI!$B$7:$B$106,($L107-INT($L107/1000)*1000))*INDEX(HSI!$G$7:$G$106,($L107-INT($L107/1000)*1000))/HSI!$B$3,"")))</f>
        <v/>
      </c>
      <c r="I107" s="43">
        <f>IF($L107="","",INDEX(HSI!$U$7:$U$106,($L107-INT($L107/1000)*1000)))</f>
        <v/>
      </c>
      <c r="K107" s="35">
        <f>IF(HSI!$C$38="","",IFERROR(MATCH(HSI!$E$38,Fundamentals!$B$216:$B$226,0),99)*1000+32)</f>
        <v/>
      </c>
      <c r="L107" s="35">
        <f>IFERROR(SMALL($K$76:$K$175,32),"")</f>
        <v/>
      </c>
    </row>
    <row r="108">
      <c r="B108" s="18">
        <f>IF($L108="","",INDEX(HSI!$E$7:$E$106,($L108-INT($L108/1000)*1000)))</f>
        <v/>
      </c>
      <c r="C108" s="18">
        <f>IF($L108="","",INDEX(HSI!$D$7:$D$106,($L108-INT($L108/1000)*1000)))</f>
        <v/>
      </c>
      <c r="D108" s="18">
        <f>IF($L108="","",INDEX(HSI!$C$7:$C$106,($L108-INT($L108/1000)*1000)))</f>
        <v/>
      </c>
      <c r="E108" s="65">
        <f>IF($L108="","",INDEX(HSI!$K$7:$K$106,($L108-INT($L108/1000)*1000)))</f>
        <v/>
      </c>
      <c r="F108" s="40">
        <f>IF($L108="","",IF(COUNTIFS(OVR_TICKERS,$D108,OVR_BASE,"&gt;=0")=0,"",SUMIFS(OVR_BASE,OVR_TICKERS,$D108)))</f>
        <v/>
      </c>
      <c r="G108" s="65">
        <f>IF($L108="","",INDEX(HSI!$L$7:$L$106,($L108-INT($L108/1000)*1000)))</f>
        <v/>
      </c>
      <c r="H108" s="87">
        <f>IF($L108="","",IF($F108="","",IFERROR(($F108-$E108)*INDEX(HSI!$B$7:$B$106,($L108-INT($L108/1000)*1000))*INDEX(HSI!$G$7:$G$106,($L108-INT($L108/1000)*1000))/HSI!$B$3,"")))</f>
        <v/>
      </c>
      <c r="I108" s="43">
        <f>IF($L108="","",INDEX(HSI!$U$7:$U$106,($L108-INT($L108/1000)*1000)))</f>
        <v/>
      </c>
      <c r="K108" s="35">
        <f>IF(HSI!$C$39="","",IFERROR(MATCH(HSI!$E$39,Fundamentals!$B$216:$B$226,0),99)*1000+33)</f>
        <v/>
      </c>
      <c r="L108" s="35">
        <f>IFERROR(SMALL($K$76:$K$175,33),"")</f>
        <v/>
      </c>
    </row>
    <row r="109">
      <c r="B109" s="18">
        <f>IF($L109="","",INDEX(HSI!$E$7:$E$106,($L109-INT($L109/1000)*1000)))</f>
        <v/>
      </c>
      <c r="C109" s="18">
        <f>IF($L109="","",INDEX(HSI!$D$7:$D$106,($L109-INT($L109/1000)*1000)))</f>
        <v/>
      </c>
      <c r="D109" s="18">
        <f>IF($L109="","",INDEX(HSI!$C$7:$C$106,($L109-INT($L109/1000)*1000)))</f>
        <v/>
      </c>
      <c r="E109" s="65">
        <f>IF($L109="","",INDEX(HSI!$K$7:$K$106,($L109-INT($L109/1000)*1000)))</f>
        <v/>
      </c>
      <c r="F109" s="40">
        <f>IF($L109="","",IF(COUNTIFS(OVR_TICKERS,$D109,OVR_BASE,"&gt;=0")=0,"",SUMIFS(OVR_BASE,OVR_TICKERS,$D109)))</f>
        <v/>
      </c>
      <c r="G109" s="65">
        <f>IF($L109="","",INDEX(HSI!$L$7:$L$106,($L109-INT($L109/1000)*1000)))</f>
        <v/>
      </c>
      <c r="H109" s="87">
        <f>IF($L109="","",IF($F109="","",IFERROR(($F109-$E109)*INDEX(HSI!$B$7:$B$106,($L109-INT($L109/1000)*1000))*INDEX(HSI!$G$7:$G$106,($L109-INT($L109/1000)*1000))/HSI!$B$3,"")))</f>
        <v/>
      </c>
      <c r="I109" s="43">
        <f>IF($L109="","",INDEX(HSI!$U$7:$U$106,($L109-INT($L109/1000)*1000)))</f>
        <v/>
      </c>
      <c r="K109" s="35">
        <f>IF(HSI!$C$40="","",IFERROR(MATCH(HSI!$E$40,Fundamentals!$B$216:$B$226,0),99)*1000+34)</f>
        <v/>
      </c>
      <c r="L109" s="35">
        <f>IFERROR(SMALL($K$76:$K$175,34),"")</f>
        <v/>
      </c>
    </row>
    <row r="110">
      <c r="B110" s="18">
        <f>IF($L110="","",INDEX(HSI!$E$7:$E$106,($L110-INT($L110/1000)*1000)))</f>
        <v/>
      </c>
      <c r="C110" s="18">
        <f>IF($L110="","",INDEX(HSI!$D$7:$D$106,($L110-INT($L110/1000)*1000)))</f>
        <v/>
      </c>
      <c r="D110" s="18">
        <f>IF($L110="","",INDEX(HSI!$C$7:$C$106,($L110-INT($L110/1000)*1000)))</f>
        <v/>
      </c>
      <c r="E110" s="65">
        <f>IF($L110="","",INDEX(HSI!$K$7:$K$106,($L110-INT($L110/1000)*1000)))</f>
        <v/>
      </c>
      <c r="F110" s="40">
        <f>IF($L110="","",IF(COUNTIFS(OVR_TICKERS,$D110,OVR_BASE,"&gt;=0")=0,"",SUMIFS(OVR_BASE,OVR_TICKERS,$D110)))</f>
        <v/>
      </c>
      <c r="G110" s="65">
        <f>IF($L110="","",INDEX(HSI!$L$7:$L$106,($L110-INT($L110/1000)*1000)))</f>
        <v/>
      </c>
      <c r="H110" s="87">
        <f>IF($L110="","",IF($F110="","",IFERROR(($F110-$E110)*INDEX(HSI!$B$7:$B$106,($L110-INT($L110/1000)*1000))*INDEX(HSI!$G$7:$G$106,($L110-INT($L110/1000)*1000))/HSI!$B$3,"")))</f>
        <v/>
      </c>
      <c r="I110" s="43">
        <f>IF($L110="","",INDEX(HSI!$U$7:$U$106,($L110-INT($L110/1000)*1000)))</f>
        <v/>
      </c>
      <c r="K110" s="35">
        <f>IF(HSI!$C$41="","",IFERROR(MATCH(HSI!$E$41,Fundamentals!$B$216:$B$226,0),99)*1000+35)</f>
        <v/>
      </c>
      <c r="L110" s="35">
        <f>IFERROR(SMALL($K$76:$K$175,35),"")</f>
        <v/>
      </c>
    </row>
    <row r="111">
      <c r="B111" s="18">
        <f>IF($L111="","",INDEX(HSI!$E$7:$E$106,($L111-INT($L111/1000)*1000)))</f>
        <v/>
      </c>
      <c r="C111" s="18">
        <f>IF($L111="","",INDEX(HSI!$D$7:$D$106,($L111-INT($L111/1000)*1000)))</f>
        <v/>
      </c>
      <c r="D111" s="18">
        <f>IF($L111="","",INDEX(HSI!$C$7:$C$106,($L111-INT($L111/1000)*1000)))</f>
        <v/>
      </c>
      <c r="E111" s="65">
        <f>IF($L111="","",INDEX(HSI!$K$7:$K$106,($L111-INT($L111/1000)*1000)))</f>
        <v/>
      </c>
      <c r="F111" s="40">
        <f>IF($L111="","",IF(COUNTIFS(OVR_TICKERS,$D111,OVR_BASE,"&gt;=0")=0,"",SUMIFS(OVR_BASE,OVR_TICKERS,$D111)))</f>
        <v/>
      </c>
      <c r="G111" s="65">
        <f>IF($L111="","",INDEX(HSI!$L$7:$L$106,($L111-INT($L111/1000)*1000)))</f>
        <v/>
      </c>
      <c r="H111" s="87">
        <f>IF($L111="","",IF($F111="","",IFERROR(($F111-$E111)*INDEX(HSI!$B$7:$B$106,($L111-INT($L111/1000)*1000))*INDEX(HSI!$G$7:$G$106,($L111-INT($L111/1000)*1000))/HSI!$B$3,"")))</f>
        <v/>
      </c>
      <c r="I111" s="43">
        <f>IF($L111="","",INDEX(HSI!$U$7:$U$106,($L111-INT($L111/1000)*1000)))</f>
        <v/>
      </c>
      <c r="K111" s="35">
        <f>IF(HSI!$C$42="","",IFERROR(MATCH(HSI!$E$42,Fundamentals!$B$216:$B$226,0),99)*1000+36)</f>
        <v/>
      </c>
      <c r="L111" s="35">
        <f>IFERROR(SMALL($K$76:$K$175,36),"")</f>
        <v/>
      </c>
    </row>
    <row r="112">
      <c r="B112" s="18">
        <f>IF($L112="","",INDEX(HSI!$E$7:$E$106,($L112-INT($L112/1000)*1000)))</f>
        <v/>
      </c>
      <c r="C112" s="18">
        <f>IF($L112="","",INDEX(HSI!$D$7:$D$106,($L112-INT($L112/1000)*1000)))</f>
        <v/>
      </c>
      <c r="D112" s="18">
        <f>IF($L112="","",INDEX(HSI!$C$7:$C$106,($L112-INT($L112/1000)*1000)))</f>
        <v/>
      </c>
      <c r="E112" s="65">
        <f>IF($L112="","",INDEX(HSI!$K$7:$K$106,($L112-INT($L112/1000)*1000)))</f>
        <v/>
      </c>
      <c r="F112" s="40">
        <f>IF($L112="","",IF(COUNTIFS(OVR_TICKERS,$D112,OVR_BASE,"&gt;=0")=0,"",SUMIFS(OVR_BASE,OVR_TICKERS,$D112)))</f>
        <v/>
      </c>
      <c r="G112" s="65">
        <f>IF($L112="","",INDEX(HSI!$L$7:$L$106,($L112-INT($L112/1000)*1000)))</f>
        <v/>
      </c>
      <c r="H112" s="87">
        <f>IF($L112="","",IF($F112="","",IFERROR(($F112-$E112)*INDEX(HSI!$B$7:$B$106,($L112-INT($L112/1000)*1000))*INDEX(HSI!$G$7:$G$106,($L112-INT($L112/1000)*1000))/HSI!$B$3,"")))</f>
        <v/>
      </c>
      <c r="I112" s="43">
        <f>IF($L112="","",INDEX(HSI!$U$7:$U$106,($L112-INT($L112/1000)*1000)))</f>
        <v/>
      </c>
      <c r="K112" s="35">
        <f>IF(HSI!$C$43="","",IFERROR(MATCH(HSI!$E$43,Fundamentals!$B$216:$B$226,0),99)*1000+37)</f>
        <v/>
      </c>
      <c r="L112" s="35">
        <f>IFERROR(SMALL($K$76:$K$175,37),"")</f>
        <v/>
      </c>
    </row>
    <row r="113">
      <c r="B113" s="18">
        <f>IF($L113="","",INDEX(HSI!$E$7:$E$106,($L113-INT($L113/1000)*1000)))</f>
        <v/>
      </c>
      <c r="C113" s="18">
        <f>IF($L113="","",INDEX(HSI!$D$7:$D$106,($L113-INT($L113/1000)*1000)))</f>
        <v/>
      </c>
      <c r="D113" s="18">
        <f>IF($L113="","",INDEX(HSI!$C$7:$C$106,($L113-INT($L113/1000)*1000)))</f>
        <v/>
      </c>
      <c r="E113" s="65">
        <f>IF($L113="","",INDEX(HSI!$K$7:$K$106,($L113-INT($L113/1000)*1000)))</f>
        <v/>
      </c>
      <c r="F113" s="40">
        <f>IF($L113="","",IF(COUNTIFS(OVR_TICKERS,$D113,OVR_BASE,"&gt;=0")=0,"",SUMIFS(OVR_BASE,OVR_TICKERS,$D113)))</f>
        <v/>
      </c>
      <c r="G113" s="65">
        <f>IF($L113="","",INDEX(HSI!$L$7:$L$106,($L113-INT($L113/1000)*1000)))</f>
        <v/>
      </c>
      <c r="H113" s="87">
        <f>IF($L113="","",IF($F113="","",IFERROR(($F113-$E113)*INDEX(HSI!$B$7:$B$106,($L113-INT($L113/1000)*1000))*INDEX(HSI!$G$7:$G$106,($L113-INT($L113/1000)*1000))/HSI!$B$3,"")))</f>
        <v/>
      </c>
      <c r="I113" s="43">
        <f>IF($L113="","",INDEX(HSI!$U$7:$U$106,($L113-INT($L113/1000)*1000)))</f>
        <v/>
      </c>
      <c r="K113" s="35">
        <f>IF(HSI!$C$44="","",IFERROR(MATCH(HSI!$E$44,Fundamentals!$B$216:$B$226,0),99)*1000+38)</f>
        <v/>
      </c>
      <c r="L113" s="35">
        <f>IFERROR(SMALL($K$76:$K$175,38),"")</f>
        <v/>
      </c>
    </row>
    <row r="114">
      <c r="B114" s="18">
        <f>IF($L114="","",INDEX(HSI!$E$7:$E$106,($L114-INT($L114/1000)*1000)))</f>
        <v/>
      </c>
      <c r="C114" s="18">
        <f>IF($L114="","",INDEX(HSI!$D$7:$D$106,($L114-INT($L114/1000)*1000)))</f>
        <v/>
      </c>
      <c r="D114" s="18">
        <f>IF($L114="","",INDEX(HSI!$C$7:$C$106,($L114-INT($L114/1000)*1000)))</f>
        <v/>
      </c>
      <c r="E114" s="65">
        <f>IF($L114="","",INDEX(HSI!$K$7:$K$106,($L114-INT($L114/1000)*1000)))</f>
        <v/>
      </c>
      <c r="F114" s="40">
        <f>IF($L114="","",IF(COUNTIFS(OVR_TICKERS,$D114,OVR_BASE,"&gt;=0")=0,"",SUMIFS(OVR_BASE,OVR_TICKERS,$D114)))</f>
        <v/>
      </c>
      <c r="G114" s="65">
        <f>IF($L114="","",INDEX(HSI!$L$7:$L$106,($L114-INT($L114/1000)*1000)))</f>
        <v/>
      </c>
      <c r="H114" s="87">
        <f>IF($L114="","",IF($F114="","",IFERROR(($F114-$E114)*INDEX(HSI!$B$7:$B$106,($L114-INT($L114/1000)*1000))*INDEX(HSI!$G$7:$G$106,($L114-INT($L114/1000)*1000))/HSI!$B$3,"")))</f>
        <v/>
      </c>
      <c r="I114" s="43">
        <f>IF($L114="","",INDEX(HSI!$U$7:$U$106,($L114-INT($L114/1000)*1000)))</f>
        <v/>
      </c>
      <c r="K114" s="35">
        <f>IF(HSI!$C$45="","",IFERROR(MATCH(HSI!$E$45,Fundamentals!$B$216:$B$226,0),99)*1000+39)</f>
        <v/>
      </c>
      <c r="L114" s="35">
        <f>IFERROR(SMALL($K$76:$K$175,39),"")</f>
        <v/>
      </c>
    </row>
    <row r="115">
      <c r="B115" s="18">
        <f>IF($L115="","",INDEX(HSI!$E$7:$E$106,($L115-INT($L115/1000)*1000)))</f>
        <v/>
      </c>
      <c r="C115" s="18">
        <f>IF($L115="","",INDEX(HSI!$D$7:$D$106,($L115-INT($L115/1000)*1000)))</f>
        <v/>
      </c>
      <c r="D115" s="18">
        <f>IF($L115="","",INDEX(HSI!$C$7:$C$106,($L115-INT($L115/1000)*1000)))</f>
        <v/>
      </c>
      <c r="E115" s="65">
        <f>IF($L115="","",INDEX(HSI!$K$7:$K$106,($L115-INT($L115/1000)*1000)))</f>
        <v/>
      </c>
      <c r="F115" s="40">
        <f>IF($L115="","",IF(COUNTIFS(OVR_TICKERS,$D115,OVR_BASE,"&gt;=0")=0,"",SUMIFS(OVR_BASE,OVR_TICKERS,$D115)))</f>
        <v/>
      </c>
      <c r="G115" s="65">
        <f>IF($L115="","",INDEX(HSI!$L$7:$L$106,($L115-INT($L115/1000)*1000)))</f>
        <v/>
      </c>
      <c r="H115" s="87">
        <f>IF($L115="","",IF($F115="","",IFERROR(($F115-$E115)*INDEX(HSI!$B$7:$B$106,($L115-INT($L115/1000)*1000))*INDEX(HSI!$G$7:$G$106,($L115-INT($L115/1000)*1000))/HSI!$B$3,"")))</f>
        <v/>
      </c>
      <c r="I115" s="43">
        <f>IF($L115="","",INDEX(HSI!$U$7:$U$106,($L115-INT($L115/1000)*1000)))</f>
        <v/>
      </c>
      <c r="K115" s="35">
        <f>IF(HSI!$C$46="","",IFERROR(MATCH(HSI!$E$46,Fundamentals!$B$216:$B$226,0),99)*1000+40)</f>
        <v/>
      </c>
      <c r="L115" s="35">
        <f>IFERROR(SMALL($K$76:$K$175,40),"")</f>
        <v/>
      </c>
    </row>
    <row r="116">
      <c r="B116" s="18">
        <f>IF($L116="","",INDEX(HSI!$E$7:$E$106,($L116-INT($L116/1000)*1000)))</f>
        <v/>
      </c>
      <c r="C116" s="18">
        <f>IF($L116="","",INDEX(HSI!$D$7:$D$106,($L116-INT($L116/1000)*1000)))</f>
        <v/>
      </c>
      <c r="D116" s="18">
        <f>IF($L116="","",INDEX(HSI!$C$7:$C$106,($L116-INT($L116/1000)*1000)))</f>
        <v/>
      </c>
      <c r="E116" s="65">
        <f>IF($L116="","",INDEX(HSI!$K$7:$K$106,($L116-INT($L116/1000)*1000)))</f>
        <v/>
      </c>
      <c r="F116" s="40">
        <f>IF($L116="","",IF(COUNTIFS(OVR_TICKERS,$D116,OVR_BASE,"&gt;=0")=0,"",SUMIFS(OVR_BASE,OVR_TICKERS,$D116)))</f>
        <v/>
      </c>
      <c r="G116" s="65">
        <f>IF($L116="","",INDEX(HSI!$L$7:$L$106,($L116-INT($L116/1000)*1000)))</f>
        <v/>
      </c>
      <c r="H116" s="87">
        <f>IF($L116="","",IF($F116="","",IFERROR(($F116-$E116)*INDEX(HSI!$B$7:$B$106,($L116-INT($L116/1000)*1000))*INDEX(HSI!$G$7:$G$106,($L116-INT($L116/1000)*1000))/HSI!$B$3,"")))</f>
        <v/>
      </c>
      <c r="I116" s="43">
        <f>IF($L116="","",INDEX(HSI!$U$7:$U$106,($L116-INT($L116/1000)*1000)))</f>
        <v/>
      </c>
      <c r="K116" s="35">
        <f>IF(HSI!$C$47="","",IFERROR(MATCH(HSI!$E$47,Fundamentals!$B$216:$B$226,0),99)*1000+41)</f>
        <v/>
      </c>
      <c r="L116" s="35">
        <f>IFERROR(SMALL($K$76:$K$175,41),"")</f>
        <v/>
      </c>
    </row>
    <row r="117">
      <c r="B117" s="18">
        <f>IF($L117="","",INDEX(HSI!$E$7:$E$106,($L117-INT($L117/1000)*1000)))</f>
        <v/>
      </c>
      <c r="C117" s="18">
        <f>IF($L117="","",INDEX(HSI!$D$7:$D$106,($L117-INT($L117/1000)*1000)))</f>
        <v/>
      </c>
      <c r="D117" s="18">
        <f>IF($L117="","",INDEX(HSI!$C$7:$C$106,($L117-INT($L117/1000)*1000)))</f>
        <v/>
      </c>
      <c r="E117" s="65">
        <f>IF($L117="","",INDEX(HSI!$K$7:$K$106,($L117-INT($L117/1000)*1000)))</f>
        <v/>
      </c>
      <c r="F117" s="40">
        <f>IF($L117="","",IF(COUNTIFS(OVR_TICKERS,$D117,OVR_BASE,"&gt;=0")=0,"",SUMIFS(OVR_BASE,OVR_TICKERS,$D117)))</f>
        <v/>
      </c>
      <c r="G117" s="65">
        <f>IF($L117="","",INDEX(HSI!$L$7:$L$106,($L117-INT($L117/1000)*1000)))</f>
        <v/>
      </c>
      <c r="H117" s="87">
        <f>IF($L117="","",IF($F117="","",IFERROR(($F117-$E117)*INDEX(HSI!$B$7:$B$106,($L117-INT($L117/1000)*1000))*INDEX(HSI!$G$7:$G$106,($L117-INT($L117/1000)*1000))/HSI!$B$3,"")))</f>
        <v/>
      </c>
      <c r="I117" s="43">
        <f>IF($L117="","",INDEX(HSI!$U$7:$U$106,($L117-INT($L117/1000)*1000)))</f>
        <v/>
      </c>
      <c r="K117" s="35">
        <f>IF(HSI!$C$48="","",IFERROR(MATCH(HSI!$E$48,Fundamentals!$B$216:$B$226,0),99)*1000+42)</f>
        <v/>
      </c>
      <c r="L117" s="35">
        <f>IFERROR(SMALL($K$76:$K$175,42),"")</f>
        <v/>
      </c>
    </row>
    <row r="118">
      <c r="B118" s="18">
        <f>IF($L118="","",INDEX(HSI!$E$7:$E$106,($L118-INT($L118/1000)*1000)))</f>
        <v/>
      </c>
      <c r="C118" s="18">
        <f>IF($L118="","",INDEX(HSI!$D$7:$D$106,($L118-INT($L118/1000)*1000)))</f>
        <v/>
      </c>
      <c r="D118" s="18">
        <f>IF($L118="","",INDEX(HSI!$C$7:$C$106,($L118-INT($L118/1000)*1000)))</f>
        <v/>
      </c>
      <c r="E118" s="65">
        <f>IF($L118="","",INDEX(HSI!$K$7:$K$106,($L118-INT($L118/1000)*1000)))</f>
        <v/>
      </c>
      <c r="F118" s="40">
        <f>IF($L118="","",IF(COUNTIFS(OVR_TICKERS,$D118,OVR_BASE,"&gt;=0")=0,"",SUMIFS(OVR_BASE,OVR_TICKERS,$D118)))</f>
        <v/>
      </c>
      <c r="G118" s="65">
        <f>IF($L118="","",INDEX(HSI!$L$7:$L$106,($L118-INT($L118/1000)*1000)))</f>
        <v/>
      </c>
      <c r="H118" s="87">
        <f>IF($L118="","",IF($F118="","",IFERROR(($F118-$E118)*INDEX(HSI!$B$7:$B$106,($L118-INT($L118/1000)*1000))*INDEX(HSI!$G$7:$G$106,($L118-INT($L118/1000)*1000))/HSI!$B$3,"")))</f>
        <v/>
      </c>
      <c r="I118" s="43">
        <f>IF($L118="","",INDEX(HSI!$U$7:$U$106,($L118-INT($L118/1000)*1000)))</f>
        <v/>
      </c>
      <c r="K118" s="35">
        <f>IF(HSI!$C$49="","",IFERROR(MATCH(HSI!$E$49,Fundamentals!$B$216:$B$226,0),99)*1000+43)</f>
        <v/>
      </c>
      <c r="L118" s="35">
        <f>IFERROR(SMALL($K$76:$K$175,43),"")</f>
        <v/>
      </c>
    </row>
    <row r="119">
      <c r="B119" s="18">
        <f>IF($L119="","",INDEX(HSI!$E$7:$E$106,($L119-INT($L119/1000)*1000)))</f>
        <v/>
      </c>
      <c r="C119" s="18">
        <f>IF($L119="","",INDEX(HSI!$D$7:$D$106,($L119-INT($L119/1000)*1000)))</f>
        <v/>
      </c>
      <c r="D119" s="18">
        <f>IF($L119="","",INDEX(HSI!$C$7:$C$106,($L119-INT($L119/1000)*1000)))</f>
        <v/>
      </c>
      <c r="E119" s="65">
        <f>IF($L119="","",INDEX(HSI!$K$7:$K$106,($L119-INT($L119/1000)*1000)))</f>
        <v/>
      </c>
      <c r="F119" s="40">
        <f>IF($L119="","",IF(COUNTIFS(OVR_TICKERS,$D119,OVR_BASE,"&gt;=0")=0,"",SUMIFS(OVR_BASE,OVR_TICKERS,$D119)))</f>
        <v/>
      </c>
      <c r="G119" s="65">
        <f>IF($L119="","",INDEX(HSI!$L$7:$L$106,($L119-INT($L119/1000)*1000)))</f>
        <v/>
      </c>
      <c r="H119" s="87">
        <f>IF($L119="","",IF($F119="","",IFERROR(($F119-$E119)*INDEX(HSI!$B$7:$B$106,($L119-INT($L119/1000)*1000))*INDEX(HSI!$G$7:$G$106,($L119-INT($L119/1000)*1000))/HSI!$B$3,"")))</f>
        <v/>
      </c>
      <c r="I119" s="43">
        <f>IF($L119="","",INDEX(HSI!$U$7:$U$106,($L119-INT($L119/1000)*1000)))</f>
        <v/>
      </c>
      <c r="K119" s="35">
        <f>IF(HSI!$C$50="","",IFERROR(MATCH(HSI!$E$50,Fundamentals!$B$216:$B$226,0),99)*1000+44)</f>
        <v/>
      </c>
      <c r="L119" s="35">
        <f>IFERROR(SMALL($K$76:$K$175,44),"")</f>
        <v/>
      </c>
    </row>
    <row r="120">
      <c r="B120" s="18">
        <f>IF($L120="","",INDEX(HSI!$E$7:$E$106,($L120-INT($L120/1000)*1000)))</f>
        <v/>
      </c>
      <c r="C120" s="18">
        <f>IF($L120="","",INDEX(HSI!$D$7:$D$106,($L120-INT($L120/1000)*1000)))</f>
        <v/>
      </c>
      <c r="D120" s="18">
        <f>IF($L120="","",INDEX(HSI!$C$7:$C$106,($L120-INT($L120/1000)*1000)))</f>
        <v/>
      </c>
      <c r="E120" s="65">
        <f>IF($L120="","",INDEX(HSI!$K$7:$K$106,($L120-INT($L120/1000)*1000)))</f>
        <v/>
      </c>
      <c r="F120" s="40">
        <f>IF($L120="","",IF(COUNTIFS(OVR_TICKERS,$D120,OVR_BASE,"&gt;=0")=0,"",SUMIFS(OVR_BASE,OVR_TICKERS,$D120)))</f>
        <v/>
      </c>
      <c r="G120" s="65">
        <f>IF($L120="","",INDEX(HSI!$L$7:$L$106,($L120-INT($L120/1000)*1000)))</f>
        <v/>
      </c>
      <c r="H120" s="87">
        <f>IF($L120="","",IF($F120="","",IFERROR(($F120-$E120)*INDEX(HSI!$B$7:$B$106,($L120-INT($L120/1000)*1000))*INDEX(HSI!$G$7:$G$106,($L120-INT($L120/1000)*1000))/HSI!$B$3,"")))</f>
        <v/>
      </c>
      <c r="I120" s="43">
        <f>IF($L120="","",INDEX(HSI!$U$7:$U$106,($L120-INT($L120/1000)*1000)))</f>
        <v/>
      </c>
      <c r="K120" s="35">
        <f>IF(HSI!$C$51="","",IFERROR(MATCH(HSI!$E$51,Fundamentals!$B$216:$B$226,0),99)*1000+45)</f>
        <v/>
      </c>
      <c r="L120" s="35">
        <f>IFERROR(SMALL($K$76:$K$175,45),"")</f>
        <v/>
      </c>
    </row>
    <row r="121">
      <c r="B121" s="18">
        <f>IF($L121="","",INDEX(HSI!$E$7:$E$106,($L121-INT($L121/1000)*1000)))</f>
        <v/>
      </c>
      <c r="C121" s="18">
        <f>IF($L121="","",INDEX(HSI!$D$7:$D$106,($L121-INT($L121/1000)*1000)))</f>
        <v/>
      </c>
      <c r="D121" s="18">
        <f>IF($L121="","",INDEX(HSI!$C$7:$C$106,($L121-INT($L121/1000)*1000)))</f>
        <v/>
      </c>
      <c r="E121" s="65">
        <f>IF($L121="","",INDEX(HSI!$K$7:$K$106,($L121-INT($L121/1000)*1000)))</f>
        <v/>
      </c>
      <c r="F121" s="40">
        <f>IF($L121="","",IF(COUNTIFS(OVR_TICKERS,$D121,OVR_BASE,"&gt;=0")=0,"",SUMIFS(OVR_BASE,OVR_TICKERS,$D121)))</f>
        <v/>
      </c>
      <c r="G121" s="65">
        <f>IF($L121="","",INDEX(HSI!$L$7:$L$106,($L121-INT($L121/1000)*1000)))</f>
        <v/>
      </c>
      <c r="H121" s="87">
        <f>IF($L121="","",IF($F121="","",IFERROR(($F121-$E121)*INDEX(HSI!$B$7:$B$106,($L121-INT($L121/1000)*1000))*INDEX(HSI!$G$7:$G$106,($L121-INT($L121/1000)*1000))/HSI!$B$3,"")))</f>
        <v/>
      </c>
      <c r="I121" s="43">
        <f>IF($L121="","",INDEX(HSI!$U$7:$U$106,($L121-INT($L121/1000)*1000)))</f>
        <v/>
      </c>
      <c r="K121" s="35">
        <f>IF(HSI!$C$52="","",IFERROR(MATCH(HSI!$E$52,Fundamentals!$B$216:$B$226,0),99)*1000+46)</f>
        <v/>
      </c>
      <c r="L121" s="35">
        <f>IFERROR(SMALL($K$76:$K$175,46),"")</f>
        <v/>
      </c>
    </row>
    <row r="122">
      <c r="B122" s="18">
        <f>IF($L122="","",INDEX(HSI!$E$7:$E$106,($L122-INT($L122/1000)*1000)))</f>
        <v/>
      </c>
      <c r="C122" s="18">
        <f>IF($L122="","",INDEX(HSI!$D$7:$D$106,($L122-INT($L122/1000)*1000)))</f>
        <v/>
      </c>
      <c r="D122" s="18">
        <f>IF($L122="","",INDEX(HSI!$C$7:$C$106,($L122-INT($L122/1000)*1000)))</f>
        <v/>
      </c>
      <c r="E122" s="65">
        <f>IF($L122="","",INDEX(HSI!$K$7:$K$106,($L122-INT($L122/1000)*1000)))</f>
        <v/>
      </c>
      <c r="F122" s="40">
        <f>IF($L122="","",IF(COUNTIFS(OVR_TICKERS,$D122,OVR_BASE,"&gt;=0")=0,"",SUMIFS(OVR_BASE,OVR_TICKERS,$D122)))</f>
        <v/>
      </c>
      <c r="G122" s="65">
        <f>IF($L122="","",INDEX(HSI!$L$7:$L$106,($L122-INT($L122/1000)*1000)))</f>
        <v/>
      </c>
      <c r="H122" s="87">
        <f>IF($L122="","",IF($F122="","",IFERROR(($F122-$E122)*INDEX(HSI!$B$7:$B$106,($L122-INT($L122/1000)*1000))*INDEX(HSI!$G$7:$G$106,($L122-INT($L122/1000)*1000))/HSI!$B$3,"")))</f>
        <v/>
      </c>
      <c r="I122" s="43">
        <f>IF($L122="","",INDEX(HSI!$U$7:$U$106,($L122-INT($L122/1000)*1000)))</f>
        <v/>
      </c>
      <c r="K122" s="35">
        <f>IF(HSI!$C$53="","",IFERROR(MATCH(HSI!$E$53,Fundamentals!$B$216:$B$226,0),99)*1000+47)</f>
        <v/>
      </c>
      <c r="L122" s="35">
        <f>IFERROR(SMALL($K$76:$K$175,47),"")</f>
        <v/>
      </c>
    </row>
    <row r="123">
      <c r="B123" s="18">
        <f>IF($L123="","",INDEX(HSI!$E$7:$E$106,($L123-INT($L123/1000)*1000)))</f>
        <v/>
      </c>
      <c r="C123" s="18">
        <f>IF($L123="","",INDEX(HSI!$D$7:$D$106,($L123-INT($L123/1000)*1000)))</f>
        <v/>
      </c>
      <c r="D123" s="18">
        <f>IF($L123="","",INDEX(HSI!$C$7:$C$106,($L123-INT($L123/1000)*1000)))</f>
        <v/>
      </c>
      <c r="E123" s="65">
        <f>IF($L123="","",INDEX(HSI!$K$7:$K$106,($L123-INT($L123/1000)*1000)))</f>
        <v/>
      </c>
      <c r="F123" s="40">
        <f>IF($L123="","",IF(COUNTIFS(OVR_TICKERS,$D123,OVR_BASE,"&gt;=0")=0,"",SUMIFS(OVR_BASE,OVR_TICKERS,$D123)))</f>
        <v/>
      </c>
      <c r="G123" s="65">
        <f>IF($L123="","",INDEX(HSI!$L$7:$L$106,($L123-INT($L123/1000)*1000)))</f>
        <v/>
      </c>
      <c r="H123" s="87">
        <f>IF($L123="","",IF($F123="","",IFERROR(($F123-$E123)*INDEX(HSI!$B$7:$B$106,($L123-INT($L123/1000)*1000))*INDEX(HSI!$G$7:$G$106,($L123-INT($L123/1000)*1000))/HSI!$B$3,"")))</f>
        <v/>
      </c>
      <c r="I123" s="43">
        <f>IF($L123="","",INDEX(HSI!$U$7:$U$106,($L123-INT($L123/1000)*1000)))</f>
        <v/>
      </c>
      <c r="K123" s="35">
        <f>IF(HSI!$C$54="","",IFERROR(MATCH(HSI!$E$54,Fundamentals!$B$216:$B$226,0),99)*1000+48)</f>
        <v/>
      </c>
      <c r="L123" s="35">
        <f>IFERROR(SMALL($K$76:$K$175,48),"")</f>
        <v/>
      </c>
    </row>
    <row r="124">
      <c r="B124" s="18">
        <f>IF($L124="","",INDEX(HSI!$E$7:$E$106,($L124-INT($L124/1000)*1000)))</f>
        <v/>
      </c>
      <c r="C124" s="18">
        <f>IF($L124="","",INDEX(HSI!$D$7:$D$106,($L124-INT($L124/1000)*1000)))</f>
        <v/>
      </c>
      <c r="D124" s="18">
        <f>IF($L124="","",INDEX(HSI!$C$7:$C$106,($L124-INT($L124/1000)*1000)))</f>
        <v/>
      </c>
      <c r="E124" s="65">
        <f>IF($L124="","",INDEX(HSI!$K$7:$K$106,($L124-INT($L124/1000)*1000)))</f>
        <v/>
      </c>
      <c r="F124" s="40">
        <f>IF($L124="","",IF(COUNTIFS(OVR_TICKERS,$D124,OVR_BASE,"&gt;=0")=0,"",SUMIFS(OVR_BASE,OVR_TICKERS,$D124)))</f>
        <v/>
      </c>
      <c r="G124" s="65">
        <f>IF($L124="","",INDEX(HSI!$L$7:$L$106,($L124-INT($L124/1000)*1000)))</f>
        <v/>
      </c>
      <c r="H124" s="87">
        <f>IF($L124="","",IF($F124="","",IFERROR(($F124-$E124)*INDEX(HSI!$B$7:$B$106,($L124-INT($L124/1000)*1000))*INDEX(HSI!$G$7:$G$106,($L124-INT($L124/1000)*1000))/HSI!$B$3,"")))</f>
        <v/>
      </c>
      <c r="I124" s="43">
        <f>IF($L124="","",INDEX(HSI!$U$7:$U$106,($L124-INT($L124/1000)*1000)))</f>
        <v/>
      </c>
      <c r="K124" s="35">
        <f>IF(HSI!$C$55="","",IFERROR(MATCH(HSI!$E$55,Fundamentals!$B$216:$B$226,0),99)*1000+49)</f>
        <v/>
      </c>
      <c r="L124" s="35">
        <f>IFERROR(SMALL($K$76:$K$175,49),"")</f>
        <v/>
      </c>
    </row>
    <row r="125">
      <c r="B125" s="18">
        <f>IF($L125="","",INDEX(HSI!$E$7:$E$106,($L125-INT($L125/1000)*1000)))</f>
        <v/>
      </c>
      <c r="C125" s="18">
        <f>IF($L125="","",INDEX(HSI!$D$7:$D$106,($L125-INT($L125/1000)*1000)))</f>
        <v/>
      </c>
      <c r="D125" s="18">
        <f>IF($L125="","",INDEX(HSI!$C$7:$C$106,($L125-INT($L125/1000)*1000)))</f>
        <v/>
      </c>
      <c r="E125" s="65">
        <f>IF($L125="","",INDEX(HSI!$K$7:$K$106,($L125-INT($L125/1000)*1000)))</f>
        <v/>
      </c>
      <c r="F125" s="40">
        <f>IF($L125="","",IF(COUNTIFS(OVR_TICKERS,$D125,OVR_BASE,"&gt;=0")=0,"",SUMIFS(OVR_BASE,OVR_TICKERS,$D125)))</f>
        <v/>
      </c>
      <c r="G125" s="65">
        <f>IF($L125="","",INDEX(HSI!$L$7:$L$106,($L125-INT($L125/1000)*1000)))</f>
        <v/>
      </c>
      <c r="H125" s="87">
        <f>IF($L125="","",IF($F125="","",IFERROR(($F125-$E125)*INDEX(HSI!$B$7:$B$106,($L125-INT($L125/1000)*1000))*INDEX(HSI!$G$7:$G$106,($L125-INT($L125/1000)*1000))/HSI!$B$3,"")))</f>
        <v/>
      </c>
      <c r="I125" s="43">
        <f>IF($L125="","",INDEX(HSI!$U$7:$U$106,($L125-INT($L125/1000)*1000)))</f>
        <v/>
      </c>
      <c r="K125" s="35">
        <f>IF(HSI!$C$56="","",IFERROR(MATCH(HSI!$E$56,Fundamentals!$B$216:$B$226,0),99)*1000+50)</f>
        <v/>
      </c>
      <c r="L125" s="35">
        <f>IFERROR(SMALL($K$76:$K$175,50),"")</f>
        <v/>
      </c>
    </row>
    <row r="126">
      <c r="B126" s="18">
        <f>IF($L126="","",INDEX(HSI!$E$7:$E$106,($L126-INT($L126/1000)*1000)))</f>
        <v/>
      </c>
      <c r="C126" s="18">
        <f>IF($L126="","",INDEX(HSI!$D$7:$D$106,($L126-INT($L126/1000)*1000)))</f>
        <v/>
      </c>
      <c r="D126" s="18">
        <f>IF($L126="","",INDEX(HSI!$C$7:$C$106,($L126-INT($L126/1000)*1000)))</f>
        <v/>
      </c>
      <c r="E126" s="65">
        <f>IF($L126="","",INDEX(HSI!$K$7:$K$106,($L126-INT($L126/1000)*1000)))</f>
        <v/>
      </c>
      <c r="F126" s="40">
        <f>IF($L126="","",IF(COUNTIFS(OVR_TICKERS,$D126,OVR_BASE,"&gt;=0")=0,"",SUMIFS(OVR_BASE,OVR_TICKERS,$D126)))</f>
        <v/>
      </c>
      <c r="G126" s="65">
        <f>IF($L126="","",INDEX(HSI!$L$7:$L$106,($L126-INT($L126/1000)*1000)))</f>
        <v/>
      </c>
      <c r="H126" s="87">
        <f>IF($L126="","",IF($F126="","",IFERROR(($F126-$E126)*INDEX(HSI!$B$7:$B$106,($L126-INT($L126/1000)*1000))*INDEX(HSI!$G$7:$G$106,($L126-INT($L126/1000)*1000))/HSI!$B$3,"")))</f>
        <v/>
      </c>
      <c r="I126" s="43">
        <f>IF($L126="","",INDEX(HSI!$U$7:$U$106,($L126-INT($L126/1000)*1000)))</f>
        <v/>
      </c>
      <c r="K126" s="35">
        <f>IF(HSI!$C$57="","",IFERROR(MATCH(HSI!$E$57,Fundamentals!$B$216:$B$226,0),99)*1000+51)</f>
        <v/>
      </c>
      <c r="L126" s="35">
        <f>IFERROR(SMALL($K$76:$K$175,51),"")</f>
        <v/>
      </c>
    </row>
    <row r="127">
      <c r="B127" s="18">
        <f>IF($L127="","",INDEX(HSI!$E$7:$E$106,($L127-INT($L127/1000)*1000)))</f>
        <v/>
      </c>
      <c r="C127" s="18">
        <f>IF($L127="","",INDEX(HSI!$D$7:$D$106,($L127-INT($L127/1000)*1000)))</f>
        <v/>
      </c>
      <c r="D127" s="18">
        <f>IF($L127="","",INDEX(HSI!$C$7:$C$106,($L127-INT($L127/1000)*1000)))</f>
        <v/>
      </c>
      <c r="E127" s="65">
        <f>IF($L127="","",INDEX(HSI!$K$7:$K$106,($L127-INT($L127/1000)*1000)))</f>
        <v/>
      </c>
      <c r="F127" s="40">
        <f>IF($L127="","",IF(COUNTIFS(OVR_TICKERS,$D127,OVR_BASE,"&gt;=0")=0,"",SUMIFS(OVR_BASE,OVR_TICKERS,$D127)))</f>
        <v/>
      </c>
      <c r="G127" s="65">
        <f>IF($L127="","",INDEX(HSI!$L$7:$L$106,($L127-INT($L127/1000)*1000)))</f>
        <v/>
      </c>
      <c r="H127" s="87">
        <f>IF($L127="","",IF($F127="","",IFERROR(($F127-$E127)*INDEX(HSI!$B$7:$B$106,($L127-INT($L127/1000)*1000))*INDEX(HSI!$G$7:$G$106,($L127-INT($L127/1000)*1000))/HSI!$B$3,"")))</f>
        <v/>
      </c>
      <c r="I127" s="43">
        <f>IF($L127="","",INDEX(HSI!$U$7:$U$106,($L127-INT($L127/1000)*1000)))</f>
        <v/>
      </c>
      <c r="K127" s="35">
        <f>IF(HSI!$C$58="","",IFERROR(MATCH(HSI!$E$58,Fundamentals!$B$216:$B$226,0),99)*1000+52)</f>
        <v/>
      </c>
      <c r="L127" s="35">
        <f>IFERROR(SMALL($K$76:$K$175,52),"")</f>
        <v/>
      </c>
    </row>
    <row r="128">
      <c r="B128" s="18">
        <f>IF($L128="","",INDEX(HSI!$E$7:$E$106,($L128-INT($L128/1000)*1000)))</f>
        <v/>
      </c>
      <c r="C128" s="18">
        <f>IF($L128="","",INDEX(HSI!$D$7:$D$106,($L128-INT($L128/1000)*1000)))</f>
        <v/>
      </c>
      <c r="D128" s="18">
        <f>IF($L128="","",INDEX(HSI!$C$7:$C$106,($L128-INT($L128/1000)*1000)))</f>
        <v/>
      </c>
      <c r="E128" s="65">
        <f>IF($L128="","",INDEX(HSI!$K$7:$K$106,($L128-INT($L128/1000)*1000)))</f>
        <v/>
      </c>
      <c r="F128" s="40">
        <f>IF($L128="","",IF(COUNTIFS(OVR_TICKERS,$D128,OVR_BASE,"&gt;=0")=0,"",SUMIFS(OVR_BASE,OVR_TICKERS,$D128)))</f>
        <v/>
      </c>
      <c r="G128" s="65">
        <f>IF($L128="","",INDEX(HSI!$L$7:$L$106,($L128-INT($L128/1000)*1000)))</f>
        <v/>
      </c>
      <c r="H128" s="87">
        <f>IF($L128="","",IF($F128="","",IFERROR(($F128-$E128)*INDEX(HSI!$B$7:$B$106,($L128-INT($L128/1000)*1000))*INDEX(HSI!$G$7:$G$106,($L128-INT($L128/1000)*1000))/HSI!$B$3,"")))</f>
        <v/>
      </c>
      <c r="I128" s="43">
        <f>IF($L128="","",INDEX(HSI!$U$7:$U$106,($L128-INT($L128/1000)*1000)))</f>
        <v/>
      </c>
      <c r="K128" s="35">
        <f>IF(HSI!$C$59="","",IFERROR(MATCH(HSI!$E$59,Fundamentals!$B$216:$B$226,0),99)*1000+53)</f>
        <v/>
      </c>
      <c r="L128" s="35">
        <f>IFERROR(SMALL($K$76:$K$175,53),"")</f>
        <v/>
      </c>
    </row>
    <row r="129">
      <c r="B129" s="18">
        <f>IF($L129="","",INDEX(HSI!$E$7:$E$106,($L129-INT($L129/1000)*1000)))</f>
        <v/>
      </c>
      <c r="C129" s="18">
        <f>IF($L129="","",INDEX(HSI!$D$7:$D$106,($L129-INT($L129/1000)*1000)))</f>
        <v/>
      </c>
      <c r="D129" s="18">
        <f>IF($L129="","",INDEX(HSI!$C$7:$C$106,($L129-INT($L129/1000)*1000)))</f>
        <v/>
      </c>
      <c r="E129" s="65">
        <f>IF($L129="","",INDEX(HSI!$K$7:$K$106,($L129-INT($L129/1000)*1000)))</f>
        <v/>
      </c>
      <c r="F129" s="40">
        <f>IF($L129="","",IF(COUNTIFS(OVR_TICKERS,$D129,OVR_BASE,"&gt;=0")=0,"",SUMIFS(OVR_BASE,OVR_TICKERS,$D129)))</f>
        <v/>
      </c>
      <c r="G129" s="65">
        <f>IF($L129="","",INDEX(HSI!$L$7:$L$106,($L129-INT($L129/1000)*1000)))</f>
        <v/>
      </c>
      <c r="H129" s="87">
        <f>IF($L129="","",IF($F129="","",IFERROR(($F129-$E129)*INDEX(HSI!$B$7:$B$106,($L129-INT($L129/1000)*1000))*INDEX(HSI!$G$7:$G$106,($L129-INT($L129/1000)*1000))/HSI!$B$3,"")))</f>
        <v/>
      </c>
      <c r="I129" s="43">
        <f>IF($L129="","",INDEX(HSI!$U$7:$U$106,($L129-INT($L129/1000)*1000)))</f>
        <v/>
      </c>
      <c r="K129" s="35">
        <f>IF(HSI!$C$60="","",IFERROR(MATCH(HSI!$E$60,Fundamentals!$B$216:$B$226,0),99)*1000+54)</f>
        <v/>
      </c>
      <c r="L129" s="35">
        <f>IFERROR(SMALL($K$76:$K$175,54),"")</f>
        <v/>
      </c>
    </row>
    <row r="130">
      <c r="B130" s="18">
        <f>IF($L130="","",INDEX(HSI!$E$7:$E$106,($L130-INT($L130/1000)*1000)))</f>
        <v/>
      </c>
      <c r="C130" s="18">
        <f>IF($L130="","",INDEX(HSI!$D$7:$D$106,($L130-INT($L130/1000)*1000)))</f>
        <v/>
      </c>
      <c r="D130" s="18">
        <f>IF($L130="","",INDEX(HSI!$C$7:$C$106,($L130-INT($L130/1000)*1000)))</f>
        <v/>
      </c>
      <c r="E130" s="65">
        <f>IF($L130="","",INDEX(HSI!$K$7:$K$106,($L130-INT($L130/1000)*1000)))</f>
        <v/>
      </c>
      <c r="F130" s="40">
        <f>IF($L130="","",IF(COUNTIFS(OVR_TICKERS,$D130,OVR_BASE,"&gt;=0")=0,"",SUMIFS(OVR_BASE,OVR_TICKERS,$D130)))</f>
        <v/>
      </c>
      <c r="G130" s="65">
        <f>IF($L130="","",INDEX(HSI!$L$7:$L$106,($L130-INT($L130/1000)*1000)))</f>
        <v/>
      </c>
      <c r="H130" s="87">
        <f>IF($L130="","",IF($F130="","",IFERROR(($F130-$E130)*INDEX(HSI!$B$7:$B$106,($L130-INT($L130/1000)*1000))*INDEX(HSI!$G$7:$G$106,($L130-INT($L130/1000)*1000))/HSI!$B$3,"")))</f>
        <v/>
      </c>
      <c r="I130" s="43">
        <f>IF($L130="","",INDEX(HSI!$U$7:$U$106,($L130-INT($L130/1000)*1000)))</f>
        <v/>
      </c>
      <c r="K130" s="35">
        <f>IF(HSI!$C$61="","",IFERROR(MATCH(HSI!$E$61,Fundamentals!$B$216:$B$226,0),99)*1000+55)</f>
        <v/>
      </c>
      <c r="L130" s="35">
        <f>IFERROR(SMALL($K$76:$K$175,55),"")</f>
        <v/>
      </c>
    </row>
    <row r="131">
      <c r="B131" s="18">
        <f>IF($L131="","",INDEX(HSI!$E$7:$E$106,($L131-INT($L131/1000)*1000)))</f>
        <v/>
      </c>
      <c r="C131" s="18">
        <f>IF($L131="","",INDEX(HSI!$D$7:$D$106,($L131-INT($L131/1000)*1000)))</f>
        <v/>
      </c>
      <c r="D131" s="18">
        <f>IF($L131="","",INDEX(HSI!$C$7:$C$106,($L131-INT($L131/1000)*1000)))</f>
        <v/>
      </c>
      <c r="E131" s="65">
        <f>IF($L131="","",INDEX(HSI!$K$7:$K$106,($L131-INT($L131/1000)*1000)))</f>
        <v/>
      </c>
      <c r="F131" s="40">
        <f>IF($L131="","",IF(COUNTIFS(OVR_TICKERS,$D131,OVR_BASE,"&gt;=0")=0,"",SUMIFS(OVR_BASE,OVR_TICKERS,$D131)))</f>
        <v/>
      </c>
      <c r="G131" s="65">
        <f>IF($L131="","",INDEX(HSI!$L$7:$L$106,($L131-INT($L131/1000)*1000)))</f>
        <v/>
      </c>
      <c r="H131" s="87">
        <f>IF($L131="","",IF($F131="","",IFERROR(($F131-$E131)*INDEX(HSI!$B$7:$B$106,($L131-INT($L131/1000)*1000))*INDEX(HSI!$G$7:$G$106,($L131-INT($L131/1000)*1000))/HSI!$B$3,"")))</f>
        <v/>
      </c>
      <c r="I131" s="43">
        <f>IF($L131="","",INDEX(HSI!$U$7:$U$106,($L131-INT($L131/1000)*1000)))</f>
        <v/>
      </c>
      <c r="K131" s="35">
        <f>IF(HSI!$C$62="","",IFERROR(MATCH(HSI!$E$62,Fundamentals!$B$216:$B$226,0),99)*1000+56)</f>
        <v/>
      </c>
      <c r="L131" s="35">
        <f>IFERROR(SMALL($K$76:$K$175,56),"")</f>
        <v/>
      </c>
    </row>
    <row r="132">
      <c r="B132" s="18">
        <f>IF($L132="","",INDEX(HSI!$E$7:$E$106,($L132-INT($L132/1000)*1000)))</f>
        <v/>
      </c>
      <c r="C132" s="18">
        <f>IF($L132="","",INDEX(HSI!$D$7:$D$106,($L132-INT($L132/1000)*1000)))</f>
        <v/>
      </c>
      <c r="D132" s="18">
        <f>IF($L132="","",INDEX(HSI!$C$7:$C$106,($L132-INT($L132/1000)*1000)))</f>
        <v/>
      </c>
      <c r="E132" s="65">
        <f>IF($L132="","",INDEX(HSI!$K$7:$K$106,($L132-INT($L132/1000)*1000)))</f>
        <v/>
      </c>
      <c r="F132" s="40">
        <f>IF($L132="","",IF(COUNTIFS(OVR_TICKERS,$D132,OVR_BASE,"&gt;=0")=0,"",SUMIFS(OVR_BASE,OVR_TICKERS,$D132)))</f>
        <v/>
      </c>
      <c r="G132" s="65">
        <f>IF($L132="","",INDEX(HSI!$L$7:$L$106,($L132-INT($L132/1000)*1000)))</f>
        <v/>
      </c>
      <c r="H132" s="87">
        <f>IF($L132="","",IF($F132="","",IFERROR(($F132-$E132)*INDEX(HSI!$B$7:$B$106,($L132-INT($L132/1000)*1000))*INDEX(HSI!$G$7:$G$106,($L132-INT($L132/1000)*1000))/HSI!$B$3,"")))</f>
        <v/>
      </c>
      <c r="I132" s="43">
        <f>IF($L132="","",INDEX(HSI!$U$7:$U$106,($L132-INT($L132/1000)*1000)))</f>
        <v/>
      </c>
      <c r="K132" s="35">
        <f>IF(HSI!$C$63="","",IFERROR(MATCH(HSI!$E$63,Fundamentals!$B$216:$B$226,0),99)*1000+57)</f>
        <v/>
      </c>
      <c r="L132" s="35">
        <f>IFERROR(SMALL($K$76:$K$175,57),"")</f>
        <v/>
      </c>
    </row>
    <row r="133">
      <c r="B133" s="18">
        <f>IF($L133="","",INDEX(HSI!$E$7:$E$106,($L133-INT($L133/1000)*1000)))</f>
        <v/>
      </c>
      <c r="C133" s="18">
        <f>IF($L133="","",INDEX(HSI!$D$7:$D$106,($L133-INT($L133/1000)*1000)))</f>
        <v/>
      </c>
      <c r="D133" s="18">
        <f>IF($L133="","",INDEX(HSI!$C$7:$C$106,($L133-INT($L133/1000)*1000)))</f>
        <v/>
      </c>
      <c r="E133" s="65">
        <f>IF($L133="","",INDEX(HSI!$K$7:$K$106,($L133-INT($L133/1000)*1000)))</f>
        <v/>
      </c>
      <c r="F133" s="40">
        <f>IF($L133="","",IF(COUNTIFS(OVR_TICKERS,$D133,OVR_BASE,"&gt;=0")=0,"",SUMIFS(OVR_BASE,OVR_TICKERS,$D133)))</f>
        <v/>
      </c>
      <c r="G133" s="65">
        <f>IF($L133="","",INDEX(HSI!$L$7:$L$106,($L133-INT($L133/1000)*1000)))</f>
        <v/>
      </c>
      <c r="H133" s="87">
        <f>IF($L133="","",IF($F133="","",IFERROR(($F133-$E133)*INDEX(HSI!$B$7:$B$106,($L133-INT($L133/1000)*1000))*INDEX(HSI!$G$7:$G$106,($L133-INT($L133/1000)*1000))/HSI!$B$3,"")))</f>
        <v/>
      </c>
      <c r="I133" s="43">
        <f>IF($L133="","",INDEX(HSI!$U$7:$U$106,($L133-INT($L133/1000)*1000)))</f>
        <v/>
      </c>
      <c r="K133" s="35">
        <f>IF(HSI!$C$64="","",IFERROR(MATCH(HSI!$E$64,Fundamentals!$B$216:$B$226,0),99)*1000+58)</f>
        <v/>
      </c>
      <c r="L133" s="35">
        <f>IFERROR(SMALL($K$76:$K$175,58),"")</f>
        <v/>
      </c>
    </row>
    <row r="134">
      <c r="B134" s="18">
        <f>IF($L134="","",INDEX(HSI!$E$7:$E$106,($L134-INT($L134/1000)*1000)))</f>
        <v/>
      </c>
      <c r="C134" s="18">
        <f>IF($L134="","",INDEX(HSI!$D$7:$D$106,($L134-INT($L134/1000)*1000)))</f>
        <v/>
      </c>
      <c r="D134" s="18">
        <f>IF($L134="","",INDEX(HSI!$C$7:$C$106,($L134-INT($L134/1000)*1000)))</f>
        <v/>
      </c>
      <c r="E134" s="65">
        <f>IF($L134="","",INDEX(HSI!$K$7:$K$106,($L134-INT($L134/1000)*1000)))</f>
        <v/>
      </c>
      <c r="F134" s="40">
        <f>IF($L134="","",IF(COUNTIFS(OVR_TICKERS,$D134,OVR_BASE,"&gt;=0")=0,"",SUMIFS(OVR_BASE,OVR_TICKERS,$D134)))</f>
        <v/>
      </c>
      <c r="G134" s="65">
        <f>IF($L134="","",INDEX(HSI!$L$7:$L$106,($L134-INT($L134/1000)*1000)))</f>
        <v/>
      </c>
      <c r="H134" s="87">
        <f>IF($L134="","",IF($F134="","",IFERROR(($F134-$E134)*INDEX(HSI!$B$7:$B$106,($L134-INT($L134/1000)*1000))*INDEX(HSI!$G$7:$G$106,($L134-INT($L134/1000)*1000))/HSI!$B$3,"")))</f>
        <v/>
      </c>
      <c r="I134" s="43">
        <f>IF($L134="","",INDEX(HSI!$U$7:$U$106,($L134-INT($L134/1000)*1000)))</f>
        <v/>
      </c>
      <c r="K134" s="35">
        <f>IF(HSI!$C$65="","",IFERROR(MATCH(HSI!$E$65,Fundamentals!$B$216:$B$226,0),99)*1000+59)</f>
        <v/>
      </c>
      <c r="L134" s="35">
        <f>IFERROR(SMALL($K$76:$K$175,59),"")</f>
        <v/>
      </c>
    </row>
    <row r="135">
      <c r="B135" s="18">
        <f>IF($L135="","",INDEX(HSI!$E$7:$E$106,($L135-INT($L135/1000)*1000)))</f>
        <v/>
      </c>
      <c r="C135" s="18">
        <f>IF($L135="","",INDEX(HSI!$D$7:$D$106,($L135-INT($L135/1000)*1000)))</f>
        <v/>
      </c>
      <c r="D135" s="18">
        <f>IF($L135="","",INDEX(HSI!$C$7:$C$106,($L135-INT($L135/1000)*1000)))</f>
        <v/>
      </c>
      <c r="E135" s="65">
        <f>IF($L135="","",INDEX(HSI!$K$7:$K$106,($L135-INT($L135/1000)*1000)))</f>
        <v/>
      </c>
      <c r="F135" s="40">
        <f>IF($L135="","",IF(COUNTIFS(OVR_TICKERS,$D135,OVR_BASE,"&gt;=0")=0,"",SUMIFS(OVR_BASE,OVR_TICKERS,$D135)))</f>
        <v/>
      </c>
      <c r="G135" s="65">
        <f>IF($L135="","",INDEX(HSI!$L$7:$L$106,($L135-INT($L135/1000)*1000)))</f>
        <v/>
      </c>
      <c r="H135" s="87">
        <f>IF($L135="","",IF($F135="","",IFERROR(($F135-$E135)*INDEX(HSI!$B$7:$B$106,($L135-INT($L135/1000)*1000))*INDEX(HSI!$G$7:$G$106,($L135-INT($L135/1000)*1000))/HSI!$B$3,"")))</f>
        <v/>
      </c>
      <c r="I135" s="43">
        <f>IF($L135="","",INDEX(HSI!$U$7:$U$106,($L135-INT($L135/1000)*1000)))</f>
        <v/>
      </c>
      <c r="K135" s="35">
        <f>IF(HSI!$C$66="","",IFERROR(MATCH(HSI!$E$66,Fundamentals!$B$216:$B$226,0),99)*1000+60)</f>
        <v/>
      </c>
      <c r="L135" s="35">
        <f>IFERROR(SMALL($K$76:$K$175,60),"")</f>
        <v/>
      </c>
    </row>
    <row r="136">
      <c r="B136" s="18">
        <f>IF($L136="","",INDEX(HSI!$E$7:$E$106,($L136-INT($L136/1000)*1000)))</f>
        <v/>
      </c>
      <c r="C136" s="18">
        <f>IF($L136="","",INDEX(HSI!$D$7:$D$106,($L136-INT($L136/1000)*1000)))</f>
        <v/>
      </c>
      <c r="D136" s="18">
        <f>IF($L136="","",INDEX(HSI!$C$7:$C$106,($L136-INT($L136/1000)*1000)))</f>
        <v/>
      </c>
      <c r="E136" s="65">
        <f>IF($L136="","",INDEX(HSI!$K$7:$K$106,($L136-INT($L136/1000)*1000)))</f>
        <v/>
      </c>
      <c r="F136" s="40">
        <f>IF($L136="","",IF(COUNTIFS(OVR_TICKERS,$D136,OVR_BASE,"&gt;=0")=0,"",SUMIFS(OVR_BASE,OVR_TICKERS,$D136)))</f>
        <v/>
      </c>
      <c r="G136" s="65">
        <f>IF($L136="","",INDEX(HSI!$L$7:$L$106,($L136-INT($L136/1000)*1000)))</f>
        <v/>
      </c>
      <c r="H136" s="87">
        <f>IF($L136="","",IF($F136="","",IFERROR(($F136-$E136)*INDEX(HSI!$B$7:$B$106,($L136-INT($L136/1000)*1000))*INDEX(HSI!$G$7:$G$106,($L136-INT($L136/1000)*1000))/HSI!$B$3,"")))</f>
        <v/>
      </c>
      <c r="I136" s="43">
        <f>IF($L136="","",INDEX(HSI!$U$7:$U$106,($L136-INT($L136/1000)*1000)))</f>
        <v/>
      </c>
      <c r="K136" s="35">
        <f>IF(HSI!$C$67="","",IFERROR(MATCH(HSI!$E$67,Fundamentals!$B$216:$B$226,0),99)*1000+61)</f>
        <v/>
      </c>
      <c r="L136" s="35">
        <f>IFERROR(SMALL($K$76:$K$175,61),"")</f>
        <v/>
      </c>
    </row>
    <row r="137">
      <c r="B137" s="18">
        <f>IF($L137="","",INDEX(HSI!$E$7:$E$106,($L137-INT($L137/1000)*1000)))</f>
        <v/>
      </c>
      <c r="C137" s="18">
        <f>IF($L137="","",INDEX(HSI!$D$7:$D$106,($L137-INT($L137/1000)*1000)))</f>
        <v/>
      </c>
      <c r="D137" s="18">
        <f>IF($L137="","",INDEX(HSI!$C$7:$C$106,($L137-INT($L137/1000)*1000)))</f>
        <v/>
      </c>
      <c r="E137" s="65">
        <f>IF($L137="","",INDEX(HSI!$K$7:$K$106,($L137-INT($L137/1000)*1000)))</f>
        <v/>
      </c>
      <c r="F137" s="40">
        <f>IF($L137="","",IF(COUNTIFS(OVR_TICKERS,$D137,OVR_BASE,"&gt;=0")=0,"",SUMIFS(OVR_BASE,OVR_TICKERS,$D137)))</f>
        <v/>
      </c>
      <c r="G137" s="65">
        <f>IF($L137="","",INDEX(HSI!$L$7:$L$106,($L137-INT($L137/1000)*1000)))</f>
        <v/>
      </c>
      <c r="H137" s="87">
        <f>IF($L137="","",IF($F137="","",IFERROR(($F137-$E137)*INDEX(HSI!$B$7:$B$106,($L137-INT($L137/1000)*1000))*INDEX(HSI!$G$7:$G$106,($L137-INT($L137/1000)*1000))/HSI!$B$3,"")))</f>
        <v/>
      </c>
      <c r="I137" s="43">
        <f>IF($L137="","",INDEX(HSI!$U$7:$U$106,($L137-INT($L137/1000)*1000)))</f>
        <v/>
      </c>
      <c r="K137" s="35">
        <f>IF(HSI!$C$68="","",IFERROR(MATCH(HSI!$E$68,Fundamentals!$B$216:$B$226,0),99)*1000+62)</f>
        <v/>
      </c>
      <c r="L137" s="35">
        <f>IFERROR(SMALL($K$76:$K$175,62),"")</f>
        <v/>
      </c>
    </row>
    <row r="138">
      <c r="B138" s="18">
        <f>IF($L138="","",INDEX(HSI!$E$7:$E$106,($L138-INT($L138/1000)*1000)))</f>
        <v/>
      </c>
      <c r="C138" s="18">
        <f>IF($L138="","",INDEX(HSI!$D$7:$D$106,($L138-INT($L138/1000)*1000)))</f>
        <v/>
      </c>
      <c r="D138" s="18">
        <f>IF($L138="","",INDEX(HSI!$C$7:$C$106,($L138-INT($L138/1000)*1000)))</f>
        <v/>
      </c>
      <c r="E138" s="65">
        <f>IF($L138="","",INDEX(HSI!$K$7:$K$106,($L138-INT($L138/1000)*1000)))</f>
        <v/>
      </c>
      <c r="F138" s="40">
        <f>IF($L138="","",IF(COUNTIFS(OVR_TICKERS,$D138,OVR_BASE,"&gt;=0")=0,"",SUMIFS(OVR_BASE,OVR_TICKERS,$D138)))</f>
        <v/>
      </c>
      <c r="G138" s="65">
        <f>IF($L138="","",INDEX(HSI!$L$7:$L$106,($L138-INT($L138/1000)*1000)))</f>
        <v/>
      </c>
      <c r="H138" s="87">
        <f>IF($L138="","",IF($F138="","",IFERROR(($F138-$E138)*INDEX(HSI!$B$7:$B$106,($L138-INT($L138/1000)*1000))*INDEX(HSI!$G$7:$G$106,($L138-INT($L138/1000)*1000))/HSI!$B$3,"")))</f>
        <v/>
      </c>
      <c r="I138" s="43">
        <f>IF($L138="","",INDEX(HSI!$U$7:$U$106,($L138-INT($L138/1000)*1000)))</f>
        <v/>
      </c>
      <c r="K138" s="35">
        <f>IF(HSI!$C$69="","",IFERROR(MATCH(HSI!$E$69,Fundamentals!$B$216:$B$226,0),99)*1000+63)</f>
        <v/>
      </c>
      <c r="L138" s="35">
        <f>IFERROR(SMALL($K$76:$K$175,63),"")</f>
        <v/>
      </c>
    </row>
    <row r="139">
      <c r="B139" s="18">
        <f>IF($L139="","",INDEX(HSI!$E$7:$E$106,($L139-INT($L139/1000)*1000)))</f>
        <v/>
      </c>
      <c r="C139" s="18">
        <f>IF($L139="","",INDEX(HSI!$D$7:$D$106,($L139-INT($L139/1000)*1000)))</f>
        <v/>
      </c>
      <c r="D139" s="18">
        <f>IF($L139="","",INDEX(HSI!$C$7:$C$106,($L139-INT($L139/1000)*1000)))</f>
        <v/>
      </c>
      <c r="E139" s="65">
        <f>IF($L139="","",INDEX(HSI!$K$7:$K$106,($L139-INT($L139/1000)*1000)))</f>
        <v/>
      </c>
      <c r="F139" s="40">
        <f>IF($L139="","",IF(COUNTIFS(OVR_TICKERS,$D139,OVR_BASE,"&gt;=0")=0,"",SUMIFS(OVR_BASE,OVR_TICKERS,$D139)))</f>
        <v/>
      </c>
      <c r="G139" s="65">
        <f>IF($L139="","",INDEX(HSI!$L$7:$L$106,($L139-INT($L139/1000)*1000)))</f>
        <v/>
      </c>
      <c r="H139" s="87">
        <f>IF($L139="","",IF($F139="","",IFERROR(($F139-$E139)*INDEX(HSI!$B$7:$B$106,($L139-INT($L139/1000)*1000))*INDEX(HSI!$G$7:$G$106,($L139-INT($L139/1000)*1000))/HSI!$B$3,"")))</f>
        <v/>
      </c>
      <c r="I139" s="43">
        <f>IF($L139="","",INDEX(HSI!$U$7:$U$106,($L139-INT($L139/1000)*1000)))</f>
        <v/>
      </c>
      <c r="K139" s="35">
        <f>IF(HSI!$C$70="","",IFERROR(MATCH(HSI!$E$70,Fundamentals!$B$216:$B$226,0),99)*1000+64)</f>
        <v/>
      </c>
      <c r="L139" s="35">
        <f>IFERROR(SMALL($K$76:$K$175,64),"")</f>
        <v/>
      </c>
    </row>
    <row r="140">
      <c r="B140" s="18">
        <f>IF($L140="","",INDEX(HSI!$E$7:$E$106,($L140-INT($L140/1000)*1000)))</f>
        <v/>
      </c>
      <c r="C140" s="18">
        <f>IF($L140="","",INDEX(HSI!$D$7:$D$106,($L140-INT($L140/1000)*1000)))</f>
        <v/>
      </c>
      <c r="D140" s="18">
        <f>IF($L140="","",INDEX(HSI!$C$7:$C$106,($L140-INT($L140/1000)*1000)))</f>
        <v/>
      </c>
      <c r="E140" s="65">
        <f>IF($L140="","",INDEX(HSI!$K$7:$K$106,($L140-INT($L140/1000)*1000)))</f>
        <v/>
      </c>
      <c r="F140" s="40">
        <f>IF($L140="","",IF(COUNTIFS(OVR_TICKERS,$D140,OVR_BASE,"&gt;=0")=0,"",SUMIFS(OVR_BASE,OVR_TICKERS,$D140)))</f>
        <v/>
      </c>
      <c r="G140" s="65">
        <f>IF($L140="","",INDEX(HSI!$L$7:$L$106,($L140-INT($L140/1000)*1000)))</f>
        <v/>
      </c>
      <c r="H140" s="87">
        <f>IF($L140="","",IF($F140="","",IFERROR(($F140-$E140)*INDEX(HSI!$B$7:$B$106,($L140-INT($L140/1000)*1000))*INDEX(HSI!$G$7:$G$106,($L140-INT($L140/1000)*1000))/HSI!$B$3,"")))</f>
        <v/>
      </c>
      <c r="I140" s="43">
        <f>IF($L140="","",INDEX(HSI!$U$7:$U$106,($L140-INT($L140/1000)*1000)))</f>
        <v/>
      </c>
      <c r="K140" s="35">
        <f>IF(HSI!$C$71="","",IFERROR(MATCH(HSI!$E$71,Fundamentals!$B$216:$B$226,0),99)*1000+65)</f>
        <v/>
      </c>
      <c r="L140" s="35">
        <f>IFERROR(SMALL($K$76:$K$175,65),"")</f>
        <v/>
      </c>
    </row>
    <row r="141">
      <c r="B141" s="18">
        <f>IF($L141="","",INDEX(HSI!$E$7:$E$106,($L141-INT($L141/1000)*1000)))</f>
        <v/>
      </c>
      <c r="C141" s="18">
        <f>IF($L141="","",INDEX(HSI!$D$7:$D$106,($L141-INT($L141/1000)*1000)))</f>
        <v/>
      </c>
      <c r="D141" s="18">
        <f>IF($L141="","",INDEX(HSI!$C$7:$C$106,($L141-INT($L141/1000)*1000)))</f>
        <v/>
      </c>
      <c r="E141" s="65">
        <f>IF($L141="","",INDEX(HSI!$K$7:$K$106,($L141-INT($L141/1000)*1000)))</f>
        <v/>
      </c>
      <c r="F141" s="40">
        <f>IF($L141="","",IF(COUNTIFS(OVR_TICKERS,$D141,OVR_BASE,"&gt;=0")=0,"",SUMIFS(OVR_BASE,OVR_TICKERS,$D141)))</f>
        <v/>
      </c>
      <c r="G141" s="65">
        <f>IF($L141="","",INDEX(HSI!$L$7:$L$106,($L141-INT($L141/1000)*1000)))</f>
        <v/>
      </c>
      <c r="H141" s="87">
        <f>IF($L141="","",IF($F141="","",IFERROR(($F141-$E141)*INDEX(HSI!$B$7:$B$106,($L141-INT($L141/1000)*1000))*INDEX(HSI!$G$7:$G$106,($L141-INT($L141/1000)*1000))/HSI!$B$3,"")))</f>
        <v/>
      </c>
      <c r="I141" s="43">
        <f>IF($L141="","",INDEX(HSI!$U$7:$U$106,($L141-INT($L141/1000)*1000)))</f>
        <v/>
      </c>
      <c r="K141" s="35">
        <f>IF(HSI!$C$72="","",IFERROR(MATCH(HSI!$E$72,Fundamentals!$B$216:$B$226,0),99)*1000+66)</f>
        <v/>
      </c>
      <c r="L141" s="35">
        <f>IFERROR(SMALL($K$76:$K$175,66),"")</f>
        <v/>
      </c>
    </row>
    <row r="142">
      <c r="B142" s="18">
        <f>IF($L142="","",INDEX(HSI!$E$7:$E$106,($L142-INT($L142/1000)*1000)))</f>
        <v/>
      </c>
      <c r="C142" s="18">
        <f>IF($L142="","",INDEX(HSI!$D$7:$D$106,($L142-INT($L142/1000)*1000)))</f>
        <v/>
      </c>
      <c r="D142" s="18">
        <f>IF($L142="","",INDEX(HSI!$C$7:$C$106,($L142-INT($L142/1000)*1000)))</f>
        <v/>
      </c>
      <c r="E142" s="65">
        <f>IF($L142="","",INDEX(HSI!$K$7:$K$106,($L142-INT($L142/1000)*1000)))</f>
        <v/>
      </c>
      <c r="F142" s="40">
        <f>IF($L142="","",IF(COUNTIFS(OVR_TICKERS,$D142,OVR_BASE,"&gt;=0")=0,"",SUMIFS(OVR_BASE,OVR_TICKERS,$D142)))</f>
        <v/>
      </c>
      <c r="G142" s="65">
        <f>IF($L142="","",INDEX(HSI!$L$7:$L$106,($L142-INT($L142/1000)*1000)))</f>
        <v/>
      </c>
      <c r="H142" s="87">
        <f>IF($L142="","",IF($F142="","",IFERROR(($F142-$E142)*INDEX(HSI!$B$7:$B$106,($L142-INT($L142/1000)*1000))*INDEX(HSI!$G$7:$G$106,($L142-INT($L142/1000)*1000))/HSI!$B$3,"")))</f>
        <v/>
      </c>
      <c r="I142" s="43">
        <f>IF($L142="","",INDEX(HSI!$U$7:$U$106,($L142-INT($L142/1000)*1000)))</f>
        <v/>
      </c>
      <c r="K142" s="35">
        <f>IF(HSI!$C$73="","",IFERROR(MATCH(HSI!$E$73,Fundamentals!$B$216:$B$226,0),99)*1000+67)</f>
        <v/>
      </c>
      <c r="L142" s="35">
        <f>IFERROR(SMALL($K$76:$K$175,67),"")</f>
        <v/>
      </c>
    </row>
    <row r="143">
      <c r="B143" s="18">
        <f>IF($L143="","",INDEX(HSI!$E$7:$E$106,($L143-INT($L143/1000)*1000)))</f>
        <v/>
      </c>
      <c r="C143" s="18">
        <f>IF($L143="","",INDEX(HSI!$D$7:$D$106,($L143-INT($L143/1000)*1000)))</f>
        <v/>
      </c>
      <c r="D143" s="18">
        <f>IF($L143="","",INDEX(HSI!$C$7:$C$106,($L143-INT($L143/1000)*1000)))</f>
        <v/>
      </c>
      <c r="E143" s="65">
        <f>IF($L143="","",INDEX(HSI!$K$7:$K$106,($L143-INT($L143/1000)*1000)))</f>
        <v/>
      </c>
      <c r="F143" s="40">
        <f>IF($L143="","",IF(COUNTIFS(OVR_TICKERS,$D143,OVR_BASE,"&gt;=0")=0,"",SUMIFS(OVR_BASE,OVR_TICKERS,$D143)))</f>
        <v/>
      </c>
      <c r="G143" s="65">
        <f>IF($L143="","",INDEX(HSI!$L$7:$L$106,($L143-INT($L143/1000)*1000)))</f>
        <v/>
      </c>
      <c r="H143" s="87">
        <f>IF($L143="","",IF($F143="","",IFERROR(($F143-$E143)*INDEX(HSI!$B$7:$B$106,($L143-INT($L143/1000)*1000))*INDEX(HSI!$G$7:$G$106,($L143-INT($L143/1000)*1000))/HSI!$B$3,"")))</f>
        <v/>
      </c>
      <c r="I143" s="43">
        <f>IF($L143="","",INDEX(HSI!$U$7:$U$106,($L143-INT($L143/1000)*1000)))</f>
        <v/>
      </c>
      <c r="K143" s="35">
        <f>IF(HSI!$C$74="","",IFERROR(MATCH(HSI!$E$74,Fundamentals!$B$216:$B$226,0),99)*1000+68)</f>
        <v/>
      </c>
      <c r="L143" s="35">
        <f>IFERROR(SMALL($K$76:$K$175,68),"")</f>
        <v/>
      </c>
    </row>
    <row r="144">
      <c r="B144" s="18">
        <f>IF($L144="","",INDEX(HSI!$E$7:$E$106,($L144-INT($L144/1000)*1000)))</f>
        <v/>
      </c>
      <c r="C144" s="18">
        <f>IF($L144="","",INDEX(HSI!$D$7:$D$106,($L144-INT($L144/1000)*1000)))</f>
        <v/>
      </c>
      <c r="D144" s="18">
        <f>IF($L144="","",INDEX(HSI!$C$7:$C$106,($L144-INT($L144/1000)*1000)))</f>
        <v/>
      </c>
      <c r="E144" s="65">
        <f>IF($L144="","",INDEX(HSI!$K$7:$K$106,($L144-INT($L144/1000)*1000)))</f>
        <v/>
      </c>
      <c r="F144" s="40">
        <f>IF($L144="","",IF(COUNTIFS(OVR_TICKERS,$D144,OVR_BASE,"&gt;=0")=0,"",SUMIFS(OVR_BASE,OVR_TICKERS,$D144)))</f>
        <v/>
      </c>
      <c r="G144" s="65">
        <f>IF($L144="","",INDEX(HSI!$L$7:$L$106,($L144-INT($L144/1000)*1000)))</f>
        <v/>
      </c>
      <c r="H144" s="87">
        <f>IF($L144="","",IF($F144="","",IFERROR(($F144-$E144)*INDEX(HSI!$B$7:$B$106,($L144-INT($L144/1000)*1000))*INDEX(HSI!$G$7:$G$106,($L144-INT($L144/1000)*1000))/HSI!$B$3,"")))</f>
        <v/>
      </c>
      <c r="I144" s="43">
        <f>IF($L144="","",INDEX(HSI!$U$7:$U$106,($L144-INT($L144/1000)*1000)))</f>
        <v/>
      </c>
      <c r="K144" s="35">
        <f>IF(HSI!$C$75="","",IFERROR(MATCH(HSI!$E$75,Fundamentals!$B$216:$B$226,0),99)*1000+69)</f>
        <v/>
      </c>
      <c r="L144" s="35">
        <f>IFERROR(SMALL($K$76:$K$175,69),"")</f>
        <v/>
      </c>
    </row>
    <row r="145">
      <c r="B145" s="18">
        <f>IF($L145="","",INDEX(HSI!$E$7:$E$106,($L145-INT($L145/1000)*1000)))</f>
        <v/>
      </c>
      <c r="C145" s="18">
        <f>IF($L145="","",INDEX(HSI!$D$7:$D$106,($L145-INT($L145/1000)*1000)))</f>
        <v/>
      </c>
      <c r="D145" s="18">
        <f>IF($L145="","",INDEX(HSI!$C$7:$C$106,($L145-INT($L145/1000)*1000)))</f>
        <v/>
      </c>
      <c r="E145" s="65">
        <f>IF($L145="","",INDEX(HSI!$K$7:$K$106,($L145-INT($L145/1000)*1000)))</f>
        <v/>
      </c>
      <c r="F145" s="40">
        <f>IF($L145="","",IF(COUNTIFS(OVR_TICKERS,$D145,OVR_BASE,"&gt;=0")=0,"",SUMIFS(OVR_BASE,OVR_TICKERS,$D145)))</f>
        <v/>
      </c>
      <c r="G145" s="65">
        <f>IF($L145="","",INDEX(HSI!$L$7:$L$106,($L145-INT($L145/1000)*1000)))</f>
        <v/>
      </c>
      <c r="H145" s="87">
        <f>IF($L145="","",IF($F145="","",IFERROR(($F145-$E145)*INDEX(HSI!$B$7:$B$106,($L145-INT($L145/1000)*1000))*INDEX(HSI!$G$7:$G$106,($L145-INT($L145/1000)*1000))/HSI!$B$3,"")))</f>
        <v/>
      </c>
      <c r="I145" s="43">
        <f>IF($L145="","",INDEX(HSI!$U$7:$U$106,($L145-INT($L145/1000)*1000)))</f>
        <v/>
      </c>
      <c r="K145" s="35">
        <f>IF(HSI!$C$76="","",IFERROR(MATCH(HSI!$E$76,Fundamentals!$B$216:$B$226,0),99)*1000+70)</f>
        <v/>
      </c>
      <c r="L145" s="35">
        <f>IFERROR(SMALL($K$76:$K$175,70),"")</f>
        <v/>
      </c>
    </row>
    <row r="146">
      <c r="B146" s="18">
        <f>IF($L146="","",INDEX(HSI!$E$7:$E$106,($L146-INT($L146/1000)*1000)))</f>
        <v/>
      </c>
      <c r="C146" s="18">
        <f>IF($L146="","",INDEX(HSI!$D$7:$D$106,($L146-INT($L146/1000)*1000)))</f>
        <v/>
      </c>
      <c r="D146" s="18">
        <f>IF($L146="","",INDEX(HSI!$C$7:$C$106,($L146-INT($L146/1000)*1000)))</f>
        <v/>
      </c>
      <c r="E146" s="65">
        <f>IF($L146="","",INDEX(HSI!$K$7:$K$106,($L146-INT($L146/1000)*1000)))</f>
        <v/>
      </c>
      <c r="F146" s="40">
        <f>IF($L146="","",IF(COUNTIFS(OVR_TICKERS,$D146,OVR_BASE,"&gt;=0")=0,"",SUMIFS(OVR_BASE,OVR_TICKERS,$D146)))</f>
        <v/>
      </c>
      <c r="G146" s="65">
        <f>IF($L146="","",INDEX(HSI!$L$7:$L$106,($L146-INT($L146/1000)*1000)))</f>
        <v/>
      </c>
      <c r="H146" s="87">
        <f>IF($L146="","",IF($F146="","",IFERROR(($F146-$E146)*INDEX(HSI!$B$7:$B$106,($L146-INT($L146/1000)*1000))*INDEX(HSI!$G$7:$G$106,($L146-INT($L146/1000)*1000))/HSI!$B$3,"")))</f>
        <v/>
      </c>
      <c r="I146" s="43">
        <f>IF($L146="","",INDEX(HSI!$U$7:$U$106,($L146-INT($L146/1000)*1000)))</f>
        <v/>
      </c>
      <c r="K146" s="35">
        <f>IF(HSI!$C$77="","",IFERROR(MATCH(HSI!$E$77,Fundamentals!$B$216:$B$226,0),99)*1000+71)</f>
        <v/>
      </c>
      <c r="L146" s="35">
        <f>IFERROR(SMALL($K$76:$K$175,71),"")</f>
        <v/>
      </c>
    </row>
    <row r="147">
      <c r="B147" s="18">
        <f>IF($L147="","",INDEX(HSI!$E$7:$E$106,($L147-INT($L147/1000)*1000)))</f>
        <v/>
      </c>
      <c r="C147" s="18">
        <f>IF($L147="","",INDEX(HSI!$D$7:$D$106,($L147-INT($L147/1000)*1000)))</f>
        <v/>
      </c>
      <c r="D147" s="18">
        <f>IF($L147="","",INDEX(HSI!$C$7:$C$106,($L147-INT($L147/1000)*1000)))</f>
        <v/>
      </c>
      <c r="E147" s="65">
        <f>IF($L147="","",INDEX(HSI!$K$7:$K$106,($L147-INT($L147/1000)*1000)))</f>
        <v/>
      </c>
      <c r="F147" s="40">
        <f>IF($L147="","",IF(COUNTIFS(OVR_TICKERS,$D147,OVR_BASE,"&gt;=0")=0,"",SUMIFS(OVR_BASE,OVR_TICKERS,$D147)))</f>
        <v/>
      </c>
      <c r="G147" s="65">
        <f>IF($L147="","",INDEX(HSI!$L$7:$L$106,($L147-INT($L147/1000)*1000)))</f>
        <v/>
      </c>
      <c r="H147" s="87">
        <f>IF($L147="","",IF($F147="","",IFERROR(($F147-$E147)*INDEX(HSI!$B$7:$B$106,($L147-INT($L147/1000)*1000))*INDEX(HSI!$G$7:$G$106,($L147-INT($L147/1000)*1000))/HSI!$B$3,"")))</f>
        <v/>
      </c>
      <c r="I147" s="43">
        <f>IF($L147="","",INDEX(HSI!$U$7:$U$106,($L147-INT($L147/1000)*1000)))</f>
        <v/>
      </c>
      <c r="K147" s="35">
        <f>IF(HSI!$C$78="","",IFERROR(MATCH(HSI!$E$78,Fundamentals!$B$216:$B$226,0),99)*1000+72)</f>
        <v/>
      </c>
      <c r="L147" s="35">
        <f>IFERROR(SMALL($K$76:$K$175,72),"")</f>
        <v/>
      </c>
    </row>
    <row r="148">
      <c r="B148" s="18">
        <f>IF($L148="","",INDEX(HSI!$E$7:$E$106,($L148-INT($L148/1000)*1000)))</f>
        <v/>
      </c>
      <c r="C148" s="18">
        <f>IF($L148="","",INDEX(HSI!$D$7:$D$106,($L148-INT($L148/1000)*1000)))</f>
        <v/>
      </c>
      <c r="D148" s="18">
        <f>IF($L148="","",INDEX(HSI!$C$7:$C$106,($L148-INT($L148/1000)*1000)))</f>
        <v/>
      </c>
      <c r="E148" s="65">
        <f>IF($L148="","",INDEX(HSI!$K$7:$K$106,($L148-INT($L148/1000)*1000)))</f>
        <v/>
      </c>
      <c r="F148" s="40">
        <f>IF($L148="","",IF(COUNTIFS(OVR_TICKERS,$D148,OVR_BASE,"&gt;=0")=0,"",SUMIFS(OVR_BASE,OVR_TICKERS,$D148)))</f>
        <v/>
      </c>
      <c r="G148" s="65">
        <f>IF($L148="","",INDEX(HSI!$L$7:$L$106,($L148-INT($L148/1000)*1000)))</f>
        <v/>
      </c>
      <c r="H148" s="87">
        <f>IF($L148="","",IF($F148="","",IFERROR(($F148-$E148)*INDEX(HSI!$B$7:$B$106,($L148-INT($L148/1000)*1000))*INDEX(HSI!$G$7:$G$106,($L148-INT($L148/1000)*1000))/HSI!$B$3,"")))</f>
        <v/>
      </c>
      <c r="I148" s="43">
        <f>IF($L148="","",INDEX(HSI!$U$7:$U$106,($L148-INT($L148/1000)*1000)))</f>
        <v/>
      </c>
      <c r="K148" s="35">
        <f>IF(HSI!$C$79="","",IFERROR(MATCH(HSI!$E$79,Fundamentals!$B$216:$B$226,0),99)*1000+73)</f>
        <v/>
      </c>
      <c r="L148" s="35">
        <f>IFERROR(SMALL($K$76:$K$175,73),"")</f>
        <v/>
      </c>
    </row>
    <row r="149">
      <c r="B149" s="18">
        <f>IF($L149="","",INDEX(HSI!$E$7:$E$106,($L149-INT($L149/1000)*1000)))</f>
        <v/>
      </c>
      <c r="C149" s="18">
        <f>IF($L149="","",INDEX(HSI!$D$7:$D$106,($L149-INT($L149/1000)*1000)))</f>
        <v/>
      </c>
      <c r="D149" s="18">
        <f>IF($L149="","",INDEX(HSI!$C$7:$C$106,($L149-INT($L149/1000)*1000)))</f>
        <v/>
      </c>
      <c r="E149" s="65">
        <f>IF($L149="","",INDEX(HSI!$K$7:$K$106,($L149-INT($L149/1000)*1000)))</f>
        <v/>
      </c>
      <c r="F149" s="40">
        <f>IF($L149="","",IF(COUNTIFS(OVR_TICKERS,$D149,OVR_BASE,"&gt;=0")=0,"",SUMIFS(OVR_BASE,OVR_TICKERS,$D149)))</f>
        <v/>
      </c>
      <c r="G149" s="65">
        <f>IF($L149="","",INDEX(HSI!$L$7:$L$106,($L149-INT($L149/1000)*1000)))</f>
        <v/>
      </c>
      <c r="H149" s="87">
        <f>IF($L149="","",IF($F149="","",IFERROR(($F149-$E149)*INDEX(HSI!$B$7:$B$106,($L149-INT($L149/1000)*1000))*INDEX(HSI!$G$7:$G$106,($L149-INT($L149/1000)*1000))/HSI!$B$3,"")))</f>
        <v/>
      </c>
      <c r="I149" s="43">
        <f>IF($L149="","",INDEX(HSI!$U$7:$U$106,($L149-INT($L149/1000)*1000)))</f>
        <v/>
      </c>
      <c r="K149" s="35">
        <f>IF(HSI!$C$80="","",IFERROR(MATCH(HSI!$E$80,Fundamentals!$B$216:$B$226,0),99)*1000+74)</f>
        <v/>
      </c>
      <c r="L149" s="35">
        <f>IFERROR(SMALL($K$76:$K$175,74),"")</f>
        <v/>
      </c>
    </row>
    <row r="150">
      <c r="B150" s="18">
        <f>IF($L150="","",INDEX(HSI!$E$7:$E$106,($L150-INT($L150/1000)*1000)))</f>
        <v/>
      </c>
      <c r="C150" s="18">
        <f>IF($L150="","",INDEX(HSI!$D$7:$D$106,($L150-INT($L150/1000)*1000)))</f>
        <v/>
      </c>
      <c r="D150" s="18">
        <f>IF($L150="","",INDEX(HSI!$C$7:$C$106,($L150-INT($L150/1000)*1000)))</f>
        <v/>
      </c>
      <c r="E150" s="65">
        <f>IF($L150="","",INDEX(HSI!$K$7:$K$106,($L150-INT($L150/1000)*1000)))</f>
        <v/>
      </c>
      <c r="F150" s="40">
        <f>IF($L150="","",IF(COUNTIFS(OVR_TICKERS,$D150,OVR_BASE,"&gt;=0")=0,"",SUMIFS(OVR_BASE,OVR_TICKERS,$D150)))</f>
        <v/>
      </c>
      <c r="G150" s="65">
        <f>IF($L150="","",INDEX(HSI!$L$7:$L$106,($L150-INT($L150/1000)*1000)))</f>
        <v/>
      </c>
      <c r="H150" s="87">
        <f>IF($L150="","",IF($F150="","",IFERROR(($F150-$E150)*INDEX(HSI!$B$7:$B$106,($L150-INT($L150/1000)*1000))*INDEX(HSI!$G$7:$G$106,($L150-INT($L150/1000)*1000))/HSI!$B$3,"")))</f>
        <v/>
      </c>
      <c r="I150" s="43">
        <f>IF($L150="","",INDEX(HSI!$U$7:$U$106,($L150-INT($L150/1000)*1000)))</f>
        <v/>
      </c>
      <c r="K150" s="35">
        <f>IF(HSI!$C$81="","",IFERROR(MATCH(HSI!$E$81,Fundamentals!$B$216:$B$226,0),99)*1000+75)</f>
        <v/>
      </c>
      <c r="L150" s="35">
        <f>IFERROR(SMALL($K$76:$K$175,75),"")</f>
        <v/>
      </c>
    </row>
    <row r="151">
      <c r="B151" s="18">
        <f>IF($L151="","",INDEX(HSI!$E$7:$E$106,($L151-INT($L151/1000)*1000)))</f>
        <v/>
      </c>
      <c r="C151" s="18">
        <f>IF($L151="","",INDEX(HSI!$D$7:$D$106,($L151-INT($L151/1000)*1000)))</f>
        <v/>
      </c>
      <c r="D151" s="18">
        <f>IF($L151="","",INDEX(HSI!$C$7:$C$106,($L151-INT($L151/1000)*1000)))</f>
        <v/>
      </c>
      <c r="E151" s="65">
        <f>IF($L151="","",INDEX(HSI!$K$7:$K$106,($L151-INT($L151/1000)*1000)))</f>
        <v/>
      </c>
      <c r="F151" s="40">
        <f>IF($L151="","",IF(COUNTIFS(OVR_TICKERS,$D151,OVR_BASE,"&gt;=0")=0,"",SUMIFS(OVR_BASE,OVR_TICKERS,$D151)))</f>
        <v/>
      </c>
      <c r="G151" s="65">
        <f>IF($L151="","",INDEX(HSI!$L$7:$L$106,($L151-INT($L151/1000)*1000)))</f>
        <v/>
      </c>
      <c r="H151" s="87">
        <f>IF($L151="","",IF($F151="","",IFERROR(($F151-$E151)*INDEX(HSI!$B$7:$B$106,($L151-INT($L151/1000)*1000))*INDEX(HSI!$G$7:$G$106,($L151-INT($L151/1000)*1000))/HSI!$B$3,"")))</f>
        <v/>
      </c>
      <c r="I151" s="43">
        <f>IF($L151="","",INDEX(HSI!$U$7:$U$106,($L151-INT($L151/1000)*1000)))</f>
        <v/>
      </c>
      <c r="K151" s="35">
        <f>IF(HSI!$C$82="","",IFERROR(MATCH(HSI!$E$82,Fundamentals!$B$216:$B$226,0),99)*1000+76)</f>
        <v/>
      </c>
      <c r="L151" s="35">
        <f>IFERROR(SMALL($K$76:$K$175,76),"")</f>
        <v/>
      </c>
    </row>
    <row r="152">
      <c r="B152" s="18">
        <f>IF($L152="","",INDEX(HSI!$E$7:$E$106,($L152-INT($L152/1000)*1000)))</f>
        <v/>
      </c>
      <c r="C152" s="18">
        <f>IF($L152="","",INDEX(HSI!$D$7:$D$106,($L152-INT($L152/1000)*1000)))</f>
        <v/>
      </c>
      <c r="D152" s="18">
        <f>IF($L152="","",INDEX(HSI!$C$7:$C$106,($L152-INT($L152/1000)*1000)))</f>
        <v/>
      </c>
      <c r="E152" s="65">
        <f>IF($L152="","",INDEX(HSI!$K$7:$K$106,($L152-INT($L152/1000)*1000)))</f>
        <v/>
      </c>
      <c r="F152" s="40">
        <f>IF($L152="","",IF(COUNTIFS(OVR_TICKERS,$D152,OVR_BASE,"&gt;=0")=0,"",SUMIFS(OVR_BASE,OVR_TICKERS,$D152)))</f>
        <v/>
      </c>
      <c r="G152" s="65">
        <f>IF($L152="","",INDEX(HSI!$L$7:$L$106,($L152-INT($L152/1000)*1000)))</f>
        <v/>
      </c>
      <c r="H152" s="87">
        <f>IF($L152="","",IF($F152="","",IFERROR(($F152-$E152)*INDEX(HSI!$B$7:$B$106,($L152-INT($L152/1000)*1000))*INDEX(HSI!$G$7:$G$106,($L152-INT($L152/1000)*1000))/HSI!$B$3,"")))</f>
        <v/>
      </c>
      <c r="I152" s="43">
        <f>IF($L152="","",INDEX(HSI!$U$7:$U$106,($L152-INT($L152/1000)*1000)))</f>
        <v/>
      </c>
      <c r="K152" s="35">
        <f>IF(HSI!$C$83="","",IFERROR(MATCH(HSI!$E$83,Fundamentals!$B$216:$B$226,0),99)*1000+77)</f>
        <v/>
      </c>
      <c r="L152" s="35">
        <f>IFERROR(SMALL($K$76:$K$175,77),"")</f>
        <v/>
      </c>
    </row>
    <row r="153">
      <c r="B153" s="18">
        <f>IF($L153="","",INDEX(HSI!$E$7:$E$106,($L153-INT($L153/1000)*1000)))</f>
        <v/>
      </c>
      <c r="C153" s="18">
        <f>IF($L153="","",INDEX(HSI!$D$7:$D$106,($L153-INT($L153/1000)*1000)))</f>
        <v/>
      </c>
      <c r="D153" s="18">
        <f>IF($L153="","",INDEX(HSI!$C$7:$C$106,($L153-INT($L153/1000)*1000)))</f>
        <v/>
      </c>
      <c r="E153" s="65">
        <f>IF($L153="","",INDEX(HSI!$K$7:$K$106,($L153-INT($L153/1000)*1000)))</f>
        <v/>
      </c>
      <c r="F153" s="40">
        <f>IF($L153="","",IF(COUNTIFS(OVR_TICKERS,$D153,OVR_BASE,"&gt;=0")=0,"",SUMIFS(OVR_BASE,OVR_TICKERS,$D153)))</f>
        <v/>
      </c>
      <c r="G153" s="65">
        <f>IF($L153="","",INDEX(HSI!$L$7:$L$106,($L153-INT($L153/1000)*1000)))</f>
        <v/>
      </c>
      <c r="H153" s="87">
        <f>IF($L153="","",IF($F153="","",IFERROR(($F153-$E153)*INDEX(HSI!$B$7:$B$106,($L153-INT($L153/1000)*1000))*INDEX(HSI!$G$7:$G$106,($L153-INT($L153/1000)*1000))/HSI!$B$3,"")))</f>
        <v/>
      </c>
      <c r="I153" s="43">
        <f>IF($L153="","",INDEX(HSI!$U$7:$U$106,($L153-INT($L153/1000)*1000)))</f>
        <v/>
      </c>
      <c r="K153" s="35">
        <f>IF(HSI!$C$84="","",IFERROR(MATCH(HSI!$E$84,Fundamentals!$B$216:$B$226,0),99)*1000+78)</f>
        <v/>
      </c>
      <c r="L153" s="35">
        <f>IFERROR(SMALL($K$76:$K$175,78),"")</f>
        <v/>
      </c>
    </row>
    <row r="154">
      <c r="B154" s="18">
        <f>IF($L154="","",INDEX(HSI!$E$7:$E$106,($L154-INT($L154/1000)*1000)))</f>
        <v/>
      </c>
      <c r="C154" s="18">
        <f>IF($L154="","",INDEX(HSI!$D$7:$D$106,($L154-INT($L154/1000)*1000)))</f>
        <v/>
      </c>
      <c r="D154" s="18">
        <f>IF($L154="","",INDEX(HSI!$C$7:$C$106,($L154-INT($L154/1000)*1000)))</f>
        <v/>
      </c>
      <c r="E154" s="65">
        <f>IF($L154="","",INDEX(HSI!$K$7:$K$106,($L154-INT($L154/1000)*1000)))</f>
        <v/>
      </c>
      <c r="F154" s="40">
        <f>IF($L154="","",IF(COUNTIFS(OVR_TICKERS,$D154,OVR_BASE,"&gt;=0")=0,"",SUMIFS(OVR_BASE,OVR_TICKERS,$D154)))</f>
        <v/>
      </c>
      <c r="G154" s="65">
        <f>IF($L154="","",INDEX(HSI!$L$7:$L$106,($L154-INT($L154/1000)*1000)))</f>
        <v/>
      </c>
      <c r="H154" s="87">
        <f>IF($L154="","",IF($F154="","",IFERROR(($F154-$E154)*INDEX(HSI!$B$7:$B$106,($L154-INT($L154/1000)*1000))*INDEX(HSI!$G$7:$G$106,($L154-INT($L154/1000)*1000))/HSI!$B$3,"")))</f>
        <v/>
      </c>
      <c r="I154" s="43">
        <f>IF($L154="","",INDEX(HSI!$U$7:$U$106,($L154-INT($L154/1000)*1000)))</f>
        <v/>
      </c>
      <c r="K154" s="35">
        <f>IF(HSI!$C$85="","",IFERROR(MATCH(HSI!$E$85,Fundamentals!$B$216:$B$226,0),99)*1000+79)</f>
        <v/>
      </c>
      <c r="L154" s="35">
        <f>IFERROR(SMALL($K$76:$K$175,79),"")</f>
        <v/>
      </c>
    </row>
    <row r="155">
      <c r="B155" s="18">
        <f>IF($L155="","",INDEX(HSI!$E$7:$E$106,($L155-INT($L155/1000)*1000)))</f>
        <v/>
      </c>
      <c r="C155" s="18">
        <f>IF($L155="","",INDEX(HSI!$D$7:$D$106,($L155-INT($L155/1000)*1000)))</f>
        <v/>
      </c>
      <c r="D155" s="18">
        <f>IF($L155="","",INDEX(HSI!$C$7:$C$106,($L155-INT($L155/1000)*1000)))</f>
        <v/>
      </c>
      <c r="E155" s="65">
        <f>IF($L155="","",INDEX(HSI!$K$7:$K$106,($L155-INT($L155/1000)*1000)))</f>
        <v/>
      </c>
      <c r="F155" s="40">
        <f>IF($L155="","",IF(COUNTIFS(OVR_TICKERS,$D155,OVR_BASE,"&gt;=0")=0,"",SUMIFS(OVR_BASE,OVR_TICKERS,$D155)))</f>
        <v/>
      </c>
      <c r="G155" s="65">
        <f>IF($L155="","",INDEX(HSI!$L$7:$L$106,($L155-INT($L155/1000)*1000)))</f>
        <v/>
      </c>
      <c r="H155" s="87">
        <f>IF($L155="","",IF($F155="","",IFERROR(($F155-$E155)*INDEX(HSI!$B$7:$B$106,($L155-INT($L155/1000)*1000))*INDEX(HSI!$G$7:$G$106,($L155-INT($L155/1000)*1000))/HSI!$B$3,"")))</f>
        <v/>
      </c>
      <c r="I155" s="43">
        <f>IF($L155="","",INDEX(HSI!$U$7:$U$106,($L155-INT($L155/1000)*1000)))</f>
        <v/>
      </c>
      <c r="K155" s="35">
        <f>IF(HSI!$C$86="","",IFERROR(MATCH(HSI!$E$86,Fundamentals!$B$216:$B$226,0),99)*1000+80)</f>
        <v/>
      </c>
      <c r="L155" s="35">
        <f>IFERROR(SMALL($K$76:$K$175,80),"")</f>
        <v/>
      </c>
    </row>
    <row r="156">
      <c r="B156" s="18">
        <f>IF($L156="","",INDEX(HSI!$E$7:$E$106,($L156-INT($L156/1000)*1000)))</f>
        <v/>
      </c>
      <c r="C156" s="18">
        <f>IF($L156="","",INDEX(HSI!$D$7:$D$106,($L156-INT($L156/1000)*1000)))</f>
        <v/>
      </c>
      <c r="D156" s="18">
        <f>IF($L156="","",INDEX(HSI!$C$7:$C$106,($L156-INT($L156/1000)*1000)))</f>
        <v/>
      </c>
      <c r="E156" s="65">
        <f>IF($L156="","",INDEX(HSI!$K$7:$K$106,($L156-INT($L156/1000)*1000)))</f>
        <v/>
      </c>
      <c r="F156" s="40">
        <f>IF($L156="","",IF(COUNTIFS(OVR_TICKERS,$D156,OVR_BASE,"&gt;=0")=0,"",SUMIFS(OVR_BASE,OVR_TICKERS,$D156)))</f>
        <v/>
      </c>
      <c r="G156" s="65">
        <f>IF($L156="","",INDEX(HSI!$L$7:$L$106,($L156-INT($L156/1000)*1000)))</f>
        <v/>
      </c>
      <c r="H156" s="87">
        <f>IF($L156="","",IF($F156="","",IFERROR(($F156-$E156)*INDEX(HSI!$B$7:$B$106,($L156-INT($L156/1000)*1000))*INDEX(HSI!$G$7:$G$106,($L156-INT($L156/1000)*1000))/HSI!$B$3,"")))</f>
        <v/>
      </c>
      <c r="I156" s="43">
        <f>IF($L156="","",INDEX(HSI!$U$7:$U$106,($L156-INT($L156/1000)*1000)))</f>
        <v/>
      </c>
      <c r="K156" s="35">
        <f>IF(HSI!$C$87="","",IFERROR(MATCH(HSI!$E$87,Fundamentals!$B$216:$B$226,0),99)*1000+81)</f>
        <v/>
      </c>
      <c r="L156" s="35">
        <f>IFERROR(SMALL($K$76:$K$175,81),"")</f>
        <v/>
      </c>
    </row>
    <row r="157">
      <c r="B157" s="18">
        <f>IF($L157="","",INDEX(HSI!$E$7:$E$106,($L157-INT($L157/1000)*1000)))</f>
        <v/>
      </c>
      <c r="C157" s="18">
        <f>IF($L157="","",INDEX(HSI!$D$7:$D$106,($L157-INT($L157/1000)*1000)))</f>
        <v/>
      </c>
      <c r="D157" s="18">
        <f>IF($L157="","",INDEX(HSI!$C$7:$C$106,($L157-INT($L157/1000)*1000)))</f>
        <v/>
      </c>
      <c r="E157" s="65">
        <f>IF($L157="","",INDEX(HSI!$K$7:$K$106,($L157-INT($L157/1000)*1000)))</f>
        <v/>
      </c>
      <c r="F157" s="40">
        <f>IF($L157="","",IF(COUNTIFS(OVR_TICKERS,$D157,OVR_BASE,"&gt;=0")=0,"",SUMIFS(OVR_BASE,OVR_TICKERS,$D157)))</f>
        <v/>
      </c>
      <c r="G157" s="65">
        <f>IF($L157="","",INDEX(HSI!$L$7:$L$106,($L157-INT($L157/1000)*1000)))</f>
        <v/>
      </c>
      <c r="H157" s="87">
        <f>IF($L157="","",IF($F157="","",IFERROR(($F157-$E157)*INDEX(HSI!$B$7:$B$106,($L157-INT($L157/1000)*1000))*INDEX(HSI!$G$7:$G$106,($L157-INT($L157/1000)*1000))/HSI!$B$3,"")))</f>
        <v/>
      </c>
      <c r="I157" s="43">
        <f>IF($L157="","",INDEX(HSI!$U$7:$U$106,($L157-INT($L157/1000)*1000)))</f>
        <v/>
      </c>
      <c r="K157" s="35">
        <f>IF(HSI!$C$88="","",IFERROR(MATCH(HSI!$E$88,Fundamentals!$B$216:$B$226,0),99)*1000+82)</f>
        <v/>
      </c>
      <c r="L157" s="35">
        <f>IFERROR(SMALL($K$76:$K$175,82),"")</f>
        <v/>
      </c>
    </row>
    <row r="158">
      <c r="B158" s="18">
        <f>IF($L158="","",INDEX(HSI!$E$7:$E$106,($L158-INT($L158/1000)*1000)))</f>
        <v/>
      </c>
      <c r="C158" s="18">
        <f>IF($L158="","",INDEX(HSI!$D$7:$D$106,($L158-INT($L158/1000)*1000)))</f>
        <v/>
      </c>
      <c r="D158" s="18">
        <f>IF($L158="","",INDEX(HSI!$C$7:$C$106,($L158-INT($L158/1000)*1000)))</f>
        <v/>
      </c>
      <c r="E158" s="65">
        <f>IF($L158="","",INDEX(HSI!$K$7:$K$106,($L158-INT($L158/1000)*1000)))</f>
        <v/>
      </c>
      <c r="F158" s="40">
        <f>IF($L158="","",IF(COUNTIFS(OVR_TICKERS,$D158,OVR_BASE,"&gt;=0")=0,"",SUMIFS(OVR_BASE,OVR_TICKERS,$D158)))</f>
        <v/>
      </c>
      <c r="G158" s="65">
        <f>IF($L158="","",INDEX(HSI!$L$7:$L$106,($L158-INT($L158/1000)*1000)))</f>
        <v/>
      </c>
      <c r="H158" s="87">
        <f>IF($L158="","",IF($F158="","",IFERROR(($F158-$E158)*INDEX(HSI!$B$7:$B$106,($L158-INT($L158/1000)*1000))*INDEX(HSI!$G$7:$G$106,($L158-INT($L158/1000)*1000))/HSI!$B$3,"")))</f>
        <v/>
      </c>
      <c r="I158" s="43">
        <f>IF($L158="","",INDEX(HSI!$U$7:$U$106,($L158-INT($L158/1000)*1000)))</f>
        <v/>
      </c>
      <c r="K158" s="35">
        <f>IF(HSI!$C$89="","",IFERROR(MATCH(HSI!$E$89,Fundamentals!$B$216:$B$226,0),99)*1000+83)</f>
        <v/>
      </c>
      <c r="L158" s="35">
        <f>IFERROR(SMALL($K$76:$K$175,83),"")</f>
        <v/>
      </c>
    </row>
    <row r="159">
      <c r="B159" s="18">
        <f>IF($L159="","",INDEX(HSI!$E$7:$E$106,($L159-INT($L159/1000)*1000)))</f>
        <v/>
      </c>
      <c r="C159" s="18">
        <f>IF($L159="","",INDEX(HSI!$D$7:$D$106,($L159-INT($L159/1000)*1000)))</f>
        <v/>
      </c>
      <c r="D159" s="18">
        <f>IF($L159="","",INDEX(HSI!$C$7:$C$106,($L159-INT($L159/1000)*1000)))</f>
        <v/>
      </c>
      <c r="E159" s="65">
        <f>IF($L159="","",INDEX(HSI!$K$7:$K$106,($L159-INT($L159/1000)*1000)))</f>
        <v/>
      </c>
      <c r="F159" s="40">
        <f>IF($L159="","",IF(COUNTIFS(OVR_TICKERS,$D159,OVR_BASE,"&gt;=0")=0,"",SUMIFS(OVR_BASE,OVR_TICKERS,$D159)))</f>
        <v/>
      </c>
      <c r="G159" s="65">
        <f>IF($L159="","",INDEX(HSI!$L$7:$L$106,($L159-INT($L159/1000)*1000)))</f>
        <v/>
      </c>
      <c r="H159" s="87">
        <f>IF($L159="","",IF($F159="","",IFERROR(($F159-$E159)*INDEX(HSI!$B$7:$B$106,($L159-INT($L159/1000)*1000))*INDEX(HSI!$G$7:$G$106,($L159-INT($L159/1000)*1000))/HSI!$B$3,"")))</f>
        <v/>
      </c>
      <c r="I159" s="43">
        <f>IF($L159="","",INDEX(HSI!$U$7:$U$106,($L159-INT($L159/1000)*1000)))</f>
        <v/>
      </c>
      <c r="K159" s="35">
        <f>IF(HSI!$C$90="","",IFERROR(MATCH(HSI!$E$90,Fundamentals!$B$216:$B$226,0),99)*1000+84)</f>
        <v/>
      </c>
      <c r="L159" s="35">
        <f>IFERROR(SMALL($K$76:$K$175,84),"")</f>
        <v/>
      </c>
    </row>
    <row r="160">
      <c r="B160" s="18">
        <f>IF($L160="","",INDEX(HSI!$E$7:$E$106,($L160-INT($L160/1000)*1000)))</f>
        <v/>
      </c>
      <c r="C160" s="18">
        <f>IF($L160="","",INDEX(HSI!$D$7:$D$106,($L160-INT($L160/1000)*1000)))</f>
        <v/>
      </c>
      <c r="D160" s="18">
        <f>IF($L160="","",INDEX(HSI!$C$7:$C$106,($L160-INT($L160/1000)*1000)))</f>
        <v/>
      </c>
      <c r="E160" s="65">
        <f>IF($L160="","",INDEX(HSI!$K$7:$K$106,($L160-INT($L160/1000)*1000)))</f>
        <v/>
      </c>
      <c r="F160" s="40">
        <f>IF($L160="","",IF(COUNTIFS(OVR_TICKERS,$D160,OVR_BASE,"&gt;=0")=0,"",SUMIFS(OVR_BASE,OVR_TICKERS,$D160)))</f>
        <v/>
      </c>
      <c r="G160" s="65">
        <f>IF($L160="","",INDEX(HSI!$L$7:$L$106,($L160-INT($L160/1000)*1000)))</f>
        <v/>
      </c>
      <c r="H160" s="87">
        <f>IF($L160="","",IF($F160="","",IFERROR(($F160-$E160)*INDEX(HSI!$B$7:$B$106,($L160-INT($L160/1000)*1000))*INDEX(HSI!$G$7:$G$106,($L160-INT($L160/1000)*1000))/HSI!$B$3,"")))</f>
        <v/>
      </c>
      <c r="I160" s="43">
        <f>IF($L160="","",INDEX(HSI!$U$7:$U$106,($L160-INT($L160/1000)*1000)))</f>
        <v/>
      </c>
      <c r="K160" s="35">
        <f>IF(HSI!$C$91="","",IFERROR(MATCH(HSI!$E$91,Fundamentals!$B$216:$B$226,0),99)*1000+85)</f>
        <v/>
      </c>
      <c r="L160" s="35">
        <f>IFERROR(SMALL($K$76:$K$175,85),"")</f>
        <v/>
      </c>
    </row>
    <row r="161">
      <c r="B161" s="18">
        <f>IF($L161="","",INDEX(HSI!$E$7:$E$106,($L161-INT($L161/1000)*1000)))</f>
        <v/>
      </c>
      <c r="C161" s="18">
        <f>IF($L161="","",INDEX(HSI!$D$7:$D$106,($L161-INT($L161/1000)*1000)))</f>
        <v/>
      </c>
      <c r="D161" s="18">
        <f>IF($L161="","",INDEX(HSI!$C$7:$C$106,($L161-INT($L161/1000)*1000)))</f>
        <v/>
      </c>
      <c r="E161" s="65">
        <f>IF($L161="","",INDEX(HSI!$K$7:$K$106,($L161-INT($L161/1000)*1000)))</f>
        <v/>
      </c>
      <c r="F161" s="40">
        <f>IF($L161="","",IF(COUNTIFS(OVR_TICKERS,$D161,OVR_BASE,"&gt;=0")=0,"",SUMIFS(OVR_BASE,OVR_TICKERS,$D161)))</f>
        <v/>
      </c>
      <c r="G161" s="65">
        <f>IF($L161="","",INDEX(HSI!$L$7:$L$106,($L161-INT($L161/1000)*1000)))</f>
        <v/>
      </c>
      <c r="H161" s="87">
        <f>IF($L161="","",IF($F161="","",IFERROR(($F161-$E161)*INDEX(HSI!$B$7:$B$106,($L161-INT($L161/1000)*1000))*INDEX(HSI!$G$7:$G$106,($L161-INT($L161/1000)*1000))/HSI!$B$3,"")))</f>
        <v/>
      </c>
      <c r="I161" s="43">
        <f>IF($L161="","",INDEX(HSI!$U$7:$U$106,($L161-INT($L161/1000)*1000)))</f>
        <v/>
      </c>
      <c r="K161" s="35">
        <f>IF(HSI!$C$92="","",IFERROR(MATCH(HSI!$E$92,Fundamentals!$B$216:$B$226,0),99)*1000+86)</f>
        <v/>
      </c>
      <c r="L161" s="35">
        <f>IFERROR(SMALL($K$76:$K$175,86),"")</f>
        <v/>
      </c>
    </row>
    <row r="162">
      <c r="B162" s="18">
        <f>IF($L162="","",INDEX(HSI!$E$7:$E$106,($L162-INT($L162/1000)*1000)))</f>
        <v/>
      </c>
      <c r="C162" s="18">
        <f>IF($L162="","",INDEX(HSI!$D$7:$D$106,($L162-INT($L162/1000)*1000)))</f>
        <v/>
      </c>
      <c r="D162" s="18">
        <f>IF($L162="","",INDEX(HSI!$C$7:$C$106,($L162-INT($L162/1000)*1000)))</f>
        <v/>
      </c>
      <c r="E162" s="65">
        <f>IF($L162="","",INDEX(HSI!$K$7:$K$106,($L162-INT($L162/1000)*1000)))</f>
        <v/>
      </c>
      <c r="F162" s="40">
        <f>IF($L162="","",IF(COUNTIFS(OVR_TICKERS,$D162,OVR_BASE,"&gt;=0")=0,"",SUMIFS(OVR_BASE,OVR_TICKERS,$D162)))</f>
        <v/>
      </c>
      <c r="G162" s="65">
        <f>IF($L162="","",INDEX(HSI!$L$7:$L$106,($L162-INT($L162/1000)*1000)))</f>
        <v/>
      </c>
      <c r="H162" s="87">
        <f>IF($L162="","",IF($F162="","",IFERROR(($F162-$E162)*INDEX(HSI!$B$7:$B$106,($L162-INT($L162/1000)*1000))*INDEX(HSI!$G$7:$G$106,($L162-INT($L162/1000)*1000))/HSI!$B$3,"")))</f>
        <v/>
      </c>
      <c r="I162" s="43">
        <f>IF($L162="","",INDEX(HSI!$U$7:$U$106,($L162-INT($L162/1000)*1000)))</f>
        <v/>
      </c>
      <c r="K162" s="35">
        <f>IF(HSI!$C$93="","",IFERROR(MATCH(HSI!$E$93,Fundamentals!$B$216:$B$226,0),99)*1000+87)</f>
        <v/>
      </c>
      <c r="L162" s="35">
        <f>IFERROR(SMALL($K$76:$K$175,87),"")</f>
        <v/>
      </c>
    </row>
    <row r="163">
      <c r="B163" s="18">
        <f>IF($L163="","",INDEX(HSI!$E$7:$E$106,($L163-INT($L163/1000)*1000)))</f>
        <v/>
      </c>
      <c r="C163" s="18">
        <f>IF($L163="","",INDEX(HSI!$D$7:$D$106,($L163-INT($L163/1000)*1000)))</f>
        <v/>
      </c>
      <c r="D163" s="18">
        <f>IF($L163="","",INDEX(HSI!$C$7:$C$106,($L163-INT($L163/1000)*1000)))</f>
        <v/>
      </c>
      <c r="E163" s="65">
        <f>IF($L163="","",INDEX(HSI!$K$7:$K$106,($L163-INT($L163/1000)*1000)))</f>
        <v/>
      </c>
      <c r="F163" s="40">
        <f>IF($L163="","",IF(COUNTIFS(OVR_TICKERS,$D163,OVR_BASE,"&gt;=0")=0,"",SUMIFS(OVR_BASE,OVR_TICKERS,$D163)))</f>
        <v/>
      </c>
      <c r="G163" s="65">
        <f>IF($L163="","",INDEX(HSI!$L$7:$L$106,($L163-INT($L163/1000)*1000)))</f>
        <v/>
      </c>
      <c r="H163" s="87">
        <f>IF($L163="","",IF($F163="","",IFERROR(($F163-$E163)*INDEX(HSI!$B$7:$B$106,($L163-INT($L163/1000)*1000))*INDEX(HSI!$G$7:$G$106,($L163-INT($L163/1000)*1000))/HSI!$B$3,"")))</f>
        <v/>
      </c>
      <c r="I163" s="43">
        <f>IF($L163="","",INDEX(HSI!$U$7:$U$106,($L163-INT($L163/1000)*1000)))</f>
        <v/>
      </c>
      <c r="K163" s="35">
        <f>IF(HSI!$C$94="","",IFERROR(MATCH(HSI!$E$94,Fundamentals!$B$216:$B$226,0),99)*1000+88)</f>
        <v/>
      </c>
      <c r="L163" s="35">
        <f>IFERROR(SMALL($K$76:$K$175,88),"")</f>
        <v/>
      </c>
    </row>
    <row r="164">
      <c r="B164" s="18">
        <f>IF($L164="","",INDEX(HSI!$E$7:$E$106,($L164-INT($L164/1000)*1000)))</f>
        <v/>
      </c>
      <c r="C164" s="18">
        <f>IF($L164="","",INDEX(HSI!$D$7:$D$106,($L164-INT($L164/1000)*1000)))</f>
        <v/>
      </c>
      <c r="D164" s="18">
        <f>IF($L164="","",INDEX(HSI!$C$7:$C$106,($L164-INT($L164/1000)*1000)))</f>
        <v/>
      </c>
      <c r="E164" s="65">
        <f>IF($L164="","",INDEX(HSI!$K$7:$K$106,($L164-INT($L164/1000)*1000)))</f>
        <v/>
      </c>
      <c r="F164" s="40">
        <f>IF($L164="","",IF(COUNTIFS(OVR_TICKERS,$D164,OVR_BASE,"&gt;=0")=0,"",SUMIFS(OVR_BASE,OVR_TICKERS,$D164)))</f>
        <v/>
      </c>
      <c r="G164" s="65">
        <f>IF($L164="","",INDEX(HSI!$L$7:$L$106,($L164-INT($L164/1000)*1000)))</f>
        <v/>
      </c>
      <c r="H164" s="87">
        <f>IF($L164="","",IF($F164="","",IFERROR(($F164-$E164)*INDEX(HSI!$B$7:$B$106,($L164-INT($L164/1000)*1000))*INDEX(HSI!$G$7:$G$106,($L164-INT($L164/1000)*1000))/HSI!$B$3,"")))</f>
        <v/>
      </c>
      <c r="I164" s="43">
        <f>IF($L164="","",INDEX(HSI!$U$7:$U$106,($L164-INT($L164/1000)*1000)))</f>
        <v/>
      </c>
      <c r="K164" s="35">
        <f>IF(HSI!$C$95="","",IFERROR(MATCH(HSI!$E$95,Fundamentals!$B$216:$B$226,0),99)*1000+89)</f>
        <v/>
      </c>
      <c r="L164" s="35">
        <f>IFERROR(SMALL($K$76:$K$175,89),"")</f>
        <v/>
      </c>
    </row>
    <row r="165">
      <c r="B165" s="18">
        <f>IF($L165="","",INDEX(HSI!$E$7:$E$106,($L165-INT($L165/1000)*1000)))</f>
        <v/>
      </c>
      <c r="C165" s="18">
        <f>IF($L165="","",INDEX(HSI!$D$7:$D$106,($L165-INT($L165/1000)*1000)))</f>
        <v/>
      </c>
      <c r="D165" s="18">
        <f>IF($L165="","",INDEX(HSI!$C$7:$C$106,($L165-INT($L165/1000)*1000)))</f>
        <v/>
      </c>
      <c r="E165" s="65">
        <f>IF($L165="","",INDEX(HSI!$K$7:$K$106,($L165-INT($L165/1000)*1000)))</f>
        <v/>
      </c>
      <c r="F165" s="40">
        <f>IF($L165="","",IF(COUNTIFS(OVR_TICKERS,$D165,OVR_BASE,"&gt;=0")=0,"",SUMIFS(OVR_BASE,OVR_TICKERS,$D165)))</f>
        <v/>
      </c>
      <c r="G165" s="65">
        <f>IF($L165="","",INDEX(HSI!$L$7:$L$106,($L165-INT($L165/1000)*1000)))</f>
        <v/>
      </c>
      <c r="H165" s="87">
        <f>IF($L165="","",IF($F165="","",IFERROR(($F165-$E165)*INDEX(HSI!$B$7:$B$106,($L165-INT($L165/1000)*1000))*INDEX(HSI!$G$7:$G$106,($L165-INT($L165/1000)*1000))/HSI!$B$3,"")))</f>
        <v/>
      </c>
      <c r="I165" s="43">
        <f>IF($L165="","",INDEX(HSI!$U$7:$U$106,($L165-INT($L165/1000)*1000)))</f>
        <v/>
      </c>
      <c r="K165" s="35">
        <f>IF(HSI!$C$96="","",IFERROR(MATCH(HSI!$E$96,Fundamentals!$B$216:$B$226,0),99)*1000+90)</f>
        <v/>
      </c>
      <c r="L165" s="35">
        <f>IFERROR(SMALL($K$76:$K$175,90),"")</f>
        <v/>
      </c>
    </row>
    <row r="166">
      <c r="B166" s="18">
        <f>IF($L166="","",INDEX(HSI!$E$7:$E$106,($L166-INT($L166/1000)*1000)))</f>
        <v/>
      </c>
      <c r="C166" s="18">
        <f>IF($L166="","",INDEX(HSI!$D$7:$D$106,($L166-INT($L166/1000)*1000)))</f>
        <v/>
      </c>
      <c r="D166" s="18">
        <f>IF($L166="","",INDEX(HSI!$C$7:$C$106,($L166-INT($L166/1000)*1000)))</f>
        <v/>
      </c>
      <c r="E166" s="65">
        <f>IF($L166="","",INDEX(HSI!$K$7:$K$106,($L166-INT($L166/1000)*1000)))</f>
        <v/>
      </c>
      <c r="F166" s="40">
        <f>IF($L166="","",IF(COUNTIFS(OVR_TICKERS,$D166,OVR_BASE,"&gt;=0")=0,"",SUMIFS(OVR_BASE,OVR_TICKERS,$D166)))</f>
        <v/>
      </c>
      <c r="G166" s="65">
        <f>IF($L166="","",INDEX(HSI!$L$7:$L$106,($L166-INT($L166/1000)*1000)))</f>
        <v/>
      </c>
      <c r="H166" s="87">
        <f>IF($L166="","",IF($F166="","",IFERROR(($F166-$E166)*INDEX(HSI!$B$7:$B$106,($L166-INT($L166/1000)*1000))*INDEX(HSI!$G$7:$G$106,($L166-INT($L166/1000)*1000))/HSI!$B$3,"")))</f>
        <v/>
      </c>
      <c r="I166" s="43">
        <f>IF($L166="","",INDEX(HSI!$U$7:$U$106,($L166-INT($L166/1000)*1000)))</f>
        <v/>
      </c>
      <c r="K166" s="35">
        <f>IF(HSI!$C$97="","",IFERROR(MATCH(HSI!$E$97,Fundamentals!$B$216:$B$226,0),99)*1000+91)</f>
        <v/>
      </c>
      <c r="L166" s="35">
        <f>IFERROR(SMALL($K$76:$K$175,91),"")</f>
        <v/>
      </c>
    </row>
    <row r="167">
      <c r="B167" s="18">
        <f>IF($L167="","",INDEX(HSI!$E$7:$E$106,($L167-INT($L167/1000)*1000)))</f>
        <v/>
      </c>
      <c r="C167" s="18">
        <f>IF($L167="","",INDEX(HSI!$D$7:$D$106,($L167-INT($L167/1000)*1000)))</f>
        <v/>
      </c>
      <c r="D167" s="18">
        <f>IF($L167="","",INDEX(HSI!$C$7:$C$106,($L167-INT($L167/1000)*1000)))</f>
        <v/>
      </c>
      <c r="E167" s="65">
        <f>IF($L167="","",INDEX(HSI!$K$7:$K$106,($L167-INT($L167/1000)*1000)))</f>
        <v/>
      </c>
      <c r="F167" s="40">
        <f>IF($L167="","",IF(COUNTIFS(OVR_TICKERS,$D167,OVR_BASE,"&gt;=0")=0,"",SUMIFS(OVR_BASE,OVR_TICKERS,$D167)))</f>
        <v/>
      </c>
      <c r="G167" s="65">
        <f>IF($L167="","",INDEX(HSI!$L$7:$L$106,($L167-INT($L167/1000)*1000)))</f>
        <v/>
      </c>
      <c r="H167" s="87">
        <f>IF($L167="","",IF($F167="","",IFERROR(($F167-$E167)*INDEX(HSI!$B$7:$B$106,($L167-INT($L167/1000)*1000))*INDEX(HSI!$G$7:$G$106,($L167-INT($L167/1000)*1000))/HSI!$B$3,"")))</f>
        <v/>
      </c>
      <c r="I167" s="43">
        <f>IF($L167="","",INDEX(HSI!$U$7:$U$106,($L167-INT($L167/1000)*1000)))</f>
        <v/>
      </c>
      <c r="K167" s="35">
        <f>IF(HSI!$C$98="","",IFERROR(MATCH(HSI!$E$98,Fundamentals!$B$216:$B$226,0),99)*1000+92)</f>
        <v/>
      </c>
      <c r="L167" s="35">
        <f>IFERROR(SMALL($K$76:$K$175,92),"")</f>
        <v/>
      </c>
    </row>
    <row r="168">
      <c r="B168" s="18">
        <f>IF($L168="","",INDEX(HSI!$E$7:$E$106,($L168-INT($L168/1000)*1000)))</f>
        <v/>
      </c>
      <c r="C168" s="18">
        <f>IF($L168="","",INDEX(HSI!$D$7:$D$106,($L168-INT($L168/1000)*1000)))</f>
        <v/>
      </c>
      <c r="D168" s="18">
        <f>IF($L168="","",INDEX(HSI!$C$7:$C$106,($L168-INT($L168/1000)*1000)))</f>
        <v/>
      </c>
      <c r="E168" s="65">
        <f>IF($L168="","",INDEX(HSI!$K$7:$K$106,($L168-INT($L168/1000)*1000)))</f>
        <v/>
      </c>
      <c r="F168" s="40">
        <f>IF($L168="","",IF(COUNTIFS(OVR_TICKERS,$D168,OVR_BASE,"&gt;=0")=0,"",SUMIFS(OVR_BASE,OVR_TICKERS,$D168)))</f>
        <v/>
      </c>
      <c r="G168" s="65">
        <f>IF($L168="","",INDEX(HSI!$L$7:$L$106,($L168-INT($L168/1000)*1000)))</f>
        <v/>
      </c>
      <c r="H168" s="87">
        <f>IF($L168="","",IF($F168="","",IFERROR(($F168-$E168)*INDEX(HSI!$B$7:$B$106,($L168-INT($L168/1000)*1000))*INDEX(HSI!$G$7:$G$106,($L168-INT($L168/1000)*1000))/HSI!$B$3,"")))</f>
        <v/>
      </c>
      <c r="I168" s="43">
        <f>IF($L168="","",INDEX(HSI!$U$7:$U$106,($L168-INT($L168/1000)*1000)))</f>
        <v/>
      </c>
      <c r="K168" s="35">
        <f>IF(HSI!$C$99="","",IFERROR(MATCH(HSI!$E$99,Fundamentals!$B$216:$B$226,0),99)*1000+93)</f>
        <v/>
      </c>
      <c r="L168" s="35">
        <f>IFERROR(SMALL($K$76:$K$175,93),"")</f>
        <v/>
      </c>
    </row>
    <row r="169">
      <c r="B169" s="18">
        <f>IF($L169="","",INDEX(HSI!$E$7:$E$106,($L169-INT($L169/1000)*1000)))</f>
        <v/>
      </c>
      <c r="C169" s="18">
        <f>IF($L169="","",INDEX(HSI!$D$7:$D$106,($L169-INT($L169/1000)*1000)))</f>
        <v/>
      </c>
      <c r="D169" s="18">
        <f>IF($L169="","",INDEX(HSI!$C$7:$C$106,($L169-INT($L169/1000)*1000)))</f>
        <v/>
      </c>
      <c r="E169" s="65">
        <f>IF($L169="","",INDEX(HSI!$K$7:$K$106,($L169-INT($L169/1000)*1000)))</f>
        <v/>
      </c>
      <c r="F169" s="40">
        <f>IF($L169="","",IF(COUNTIFS(OVR_TICKERS,$D169,OVR_BASE,"&gt;=0")=0,"",SUMIFS(OVR_BASE,OVR_TICKERS,$D169)))</f>
        <v/>
      </c>
      <c r="G169" s="65">
        <f>IF($L169="","",INDEX(HSI!$L$7:$L$106,($L169-INT($L169/1000)*1000)))</f>
        <v/>
      </c>
      <c r="H169" s="87">
        <f>IF($L169="","",IF($F169="","",IFERROR(($F169-$E169)*INDEX(HSI!$B$7:$B$106,($L169-INT($L169/1000)*1000))*INDEX(HSI!$G$7:$G$106,($L169-INT($L169/1000)*1000))/HSI!$B$3,"")))</f>
        <v/>
      </c>
      <c r="I169" s="43">
        <f>IF($L169="","",INDEX(HSI!$U$7:$U$106,($L169-INT($L169/1000)*1000)))</f>
        <v/>
      </c>
      <c r="K169" s="35">
        <f>IF(HSI!$C$100="","",IFERROR(MATCH(HSI!$E$100,Fundamentals!$B$216:$B$226,0),99)*1000+94)</f>
        <v/>
      </c>
      <c r="L169" s="35">
        <f>IFERROR(SMALL($K$76:$K$175,94),"")</f>
        <v/>
      </c>
    </row>
    <row r="170">
      <c r="B170" s="18">
        <f>IF($L170="","",INDEX(HSI!$E$7:$E$106,($L170-INT($L170/1000)*1000)))</f>
        <v/>
      </c>
      <c r="C170" s="18">
        <f>IF($L170="","",INDEX(HSI!$D$7:$D$106,($L170-INT($L170/1000)*1000)))</f>
        <v/>
      </c>
      <c r="D170" s="18">
        <f>IF($L170="","",INDEX(HSI!$C$7:$C$106,($L170-INT($L170/1000)*1000)))</f>
        <v/>
      </c>
      <c r="E170" s="65">
        <f>IF($L170="","",INDEX(HSI!$K$7:$K$106,($L170-INT($L170/1000)*1000)))</f>
        <v/>
      </c>
      <c r="F170" s="40">
        <f>IF($L170="","",IF(COUNTIFS(OVR_TICKERS,$D170,OVR_BASE,"&gt;=0")=0,"",SUMIFS(OVR_BASE,OVR_TICKERS,$D170)))</f>
        <v/>
      </c>
      <c r="G170" s="65">
        <f>IF($L170="","",INDEX(HSI!$L$7:$L$106,($L170-INT($L170/1000)*1000)))</f>
        <v/>
      </c>
      <c r="H170" s="87">
        <f>IF($L170="","",IF($F170="","",IFERROR(($F170-$E170)*INDEX(HSI!$B$7:$B$106,($L170-INT($L170/1000)*1000))*INDEX(HSI!$G$7:$G$106,($L170-INT($L170/1000)*1000))/HSI!$B$3,"")))</f>
        <v/>
      </c>
      <c r="I170" s="43">
        <f>IF($L170="","",INDEX(HSI!$U$7:$U$106,($L170-INT($L170/1000)*1000)))</f>
        <v/>
      </c>
      <c r="K170" s="35">
        <f>IF(HSI!$C$101="","",IFERROR(MATCH(HSI!$E$101,Fundamentals!$B$216:$B$226,0),99)*1000+95)</f>
        <v/>
      </c>
      <c r="L170" s="35">
        <f>IFERROR(SMALL($K$76:$K$175,95),"")</f>
        <v/>
      </c>
    </row>
    <row r="171">
      <c r="B171" s="18">
        <f>IF($L171="","",INDEX(HSI!$E$7:$E$106,($L171-INT($L171/1000)*1000)))</f>
        <v/>
      </c>
      <c r="C171" s="18">
        <f>IF($L171="","",INDEX(HSI!$D$7:$D$106,($L171-INT($L171/1000)*1000)))</f>
        <v/>
      </c>
      <c r="D171" s="18">
        <f>IF($L171="","",INDEX(HSI!$C$7:$C$106,($L171-INT($L171/1000)*1000)))</f>
        <v/>
      </c>
      <c r="E171" s="65">
        <f>IF($L171="","",INDEX(HSI!$K$7:$K$106,($L171-INT($L171/1000)*1000)))</f>
        <v/>
      </c>
      <c r="F171" s="40">
        <f>IF($L171="","",IF(COUNTIFS(OVR_TICKERS,$D171,OVR_BASE,"&gt;=0")=0,"",SUMIFS(OVR_BASE,OVR_TICKERS,$D171)))</f>
        <v/>
      </c>
      <c r="G171" s="65">
        <f>IF($L171="","",INDEX(HSI!$L$7:$L$106,($L171-INT($L171/1000)*1000)))</f>
        <v/>
      </c>
      <c r="H171" s="87">
        <f>IF($L171="","",IF($F171="","",IFERROR(($F171-$E171)*INDEX(HSI!$B$7:$B$106,($L171-INT($L171/1000)*1000))*INDEX(HSI!$G$7:$G$106,($L171-INT($L171/1000)*1000))/HSI!$B$3,"")))</f>
        <v/>
      </c>
      <c r="I171" s="43">
        <f>IF($L171="","",INDEX(HSI!$U$7:$U$106,($L171-INT($L171/1000)*1000)))</f>
        <v/>
      </c>
      <c r="K171" s="35">
        <f>IF(HSI!$C$102="","",IFERROR(MATCH(HSI!$E$102,Fundamentals!$B$216:$B$226,0),99)*1000+96)</f>
        <v/>
      </c>
      <c r="L171" s="35">
        <f>IFERROR(SMALL($K$76:$K$175,96),"")</f>
        <v/>
      </c>
    </row>
    <row r="172">
      <c r="B172" s="18">
        <f>IF($L172="","",INDEX(HSI!$E$7:$E$106,($L172-INT($L172/1000)*1000)))</f>
        <v/>
      </c>
      <c r="C172" s="18">
        <f>IF($L172="","",INDEX(HSI!$D$7:$D$106,($L172-INT($L172/1000)*1000)))</f>
        <v/>
      </c>
      <c r="D172" s="18">
        <f>IF($L172="","",INDEX(HSI!$C$7:$C$106,($L172-INT($L172/1000)*1000)))</f>
        <v/>
      </c>
      <c r="E172" s="65">
        <f>IF($L172="","",INDEX(HSI!$K$7:$K$106,($L172-INT($L172/1000)*1000)))</f>
        <v/>
      </c>
      <c r="F172" s="40">
        <f>IF($L172="","",IF(COUNTIFS(OVR_TICKERS,$D172,OVR_BASE,"&gt;=0")=0,"",SUMIFS(OVR_BASE,OVR_TICKERS,$D172)))</f>
        <v/>
      </c>
      <c r="G172" s="65">
        <f>IF($L172="","",INDEX(HSI!$L$7:$L$106,($L172-INT($L172/1000)*1000)))</f>
        <v/>
      </c>
      <c r="H172" s="87">
        <f>IF($L172="","",IF($F172="","",IFERROR(($F172-$E172)*INDEX(HSI!$B$7:$B$106,($L172-INT($L172/1000)*1000))*INDEX(HSI!$G$7:$G$106,($L172-INT($L172/1000)*1000))/HSI!$B$3,"")))</f>
        <v/>
      </c>
      <c r="I172" s="43">
        <f>IF($L172="","",INDEX(HSI!$U$7:$U$106,($L172-INT($L172/1000)*1000)))</f>
        <v/>
      </c>
      <c r="K172" s="35">
        <f>IF(HSI!$C$103="","",IFERROR(MATCH(HSI!$E$103,Fundamentals!$B$216:$B$226,0),99)*1000+97)</f>
        <v/>
      </c>
      <c r="L172" s="35">
        <f>IFERROR(SMALL($K$76:$K$175,97),"")</f>
        <v/>
      </c>
    </row>
    <row r="173">
      <c r="B173" s="18">
        <f>IF($L173="","",INDEX(HSI!$E$7:$E$106,($L173-INT($L173/1000)*1000)))</f>
        <v/>
      </c>
      <c r="C173" s="18">
        <f>IF($L173="","",INDEX(HSI!$D$7:$D$106,($L173-INT($L173/1000)*1000)))</f>
        <v/>
      </c>
      <c r="D173" s="18">
        <f>IF($L173="","",INDEX(HSI!$C$7:$C$106,($L173-INT($L173/1000)*1000)))</f>
        <v/>
      </c>
      <c r="E173" s="65">
        <f>IF($L173="","",INDEX(HSI!$K$7:$K$106,($L173-INT($L173/1000)*1000)))</f>
        <v/>
      </c>
      <c r="F173" s="40">
        <f>IF($L173="","",IF(COUNTIFS(OVR_TICKERS,$D173,OVR_BASE,"&gt;=0")=0,"",SUMIFS(OVR_BASE,OVR_TICKERS,$D173)))</f>
        <v/>
      </c>
      <c r="G173" s="65">
        <f>IF($L173="","",INDEX(HSI!$L$7:$L$106,($L173-INT($L173/1000)*1000)))</f>
        <v/>
      </c>
      <c r="H173" s="87">
        <f>IF($L173="","",IF($F173="","",IFERROR(($F173-$E173)*INDEX(HSI!$B$7:$B$106,($L173-INT($L173/1000)*1000))*INDEX(HSI!$G$7:$G$106,($L173-INT($L173/1000)*1000))/HSI!$B$3,"")))</f>
        <v/>
      </c>
      <c r="I173" s="43">
        <f>IF($L173="","",INDEX(HSI!$U$7:$U$106,($L173-INT($L173/1000)*1000)))</f>
        <v/>
      </c>
      <c r="K173" s="35">
        <f>IF(HSI!$C$104="","",IFERROR(MATCH(HSI!$E$104,Fundamentals!$B$216:$B$226,0),99)*1000+98)</f>
        <v/>
      </c>
      <c r="L173" s="35">
        <f>IFERROR(SMALL($K$76:$K$175,98),"")</f>
        <v/>
      </c>
    </row>
    <row r="174">
      <c r="B174" s="18">
        <f>IF($L174="","",INDEX(HSI!$E$7:$E$106,($L174-INT($L174/1000)*1000)))</f>
        <v/>
      </c>
      <c r="C174" s="18">
        <f>IF($L174="","",INDEX(HSI!$D$7:$D$106,($L174-INT($L174/1000)*1000)))</f>
        <v/>
      </c>
      <c r="D174" s="18">
        <f>IF($L174="","",INDEX(HSI!$C$7:$C$106,($L174-INT($L174/1000)*1000)))</f>
        <v/>
      </c>
      <c r="E174" s="65">
        <f>IF($L174="","",INDEX(HSI!$K$7:$K$106,($L174-INT($L174/1000)*1000)))</f>
        <v/>
      </c>
      <c r="F174" s="40">
        <f>IF($L174="","",IF(COUNTIFS(OVR_TICKERS,$D174,OVR_BASE,"&gt;=0")=0,"",SUMIFS(OVR_BASE,OVR_TICKERS,$D174)))</f>
        <v/>
      </c>
      <c r="G174" s="65">
        <f>IF($L174="","",INDEX(HSI!$L$7:$L$106,($L174-INT($L174/1000)*1000)))</f>
        <v/>
      </c>
      <c r="H174" s="87">
        <f>IF($L174="","",IF($F174="","",IFERROR(($F174-$E174)*INDEX(HSI!$B$7:$B$106,($L174-INT($L174/1000)*1000))*INDEX(HSI!$G$7:$G$106,($L174-INT($L174/1000)*1000))/HSI!$B$3,"")))</f>
        <v/>
      </c>
      <c r="I174" s="43">
        <f>IF($L174="","",INDEX(HSI!$U$7:$U$106,($L174-INT($L174/1000)*1000)))</f>
        <v/>
      </c>
      <c r="K174" s="35">
        <f>IF(HSI!$C$105="","",IFERROR(MATCH(HSI!$E$105,Fundamentals!$B$216:$B$226,0),99)*1000+99)</f>
        <v/>
      </c>
      <c r="L174" s="35">
        <f>IFERROR(SMALL($K$76:$K$175,99),"")</f>
        <v/>
      </c>
    </row>
    <row r="175">
      <c r="B175" s="18">
        <f>IF($L175="","",INDEX(HSI!$E$7:$E$106,($L175-INT($L175/1000)*1000)))</f>
        <v/>
      </c>
      <c r="C175" s="18">
        <f>IF($L175="","",INDEX(HSI!$D$7:$D$106,($L175-INT($L175/1000)*1000)))</f>
        <v/>
      </c>
      <c r="D175" s="18">
        <f>IF($L175="","",INDEX(HSI!$C$7:$C$106,($L175-INT($L175/1000)*1000)))</f>
        <v/>
      </c>
      <c r="E175" s="65">
        <f>IF($L175="","",INDEX(HSI!$K$7:$K$106,($L175-INT($L175/1000)*1000)))</f>
        <v/>
      </c>
      <c r="F175" s="40">
        <f>IF($L175="","",IF(COUNTIFS(OVR_TICKERS,$D175,OVR_BASE,"&gt;=0")=0,"",SUMIFS(OVR_BASE,OVR_TICKERS,$D175)))</f>
        <v/>
      </c>
      <c r="G175" s="65">
        <f>IF($L175="","",INDEX(HSI!$L$7:$L$106,($L175-INT($L175/1000)*1000)))</f>
        <v/>
      </c>
      <c r="H175" s="87">
        <f>IF($L175="","",IF($F175="","",IFERROR(($F175-$E175)*INDEX(HSI!$B$7:$B$106,($L175-INT($L175/1000)*1000))*INDEX(HSI!$G$7:$G$106,($L175-INT($L175/1000)*1000))/HSI!$B$3,"")))</f>
        <v/>
      </c>
      <c r="I175" s="43">
        <f>IF($L175="","",INDEX(HSI!$U$7:$U$106,($L175-INT($L175/1000)*1000)))</f>
        <v/>
      </c>
      <c r="K175" s="35">
        <f>IF(HSI!$C$106="","",IFERROR(MATCH(HSI!$E$106,Fundamentals!$B$216:$B$226,0),99)*1000+100)</f>
        <v/>
      </c>
      <c r="L175" s="35">
        <f>IFERROR(SMALL($K$76:$K$175,100),"")</f>
        <v/>
      </c>
    </row>
    <row r="178">
      <c r="B178" s="3" t="inlineStr">
        <is>
          <t>BY SECTOR - Hang Seng TECH Index (HSTECH)   (read-only, sorted by sector at refresh)</t>
        </is>
      </c>
      <c r="C178" s="4" t="n"/>
      <c r="D178" s="4" t="n"/>
      <c r="E178" s="4" t="n"/>
      <c r="F178" s="4" t="n"/>
      <c r="G178" s="4" t="n"/>
      <c r="H178" s="4" t="n"/>
      <c r="I178" s="4" t="n"/>
    </row>
    <row r="179">
      <c r="B179" s="19" t="inlineStr">
        <is>
          <t>GICS Sector</t>
        </is>
      </c>
      <c r="C179" s="19" t="inlineStr">
        <is>
          <t>Name</t>
        </is>
      </c>
      <c r="D179" s="19" t="inlineStr">
        <is>
          <t>Ticker</t>
        </is>
      </c>
      <c r="E179" s="19" t="inlineStr">
        <is>
          <t>BBG rest
of yr</t>
        </is>
      </c>
      <c r="F179" s="19" t="inlineStr">
        <is>
          <t>YOUR base</t>
        </is>
      </c>
      <c r="G179" s="19" t="inlineStr">
        <is>
          <t>Effective</t>
        </is>
      </c>
      <c r="H179" s="19" t="inlineStr">
        <is>
          <t>Impact
(pts)</t>
        </is>
      </c>
      <c r="I179" s="19" t="inlineStr">
        <is>
          <t>Flag</t>
        </is>
      </c>
      <c r="K179" s="2" t="inlineStr">
        <is>
          <t>engine</t>
        </is>
      </c>
    </row>
    <row r="180">
      <c r="B180" s="18">
        <f>IF($L180="","",INDEX(HSTECH!$E$7:$E$46,($L180-INT($L180/1000)*1000)))</f>
        <v/>
      </c>
      <c r="C180" s="18">
        <f>IF($L180="","",INDEX(HSTECH!$D$7:$D$46,($L180-INT($L180/1000)*1000)))</f>
        <v/>
      </c>
      <c r="D180" s="18">
        <f>IF($L180="","",INDEX(HSTECH!$C$7:$C$46,($L180-INT($L180/1000)*1000)))</f>
        <v/>
      </c>
      <c r="E180" s="65">
        <f>IF($L180="","",INDEX(HSTECH!$K$7:$K$46,($L180-INT($L180/1000)*1000)))</f>
        <v/>
      </c>
      <c r="F180" s="40">
        <f>IF($L180="","",IF(COUNTIFS(OVR_TICKERS,$D180,OVR_BASE,"&gt;=0")=0,"",SUMIFS(OVR_BASE,OVR_TICKERS,$D180)))</f>
        <v/>
      </c>
      <c r="G180" s="65">
        <f>IF($L180="","",INDEX(HSTECH!$L$7:$L$46,($L180-INT($L180/1000)*1000)))</f>
        <v/>
      </c>
      <c r="H180" s="87">
        <f>IF($L180="","",IF($F180="","",IFERROR(($F180-$E180)*INDEX(HSTECH!$B$7:$B$46,($L180-INT($L180/1000)*1000))*INDEX(HSTECH!$G$7:$G$46,($L180-INT($L180/1000)*1000))/HSTECH!$B$3,"")))</f>
        <v/>
      </c>
      <c r="I180" s="43">
        <f>IF($L180="","",INDEX(HSTECH!$U$7:$U$46,($L180-INT($L180/1000)*1000)))</f>
        <v/>
      </c>
      <c r="K180" s="35">
        <f>IF(HSTECH!$C$7="","",IFERROR(MATCH(HSTECH!$E$7,Fundamentals!$B$216:$B$226,0),99)*1000+1)</f>
        <v/>
      </c>
      <c r="L180" s="35">
        <f>IFERROR(SMALL($K$180:$K$219,1),"")</f>
        <v/>
      </c>
    </row>
    <row r="181">
      <c r="B181" s="18">
        <f>IF($L181="","",INDEX(HSTECH!$E$7:$E$46,($L181-INT($L181/1000)*1000)))</f>
        <v/>
      </c>
      <c r="C181" s="18">
        <f>IF($L181="","",INDEX(HSTECH!$D$7:$D$46,($L181-INT($L181/1000)*1000)))</f>
        <v/>
      </c>
      <c r="D181" s="18">
        <f>IF($L181="","",INDEX(HSTECH!$C$7:$C$46,($L181-INT($L181/1000)*1000)))</f>
        <v/>
      </c>
      <c r="E181" s="65">
        <f>IF($L181="","",INDEX(HSTECH!$K$7:$K$46,($L181-INT($L181/1000)*1000)))</f>
        <v/>
      </c>
      <c r="F181" s="40">
        <f>IF($L181="","",IF(COUNTIFS(OVR_TICKERS,$D181,OVR_BASE,"&gt;=0")=0,"",SUMIFS(OVR_BASE,OVR_TICKERS,$D181)))</f>
        <v/>
      </c>
      <c r="G181" s="65">
        <f>IF($L181="","",INDEX(HSTECH!$L$7:$L$46,($L181-INT($L181/1000)*1000)))</f>
        <v/>
      </c>
      <c r="H181" s="87">
        <f>IF($L181="","",IF($F181="","",IFERROR(($F181-$E181)*INDEX(HSTECH!$B$7:$B$46,($L181-INT($L181/1000)*1000))*INDEX(HSTECH!$G$7:$G$46,($L181-INT($L181/1000)*1000))/HSTECH!$B$3,"")))</f>
        <v/>
      </c>
      <c r="I181" s="43">
        <f>IF($L181="","",INDEX(HSTECH!$U$7:$U$46,($L181-INT($L181/1000)*1000)))</f>
        <v/>
      </c>
      <c r="K181" s="35">
        <f>IF(HSTECH!$C$8="","",IFERROR(MATCH(HSTECH!$E$8,Fundamentals!$B$216:$B$226,0),99)*1000+2)</f>
        <v/>
      </c>
      <c r="L181" s="35">
        <f>IFERROR(SMALL($K$180:$K$219,2),"")</f>
        <v/>
      </c>
    </row>
    <row r="182">
      <c r="B182" s="18">
        <f>IF($L182="","",INDEX(HSTECH!$E$7:$E$46,($L182-INT($L182/1000)*1000)))</f>
        <v/>
      </c>
      <c r="C182" s="18">
        <f>IF($L182="","",INDEX(HSTECH!$D$7:$D$46,($L182-INT($L182/1000)*1000)))</f>
        <v/>
      </c>
      <c r="D182" s="18">
        <f>IF($L182="","",INDEX(HSTECH!$C$7:$C$46,($L182-INT($L182/1000)*1000)))</f>
        <v/>
      </c>
      <c r="E182" s="65">
        <f>IF($L182="","",INDEX(HSTECH!$K$7:$K$46,($L182-INT($L182/1000)*1000)))</f>
        <v/>
      </c>
      <c r="F182" s="40">
        <f>IF($L182="","",IF(COUNTIFS(OVR_TICKERS,$D182,OVR_BASE,"&gt;=0")=0,"",SUMIFS(OVR_BASE,OVR_TICKERS,$D182)))</f>
        <v/>
      </c>
      <c r="G182" s="65">
        <f>IF($L182="","",INDEX(HSTECH!$L$7:$L$46,($L182-INT($L182/1000)*1000)))</f>
        <v/>
      </c>
      <c r="H182" s="87">
        <f>IF($L182="","",IF($F182="","",IFERROR(($F182-$E182)*INDEX(HSTECH!$B$7:$B$46,($L182-INT($L182/1000)*1000))*INDEX(HSTECH!$G$7:$G$46,($L182-INT($L182/1000)*1000))/HSTECH!$B$3,"")))</f>
        <v/>
      </c>
      <c r="I182" s="43">
        <f>IF($L182="","",INDEX(HSTECH!$U$7:$U$46,($L182-INT($L182/1000)*1000)))</f>
        <v/>
      </c>
      <c r="K182" s="35">
        <f>IF(HSTECH!$C$9="","",IFERROR(MATCH(HSTECH!$E$9,Fundamentals!$B$216:$B$226,0),99)*1000+3)</f>
        <v/>
      </c>
      <c r="L182" s="35">
        <f>IFERROR(SMALL($K$180:$K$219,3),"")</f>
        <v/>
      </c>
    </row>
    <row r="183">
      <c r="B183" s="18">
        <f>IF($L183="","",INDEX(HSTECH!$E$7:$E$46,($L183-INT($L183/1000)*1000)))</f>
        <v/>
      </c>
      <c r="C183" s="18">
        <f>IF($L183="","",INDEX(HSTECH!$D$7:$D$46,($L183-INT($L183/1000)*1000)))</f>
        <v/>
      </c>
      <c r="D183" s="18">
        <f>IF($L183="","",INDEX(HSTECH!$C$7:$C$46,($L183-INT($L183/1000)*1000)))</f>
        <v/>
      </c>
      <c r="E183" s="65">
        <f>IF($L183="","",INDEX(HSTECH!$K$7:$K$46,($L183-INT($L183/1000)*1000)))</f>
        <v/>
      </c>
      <c r="F183" s="40">
        <f>IF($L183="","",IF(COUNTIFS(OVR_TICKERS,$D183,OVR_BASE,"&gt;=0")=0,"",SUMIFS(OVR_BASE,OVR_TICKERS,$D183)))</f>
        <v/>
      </c>
      <c r="G183" s="65">
        <f>IF($L183="","",INDEX(HSTECH!$L$7:$L$46,($L183-INT($L183/1000)*1000)))</f>
        <v/>
      </c>
      <c r="H183" s="87">
        <f>IF($L183="","",IF($F183="","",IFERROR(($F183-$E183)*INDEX(HSTECH!$B$7:$B$46,($L183-INT($L183/1000)*1000))*INDEX(HSTECH!$G$7:$G$46,($L183-INT($L183/1000)*1000))/HSTECH!$B$3,"")))</f>
        <v/>
      </c>
      <c r="I183" s="43">
        <f>IF($L183="","",INDEX(HSTECH!$U$7:$U$46,($L183-INT($L183/1000)*1000)))</f>
        <v/>
      </c>
      <c r="K183" s="35">
        <f>IF(HSTECH!$C$10="","",IFERROR(MATCH(HSTECH!$E$10,Fundamentals!$B$216:$B$226,0),99)*1000+4)</f>
        <v/>
      </c>
      <c r="L183" s="35">
        <f>IFERROR(SMALL($K$180:$K$219,4),"")</f>
        <v/>
      </c>
    </row>
    <row r="184">
      <c r="B184" s="18">
        <f>IF($L184="","",INDEX(HSTECH!$E$7:$E$46,($L184-INT($L184/1000)*1000)))</f>
        <v/>
      </c>
      <c r="C184" s="18">
        <f>IF($L184="","",INDEX(HSTECH!$D$7:$D$46,($L184-INT($L184/1000)*1000)))</f>
        <v/>
      </c>
      <c r="D184" s="18">
        <f>IF($L184="","",INDEX(HSTECH!$C$7:$C$46,($L184-INT($L184/1000)*1000)))</f>
        <v/>
      </c>
      <c r="E184" s="65">
        <f>IF($L184="","",INDEX(HSTECH!$K$7:$K$46,($L184-INT($L184/1000)*1000)))</f>
        <v/>
      </c>
      <c r="F184" s="40">
        <f>IF($L184="","",IF(COUNTIFS(OVR_TICKERS,$D184,OVR_BASE,"&gt;=0")=0,"",SUMIFS(OVR_BASE,OVR_TICKERS,$D184)))</f>
        <v/>
      </c>
      <c r="G184" s="65">
        <f>IF($L184="","",INDEX(HSTECH!$L$7:$L$46,($L184-INT($L184/1000)*1000)))</f>
        <v/>
      </c>
      <c r="H184" s="87">
        <f>IF($L184="","",IF($F184="","",IFERROR(($F184-$E184)*INDEX(HSTECH!$B$7:$B$46,($L184-INT($L184/1000)*1000))*INDEX(HSTECH!$G$7:$G$46,($L184-INT($L184/1000)*1000))/HSTECH!$B$3,"")))</f>
        <v/>
      </c>
      <c r="I184" s="43">
        <f>IF($L184="","",INDEX(HSTECH!$U$7:$U$46,($L184-INT($L184/1000)*1000)))</f>
        <v/>
      </c>
      <c r="K184" s="35">
        <f>IF(HSTECH!$C$11="","",IFERROR(MATCH(HSTECH!$E$11,Fundamentals!$B$216:$B$226,0),99)*1000+5)</f>
        <v/>
      </c>
      <c r="L184" s="35">
        <f>IFERROR(SMALL($K$180:$K$219,5),"")</f>
        <v/>
      </c>
    </row>
    <row r="185">
      <c r="B185" s="18">
        <f>IF($L185="","",INDEX(HSTECH!$E$7:$E$46,($L185-INT($L185/1000)*1000)))</f>
        <v/>
      </c>
      <c r="C185" s="18">
        <f>IF($L185="","",INDEX(HSTECH!$D$7:$D$46,($L185-INT($L185/1000)*1000)))</f>
        <v/>
      </c>
      <c r="D185" s="18">
        <f>IF($L185="","",INDEX(HSTECH!$C$7:$C$46,($L185-INT($L185/1000)*1000)))</f>
        <v/>
      </c>
      <c r="E185" s="65">
        <f>IF($L185="","",INDEX(HSTECH!$K$7:$K$46,($L185-INT($L185/1000)*1000)))</f>
        <v/>
      </c>
      <c r="F185" s="40">
        <f>IF($L185="","",IF(COUNTIFS(OVR_TICKERS,$D185,OVR_BASE,"&gt;=0")=0,"",SUMIFS(OVR_BASE,OVR_TICKERS,$D185)))</f>
        <v/>
      </c>
      <c r="G185" s="65">
        <f>IF($L185="","",INDEX(HSTECH!$L$7:$L$46,($L185-INT($L185/1000)*1000)))</f>
        <v/>
      </c>
      <c r="H185" s="87">
        <f>IF($L185="","",IF($F185="","",IFERROR(($F185-$E185)*INDEX(HSTECH!$B$7:$B$46,($L185-INT($L185/1000)*1000))*INDEX(HSTECH!$G$7:$G$46,($L185-INT($L185/1000)*1000))/HSTECH!$B$3,"")))</f>
        <v/>
      </c>
      <c r="I185" s="43">
        <f>IF($L185="","",INDEX(HSTECH!$U$7:$U$46,($L185-INT($L185/1000)*1000)))</f>
        <v/>
      </c>
      <c r="K185" s="35">
        <f>IF(HSTECH!$C$12="","",IFERROR(MATCH(HSTECH!$E$12,Fundamentals!$B$216:$B$226,0),99)*1000+6)</f>
        <v/>
      </c>
      <c r="L185" s="35">
        <f>IFERROR(SMALL($K$180:$K$219,6),"")</f>
        <v/>
      </c>
    </row>
    <row r="186">
      <c r="B186" s="18">
        <f>IF($L186="","",INDEX(HSTECH!$E$7:$E$46,($L186-INT($L186/1000)*1000)))</f>
        <v/>
      </c>
      <c r="C186" s="18">
        <f>IF($L186="","",INDEX(HSTECH!$D$7:$D$46,($L186-INT($L186/1000)*1000)))</f>
        <v/>
      </c>
      <c r="D186" s="18">
        <f>IF($L186="","",INDEX(HSTECH!$C$7:$C$46,($L186-INT($L186/1000)*1000)))</f>
        <v/>
      </c>
      <c r="E186" s="65">
        <f>IF($L186="","",INDEX(HSTECH!$K$7:$K$46,($L186-INT($L186/1000)*1000)))</f>
        <v/>
      </c>
      <c r="F186" s="40">
        <f>IF($L186="","",IF(COUNTIFS(OVR_TICKERS,$D186,OVR_BASE,"&gt;=0")=0,"",SUMIFS(OVR_BASE,OVR_TICKERS,$D186)))</f>
        <v/>
      </c>
      <c r="G186" s="65">
        <f>IF($L186="","",INDEX(HSTECH!$L$7:$L$46,($L186-INT($L186/1000)*1000)))</f>
        <v/>
      </c>
      <c r="H186" s="87">
        <f>IF($L186="","",IF($F186="","",IFERROR(($F186-$E186)*INDEX(HSTECH!$B$7:$B$46,($L186-INT($L186/1000)*1000))*INDEX(HSTECH!$G$7:$G$46,($L186-INT($L186/1000)*1000))/HSTECH!$B$3,"")))</f>
        <v/>
      </c>
      <c r="I186" s="43">
        <f>IF($L186="","",INDEX(HSTECH!$U$7:$U$46,($L186-INT($L186/1000)*1000)))</f>
        <v/>
      </c>
      <c r="K186" s="35">
        <f>IF(HSTECH!$C$13="","",IFERROR(MATCH(HSTECH!$E$13,Fundamentals!$B$216:$B$226,0),99)*1000+7)</f>
        <v/>
      </c>
      <c r="L186" s="35">
        <f>IFERROR(SMALL($K$180:$K$219,7),"")</f>
        <v/>
      </c>
    </row>
    <row r="187">
      <c r="B187" s="18">
        <f>IF($L187="","",INDEX(HSTECH!$E$7:$E$46,($L187-INT($L187/1000)*1000)))</f>
        <v/>
      </c>
      <c r="C187" s="18">
        <f>IF($L187="","",INDEX(HSTECH!$D$7:$D$46,($L187-INT($L187/1000)*1000)))</f>
        <v/>
      </c>
      <c r="D187" s="18">
        <f>IF($L187="","",INDEX(HSTECH!$C$7:$C$46,($L187-INT($L187/1000)*1000)))</f>
        <v/>
      </c>
      <c r="E187" s="65">
        <f>IF($L187="","",INDEX(HSTECH!$K$7:$K$46,($L187-INT($L187/1000)*1000)))</f>
        <v/>
      </c>
      <c r="F187" s="40">
        <f>IF($L187="","",IF(COUNTIFS(OVR_TICKERS,$D187,OVR_BASE,"&gt;=0")=0,"",SUMIFS(OVR_BASE,OVR_TICKERS,$D187)))</f>
        <v/>
      </c>
      <c r="G187" s="65">
        <f>IF($L187="","",INDEX(HSTECH!$L$7:$L$46,($L187-INT($L187/1000)*1000)))</f>
        <v/>
      </c>
      <c r="H187" s="87">
        <f>IF($L187="","",IF($F187="","",IFERROR(($F187-$E187)*INDEX(HSTECH!$B$7:$B$46,($L187-INT($L187/1000)*1000))*INDEX(HSTECH!$G$7:$G$46,($L187-INT($L187/1000)*1000))/HSTECH!$B$3,"")))</f>
        <v/>
      </c>
      <c r="I187" s="43">
        <f>IF($L187="","",INDEX(HSTECH!$U$7:$U$46,($L187-INT($L187/1000)*1000)))</f>
        <v/>
      </c>
      <c r="K187" s="35">
        <f>IF(HSTECH!$C$14="","",IFERROR(MATCH(HSTECH!$E$14,Fundamentals!$B$216:$B$226,0),99)*1000+8)</f>
        <v/>
      </c>
      <c r="L187" s="35">
        <f>IFERROR(SMALL($K$180:$K$219,8),"")</f>
        <v/>
      </c>
    </row>
    <row r="188">
      <c r="B188" s="18">
        <f>IF($L188="","",INDEX(HSTECH!$E$7:$E$46,($L188-INT($L188/1000)*1000)))</f>
        <v/>
      </c>
      <c r="C188" s="18">
        <f>IF($L188="","",INDEX(HSTECH!$D$7:$D$46,($L188-INT($L188/1000)*1000)))</f>
        <v/>
      </c>
      <c r="D188" s="18">
        <f>IF($L188="","",INDEX(HSTECH!$C$7:$C$46,($L188-INT($L188/1000)*1000)))</f>
        <v/>
      </c>
      <c r="E188" s="65">
        <f>IF($L188="","",INDEX(HSTECH!$K$7:$K$46,($L188-INT($L188/1000)*1000)))</f>
        <v/>
      </c>
      <c r="F188" s="40">
        <f>IF($L188="","",IF(COUNTIFS(OVR_TICKERS,$D188,OVR_BASE,"&gt;=0")=0,"",SUMIFS(OVR_BASE,OVR_TICKERS,$D188)))</f>
        <v/>
      </c>
      <c r="G188" s="65">
        <f>IF($L188="","",INDEX(HSTECH!$L$7:$L$46,($L188-INT($L188/1000)*1000)))</f>
        <v/>
      </c>
      <c r="H188" s="87">
        <f>IF($L188="","",IF($F188="","",IFERROR(($F188-$E188)*INDEX(HSTECH!$B$7:$B$46,($L188-INT($L188/1000)*1000))*INDEX(HSTECH!$G$7:$G$46,($L188-INT($L188/1000)*1000))/HSTECH!$B$3,"")))</f>
        <v/>
      </c>
      <c r="I188" s="43">
        <f>IF($L188="","",INDEX(HSTECH!$U$7:$U$46,($L188-INT($L188/1000)*1000)))</f>
        <v/>
      </c>
      <c r="K188" s="35">
        <f>IF(HSTECH!$C$15="","",IFERROR(MATCH(HSTECH!$E$15,Fundamentals!$B$216:$B$226,0),99)*1000+9)</f>
        <v/>
      </c>
      <c r="L188" s="35">
        <f>IFERROR(SMALL($K$180:$K$219,9),"")</f>
        <v/>
      </c>
    </row>
    <row r="189">
      <c r="B189" s="18">
        <f>IF($L189="","",INDEX(HSTECH!$E$7:$E$46,($L189-INT($L189/1000)*1000)))</f>
        <v/>
      </c>
      <c r="C189" s="18">
        <f>IF($L189="","",INDEX(HSTECH!$D$7:$D$46,($L189-INT($L189/1000)*1000)))</f>
        <v/>
      </c>
      <c r="D189" s="18">
        <f>IF($L189="","",INDEX(HSTECH!$C$7:$C$46,($L189-INT($L189/1000)*1000)))</f>
        <v/>
      </c>
      <c r="E189" s="65">
        <f>IF($L189="","",INDEX(HSTECH!$K$7:$K$46,($L189-INT($L189/1000)*1000)))</f>
        <v/>
      </c>
      <c r="F189" s="40">
        <f>IF($L189="","",IF(COUNTIFS(OVR_TICKERS,$D189,OVR_BASE,"&gt;=0")=0,"",SUMIFS(OVR_BASE,OVR_TICKERS,$D189)))</f>
        <v/>
      </c>
      <c r="G189" s="65">
        <f>IF($L189="","",INDEX(HSTECH!$L$7:$L$46,($L189-INT($L189/1000)*1000)))</f>
        <v/>
      </c>
      <c r="H189" s="87">
        <f>IF($L189="","",IF($F189="","",IFERROR(($F189-$E189)*INDEX(HSTECH!$B$7:$B$46,($L189-INT($L189/1000)*1000))*INDEX(HSTECH!$G$7:$G$46,($L189-INT($L189/1000)*1000))/HSTECH!$B$3,"")))</f>
        <v/>
      </c>
      <c r="I189" s="43">
        <f>IF($L189="","",INDEX(HSTECH!$U$7:$U$46,($L189-INT($L189/1000)*1000)))</f>
        <v/>
      </c>
      <c r="K189" s="35">
        <f>IF(HSTECH!$C$16="","",IFERROR(MATCH(HSTECH!$E$16,Fundamentals!$B$216:$B$226,0),99)*1000+10)</f>
        <v/>
      </c>
      <c r="L189" s="35">
        <f>IFERROR(SMALL($K$180:$K$219,10),"")</f>
        <v/>
      </c>
    </row>
    <row r="190">
      <c r="B190" s="18">
        <f>IF($L190="","",INDEX(HSTECH!$E$7:$E$46,($L190-INT($L190/1000)*1000)))</f>
        <v/>
      </c>
      <c r="C190" s="18">
        <f>IF($L190="","",INDEX(HSTECH!$D$7:$D$46,($L190-INT($L190/1000)*1000)))</f>
        <v/>
      </c>
      <c r="D190" s="18">
        <f>IF($L190="","",INDEX(HSTECH!$C$7:$C$46,($L190-INT($L190/1000)*1000)))</f>
        <v/>
      </c>
      <c r="E190" s="65">
        <f>IF($L190="","",INDEX(HSTECH!$K$7:$K$46,($L190-INT($L190/1000)*1000)))</f>
        <v/>
      </c>
      <c r="F190" s="40">
        <f>IF($L190="","",IF(COUNTIFS(OVR_TICKERS,$D190,OVR_BASE,"&gt;=0")=0,"",SUMIFS(OVR_BASE,OVR_TICKERS,$D190)))</f>
        <v/>
      </c>
      <c r="G190" s="65">
        <f>IF($L190="","",INDEX(HSTECH!$L$7:$L$46,($L190-INT($L190/1000)*1000)))</f>
        <v/>
      </c>
      <c r="H190" s="87">
        <f>IF($L190="","",IF($F190="","",IFERROR(($F190-$E190)*INDEX(HSTECH!$B$7:$B$46,($L190-INT($L190/1000)*1000))*INDEX(HSTECH!$G$7:$G$46,($L190-INT($L190/1000)*1000))/HSTECH!$B$3,"")))</f>
        <v/>
      </c>
      <c r="I190" s="43">
        <f>IF($L190="","",INDEX(HSTECH!$U$7:$U$46,($L190-INT($L190/1000)*1000)))</f>
        <v/>
      </c>
      <c r="K190" s="35">
        <f>IF(HSTECH!$C$17="","",IFERROR(MATCH(HSTECH!$E$17,Fundamentals!$B$216:$B$226,0),99)*1000+11)</f>
        <v/>
      </c>
      <c r="L190" s="35">
        <f>IFERROR(SMALL($K$180:$K$219,11),"")</f>
        <v/>
      </c>
    </row>
    <row r="191">
      <c r="B191" s="18">
        <f>IF($L191="","",INDEX(HSTECH!$E$7:$E$46,($L191-INT($L191/1000)*1000)))</f>
        <v/>
      </c>
      <c r="C191" s="18">
        <f>IF($L191="","",INDEX(HSTECH!$D$7:$D$46,($L191-INT($L191/1000)*1000)))</f>
        <v/>
      </c>
      <c r="D191" s="18">
        <f>IF($L191="","",INDEX(HSTECH!$C$7:$C$46,($L191-INT($L191/1000)*1000)))</f>
        <v/>
      </c>
      <c r="E191" s="65">
        <f>IF($L191="","",INDEX(HSTECH!$K$7:$K$46,($L191-INT($L191/1000)*1000)))</f>
        <v/>
      </c>
      <c r="F191" s="40">
        <f>IF($L191="","",IF(COUNTIFS(OVR_TICKERS,$D191,OVR_BASE,"&gt;=0")=0,"",SUMIFS(OVR_BASE,OVR_TICKERS,$D191)))</f>
        <v/>
      </c>
      <c r="G191" s="65">
        <f>IF($L191="","",INDEX(HSTECH!$L$7:$L$46,($L191-INT($L191/1000)*1000)))</f>
        <v/>
      </c>
      <c r="H191" s="87">
        <f>IF($L191="","",IF($F191="","",IFERROR(($F191-$E191)*INDEX(HSTECH!$B$7:$B$46,($L191-INT($L191/1000)*1000))*INDEX(HSTECH!$G$7:$G$46,($L191-INT($L191/1000)*1000))/HSTECH!$B$3,"")))</f>
        <v/>
      </c>
      <c r="I191" s="43">
        <f>IF($L191="","",INDEX(HSTECH!$U$7:$U$46,($L191-INT($L191/1000)*1000)))</f>
        <v/>
      </c>
      <c r="K191" s="35">
        <f>IF(HSTECH!$C$18="","",IFERROR(MATCH(HSTECH!$E$18,Fundamentals!$B$216:$B$226,0),99)*1000+12)</f>
        <v/>
      </c>
      <c r="L191" s="35">
        <f>IFERROR(SMALL($K$180:$K$219,12),"")</f>
        <v/>
      </c>
    </row>
    <row r="192">
      <c r="B192" s="18">
        <f>IF($L192="","",INDEX(HSTECH!$E$7:$E$46,($L192-INT($L192/1000)*1000)))</f>
        <v/>
      </c>
      <c r="C192" s="18">
        <f>IF($L192="","",INDEX(HSTECH!$D$7:$D$46,($L192-INT($L192/1000)*1000)))</f>
        <v/>
      </c>
      <c r="D192" s="18">
        <f>IF($L192="","",INDEX(HSTECH!$C$7:$C$46,($L192-INT($L192/1000)*1000)))</f>
        <v/>
      </c>
      <c r="E192" s="65">
        <f>IF($L192="","",INDEX(HSTECH!$K$7:$K$46,($L192-INT($L192/1000)*1000)))</f>
        <v/>
      </c>
      <c r="F192" s="40">
        <f>IF($L192="","",IF(COUNTIFS(OVR_TICKERS,$D192,OVR_BASE,"&gt;=0")=0,"",SUMIFS(OVR_BASE,OVR_TICKERS,$D192)))</f>
        <v/>
      </c>
      <c r="G192" s="65">
        <f>IF($L192="","",INDEX(HSTECH!$L$7:$L$46,($L192-INT($L192/1000)*1000)))</f>
        <v/>
      </c>
      <c r="H192" s="87">
        <f>IF($L192="","",IF($F192="","",IFERROR(($F192-$E192)*INDEX(HSTECH!$B$7:$B$46,($L192-INT($L192/1000)*1000))*INDEX(HSTECH!$G$7:$G$46,($L192-INT($L192/1000)*1000))/HSTECH!$B$3,"")))</f>
        <v/>
      </c>
      <c r="I192" s="43">
        <f>IF($L192="","",INDEX(HSTECH!$U$7:$U$46,($L192-INT($L192/1000)*1000)))</f>
        <v/>
      </c>
      <c r="K192" s="35">
        <f>IF(HSTECH!$C$19="","",IFERROR(MATCH(HSTECH!$E$19,Fundamentals!$B$216:$B$226,0),99)*1000+13)</f>
        <v/>
      </c>
      <c r="L192" s="35">
        <f>IFERROR(SMALL($K$180:$K$219,13),"")</f>
        <v/>
      </c>
    </row>
    <row r="193">
      <c r="B193" s="18">
        <f>IF($L193="","",INDEX(HSTECH!$E$7:$E$46,($L193-INT($L193/1000)*1000)))</f>
        <v/>
      </c>
      <c r="C193" s="18">
        <f>IF($L193="","",INDEX(HSTECH!$D$7:$D$46,($L193-INT($L193/1000)*1000)))</f>
        <v/>
      </c>
      <c r="D193" s="18">
        <f>IF($L193="","",INDEX(HSTECH!$C$7:$C$46,($L193-INT($L193/1000)*1000)))</f>
        <v/>
      </c>
      <c r="E193" s="65">
        <f>IF($L193="","",INDEX(HSTECH!$K$7:$K$46,($L193-INT($L193/1000)*1000)))</f>
        <v/>
      </c>
      <c r="F193" s="40">
        <f>IF($L193="","",IF(COUNTIFS(OVR_TICKERS,$D193,OVR_BASE,"&gt;=0")=0,"",SUMIFS(OVR_BASE,OVR_TICKERS,$D193)))</f>
        <v/>
      </c>
      <c r="G193" s="65">
        <f>IF($L193="","",INDEX(HSTECH!$L$7:$L$46,($L193-INT($L193/1000)*1000)))</f>
        <v/>
      </c>
      <c r="H193" s="87">
        <f>IF($L193="","",IF($F193="","",IFERROR(($F193-$E193)*INDEX(HSTECH!$B$7:$B$46,($L193-INT($L193/1000)*1000))*INDEX(HSTECH!$G$7:$G$46,($L193-INT($L193/1000)*1000))/HSTECH!$B$3,"")))</f>
        <v/>
      </c>
      <c r="I193" s="43">
        <f>IF($L193="","",INDEX(HSTECH!$U$7:$U$46,($L193-INT($L193/1000)*1000)))</f>
        <v/>
      </c>
      <c r="K193" s="35">
        <f>IF(HSTECH!$C$20="","",IFERROR(MATCH(HSTECH!$E$20,Fundamentals!$B$216:$B$226,0),99)*1000+14)</f>
        <v/>
      </c>
      <c r="L193" s="35">
        <f>IFERROR(SMALL($K$180:$K$219,14),"")</f>
        <v/>
      </c>
    </row>
    <row r="194">
      <c r="B194" s="18">
        <f>IF($L194="","",INDEX(HSTECH!$E$7:$E$46,($L194-INT($L194/1000)*1000)))</f>
        <v/>
      </c>
      <c r="C194" s="18">
        <f>IF($L194="","",INDEX(HSTECH!$D$7:$D$46,($L194-INT($L194/1000)*1000)))</f>
        <v/>
      </c>
      <c r="D194" s="18">
        <f>IF($L194="","",INDEX(HSTECH!$C$7:$C$46,($L194-INT($L194/1000)*1000)))</f>
        <v/>
      </c>
      <c r="E194" s="65">
        <f>IF($L194="","",INDEX(HSTECH!$K$7:$K$46,($L194-INT($L194/1000)*1000)))</f>
        <v/>
      </c>
      <c r="F194" s="40">
        <f>IF($L194="","",IF(COUNTIFS(OVR_TICKERS,$D194,OVR_BASE,"&gt;=0")=0,"",SUMIFS(OVR_BASE,OVR_TICKERS,$D194)))</f>
        <v/>
      </c>
      <c r="G194" s="65">
        <f>IF($L194="","",INDEX(HSTECH!$L$7:$L$46,($L194-INT($L194/1000)*1000)))</f>
        <v/>
      </c>
      <c r="H194" s="87">
        <f>IF($L194="","",IF($F194="","",IFERROR(($F194-$E194)*INDEX(HSTECH!$B$7:$B$46,($L194-INT($L194/1000)*1000))*INDEX(HSTECH!$G$7:$G$46,($L194-INT($L194/1000)*1000))/HSTECH!$B$3,"")))</f>
        <v/>
      </c>
      <c r="I194" s="43">
        <f>IF($L194="","",INDEX(HSTECH!$U$7:$U$46,($L194-INT($L194/1000)*1000)))</f>
        <v/>
      </c>
      <c r="K194" s="35">
        <f>IF(HSTECH!$C$21="","",IFERROR(MATCH(HSTECH!$E$21,Fundamentals!$B$216:$B$226,0),99)*1000+15)</f>
        <v/>
      </c>
      <c r="L194" s="35">
        <f>IFERROR(SMALL($K$180:$K$219,15),"")</f>
        <v/>
      </c>
    </row>
    <row r="195">
      <c r="B195" s="18">
        <f>IF($L195="","",INDEX(HSTECH!$E$7:$E$46,($L195-INT($L195/1000)*1000)))</f>
        <v/>
      </c>
      <c r="C195" s="18">
        <f>IF($L195="","",INDEX(HSTECH!$D$7:$D$46,($L195-INT($L195/1000)*1000)))</f>
        <v/>
      </c>
      <c r="D195" s="18">
        <f>IF($L195="","",INDEX(HSTECH!$C$7:$C$46,($L195-INT($L195/1000)*1000)))</f>
        <v/>
      </c>
      <c r="E195" s="65">
        <f>IF($L195="","",INDEX(HSTECH!$K$7:$K$46,($L195-INT($L195/1000)*1000)))</f>
        <v/>
      </c>
      <c r="F195" s="40">
        <f>IF($L195="","",IF(COUNTIFS(OVR_TICKERS,$D195,OVR_BASE,"&gt;=0")=0,"",SUMIFS(OVR_BASE,OVR_TICKERS,$D195)))</f>
        <v/>
      </c>
      <c r="G195" s="65">
        <f>IF($L195="","",INDEX(HSTECH!$L$7:$L$46,($L195-INT($L195/1000)*1000)))</f>
        <v/>
      </c>
      <c r="H195" s="87">
        <f>IF($L195="","",IF($F195="","",IFERROR(($F195-$E195)*INDEX(HSTECH!$B$7:$B$46,($L195-INT($L195/1000)*1000))*INDEX(HSTECH!$G$7:$G$46,($L195-INT($L195/1000)*1000))/HSTECH!$B$3,"")))</f>
        <v/>
      </c>
      <c r="I195" s="43">
        <f>IF($L195="","",INDEX(HSTECH!$U$7:$U$46,($L195-INT($L195/1000)*1000)))</f>
        <v/>
      </c>
      <c r="K195" s="35">
        <f>IF(HSTECH!$C$22="","",IFERROR(MATCH(HSTECH!$E$22,Fundamentals!$B$216:$B$226,0),99)*1000+16)</f>
        <v/>
      </c>
      <c r="L195" s="35">
        <f>IFERROR(SMALL($K$180:$K$219,16),"")</f>
        <v/>
      </c>
    </row>
    <row r="196">
      <c r="B196" s="18">
        <f>IF($L196="","",INDEX(HSTECH!$E$7:$E$46,($L196-INT($L196/1000)*1000)))</f>
        <v/>
      </c>
      <c r="C196" s="18">
        <f>IF($L196="","",INDEX(HSTECH!$D$7:$D$46,($L196-INT($L196/1000)*1000)))</f>
        <v/>
      </c>
      <c r="D196" s="18">
        <f>IF($L196="","",INDEX(HSTECH!$C$7:$C$46,($L196-INT($L196/1000)*1000)))</f>
        <v/>
      </c>
      <c r="E196" s="65">
        <f>IF($L196="","",INDEX(HSTECH!$K$7:$K$46,($L196-INT($L196/1000)*1000)))</f>
        <v/>
      </c>
      <c r="F196" s="40">
        <f>IF($L196="","",IF(COUNTIFS(OVR_TICKERS,$D196,OVR_BASE,"&gt;=0")=0,"",SUMIFS(OVR_BASE,OVR_TICKERS,$D196)))</f>
        <v/>
      </c>
      <c r="G196" s="65">
        <f>IF($L196="","",INDEX(HSTECH!$L$7:$L$46,($L196-INT($L196/1000)*1000)))</f>
        <v/>
      </c>
      <c r="H196" s="87">
        <f>IF($L196="","",IF($F196="","",IFERROR(($F196-$E196)*INDEX(HSTECH!$B$7:$B$46,($L196-INT($L196/1000)*1000))*INDEX(HSTECH!$G$7:$G$46,($L196-INT($L196/1000)*1000))/HSTECH!$B$3,"")))</f>
        <v/>
      </c>
      <c r="I196" s="43">
        <f>IF($L196="","",INDEX(HSTECH!$U$7:$U$46,($L196-INT($L196/1000)*1000)))</f>
        <v/>
      </c>
      <c r="K196" s="35">
        <f>IF(HSTECH!$C$23="","",IFERROR(MATCH(HSTECH!$E$23,Fundamentals!$B$216:$B$226,0),99)*1000+17)</f>
        <v/>
      </c>
      <c r="L196" s="35">
        <f>IFERROR(SMALL($K$180:$K$219,17),"")</f>
        <v/>
      </c>
    </row>
    <row r="197">
      <c r="B197" s="18">
        <f>IF($L197="","",INDEX(HSTECH!$E$7:$E$46,($L197-INT($L197/1000)*1000)))</f>
        <v/>
      </c>
      <c r="C197" s="18">
        <f>IF($L197="","",INDEX(HSTECH!$D$7:$D$46,($L197-INT($L197/1000)*1000)))</f>
        <v/>
      </c>
      <c r="D197" s="18">
        <f>IF($L197="","",INDEX(HSTECH!$C$7:$C$46,($L197-INT($L197/1000)*1000)))</f>
        <v/>
      </c>
      <c r="E197" s="65">
        <f>IF($L197="","",INDEX(HSTECH!$K$7:$K$46,($L197-INT($L197/1000)*1000)))</f>
        <v/>
      </c>
      <c r="F197" s="40">
        <f>IF($L197="","",IF(COUNTIFS(OVR_TICKERS,$D197,OVR_BASE,"&gt;=0")=0,"",SUMIFS(OVR_BASE,OVR_TICKERS,$D197)))</f>
        <v/>
      </c>
      <c r="G197" s="65">
        <f>IF($L197="","",INDEX(HSTECH!$L$7:$L$46,($L197-INT($L197/1000)*1000)))</f>
        <v/>
      </c>
      <c r="H197" s="87">
        <f>IF($L197="","",IF($F197="","",IFERROR(($F197-$E197)*INDEX(HSTECH!$B$7:$B$46,($L197-INT($L197/1000)*1000))*INDEX(HSTECH!$G$7:$G$46,($L197-INT($L197/1000)*1000))/HSTECH!$B$3,"")))</f>
        <v/>
      </c>
      <c r="I197" s="43">
        <f>IF($L197="","",INDEX(HSTECH!$U$7:$U$46,($L197-INT($L197/1000)*1000)))</f>
        <v/>
      </c>
      <c r="K197" s="35">
        <f>IF(HSTECH!$C$24="","",IFERROR(MATCH(HSTECH!$E$24,Fundamentals!$B$216:$B$226,0),99)*1000+18)</f>
        <v/>
      </c>
      <c r="L197" s="35">
        <f>IFERROR(SMALL($K$180:$K$219,18),"")</f>
        <v/>
      </c>
    </row>
    <row r="198">
      <c r="B198" s="18">
        <f>IF($L198="","",INDEX(HSTECH!$E$7:$E$46,($L198-INT($L198/1000)*1000)))</f>
        <v/>
      </c>
      <c r="C198" s="18">
        <f>IF($L198="","",INDEX(HSTECH!$D$7:$D$46,($L198-INT($L198/1000)*1000)))</f>
        <v/>
      </c>
      <c r="D198" s="18">
        <f>IF($L198="","",INDEX(HSTECH!$C$7:$C$46,($L198-INT($L198/1000)*1000)))</f>
        <v/>
      </c>
      <c r="E198" s="65">
        <f>IF($L198="","",INDEX(HSTECH!$K$7:$K$46,($L198-INT($L198/1000)*1000)))</f>
        <v/>
      </c>
      <c r="F198" s="40">
        <f>IF($L198="","",IF(COUNTIFS(OVR_TICKERS,$D198,OVR_BASE,"&gt;=0")=0,"",SUMIFS(OVR_BASE,OVR_TICKERS,$D198)))</f>
        <v/>
      </c>
      <c r="G198" s="65">
        <f>IF($L198="","",INDEX(HSTECH!$L$7:$L$46,($L198-INT($L198/1000)*1000)))</f>
        <v/>
      </c>
      <c r="H198" s="87">
        <f>IF($L198="","",IF($F198="","",IFERROR(($F198-$E198)*INDEX(HSTECH!$B$7:$B$46,($L198-INT($L198/1000)*1000))*INDEX(HSTECH!$G$7:$G$46,($L198-INT($L198/1000)*1000))/HSTECH!$B$3,"")))</f>
        <v/>
      </c>
      <c r="I198" s="43">
        <f>IF($L198="","",INDEX(HSTECH!$U$7:$U$46,($L198-INT($L198/1000)*1000)))</f>
        <v/>
      </c>
      <c r="K198" s="35">
        <f>IF(HSTECH!$C$25="","",IFERROR(MATCH(HSTECH!$E$25,Fundamentals!$B$216:$B$226,0),99)*1000+19)</f>
        <v/>
      </c>
      <c r="L198" s="35">
        <f>IFERROR(SMALL($K$180:$K$219,19),"")</f>
        <v/>
      </c>
    </row>
    <row r="199">
      <c r="B199" s="18">
        <f>IF($L199="","",INDEX(HSTECH!$E$7:$E$46,($L199-INT($L199/1000)*1000)))</f>
        <v/>
      </c>
      <c r="C199" s="18">
        <f>IF($L199="","",INDEX(HSTECH!$D$7:$D$46,($L199-INT($L199/1000)*1000)))</f>
        <v/>
      </c>
      <c r="D199" s="18">
        <f>IF($L199="","",INDEX(HSTECH!$C$7:$C$46,($L199-INT($L199/1000)*1000)))</f>
        <v/>
      </c>
      <c r="E199" s="65">
        <f>IF($L199="","",INDEX(HSTECH!$K$7:$K$46,($L199-INT($L199/1000)*1000)))</f>
        <v/>
      </c>
      <c r="F199" s="40">
        <f>IF($L199="","",IF(COUNTIFS(OVR_TICKERS,$D199,OVR_BASE,"&gt;=0")=0,"",SUMIFS(OVR_BASE,OVR_TICKERS,$D199)))</f>
        <v/>
      </c>
      <c r="G199" s="65">
        <f>IF($L199="","",INDEX(HSTECH!$L$7:$L$46,($L199-INT($L199/1000)*1000)))</f>
        <v/>
      </c>
      <c r="H199" s="87">
        <f>IF($L199="","",IF($F199="","",IFERROR(($F199-$E199)*INDEX(HSTECH!$B$7:$B$46,($L199-INT($L199/1000)*1000))*INDEX(HSTECH!$G$7:$G$46,($L199-INT($L199/1000)*1000))/HSTECH!$B$3,"")))</f>
        <v/>
      </c>
      <c r="I199" s="43">
        <f>IF($L199="","",INDEX(HSTECH!$U$7:$U$46,($L199-INT($L199/1000)*1000)))</f>
        <v/>
      </c>
      <c r="K199" s="35">
        <f>IF(HSTECH!$C$26="","",IFERROR(MATCH(HSTECH!$E$26,Fundamentals!$B$216:$B$226,0),99)*1000+20)</f>
        <v/>
      </c>
      <c r="L199" s="35">
        <f>IFERROR(SMALL($K$180:$K$219,20),"")</f>
        <v/>
      </c>
    </row>
    <row r="200">
      <c r="B200" s="18">
        <f>IF($L200="","",INDEX(HSTECH!$E$7:$E$46,($L200-INT($L200/1000)*1000)))</f>
        <v/>
      </c>
      <c r="C200" s="18">
        <f>IF($L200="","",INDEX(HSTECH!$D$7:$D$46,($L200-INT($L200/1000)*1000)))</f>
        <v/>
      </c>
      <c r="D200" s="18">
        <f>IF($L200="","",INDEX(HSTECH!$C$7:$C$46,($L200-INT($L200/1000)*1000)))</f>
        <v/>
      </c>
      <c r="E200" s="65">
        <f>IF($L200="","",INDEX(HSTECH!$K$7:$K$46,($L200-INT($L200/1000)*1000)))</f>
        <v/>
      </c>
      <c r="F200" s="40">
        <f>IF($L200="","",IF(COUNTIFS(OVR_TICKERS,$D200,OVR_BASE,"&gt;=0")=0,"",SUMIFS(OVR_BASE,OVR_TICKERS,$D200)))</f>
        <v/>
      </c>
      <c r="G200" s="65">
        <f>IF($L200="","",INDEX(HSTECH!$L$7:$L$46,($L200-INT($L200/1000)*1000)))</f>
        <v/>
      </c>
      <c r="H200" s="87">
        <f>IF($L200="","",IF($F200="","",IFERROR(($F200-$E200)*INDEX(HSTECH!$B$7:$B$46,($L200-INT($L200/1000)*1000))*INDEX(HSTECH!$G$7:$G$46,($L200-INT($L200/1000)*1000))/HSTECH!$B$3,"")))</f>
        <v/>
      </c>
      <c r="I200" s="43">
        <f>IF($L200="","",INDEX(HSTECH!$U$7:$U$46,($L200-INT($L200/1000)*1000)))</f>
        <v/>
      </c>
      <c r="K200" s="35">
        <f>IF(HSTECH!$C$27="","",IFERROR(MATCH(HSTECH!$E$27,Fundamentals!$B$216:$B$226,0),99)*1000+21)</f>
        <v/>
      </c>
      <c r="L200" s="35">
        <f>IFERROR(SMALL($K$180:$K$219,21),"")</f>
        <v/>
      </c>
    </row>
    <row r="201">
      <c r="B201" s="18">
        <f>IF($L201="","",INDEX(HSTECH!$E$7:$E$46,($L201-INT($L201/1000)*1000)))</f>
        <v/>
      </c>
      <c r="C201" s="18">
        <f>IF($L201="","",INDEX(HSTECH!$D$7:$D$46,($L201-INT($L201/1000)*1000)))</f>
        <v/>
      </c>
      <c r="D201" s="18">
        <f>IF($L201="","",INDEX(HSTECH!$C$7:$C$46,($L201-INT($L201/1000)*1000)))</f>
        <v/>
      </c>
      <c r="E201" s="65">
        <f>IF($L201="","",INDEX(HSTECH!$K$7:$K$46,($L201-INT($L201/1000)*1000)))</f>
        <v/>
      </c>
      <c r="F201" s="40">
        <f>IF($L201="","",IF(COUNTIFS(OVR_TICKERS,$D201,OVR_BASE,"&gt;=0")=0,"",SUMIFS(OVR_BASE,OVR_TICKERS,$D201)))</f>
        <v/>
      </c>
      <c r="G201" s="65">
        <f>IF($L201="","",INDEX(HSTECH!$L$7:$L$46,($L201-INT($L201/1000)*1000)))</f>
        <v/>
      </c>
      <c r="H201" s="87">
        <f>IF($L201="","",IF($F201="","",IFERROR(($F201-$E201)*INDEX(HSTECH!$B$7:$B$46,($L201-INT($L201/1000)*1000))*INDEX(HSTECH!$G$7:$G$46,($L201-INT($L201/1000)*1000))/HSTECH!$B$3,"")))</f>
        <v/>
      </c>
      <c r="I201" s="43">
        <f>IF($L201="","",INDEX(HSTECH!$U$7:$U$46,($L201-INT($L201/1000)*1000)))</f>
        <v/>
      </c>
      <c r="K201" s="35">
        <f>IF(HSTECH!$C$28="","",IFERROR(MATCH(HSTECH!$E$28,Fundamentals!$B$216:$B$226,0),99)*1000+22)</f>
        <v/>
      </c>
      <c r="L201" s="35">
        <f>IFERROR(SMALL($K$180:$K$219,22),"")</f>
        <v/>
      </c>
    </row>
    <row r="202">
      <c r="B202" s="18">
        <f>IF($L202="","",INDEX(HSTECH!$E$7:$E$46,($L202-INT($L202/1000)*1000)))</f>
        <v/>
      </c>
      <c r="C202" s="18">
        <f>IF($L202="","",INDEX(HSTECH!$D$7:$D$46,($L202-INT($L202/1000)*1000)))</f>
        <v/>
      </c>
      <c r="D202" s="18">
        <f>IF($L202="","",INDEX(HSTECH!$C$7:$C$46,($L202-INT($L202/1000)*1000)))</f>
        <v/>
      </c>
      <c r="E202" s="65">
        <f>IF($L202="","",INDEX(HSTECH!$K$7:$K$46,($L202-INT($L202/1000)*1000)))</f>
        <v/>
      </c>
      <c r="F202" s="40">
        <f>IF($L202="","",IF(COUNTIFS(OVR_TICKERS,$D202,OVR_BASE,"&gt;=0")=0,"",SUMIFS(OVR_BASE,OVR_TICKERS,$D202)))</f>
        <v/>
      </c>
      <c r="G202" s="65">
        <f>IF($L202="","",INDEX(HSTECH!$L$7:$L$46,($L202-INT($L202/1000)*1000)))</f>
        <v/>
      </c>
      <c r="H202" s="87">
        <f>IF($L202="","",IF($F202="","",IFERROR(($F202-$E202)*INDEX(HSTECH!$B$7:$B$46,($L202-INT($L202/1000)*1000))*INDEX(HSTECH!$G$7:$G$46,($L202-INT($L202/1000)*1000))/HSTECH!$B$3,"")))</f>
        <v/>
      </c>
      <c r="I202" s="43">
        <f>IF($L202="","",INDEX(HSTECH!$U$7:$U$46,($L202-INT($L202/1000)*1000)))</f>
        <v/>
      </c>
      <c r="K202" s="35">
        <f>IF(HSTECH!$C$29="","",IFERROR(MATCH(HSTECH!$E$29,Fundamentals!$B$216:$B$226,0),99)*1000+23)</f>
        <v/>
      </c>
      <c r="L202" s="35">
        <f>IFERROR(SMALL($K$180:$K$219,23),"")</f>
        <v/>
      </c>
    </row>
    <row r="203">
      <c r="B203" s="18">
        <f>IF($L203="","",INDEX(HSTECH!$E$7:$E$46,($L203-INT($L203/1000)*1000)))</f>
        <v/>
      </c>
      <c r="C203" s="18">
        <f>IF($L203="","",INDEX(HSTECH!$D$7:$D$46,($L203-INT($L203/1000)*1000)))</f>
        <v/>
      </c>
      <c r="D203" s="18">
        <f>IF($L203="","",INDEX(HSTECH!$C$7:$C$46,($L203-INT($L203/1000)*1000)))</f>
        <v/>
      </c>
      <c r="E203" s="65">
        <f>IF($L203="","",INDEX(HSTECH!$K$7:$K$46,($L203-INT($L203/1000)*1000)))</f>
        <v/>
      </c>
      <c r="F203" s="40">
        <f>IF($L203="","",IF(COUNTIFS(OVR_TICKERS,$D203,OVR_BASE,"&gt;=0")=0,"",SUMIFS(OVR_BASE,OVR_TICKERS,$D203)))</f>
        <v/>
      </c>
      <c r="G203" s="65">
        <f>IF($L203="","",INDEX(HSTECH!$L$7:$L$46,($L203-INT($L203/1000)*1000)))</f>
        <v/>
      </c>
      <c r="H203" s="87">
        <f>IF($L203="","",IF($F203="","",IFERROR(($F203-$E203)*INDEX(HSTECH!$B$7:$B$46,($L203-INT($L203/1000)*1000))*INDEX(HSTECH!$G$7:$G$46,($L203-INT($L203/1000)*1000))/HSTECH!$B$3,"")))</f>
        <v/>
      </c>
      <c r="I203" s="43">
        <f>IF($L203="","",INDEX(HSTECH!$U$7:$U$46,($L203-INT($L203/1000)*1000)))</f>
        <v/>
      </c>
      <c r="K203" s="35">
        <f>IF(HSTECH!$C$30="","",IFERROR(MATCH(HSTECH!$E$30,Fundamentals!$B$216:$B$226,0),99)*1000+24)</f>
        <v/>
      </c>
      <c r="L203" s="35">
        <f>IFERROR(SMALL($K$180:$K$219,24),"")</f>
        <v/>
      </c>
    </row>
    <row r="204">
      <c r="B204" s="18">
        <f>IF($L204="","",INDEX(HSTECH!$E$7:$E$46,($L204-INT($L204/1000)*1000)))</f>
        <v/>
      </c>
      <c r="C204" s="18">
        <f>IF($L204="","",INDEX(HSTECH!$D$7:$D$46,($L204-INT($L204/1000)*1000)))</f>
        <v/>
      </c>
      <c r="D204" s="18">
        <f>IF($L204="","",INDEX(HSTECH!$C$7:$C$46,($L204-INT($L204/1000)*1000)))</f>
        <v/>
      </c>
      <c r="E204" s="65">
        <f>IF($L204="","",INDEX(HSTECH!$K$7:$K$46,($L204-INT($L204/1000)*1000)))</f>
        <v/>
      </c>
      <c r="F204" s="40">
        <f>IF($L204="","",IF(COUNTIFS(OVR_TICKERS,$D204,OVR_BASE,"&gt;=0")=0,"",SUMIFS(OVR_BASE,OVR_TICKERS,$D204)))</f>
        <v/>
      </c>
      <c r="G204" s="65">
        <f>IF($L204="","",INDEX(HSTECH!$L$7:$L$46,($L204-INT($L204/1000)*1000)))</f>
        <v/>
      </c>
      <c r="H204" s="87">
        <f>IF($L204="","",IF($F204="","",IFERROR(($F204-$E204)*INDEX(HSTECH!$B$7:$B$46,($L204-INT($L204/1000)*1000))*INDEX(HSTECH!$G$7:$G$46,($L204-INT($L204/1000)*1000))/HSTECH!$B$3,"")))</f>
        <v/>
      </c>
      <c r="I204" s="43">
        <f>IF($L204="","",INDEX(HSTECH!$U$7:$U$46,($L204-INT($L204/1000)*1000)))</f>
        <v/>
      </c>
      <c r="K204" s="35">
        <f>IF(HSTECH!$C$31="","",IFERROR(MATCH(HSTECH!$E$31,Fundamentals!$B$216:$B$226,0),99)*1000+25)</f>
        <v/>
      </c>
      <c r="L204" s="35">
        <f>IFERROR(SMALL($K$180:$K$219,25),"")</f>
        <v/>
      </c>
    </row>
    <row r="205">
      <c r="B205" s="18">
        <f>IF($L205="","",INDEX(HSTECH!$E$7:$E$46,($L205-INT($L205/1000)*1000)))</f>
        <v/>
      </c>
      <c r="C205" s="18">
        <f>IF($L205="","",INDEX(HSTECH!$D$7:$D$46,($L205-INT($L205/1000)*1000)))</f>
        <v/>
      </c>
      <c r="D205" s="18">
        <f>IF($L205="","",INDEX(HSTECH!$C$7:$C$46,($L205-INT($L205/1000)*1000)))</f>
        <v/>
      </c>
      <c r="E205" s="65">
        <f>IF($L205="","",INDEX(HSTECH!$K$7:$K$46,($L205-INT($L205/1000)*1000)))</f>
        <v/>
      </c>
      <c r="F205" s="40">
        <f>IF($L205="","",IF(COUNTIFS(OVR_TICKERS,$D205,OVR_BASE,"&gt;=0")=0,"",SUMIFS(OVR_BASE,OVR_TICKERS,$D205)))</f>
        <v/>
      </c>
      <c r="G205" s="65">
        <f>IF($L205="","",INDEX(HSTECH!$L$7:$L$46,($L205-INT($L205/1000)*1000)))</f>
        <v/>
      </c>
      <c r="H205" s="87">
        <f>IF($L205="","",IF($F205="","",IFERROR(($F205-$E205)*INDEX(HSTECH!$B$7:$B$46,($L205-INT($L205/1000)*1000))*INDEX(HSTECH!$G$7:$G$46,($L205-INT($L205/1000)*1000))/HSTECH!$B$3,"")))</f>
        <v/>
      </c>
      <c r="I205" s="43">
        <f>IF($L205="","",INDEX(HSTECH!$U$7:$U$46,($L205-INT($L205/1000)*1000)))</f>
        <v/>
      </c>
      <c r="K205" s="35">
        <f>IF(HSTECH!$C$32="","",IFERROR(MATCH(HSTECH!$E$32,Fundamentals!$B$216:$B$226,0),99)*1000+26)</f>
        <v/>
      </c>
      <c r="L205" s="35">
        <f>IFERROR(SMALL($K$180:$K$219,26),"")</f>
        <v/>
      </c>
    </row>
    <row r="206">
      <c r="B206" s="18">
        <f>IF($L206="","",INDEX(HSTECH!$E$7:$E$46,($L206-INT($L206/1000)*1000)))</f>
        <v/>
      </c>
      <c r="C206" s="18">
        <f>IF($L206="","",INDEX(HSTECH!$D$7:$D$46,($L206-INT($L206/1000)*1000)))</f>
        <v/>
      </c>
      <c r="D206" s="18">
        <f>IF($L206="","",INDEX(HSTECH!$C$7:$C$46,($L206-INT($L206/1000)*1000)))</f>
        <v/>
      </c>
      <c r="E206" s="65">
        <f>IF($L206="","",INDEX(HSTECH!$K$7:$K$46,($L206-INT($L206/1000)*1000)))</f>
        <v/>
      </c>
      <c r="F206" s="40">
        <f>IF($L206="","",IF(COUNTIFS(OVR_TICKERS,$D206,OVR_BASE,"&gt;=0")=0,"",SUMIFS(OVR_BASE,OVR_TICKERS,$D206)))</f>
        <v/>
      </c>
      <c r="G206" s="65">
        <f>IF($L206="","",INDEX(HSTECH!$L$7:$L$46,($L206-INT($L206/1000)*1000)))</f>
        <v/>
      </c>
      <c r="H206" s="87">
        <f>IF($L206="","",IF($F206="","",IFERROR(($F206-$E206)*INDEX(HSTECH!$B$7:$B$46,($L206-INT($L206/1000)*1000))*INDEX(HSTECH!$G$7:$G$46,($L206-INT($L206/1000)*1000))/HSTECH!$B$3,"")))</f>
        <v/>
      </c>
      <c r="I206" s="43">
        <f>IF($L206="","",INDEX(HSTECH!$U$7:$U$46,($L206-INT($L206/1000)*1000)))</f>
        <v/>
      </c>
      <c r="K206" s="35">
        <f>IF(HSTECH!$C$33="","",IFERROR(MATCH(HSTECH!$E$33,Fundamentals!$B$216:$B$226,0),99)*1000+27)</f>
        <v/>
      </c>
      <c r="L206" s="35">
        <f>IFERROR(SMALL($K$180:$K$219,27),"")</f>
        <v/>
      </c>
    </row>
    <row r="207">
      <c r="B207" s="18">
        <f>IF($L207="","",INDEX(HSTECH!$E$7:$E$46,($L207-INT($L207/1000)*1000)))</f>
        <v/>
      </c>
      <c r="C207" s="18">
        <f>IF($L207="","",INDEX(HSTECH!$D$7:$D$46,($L207-INT($L207/1000)*1000)))</f>
        <v/>
      </c>
      <c r="D207" s="18">
        <f>IF($L207="","",INDEX(HSTECH!$C$7:$C$46,($L207-INT($L207/1000)*1000)))</f>
        <v/>
      </c>
      <c r="E207" s="65">
        <f>IF($L207="","",INDEX(HSTECH!$K$7:$K$46,($L207-INT($L207/1000)*1000)))</f>
        <v/>
      </c>
      <c r="F207" s="40">
        <f>IF($L207="","",IF(COUNTIFS(OVR_TICKERS,$D207,OVR_BASE,"&gt;=0")=0,"",SUMIFS(OVR_BASE,OVR_TICKERS,$D207)))</f>
        <v/>
      </c>
      <c r="G207" s="65">
        <f>IF($L207="","",INDEX(HSTECH!$L$7:$L$46,($L207-INT($L207/1000)*1000)))</f>
        <v/>
      </c>
      <c r="H207" s="87">
        <f>IF($L207="","",IF($F207="","",IFERROR(($F207-$E207)*INDEX(HSTECH!$B$7:$B$46,($L207-INT($L207/1000)*1000))*INDEX(HSTECH!$G$7:$G$46,($L207-INT($L207/1000)*1000))/HSTECH!$B$3,"")))</f>
        <v/>
      </c>
      <c r="I207" s="43">
        <f>IF($L207="","",INDEX(HSTECH!$U$7:$U$46,($L207-INT($L207/1000)*1000)))</f>
        <v/>
      </c>
      <c r="K207" s="35">
        <f>IF(HSTECH!$C$34="","",IFERROR(MATCH(HSTECH!$E$34,Fundamentals!$B$216:$B$226,0),99)*1000+28)</f>
        <v/>
      </c>
      <c r="L207" s="35">
        <f>IFERROR(SMALL($K$180:$K$219,28),"")</f>
        <v/>
      </c>
    </row>
    <row r="208">
      <c r="B208" s="18">
        <f>IF($L208="","",INDEX(HSTECH!$E$7:$E$46,($L208-INT($L208/1000)*1000)))</f>
        <v/>
      </c>
      <c r="C208" s="18">
        <f>IF($L208="","",INDEX(HSTECH!$D$7:$D$46,($L208-INT($L208/1000)*1000)))</f>
        <v/>
      </c>
      <c r="D208" s="18">
        <f>IF($L208="","",INDEX(HSTECH!$C$7:$C$46,($L208-INT($L208/1000)*1000)))</f>
        <v/>
      </c>
      <c r="E208" s="65">
        <f>IF($L208="","",INDEX(HSTECH!$K$7:$K$46,($L208-INT($L208/1000)*1000)))</f>
        <v/>
      </c>
      <c r="F208" s="40">
        <f>IF($L208="","",IF(COUNTIFS(OVR_TICKERS,$D208,OVR_BASE,"&gt;=0")=0,"",SUMIFS(OVR_BASE,OVR_TICKERS,$D208)))</f>
        <v/>
      </c>
      <c r="G208" s="65">
        <f>IF($L208="","",INDEX(HSTECH!$L$7:$L$46,($L208-INT($L208/1000)*1000)))</f>
        <v/>
      </c>
      <c r="H208" s="87">
        <f>IF($L208="","",IF($F208="","",IFERROR(($F208-$E208)*INDEX(HSTECH!$B$7:$B$46,($L208-INT($L208/1000)*1000))*INDEX(HSTECH!$G$7:$G$46,($L208-INT($L208/1000)*1000))/HSTECH!$B$3,"")))</f>
        <v/>
      </c>
      <c r="I208" s="43">
        <f>IF($L208="","",INDEX(HSTECH!$U$7:$U$46,($L208-INT($L208/1000)*1000)))</f>
        <v/>
      </c>
      <c r="K208" s="35">
        <f>IF(HSTECH!$C$35="","",IFERROR(MATCH(HSTECH!$E$35,Fundamentals!$B$216:$B$226,0),99)*1000+29)</f>
        <v/>
      </c>
      <c r="L208" s="35">
        <f>IFERROR(SMALL($K$180:$K$219,29),"")</f>
        <v/>
      </c>
    </row>
    <row r="209">
      <c r="B209" s="18">
        <f>IF($L209="","",INDEX(HSTECH!$E$7:$E$46,($L209-INT($L209/1000)*1000)))</f>
        <v/>
      </c>
      <c r="C209" s="18">
        <f>IF($L209="","",INDEX(HSTECH!$D$7:$D$46,($L209-INT($L209/1000)*1000)))</f>
        <v/>
      </c>
      <c r="D209" s="18">
        <f>IF($L209="","",INDEX(HSTECH!$C$7:$C$46,($L209-INT($L209/1000)*1000)))</f>
        <v/>
      </c>
      <c r="E209" s="65">
        <f>IF($L209="","",INDEX(HSTECH!$K$7:$K$46,($L209-INT($L209/1000)*1000)))</f>
        <v/>
      </c>
      <c r="F209" s="40">
        <f>IF($L209="","",IF(COUNTIFS(OVR_TICKERS,$D209,OVR_BASE,"&gt;=0")=0,"",SUMIFS(OVR_BASE,OVR_TICKERS,$D209)))</f>
        <v/>
      </c>
      <c r="G209" s="65">
        <f>IF($L209="","",INDEX(HSTECH!$L$7:$L$46,($L209-INT($L209/1000)*1000)))</f>
        <v/>
      </c>
      <c r="H209" s="87">
        <f>IF($L209="","",IF($F209="","",IFERROR(($F209-$E209)*INDEX(HSTECH!$B$7:$B$46,($L209-INT($L209/1000)*1000))*INDEX(HSTECH!$G$7:$G$46,($L209-INT($L209/1000)*1000))/HSTECH!$B$3,"")))</f>
        <v/>
      </c>
      <c r="I209" s="43">
        <f>IF($L209="","",INDEX(HSTECH!$U$7:$U$46,($L209-INT($L209/1000)*1000)))</f>
        <v/>
      </c>
      <c r="K209" s="35">
        <f>IF(HSTECH!$C$36="","",IFERROR(MATCH(HSTECH!$E$36,Fundamentals!$B$216:$B$226,0),99)*1000+30)</f>
        <v/>
      </c>
      <c r="L209" s="35">
        <f>IFERROR(SMALL($K$180:$K$219,30),"")</f>
        <v/>
      </c>
    </row>
    <row r="210">
      <c r="B210" s="18">
        <f>IF($L210="","",INDEX(HSTECH!$E$7:$E$46,($L210-INT($L210/1000)*1000)))</f>
        <v/>
      </c>
      <c r="C210" s="18">
        <f>IF($L210="","",INDEX(HSTECH!$D$7:$D$46,($L210-INT($L210/1000)*1000)))</f>
        <v/>
      </c>
      <c r="D210" s="18">
        <f>IF($L210="","",INDEX(HSTECH!$C$7:$C$46,($L210-INT($L210/1000)*1000)))</f>
        <v/>
      </c>
      <c r="E210" s="65">
        <f>IF($L210="","",INDEX(HSTECH!$K$7:$K$46,($L210-INT($L210/1000)*1000)))</f>
        <v/>
      </c>
      <c r="F210" s="40">
        <f>IF($L210="","",IF(COUNTIFS(OVR_TICKERS,$D210,OVR_BASE,"&gt;=0")=0,"",SUMIFS(OVR_BASE,OVR_TICKERS,$D210)))</f>
        <v/>
      </c>
      <c r="G210" s="65">
        <f>IF($L210="","",INDEX(HSTECH!$L$7:$L$46,($L210-INT($L210/1000)*1000)))</f>
        <v/>
      </c>
      <c r="H210" s="87">
        <f>IF($L210="","",IF($F210="","",IFERROR(($F210-$E210)*INDEX(HSTECH!$B$7:$B$46,($L210-INT($L210/1000)*1000))*INDEX(HSTECH!$G$7:$G$46,($L210-INT($L210/1000)*1000))/HSTECH!$B$3,"")))</f>
        <v/>
      </c>
      <c r="I210" s="43">
        <f>IF($L210="","",INDEX(HSTECH!$U$7:$U$46,($L210-INT($L210/1000)*1000)))</f>
        <v/>
      </c>
      <c r="K210" s="35">
        <f>IF(HSTECH!$C$37="","",IFERROR(MATCH(HSTECH!$E$37,Fundamentals!$B$216:$B$226,0),99)*1000+31)</f>
        <v/>
      </c>
      <c r="L210" s="35">
        <f>IFERROR(SMALL($K$180:$K$219,31),"")</f>
        <v/>
      </c>
    </row>
    <row r="211">
      <c r="B211" s="18">
        <f>IF($L211="","",INDEX(HSTECH!$E$7:$E$46,($L211-INT($L211/1000)*1000)))</f>
        <v/>
      </c>
      <c r="C211" s="18">
        <f>IF($L211="","",INDEX(HSTECH!$D$7:$D$46,($L211-INT($L211/1000)*1000)))</f>
        <v/>
      </c>
      <c r="D211" s="18">
        <f>IF($L211="","",INDEX(HSTECH!$C$7:$C$46,($L211-INT($L211/1000)*1000)))</f>
        <v/>
      </c>
      <c r="E211" s="65">
        <f>IF($L211="","",INDEX(HSTECH!$K$7:$K$46,($L211-INT($L211/1000)*1000)))</f>
        <v/>
      </c>
      <c r="F211" s="40">
        <f>IF($L211="","",IF(COUNTIFS(OVR_TICKERS,$D211,OVR_BASE,"&gt;=0")=0,"",SUMIFS(OVR_BASE,OVR_TICKERS,$D211)))</f>
        <v/>
      </c>
      <c r="G211" s="65">
        <f>IF($L211="","",INDEX(HSTECH!$L$7:$L$46,($L211-INT($L211/1000)*1000)))</f>
        <v/>
      </c>
      <c r="H211" s="87">
        <f>IF($L211="","",IF($F211="","",IFERROR(($F211-$E211)*INDEX(HSTECH!$B$7:$B$46,($L211-INT($L211/1000)*1000))*INDEX(HSTECH!$G$7:$G$46,($L211-INT($L211/1000)*1000))/HSTECH!$B$3,"")))</f>
        <v/>
      </c>
      <c r="I211" s="43">
        <f>IF($L211="","",INDEX(HSTECH!$U$7:$U$46,($L211-INT($L211/1000)*1000)))</f>
        <v/>
      </c>
      <c r="K211" s="35">
        <f>IF(HSTECH!$C$38="","",IFERROR(MATCH(HSTECH!$E$38,Fundamentals!$B$216:$B$226,0),99)*1000+32)</f>
        <v/>
      </c>
      <c r="L211" s="35">
        <f>IFERROR(SMALL($K$180:$K$219,32),"")</f>
        <v/>
      </c>
    </row>
    <row r="212">
      <c r="B212" s="18">
        <f>IF($L212="","",INDEX(HSTECH!$E$7:$E$46,($L212-INT($L212/1000)*1000)))</f>
        <v/>
      </c>
      <c r="C212" s="18">
        <f>IF($L212="","",INDEX(HSTECH!$D$7:$D$46,($L212-INT($L212/1000)*1000)))</f>
        <v/>
      </c>
      <c r="D212" s="18">
        <f>IF($L212="","",INDEX(HSTECH!$C$7:$C$46,($L212-INT($L212/1000)*1000)))</f>
        <v/>
      </c>
      <c r="E212" s="65">
        <f>IF($L212="","",INDEX(HSTECH!$K$7:$K$46,($L212-INT($L212/1000)*1000)))</f>
        <v/>
      </c>
      <c r="F212" s="40">
        <f>IF($L212="","",IF(COUNTIFS(OVR_TICKERS,$D212,OVR_BASE,"&gt;=0")=0,"",SUMIFS(OVR_BASE,OVR_TICKERS,$D212)))</f>
        <v/>
      </c>
      <c r="G212" s="65">
        <f>IF($L212="","",INDEX(HSTECH!$L$7:$L$46,($L212-INT($L212/1000)*1000)))</f>
        <v/>
      </c>
      <c r="H212" s="87">
        <f>IF($L212="","",IF($F212="","",IFERROR(($F212-$E212)*INDEX(HSTECH!$B$7:$B$46,($L212-INT($L212/1000)*1000))*INDEX(HSTECH!$G$7:$G$46,($L212-INT($L212/1000)*1000))/HSTECH!$B$3,"")))</f>
        <v/>
      </c>
      <c r="I212" s="43">
        <f>IF($L212="","",INDEX(HSTECH!$U$7:$U$46,($L212-INT($L212/1000)*1000)))</f>
        <v/>
      </c>
      <c r="K212" s="35">
        <f>IF(HSTECH!$C$39="","",IFERROR(MATCH(HSTECH!$E$39,Fundamentals!$B$216:$B$226,0),99)*1000+33)</f>
        <v/>
      </c>
      <c r="L212" s="35">
        <f>IFERROR(SMALL($K$180:$K$219,33),"")</f>
        <v/>
      </c>
    </row>
    <row r="213">
      <c r="B213" s="18">
        <f>IF($L213="","",INDEX(HSTECH!$E$7:$E$46,($L213-INT($L213/1000)*1000)))</f>
        <v/>
      </c>
      <c r="C213" s="18">
        <f>IF($L213="","",INDEX(HSTECH!$D$7:$D$46,($L213-INT($L213/1000)*1000)))</f>
        <v/>
      </c>
      <c r="D213" s="18">
        <f>IF($L213="","",INDEX(HSTECH!$C$7:$C$46,($L213-INT($L213/1000)*1000)))</f>
        <v/>
      </c>
      <c r="E213" s="65">
        <f>IF($L213="","",INDEX(HSTECH!$K$7:$K$46,($L213-INT($L213/1000)*1000)))</f>
        <v/>
      </c>
      <c r="F213" s="40">
        <f>IF($L213="","",IF(COUNTIFS(OVR_TICKERS,$D213,OVR_BASE,"&gt;=0")=0,"",SUMIFS(OVR_BASE,OVR_TICKERS,$D213)))</f>
        <v/>
      </c>
      <c r="G213" s="65">
        <f>IF($L213="","",INDEX(HSTECH!$L$7:$L$46,($L213-INT($L213/1000)*1000)))</f>
        <v/>
      </c>
      <c r="H213" s="87">
        <f>IF($L213="","",IF($F213="","",IFERROR(($F213-$E213)*INDEX(HSTECH!$B$7:$B$46,($L213-INT($L213/1000)*1000))*INDEX(HSTECH!$G$7:$G$46,($L213-INT($L213/1000)*1000))/HSTECH!$B$3,"")))</f>
        <v/>
      </c>
      <c r="I213" s="43">
        <f>IF($L213="","",INDEX(HSTECH!$U$7:$U$46,($L213-INT($L213/1000)*1000)))</f>
        <v/>
      </c>
      <c r="K213" s="35">
        <f>IF(HSTECH!$C$40="","",IFERROR(MATCH(HSTECH!$E$40,Fundamentals!$B$216:$B$226,0),99)*1000+34)</f>
        <v/>
      </c>
      <c r="L213" s="35">
        <f>IFERROR(SMALL($K$180:$K$219,34),"")</f>
        <v/>
      </c>
    </row>
    <row r="214">
      <c r="B214" s="18">
        <f>IF($L214="","",INDEX(HSTECH!$E$7:$E$46,($L214-INT($L214/1000)*1000)))</f>
        <v/>
      </c>
      <c r="C214" s="18">
        <f>IF($L214="","",INDEX(HSTECH!$D$7:$D$46,($L214-INT($L214/1000)*1000)))</f>
        <v/>
      </c>
      <c r="D214" s="18">
        <f>IF($L214="","",INDEX(HSTECH!$C$7:$C$46,($L214-INT($L214/1000)*1000)))</f>
        <v/>
      </c>
      <c r="E214" s="65">
        <f>IF($L214="","",INDEX(HSTECH!$K$7:$K$46,($L214-INT($L214/1000)*1000)))</f>
        <v/>
      </c>
      <c r="F214" s="40">
        <f>IF($L214="","",IF(COUNTIFS(OVR_TICKERS,$D214,OVR_BASE,"&gt;=0")=0,"",SUMIFS(OVR_BASE,OVR_TICKERS,$D214)))</f>
        <v/>
      </c>
      <c r="G214" s="65">
        <f>IF($L214="","",INDEX(HSTECH!$L$7:$L$46,($L214-INT($L214/1000)*1000)))</f>
        <v/>
      </c>
      <c r="H214" s="87">
        <f>IF($L214="","",IF($F214="","",IFERROR(($F214-$E214)*INDEX(HSTECH!$B$7:$B$46,($L214-INT($L214/1000)*1000))*INDEX(HSTECH!$G$7:$G$46,($L214-INT($L214/1000)*1000))/HSTECH!$B$3,"")))</f>
        <v/>
      </c>
      <c r="I214" s="43">
        <f>IF($L214="","",INDEX(HSTECH!$U$7:$U$46,($L214-INT($L214/1000)*1000)))</f>
        <v/>
      </c>
      <c r="K214" s="35">
        <f>IF(HSTECH!$C$41="","",IFERROR(MATCH(HSTECH!$E$41,Fundamentals!$B$216:$B$226,0),99)*1000+35)</f>
        <v/>
      </c>
      <c r="L214" s="35">
        <f>IFERROR(SMALL($K$180:$K$219,35),"")</f>
        <v/>
      </c>
    </row>
    <row r="215">
      <c r="B215" s="18">
        <f>IF($L215="","",INDEX(HSTECH!$E$7:$E$46,($L215-INT($L215/1000)*1000)))</f>
        <v/>
      </c>
      <c r="C215" s="18">
        <f>IF($L215="","",INDEX(HSTECH!$D$7:$D$46,($L215-INT($L215/1000)*1000)))</f>
        <v/>
      </c>
      <c r="D215" s="18">
        <f>IF($L215="","",INDEX(HSTECH!$C$7:$C$46,($L215-INT($L215/1000)*1000)))</f>
        <v/>
      </c>
      <c r="E215" s="65">
        <f>IF($L215="","",INDEX(HSTECH!$K$7:$K$46,($L215-INT($L215/1000)*1000)))</f>
        <v/>
      </c>
      <c r="F215" s="40">
        <f>IF($L215="","",IF(COUNTIFS(OVR_TICKERS,$D215,OVR_BASE,"&gt;=0")=0,"",SUMIFS(OVR_BASE,OVR_TICKERS,$D215)))</f>
        <v/>
      </c>
      <c r="G215" s="65">
        <f>IF($L215="","",INDEX(HSTECH!$L$7:$L$46,($L215-INT($L215/1000)*1000)))</f>
        <v/>
      </c>
      <c r="H215" s="87">
        <f>IF($L215="","",IF($F215="","",IFERROR(($F215-$E215)*INDEX(HSTECH!$B$7:$B$46,($L215-INT($L215/1000)*1000))*INDEX(HSTECH!$G$7:$G$46,($L215-INT($L215/1000)*1000))/HSTECH!$B$3,"")))</f>
        <v/>
      </c>
      <c r="I215" s="43">
        <f>IF($L215="","",INDEX(HSTECH!$U$7:$U$46,($L215-INT($L215/1000)*1000)))</f>
        <v/>
      </c>
      <c r="K215" s="35">
        <f>IF(HSTECH!$C$42="","",IFERROR(MATCH(HSTECH!$E$42,Fundamentals!$B$216:$B$226,0),99)*1000+36)</f>
        <v/>
      </c>
      <c r="L215" s="35">
        <f>IFERROR(SMALL($K$180:$K$219,36),"")</f>
        <v/>
      </c>
    </row>
    <row r="216">
      <c r="B216" s="18">
        <f>IF($L216="","",INDEX(HSTECH!$E$7:$E$46,($L216-INT($L216/1000)*1000)))</f>
        <v/>
      </c>
      <c r="C216" s="18">
        <f>IF($L216="","",INDEX(HSTECH!$D$7:$D$46,($L216-INT($L216/1000)*1000)))</f>
        <v/>
      </c>
      <c r="D216" s="18">
        <f>IF($L216="","",INDEX(HSTECH!$C$7:$C$46,($L216-INT($L216/1000)*1000)))</f>
        <v/>
      </c>
      <c r="E216" s="65">
        <f>IF($L216="","",INDEX(HSTECH!$K$7:$K$46,($L216-INT($L216/1000)*1000)))</f>
        <v/>
      </c>
      <c r="F216" s="40">
        <f>IF($L216="","",IF(COUNTIFS(OVR_TICKERS,$D216,OVR_BASE,"&gt;=0")=0,"",SUMIFS(OVR_BASE,OVR_TICKERS,$D216)))</f>
        <v/>
      </c>
      <c r="G216" s="65">
        <f>IF($L216="","",INDEX(HSTECH!$L$7:$L$46,($L216-INT($L216/1000)*1000)))</f>
        <v/>
      </c>
      <c r="H216" s="87">
        <f>IF($L216="","",IF($F216="","",IFERROR(($F216-$E216)*INDEX(HSTECH!$B$7:$B$46,($L216-INT($L216/1000)*1000))*INDEX(HSTECH!$G$7:$G$46,($L216-INT($L216/1000)*1000))/HSTECH!$B$3,"")))</f>
        <v/>
      </c>
      <c r="I216" s="43">
        <f>IF($L216="","",INDEX(HSTECH!$U$7:$U$46,($L216-INT($L216/1000)*1000)))</f>
        <v/>
      </c>
      <c r="K216" s="35">
        <f>IF(HSTECH!$C$43="","",IFERROR(MATCH(HSTECH!$E$43,Fundamentals!$B$216:$B$226,0),99)*1000+37)</f>
        <v/>
      </c>
      <c r="L216" s="35">
        <f>IFERROR(SMALL($K$180:$K$219,37),"")</f>
        <v/>
      </c>
    </row>
    <row r="217">
      <c r="B217" s="18">
        <f>IF($L217="","",INDEX(HSTECH!$E$7:$E$46,($L217-INT($L217/1000)*1000)))</f>
        <v/>
      </c>
      <c r="C217" s="18">
        <f>IF($L217="","",INDEX(HSTECH!$D$7:$D$46,($L217-INT($L217/1000)*1000)))</f>
        <v/>
      </c>
      <c r="D217" s="18">
        <f>IF($L217="","",INDEX(HSTECH!$C$7:$C$46,($L217-INT($L217/1000)*1000)))</f>
        <v/>
      </c>
      <c r="E217" s="65">
        <f>IF($L217="","",INDEX(HSTECH!$K$7:$K$46,($L217-INT($L217/1000)*1000)))</f>
        <v/>
      </c>
      <c r="F217" s="40">
        <f>IF($L217="","",IF(COUNTIFS(OVR_TICKERS,$D217,OVR_BASE,"&gt;=0")=0,"",SUMIFS(OVR_BASE,OVR_TICKERS,$D217)))</f>
        <v/>
      </c>
      <c r="G217" s="65">
        <f>IF($L217="","",INDEX(HSTECH!$L$7:$L$46,($L217-INT($L217/1000)*1000)))</f>
        <v/>
      </c>
      <c r="H217" s="87">
        <f>IF($L217="","",IF($F217="","",IFERROR(($F217-$E217)*INDEX(HSTECH!$B$7:$B$46,($L217-INT($L217/1000)*1000))*INDEX(HSTECH!$G$7:$G$46,($L217-INT($L217/1000)*1000))/HSTECH!$B$3,"")))</f>
        <v/>
      </c>
      <c r="I217" s="43">
        <f>IF($L217="","",INDEX(HSTECH!$U$7:$U$46,($L217-INT($L217/1000)*1000)))</f>
        <v/>
      </c>
      <c r="K217" s="35">
        <f>IF(HSTECH!$C$44="","",IFERROR(MATCH(HSTECH!$E$44,Fundamentals!$B$216:$B$226,0),99)*1000+38)</f>
        <v/>
      </c>
      <c r="L217" s="35">
        <f>IFERROR(SMALL($K$180:$K$219,38),"")</f>
        <v/>
      </c>
    </row>
    <row r="218">
      <c r="B218" s="18">
        <f>IF($L218="","",INDEX(HSTECH!$E$7:$E$46,($L218-INT($L218/1000)*1000)))</f>
        <v/>
      </c>
      <c r="C218" s="18">
        <f>IF($L218="","",INDEX(HSTECH!$D$7:$D$46,($L218-INT($L218/1000)*1000)))</f>
        <v/>
      </c>
      <c r="D218" s="18">
        <f>IF($L218="","",INDEX(HSTECH!$C$7:$C$46,($L218-INT($L218/1000)*1000)))</f>
        <v/>
      </c>
      <c r="E218" s="65">
        <f>IF($L218="","",INDEX(HSTECH!$K$7:$K$46,($L218-INT($L218/1000)*1000)))</f>
        <v/>
      </c>
      <c r="F218" s="40">
        <f>IF($L218="","",IF(COUNTIFS(OVR_TICKERS,$D218,OVR_BASE,"&gt;=0")=0,"",SUMIFS(OVR_BASE,OVR_TICKERS,$D218)))</f>
        <v/>
      </c>
      <c r="G218" s="65">
        <f>IF($L218="","",INDEX(HSTECH!$L$7:$L$46,($L218-INT($L218/1000)*1000)))</f>
        <v/>
      </c>
      <c r="H218" s="87">
        <f>IF($L218="","",IF($F218="","",IFERROR(($F218-$E218)*INDEX(HSTECH!$B$7:$B$46,($L218-INT($L218/1000)*1000))*INDEX(HSTECH!$G$7:$G$46,($L218-INT($L218/1000)*1000))/HSTECH!$B$3,"")))</f>
        <v/>
      </c>
      <c r="I218" s="43">
        <f>IF($L218="","",INDEX(HSTECH!$U$7:$U$46,($L218-INT($L218/1000)*1000)))</f>
        <v/>
      </c>
      <c r="K218" s="35">
        <f>IF(HSTECH!$C$45="","",IFERROR(MATCH(HSTECH!$E$45,Fundamentals!$B$216:$B$226,0),99)*1000+39)</f>
        <v/>
      </c>
      <c r="L218" s="35">
        <f>IFERROR(SMALL($K$180:$K$219,39),"")</f>
        <v/>
      </c>
    </row>
    <row r="219">
      <c r="B219" s="18">
        <f>IF($L219="","",INDEX(HSTECH!$E$7:$E$46,($L219-INT($L219/1000)*1000)))</f>
        <v/>
      </c>
      <c r="C219" s="18">
        <f>IF($L219="","",INDEX(HSTECH!$D$7:$D$46,($L219-INT($L219/1000)*1000)))</f>
        <v/>
      </c>
      <c r="D219" s="18">
        <f>IF($L219="","",INDEX(HSTECH!$C$7:$C$46,($L219-INT($L219/1000)*1000)))</f>
        <v/>
      </c>
      <c r="E219" s="65">
        <f>IF($L219="","",INDEX(HSTECH!$K$7:$K$46,($L219-INT($L219/1000)*1000)))</f>
        <v/>
      </c>
      <c r="F219" s="40">
        <f>IF($L219="","",IF(COUNTIFS(OVR_TICKERS,$D219,OVR_BASE,"&gt;=0")=0,"",SUMIFS(OVR_BASE,OVR_TICKERS,$D219)))</f>
        <v/>
      </c>
      <c r="G219" s="65">
        <f>IF($L219="","",INDEX(HSTECH!$L$7:$L$46,($L219-INT($L219/1000)*1000)))</f>
        <v/>
      </c>
      <c r="H219" s="87">
        <f>IF($L219="","",IF($F219="","",IFERROR(($F219-$E219)*INDEX(HSTECH!$B$7:$B$46,($L219-INT($L219/1000)*1000))*INDEX(HSTECH!$G$7:$G$46,($L219-INT($L219/1000)*1000))/HSTECH!$B$3,"")))</f>
        <v/>
      </c>
      <c r="I219" s="43">
        <f>IF($L219="","",INDEX(HSTECH!$U$7:$U$46,($L219-INT($L219/1000)*1000)))</f>
        <v/>
      </c>
      <c r="K219" s="35">
        <f>IF(HSTECH!$C$46="","",IFERROR(MATCH(HSTECH!$E$46,Fundamentals!$B$216:$B$226,0),99)*1000+40)</f>
        <v/>
      </c>
      <c r="L219" s="35">
        <f>IFERROR(SMALL($K$180:$K$219,40),"")</f>
        <v/>
      </c>
    </row>
    <row r="222">
      <c r="B222" s="3" t="inlineStr">
        <is>
          <t>BY SECTOR - Hang Seng China Enterprises (HSCEI)   (read-only, sorted by sector at refresh)</t>
        </is>
      </c>
      <c r="C222" s="4" t="n"/>
      <c r="D222" s="4" t="n"/>
      <c r="E222" s="4" t="n"/>
      <c r="F222" s="4" t="n"/>
      <c r="G222" s="4" t="n"/>
      <c r="H222" s="4" t="n"/>
      <c r="I222" s="4" t="n"/>
    </row>
    <row r="223">
      <c r="B223" s="19" t="inlineStr">
        <is>
          <t>GICS Sector</t>
        </is>
      </c>
      <c r="C223" s="19" t="inlineStr">
        <is>
          <t>Name</t>
        </is>
      </c>
      <c r="D223" s="19" t="inlineStr">
        <is>
          <t>Ticker</t>
        </is>
      </c>
      <c r="E223" s="19" t="inlineStr">
        <is>
          <t>BBG rest
of yr</t>
        </is>
      </c>
      <c r="F223" s="19" t="inlineStr">
        <is>
          <t>YOUR base</t>
        </is>
      </c>
      <c r="G223" s="19" t="inlineStr">
        <is>
          <t>Effective</t>
        </is>
      </c>
      <c r="H223" s="19" t="inlineStr">
        <is>
          <t>Impact
(pts)</t>
        </is>
      </c>
      <c r="I223" s="19" t="inlineStr">
        <is>
          <t>Flag</t>
        </is>
      </c>
      <c r="K223" s="2" t="inlineStr">
        <is>
          <t>engine</t>
        </is>
      </c>
    </row>
    <row r="224">
      <c r="B224" s="18">
        <f>IF($L224="","",INDEX(HSCEI!$E$7:$E$66,($L224-INT($L224/1000)*1000)))</f>
        <v/>
      </c>
      <c r="C224" s="18">
        <f>IF($L224="","",INDEX(HSCEI!$D$7:$D$66,($L224-INT($L224/1000)*1000)))</f>
        <v/>
      </c>
      <c r="D224" s="18">
        <f>IF($L224="","",INDEX(HSCEI!$C$7:$C$66,($L224-INT($L224/1000)*1000)))</f>
        <v/>
      </c>
      <c r="E224" s="65">
        <f>IF($L224="","",INDEX(HSCEI!$K$7:$K$66,($L224-INT($L224/1000)*1000)))</f>
        <v/>
      </c>
      <c r="F224" s="40">
        <f>IF($L224="","",IF(COUNTIFS(OVR_TICKERS,$D224,OVR_BASE,"&gt;=0")=0,"",SUMIFS(OVR_BASE,OVR_TICKERS,$D224)))</f>
        <v/>
      </c>
      <c r="G224" s="65">
        <f>IF($L224="","",INDEX(HSCEI!$L$7:$L$66,($L224-INT($L224/1000)*1000)))</f>
        <v/>
      </c>
      <c r="H224" s="87">
        <f>IF($L224="","",IF($F224="","",IFERROR(($F224-$E224)*INDEX(HSCEI!$B$7:$B$66,($L224-INT($L224/1000)*1000))*INDEX(HSCEI!$G$7:$G$66,($L224-INT($L224/1000)*1000))/HSCEI!$B$3,"")))</f>
        <v/>
      </c>
      <c r="I224" s="43">
        <f>IF($L224="","",INDEX(HSCEI!$U$7:$U$66,($L224-INT($L224/1000)*1000)))</f>
        <v/>
      </c>
      <c r="K224" s="35">
        <f>IF(HSCEI!$C$7="","",IFERROR(MATCH(HSCEI!$E$7,Fundamentals!$B$216:$B$226,0),99)*1000+1)</f>
        <v/>
      </c>
      <c r="L224" s="35">
        <f>IFERROR(SMALL($K$224:$K$283,1),"")</f>
        <v/>
      </c>
    </row>
    <row r="225">
      <c r="B225" s="18">
        <f>IF($L225="","",INDEX(HSCEI!$E$7:$E$66,($L225-INT($L225/1000)*1000)))</f>
        <v/>
      </c>
      <c r="C225" s="18">
        <f>IF($L225="","",INDEX(HSCEI!$D$7:$D$66,($L225-INT($L225/1000)*1000)))</f>
        <v/>
      </c>
      <c r="D225" s="18">
        <f>IF($L225="","",INDEX(HSCEI!$C$7:$C$66,($L225-INT($L225/1000)*1000)))</f>
        <v/>
      </c>
      <c r="E225" s="65">
        <f>IF($L225="","",INDEX(HSCEI!$K$7:$K$66,($L225-INT($L225/1000)*1000)))</f>
        <v/>
      </c>
      <c r="F225" s="40">
        <f>IF($L225="","",IF(COUNTIFS(OVR_TICKERS,$D225,OVR_BASE,"&gt;=0")=0,"",SUMIFS(OVR_BASE,OVR_TICKERS,$D225)))</f>
        <v/>
      </c>
      <c r="G225" s="65">
        <f>IF($L225="","",INDEX(HSCEI!$L$7:$L$66,($L225-INT($L225/1000)*1000)))</f>
        <v/>
      </c>
      <c r="H225" s="87">
        <f>IF($L225="","",IF($F225="","",IFERROR(($F225-$E225)*INDEX(HSCEI!$B$7:$B$66,($L225-INT($L225/1000)*1000))*INDEX(HSCEI!$G$7:$G$66,($L225-INT($L225/1000)*1000))/HSCEI!$B$3,"")))</f>
        <v/>
      </c>
      <c r="I225" s="43">
        <f>IF($L225="","",INDEX(HSCEI!$U$7:$U$66,($L225-INT($L225/1000)*1000)))</f>
        <v/>
      </c>
      <c r="K225" s="35">
        <f>IF(HSCEI!$C$8="","",IFERROR(MATCH(HSCEI!$E$8,Fundamentals!$B$216:$B$226,0),99)*1000+2)</f>
        <v/>
      </c>
      <c r="L225" s="35">
        <f>IFERROR(SMALL($K$224:$K$283,2),"")</f>
        <v/>
      </c>
    </row>
    <row r="226">
      <c r="B226" s="18">
        <f>IF($L226="","",INDEX(HSCEI!$E$7:$E$66,($L226-INT($L226/1000)*1000)))</f>
        <v/>
      </c>
      <c r="C226" s="18">
        <f>IF($L226="","",INDEX(HSCEI!$D$7:$D$66,($L226-INT($L226/1000)*1000)))</f>
        <v/>
      </c>
      <c r="D226" s="18">
        <f>IF($L226="","",INDEX(HSCEI!$C$7:$C$66,($L226-INT($L226/1000)*1000)))</f>
        <v/>
      </c>
      <c r="E226" s="65">
        <f>IF($L226="","",INDEX(HSCEI!$K$7:$K$66,($L226-INT($L226/1000)*1000)))</f>
        <v/>
      </c>
      <c r="F226" s="40">
        <f>IF($L226="","",IF(COUNTIFS(OVR_TICKERS,$D226,OVR_BASE,"&gt;=0")=0,"",SUMIFS(OVR_BASE,OVR_TICKERS,$D226)))</f>
        <v/>
      </c>
      <c r="G226" s="65">
        <f>IF($L226="","",INDEX(HSCEI!$L$7:$L$66,($L226-INT($L226/1000)*1000)))</f>
        <v/>
      </c>
      <c r="H226" s="87">
        <f>IF($L226="","",IF($F226="","",IFERROR(($F226-$E226)*INDEX(HSCEI!$B$7:$B$66,($L226-INT($L226/1000)*1000))*INDEX(HSCEI!$G$7:$G$66,($L226-INT($L226/1000)*1000))/HSCEI!$B$3,"")))</f>
        <v/>
      </c>
      <c r="I226" s="43">
        <f>IF($L226="","",INDEX(HSCEI!$U$7:$U$66,($L226-INT($L226/1000)*1000)))</f>
        <v/>
      </c>
      <c r="K226" s="35">
        <f>IF(HSCEI!$C$9="","",IFERROR(MATCH(HSCEI!$E$9,Fundamentals!$B$216:$B$226,0),99)*1000+3)</f>
        <v/>
      </c>
      <c r="L226" s="35">
        <f>IFERROR(SMALL($K$224:$K$283,3),"")</f>
        <v/>
      </c>
    </row>
    <row r="227">
      <c r="B227" s="18">
        <f>IF($L227="","",INDEX(HSCEI!$E$7:$E$66,($L227-INT($L227/1000)*1000)))</f>
        <v/>
      </c>
      <c r="C227" s="18">
        <f>IF($L227="","",INDEX(HSCEI!$D$7:$D$66,($L227-INT($L227/1000)*1000)))</f>
        <v/>
      </c>
      <c r="D227" s="18">
        <f>IF($L227="","",INDEX(HSCEI!$C$7:$C$66,($L227-INT($L227/1000)*1000)))</f>
        <v/>
      </c>
      <c r="E227" s="65">
        <f>IF($L227="","",INDEX(HSCEI!$K$7:$K$66,($L227-INT($L227/1000)*1000)))</f>
        <v/>
      </c>
      <c r="F227" s="40">
        <f>IF($L227="","",IF(COUNTIFS(OVR_TICKERS,$D227,OVR_BASE,"&gt;=0")=0,"",SUMIFS(OVR_BASE,OVR_TICKERS,$D227)))</f>
        <v/>
      </c>
      <c r="G227" s="65">
        <f>IF($L227="","",INDEX(HSCEI!$L$7:$L$66,($L227-INT($L227/1000)*1000)))</f>
        <v/>
      </c>
      <c r="H227" s="87">
        <f>IF($L227="","",IF($F227="","",IFERROR(($F227-$E227)*INDEX(HSCEI!$B$7:$B$66,($L227-INT($L227/1000)*1000))*INDEX(HSCEI!$G$7:$G$66,($L227-INT($L227/1000)*1000))/HSCEI!$B$3,"")))</f>
        <v/>
      </c>
      <c r="I227" s="43">
        <f>IF($L227="","",INDEX(HSCEI!$U$7:$U$66,($L227-INT($L227/1000)*1000)))</f>
        <v/>
      </c>
      <c r="K227" s="35">
        <f>IF(HSCEI!$C$10="","",IFERROR(MATCH(HSCEI!$E$10,Fundamentals!$B$216:$B$226,0),99)*1000+4)</f>
        <v/>
      </c>
      <c r="L227" s="35">
        <f>IFERROR(SMALL($K$224:$K$283,4),"")</f>
        <v/>
      </c>
    </row>
    <row r="228">
      <c r="B228" s="18">
        <f>IF($L228="","",INDEX(HSCEI!$E$7:$E$66,($L228-INT($L228/1000)*1000)))</f>
        <v/>
      </c>
      <c r="C228" s="18">
        <f>IF($L228="","",INDEX(HSCEI!$D$7:$D$66,($L228-INT($L228/1000)*1000)))</f>
        <v/>
      </c>
      <c r="D228" s="18">
        <f>IF($L228="","",INDEX(HSCEI!$C$7:$C$66,($L228-INT($L228/1000)*1000)))</f>
        <v/>
      </c>
      <c r="E228" s="65">
        <f>IF($L228="","",INDEX(HSCEI!$K$7:$K$66,($L228-INT($L228/1000)*1000)))</f>
        <v/>
      </c>
      <c r="F228" s="40">
        <f>IF($L228="","",IF(COUNTIFS(OVR_TICKERS,$D228,OVR_BASE,"&gt;=0")=0,"",SUMIFS(OVR_BASE,OVR_TICKERS,$D228)))</f>
        <v/>
      </c>
      <c r="G228" s="65">
        <f>IF($L228="","",INDEX(HSCEI!$L$7:$L$66,($L228-INT($L228/1000)*1000)))</f>
        <v/>
      </c>
      <c r="H228" s="87">
        <f>IF($L228="","",IF($F228="","",IFERROR(($F228-$E228)*INDEX(HSCEI!$B$7:$B$66,($L228-INT($L228/1000)*1000))*INDEX(HSCEI!$G$7:$G$66,($L228-INT($L228/1000)*1000))/HSCEI!$B$3,"")))</f>
        <v/>
      </c>
      <c r="I228" s="43">
        <f>IF($L228="","",INDEX(HSCEI!$U$7:$U$66,($L228-INT($L228/1000)*1000)))</f>
        <v/>
      </c>
      <c r="K228" s="35">
        <f>IF(HSCEI!$C$11="","",IFERROR(MATCH(HSCEI!$E$11,Fundamentals!$B$216:$B$226,0),99)*1000+5)</f>
        <v/>
      </c>
      <c r="L228" s="35">
        <f>IFERROR(SMALL($K$224:$K$283,5),"")</f>
        <v/>
      </c>
    </row>
    <row r="229">
      <c r="B229" s="18">
        <f>IF($L229="","",INDEX(HSCEI!$E$7:$E$66,($L229-INT($L229/1000)*1000)))</f>
        <v/>
      </c>
      <c r="C229" s="18">
        <f>IF($L229="","",INDEX(HSCEI!$D$7:$D$66,($L229-INT($L229/1000)*1000)))</f>
        <v/>
      </c>
      <c r="D229" s="18">
        <f>IF($L229="","",INDEX(HSCEI!$C$7:$C$66,($L229-INT($L229/1000)*1000)))</f>
        <v/>
      </c>
      <c r="E229" s="65">
        <f>IF($L229="","",INDEX(HSCEI!$K$7:$K$66,($L229-INT($L229/1000)*1000)))</f>
        <v/>
      </c>
      <c r="F229" s="40">
        <f>IF($L229="","",IF(COUNTIFS(OVR_TICKERS,$D229,OVR_BASE,"&gt;=0")=0,"",SUMIFS(OVR_BASE,OVR_TICKERS,$D229)))</f>
        <v/>
      </c>
      <c r="G229" s="65">
        <f>IF($L229="","",INDEX(HSCEI!$L$7:$L$66,($L229-INT($L229/1000)*1000)))</f>
        <v/>
      </c>
      <c r="H229" s="87">
        <f>IF($L229="","",IF($F229="","",IFERROR(($F229-$E229)*INDEX(HSCEI!$B$7:$B$66,($L229-INT($L229/1000)*1000))*INDEX(HSCEI!$G$7:$G$66,($L229-INT($L229/1000)*1000))/HSCEI!$B$3,"")))</f>
        <v/>
      </c>
      <c r="I229" s="43">
        <f>IF($L229="","",INDEX(HSCEI!$U$7:$U$66,($L229-INT($L229/1000)*1000)))</f>
        <v/>
      </c>
      <c r="K229" s="35">
        <f>IF(HSCEI!$C$12="","",IFERROR(MATCH(HSCEI!$E$12,Fundamentals!$B$216:$B$226,0),99)*1000+6)</f>
        <v/>
      </c>
      <c r="L229" s="35">
        <f>IFERROR(SMALL($K$224:$K$283,6),"")</f>
        <v/>
      </c>
    </row>
    <row r="230">
      <c r="B230" s="18">
        <f>IF($L230="","",INDEX(HSCEI!$E$7:$E$66,($L230-INT($L230/1000)*1000)))</f>
        <v/>
      </c>
      <c r="C230" s="18">
        <f>IF($L230="","",INDEX(HSCEI!$D$7:$D$66,($L230-INT($L230/1000)*1000)))</f>
        <v/>
      </c>
      <c r="D230" s="18">
        <f>IF($L230="","",INDEX(HSCEI!$C$7:$C$66,($L230-INT($L230/1000)*1000)))</f>
        <v/>
      </c>
      <c r="E230" s="65">
        <f>IF($L230="","",INDEX(HSCEI!$K$7:$K$66,($L230-INT($L230/1000)*1000)))</f>
        <v/>
      </c>
      <c r="F230" s="40">
        <f>IF($L230="","",IF(COUNTIFS(OVR_TICKERS,$D230,OVR_BASE,"&gt;=0")=0,"",SUMIFS(OVR_BASE,OVR_TICKERS,$D230)))</f>
        <v/>
      </c>
      <c r="G230" s="65">
        <f>IF($L230="","",INDEX(HSCEI!$L$7:$L$66,($L230-INT($L230/1000)*1000)))</f>
        <v/>
      </c>
      <c r="H230" s="87">
        <f>IF($L230="","",IF($F230="","",IFERROR(($F230-$E230)*INDEX(HSCEI!$B$7:$B$66,($L230-INT($L230/1000)*1000))*INDEX(HSCEI!$G$7:$G$66,($L230-INT($L230/1000)*1000))/HSCEI!$B$3,"")))</f>
        <v/>
      </c>
      <c r="I230" s="43">
        <f>IF($L230="","",INDEX(HSCEI!$U$7:$U$66,($L230-INT($L230/1000)*1000)))</f>
        <v/>
      </c>
      <c r="K230" s="35">
        <f>IF(HSCEI!$C$13="","",IFERROR(MATCH(HSCEI!$E$13,Fundamentals!$B$216:$B$226,0),99)*1000+7)</f>
        <v/>
      </c>
      <c r="L230" s="35">
        <f>IFERROR(SMALL($K$224:$K$283,7),"")</f>
        <v/>
      </c>
    </row>
    <row r="231">
      <c r="B231" s="18">
        <f>IF($L231="","",INDEX(HSCEI!$E$7:$E$66,($L231-INT($L231/1000)*1000)))</f>
        <v/>
      </c>
      <c r="C231" s="18">
        <f>IF($L231="","",INDEX(HSCEI!$D$7:$D$66,($L231-INT($L231/1000)*1000)))</f>
        <v/>
      </c>
      <c r="D231" s="18">
        <f>IF($L231="","",INDEX(HSCEI!$C$7:$C$66,($L231-INT($L231/1000)*1000)))</f>
        <v/>
      </c>
      <c r="E231" s="65">
        <f>IF($L231="","",INDEX(HSCEI!$K$7:$K$66,($L231-INT($L231/1000)*1000)))</f>
        <v/>
      </c>
      <c r="F231" s="40">
        <f>IF($L231="","",IF(COUNTIFS(OVR_TICKERS,$D231,OVR_BASE,"&gt;=0")=0,"",SUMIFS(OVR_BASE,OVR_TICKERS,$D231)))</f>
        <v/>
      </c>
      <c r="G231" s="65">
        <f>IF($L231="","",INDEX(HSCEI!$L$7:$L$66,($L231-INT($L231/1000)*1000)))</f>
        <v/>
      </c>
      <c r="H231" s="87">
        <f>IF($L231="","",IF($F231="","",IFERROR(($F231-$E231)*INDEX(HSCEI!$B$7:$B$66,($L231-INT($L231/1000)*1000))*INDEX(HSCEI!$G$7:$G$66,($L231-INT($L231/1000)*1000))/HSCEI!$B$3,"")))</f>
        <v/>
      </c>
      <c r="I231" s="43">
        <f>IF($L231="","",INDEX(HSCEI!$U$7:$U$66,($L231-INT($L231/1000)*1000)))</f>
        <v/>
      </c>
      <c r="K231" s="35">
        <f>IF(HSCEI!$C$14="","",IFERROR(MATCH(HSCEI!$E$14,Fundamentals!$B$216:$B$226,0),99)*1000+8)</f>
        <v/>
      </c>
      <c r="L231" s="35">
        <f>IFERROR(SMALL($K$224:$K$283,8),"")</f>
        <v/>
      </c>
    </row>
    <row r="232">
      <c r="B232" s="18">
        <f>IF($L232="","",INDEX(HSCEI!$E$7:$E$66,($L232-INT($L232/1000)*1000)))</f>
        <v/>
      </c>
      <c r="C232" s="18">
        <f>IF($L232="","",INDEX(HSCEI!$D$7:$D$66,($L232-INT($L232/1000)*1000)))</f>
        <v/>
      </c>
      <c r="D232" s="18">
        <f>IF($L232="","",INDEX(HSCEI!$C$7:$C$66,($L232-INT($L232/1000)*1000)))</f>
        <v/>
      </c>
      <c r="E232" s="65">
        <f>IF($L232="","",INDEX(HSCEI!$K$7:$K$66,($L232-INT($L232/1000)*1000)))</f>
        <v/>
      </c>
      <c r="F232" s="40">
        <f>IF($L232="","",IF(COUNTIFS(OVR_TICKERS,$D232,OVR_BASE,"&gt;=0")=0,"",SUMIFS(OVR_BASE,OVR_TICKERS,$D232)))</f>
        <v/>
      </c>
      <c r="G232" s="65">
        <f>IF($L232="","",INDEX(HSCEI!$L$7:$L$66,($L232-INT($L232/1000)*1000)))</f>
        <v/>
      </c>
      <c r="H232" s="87">
        <f>IF($L232="","",IF($F232="","",IFERROR(($F232-$E232)*INDEX(HSCEI!$B$7:$B$66,($L232-INT($L232/1000)*1000))*INDEX(HSCEI!$G$7:$G$66,($L232-INT($L232/1000)*1000))/HSCEI!$B$3,"")))</f>
        <v/>
      </c>
      <c r="I232" s="43">
        <f>IF($L232="","",INDEX(HSCEI!$U$7:$U$66,($L232-INT($L232/1000)*1000)))</f>
        <v/>
      </c>
      <c r="K232" s="35">
        <f>IF(HSCEI!$C$15="","",IFERROR(MATCH(HSCEI!$E$15,Fundamentals!$B$216:$B$226,0),99)*1000+9)</f>
        <v/>
      </c>
      <c r="L232" s="35">
        <f>IFERROR(SMALL($K$224:$K$283,9),"")</f>
        <v/>
      </c>
    </row>
    <row r="233">
      <c r="B233" s="18">
        <f>IF($L233="","",INDEX(HSCEI!$E$7:$E$66,($L233-INT($L233/1000)*1000)))</f>
        <v/>
      </c>
      <c r="C233" s="18">
        <f>IF($L233="","",INDEX(HSCEI!$D$7:$D$66,($L233-INT($L233/1000)*1000)))</f>
        <v/>
      </c>
      <c r="D233" s="18">
        <f>IF($L233="","",INDEX(HSCEI!$C$7:$C$66,($L233-INT($L233/1000)*1000)))</f>
        <v/>
      </c>
      <c r="E233" s="65">
        <f>IF($L233="","",INDEX(HSCEI!$K$7:$K$66,($L233-INT($L233/1000)*1000)))</f>
        <v/>
      </c>
      <c r="F233" s="40">
        <f>IF($L233="","",IF(COUNTIFS(OVR_TICKERS,$D233,OVR_BASE,"&gt;=0")=0,"",SUMIFS(OVR_BASE,OVR_TICKERS,$D233)))</f>
        <v/>
      </c>
      <c r="G233" s="65">
        <f>IF($L233="","",INDEX(HSCEI!$L$7:$L$66,($L233-INT($L233/1000)*1000)))</f>
        <v/>
      </c>
      <c r="H233" s="87">
        <f>IF($L233="","",IF($F233="","",IFERROR(($F233-$E233)*INDEX(HSCEI!$B$7:$B$66,($L233-INT($L233/1000)*1000))*INDEX(HSCEI!$G$7:$G$66,($L233-INT($L233/1000)*1000))/HSCEI!$B$3,"")))</f>
        <v/>
      </c>
      <c r="I233" s="43">
        <f>IF($L233="","",INDEX(HSCEI!$U$7:$U$66,($L233-INT($L233/1000)*1000)))</f>
        <v/>
      </c>
      <c r="K233" s="35">
        <f>IF(HSCEI!$C$16="","",IFERROR(MATCH(HSCEI!$E$16,Fundamentals!$B$216:$B$226,0),99)*1000+10)</f>
        <v/>
      </c>
      <c r="L233" s="35">
        <f>IFERROR(SMALL($K$224:$K$283,10),"")</f>
        <v/>
      </c>
    </row>
    <row r="234">
      <c r="B234" s="18">
        <f>IF($L234="","",INDEX(HSCEI!$E$7:$E$66,($L234-INT($L234/1000)*1000)))</f>
        <v/>
      </c>
      <c r="C234" s="18">
        <f>IF($L234="","",INDEX(HSCEI!$D$7:$D$66,($L234-INT($L234/1000)*1000)))</f>
        <v/>
      </c>
      <c r="D234" s="18">
        <f>IF($L234="","",INDEX(HSCEI!$C$7:$C$66,($L234-INT($L234/1000)*1000)))</f>
        <v/>
      </c>
      <c r="E234" s="65">
        <f>IF($L234="","",INDEX(HSCEI!$K$7:$K$66,($L234-INT($L234/1000)*1000)))</f>
        <v/>
      </c>
      <c r="F234" s="40">
        <f>IF($L234="","",IF(COUNTIFS(OVR_TICKERS,$D234,OVR_BASE,"&gt;=0")=0,"",SUMIFS(OVR_BASE,OVR_TICKERS,$D234)))</f>
        <v/>
      </c>
      <c r="G234" s="65">
        <f>IF($L234="","",INDEX(HSCEI!$L$7:$L$66,($L234-INT($L234/1000)*1000)))</f>
        <v/>
      </c>
      <c r="H234" s="87">
        <f>IF($L234="","",IF($F234="","",IFERROR(($F234-$E234)*INDEX(HSCEI!$B$7:$B$66,($L234-INT($L234/1000)*1000))*INDEX(HSCEI!$G$7:$G$66,($L234-INT($L234/1000)*1000))/HSCEI!$B$3,"")))</f>
        <v/>
      </c>
      <c r="I234" s="43">
        <f>IF($L234="","",INDEX(HSCEI!$U$7:$U$66,($L234-INT($L234/1000)*1000)))</f>
        <v/>
      </c>
      <c r="K234" s="35">
        <f>IF(HSCEI!$C$17="","",IFERROR(MATCH(HSCEI!$E$17,Fundamentals!$B$216:$B$226,0),99)*1000+11)</f>
        <v/>
      </c>
      <c r="L234" s="35">
        <f>IFERROR(SMALL($K$224:$K$283,11),"")</f>
        <v/>
      </c>
    </row>
    <row r="235">
      <c r="B235" s="18">
        <f>IF($L235="","",INDEX(HSCEI!$E$7:$E$66,($L235-INT($L235/1000)*1000)))</f>
        <v/>
      </c>
      <c r="C235" s="18">
        <f>IF($L235="","",INDEX(HSCEI!$D$7:$D$66,($L235-INT($L235/1000)*1000)))</f>
        <v/>
      </c>
      <c r="D235" s="18">
        <f>IF($L235="","",INDEX(HSCEI!$C$7:$C$66,($L235-INT($L235/1000)*1000)))</f>
        <v/>
      </c>
      <c r="E235" s="65">
        <f>IF($L235="","",INDEX(HSCEI!$K$7:$K$66,($L235-INT($L235/1000)*1000)))</f>
        <v/>
      </c>
      <c r="F235" s="40">
        <f>IF($L235="","",IF(COUNTIFS(OVR_TICKERS,$D235,OVR_BASE,"&gt;=0")=0,"",SUMIFS(OVR_BASE,OVR_TICKERS,$D235)))</f>
        <v/>
      </c>
      <c r="G235" s="65">
        <f>IF($L235="","",INDEX(HSCEI!$L$7:$L$66,($L235-INT($L235/1000)*1000)))</f>
        <v/>
      </c>
      <c r="H235" s="87">
        <f>IF($L235="","",IF($F235="","",IFERROR(($F235-$E235)*INDEX(HSCEI!$B$7:$B$66,($L235-INT($L235/1000)*1000))*INDEX(HSCEI!$G$7:$G$66,($L235-INT($L235/1000)*1000))/HSCEI!$B$3,"")))</f>
        <v/>
      </c>
      <c r="I235" s="43">
        <f>IF($L235="","",INDEX(HSCEI!$U$7:$U$66,($L235-INT($L235/1000)*1000)))</f>
        <v/>
      </c>
      <c r="K235" s="35">
        <f>IF(HSCEI!$C$18="","",IFERROR(MATCH(HSCEI!$E$18,Fundamentals!$B$216:$B$226,0),99)*1000+12)</f>
        <v/>
      </c>
      <c r="L235" s="35">
        <f>IFERROR(SMALL($K$224:$K$283,12),"")</f>
        <v/>
      </c>
    </row>
    <row r="236">
      <c r="B236" s="18">
        <f>IF($L236="","",INDEX(HSCEI!$E$7:$E$66,($L236-INT($L236/1000)*1000)))</f>
        <v/>
      </c>
      <c r="C236" s="18">
        <f>IF($L236="","",INDEX(HSCEI!$D$7:$D$66,($L236-INT($L236/1000)*1000)))</f>
        <v/>
      </c>
      <c r="D236" s="18">
        <f>IF($L236="","",INDEX(HSCEI!$C$7:$C$66,($L236-INT($L236/1000)*1000)))</f>
        <v/>
      </c>
      <c r="E236" s="65">
        <f>IF($L236="","",INDEX(HSCEI!$K$7:$K$66,($L236-INT($L236/1000)*1000)))</f>
        <v/>
      </c>
      <c r="F236" s="40">
        <f>IF($L236="","",IF(COUNTIFS(OVR_TICKERS,$D236,OVR_BASE,"&gt;=0")=0,"",SUMIFS(OVR_BASE,OVR_TICKERS,$D236)))</f>
        <v/>
      </c>
      <c r="G236" s="65">
        <f>IF($L236="","",INDEX(HSCEI!$L$7:$L$66,($L236-INT($L236/1000)*1000)))</f>
        <v/>
      </c>
      <c r="H236" s="87">
        <f>IF($L236="","",IF($F236="","",IFERROR(($F236-$E236)*INDEX(HSCEI!$B$7:$B$66,($L236-INT($L236/1000)*1000))*INDEX(HSCEI!$G$7:$G$66,($L236-INT($L236/1000)*1000))/HSCEI!$B$3,"")))</f>
        <v/>
      </c>
      <c r="I236" s="43">
        <f>IF($L236="","",INDEX(HSCEI!$U$7:$U$66,($L236-INT($L236/1000)*1000)))</f>
        <v/>
      </c>
      <c r="K236" s="35">
        <f>IF(HSCEI!$C$19="","",IFERROR(MATCH(HSCEI!$E$19,Fundamentals!$B$216:$B$226,0),99)*1000+13)</f>
        <v/>
      </c>
      <c r="L236" s="35">
        <f>IFERROR(SMALL($K$224:$K$283,13),"")</f>
        <v/>
      </c>
    </row>
    <row r="237">
      <c r="B237" s="18">
        <f>IF($L237="","",INDEX(HSCEI!$E$7:$E$66,($L237-INT($L237/1000)*1000)))</f>
        <v/>
      </c>
      <c r="C237" s="18">
        <f>IF($L237="","",INDEX(HSCEI!$D$7:$D$66,($L237-INT($L237/1000)*1000)))</f>
        <v/>
      </c>
      <c r="D237" s="18">
        <f>IF($L237="","",INDEX(HSCEI!$C$7:$C$66,($L237-INT($L237/1000)*1000)))</f>
        <v/>
      </c>
      <c r="E237" s="65">
        <f>IF($L237="","",INDEX(HSCEI!$K$7:$K$66,($L237-INT($L237/1000)*1000)))</f>
        <v/>
      </c>
      <c r="F237" s="40">
        <f>IF($L237="","",IF(COUNTIFS(OVR_TICKERS,$D237,OVR_BASE,"&gt;=0")=0,"",SUMIFS(OVR_BASE,OVR_TICKERS,$D237)))</f>
        <v/>
      </c>
      <c r="G237" s="65">
        <f>IF($L237="","",INDEX(HSCEI!$L$7:$L$66,($L237-INT($L237/1000)*1000)))</f>
        <v/>
      </c>
      <c r="H237" s="87">
        <f>IF($L237="","",IF($F237="","",IFERROR(($F237-$E237)*INDEX(HSCEI!$B$7:$B$66,($L237-INT($L237/1000)*1000))*INDEX(HSCEI!$G$7:$G$66,($L237-INT($L237/1000)*1000))/HSCEI!$B$3,"")))</f>
        <v/>
      </c>
      <c r="I237" s="43">
        <f>IF($L237="","",INDEX(HSCEI!$U$7:$U$66,($L237-INT($L237/1000)*1000)))</f>
        <v/>
      </c>
      <c r="K237" s="35">
        <f>IF(HSCEI!$C$20="","",IFERROR(MATCH(HSCEI!$E$20,Fundamentals!$B$216:$B$226,0),99)*1000+14)</f>
        <v/>
      </c>
      <c r="L237" s="35">
        <f>IFERROR(SMALL($K$224:$K$283,14),"")</f>
        <v/>
      </c>
    </row>
    <row r="238">
      <c r="B238" s="18">
        <f>IF($L238="","",INDEX(HSCEI!$E$7:$E$66,($L238-INT($L238/1000)*1000)))</f>
        <v/>
      </c>
      <c r="C238" s="18">
        <f>IF($L238="","",INDEX(HSCEI!$D$7:$D$66,($L238-INT($L238/1000)*1000)))</f>
        <v/>
      </c>
      <c r="D238" s="18">
        <f>IF($L238="","",INDEX(HSCEI!$C$7:$C$66,($L238-INT($L238/1000)*1000)))</f>
        <v/>
      </c>
      <c r="E238" s="65">
        <f>IF($L238="","",INDEX(HSCEI!$K$7:$K$66,($L238-INT($L238/1000)*1000)))</f>
        <v/>
      </c>
      <c r="F238" s="40">
        <f>IF($L238="","",IF(COUNTIFS(OVR_TICKERS,$D238,OVR_BASE,"&gt;=0")=0,"",SUMIFS(OVR_BASE,OVR_TICKERS,$D238)))</f>
        <v/>
      </c>
      <c r="G238" s="65">
        <f>IF($L238="","",INDEX(HSCEI!$L$7:$L$66,($L238-INT($L238/1000)*1000)))</f>
        <v/>
      </c>
      <c r="H238" s="87">
        <f>IF($L238="","",IF($F238="","",IFERROR(($F238-$E238)*INDEX(HSCEI!$B$7:$B$66,($L238-INT($L238/1000)*1000))*INDEX(HSCEI!$G$7:$G$66,($L238-INT($L238/1000)*1000))/HSCEI!$B$3,"")))</f>
        <v/>
      </c>
      <c r="I238" s="43">
        <f>IF($L238="","",INDEX(HSCEI!$U$7:$U$66,($L238-INT($L238/1000)*1000)))</f>
        <v/>
      </c>
      <c r="K238" s="35">
        <f>IF(HSCEI!$C$21="","",IFERROR(MATCH(HSCEI!$E$21,Fundamentals!$B$216:$B$226,0),99)*1000+15)</f>
        <v/>
      </c>
      <c r="L238" s="35">
        <f>IFERROR(SMALL($K$224:$K$283,15),"")</f>
        <v/>
      </c>
    </row>
    <row r="239">
      <c r="B239" s="18">
        <f>IF($L239="","",INDEX(HSCEI!$E$7:$E$66,($L239-INT($L239/1000)*1000)))</f>
        <v/>
      </c>
      <c r="C239" s="18">
        <f>IF($L239="","",INDEX(HSCEI!$D$7:$D$66,($L239-INT($L239/1000)*1000)))</f>
        <v/>
      </c>
      <c r="D239" s="18">
        <f>IF($L239="","",INDEX(HSCEI!$C$7:$C$66,($L239-INT($L239/1000)*1000)))</f>
        <v/>
      </c>
      <c r="E239" s="65">
        <f>IF($L239="","",INDEX(HSCEI!$K$7:$K$66,($L239-INT($L239/1000)*1000)))</f>
        <v/>
      </c>
      <c r="F239" s="40">
        <f>IF($L239="","",IF(COUNTIFS(OVR_TICKERS,$D239,OVR_BASE,"&gt;=0")=0,"",SUMIFS(OVR_BASE,OVR_TICKERS,$D239)))</f>
        <v/>
      </c>
      <c r="G239" s="65">
        <f>IF($L239="","",INDEX(HSCEI!$L$7:$L$66,($L239-INT($L239/1000)*1000)))</f>
        <v/>
      </c>
      <c r="H239" s="87">
        <f>IF($L239="","",IF($F239="","",IFERROR(($F239-$E239)*INDEX(HSCEI!$B$7:$B$66,($L239-INT($L239/1000)*1000))*INDEX(HSCEI!$G$7:$G$66,($L239-INT($L239/1000)*1000))/HSCEI!$B$3,"")))</f>
        <v/>
      </c>
      <c r="I239" s="43">
        <f>IF($L239="","",INDEX(HSCEI!$U$7:$U$66,($L239-INT($L239/1000)*1000)))</f>
        <v/>
      </c>
      <c r="K239" s="35">
        <f>IF(HSCEI!$C$22="","",IFERROR(MATCH(HSCEI!$E$22,Fundamentals!$B$216:$B$226,0),99)*1000+16)</f>
        <v/>
      </c>
      <c r="L239" s="35">
        <f>IFERROR(SMALL($K$224:$K$283,16),"")</f>
        <v/>
      </c>
    </row>
    <row r="240">
      <c r="B240" s="18">
        <f>IF($L240="","",INDEX(HSCEI!$E$7:$E$66,($L240-INT($L240/1000)*1000)))</f>
        <v/>
      </c>
      <c r="C240" s="18">
        <f>IF($L240="","",INDEX(HSCEI!$D$7:$D$66,($L240-INT($L240/1000)*1000)))</f>
        <v/>
      </c>
      <c r="D240" s="18">
        <f>IF($L240="","",INDEX(HSCEI!$C$7:$C$66,($L240-INT($L240/1000)*1000)))</f>
        <v/>
      </c>
      <c r="E240" s="65">
        <f>IF($L240="","",INDEX(HSCEI!$K$7:$K$66,($L240-INT($L240/1000)*1000)))</f>
        <v/>
      </c>
      <c r="F240" s="40">
        <f>IF($L240="","",IF(COUNTIFS(OVR_TICKERS,$D240,OVR_BASE,"&gt;=0")=0,"",SUMIFS(OVR_BASE,OVR_TICKERS,$D240)))</f>
        <v/>
      </c>
      <c r="G240" s="65">
        <f>IF($L240="","",INDEX(HSCEI!$L$7:$L$66,($L240-INT($L240/1000)*1000)))</f>
        <v/>
      </c>
      <c r="H240" s="87">
        <f>IF($L240="","",IF($F240="","",IFERROR(($F240-$E240)*INDEX(HSCEI!$B$7:$B$66,($L240-INT($L240/1000)*1000))*INDEX(HSCEI!$G$7:$G$66,($L240-INT($L240/1000)*1000))/HSCEI!$B$3,"")))</f>
        <v/>
      </c>
      <c r="I240" s="43">
        <f>IF($L240="","",INDEX(HSCEI!$U$7:$U$66,($L240-INT($L240/1000)*1000)))</f>
        <v/>
      </c>
      <c r="K240" s="35">
        <f>IF(HSCEI!$C$23="","",IFERROR(MATCH(HSCEI!$E$23,Fundamentals!$B$216:$B$226,0),99)*1000+17)</f>
        <v/>
      </c>
      <c r="L240" s="35">
        <f>IFERROR(SMALL($K$224:$K$283,17),"")</f>
        <v/>
      </c>
    </row>
    <row r="241">
      <c r="B241" s="18">
        <f>IF($L241="","",INDEX(HSCEI!$E$7:$E$66,($L241-INT($L241/1000)*1000)))</f>
        <v/>
      </c>
      <c r="C241" s="18">
        <f>IF($L241="","",INDEX(HSCEI!$D$7:$D$66,($L241-INT($L241/1000)*1000)))</f>
        <v/>
      </c>
      <c r="D241" s="18">
        <f>IF($L241="","",INDEX(HSCEI!$C$7:$C$66,($L241-INT($L241/1000)*1000)))</f>
        <v/>
      </c>
      <c r="E241" s="65">
        <f>IF($L241="","",INDEX(HSCEI!$K$7:$K$66,($L241-INT($L241/1000)*1000)))</f>
        <v/>
      </c>
      <c r="F241" s="40">
        <f>IF($L241="","",IF(COUNTIFS(OVR_TICKERS,$D241,OVR_BASE,"&gt;=0")=0,"",SUMIFS(OVR_BASE,OVR_TICKERS,$D241)))</f>
        <v/>
      </c>
      <c r="G241" s="65">
        <f>IF($L241="","",INDEX(HSCEI!$L$7:$L$66,($L241-INT($L241/1000)*1000)))</f>
        <v/>
      </c>
      <c r="H241" s="87">
        <f>IF($L241="","",IF($F241="","",IFERROR(($F241-$E241)*INDEX(HSCEI!$B$7:$B$66,($L241-INT($L241/1000)*1000))*INDEX(HSCEI!$G$7:$G$66,($L241-INT($L241/1000)*1000))/HSCEI!$B$3,"")))</f>
        <v/>
      </c>
      <c r="I241" s="43">
        <f>IF($L241="","",INDEX(HSCEI!$U$7:$U$66,($L241-INT($L241/1000)*1000)))</f>
        <v/>
      </c>
      <c r="K241" s="35">
        <f>IF(HSCEI!$C$24="","",IFERROR(MATCH(HSCEI!$E$24,Fundamentals!$B$216:$B$226,0),99)*1000+18)</f>
        <v/>
      </c>
      <c r="L241" s="35">
        <f>IFERROR(SMALL($K$224:$K$283,18),"")</f>
        <v/>
      </c>
    </row>
    <row r="242">
      <c r="B242" s="18">
        <f>IF($L242="","",INDEX(HSCEI!$E$7:$E$66,($L242-INT($L242/1000)*1000)))</f>
        <v/>
      </c>
      <c r="C242" s="18">
        <f>IF($L242="","",INDEX(HSCEI!$D$7:$D$66,($L242-INT($L242/1000)*1000)))</f>
        <v/>
      </c>
      <c r="D242" s="18">
        <f>IF($L242="","",INDEX(HSCEI!$C$7:$C$66,($L242-INT($L242/1000)*1000)))</f>
        <v/>
      </c>
      <c r="E242" s="65">
        <f>IF($L242="","",INDEX(HSCEI!$K$7:$K$66,($L242-INT($L242/1000)*1000)))</f>
        <v/>
      </c>
      <c r="F242" s="40">
        <f>IF($L242="","",IF(COUNTIFS(OVR_TICKERS,$D242,OVR_BASE,"&gt;=0")=0,"",SUMIFS(OVR_BASE,OVR_TICKERS,$D242)))</f>
        <v/>
      </c>
      <c r="G242" s="65">
        <f>IF($L242="","",INDEX(HSCEI!$L$7:$L$66,($L242-INT($L242/1000)*1000)))</f>
        <v/>
      </c>
      <c r="H242" s="87">
        <f>IF($L242="","",IF($F242="","",IFERROR(($F242-$E242)*INDEX(HSCEI!$B$7:$B$66,($L242-INT($L242/1000)*1000))*INDEX(HSCEI!$G$7:$G$66,($L242-INT($L242/1000)*1000))/HSCEI!$B$3,"")))</f>
        <v/>
      </c>
      <c r="I242" s="43">
        <f>IF($L242="","",INDEX(HSCEI!$U$7:$U$66,($L242-INT($L242/1000)*1000)))</f>
        <v/>
      </c>
      <c r="K242" s="35">
        <f>IF(HSCEI!$C$25="","",IFERROR(MATCH(HSCEI!$E$25,Fundamentals!$B$216:$B$226,0),99)*1000+19)</f>
        <v/>
      </c>
      <c r="L242" s="35">
        <f>IFERROR(SMALL($K$224:$K$283,19),"")</f>
        <v/>
      </c>
    </row>
    <row r="243">
      <c r="B243" s="18">
        <f>IF($L243="","",INDEX(HSCEI!$E$7:$E$66,($L243-INT($L243/1000)*1000)))</f>
        <v/>
      </c>
      <c r="C243" s="18">
        <f>IF($L243="","",INDEX(HSCEI!$D$7:$D$66,($L243-INT($L243/1000)*1000)))</f>
        <v/>
      </c>
      <c r="D243" s="18">
        <f>IF($L243="","",INDEX(HSCEI!$C$7:$C$66,($L243-INT($L243/1000)*1000)))</f>
        <v/>
      </c>
      <c r="E243" s="65">
        <f>IF($L243="","",INDEX(HSCEI!$K$7:$K$66,($L243-INT($L243/1000)*1000)))</f>
        <v/>
      </c>
      <c r="F243" s="40">
        <f>IF($L243="","",IF(COUNTIFS(OVR_TICKERS,$D243,OVR_BASE,"&gt;=0")=0,"",SUMIFS(OVR_BASE,OVR_TICKERS,$D243)))</f>
        <v/>
      </c>
      <c r="G243" s="65">
        <f>IF($L243="","",INDEX(HSCEI!$L$7:$L$66,($L243-INT($L243/1000)*1000)))</f>
        <v/>
      </c>
      <c r="H243" s="87">
        <f>IF($L243="","",IF($F243="","",IFERROR(($F243-$E243)*INDEX(HSCEI!$B$7:$B$66,($L243-INT($L243/1000)*1000))*INDEX(HSCEI!$G$7:$G$66,($L243-INT($L243/1000)*1000))/HSCEI!$B$3,"")))</f>
        <v/>
      </c>
      <c r="I243" s="43">
        <f>IF($L243="","",INDEX(HSCEI!$U$7:$U$66,($L243-INT($L243/1000)*1000)))</f>
        <v/>
      </c>
      <c r="K243" s="35">
        <f>IF(HSCEI!$C$26="","",IFERROR(MATCH(HSCEI!$E$26,Fundamentals!$B$216:$B$226,0),99)*1000+20)</f>
        <v/>
      </c>
      <c r="L243" s="35">
        <f>IFERROR(SMALL($K$224:$K$283,20),"")</f>
        <v/>
      </c>
    </row>
    <row r="244">
      <c r="B244" s="18">
        <f>IF($L244="","",INDEX(HSCEI!$E$7:$E$66,($L244-INT($L244/1000)*1000)))</f>
        <v/>
      </c>
      <c r="C244" s="18">
        <f>IF($L244="","",INDEX(HSCEI!$D$7:$D$66,($L244-INT($L244/1000)*1000)))</f>
        <v/>
      </c>
      <c r="D244" s="18">
        <f>IF($L244="","",INDEX(HSCEI!$C$7:$C$66,($L244-INT($L244/1000)*1000)))</f>
        <v/>
      </c>
      <c r="E244" s="65">
        <f>IF($L244="","",INDEX(HSCEI!$K$7:$K$66,($L244-INT($L244/1000)*1000)))</f>
        <v/>
      </c>
      <c r="F244" s="40">
        <f>IF($L244="","",IF(COUNTIFS(OVR_TICKERS,$D244,OVR_BASE,"&gt;=0")=0,"",SUMIFS(OVR_BASE,OVR_TICKERS,$D244)))</f>
        <v/>
      </c>
      <c r="G244" s="65">
        <f>IF($L244="","",INDEX(HSCEI!$L$7:$L$66,($L244-INT($L244/1000)*1000)))</f>
        <v/>
      </c>
      <c r="H244" s="87">
        <f>IF($L244="","",IF($F244="","",IFERROR(($F244-$E244)*INDEX(HSCEI!$B$7:$B$66,($L244-INT($L244/1000)*1000))*INDEX(HSCEI!$G$7:$G$66,($L244-INT($L244/1000)*1000))/HSCEI!$B$3,"")))</f>
        <v/>
      </c>
      <c r="I244" s="43">
        <f>IF($L244="","",INDEX(HSCEI!$U$7:$U$66,($L244-INT($L244/1000)*1000)))</f>
        <v/>
      </c>
      <c r="K244" s="35">
        <f>IF(HSCEI!$C$27="","",IFERROR(MATCH(HSCEI!$E$27,Fundamentals!$B$216:$B$226,0),99)*1000+21)</f>
        <v/>
      </c>
      <c r="L244" s="35">
        <f>IFERROR(SMALL($K$224:$K$283,21),"")</f>
        <v/>
      </c>
    </row>
    <row r="245">
      <c r="B245" s="18">
        <f>IF($L245="","",INDEX(HSCEI!$E$7:$E$66,($L245-INT($L245/1000)*1000)))</f>
        <v/>
      </c>
      <c r="C245" s="18">
        <f>IF($L245="","",INDEX(HSCEI!$D$7:$D$66,($L245-INT($L245/1000)*1000)))</f>
        <v/>
      </c>
      <c r="D245" s="18">
        <f>IF($L245="","",INDEX(HSCEI!$C$7:$C$66,($L245-INT($L245/1000)*1000)))</f>
        <v/>
      </c>
      <c r="E245" s="65">
        <f>IF($L245="","",INDEX(HSCEI!$K$7:$K$66,($L245-INT($L245/1000)*1000)))</f>
        <v/>
      </c>
      <c r="F245" s="40">
        <f>IF($L245="","",IF(COUNTIFS(OVR_TICKERS,$D245,OVR_BASE,"&gt;=0")=0,"",SUMIFS(OVR_BASE,OVR_TICKERS,$D245)))</f>
        <v/>
      </c>
      <c r="G245" s="65">
        <f>IF($L245="","",INDEX(HSCEI!$L$7:$L$66,($L245-INT($L245/1000)*1000)))</f>
        <v/>
      </c>
      <c r="H245" s="87">
        <f>IF($L245="","",IF($F245="","",IFERROR(($F245-$E245)*INDEX(HSCEI!$B$7:$B$66,($L245-INT($L245/1000)*1000))*INDEX(HSCEI!$G$7:$G$66,($L245-INT($L245/1000)*1000))/HSCEI!$B$3,"")))</f>
        <v/>
      </c>
      <c r="I245" s="43">
        <f>IF($L245="","",INDEX(HSCEI!$U$7:$U$66,($L245-INT($L245/1000)*1000)))</f>
        <v/>
      </c>
      <c r="K245" s="35">
        <f>IF(HSCEI!$C$28="","",IFERROR(MATCH(HSCEI!$E$28,Fundamentals!$B$216:$B$226,0),99)*1000+22)</f>
        <v/>
      </c>
      <c r="L245" s="35">
        <f>IFERROR(SMALL($K$224:$K$283,22),"")</f>
        <v/>
      </c>
    </row>
    <row r="246">
      <c r="B246" s="18">
        <f>IF($L246="","",INDEX(HSCEI!$E$7:$E$66,($L246-INT($L246/1000)*1000)))</f>
        <v/>
      </c>
      <c r="C246" s="18">
        <f>IF($L246="","",INDEX(HSCEI!$D$7:$D$66,($L246-INT($L246/1000)*1000)))</f>
        <v/>
      </c>
      <c r="D246" s="18">
        <f>IF($L246="","",INDEX(HSCEI!$C$7:$C$66,($L246-INT($L246/1000)*1000)))</f>
        <v/>
      </c>
      <c r="E246" s="65">
        <f>IF($L246="","",INDEX(HSCEI!$K$7:$K$66,($L246-INT($L246/1000)*1000)))</f>
        <v/>
      </c>
      <c r="F246" s="40">
        <f>IF($L246="","",IF(COUNTIFS(OVR_TICKERS,$D246,OVR_BASE,"&gt;=0")=0,"",SUMIFS(OVR_BASE,OVR_TICKERS,$D246)))</f>
        <v/>
      </c>
      <c r="G246" s="65">
        <f>IF($L246="","",INDEX(HSCEI!$L$7:$L$66,($L246-INT($L246/1000)*1000)))</f>
        <v/>
      </c>
      <c r="H246" s="87">
        <f>IF($L246="","",IF($F246="","",IFERROR(($F246-$E246)*INDEX(HSCEI!$B$7:$B$66,($L246-INT($L246/1000)*1000))*INDEX(HSCEI!$G$7:$G$66,($L246-INT($L246/1000)*1000))/HSCEI!$B$3,"")))</f>
        <v/>
      </c>
      <c r="I246" s="43">
        <f>IF($L246="","",INDEX(HSCEI!$U$7:$U$66,($L246-INT($L246/1000)*1000)))</f>
        <v/>
      </c>
      <c r="K246" s="35">
        <f>IF(HSCEI!$C$29="","",IFERROR(MATCH(HSCEI!$E$29,Fundamentals!$B$216:$B$226,0),99)*1000+23)</f>
        <v/>
      </c>
      <c r="L246" s="35">
        <f>IFERROR(SMALL($K$224:$K$283,23),"")</f>
        <v/>
      </c>
    </row>
    <row r="247">
      <c r="B247" s="18">
        <f>IF($L247="","",INDEX(HSCEI!$E$7:$E$66,($L247-INT($L247/1000)*1000)))</f>
        <v/>
      </c>
      <c r="C247" s="18">
        <f>IF($L247="","",INDEX(HSCEI!$D$7:$D$66,($L247-INT($L247/1000)*1000)))</f>
        <v/>
      </c>
      <c r="D247" s="18">
        <f>IF($L247="","",INDEX(HSCEI!$C$7:$C$66,($L247-INT($L247/1000)*1000)))</f>
        <v/>
      </c>
      <c r="E247" s="65">
        <f>IF($L247="","",INDEX(HSCEI!$K$7:$K$66,($L247-INT($L247/1000)*1000)))</f>
        <v/>
      </c>
      <c r="F247" s="40">
        <f>IF($L247="","",IF(COUNTIFS(OVR_TICKERS,$D247,OVR_BASE,"&gt;=0")=0,"",SUMIFS(OVR_BASE,OVR_TICKERS,$D247)))</f>
        <v/>
      </c>
      <c r="G247" s="65">
        <f>IF($L247="","",INDEX(HSCEI!$L$7:$L$66,($L247-INT($L247/1000)*1000)))</f>
        <v/>
      </c>
      <c r="H247" s="87">
        <f>IF($L247="","",IF($F247="","",IFERROR(($F247-$E247)*INDEX(HSCEI!$B$7:$B$66,($L247-INT($L247/1000)*1000))*INDEX(HSCEI!$G$7:$G$66,($L247-INT($L247/1000)*1000))/HSCEI!$B$3,"")))</f>
        <v/>
      </c>
      <c r="I247" s="43">
        <f>IF($L247="","",INDEX(HSCEI!$U$7:$U$66,($L247-INT($L247/1000)*1000)))</f>
        <v/>
      </c>
      <c r="K247" s="35">
        <f>IF(HSCEI!$C$30="","",IFERROR(MATCH(HSCEI!$E$30,Fundamentals!$B$216:$B$226,0),99)*1000+24)</f>
        <v/>
      </c>
      <c r="L247" s="35">
        <f>IFERROR(SMALL($K$224:$K$283,24),"")</f>
        <v/>
      </c>
    </row>
    <row r="248">
      <c r="B248" s="18">
        <f>IF($L248="","",INDEX(HSCEI!$E$7:$E$66,($L248-INT($L248/1000)*1000)))</f>
        <v/>
      </c>
      <c r="C248" s="18">
        <f>IF($L248="","",INDEX(HSCEI!$D$7:$D$66,($L248-INT($L248/1000)*1000)))</f>
        <v/>
      </c>
      <c r="D248" s="18">
        <f>IF($L248="","",INDEX(HSCEI!$C$7:$C$66,($L248-INT($L248/1000)*1000)))</f>
        <v/>
      </c>
      <c r="E248" s="65">
        <f>IF($L248="","",INDEX(HSCEI!$K$7:$K$66,($L248-INT($L248/1000)*1000)))</f>
        <v/>
      </c>
      <c r="F248" s="40">
        <f>IF($L248="","",IF(COUNTIFS(OVR_TICKERS,$D248,OVR_BASE,"&gt;=0")=0,"",SUMIFS(OVR_BASE,OVR_TICKERS,$D248)))</f>
        <v/>
      </c>
      <c r="G248" s="65">
        <f>IF($L248="","",INDEX(HSCEI!$L$7:$L$66,($L248-INT($L248/1000)*1000)))</f>
        <v/>
      </c>
      <c r="H248" s="87">
        <f>IF($L248="","",IF($F248="","",IFERROR(($F248-$E248)*INDEX(HSCEI!$B$7:$B$66,($L248-INT($L248/1000)*1000))*INDEX(HSCEI!$G$7:$G$66,($L248-INT($L248/1000)*1000))/HSCEI!$B$3,"")))</f>
        <v/>
      </c>
      <c r="I248" s="43">
        <f>IF($L248="","",INDEX(HSCEI!$U$7:$U$66,($L248-INT($L248/1000)*1000)))</f>
        <v/>
      </c>
      <c r="K248" s="35">
        <f>IF(HSCEI!$C$31="","",IFERROR(MATCH(HSCEI!$E$31,Fundamentals!$B$216:$B$226,0),99)*1000+25)</f>
        <v/>
      </c>
      <c r="L248" s="35">
        <f>IFERROR(SMALL($K$224:$K$283,25),"")</f>
        <v/>
      </c>
    </row>
    <row r="249">
      <c r="B249" s="18">
        <f>IF($L249="","",INDEX(HSCEI!$E$7:$E$66,($L249-INT($L249/1000)*1000)))</f>
        <v/>
      </c>
      <c r="C249" s="18">
        <f>IF($L249="","",INDEX(HSCEI!$D$7:$D$66,($L249-INT($L249/1000)*1000)))</f>
        <v/>
      </c>
      <c r="D249" s="18">
        <f>IF($L249="","",INDEX(HSCEI!$C$7:$C$66,($L249-INT($L249/1000)*1000)))</f>
        <v/>
      </c>
      <c r="E249" s="65">
        <f>IF($L249="","",INDEX(HSCEI!$K$7:$K$66,($L249-INT($L249/1000)*1000)))</f>
        <v/>
      </c>
      <c r="F249" s="40">
        <f>IF($L249="","",IF(COUNTIFS(OVR_TICKERS,$D249,OVR_BASE,"&gt;=0")=0,"",SUMIFS(OVR_BASE,OVR_TICKERS,$D249)))</f>
        <v/>
      </c>
      <c r="G249" s="65">
        <f>IF($L249="","",INDEX(HSCEI!$L$7:$L$66,($L249-INT($L249/1000)*1000)))</f>
        <v/>
      </c>
      <c r="H249" s="87">
        <f>IF($L249="","",IF($F249="","",IFERROR(($F249-$E249)*INDEX(HSCEI!$B$7:$B$66,($L249-INT($L249/1000)*1000))*INDEX(HSCEI!$G$7:$G$66,($L249-INT($L249/1000)*1000))/HSCEI!$B$3,"")))</f>
        <v/>
      </c>
      <c r="I249" s="43">
        <f>IF($L249="","",INDEX(HSCEI!$U$7:$U$66,($L249-INT($L249/1000)*1000)))</f>
        <v/>
      </c>
      <c r="K249" s="35">
        <f>IF(HSCEI!$C$32="","",IFERROR(MATCH(HSCEI!$E$32,Fundamentals!$B$216:$B$226,0),99)*1000+26)</f>
        <v/>
      </c>
      <c r="L249" s="35">
        <f>IFERROR(SMALL($K$224:$K$283,26),"")</f>
        <v/>
      </c>
    </row>
    <row r="250">
      <c r="B250" s="18">
        <f>IF($L250="","",INDEX(HSCEI!$E$7:$E$66,($L250-INT($L250/1000)*1000)))</f>
        <v/>
      </c>
      <c r="C250" s="18">
        <f>IF($L250="","",INDEX(HSCEI!$D$7:$D$66,($L250-INT($L250/1000)*1000)))</f>
        <v/>
      </c>
      <c r="D250" s="18">
        <f>IF($L250="","",INDEX(HSCEI!$C$7:$C$66,($L250-INT($L250/1000)*1000)))</f>
        <v/>
      </c>
      <c r="E250" s="65">
        <f>IF($L250="","",INDEX(HSCEI!$K$7:$K$66,($L250-INT($L250/1000)*1000)))</f>
        <v/>
      </c>
      <c r="F250" s="40">
        <f>IF($L250="","",IF(COUNTIFS(OVR_TICKERS,$D250,OVR_BASE,"&gt;=0")=0,"",SUMIFS(OVR_BASE,OVR_TICKERS,$D250)))</f>
        <v/>
      </c>
      <c r="G250" s="65">
        <f>IF($L250="","",INDEX(HSCEI!$L$7:$L$66,($L250-INT($L250/1000)*1000)))</f>
        <v/>
      </c>
      <c r="H250" s="87">
        <f>IF($L250="","",IF($F250="","",IFERROR(($F250-$E250)*INDEX(HSCEI!$B$7:$B$66,($L250-INT($L250/1000)*1000))*INDEX(HSCEI!$G$7:$G$66,($L250-INT($L250/1000)*1000))/HSCEI!$B$3,"")))</f>
        <v/>
      </c>
      <c r="I250" s="43">
        <f>IF($L250="","",INDEX(HSCEI!$U$7:$U$66,($L250-INT($L250/1000)*1000)))</f>
        <v/>
      </c>
      <c r="K250" s="35">
        <f>IF(HSCEI!$C$33="","",IFERROR(MATCH(HSCEI!$E$33,Fundamentals!$B$216:$B$226,0),99)*1000+27)</f>
        <v/>
      </c>
      <c r="L250" s="35">
        <f>IFERROR(SMALL($K$224:$K$283,27),"")</f>
        <v/>
      </c>
    </row>
    <row r="251">
      <c r="B251" s="18">
        <f>IF($L251="","",INDEX(HSCEI!$E$7:$E$66,($L251-INT($L251/1000)*1000)))</f>
        <v/>
      </c>
      <c r="C251" s="18">
        <f>IF($L251="","",INDEX(HSCEI!$D$7:$D$66,($L251-INT($L251/1000)*1000)))</f>
        <v/>
      </c>
      <c r="D251" s="18">
        <f>IF($L251="","",INDEX(HSCEI!$C$7:$C$66,($L251-INT($L251/1000)*1000)))</f>
        <v/>
      </c>
      <c r="E251" s="65">
        <f>IF($L251="","",INDEX(HSCEI!$K$7:$K$66,($L251-INT($L251/1000)*1000)))</f>
        <v/>
      </c>
      <c r="F251" s="40">
        <f>IF($L251="","",IF(COUNTIFS(OVR_TICKERS,$D251,OVR_BASE,"&gt;=0")=0,"",SUMIFS(OVR_BASE,OVR_TICKERS,$D251)))</f>
        <v/>
      </c>
      <c r="G251" s="65">
        <f>IF($L251="","",INDEX(HSCEI!$L$7:$L$66,($L251-INT($L251/1000)*1000)))</f>
        <v/>
      </c>
      <c r="H251" s="87">
        <f>IF($L251="","",IF($F251="","",IFERROR(($F251-$E251)*INDEX(HSCEI!$B$7:$B$66,($L251-INT($L251/1000)*1000))*INDEX(HSCEI!$G$7:$G$66,($L251-INT($L251/1000)*1000))/HSCEI!$B$3,"")))</f>
        <v/>
      </c>
      <c r="I251" s="43">
        <f>IF($L251="","",INDEX(HSCEI!$U$7:$U$66,($L251-INT($L251/1000)*1000)))</f>
        <v/>
      </c>
      <c r="K251" s="35">
        <f>IF(HSCEI!$C$34="","",IFERROR(MATCH(HSCEI!$E$34,Fundamentals!$B$216:$B$226,0),99)*1000+28)</f>
        <v/>
      </c>
      <c r="L251" s="35">
        <f>IFERROR(SMALL($K$224:$K$283,28),"")</f>
        <v/>
      </c>
    </row>
    <row r="252">
      <c r="B252" s="18">
        <f>IF($L252="","",INDEX(HSCEI!$E$7:$E$66,($L252-INT($L252/1000)*1000)))</f>
        <v/>
      </c>
      <c r="C252" s="18">
        <f>IF($L252="","",INDEX(HSCEI!$D$7:$D$66,($L252-INT($L252/1000)*1000)))</f>
        <v/>
      </c>
      <c r="D252" s="18">
        <f>IF($L252="","",INDEX(HSCEI!$C$7:$C$66,($L252-INT($L252/1000)*1000)))</f>
        <v/>
      </c>
      <c r="E252" s="65">
        <f>IF($L252="","",INDEX(HSCEI!$K$7:$K$66,($L252-INT($L252/1000)*1000)))</f>
        <v/>
      </c>
      <c r="F252" s="40">
        <f>IF($L252="","",IF(COUNTIFS(OVR_TICKERS,$D252,OVR_BASE,"&gt;=0")=0,"",SUMIFS(OVR_BASE,OVR_TICKERS,$D252)))</f>
        <v/>
      </c>
      <c r="G252" s="65">
        <f>IF($L252="","",INDEX(HSCEI!$L$7:$L$66,($L252-INT($L252/1000)*1000)))</f>
        <v/>
      </c>
      <c r="H252" s="87">
        <f>IF($L252="","",IF($F252="","",IFERROR(($F252-$E252)*INDEX(HSCEI!$B$7:$B$66,($L252-INT($L252/1000)*1000))*INDEX(HSCEI!$G$7:$G$66,($L252-INT($L252/1000)*1000))/HSCEI!$B$3,"")))</f>
        <v/>
      </c>
      <c r="I252" s="43">
        <f>IF($L252="","",INDEX(HSCEI!$U$7:$U$66,($L252-INT($L252/1000)*1000)))</f>
        <v/>
      </c>
      <c r="K252" s="35">
        <f>IF(HSCEI!$C$35="","",IFERROR(MATCH(HSCEI!$E$35,Fundamentals!$B$216:$B$226,0),99)*1000+29)</f>
        <v/>
      </c>
      <c r="L252" s="35">
        <f>IFERROR(SMALL($K$224:$K$283,29),"")</f>
        <v/>
      </c>
    </row>
    <row r="253">
      <c r="B253" s="18">
        <f>IF($L253="","",INDEX(HSCEI!$E$7:$E$66,($L253-INT($L253/1000)*1000)))</f>
        <v/>
      </c>
      <c r="C253" s="18">
        <f>IF($L253="","",INDEX(HSCEI!$D$7:$D$66,($L253-INT($L253/1000)*1000)))</f>
        <v/>
      </c>
      <c r="D253" s="18">
        <f>IF($L253="","",INDEX(HSCEI!$C$7:$C$66,($L253-INT($L253/1000)*1000)))</f>
        <v/>
      </c>
      <c r="E253" s="65">
        <f>IF($L253="","",INDEX(HSCEI!$K$7:$K$66,($L253-INT($L253/1000)*1000)))</f>
        <v/>
      </c>
      <c r="F253" s="40">
        <f>IF($L253="","",IF(COUNTIFS(OVR_TICKERS,$D253,OVR_BASE,"&gt;=0")=0,"",SUMIFS(OVR_BASE,OVR_TICKERS,$D253)))</f>
        <v/>
      </c>
      <c r="G253" s="65">
        <f>IF($L253="","",INDEX(HSCEI!$L$7:$L$66,($L253-INT($L253/1000)*1000)))</f>
        <v/>
      </c>
      <c r="H253" s="87">
        <f>IF($L253="","",IF($F253="","",IFERROR(($F253-$E253)*INDEX(HSCEI!$B$7:$B$66,($L253-INT($L253/1000)*1000))*INDEX(HSCEI!$G$7:$G$66,($L253-INT($L253/1000)*1000))/HSCEI!$B$3,"")))</f>
        <v/>
      </c>
      <c r="I253" s="43">
        <f>IF($L253="","",INDEX(HSCEI!$U$7:$U$66,($L253-INT($L253/1000)*1000)))</f>
        <v/>
      </c>
      <c r="K253" s="35">
        <f>IF(HSCEI!$C$36="","",IFERROR(MATCH(HSCEI!$E$36,Fundamentals!$B$216:$B$226,0),99)*1000+30)</f>
        <v/>
      </c>
      <c r="L253" s="35">
        <f>IFERROR(SMALL($K$224:$K$283,30),"")</f>
        <v/>
      </c>
    </row>
    <row r="254">
      <c r="B254" s="18">
        <f>IF($L254="","",INDEX(HSCEI!$E$7:$E$66,($L254-INT($L254/1000)*1000)))</f>
        <v/>
      </c>
      <c r="C254" s="18">
        <f>IF($L254="","",INDEX(HSCEI!$D$7:$D$66,($L254-INT($L254/1000)*1000)))</f>
        <v/>
      </c>
      <c r="D254" s="18">
        <f>IF($L254="","",INDEX(HSCEI!$C$7:$C$66,($L254-INT($L254/1000)*1000)))</f>
        <v/>
      </c>
      <c r="E254" s="65">
        <f>IF($L254="","",INDEX(HSCEI!$K$7:$K$66,($L254-INT($L254/1000)*1000)))</f>
        <v/>
      </c>
      <c r="F254" s="40">
        <f>IF($L254="","",IF(COUNTIFS(OVR_TICKERS,$D254,OVR_BASE,"&gt;=0")=0,"",SUMIFS(OVR_BASE,OVR_TICKERS,$D254)))</f>
        <v/>
      </c>
      <c r="G254" s="65">
        <f>IF($L254="","",INDEX(HSCEI!$L$7:$L$66,($L254-INT($L254/1000)*1000)))</f>
        <v/>
      </c>
      <c r="H254" s="87">
        <f>IF($L254="","",IF($F254="","",IFERROR(($F254-$E254)*INDEX(HSCEI!$B$7:$B$66,($L254-INT($L254/1000)*1000))*INDEX(HSCEI!$G$7:$G$66,($L254-INT($L254/1000)*1000))/HSCEI!$B$3,"")))</f>
        <v/>
      </c>
      <c r="I254" s="43">
        <f>IF($L254="","",INDEX(HSCEI!$U$7:$U$66,($L254-INT($L254/1000)*1000)))</f>
        <v/>
      </c>
      <c r="K254" s="35">
        <f>IF(HSCEI!$C$37="","",IFERROR(MATCH(HSCEI!$E$37,Fundamentals!$B$216:$B$226,0),99)*1000+31)</f>
        <v/>
      </c>
      <c r="L254" s="35">
        <f>IFERROR(SMALL($K$224:$K$283,31),"")</f>
        <v/>
      </c>
    </row>
    <row r="255">
      <c r="B255" s="18">
        <f>IF($L255="","",INDEX(HSCEI!$E$7:$E$66,($L255-INT($L255/1000)*1000)))</f>
        <v/>
      </c>
      <c r="C255" s="18">
        <f>IF($L255="","",INDEX(HSCEI!$D$7:$D$66,($L255-INT($L255/1000)*1000)))</f>
        <v/>
      </c>
      <c r="D255" s="18">
        <f>IF($L255="","",INDEX(HSCEI!$C$7:$C$66,($L255-INT($L255/1000)*1000)))</f>
        <v/>
      </c>
      <c r="E255" s="65">
        <f>IF($L255="","",INDEX(HSCEI!$K$7:$K$66,($L255-INT($L255/1000)*1000)))</f>
        <v/>
      </c>
      <c r="F255" s="40">
        <f>IF($L255="","",IF(COUNTIFS(OVR_TICKERS,$D255,OVR_BASE,"&gt;=0")=0,"",SUMIFS(OVR_BASE,OVR_TICKERS,$D255)))</f>
        <v/>
      </c>
      <c r="G255" s="65">
        <f>IF($L255="","",INDEX(HSCEI!$L$7:$L$66,($L255-INT($L255/1000)*1000)))</f>
        <v/>
      </c>
      <c r="H255" s="87">
        <f>IF($L255="","",IF($F255="","",IFERROR(($F255-$E255)*INDEX(HSCEI!$B$7:$B$66,($L255-INT($L255/1000)*1000))*INDEX(HSCEI!$G$7:$G$66,($L255-INT($L255/1000)*1000))/HSCEI!$B$3,"")))</f>
        <v/>
      </c>
      <c r="I255" s="43">
        <f>IF($L255="","",INDEX(HSCEI!$U$7:$U$66,($L255-INT($L255/1000)*1000)))</f>
        <v/>
      </c>
      <c r="K255" s="35">
        <f>IF(HSCEI!$C$38="","",IFERROR(MATCH(HSCEI!$E$38,Fundamentals!$B$216:$B$226,0),99)*1000+32)</f>
        <v/>
      </c>
      <c r="L255" s="35">
        <f>IFERROR(SMALL($K$224:$K$283,32),"")</f>
        <v/>
      </c>
    </row>
    <row r="256">
      <c r="B256" s="18">
        <f>IF($L256="","",INDEX(HSCEI!$E$7:$E$66,($L256-INT($L256/1000)*1000)))</f>
        <v/>
      </c>
      <c r="C256" s="18">
        <f>IF($L256="","",INDEX(HSCEI!$D$7:$D$66,($L256-INT($L256/1000)*1000)))</f>
        <v/>
      </c>
      <c r="D256" s="18">
        <f>IF($L256="","",INDEX(HSCEI!$C$7:$C$66,($L256-INT($L256/1000)*1000)))</f>
        <v/>
      </c>
      <c r="E256" s="65">
        <f>IF($L256="","",INDEX(HSCEI!$K$7:$K$66,($L256-INT($L256/1000)*1000)))</f>
        <v/>
      </c>
      <c r="F256" s="40">
        <f>IF($L256="","",IF(COUNTIFS(OVR_TICKERS,$D256,OVR_BASE,"&gt;=0")=0,"",SUMIFS(OVR_BASE,OVR_TICKERS,$D256)))</f>
        <v/>
      </c>
      <c r="G256" s="65">
        <f>IF($L256="","",INDEX(HSCEI!$L$7:$L$66,($L256-INT($L256/1000)*1000)))</f>
        <v/>
      </c>
      <c r="H256" s="87">
        <f>IF($L256="","",IF($F256="","",IFERROR(($F256-$E256)*INDEX(HSCEI!$B$7:$B$66,($L256-INT($L256/1000)*1000))*INDEX(HSCEI!$G$7:$G$66,($L256-INT($L256/1000)*1000))/HSCEI!$B$3,"")))</f>
        <v/>
      </c>
      <c r="I256" s="43">
        <f>IF($L256="","",INDEX(HSCEI!$U$7:$U$66,($L256-INT($L256/1000)*1000)))</f>
        <v/>
      </c>
      <c r="K256" s="35">
        <f>IF(HSCEI!$C$39="","",IFERROR(MATCH(HSCEI!$E$39,Fundamentals!$B$216:$B$226,0),99)*1000+33)</f>
        <v/>
      </c>
      <c r="L256" s="35">
        <f>IFERROR(SMALL($K$224:$K$283,33),"")</f>
        <v/>
      </c>
    </row>
    <row r="257">
      <c r="B257" s="18">
        <f>IF($L257="","",INDEX(HSCEI!$E$7:$E$66,($L257-INT($L257/1000)*1000)))</f>
        <v/>
      </c>
      <c r="C257" s="18">
        <f>IF($L257="","",INDEX(HSCEI!$D$7:$D$66,($L257-INT($L257/1000)*1000)))</f>
        <v/>
      </c>
      <c r="D257" s="18">
        <f>IF($L257="","",INDEX(HSCEI!$C$7:$C$66,($L257-INT($L257/1000)*1000)))</f>
        <v/>
      </c>
      <c r="E257" s="65">
        <f>IF($L257="","",INDEX(HSCEI!$K$7:$K$66,($L257-INT($L257/1000)*1000)))</f>
        <v/>
      </c>
      <c r="F257" s="40">
        <f>IF($L257="","",IF(COUNTIFS(OVR_TICKERS,$D257,OVR_BASE,"&gt;=0")=0,"",SUMIFS(OVR_BASE,OVR_TICKERS,$D257)))</f>
        <v/>
      </c>
      <c r="G257" s="65">
        <f>IF($L257="","",INDEX(HSCEI!$L$7:$L$66,($L257-INT($L257/1000)*1000)))</f>
        <v/>
      </c>
      <c r="H257" s="87">
        <f>IF($L257="","",IF($F257="","",IFERROR(($F257-$E257)*INDEX(HSCEI!$B$7:$B$66,($L257-INT($L257/1000)*1000))*INDEX(HSCEI!$G$7:$G$66,($L257-INT($L257/1000)*1000))/HSCEI!$B$3,"")))</f>
        <v/>
      </c>
      <c r="I257" s="43">
        <f>IF($L257="","",INDEX(HSCEI!$U$7:$U$66,($L257-INT($L257/1000)*1000)))</f>
        <v/>
      </c>
      <c r="K257" s="35">
        <f>IF(HSCEI!$C$40="","",IFERROR(MATCH(HSCEI!$E$40,Fundamentals!$B$216:$B$226,0),99)*1000+34)</f>
        <v/>
      </c>
      <c r="L257" s="35">
        <f>IFERROR(SMALL($K$224:$K$283,34),"")</f>
        <v/>
      </c>
    </row>
    <row r="258">
      <c r="B258" s="18">
        <f>IF($L258="","",INDEX(HSCEI!$E$7:$E$66,($L258-INT($L258/1000)*1000)))</f>
        <v/>
      </c>
      <c r="C258" s="18">
        <f>IF($L258="","",INDEX(HSCEI!$D$7:$D$66,($L258-INT($L258/1000)*1000)))</f>
        <v/>
      </c>
      <c r="D258" s="18">
        <f>IF($L258="","",INDEX(HSCEI!$C$7:$C$66,($L258-INT($L258/1000)*1000)))</f>
        <v/>
      </c>
      <c r="E258" s="65">
        <f>IF($L258="","",INDEX(HSCEI!$K$7:$K$66,($L258-INT($L258/1000)*1000)))</f>
        <v/>
      </c>
      <c r="F258" s="40">
        <f>IF($L258="","",IF(COUNTIFS(OVR_TICKERS,$D258,OVR_BASE,"&gt;=0")=0,"",SUMIFS(OVR_BASE,OVR_TICKERS,$D258)))</f>
        <v/>
      </c>
      <c r="G258" s="65">
        <f>IF($L258="","",INDEX(HSCEI!$L$7:$L$66,($L258-INT($L258/1000)*1000)))</f>
        <v/>
      </c>
      <c r="H258" s="87">
        <f>IF($L258="","",IF($F258="","",IFERROR(($F258-$E258)*INDEX(HSCEI!$B$7:$B$66,($L258-INT($L258/1000)*1000))*INDEX(HSCEI!$G$7:$G$66,($L258-INT($L258/1000)*1000))/HSCEI!$B$3,"")))</f>
        <v/>
      </c>
      <c r="I258" s="43">
        <f>IF($L258="","",INDEX(HSCEI!$U$7:$U$66,($L258-INT($L258/1000)*1000)))</f>
        <v/>
      </c>
      <c r="K258" s="35">
        <f>IF(HSCEI!$C$41="","",IFERROR(MATCH(HSCEI!$E$41,Fundamentals!$B$216:$B$226,0),99)*1000+35)</f>
        <v/>
      </c>
      <c r="L258" s="35">
        <f>IFERROR(SMALL($K$224:$K$283,35),"")</f>
        <v/>
      </c>
    </row>
    <row r="259">
      <c r="B259" s="18">
        <f>IF($L259="","",INDEX(HSCEI!$E$7:$E$66,($L259-INT($L259/1000)*1000)))</f>
        <v/>
      </c>
      <c r="C259" s="18">
        <f>IF($L259="","",INDEX(HSCEI!$D$7:$D$66,($L259-INT($L259/1000)*1000)))</f>
        <v/>
      </c>
      <c r="D259" s="18">
        <f>IF($L259="","",INDEX(HSCEI!$C$7:$C$66,($L259-INT($L259/1000)*1000)))</f>
        <v/>
      </c>
      <c r="E259" s="65">
        <f>IF($L259="","",INDEX(HSCEI!$K$7:$K$66,($L259-INT($L259/1000)*1000)))</f>
        <v/>
      </c>
      <c r="F259" s="40">
        <f>IF($L259="","",IF(COUNTIFS(OVR_TICKERS,$D259,OVR_BASE,"&gt;=0")=0,"",SUMIFS(OVR_BASE,OVR_TICKERS,$D259)))</f>
        <v/>
      </c>
      <c r="G259" s="65">
        <f>IF($L259="","",INDEX(HSCEI!$L$7:$L$66,($L259-INT($L259/1000)*1000)))</f>
        <v/>
      </c>
      <c r="H259" s="87">
        <f>IF($L259="","",IF($F259="","",IFERROR(($F259-$E259)*INDEX(HSCEI!$B$7:$B$66,($L259-INT($L259/1000)*1000))*INDEX(HSCEI!$G$7:$G$66,($L259-INT($L259/1000)*1000))/HSCEI!$B$3,"")))</f>
        <v/>
      </c>
      <c r="I259" s="43">
        <f>IF($L259="","",INDEX(HSCEI!$U$7:$U$66,($L259-INT($L259/1000)*1000)))</f>
        <v/>
      </c>
      <c r="K259" s="35">
        <f>IF(HSCEI!$C$42="","",IFERROR(MATCH(HSCEI!$E$42,Fundamentals!$B$216:$B$226,0),99)*1000+36)</f>
        <v/>
      </c>
      <c r="L259" s="35">
        <f>IFERROR(SMALL($K$224:$K$283,36),"")</f>
        <v/>
      </c>
    </row>
    <row r="260">
      <c r="B260" s="18">
        <f>IF($L260="","",INDEX(HSCEI!$E$7:$E$66,($L260-INT($L260/1000)*1000)))</f>
        <v/>
      </c>
      <c r="C260" s="18">
        <f>IF($L260="","",INDEX(HSCEI!$D$7:$D$66,($L260-INT($L260/1000)*1000)))</f>
        <v/>
      </c>
      <c r="D260" s="18">
        <f>IF($L260="","",INDEX(HSCEI!$C$7:$C$66,($L260-INT($L260/1000)*1000)))</f>
        <v/>
      </c>
      <c r="E260" s="65">
        <f>IF($L260="","",INDEX(HSCEI!$K$7:$K$66,($L260-INT($L260/1000)*1000)))</f>
        <v/>
      </c>
      <c r="F260" s="40">
        <f>IF($L260="","",IF(COUNTIFS(OVR_TICKERS,$D260,OVR_BASE,"&gt;=0")=0,"",SUMIFS(OVR_BASE,OVR_TICKERS,$D260)))</f>
        <v/>
      </c>
      <c r="G260" s="65">
        <f>IF($L260="","",INDEX(HSCEI!$L$7:$L$66,($L260-INT($L260/1000)*1000)))</f>
        <v/>
      </c>
      <c r="H260" s="87">
        <f>IF($L260="","",IF($F260="","",IFERROR(($F260-$E260)*INDEX(HSCEI!$B$7:$B$66,($L260-INT($L260/1000)*1000))*INDEX(HSCEI!$G$7:$G$66,($L260-INT($L260/1000)*1000))/HSCEI!$B$3,"")))</f>
        <v/>
      </c>
      <c r="I260" s="43">
        <f>IF($L260="","",INDEX(HSCEI!$U$7:$U$66,($L260-INT($L260/1000)*1000)))</f>
        <v/>
      </c>
      <c r="K260" s="35">
        <f>IF(HSCEI!$C$43="","",IFERROR(MATCH(HSCEI!$E$43,Fundamentals!$B$216:$B$226,0),99)*1000+37)</f>
        <v/>
      </c>
      <c r="L260" s="35">
        <f>IFERROR(SMALL($K$224:$K$283,37),"")</f>
        <v/>
      </c>
    </row>
    <row r="261">
      <c r="B261" s="18">
        <f>IF($L261="","",INDEX(HSCEI!$E$7:$E$66,($L261-INT($L261/1000)*1000)))</f>
        <v/>
      </c>
      <c r="C261" s="18">
        <f>IF($L261="","",INDEX(HSCEI!$D$7:$D$66,($L261-INT($L261/1000)*1000)))</f>
        <v/>
      </c>
      <c r="D261" s="18">
        <f>IF($L261="","",INDEX(HSCEI!$C$7:$C$66,($L261-INT($L261/1000)*1000)))</f>
        <v/>
      </c>
      <c r="E261" s="65">
        <f>IF($L261="","",INDEX(HSCEI!$K$7:$K$66,($L261-INT($L261/1000)*1000)))</f>
        <v/>
      </c>
      <c r="F261" s="40">
        <f>IF($L261="","",IF(COUNTIFS(OVR_TICKERS,$D261,OVR_BASE,"&gt;=0")=0,"",SUMIFS(OVR_BASE,OVR_TICKERS,$D261)))</f>
        <v/>
      </c>
      <c r="G261" s="65">
        <f>IF($L261="","",INDEX(HSCEI!$L$7:$L$66,($L261-INT($L261/1000)*1000)))</f>
        <v/>
      </c>
      <c r="H261" s="87">
        <f>IF($L261="","",IF($F261="","",IFERROR(($F261-$E261)*INDEX(HSCEI!$B$7:$B$66,($L261-INT($L261/1000)*1000))*INDEX(HSCEI!$G$7:$G$66,($L261-INT($L261/1000)*1000))/HSCEI!$B$3,"")))</f>
        <v/>
      </c>
      <c r="I261" s="43">
        <f>IF($L261="","",INDEX(HSCEI!$U$7:$U$66,($L261-INT($L261/1000)*1000)))</f>
        <v/>
      </c>
      <c r="K261" s="35">
        <f>IF(HSCEI!$C$44="","",IFERROR(MATCH(HSCEI!$E$44,Fundamentals!$B$216:$B$226,0),99)*1000+38)</f>
        <v/>
      </c>
      <c r="L261" s="35">
        <f>IFERROR(SMALL($K$224:$K$283,38),"")</f>
        <v/>
      </c>
    </row>
    <row r="262">
      <c r="B262" s="18">
        <f>IF($L262="","",INDEX(HSCEI!$E$7:$E$66,($L262-INT($L262/1000)*1000)))</f>
        <v/>
      </c>
      <c r="C262" s="18">
        <f>IF($L262="","",INDEX(HSCEI!$D$7:$D$66,($L262-INT($L262/1000)*1000)))</f>
        <v/>
      </c>
      <c r="D262" s="18">
        <f>IF($L262="","",INDEX(HSCEI!$C$7:$C$66,($L262-INT($L262/1000)*1000)))</f>
        <v/>
      </c>
      <c r="E262" s="65">
        <f>IF($L262="","",INDEX(HSCEI!$K$7:$K$66,($L262-INT($L262/1000)*1000)))</f>
        <v/>
      </c>
      <c r="F262" s="40">
        <f>IF($L262="","",IF(COUNTIFS(OVR_TICKERS,$D262,OVR_BASE,"&gt;=0")=0,"",SUMIFS(OVR_BASE,OVR_TICKERS,$D262)))</f>
        <v/>
      </c>
      <c r="G262" s="65">
        <f>IF($L262="","",INDEX(HSCEI!$L$7:$L$66,($L262-INT($L262/1000)*1000)))</f>
        <v/>
      </c>
      <c r="H262" s="87">
        <f>IF($L262="","",IF($F262="","",IFERROR(($F262-$E262)*INDEX(HSCEI!$B$7:$B$66,($L262-INT($L262/1000)*1000))*INDEX(HSCEI!$G$7:$G$66,($L262-INT($L262/1000)*1000))/HSCEI!$B$3,"")))</f>
        <v/>
      </c>
      <c r="I262" s="43">
        <f>IF($L262="","",INDEX(HSCEI!$U$7:$U$66,($L262-INT($L262/1000)*1000)))</f>
        <v/>
      </c>
      <c r="K262" s="35">
        <f>IF(HSCEI!$C$45="","",IFERROR(MATCH(HSCEI!$E$45,Fundamentals!$B$216:$B$226,0),99)*1000+39)</f>
        <v/>
      </c>
      <c r="L262" s="35">
        <f>IFERROR(SMALL($K$224:$K$283,39),"")</f>
        <v/>
      </c>
    </row>
    <row r="263">
      <c r="B263" s="18">
        <f>IF($L263="","",INDEX(HSCEI!$E$7:$E$66,($L263-INT($L263/1000)*1000)))</f>
        <v/>
      </c>
      <c r="C263" s="18">
        <f>IF($L263="","",INDEX(HSCEI!$D$7:$D$66,($L263-INT($L263/1000)*1000)))</f>
        <v/>
      </c>
      <c r="D263" s="18">
        <f>IF($L263="","",INDEX(HSCEI!$C$7:$C$66,($L263-INT($L263/1000)*1000)))</f>
        <v/>
      </c>
      <c r="E263" s="65">
        <f>IF($L263="","",INDEX(HSCEI!$K$7:$K$66,($L263-INT($L263/1000)*1000)))</f>
        <v/>
      </c>
      <c r="F263" s="40">
        <f>IF($L263="","",IF(COUNTIFS(OVR_TICKERS,$D263,OVR_BASE,"&gt;=0")=0,"",SUMIFS(OVR_BASE,OVR_TICKERS,$D263)))</f>
        <v/>
      </c>
      <c r="G263" s="65">
        <f>IF($L263="","",INDEX(HSCEI!$L$7:$L$66,($L263-INT($L263/1000)*1000)))</f>
        <v/>
      </c>
      <c r="H263" s="87">
        <f>IF($L263="","",IF($F263="","",IFERROR(($F263-$E263)*INDEX(HSCEI!$B$7:$B$66,($L263-INT($L263/1000)*1000))*INDEX(HSCEI!$G$7:$G$66,($L263-INT($L263/1000)*1000))/HSCEI!$B$3,"")))</f>
        <v/>
      </c>
      <c r="I263" s="43">
        <f>IF($L263="","",INDEX(HSCEI!$U$7:$U$66,($L263-INT($L263/1000)*1000)))</f>
        <v/>
      </c>
      <c r="K263" s="35">
        <f>IF(HSCEI!$C$46="","",IFERROR(MATCH(HSCEI!$E$46,Fundamentals!$B$216:$B$226,0),99)*1000+40)</f>
        <v/>
      </c>
      <c r="L263" s="35">
        <f>IFERROR(SMALL($K$224:$K$283,40),"")</f>
        <v/>
      </c>
    </row>
    <row r="264">
      <c r="B264" s="18">
        <f>IF($L264="","",INDEX(HSCEI!$E$7:$E$66,($L264-INT($L264/1000)*1000)))</f>
        <v/>
      </c>
      <c r="C264" s="18">
        <f>IF($L264="","",INDEX(HSCEI!$D$7:$D$66,($L264-INT($L264/1000)*1000)))</f>
        <v/>
      </c>
      <c r="D264" s="18">
        <f>IF($L264="","",INDEX(HSCEI!$C$7:$C$66,($L264-INT($L264/1000)*1000)))</f>
        <v/>
      </c>
      <c r="E264" s="65">
        <f>IF($L264="","",INDEX(HSCEI!$K$7:$K$66,($L264-INT($L264/1000)*1000)))</f>
        <v/>
      </c>
      <c r="F264" s="40">
        <f>IF($L264="","",IF(COUNTIFS(OVR_TICKERS,$D264,OVR_BASE,"&gt;=0")=0,"",SUMIFS(OVR_BASE,OVR_TICKERS,$D264)))</f>
        <v/>
      </c>
      <c r="G264" s="65">
        <f>IF($L264="","",INDEX(HSCEI!$L$7:$L$66,($L264-INT($L264/1000)*1000)))</f>
        <v/>
      </c>
      <c r="H264" s="87">
        <f>IF($L264="","",IF($F264="","",IFERROR(($F264-$E264)*INDEX(HSCEI!$B$7:$B$66,($L264-INT($L264/1000)*1000))*INDEX(HSCEI!$G$7:$G$66,($L264-INT($L264/1000)*1000))/HSCEI!$B$3,"")))</f>
        <v/>
      </c>
      <c r="I264" s="43">
        <f>IF($L264="","",INDEX(HSCEI!$U$7:$U$66,($L264-INT($L264/1000)*1000)))</f>
        <v/>
      </c>
      <c r="K264" s="35">
        <f>IF(HSCEI!$C$47="","",IFERROR(MATCH(HSCEI!$E$47,Fundamentals!$B$216:$B$226,0),99)*1000+41)</f>
        <v/>
      </c>
      <c r="L264" s="35">
        <f>IFERROR(SMALL($K$224:$K$283,41),"")</f>
        <v/>
      </c>
    </row>
    <row r="265">
      <c r="B265" s="18">
        <f>IF($L265="","",INDEX(HSCEI!$E$7:$E$66,($L265-INT($L265/1000)*1000)))</f>
        <v/>
      </c>
      <c r="C265" s="18">
        <f>IF($L265="","",INDEX(HSCEI!$D$7:$D$66,($L265-INT($L265/1000)*1000)))</f>
        <v/>
      </c>
      <c r="D265" s="18">
        <f>IF($L265="","",INDEX(HSCEI!$C$7:$C$66,($L265-INT($L265/1000)*1000)))</f>
        <v/>
      </c>
      <c r="E265" s="65">
        <f>IF($L265="","",INDEX(HSCEI!$K$7:$K$66,($L265-INT($L265/1000)*1000)))</f>
        <v/>
      </c>
      <c r="F265" s="40">
        <f>IF($L265="","",IF(COUNTIFS(OVR_TICKERS,$D265,OVR_BASE,"&gt;=0")=0,"",SUMIFS(OVR_BASE,OVR_TICKERS,$D265)))</f>
        <v/>
      </c>
      <c r="G265" s="65">
        <f>IF($L265="","",INDEX(HSCEI!$L$7:$L$66,($L265-INT($L265/1000)*1000)))</f>
        <v/>
      </c>
      <c r="H265" s="87">
        <f>IF($L265="","",IF($F265="","",IFERROR(($F265-$E265)*INDEX(HSCEI!$B$7:$B$66,($L265-INT($L265/1000)*1000))*INDEX(HSCEI!$G$7:$G$66,($L265-INT($L265/1000)*1000))/HSCEI!$B$3,"")))</f>
        <v/>
      </c>
      <c r="I265" s="43">
        <f>IF($L265="","",INDEX(HSCEI!$U$7:$U$66,($L265-INT($L265/1000)*1000)))</f>
        <v/>
      </c>
      <c r="K265" s="35">
        <f>IF(HSCEI!$C$48="","",IFERROR(MATCH(HSCEI!$E$48,Fundamentals!$B$216:$B$226,0),99)*1000+42)</f>
        <v/>
      </c>
      <c r="L265" s="35">
        <f>IFERROR(SMALL($K$224:$K$283,42),"")</f>
        <v/>
      </c>
    </row>
    <row r="266">
      <c r="B266" s="18">
        <f>IF($L266="","",INDEX(HSCEI!$E$7:$E$66,($L266-INT($L266/1000)*1000)))</f>
        <v/>
      </c>
      <c r="C266" s="18">
        <f>IF($L266="","",INDEX(HSCEI!$D$7:$D$66,($L266-INT($L266/1000)*1000)))</f>
        <v/>
      </c>
      <c r="D266" s="18">
        <f>IF($L266="","",INDEX(HSCEI!$C$7:$C$66,($L266-INT($L266/1000)*1000)))</f>
        <v/>
      </c>
      <c r="E266" s="65">
        <f>IF($L266="","",INDEX(HSCEI!$K$7:$K$66,($L266-INT($L266/1000)*1000)))</f>
        <v/>
      </c>
      <c r="F266" s="40">
        <f>IF($L266="","",IF(COUNTIFS(OVR_TICKERS,$D266,OVR_BASE,"&gt;=0")=0,"",SUMIFS(OVR_BASE,OVR_TICKERS,$D266)))</f>
        <v/>
      </c>
      <c r="G266" s="65">
        <f>IF($L266="","",INDEX(HSCEI!$L$7:$L$66,($L266-INT($L266/1000)*1000)))</f>
        <v/>
      </c>
      <c r="H266" s="87">
        <f>IF($L266="","",IF($F266="","",IFERROR(($F266-$E266)*INDEX(HSCEI!$B$7:$B$66,($L266-INT($L266/1000)*1000))*INDEX(HSCEI!$G$7:$G$66,($L266-INT($L266/1000)*1000))/HSCEI!$B$3,"")))</f>
        <v/>
      </c>
      <c r="I266" s="43">
        <f>IF($L266="","",INDEX(HSCEI!$U$7:$U$66,($L266-INT($L266/1000)*1000)))</f>
        <v/>
      </c>
      <c r="K266" s="35">
        <f>IF(HSCEI!$C$49="","",IFERROR(MATCH(HSCEI!$E$49,Fundamentals!$B$216:$B$226,0),99)*1000+43)</f>
        <v/>
      </c>
      <c r="L266" s="35">
        <f>IFERROR(SMALL($K$224:$K$283,43),"")</f>
        <v/>
      </c>
    </row>
    <row r="267">
      <c r="B267" s="18">
        <f>IF($L267="","",INDEX(HSCEI!$E$7:$E$66,($L267-INT($L267/1000)*1000)))</f>
        <v/>
      </c>
      <c r="C267" s="18">
        <f>IF($L267="","",INDEX(HSCEI!$D$7:$D$66,($L267-INT($L267/1000)*1000)))</f>
        <v/>
      </c>
      <c r="D267" s="18">
        <f>IF($L267="","",INDEX(HSCEI!$C$7:$C$66,($L267-INT($L267/1000)*1000)))</f>
        <v/>
      </c>
      <c r="E267" s="65">
        <f>IF($L267="","",INDEX(HSCEI!$K$7:$K$66,($L267-INT($L267/1000)*1000)))</f>
        <v/>
      </c>
      <c r="F267" s="40">
        <f>IF($L267="","",IF(COUNTIFS(OVR_TICKERS,$D267,OVR_BASE,"&gt;=0")=0,"",SUMIFS(OVR_BASE,OVR_TICKERS,$D267)))</f>
        <v/>
      </c>
      <c r="G267" s="65">
        <f>IF($L267="","",INDEX(HSCEI!$L$7:$L$66,($L267-INT($L267/1000)*1000)))</f>
        <v/>
      </c>
      <c r="H267" s="87">
        <f>IF($L267="","",IF($F267="","",IFERROR(($F267-$E267)*INDEX(HSCEI!$B$7:$B$66,($L267-INT($L267/1000)*1000))*INDEX(HSCEI!$G$7:$G$66,($L267-INT($L267/1000)*1000))/HSCEI!$B$3,"")))</f>
        <v/>
      </c>
      <c r="I267" s="43">
        <f>IF($L267="","",INDEX(HSCEI!$U$7:$U$66,($L267-INT($L267/1000)*1000)))</f>
        <v/>
      </c>
      <c r="K267" s="35">
        <f>IF(HSCEI!$C$50="","",IFERROR(MATCH(HSCEI!$E$50,Fundamentals!$B$216:$B$226,0),99)*1000+44)</f>
        <v/>
      </c>
      <c r="L267" s="35">
        <f>IFERROR(SMALL($K$224:$K$283,44),"")</f>
        <v/>
      </c>
    </row>
    <row r="268">
      <c r="B268" s="18">
        <f>IF($L268="","",INDEX(HSCEI!$E$7:$E$66,($L268-INT($L268/1000)*1000)))</f>
        <v/>
      </c>
      <c r="C268" s="18">
        <f>IF($L268="","",INDEX(HSCEI!$D$7:$D$66,($L268-INT($L268/1000)*1000)))</f>
        <v/>
      </c>
      <c r="D268" s="18">
        <f>IF($L268="","",INDEX(HSCEI!$C$7:$C$66,($L268-INT($L268/1000)*1000)))</f>
        <v/>
      </c>
      <c r="E268" s="65">
        <f>IF($L268="","",INDEX(HSCEI!$K$7:$K$66,($L268-INT($L268/1000)*1000)))</f>
        <v/>
      </c>
      <c r="F268" s="40">
        <f>IF($L268="","",IF(COUNTIFS(OVR_TICKERS,$D268,OVR_BASE,"&gt;=0")=0,"",SUMIFS(OVR_BASE,OVR_TICKERS,$D268)))</f>
        <v/>
      </c>
      <c r="G268" s="65">
        <f>IF($L268="","",INDEX(HSCEI!$L$7:$L$66,($L268-INT($L268/1000)*1000)))</f>
        <v/>
      </c>
      <c r="H268" s="87">
        <f>IF($L268="","",IF($F268="","",IFERROR(($F268-$E268)*INDEX(HSCEI!$B$7:$B$66,($L268-INT($L268/1000)*1000))*INDEX(HSCEI!$G$7:$G$66,($L268-INT($L268/1000)*1000))/HSCEI!$B$3,"")))</f>
        <v/>
      </c>
      <c r="I268" s="43">
        <f>IF($L268="","",INDEX(HSCEI!$U$7:$U$66,($L268-INT($L268/1000)*1000)))</f>
        <v/>
      </c>
      <c r="K268" s="35">
        <f>IF(HSCEI!$C$51="","",IFERROR(MATCH(HSCEI!$E$51,Fundamentals!$B$216:$B$226,0),99)*1000+45)</f>
        <v/>
      </c>
      <c r="L268" s="35">
        <f>IFERROR(SMALL($K$224:$K$283,45),"")</f>
        <v/>
      </c>
    </row>
    <row r="269">
      <c r="B269" s="18">
        <f>IF($L269="","",INDEX(HSCEI!$E$7:$E$66,($L269-INT($L269/1000)*1000)))</f>
        <v/>
      </c>
      <c r="C269" s="18">
        <f>IF($L269="","",INDEX(HSCEI!$D$7:$D$66,($L269-INT($L269/1000)*1000)))</f>
        <v/>
      </c>
      <c r="D269" s="18">
        <f>IF($L269="","",INDEX(HSCEI!$C$7:$C$66,($L269-INT($L269/1000)*1000)))</f>
        <v/>
      </c>
      <c r="E269" s="65">
        <f>IF($L269="","",INDEX(HSCEI!$K$7:$K$66,($L269-INT($L269/1000)*1000)))</f>
        <v/>
      </c>
      <c r="F269" s="40">
        <f>IF($L269="","",IF(COUNTIFS(OVR_TICKERS,$D269,OVR_BASE,"&gt;=0")=0,"",SUMIFS(OVR_BASE,OVR_TICKERS,$D269)))</f>
        <v/>
      </c>
      <c r="G269" s="65">
        <f>IF($L269="","",INDEX(HSCEI!$L$7:$L$66,($L269-INT($L269/1000)*1000)))</f>
        <v/>
      </c>
      <c r="H269" s="87">
        <f>IF($L269="","",IF($F269="","",IFERROR(($F269-$E269)*INDEX(HSCEI!$B$7:$B$66,($L269-INT($L269/1000)*1000))*INDEX(HSCEI!$G$7:$G$66,($L269-INT($L269/1000)*1000))/HSCEI!$B$3,"")))</f>
        <v/>
      </c>
      <c r="I269" s="43">
        <f>IF($L269="","",INDEX(HSCEI!$U$7:$U$66,($L269-INT($L269/1000)*1000)))</f>
        <v/>
      </c>
      <c r="K269" s="35">
        <f>IF(HSCEI!$C$52="","",IFERROR(MATCH(HSCEI!$E$52,Fundamentals!$B$216:$B$226,0),99)*1000+46)</f>
        <v/>
      </c>
      <c r="L269" s="35">
        <f>IFERROR(SMALL($K$224:$K$283,46),"")</f>
        <v/>
      </c>
    </row>
    <row r="270">
      <c r="B270" s="18">
        <f>IF($L270="","",INDEX(HSCEI!$E$7:$E$66,($L270-INT($L270/1000)*1000)))</f>
        <v/>
      </c>
      <c r="C270" s="18">
        <f>IF($L270="","",INDEX(HSCEI!$D$7:$D$66,($L270-INT($L270/1000)*1000)))</f>
        <v/>
      </c>
      <c r="D270" s="18">
        <f>IF($L270="","",INDEX(HSCEI!$C$7:$C$66,($L270-INT($L270/1000)*1000)))</f>
        <v/>
      </c>
      <c r="E270" s="65">
        <f>IF($L270="","",INDEX(HSCEI!$K$7:$K$66,($L270-INT($L270/1000)*1000)))</f>
        <v/>
      </c>
      <c r="F270" s="40">
        <f>IF($L270="","",IF(COUNTIFS(OVR_TICKERS,$D270,OVR_BASE,"&gt;=0")=0,"",SUMIFS(OVR_BASE,OVR_TICKERS,$D270)))</f>
        <v/>
      </c>
      <c r="G270" s="65">
        <f>IF($L270="","",INDEX(HSCEI!$L$7:$L$66,($L270-INT($L270/1000)*1000)))</f>
        <v/>
      </c>
      <c r="H270" s="87">
        <f>IF($L270="","",IF($F270="","",IFERROR(($F270-$E270)*INDEX(HSCEI!$B$7:$B$66,($L270-INT($L270/1000)*1000))*INDEX(HSCEI!$G$7:$G$66,($L270-INT($L270/1000)*1000))/HSCEI!$B$3,"")))</f>
        <v/>
      </c>
      <c r="I270" s="43">
        <f>IF($L270="","",INDEX(HSCEI!$U$7:$U$66,($L270-INT($L270/1000)*1000)))</f>
        <v/>
      </c>
      <c r="K270" s="35">
        <f>IF(HSCEI!$C$53="","",IFERROR(MATCH(HSCEI!$E$53,Fundamentals!$B$216:$B$226,0),99)*1000+47)</f>
        <v/>
      </c>
      <c r="L270" s="35">
        <f>IFERROR(SMALL($K$224:$K$283,47),"")</f>
        <v/>
      </c>
    </row>
    <row r="271">
      <c r="B271" s="18">
        <f>IF($L271="","",INDEX(HSCEI!$E$7:$E$66,($L271-INT($L271/1000)*1000)))</f>
        <v/>
      </c>
      <c r="C271" s="18">
        <f>IF($L271="","",INDEX(HSCEI!$D$7:$D$66,($L271-INT($L271/1000)*1000)))</f>
        <v/>
      </c>
      <c r="D271" s="18">
        <f>IF($L271="","",INDEX(HSCEI!$C$7:$C$66,($L271-INT($L271/1000)*1000)))</f>
        <v/>
      </c>
      <c r="E271" s="65">
        <f>IF($L271="","",INDEX(HSCEI!$K$7:$K$66,($L271-INT($L271/1000)*1000)))</f>
        <v/>
      </c>
      <c r="F271" s="40">
        <f>IF($L271="","",IF(COUNTIFS(OVR_TICKERS,$D271,OVR_BASE,"&gt;=0")=0,"",SUMIFS(OVR_BASE,OVR_TICKERS,$D271)))</f>
        <v/>
      </c>
      <c r="G271" s="65">
        <f>IF($L271="","",INDEX(HSCEI!$L$7:$L$66,($L271-INT($L271/1000)*1000)))</f>
        <v/>
      </c>
      <c r="H271" s="87">
        <f>IF($L271="","",IF($F271="","",IFERROR(($F271-$E271)*INDEX(HSCEI!$B$7:$B$66,($L271-INT($L271/1000)*1000))*INDEX(HSCEI!$G$7:$G$66,($L271-INT($L271/1000)*1000))/HSCEI!$B$3,"")))</f>
        <v/>
      </c>
      <c r="I271" s="43">
        <f>IF($L271="","",INDEX(HSCEI!$U$7:$U$66,($L271-INT($L271/1000)*1000)))</f>
        <v/>
      </c>
      <c r="K271" s="35">
        <f>IF(HSCEI!$C$54="","",IFERROR(MATCH(HSCEI!$E$54,Fundamentals!$B$216:$B$226,0),99)*1000+48)</f>
        <v/>
      </c>
      <c r="L271" s="35">
        <f>IFERROR(SMALL($K$224:$K$283,48),"")</f>
        <v/>
      </c>
    </row>
    <row r="272">
      <c r="B272" s="18">
        <f>IF($L272="","",INDEX(HSCEI!$E$7:$E$66,($L272-INT($L272/1000)*1000)))</f>
        <v/>
      </c>
      <c r="C272" s="18">
        <f>IF($L272="","",INDEX(HSCEI!$D$7:$D$66,($L272-INT($L272/1000)*1000)))</f>
        <v/>
      </c>
      <c r="D272" s="18">
        <f>IF($L272="","",INDEX(HSCEI!$C$7:$C$66,($L272-INT($L272/1000)*1000)))</f>
        <v/>
      </c>
      <c r="E272" s="65">
        <f>IF($L272="","",INDEX(HSCEI!$K$7:$K$66,($L272-INT($L272/1000)*1000)))</f>
        <v/>
      </c>
      <c r="F272" s="40">
        <f>IF($L272="","",IF(COUNTIFS(OVR_TICKERS,$D272,OVR_BASE,"&gt;=0")=0,"",SUMIFS(OVR_BASE,OVR_TICKERS,$D272)))</f>
        <v/>
      </c>
      <c r="G272" s="65">
        <f>IF($L272="","",INDEX(HSCEI!$L$7:$L$66,($L272-INT($L272/1000)*1000)))</f>
        <v/>
      </c>
      <c r="H272" s="87">
        <f>IF($L272="","",IF($F272="","",IFERROR(($F272-$E272)*INDEX(HSCEI!$B$7:$B$66,($L272-INT($L272/1000)*1000))*INDEX(HSCEI!$G$7:$G$66,($L272-INT($L272/1000)*1000))/HSCEI!$B$3,"")))</f>
        <v/>
      </c>
      <c r="I272" s="43">
        <f>IF($L272="","",INDEX(HSCEI!$U$7:$U$66,($L272-INT($L272/1000)*1000)))</f>
        <v/>
      </c>
      <c r="K272" s="35">
        <f>IF(HSCEI!$C$55="","",IFERROR(MATCH(HSCEI!$E$55,Fundamentals!$B$216:$B$226,0),99)*1000+49)</f>
        <v/>
      </c>
      <c r="L272" s="35">
        <f>IFERROR(SMALL($K$224:$K$283,49),"")</f>
        <v/>
      </c>
    </row>
    <row r="273">
      <c r="B273" s="18">
        <f>IF($L273="","",INDEX(HSCEI!$E$7:$E$66,($L273-INT($L273/1000)*1000)))</f>
        <v/>
      </c>
      <c r="C273" s="18">
        <f>IF($L273="","",INDEX(HSCEI!$D$7:$D$66,($L273-INT($L273/1000)*1000)))</f>
        <v/>
      </c>
      <c r="D273" s="18">
        <f>IF($L273="","",INDEX(HSCEI!$C$7:$C$66,($L273-INT($L273/1000)*1000)))</f>
        <v/>
      </c>
      <c r="E273" s="65">
        <f>IF($L273="","",INDEX(HSCEI!$K$7:$K$66,($L273-INT($L273/1000)*1000)))</f>
        <v/>
      </c>
      <c r="F273" s="40">
        <f>IF($L273="","",IF(COUNTIFS(OVR_TICKERS,$D273,OVR_BASE,"&gt;=0")=0,"",SUMIFS(OVR_BASE,OVR_TICKERS,$D273)))</f>
        <v/>
      </c>
      <c r="G273" s="65">
        <f>IF($L273="","",INDEX(HSCEI!$L$7:$L$66,($L273-INT($L273/1000)*1000)))</f>
        <v/>
      </c>
      <c r="H273" s="87">
        <f>IF($L273="","",IF($F273="","",IFERROR(($F273-$E273)*INDEX(HSCEI!$B$7:$B$66,($L273-INT($L273/1000)*1000))*INDEX(HSCEI!$G$7:$G$66,($L273-INT($L273/1000)*1000))/HSCEI!$B$3,"")))</f>
        <v/>
      </c>
      <c r="I273" s="43">
        <f>IF($L273="","",INDEX(HSCEI!$U$7:$U$66,($L273-INT($L273/1000)*1000)))</f>
        <v/>
      </c>
      <c r="K273" s="35">
        <f>IF(HSCEI!$C$56="","",IFERROR(MATCH(HSCEI!$E$56,Fundamentals!$B$216:$B$226,0),99)*1000+50)</f>
        <v/>
      </c>
      <c r="L273" s="35">
        <f>IFERROR(SMALL($K$224:$K$283,50),"")</f>
        <v/>
      </c>
    </row>
    <row r="274">
      <c r="B274" s="18">
        <f>IF($L274="","",INDEX(HSCEI!$E$7:$E$66,($L274-INT($L274/1000)*1000)))</f>
        <v/>
      </c>
      <c r="C274" s="18">
        <f>IF($L274="","",INDEX(HSCEI!$D$7:$D$66,($L274-INT($L274/1000)*1000)))</f>
        <v/>
      </c>
      <c r="D274" s="18">
        <f>IF($L274="","",INDEX(HSCEI!$C$7:$C$66,($L274-INT($L274/1000)*1000)))</f>
        <v/>
      </c>
      <c r="E274" s="65">
        <f>IF($L274="","",INDEX(HSCEI!$K$7:$K$66,($L274-INT($L274/1000)*1000)))</f>
        <v/>
      </c>
      <c r="F274" s="40">
        <f>IF($L274="","",IF(COUNTIFS(OVR_TICKERS,$D274,OVR_BASE,"&gt;=0")=0,"",SUMIFS(OVR_BASE,OVR_TICKERS,$D274)))</f>
        <v/>
      </c>
      <c r="G274" s="65">
        <f>IF($L274="","",INDEX(HSCEI!$L$7:$L$66,($L274-INT($L274/1000)*1000)))</f>
        <v/>
      </c>
      <c r="H274" s="87">
        <f>IF($L274="","",IF($F274="","",IFERROR(($F274-$E274)*INDEX(HSCEI!$B$7:$B$66,($L274-INT($L274/1000)*1000))*INDEX(HSCEI!$G$7:$G$66,($L274-INT($L274/1000)*1000))/HSCEI!$B$3,"")))</f>
        <v/>
      </c>
      <c r="I274" s="43">
        <f>IF($L274="","",INDEX(HSCEI!$U$7:$U$66,($L274-INT($L274/1000)*1000)))</f>
        <v/>
      </c>
      <c r="K274" s="35">
        <f>IF(HSCEI!$C$57="","",IFERROR(MATCH(HSCEI!$E$57,Fundamentals!$B$216:$B$226,0),99)*1000+51)</f>
        <v/>
      </c>
      <c r="L274" s="35">
        <f>IFERROR(SMALL($K$224:$K$283,51),"")</f>
        <v/>
      </c>
    </row>
    <row r="275">
      <c r="B275" s="18">
        <f>IF($L275="","",INDEX(HSCEI!$E$7:$E$66,($L275-INT($L275/1000)*1000)))</f>
        <v/>
      </c>
      <c r="C275" s="18">
        <f>IF($L275="","",INDEX(HSCEI!$D$7:$D$66,($L275-INT($L275/1000)*1000)))</f>
        <v/>
      </c>
      <c r="D275" s="18">
        <f>IF($L275="","",INDEX(HSCEI!$C$7:$C$66,($L275-INT($L275/1000)*1000)))</f>
        <v/>
      </c>
      <c r="E275" s="65">
        <f>IF($L275="","",INDEX(HSCEI!$K$7:$K$66,($L275-INT($L275/1000)*1000)))</f>
        <v/>
      </c>
      <c r="F275" s="40">
        <f>IF($L275="","",IF(COUNTIFS(OVR_TICKERS,$D275,OVR_BASE,"&gt;=0")=0,"",SUMIFS(OVR_BASE,OVR_TICKERS,$D275)))</f>
        <v/>
      </c>
      <c r="G275" s="65">
        <f>IF($L275="","",INDEX(HSCEI!$L$7:$L$66,($L275-INT($L275/1000)*1000)))</f>
        <v/>
      </c>
      <c r="H275" s="87">
        <f>IF($L275="","",IF($F275="","",IFERROR(($F275-$E275)*INDEX(HSCEI!$B$7:$B$66,($L275-INT($L275/1000)*1000))*INDEX(HSCEI!$G$7:$G$66,($L275-INT($L275/1000)*1000))/HSCEI!$B$3,"")))</f>
        <v/>
      </c>
      <c r="I275" s="43">
        <f>IF($L275="","",INDEX(HSCEI!$U$7:$U$66,($L275-INT($L275/1000)*1000)))</f>
        <v/>
      </c>
      <c r="K275" s="35">
        <f>IF(HSCEI!$C$58="","",IFERROR(MATCH(HSCEI!$E$58,Fundamentals!$B$216:$B$226,0),99)*1000+52)</f>
        <v/>
      </c>
      <c r="L275" s="35">
        <f>IFERROR(SMALL($K$224:$K$283,52),"")</f>
        <v/>
      </c>
    </row>
    <row r="276">
      <c r="B276" s="18">
        <f>IF($L276="","",INDEX(HSCEI!$E$7:$E$66,($L276-INT($L276/1000)*1000)))</f>
        <v/>
      </c>
      <c r="C276" s="18">
        <f>IF($L276="","",INDEX(HSCEI!$D$7:$D$66,($L276-INT($L276/1000)*1000)))</f>
        <v/>
      </c>
      <c r="D276" s="18">
        <f>IF($L276="","",INDEX(HSCEI!$C$7:$C$66,($L276-INT($L276/1000)*1000)))</f>
        <v/>
      </c>
      <c r="E276" s="65">
        <f>IF($L276="","",INDEX(HSCEI!$K$7:$K$66,($L276-INT($L276/1000)*1000)))</f>
        <v/>
      </c>
      <c r="F276" s="40">
        <f>IF($L276="","",IF(COUNTIFS(OVR_TICKERS,$D276,OVR_BASE,"&gt;=0")=0,"",SUMIFS(OVR_BASE,OVR_TICKERS,$D276)))</f>
        <v/>
      </c>
      <c r="G276" s="65">
        <f>IF($L276="","",INDEX(HSCEI!$L$7:$L$66,($L276-INT($L276/1000)*1000)))</f>
        <v/>
      </c>
      <c r="H276" s="87">
        <f>IF($L276="","",IF($F276="","",IFERROR(($F276-$E276)*INDEX(HSCEI!$B$7:$B$66,($L276-INT($L276/1000)*1000))*INDEX(HSCEI!$G$7:$G$66,($L276-INT($L276/1000)*1000))/HSCEI!$B$3,"")))</f>
        <v/>
      </c>
      <c r="I276" s="43">
        <f>IF($L276="","",INDEX(HSCEI!$U$7:$U$66,($L276-INT($L276/1000)*1000)))</f>
        <v/>
      </c>
      <c r="K276" s="35">
        <f>IF(HSCEI!$C$59="","",IFERROR(MATCH(HSCEI!$E$59,Fundamentals!$B$216:$B$226,0),99)*1000+53)</f>
        <v/>
      </c>
      <c r="L276" s="35">
        <f>IFERROR(SMALL($K$224:$K$283,53),"")</f>
        <v/>
      </c>
    </row>
    <row r="277">
      <c r="B277" s="18">
        <f>IF($L277="","",INDEX(HSCEI!$E$7:$E$66,($L277-INT($L277/1000)*1000)))</f>
        <v/>
      </c>
      <c r="C277" s="18">
        <f>IF($L277="","",INDEX(HSCEI!$D$7:$D$66,($L277-INT($L277/1000)*1000)))</f>
        <v/>
      </c>
      <c r="D277" s="18">
        <f>IF($L277="","",INDEX(HSCEI!$C$7:$C$66,($L277-INT($L277/1000)*1000)))</f>
        <v/>
      </c>
      <c r="E277" s="65">
        <f>IF($L277="","",INDEX(HSCEI!$K$7:$K$66,($L277-INT($L277/1000)*1000)))</f>
        <v/>
      </c>
      <c r="F277" s="40">
        <f>IF($L277="","",IF(COUNTIFS(OVR_TICKERS,$D277,OVR_BASE,"&gt;=0")=0,"",SUMIFS(OVR_BASE,OVR_TICKERS,$D277)))</f>
        <v/>
      </c>
      <c r="G277" s="65">
        <f>IF($L277="","",INDEX(HSCEI!$L$7:$L$66,($L277-INT($L277/1000)*1000)))</f>
        <v/>
      </c>
      <c r="H277" s="87">
        <f>IF($L277="","",IF($F277="","",IFERROR(($F277-$E277)*INDEX(HSCEI!$B$7:$B$66,($L277-INT($L277/1000)*1000))*INDEX(HSCEI!$G$7:$G$66,($L277-INT($L277/1000)*1000))/HSCEI!$B$3,"")))</f>
        <v/>
      </c>
      <c r="I277" s="43">
        <f>IF($L277="","",INDEX(HSCEI!$U$7:$U$66,($L277-INT($L277/1000)*1000)))</f>
        <v/>
      </c>
      <c r="K277" s="35">
        <f>IF(HSCEI!$C$60="","",IFERROR(MATCH(HSCEI!$E$60,Fundamentals!$B$216:$B$226,0),99)*1000+54)</f>
        <v/>
      </c>
      <c r="L277" s="35">
        <f>IFERROR(SMALL($K$224:$K$283,54),"")</f>
        <v/>
      </c>
    </row>
    <row r="278">
      <c r="B278" s="18">
        <f>IF($L278="","",INDEX(HSCEI!$E$7:$E$66,($L278-INT($L278/1000)*1000)))</f>
        <v/>
      </c>
      <c r="C278" s="18">
        <f>IF($L278="","",INDEX(HSCEI!$D$7:$D$66,($L278-INT($L278/1000)*1000)))</f>
        <v/>
      </c>
      <c r="D278" s="18">
        <f>IF($L278="","",INDEX(HSCEI!$C$7:$C$66,($L278-INT($L278/1000)*1000)))</f>
        <v/>
      </c>
      <c r="E278" s="65">
        <f>IF($L278="","",INDEX(HSCEI!$K$7:$K$66,($L278-INT($L278/1000)*1000)))</f>
        <v/>
      </c>
      <c r="F278" s="40">
        <f>IF($L278="","",IF(COUNTIFS(OVR_TICKERS,$D278,OVR_BASE,"&gt;=0")=0,"",SUMIFS(OVR_BASE,OVR_TICKERS,$D278)))</f>
        <v/>
      </c>
      <c r="G278" s="65">
        <f>IF($L278="","",INDEX(HSCEI!$L$7:$L$66,($L278-INT($L278/1000)*1000)))</f>
        <v/>
      </c>
      <c r="H278" s="87">
        <f>IF($L278="","",IF($F278="","",IFERROR(($F278-$E278)*INDEX(HSCEI!$B$7:$B$66,($L278-INT($L278/1000)*1000))*INDEX(HSCEI!$G$7:$G$66,($L278-INT($L278/1000)*1000))/HSCEI!$B$3,"")))</f>
        <v/>
      </c>
      <c r="I278" s="43">
        <f>IF($L278="","",INDEX(HSCEI!$U$7:$U$66,($L278-INT($L278/1000)*1000)))</f>
        <v/>
      </c>
      <c r="K278" s="35">
        <f>IF(HSCEI!$C$61="","",IFERROR(MATCH(HSCEI!$E$61,Fundamentals!$B$216:$B$226,0),99)*1000+55)</f>
        <v/>
      </c>
      <c r="L278" s="35">
        <f>IFERROR(SMALL($K$224:$K$283,55),"")</f>
        <v/>
      </c>
    </row>
    <row r="279">
      <c r="B279" s="18">
        <f>IF($L279="","",INDEX(HSCEI!$E$7:$E$66,($L279-INT($L279/1000)*1000)))</f>
        <v/>
      </c>
      <c r="C279" s="18">
        <f>IF($L279="","",INDEX(HSCEI!$D$7:$D$66,($L279-INT($L279/1000)*1000)))</f>
        <v/>
      </c>
      <c r="D279" s="18">
        <f>IF($L279="","",INDEX(HSCEI!$C$7:$C$66,($L279-INT($L279/1000)*1000)))</f>
        <v/>
      </c>
      <c r="E279" s="65">
        <f>IF($L279="","",INDEX(HSCEI!$K$7:$K$66,($L279-INT($L279/1000)*1000)))</f>
        <v/>
      </c>
      <c r="F279" s="40">
        <f>IF($L279="","",IF(COUNTIFS(OVR_TICKERS,$D279,OVR_BASE,"&gt;=0")=0,"",SUMIFS(OVR_BASE,OVR_TICKERS,$D279)))</f>
        <v/>
      </c>
      <c r="G279" s="65">
        <f>IF($L279="","",INDEX(HSCEI!$L$7:$L$66,($L279-INT($L279/1000)*1000)))</f>
        <v/>
      </c>
      <c r="H279" s="87">
        <f>IF($L279="","",IF($F279="","",IFERROR(($F279-$E279)*INDEX(HSCEI!$B$7:$B$66,($L279-INT($L279/1000)*1000))*INDEX(HSCEI!$G$7:$G$66,($L279-INT($L279/1000)*1000))/HSCEI!$B$3,"")))</f>
        <v/>
      </c>
      <c r="I279" s="43">
        <f>IF($L279="","",INDEX(HSCEI!$U$7:$U$66,($L279-INT($L279/1000)*1000)))</f>
        <v/>
      </c>
      <c r="K279" s="35">
        <f>IF(HSCEI!$C$62="","",IFERROR(MATCH(HSCEI!$E$62,Fundamentals!$B$216:$B$226,0),99)*1000+56)</f>
        <v/>
      </c>
      <c r="L279" s="35">
        <f>IFERROR(SMALL($K$224:$K$283,56),"")</f>
        <v/>
      </c>
    </row>
    <row r="280">
      <c r="B280" s="18">
        <f>IF($L280="","",INDEX(HSCEI!$E$7:$E$66,($L280-INT($L280/1000)*1000)))</f>
        <v/>
      </c>
      <c r="C280" s="18">
        <f>IF($L280="","",INDEX(HSCEI!$D$7:$D$66,($L280-INT($L280/1000)*1000)))</f>
        <v/>
      </c>
      <c r="D280" s="18">
        <f>IF($L280="","",INDEX(HSCEI!$C$7:$C$66,($L280-INT($L280/1000)*1000)))</f>
        <v/>
      </c>
      <c r="E280" s="65">
        <f>IF($L280="","",INDEX(HSCEI!$K$7:$K$66,($L280-INT($L280/1000)*1000)))</f>
        <v/>
      </c>
      <c r="F280" s="40">
        <f>IF($L280="","",IF(COUNTIFS(OVR_TICKERS,$D280,OVR_BASE,"&gt;=0")=0,"",SUMIFS(OVR_BASE,OVR_TICKERS,$D280)))</f>
        <v/>
      </c>
      <c r="G280" s="65">
        <f>IF($L280="","",INDEX(HSCEI!$L$7:$L$66,($L280-INT($L280/1000)*1000)))</f>
        <v/>
      </c>
      <c r="H280" s="87">
        <f>IF($L280="","",IF($F280="","",IFERROR(($F280-$E280)*INDEX(HSCEI!$B$7:$B$66,($L280-INT($L280/1000)*1000))*INDEX(HSCEI!$G$7:$G$66,($L280-INT($L280/1000)*1000))/HSCEI!$B$3,"")))</f>
        <v/>
      </c>
      <c r="I280" s="43">
        <f>IF($L280="","",INDEX(HSCEI!$U$7:$U$66,($L280-INT($L280/1000)*1000)))</f>
        <v/>
      </c>
      <c r="K280" s="35">
        <f>IF(HSCEI!$C$63="","",IFERROR(MATCH(HSCEI!$E$63,Fundamentals!$B$216:$B$226,0),99)*1000+57)</f>
        <v/>
      </c>
      <c r="L280" s="35">
        <f>IFERROR(SMALL($K$224:$K$283,57),"")</f>
        <v/>
      </c>
    </row>
    <row r="281">
      <c r="B281" s="18">
        <f>IF($L281="","",INDEX(HSCEI!$E$7:$E$66,($L281-INT($L281/1000)*1000)))</f>
        <v/>
      </c>
      <c r="C281" s="18">
        <f>IF($L281="","",INDEX(HSCEI!$D$7:$D$66,($L281-INT($L281/1000)*1000)))</f>
        <v/>
      </c>
      <c r="D281" s="18">
        <f>IF($L281="","",INDEX(HSCEI!$C$7:$C$66,($L281-INT($L281/1000)*1000)))</f>
        <v/>
      </c>
      <c r="E281" s="65">
        <f>IF($L281="","",INDEX(HSCEI!$K$7:$K$66,($L281-INT($L281/1000)*1000)))</f>
        <v/>
      </c>
      <c r="F281" s="40">
        <f>IF($L281="","",IF(COUNTIFS(OVR_TICKERS,$D281,OVR_BASE,"&gt;=0")=0,"",SUMIFS(OVR_BASE,OVR_TICKERS,$D281)))</f>
        <v/>
      </c>
      <c r="G281" s="65">
        <f>IF($L281="","",INDEX(HSCEI!$L$7:$L$66,($L281-INT($L281/1000)*1000)))</f>
        <v/>
      </c>
      <c r="H281" s="87">
        <f>IF($L281="","",IF($F281="","",IFERROR(($F281-$E281)*INDEX(HSCEI!$B$7:$B$66,($L281-INT($L281/1000)*1000))*INDEX(HSCEI!$G$7:$G$66,($L281-INT($L281/1000)*1000))/HSCEI!$B$3,"")))</f>
        <v/>
      </c>
      <c r="I281" s="43">
        <f>IF($L281="","",INDEX(HSCEI!$U$7:$U$66,($L281-INT($L281/1000)*1000)))</f>
        <v/>
      </c>
      <c r="K281" s="35">
        <f>IF(HSCEI!$C$64="","",IFERROR(MATCH(HSCEI!$E$64,Fundamentals!$B$216:$B$226,0),99)*1000+58)</f>
        <v/>
      </c>
      <c r="L281" s="35">
        <f>IFERROR(SMALL($K$224:$K$283,58),"")</f>
        <v/>
      </c>
    </row>
    <row r="282">
      <c r="B282" s="18">
        <f>IF($L282="","",INDEX(HSCEI!$E$7:$E$66,($L282-INT($L282/1000)*1000)))</f>
        <v/>
      </c>
      <c r="C282" s="18">
        <f>IF($L282="","",INDEX(HSCEI!$D$7:$D$66,($L282-INT($L282/1000)*1000)))</f>
        <v/>
      </c>
      <c r="D282" s="18">
        <f>IF($L282="","",INDEX(HSCEI!$C$7:$C$66,($L282-INT($L282/1000)*1000)))</f>
        <v/>
      </c>
      <c r="E282" s="65">
        <f>IF($L282="","",INDEX(HSCEI!$K$7:$K$66,($L282-INT($L282/1000)*1000)))</f>
        <v/>
      </c>
      <c r="F282" s="40">
        <f>IF($L282="","",IF(COUNTIFS(OVR_TICKERS,$D282,OVR_BASE,"&gt;=0")=0,"",SUMIFS(OVR_BASE,OVR_TICKERS,$D282)))</f>
        <v/>
      </c>
      <c r="G282" s="65">
        <f>IF($L282="","",INDEX(HSCEI!$L$7:$L$66,($L282-INT($L282/1000)*1000)))</f>
        <v/>
      </c>
      <c r="H282" s="87">
        <f>IF($L282="","",IF($F282="","",IFERROR(($F282-$E282)*INDEX(HSCEI!$B$7:$B$66,($L282-INT($L282/1000)*1000))*INDEX(HSCEI!$G$7:$G$66,($L282-INT($L282/1000)*1000))/HSCEI!$B$3,"")))</f>
        <v/>
      </c>
      <c r="I282" s="43">
        <f>IF($L282="","",INDEX(HSCEI!$U$7:$U$66,($L282-INT($L282/1000)*1000)))</f>
        <v/>
      </c>
      <c r="K282" s="35">
        <f>IF(HSCEI!$C$65="","",IFERROR(MATCH(HSCEI!$E$65,Fundamentals!$B$216:$B$226,0),99)*1000+59)</f>
        <v/>
      </c>
      <c r="L282" s="35">
        <f>IFERROR(SMALL($K$224:$K$283,59),"")</f>
        <v/>
      </c>
    </row>
    <row r="283">
      <c r="B283" s="18">
        <f>IF($L283="","",INDEX(HSCEI!$E$7:$E$66,($L283-INT($L283/1000)*1000)))</f>
        <v/>
      </c>
      <c r="C283" s="18">
        <f>IF($L283="","",INDEX(HSCEI!$D$7:$D$66,($L283-INT($L283/1000)*1000)))</f>
        <v/>
      </c>
      <c r="D283" s="18">
        <f>IF($L283="","",INDEX(HSCEI!$C$7:$C$66,($L283-INT($L283/1000)*1000)))</f>
        <v/>
      </c>
      <c r="E283" s="65">
        <f>IF($L283="","",INDEX(HSCEI!$K$7:$K$66,($L283-INT($L283/1000)*1000)))</f>
        <v/>
      </c>
      <c r="F283" s="40">
        <f>IF($L283="","",IF(COUNTIFS(OVR_TICKERS,$D283,OVR_BASE,"&gt;=0")=0,"",SUMIFS(OVR_BASE,OVR_TICKERS,$D283)))</f>
        <v/>
      </c>
      <c r="G283" s="65">
        <f>IF($L283="","",INDEX(HSCEI!$L$7:$L$66,($L283-INT($L283/1000)*1000)))</f>
        <v/>
      </c>
      <c r="H283" s="87">
        <f>IF($L283="","",IF($F283="","",IFERROR(($F283-$E283)*INDEX(HSCEI!$B$7:$B$66,($L283-INT($L283/1000)*1000))*INDEX(HSCEI!$G$7:$G$66,($L283-INT($L283/1000)*1000))/HSCEI!$B$3,"")))</f>
        <v/>
      </c>
      <c r="I283" s="43">
        <f>IF($L283="","",INDEX(HSCEI!$U$7:$U$66,($L283-INT($L283/1000)*1000)))</f>
        <v/>
      </c>
      <c r="K283" s="35">
        <f>IF(HSCEI!$C$66="","",IFERROR(MATCH(HSCEI!$E$66,Fundamentals!$B$216:$B$226,0),99)*1000+60)</f>
        <v/>
      </c>
      <c r="L283" s="35">
        <f>IFERROR(SMALL($K$224:$K$283,60),"")</f>
        <v/>
      </c>
    </row>
  </sheetData>
  <conditionalFormatting sqref="D12:F71">
    <cfRule type="expression" priority="1" dxfId="0">
      <formula>AND($C$4="ON",ISNUMBER($D12))</formula>
    </cfRule>
  </conditionalFormatting>
  <conditionalFormatting sqref="B76:I175">
    <cfRule type="expression" priority="2" dxfId="1">
      <formula>AND($B76&lt;&gt;"",$B76&lt;&gt;$B75)</formula>
    </cfRule>
  </conditionalFormatting>
  <conditionalFormatting sqref="F76:F175">
    <cfRule type="expression" priority="3" dxfId="0">
      <formula>AND($C$4="ON",ISNUMBER($F76))</formula>
    </cfRule>
  </conditionalFormatting>
  <conditionalFormatting sqref="B180:I219">
    <cfRule type="expression" priority="4" dxfId="1">
      <formula>AND($B180&lt;&gt;"",$B180&lt;&gt;$B179)</formula>
    </cfRule>
  </conditionalFormatting>
  <conditionalFormatting sqref="F180:F219">
    <cfRule type="expression" priority="5" dxfId="0">
      <formula>AND($C$4="ON",ISNUMBER($F180))</formula>
    </cfRule>
  </conditionalFormatting>
  <conditionalFormatting sqref="B224:I283">
    <cfRule type="expression" priority="6" dxfId="1">
      <formula>AND($B224&lt;&gt;"",$B224&lt;&gt;$B223)</formula>
    </cfRule>
  </conditionalFormatting>
  <conditionalFormatting sqref="F224:F283">
    <cfRule type="expression" priority="7" dxfId="0">
      <formula>AND($C$4="ON",ISNUMBER($F224))</formula>
    </cfRule>
  </conditionalFormatting>
  <dataValidations count="2">
    <dataValidation sqref="C4" showDropDown="0" showInputMessage="0" showErrorMessage="0" allowBlank="0" type="list">
      <formula1>"ON,OFF"</formula1>
    </dataValidation>
    <dataValidation sqref="D12:F71"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tabColor rgb="008EAADB"/>
    <outlinePr summaryBelow="1" summaryRight="1"/>
    <pageSetUpPr/>
  </sheetPr>
  <dimension ref="A1:Z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Index (HSI)  -  MEMBERS, YOUR BASKET, AND THE YEAR MODEL</t>
        </is>
      </c>
    </row>
    <row r="2">
      <c r="A2" s="9" t="inlineStr">
        <is>
          <t>Index ticker</t>
        </is>
      </c>
      <c r="B2" s="14" t="inlineStr">
        <is>
          <t>HSI Index</t>
        </is>
      </c>
      <c r="G2" s="2" t="inlineStr">
        <is>
          <t>Members</t>
        </is>
      </c>
      <c r="H2" s="36">
        <f>SUMPRODUCT(($A$7:$A$106&lt;&gt;"")*1)</f>
        <v/>
      </c>
      <c r="K2" s="2" t="inlineStr">
        <is>
          <t>Qty pasted</t>
        </is>
      </c>
      <c r="L2" s="36">
        <f>COUNT($B$7:$B$106)</f>
        <v/>
      </c>
      <c r="O2" s="2" t="inlineStr">
        <is>
          <t>No qty</t>
        </is>
      </c>
      <c r="P2" s="36">
        <f>SUMPRODUCT(($A$7:$A$106&lt;&gt;"")*($B$7:$B$106=""))</f>
        <v/>
      </c>
      <c r="S2" s="2" t="inlineStr">
        <is>
          <t>Amount TBA</t>
        </is>
      </c>
      <c r="T2" s="36">
        <f>COUNTIF($U$7:$U$106,"TBA amount - override me")</f>
        <v/>
      </c>
    </row>
    <row r="3">
      <c r="A3" s="9" t="inlineStr">
        <is>
          <t>Index divisor</t>
        </is>
      </c>
      <c r="B3" s="25" t="n"/>
      <c r="C3" s="2" t="inlineStr">
        <is>
          <t>Paste the official divisor here and the basket quantities in column B, in CONSISTENT units - the SCALE FACTOR row on Summary flags a mismatch instantly. A refresh can reshuffle members; pasted quantities do NOT follow them.</t>
        </is>
      </c>
    </row>
    <row r="4">
      <c r="A4" s="3" t="inlineStr">
        <is>
          <t>MEMBER &amp; REFERENCE DATA (Bloomberg)</t>
        </is>
      </c>
      <c r="B4" s="4" t="n"/>
      <c r="C4" s="4" t="n"/>
      <c r="D4" s="4" t="n"/>
      <c r="E4" s="4" t="n"/>
      <c r="F4" s="4" t="n"/>
      <c r="G4" s="4" t="n"/>
      <c r="H4" s="4" t="n"/>
      <c r="I4" s="4" t="n"/>
      <c r="J4" s="53" t="inlineStr">
        <is>
          <t>DIVIDEND PER SHARE - declared currency</t>
        </is>
      </c>
      <c r="K4" s="54" t="n"/>
      <c r="L4" s="54" t="n"/>
      <c r="M4" s="54" t="n"/>
      <c r="N4" s="54" t="n"/>
      <c r="O4" s="53" t="inlineStr">
        <is>
          <t>INDEX POINTS</t>
        </is>
      </c>
      <c r="P4" s="54" t="n"/>
      <c r="Q4" s="54" t="n"/>
      <c r="R4" s="54" t="n"/>
      <c r="S4" s="54" t="n"/>
      <c r="T4" s="54" t="n"/>
      <c r="U4" s="3" t="inlineStr">
        <is>
          <t>FLAG / REFERENCE</t>
        </is>
      </c>
      <c r="V4" s="4" t="n"/>
      <c r="W4" s="4" t="n"/>
      <c r="X4" s="55" t="inlineStr">
        <is>
          <t>UNITS CHECK (price x qty must rebuild the index)</t>
        </is>
      </c>
      <c r="Y4" s="56" t="n"/>
      <c r="Z4" s="56" t="n"/>
    </row>
    <row r="5">
      <c r="N5" s="9" t="inlineStr">
        <is>
          <t>TOTAL -&gt;</t>
        </is>
      </c>
      <c r="O5" s="26">
        <f>IFERROR(SUM(O7:O106),"")</f>
        <v/>
      </c>
      <c r="P5" s="26">
        <f>IFERROR(SUM(P7:P106),"")</f>
        <v/>
      </c>
      <c r="Q5" s="46">
        <f>IFERROR(SUM(Q7:Q106),"")</f>
        <v/>
      </c>
      <c r="R5" s="26">
        <f>IFERROR(SUM(R7:R106),"")</f>
        <v/>
      </c>
      <c r="S5" s="26">
        <f>IFERROR(SUM(S7:S106),"")</f>
        <v/>
      </c>
      <c r="V5" s="26">
        <f>IFERROR(SUM(V7:V106),"")</f>
        <v/>
      </c>
      <c r="W5" s="26">
        <f>IFERROR(SUM(W7:W106),"")</f>
        <v/>
      </c>
      <c r="Y5" s="46">
        <f>IFERROR(SUM(Y7:Y106),"")</f>
        <v/>
      </c>
      <c r="Z5" s="88">
        <f>IFERROR(SUM(Z7:Z106),"")</f>
        <v/>
      </c>
    </row>
    <row r="6">
      <c r="A6" s="19" t="inlineStr">
        <is>
          <t>Member</t>
        </is>
      </c>
      <c r="B6" s="19" t="inlineStr">
        <is>
          <t>Basket
Qty</t>
        </is>
      </c>
      <c r="C6" s="19" t="inlineStr">
        <is>
          <t>Bloomberg Ticker</t>
        </is>
      </c>
      <c r="D6" s="19" t="inlineStr">
        <is>
          <t>Name</t>
        </is>
      </c>
      <c r="E6" s="19" t="inlineStr">
        <is>
          <t>GICS Sector</t>
        </is>
      </c>
      <c r="F6" s="19" t="inlineStr">
        <is>
          <t>Dvd
CCY</t>
        </is>
      </c>
      <c r="G6" s="19" t="inlineStr">
        <is>
          <t>FX -&gt;
HKD</t>
        </is>
      </c>
      <c r="H6" s="19" t="inlineStr">
        <is>
          <t>DPS 12M
(ref)</t>
        </is>
      </c>
      <c r="I6" s="19" t="inlineStr">
        <is>
          <t>Yld 12M
(ref)</t>
        </is>
      </c>
      <c r="J6" s="19" t="inlineStr">
        <is>
          <t>Realized
DPS</t>
        </is>
      </c>
      <c r="K6" s="19" t="inlineStr">
        <is>
          <t>To come
DPS (BBG)</t>
        </is>
      </c>
      <c r="L6" s="19" t="inlineStr">
        <is>
          <t>To come
DPS (eff)</t>
        </is>
      </c>
      <c r="M6" s="19" t="inlineStr">
        <is>
          <t>LOW
DPS</t>
        </is>
      </c>
      <c r="N6" s="19" t="inlineStr">
        <is>
          <t>HIGH
DPS</t>
        </is>
      </c>
      <c r="O6" s="58" t="inlineStr">
        <is>
          <t>Realized
(pts)</t>
        </is>
      </c>
      <c r="P6" s="58" t="inlineStr">
        <is>
          <t>To come
(pts)</t>
        </is>
      </c>
      <c r="Q6" s="58" t="inlineStr">
        <is>
          <t>YEAR
TOTAL (pts)</t>
        </is>
      </c>
      <c r="R6" s="58" t="inlineStr">
        <is>
          <t>LOW
(pts)</t>
        </is>
      </c>
      <c r="S6" s="58" t="inlineStr">
        <is>
          <t>HIGH
(pts)</t>
        </is>
      </c>
      <c r="T6" s="58" t="inlineStr">
        <is>
          <t>% of yr
dvds</t>
        </is>
      </c>
      <c r="U6" s="19" t="inlineStr">
        <is>
          <t>Flag</t>
        </is>
      </c>
      <c r="V6" s="19" t="inlineStr">
        <is>
          <t>12M pts
(ref)</t>
        </is>
      </c>
      <c r="W6" s="19" t="inlineStr">
        <is>
          <t>To come
pts (BBG)</t>
        </is>
      </c>
      <c r="X6" s="61" t="inlineStr">
        <is>
          <t>Price
(PX_LAST)</t>
        </is>
      </c>
      <c r="Y6" s="61" t="inlineStr">
        <is>
          <t>Value
(index pts)</t>
        </is>
      </c>
      <c r="Z6" s="61" t="inlineStr">
        <is>
          <t>Index
weight</t>
        </is>
      </c>
    </row>
    <row r="7">
      <c r="A7" s="6">
        <f>BDS($B$2,"INDX_MEMBERS")</f>
        <v/>
      </c>
      <c r="B7" s="89" t="n"/>
      <c r="C7" s="6">
        <f>IF($A7="","",$A7&amp;" Equity")</f>
        <v/>
      </c>
      <c r="D7" s="6">
        <f>IF($C7="","",BDP($C7,"NAME"))</f>
        <v/>
      </c>
      <c r="E7" s="6">
        <f>IF($C7="","",BDP($C7,"GICS_SECTOR_NAME"))</f>
        <v/>
      </c>
      <c r="F7" s="33">
        <f>IF($C7="","",BDP($C7,FLD_CCY))</f>
        <v/>
      </c>
      <c r="G7" s="90">
        <f>IFERROR(IF(LEN($F7)&lt;&gt;3,1,IF($F7="HKD",1,BDP(IF($F7="CNY",RMB_CROSS,$F7)&amp;"HKD Curncy","PX_LAST"))),1)</f>
        <v/>
      </c>
      <c r="H7" s="65">
        <f>IF($C7="","",BDP($C7,FLD_DPS12M))</f>
        <v/>
      </c>
      <c r="I7" s="47">
        <f>IF($C7="","",BDP($C7,FLD_YLD12M))</f>
        <v/>
      </c>
      <c r="J7" s="49">
        <f>IF($B7="",0,SUMPRODUCT(('Dvd Calendar'!$E$11:$AR$11&gt;=DATE(YEAR_Y,1,1))*('Dvd Calendar'!$E$11:$AR$11&lt;=REALIZED_TO)*'Dvd Calendar'!$E$14:$AR$14*(('Dvd Calendar'!$E$16:$AR$16=TYPE1)*(TYPE1&lt;&gt;"")+('Dvd Calendar'!$E$16:$AR$16=TYPE2)*(TYPE2&lt;&gt;"")+('Dvd Calendar'!$E$16:$AR$16=TYPE3)*(TYPE3&lt;&gt;"")+('Dvd Calendar'!$E$16:$AR$16=TYPE4)*(TYPE4&lt;&gt;"")+('Dvd Calendar'!$E$16:$AR$16=SPECIAL_LBL)*(INC_SPECIALS="Y"))))</f>
        <v/>
      </c>
      <c r="K7" s="49">
        <f>IF($B7="",0,SUMIFS('Dvd Calendar'!$E$19:$AR$19,'Dvd Calendar'!$E$18:$AR$18,"&gt;"&amp;PROJ_FROM,'Dvd Calendar'!$E$18:$AR$18,"&lt;="&amp;DATE(YEAR_Y,12,31)))</f>
        <v/>
      </c>
      <c r="L7" s="49">
        <f>IF($B7="",0,IF((OV_SWITCH="ON")*(COUNTIFS(OVR_TICKERS,$C7,OVR_BASE,"&gt;=0")&gt;0)&gt;0,SUMIFS(OVR_BASE,OVR_TICKERS,$C7),$K7))</f>
        <v/>
      </c>
      <c r="M7" s="49">
        <f>IF($B7="",0,IF((OV_SWITCH="ON")*(COUNTIFS(OVR_TICKERS,$C7,OVR_LOW,"&gt;=0")&gt;0)&gt;0,SUMIFS(OVR_LOW,OVR_TICKERS,$C7),$L7))</f>
        <v/>
      </c>
      <c r="N7" s="49">
        <f>IF($B7="",0,IF((OV_SWITCH="ON")*(COUNTIFS(OVR_TICKERS,$C7,OVR_HIGH,"&gt;=0")&gt;0)&gt;0,SUMIFS(OVR_HIGH,OVR_TICKERS,$C7),$L7))</f>
        <v/>
      </c>
      <c r="O7" s="65">
        <f>IF($B7="","",IFERROR($B7*$G7*$J7/$B$3,""))</f>
        <v/>
      </c>
      <c r="P7" s="65">
        <f>IF($B7="","",IFERROR($B7*$G7*$L7/$B$3,""))</f>
        <v/>
      </c>
      <c r="Q7" s="41">
        <f>IF($B7="","",IFERROR($O7+$P7,""))</f>
        <v/>
      </c>
      <c r="R7" s="65">
        <f>IF($B7="","",IFERROR($O7+$B7*$G7*$M7/$B$3,""))</f>
        <v/>
      </c>
      <c r="S7" s="65">
        <f>IF($B7="","",IFERROR($O7+$B7*$G7*$N7/$B$3,""))</f>
        <v/>
      </c>
      <c r="T7" s="80">
        <f>IF($B7="","",IFERROR($Q7/$Q$5,""))</f>
        <v/>
      </c>
      <c r="U7" s="2">
        <f>IF($B7="","",IF(COUNTIFS('Dvd Calendar'!$E$17:$AR$17,"&gt;0",'Dvd Calendar'!$E$17:$AR$17,"&lt;="&amp;VAL_DATE,'Dvd Calendar'!$E$18:$AR$18,"&gt;"&amp;PROJ_FROM,'Dvd Calendar'!$E$18:$AR$18,"&lt;="&amp;DATE(YEAR_Y,12,31))-COUNTIFS('Dvd Calendar'!$E$17:$AR$17,"&gt;0",'Dvd Calendar'!$E$17:$AR$17,"&lt;="&amp;VAL_DATE,'Dvd Calendar'!$E$18:$AR$18,"&gt;"&amp;PROJ_FROM,'Dvd Calendar'!$E$18:$AR$18,"&lt;="&amp;DATE(YEAR_Y,12,31),'Dvd Calendar'!$E$19:$AR$19,"&gt;=0")&gt;0,"TBA amount - override me",IF((OV_SWITCH="ON")*(COUNTIFS(OVR_TICKERS,$C7,OVR_BASE,"&gt;=0")&gt;0)&gt;0,"overridden",IF($J7+$K7=0,"no dividend in year Y",""))))</f>
        <v/>
      </c>
      <c r="V7" s="65">
        <f>IF($B7="","",IFERROR(IF(ISNUMBER($H7),$B7*$G7*$H7/$B$3,0),""))</f>
        <v/>
      </c>
      <c r="W7" s="65">
        <f>IF($B7="","",IFERROR($B7*$G7*$K7/$B$3,""))</f>
        <v/>
      </c>
      <c r="X7" s="91">
        <f>IF($C7="","",BDP($C7,"PX_LAST"))</f>
        <v/>
      </c>
      <c r="Y7" s="65">
        <f>IF($B7="","",IFERROR($B7*$X7/$B$3,""))</f>
        <v/>
      </c>
      <c r="Z7" s="76">
        <f>IF($B7="","",IFERROR($Y7/$Y$5,""))</f>
        <v/>
      </c>
    </row>
    <row r="8">
      <c r="B8" s="89" t="n"/>
      <c r="C8" s="6">
        <f>IF($A8="","",$A8&amp;" Equity")</f>
        <v/>
      </c>
      <c r="D8" s="6">
        <f>IF($C8="","",BDP($C8,"NAME"))</f>
        <v/>
      </c>
      <c r="E8" s="6">
        <f>IF($C8="","",BDP($C8,"GICS_SECTOR_NAME"))</f>
        <v/>
      </c>
      <c r="F8" s="33">
        <f>IF($C8="","",BDP($C8,FLD_CCY))</f>
        <v/>
      </c>
      <c r="G8" s="90">
        <f>IFERROR(IF(LEN($F8)&lt;&gt;3,1,IF($F8="HKD",1,BDP(IF($F8="CNY",RMB_CROSS,$F8)&amp;"HKD Curncy","PX_LAST"))),1)</f>
        <v/>
      </c>
      <c r="H8" s="65">
        <f>IF($C8="","",BDP($C8,FLD_DPS12M))</f>
        <v/>
      </c>
      <c r="I8" s="47">
        <f>IF($C8="","",BDP($C8,FLD_YLD12M))</f>
        <v/>
      </c>
      <c r="J8" s="49">
        <f>IF($B8="",0,SUMPRODUCT(('Dvd Calendar'!$E$22:$AR$22&gt;=DATE(YEAR_Y,1,1))*('Dvd Calendar'!$E$22:$AR$22&lt;=REALIZED_TO)*'Dvd Calendar'!$E$25:$AR$25*(('Dvd Calendar'!$E$27:$AR$27=TYPE1)*(TYPE1&lt;&gt;"")+('Dvd Calendar'!$E$27:$AR$27=TYPE2)*(TYPE2&lt;&gt;"")+('Dvd Calendar'!$E$27:$AR$27=TYPE3)*(TYPE3&lt;&gt;"")+('Dvd Calendar'!$E$27:$AR$27=TYPE4)*(TYPE4&lt;&gt;"")+('Dvd Calendar'!$E$27:$AR$27=SPECIAL_LBL)*(INC_SPECIALS="Y"))))</f>
        <v/>
      </c>
      <c r="K8" s="49">
        <f>IF($B8="",0,SUMIFS('Dvd Calendar'!$E$30:$AR$30,'Dvd Calendar'!$E$29:$AR$29,"&gt;"&amp;PROJ_FROM,'Dvd Calendar'!$E$29:$AR$29,"&lt;="&amp;DATE(YEAR_Y,12,31)))</f>
        <v/>
      </c>
      <c r="L8" s="49">
        <f>IF($B8="",0,IF((OV_SWITCH="ON")*(COUNTIFS(OVR_TICKERS,$C8,OVR_BASE,"&gt;=0")&gt;0)&gt;0,SUMIFS(OVR_BASE,OVR_TICKERS,$C8),$K8))</f>
        <v/>
      </c>
      <c r="M8" s="49">
        <f>IF($B8="",0,IF((OV_SWITCH="ON")*(COUNTIFS(OVR_TICKERS,$C8,OVR_LOW,"&gt;=0")&gt;0)&gt;0,SUMIFS(OVR_LOW,OVR_TICKERS,$C8),$L8))</f>
        <v/>
      </c>
      <c r="N8" s="49">
        <f>IF($B8="",0,IF((OV_SWITCH="ON")*(COUNTIFS(OVR_TICKERS,$C8,OVR_HIGH,"&gt;=0")&gt;0)&gt;0,SUMIFS(OVR_HIGH,OVR_TICKERS,$C8),$L8))</f>
        <v/>
      </c>
      <c r="O8" s="65">
        <f>IF($B8="","",IFERROR($B8*$G8*$J8/$B$3,""))</f>
        <v/>
      </c>
      <c r="P8" s="65">
        <f>IF($B8="","",IFERROR($B8*$G8*$L8/$B$3,""))</f>
        <v/>
      </c>
      <c r="Q8" s="41">
        <f>IF($B8="","",IFERROR($O8+$P8,""))</f>
        <v/>
      </c>
      <c r="R8" s="65">
        <f>IF($B8="","",IFERROR($O8+$B8*$G8*$M8/$B$3,""))</f>
        <v/>
      </c>
      <c r="S8" s="65">
        <f>IF($B8="","",IFERROR($O8+$B8*$G8*$N8/$B$3,""))</f>
        <v/>
      </c>
      <c r="T8" s="80">
        <f>IF($B8="","",IFERROR($Q8/$Q$5,""))</f>
        <v/>
      </c>
      <c r="U8" s="2">
        <f>IF($B8="","",IF(COUNTIFS('Dvd Calendar'!$E$28:$AR$28,"&gt;0",'Dvd Calendar'!$E$28:$AR$28,"&lt;="&amp;VAL_DATE,'Dvd Calendar'!$E$29:$AR$29,"&gt;"&amp;PROJ_FROM,'Dvd Calendar'!$E$29:$AR$29,"&lt;="&amp;DATE(YEAR_Y,12,31))-COUNTIFS('Dvd Calendar'!$E$28:$AR$28,"&gt;0",'Dvd Calendar'!$E$28:$AR$28,"&lt;="&amp;VAL_DATE,'Dvd Calendar'!$E$29:$AR$29,"&gt;"&amp;PROJ_FROM,'Dvd Calendar'!$E$29:$AR$29,"&lt;="&amp;DATE(YEAR_Y,12,31),'Dvd Calendar'!$E$30:$AR$30,"&gt;=0")&gt;0,"TBA amount - override me",IF((OV_SWITCH="ON")*(COUNTIFS(OVR_TICKERS,$C8,OVR_BASE,"&gt;=0")&gt;0)&gt;0,"overridden",IF($J8+$K8=0,"no dividend in year Y",""))))</f>
        <v/>
      </c>
      <c r="V8" s="65">
        <f>IF($B8="","",IFERROR(IF(ISNUMBER($H8),$B8*$G8*$H8/$B$3,0),""))</f>
        <v/>
      </c>
      <c r="W8" s="65">
        <f>IF($B8="","",IFERROR($B8*$G8*$K8/$B$3,""))</f>
        <v/>
      </c>
      <c r="X8" s="91">
        <f>IF($C8="","",BDP($C8,"PX_LAST"))</f>
        <v/>
      </c>
      <c r="Y8" s="65">
        <f>IF($B8="","",IFERROR($B8*$X8/$B$3,""))</f>
        <v/>
      </c>
      <c r="Z8" s="76">
        <f>IF($B8="","",IFERROR($Y8/$Y$5,""))</f>
        <v/>
      </c>
    </row>
    <row r="9">
      <c r="B9" s="89" t="n"/>
      <c r="C9" s="6">
        <f>IF($A9="","",$A9&amp;" Equity")</f>
        <v/>
      </c>
      <c r="D9" s="6">
        <f>IF($C9="","",BDP($C9,"NAME"))</f>
        <v/>
      </c>
      <c r="E9" s="6">
        <f>IF($C9="","",BDP($C9,"GICS_SECTOR_NAME"))</f>
        <v/>
      </c>
      <c r="F9" s="33">
        <f>IF($C9="","",BDP($C9,FLD_CCY))</f>
        <v/>
      </c>
      <c r="G9" s="90">
        <f>IFERROR(IF(LEN($F9)&lt;&gt;3,1,IF($F9="HKD",1,BDP(IF($F9="CNY",RMB_CROSS,$F9)&amp;"HKD Curncy","PX_LAST"))),1)</f>
        <v/>
      </c>
      <c r="H9" s="65">
        <f>IF($C9="","",BDP($C9,FLD_DPS12M))</f>
        <v/>
      </c>
      <c r="I9" s="47">
        <f>IF($C9="","",BDP($C9,FLD_YLD12M))</f>
        <v/>
      </c>
      <c r="J9" s="49">
        <f>IF($B9="",0,SUMPRODUCT(('Dvd Calendar'!$E$33:$AR$33&gt;=DATE(YEAR_Y,1,1))*('Dvd Calendar'!$E$33:$AR$33&lt;=REALIZED_TO)*'Dvd Calendar'!$E$36:$AR$36*(('Dvd Calendar'!$E$38:$AR$38=TYPE1)*(TYPE1&lt;&gt;"")+('Dvd Calendar'!$E$38:$AR$38=TYPE2)*(TYPE2&lt;&gt;"")+('Dvd Calendar'!$E$38:$AR$38=TYPE3)*(TYPE3&lt;&gt;"")+('Dvd Calendar'!$E$38:$AR$38=TYPE4)*(TYPE4&lt;&gt;"")+('Dvd Calendar'!$E$38:$AR$38=SPECIAL_LBL)*(INC_SPECIALS="Y"))))</f>
        <v/>
      </c>
      <c r="K9" s="49">
        <f>IF($B9="",0,SUMIFS('Dvd Calendar'!$E$41:$AR$41,'Dvd Calendar'!$E$40:$AR$40,"&gt;"&amp;PROJ_FROM,'Dvd Calendar'!$E$40:$AR$40,"&lt;="&amp;DATE(YEAR_Y,12,31)))</f>
        <v/>
      </c>
      <c r="L9" s="49">
        <f>IF($B9="",0,IF((OV_SWITCH="ON")*(COUNTIFS(OVR_TICKERS,$C9,OVR_BASE,"&gt;=0")&gt;0)&gt;0,SUMIFS(OVR_BASE,OVR_TICKERS,$C9),$K9))</f>
        <v/>
      </c>
      <c r="M9" s="49">
        <f>IF($B9="",0,IF((OV_SWITCH="ON")*(COUNTIFS(OVR_TICKERS,$C9,OVR_LOW,"&gt;=0")&gt;0)&gt;0,SUMIFS(OVR_LOW,OVR_TICKERS,$C9),$L9))</f>
        <v/>
      </c>
      <c r="N9" s="49">
        <f>IF($B9="",0,IF((OV_SWITCH="ON")*(COUNTIFS(OVR_TICKERS,$C9,OVR_HIGH,"&gt;=0")&gt;0)&gt;0,SUMIFS(OVR_HIGH,OVR_TICKERS,$C9),$L9))</f>
        <v/>
      </c>
      <c r="O9" s="65">
        <f>IF($B9="","",IFERROR($B9*$G9*$J9/$B$3,""))</f>
        <v/>
      </c>
      <c r="P9" s="65">
        <f>IF($B9="","",IFERROR($B9*$G9*$L9/$B$3,""))</f>
        <v/>
      </c>
      <c r="Q9" s="41">
        <f>IF($B9="","",IFERROR($O9+$P9,""))</f>
        <v/>
      </c>
      <c r="R9" s="65">
        <f>IF($B9="","",IFERROR($O9+$B9*$G9*$M9/$B$3,""))</f>
        <v/>
      </c>
      <c r="S9" s="65">
        <f>IF($B9="","",IFERROR($O9+$B9*$G9*$N9/$B$3,""))</f>
        <v/>
      </c>
      <c r="T9" s="80">
        <f>IF($B9="","",IFERROR($Q9/$Q$5,""))</f>
        <v/>
      </c>
      <c r="U9" s="2">
        <f>IF($B9="","",IF(COUNTIFS('Dvd Calendar'!$E$39:$AR$39,"&gt;0",'Dvd Calendar'!$E$39:$AR$39,"&lt;="&amp;VAL_DATE,'Dvd Calendar'!$E$40:$AR$40,"&gt;"&amp;PROJ_FROM,'Dvd Calendar'!$E$40:$AR$40,"&lt;="&amp;DATE(YEAR_Y,12,31))-COUNTIFS('Dvd Calendar'!$E$39:$AR$39,"&gt;0",'Dvd Calendar'!$E$39:$AR$39,"&lt;="&amp;VAL_DATE,'Dvd Calendar'!$E$40:$AR$40,"&gt;"&amp;PROJ_FROM,'Dvd Calendar'!$E$40:$AR$40,"&lt;="&amp;DATE(YEAR_Y,12,31),'Dvd Calendar'!$E$41:$AR$41,"&gt;=0")&gt;0,"TBA amount - override me",IF((OV_SWITCH="ON")*(COUNTIFS(OVR_TICKERS,$C9,OVR_BASE,"&gt;=0")&gt;0)&gt;0,"overridden",IF($J9+$K9=0,"no dividend in year Y",""))))</f>
        <v/>
      </c>
      <c r="V9" s="65">
        <f>IF($B9="","",IFERROR(IF(ISNUMBER($H9),$B9*$G9*$H9/$B$3,0),""))</f>
        <v/>
      </c>
      <c r="W9" s="65">
        <f>IF($B9="","",IFERROR($B9*$G9*$K9/$B$3,""))</f>
        <v/>
      </c>
      <c r="X9" s="91">
        <f>IF($C9="","",BDP($C9,"PX_LAST"))</f>
        <v/>
      </c>
      <c r="Y9" s="65">
        <f>IF($B9="","",IFERROR($B9*$X9/$B$3,""))</f>
        <v/>
      </c>
      <c r="Z9" s="76">
        <f>IF($B9="","",IFERROR($Y9/$Y$5,""))</f>
        <v/>
      </c>
    </row>
    <row r="10">
      <c r="B10" s="89" t="n"/>
      <c r="C10" s="6">
        <f>IF($A10="","",$A10&amp;" Equity")</f>
        <v/>
      </c>
      <c r="D10" s="6">
        <f>IF($C10="","",BDP($C10,"NAME"))</f>
        <v/>
      </c>
      <c r="E10" s="6">
        <f>IF($C10="","",BDP($C10,"GICS_SECTOR_NAME"))</f>
        <v/>
      </c>
      <c r="F10" s="33">
        <f>IF($C10="","",BDP($C10,FLD_CCY))</f>
        <v/>
      </c>
      <c r="G10" s="90">
        <f>IFERROR(IF(LEN($F10)&lt;&gt;3,1,IF($F10="HKD",1,BDP(IF($F10="CNY",RMB_CROSS,$F10)&amp;"HKD Curncy","PX_LAST"))),1)</f>
        <v/>
      </c>
      <c r="H10" s="65">
        <f>IF($C10="","",BDP($C10,FLD_DPS12M))</f>
        <v/>
      </c>
      <c r="I10" s="47">
        <f>IF($C10="","",BDP($C10,FLD_YLD12M))</f>
        <v/>
      </c>
      <c r="J10" s="49">
        <f>IF($B10="",0,SUMPRODUCT(('Dvd Calendar'!$E$44:$AR$44&gt;=DATE(YEAR_Y,1,1))*('Dvd Calendar'!$E$44:$AR$44&lt;=REALIZED_TO)*'Dvd Calendar'!$E$47:$AR$47*(('Dvd Calendar'!$E$49:$AR$49=TYPE1)*(TYPE1&lt;&gt;"")+('Dvd Calendar'!$E$49:$AR$49=TYPE2)*(TYPE2&lt;&gt;"")+('Dvd Calendar'!$E$49:$AR$49=TYPE3)*(TYPE3&lt;&gt;"")+('Dvd Calendar'!$E$49:$AR$49=TYPE4)*(TYPE4&lt;&gt;"")+('Dvd Calendar'!$E$49:$AR$49=SPECIAL_LBL)*(INC_SPECIALS="Y"))))</f>
        <v/>
      </c>
      <c r="K10" s="49">
        <f>IF($B10="",0,SUMIFS('Dvd Calendar'!$E$52:$AR$52,'Dvd Calendar'!$E$51:$AR$51,"&gt;"&amp;PROJ_FROM,'Dvd Calendar'!$E$51:$AR$51,"&lt;="&amp;DATE(YEAR_Y,12,31)))</f>
        <v/>
      </c>
      <c r="L10" s="49">
        <f>IF($B10="",0,IF((OV_SWITCH="ON")*(COUNTIFS(OVR_TICKERS,$C10,OVR_BASE,"&gt;=0")&gt;0)&gt;0,SUMIFS(OVR_BASE,OVR_TICKERS,$C10),$K10))</f>
        <v/>
      </c>
      <c r="M10" s="49">
        <f>IF($B10="",0,IF((OV_SWITCH="ON")*(COUNTIFS(OVR_TICKERS,$C10,OVR_LOW,"&gt;=0")&gt;0)&gt;0,SUMIFS(OVR_LOW,OVR_TICKERS,$C10),$L10))</f>
        <v/>
      </c>
      <c r="N10" s="49">
        <f>IF($B10="",0,IF((OV_SWITCH="ON")*(COUNTIFS(OVR_TICKERS,$C10,OVR_HIGH,"&gt;=0")&gt;0)&gt;0,SUMIFS(OVR_HIGH,OVR_TICKERS,$C10),$L10))</f>
        <v/>
      </c>
      <c r="O10" s="65">
        <f>IF($B10="","",IFERROR($B10*$G10*$J10/$B$3,""))</f>
        <v/>
      </c>
      <c r="P10" s="65">
        <f>IF($B10="","",IFERROR($B10*$G10*$L10/$B$3,""))</f>
        <v/>
      </c>
      <c r="Q10" s="41">
        <f>IF($B10="","",IFERROR($O10+$P10,""))</f>
        <v/>
      </c>
      <c r="R10" s="65">
        <f>IF($B10="","",IFERROR($O10+$B10*$G10*$M10/$B$3,""))</f>
        <v/>
      </c>
      <c r="S10" s="65">
        <f>IF($B10="","",IFERROR($O10+$B10*$G10*$N10/$B$3,""))</f>
        <v/>
      </c>
      <c r="T10" s="80">
        <f>IF($B10="","",IFERROR($Q10/$Q$5,""))</f>
        <v/>
      </c>
      <c r="U10" s="2">
        <f>IF($B10="","",IF(COUNTIFS('Dvd Calendar'!$E$50:$AR$50,"&gt;0",'Dvd Calendar'!$E$50:$AR$50,"&lt;="&amp;VAL_DATE,'Dvd Calendar'!$E$51:$AR$51,"&gt;"&amp;PROJ_FROM,'Dvd Calendar'!$E$51:$AR$51,"&lt;="&amp;DATE(YEAR_Y,12,31))-COUNTIFS('Dvd Calendar'!$E$50:$AR$50,"&gt;0",'Dvd Calendar'!$E$50:$AR$50,"&lt;="&amp;VAL_DATE,'Dvd Calendar'!$E$51:$AR$51,"&gt;"&amp;PROJ_FROM,'Dvd Calendar'!$E$51:$AR$51,"&lt;="&amp;DATE(YEAR_Y,12,31),'Dvd Calendar'!$E$52:$AR$52,"&gt;=0")&gt;0,"TBA amount - override me",IF((OV_SWITCH="ON")*(COUNTIFS(OVR_TICKERS,$C10,OVR_BASE,"&gt;=0")&gt;0)&gt;0,"overridden",IF($J10+$K10=0,"no dividend in year Y",""))))</f>
        <v/>
      </c>
      <c r="V10" s="65">
        <f>IF($B10="","",IFERROR(IF(ISNUMBER($H10),$B10*$G10*$H10/$B$3,0),""))</f>
        <v/>
      </c>
      <c r="W10" s="65">
        <f>IF($B10="","",IFERROR($B10*$G10*$K10/$B$3,""))</f>
        <v/>
      </c>
      <c r="X10" s="91">
        <f>IF($C10="","",BDP($C10,"PX_LAST"))</f>
        <v/>
      </c>
      <c r="Y10" s="65">
        <f>IF($B10="","",IFERROR($B10*$X10/$B$3,""))</f>
        <v/>
      </c>
      <c r="Z10" s="76">
        <f>IF($B10="","",IFERROR($Y10/$Y$5,""))</f>
        <v/>
      </c>
    </row>
    <row r="11">
      <c r="B11" s="89" t="n"/>
      <c r="C11" s="6">
        <f>IF($A11="","",$A11&amp;" Equity")</f>
        <v/>
      </c>
      <c r="D11" s="6">
        <f>IF($C11="","",BDP($C11,"NAME"))</f>
        <v/>
      </c>
      <c r="E11" s="6">
        <f>IF($C11="","",BDP($C11,"GICS_SECTOR_NAME"))</f>
        <v/>
      </c>
      <c r="F11" s="33">
        <f>IF($C11="","",BDP($C11,FLD_CCY))</f>
        <v/>
      </c>
      <c r="G11" s="90">
        <f>IFERROR(IF(LEN($F11)&lt;&gt;3,1,IF($F11="HKD",1,BDP(IF($F11="CNY",RMB_CROSS,$F11)&amp;"HKD Curncy","PX_LAST"))),1)</f>
        <v/>
      </c>
      <c r="H11" s="65">
        <f>IF($C11="","",BDP($C11,FLD_DPS12M))</f>
        <v/>
      </c>
      <c r="I11" s="47">
        <f>IF($C11="","",BDP($C11,FLD_YLD12M))</f>
        <v/>
      </c>
      <c r="J11" s="49">
        <f>IF($B11="",0,SUMPRODUCT(('Dvd Calendar'!$E$55:$AR$55&gt;=DATE(YEAR_Y,1,1))*('Dvd Calendar'!$E$55:$AR$55&lt;=REALIZED_TO)*'Dvd Calendar'!$E$58:$AR$58*(('Dvd Calendar'!$E$60:$AR$60=TYPE1)*(TYPE1&lt;&gt;"")+('Dvd Calendar'!$E$60:$AR$60=TYPE2)*(TYPE2&lt;&gt;"")+('Dvd Calendar'!$E$60:$AR$60=TYPE3)*(TYPE3&lt;&gt;"")+('Dvd Calendar'!$E$60:$AR$60=TYPE4)*(TYPE4&lt;&gt;"")+('Dvd Calendar'!$E$60:$AR$60=SPECIAL_LBL)*(INC_SPECIALS="Y"))))</f>
        <v/>
      </c>
      <c r="K11" s="49">
        <f>IF($B11="",0,SUMIFS('Dvd Calendar'!$E$63:$AR$63,'Dvd Calendar'!$E$62:$AR$62,"&gt;"&amp;PROJ_FROM,'Dvd Calendar'!$E$62:$AR$62,"&lt;="&amp;DATE(YEAR_Y,12,31)))</f>
        <v/>
      </c>
      <c r="L11" s="49">
        <f>IF($B11="",0,IF((OV_SWITCH="ON")*(COUNTIFS(OVR_TICKERS,$C11,OVR_BASE,"&gt;=0")&gt;0)&gt;0,SUMIFS(OVR_BASE,OVR_TICKERS,$C11),$K11))</f>
        <v/>
      </c>
      <c r="M11" s="49">
        <f>IF($B11="",0,IF((OV_SWITCH="ON")*(COUNTIFS(OVR_TICKERS,$C11,OVR_LOW,"&gt;=0")&gt;0)&gt;0,SUMIFS(OVR_LOW,OVR_TICKERS,$C11),$L11))</f>
        <v/>
      </c>
      <c r="N11" s="49">
        <f>IF($B11="",0,IF((OV_SWITCH="ON")*(COUNTIFS(OVR_TICKERS,$C11,OVR_HIGH,"&gt;=0")&gt;0)&gt;0,SUMIFS(OVR_HIGH,OVR_TICKERS,$C11),$L11))</f>
        <v/>
      </c>
      <c r="O11" s="65">
        <f>IF($B11="","",IFERROR($B11*$G11*$J11/$B$3,""))</f>
        <v/>
      </c>
      <c r="P11" s="65">
        <f>IF($B11="","",IFERROR($B11*$G11*$L11/$B$3,""))</f>
        <v/>
      </c>
      <c r="Q11" s="41">
        <f>IF($B11="","",IFERROR($O11+$P11,""))</f>
        <v/>
      </c>
      <c r="R11" s="65">
        <f>IF($B11="","",IFERROR($O11+$B11*$G11*$M11/$B$3,""))</f>
        <v/>
      </c>
      <c r="S11" s="65">
        <f>IF($B11="","",IFERROR($O11+$B11*$G11*$N11/$B$3,""))</f>
        <v/>
      </c>
      <c r="T11" s="80">
        <f>IF($B11="","",IFERROR($Q11/$Q$5,""))</f>
        <v/>
      </c>
      <c r="U11" s="2">
        <f>IF($B11="","",IF(COUNTIFS('Dvd Calendar'!$E$61:$AR$61,"&gt;0",'Dvd Calendar'!$E$61:$AR$61,"&lt;="&amp;VAL_DATE,'Dvd Calendar'!$E$62:$AR$62,"&gt;"&amp;PROJ_FROM,'Dvd Calendar'!$E$62:$AR$62,"&lt;="&amp;DATE(YEAR_Y,12,31))-COUNTIFS('Dvd Calendar'!$E$61:$AR$61,"&gt;0",'Dvd Calendar'!$E$61:$AR$61,"&lt;="&amp;VAL_DATE,'Dvd Calendar'!$E$62:$AR$62,"&gt;"&amp;PROJ_FROM,'Dvd Calendar'!$E$62:$AR$62,"&lt;="&amp;DATE(YEAR_Y,12,31),'Dvd Calendar'!$E$63:$AR$63,"&gt;=0")&gt;0,"TBA amount - override me",IF((OV_SWITCH="ON")*(COUNTIFS(OVR_TICKERS,$C11,OVR_BASE,"&gt;=0")&gt;0)&gt;0,"overridden",IF($J11+$K11=0,"no dividend in year Y",""))))</f>
        <v/>
      </c>
      <c r="V11" s="65">
        <f>IF($B11="","",IFERROR(IF(ISNUMBER($H11),$B11*$G11*$H11/$B$3,0),""))</f>
        <v/>
      </c>
      <c r="W11" s="65">
        <f>IF($B11="","",IFERROR($B11*$G11*$K11/$B$3,""))</f>
        <v/>
      </c>
      <c r="X11" s="91">
        <f>IF($C11="","",BDP($C11,"PX_LAST"))</f>
        <v/>
      </c>
      <c r="Y11" s="65">
        <f>IF($B11="","",IFERROR($B11*$X11/$B$3,""))</f>
        <v/>
      </c>
      <c r="Z11" s="76">
        <f>IF($B11="","",IFERROR($Y11/$Y$5,""))</f>
        <v/>
      </c>
    </row>
    <row r="12">
      <c r="B12" s="89" t="n"/>
      <c r="C12" s="6">
        <f>IF($A12="","",$A12&amp;" Equity")</f>
        <v/>
      </c>
      <c r="D12" s="6">
        <f>IF($C12="","",BDP($C12,"NAME"))</f>
        <v/>
      </c>
      <c r="E12" s="6">
        <f>IF($C12="","",BDP($C12,"GICS_SECTOR_NAME"))</f>
        <v/>
      </c>
      <c r="F12" s="33">
        <f>IF($C12="","",BDP($C12,FLD_CCY))</f>
        <v/>
      </c>
      <c r="G12" s="90">
        <f>IFERROR(IF(LEN($F12)&lt;&gt;3,1,IF($F12="HKD",1,BDP(IF($F12="CNY",RMB_CROSS,$F12)&amp;"HKD Curncy","PX_LAST"))),1)</f>
        <v/>
      </c>
      <c r="H12" s="65">
        <f>IF($C12="","",BDP($C12,FLD_DPS12M))</f>
        <v/>
      </c>
      <c r="I12" s="47">
        <f>IF($C12="","",BDP($C12,FLD_YLD12M))</f>
        <v/>
      </c>
      <c r="J12" s="49">
        <f>IF($B12="",0,SUMPRODUCT(('Dvd Calendar'!$E$66:$AR$66&gt;=DATE(YEAR_Y,1,1))*('Dvd Calendar'!$E$66:$AR$66&lt;=REALIZED_TO)*'Dvd Calendar'!$E$69:$AR$69*(('Dvd Calendar'!$E$71:$AR$71=TYPE1)*(TYPE1&lt;&gt;"")+('Dvd Calendar'!$E$71:$AR$71=TYPE2)*(TYPE2&lt;&gt;"")+('Dvd Calendar'!$E$71:$AR$71=TYPE3)*(TYPE3&lt;&gt;"")+('Dvd Calendar'!$E$71:$AR$71=TYPE4)*(TYPE4&lt;&gt;"")+('Dvd Calendar'!$E$71:$AR$71=SPECIAL_LBL)*(INC_SPECIALS="Y"))))</f>
        <v/>
      </c>
      <c r="K12" s="49">
        <f>IF($B12="",0,SUMIFS('Dvd Calendar'!$E$74:$AR$74,'Dvd Calendar'!$E$73:$AR$73,"&gt;"&amp;PROJ_FROM,'Dvd Calendar'!$E$73:$AR$73,"&lt;="&amp;DATE(YEAR_Y,12,31)))</f>
        <v/>
      </c>
      <c r="L12" s="49">
        <f>IF($B12="",0,IF((OV_SWITCH="ON")*(COUNTIFS(OVR_TICKERS,$C12,OVR_BASE,"&gt;=0")&gt;0)&gt;0,SUMIFS(OVR_BASE,OVR_TICKERS,$C12),$K12))</f>
        <v/>
      </c>
      <c r="M12" s="49">
        <f>IF($B12="",0,IF((OV_SWITCH="ON")*(COUNTIFS(OVR_TICKERS,$C12,OVR_LOW,"&gt;=0")&gt;0)&gt;0,SUMIFS(OVR_LOW,OVR_TICKERS,$C12),$L12))</f>
        <v/>
      </c>
      <c r="N12" s="49">
        <f>IF($B12="",0,IF((OV_SWITCH="ON")*(COUNTIFS(OVR_TICKERS,$C12,OVR_HIGH,"&gt;=0")&gt;0)&gt;0,SUMIFS(OVR_HIGH,OVR_TICKERS,$C12),$L12))</f>
        <v/>
      </c>
      <c r="O12" s="65">
        <f>IF($B12="","",IFERROR($B12*$G12*$J12/$B$3,""))</f>
        <v/>
      </c>
      <c r="P12" s="65">
        <f>IF($B12="","",IFERROR($B12*$G12*$L12/$B$3,""))</f>
        <v/>
      </c>
      <c r="Q12" s="41">
        <f>IF($B12="","",IFERROR($O12+$P12,""))</f>
        <v/>
      </c>
      <c r="R12" s="65">
        <f>IF($B12="","",IFERROR($O12+$B12*$G12*$M12/$B$3,""))</f>
        <v/>
      </c>
      <c r="S12" s="65">
        <f>IF($B12="","",IFERROR($O12+$B12*$G12*$N12/$B$3,""))</f>
        <v/>
      </c>
      <c r="T12" s="80">
        <f>IF($B12="","",IFERROR($Q12/$Q$5,""))</f>
        <v/>
      </c>
      <c r="U12" s="2">
        <f>IF($B12="","",IF(COUNTIFS('Dvd Calendar'!$E$72:$AR$72,"&gt;0",'Dvd Calendar'!$E$72:$AR$72,"&lt;="&amp;VAL_DATE,'Dvd Calendar'!$E$73:$AR$73,"&gt;"&amp;PROJ_FROM,'Dvd Calendar'!$E$73:$AR$73,"&lt;="&amp;DATE(YEAR_Y,12,31))-COUNTIFS('Dvd Calendar'!$E$72:$AR$72,"&gt;0",'Dvd Calendar'!$E$72:$AR$72,"&lt;="&amp;VAL_DATE,'Dvd Calendar'!$E$73:$AR$73,"&gt;"&amp;PROJ_FROM,'Dvd Calendar'!$E$73:$AR$73,"&lt;="&amp;DATE(YEAR_Y,12,31),'Dvd Calendar'!$E$74:$AR$74,"&gt;=0")&gt;0,"TBA amount - override me",IF((OV_SWITCH="ON")*(COUNTIFS(OVR_TICKERS,$C12,OVR_BASE,"&gt;=0")&gt;0)&gt;0,"overridden",IF($J12+$K12=0,"no dividend in year Y",""))))</f>
        <v/>
      </c>
      <c r="V12" s="65">
        <f>IF($B12="","",IFERROR(IF(ISNUMBER($H12),$B12*$G12*$H12/$B$3,0),""))</f>
        <v/>
      </c>
      <c r="W12" s="65">
        <f>IF($B12="","",IFERROR($B12*$G12*$K12/$B$3,""))</f>
        <v/>
      </c>
      <c r="X12" s="91">
        <f>IF($C12="","",BDP($C12,"PX_LAST"))</f>
        <v/>
      </c>
      <c r="Y12" s="65">
        <f>IF($B12="","",IFERROR($B12*$X12/$B$3,""))</f>
        <v/>
      </c>
      <c r="Z12" s="76">
        <f>IF($B12="","",IFERROR($Y12/$Y$5,""))</f>
        <v/>
      </c>
    </row>
    <row r="13">
      <c r="B13" s="89" t="n"/>
      <c r="C13" s="6">
        <f>IF($A13="","",$A13&amp;" Equity")</f>
        <v/>
      </c>
      <c r="D13" s="6">
        <f>IF($C13="","",BDP($C13,"NAME"))</f>
        <v/>
      </c>
      <c r="E13" s="6">
        <f>IF($C13="","",BDP($C13,"GICS_SECTOR_NAME"))</f>
        <v/>
      </c>
      <c r="F13" s="33">
        <f>IF($C13="","",BDP($C13,FLD_CCY))</f>
        <v/>
      </c>
      <c r="G13" s="90">
        <f>IFERROR(IF(LEN($F13)&lt;&gt;3,1,IF($F13="HKD",1,BDP(IF($F13="CNY",RMB_CROSS,$F13)&amp;"HKD Curncy","PX_LAST"))),1)</f>
        <v/>
      </c>
      <c r="H13" s="65">
        <f>IF($C13="","",BDP($C13,FLD_DPS12M))</f>
        <v/>
      </c>
      <c r="I13" s="47">
        <f>IF($C13="","",BDP($C13,FLD_YLD12M))</f>
        <v/>
      </c>
      <c r="J13" s="49">
        <f>IF($B13="",0,SUMPRODUCT(('Dvd Calendar'!$E$77:$AR$77&gt;=DATE(YEAR_Y,1,1))*('Dvd Calendar'!$E$77:$AR$77&lt;=REALIZED_TO)*'Dvd Calendar'!$E$80:$AR$80*(('Dvd Calendar'!$E$82:$AR$82=TYPE1)*(TYPE1&lt;&gt;"")+('Dvd Calendar'!$E$82:$AR$82=TYPE2)*(TYPE2&lt;&gt;"")+('Dvd Calendar'!$E$82:$AR$82=TYPE3)*(TYPE3&lt;&gt;"")+('Dvd Calendar'!$E$82:$AR$82=TYPE4)*(TYPE4&lt;&gt;"")+('Dvd Calendar'!$E$82:$AR$82=SPECIAL_LBL)*(INC_SPECIALS="Y"))))</f>
        <v/>
      </c>
      <c r="K13" s="49">
        <f>IF($B13="",0,SUMIFS('Dvd Calendar'!$E$85:$AR$85,'Dvd Calendar'!$E$84:$AR$84,"&gt;"&amp;PROJ_FROM,'Dvd Calendar'!$E$84:$AR$84,"&lt;="&amp;DATE(YEAR_Y,12,31)))</f>
        <v/>
      </c>
      <c r="L13" s="49">
        <f>IF($B13="",0,IF((OV_SWITCH="ON")*(COUNTIFS(OVR_TICKERS,$C13,OVR_BASE,"&gt;=0")&gt;0)&gt;0,SUMIFS(OVR_BASE,OVR_TICKERS,$C13),$K13))</f>
        <v/>
      </c>
      <c r="M13" s="49">
        <f>IF($B13="",0,IF((OV_SWITCH="ON")*(COUNTIFS(OVR_TICKERS,$C13,OVR_LOW,"&gt;=0")&gt;0)&gt;0,SUMIFS(OVR_LOW,OVR_TICKERS,$C13),$L13))</f>
        <v/>
      </c>
      <c r="N13" s="49">
        <f>IF($B13="",0,IF((OV_SWITCH="ON")*(COUNTIFS(OVR_TICKERS,$C13,OVR_HIGH,"&gt;=0")&gt;0)&gt;0,SUMIFS(OVR_HIGH,OVR_TICKERS,$C13),$L13))</f>
        <v/>
      </c>
      <c r="O13" s="65">
        <f>IF($B13="","",IFERROR($B13*$G13*$J13/$B$3,""))</f>
        <v/>
      </c>
      <c r="P13" s="65">
        <f>IF($B13="","",IFERROR($B13*$G13*$L13/$B$3,""))</f>
        <v/>
      </c>
      <c r="Q13" s="41">
        <f>IF($B13="","",IFERROR($O13+$P13,""))</f>
        <v/>
      </c>
      <c r="R13" s="65">
        <f>IF($B13="","",IFERROR($O13+$B13*$G13*$M13/$B$3,""))</f>
        <v/>
      </c>
      <c r="S13" s="65">
        <f>IF($B13="","",IFERROR($O13+$B13*$G13*$N13/$B$3,""))</f>
        <v/>
      </c>
      <c r="T13" s="80">
        <f>IF($B13="","",IFERROR($Q13/$Q$5,""))</f>
        <v/>
      </c>
      <c r="U13" s="2">
        <f>IF($B13="","",IF(COUNTIFS('Dvd Calendar'!$E$83:$AR$83,"&gt;0",'Dvd Calendar'!$E$83:$AR$83,"&lt;="&amp;VAL_DATE,'Dvd Calendar'!$E$84:$AR$84,"&gt;"&amp;PROJ_FROM,'Dvd Calendar'!$E$84:$AR$84,"&lt;="&amp;DATE(YEAR_Y,12,31))-COUNTIFS('Dvd Calendar'!$E$83:$AR$83,"&gt;0",'Dvd Calendar'!$E$83:$AR$83,"&lt;="&amp;VAL_DATE,'Dvd Calendar'!$E$84:$AR$84,"&gt;"&amp;PROJ_FROM,'Dvd Calendar'!$E$84:$AR$84,"&lt;="&amp;DATE(YEAR_Y,12,31),'Dvd Calendar'!$E$85:$AR$85,"&gt;=0")&gt;0,"TBA amount - override me",IF((OV_SWITCH="ON")*(COUNTIFS(OVR_TICKERS,$C13,OVR_BASE,"&gt;=0")&gt;0)&gt;0,"overridden",IF($J13+$K13=0,"no dividend in year Y",""))))</f>
        <v/>
      </c>
      <c r="V13" s="65">
        <f>IF($B13="","",IFERROR(IF(ISNUMBER($H13),$B13*$G13*$H13/$B$3,0),""))</f>
        <v/>
      </c>
      <c r="W13" s="65">
        <f>IF($B13="","",IFERROR($B13*$G13*$K13/$B$3,""))</f>
        <v/>
      </c>
      <c r="X13" s="91">
        <f>IF($C13="","",BDP($C13,"PX_LAST"))</f>
        <v/>
      </c>
      <c r="Y13" s="65">
        <f>IF($B13="","",IFERROR($B13*$X13/$B$3,""))</f>
        <v/>
      </c>
      <c r="Z13" s="76">
        <f>IF($B13="","",IFERROR($Y13/$Y$5,""))</f>
        <v/>
      </c>
    </row>
    <row r="14">
      <c r="B14" s="89" t="n"/>
      <c r="C14" s="6">
        <f>IF($A14="","",$A14&amp;" Equity")</f>
        <v/>
      </c>
      <c r="D14" s="6">
        <f>IF($C14="","",BDP($C14,"NAME"))</f>
        <v/>
      </c>
      <c r="E14" s="6">
        <f>IF($C14="","",BDP($C14,"GICS_SECTOR_NAME"))</f>
        <v/>
      </c>
      <c r="F14" s="33">
        <f>IF($C14="","",BDP($C14,FLD_CCY))</f>
        <v/>
      </c>
      <c r="G14" s="90">
        <f>IFERROR(IF(LEN($F14)&lt;&gt;3,1,IF($F14="HKD",1,BDP(IF($F14="CNY",RMB_CROSS,$F14)&amp;"HKD Curncy","PX_LAST"))),1)</f>
        <v/>
      </c>
      <c r="H14" s="65">
        <f>IF($C14="","",BDP($C14,FLD_DPS12M))</f>
        <v/>
      </c>
      <c r="I14" s="47">
        <f>IF($C14="","",BDP($C14,FLD_YLD12M))</f>
        <v/>
      </c>
      <c r="J14" s="49">
        <f>IF($B14="",0,SUMPRODUCT(('Dvd Calendar'!$E$88:$AR$88&gt;=DATE(YEAR_Y,1,1))*('Dvd Calendar'!$E$88:$AR$88&lt;=REALIZED_TO)*'Dvd Calendar'!$E$91:$AR$91*(('Dvd Calendar'!$E$93:$AR$93=TYPE1)*(TYPE1&lt;&gt;"")+('Dvd Calendar'!$E$93:$AR$93=TYPE2)*(TYPE2&lt;&gt;"")+('Dvd Calendar'!$E$93:$AR$93=TYPE3)*(TYPE3&lt;&gt;"")+('Dvd Calendar'!$E$93:$AR$93=TYPE4)*(TYPE4&lt;&gt;"")+('Dvd Calendar'!$E$93:$AR$93=SPECIAL_LBL)*(INC_SPECIALS="Y"))))</f>
        <v/>
      </c>
      <c r="K14" s="49">
        <f>IF($B14="",0,SUMIFS('Dvd Calendar'!$E$96:$AR$96,'Dvd Calendar'!$E$95:$AR$95,"&gt;"&amp;PROJ_FROM,'Dvd Calendar'!$E$95:$AR$95,"&lt;="&amp;DATE(YEAR_Y,12,31)))</f>
        <v/>
      </c>
      <c r="L14" s="49">
        <f>IF($B14="",0,IF((OV_SWITCH="ON")*(COUNTIFS(OVR_TICKERS,$C14,OVR_BASE,"&gt;=0")&gt;0)&gt;0,SUMIFS(OVR_BASE,OVR_TICKERS,$C14),$K14))</f>
        <v/>
      </c>
      <c r="M14" s="49">
        <f>IF($B14="",0,IF((OV_SWITCH="ON")*(COUNTIFS(OVR_TICKERS,$C14,OVR_LOW,"&gt;=0")&gt;0)&gt;0,SUMIFS(OVR_LOW,OVR_TICKERS,$C14),$L14))</f>
        <v/>
      </c>
      <c r="N14" s="49">
        <f>IF($B14="",0,IF((OV_SWITCH="ON")*(COUNTIFS(OVR_TICKERS,$C14,OVR_HIGH,"&gt;=0")&gt;0)&gt;0,SUMIFS(OVR_HIGH,OVR_TICKERS,$C14),$L14))</f>
        <v/>
      </c>
      <c r="O14" s="65">
        <f>IF($B14="","",IFERROR($B14*$G14*$J14/$B$3,""))</f>
        <v/>
      </c>
      <c r="P14" s="65">
        <f>IF($B14="","",IFERROR($B14*$G14*$L14/$B$3,""))</f>
        <v/>
      </c>
      <c r="Q14" s="41">
        <f>IF($B14="","",IFERROR($O14+$P14,""))</f>
        <v/>
      </c>
      <c r="R14" s="65">
        <f>IF($B14="","",IFERROR($O14+$B14*$G14*$M14/$B$3,""))</f>
        <v/>
      </c>
      <c r="S14" s="65">
        <f>IF($B14="","",IFERROR($O14+$B14*$G14*$N14/$B$3,""))</f>
        <v/>
      </c>
      <c r="T14" s="80">
        <f>IF($B14="","",IFERROR($Q14/$Q$5,""))</f>
        <v/>
      </c>
      <c r="U14" s="2">
        <f>IF($B14="","",IF(COUNTIFS('Dvd Calendar'!$E$94:$AR$94,"&gt;0",'Dvd Calendar'!$E$94:$AR$94,"&lt;="&amp;VAL_DATE,'Dvd Calendar'!$E$95:$AR$95,"&gt;"&amp;PROJ_FROM,'Dvd Calendar'!$E$95:$AR$95,"&lt;="&amp;DATE(YEAR_Y,12,31))-COUNTIFS('Dvd Calendar'!$E$94:$AR$94,"&gt;0",'Dvd Calendar'!$E$94:$AR$94,"&lt;="&amp;VAL_DATE,'Dvd Calendar'!$E$95:$AR$95,"&gt;"&amp;PROJ_FROM,'Dvd Calendar'!$E$95:$AR$95,"&lt;="&amp;DATE(YEAR_Y,12,31),'Dvd Calendar'!$E$96:$AR$96,"&gt;=0")&gt;0,"TBA amount - override me",IF((OV_SWITCH="ON")*(COUNTIFS(OVR_TICKERS,$C14,OVR_BASE,"&gt;=0")&gt;0)&gt;0,"overridden",IF($J14+$K14=0,"no dividend in year Y",""))))</f>
        <v/>
      </c>
      <c r="V14" s="65">
        <f>IF($B14="","",IFERROR(IF(ISNUMBER($H14),$B14*$G14*$H14/$B$3,0),""))</f>
        <v/>
      </c>
      <c r="W14" s="65">
        <f>IF($B14="","",IFERROR($B14*$G14*$K14/$B$3,""))</f>
        <v/>
      </c>
      <c r="X14" s="91">
        <f>IF($C14="","",BDP($C14,"PX_LAST"))</f>
        <v/>
      </c>
      <c r="Y14" s="65">
        <f>IF($B14="","",IFERROR($B14*$X14/$B$3,""))</f>
        <v/>
      </c>
      <c r="Z14" s="76">
        <f>IF($B14="","",IFERROR($Y14/$Y$5,""))</f>
        <v/>
      </c>
    </row>
    <row r="15">
      <c r="B15" s="89" t="n"/>
      <c r="C15" s="6">
        <f>IF($A15="","",$A15&amp;" Equity")</f>
        <v/>
      </c>
      <c r="D15" s="6">
        <f>IF($C15="","",BDP($C15,"NAME"))</f>
        <v/>
      </c>
      <c r="E15" s="6">
        <f>IF($C15="","",BDP($C15,"GICS_SECTOR_NAME"))</f>
        <v/>
      </c>
      <c r="F15" s="33">
        <f>IF($C15="","",BDP($C15,FLD_CCY))</f>
        <v/>
      </c>
      <c r="G15" s="90">
        <f>IFERROR(IF(LEN($F15)&lt;&gt;3,1,IF($F15="HKD",1,BDP(IF($F15="CNY",RMB_CROSS,$F15)&amp;"HKD Curncy","PX_LAST"))),1)</f>
        <v/>
      </c>
      <c r="H15" s="65">
        <f>IF($C15="","",BDP($C15,FLD_DPS12M))</f>
        <v/>
      </c>
      <c r="I15" s="47">
        <f>IF($C15="","",BDP($C15,FLD_YLD12M))</f>
        <v/>
      </c>
      <c r="J15" s="49">
        <f>IF($B15="",0,SUMPRODUCT(('Dvd Calendar'!$E$99:$AR$99&gt;=DATE(YEAR_Y,1,1))*('Dvd Calendar'!$E$99:$AR$99&lt;=REALIZED_TO)*'Dvd Calendar'!$E$102:$AR$102*(('Dvd Calendar'!$E$104:$AR$104=TYPE1)*(TYPE1&lt;&gt;"")+('Dvd Calendar'!$E$104:$AR$104=TYPE2)*(TYPE2&lt;&gt;"")+('Dvd Calendar'!$E$104:$AR$104=TYPE3)*(TYPE3&lt;&gt;"")+('Dvd Calendar'!$E$104:$AR$104=TYPE4)*(TYPE4&lt;&gt;"")+('Dvd Calendar'!$E$104:$AR$104=SPECIAL_LBL)*(INC_SPECIALS="Y"))))</f>
        <v/>
      </c>
      <c r="K15" s="49">
        <f>IF($B15="",0,SUMIFS('Dvd Calendar'!$E$107:$AR$107,'Dvd Calendar'!$E$106:$AR$106,"&gt;"&amp;PROJ_FROM,'Dvd Calendar'!$E$106:$AR$106,"&lt;="&amp;DATE(YEAR_Y,12,31)))</f>
        <v/>
      </c>
      <c r="L15" s="49">
        <f>IF($B15="",0,IF((OV_SWITCH="ON")*(COUNTIFS(OVR_TICKERS,$C15,OVR_BASE,"&gt;=0")&gt;0)&gt;0,SUMIFS(OVR_BASE,OVR_TICKERS,$C15),$K15))</f>
        <v/>
      </c>
      <c r="M15" s="49">
        <f>IF($B15="",0,IF((OV_SWITCH="ON")*(COUNTIFS(OVR_TICKERS,$C15,OVR_LOW,"&gt;=0")&gt;0)&gt;0,SUMIFS(OVR_LOW,OVR_TICKERS,$C15),$L15))</f>
        <v/>
      </c>
      <c r="N15" s="49">
        <f>IF($B15="",0,IF((OV_SWITCH="ON")*(COUNTIFS(OVR_TICKERS,$C15,OVR_HIGH,"&gt;=0")&gt;0)&gt;0,SUMIFS(OVR_HIGH,OVR_TICKERS,$C15),$L15))</f>
        <v/>
      </c>
      <c r="O15" s="65">
        <f>IF($B15="","",IFERROR($B15*$G15*$J15/$B$3,""))</f>
        <v/>
      </c>
      <c r="P15" s="65">
        <f>IF($B15="","",IFERROR($B15*$G15*$L15/$B$3,""))</f>
        <v/>
      </c>
      <c r="Q15" s="41">
        <f>IF($B15="","",IFERROR($O15+$P15,""))</f>
        <v/>
      </c>
      <c r="R15" s="65">
        <f>IF($B15="","",IFERROR($O15+$B15*$G15*$M15/$B$3,""))</f>
        <v/>
      </c>
      <c r="S15" s="65">
        <f>IF($B15="","",IFERROR($O15+$B15*$G15*$N15/$B$3,""))</f>
        <v/>
      </c>
      <c r="T15" s="80">
        <f>IF($B15="","",IFERROR($Q15/$Q$5,""))</f>
        <v/>
      </c>
      <c r="U15" s="2">
        <f>IF($B15="","",IF(COUNTIFS('Dvd Calendar'!$E$105:$AR$105,"&gt;0",'Dvd Calendar'!$E$105:$AR$105,"&lt;="&amp;VAL_DATE,'Dvd Calendar'!$E$106:$AR$106,"&gt;"&amp;PROJ_FROM,'Dvd Calendar'!$E$106:$AR$106,"&lt;="&amp;DATE(YEAR_Y,12,31))-COUNTIFS('Dvd Calendar'!$E$105:$AR$105,"&gt;0",'Dvd Calendar'!$E$105:$AR$105,"&lt;="&amp;VAL_DATE,'Dvd Calendar'!$E$106:$AR$106,"&gt;"&amp;PROJ_FROM,'Dvd Calendar'!$E$106:$AR$106,"&lt;="&amp;DATE(YEAR_Y,12,31),'Dvd Calendar'!$E$107:$AR$107,"&gt;=0")&gt;0,"TBA amount - override me",IF((OV_SWITCH="ON")*(COUNTIFS(OVR_TICKERS,$C15,OVR_BASE,"&gt;=0")&gt;0)&gt;0,"overridden",IF($J15+$K15=0,"no dividend in year Y",""))))</f>
        <v/>
      </c>
      <c r="V15" s="65">
        <f>IF($B15="","",IFERROR(IF(ISNUMBER($H15),$B15*$G15*$H15/$B$3,0),""))</f>
        <v/>
      </c>
      <c r="W15" s="65">
        <f>IF($B15="","",IFERROR($B15*$G15*$K15/$B$3,""))</f>
        <v/>
      </c>
      <c r="X15" s="91">
        <f>IF($C15="","",BDP($C15,"PX_LAST"))</f>
        <v/>
      </c>
      <c r="Y15" s="65">
        <f>IF($B15="","",IFERROR($B15*$X15/$B$3,""))</f>
        <v/>
      </c>
      <c r="Z15" s="76">
        <f>IF($B15="","",IFERROR($Y15/$Y$5,""))</f>
        <v/>
      </c>
    </row>
    <row r="16">
      <c r="B16" s="89" t="n"/>
      <c r="C16" s="6">
        <f>IF($A16="","",$A16&amp;" Equity")</f>
        <v/>
      </c>
      <c r="D16" s="6">
        <f>IF($C16="","",BDP($C16,"NAME"))</f>
        <v/>
      </c>
      <c r="E16" s="6">
        <f>IF($C16="","",BDP($C16,"GICS_SECTOR_NAME"))</f>
        <v/>
      </c>
      <c r="F16" s="33">
        <f>IF($C16="","",BDP($C16,FLD_CCY))</f>
        <v/>
      </c>
      <c r="G16" s="90">
        <f>IFERROR(IF(LEN($F16)&lt;&gt;3,1,IF($F16="HKD",1,BDP(IF($F16="CNY",RMB_CROSS,$F16)&amp;"HKD Curncy","PX_LAST"))),1)</f>
        <v/>
      </c>
      <c r="H16" s="65">
        <f>IF($C16="","",BDP($C16,FLD_DPS12M))</f>
        <v/>
      </c>
      <c r="I16" s="47">
        <f>IF($C16="","",BDP($C16,FLD_YLD12M))</f>
        <v/>
      </c>
      <c r="J16" s="49">
        <f>IF($B16="",0,SUMPRODUCT(('Dvd Calendar'!$E$110:$AR$110&gt;=DATE(YEAR_Y,1,1))*('Dvd Calendar'!$E$110:$AR$110&lt;=REALIZED_TO)*'Dvd Calendar'!$E$113:$AR$113*(('Dvd Calendar'!$E$115:$AR$115=TYPE1)*(TYPE1&lt;&gt;"")+('Dvd Calendar'!$E$115:$AR$115=TYPE2)*(TYPE2&lt;&gt;"")+('Dvd Calendar'!$E$115:$AR$115=TYPE3)*(TYPE3&lt;&gt;"")+('Dvd Calendar'!$E$115:$AR$115=TYPE4)*(TYPE4&lt;&gt;"")+('Dvd Calendar'!$E$115:$AR$115=SPECIAL_LBL)*(INC_SPECIALS="Y"))))</f>
        <v/>
      </c>
      <c r="K16" s="49">
        <f>IF($B16="",0,SUMIFS('Dvd Calendar'!$E$118:$AR$118,'Dvd Calendar'!$E$117:$AR$117,"&gt;"&amp;PROJ_FROM,'Dvd Calendar'!$E$117:$AR$117,"&lt;="&amp;DATE(YEAR_Y,12,31)))</f>
        <v/>
      </c>
      <c r="L16" s="49">
        <f>IF($B16="",0,IF((OV_SWITCH="ON")*(COUNTIFS(OVR_TICKERS,$C16,OVR_BASE,"&gt;=0")&gt;0)&gt;0,SUMIFS(OVR_BASE,OVR_TICKERS,$C16),$K16))</f>
        <v/>
      </c>
      <c r="M16" s="49">
        <f>IF($B16="",0,IF((OV_SWITCH="ON")*(COUNTIFS(OVR_TICKERS,$C16,OVR_LOW,"&gt;=0")&gt;0)&gt;0,SUMIFS(OVR_LOW,OVR_TICKERS,$C16),$L16))</f>
        <v/>
      </c>
      <c r="N16" s="49">
        <f>IF($B16="",0,IF((OV_SWITCH="ON")*(COUNTIFS(OVR_TICKERS,$C16,OVR_HIGH,"&gt;=0")&gt;0)&gt;0,SUMIFS(OVR_HIGH,OVR_TICKERS,$C16),$L16))</f>
        <v/>
      </c>
      <c r="O16" s="65">
        <f>IF($B16="","",IFERROR($B16*$G16*$J16/$B$3,""))</f>
        <v/>
      </c>
      <c r="P16" s="65">
        <f>IF($B16="","",IFERROR($B16*$G16*$L16/$B$3,""))</f>
        <v/>
      </c>
      <c r="Q16" s="41">
        <f>IF($B16="","",IFERROR($O16+$P16,""))</f>
        <v/>
      </c>
      <c r="R16" s="65">
        <f>IF($B16="","",IFERROR($O16+$B16*$G16*$M16/$B$3,""))</f>
        <v/>
      </c>
      <c r="S16" s="65">
        <f>IF($B16="","",IFERROR($O16+$B16*$G16*$N16/$B$3,""))</f>
        <v/>
      </c>
      <c r="T16" s="80">
        <f>IF($B16="","",IFERROR($Q16/$Q$5,""))</f>
        <v/>
      </c>
      <c r="U16" s="2">
        <f>IF($B16="","",IF(COUNTIFS('Dvd Calendar'!$E$116:$AR$116,"&gt;0",'Dvd Calendar'!$E$116:$AR$116,"&lt;="&amp;VAL_DATE,'Dvd Calendar'!$E$117:$AR$117,"&gt;"&amp;PROJ_FROM,'Dvd Calendar'!$E$117:$AR$117,"&lt;="&amp;DATE(YEAR_Y,12,31))-COUNTIFS('Dvd Calendar'!$E$116:$AR$116,"&gt;0",'Dvd Calendar'!$E$116:$AR$116,"&lt;="&amp;VAL_DATE,'Dvd Calendar'!$E$117:$AR$117,"&gt;"&amp;PROJ_FROM,'Dvd Calendar'!$E$117:$AR$117,"&lt;="&amp;DATE(YEAR_Y,12,31),'Dvd Calendar'!$E$118:$AR$118,"&gt;=0")&gt;0,"TBA amount - override me",IF((OV_SWITCH="ON")*(COUNTIFS(OVR_TICKERS,$C16,OVR_BASE,"&gt;=0")&gt;0)&gt;0,"overridden",IF($J16+$K16=0,"no dividend in year Y",""))))</f>
        <v/>
      </c>
      <c r="V16" s="65">
        <f>IF($B16="","",IFERROR(IF(ISNUMBER($H16),$B16*$G16*$H16/$B$3,0),""))</f>
        <v/>
      </c>
      <c r="W16" s="65">
        <f>IF($B16="","",IFERROR($B16*$G16*$K16/$B$3,""))</f>
        <v/>
      </c>
      <c r="X16" s="91">
        <f>IF($C16="","",BDP($C16,"PX_LAST"))</f>
        <v/>
      </c>
      <c r="Y16" s="65">
        <f>IF($B16="","",IFERROR($B16*$X16/$B$3,""))</f>
        <v/>
      </c>
      <c r="Z16" s="76">
        <f>IF($B16="","",IFERROR($Y16/$Y$5,""))</f>
        <v/>
      </c>
    </row>
    <row r="17">
      <c r="B17" s="89" t="n"/>
      <c r="C17" s="6">
        <f>IF($A17="","",$A17&amp;" Equity")</f>
        <v/>
      </c>
      <c r="D17" s="6">
        <f>IF($C17="","",BDP($C17,"NAME"))</f>
        <v/>
      </c>
      <c r="E17" s="6">
        <f>IF($C17="","",BDP($C17,"GICS_SECTOR_NAME"))</f>
        <v/>
      </c>
      <c r="F17" s="33">
        <f>IF($C17="","",BDP($C17,FLD_CCY))</f>
        <v/>
      </c>
      <c r="G17" s="90">
        <f>IFERROR(IF(LEN($F17)&lt;&gt;3,1,IF($F17="HKD",1,BDP(IF($F17="CNY",RMB_CROSS,$F17)&amp;"HKD Curncy","PX_LAST"))),1)</f>
        <v/>
      </c>
      <c r="H17" s="65">
        <f>IF($C17="","",BDP($C17,FLD_DPS12M))</f>
        <v/>
      </c>
      <c r="I17" s="47">
        <f>IF($C17="","",BDP($C17,FLD_YLD12M))</f>
        <v/>
      </c>
      <c r="J17" s="49">
        <f>IF($B17="",0,SUMPRODUCT(('Dvd Calendar'!$E$121:$AR$121&gt;=DATE(YEAR_Y,1,1))*('Dvd Calendar'!$E$121:$AR$121&lt;=REALIZED_TO)*'Dvd Calendar'!$E$124:$AR$124*(('Dvd Calendar'!$E$126:$AR$126=TYPE1)*(TYPE1&lt;&gt;"")+('Dvd Calendar'!$E$126:$AR$126=TYPE2)*(TYPE2&lt;&gt;"")+('Dvd Calendar'!$E$126:$AR$126=TYPE3)*(TYPE3&lt;&gt;"")+('Dvd Calendar'!$E$126:$AR$126=TYPE4)*(TYPE4&lt;&gt;"")+('Dvd Calendar'!$E$126:$AR$126=SPECIAL_LBL)*(INC_SPECIALS="Y"))))</f>
        <v/>
      </c>
      <c r="K17" s="49">
        <f>IF($B17="",0,SUMIFS('Dvd Calendar'!$E$129:$AR$129,'Dvd Calendar'!$E$128:$AR$128,"&gt;"&amp;PROJ_FROM,'Dvd Calendar'!$E$128:$AR$128,"&lt;="&amp;DATE(YEAR_Y,12,31)))</f>
        <v/>
      </c>
      <c r="L17" s="49">
        <f>IF($B17="",0,IF((OV_SWITCH="ON")*(COUNTIFS(OVR_TICKERS,$C17,OVR_BASE,"&gt;=0")&gt;0)&gt;0,SUMIFS(OVR_BASE,OVR_TICKERS,$C17),$K17))</f>
        <v/>
      </c>
      <c r="M17" s="49">
        <f>IF($B17="",0,IF((OV_SWITCH="ON")*(COUNTIFS(OVR_TICKERS,$C17,OVR_LOW,"&gt;=0")&gt;0)&gt;0,SUMIFS(OVR_LOW,OVR_TICKERS,$C17),$L17))</f>
        <v/>
      </c>
      <c r="N17" s="49">
        <f>IF($B17="",0,IF((OV_SWITCH="ON")*(COUNTIFS(OVR_TICKERS,$C17,OVR_HIGH,"&gt;=0")&gt;0)&gt;0,SUMIFS(OVR_HIGH,OVR_TICKERS,$C17),$L17))</f>
        <v/>
      </c>
      <c r="O17" s="65">
        <f>IF($B17="","",IFERROR($B17*$G17*$J17/$B$3,""))</f>
        <v/>
      </c>
      <c r="P17" s="65">
        <f>IF($B17="","",IFERROR($B17*$G17*$L17/$B$3,""))</f>
        <v/>
      </c>
      <c r="Q17" s="41">
        <f>IF($B17="","",IFERROR($O17+$P17,""))</f>
        <v/>
      </c>
      <c r="R17" s="65">
        <f>IF($B17="","",IFERROR($O17+$B17*$G17*$M17/$B$3,""))</f>
        <v/>
      </c>
      <c r="S17" s="65">
        <f>IF($B17="","",IFERROR($O17+$B17*$G17*$N17/$B$3,""))</f>
        <v/>
      </c>
      <c r="T17" s="80">
        <f>IF($B17="","",IFERROR($Q17/$Q$5,""))</f>
        <v/>
      </c>
      <c r="U17" s="2">
        <f>IF($B17="","",IF(COUNTIFS('Dvd Calendar'!$E$127:$AR$127,"&gt;0",'Dvd Calendar'!$E$127:$AR$127,"&lt;="&amp;VAL_DATE,'Dvd Calendar'!$E$128:$AR$128,"&gt;"&amp;PROJ_FROM,'Dvd Calendar'!$E$128:$AR$128,"&lt;="&amp;DATE(YEAR_Y,12,31))-COUNTIFS('Dvd Calendar'!$E$127:$AR$127,"&gt;0",'Dvd Calendar'!$E$127:$AR$127,"&lt;="&amp;VAL_DATE,'Dvd Calendar'!$E$128:$AR$128,"&gt;"&amp;PROJ_FROM,'Dvd Calendar'!$E$128:$AR$128,"&lt;="&amp;DATE(YEAR_Y,12,31),'Dvd Calendar'!$E$129:$AR$129,"&gt;=0")&gt;0,"TBA amount - override me",IF((OV_SWITCH="ON")*(COUNTIFS(OVR_TICKERS,$C17,OVR_BASE,"&gt;=0")&gt;0)&gt;0,"overridden",IF($J17+$K17=0,"no dividend in year Y",""))))</f>
        <v/>
      </c>
      <c r="V17" s="65">
        <f>IF($B17="","",IFERROR(IF(ISNUMBER($H17),$B17*$G17*$H17/$B$3,0),""))</f>
        <v/>
      </c>
      <c r="W17" s="65">
        <f>IF($B17="","",IFERROR($B17*$G17*$K17/$B$3,""))</f>
        <v/>
      </c>
      <c r="X17" s="91">
        <f>IF($C17="","",BDP($C17,"PX_LAST"))</f>
        <v/>
      </c>
      <c r="Y17" s="65">
        <f>IF($B17="","",IFERROR($B17*$X17/$B$3,""))</f>
        <v/>
      </c>
      <c r="Z17" s="76">
        <f>IF($B17="","",IFERROR($Y17/$Y$5,""))</f>
        <v/>
      </c>
    </row>
    <row r="18">
      <c r="B18" s="89" t="n"/>
      <c r="C18" s="6">
        <f>IF($A18="","",$A18&amp;" Equity")</f>
        <v/>
      </c>
      <c r="D18" s="6">
        <f>IF($C18="","",BDP($C18,"NAME"))</f>
        <v/>
      </c>
      <c r="E18" s="6">
        <f>IF($C18="","",BDP($C18,"GICS_SECTOR_NAME"))</f>
        <v/>
      </c>
      <c r="F18" s="33">
        <f>IF($C18="","",BDP($C18,FLD_CCY))</f>
        <v/>
      </c>
      <c r="G18" s="90">
        <f>IFERROR(IF(LEN($F18)&lt;&gt;3,1,IF($F18="HKD",1,BDP(IF($F18="CNY",RMB_CROSS,$F18)&amp;"HKD Curncy","PX_LAST"))),1)</f>
        <v/>
      </c>
      <c r="H18" s="65">
        <f>IF($C18="","",BDP($C18,FLD_DPS12M))</f>
        <v/>
      </c>
      <c r="I18" s="47">
        <f>IF($C18="","",BDP($C18,FLD_YLD12M))</f>
        <v/>
      </c>
      <c r="J18" s="49">
        <f>IF($B18="",0,SUMPRODUCT(('Dvd Calendar'!$E$132:$AR$132&gt;=DATE(YEAR_Y,1,1))*('Dvd Calendar'!$E$132:$AR$132&lt;=REALIZED_TO)*'Dvd Calendar'!$E$135:$AR$135*(('Dvd Calendar'!$E$137:$AR$137=TYPE1)*(TYPE1&lt;&gt;"")+('Dvd Calendar'!$E$137:$AR$137=TYPE2)*(TYPE2&lt;&gt;"")+('Dvd Calendar'!$E$137:$AR$137=TYPE3)*(TYPE3&lt;&gt;"")+('Dvd Calendar'!$E$137:$AR$137=TYPE4)*(TYPE4&lt;&gt;"")+('Dvd Calendar'!$E$137:$AR$137=SPECIAL_LBL)*(INC_SPECIALS="Y"))))</f>
        <v/>
      </c>
      <c r="K18" s="49">
        <f>IF($B18="",0,SUMIFS('Dvd Calendar'!$E$140:$AR$140,'Dvd Calendar'!$E$139:$AR$139,"&gt;"&amp;PROJ_FROM,'Dvd Calendar'!$E$139:$AR$139,"&lt;="&amp;DATE(YEAR_Y,12,31)))</f>
        <v/>
      </c>
      <c r="L18" s="49">
        <f>IF($B18="",0,IF((OV_SWITCH="ON")*(COUNTIFS(OVR_TICKERS,$C18,OVR_BASE,"&gt;=0")&gt;0)&gt;0,SUMIFS(OVR_BASE,OVR_TICKERS,$C18),$K18))</f>
        <v/>
      </c>
      <c r="M18" s="49">
        <f>IF($B18="",0,IF((OV_SWITCH="ON")*(COUNTIFS(OVR_TICKERS,$C18,OVR_LOW,"&gt;=0")&gt;0)&gt;0,SUMIFS(OVR_LOW,OVR_TICKERS,$C18),$L18))</f>
        <v/>
      </c>
      <c r="N18" s="49">
        <f>IF($B18="",0,IF((OV_SWITCH="ON")*(COUNTIFS(OVR_TICKERS,$C18,OVR_HIGH,"&gt;=0")&gt;0)&gt;0,SUMIFS(OVR_HIGH,OVR_TICKERS,$C18),$L18))</f>
        <v/>
      </c>
      <c r="O18" s="65">
        <f>IF($B18="","",IFERROR($B18*$G18*$J18/$B$3,""))</f>
        <v/>
      </c>
      <c r="P18" s="65">
        <f>IF($B18="","",IFERROR($B18*$G18*$L18/$B$3,""))</f>
        <v/>
      </c>
      <c r="Q18" s="41">
        <f>IF($B18="","",IFERROR($O18+$P18,""))</f>
        <v/>
      </c>
      <c r="R18" s="65">
        <f>IF($B18="","",IFERROR($O18+$B18*$G18*$M18/$B$3,""))</f>
        <v/>
      </c>
      <c r="S18" s="65">
        <f>IF($B18="","",IFERROR($O18+$B18*$G18*$N18/$B$3,""))</f>
        <v/>
      </c>
      <c r="T18" s="80">
        <f>IF($B18="","",IFERROR($Q18/$Q$5,""))</f>
        <v/>
      </c>
      <c r="U18" s="2">
        <f>IF($B18="","",IF(COUNTIFS('Dvd Calendar'!$E$138:$AR$138,"&gt;0",'Dvd Calendar'!$E$138:$AR$138,"&lt;="&amp;VAL_DATE,'Dvd Calendar'!$E$139:$AR$139,"&gt;"&amp;PROJ_FROM,'Dvd Calendar'!$E$139:$AR$139,"&lt;="&amp;DATE(YEAR_Y,12,31))-COUNTIFS('Dvd Calendar'!$E$138:$AR$138,"&gt;0",'Dvd Calendar'!$E$138:$AR$138,"&lt;="&amp;VAL_DATE,'Dvd Calendar'!$E$139:$AR$139,"&gt;"&amp;PROJ_FROM,'Dvd Calendar'!$E$139:$AR$139,"&lt;="&amp;DATE(YEAR_Y,12,31),'Dvd Calendar'!$E$140:$AR$140,"&gt;=0")&gt;0,"TBA amount - override me",IF((OV_SWITCH="ON")*(COUNTIFS(OVR_TICKERS,$C18,OVR_BASE,"&gt;=0")&gt;0)&gt;0,"overridden",IF($J18+$K18=0,"no dividend in year Y",""))))</f>
        <v/>
      </c>
      <c r="V18" s="65">
        <f>IF($B18="","",IFERROR(IF(ISNUMBER($H18),$B18*$G18*$H18/$B$3,0),""))</f>
        <v/>
      </c>
      <c r="W18" s="65">
        <f>IF($B18="","",IFERROR($B18*$G18*$K18/$B$3,""))</f>
        <v/>
      </c>
      <c r="X18" s="91">
        <f>IF($C18="","",BDP($C18,"PX_LAST"))</f>
        <v/>
      </c>
      <c r="Y18" s="65">
        <f>IF($B18="","",IFERROR($B18*$X18/$B$3,""))</f>
        <v/>
      </c>
      <c r="Z18" s="76">
        <f>IF($B18="","",IFERROR($Y18/$Y$5,""))</f>
        <v/>
      </c>
    </row>
    <row r="19">
      <c r="B19" s="89" t="n"/>
      <c r="C19" s="6">
        <f>IF($A19="","",$A19&amp;" Equity")</f>
        <v/>
      </c>
      <c r="D19" s="6">
        <f>IF($C19="","",BDP($C19,"NAME"))</f>
        <v/>
      </c>
      <c r="E19" s="6">
        <f>IF($C19="","",BDP($C19,"GICS_SECTOR_NAME"))</f>
        <v/>
      </c>
      <c r="F19" s="33">
        <f>IF($C19="","",BDP($C19,FLD_CCY))</f>
        <v/>
      </c>
      <c r="G19" s="90">
        <f>IFERROR(IF(LEN($F19)&lt;&gt;3,1,IF($F19="HKD",1,BDP(IF($F19="CNY",RMB_CROSS,$F19)&amp;"HKD Curncy","PX_LAST"))),1)</f>
        <v/>
      </c>
      <c r="H19" s="65">
        <f>IF($C19="","",BDP($C19,FLD_DPS12M))</f>
        <v/>
      </c>
      <c r="I19" s="47">
        <f>IF($C19="","",BDP($C19,FLD_YLD12M))</f>
        <v/>
      </c>
      <c r="J19" s="49">
        <f>IF($B19="",0,SUMPRODUCT(('Dvd Calendar'!$E$143:$AR$143&gt;=DATE(YEAR_Y,1,1))*('Dvd Calendar'!$E$143:$AR$143&lt;=REALIZED_TO)*'Dvd Calendar'!$E$146:$AR$146*(('Dvd Calendar'!$E$148:$AR$148=TYPE1)*(TYPE1&lt;&gt;"")+('Dvd Calendar'!$E$148:$AR$148=TYPE2)*(TYPE2&lt;&gt;"")+('Dvd Calendar'!$E$148:$AR$148=TYPE3)*(TYPE3&lt;&gt;"")+('Dvd Calendar'!$E$148:$AR$148=TYPE4)*(TYPE4&lt;&gt;"")+('Dvd Calendar'!$E$148:$AR$148=SPECIAL_LBL)*(INC_SPECIALS="Y"))))</f>
        <v/>
      </c>
      <c r="K19" s="49">
        <f>IF($B19="",0,SUMIFS('Dvd Calendar'!$E$151:$AR$151,'Dvd Calendar'!$E$150:$AR$150,"&gt;"&amp;PROJ_FROM,'Dvd Calendar'!$E$150:$AR$150,"&lt;="&amp;DATE(YEAR_Y,12,31)))</f>
        <v/>
      </c>
      <c r="L19" s="49">
        <f>IF($B19="",0,IF((OV_SWITCH="ON")*(COUNTIFS(OVR_TICKERS,$C19,OVR_BASE,"&gt;=0")&gt;0)&gt;0,SUMIFS(OVR_BASE,OVR_TICKERS,$C19),$K19))</f>
        <v/>
      </c>
      <c r="M19" s="49">
        <f>IF($B19="",0,IF((OV_SWITCH="ON")*(COUNTIFS(OVR_TICKERS,$C19,OVR_LOW,"&gt;=0")&gt;0)&gt;0,SUMIFS(OVR_LOW,OVR_TICKERS,$C19),$L19))</f>
        <v/>
      </c>
      <c r="N19" s="49">
        <f>IF($B19="",0,IF((OV_SWITCH="ON")*(COUNTIFS(OVR_TICKERS,$C19,OVR_HIGH,"&gt;=0")&gt;0)&gt;0,SUMIFS(OVR_HIGH,OVR_TICKERS,$C19),$L19))</f>
        <v/>
      </c>
      <c r="O19" s="65">
        <f>IF($B19="","",IFERROR($B19*$G19*$J19/$B$3,""))</f>
        <v/>
      </c>
      <c r="P19" s="65">
        <f>IF($B19="","",IFERROR($B19*$G19*$L19/$B$3,""))</f>
        <v/>
      </c>
      <c r="Q19" s="41">
        <f>IF($B19="","",IFERROR($O19+$P19,""))</f>
        <v/>
      </c>
      <c r="R19" s="65">
        <f>IF($B19="","",IFERROR($O19+$B19*$G19*$M19/$B$3,""))</f>
        <v/>
      </c>
      <c r="S19" s="65">
        <f>IF($B19="","",IFERROR($O19+$B19*$G19*$N19/$B$3,""))</f>
        <v/>
      </c>
      <c r="T19" s="80">
        <f>IF($B19="","",IFERROR($Q19/$Q$5,""))</f>
        <v/>
      </c>
      <c r="U19" s="2">
        <f>IF($B19="","",IF(COUNTIFS('Dvd Calendar'!$E$149:$AR$149,"&gt;0",'Dvd Calendar'!$E$149:$AR$149,"&lt;="&amp;VAL_DATE,'Dvd Calendar'!$E$150:$AR$150,"&gt;"&amp;PROJ_FROM,'Dvd Calendar'!$E$150:$AR$150,"&lt;="&amp;DATE(YEAR_Y,12,31))-COUNTIFS('Dvd Calendar'!$E$149:$AR$149,"&gt;0",'Dvd Calendar'!$E$149:$AR$149,"&lt;="&amp;VAL_DATE,'Dvd Calendar'!$E$150:$AR$150,"&gt;"&amp;PROJ_FROM,'Dvd Calendar'!$E$150:$AR$150,"&lt;="&amp;DATE(YEAR_Y,12,31),'Dvd Calendar'!$E$151:$AR$151,"&gt;=0")&gt;0,"TBA amount - override me",IF((OV_SWITCH="ON")*(COUNTIFS(OVR_TICKERS,$C19,OVR_BASE,"&gt;=0")&gt;0)&gt;0,"overridden",IF($J19+$K19=0,"no dividend in year Y",""))))</f>
        <v/>
      </c>
      <c r="V19" s="65">
        <f>IF($B19="","",IFERROR(IF(ISNUMBER($H19),$B19*$G19*$H19/$B$3,0),""))</f>
        <v/>
      </c>
      <c r="W19" s="65">
        <f>IF($B19="","",IFERROR($B19*$G19*$K19/$B$3,""))</f>
        <v/>
      </c>
      <c r="X19" s="91">
        <f>IF($C19="","",BDP($C19,"PX_LAST"))</f>
        <v/>
      </c>
      <c r="Y19" s="65">
        <f>IF($B19="","",IFERROR($B19*$X19/$B$3,""))</f>
        <v/>
      </c>
      <c r="Z19" s="76">
        <f>IF($B19="","",IFERROR($Y19/$Y$5,""))</f>
        <v/>
      </c>
    </row>
    <row r="20">
      <c r="B20" s="89" t="n"/>
      <c r="C20" s="6">
        <f>IF($A20="","",$A20&amp;" Equity")</f>
        <v/>
      </c>
      <c r="D20" s="6">
        <f>IF($C20="","",BDP($C20,"NAME"))</f>
        <v/>
      </c>
      <c r="E20" s="6">
        <f>IF($C20="","",BDP($C20,"GICS_SECTOR_NAME"))</f>
        <v/>
      </c>
      <c r="F20" s="33">
        <f>IF($C20="","",BDP($C20,FLD_CCY))</f>
        <v/>
      </c>
      <c r="G20" s="90">
        <f>IFERROR(IF(LEN($F20)&lt;&gt;3,1,IF($F20="HKD",1,BDP(IF($F20="CNY",RMB_CROSS,$F20)&amp;"HKD Curncy","PX_LAST"))),1)</f>
        <v/>
      </c>
      <c r="H20" s="65">
        <f>IF($C20="","",BDP($C20,FLD_DPS12M))</f>
        <v/>
      </c>
      <c r="I20" s="47">
        <f>IF($C20="","",BDP($C20,FLD_YLD12M))</f>
        <v/>
      </c>
      <c r="J20" s="49">
        <f>IF($B20="",0,SUMPRODUCT(('Dvd Calendar'!$E$154:$AR$154&gt;=DATE(YEAR_Y,1,1))*('Dvd Calendar'!$E$154:$AR$154&lt;=REALIZED_TO)*'Dvd Calendar'!$E$157:$AR$157*(('Dvd Calendar'!$E$159:$AR$159=TYPE1)*(TYPE1&lt;&gt;"")+('Dvd Calendar'!$E$159:$AR$159=TYPE2)*(TYPE2&lt;&gt;"")+('Dvd Calendar'!$E$159:$AR$159=TYPE3)*(TYPE3&lt;&gt;"")+('Dvd Calendar'!$E$159:$AR$159=TYPE4)*(TYPE4&lt;&gt;"")+('Dvd Calendar'!$E$159:$AR$159=SPECIAL_LBL)*(INC_SPECIALS="Y"))))</f>
        <v/>
      </c>
      <c r="K20" s="49">
        <f>IF($B20="",0,SUMIFS('Dvd Calendar'!$E$162:$AR$162,'Dvd Calendar'!$E$161:$AR$161,"&gt;"&amp;PROJ_FROM,'Dvd Calendar'!$E$161:$AR$161,"&lt;="&amp;DATE(YEAR_Y,12,31)))</f>
        <v/>
      </c>
      <c r="L20" s="49">
        <f>IF($B20="",0,IF((OV_SWITCH="ON")*(COUNTIFS(OVR_TICKERS,$C20,OVR_BASE,"&gt;=0")&gt;0)&gt;0,SUMIFS(OVR_BASE,OVR_TICKERS,$C20),$K20))</f>
        <v/>
      </c>
      <c r="M20" s="49">
        <f>IF($B20="",0,IF((OV_SWITCH="ON")*(COUNTIFS(OVR_TICKERS,$C20,OVR_LOW,"&gt;=0")&gt;0)&gt;0,SUMIFS(OVR_LOW,OVR_TICKERS,$C20),$L20))</f>
        <v/>
      </c>
      <c r="N20" s="49">
        <f>IF($B20="",0,IF((OV_SWITCH="ON")*(COUNTIFS(OVR_TICKERS,$C20,OVR_HIGH,"&gt;=0")&gt;0)&gt;0,SUMIFS(OVR_HIGH,OVR_TICKERS,$C20),$L20))</f>
        <v/>
      </c>
      <c r="O20" s="65">
        <f>IF($B20="","",IFERROR($B20*$G20*$J20/$B$3,""))</f>
        <v/>
      </c>
      <c r="P20" s="65">
        <f>IF($B20="","",IFERROR($B20*$G20*$L20/$B$3,""))</f>
        <v/>
      </c>
      <c r="Q20" s="41">
        <f>IF($B20="","",IFERROR($O20+$P20,""))</f>
        <v/>
      </c>
      <c r="R20" s="65">
        <f>IF($B20="","",IFERROR($O20+$B20*$G20*$M20/$B$3,""))</f>
        <v/>
      </c>
      <c r="S20" s="65">
        <f>IF($B20="","",IFERROR($O20+$B20*$G20*$N20/$B$3,""))</f>
        <v/>
      </c>
      <c r="T20" s="80">
        <f>IF($B20="","",IFERROR($Q20/$Q$5,""))</f>
        <v/>
      </c>
      <c r="U20" s="2">
        <f>IF($B20="","",IF(COUNTIFS('Dvd Calendar'!$E$160:$AR$160,"&gt;0",'Dvd Calendar'!$E$160:$AR$160,"&lt;="&amp;VAL_DATE,'Dvd Calendar'!$E$161:$AR$161,"&gt;"&amp;PROJ_FROM,'Dvd Calendar'!$E$161:$AR$161,"&lt;="&amp;DATE(YEAR_Y,12,31))-COUNTIFS('Dvd Calendar'!$E$160:$AR$160,"&gt;0",'Dvd Calendar'!$E$160:$AR$160,"&lt;="&amp;VAL_DATE,'Dvd Calendar'!$E$161:$AR$161,"&gt;"&amp;PROJ_FROM,'Dvd Calendar'!$E$161:$AR$161,"&lt;="&amp;DATE(YEAR_Y,12,31),'Dvd Calendar'!$E$162:$AR$162,"&gt;=0")&gt;0,"TBA amount - override me",IF((OV_SWITCH="ON")*(COUNTIFS(OVR_TICKERS,$C20,OVR_BASE,"&gt;=0")&gt;0)&gt;0,"overridden",IF($J20+$K20=0,"no dividend in year Y",""))))</f>
        <v/>
      </c>
      <c r="V20" s="65">
        <f>IF($B20="","",IFERROR(IF(ISNUMBER($H20),$B20*$G20*$H20/$B$3,0),""))</f>
        <v/>
      </c>
      <c r="W20" s="65">
        <f>IF($B20="","",IFERROR($B20*$G20*$K20/$B$3,""))</f>
        <v/>
      </c>
      <c r="X20" s="91">
        <f>IF($C20="","",BDP($C20,"PX_LAST"))</f>
        <v/>
      </c>
      <c r="Y20" s="65">
        <f>IF($B20="","",IFERROR($B20*$X20/$B$3,""))</f>
        <v/>
      </c>
      <c r="Z20" s="76">
        <f>IF($B20="","",IFERROR($Y20/$Y$5,""))</f>
        <v/>
      </c>
    </row>
    <row r="21">
      <c r="B21" s="89" t="n"/>
      <c r="C21" s="6">
        <f>IF($A21="","",$A21&amp;" Equity")</f>
        <v/>
      </c>
      <c r="D21" s="6">
        <f>IF($C21="","",BDP($C21,"NAME"))</f>
        <v/>
      </c>
      <c r="E21" s="6">
        <f>IF($C21="","",BDP($C21,"GICS_SECTOR_NAME"))</f>
        <v/>
      </c>
      <c r="F21" s="33">
        <f>IF($C21="","",BDP($C21,FLD_CCY))</f>
        <v/>
      </c>
      <c r="G21" s="90">
        <f>IFERROR(IF(LEN($F21)&lt;&gt;3,1,IF($F21="HKD",1,BDP(IF($F21="CNY",RMB_CROSS,$F21)&amp;"HKD Curncy","PX_LAST"))),1)</f>
        <v/>
      </c>
      <c r="H21" s="65">
        <f>IF($C21="","",BDP($C21,FLD_DPS12M))</f>
        <v/>
      </c>
      <c r="I21" s="47">
        <f>IF($C21="","",BDP($C21,FLD_YLD12M))</f>
        <v/>
      </c>
      <c r="J21" s="49">
        <f>IF($B21="",0,SUMPRODUCT(('Dvd Calendar'!$E$165:$AR$165&gt;=DATE(YEAR_Y,1,1))*('Dvd Calendar'!$E$165:$AR$165&lt;=REALIZED_TO)*'Dvd Calendar'!$E$168:$AR$168*(('Dvd Calendar'!$E$170:$AR$170=TYPE1)*(TYPE1&lt;&gt;"")+('Dvd Calendar'!$E$170:$AR$170=TYPE2)*(TYPE2&lt;&gt;"")+('Dvd Calendar'!$E$170:$AR$170=TYPE3)*(TYPE3&lt;&gt;"")+('Dvd Calendar'!$E$170:$AR$170=TYPE4)*(TYPE4&lt;&gt;"")+('Dvd Calendar'!$E$170:$AR$170=SPECIAL_LBL)*(INC_SPECIALS="Y"))))</f>
        <v/>
      </c>
      <c r="K21" s="49">
        <f>IF($B21="",0,SUMIFS('Dvd Calendar'!$E$173:$AR$173,'Dvd Calendar'!$E$172:$AR$172,"&gt;"&amp;PROJ_FROM,'Dvd Calendar'!$E$172:$AR$172,"&lt;="&amp;DATE(YEAR_Y,12,31)))</f>
        <v/>
      </c>
      <c r="L21" s="49">
        <f>IF($B21="",0,IF((OV_SWITCH="ON")*(COUNTIFS(OVR_TICKERS,$C21,OVR_BASE,"&gt;=0")&gt;0)&gt;0,SUMIFS(OVR_BASE,OVR_TICKERS,$C21),$K21))</f>
        <v/>
      </c>
      <c r="M21" s="49">
        <f>IF($B21="",0,IF((OV_SWITCH="ON")*(COUNTIFS(OVR_TICKERS,$C21,OVR_LOW,"&gt;=0")&gt;0)&gt;0,SUMIFS(OVR_LOW,OVR_TICKERS,$C21),$L21))</f>
        <v/>
      </c>
      <c r="N21" s="49">
        <f>IF($B21="",0,IF((OV_SWITCH="ON")*(COUNTIFS(OVR_TICKERS,$C21,OVR_HIGH,"&gt;=0")&gt;0)&gt;0,SUMIFS(OVR_HIGH,OVR_TICKERS,$C21),$L21))</f>
        <v/>
      </c>
      <c r="O21" s="65">
        <f>IF($B21="","",IFERROR($B21*$G21*$J21/$B$3,""))</f>
        <v/>
      </c>
      <c r="P21" s="65">
        <f>IF($B21="","",IFERROR($B21*$G21*$L21/$B$3,""))</f>
        <v/>
      </c>
      <c r="Q21" s="41">
        <f>IF($B21="","",IFERROR($O21+$P21,""))</f>
        <v/>
      </c>
      <c r="R21" s="65">
        <f>IF($B21="","",IFERROR($O21+$B21*$G21*$M21/$B$3,""))</f>
        <v/>
      </c>
      <c r="S21" s="65">
        <f>IF($B21="","",IFERROR($O21+$B21*$G21*$N21/$B$3,""))</f>
        <v/>
      </c>
      <c r="T21" s="80">
        <f>IF($B21="","",IFERROR($Q21/$Q$5,""))</f>
        <v/>
      </c>
      <c r="U21" s="2">
        <f>IF($B21="","",IF(COUNTIFS('Dvd Calendar'!$E$171:$AR$171,"&gt;0",'Dvd Calendar'!$E$171:$AR$171,"&lt;="&amp;VAL_DATE,'Dvd Calendar'!$E$172:$AR$172,"&gt;"&amp;PROJ_FROM,'Dvd Calendar'!$E$172:$AR$172,"&lt;="&amp;DATE(YEAR_Y,12,31))-COUNTIFS('Dvd Calendar'!$E$171:$AR$171,"&gt;0",'Dvd Calendar'!$E$171:$AR$171,"&lt;="&amp;VAL_DATE,'Dvd Calendar'!$E$172:$AR$172,"&gt;"&amp;PROJ_FROM,'Dvd Calendar'!$E$172:$AR$172,"&lt;="&amp;DATE(YEAR_Y,12,31),'Dvd Calendar'!$E$173:$AR$173,"&gt;=0")&gt;0,"TBA amount - override me",IF((OV_SWITCH="ON")*(COUNTIFS(OVR_TICKERS,$C21,OVR_BASE,"&gt;=0")&gt;0)&gt;0,"overridden",IF($J21+$K21=0,"no dividend in year Y",""))))</f>
        <v/>
      </c>
      <c r="V21" s="65">
        <f>IF($B21="","",IFERROR(IF(ISNUMBER($H21),$B21*$G21*$H21/$B$3,0),""))</f>
        <v/>
      </c>
      <c r="W21" s="65">
        <f>IF($B21="","",IFERROR($B21*$G21*$K21/$B$3,""))</f>
        <v/>
      </c>
      <c r="X21" s="91">
        <f>IF($C21="","",BDP($C21,"PX_LAST"))</f>
        <v/>
      </c>
      <c r="Y21" s="65">
        <f>IF($B21="","",IFERROR($B21*$X21/$B$3,""))</f>
        <v/>
      </c>
      <c r="Z21" s="76">
        <f>IF($B21="","",IFERROR($Y21/$Y$5,""))</f>
        <v/>
      </c>
    </row>
    <row r="22">
      <c r="B22" s="89" t="n"/>
      <c r="C22" s="6">
        <f>IF($A22="","",$A22&amp;" Equity")</f>
        <v/>
      </c>
      <c r="D22" s="6">
        <f>IF($C22="","",BDP($C22,"NAME"))</f>
        <v/>
      </c>
      <c r="E22" s="6">
        <f>IF($C22="","",BDP($C22,"GICS_SECTOR_NAME"))</f>
        <v/>
      </c>
      <c r="F22" s="33">
        <f>IF($C22="","",BDP($C22,FLD_CCY))</f>
        <v/>
      </c>
      <c r="G22" s="90">
        <f>IFERROR(IF(LEN($F22)&lt;&gt;3,1,IF($F22="HKD",1,BDP(IF($F22="CNY",RMB_CROSS,$F22)&amp;"HKD Curncy","PX_LAST"))),1)</f>
        <v/>
      </c>
      <c r="H22" s="65">
        <f>IF($C22="","",BDP($C22,FLD_DPS12M))</f>
        <v/>
      </c>
      <c r="I22" s="47">
        <f>IF($C22="","",BDP($C22,FLD_YLD12M))</f>
        <v/>
      </c>
      <c r="J22" s="49">
        <f>IF($B22="",0,SUMPRODUCT(('Dvd Calendar'!$E$176:$AR$176&gt;=DATE(YEAR_Y,1,1))*('Dvd Calendar'!$E$176:$AR$176&lt;=REALIZED_TO)*'Dvd Calendar'!$E$179:$AR$179*(('Dvd Calendar'!$E$181:$AR$181=TYPE1)*(TYPE1&lt;&gt;"")+('Dvd Calendar'!$E$181:$AR$181=TYPE2)*(TYPE2&lt;&gt;"")+('Dvd Calendar'!$E$181:$AR$181=TYPE3)*(TYPE3&lt;&gt;"")+('Dvd Calendar'!$E$181:$AR$181=TYPE4)*(TYPE4&lt;&gt;"")+('Dvd Calendar'!$E$181:$AR$181=SPECIAL_LBL)*(INC_SPECIALS="Y"))))</f>
        <v/>
      </c>
      <c r="K22" s="49">
        <f>IF($B22="",0,SUMIFS('Dvd Calendar'!$E$184:$AR$184,'Dvd Calendar'!$E$183:$AR$183,"&gt;"&amp;PROJ_FROM,'Dvd Calendar'!$E$183:$AR$183,"&lt;="&amp;DATE(YEAR_Y,12,31)))</f>
        <v/>
      </c>
      <c r="L22" s="49">
        <f>IF($B22="",0,IF((OV_SWITCH="ON")*(COUNTIFS(OVR_TICKERS,$C22,OVR_BASE,"&gt;=0")&gt;0)&gt;0,SUMIFS(OVR_BASE,OVR_TICKERS,$C22),$K22))</f>
        <v/>
      </c>
      <c r="M22" s="49">
        <f>IF($B22="",0,IF((OV_SWITCH="ON")*(COUNTIFS(OVR_TICKERS,$C22,OVR_LOW,"&gt;=0")&gt;0)&gt;0,SUMIFS(OVR_LOW,OVR_TICKERS,$C22),$L22))</f>
        <v/>
      </c>
      <c r="N22" s="49">
        <f>IF($B22="",0,IF((OV_SWITCH="ON")*(COUNTIFS(OVR_TICKERS,$C22,OVR_HIGH,"&gt;=0")&gt;0)&gt;0,SUMIFS(OVR_HIGH,OVR_TICKERS,$C22),$L22))</f>
        <v/>
      </c>
      <c r="O22" s="65">
        <f>IF($B22="","",IFERROR($B22*$G22*$J22/$B$3,""))</f>
        <v/>
      </c>
      <c r="P22" s="65">
        <f>IF($B22="","",IFERROR($B22*$G22*$L22/$B$3,""))</f>
        <v/>
      </c>
      <c r="Q22" s="41">
        <f>IF($B22="","",IFERROR($O22+$P22,""))</f>
        <v/>
      </c>
      <c r="R22" s="65">
        <f>IF($B22="","",IFERROR($O22+$B22*$G22*$M22/$B$3,""))</f>
        <v/>
      </c>
      <c r="S22" s="65">
        <f>IF($B22="","",IFERROR($O22+$B22*$G22*$N22/$B$3,""))</f>
        <v/>
      </c>
      <c r="T22" s="80">
        <f>IF($B22="","",IFERROR($Q22/$Q$5,""))</f>
        <v/>
      </c>
      <c r="U22" s="2">
        <f>IF($B22="","",IF(COUNTIFS('Dvd Calendar'!$E$182:$AR$182,"&gt;0",'Dvd Calendar'!$E$182:$AR$182,"&lt;="&amp;VAL_DATE,'Dvd Calendar'!$E$183:$AR$183,"&gt;"&amp;PROJ_FROM,'Dvd Calendar'!$E$183:$AR$183,"&lt;="&amp;DATE(YEAR_Y,12,31))-COUNTIFS('Dvd Calendar'!$E$182:$AR$182,"&gt;0",'Dvd Calendar'!$E$182:$AR$182,"&lt;="&amp;VAL_DATE,'Dvd Calendar'!$E$183:$AR$183,"&gt;"&amp;PROJ_FROM,'Dvd Calendar'!$E$183:$AR$183,"&lt;="&amp;DATE(YEAR_Y,12,31),'Dvd Calendar'!$E$184:$AR$184,"&gt;=0")&gt;0,"TBA amount - override me",IF((OV_SWITCH="ON")*(COUNTIFS(OVR_TICKERS,$C22,OVR_BASE,"&gt;=0")&gt;0)&gt;0,"overridden",IF($J22+$K22=0,"no dividend in year Y",""))))</f>
        <v/>
      </c>
      <c r="V22" s="65">
        <f>IF($B22="","",IFERROR(IF(ISNUMBER($H22),$B22*$G22*$H22/$B$3,0),""))</f>
        <v/>
      </c>
      <c r="W22" s="65">
        <f>IF($B22="","",IFERROR($B22*$G22*$K22/$B$3,""))</f>
        <v/>
      </c>
      <c r="X22" s="91">
        <f>IF($C22="","",BDP($C22,"PX_LAST"))</f>
        <v/>
      </c>
      <c r="Y22" s="65">
        <f>IF($B22="","",IFERROR($B22*$X22/$B$3,""))</f>
        <v/>
      </c>
      <c r="Z22" s="76">
        <f>IF($B22="","",IFERROR($Y22/$Y$5,""))</f>
        <v/>
      </c>
    </row>
    <row r="23">
      <c r="B23" s="89" t="n"/>
      <c r="C23" s="6">
        <f>IF($A23="","",$A23&amp;" Equity")</f>
        <v/>
      </c>
      <c r="D23" s="6">
        <f>IF($C23="","",BDP($C23,"NAME"))</f>
        <v/>
      </c>
      <c r="E23" s="6">
        <f>IF($C23="","",BDP($C23,"GICS_SECTOR_NAME"))</f>
        <v/>
      </c>
      <c r="F23" s="33">
        <f>IF($C23="","",BDP($C23,FLD_CCY))</f>
        <v/>
      </c>
      <c r="G23" s="90">
        <f>IFERROR(IF(LEN($F23)&lt;&gt;3,1,IF($F23="HKD",1,BDP(IF($F23="CNY",RMB_CROSS,$F23)&amp;"HKD Curncy","PX_LAST"))),1)</f>
        <v/>
      </c>
      <c r="H23" s="65">
        <f>IF($C23="","",BDP($C23,FLD_DPS12M))</f>
        <v/>
      </c>
      <c r="I23" s="47">
        <f>IF($C23="","",BDP($C23,FLD_YLD12M))</f>
        <v/>
      </c>
      <c r="J23" s="49">
        <f>IF($B23="",0,SUMPRODUCT(('Dvd Calendar'!$E$187:$AR$187&gt;=DATE(YEAR_Y,1,1))*('Dvd Calendar'!$E$187:$AR$187&lt;=REALIZED_TO)*'Dvd Calendar'!$E$190:$AR$190*(('Dvd Calendar'!$E$192:$AR$192=TYPE1)*(TYPE1&lt;&gt;"")+('Dvd Calendar'!$E$192:$AR$192=TYPE2)*(TYPE2&lt;&gt;"")+('Dvd Calendar'!$E$192:$AR$192=TYPE3)*(TYPE3&lt;&gt;"")+('Dvd Calendar'!$E$192:$AR$192=TYPE4)*(TYPE4&lt;&gt;"")+('Dvd Calendar'!$E$192:$AR$192=SPECIAL_LBL)*(INC_SPECIALS="Y"))))</f>
        <v/>
      </c>
      <c r="K23" s="49">
        <f>IF($B23="",0,SUMIFS('Dvd Calendar'!$E$195:$AR$195,'Dvd Calendar'!$E$194:$AR$194,"&gt;"&amp;PROJ_FROM,'Dvd Calendar'!$E$194:$AR$194,"&lt;="&amp;DATE(YEAR_Y,12,31)))</f>
        <v/>
      </c>
      <c r="L23" s="49">
        <f>IF($B23="",0,IF((OV_SWITCH="ON")*(COUNTIFS(OVR_TICKERS,$C23,OVR_BASE,"&gt;=0")&gt;0)&gt;0,SUMIFS(OVR_BASE,OVR_TICKERS,$C23),$K23))</f>
        <v/>
      </c>
      <c r="M23" s="49">
        <f>IF($B23="",0,IF((OV_SWITCH="ON")*(COUNTIFS(OVR_TICKERS,$C23,OVR_LOW,"&gt;=0")&gt;0)&gt;0,SUMIFS(OVR_LOW,OVR_TICKERS,$C23),$L23))</f>
        <v/>
      </c>
      <c r="N23" s="49">
        <f>IF($B23="",0,IF((OV_SWITCH="ON")*(COUNTIFS(OVR_TICKERS,$C23,OVR_HIGH,"&gt;=0")&gt;0)&gt;0,SUMIFS(OVR_HIGH,OVR_TICKERS,$C23),$L23))</f>
        <v/>
      </c>
      <c r="O23" s="65">
        <f>IF($B23="","",IFERROR($B23*$G23*$J23/$B$3,""))</f>
        <v/>
      </c>
      <c r="P23" s="65">
        <f>IF($B23="","",IFERROR($B23*$G23*$L23/$B$3,""))</f>
        <v/>
      </c>
      <c r="Q23" s="41">
        <f>IF($B23="","",IFERROR($O23+$P23,""))</f>
        <v/>
      </c>
      <c r="R23" s="65">
        <f>IF($B23="","",IFERROR($O23+$B23*$G23*$M23/$B$3,""))</f>
        <v/>
      </c>
      <c r="S23" s="65">
        <f>IF($B23="","",IFERROR($O23+$B23*$G23*$N23/$B$3,""))</f>
        <v/>
      </c>
      <c r="T23" s="80">
        <f>IF($B23="","",IFERROR($Q23/$Q$5,""))</f>
        <v/>
      </c>
      <c r="U23" s="2">
        <f>IF($B23="","",IF(COUNTIFS('Dvd Calendar'!$E$193:$AR$193,"&gt;0",'Dvd Calendar'!$E$193:$AR$193,"&lt;="&amp;VAL_DATE,'Dvd Calendar'!$E$194:$AR$194,"&gt;"&amp;PROJ_FROM,'Dvd Calendar'!$E$194:$AR$194,"&lt;="&amp;DATE(YEAR_Y,12,31))-COUNTIFS('Dvd Calendar'!$E$193:$AR$193,"&gt;0",'Dvd Calendar'!$E$193:$AR$193,"&lt;="&amp;VAL_DATE,'Dvd Calendar'!$E$194:$AR$194,"&gt;"&amp;PROJ_FROM,'Dvd Calendar'!$E$194:$AR$194,"&lt;="&amp;DATE(YEAR_Y,12,31),'Dvd Calendar'!$E$195:$AR$195,"&gt;=0")&gt;0,"TBA amount - override me",IF((OV_SWITCH="ON")*(COUNTIFS(OVR_TICKERS,$C23,OVR_BASE,"&gt;=0")&gt;0)&gt;0,"overridden",IF($J23+$K23=0,"no dividend in year Y",""))))</f>
        <v/>
      </c>
      <c r="V23" s="65">
        <f>IF($B23="","",IFERROR(IF(ISNUMBER($H23),$B23*$G23*$H23/$B$3,0),""))</f>
        <v/>
      </c>
      <c r="W23" s="65">
        <f>IF($B23="","",IFERROR($B23*$G23*$K23/$B$3,""))</f>
        <v/>
      </c>
      <c r="X23" s="91">
        <f>IF($C23="","",BDP($C23,"PX_LAST"))</f>
        <v/>
      </c>
      <c r="Y23" s="65">
        <f>IF($B23="","",IFERROR($B23*$X23/$B$3,""))</f>
        <v/>
      </c>
      <c r="Z23" s="76">
        <f>IF($B23="","",IFERROR($Y23/$Y$5,""))</f>
        <v/>
      </c>
    </row>
    <row r="24">
      <c r="B24" s="89" t="n"/>
      <c r="C24" s="6">
        <f>IF($A24="","",$A24&amp;" Equity")</f>
        <v/>
      </c>
      <c r="D24" s="6">
        <f>IF($C24="","",BDP($C24,"NAME"))</f>
        <v/>
      </c>
      <c r="E24" s="6">
        <f>IF($C24="","",BDP($C24,"GICS_SECTOR_NAME"))</f>
        <v/>
      </c>
      <c r="F24" s="33">
        <f>IF($C24="","",BDP($C24,FLD_CCY))</f>
        <v/>
      </c>
      <c r="G24" s="90">
        <f>IFERROR(IF(LEN($F24)&lt;&gt;3,1,IF($F24="HKD",1,BDP(IF($F24="CNY",RMB_CROSS,$F24)&amp;"HKD Curncy","PX_LAST"))),1)</f>
        <v/>
      </c>
      <c r="H24" s="65">
        <f>IF($C24="","",BDP($C24,FLD_DPS12M))</f>
        <v/>
      </c>
      <c r="I24" s="47">
        <f>IF($C24="","",BDP($C24,FLD_YLD12M))</f>
        <v/>
      </c>
      <c r="J24" s="49">
        <f>IF($B24="",0,SUMPRODUCT(('Dvd Calendar'!$E$198:$AR$198&gt;=DATE(YEAR_Y,1,1))*('Dvd Calendar'!$E$198:$AR$198&lt;=REALIZED_TO)*'Dvd Calendar'!$E$201:$AR$201*(('Dvd Calendar'!$E$203:$AR$203=TYPE1)*(TYPE1&lt;&gt;"")+('Dvd Calendar'!$E$203:$AR$203=TYPE2)*(TYPE2&lt;&gt;"")+('Dvd Calendar'!$E$203:$AR$203=TYPE3)*(TYPE3&lt;&gt;"")+('Dvd Calendar'!$E$203:$AR$203=TYPE4)*(TYPE4&lt;&gt;"")+('Dvd Calendar'!$E$203:$AR$203=SPECIAL_LBL)*(INC_SPECIALS="Y"))))</f>
        <v/>
      </c>
      <c r="K24" s="49">
        <f>IF($B24="",0,SUMIFS('Dvd Calendar'!$E$206:$AR$206,'Dvd Calendar'!$E$205:$AR$205,"&gt;"&amp;PROJ_FROM,'Dvd Calendar'!$E$205:$AR$205,"&lt;="&amp;DATE(YEAR_Y,12,31)))</f>
        <v/>
      </c>
      <c r="L24" s="49">
        <f>IF($B24="",0,IF((OV_SWITCH="ON")*(COUNTIFS(OVR_TICKERS,$C24,OVR_BASE,"&gt;=0")&gt;0)&gt;0,SUMIFS(OVR_BASE,OVR_TICKERS,$C24),$K24))</f>
        <v/>
      </c>
      <c r="M24" s="49">
        <f>IF($B24="",0,IF((OV_SWITCH="ON")*(COUNTIFS(OVR_TICKERS,$C24,OVR_LOW,"&gt;=0")&gt;0)&gt;0,SUMIFS(OVR_LOW,OVR_TICKERS,$C24),$L24))</f>
        <v/>
      </c>
      <c r="N24" s="49">
        <f>IF($B24="",0,IF((OV_SWITCH="ON")*(COUNTIFS(OVR_TICKERS,$C24,OVR_HIGH,"&gt;=0")&gt;0)&gt;0,SUMIFS(OVR_HIGH,OVR_TICKERS,$C24),$L24))</f>
        <v/>
      </c>
      <c r="O24" s="65">
        <f>IF($B24="","",IFERROR($B24*$G24*$J24/$B$3,""))</f>
        <v/>
      </c>
      <c r="P24" s="65">
        <f>IF($B24="","",IFERROR($B24*$G24*$L24/$B$3,""))</f>
        <v/>
      </c>
      <c r="Q24" s="41">
        <f>IF($B24="","",IFERROR($O24+$P24,""))</f>
        <v/>
      </c>
      <c r="R24" s="65">
        <f>IF($B24="","",IFERROR($O24+$B24*$G24*$M24/$B$3,""))</f>
        <v/>
      </c>
      <c r="S24" s="65">
        <f>IF($B24="","",IFERROR($O24+$B24*$G24*$N24/$B$3,""))</f>
        <v/>
      </c>
      <c r="T24" s="80">
        <f>IF($B24="","",IFERROR($Q24/$Q$5,""))</f>
        <v/>
      </c>
      <c r="U24" s="2">
        <f>IF($B24="","",IF(COUNTIFS('Dvd Calendar'!$E$204:$AR$204,"&gt;0",'Dvd Calendar'!$E$204:$AR$204,"&lt;="&amp;VAL_DATE,'Dvd Calendar'!$E$205:$AR$205,"&gt;"&amp;PROJ_FROM,'Dvd Calendar'!$E$205:$AR$205,"&lt;="&amp;DATE(YEAR_Y,12,31))-COUNTIFS('Dvd Calendar'!$E$204:$AR$204,"&gt;0",'Dvd Calendar'!$E$204:$AR$204,"&lt;="&amp;VAL_DATE,'Dvd Calendar'!$E$205:$AR$205,"&gt;"&amp;PROJ_FROM,'Dvd Calendar'!$E$205:$AR$205,"&lt;="&amp;DATE(YEAR_Y,12,31),'Dvd Calendar'!$E$206:$AR$206,"&gt;=0")&gt;0,"TBA amount - override me",IF((OV_SWITCH="ON")*(COUNTIFS(OVR_TICKERS,$C24,OVR_BASE,"&gt;=0")&gt;0)&gt;0,"overridden",IF($J24+$K24=0,"no dividend in year Y",""))))</f>
        <v/>
      </c>
      <c r="V24" s="65">
        <f>IF($B24="","",IFERROR(IF(ISNUMBER($H24),$B24*$G24*$H24/$B$3,0),""))</f>
        <v/>
      </c>
      <c r="W24" s="65">
        <f>IF($B24="","",IFERROR($B24*$G24*$K24/$B$3,""))</f>
        <v/>
      </c>
      <c r="X24" s="91">
        <f>IF($C24="","",BDP($C24,"PX_LAST"))</f>
        <v/>
      </c>
      <c r="Y24" s="65">
        <f>IF($B24="","",IFERROR($B24*$X24/$B$3,""))</f>
        <v/>
      </c>
      <c r="Z24" s="76">
        <f>IF($B24="","",IFERROR($Y24/$Y$5,""))</f>
        <v/>
      </c>
    </row>
    <row r="25">
      <c r="B25" s="89" t="n"/>
      <c r="C25" s="6">
        <f>IF($A25="","",$A25&amp;" Equity")</f>
        <v/>
      </c>
      <c r="D25" s="6">
        <f>IF($C25="","",BDP($C25,"NAME"))</f>
        <v/>
      </c>
      <c r="E25" s="6">
        <f>IF($C25="","",BDP($C25,"GICS_SECTOR_NAME"))</f>
        <v/>
      </c>
      <c r="F25" s="33">
        <f>IF($C25="","",BDP($C25,FLD_CCY))</f>
        <v/>
      </c>
      <c r="G25" s="90">
        <f>IFERROR(IF(LEN($F25)&lt;&gt;3,1,IF($F25="HKD",1,BDP(IF($F25="CNY",RMB_CROSS,$F25)&amp;"HKD Curncy","PX_LAST"))),1)</f>
        <v/>
      </c>
      <c r="H25" s="65">
        <f>IF($C25="","",BDP($C25,FLD_DPS12M))</f>
        <v/>
      </c>
      <c r="I25" s="47">
        <f>IF($C25="","",BDP($C25,FLD_YLD12M))</f>
        <v/>
      </c>
      <c r="J25" s="49">
        <f>IF($B25="",0,SUMPRODUCT(('Dvd Calendar'!$E$209:$AR$209&gt;=DATE(YEAR_Y,1,1))*('Dvd Calendar'!$E$209:$AR$209&lt;=REALIZED_TO)*'Dvd Calendar'!$E$212:$AR$212*(('Dvd Calendar'!$E$214:$AR$214=TYPE1)*(TYPE1&lt;&gt;"")+('Dvd Calendar'!$E$214:$AR$214=TYPE2)*(TYPE2&lt;&gt;"")+('Dvd Calendar'!$E$214:$AR$214=TYPE3)*(TYPE3&lt;&gt;"")+('Dvd Calendar'!$E$214:$AR$214=TYPE4)*(TYPE4&lt;&gt;"")+('Dvd Calendar'!$E$214:$AR$214=SPECIAL_LBL)*(INC_SPECIALS="Y"))))</f>
        <v/>
      </c>
      <c r="K25" s="49">
        <f>IF($B25="",0,SUMIFS('Dvd Calendar'!$E$217:$AR$217,'Dvd Calendar'!$E$216:$AR$216,"&gt;"&amp;PROJ_FROM,'Dvd Calendar'!$E$216:$AR$216,"&lt;="&amp;DATE(YEAR_Y,12,31)))</f>
        <v/>
      </c>
      <c r="L25" s="49">
        <f>IF($B25="",0,IF((OV_SWITCH="ON")*(COUNTIFS(OVR_TICKERS,$C25,OVR_BASE,"&gt;=0")&gt;0)&gt;0,SUMIFS(OVR_BASE,OVR_TICKERS,$C25),$K25))</f>
        <v/>
      </c>
      <c r="M25" s="49">
        <f>IF($B25="",0,IF((OV_SWITCH="ON")*(COUNTIFS(OVR_TICKERS,$C25,OVR_LOW,"&gt;=0")&gt;0)&gt;0,SUMIFS(OVR_LOW,OVR_TICKERS,$C25),$L25))</f>
        <v/>
      </c>
      <c r="N25" s="49">
        <f>IF($B25="",0,IF((OV_SWITCH="ON")*(COUNTIFS(OVR_TICKERS,$C25,OVR_HIGH,"&gt;=0")&gt;0)&gt;0,SUMIFS(OVR_HIGH,OVR_TICKERS,$C25),$L25))</f>
        <v/>
      </c>
      <c r="O25" s="65">
        <f>IF($B25="","",IFERROR($B25*$G25*$J25/$B$3,""))</f>
        <v/>
      </c>
      <c r="P25" s="65">
        <f>IF($B25="","",IFERROR($B25*$G25*$L25/$B$3,""))</f>
        <v/>
      </c>
      <c r="Q25" s="41">
        <f>IF($B25="","",IFERROR($O25+$P25,""))</f>
        <v/>
      </c>
      <c r="R25" s="65">
        <f>IF($B25="","",IFERROR($O25+$B25*$G25*$M25/$B$3,""))</f>
        <v/>
      </c>
      <c r="S25" s="65">
        <f>IF($B25="","",IFERROR($O25+$B25*$G25*$N25/$B$3,""))</f>
        <v/>
      </c>
      <c r="T25" s="80">
        <f>IF($B25="","",IFERROR($Q25/$Q$5,""))</f>
        <v/>
      </c>
      <c r="U25" s="2">
        <f>IF($B25="","",IF(COUNTIFS('Dvd Calendar'!$E$215:$AR$215,"&gt;0",'Dvd Calendar'!$E$215:$AR$215,"&lt;="&amp;VAL_DATE,'Dvd Calendar'!$E$216:$AR$216,"&gt;"&amp;PROJ_FROM,'Dvd Calendar'!$E$216:$AR$216,"&lt;="&amp;DATE(YEAR_Y,12,31))-COUNTIFS('Dvd Calendar'!$E$215:$AR$215,"&gt;0",'Dvd Calendar'!$E$215:$AR$215,"&lt;="&amp;VAL_DATE,'Dvd Calendar'!$E$216:$AR$216,"&gt;"&amp;PROJ_FROM,'Dvd Calendar'!$E$216:$AR$216,"&lt;="&amp;DATE(YEAR_Y,12,31),'Dvd Calendar'!$E$217:$AR$217,"&gt;=0")&gt;0,"TBA amount - override me",IF((OV_SWITCH="ON")*(COUNTIFS(OVR_TICKERS,$C25,OVR_BASE,"&gt;=0")&gt;0)&gt;0,"overridden",IF($J25+$K25=0,"no dividend in year Y",""))))</f>
        <v/>
      </c>
      <c r="V25" s="65">
        <f>IF($B25="","",IFERROR(IF(ISNUMBER($H25),$B25*$G25*$H25/$B$3,0),""))</f>
        <v/>
      </c>
      <c r="W25" s="65">
        <f>IF($B25="","",IFERROR($B25*$G25*$K25/$B$3,""))</f>
        <v/>
      </c>
      <c r="X25" s="91">
        <f>IF($C25="","",BDP($C25,"PX_LAST"))</f>
        <v/>
      </c>
      <c r="Y25" s="65">
        <f>IF($B25="","",IFERROR($B25*$X25/$B$3,""))</f>
        <v/>
      </c>
      <c r="Z25" s="76">
        <f>IF($B25="","",IFERROR($Y25/$Y$5,""))</f>
        <v/>
      </c>
    </row>
    <row r="26">
      <c r="B26" s="89" t="n"/>
      <c r="C26" s="6">
        <f>IF($A26="","",$A26&amp;" Equity")</f>
        <v/>
      </c>
      <c r="D26" s="6">
        <f>IF($C26="","",BDP($C26,"NAME"))</f>
        <v/>
      </c>
      <c r="E26" s="6">
        <f>IF($C26="","",BDP($C26,"GICS_SECTOR_NAME"))</f>
        <v/>
      </c>
      <c r="F26" s="33">
        <f>IF($C26="","",BDP($C26,FLD_CCY))</f>
        <v/>
      </c>
      <c r="G26" s="90">
        <f>IFERROR(IF(LEN($F26)&lt;&gt;3,1,IF($F26="HKD",1,BDP(IF($F26="CNY",RMB_CROSS,$F26)&amp;"HKD Curncy","PX_LAST"))),1)</f>
        <v/>
      </c>
      <c r="H26" s="65">
        <f>IF($C26="","",BDP($C26,FLD_DPS12M))</f>
        <v/>
      </c>
      <c r="I26" s="47">
        <f>IF($C26="","",BDP($C26,FLD_YLD12M))</f>
        <v/>
      </c>
      <c r="J26" s="49">
        <f>IF($B26="",0,SUMPRODUCT(('Dvd Calendar'!$E$220:$AR$220&gt;=DATE(YEAR_Y,1,1))*('Dvd Calendar'!$E$220:$AR$220&lt;=REALIZED_TO)*'Dvd Calendar'!$E$223:$AR$223*(('Dvd Calendar'!$E$225:$AR$225=TYPE1)*(TYPE1&lt;&gt;"")+('Dvd Calendar'!$E$225:$AR$225=TYPE2)*(TYPE2&lt;&gt;"")+('Dvd Calendar'!$E$225:$AR$225=TYPE3)*(TYPE3&lt;&gt;"")+('Dvd Calendar'!$E$225:$AR$225=TYPE4)*(TYPE4&lt;&gt;"")+('Dvd Calendar'!$E$225:$AR$225=SPECIAL_LBL)*(INC_SPECIALS="Y"))))</f>
        <v/>
      </c>
      <c r="K26" s="49">
        <f>IF($B26="",0,SUMIFS('Dvd Calendar'!$E$228:$AR$228,'Dvd Calendar'!$E$227:$AR$227,"&gt;"&amp;PROJ_FROM,'Dvd Calendar'!$E$227:$AR$227,"&lt;="&amp;DATE(YEAR_Y,12,31)))</f>
        <v/>
      </c>
      <c r="L26" s="49">
        <f>IF($B26="",0,IF((OV_SWITCH="ON")*(COUNTIFS(OVR_TICKERS,$C26,OVR_BASE,"&gt;=0")&gt;0)&gt;0,SUMIFS(OVR_BASE,OVR_TICKERS,$C26),$K26))</f>
        <v/>
      </c>
      <c r="M26" s="49">
        <f>IF($B26="",0,IF((OV_SWITCH="ON")*(COUNTIFS(OVR_TICKERS,$C26,OVR_LOW,"&gt;=0")&gt;0)&gt;0,SUMIFS(OVR_LOW,OVR_TICKERS,$C26),$L26))</f>
        <v/>
      </c>
      <c r="N26" s="49">
        <f>IF($B26="",0,IF((OV_SWITCH="ON")*(COUNTIFS(OVR_TICKERS,$C26,OVR_HIGH,"&gt;=0")&gt;0)&gt;0,SUMIFS(OVR_HIGH,OVR_TICKERS,$C26),$L26))</f>
        <v/>
      </c>
      <c r="O26" s="65">
        <f>IF($B26="","",IFERROR($B26*$G26*$J26/$B$3,""))</f>
        <v/>
      </c>
      <c r="P26" s="65">
        <f>IF($B26="","",IFERROR($B26*$G26*$L26/$B$3,""))</f>
        <v/>
      </c>
      <c r="Q26" s="41">
        <f>IF($B26="","",IFERROR($O26+$P26,""))</f>
        <v/>
      </c>
      <c r="R26" s="65">
        <f>IF($B26="","",IFERROR($O26+$B26*$G26*$M26/$B$3,""))</f>
        <v/>
      </c>
      <c r="S26" s="65">
        <f>IF($B26="","",IFERROR($O26+$B26*$G26*$N26/$B$3,""))</f>
        <v/>
      </c>
      <c r="T26" s="80">
        <f>IF($B26="","",IFERROR($Q26/$Q$5,""))</f>
        <v/>
      </c>
      <c r="U26" s="2">
        <f>IF($B26="","",IF(COUNTIFS('Dvd Calendar'!$E$226:$AR$226,"&gt;0",'Dvd Calendar'!$E$226:$AR$226,"&lt;="&amp;VAL_DATE,'Dvd Calendar'!$E$227:$AR$227,"&gt;"&amp;PROJ_FROM,'Dvd Calendar'!$E$227:$AR$227,"&lt;="&amp;DATE(YEAR_Y,12,31))-COUNTIFS('Dvd Calendar'!$E$226:$AR$226,"&gt;0",'Dvd Calendar'!$E$226:$AR$226,"&lt;="&amp;VAL_DATE,'Dvd Calendar'!$E$227:$AR$227,"&gt;"&amp;PROJ_FROM,'Dvd Calendar'!$E$227:$AR$227,"&lt;="&amp;DATE(YEAR_Y,12,31),'Dvd Calendar'!$E$228:$AR$228,"&gt;=0")&gt;0,"TBA amount - override me",IF((OV_SWITCH="ON")*(COUNTIFS(OVR_TICKERS,$C26,OVR_BASE,"&gt;=0")&gt;0)&gt;0,"overridden",IF($J26+$K26=0,"no dividend in year Y",""))))</f>
        <v/>
      </c>
      <c r="V26" s="65">
        <f>IF($B26="","",IFERROR(IF(ISNUMBER($H26),$B26*$G26*$H26/$B$3,0),""))</f>
        <v/>
      </c>
      <c r="W26" s="65">
        <f>IF($B26="","",IFERROR($B26*$G26*$K26/$B$3,""))</f>
        <v/>
      </c>
      <c r="X26" s="91">
        <f>IF($C26="","",BDP($C26,"PX_LAST"))</f>
        <v/>
      </c>
      <c r="Y26" s="65">
        <f>IF($B26="","",IFERROR($B26*$X26/$B$3,""))</f>
        <v/>
      </c>
      <c r="Z26" s="76">
        <f>IF($B26="","",IFERROR($Y26/$Y$5,""))</f>
        <v/>
      </c>
    </row>
    <row r="27">
      <c r="B27" s="89" t="n"/>
      <c r="C27" s="6">
        <f>IF($A27="","",$A27&amp;" Equity")</f>
        <v/>
      </c>
      <c r="D27" s="6">
        <f>IF($C27="","",BDP($C27,"NAME"))</f>
        <v/>
      </c>
      <c r="E27" s="6">
        <f>IF($C27="","",BDP($C27,"GICS_SECTOR_NAME"))</f>
        <v/>
      </c>
      <c r="F27" s="33">
        <f>IF($C27="","",BDP($C27,FLD_CCY))</f>
        <v/>
      </c>
      <c r="G27" s="90">
        <f>IFERROR(IF(LEN($F27)&lt;&gt;3,1,IF($F27="HKD",1,BDP(IF($F27="CNY",RMB_CROSS,$F27)&amp;"HKD Curncy","PX_LAST"))),1)</f>
        <v/>
      </c>
      <c r="H27" s="65">
        <f>IF($C27="","",BDP($C27,FLD_DPS12M))</f>
        <v/>
      </c>
      <c r="I27" s="47">
        <f>IF($C27="","",BDP($C27,FLD_YLD12M))</f>
        <v/>
      </c>
      <c r="J27" s="49">
        <f>IF($B27="",0,SUMPRODUCT(('Dvd Calendar'!$E$231:$AR$231&gt;=DATE(YEAR_Y,1,1))*('Dvd Calendar'!$E$231:$AR$231&lt;=REALIZED_TO)*'Dvd Calendar'!$E$234:$AR$234*(('Dvd Calendar'!$E$236:$AR$236=TYPE1)*(TYPE1&lt;&gt;"")+('Dvd Calendar'!$E$236:$AR$236=TYPE2)*(TYPE2&lt;&gt;"")+('Dvd Calendar'!$E$236:$AR$236=TYPE3)*(TYPE3&lt;&gt;"")+('Dvd Calendar'!$E$236:$AR$236=TYPE4)*(TYPE4&lt;&gt;"")+('Dvd Calendar'!$E$236:$AR$236=SPECIAL_LBL)*(INC_SPECIALS="Y"))))</f>
        <v/>
      </c>
      <c r="K27" s="49">
        <f>IF($B27="",0,SUMIFS('Dvd Calendar'!$E$239:$AR$239,'Dvd Calendar'!$E$238:$AR$238,"&gt;"&amp;PROJ_FROM,'Dvd Calendar'!$E$238:$AR$238,"&lt;="&amp;DATE(YEAR_Y,12,31)))</f>
        <v/>
      </c>
      <c r="L27" s="49">
        <f>IF($B27="",0,IF((OV_SWITCH="ON")*(COUNTIFS(OVR_TICKERS,$C27,OVR_BASE,"&gt;=0")&gt;0)&gt;0,SUMIFS(OVR_BASE,OVR_TICKERS,$C27),$K27))</f>
        <v/>
      </c>
      <c r="M27" s="49">
        <f>IF($B27="",0,IF((OV_SWITCH="ON")*(COUNTIFS(OVR_TICKERS,$C27,OVR_LOW,"&gt;=0")&gt;0)&gt;0,SUMIFS(OVR_LOW,OVR_TICKERS,$C27),$L27))</f>
        <v/>
      </c>
      <c r="N27" s="49">
        <f>IF($B27="",0,IF((OV_SWITCH="ON")*(COUNTIFS(OVR_TICKERS,$C27,OVR_HIGH,"&gt;=0")&gt;0)&gt;0,SUMIFS(OVR_HIGH,OVR_TICKERS,$C27),$L27))</f>
        <v/>
      </c>
      <c r="O27" s="65">
        <f>IF($B27="","",IFERROR($B27*$G27*$J27/$B$3,""))</f>
        <v/>
      </c>
      <c r="P27" s="65">
        <f>IF($B27="","",IFERROR($B27*$G27*$L27/$B$3,""))</f>
        <v/>
      </c>
      <c r="Q27" s="41">
        <f>IF($B27="","",IFERROR($O27+$P27,""))</f>
        <v/>
      </c>
      <c r="R27" s="65">
        <f>IF($B27="","",IFERROR($O27+$B27*$G27*$M27/$B$3,""))</f>
        <v/>
      </c>
      <c r="S27" s="65">
        <f>IF($B27="","",IFERROR($O27+$B27*$G27*$N27/$B$3,""))</f>
        <v/>
      </c>
      <c r="T27" s="80">
        <f>IF($B27="","",IFERROR($Q27/$Q$5,""))</f>
        <v/>
      </c>
      <c r="U27" s="2">
        <f>IF($B27="","",IF(COUNTIFS('Dvd Calendar'!$E$237:$AR$237,"&gt;0",'Dvd Calendar'!$E$237:$AR$237,"&lt;="&amp;VAL_DATE,'Dvd Calendar'!$E$238:$AR$238,"&gt;"&amp;PROJ_FROM,'Dvd Calendar'!$E$238:$AR$238,"&lt;="&amp;DATE(YEAR_Y,12,31))-COUNTIFS('Dvd Calendar'!$E$237:$AR$237,"&gt;0",'Dvd Calendar'!$E$237:$AR$237,"&lt;="&amp;VAL_DATE,'Dvd Calendar'!$E$238:$AR$238,"&gt;"&amp;PROJ_FROM,'Dvd Calendar'!$E$238:$AR$238,"&lt;="&amp;DATE(YEAR_Y,12,31),'Dvd Calendar'!$E$239:$AR$239,"&gt;=0")&gt;0,"TBA amount - override me",IF((OV_SWITCH="ON")*(COUNTIFS(OVR_TICKERS,$C27,OVR_BASE,"&gt;=0")&gt;0)&gt;0,"overridden",IF($J27+$K27=0,"no dividend in year Y",""))))</f>
        <v/>
      </c>
      <c r="V27" s="65">
        <f>IF($B27="","",IFERROR(IF(ISNUMBER($H27),$B27*$G27*$H27/$B$3,0),""))</f>
        <v/>
      </c>
      <c r="W27" s="65">
        <f>IF($B27="","",IFERROR($B27*$G27*$K27/$B$3,""))</f>
        <v/>
      </c>
      <c r="X27" s="91">
        <f>IF($C27="","",BDP($C27,"PX_LAST"))</f>
        <v/>
      </c>
      <c r="Y27" s="65">
        <f>IF($B27="","",IFERROR($B27*$X27/$B$3,""))</f>
        <v/>
      </c>
      <c r="Z27" s="76">
        <f>IF($B27="","",IFERROR($Y27/$Y$5,""))</f>
        <v/>
      </c>
    </row>
    <row r="28">
      <c r="B28" s="89" t="n"/>
      <c r="C28" s="6">
        <f>IF($A28="","",$A28&amp;" Equity")</f>
        <v/>
      </c>
      <c r="D28" s="6">
        <f>IF($C28="","",BDP($C28,"NAME"))</f>
        <v/>
      </c>
      <c r="E28" s="6">
        <f>IF($C28="","",BDP($C28,"GICS_SECTOR_NAME"))</f>
        <v/>
      </c>
      <c r="F28" s="33">
        <f>IF($C28="","",BDP($C28,FLD_CCY))</f>
        <v/>
      </c>
      <c r="G28" s="90">
        <f>IFERROR(IF(LEN($F28)&lt;&gt;3,1,IF($F28="HKD",1,BDP(IF($F28="CNY",RMB_CROSS,$F28)&amp;"HKD Curncy","PX_LAST"))),1)</f>
        <v/>
      </c>
      <c r="H28" s="65">
        <f>IF($C28="","",BDP($C28,FLD_DPS12M))</f>
        <v/>
      </c>
      <c r="I28" s="47">
        <f>IF($C28="","",BDP($C28,FLD_YLD12M))</f>
        <v/>
      </c>
      <c r="J28" s="49">
        <f>IF($B28="",0,SUMPRODUCT(('Dvd Calendar'!$E$242:$AR$242&gt;=DATE(YEAR_Y,1,1))*('Dvd Calendar'!$E$242:$AR$242&lt;=REALIZED_TO)*'Dvd Calendar'!$E$245:$AR$245*(('Dvd Calendar'!$E$247:$AR$247=TYPE1)*(TYPE1&lt;&gt;"")+('Dvd Calendar'!$E$247:$AR$247=TYPE2)*(TYPE2&lt;&gt;"")+('Dvd Calendar'!$E$247:$AR$247=TYPE3)*(TYPE3&lt;&gt;"")+('Dvd Calendar'!$E$247:$AR$247=TYPE4)*(TYPE4&lt;&gt;"")+('Dvd Calendar'!$E$247:$AR$247=SPECIAL_LBL)*(INC_SPECIALS="Y"))))</f>
        <v/>
      </c>
      <c r="K28" s="49">
        <f>IF($B28="",0,SUMIFS('Dvd Calendar'!$E$250:$AR$250,'Dvd Calendar'!$E$249:$AR$249,"&gt;"&amp;PROJ_FROM,'Dvd Calendar'!$E$249:$AR$249,"&lt;="&amp;DATE(YEAR_Y,12,31)))</f>
        <v/>
      </c>
      <c r="L28" s="49">
        <f>IF($B28="",0,IF((OV_SWITCH="ON")*(COUNTIFS(OVR_TICKERS,$C28,OVR_BASE,"&gt;=0")&gt;0)&gt;0,SUMIFS(OVR_BASE,OVR_TICKERS,$C28),$K28))</f>
        <v/>
      </c>
      <c r="M28" s="49">
        <f>IF($B28="",0,IF((OV_SWITCH="ON")*(COUNTIFS(OVR_TICKERS,$C28,OVR_LOW,"&gt;=0")&gt;0)&gt;0,SUMIFS(OVR_LOW,OVR_TICKERS,$C28),$L28))</f>
        <v/>
      </c>
      <c r="N28" s="49">
        <f>IF($B28="",0,IF((OV_SWITCH="ON")*(COUNTIFS(OVR_TICKERS,$C28,OVR_HIGH,"&gt;=0")&gt;0)&gt;0,SUMIFS(OVR_HIGH,OVR_TICKERS,$C28),$L28))</f>
        <v/>
      </c>
      <c r="O28" s="65">
        <f>IF($B28="","",IFERROR($B28*$G28*$J28/$B$3,""))</f>
        <v/>
      </c>
      <c r="P28" s="65">
        <f>IF($B28="","",IFERROR($B28*$G28*$L28/$B$3,""))</f>
        <v/>
      </c>
      <c r="Q28" s="41">
        <f>IF($B28="","",IFERROR($O28+$P28,""))</f>
        <v/>
      </c>
      <c r="R28" s="65">
        <f>IF($B28="","",IFERROR($O28+$B28*$G28*$M28/$B$3,""))</f>
        <v/>
      </c>
      <c r="S28" s="65">
        <f>IF($B28="","",IFERROR($O28+$B28*$G28*$N28/$B$3,""))</f>
        <v/>
      </c>
      <c r="T28" s="80">
        <f>IF($B28="","",IFERROR($Q28/$Q$5,""))</f>
        <v/>
      </c>
      <c r="U28" s="2">
        <f>IF($B28="","",IF(COUNTIFS('Dvd Calendar'!$E$248:$AR$248,"&gt;0",'Dvd Calendar'!$E$248:$AR$248,"&lt;="&amp;VAL_DATE,'Dvd Calendar'!$E$249:$AR$249,"&gt;"&amp;PROJ_FROM,'Dvd Calendar'!$E$249:$AR$249,"&lt;="&amp;DATE(YEAR_Y,12,31))-COUNTIFS('Dvd Calendar'!$E$248:$AR$248,"&gt;0",'Dvd Calendar'!$E$248:$AR$248,"&lt;="&amp;VAL_DATE,'Dvd Calendar'!$E$249:$AR$249,"&gt;"&amp;PROJ_FROM,'Dvd Calendar'!$E$249:$AR$249,"&lt;="&amp;DATE(YEAR_Y,12,31),'Dvd Calendar'!$E$250:$AR$250,"&gt;=0")&gt;0,"TBA amount - override me",IF((OV_SWITCH="ON")*(COUNTIFS(OVR_TICKERS,$C28,OVR_BASE,"&gt;=0")&gt;0)&gt;0,"overridden",IF($J28+$K28=0,"no dividend in year Y",""))))</f>
        <v/>
      </c>
      <c r="V28" s="65">
        <f>IF($B28="","",IFERROR(IF(ISNUMBER($H28),$B28*$G28*$H28/$B$3,0),""))</f>
        <v/>
      </c>
      <c r="W28" s="65">
        <f>IF($B28="","",IFERROR($B28*$G28*$K28/$B$3,""))</f>
        <v/>
      </c>
      <c r="X28" s="91">
        <f>IF($C28="","",BDP($C28,"PX_LAST"))</f>
        <v/>
      </c>
      <c r="Y28" s="65">
        <f>IF($B28="","",IFERROR($B28*$X28/$B$3,""))</f>
        <v/>
      </c>
      <c r="Z28" s="76">
        <f>IF($B28="","",IFERROR($Y28/$Y$5,""))</f>
        <v/>
      </c>
    </row>
    <row r="29">
      <c r="B29" s="89" t="n"/>
      <c r="C29" s="6">
        <f>IF($A29="","",$A29&amp;" Equity")</f>
        <v/>
      </c>
      <c r="D29" s="6">
        <f>IF($C29="","",BDP($C29,"NAME"))</f>
        <v/>
      </c>
      <c r="E29" s="6">
        <f>IF($C29="","",BDP($C29,"GICS_SECTOR_NAME"))</f>
        <v/>
      </c>
      <c r="F29" s="33">
        <f>IF($C29="","",BDP($C29,FLD_CCY))</f>
        <v/>
      </c>
      <c r="G29" s="90">
        <f>IFERROR(IF(LEN($F29)&lt;&gt;3,1,IF($F29="HKD",1,BDP(IF($F29="CNY",RMB_CROSS,$F29)&amp;"HKD Curncy","PX_LAST"))),1)</f>
        <v/>
      </c>
      <c r="H29" s="65">
        <f>IF($C29="","",BDP($C29,FLD_DPS12M))</f>
        <v/>
      </c>
      <c r="I29" s="47">
        <f>IF($C29="","",BDP($C29,FLD_YLD12M))</f>
        <v/>
      </c>
      <c r="J29" s="49">
        <f>IF($B29="",0,SUMPRODUCT(('Dvd Calendar'!$E$253:$AR$253&gt;=DATE(YEAR_Y,1,1))*('Dvd Calendar'!$E$253:$AR$253&lt;=REALIZED_TO)*'Dvd Calendar'!$E$256:$AR$256*(('Dvd Calendar'!$E$258:$AR$258=TYPE1)*(TYPE1&lt;&gt;"")+('Dvd Calendar'!$E$258:$AR$258=TYPE2)*(TYPE2&lt;&gt;"")+('Dvd Calendar'!$E$258:$AR$258=TYPE3)*(TYPE3&lt;&gt;"")+('Dvd Calendar'!$E$258:$AR$258=TYPE4)*(TYPE4&lt;&gt;"")+('Dvd Calendar'!$E$258:$AR$258=SPECIAL_LBL)*(INC_SPECIALS="Y"))))</f>
        <v/>
      </c>
      <c r="K29" s="49">
        <f>IF($B29="",0,SUMIFS('Dvd Calendar'!$E$261:$AR$261,'Dvd Calendar'!$E$260:$AR$260,"&gt;"&amp;PROJ_FROM,'Dvd Calendar'!$E$260:$AR$260,"&lt;="&amp;DATE(YEAR_Y,12,31)))</f>
        <v/>
      </c>
      <c r="L29" s="49">
        <f>IF($B29="",0,IF((OV_SWITCH="ON")*(COUNTIFS(OVR_TICKERS,$C29,OVR_BASE,"&gt;=0")&gt;0)&gt;0,SUMIFS(OVR_BASE,OVR_TICKERS,$C29),$K29))</f>
        <v/>
      </c>
      <c r="M29" s="49">
        <f>IF($B29="",0,IF((OV_SWITCH="ON")*(COUNTIFS(OVR_TICKERS,$C29,OVR_LOW,"&gt;=0")&gt;0)&gt;0,SUMIFS(OVR_LOW,OVR_TICKERS,$C29),$L29))</f>
        <v/>
      </c>
      <c r="N29" s="49">
        <f>IF($B29="",0,IF((OV_SWITCH="ON")*(COUNTIFS(OVR_TICKERS,$C29,OVR_HIGH,"&gt;=0")&gt;0)&gt;0,SUMIFS(OVR_HIGH,OVR_TICKERS,$C29),$L29))</f>
        <v/>
      </c>
      <c r="O29" s="65">
        <f>IF($B29="","",IFERROR($B29*$G29*$J29/$B$3,""))</f>
        <v/>
      </c>
      <c r="P29" s="65">
        <f>IF($B29="","",IFERROR($B29*$G29*$L29/$B$3,""))</f>
        <v/>
      </c>
      <c r="Q29" s="41">
        <f>IF($B29="","",IFERROR($O29+$P29,""))</f>
        <v/>
      </c>
      <c r="R29" s="65">
        <f>IF($B29="","",IFERROR($O29+$B29*$G29*$M29/$B$3,""))</f>
        <v/>
      </c>
      <c r="S29" s="65">
        <f>IF($B29="","",IFERROR($O29+$B29*$G29*$N29/$B$3,""))</f>
        <v/>
      </c>
      <c r="T29" s="80">
        <f>IF($B29="","",IFERROR($Q29/$Q$5,""))</f>
        <v/>
      </c>
      <c r="U29" s="2">
        <f>IF($B29="","",IF(COUNTIFS('Dvd Calendar'!$E$259:$AR$259,"&gt;0",'Dvd Calendar'!$E$259:$AR$259,"&lt;="&amp;VAL_DATE,'Dvd Calendar'!$E$260:$AR$260,"&gt;"&amp;PROJ_FROM,'Dvd Calendar'!$E$260:$AR$260,"&lt;="&amp;DATE(YEAR_Y,12,31))-COUNTIFS('Dvd Calendar'!$E$259:$AR$259,"&gt;0",'Dvd Calendar'!$E$259:$AR$259,"&lt;="&amp;VAL_DATE,'Dvd Calendar'!$E$260:$AR$260,"&gt;"&amp;PROJ_FROM,'Dvd Calendar'!$E$260:$AR$260,"&lt;="&amp;DATE(YEAR_Y,12,31),'Dvd Calendar'!$E$261:$AR$261,"&gt;=0")&gt;0,"TBA amount - override me",IF((OV_SWITCH="ON")*(COUNTIFS(OVR_TICKERS,$C29,OVR_BASE,"&gt;=0")&gt;0)&gt;0,"overridden",IF($J29+$K29=0,"no dividend in year Y",""))))</f>
        <v/>
      </c>
      <c r="V29" s="65">
        <f>IF($B29="","",IFERROR(IF(ISNUMBER($H29),$B29*$G29*$H29/$B$3,0),""))</f>
        <v/>
      </c>
      <c r="W29" s="65">
        <f>IF($B29="","",IFERROR($B29*$G29*$K29/$B$3,""))</f>
        <v/>
      </c>
      <c r="X29" s="91">
        <f>IF($C29="","",BDP($C29,"PX_LAST"))</f>
        <v/>
      </c>
      <c r="Y29" s="65">
        <f>IF($B29="","",IFERROR($B29*$X29/$B$3,""))</f>
        <v/>
      </c>
      <c r="Z29" s="76">
        <f>IF($B29="","",IFERROR($Y29/$Y$5,""))</f>
        <v/>
      </c>
    </row>
    <row r="30">
      <c r="B30" s="89" t="n"/>
      <c r="C30" s="6">
        <f>IF($A30="","",$A30&amp;" Equity")</f>
        <v/>
      </c>
      <c r="D30" s="6">
        <f>IF($C30="","",BDP($C30,"NAME"))</f>
        <v/>
      </c>
      <c r="E30" s="6">
        <f>IF($C30="","",BDP($C30,"GICS_SECTOR_NAME"))</f>
        <v/>
      </c>
      <c r="F30" s="33">
        <f>IF($C30="","",BDP($C30,FLD_CCY))</f>
        <v/>
      </c>
      <c r="G30" s="90">
        <f>IFERROR(IF(LEN($F30)&lt;&gt;3,1,IF($F30="HKD",1,BDP(IF($F30="CNY",RMB_CROSS,$F30)&amp;"HKD Curncy","PX_LAST"))),1)</f>
        <v/>
      </c>
      <c r="H30" s="65">
        <f>IF($C30="","",BDP($C30,FLD_DPS12M))</f>
        <v/>
      </c>
      <c r="I30" s="47">
        <f>IF($C30="","",BDP($C30,FLD_YLD12M))</f>
        <v/>
      </c>
      <c r="J30" s="49">
        <f>IF($B30="",0,SUMPRODUCT(('Dvd Calendar'!$E$264:$AR$264&gt;=DATE(YEAR_Y,1,1))*('Dvd Calendar'!$E$264:$AR$264&lt;=REALIZED_TO)*'Dvd Calendar'!$E$267:$AR$267*(('Dvd Calendar'!$E$269:$AR$269=TYPE1)*(TYPE1&lt;&gt;"")+('Dvd Calendar'!$E$269:$AR$269=TYPE2)*(TYPE2&lt;&gt;"")+('Dvd Calendar'!$E$269:$AR$269=TYPE3)*(TYPE3&lt;&gt;"")+('Dvd Calendar'!$E$269:$AR$269=TYPE4)*(TYPE4&lt;&gt;"")+('Dvd Calendar'!$E$269:$AR$269=SPECIAL_LBL)*(INC_SPECIALS="Y"))))</f>
        <v/>
      </c>
      <c r="K30" s="49">
        <f>IF($B30="",0,SUMIFS('Dvd Calendar'!$E$272:$AR$272,'Dvd Calendar'!$E$271:$AR$271,"&gt;"&amp;PROJ_FROM,'Dvd Calendar'!$E$271:$AR$271,"&lt;="&amp;DATE(YEAR_Y,12,31)))</f>
        <v/>
      </c>
      <c r="L30" s="49">
        <f>IF($B30="",0,IF((OV_SWITCH="ON")*(COUNTIFS(OVR_TICKERS,$C30,OVR_BASE,"&gt;=0")&gt;0)&gt;0,SUMIFS(OVR_BASE,OVR_TICKERS,$C30),$K30))</f>
        <v/>
      </c>
      <c r="M30" s="49">
        <f>IF($B30="",0,IF((OV_SWITCH="ON")*(COUNTIFS(OVR_TICKERS,$C30,OVR_LOW,"&gt;=0")&gt;0)&gt;0,SUMIFS(OVR_LOW,OVR_TICKERS,$C30),$L30))</f>
        <v/>
      </c>
      <c r="N30" s="49">
        <f>IF($B30="",0,IF((OV_SWITCH="ON")*(COUNTIFS(OVR_TICKERS,$C30,OVR_HIGH,"&gt;=0")&gt;0)&gt;0,SUMIFS(OVR_HIGH,OVR_TICKERS,$C30),$L30))</f>
        <v/>
      </c>
      <c r="O30" s="65">
        <f>IF($B30="","",IFERROR($B30*$G30*$J30/$B$3,""))</f>
        <v/>
      </c>
      <c r="P30" s="65">
        <f>IF($B30="","",IFERROR($B30*$G30*$L30/$B$3,""))</f>
        <v/>
      </c>
      <c r="Q30" s="41">
        <f>IF($B30="","",IFERROR($O30+$P30,""))</f>
        <v/>
      </c>
      <c r="R30" s="65">
        <f>IF($B30="","",IFERROR($O30+$B30*$G30*$M30/$B$3,""))</f>
        <v/>
      </c>
      <c r="S30" s="65">
        <f>IF($B30="","",IFERROR($O30+$B30*$G30*$N30/$B$3,""))</f>
        <v/>
      </c>
      <c r="T30" s="80">
        <f>IF($B30="","",IFERROR($Q30/$Q$5,""))</f>
        <v/>
      </c>
      <c r="U30" s="2">
        <f>IF($B30="","",IF(COUNTIFS('Dvd Calendar'!$E$270:$AR$270,"&gt;0",'Dvd Calendar'!$E$270:$AR$270,"&lt;="&amp;VAL_DATE,'Dvd Calendar'!$E$271:$AR$271,"&gt;"&amp;PROJ_FROM,'Dvd Calendar'!$E$271:$AR$271,"&lt;="&amp;DATE(YEAR_Y,12,31))-COUNTIFS('Dvd Calendar'!$E$270:$AR$270,"&gt;0",'Dvd Calendar'!$E$270:$AR$270,"&lt;="&amp;VAL_DATE,'Dvd Calendar'!$E$271:$AR$271,"&gt;"&amp;PROJ_FROM,'Dvd Calendar'!$E$271:$AR$271,"&lt;="&amp;DATE(YEAR_Y,12,31),'Dvd Calendar'!$E$272:$AR$272,"&gt;=0")&gt;0,"TBA amount - override me",IF((OV_SWITCH="ON")*(COUNTIFS(OVR_TICKERS,$C30,OVR_BASE,"&gt;=0")&gt;0)&gt;0,"overridden",IF($J30+$K30=0,"no dividend in year Y",""))))</f>
        <v/>
      </c>
      <c r="V30" s="65">
        <f>IF($B30="","",IFERROR(IF(ISNUMBER($H30),$B30*$G30*$H30/$B$3,0),""))</f>
        <v/>
      </c>
      <c r="W30" s="65">
        <f>IF($B30="","",IFERROR($B30*$G30*$K30/$B$3,""))</f>
        <v/>
      </c>
      <c r="X30" s="91">
        <f>IF($C30="","",BDP($C30,"PX_LAST"))</f>
        <v/>
      </c>
      <c r="Y30" s="65">
        <f>IF($B30="","",IFERROR($B30*$X30/$B$3,""))</f>
        <v/>
      </c>
      <c r="Z30" s="76">
        <f>IF($B30="","",IFERROR($Y30/$Y$5,""))</f>
        <v/>
      </c>
    </row>
    <row r="31">
      <c r="B31" s="89" t="n"/>
      <c r="C31" s="6">
        <f>IF($A31="","",$A31&amp;" Equity")</f>
        <v/>
      </c>
      <c r="D31" s="6">
        <f>IF($C31="","",BDP($C31,"NAME"))</f>
        <v/>
      </c>
      <c r="E31" s="6">
        <f>IF($C31="","",BDP($C31,"GICS_SECTOR_NAME"))</f>
        <v/>
      </c>
      <c r="F31" s="33">
        <f>IF($C31="","",BDP($C31,FLD_CCY))</f>
        <v/>
      </c>
      <c r="G31" s="90">
        <f>IFERROR(IF(LEN($F31)&lt;&gt;3,1,IF($F31="HKD",1,BDP(IF($F31="CNY",RMB_CROSS,$F31)&amp;"HKD Curncy","PX_LAST"))),1)</f>
        <v/>
      </c>
      <c r="H31" s="65">
        <f>IF($C31="","",BDP($C31,FLD_DPS12M))</f>
        <v/>
      </c>
      <c r="I31" s="47">
        <f>IF($C31="","",BDP($C31,FLD_YLD12M))</f>
        <v/>
      </c>
      <c r="J31" s="49">
        <f>IF($B31="",0,SUMPRODUCT(('Dvd Calendar'!$E$275:$AR$275&gt;=DATE(YEAR_Y,1,1))*('Dvd Calendar'!$E$275:$AR$275&lt;=REALIZED_TO)*'Dvd Calendar'!$E$278:$AR$278*(('Dvd Calendar'!$E$280:$AR$280=TYPE1)*(TYPE1&lt;&gt;"")+('Dvd Calendar'!$E$280:$AR$280=TYPE2)*(TYPE2&lt;&gt;"")+('Dvd Calendar'!$E$280:$AR$280=TYPE3)*(TYPE3&lt;&gt;"")+('Dvd Calendar'!$E$280:$AR$280=TYPE4)*(TYPE4&lt;&gt;"")+('Dvd Calendar'!$E$280:$AR$280=SPECIAL_LBL)*(INC_SPECIALS="Y"))))</f>
        <v/>
      </c>
      <c r="K31" s="49">
        <f>IF($B31="",0,SUMIFS('Dvd Calendar'!$E$283:$AR$283,'Dvd Calendar'!$E$282:$AR$282,"&gt;"&amp;PROJ_FROM,'Dvd Calendar'!$E$282:$AR$282,"&lt;="&amp;DATE(YEAR_Y,12,31)))</f>
        <v/>
      </c>
      <c r="L31" s="49">
        <f>IF($B31="",0,IF((OV_SWITCH="ON")*(COUNTIFS(OVR_TICKERS,$C31,OVR_BASE,"&gt;=0")&gt;0)&gt;0,SUMIFS(OVR_BASE,OVR_TICKERS,$C31),$K31))</f>
        <v/>
      </c>
      <c r="M31" s="49">
        <f>IF($B31="",0,IF((OV_SWITCH="ON")*(COUNTIFS(OVR_TICKERS,$C31,OVR_LOW,"&gt;=0")&gt;0)&gt;0,SUMIFS(OVR_LOW,OVR_TICKERS,$C31),$L31))</f>
        <v/>
      </c>
      <c r="N31" s="49">
        <f>IF($B31="",0,IF((OV_SWITCH="ON")*(COUNTIFS(OVR_TICKERS,$C31,OVR_HIGH,"&gt;=0")&gt;0)&gt;0,SUMIFS(OVR_HIGH,OVR_TICKERS,$C31),$L31))</f>
        <v/>
      </c>
      <c r="O31" s="65">
        <f>IF($B31="","",IFERROR($B31*$G31*$J31/$B$3,""))</f>
        <v/>
      </c>
      <c r="P31" s="65">
        <f>IF($B31="","",IFERROR($B31*$G31*$L31/$B$3,""))</f>
        <v/>
      </c>
      <c r="Q31" s="41">
        <f>IF($B31="","",IFERROR($O31+$P31,""))</f>
        <v/>
      </c>
      <c r="R31" s="65">
        <f>IF($B31="","",IFERROR($O31+$B31*$G31*$M31/$B$3,""))</f>
        <v/>
      </c>
      <c r="S31" s="65">
        <f>IF($B31="","",IFERROR($O31+$B31*$G31*$N31/$B$3,""))</f>
        <v/>
      </c>
      <c r="T31" s="80">
        <f>IF($B31="","",IFERROR($Q31/$Q$5,""))</f>
        <v/>
      </c>
      <c r="U31" s="2">
        <f>IF($B31="","",IF(COUNTIFS('Dvd Calendar'!$E$281:$AR$281,"&gt;0",'Dvd Calendar'!$E$281:$AR$281,"&lt;="&amp;VAL_DATE,'Dvd Calendar'!$E$282:$AR$282,"&gt;"&amp;PROJ_FROM,'Dvd Calendar'!$E$282:$AR$282,"&lt;="&amp;DATE(YEAR_Y,12,31))-COUNTIFS('Dvd Calendar'!$E$281:$AR$281,"&gt;0",'Dvd Calendar'!$E$281:$AR$281,"&lt;="&amp;VAL_DATE,'Dvd Calendar'!$E$282:$AR$282,"&gt;"&amp;PROJ_FROM,'Dvd Calendar'!$E$282:$AR$282,"&lt;="&amp;DATE(YEAR_Y,12,31),'Dvd Calendar'!$E$283:$AR$283,"&gt;=0")&gt;0,"TBA amount - override me",IF((OV_SWITCH="ON")*(COUNTIFS(OVR_TICKERS,$C31,OVR_BASE,"&gt;=0")&gt;0)&gt;0,"overridden",IF($J31+$K31=0,"no dividend in year Y",""))))</f>
        <v/>
      </c>
      <c r="V31" s="65">
        <f>IF($B31="","",IFERROR(IF(ISNUMBER($H31),$B31*$G31*$H31/$B$3,0),""))</f>
        <v/>
      </c>
      <c r="W31" s="65">
        <f>IF($B31="","",IFERROR($B31*$G31*$K31/$B$3,""))</f>
        <v/>
      </c>
      <c r="X31" s="91">
        <f>IF($C31="","",BDP($C31,"PX_LAST"))</f>
        <v/>
      </c>
      <c r="Y31" s="65">
        <f>IF($B31="","",IFERROR($B31*$X31/$B$3,""))</f>
        <v/>
      </c>
      <c r="Z31" s="76">
        <f>IF($B31="","",IFERROR($Y31/$Y$5,""))</f>
        <v/>
      </c>
    </row>
    <row r="32">
      <c r="B32" s="89" t="n"/>
      <c r="C32" s="6">
        <f>IF($A32="","",$A32&amp;" Equity")</f>
        <v/>
      </c>
      <c r="D32" s="6">
        <f>IF($C32="","",BDP($C32,"NAME"))</f>
        <v/>
      </c>
      <c r="E32" s="6">
        <f>IF($C32="","",BDP($C32,"GICS_SECTOR_NAME"))</f>
        <v/>
      </c>
      <c r="F32" s="33">
        <f>IF($C32="","",BDP($C32,FLD_CCY))</f>
        <v/>
      </c>
      <c r="G32" s="90">
        <f>IFERROR(IF(LEN($F32)&lt;&gt;3,1,IF($F32="HKD",1,BDP(IF($F32="CNY",RMB_CROSS,$F32)&amp;"HKD Curncy","PX_LAST"))),1)</f>
        <v/>
      </c>
      <c r="H32" s="65">
        <f>IF($C32="","",BDP($C32,FLD_DPS12M))</f>
        <v/>
      </c>
      <c r="I32" s="47">
        <f>IF($C32="","",BDP($C32,FLD_YLD12M))</f>
        <v/>
      </c>
      <c r="J32" s="49">
        <f>IF($B32="",0,SUMPRODUCT(('Dvd Calendar'!$E$286:$AR$286&gt;=DATE(YEAR_Y,1,1))*('Dvd Calendar'!$E$286:$AR$286&lt;=REALIZED_TO)*'Dvd Calendar'!$E$289:$AR$289*(('Dvd Calendar'!$E$291:$AR$291=TYPE1)*(TYPE1&lt;&gt;"")+('Dvd Calendar'!$E$291:$AR$291=TYPE2)*(TYPE2&lt;&gt;"")+('Dvd Calendar'!$E$291:$AR$291=TYPE3)*(TYPE3&lt;&gt;"")+('Dvd Calendar'!$E$291:$AR$291=TYPE4)*(TYPE4&lt;&gt;"")+('Dvd Calendar'!$E$291:$AR$291=SPECIAL_LBL)*(INC_SPECIALS="Y"))))</f>
        <v/>
      </c>
      <c r="K32" s="49">
        <f>IF($B32="",0,SUMIFS('Dvd Calendar'!$E$294:$AR$294,'Dvd Calendar'!$E$293:$AR$293,"&gt;"&amp;PROJ_FROM,'Dvd Calendar'!$E$293:$AR$293,"&lt;="&amp;DATE(YEAR_Y,12,31)))</f>
        <v/>
      </c>
      <c r="L32" s="49">
        <f>IF($B32="",0,IF((OV_SWITCH="ON")*(COUNTIFS(OVR_TICKERS,$C32,OVR_BASE,"&gt;=0")&gt;0)&gt;0,SUMIFS(OVR_BASE,OVR_TICKERS,$C32),$K32))</f>
        <v/>
      </c>
      <c r="M32" s="49">
        <f>IF($B32="",0,IF((OV_SWITCH="ON")*(COUNTIFS(OVR_TICKERS,$C32,OVR_LOW,"&gt;=0")&gt;0)&gt;0,SUMIFS(OVR_LOW,OVR_TICKERS,$C32),$L32))</f>
        <v/>
      </c>
      <c r="N32" s="49">
        <f>IF($B32="",0,IF((OV_SWITCH="ON")*(COUNTIFS(OVR_TICKERS,$C32,OVR_HIGH,"&gt;=0")&gt;0)&gt;0,SUMIFS(OVR_HIGH,OVR_TICKERS,$C32),$L32))</f>
        <v/>
      </c>
      <c r="O32" s="65">
        <f>IF($B32="","",IFERROR($B32*$G32*$J32/$B$3,""))</f>
        <v/>
      </c>
      <c r="P32" s="65">
        <f>IF($B32="","",IFERROR($B32*$G32*$L32/$B$3,""))</f>
        <v/>
      </c>
      <c r="Q32" s="41">
        <f>IF($B32="","",IFERROR($O32+$P32,""))</f>
        <v/>
      </c>
      <c r="R32" s="65">
        <f>IF($B32="","",IFERROR($O32+$B32*$G32*$M32/$B$3,""))</f>
        <v/>
      </c>
      <c r="S32" s="65">
        <f>IF($B32="","",IFERROR($O32+$B32*$G32*$N32/$B$3,""))</f>
        <v/>
      </c>
      <c r="T32" s="80">
        <f>IF($B32="","",IFERROR($Q32/$Q$5,""))</f>
        <v/>
      </c>
      <c r="U32" s="2">
        <f>IF($B32="","",IF(COUNTIFS('Dvd Calendar'!$E$292:$AR$292,"&gt;0",'Dvd Calendar'!$E$292:$AR$292,"&lt;="&amp;VAL_DATE,'Dvd Calendar'!$E$293:$AR$293,"&gt;"&amp;PROJ_FROM,'Dvd Calendar'!$E$293:$AR$293,"&lt;="&amp;DATE(YEAR_Y,12,31))-COUNTIFS('Dvd Calendar'!$E$292:$AR$292,"&gt;0",'Dvd Calendar'!$E$292:$AR$292,"&lt;="&amp;VAL_DATE,'Dvd Calendar'!$E$293:$AR$293,"&gt;"&amp;PROJ_FROM,'Dvd Calendar'!$E$293:$AR$293,"&lt;="&amp;DATE(YEAR_Y,12,31),'Dvd Calendar'!$E$294:$AR$294,"&gt;=0")&gt;0,"TBA amount - override me",IF((OV_SWITCH="ON")*(COUNTIFS(OVR_TICKERS,$C32,OVR_BASE,"&gt;=0")&gt;0)&gt;0,"overridden",IF($J32+$K32=0,"no dividend in year Y",""))))</f>
        <v/>
      </c>
      <c r="V32" s="65">
        <f>IF($B32="","",IFERROR(IF(ISNUMBER($H32),$B32*$G32*$H32/$B$3,0),""))</f>
        <v/>
      </c>
      <c r="W32" s="65">
        <f>IF($B32="","",IFERROR($B32*$G32*$K32/$B$3,""))</f>
        <v/>
      </c>
      <c r="X32" s="91">
        <f>IF($C32="","",BDP($C32,"PX_LAST"))</f>
        <v/>
      </c>
      <c r="Y32" s="65">
        <f>IF($B32="","",IFERROR($B32*$X32/$B$3,""))</f>
        <v/>
      </c>
      <c r="Z32" s="76">
        <f>IF($B32="","",IFERROR($Y32/$Y$5,""))</f>
        <v/>
      </c>
    </row>
    <row r="33">
      <c r="B33" s="89" t="n"/>
      <c r="C33" s="6">
        <f>IF($A33="","",$A33&amp;" Equity")</f>
        <v/>
      </c>
      <c r="D33" s="6">
        <f>IF($C33="","",BDP($C33,"NAME"))</f>
        <v/>
      </c>
      <c r="E33" s="6">
        <f>IF($C33="","",BDP($C33,"GICS_SECTOR_NAME"))</f>
        <v/>
      </c>
      <c r="F33" s="33">
        <f>IF($C33="","",BDP($C33,FLD_CCY))</f>
        <v/>
      </c>
      <c r="G33" s="90">
        <f>IFERROR(IF(LEN($F33)&lt;&gt;3,1,IF($F33="HKD",1,BDP(IF($F33="CNY",RMB_CROSS,$F33)&amp;"HKD Curncy","PX_LAST"))),1)</f>
        <v/>
      </c>
      <c r="H33" s="65">
        <f>IF($C33="","",BDP($C33,FLD_DPS12M))</f>
        <v/>
      </c>
      <c r="I33" s="47">
        <f>IF($C33="","",BDP($C33,FLD_YLD12M))</f>
        <v/>
      </c>
      <c r="J33" s="49">
        <f>IF($B33="",0,SUMPRODUCT(('Dvd Calendar'!$E$297:$AR$297&gt;=DATE(YEAR_Y,1,1))*('Dvd Calendar'!$E$297:$AR$297&lt;=REALIZED_TO)*'Dvd Calendar'!$E$300:$AR$300*(('Dvd Calendar'!$E$302:$AR$302=TYPE1)*(TYPE1&lt;&gt;"")+('Dvd Calendar'!$E$302:$AR$302=TYPE2)*(TYPE2&lt;&gt;"")+('Dvd Calendar'!$E$302:$AR$302=TYPE3)*(TYPE3&lt;&gt;"")+('Dvd Calendar'!$E$302:$AR$302=TYPE4)*(TYPE4&lt;&gt;"")+('Dvd Calendar'!$E$302:$AR$302=SPECIAL_LBL)*(INC_SPECIALS="Y"))))</f>
        <v/>
      </c>
      <c r="K33" s="49">
        <f>IF($B33="",0,SUMIFS('Dvd Calendar'!$E$305:$AR$305,'Dvd Calendar'!$E$304:$AR$304,"&gt;"&amp;PROJ_FROM,'Dvd Calendar'!$E$304:$AR$304,"&lt;="&amp;DATE(YEAR_Y,12,31)))</f>
        <v/>
      </c>
      <c r="L33" s="49">
        <f>IF($B33="",0,IF((OV_SWITCH="ON")*(COUNTIFS(OVR_TICKERS,$C33,OVR_BASE,"&gt;=0")&gt;0)&gt;0,SUMIFS(OVR_BASE,OVR_TICKERS,$C33),$K33))</f>
        <v/>
      </c>
      <c r="M33" s="49">
        <f>IF($B33="",0,IF((OV_SWITCH="ON")*(COUNTIFS(OVR_TICKERS,$C33,OVR_LOW,"&gt;=0")&gt;0)&gt;0,SUMIFS(OVR_LOW,OVR_TICKERS,$C33),$L33))</f>
        <v/>
      </c>
      <c r="N33" s="49">
        <f>IF($B33="",0,IF((OV_SWITCH="ON")*(COUNTIFS(OVR_TICKERS,$C33,OVR_HIGH,"&gt;=0")&gt;0)&gt;0,SUMIFS(OVR_HIGH,OVR_TICKERS,$C33),$L33))</f>
        <v/>
      </c>
      <c r="O33" s="65">
        <f>IF($B33="","",IFERROR($B33*$G33*$J33/$B$3,""))</f>
        <v/>
      </c>
      <c r="P33" s="65">
        <f>IF($B33="","",IFERROR($B33*$G33*$L33/$B$3,""))</f>
        <v/>
      </c>
      <c r="Q33" s="41">
        <f>IF($B33="","",IFERROR($O33+$P33,""))</f>
        <v/>
      </c>
      <c r="R33" s="65">
        <f>IF($B33="","",IFERROR($O33+$B33*$G33*$M33/$B$3,""))</f>
        <v/>
      </c>
      <c r="S33" s="65">
        <f>IF($B33="","",IFERROR($O33+$B33*$G33*$N33/$B$3,""))</f>
        <v/>
      </c>
      <c r="T33" s="80">
        <f>IF($B33="","",IFERROR($Q33/$Q$5,""))</f>
        <v/>
      </c>
      <c r="U33" s="2">
        <f>IF($B33="","",IF(COUNTIFS('Dvd Calendar'!$E$303:$AR$303,"&gt;0",'Dvd Calendar'!$E$303:$AR$303,"&lt;="&amp;VAL_DATE,'Dvd Calendar'!$E$304:$AR$304,"&gt;"&amp;PROJ_FROM,'Dvd Calendar'!$E$304:$AR$304,"&lt;="&amp;DATE(YEAR_Y,12,31))-COUNTIFS('Dvd Calendar'!$E$303:$AR$303,"&gt;0",'Dvd Calendar'!$E$303:$AR$303,"&lt;="&amp;VAL_DATE,'Dvd Calendar'!$E$304:$AR$304,"&gt;"&amp;PROJ_FROM,'Dvd Calendar'!$E$304:$AR$304,"&lt;="&amp;DATE(YEAR_Y,12,31),'Dvd Calendar'!$E$305:$AR$305,"&gt;=0")&gt;0,"TBA amount - override me",IF((OV_SWITCH="ON")*(COUNTIFS(OVR_TICKERS,$C33,OVR_BASE,"&gt;=0")&gt;0)&gt;0,"overridden",IF($J33+$K33=0,"no dividend in year Y",""))))</f>
        <v/>
      </c>
      <c r="V33" s="65">
        <f>IF($B33="","",IFERROR(IF(ISNUMBER($H33),$B33*$G33*$H33/$B$3,0),""))</f>
        <v/>
      </c>
      <c r="W33" s="65">
        <f>IF($B33="","",IFERROR($B33*$G33*$K33/$B$3,""))</f>
        <v/>
      </c>
      <c r="X33" s="91">
        <f>IF($C33="","",BDP($C33,"PX_LAST"))</f>
        <v/>
      </c>
      <c r="Y33" s="65">
        <f>IF($B33="","",IFERROR($B33*$X33/$B$3,""))</f>
        <v/>
      </c>
      <c r="Z33" s="76">
        <f>IF($B33="","",IFERROR($Y33/$Y$5,""))</f>
        <v/>
      </c>
    </row>
    <row r="34">
      <c r="B34" s="89" t="n"/>
      <c r="C34" s="6">
        <f>IF($A34="","",$A34&amp;" Equity")</f>
        <v/>
      </c>
      <c r="D34" s="6">
        <f>IF($C34="","",BDP($C34,"NAME"))</f>
        <v/>
      </c>
      <c r="E34" s="6">
        <f>IF($C34="","",BDP($C34,"GICS_SECTOR_NAME"))</f>
        <v/>
      </c>
      <c r="F34" s="33">
        <f>IF($C34="","",BDP($C34,FLD_CCY))</f>
        <v/>
      </c>
      <c r="G34" s="90">
        <f>IFERROR(IF(LEN($F34)&lt;&gt;3,1,IF($F34="HKD",1,BDP(IF($F34="CNY",RMB_CROSS,$F34)&amp;"HKD Curncy","PX_LAST"))),1)</f>
        <v/>
      </c>
      <c r="H34" s="65">
        <f>IF($C34="","",BDP($C34,FLD_DPS12M))</f>
        <v/>
      </c>
      <c r="I34" s="47">
        <f>IF($C34="","",BDP($C34,FLD_YLD12M))</f>
        <v/>
      </c>
      <c r="J34" s="49">
        <f>IF($B34="",0,SUMPRODUCT(('Dvd Calendar'!$E$308:$AR$308&gt;=DATE(YEAR_Y,1,1))*('Dvd Calendar'!$E$308:$AR$308&lt;=REALIZED_TO)*'Dvd Calendar'!$E$311:$AR$311*(('Dvd Calendar'!$E$313:$AR$313=TYPE1)*(TYPE1&lt;&gt;"")+('Dvd Calendar'!$E$313:$AR$313=TYPE2)*(TYPE2&lt;&gt;"")+('Dvd Calendar'!$E$313:$AR$313=TYPE3)*(TYPE3&lt;&gt;"")+('Dvd Calendar'!$E$313:$AR$313=TYPE4)*(TYPE4&lt;&gt;"")+('Dvd Calendar'!$E$313:$AR$313=SPECIAL_LBL)*(INC_SPECIALS="Y"))))</f>
        <v/>
      </c>
      <c r="K34" s="49">
        <f>IF($B34="",0,SUMIFS('Dvd Calendar'!$E$316:$AR$316,'Dvd Calendar'!$E$315:$AR$315,"&gt;"&amp;PROJ_FROM,'Dvd Calendar'!$E$315:$AR$315,"&lt;="&amp;DATE(YEAR_Y,12,31)))</f>
        <v/>
      </c>
      <c r="L34" s="49">
        <f>IF($B34="",0,IF((OV_SWITCH="ON")*(COUNTIFS(OVR_TICKERS,$C34,OVR_BASE,"&gt;=0")&gt;0)&gt;0,SUMIFS(OVR_BASE,OVR_TICKERS,$C34),$K34))</f>
        <v/>
      </c>
      <c r="M34" s="49">
        <f>IF($B34="",0,IF((OV_SWITCH="ON")*(COUNTIFS(OVR_TICKERS,$C34,OVR_LOW,"&gt;=0")&gt;0)&gt;0,SUMIFS(OVR_LOW,OVR_TICKERS,$C34),$L34))</f>
        <v/>
      </c>
      <c r="N34" s="49">
        <f>IF($B34="",0,IF((OV_SWITCH="ON")*(COUNTIFS(OVR_TICKERS,$C34,OVR_HIGH,"&gt;=0")&gt;0)&gt;0,SUMIFS(OVR_HIGH,OVR_TICKERS,$C34),$L34))</f>
        <v/>
      </c>
      <c r="O34" s="65">
        <f>IF($B34="","",IFERROR($B34*$G34*$J34/$B$3,""))</f>
        <v/>
      </c>
      <c r="P34" s="65">
        <f>IF($B34="","",IFERROR($B34*$G34*$L34/$B$3,""))</f>
        <v/>
      </c>
      <c r="Q34" s="41">
        <f>IF($B34="","",IFERROR($O34+$P34,""))</f>
        <v/>
      </c>
      <c r="R34" s="65">
        <f>IF($B34="","",IFERROR($O34+$B34*$G34*$M34/$B$3,""))</f>
        <v/>
      </c>
      <c r="S34" s="65">
        <f>IF($B34="","",IFERROR($O34+$B34*$G34*$N34/$B$3,""))</f>
        <v/>
      </c>
      <c r="T34" s="80">
        <f>IF($B34="","",IFERROR($Q34/$Q$5,""))</f>
        <v/>
      </c>
      <c r="U34" s="2">
        <f>IF($B34="","",IF(COUNTIFS('Dvd Calendar'!$E$314:$AR$314,"&gt;0",'Dvd Calendar'!$E$314:$AR$314,"&lt;="&amp;VAL_DATE,'Dvd Calendar'!$E$315:$AR$315,"&gt;"&amp;PROJ_FROM,'Dvd Calendar'!$E$315:$AR$315,"&lt;="&amp;DATE(YEAR_Y,12,31))-COUNTIFS('Dvd Calendar'!$E$314:$AR$314,"&gt;0",'Dvd Calendar'!$E$314:$AR$314,"&lt;="&amp;VAL_DATE,'Dvd Calendar'!$E$315:$AR$315,"&gt;"&amp;PROJ_FROM,'Dvd Calendar'!$E$315:$AR$315,"&lt;="&amp;DATE(YEAR_Y,12,31),'Dvd Calendar'!$E$316:$AR$316,"&gt;=0")&gt;0,"TBA amount - override me",IF((OV_SWITCH="ON")*(COUNTIFS(OVR_TICKERS,$C34,OVR_BASE,"&gt;=0")&gt;0)&gt;0,"overridden",IF($J34+$K34=0,"no dividend in year Y",""))))</f>
        <v/>
      </c>
      <c r="V34" s="65">
        <f>IF($B34="","",IFERROR(IF(ISNUMBER($H34),$B34*$G34*$H34/$B$3,0),""))</f>
        <v/>
      </c>
      <c r="W34" s="65">
        <f>IF($B34="","",IFERROR($B34*$G34*$K34/$B$3,""))</f>
        <v/>
      </c>
      <c r="X34" s="91">
        <f>IF($C34="","",BDP($C34,"PX_LAST"))</f>
        <v/>
      </c>
      <c r="Y34" s="65">
        <f>IF($B34="","",IFERROR($B34*$X34/$B$3,""))</f>
        <v/>
      </c>
      <c r="Z34" s="76">
        <f>IF($B34="","",IFERROR($Y34/$Y$5,""))</f>
        <v/>
      </c>
    </row>
    <row r="35">
      <c r="B35" s="89" t="n"/>
      <c r="C35" s="6">
        <f>IF($A35="","",$A35&amp;" Equity")</f>
        <v/>
      </c>
      <c r="D35" s="6">
        <f>IF($C35="","",BDP($C35,"NAME"))</f>
        <v/>
      </c>
      <c r="E35" s="6">
        <f>IF($C35="","",BDP($C35,"GICS_SECTOR_NAME"))</f>
        <v/>
      </c>
      <c r="F35" s="33">
        <f>IF($C35="","",BDP($C35,FLD_CCY))</f>
        <v/>
      </c>
      <c r="G35" s="90">
        <f>IFERROR(IF(LEN($F35)&lt;&gt;3,1,IF($F35="HKD",1,BDP(IF($F35="CNY",RMB_CROSS,$F35)&amp;"HKD Curncy","PX_LAST"))),1)</f>
        <v/>
      </c>
      <c r="H35" s="65">
        <f>IF($C35="","",BDP($C35,FLD_DPS12M))</f>
        <v/>
      </c>
      <c r="I35" s="47">
        <f>IF($C35="","",BDP($C35,FLD_YLD12M))</f>
        <v/>
      </c>
      <c r="J35" s="49">
        <f>IF($B35="",0,SUMPRODUCT(('Dvd Calendar'!$E$319:$AR$319&gt;=DATE(YEAR_Y,1,1))*('Dvd Calendar'!$E$319:$AR$319&lt;=REALIZED_TO)*'Dvd Calendar'!$E$322:$AR$322*(('Dvd Calendar'!$E$324:$AR$324=TYPE1)*(TYPE1&lt;&gt;"")+('Dvd Calendar'!$E$324:$AR$324=TYPE2)*(TYPE2&lt;&gt;"")+('Dvd Calendar'!$E$324:$AR$324=TYPE3)*(TYPE3&lt;&gt;"")+('Dvd Calendar'!$E$324:$AR$324=TYPE4)*(TYPE4&lt;&gt;"")+('Dvd Calendar'!$E$324:$AR$324=SPECIAL_LBL)*(INC_SPECIALS="Y"))))</f>
        <v/>
      </c>
      <c r="K35" s="49">
        <f>IF($B35="",0,SUMIFS('Dvd Calendar'!$E$327:$AR$327,'Dvd Calendar'!$E$326:$AR$326,"&gt;"&amp;PROJ_FROM,'Dvd Calendar'!$E$326:$AR$326,"&lt;="&amp;DATE(YEAR_Y,12,31)))</f>
        <v/>
      </c>
      <c r="L35" s="49">
        <f>IF($B35="",0,IF((OV_SWITCH="ON")*(COUNTIFS(OVR_TICKERS,$C35,OVR_BASE,"&gt;=0")&gt;0)&gt;0,SUMIFS(OVR_BASE,OVR_TICKERS,$C35),$K35))</f>
        <v/>
      </c>
      <c r="M35" s="49">
        <f>IF($B35="",0,IF((OV_SWITCH="ON")*(COUNTIFS(OVR_TICKERS,$C35,OVR_LOW,"&gt;=0")&gt;0)&gt;0,SUMIFS(OVR_LOW,OVR_TICKERS,$C35),$L35))</f>
        <v/>
      </c>
      <c r="N35" s="49">
        <f>IF($B35="",0,IF((OV_SWITCH="ON")*(COUNTIFS(OVR_TICKERS,$C35,OVR_HIGH,"&gt;=0")&gt;0)&gt;0,SUMIFS(OVR_HIGH,OVR_TICKERS,$C35),$L35))</f>
        <v/>
      </c>
      <c r="O35" s="65">
        <f>IF($B35="","",IFERROR($B35*$G35*$J35/$B$3,""))</f>
        <v/>
      </c>
      <c r="P35" s="65">
        <f>IF($B35="","",IFERROR($B35*$G35*$L35/$B$3,""))</f>
        <v/>
      </c>
      <c r="Q35" s="41">
        <f>IF($B35="","",IFERROR($O35+$P35,""))</f>
        <v/>
      </c>
      <c r="R35" s="65">
        <f>IF($B35="","",IFERROR($O35+$B35*$G35*$M35/$B$3,""))</f>
        <v/>
      </c>
      <c r="S35" s="65">
        <f>IF($B35="","",IFERROR($O35+$B35*$G35*$N35/$B$3,""))</f>
        <v/>
      </c>
      <c r="T35" s="80">
        <f>IF($B35="","",IFERROR($Q35/$Q$5,""))</f>
        <v/>
      </c>
      <c r="U35" s="2">
        <f>IF($B35="","",IF(COUNTIFS('Dvd Calendar'!$E$325:$AR$325,"&gt;0",'Dvd Calendar'!$E$325:$AR$325,"&lt;="&amp;VAL_DATE,'Dvd Calendar'!$E$326:$AR$326,"&gt;"&amp;PROJ_FROM,'Dvd Calendar'!$E$326:$AR$326,"&lt;="&amp;DATE(YEAR_Y,12,31))-COUNTIFS('Dvd Calendar'!$E$325:$AR$325,"&gt;0",'Dvd Calendar'!$E$325:$AR$325,"&lt;="&amp;VAL_DATE,'Dvd Calendar'!$E$326:$AR$326,"&gt;"&amp;PROJ_FROM,'Dvd Calendar'!$E$326:$AR$326,"&lt;="&amp;DATE(YEAR_Y,12,31),'Dvd Calendar'!$E$327:$AR$327,"&gt;=0")&gt;0,"TBA amount - override me",IF((OV_SWITCH="ON")*(COUNTIFS(OVR_TICKERS,$C35,OVR_BASE,"&gt;=0")&gt;0)&gt;0,"overridden",IF($J35+$K35=0,"no dividend in year Y",""))))</f>
        <v/>
      </c>
      <c r="V35" s="65">
        <f>IF($B35="","",IFERROR(IF(ISNUMBER($H35),$B35*$G35*$H35/$B$3,0),""))</f>
        <v/>
      </c>
      <c r="W35" s="65">
        <f>IF($B35="","",IFERROR($B35*$G35*$K35/$B$3,""))</f>
        <v/>
      </c>
      <c r="X35" s="91">
        <f>IF($C35="","",BDP($C35,"PX_LAST"))</f>
        <v/>
      </c>
      <c r="Y35" s="65">
        <f>IF($B35="","",IFERROR($B35*$X35/$B$3,""))</f>
        <v/>
      </c>
      <c r="Z35" s="76">
        <f>IF($B35="","",IFERROR($Y35/$Y$5,""))</f>
        <v/>
      </c>
    </row>
    <row r="36">
      <c r="B36" s="89" t="n"/>
      <c r="C36" s="6">
        <f>IF($A36="","",$A36&amp;" Equity")</f>
        <v/>
      </c>
      <c r="D36" s="6">
        <f>IF($C36="","",BDP($C36,"NAME"))</f>
        <v/>
      </c>
      <c r="E36" s="6">
        <f>IF($C36="","",BDP($C36,"GICS_SECTOR_NAME"))</f>
        <v/>
      </c>
      <c r="F36" s="33">
        <f>IF($C36="","",BDP($C36,FLD_CCY))</f>
        <v/>
      </c>
      <c r="G36" s="90">
        <f>IFERROR(IF(LEN($F36)&lt;&gt;3,1,IF($F36="HKD",1,BDP(IF($F36="CNY",RMB_CROSS,$F36)&amp;"HKD Curncy","PX_LAST"))),1)</f>
        <v/>
      </c>
      <c r="H36" s="65">
        <f>IF($C36="","",BDP($C36,FLD_DPS12M))</f>
        <v/>
      </c>
      <c r="I36" s="47">
        <f>IF($C36="","",BDP($C36,FLD_YLD12M))</f>
        <v/>
      </c>
      <c r="J36" s="49">
        <f>IF($B36="",0,SUMPRODUCT(('Dvd Calendar'!$E$330:$AR$330&gt;=DATE(YEAR_Y,1,1))*('Dvd Calendar'!$E$330:$AR$330&lt;=REALIZED_TO)*'Dvd Calendar'!$E$333:$AR$333*(('Dvd Calendar'!$E$335:$AR$335=TYPE1)*(TYPE1&lt;&gt;"")+('Dvd Calendar'!$E$335:$AR$335=TYPE2)*(TYPE2&lt;&gt;"")+('Dvd Calendar'!$E$335:$AR$335=TYPE3)*(TYPE3&lt;&gt;"")+('Dvd Calendar'!$E$335:$AR$335=TYPE4)*(TYPE4&lt;&gt;"")+('Dvd Calendar'!$E$335:$AR$335=SPECIAL_LBL)*(INC_SPECIALS="Y"))))</f>
        <v/>
      </c>
      <c r="K36" s="49">
        <f>IF($B36="",0,SUMIFS('Dvd Calendar'!$E$338:$AR$338,'Dvd Calendar'!$E$337:$AR$337,"&gt;"&amp;PROJ_FROM,'Dvd Calendar'!$E$337:$AR$337,"&lt;="&amp;DATE(YEAR_Y,12,31)))</f>
        <v/>
      </c>
      <c r="L36" s="49">
        <f>IF($B36="",0,IF((OV_SWITCH="ON")*(COUNTIFS(OVR_TICKERS,$C36,OVR_BASE,"&gt;=0")&gt;0)&gt;0,SUMIFS(OVR_BASE,OVR_TICKERS,$C36),$K36))</f>
        <v/>
      </c>
      <c r="M36" s="49">
        <f>IF($B36="",0,IF((OV_SWITCH="ON")*(COUNTIFS(OVR_TICKERS,$C36,OVR_LOW,"&gt;=0")&gt;0)&gt;0,SUMIFS(OVR_LOW,OVR_TICKERS,$C36),$L36))</f>
        <v/>
      </c>
      <c r="N36" s="49">
        <f>IF($B36="",0,IF((OV_SWITCH="ON")*(COUNTIFS(OVR_TICKERS,$C36,OVR_HIGH,"&gt;=0")&gt;0)&gt;0,SUMIFS(OVR_HIGH,OVR_TICKERS,$C36),$L36))</f>
        <v/>
      </c>
      <c r="O36" s="65">
        <f>IF($B36="","",IFERROR($B36*$G36*$J36/$B$3,""))</f>
        <v/>
      </c>
      <c r="P36" s="65">
        <f>IF($B36="","",IFERROR($B36*$G36*$L36/$B$3,""))</f>
        <v/>
      </c>
      <c r="Q36" s="41">
        <f>IF($B36="","",IFERROR($O36+$P36,""))</f>
        <v/>
      </c>
      <c r="R36" s="65">
        <f>IF($B36="","",IFERROR($O36+$B36*$G36*$M36/$B$3,""))</f>
        <v/>
      </c>
      <c r="S36" s="65">
        <f>IF($B36="","",IFERROR($O36+$B36*$G36*$N36/$B$3,""))</f>
        <v/>
      </c>
      <c r="T36" s="80">
        <f>IF($B36="","",IFERROR($Q36/$Q$5,""))</f>
        <v/>
      </c>
      <c r="U36" s="2">
        <f>IF($B36="","",IF(COUNTIFS('Dvd Calendar'!$E$336:$AR$336,"&gt;0",'Dvd Calendar'!$E$336:$AR$336,"&lt;="&amp;VAL_DATE,'Dvd Calendar'!$E$337:$AR$337,"&gt;"&amp;PROJ_FROM,'Dvd Calendar'!$E$337:$AR$337,"&lt;="&amp;DATE(YEAR_Y,12,31))-COUNTIFS('Dvd Calendar'!$E$336:$AR$336,"&gt;0",'Dvd Calendar'!$E$336:$AR$336,"&lt;="&amp;VAL_DATE,'Dvd Calendar'!$E$337:$AR$337,"&gt;"&amp;PROJ_FROM,'Dvd Calendar'!$E$337:$AR$337,"&lt;="&amp;DATE(YEAR_Y,12,31),'Dvd Calendar'!$E$338:$AR$338,"&gt;=0")&gt;0,"TBA amount - override me",IF((OV_SWITCH="ON")*(COUNTIFS(OVR_TICKERS,$C36,OVR_BASE,"&gt;=0")&gt;0)&gt;0,"overridden",IF($J36+$K36=0,"no dividend in year Y",""))))</f>
        <v/>
      </c>
      <c r="V36" s="65">
        <f>IF($B36="","",IFERROR(IF(ISNUMBER($H36),$B36*$G36*$H36/$B$3,0),""))</f>
        <v/>
      </c>
      <c r="W36" s="65">
        <f>IF($B36="","",IFERROR($B36*$G36*$K36/$B$3,""))</f>
        <v/>
      </c>
      <c r="X36" s="91">
        <f>IF($C36="","",BDP($C36,"PX_LAST"))</f>
        <v/>
      </c>
      <c r="Y36" s="65">
        <f>IF($B36="","",IFERROR($B36*$X36/$B$3,""))</f>
        <v/>
      </c>
      <c r="Z36" s="76">
        <f>IF($B36="","",IFERROR($Y36/$Y$5,""))</f>
        <v/>
      </c>
    </row>
    <row r="37">
      <c r="B37" s="89" t="n"/>
      <c r="C37" s="6">
        <f>IF($A37="","",$A37&amp;" Equity")</f>
        <v/>
      </c>
      <c r="D37" s="6">
        <f>IF($C37="","",BDP($C37,"NAME"))</f>
        <v/>
      </c>
      <c r="E37" s="6">
        <f>IF($C37="","",BDP($C37,"GICS_SECTOR_NAME"))</f>
        <v/>
      </c>
      <c r="F37" s="33">
        <f>IF($C37="","",BDP($C37,FLD_CCY))</f>
        <v/>
      </c>
      <c r="G37" s="90">
        <f>IFERROR(IF(LEN($F37)&lt;&gt;3,1,IF($F37="HKD",1,BDP(IF($F37="CNY",RMB_CROSS,$F37)&amp;"HKD Curncy","PX_LAST"))),1)</f>
        <v/>
      </c>
      <c r="H37" s="65">
        <f>IF($C37="","",BDP($C37,FLD_DPS12M))</f>
        <v/>
      </c>
      <c r="I37" s="47">
        <f>IF($C37="","",BDP($C37,FLD_YLD12M))</f>
        <v/>
      </c>
      <c r="J37" s="49">
        <f>IF($B37="",0,SUMPRODUCT(('Dvd Calendar'!$E$341:$AR$341&gt;=DATE(YEAR_Y,1,1))*('Dvd Calendar'!$E$341:$AR$341&lt;=REALIZED_TO)*'Dvd Calendar'!$E$344:$AR$344*(('Dvd Calendar'!$E$346:$AR$346=TYPE1)*(TYPE1&lt;&gt;"")+('Dvd Calendar'!$E$346:$AR$346=TYPE2)*(TYPE2&lt;&gt;"")+('Dvd Calendar'!$E$346:$AR$346=TYPE3)*(TYPE3&lt;&gt;"")+('Dvd Calendar'!$E$346:$AR$346=TYPE4)*(TYPE4&lt;&gt;"")+('Dvd Calendar'!$E$346:$AR$346=SPECIAL_LBL)*(INC_SPECIALS="Y"))))</f>
        <v/>
      </c>
      <c r="K37" s="49">
        <f>IF($B37="",0,SUMIFS('Dvd Calendar'!$E$349:$AR$349,'Dvd Calendar'!$E$348:$AR$348,"&gt;"&amp;PROJ_FROM,'Dvd Calendar'!$E$348:$AR$348,"&lt;="&amp;DATE(YEAR_Y,12,31)))</f>
        <v/>
      </c>
      <c r="L37" s="49">
        <f>IF($B37="",0,IF((OV_SWITCH="ON")*(COUNTIFS(OVR_TICKERS,$C37,OVR_BASE,"&gt;=0")&gt;0)&gt;0,SUMIFS(OVR_BASE,OVR_TICKERS,$C37),$K37))</f>
        <v/>
      </c>
      <c r="M37" s="49">
        <f>IF($B37="",0,IF((OV_SWITCH="ON")*(COUNTIFS(OVR_TICKERS,$C37,OVR_LOW,"&gt;=0")&gt;0)&gt;0,SUMIFS(OVR_LOW,OVR_TICKERS,$C37),$L37))</f>
        <v/>
      </c>
      <c r="N37" s="49">
        <f>IF($B37="",0,IF((OV_SWITCH="ON")*(COUNTIFS(OVR_TICKERS,$C37,OVR_HIGH,"&gt;=0")&gt;0)&gt;0,SUMIFS(OVR_HIGH,OVR_TICKERS,$C37),$L37))</f>
        <v/>
      </c>
      <c r="O37" s="65">
        <f>IF($B37="","",IFERROR($B37*$G37*$J37/$B$3,""))</f>
        <v/>
      </c>
      <c r="P37" s="65">
        <f>IF($B37="","",IFERROR($B37*$G37*$L37/$B$3,""))</f>
        <v/>
      </c>
      <c r="Q37" s="41">
        <f>IF($B37="","",IFERROR($O37+$P37,""))</f>
        <v/>
      </c>
      <c r="R37" s="65">
        <f>IF($B37="","",IFERROR($O37+$B37*$G37*$M37/$B$3,""))</f>
        <v/>
      </c>
      <c r="S37" s="65">
        <f>IF($B37="","",IFERROR($O37+$B37*$G37*$N37/$B$3,""))</f>
        <v/>
      </c>
      <c r="T37" s="80">
        <f>IF($B37="","",IFERROR($Q37/$Q$5,""))</f>
        <v/>
      </c>
      <c r="U37" s="2">
        <f>IF($B37="","",IF(COUNTIFS('Dvd Calendar'!$E$347:$AR$347,"&gt;0",'Dvd Calendar'!$E$347:$AR$347,"&lt;="&amp;VAL_DATE,'Dvd Calendar'!$E$348:$AR$348,"&gt;"&amp;PROJ_FROM,'Dvd Calendar'!$E$348:$AR$348,"&lt;="&amp;DATE(YEAR_Y,12,31))-COUNTIFS('Dvd Calendar'!$E$347:$AR$347,"&gt;0",'Dvd Calendar'!$E$347:$AR$347,"&lt;="&amp;VAL_DATE,'Dvd Calendar'!$E$348:$AR$348,"&gt;"&amp;PROJ_FROM,'Dvd Calendar'!$E$348:$AR$348,"&lt;="&amp;DATE(YEAR_Y,12,31),'Dvd Calendar'!$E$349:$AR$349,"&gt;=0")&gt;0,"TBA amount - override me",IF((OV_SWITCH="ON")*(COUNTIFS(OVR_TICKERS,$C37,OVR_BASE,"&gt;=0")&gt;0)&gt;0,"overridden",IF($J37+$K37=0,"no dividend in year Y",""))))</f>
        <v/>
      </c>
      <c r="V37" s="65">
        <f>IF($B37="","",IFERROR(IF(ISNUMBER($H37),$B37*$G37*$H37/$B$3,0),""))</f>
        <v/>
      </c>
      <c r="W37" s="65">
        <f>IF($B37="","",IFERROR($B37*$G37*$K37/$B$3,""))</f>
        <v/>
      </c>
      <c r="X37" s="91">
        <f>IF($C37="","",BDP($C37,"PX_LAST"))</f>
        <v/>
      </c>
      <c r="Y37" s="65">
        <f>IF($B37="","",IFERROR($B37*$X37/$B$3,""))</f>
        <v/>
      </c>
      <c r="Z37" s="76">
        <f>IF($B37="","",IFERROR($Y37/$Y$5,""))</f>
        <v/>
      </c>
    </row>
    <row r="38">
      <c r="B38" s="89" t="n"/>
      <c r="C38" s="6">
        <f>IF($A38="","",$A38&amp;" Equity")</f>
        <v/>
      </c>
      <c r="D38" s="6">
        <f>IF($C38="","",BDP($C38,"NAME"))</f>
        <v/>
      </c>
      <c r="E38" s="6">
        <f>IF($C38="","",BDP($C38,"GICS_SECTOR_NAME"))</f>
        <v/>
      </c>
      <c r="F38" s="33">
        <f>IF($C38="","",BDP($C38,FLD_CCY))</f>
        <v/>
      </c>
      <c r="G38" s="90">
        <f>IFERROR(IF(LEN($F38)&lt;&gt;3,1,IF($F38="HKD",1,BDP(IF($F38="CNY",RMB_CROSS,$F38)&amp;"HKD Curncy","PX_LAST"))),1)</f>
        <v/>
      </c>
      <c r="H38" s="65">
        <f>IF($C38="","",BDP($C38,FLD_DPS12M))</f>
        <v/>
      </c>
      <c r="I38" s="47">
        <f>IF($C38="","",BDP($C38,FLD_YLD12M))</f>
        <v/>
      </c>
      <c r="J38" s="49">
        <f>IF($B38="",0,SUMPRODUCT(('Dvd Calendar'!$E$352:$AR$352&gt;=DATE(YEAR_Y,1,1))*('Dvd Calendar'!$E$352:$AR$352&lt;=REALIZED_TO)*'Dvd Calendar'!$E$355:$AR$355*(('Dvd Calendar'!$E$357:$AR$357=TYPE1)*(TYPE1&lt;&gt;"")+('Dvd Calendar'!$E$357:$AR$357=TYPE2)*(TYPE2&lt;&gt;"")+('Dvd Calendar'!$E$357:$AR$357=TYPE3)*(TYPE3&lt;&gt;"")+('Dvd Calendar'!$E$357:$AR$357=TYPE4)*(TYPE4&lt;&gt;"")+('Dvd Calendar'!$E$357:$AR$357=SPECIAL_LBL)*(INC_SPECIALS="Y"))))</f>
        <v/>
      </c>
      <c r="K38" s="49">
        <f>IF($B38="",0,SUMIFS('Dvd Calendar'!$E$360:$AR$360,'Dvd Calendar'!$E$359:$AR$359,"&gt;"&amp;PROJ_FROM,'Dvd Calendar'!$E$359:$AR$359,"&lt;="&amp;DATE(YEAR_Y,12,31)))</f>
        <v/>
      </c>
      <c r="L38" s="49">
        <f>IF($B38="",0,IF((OV_SWITCH="ON")*(COUNTIFS(OVR_TICKERS,$C38,OVR_BASE,"&gt;=0")&gt;0)&gt;0,SUMIFS(OVR_BASE,OVR_TICKERS,$C38),$K38))</f>
        <v/>
      </c>
      <c r="M38" s="49">
        <f>IF($B38="",0,IF((OV_SWITCH="ON")*(COUNTIFS(OVR_TICKERS,$C38,OVR_LOW,"&gt;=0")&gt;0)&gt;0,SUMIFS(OVR_LOW,OVR_TICKERS,$C38),$L38))</f>
        <v/>
      </c>
      <c r="N38" s="49">
        <f>IF($B38="",0,IF((OV_SWITCH="ON")*(COUNTIFS(OVR_TICKERS,$C38,OVR_HIGH,"&gt;=0")&gt;0)&gt;0,SUMIFS(OVR_HIGH,OVR_TICKERS,$C38),$L38))</f>
        <v/>
      </c>
      <c r="O38" s="65">
        <f>IF($B38="","",IFERROR($B38*$G38*$J38/$B$3,""))</f>
        <v/>
      </c>
      <c r="P38" s="65">
        <f>IF($B38="","",IFERROR($B38*$G38*$L38/$B$3,""))</f>
        <v/>
      </c>
      <c r="Q38" s="41">
        <f>IF($B38="","",IFERROR($O38+$P38,""))</f>
        <v/>
      </c>
      <c r="R38" s="65">
        <f>IF($B38="","",IFERROR($O38+$B38*$G38*$M38/$B$3,""))</f>
        <v/>
      </c>
      <c r="S38" s="65">
        <f>IF($B38="","",IFERROR($O38+$B38*$G38*$N38/$B$3,""))</f>
        <v/>
      </c>
      <c r="T38" s="80">
        <f>IF($B38="","",IFERROR($Q38/$Q$5,""))</f>
        <v/>
      </c>
      <c r="U38" s="2">
        <f>IF($B38="","",IF(COUNTIFS('Dvd Calendar'!$E$358:$AR$358,"&gt;0",'Dvd Calendar'!$E$358:$AR$358,"&lt;="&amp;VAL_DATE,'Dvd Calendar'!$E$359:$AR$359,"&gt;"&amp;PROJ_FROM,'Dvd Calendar'!$E$359:$AR$359,"&lt;="&amp;DATE(YEAR_Y,12,31))-COUNTIFS('Dvd Calendar'!$E$358:$AR$358,"&gt;0",'Dvd Calendar'!$E$358:$AR$358,"&lt;="&amp;VAL_DATE,'Dvd Calendar'!$E$359:$AR$359,"&gt;"&amp;PROJ_FROM,'Dvd Calendar'!$E$359:$AR$359,"&lt;="&amp;DATE(YEAR_Y,12,31),'Dvd Calendar'!$E$360:$AR$360,"&gt;=0")&gt;0,"TBA amount - override me",IF((OV_SWITCH="ON")*(COUNTIFS(OVR_TICKERS,$C38,OVR_BASE,"&gt;=0")&gt;0)&gt;0,"overridden",IF($J38+$K38=0,"no dividend in year Y",""))))</f>
        <v/>
      </c>
      <c r="V38" s="65">
        <f>IF($B38="","",IFERROR(IF(ISNUMBER($H38),$B38*$G38*$H38/$B$3,0),""))</f>
        <v/>
      </c>
      <c r="W38" s="65">
        <f>IF($B38="","",IFERROR($B38*$G38*$K38/$B$3,""))</f>
        <v/>
      </c>
      <c r="X38" s="91">
        <f>IF($C38="","",BDP($C38,"PX_LAST"))</f>
        <v/>
      </c>
      <c r="Y38" s="65">
        <f>IF($B38="","",IFERROR($B38*$X38/$B$3,""))</f>
        <v/>
      </c>
      <c r="Z38" s="76">
        <f>IF($B38="","",IFERROR($Y38/$Y$5,""))</f>
        <v/>
      </c>
    </row>
    <row r="39">
      <c r="B39" s="89" t="n"/>
      <c r="C39" s="6">
        <f>IF($A39="","",$A39&amp;" Equity")</f>
        <v/>
      </c>
      <c r="D39" s="6">
        <f>IF($C39="","",BDP($C39,"NAME"))</f>
        <v/>
      </c>
      <c r="E39" s="6">
        <f>IF($C39="","",BDP($C39,"GICS_SECTOR_NAME"))</f>
        <v/>
      </c>
      <c r="F39" s="33">
        <f>IF($C39="","",BDP($C39,FLD_CCY))</f>
        <v/>
      </c>
      <c r="G39" s="90">
        <f>IFERROR(IF(LEN($F39)&lt;&gt;3,1,IF($F39="HKD",1,BDP(IF($F39="CNY",RMB_CROSS,$F39)&amp;"HKD Curncy","PX_LAST"))),1)</f>
        <v/>
      </c>
      <c r="H39" s="65">
        <f>IF($C39="","",BDP($C39,FLD_DPS12M))</f>
        <v/>
      </c>
      <c r="I39" s="47">
        <f>IF($C39="","",BDP($C39,FLD_YLD12M))</f>
        <v/>
      </c>
      <c r="J39" s="49">
        <f>IF($B39="",0,SUMPRODUCT(('Dvd Calendar'!$E$363:$AR$363&gt;=DATE(YEAR_Y,1,1))*('Dvd Calendar'!$E$363:$AR$363&lt;=REALIZED_TO)*'Dvd Calendar'!$E$366:$AR$366*(('Dvd Calendar'!$E$368:$AR$368=TYPE1)*(TYPE1&lt;&gt;"")+('Dvd Calendar'!$E$368:$AR$368=TYPE2)*(TYPE2&lt;&gt;"")+('Dvd Calendar'!$E$368:$AR$368=TYPE3)*(TYPE3&lt;&gt;"")+('Dvd Calendar'!$E$368:$AR$368=TYPE4)*(TYPE4&lt;&gt;"")+('Dvd Calendar'!$E$368:$AR$368=SPECIAL_LBL)*(INC_SPECIALS="Y"))))</f>
        <v/>
      </c>
      <c r="K39" s="49">
        <f>IF($B39="",0,SUMIFS('Dvd Calendar'!$E$371:$AR$371,'Dvd Calendar'!$E$370:$AR$370,"&gt;"&amp;PROJ_FROM,'Dvd Calendar'!$E$370:$AR$370,"&lt;="&amp;DATE(YEAR_Y,12,31)))</f>
        <v/>
      </c>
      <c r="L39" s="49">
        <f>IF($B39="",0,IF((OV_SWITCH="ON")*(COUNTIFS(OVR_TICKERS,$C39,OVR_BASE,"&gt;=0")&gt;0)&gt;0,SUMIFS(OVR_BASE,OVR_TICKERS,$C39),$K39))</f>
        <v/>
      </c>
      <c r="M39" s="49">
        <f>IF($B39="",0,IF((OV_SWITCH="ON")*(COUNTIFS(OVR_TICKERS,$C39,OVR_LOW,"&gt;=0")&gt;0)&gt;0,SUMIFS(OVR_LOW,OVR_TICKERS,$C39),$L39))</f>
        <v/>
      </c>
      <c r="N39" s="49">
        <f>IF($B39="",0,IF((OV_SWITCH="ON")*(COUNTIFS(OVR_TICKERS,$C39,OVR_HIGH,"&gt;=0")&gt;0)&gt;0,SUMIFS(OVR_HIGH,OVR_TICKERS,$C39),$L39))</f>
        <v/>
      </c>
      <c r="O39" s="65">
        <f>IF($B39="","",IFERROR($B39*$G39*$J39/$B$3,""))</f>
        <v/>
      </c>
      <c r="P39" s="65">
        <f>IF($B39="","",IFERROR($B39*$G39*$L39/$B$3,""))</f>
        <v/>
      </c>
      <c r="Q39" s="41">
        <f>IF($B39="","",IFERROR($O39+$P39,""))</f>
        <v/>
      </c>
      <c r="R39" s="65">
        <f>IF($B39="","",IFERROR($O39+$B39*$G39*$M39/$B$3,""))</f>
        <v/>
      </c>
      <c r="S39" s="65">
        <f>IF($B39="","",IFERROR($O39+$B39*$G39*$N39/$B$3,""))</f>
        <v/>
      </c>
      <c r="T39" s="80">
        <f>IF($B39="","",IFERROR($Q39/$Q$5,""))</f>
        <v/>
      </c>
      <c r="U39" s="2">
        <f>IF($B39="","",IF(COUNTIFS('Dvd Calendar'!$E$369:$AR$369,"&gt;0",'Dvd Calendar'!$E$369:$AR$369,"&lt;="&amp;VAL_DATE,'Dvd Calendar'!$E$370:$AR$370,"&gt;"&amp;PROJ_FROM,'Dvd Calendar'!$E$370:$AR$370,"&lt;="&amp;DATE(YEAR_Y,12,31))-COUNTIFS('Dvd Calendar'!$E$369:$AR$369,"&gt;0",'Dvd Calendar'!$E$369:$AR$369,"&lt;="&amp;VAL_DATE,'Dvd Calendar'!$E$370:$AR$370,"&gt;"&amp;PROJ_FROM,'Dvd Calendar'!$E$370:$AR$370,"&lt;="&amp;DATE(YEAR_Y,12,31),'Dvd Calendar'!$E$371:$AR$371,"&gt;=0")&gt;0,"TBA amount - override me",IF((OV_SWITCH="ON")*(COUNTIFS(OVR_TICKERS,$C39,OVR_BASE,"&gt;=0")&gt;0)&gt;0,"overridden",IF($J39+$K39=0,"no dividend in year Y",""))))</f>
        <v/>
      </c>
      <c r="V39" s="65">
        <f>IF($B39="","",IFERROR(IF(ISNUMBER($H39),$B39*$G39*$H39/$B$3,0),""))</f>
        <v/>
      </c>
      <c r="W39" s="65">
        <f>IF($B39="","",IFERROR($B39*$G39*$K39/$B$3,""))</f>
        <v/>
      </c>
      <c r="X39" s="91">
        <f>IF($C39="","",BDP($C39,"PX_LAST"))</f>
        <v/>
      </c>
      <c r="Y39" s="65">
        <f>IF($B39="","",IFERROR($B39*$X39/$B$3,""))</f>
        <v/>
      </c>
      <c r="Z39" s="76">
        <f>IF($B39="","",IFERROR($Y39/$Y$5,""))</f>
        <v/>
      </c>
    </row>
    <row r="40">
      <c r="B40" s="89" t="n"/>
      <c r="C40" s="6">
        <f>IF($A40="","",$A40&amp;" Equity")</f>
        <v/>
      </c>
      <c r="D40" s="6">
        <f>IF($C40="","",BDP($C40,"NAME"))</f>
        <v/>
      </c>
      <c r="E40" s="6">
        <f>IF($C40="","",BDP($C40,"GICS_SECTOR_NAME"))</f>
        <v/>
      </c>
      <c r="F40" s="33">
        <f>IF($C40="","",BDP($C40,FLD_CCY))</f>
        <v/>
      </c>
      <c r="G40" s="90">
        <f>IFERROR(IF(LEN($F40)&lt;&gt;3,1,IF($F40="HKD",1,BDP(IF($F40="CNY",RMB_CROSS,$F40)&amp;"HKD Curncy","PX_LAST"))),1)</f>
        <v/>
      </c>
      <c r="H40" s="65">
        <f>IF($C40="","",BDP($C40,FLD_DPS12M))</f>
        <v/>
      </c>
      <c r="I40" s="47">
        <f>IF($C40="","",BDP($C40,FLD_YLD12M))</f>
        <v/>
      </c>
      <c r="J40" s="49">
        <f>IF($B40="",0,SUMPRODUCT(('Dvd Calendar'!$E$374:$AR$374&gt;=DATE(YEAR_Y,1,1))*('Dvd Calendar'!$E$374:$AR$374&lt;=REALIZED_TO)*'Dvd Calendar'!$E$377:$AR$377*(('Dvd Calendar'!$E$379:$AR$379=TYPE1)*(TYPE1&lt;&gt;"")+('Dvd Calendar'!$E$379:$AR$379=TYPE2)*(TYPE2&lt;&gt;"")+('Dvd Calendar'!$E$379:$AR$379=TYPE3)*(TYPE3&lt;&gt;"")+('Dvd Calendar'!$E$379:$AR$379=TYPE4)*(TYPE4&lt;&gt;"")+('Dvd Calendar'!$E$379:$AR$379=SPECIAL_LBL)*(INC_SPECIALS="Y"))))</f>
        <v/>
      </c>
      <c r="K40" s="49">
        <f>IF($B40="",0,SUMIFS('Dvd Calendar'!$E$382:$AR$382,'Dvd Calendar'!$E$381:$AR$381,"&gt;"&amp;PROJ_FROM,'Dvd Calendar'!$E$381:$AR$381,"&lt;="&amp;DATE(YEAR_Y,12,31)))</f>
        <v/>
      </c>
      <c r="L40" s="49">
        <f>IF($B40="",0,IF((OV_SWITCH="ON")*(COUNTIFS(OVR_TICKERS,$C40,OVR_BASE,"&gt;=0")&gt;0)&gt;0,SUMIFS(OVR_BASE,OVR_TICKERS,$C40),$K40))</f>
        <v/>
      </c>
      <c r="M40" s="49">
        <f>IF($B40="",0,IF((OV_SWITCH="ON")*(COUNTIFS(OVR_TICKERS,$C40,OVR_LOW,"&gt;=0")&gt;0)&gt;0,SUMIFS(OVR_LOW,OVR_TICKERS,$C40),$L40))</f>
        <v/>
      </c>
      <c r="N40" s="49">
        <f>IF($B40="",0,IF((OV_SWITCH="ON")*(COUNTIFS(OVR_TICKERS,$C40,OVR_HIGH,"&gt;=0")&gt;0)&gt;0,SUMIFS(OVR_HIGH,OVR_TICKERS,$C40),$L40))</f>
        <v/>
      </c>
      <c r="O40" s="65">
        <f>IF($B40="","",IFERROR($B40*$G40*$J40/$B$3,""))</f>
        <v/>
      </c>
      <c r="P40" s="65">
        <f>IF($B40="","",IFERROR($B40*$G40*$L40/$B$3,""))</f>
        <v/>
      </c>
      <c r="Q40" s="41">
        <f>IF($B40="","",IFERROR($O40+$P40,""))</f>
        <v/>
      </c>
      <c r="R40" s="65">
        <f>IF($B40="","",IFERROR($O40+$B40*$G40*$M40/$B$3,""))</f>
        <v/>
      </c>
      <c r="S40" s="65">
        <f>IF($B40="","",IFERROR($O40+$B40*$G40*$N40/$B$3,""))</f>
        <v/>
      </c>
      <c r="T40" s="80">
        <f>IF($B40="","",IFERROR($Q40/$Q$5,""))</f>
        <v/>
      </c>
      <c r="U40" s="2">
        <f>IF($B40="","",IF(COUNTIFS('Dvd Calendar'!$E$380:$AR$380,"&gt;0",'Dvd Calendar'!$E$380:$AR$380,"&lt;="&amp;VAL_DATE,'Dvd Calendar'!$E$381:$AR$381,"&gt;"&amp;PROJ_FROM,'Dvd Calendar'!$E$381:$AR$381,"&lt;="&amp;DATE(YEAR_Y,12,31))-COUNTIFS('Dvd Calendar'!$E$380:$AR$380,"&gt;0",'Dvd Calendar'!$E$380:$AR$380,"&lt;="&amp;VAL_DATE,'Dvd Calendar'!$E$381:$AR$381,"&gt;"&amp;PROJ_FROM,'Dvd Calendar'!$E$381:$AR$381,"&lt;="&amp;DATE(YEAR_Y,12,31),'Dvd Calendar'!$E$382:$AR$382,"&gt;=0")&gt;0,"TBA amount - override me",IF((OV_SWITCH="ON")*(COUNTIFS(OVR_TICKERS,$C40,OVR_BASE,"&gt;=0")&gt;0)&gt;0,"overridden",IF($J40+$K40=0,"no dividend in year Y",""))))</f>
        <v/>
      </c>
      <c r="V40" s="65">
        <f>IF($B40="","",IFERROR(IF(ISNUMBER($H40),$B40*$G40*$H40/$B$3,0),""))</f>
        <v/>
      </c>
      <c r="W40" s="65">
        <f>IF($B40="","",IFERROR($B40*$G40*$K40/$B$3,""))</f>
        <v/>
      </c>
      <c r="X40" s="91">
        <f>IF($C40="","",BDP($C40,"PX_LAST"))</f>
        <v/>
      </c>
      <c r="Y40" s="65">
        <f>IF($B40="","",IFERROR($B40*$X40/$B$3,""))</f>
        <v/>
      </c>
      <c r="Z40" s="76">
        <f>IF($B40="","",IFERROR($Y40/$Y$5,""))</f>
        <v/>
      </c>
    </row>
    <row r="41">
      <c r="B41" s="89" t="n"/>
      <c r="C41" s="6">
        <f>IF($A41="","",$A41&amp;" Equity")</f>
        <v/>
      </c>
      <c r="D41" s="6">
        <f>IF($C41="","",BDP($C41,"NAME"))</f>
        <v/>
      </c>
      <c r="E41" s="6">
        <f>IF($C41="","",BDP($C41,"GICS_SECTOR_NAME"))</f>
        <v/>
      </c>
      <c r="F41" s="33">
        <f>IF($C41="","",BDP($C41,FLD_CCY))</f>
        <v/>
      </c>
      <c r="G41" s="90">
        <f>IFERROR(IF(LEN($F41)&lt;&gt;3,1,IF($F41="HKD",1,BDP(IF($F41="CNY",RMB_CROSS,$F41)&amp;"HKD Curncy","PX_LAST"))),1)</f>
        <v/>
      </c>
      <c r="H41" s="65">
        <f>IF($C41="","",BDP($C41,FLD_DPS12M))</f>
        <v/>
      </c>
      <c r="I41" s="47">
        <f>IF($C41="","",BDP($C41,FLD_YLD12M))</f>
        <v/>
      </c>
      <c r="J41" s="49">
        <f>IF($B41="",0,SUMPRODUCT(('Dvd Calendar'!$E$385:$AR$385&gt;=DATE(YEAR_Y,1,1))*('Dvd Calendar'!$E$385:$AR$385&lt;=REALIZED_TO)*'Dvd Calendar'!$E$388:$AR$388*(('Dvd Calendar'!$E$390:$AR$390=TYPE1)*(TYPE1&lt;&gt;"")+('Dvd Calendar'!$E$390:$AR$390=TYPE2)*(TYPE2&lt;&gt;"")+('Dvd Calendar'!$E$390:$AR$390=TYPE3)*(TYPE3&lt;&gt;"")+('Dvd Calendar'!$E$390:$AR$390=TYPE4)*(TYPE4&lt;&gt;"")+('Dvd Calendar'!$E$390:$AR$390=SPECIAL_LBL)*(INC_SPECIALS="Y"))))</f>
        <v/>
      </c>
      <c r="K41" s="49">
        <f>IF($B41="",0,SUMIFS('Dvd Calendar'!$E$393:$AR$393,'Dvd Calendar'!$E$392:$AR$392,"&gt;"&amp;PROJ_FROM,'Dvd Calendar'!$E$392:$AR$392,"&lt;="&amp;DATE(YEAR_Y,12,31)))</f>
        <v/>
      </c>
      <c r="L41" s="49">
        <f>IF($B41="",0,IF((OV_SWITCH="ON")*(COUNTIFS(OVR_TICKERS,$C41,OVR_BASE,"&gt;=0")&gt;0)&gt;0,SUMIFS(OVR_BASE,OVR_TICKERS,$C41),$K41))</f>
        <v/>
      </c>
      <c r="M41" s="49">
        <f>IF($B41="",0,IF((OV_SWITCH="ON")*(COUNTIFS(OVR_TICKERS,$C41,OVR_LOW,"&gt;=0")&gt;0)&gt;0,SUMIFS(OVR_LOW,OVR_TICKERS,$C41),$L41))</f>
        <v/>
      </c>
      <c r="N41" s="49">
        <f>IF($B41="",0,IF((OV_SWITCH="ON")*(COUNTIFS(OVR_TICKERS,$C41,OVR_HIGH,"&gt;=0")&gt;0)&gt;0,SUMIFS(OVR_HIGH,OVR_TICKERS,$C41),$L41))</f>
        <v/>
      </c>
      <c r="O41" s="65">
        <f>IF($B41="","",IFERROR($B41*$G41*$J41/$B$3,""))</f>
        <v/>
      </c>
      <c r="P41" s="65">
        <f>IF($B41="","",IFERROR($B41*$G41*$L41/$B$3,""))</f>
        <v/>
      </c>
      <c r="Q41" s="41">
        <f>IF($B41="","",IFERROR($O41+$P41,""))</f>
        <v/>
      </c>
      <c r="R41" s="65">
        <f>IF($B41="","",IFERROR($O41+$B41*$G41*$M41/$B$3,""))</f>
        <v/>
      </c>
      <c r="S41" s="65">
        <f>IF($B41="","",IFERROR($O41+$B41*$G41*$N41/$B$3,""))</f>
        <v/>
      </c>
      <c r="T41" s="80">
        <f>IF($B41="","",IFERROR($Q41/$Q$5,""))</f>
        <v/>
      </c>
      <c r="U41" s="2">
        <f>IF($B41="","",IF(COUNTIFS('Dvd Calendar'!$E$391:$AR$391,"&gt;0",'Dvd Calendar'!$E$391:$AR$391,"&lt;="&amp;VAL_DATE,'Dvd Calendar'!$E$392:$AR$392,"&gt;"&amp;PROJ_FROM,'Dvd Calendar'!$E$392:$AR$392,"&lt;="&amp;DATE(YEAR_Y,12,31))-COUNTIFS('Dvd Calendar'!$E$391:$AR$391,"&gt;0",'Dvd Calendar'!$E$391:$AR$391,"&lt;="&amp;VAL_DATE,'Dvd Calendar'!$E$392:$AR$392,"&gt;"&amp;PROJ_FROM,'Dvd Calendar'!$E$392:$AR$392,"&lt;="&amp;DATE(YEAR_Y,12,31),'Dvd Calendar'!$E$393:$AR$393,"&gt;=0")&gt;0,"TBA amount - override me",IF((OV_SWITCH="ON")*(COUNTIFS(OVR_TICKERS,$C41,OVR_BASE,"&gt;=0")&gt;0)&gt;0,"overridden",IF($J41+$K41=0,"no dividend in year Y",""))))</f>
        <v/>
      </c>
      <c r="V41" s="65">
        <f>IF($B41="","",IFERROR(IF(ISNUMBER($H41),$B41*$G41*$H41/$B$3,0),""))</f>
        <v/>
      </c>
      <c r="W41" s="65">
        <f>IF($B41="","",IFERROR($B41*$G41*$K41/$B$3,""))</f>
        <v/>
      </c>
      <c r="X41" s="91">
        <f>IF($C41="","",BDP($C41,"PX_LAST"))</f>
        <v/>
      </c>
      <c r="Y41" s="65">
        <f>IF($B41="","",IFERROR($B41*$X41/$B$3,""))</f>
        <v/>
      </c>
      <c r="Z41" s="76">
        <f>IF($B41="","",IFERROR($Y41/$Y$5,""))</f>
        <v/>
      </c>
    </row>
    <row r="42">
      <c r="B42" s="89" t="n"/>
      <c r="C42" s="6">
        <f>IF($A42="","",$A42&amp;" Equity")</f>
        <v/>
      </c>
      <c r="D42" s="6">
        <f>IF($C42="","",BDP($C42,"NAME"))</f>
        <v/>
      </c>
      <c r="E42" s="6">
        <f>IF($C42="","",BDP($C42,"GICS_SECTOR_NAME"))</f>
        <v/>
      </c>
      <c r="F42" s="33">
        <f>IF($C42="","",BDP($C42,FLD_CCY))</f>
        <v/>
      </c>
      <c r="G42" s="90">
        <f>IFERROR(IF(LEN($F42)&lt;&gt;3,1,IF($F42="HKD",1,BDP(IF($F42="CNY",RMB_CROSS,$F42)&amp;"HKD Curncy","PX_LAST"))),1)</f>
        <v/>
      </c>
      <c r="H42" s="65">
        <f>IF($C42="","",BDP($C42,FLD_DPS12M))</f>
        <v/>
      </c>
      <c r="I42" s="47">
        <f>IF($C42="","",BDP($C42,FLD_YLD12M))</f>
        <v/>
      </c>
      <c r="J42" s="49">
        <f>IF($B42="",0,SUMPRODUCT(('Dvd Calendar'!$E$396:$AR$396&gt;=DATE(YEAR_Y,1,1))*('Dvd Calendar'!$E$396:$AR$396&lt;=REALIZED_TO)*'Dvd Calendar'!$E$399:$AR$399*(('Dvd Calendar'!$E$401:$AR$401=TYPE1)*(TYPE1&lt;&gt;"")+('Dvd Calendar'!$E$401:$AR$401=TYPE2)*(TYPE2&lt;&gt;"")+('Dvd Calendar'!$E$401:$AR$401=TYPE3)*(TYPE3&lt;&gt;"")+('Dvd Calendar'!$E$401:$AR$401=TYPE4)*(TYPE4&lt;&gt;"")+('Dvd Calendar'!$E$401:$AR$401=SPECIAL_LBL)*(INC_SPECIALS="Y"))))</f>
        <v/>
      </c>
      <c r="K42" s="49">
        <f>IF($B42="",0,SUMIFS('Dvd Calendar'!$E$404:$AR$404,'Dvd Calendar'!$E$403:$AR$403,"&gt;"&amp;PROJ_FROM,'Dvd Calendar'!$E$403:$AR$403,"&lt;="&amp;DATE(YEAR_Y,12,31)))</f>
        <v/>
      </c>
      <c r="L42" s="49">
        <f>IF($B42="",0,IF((OV_SWITCH="ON")*(COUNTIFS(OVR_TICKERS,$C42,OVR_BASE,"&gt;=0")&gt;0)&gt;0,SUMIFS(OVR_BASE,OVR_TICKERS,$C42),$K42))</f>
        <v/>
      </c>
      <c r="M42" s="49">
        <f>IF($B42="",0,IF((OV_SWITCH="ON")*(COUNTIFS(OVR_TICKERS,$C42,OVR_LOW,"&gt;=0")&gt;0)&gt;0,SUMIFS(OVR_LOW,OVR_TICKERS,$C42),$L42))</f>
        <v/>
      </c>
      <c r="N42" s="49">
        <f>IF($B42="",0,IF((OV_SWITCH="ON")*(COUNTIFS(OVR_TICKERS,$C42,OVR_HIGH,"&gt;=0")&gt;0)&gt;0,SUMIFS(OVR_HIGH,OVR_TICKERS,$C42),$L42))</f>
        <v/>
      </c>
      <c r="O42" s="65">
        <f>IF($B42="","",IFERROR($B42*$G42*$J42/$B$3,""))</f>
        <v/>
      </c>
      <c r="P42" s="65">
        <f>IF($B42="","",IFERROR($B42*$G42*$L42/$B$3,""))</f>
        <v/>
      </c>
      <c r="Q42" s="41">
        <f>IF($B42="","",IFERROR($O42+$P42,""))</f>
        <v/>
      </c>
      <c r="R42" s="65">
        <f>IF($B42="","",IFERROR($O42+$B42*$G42*$M42/$B$3,""))</f>
        <v/>
      </c>
      <c r="S42" s="65">
        <f>IF($B42="","",IFERROR($O42+$B42*$G42*$N42/$B$3,""))</f>
        <v/>
      </c>
      <c r="T42" s="80">
        <f>IF($B42="","",IFERROR($Q42/$Q$5,""))</f>
        <v/>
      </c>
      <c r="U42" s="2">
        <f>IF($B42="","",IF(COUNTIFS('Dvd Calendar'!$E$402:$AR$402,"&gt;0",'Dvd Calendar'!$E$402:$AR$402,"&lt;="&amp;VAL_DATE,'Dvd Calendar'!$E$403:$AR$403,"&gt;"&amp;PROJ_FROM,'Dvd Calendar'!$E$403:$AR$403,"&lt;="&amp;DATE(YEAR_Y,12,31))-COUNTIFS('Dvd Calendar'!$E$402:$AR$402,"&gt;0",'Dvd Calendar'!$E$402:$AR$402,"&lt;="&amp;VAL_DATE,'Dvd Calendar'!$E$403:$AR$403,"&gt;"&amp;PROJ_FROM,'Dvd Calendar'!$E$403:$AR$403,"&lt;="&amp;DATE(YEAR_Y,12,31),'Dvd Calendar'!$E$404:$AR$404,"&gt;=0")&gt;0,"TBA amount - override me",IF((OV_SWITCH="ON")*(COUNTIFS(OVR_TICKERS,$C42,OVR_BASE,"&gt;=0")&gt;0)&gt;0,"overridden",IF($J42+$K42=0,"no dividend in year Y",""))))</f>
        <v/>
      </c>
      <c r="V42" s="65">
        <f>IF($B42="","",IFERROR(IF(ISNUMBER($H42),$B42*$G42*$H42/$B$3,0),""))</f>
        <v/>
      </c>
      <c r="W42" s="65">
        <f>IF($B42="","",IFERROR($B42*$G42*$K42/$B$3,""))</f>
        <v/>
      </c>
      <c r="X42" s="91">
        <f>IF($C42="","",BDP($C42,"PX_LAST"))</f>
        <v/>
      </c>
      <c r="Y42" s="65">
        <f>IF($B42="","",IFERROR($B42*$X42/$B$3,""))</f>
        <v/>
      </c>
      <c r="Z42" s="76">
        <f>IF($B42="","",IFERROR($Y42/$Y$5,""))</f>
        <v/>
      </c>
    </row>
    <row r="43">
      <c r="B43" s="89" t="n"/>
      <c r="C43" s="6">
        <f>IF($A43="","",$A43&amp;" Equity")</f>
        <v/>
      </c>
      <c r="D43" s="6">
        <f>IF($C43="","",BDP($C43,"NAME"))</f>
        <v/>
      </c>
      <c r="E43" s="6">
        <f>IF($C43="","",BDP($C43,"GICS_SECTOR_NAME"))</f>
        <v/>
      </c>
      <c r="F43" s="33">
        <f>IF($C43="","",BDP($C43,FLD_CCY))</f>
        <v/>
      </c>
      <c r="G43" s="90">
        <f>IFERROR(IF(LEN($F43)&lt;&gt;3,1,IF($F43="HKD",1,BDP(IF($F43="CNY",RMB_CROSS,$F43)&amp;"HKD Curncy","PX_LAST"))),1)</f>
        <v/>
      </c>
      <c r="H43" s="65">
        <f>IF($C43="","",BDP($C43,FLD_DPS12M))</f>
        <v/>
      </c>
      <c r="I43" s="47">
        <f>IF($C43="","",BDP($C43,FLD_YLD12M))</f>
        <v/>
      </c>
      <c r="J43" s="49">
        <f>IF($B43="",0,SUMPRODUCT(('Dvd Calendar'!$E$407:$AR$407&gt;=DATE(YEAR_Y,1,1))*('Dvd Calendar'!$E$407:$AR$407&lt;=REALIZED_TO)*'Dvd Calendar'!$E$410:$AR$410*(('Dvd Calendar'!$E$412:$AR$412=TYPE1)*(TYPE1&lt;&gt;"")+('Dvd Calendar'!$E$412:$AR$412=TYPE2)*(TYPE2&lt;&gt;"")+('Dvd Calendar'!$E$412:$AR$412=TYPE3)*(TYPE3&lt;&gt;"")+('Dvd Calendar'!$E$412:$AR$412=TYPE4)*(TYPE4&lt;&gt;"")+('Dvd Calendar'!$E$412:$AR$412=SPECIAL_LBL)*(INC_SPECIALS="Y"))))</f>
        <v/>
      </c>
      <c r="K43" s="49">
        <f>IF($B43="",0,SUMIFS('Dvd Calendar'!$E$415:$AR$415,'Dvd Calendar'!$E$414:$AR$414,"&gt;"&amp;PROJ_FROM,'Dvd Calendar'!$E$414:$AR$414,"&lt;="&amp;DATE(YEAR_Y,12,31)))</f>
        <v/>
      </c>
      <c r="L43" s="49">
        <f>IF($B43="",0,IF((OV_SWITCH="ON")*(COUNTIFS(OVR_TICKERS,$C43,OVR_BASE,"&gt;=0")&gt;0)&gt;0,SUMIFS(OVR_BASE,OVR_TICKERS,$C43),$K43))</f>
        <v/>
      </c>
      <c r="M43" s="49">
        <f>IF($B43="",0,IF((OV_SWITCH="ON")*(COUNTIFS(OVR_TICKERS,$C43,OVR_LOW,"&gt;=0")&gt;0)&gt;0,SUMIFS(OVR_LOW,OVR_TICKERS,$C43),$L43))</f>
        <v/>
      </c>
      <c r="N43" s="49">
        <f>IF($B43="",0,IF((OV_SWITCH="ON")*(COUNTIFS(OVR_TICKERS,$C43,OVR_HIGH,"&gt;=0")&gt;0)&gt;0,SUMIFS(OVR_HIGH,OVR_TICKERS,$C43),$L43))</f>
        <v/>
      </c>
      <c r="O43" s="65">
        <f>IF($B43="","",IFERROR($B43*$G43*$J43/$B$3,""))</f>
        <v/>
      </c>
      <c r="P43" s="65">
        <f>IF($B43="","",IFERROR($B43*$G43*$L43/$B$3,""))</f>
        <v/>
      </c>
      <c r="Q43" s="41">
        <f>IF($B43="","",IFERROR($O43+$P43,""))</f>
        <v/>
      </c>
      <c r="R43" s="65">
        <f>IF($B43="","",IFERROR($O43+$B43*$G43*$M43/$B$3,""))</f>
        <v/>
      </c>
      <c r="S43" s="65">
        <f>IF($B43="","",IFERROR($O43+$B43*$G43*$N43/$B$3,""))</f>
        <v/>
      </c>
      <c r="T43" s="80">
        <f>IF($B43="","",IFERROR($Q43/$Q$5,""))</f>
        <v/>
      </c>
      <c r="U43" s="2">
        <f>IF($B43="","",IF(COUNTIFS('Dvd Calendar'!$E$413:$AR$413,"&gt;0",'Dvd Calendar'!$E$413:$AR$413,"&lt;="&amp;VAL_DATE,'Dvd Calendar'!$E$414:$AR$414,"&gt;"&amp;PROJ_FROM,'Dvd Calendar'!$E$414:$AR$414,"&lt;="&amp;DATE(YEAR_Y,12,31))-COUNTIFS('Dvd Calendar'!$E$413:$AR$413,"&gt;0",'Dvd Calendar'!$E$413:$AR$413,"&lt;="&amp;VAL_DATE,'Dvd Calendar'!$E$414:$AR$414,"&gt;"&amp;PROJ_FROM,'Dvd Calendar'!$E$414:$AR$414,"&lt;="&amp;DATE(YEAR_Y,12,31),'Dvd Calendar'!$E$415:$AR$415,"&gt;=0")&gt;0,"TBA amount - override me",IF((OV_SWITCH="ON")*(COUNTIFS(OVR_TICKERS,$C43,OVR_BASE,"&gt;=0")&gt;0)&gt;0,"overridden",IF($J43+$K43=0,"no dividend in year Y",""))))</f>
        <v/>
      </c>
      <c r="V43" s="65">
        <f>IF($B43="","",IFERROR(IF(ISNUMBER($H43),$B43*$G43*$H43/$B$3,0),""))</f>
        <v/>
      </c>
      <c r="W43" s="65">
        <f>IF($B43="","",IFERROR($B43*$G43*$K43/$B$3,""))</f>
        <v/>
      </c>
      <c r="X43" s="91">
        <f>IF($C43="","",BDP($C43,"PX_LAST"))</f>
        <v/>
      </c>
      <c r="Y43" s="65">
        <f>IF($B43="","",IFERROR($B43*$X43/$B$3,""))</f>
        <v/>
      </c>
      <c r="Z43" s="76">
        <f>IF($B43="","",IFERROR($Y43/$Y$5,""))</f>
        <v/>
      </c>
    </row>
    <row r="44">
      <c r="B44" s="89" t="n"/>
      <c r="C44" s="6">
        <f>IF($A44="","",$A44&amp;" Equity")</f>
        <v/>
      </c>
      <c r="D44" s="6">
        <f>IF($C44="","",BDP($C44,"NAME"))</f>
        <v/>
      </c>
      <c r="E44" s="6">
        <f>IF($C44="","",BDP($C44,"GICS_SECTOR_NAME"))</f>
        <v/>
      </c>
      <c r="F44" s="33">
        <f>IF($C44="","",BDP($C44,FLD_CCY))</f>
        <v/>
      </c>
      <c r="G44" s="90">
        <f>IFERROR(IF(LEN($F44)&lt;&gt;3,1,IF($F44="HKD",1,BDP(IF($F44="CNY",RMB_CROSS,$F44)&amp;"HKD Curncy","PX_LAST"))),1)</f>
        <v/>
      </c>
      <c r="H44" s="65">
        <f>IF($C44="","",BDP($C44,FLD_DPS12M))</f>
        <v/>
      </c>
      <c r="I44" s="47">
        <f>IF($C44="","",BDP($C44,FLD_YLD12M))</f>
        <v/>
      </c>
      <c r="J44" s="49">
        <f>IF($B44="",0,SUMPRODUCT(('Dvd Calendar'!$E$418:$AR$418&gt;=DATE(YEAR_Y,1,1))*('Dvd Calendar'!$E$418:$AR$418&lt;=REALIZED_TO)*'Dvd Calendar'!$E$421:$AR$421*(('Dvd Calendar'!$E$423:$AR$423=TYPE1)*(TYPE1&lt;&gt;"")+('Dvd Calendar'!$E$423:$AR$423=TYPE2)*(TYPE2&lt;&gt;"")+('Dvd Calendar'!$E$423:$AR$423=TYPE3)*(TYPE3&lt;&gt;"")+('Dvd Calendar'!$E$423:$AR$423=TYPE4)*(TYPE4&lt;&gt;"")+('Dvd Calendar'!$E$423:$AR$423=SPECIAL_LBL)*(INC_SPECIALS="Y"))))</f>
        <v/>
      </c>
      <c r="K44" s="49">
        <f>IF($B44="",0,SUMIFS('Dvd Calendar'!$E$426:$AR$426,'Dvd Calendar'!$E$425:$AR$425,"&gt;"&amp;PROJ_FROM,'Dvd Calendar'!$E$425:$AR$425,"&lt;="&amp;DATE(YEAR_Y,12,31)))</f>
        <v/>
      </c>
      <c r="L44" s="49">
        <f>IF($B44="",0,IF((OV_SWITCH="ON")*(COUNTIFS(OVR_TICKERS,$C44,OVR_BASE,"&gt;=0")&gt;0)&gt;0,SUMIFS(OVR_BASE,OVR_TICKERS,$C44),$K44))</f>
        <v/>
      </c>
      <c r="M44" s="49">
        <f>IF($B44="",0,IF((OV_SWITCH="ON")*(COUNTIFS(OVR_TICKERS,$C44,OVR_LOW,"&gt;=0")&gt;0)&gt;0,SUMIFS(OVR_LOW,OVR_TICKERS,$C44),$L44))</f>
        <v/>
      </c>
      <c r="N44" s="49">
        <f>IF($B44="",0,IF((OV_SWITCH="ON")*(COUNTIFS(OVR_TICKERS,$C44,OVR_HIGH,"&gt;=0")&gt;0)&gt;0,SUMIFS(OVR_HIGH,OVR_TICKERS,$C44),$L44))</f>
        <v/>
      </c>
      <c r="O44" s="65">
        <f>IF($B44="","",IFERROR($B44*$G44*$J44/$B$3,""))</f>
        <v/>
      </c>
      <c r="P44" s="65">
        <f>IF($B44="","",IFERROR($B44*$G44*$L44/$B$3,""))</f>
        <v/>
      </c>
      <c r="Q44" s="41">
        <f>IF($B44="","",IFERROR($O44+$P44,""))</f>
        <v/>
      </c>
      <c r="R44" s="65">
        <f>IF($B44="","",IFERROR($O44+$B44*$G44*$M44/$B$3,""))</f>
        <v/>
      </c>
      <c r="S44" s="65">
        <f>IF($B44="","",IFERROR($O44+$B44*$G44*$N44/$B$3,""))</f>
        <v/>
      </c>
      <c r="T44" s="80">
        <f>IF($B44="","",IFERROR($Q44/$Q$5,""))</f>
        <v/>
      </c>
      <c r="U44" s="2">
        <f>IF($B44="","",IF(COUNTIFS('Dvd Calendar'!$E$424:$AR$424,"&gt;0",'Dvd Calendar'!$E$424:$AR$424,"&lt;="&amp;VAL_DATE,'Dvd Calendar'!$E$425:$AR$425,"&gt;"&amp;PROJ_FROM,'Dvd Calendar'!$E$425:$AR$425,"&lt;="&amp;DATE(YEAR_Y,12,31))-COUNTIFS('Dvd Calendar'!$E$424:$AR$424,"&gt;0",'Dvd Calendar'!$E$424:$AR$424,"&lt;="&amp;VAL_DATE,'Dvd Calendar'!$E$425:$AR$425,"&gt;"&amp;PROJ_FROM,'Dvd Calendar'!$E$425:$AR$425,"&lt;="&amp;DATE(YEAR_Y,12,31),'Dvd Calendar'!$E$426:$AR$426,"&gt;=0")&gt;0,"TBA amount - override me",IF((OV_SWITCH="ON")*(COUNTIFS(OVR_TICKERS,$C44,OVR_BASE,"&gt;=0")&gt;0)&gt;0,"overridden",IF($J44+$K44=0,"no dividend in year Y",""))))</f>
        <v/>
      </c>
      <c r="V44" s="65">
        <f>IF($B44="","",IFERROR(IF(ISNUMBER($H44),$B44*$G44*$H44/$B$3,0),""))</f>
        <v/>
      </c>
      <c r="W44" s="65">
        <f>IF($B44="","",IFERROR($B44*$G44*$K44/$B$3,""))</f>
        <v/>
      </c>
      <c r="X44" s="91">
        <f>IF($C44="","",BDP($C44,"PX_LAST"))</f>
        <v/>
      </c>
      <c r="Y44" s="65">
        <f>IF($B44="","",IFERROR($B44*$X44/$B$3,""))</f>
        <v/>
      </c>
      <c r="Z44" s="76">
        <f>IF($B44="","",IFERROR($Y44/$Y$5,""))</f>
        <v/>
      </c>
    </row>
    <row r="45">
      <c r="B45" s="89" t="n"/>
      <c r="C45" s="6">
        <f>IF($A45="","",$A45&amp;" Equity")</f>
        <v/>
      </c>
      <c r="D45" s="6">
        <f>IF($C45="","",BDP($C45,"NAME"))</f>
        <v/>
      </c>
      <c r="E45" s="6">
        <f>IF($C45="","",BDP($C45,"GICS_SECTOR_NAME"))</f>
        <v/>
      </c>
      <c r="F45" s="33">
        <f>IF($C45="","",BDP($C45,FLD_CCY))</f>
        <v/>
      </c>
      <c r="G45" s="90">
        <f>IFERROR(IF(LEN($F45)&lt;&gt;3,1,IF($F45="HKD",1,BDP(IF($F45="CNY",RMB_CROSS,$F45)&amp;"HKD Curncy","PX_LAST"))),1)</f>
        <v/>
      </c>
      <c r="H45" s="65">
        <f>IF($C45="","",BDP($C45,FLD_DPS12M))</f>
        <v/>
      </c>
      <c r="I45" s="47">
        <f>IF($C45="","",BDP($C45,FLD_YLD12M))</f>
        <v/>
      </c>
      <c r="J45" s="49">
        <f>IF($B45="",0,SUMPRODUCT(('Dvd Calendar'!$E$429:$AR$429&gt;=DATE(YEAR_Y,1,1))*('Dvd Calendar'!$E$429:$AR$429&lt;=REALIZED_TO)*'Dvd Calendar'!$E$432:$AR$432*(('Dvd Calendar'!$E$434:$AR$434=TYPE1)*(TYPE1&lt;&gt;"")+('Dvd Calendar'!$E$434:$AR$434=TYPE2)*(TYPE2&lt;&gt;"")+('Dvd Calendar'!$E$434:$AR$434=TYPE3)*(TYPE3&lt;&gt;"")+('Dvd Calendar'!$E$434:$AR$434=TYPE4)*(TYPE4&lt;&gt;"")+('Dvd Calendar'!$E$434:$AR$434=SPECIAL_LBL)*(INC_SPECIALS="Y"))))</f>
        <v/>
      </c>
      <c r="K45" s="49">
        <f>IF($B45="",0,SUMIFS('Dvd Calendar'!$E$437:$AR$437,'Dvd Calendar'!$E$436:$AR$436,"&gt;"&amp;PROJ_FROM,'Dvd Calendar'!$E$436:$AR$436,"&lt;="&amp;DATE(YEAR_Y,12,31)))</f>
        <v/>
      </c>
      <c r="L45" s="49">
        <f>IF($B45="",0,IF((OV_SWITCH="ON")*(COUNTIFS(OVR_TICKERS,$C45,OVR_BASE,"&gt;=0")&gt;0)&gt;0,SUMIFS(OVR_BASE,OVR_TICKERS,$C45),$K45))</f>
        <v/>
      </c>
      <c r="M45" s="49">
        <f>IF($B45="",0,IF((OV_SWITCH="ON")*(COUNTIFS(OVR_TICKERS,$C45,OVR_LOW,"&gt;=0")&gt;0)&gt;0,SUMIFS(OVR_LOW,OVR_TICKERS,$C45),$L45))</f>
        <v/>
      </c>
      <c r="N45" s="49">
        <f>IF($B45="",0,IF((OV_SWITCH="ON")*(COUNTIFS(OVR_TICKERS,$C45,OVR_HIGH,"&gt;=0")&gt;0)&gt;0,SUMIFS(OVR_HIGH,OVR_TICKERS,$C45),$L45))</f>
        <v/>
      </c>
      <c r="O45" s="65">
        <f>IF($B45="","",IFERROR($B45*$G45*$J45/$B$3,""))</f>
        <v/>
      </c>
      <c r="P45" s="65">
        <f>IF($B45="","",IFERROR($B45*$G45*$L45/$B$3,""))</f>
        <v/>
      </c>
      <c r="Q45" s="41">
        <f>IF($B45="","",IFERROR($O45+$P45,""))</f>
        <v/>
      </c>
      <c r="R45" s="65">
        <f>IF($B45="","",IFERROR($O45+$B45*$G45*$M45/$B$3,""))</f>
        <v/>
      </c>
      <c r="S45" s="65">
        <f>IF($B45="","",IFERROR($O45+$B45*$G45*$N45/$B$3,""))</f>
        <v/>
      </c>
      <c r="T45" s="80">
        <f>IF($B45="","",IFERROR($Q45/$Q$5,""))</f>
        <v/>
      </c>
      <c r="U45" s="2">
        <f>IF($B45="","",IF(COUNTIFS('Dvd Calendar'!$E$435:$AR$435,"&gt;0",'Dvd Calendar'!$E$435:$AR$435,"&lt;="&amp;VAL_DATE,'Dvd Calendar'!$E$436:$AR$436,"&gt;"&amp;PROJ_FROM,'Dvd Calendar'!$E$436:$AR$436,"&lt;="&amp;DATE(YEAR_Y,12,31))-COUNTIFS('Dvd Calendar'!$E$435:$AR$435,"&gt;0",'Dvd Calendar'!$E$435:$AR$435,"&lt;="&amp;VAL_DATE,'Dvd Calendar'!$E$436:$AR$436,"&gt;"&amp;PROJ_FROM,'Dvd Calendar'!$E$436:$AR$436,"&lt;="&amp;DATE(YEAR_Y,12,31),'Dvd Calendar'!$E$437:$AR$437,"&gt;=0")&gt;0,"TBA amount - override me",IF((OV_SWITCH="ON")*(COUNTIFS(OVR_TICKERS,$C45,OVR_BASE,"&gt;=0")&gt;0)&gt;0,"overridden",IF($J45+$K45=0,"no dividend in year Y",""))))</f>
        <v/>
      </c>
      <c r="V45" s="65">
        <f>IF($B45="","",IFERROR(IF(ISNUMBER($H45),$B45*$G45*$H45/$B$3,0),""))</f>
        <v/>
      </c>
      <c r="W45" s="65">
        <f>IF($B45="","",IFERROR($B45*$G45*$K45/$B$3,""))</f>
        <v/>
      </c>
      <c r="X45" s="91">
        <f>IF($C45="","",BDP($C45,"PX_LAST"))</f>
        <v/>
      </c>
      <c r="Y45" s="65">
        <f>IF($B45="","",IFERROR($B45*$X45/$B$3,""))</f>
        <v/>
      </c>
      <c r="Z45" s="76">
        <f>IF($B45="","",IFERROR($Y45/$Y$5,""))</f>
        <v/>
      </c>
    </row>
    <row r="46">
      <c r="B46" s="89" t="n"/>
      <c r="C46" s="6">
        <f>IF($A46="","",$A46&amp;" Equity")</f>
        <v/>
      </c>
      <c r="D46" s="6">
        <f>IF($C46="","",BDP($C46,"NAME"))</f>
        <v/>
      </c>
      <c r="E46" s="6">
        <f>IF($C46="","",BDP($C46,"GICS_SECTOR_NAME"))</f>
        <v/>
      </c>
      <c r="F46" s="33">
        <f>IF($C46="","",BDP($C46,FLD_CCY))</f>
        <v/>
      </c>
      <c r="G46" s="90">
        <f>IFERROR(IF(LEN($F46)&lt;&gt;3,1,IF($F46="HKD",1,BDP(IF($F46="CNY",RMB_CROSS,$F46)&amp;"HKD Curncy","PX_LAST"))),1)</f>
        <v/>
      </c>
      <c r="H46" s="65">
        <f>IF($C46="","",BDP($C46,FLD_DPS12M))</f>
        <v/>
      </c>
      <c r="I46" s="47">
        <f>IF($C46="","",BDP($C46,FLD_YLD12M))</f>
        <v/>
      </c>
      <c r="J46" s="49">
        <f>IF($B46="",0,SUMPRODUCT(('Dvd Calendar'!$E$440:$AR$440&gt;=DATE(YEAR_Y,1,1))*('Dvd Calendar'!$E$440:$AR$440&lt;=REALIZED_TO)*'Dvd Calendar'!$E$443:$AR$443*(('Dvd Calendar'!$E$445:$AR$445=TYPE1)*(TYPE1&lt;&gt;"")+('Dvd Calendar'!$E$445:$AR$445=TYPE2)*(TYPE2&lt;&gt;"")+('Dvd Calendar'!$E$445:$AR$445=TYPE3)*(TYPE3&lt;&gt;"")+('Dvd Calendar'!$E$445:$AR$445=TYPE4)*(TYPE4&lt;&gt;"")+('Dvd Calendar'!$E$445:$AR$445=SPECIAL_LBL)*(INC_SPECIALS="Y"))))</f>
        <v/>
      </c>
      <c r="K46" s="49">
        <f>IF($B46="",0,SUMIFS('Dvd Calendar'!$E$448:$AR$448,'Dvd Calendar'!$E$447:$AR$447,"&gt;"&amp;PROJ_FROM,'Dvd Calendar'!$E$447:$AR$447,"&lt;="&amp;DATE(YEAR_Y,12,31)))</f>
        <v/>
      </c>
      <c r="L46" s="49">
        <f>IF($B46="",0,IF((OV_SWITCH="ON")*(COUNTIFS(OVR_TICKERS,$C46,OVR_BASE,"&gt;=0")&gt;0)&gt;0,SUMIFS(OVR_BASE,OVR_TICKERS,$C46),$K46))</f>
        <v/>
      </c>
      <c r="M46" s="49">
        <f>IF($B46="",0,IF((OV_SWITCH="ON")*(COUNTIFS(OVR_TICKERS,$C46,OVR_LOW,"&gt;=0")&gt;0)&gt;0,SUMIFS(OVR_LOW,OVR_TICKERS,$C46),$L46))</f>
        <v/>
      </c>
      <c r="N46" s="49">
        <f>IF($B46="",0,IF((OV_SWITCH="ON")*(COUNTIFS(OVR_TICKERS,$C46,OVR_HIGH,"&gt;=0")&gt;0)&gt;0,SUMIFS(OVR_HIGH,OVR_TICKERS,$C46),$L46))</f>
        <v/>
      </c>
      <c r="O46" s="65">
        <f>IF($B46="","",IFERROR($B46*$G46*$J46/$B$3,""))</f>
        <v/>
      </c>
      <c r="P46" s="65">
        <f>IF($B46="","",IFERROR($B46*$G46*$L46/$B$3,""))</f>
        <v/>
      </c>
      <c r="Q46" s="41">
        <f>IF($B46="","",IFERROR($O46+$P46,""))</f>
        <v/>
      </c>
      <c r="R46" s="65">
        <f>IF($B46="","",IFERROR($O46+$B46*$G46*$M46/$B$3,""))</f>
        <v/>
      </c>
      <c r="S46" s="65">
        <f>IF($B46="","",IFERROR($O46+$B46*$G46*$N46/$B$3,""))</f>
        <v/>
      </c>
      <c r="T46" s="80">
        <f>IF($B46="","",IFERROR($Q46/$Q$5,""))</f>
        <v/>
      </c>
      <c r="U46" s="2">
        <f>IF($B46="","",IF(COUNTIFS('Dvd Calendar'!$E$446:$AR$446,"&gt;0",'Dvd Calendar'!$E$446:$AR$446,"&lt;="&amp;VAL_DATE,'Dvd Calendar'!$E$447:$AR$447,"&gt;"&amp;PROJ_FROM,'Dvd Calendar'!$E$447:$AR$447,"&lt;="&amp;DATE(YEAR_Y,12,31))-COUNTIFS('Dvd Calendar'!$E$446:$AR$446,"&gt;0",'Dvd Calendar'!$E$446:$AR$446,"&lt;="&amp;VAL_DATE,'Dvd Calendar'!$E$447:$AR$447,"&gt;"&amp;PROJ_FROM,'Dvd Calendar'!$E$447:$AR$447,"&lt;="&amp;DATE(YEAR_Y,12,31),'Dvd Calendar'!$E$448:$AR$448,"&gt;=0")&gt;0,"TBA amount - override me",IF((OV_SWITCH="ON")*(COUNTIFS(OVR_TICKERS,$C46,OVR_BASE,"&gt;=0")&gt;0)&gt;0,"overridden",IF($J46+$K46=0,"no dividend in year Y",""))))</f>
        <v/>
      </c>
      <c r="V46" s="65">
        <f>IF($B46="","",IFERROR(IF(ISNUMBER($H46),$B46*$G46*$H46/$B$3,0),""))</f>
        <v/>
      </c>
      <c r="W46" s="65">
        <f>IF($B46="","",IFERROR($B46*$G46*$K46/$B$3,""))</f>
        <v/>
      </c>
      <c r="X46" s="91">
        <f>IF($C46="","",BDP($C46,"PX_LAST"))</f>
        <v/>
      </c>
      <c r="Y46" s="65">
        <f>IF($B46="","",IFERROR($B46*$X46/$B$3,""))</f>
        <v/>
      </c>
      <c r="Z46" s="76">
        <f>IF($B46="","",IFERROR($Y46/$Y$5,""))</f>
        <v/>
      </c>
    </row>
    <row r="47">
      <c r="B47" s="89" t="n"/>
      <c r="C47" s="6">
        <f>IF($A47="","",$A47&amp;" Equity")</f>
        <v/>
      </c>
      <c r="D47" s="6">
        <f>IF($C47="","",BDP($C47,"NAME"))</f>
        <v/>
      </c>
      <c r="E47" s="6">
        <f>IF($C47="","",BDP($C47,"GICS_SECTOR_NAME"))</f>
        <v/>
      </c>
      <c r="F47" s="33">
        <f>IF($C47="","",BDP($C47,FLD_CCY))</f>
        <v/>
      </c>
      <c r="G47" s="90">
        <f>IFERROR(IF(LEN($F47)&lt;&gt;3,1,IF($F47="HKD",1,BDP(IF($F47="CNY",RMB_CROSS,$F47)&amp;"HKD Curncy","PX_LAST"))),1)</f>
        <v/>
      </c>
      <c r="H47" s="65">
        <f>IF($C47="","",BDP($C47,FLD_DPS12M))</f>
        <v/>
      </c>
      <c r="I47" s="47">
        <f>IF($C47="","",BDP($C47,FLD_YLD12M))</f>
        <v/>
      </c>
      <c r="J47" s="49">
        <f>IF($B47="",0,SUMPRODUCT(('Dvd Calendar'!$E$451:$AR$451&gt;=DATE(YEAR_Y,1,1))*('Dvd Calendar'!$E$451:$AR$451&lt;=REALIZED_TO)*'Dvd Calendar'!$E$454:$AR$454*(('Dvd Calendar'!$E$456:$AR$456=TYPE1)*(TYPE1&lt;&gt;"")+('Dvd Calendar'!$E$456:$AR$456=TYPE2)*(TYPE2&lt;&gt;"")+('Dvd Calendar'!$E$456:$AR$456=TYPE3)*(TYPE3&lt;&gt;"")+('Dvd Calendar'!$E$456:$AR$456=TYPE4)*(TYPE4&lt;&gt;"")+('Dvd Calendar'!$E$456:$AR$456=SPECIAL_LBL)*(INC_SPECIALS="Y"))))</f>
        <v/>
      </c>
      <c r="K47" s="49">
        <f>IF($B47="",0,SUMIFS('Dvd Calendar'!$E$459:$AR$459,'Dvd Calendar'!$E$458:$AR$458,"&gt;"&amp;PROJ_FROM,'Dvd Calendar'!$E$458:$AR$458,"&lt;="&amp;DATE(YEAR_Y,12,31)))</f>
        <v/>
      </c>
      <c r="L47" s="49">
        <f>IF($B47="",0,IF((OV_SWITCH="ON")*(COUNTIFS(OVR_TICKERS,$C47,OVR_BASE,"&gt;=0")&gt;0)&gt;0,SUMIFS(OVR_BASE,OVR_TICKERS,$C47),$K47))</f>
        <v/>
      </c>
      <c r="M47" s="49">
        <f>IF($B47="",0,IF((OV_SWITCH="ON")*(COUNTIFS(OVR_TICKERS,$C47,OVR_LOW,"&gt;=0")&gt;0)&gt;0,SUMIFS(OVR_LOW,OVR_TICKERS,$C47),$L47))</f>
        <v/>
      </c>
      <c r="N47" s="49">
        <f>IF($B47="",0,IF((OV_SWITCH="ON")*(COUNTIFS(OVR_TICKERS,$C47,OVR_HIGH,"&gt;=0")&gt;0)&gt;0,SUMIFS(OVR_HIGH,OVR_TICKERS,$C47),$L47))</f>
        <v/>
      </c>
      <c r="O47" s="65">
        <f>IF($B47="","",IFERROR($B47*$G47*$J47/$B$3,""))</f>
        <v/>
      </c>
      <c r="P47" s="65">
        <f>IF($B47="","",IFERROR($B47*$G47*$L47/$B$3,""))</f>
        <v/>
      </c>
      <c r="Q47" s="41">
        <f>IF($B47="","",IFERROR($O47+$P47,""))</f>
        <v/>
      </c>
      <c r="R47" s="65">
        <f>IF($B47="","",IFERROR($O47+$B47*$G47*$M47/$B$3,""))</f>
        <v/>
      </c>
      <c r="S47" s="65">
        <f>IF($B47="","",IFERROR($O47+$B47*$G47*$N47/$B$3,""))</f>
        <v/>
      </c>
      <c r="T47" s="80">
        <f>IF($B47="","",IFERROR($Q47/$Q$5,""))</f>
        <v/>
      </c>
      <c r="U47" s="2">
        <f>IF($B47="","",IF(COUNTIFS('Dvd Calendar'!$E$457:$AR$457,"&gt;0",'Dvd Calendar'!$E$457:$AR$457,"&lt;="&amp;VAL_DATE,'Dvd Calendar'!$E$458:$AR$458,"&gt;"&amp;PROJ_FROM,'Dvd Calendar'!$E$458:$AR$458,"&lt;="&amp;DATE(YEAR_Y,12,31))-COUNTIFS('Dvd Calendar'!$E$457:$AR$457,"&gt;0",'Dvd Calendar'!$E$457:$AR$457,"&lt;="&amp;VAL_DATE,'Dvd Calendar'!$E$458:$AR$458,"&gt;"&amp;PROJ_FROM,'Dvd Calendar'!$E$458:$AR$458,"&lt;="&amp;DATE(YEAR_Y,12,31),'Dvd Calendar'!$E$459:$AR$459,"&gt;=0")&gt;0,"TBA amount - override me",IF((OV_SWITCH="ON")*(COUNTIFS(OVR_TICKERS,$C47,OVR_BASE,"&gt;=0")&gt;0)&gt;0,"overridden",IF($J47+$K47=0,"no dividend in year Y",""))))</f>
        <v/>
      </c>
      <c r="V47" s="65">
        <f>IF($B47="","",IFERROR(IF(ISNUMBER($H47),$B47*$G47*$H47/$B$3,0),""))</f>
        <v/>
      </c>
      <c r="W47" s="65">
        <f>IF($B47="","",IFERROR($B47*$G47*$K47/$B$3,""))</f>
        <v/>
      </c>
      <c r="X47" s="91">
        <f>IF($C47="","",BDP($C47,"PX_LAST"))</f>
        <v/>
      </c>
      <c r="Y47" s="65">
        <f>IF($B47="","",IFERROR($B47*$X47/$B$3,""))</f>
        <v/>
      </c>
      <c r="Z47" s="76">
        <f>IF($B47="","",IFERROR($Y47/$Y$5,""))</f>
        <v/>
      </c>
    </row>
    <row r="48">
      <c r="B48" s="89" t="n"/>
      <c r="C48" s="6">
        <f>IF($A48="","",$A48&amp;" Equity")</f>
        <v/>
      </c>
      <c r="D48" s="6">
        <f>IF($C48="","",BDP($C48,"NAME"))</f>
        <v/>
      </c>
      <c r="E48" s="6">
        <f>IF($C48="","",BDP($C48,"GICS_SECTOR_NAME"))</f>
        <v/>
      </c>
      <c r="F48" s="33">
        <f>IF($C48="","",BDP($C48,FLD_CCY))</f>
        <v/>
      </c>
      <c r="G48" s="90">
        <f>IFERROR(IF(LEN($F48)&lt;&gt;3,1,IF($F48="HKD",1,BDP(IF($F48="CNY",RMB_CROSS,$F48)&amp;"HKD Curncy","PX_LAST"))),1)</f>
        <v/>
      </c>
      <c r="H48" s="65">
        <f>IF($C48="","",BDP($C48,FLD_DPS12M))</f>
        <v/>
      </c>
      <c r="I48" s="47">
        <f>IF($C48="","",BDP($C48,FLD_YLD12M))</f>
        <v/>
      </c>
      <c r="J48" s="49">
        <f>IF($B48="",0,SUMPRODUCT(('Dvd Calendar'!$E$462:$AR$462&gt;=DATE(YEAR_Y,1,1))*('Dvd Calendar'!$E$462:$AR$462&lt;=REALIZED_TO)*'Dvd Calendar'!$E$465:$AR$465*(('Dvd Calendar'!$E$467:$AR$467=TYPE1)*(TYPE1&lt;&gt;"")+('Dvd Calendar'!$E$467:$AR$467=TYPE2)*(TYPE2&lt;&gt;"")+('Dvd Calendar'!$E$467:$AR$467=TYPE3)*(TYPE3&lt;&gt;"")+('Dvd Calendar'!$E$467:$AR$467=TYPE4)*(TYPE4&lt;&gt;"")+('Dvd Calendar'!$E$467:$AR$467=SPECIAL_LBL)*(INC_SPECIALS="Y"))))</f>
        <v/>
      </c>
      <c r="K48" s="49">
        <f>IF($B48="",0,SUMIFS('Dvd Calendar'!$E$470:$AR$470,'Dvd Calendar'!$E$469:$AR$469,"&gt;"&amp;PROJ_FROM,'Dvd Calendar'!$E$469:$AR$469,"&lt;="&amp;DATE(YEAR_Y,12,31)))</f>
        <v/>
      </c>
      <c r="L48" s="49">
        <f>IF($B48="",0,IF((OV_SWITCH="ON")*(COUNTIFS(OVR_TICKERS,$C48,OVR_BASE,"&gt;=0")&gt;0)&gt;0,SUMIFS(OVR_BASE,OVR_TICKERS,$C48),$K48))</f>
        <v/>
      </c>
      <c r="M48" s="49">
        <f>IF($B48="",0,IF((OV_SWITCH="ON")*(COUNTIFS(OVR_TICKERS,$C48,OVR_LOW,"&gt;=0")&gt;0)&gt;0,SUMIFS(OVR_LOW,OVR_TICKERS,$C48),$L48))</f>
        <v/>
      </c>
      <c r="N48" s="49">
        <f>IF($B48="",0,IF((OV_SWITCH="ON")*(COUNTIFS(OVR_TICKERS,$C48,OVR_HIGH,"&gt;=0")&gt;0)&gt;0,SUMIFS(OVR_HIGH,OVR_TICKERS,$C48),$L48))</f>
        <v/>
      </c>
      <c r="O48" s="65">
        <f>IF($B48="","",IFERROR($B48*$G48*$J48/$B$3,""))</f>
        <v/>
      </c>
      <c r="P48" s="65">
        <f>IF($B48="","",IFERROR($B48*$G48*$L48/$B$3,""))</f>
        <v/>
      </c>
      <c r="Q48" s="41">
        <f>IF($B48="","",IFERROR($O48+$P48,""))</f>
        <v/>
      </c>
      <c r="R48" s="65">
        <f>IF($B48="","",IFERROR($O48+$B48*$G48*$M48/$B$3,""))</f>
        <v/>
      </c>
      <c r="S48" s="65">
        <f>IF($B48="","",IFERROR($O48+$B48*$G48*$N48/$B$3,""))</f>
        <v/>
      </c>
      <c r="T48" s="80">
        <f>IF($B48="","",IFERROR($Q48/$Q$5,""))</f>
        <v/>
      </c>
      <c r="U48" s="2">
        <f>IF($B48="","",IF(COUNTIFS('Dvd Calendar'!$E$468:$AR$468,"&gt;0",'Dvd Calendar'!$E$468:$AR$468,"&lt;="&amp;VAL_DATE,'Dvd Calendar'!$E$469:$AR$469,"&gt;"&amp;PROJ_FROM,'Dvd Calendar'!$E$469:$AR$469,"&lt;="&amp;DATE(YEAR_Y,12,31))-COUNTIFS('Dvd Calendar'!$E$468:$AR$468,"&gt;0",'Dvd Calendar'!$E$468:$AR$468,"&lt;="&amp;VAL_DATE,'Dvd Calendar'!$E$469:$AR$469,"&gt;"&amp;PROJ_FROM,'Dvd Calendar'!$E$469:$AR$469,"&lt;="&amp;DATE(YEAR_Y,12,31),'Dvd Calendar'!$E$470:$AR$470,"&gt;=0")&gt;0,"TBA amount - override me",IF((OV_SWITCH="ON")*(COUNTIFS(OVR_TICKERS,$C48,OVR_BASE,"&gt;=0")&gt;0)&gt;0,"overridden",IF($J48+$K48=0,"no dividend in year Y",""))))</f>
        <v/>
      </c>
      <c r="V48" s="65">
        <f>IF($B48="","",IFERROR(IF(ISNUMBER($H48),$B48*$G48*$H48/$B$3,0),""))</f>
        <v/>
      </c>
      <c r="W48" s="65">
        <f>IF($B48="","",IFERROR($B48*$G48*$K48/$B$3,""))</f>
        <v/>
      </c>
      <c r="X48" s="91">
        <f>IF($C48="","",BDP($C48,"PX_LAST"))</f>
        <v/>
      </c>
      <c r="Y48" s="65">
        <f>IF($B48="","",IFERROR($B48*$X48/$B$3,""))</f>
        <v/>
      </c>
      <c r="Z48" s="76">
        <f>IF($B48="","",IFERROR($Y48/$Y$5,""))</f>
        <v/>
      </c>
    </row>
    <row r="49">
      <c r="B49" s="89" t="n"/>
      <c r="C49" s="6">
        <f>IF($A49="","",$A49&amp;" Equity")</f>
        <v/>
      </c>
      <c r="D49" s="6">
        <f>IF($C49="","",BDP($C49,"NAME"))</f>
        <v/>
      </c>
      <c r="E49" s="6">
        <f>IF($C49="","",BDP($C49,"GICS_SECTOR_NAME"))</f>
        <v/>
      </c>
      <c r="F49" s="33">
        <f>IF($C49="","",BDP($C49,FLD_CCY))</f>
        <v/>
      </c>
      <c r="G49" s="90">
        <f>IFERROR(IF(LEN($F49)&lt;&gt;3,1,IF($F49="HKD",1,BDP(IF($F49="CNY",RMB_CROSS,$F49)&amp;"HKD Curncy","PX_LAST"))),1)</f>
        <v/>
      </c>
      <c r="H49" s="65">
        <f>IF($C49="","",BDP($C49,FLD_DPS12M))</f>
        <v/>
      </c>
      <c r="I49" s="47">
        <f>IF($C49="","",BDP($C49,FLD_YLD12M))</f>
        <v/>
      </c>
      <c r="J49" s="49">
        <f>IF($B49="",0,SUMPRODUCT(('Dvd Calendar'!$E$473:$AR$473&gt;=DATE(YEAR_Y,1,1))*('Dvd Calendar'!$E$473:$AR$473&lt;=REALIZED_TO)*'Dvd Calendar'!$E$476:$AR$476*(('Dvd Calendar'!$E$478:$AR$478=TYPE1)*(TYPE1&lt;&gt;"")+('Dvd Calendar'!$E$478:$AR$478=TYPE2)*(TYPE2&lt;&gt;"")+('Dvd Calendar'!$E$478:$AR$478=TYPE3)*(TYPE3&lt;&gt;"")+('Dvd Calendar'!$E$478:$AR$478=TYPE4)*(TYPE4&lt;&gt;"")+('Dvd Calendar'!$E$478:$AR$478=SPECIAL_LBL)*(INC_SPECIALS="Y"))))</f>
        <v/>
      </c>
      <c r="K49" s="49">
        <f>IF($B49="",0,SUMIFS('Dvd Calendar'!$E$481:$AR$481,'Dvd Calendar'!$E$480:$AR$480,"&gt;"&amp;PROJ_FROM,'Dvd Calendar'!$E$480:$AR$480,"&lt;="&amp;DATE(YEAR_Y,12,31)))</f>
        <v/>
      </c>
      <c r="L49" s="49">
        <f>IF($B49="",0,IF((OV_SWITCH="ON")*(COUNTIFS(OVR_TICKERS,$C49,OVR_BASE,"&gt;=0")&gt;0)&gt;0,SUMIFS(OVR_BASE,OVR_TICKERS,$C49),$K49))</f>
        <v/>
      </c>
      <c r="M49" s="49">
        <f>IF($B49="",0,IF((OV_SWITCH="ON")*(COUNTIFS(OVR_TICKERS,$C49,OVR_LOW,"&gt;=0")&gt;0)&gt;0,SUMIFS(OVR_LOW,OVR_TICKERS,$C49),$L49))</f>
        <v/>
      </c>
      <c r="N49" s="49">
        <f>IF($B49="",0,IF((OV_SWITCH="ON")*(COUNTIFS(OVR_TICKERS,$C49,OVR_HIGH,"&gt;=0")&gt;0)&gt;0,SUMIFS(OVR_HIGH,OVR_TICKERS,$C49),$L49))</f>
        <v/>
      </c>
      <c r="O49" s="65">
        <f>IF($B49="","",IFERROR($B49*$G49*$J49/$B$3,""))</f>
        <v/>
      </c>
      <c r="P49" s="65">
        <f>IF($B49="","",IFERROR($B49*$G49*$L49/$B$3,""))</f>
        <v/>
      </c>
      <c r="Q49" s="41">
        <f>IF($B49="","",IFERROR($O49+$P49,""))</f>
        <v/>
      </c>
      <c r="R49" s="65">
        <f>IF($B49="","",IFERROR($O49+$B49*$G49*$M49/$B$3,""))</f>
        <v/>
      </c>
      <c r="S49" s="65">
        <f>IF($B49="","",IFERROR($O49+$B49*$G49*$N49/$B$3,""))</f>
        <v/>
      </c>
      <c r="T49" s="80">
        <f>IF($B49="","",IFERROR($Q49/$Q$5,""))</f>
        <v/>
      </c>
      <c r="U49" s="2">
        <f>IF($B49="","",IF(COUNTIFS('Dvd Calendar'!$E$479:$AR$479,"&gt;0",'Dvd Calendar'!$E$479:$AR$479,"&lt;="&amp;VAL_DATE,'Dvd Calendar'!$E$480:$AR$480,"&gt;"&amp;PROJ_FROM,'Dvd Calendar'!$E$480:$AR$480,"&lt;="&amp;DATE(YEAR_Y,12,31))-COUNTIFS('Dvd Calendar'!$E$479:$AR$479,"&gt;0",'Dvd Calendar'!$E$479:$AR$479,"&lt;="&amp;VAL_DATE,'Dvd Calendar'!$E$480:$AR$480,"&gt;"&amp;PROJ_FROM,'Dvd Calendar'!$E$480:$AR$480,"&lt;="&amp;DATE(YEAR_Y,12,31),'Dvd Calendar'!$E$481:$AR$481,"&gt;=0")&gt;0,"TBA amount - override me",IF((OV_SWITCH="ON")*(COUNTIFS(OVR_TICKERS,$C49,OVR_BASE,"&gt;=0")&gt;0)&gt;0,"overridden",IF($J49+$K49=0,"no dividend in year Y",""))))</f>
        <v/>
      </c>
      <c r="V49" s="65">
        <f>IF($B49="","",IFERROR(IF(ISNUMBER($H49),$B49*$G49*$H49/$B$3,0),""))</f>
        <v/>
      </c>
      <c r="W49" s="65">
        <f>IF($B49="","",IFERROR($B49*$G49*$K49/$B$3,""))</f>
        <v/>
      </c>
      <c r="X49" s="91">
        <f>IF($C49="","",BDP($C49,"PX_LAST"))</f>
        <v/>
      </c>
      <c r="Y49" s="65">
        <f>IF($B49="","",IFERROR($B49*$X49/$B$3,""))</f>
        <v/>
      </c>
      <c r="Z49" s="76">
        <f>IF($B49="","",IFERROR($Y49/$Y$5,""))</f>
        <v/>
      </c>
    </row>
    <row r="50">
      <c r="B50" s="89" t="n"/>
      <c r="C50" s="6">
        <f>IF($A50="","",$A50&amp;" Equity")</f>
        <v/>
      </c>
      <c r="D50" s="6">
        <f>IF($C50="","",BDP($C50,"NAME"))</f>
        <v/>
      </c>
      <c r="E50" s="6">
        <f>IF($C50="","",BDP($C50,"GICS_SECTOR_NAME"))</f>
        <v/>
      </c>
      <c r="F50" s="33">
        <f>IF($C50="","",BDP($C50,FLD_CCY))</f>
        <v/>
      </c>
      <c r="G50" s="90">
        <f>IFERROR(IF(LEN($F50)&lt;&gt;3,1,IF($F50="HKD",1,BDP(IF($F50="CNY",RMB_CROSS,$F50)&amp;"HKD Curncy","PX_LAST"))),1)</f>
        <v/>
      </c>
      <c r="H50" s="65">
        <f>IF($C50="","",BDP($C50,FLD_DPS12M))</f>
        <v/>
      </c>
      <c r="I50" s="47">
        <f>IF($C50="","",BDP($C50,FLD_YLD12M))</f>
        <v/>
      </c>
      <c r="J50" s="49">
        <f>IF($B50="",0,SUMPRODUCT(('Dvd Calendar'!$E$484:$AR$484&gt;=DATE(YEAR_Y,1,1))*('Dvd Calendar'!$E$484:$AR$484&lt;=REALIZED_TO)*'Dvd Calendar'!$E$487:$AR$487*(('Dvd Calendar'!$E$489:$AR$489=TYPE1)*(TYPE1&lt;&gt;"")+('Dvd Calendar'!$E$489:$AR$489=TYPE2)*(TYPE2&lt;&gt;"")+('Dvd Calendar'!$E$489:$AR$489=TYPE3)*(TYPE3&lt;&gt;"")+('Dvd Calendar'!$E$489:$AR$489=TYPE4)*(TYPE4&lt;&gt;"")+('Dvd Calendar'!$E$489:$AR$489=SPECIAL_LBL)*(INC_SPECIALS="Y"))))</f>
        <v/>
      </c>
      <c r="K50" s="49">
        <f>IF($B50="",0,SUMIFS('Dvd Calendar'!$E$492:$AR$492,'Dvd Calendar'!$E$491:$AR$491,"&gt;"&amp;PROJ_FROM,'Dvd Calendar'!$E$491:$AR$491,"&lt;="&amp;DATE(YEAR_Y,12,31)))</f>
        <v/>
      </c>
      <c r="L50" s="49">
        <f>IF($B50="",0,IF((OV_SWITCH="ON")*(COUNTIFS(OVR_TICKERS,$C50,OVR_BASE,"&gt;=0")&gt;0)&gt;0,SUMIFS(OVR_BASE,OVR_TICKERS,$C50),$K50))</f>
        <v/>
      </c>
      <c r="M50" s="49">
        <f>IF($B50="",0,IF((OV_SWITCH="ON")*(COUNTIFS(OVR_TICKERS,$C50,OVR_LOW,"&gt;=0")&gt;0)&gt;0,SUMIFS(OVR_LOW,OVR_TICKERS,$C50),$L50))</f>
        <v/>
      </c>
      <c r="N50" s="49">
        <f>IF($B50="",0,IF((OV_SWITCH="ON")*(COUNTIFS(OVR_TICKERS,$C50,OVR_HIGH,"&gt;=0")&gt;0)&gt;0,SUMIFS(OVR_HIGH,OVR_TICKERS,$C50),$L50))</f>
        <v/>
      </c>
      <c r="O50" s="65">
        <f>IF($B50="","",IFERROR($B50*$G50*$J50/$B$3,""))</f>
        <v/>
      </c>
      <c r="P50" s="65">
        <f>IF($B50="","",IFERROR($B50*$G50*$L50/$B$3,""))</f>
        <v/>
      </c>
      <c r="Q50" s="41">
        <f>IF($B50="","",IFERROR($O50+$P50,""))</f>
        <v/>
      </c>
      <c r="R50" s="65">
        <f>IF($B50="","",IFERROR($O50+$B50*$G50*$M50/$B$3,""))</f>
        <v/>
      </c>
      <c r="S50" s="65">
        <f>IF($B50="","",IFERROR($O50+$B50*$G50*$N50/$B$3,""))</f>
        <v/>
      </c>
      <c r="T50" s="80">
        <f>IF($B50="","",IFERROR($Q50/$Q$5,""))</f>
        <v/>
      </c>
      <c r="U50" s="2">
        <f>IF($B50="","",IF(COUNTIFS('Dvd Calendar'!$E$490:$AR$490,"&gt;0",'Dvd Calendar'!$E$490:$AR$490,"&lt;="&amp;VAL_DATE,'Dvd Calendar'!$E$491:$AR$491,"&gt;"&amp;PROJ_FROM,'Dvd Calendar'!$E$491:$AR$491,"&lt;="&amp;DATE(YEAR_Y,12,31))-COUNTIFS('Dvd Calendar'!$E$490:$AR$490,"&gt;0",'Dvd Calendar'!$E$490:$AR$490,"&lt;="&amp;VAL_DATE,'Dvd Calendar'!$E$491:$AR$491,"&gt;"&amp;PROJ_FROM,'Dvd Calendar'!$E$491:$AR$491,"&lt;="&amp;DATE(YEAR_Y,12,31),'Dvd Calendar'!$E$492:$AR$492,"&gt;=0")&gt;0,"TBA amount - override me",IF((OV_SWITCH="ON")*(COUNTIFS(OVR_TICKERS,$C50,OVR_BASE,"&gt;=0")&gt;0)&gt;0,"overridden",IF($J50+$K50=0,"no dividend in year Y",""))))</f>
        <v/>
      </c>
      <c r="V50" s="65">
        <f>IF($B50="","",IFERROR(IF(ISNUMBER($H50),$B50*$G50*$H50/$B$3,0),""))</f>
        <v/>
      </c>
      <c r="W50" s="65">
        <f>IF($B50="","",IFERROR($B50*$G50*$K50/$B$3,""))</f>
        <v/>
      </c>
      <c r="X50" s="91">
        <f>IF($C50="","",BDP($C50,"PX_LAST"))</f>
        <v/>
      </c>
      <c r="Y50" s="65">
        <f>IF($B50="","",IFERROR($B50*$X50/$B$3,""))</f>
        <v/>
      </c>
      <c r="Z50" s="76">
        <f>IF($B50="","",IFERROR($Y50/$Y$5,""))</f>
        <v/>
      </c>
    </row>
    <row r="51">
      <c r="B51" s="89" t="n"/>
      <c r="C51" s="6">
        <f>IF($A51="","",$A51&amp;" Equity")</f>
        <v/>
      </c>
      <c r="D51" s="6">
        <f>IF($C51="","",BDP($C51,"NAME"))</f>
        <v/>
      </c>
      <c r="E51" s="6">
        <f>IF($C51="","",BDP($C51,"GICS_SECTOR_NAME"))</f>
        <v/>
      </c>
      <c r="F51" s="33">
        <f>IF($C51="","",BDP($C51,FLD_CCY))</f>
        <v/>
      </c>
      <c r="G51" s="90">
        <f>IFERROR(IF(LEN($F51)&lt;&gt;3,1,IF($F51="HKD",1,BDP(IF($F51="CNY",RMB_CROSS,$F51)&amp;"HKD Curncy","PX_LAST"))),1)</f>
        <v/>
      </c>
      <c r="H51" s="65">
        <f>IF($C51="","",BDP($C51,FLD_DPS12M))</f>
        <v/>
      </c>
      <c r="I51" s="47">
        <f>IF($C51="","",BDP($C51,FLD_YLD12M))</f>
        <v/>
      </c>
      <c r="J51" s="49">
        <f>IF($B51="",0,SUMPRODUCT(('Dvd Calendar'!$E$495:$AR$495&gt;=DATE(YEAR_Y,1,1))*('Dvd Calendar'!$E$495:$AR$495&lt;=REALIZED_TO)*'Dvd Calendar'!$E$498:$AR$498*(('Dvd Calendar'!$E$500:$AR$500=TYPE1)*(TYPE1&lt;&gt;"")+('Dvd Calendar'!$E$500:$AR$500=TYPE2)*(TYPE2&lt;&gt;"")+('Dvd Calendar'!$E$500:$AR$500=TYPE3)*(TYPE3&lt;&gt;"")+('Dvd Calendar'!$E$500:$AR$500=TYPE4)*(TYPE4&lt;&gt;"")+('Dvd Calendar'!$E$500:$AR$500=SPECIAL_LBL)*(INC_SPECIALS="Y"))))</f>
        <v/>
      </c>
      <c r="K51" s="49">
        <f>IF($B51="",0,SUMIFS('Dvd Calendar'!$E$503:$AR$503,'Dvd Calendar'!$E$502:$AR$502,"&gt;"&amp;PROJ_FROM,'Dvd Calendar'!$E$502:$AR$502,"&lt;="&amp;DATE(YEAR_Y,12,31)))</f>
        <v/>
      </c>
      <c r="L51" s="49">
        <f>IF($B51="",0,IF((OV_SWITCH="ON")*(COUNTIFS(OVR_TICKERS,$C51,OVR_BASE,"&gt;=0")&gt;0)&gt;0,SUMIFS(OVR_BASE,OVR_TICKERS,$C51),$K51))</f>
        <v/>
      </c>
      <c r="M51" s="49">
        <f>IF($B51="",0,IF((OV_SWITCH="ON")*(COUNTIFS(OVR_TICKERS,$C51,OVR_LOW,"&gt;=0")&gt;0)&gt;0,SUMIFS(OVR_LOW,OVR_TICKERS,$C51),$L51))</f>
        <v/>
      </c>
      <c r="N51" s="49">
        <f>IF($B51="",0,IF((OV_SWITCH="ON")*(COUNTIFS(OVR_TICKERS,$C51,OVR_HIGH,"&gt;=0")&gt;0)&gt;0,SUMIFS(OVR_HIGH,OVR_TICKERS,$C51),$L51))</f>
        <v/>
      </c>
      <c r="O51" s="65">
        <f>IF($B51="","",IFERROR($B51*$G51*$J51/$B$3,""))</f>
        <v/>
      </c>
      <c r="P51" s="65">
        <f>IF($B51="","",IFERROR($B51*$G51*$L51/$B$3,""))</f>
        <v/>
      </c>
      <c r="Q51" s="41">
        <f>IF($B51="","",IFERROR($O51+$P51,""))</f>
        <v/>
      </c>
      <c r="R51" s="65">
        <f>IF($B51="","",IFERROR($O51+$B51*$G51*$M51/$B$3,""))</f>
        <v/>
      </c>
      <c r="S51" s="65">
        <f>IF($B51="","",IFERROR($O51+$B51*$G51*$N51/$B$3,""))</f>
        <v/>
      </c>
      <c r="T51" s="80">
        <f>IF($B51="","",IFERROR($Q51/$Q$5,""))</f>
        <v/>
      </c>
      <c r="U51" s="2">
        <f>IF($B51="","",IF(COUNTIFS('Dvd Calendar'!$E$501:$AR$501,"&gt;0",'Dvd Calendar'!$E$501:$AR$501,"&lt;="&amp;VAL_DATE,'Dvd Calendar'!$E$502:$AR$502,"&gt;"&amp;PROJ_FROM,'Dvd Calendar'!$E$502:$AR$502,"&lt;="&amp;DATE(YEAR_Y,12,31))-COUNTIFS('Dvd Calendar'!$E$501:$AR$501,"&gt;0",'Dvd Calendar'!$E$501:$AR$501,"&lt;="&amp;VAL_DATE,'Dvd Calendar'!$E$502:$AR$502,"&gt;"&amp;PROJ_FROM,'Dvd Calendar'!$E$502:$AR$502,"&lt;="&amp;DATE(YEAR_Y,12,31),'Dvd Calendar'!$E$503:$AR$503,"&gt;=0")&gt;0,"TBA amount - override me",IF((OV_SWITCH="ON")*(COUNTIFS(OVR_TICKERS,$C51,OVR_BASE,"&gt;=0")&gt;0)&gt;0,"overridden",IF($J51+$K51=0,"no dividend in year Y",""))))</f>
        <v/>
      </c>
      <c r="V51" s="65">
        <f>IF($B51="","",IFERROR(IF(ISNUMBER($H51),$B51*$G51*$H51/$B$3,0),""))</f>
        <v/>
      </c>
      <c r="W51" s="65">
        <f>IF($B51="","",IFERROR($B51*$G51*$K51/$B$3,""))</f>
        <v/>
      </c>
      <c r="X51" s="91">
        <f>IF($C51="","",BDP($C51,"PX_LAST"))</f>
        <v/>
      </c>
      <c r="Y51" s="65">
        <f>IF($B51="","",IFERROR($B51*$X51/$B$3,""))</f>
        <v/>
      </c>
      <c r="Z51" s="76">
        <f>IF($B51="","",IFERROR($Y51/$Y$5,""))</f>
        <v/>
      </c>
    </row>
    <row r="52">
      <c r="B52" s="89" t="n"/>
      <c r="C52" s="6">
        <f>IF($A52="","",$A52&amp;" Equity")</f>
        <v/>
      </c>
      <c r="D52" s="6">
        <f>IF($C52="","",BDP($C52,"NAME"))</f>
        <v/>
      </c>
      <c r="E52" s="6">
        <f>IF($C52="","",BDP($C52,"GICS_SECTOR_NAME"))</f>
        <v/>
      </c>
      <c r="F52" s="33">
        <f>IF($C52="","",BDP($C52,FLD_CCY))</f>
        <v/>
      </c>
      <c r="G52" s="90">
        <f>IFERROR(IF(LEN($F52)&lt;&gt;3,1,IF($F52="HKD",1,BDP(IF($F52="CNY",RMB_CROSS,$F52)&amp;"HKD Curncy","PX_LAST"))),1)</f>
        <v/>
      </c>
      <c r="H52" s="65">
        <f>IF($C52="","",BDP($C52,FLD_DPS12M))</f>
        <v/>
      </c>
      <c r="I52" s="47">
        <f>IF($C52="","",BDP($C52,FLD_YLD12M))</f>
        <v/>
      </c>
      <c r="J52" s="49">
        <f>IF($B52="",0,SUMPRODUCT(('Dvd Calendar'!$E$506:$AR$506&gt;=DATE(YEAR_Y,1,1))*('Dvd Calendar'!$E$506:$AR$506&lt;=REALIZED_TO)*'Dvd Calendar'!$E$509:$AR$509*(('Dvd Calendar'!$E$511:$AR$511=TYPE1)*(TYPE1&lt;&gt;"")+('Dvd Calendar'!$E$511:$AR$511=TYPE2)*(TYPE2&lt;&gt;"")+('Dvd Calendar'!$E$511:$AR$511=TYPE3)*(TYPE3&lt;&gt;"")+('Dvd Calendar'!$E$511:$AR$511=TYPE4)*(TYPE4&lt;&gt;"")+('Dvd Calendar'!$E$511:$AR$511=SPECIAL_LBL)*(INC_SPECIALS="Y"))))</f>
        <v/>
      </c>
      <c r="K52" s="49">
        <f>IF($B52="",0,SUMIFS('Dvd Calendar'!$E$514:$AR$514,'Dvd Calendar'!$E$513:$AR$513,"&gt;"&amp;PROJ_FROM,'Dvd Calendar'!$E$513:$AR$513,"&lt;="&amp;DATE(YEAR_Y,12,31)))</f>
        <v/>
      </c>
      <c r="L52" s="49">
        <f>IF($B52="",0,IF((OV_SWITCH="ON")*(COUNTIFS(OVR_TICKERS,$C52,OVR_BASE,"&gt;=0")&gt;0)&gt;0,SUMIFS(OVR_BASE,OVR_TICKERS,$C52),$K52))</f>
        <v/>
      </c>
      <c r="M52" s="49">
        <f>IF($B52="",0,IF((OV_SWITCH="ON")*(COUNTIFS(OVR_TICKERS,$C52,OVR_LOW,"&gt;=0")&gt;0)&gt;0,SUMIFS(OVR_LOW,OVR_TICKERS,$C52),$L52))</f>
        <v/>
      </c>
      <c r="N52" s="49">
        <f>IF($B52="",0,IF((OV_SWITCH="ON")*(COUNTIFS(OVR_TICKERS,$C52,OVR_HIGH,"&gt;=0")&gt;0)&gt;0,SUMIFS(OVR_HIGH,OVR_TICKERS,$C52),$L52))</f>
        <v/>
      </c>
      <c r="O52" s="65">
        <f>IF($B52="","",IFERROR($B52*$G52*$J52/$B$3,""))</f>
        <v/>
      </c>
      <c r="P52" s="65">
        <f>IF($B52="","",IFERROR($B52*$G52*$L52/$B$3,""))</f>
        <v/>
      </c>
      <c r="Q52" s="41">
        <f>IF($B52="","",IFERROR($O52+$P52,""))</f>
        <v/>
      </c>
      <c r="R52" s="65">
        <f>IF($B52="","",IFERROR($O52+$B52*$G52*$M52/$B$3,""))</f>
        <v/>
      </c>
      <c r="S52" s="65">
        <f>IF($B52="","",IFERROR($O52+$B52*$G52*$N52/$B$3,""))</f>
        <v/>
      </c>
      <c r="T52" s="80">
        <f>IF($B52="","",IFERROR($Q52/$Q$5,""))</f>
        <v/>
      </c>
      <c r="U52" s="2">
        <f>IF($B52="","",IF(COUNTIFS('Dvd Calendar'!$E$512:$AR$512,"&gt;0",'Dvd Calendar'!$E$512:$AR$512,"&lt;="&amp;VAL_DATE,'Dvd Calendar'!$E$513:$AR$513,"&gt;"&amp;PROJ_FROM,'Dvd Calendar'!$E$513:$AR$513,"&lt;="&amp;DATE(YEAR_Y,12,31))-COUNTIFS('Dvd Calendar'!$E$512:$AR$512,"&gt;0",'Dvd Calendar'!$E$512:$AR$512,"&lt;="&amp;VAL_DATE,'Dvd Calendar'!$E$513:$AR$513,"&gt;"&amp;PROJ_FROM,'Dvd Calendar'!$E$513:$AR$513,"&lt;="&amp;DATE(YEAR_Y,12,31),'Dvd Calendar'!$E$514:$AR$514,"&gt;=0")&gt;0,"TBA amount - override me",IF((OV_SWITCH="ON")*(COUNTIFS(OVR_TICKERS,$C52,OVR_BASE,"&gt;=0")&gt;0)&gt;0,"overridden",IF($J52+$K52=0,"no dividend in year Y",""))))</f>
        <v/>
      </c>
      <c r="V52" s="65">
        <f>IF($B52="","",IFERROR(IF(ISNUMBER($H52),$B52*$G52*$H52/$B$3,0),""))</f>
        <v/>
      </c>
      <c r="W52" s="65">
        <f>IF($B52="","",IFERROR($B52*$G52*$K52/$B$3,""))</f>
        <v/>
      </c>
      <c r="X52" s="91">
        <f>IF($C52="","",BDP($C52,"PX_LAST"))</f>
        <v/>
      </c>
      <c r="Y52" s="65">
        <f>IF($B52="","",IFERROR($B52*$X52/$B$3,""))</f>
        <v/>
      </c>
      <c r="Z52" s="76">
        <f>IF($B52="","",IFERROR($Y52/$Y$5,""))</f>
        <v/>
      </c>
    </row>
    <row r="53">
      <c r="B53" s="89" t="n"/>
      <c r="C53" s="6">
        <f>IF($A53="","",$A53&amp;" Equity")</f>
        <v/>
      </c>
      <c r="D53" s="6">
        <f>IF($C53="","",BDP($C53,"NAME"))</f>
        <v/>
      </c>
      <c r="E53" s="6">
        <f>IF($C53="","",BDP($C53,"GICS_SECTOR_NAME"))</f>
        <v/>
      </c>
      <c r="F53" s="33">
        <f>IF($C53="","",BDP($C53,FLD_CCY))</f>
        <v/>
      </c>
      <c r="G53" s="90">
        <f>IFERROR(IF(LEN($F53)&lt;&gt;3,1,IF($F53="HKD",1,BDP(IF($F53="CNY",RMB_CROSS,$F53)&amp;"HKD Curncy","PX_LAST"))),1)</f>
        <v/>
      </c>
      <c r="H53" s="65">
        <f>IF($C53="","",BDP($C53,FLD_DPS12M))</f>
        <v/>
      </c>
      <c r="I53" s="47">
        <f>IF($C53="","",BDP($C53,FLD_YLD12M))</f>
        <v/>
      </c>
      <c r="J53" s="49">
        <f>IF($B53="",0,SUMPRODUCT(('Dvd Calendar'!$E$517:$AR$517&gt;=DATE(YEAR_Y,1,1))*('Dvd Calendar'!$E$517:$AR$517&lt;=REALIZED_TO)*'Dvd Calendar'!$E$520:$AR$520*(('Dvd Calendar'!$E$522:$AR$522=TYPE1)*(TYPE1&lt;&gt;"")+('Dvd Calendar'!$E$522:$AR$522=TYPE2)*(TYPE2&lt;&gt;"")+('Dvd Calendar'!$E$522:$AR$522=TYPE3)*(TYPE3&lt;&gt;"")+('Dvd Calendar'!$E$522:$AR$522=TYPE4)*(TYPE4&lt;&gt;"")+('Dvd Calendar'!$E$522:$AR$522=SPECIAL_LBL)*(INC_SPECIALS="Y"))))</f>
        <v/>
      </c>
      <c r="K53" s="49">
        <f>IF($B53="",0,SUMIFS('Dvd Calendar'!$E$525:$AR$525,'Dvd Calendar'!$E$524:$AR$524,"&gt;"&amp;PROJ_FROM,'Dvd Calendar'!$E$524:$AR$524,"&lt;="&amp;DATE(YEAR_Y,12,31)))</f>
        <v/>
      </c>
      <c r="L53" s="49">
        <f>IF($B53="",0,IF((OV_SWITCH="ON")*(COUNTIFS(OVR_TICKERS,$C53,OVR_BASE,"&gt;=0")&gt;0)&gt;0,SUMIFS(OVR_BASE,OVR_TICKERS,$C53),$K53))</f>
        <v/>
      </c>
      <c r="M53" s="49">
        <f>IF($B53="",0,IF((OV_SWITCH="ON")*(COUNTIFS(OVR_TICKERS,$C53,OVR_LOW,"&gt;=0")&gt;0)&gt;0,SUMIFS(OVR_LOW,OVR_TICKERS,$C53),$L53))</f>
        <v/>
      </c>
      <c r="N53" s="49">
        <f>IF($B53="",0,IF((OV_SWITCH="ON")*(COUNTIFS(OVR_TICKERS,$C53,OVR_HIGH,"&gt;=0")&gt;0)&gt;0,SUMIFS(OVR_HIGH,OVR_TICKERS,$C53),$L53))</f>
        <v/>
      </c>
      <c r="O53" s="65">
        <f>IF($B53="","",IFERROR($B53*$G53*$J53/$B$3,""))</f>
        <v/>
      </c>
      <c r="P53" s="65">
        <f>IF($B53="","",IFERROR($B53*$G53*$L53/$B$3,""))</f>
        <v/>
      </c>
      <c r="Q53" s="41">
        <f>IF($B53="","",IFERROR($O53+$P53,""))</f>
        <v/>
      </c>
      <c r="R53" s="65">
        <f>IF($B53="","",IFERROR($O53+$B53*$G53*$M53/$B$3,""))</f>
        <v/>
      </c>
      <c r="S53" s="65">
        <f>IF($B53="","",IFERROR($O53+$B53*$G53*$N53/$B$3,""))</f>
        <v/>
      </c>
      <c r="T53" s="80">
        <f>IF($B53="","",IFERROR($Q53/$Q$5,""))</f>
        <v/>
      </c>
      <c r="U53" s="2">
        <f>IF($B53="","",IF(COUNTIFS('Dvd Calendar'!$E$523:$AR$523,"&gt;0",'Dvd Calendar'!$E$523:$AR$523,"&lt;="&amp;VAL_DATE,'Dvd Calendar'!$E$524:$AR$524,"&gt;"&amp;PROJ_FROM,'Dvd Calendar'!$E$524:$AR$524,"&lt;="&amp;DATE(YEAR_Y,12,31))-COUNTIFS('Dvd Calendar'!$E$523:$AR$523,"&gt;0",'Dvd Calendar'!$E$523:$AR$523,"&lt;="&amp;VAL_DATE,'Dvd Calendar'!$E$524:$AR$524,"&gt;"&amp;PROJ_FROM,'Dvd Calendar'!$E$524:$AR$524,"&lt;="&amp;DATE(YEAR_Y,12,31),'Dvd Calendar'!$E$525:$AR$525,"&gt;=0")&gt;0,"TBA amount - override me",IF((OV_SWITCH="ON")*(COUNTIFS(OVR_TICKERS,$C53,OVR_BASE,"&gt;=0")&gt;0)&gt;0,"overridden",IF($J53+$K53=0,"no dividend in year Y",""))))</f>
        <v/>
      </c>
      <c r="V53" s="65">
        <f>IF($B53="","",IFERROR(IF(ISNUMBER($H53),$B53*$G53*$H53/$B$3,0),""))</f>
        <v/>
      </c>
      <c r="W53" s="65">
        <f>IF($B53="","",IFERROR($B53*$G53*$K53/$B$3,""))</f>
        <v/>
      </c>
      <c r="X53" s="91">
        <f>IF($C53="","",BDP($C53,"PX_LAST"))</f>
        <v/>
      </c>
      <c r="Y53" s="65">
        <f>IF($B53="","",IFERROR($B53*$X53/$B$3,""))</f>
        <v/>
      </c>
      <c r="Z53" s="76">
        <f>IF($B53="","",IFERROR($Y53/$Y$5,""))</f>
        <v/>
      </c>
    </row>
    <row r="54">
      <c r="B54" s="89" t="n"/>
      <c r="C54" s="6">
        <f>IF($A54="","",$A54&amp;" Equity")</f>
        <v/>
      </c>
      <c r="D54" s="6">
        <f>IF($C54="","",BDP($C54,"NAME"))</f>
        <v/>
      </c>
      <c r="E54" s="6">
        <f>IF($C54="","",BDP($C54,"GICS_SECTOR_NAME"))</f>
        <v/>
      </c>
      <c r="F54" s="33">
        <f>IF($C54="","",BDP($C54,FLD_CCY))</f>
        <v/>
      </c>
      <c r="G54" s="90">
        <f>IFERROR(IF(LEN($F54)&lt;&gt;3,1,IF($F54="HKD",1,BDP(IF($F54="CNY",RMB_CROSS,$F54)&amp;"HKD Curncy","PX_LAST"))),1)</f>
        <v/>
      </c>
      <c r="H54" s="65">
        <f>IF($C54="","",BDP($C54,FLD_DPS12M))</f>
        <v/>
      </c>
      <c r="I54" s="47">
        <f>IF($C54="","",BDP($C54,FLD_YLD12M))</f>
        <v/>
      </c>
      <c r="J54" s="49">
        <f>IF($B54="",0,SUMPRODUCT(('Dvd Calendar'!$E$528:$AR$528&gt;=DATE(YEAR_Y,1,1))*('Dvd Calendar'!$E$528:$AR$528&lt;=REALIZED_TO)*'Dvd Calendar'!$E$531:$AR$531*(('Dvd Calendar'!$E$533:$AR$533=TYPE1)*(TYPE1&lt;&gt;"")+('Dvd Calendar'!$E$533:$AR$533=TYPE2)*(TYPE2&lt;&gt;"")+('Dvd Calendar'!$E$533:$AR$533=TYPE3)*(TYPE3&lt;&gt;"")+('Dvd Calendar'!$E$533:$AR$533=TYPE4)*(TYPE4&lt;&gt;"")+('Dvd Calendar'!$E$533:$AR$533=SPECIAL_LBL)*(INC_SPECIALS="Y"))))</f>
        <v/>
      </c>
      <c r="K54" s="49">
        <f>IF($B54="",0,SUMIFS('Dvd Calendar'!$E$536:$AR$536,'Dvd Calendar'!$E$535:$AR$535,"&gt;"&amp;PROJ_FROM,'Dvd Calendar'!$E$535:$AR$535,"&lt;="&amp;DATE(YEAR_Y,12,31)))</f>
        <v/>
      </c>
      <c r="L54" s="49">
        <f>IF($B54="",0,IF((OV_SWITCH="ON")*(COUNTIFS(OVR_TICKERS,$C54,OVR_BASE,"&gt;=0")&gt;0)&gt;0,SUMIFS(OVR_BASE,OVR_TICKERS,$C54),$K54))</f>
        <v/>
      </c>
      <c r="M54" s="49">
        <f>IF($B54="",0,IF((OV_SWITCH="ON")*(COUNTIFS(OVR_TICKERS,$C54,OVR_LOW,"&gt;=0")&gt;0)&gt;0,SUMIFS(OVR_LOW,OVR_TICKERS,$C54),$L54))</f>
        <v/>
      </c>
      <c r="N54" s="49">
        <f>IF($B54="",0,IF((OV_SWITCH="ON")*(COUNTIFS(OVR_TICKERS,$C54,OVR_HIGH,"&gt;=0")&gt;0)&gt;0,SUMIFS(OVR_HIGH,OVR_TICKERS,$C54),$L54))</f>
        <v/>
      </c>
      <c r="O54" s="65">
        <f>IF($B54="","",IFERROR($B54*$G54*$J54/$B$3,""))</f>
        <v/>
      </c>
      <c r="P54" s="65">
        <f>IF($B54="","",IFERROR($B54*$G54*$L54/$B$3,""))</f>
        <v/>
      </c>
      <c r="Q54" s="41">
        <f>IF($B54="","",IFERROR($O54+$P54,""))</f>
        <v/>
      </c>
      <c r="R54" s="65">
        <f>IF($B54="","",IFERROR($O54+$B54*$G54*$M54/$B$3,""))</f>
        <v/>
      </c>
      <c r="S54" s="65">
        <f>IF($B54="","",IFERROR($O54+$B54*$G54*$N54/$B$3,""))</f>
        <v/>
      </c>
      <c r="T54" s="80">
        <f>IF($B54="","",IFERROR($Q54/$Q$5,""))</f>
        <v/>
      </c>
      <c r="U54" s="2">
        <f>IF($B54="","",IF(COUNTIFS('Dvd Calendar'!$E$534:$AR$534,"&gt;0",'Dvd Calendar'!$E$534:$AR$534,"&lt;="&amp;VAL_DATE,'Dvd Calendar'!$E$535:$AR$535,"&gt;"&amp;PROJ_FROM,'Dvd Calendar'!$E$535:$AR$535,"&lt;="&amp;DATE(YEAR_Y,12,31))-COUNTIFS('Dvd Calendar'!$E$534:$AR$534,"&gt;0",'Dvd Calendar'!$E$534:$AR$534,"&lt;="&amp;VAL_DATE,'Dvd Calendar'!$E$535:$AR$535,"&gt;"&amp;PROJ_FROM,'Dvd Calendar'!$E$535:$AR$535,"&lt;="&amp;DATE(YEAR_Y,12,31),'Dvd Calendar'!$E$536:$AR$536,"&gt;=0")&gt;0,"TBA amount - override me",IF((OV_SWITCH="ON")*(COUNTIFS(OVR_TICKERS,$C54,OVR_BASE,"&gt;=0")&gt;0)&gt;0,"overridden",IF($J54+$K54=0,"no dividend in year Y",""))))</f>
        <v/>
      </c>
      <c r="V54" s="65">
        <f>IF($B54="","",IFERROR(IF(ISNUMBER($H54),$B54*$G54*$H54/$B$3,0),""))</f>
        <v/>
      </c>
      <c r="W54" s="65">
        <f>IF($B54="","",IFERROR($B54*$G54*$K54/$B$3,""))</f>
        <v/>
      </c>
      <c r="X54" s="91">
        <f>IF($C54="","",BDP($C54,"PX_LAST"))</f>
        <v/>
      </c>
      <c r="Y54" s="65">
        <f>IF($B54="","",IFERROR($B54*$X54/$B$3,""))</f>
        <v/>
      </c>
      <c r="Z54" s="76">
        <f>IF($B54="","",IFERROR($Y54/$Y$5,""))</f>
        <v/>
      </c>
    </row>
    <row r="55">
      <c r="B55" s="89" t="n"/>
      <c r="C55" s="6">
        <f>IF($A55="","",$A55&amp;" Equity")</f>
        <v/>
      </c>
      <c r="D55" s="6">
        <f>IF($C55="","",BDP($C55,"NAME"))</f>
        <v/>
      </c>
      <c r="E55" s="6">
        <f>IF($C55="","",BDP($C55,"GICS_SECTOR_NAME"))</f>
        <v/>
      </c>
      <c r="F55" s="33">
        <f>IF($C55="","",BDP($C55,FLD_CCY))</f>
        <v/>
      </c>
      <c r="G55" s="90">
        <f>IFERROR(IF(LEN($F55)&lt;&gt;3,1,IF($F55="HKD",1,BDP(IF($F55="CNY",RMB_CROSS,$F55)&amp;"HKD Curncy","PX_LAST"))),1)</f>
        <v/>
      </c>
      <c r="H55" s="65">
        <f>IF($C55="","",BDP($C55,FLD_DPS12M))</f>
        <v/>
      </c>
      <c r="I55" s="47">
        <f>IF($C55="","",BDP($C55,FLD_YLD12M))</f>
        <v/>
      </c>
      <c r="J55" s="49">
        <f>IF($B55="",0,SUMPRODUCT(('Dvd Calendar'!$E$539:$AR$539&gt;=DATE(YEAR_Y,1,1))*('Dvd Calendar'!$E$539:$AR$539&lt;=REALIZED_TO)*'Dvd Calendar'!$E$542:$AR$542*(('Dvd Calendar'!$E$544:$AR$544=TYPE1)*(TYPE1&lt;&gt;"")+('Dvd Calendar'!$E$544:$AR$544=TYPE2)*(TYPE2&lt;&gt;"")+('Dvd Calendar'!$E$544:$AR$544=TYPE3)*(TYPE3&lt;&gt;"")+('Dvd Calendar'!$E$544:$AR$544=TYPE4)*(TYPE4&lt;&gt;"")+('Dvd Calendar'!$E$544:$AR$544=SPECIAL_LBL)*(INC_SPECIALS="Y"))))</f>
        <v/>
      </c>
      <c r="K55" s="49">
        <f>IF($B55="",0,SUMIFS('Dvd Calendar'!$E$547:$AR$547,'Dvd Calendar'!$E$546:$AR$546,"&gt;"&amp;PROJ_FROM,'Dvd Calendar'!$E$546:$AR$546,"&lt;="&amp;DATE(YEAR_Y,12,31)))</f>
        <v/>
      </c>
      <c r="L55" s="49">
        <f>IF($B55="",0,IF((OV_SWITCH="ON")*(COUNTIFS(OVR_TICKERS,$C55,OVR_BASE,"&gt;=0")&gt;0)&gt;0,SUMIFS(OVR_BASE,OVR_TICKERS,$C55),$K55))</f>
        <v/>
      </c>
      <c r="M55" s="49">
        <f>IF($B55="",0,IF((OV_SWITCH="ON")*(COUNTIFS(OVR_TICKERS,$C55,OVR_LOW,"&gt;=0")&gt;0)&gt;0,SUMIFS(OVR_LOW,OVR_TICKERS,$C55),$L55))</f>
        <v/>
      </c>
      <c r="N55" s="49">
        <f>IF($B55="",0,IF((OV_SWITCH="ON")*(COUNTIFS(OVR_TICKERS,$C55,OVR_HIGH,"&gt;=0")&gt;0)&gt;0,SUMIFS(OVR_HIGH,OVR_TICKERS,$C55),$L55))</f>
        <v/>
      </c>
      <c r="O55" s="65">
        <f>IF($B55="","",IFERROR($B55*$G55*$J55/$B$3,""))</f>
        <v/>
      </c>
      <c r="P55" s="65">
        <f>IF($B55="","",IFERROR($B55*$G55*$L55/$B$3,""))</f>
        <v/>
      </c>
      <c r="Q55" s="41">
        <f>IF($B55="","",IFERROR($O55+$P55,""))</f>
        <v/>
      </c>
      <c r="R55" s="65">
        <f>IF($B55="","",IFERROR($O55+$B55*$G55*$M55/$B$3,""))</f>
        <v/>
      </c>
      <c r="S55" s="65">
        <f>IF($B55="","",IFERROR($O55+$B55*$G55*$N55/$B$3,""))</f>
        <v/>
      </c>
      <c r="T55" s="80">
        <f>IF($B55="","",IFERROR($Q55/$Q$5,""))</f>
        <v/>
      </c>
      <c r="U55" s="2">
        <f>IF($B55="","",IF(COUNTIFS('Dvd Calendar'!$E$545:$AR$545,"&gt;0",'Dvd Calendar'!$E$545:$AR$545,"&lt;="&amp;VAL_DATE,'Dvd Calendar'!$E$546:$AR$546,"&gt;"&amp;PROJ_FROM,'Dvd Calendar'!$E$546:$AR$546,"&lt;="&amp;DATE(YEAR_Y,12,31))-COUNTIFS('Dvd Calendar'!$E$545:$AR$545,"&gt;0",'Dvd Calendar'!$E$545:$AR$545,"&lt;="&amp;VAL_DATE,'Dvd Calendar'!$E$546:$AR$546,"&gt;"&amp;PROJ_FROM,'Dvd Calendar'!$E$546:$AR$546,"&lt;="&amp;DATE(YEAR_Y,12,31),'Dvd Calendar'!$E$547:$AR$547,"&gt;=0")&gt;0,"TBA amount - override me",IF((OV_SWITCH="ON")*(COUNTIFS(OVR_TICKERS,$C55,OVR_BASE,"&gt;=0")&gt;0)&gt;0,"overridden",IF($J55+$K55=0,"no dividend in year Y",""))))</f>
        <v/>
      </c>
      <c r="V55" s="65">
        <f>IF($B55="","",IFERROR(IF(ISNUMBER($H55),$B55*$G55*$H55/$B$3,0),""))</f>
        <v/>
      </c>
      <c r="W55" s="65">
        <f>IF($B55="","",IFERROR($B55*$G55*$K55/$B$3,""))</f>
        <v/>
      </c>
      <c r="X55" s="91">
        <f>IF($C55="","",BDP($C55,"PX_LAST"))</f>
        <v/>
      </c>
      <c r="Y55" s="65">
        <f>IF($B55="","",IFERROR($B55*$X55/$B$3,""))</f>
        <v/>
      </c>
      <c r="Z55" s="76">
        <f>IF($B55="","",IFERROR($Y55/$Y$5,""))</f>
        <v/>
      </c>
    </row>
    <row r="56">
      <c r="B56" s="89" t="n"/>
      <c r="C56" s="6">
        <f>IF($A56="","",$A56&amp;" Equity")</f>
        <v/>
      </c>
      <c r="D56" s="6">
        <f>IF($C56="","",BDP($C56,"NAME"))</f>
        <v/>
      </c>
      <c r="E56" s="6">
        <f>IF($C56="","",BDP($C56,"GICS_SECTOR_NAME"))</f>
        <v/>
      </c>
      <c r="F56" s="33">
        <f>IF($C56="","",BDP($C56,FLD_CCY))</f>
        <v/>
      </c>
      <c r="G56" s="90">
        <f>IFERROR(IF(LEN($F56)&lt;&gt;3,1,IF($F56="HKD",1,BDP(IF($F56="CNY",RMB_CROSS,$F56)&amp;"HKD Curncy","PX_LAST"))),1)</f>
        <v/>
      </c>
      <c r="H56" s="65">
        <f>IF($C56="","",BDP($C56,FLD_DPS12M))</f>
        <v/>
      </c>
      <c r="I56" s="47">
        <f>IF($C56="","",BDP($C56,FLD_YLD12M))</f>
        <v/>
      </c>
      <c r="J56" s="49">
        <f>IF($B56="",0,SUMPRODUCT(('Dvd Calendar'!$E$550:$AR$550&gt;=DATE(YEAR_Y,1,1))*('Dvd Calendar'!$E$550:$AR$550&lt;=REALIZED_TO)*'Dvd Calendar'!$E$553:$AR$553*(('Dvd Calendar'!$E$555:$AR$555=TYPE1)*(TYPE1&lt;&gt;"")+('Dvd Calendar'!$E$555:$AR$555=TYPE2)*(TYPE2&lt;&gt;"")+('Dvd Calendar'!$E$555:$AR$555=TYPE3)*(TYPE3&lt;&gt;"")+('Dvd Calendar'!$E$555:$AR$555=TYPE4)*(TYPE4&lt;&gt;"")+('Dvd Calendar'!$E$555:$AR$555=SPECIAL_LBL)*(INC_SPECIALS="Y"))))</f>
        <v/>
      </c>
      <c r="K56" s="49">
        <f>IF($B56="",0,SUMIFS('Dvd Calendar'!$E$558:$AR$558,'Dvd Calendar'!$E$557:$AR$557,"&gt;"&amp;PROJ_FROM,'Dvd Calendar'!$E$557:$AR$557,"&lt;="&amp;DATE(YEAR_Y,12,31)))</f>
        <v/>
      </c>
      <c r="L56" s="49">
        <f>IF($B56="",0,IF((OV_SWITCH="ON")*(COUNTIFS(OVR_TICKERS,$C56,OVR_BASE,"&gt;=0")&gt;0)&gt;0,SUMIFS(OVR_BASE,OVR_TICKERS,$C56),$K56))</f>
        <v/>
      </c>
      <c r="M56" s="49">
        <f>IF($B56="",0,IF((OV_SWITCH="ON")*(COUNTIFS(OVR_TICKERS,$C56,OVR_LOW,"&gt;=0")&gt;0)&gt;0,SUMIFS(OVR_LOW,OVR_TICKERS,$C56),$L56))</f>
        <v/>
      </c>
      <c r="N56" s="49">
        <f>IF($B56="",0,IF((OV_SWITCH="ON")*(COUNTIFS(OVR_TICKERS,$C56,OVR_HIGH,"&gt;=0")&gt;0)&gt;0,SUMIFS(OVR_HIGH,OVR_TICKERS,$C56),$L56))</f>
        <v/>
      </c>
      <c r="O56" s="65">
        <f>IF($B56="","",IFERROR($B56*$G56*$J56/$B$3,""))</f>
        <v/>
      </c>
      <c r="P56" s="65">
        <f>IF($B56="","",IFERROR($B56*$G56*$L56/$B$3,""))</f>
        <v/>
      </c>
      <c r="Q56" s="41">
        <f>IF($B56="","",IFERROR($O56+$P56,""))</f>
        <v/>
      </c>
      <c r="R56" s="65">
        <f>IF($B56="","",IFERROR($O56+$B56*$G56*$M56/$B$3,""))</f>
        <v/>
      </c>
      <c r="S56" s="65">
        <f>IF($B56="","",IFERROR($O56+$B56*$G56*$N56/$B$3,""))</f>
        <v/>
      </c>
      <c r="T56" s="80">
        <f>IF($B56="","",IFERROR($Q56/$Q$5,""))</f>
        <v/>
      </c>
      <c r="U56" s="2">
        <f>IF($B56="","",IF(COUNTIFS('Dvd Calendar'!$E$556:$AR$556,"&gt;0",'Dvd Calendar'!$E$556:$AR$556,"&lt;="&amp;VAL_DATE,'Dvd Calendar'!$E$557:$AR$557,"&gt;"&amp;PROJ_FROM,'Dvd Calendar'!$E$557:$AR$557,"&lt;="&amp;DATE(YEAR_Y,12,31))-COUNTIFS('Dvd Calendar'!$E$556:$AR$556,"&gt;0",'Dvd Calendar'!$E$556:$AR$556,"&lt;="&amp;VAL_DATE,'Dvd Calendar'!$E$557:$AR$557,"&gt;"&amp;PROJ_FROM,'Dvd Calendar'!$E$557:$AR$557,"&lt;="&amp;DATE(YEAR_Y,12,31),'Dvd Calendar'!$E$558:$AR$558,"&gt;=0")&gt;0,"TBA amount - override me",IF((OV_SWITCH="ON")*(COUNTIFS(OVR_TICKERS,$C56,OVR_BASE,"&gt;=0")&gt;0)&gt;0,"overridden",IF($J56+$K56=0,"no dividend in year Y",""))))</f>
        <v/>
      </c>
      <c r="V56" s="65">
        <f>IF($B56="","",IFERROR(IF(ISNUMBER($H56),$B56*$G56*$H56/$B$3,0),""))</f>
        <v/>
      </c>
      <c r="W56" s="65">
        <f>IF($B56="","",IFERROR($B56*$G56*$K56/$B$3,""))</f>
        <v/>
      </c>
      <c r="X56" s="91">
        <f>IF($C56="","",BDP($C56,"PX_LAST"))</f>
        <v/>
      </c>
      <c r="Y56" s="65">
        <f>IF($B56="","",IFERROR($B56*$X56/$B$3,""))</f>
        <v/>
      </c>
      <c r="Z56" s="76">
        <f>IF($B56="","",IFERROR($Y56/$Y$5,""))</f>
        <v/>
      </c>
    </row>
    <row r="57">
      <c r="B57" s="89" t="n"/>
      <c r="C57" s="6">
        <f>IF($A57="","",$A57&amp;" Equity")</f>
        <v/>
      </c>
      <c r="D57" s="6">
        <f>IF($C57="","",BDP($C57,"NAME"))</f>
        <v/>
      </c>
      <c r="E57" s="6">
        <f>IF($C57="","",BDP($C57,"GICS_SECTOR_NAME"))</f>
        <v/>
      </c>
      <c r="F57" s="33">
        <f>IF($C57="","",BDP($C57,FLD_CCY))</f>
        <v/>
      </c>
      <c r="G57" s="90">
        <f>IFERROR(IF(LEN($F57)&lt;&gt;3,1,IF($F57="HKD",1,BDP(IF($F57="CNY",RMB_CROSS,$F57)&amp;"HKD Curncy","PX_LAST"))),1)</f>
        <v/>
      </c>
      <c r="H57" s="65">
        <f>IF($C57="","",BDP($C57,FLD_DPS12M))</f>
        <v/>
      </c>
      <c r="I57" s="47">
        <f>IF($C57="","",BDP($C57,FLD_YLD12M))</f>
        <v/>
      </c>
      <c r="J57" s="49">
        <f>IF($B57="",0,SUMPRODUCT(('Dvd Calendar'!$E$561:$AR$561&gt;=DATE(YEAR_Y,1,1))*('Dvd Calendar'!$E$561:$AR$561&lt;=REALIZED_TO)*'Dvd Calendar'!$E$564:$AR$564*(('Dvd Calendar'!$E$566:$AR$566=TYPE1)*(TYPE1&lt;&gt;"")+('Dvd Calendar'!$E$566:$AR$566=TYPE2)*(TYPE2&lt;&gt;"")+('Dvd Calendar'!$E$566:$AR$566=TYPE3)*(TYPE3&lt;&gt;"")+('Dvd Calendar'!$E$566:$AR$566=TYPE4)*(TYPE4&lt;&gt;"")+('Dvd Calendar'!$E$566:$AR$566=SPECIAL_LBL)*(INC_SPECIALS="Y"))))</f>
        <v/>
      </c>
      <c r="K57" s="49">
        <f>IF($B57="",0,SUMIFS('Dvd Calendar'!$E$569:$AR$569,'Dvd Calendar'!$E$568:$AR$568,"&gt;"&amp;PROJ_FROM,'Dvd Calendar'!$E$568:$AR$568,"&lt;="&amp;DATE(YEAR_Y,12,31)))</f>
        <v/>
      </c>
      <c r="L57" s="49">
        <f>IF($B57="",0,IF((OV_SWITCH="ON")*(COUNTIFS(OVR_TICKERS,$C57,OVR_BASE,"&gt;=0")&gt;0)&gt;0,SUMIFS(OVR_BASE,OVR_TICKERS,$C57),$K57))</f>
        <v/>
      </c>
      <c r="M57" s="49">
        <f>IF($B57="",0,IF((OV_SWITCH="ON")*(COUNTIFS(OVR_TICKERS,$C57,OVR_LOW,"&gt;=0")&gt;0)&gt;0,SUMIFS(OVR_LOW,OVR_TICKERS,$C57),$L57))</f>
        <v/>
      </c>
      <c r="N57" s="49">
        <f>IF($B57="",0,IF((OV_SWITCH="ON")*(COUNTIFS(OVR_TICKERS,$C57,OVR_HIGH,"&gt;=0")&gt;0)&gt;0,SUMIFS(OVR_HIGH,OVR_TICKERS,$C57),$L57))</f>
        <v/>
      </c>
      <c r="O57" s="65">
        <f>IF($B57="","",IFERROR($B57*$G57*$J57/$B$3,""))</f>
        <v/>
      </c>
      <c r="P57" s="65">
        <f>IF($B57="","",IFERROR($B57*$G57*$L57/$B$3,""))</f>
        <v/>
      </c>
      <c r="Q57" s="41">
        <f>IF($B57="","",IFERROR($O57+$P57,""))</f>
        <v/>
      </c>
      <c r="R57" s="65">
        <f>IF($B57="","",IFERROR($O57+$B57*$G57*$M57/$B$3,""))</f>
        <v/>
      </c>
      <c r="S57" s="65">
        <f>IF($B57="","",IFERROR($O57+$B57*$G57*$N57/$B$3,""))</f>
        <v/>
      </c>
      <c r="T57" s="80">
        <f>IF($B57="","",IFERROR($Q57/$Q$5,""))</f>
        <v/>
      </c>
      <c r="U57" s="2">
        <f>IF($B57="","",IF(COUNTIFS('Dvd Calendar'!$E$567:$AR$567,"&gt;0",'Dvd Calendar'!$E$567:$AR$567,"&lt;="&amp;VAL_DATE,'Dvd Calendar'!$E$568:$AR$568,"&gt;"&amp;PROJ_FROM,'Dvd Calendar'!$E$568:$AR$568,"&lt;="&amp;DATE(YEAR_Y,12,31))-COUNTIFS('Dvd Calendar'!$E$567:$AR$567,"&gt;0",'Dvd Calendar'!$E$567:$AR$567,"&lt;="&amp;VAL_DATE,'Dvd Calendar'!$E$568:$AR$568,"&gt;"&amp;PROJ_FROM,'Dvd Calendar'!$E$568:$AR$568,"&lt;="&amp;DATE(YEAR_Y,12,31),'Dvd Calendar'!$E$569:$AR$569,"&gt;=0")&gt;0,"TBA amount - override me",IF((OV_SWITCH="ON")*(COUNTIFS(OVR_TICKERS,$C57,OVR_BASE,"&gt;=0")&gt;0)&gt;0,"overridden",IF($J57+$K57=0,"no dividend in year Y",""))))</f>
        <v/>
      </c>
      <c r="V57" s="65">
        <f>IF($B57="","",IFERROR(IF(ISNUMBER($H57),$B57*$G57*$H57/$B$3,0),""))</f>
        <v/>
      </c>
      <c r="W57" s="65">
        <f>IF($B57="","",IFERROR($B57*$G57*$K57/$B$3,""))</f>
        <v/>
      </c>
      <c r="X57" s="91">
        <f>IF($C57="","",BDP($C57,"PX_LAST"))</f>
        <v/>
      </c>
      <c r="Y57" s="65">
        <f>IF($B57="","",IFERROR($B57*$X57/$B$3,""))</f>
        <v/>
      </c>
      <c r="Z57" s="76">
        <f>IF($B57="","",IFERROR($Y57/$Y$5,""))</f>
        <v/>
      </c>
    </row>
    <row r="58">
      <c r="B58" s="89" t="n"/>
      <c r="C58" s="6">
        <f>IF($A58="","",$A58&amp;" Equity")</f>
        <v/>
      </c>
      <c r="D58" s="6">
        <f>IF($C58="","",BDP($C58,"NAME"))</f>
        <v/>
      </c>
      <c r="E58" s="6">
        <f>IF($C58="","",BDP($C58,"GICS_SECTOR_NAME"))</f>
        <v/>
      </c>
      <c r="F58" s="33">
        <f>IF($C58="","",BDP($C58,FLD_CCY))</f>
        <v/>
      </c>
      <c r="G58" s="90">
        <f>IFERROR(IF(LEN($F58)&lt;&gt;3,1,IF($F58="HKD",1,BDP(IF($F58="CNY",RMB_CROSS,$F58)&amp;"HKD Curncy","PX_LAST"))),1)</f>
        <v/>
      </c>
      <c r="H58" s="65">
        <f>IF($C58="","",BDP($C58,FLD_DPS12M))</f>
        <v/>
      </c>
      <c r="I58" s="47">
        <f>IF($C58="","",BDP($C58,FLD_YLD12M))</f>
        <v/>
      </c>
      <c r="J58" s="49">
        <f>IF($B58="",0,SUMPRODUCT(('Dvd Calendar'!$E$572:$AR$572&gt;=DATE(YEAR_Y,1,1))*('Dvd Calendar'!$E$572:$AR$572&lt;=REALIZED_TO)*'Dvd Calendar'!$E$575:$AR$575*(('Dvd Calendar'!$E$577:$AR$577=TYPE1)*(TYPE1&lt;&gt;"")+('Dvd Calendar'!$E$577:$AR$577=TYPE2)*(TYPE2&lt;&gt;"")+('Dvd Calendar'!$E$577:$AR$577=TYPE3)*(TYPE3&lt;&gt;"")+('Dvd Calendar'!$E$577:$AR$577=TYPE4)*(TYPE4&lt;&gt;"")+('Dvd Calendar'!$E$577:$AR$577=SPECIAL_LBL)*(INC_SPECIALS="Y"))))</f>
        <v/>
      </c>
      <c r="K58" s="49">
        <f>IF($B58="",0,SUMIFS('Dvd Calendar'!$E$580:$AR$580,'Dvd Calendar'!$E$579:$AR$579,"&gt;"&amp;PROJ_FROM,'Dvd Calendar'!$E$579:$AR$579,"&lt;="&amp;DATE(YEAR_Y,12,31)))</f>
        <v/>
      </c>
      <c r="L58" s="49">
        <f>IF($B58="",0,IF((OV_SWITCH="ON")*(COUNTIFS(OVR_TICKERS,$C58,OVR_BASE,"&gt;=0")&gt;0)&gt;0,SUMIFS(OVR_BASE,OVR_TICKERS,$C58),$K58))</f>
        <v/>
      </c>
      <c r="M58" s="49">
        <f>IF($B58="",0,IF((OV_SWITCH="ON")*(COUNTIFS(OVR_TICKERS,$C58,OVR_LOW,"&gt;=0")&gt;0)&gt;0,SUMIFS(OVR_LOW,OVR_TICKERS,$C58),$L58))</f>
        <v/>
      </c>
      <c r="N58" s="49">
        <f>IF($B58="",0,IF((OV_SWITCH="ON")*(COUNTIFS(OVR_TICKERS,$C58,OVR_HIGH,"&gt;=0")&gt;0)&gt;0,SUMIFS(OVR_HIGH,OVR_TICKERS,$C58),$L58))</f>
        <v/>
      </c>
      <c r="O58" s="65">
        <f>IF($B58="","",IFERROR($B58*$G58*$J58/$B$3,""))</f>
        <v/>
      </c>
      <c r="P58" s="65">
        <f>IF($B58="","",IFERROR($B58*$G58*$L58/$B$3,""))</f>
        <v/>
      </c>
      <c r="Q58" s="41">
        <f>IF($B58="","",IFERROR($O58+$P58,""))</f>
        <v/>
      </c>
      <c r="R58" s="65">
        <f>IF($B58="","",IFERROR($O58+$B58*$G58*$M58/$B$3,""))</f>
        <v/>
      </c>
      <c r="S58" s="65">
        <f>IF($B58="","",IFERROR($O58+$B58*$G58*$N58/$B$3,""))</f>
        <v/>
      </c>
      <c r="T58" s="80">
        <f>IF($B58="","",IFERROR($Q58/$Q$5,""))</f>
        <v/>
      </c>
      <c r="U58" s="2">
        <f>IF($B58="","",IF(COUNTIFS('Dvd Calendar'!$E$578:$AR$578,"&gt;0",'Dvd Calendar'!$E$578:$AR$578,"&lt;="&amp;VAL_DATE,'Dvd Calendar'!$E$579:$AR$579,"&gt;"&amp;PROJ_FROM,'Dvd Calendar'!$E$579:$AR$579,"&lt;="&amp;DATE(YEAR_Y,12,31))-COUNTIFS('Dvd Calendar'!$E$578:$AR$578,"&gt;0",'Dvd Calendar'!$E$578:$AR$578,"&lt;="&amp;VAL_DATE,'Dvd Calendar'!$E$579:$AR$579,"&gt;"&amp;PROJ_FROM,'Dvd Calendar'!$E$579:$AR$579,"&lt;="&amp;DATE(YEAR_Y,12,31),'Dvd Calendar'!$E$580:$AR$580,"&gt;=0")&gt;0,"TBA amount - override me",IF((OV_SWITCH="ON")*(COUNTIFS(OVR_TICKERS,$C58,OVR_BASE,"&gt;=0")&gt;0)&gt;0,"overridden",IF($J58+$K58=0,"no dividend in year Y",""))))</f>
        <v/>
      </c>
      <c r="V58" s="65">
        <f>IF($B58="","",IFERROR(IF(ISNUMBER($H58),$B58*$G58*$H58/$B$3,0),""))</f>
        <v/>
      </c>
      <c r="W58" s="65">
        <f>IF($B58="","",IFERROR($B58*$G58*$K58/$B$3,""))</f>
        <v/>
      </c>
      <c r="X58" s="91">
        <f>IF($C58="","",BDP($C58,"PX_LAST"))</f>
        <v/>
      </c>
      <c r="Y58" s="65">
        <f>IF($B58="","",IFERROR($B58*$X58/$B$3,""))</f>
        <v/>
      </c>
      <c r="Z58" s="76">
        <f>IF($B58="","",IFERROR($Y58/$Y$5,""))</f>
        <v/>
      </c>
    </row>
    <row r="59">
      <c r="B59" s="89" t="n"/>
      <c r="C59" s="6">
        <f>IF($A59="","",$A59&amp;" Equity")</f>
        <v/>
      </c>
      <c r="D59" s="6">
        <f>IF($C59="","",BDP($C59,"NAME"))</f>
        <v/>
      </c>
      <c r="E59" s="6">
        <f>IF($C59="","",BDP($C59,"GICS_SECTOR_NAME"))</f>
        <v/>
      </c>
      <c r="F59" s="33">
        <f>IF($C59="","",BDP($C59,FLD_CCY))</f>
        <v/>
      </c>
      <c r="G59" s="90">
        <f>IFERROR(IF(LEN($F59)&lt;&gt;3,1,IF($F59="HKD",1,BDP(IF($F59="CNY",RMB_CROSS,$F59)&amp;"HKD Curncy","PX_LAST"))),1)</f>
        <v/>
      </c>
      <c r="H59" s="65">
        <f>IF($C59="","",BDP($C59,FLD_DPS12M))</f>
        <v/>
      </c>
      <c r="I59" s="47">
        <f>IF($C59="","",BDP($C59,FLD_YLD12M))</f>
        <v/>
      </c>
      <c r="J59" s="49">
        <f>IF($B59="",0,SUMPRODUCT(('Dvd Calendar'!$E$583:$AR$583&gt;=DATE(YEAR_Y,1,1))*('Dvd Calendar'!$E$583:$AR$583&lt;=REALIZED_TO)*'Dvd Calendar'!$E$586:$AR$586*(('Dvd Calendar'!$E$588:$AR$588=TYPE1)*(TYPE1&lt;&gt;"")+('Dvd Calendar'!$E$588:$AR$588=TYPE2)*(TYPE2&lt;&gt;"")+('Dvd Calendar'!$E$588:$AR$588=TYPE3)*(TYPE3&lt;&gt;"")+('Dvd Calendar'!$E$588:$AR$588=TYPE4)*(TYPE4&lt;&gt;"")+('Dvd Calendar'!$E$588:$AR$588=SPECIAL_LBL)*(INC_SPECIALS="Y"))))</f>
        <v/>
      </c>
      <c r="K59" s="49">
        <f>IF($B59="",0,SUMIFS('Dvd Calendar'!$E$591:$AR$591,'Dvd Calendar'!$E$590:$AR$590,"&gt;"&amp;PROJ_FROM,'Dvd Calendar'!$E$590:$AR$590,"&lt;="&amp;DATE(YEAR_Y,12,31)))</f>
        <v/>
      </c>
      <c r="L59" s="49">
        <f>IF($B59="",0,IF((OV_SWITCH="ON")*(COUNTIFS(OVR_TICKERS,$C59,OVR_BASE,"&gt;=0")&gt;0)&gt;0,SUMIFS(OVR_BASE,OVR_TICKERS,$C59),$K59))</f>
        <v/>
      </c>
      <c r="M59" s="49">
        <f>IF($B59="",0,IF((OV_SWITCH="ON")*(COUNTIFS(OVR_TICKERS,$C59,OVR_LOW,"&gt;=0")&gt;0)&gt;0,SUMIFS(OVR_LOW,OVR_TICKERS,$C59),$L59))</f>
        <v/>
      </c>
      <c r="N59" s="49">
        <f>IF($B59="",0,IF((OV_SWITCH="ON")*(COUNTIFS(OVR_TICKERS,$C59,OVR_HIGH,"&gt;=0")&gt;0)&gt;0,SUMIFS(OVR_HIGH,OVR_TICKERS,$C59),$L59))</f>
        <v/>
      </c>
      <c r="O59" s="65">
        <f>IF($B59="","",IFERROR($B59*$G59*$J59/$B$3,""))</f>
        <v/>
      </c>
      <c r="P59" s="65">
        <f>IF($B59="","",IFERROR($B59*$G59*$L59/$B$3,""))</f>
        <v/>
      </c>
      <c r="Q59" s="41">
        <f>IF($B59="","",IFERROR($O59+$P59,""))</f>
        <v/>
      </c>
      <c r="R59" s="65">
        <f>IF($B59="","",IFERROR($O59+$B59*$G59*$M59/$B$3,""))</f>
        <v/>
      </c>
      <c r="S59" s="65">
        <f>IF($B59="","",IFERROR($O59+$B59*$G59*$N59/$B$3,""))</f>
        <v/>
      </c>
      <c r="T59" s="80">
        <f>IF($B59="","",IFERROR($Q59/$Q$5,""))</f>
        <v/>
      </c>
      <c r="U59" s="2">
        <f>IF($B59="","",IF(COUNTIFS('Dvd Calendar'!$E$589:$AR$589,"&gt;0",'Dvd Calendar'!$E$589:$AR$589,"&lt;="&amp;VAL_DATE,'Dvd Calendar'!$E$590:$AR$590,"&gt;"&amp;PROJ_FROM,'Dvd Calendar'!$E$590:$AR$590,"&lt;="&amp;DATE(YEAR_Y,12,31))-COUNTIFS('Dvd Calendar'!$E$589:$AR$589,"&gt;0",'Dvd Calendar'!$E$589:$AR$589,"&lt;="&amp;VAL_DATE,'Dvd Calendar'!$E$590:$AR$590,"&gt;"&amp;PROJ_FROM,'Dvd Calendar'!$E$590:$AR$590,"&lt;="&amp;DATE(YEAR_Y,12,31),'Dvd Calendar'!$E$591:$AR$591,"&gt;=0")&gt;0,"TBA amount - override me",IF((OV_SWITCH="ON")*(COUNTIFS(OVR_TICKERS,$C59,OVR_BASE,"&gt;=0")&gt;0)&gt;0,"overridden",IF($J59+$K59=0,"no dividend in year Y",""))))</f>
        <v/>
      </c>
      <c r="V59" s="65">
        <f>IF($B59="","",IFERROR(IF(ISNUMBER($H59),$B59*$G59*$H59/$B$3,0),""))</f>
        <v/>
      </c>
      <c r="W59" s="65">
        <f>IF($B59="","",IFERROR($B59*$G59*$K59/$B$3,""))</f>
        <v/>
      </c>
      <c r="X59" s="91">
        <f>IF($C59="","",BDP($C59,"PX_LAST"))</f>
        <v/>
      </c>
      <c r="Y59" s="65">
        <f>IF($B59="","",IFERROR($B59*$X59/$B$3,""))</f>
        <v/>
      </c>
      <c r="Z59" s="76">
        <f>IF($B59="","",IFERROR($Y59/$Y$5,""))</f>
        <v/>
      </c>
    </row>
    <row r="60">
      <c r="B60" s="89" t="n"/>
      <c r="C60" s="6">
        <f>IF($A60="","",$A60&amp;" Equity")</f>
        <v/>
      </c>
      <c r="D60" s="6">
        <f>IF($C60="","",BDP($C60,"NAME"))</f>
        <v/>
      </c>
      <c r="E60" s="6">
        <f>IF($C60="","",BDP($C60,"GICS_SECTOR_NAME"))</f>
        <v/>
      </c>
      <c r="F60" s="33">
        <f>IF($C60="","",BDP($C60,FLD_CCY))</f>
        <v/>
      </c>
      <c r="G60" s="90">
        <f>IFERROR(IF(LEN($F60)&lt;&gt;3,1,IF($F60="HKD",1,BDP(IF($F60="CNY",RMB_CROSS,$F60)&amp;"HKD Curncy","PX_LAST"))),1)</f>
        <v/>
      </c>
      <c r="H60" s="65">
        <f>IF($C60="","",BDP($C60,FLD_DPS12M))</f>
        <v/>
      </c>
      <c r="I60" s="47">
        <f>IF($C60="","",BDP($C60,FLD_YLD12M))</f>
        <v/>
      </c>
      <c r="J60" s="49">
        <f>IF($B60="",0,SUMPRODUCT(('Dvd Calendar'!$E$594:$AR$594&gt;=DATE(YEAR_Y,1,1))*('Dvd Calendar'!$E$594:$AR$594&lt;=REALIZED_TO)*'Dvd Calendar'!$E$597:$AR$597*(('Dvd Calendar'!$E$599:$AR$599=TYPE1)*(TYPE1&lt;&gt;"")+('Dvd Calendar'!$E$599:$AR$599=TYPE2)*(TYPE2&lt;&gt;"")+('Dvd Calendar'!$E$599:$AR$599=TYPE3)*(TYPE3&lt;&gt;"")+('Dvd Calendar'!$E$599:$AR$599=TYPE4)*(TYPE4&lt;&gt;"")+('Dvd Calendar'!$E$599:$AR$599=SPECIAL_LBL)*(INC_SPECIALS="Y"))))</f>
        <v/>
      </c>
      <c r="K60" s="49">
        <f>IF($B60="",0,SUMIFS('Dvd Calendar'!$E$602:$AR$602,'Dvd Calendar'!$E$601:$AR$601,"&gt;"&amp;PROJ_FROM,'Dvd Calendar'!$E$601:$AR$601,"&lt;="&amp;DATE(YEAR_Y,12,31)))</f>
        <v/>
      </c>
      <c r="L60" s="49">
        <f>IF($B60="",0,IF((OV_SWITCH="ON")*(COUNTIFS(OVR_TICKERS,$C60,OVR_BASE,"&gt;=0")&gt;0)&gt;0,SUMIFS(OVR_BASE,OVR_TICKERS,$C60),$K60))</f>
        <v/>
      </c>
      <c r="M60" s="49">
        <f>IF($B60="",0,IF((OV_SWITCH="ON")*(COUNTIFS(OVR_TICKERS,$C60,OVR_LOW,"&gt;=0")&gt;0)&gt;0,SUMIFS(OVR_LOW,OVR_TICKERS,$C60),$L60))</f>
        <v/>
      </c>
      <c r="N60" s="49">
        <f>IF($B60="",0,IF((OV_SWITCH="ON")*(COUNTIFS(OVR_TICKERS,$C60,OVR_HIGH,"&gt;=0")&gt;0)&gt;0,SUMIFS(OVR_HIGH,OVR_TICKERS,$C60),$L60))</f>
        <v/>
      </c>
      <c r="O60" s="65">
        <f>IF($B60="","",IFERROR($B60*$G60*$J60/$B$3,""))</f>
        <v/>
      </c>
      <c r="P60" s="65">
        <f>IF($B60="","",IFERROR($B60*$G60*$L60/$B$3,""))</f>
        <v/>
      </c>
      <c r="Q60" s="41">
        <f>IF($B60="","",IFERROR($O60+$P60,""))</f>
        <v/>
      </c>
      <c r="R60" s="65">
        <f>IF($B60="","",IFERROR($O60+$B60*$G60*$M60/$B$3,""))</f>
        <v/>
      </c>
      <c r="S60" s="65">
        <f>IF($B60="","",IFERROR($O60+$B60*$G60*$N60/$B$3,""))</f>
        <v/>
      </c>
      <c r="T60" s="80">
        <f>IF($B60="","",IFERROR($Q60/$Q$5,""))</f>
        <v/>
      </c>
      <c r="U60" s="2">
        <f>IF($B60="","",IF(COUNTIFS('Dvd Calendar'!$E$600:$AR$600,"&gt;0",'Dvd Calendar'!$E$600:$AR$600,"&lt;="&amp;VAL_DATE,'Dvd Calendar'!$E$601:$AR$601,"&gt;"&amp;PROJ_FROM,'Dvd Calendar'!$E$601:$AR$601,"&lt;="&amp;DATE(YEAR_Y,12,31))-COUNTIFS('Dvd Calendar'!$E$600:$AR$600,"&gt;0",'Dvd Calendar'!$E$600:$AR$600,"&lt;="&amp;VAL_DATE,'Dvd Calendar'!$E$601:$AR$601,"&gt;"&amp;PROJ_FROM,'Dvd Calendar'!$E$601:$AR$601,"&lt;="&amp;DATE(YEAR_Y,12,31),'Dvd Calendar'!$E$602:$AR$602,"&gt;=0")&gt;0,"TBA amount - override me",IF((OV_SWITCH="ON")*(COUNTIFS(OVR_TICKERS,$C60,OVR_BASE,"&gt;=0")&gt;0)&gt;0,"overridden",IF($J60+$K60=0,"no dividend in year Y",""))))</f>
        <v/>
      </c>
      <c r="V60" s="65">
        <f>IF($B60="","",IFERROR(IF(ISNUMBER($H60),$B60*$G60*$H60/$B$3,0),""))</f>
        <v/>
      </c>
      <c r="W60" s="65">
        <f>IF($B60="","",IFERROR($B60*$G60*$K60/$B$3,""))</f>
        <v/>
      </c>
      <c r="X60" s="91">
        <f>IF($C60="","",BDP($C60,"PX_LAST"))</f>
        <v/>
      </c>
      <c r="Y60" s="65">
        <f>IF($B60="","",IFERROR($B60*$X60/$B$3,""))</f>
        <v/>
      </c>
      <c r="Z60" s="76">
        <f>IF($B60="","",IFERROR($Y60/$Y$5,""))</f>
        <v/>
      </c>
    </row>
    <row r="61">
      <c r="B61" s="89" t="n"/>
      <c r="C61" s="6">
        <f>IF($A61="","",$A61&amp;" Equity")</f>
        <v/>
      </c>
      <c r="D61" s="6">
        <f>IF($C61="","",BDP($C61,"NAME"))</f>
        <v/>
      </c>
      <c r="E61" s="6">
        <f>IF($C61="","",BDP($C61,"GICS_SECTOR_NAME"))</f>
        <v/>
      </c>
      <c r="F61" s="33">
        <f>IF($C61="","",BDP($C61,FLD_CCY))</f>
        <v/>
      </c>
      <c r="G61" s="90">
        <f>IFERROR(IF(LEN($F61)&lt;&gt;3,1,IF($F61="HKD",1,BDP(IF($F61="CNY",RMB_CROSS,$F61)&amp;"HKD Curncy","PX_LAST"))),1)</f>
        <v/>
      </c>
      <c r="H61" s="65">
        <f>IF($C61="","",BDP($C61,FLD_DPS12M))</f>
        <v/>
      </c>
      <c r="I61" s="47">
        <f>IF($C61="","",BDP($C61,FLD_YLD12M))</f>
        <v/>
      </c>
      <c r="J61" s="49">
        <f>IF($B61="",0,SUMPRODUCT(('Dvd Calendar'!$E$605:$AR$605&gt;=DATE(YEAR_Y,1,1))*('Dvd Calendar'!$E$605:$AR$605&lt;=REALIZED_TO)*'Dvd Calendar'!$E$608:$AR$608*(('Dvd Calendar'!$E$610:$AR$610=TYPE1)*(TYPE1&lt;&gt;"")+('Dvd Calendar'!$E$610:$AR$610=TYPE2)*(TYPE2&lt;&gt;"")+('Dvd Calendar'!$E$610:$AR$610=TYPE3)*(TYPE3&lt;&gt;"")+('Dvd Calendar'!$E$610:$AR$610=TYPE4)*(TYPE4&lt;&gt;"")+('Dvd Calendar'!$E$610:$AR$610=SPECIAL_LBL)*(INC_SPECIALS="Y"))))</f>
        <v/>
      </c>
      <c r="K61" s="49">
        <f>IF($B61="",0,SUMIFS('Dvd Calendar'!$E$613:$AR$613,'Dvd Calendar'!$E$612:$AR$612,"&gt;"&amp;PROJ_FROM,'Dvd Calendar'!$E$612:$AR$612,"&lt;="&amp;DATE(YEAR_Y,12,31)))</f>
        <v/>
      </c>
      <c r="L61" s="49">
        <f>IF($B61="",0,IF((OV_SWITCH="ON")*(COUNTIFS(OVR_TICKERS,$C61,OVR_BASE,"&gt;=0")&gt;0)&gt;0,SUMIFS(OVR_BASE,OVR_TICKERS,$C61),$K61))</f>
        <v/>
      </c>
      <c r="M61" s="49">
        <f>IF($B61="",0,IF((OV_SWITCH="ON")*(COUNTIFS(OVR_TICKERS,$C61,OVR_LOW,"&gt;=0")&gt;0)&gt;0,SUMIFS(OVR_LOW,OVR_TICKERS,$C61),$L61))</f>
        <v/>
      </c>
      <c r="N61" s="49">
        <f>IF($B61="",0,IF((OV_SWITCH="ON")*(COUNTIFS(OVR_TICKERS,$C61,OVR_HIGH,"&gt;=0")&gt;0)&gt;0,SUMIFS(OVR_HIGH,OVR_TICKERS,$C61),$L61))</f>
        <v/>
      </c>
      <c r="O61" s="65">
        <f>IF($B61="","",IFERROR($B61*$G61*$J61/$B$3,""))</f>
        <v/>
      </c>
      <c r="P61" s="65">
        <f>IF($B61="","",IFERROR($B61*$G61*$L61/$B$3,""))</f>
        <v/>
      </c>
      <c r="Q61" s="41">
        <f>IF($B61="","",IFERROR($O61+$P61,""))</f>
        <v/>
      </c>
      <c r="R61" s="65">
        <f>IF($B61="","",IFERROR($O61+$B61*$G61*$M61/$B$3,""))</f>
        <v/>
      </c>
      <c r="S61" s="65">
        <f>IF($B61="","",IFERROR($O61+$B61*$G61*$N61/$B$3,""))</f>
        <v/>
      </c>
      <c r="T61" s="80">
        <f>IF($B61="","",IFERROR($Q61/$Q$5,""))</f>
        <v/>
      </c>
      <c r="U61" s="2">
        <f>IF($B61="","",IF(COUNTIFS('Dvd Calendar'!$E$611:$AR$611,"&gt;0",'Dvd Calendar'!$E$611:$AR$611,"&lt;="&amp;VAL_DATE,'Dvd Calendar'!$E$612:$AR$612,"&gt;"&amp;PROJ_FROM,'Dvd Calendar'!$E$612:$AR$612,"&lt;="&amp;DATE(YEAR_Y,12,31))-COUNTIFS('Dvd Calendar'!$E$611:$AR$611,"&gt;0",'Dvd Calendar'!$E$611:$AR$611,"&lt;="&amp;VAL_DATE,'Dvd Calendar'!$E$612:$AR$612,"&gt;"&amp;PROJ_FROM,'Dvd Calendar'!$E$612:$AR$612,"&lt;="&amp;DATE(YEAR_Y,12,31),'Dvd Calendar'!$E$613:$AR$613,"&gt;=0")&gt;0,"TBA amount - override me",IF((OV_SWITCH="ON")*(COUNTIFS(OVR_TICKERS,$C61,OVR_BASE,"&gt;=0")&gt;0)&gt;0,"overridden",IF($J61+$K61=0,"no dividend in year Y",""))))</f>
        <v/>
      </c>
      <c r="V61" s="65">
        <f>IF($B61="","",IFERROR(IF(ISNUMBER($H61),$B61*$G61*$H61/$B$3,0),""))</f>
        <v/>
      </c>
      <c r="W61" s="65">
        <f>IF($B61="","",IFERROR($B61*$G61*$K61/$B$3,""))</f>
        <v/>
      </c>
      <c r="X61" s="91">
        <f>IF($C61="","",BDP($C61,"PX_LAST"))</f>
        <v/>
      </c>
      <c r="Y61" s="65">
        <f>IF($B61="","",IFERROR($B61*$X61/$B$3,""))</f>
        <v/>
      </c>
      <c r="Z61" s="76">
        <f>IF($B61="","",IFERROR($Y61/$Y$5,""))</f>
        <v/>
      </c>
    </row>
    <row r="62">
      <c r="B62" s="89" t="n"/>
      <c r="C62" s="6">
        <f>IF($A62="","",$A62&amp;" Equity")</f>
        <v/>
      </c>
      <c r="D62" s="6">
        <f>IF($C62="","",BDP($C62,"NAME"))</f>
        <v/>
      </c>
      <c r="E62" s="6">
        <f>IF($C62="","",BDP($C62,"GICS_SECTOR_NAME"))</f>
        <v/>
      </c>
      <c r="F62" s="33">
        <f>IF($C62="","",BDP($C62,FLD_CCY))</f>
        <v/>
      </c>
      <c r="G62" s="90">
        <f>IFERROR(IF(LEN($F62)&lt;&gt;3,1,IF($F62="HKD",1,BDP(IF($F62="CNY",RMB_CROSS,$F62)&amp;"HKD Curncy","PX_LAST"))),1)</f>
        <v/>
      </c>
      <c r="H62" s="65">
        <f>IF($C62="","",BDP($C62,FLD_DPS12M))</f>
        <v/>
      </c>
      <c r="I62" s="47">
        <f>IF($C62="","",BDP($C62,FLD_YLD12M))</f>
        <v/>
      </c>
      <c r="J62" s="49">
        <f>IF($B62="",0,SUMPRODUCT(('Dvd Calendar'!$E$616:$AR$616&gt;=DATE(YEAR_Y,1,1))*('Dvd Calendar'!$E$616:$AR$616&lt;=REALIZED_TO)*'Dvd Calendar'!$E$619:$AR$619*(('Dvd Calendar'!$E$621:$AR$621=TYPE1)*(TYPE1&lt;&gt;"")+('Dvd Calendar'!$E$621:$AR$621=TYPE2)*(TYPE2&lt;&gt;"")+('Dvd Calendar'!$E$621:$AR$621=TYPE3)*(TYPE3&lt;&gt;"")+('Dvd Calendar'!$E$621:$AR$621=TYPE4)*(TYPE4&lt;&gt;"")+('Dvd Calendar'!$E$621:$AR$621=SPECIAL_LBL)*(INC_SPECIALS="Y"))))</f>
        <v/>
      </c>
      <c r="K62" s="49">
        <f>IF($B62="",0,SUMIFS('Dvd Calendar'!$E$624:$AR$624,'Dvd Calendar'!$E$623:$AR$623,"&gt;"&amp;PROJ_FROM,'Dvd Calendar'!$E$623:$AR$623,"&lt;="&amp;DATE(YEAR_Y,12,31)))</f>
        <v/>
      </c>
      <c r="L62" s="49">
        <f>IF($B62="",0,IF((OV_SWITCH="ON")*(COUNTIFS(OVR_TICKERS,$C62,OVR_BASE,"&gt;=0")&gt;0)&gt;0,SUMIFS(OVR_BASE,OVR_TICKERS,$C62),$K62))</f>
        <v/>
      </c>
      <c r="M62" s="49">
        <f>IF($B62="",0,IF((OV_SWITCH="ON")*(COUNTIFS(OVR_TICKERS,$C62,OVR_LOW,"&gt;=0")&gt;0)&gt;0,SUMIFS(OVR_LOW,OVR_TICKERS,$C62),$L62))</f>
        <v/>
      </c>
      <c r="N62" s="49">
        <f>IF($B62="",0,IF((OV_SWITCH="ON")*(COUNTIFS(OVR_TICKERS,$C62,OVR_HIGH,"&gt;=0")&gt;0)&gt;0,SUMIFS(OVR_HIGH,OVR_TICKERS,$C62),$L62))</f>
        <v/>
      </c>
      <c r="O62" s="65">
        <f>IF($B62="","",IFERROR($B62*$G62*$J62/$B$3,""))</f>
        <v/>
      </c>
      <c r="P62" s="65">
        <f>IF($B62="","",IFERROR($B62*$G62*$L62/$B$3,""))</f>
        <v/>
      </c>
      <c r="Q62" s="41">
        <f>IF($B62="","",IFERROR($O62+$P62,""))</f>
        <v/>
      </c>
      <c r="R62" s="65">
        <f>IF($B62="","",IFERROR($O62+$B62*$G62*$M62/$B$3,""))</f>
        <v/>
      </c>
      <c r="S62" s="65">
        <f>IF($B62="","",IFERROR($O62+$B62*$G62*$N62/$B$3,""))</f>
        <v/>
      </c>
      <c r="T62" s="80">
        <f>IF($B62="","",IFERROR($Q62/$Q$5,""))</f>
        <v/>
      </c>
      <c r="U62" s="2">
        <f>IF($B62="","",IF(COUNTIFS('Dvd Calendar'!$E$622:$AR$622,"&gt;0",'Dvd Calendar'!$E$622:$AR$622,"&lt;="&amp;VAL_DATE,'Dvd Calendar'!$E$623:$AR$623,"&gt;"&amp;PROJ_FROM,'Dvd Calendar'!$E$623:$AR$623,"&lt;="&amp;DATE(YEAR_Y,12,31))-COUNTIFS('Dvd Calendar'!$E$622:$AR$622,"&gt;0",'Dvd Calendar'!$E$622:$AR$622,"&lt;="&amp;VAL_DATE,'Dvd Calendar'!$E$623:$AR$623,"&gt;"&amp;PROJ_FROM,'Dvd Calendar'!$E$623:$AR$623,"&lt;="&amp;DATE(YEAR_Y,12,31),'Dvd Calendar'!$E$624:$AR$624,"&gt;=0")&gt;0,"TBA amount - override me",IF((OV_SWITCH="ON")*(COUNTIFS(OVR_TICKERS,$C62,OVR_BASE,"&gt;=0")&gt;0)&gt;0,"overridden",IF($J62+$K62=0,"no dividend in year Y",""))))</f>
        <v/>
      </c>
      <c r="V62" s="65">
        <f>IF($B62="","",IFERROR(IF(ISNUMBER($H62),$B62*$G62*$H62/$B$3,0),""))</f>
        <v/>
      </c>
      <c r="W62" s="65">
        <f>IF($B62="","",IFERROR($B62*$G62*$K62/$B$3,""))</f>
        <v/>
      </c>
      <c r="X62" s="91">
        <f>IF($C62="","",BDP($C62,"PX_LAST"))</f>
        <v/>
      </c>
      <c r="Y62" s="65">
        <f>IF($B62="","",IFERROR($B62*$X62/$B$3,""))</f>
        <v/>
      </c>
      <c r="Z62" s="76">
        <f>IF($B62="","",IFERROR($Y62/$Y$5,""))</f>
        <v/>
      </c>
    </row>
    <row r="63">
      <c r="B63" s="89" t="n"/>
      <c r="C63" s="6">
        <f>IF($A63="","",$A63&amp;" Equity")</f>
        <v/>
      </c>
      <c r="D63" s="6">
        <f>IF($C63="","",BDP($C63,"NAME"))</f>
        <v/>
      </c>
      <c r="E63" s="6">
        <f>IF($C63="","",BDP($C63,"GICS_SECTOR_NAME"))</f>
        <v/>
      </c>
      <c r="F63" s="33">
        <f>IF($C63="","",BDP($C63,FLD_CCY))</f>
        <v/>
      </c>
      <c r="G63" s="90">
        <f>IFERROR(IF(LEN($F63)&lt;&gt;3,1,IF($F63="HKD",1,BDP(IF($F63="CNY",RMB_CROSS,$F63)&amp;"HKD Curncy","PX_LAST"))),1)</f>
        <v/>
      </c>
      <c r="H63" s="65">
        <f>IF($C63="","",BDP($C63,FLD_DPS12M))</f>
        <v/>
      </c>
      <c r="I63" s="47">
        <f>IF($C63="","",BDP($C63,FLD_YLD12M))</f>
        <v/>
      </c>
      <c r="J63" s="49">
        <f>IF($B63="",0,SUMPRODUCT(('Dvd Calendar'!$E$627:$AR$627&gt;=DATE(YEAR_Y,1,1))*('Dvd Calendar'!$E$627:$AR$627&lt;=REALIZED_TO)*'Dvd Calendar'!$E$630:$AR$630*(('Dvd Calendar'!$E$632:$AR$632=TYPE1)*(TYPE1&lt;&gt;"")+('Dvd Calendar'!$E$632:$AR$632=TYPE2)*(TYPE2&lt;&gt;"")+('Dvd Calendar'!$E$632:$AR$632=TYPE3)*(TYPE3&lt;&gt;"")+('Dvd Calendar'!$E$632:$AR$632=TYPE4)*(TYPE4&lt;&gt;"")+('Dvd Calendar'!$E$632:$AR$632=SPECIAL_LBL)*(INC_SPECIALS="Y"))))</f>
        <v/>
      </c>
      <c r="K63" s="49">
        <f>IF($B63="",0,SUMIFS('Dvd Calendar'!$E$635:$AR$635,'Dvd Calendar'!$E$634:$AR$634,"&gt;"&amp;PROJ_FROM,'Dvd Calendar'!$E$634:$AR$634,"&lt;="&amp;DATE(YEAR_Y,12,31)))</f>
        <v/>
      </c>
      <c r="L63" s="49">
        <f>IF($B63="",0,IF((OV_SWITCH="ON")*(COUNTIFS(OVR_TICKERS,$C63,OVR_BASE,"&gt;=0")&gt;0)&gt;0,SUMIFS(OVR_BASE,OVR_TICKERS,$C63),$K63))</f>
        <v/>
      </c>
      <c r="M63" s="49">
        <f>IF($B63="",0,IF((OV_SWITCH="ON")*(COUNTIFS(OVR_TICKERS,$C63,OVR_LOW,"&gt;=0")&gt;0)&gt;0,SUMIFS(OVR_LOW,OVR_TICKERS,$C63),$L63))</f>
        <v/>
      </c>
      <c r="N63" s="49">
        <f>IF($B63="",0,IF((OV_SWITCH="ON")*(COUNTIFS(OVR_TICKERS,$C63,OVR_HIGH,"&gt;=0")&gt;0)&gt;0,SUMIFS(OVR_HIGH,OVR_TICKERS,$C63),$L63))</f>
        <v/>
      </c>
      <c r="O63" s="65">
        <f>IF($B63="","",IFERROR($B63*$G63*$J63/$B$3,""))</f>
        <v/>
      </c>
      <c r="P63" s="65">
        <f>IF($B63="","",IFERROR($B63*$G63*$L63/$B$3,""))</f>
        <v/>
      </c>
      <c r="Q63" s="41">
        <f>IF($B63="","",IFERROR($O63+$P63,""))</f>
        <v/>
      </c>
      <c r="R63" s="65">
        <f>IF($B63="","",IFERROR($O63+$B63*$G63*$M63/$B$3,""))</f>
        <v/>
      </c>
      <c r="S63" s="65">
        <f>IF($B63="","",IFERROR($O63+$B63*$G63*$N63/$B$3,""))</f>
        <v/>
      </c>
      <c r="T63" s="80">
        <f>IF($B63="","",IFERROR($Q63/$Q$5,""))</f>
        <v/>
      </c>
      <c r="U63" s="2">
        <f>IF($B63="","",IF(COUNTIFS('Dvd Calendar'!$E$633:$AR$633,"&gt;0",'Dvd Calendar'!$E$633:$AR$633,"&lt;="&amp;VAL_DATE,'Dvd Calendar'!$E$634:$AR$634,"&gt;"&amp;PROJ_FROM,'Dvd Calendar'!$E$634:$AR$634,"&lt;="&amp;DATE(YEAR_Y,12,31))-COUNTIFS('Dvd Calendar'!$E$633:$AR$633,"&gt;0",'Dvd Calendar'!$E$633:$AR$633,"&lt;="&amp;VAL_DATE,'Dvd Calendar'!$E$634:$AR$634,"&gt;"&amp;PROJ_FROM,'Dvd Calendar'!$E$634:$AR$634,"&lt;="&amp;DATE(YEAR_Y,12,31),'Dvd Calendar'!$E$635:$AR$635,"&gt;=0")&gt;0,"TBA amount - override me",IF((OV_SWITCH="ON")*(COUNTIFS(OVR_TICKERS,$C63,OVR_BASE,"&gt;=0")&gt;0)&gt;0,"overridden",IF($J63+$K63=0,"no dividend in year Y",""))))</f>
        <v/>
      </c>
      <c r="V63" s="65">
        <f>IF($B63="","",IFERROR(IF(ISNUMBER($H63),$B63*$G63*$H63/$B$3,0),""))</f>
        <v/>
      </c>
      <c r="W63" s="65">
        <f>IF($B63="","",IFERROR($B63*$G63*$K63/$B$3,""))</f>
        <v/>
      </c>
      <c r="X63" s="91">
        <f>IF($C63="","",BDP($C63,"PX_LAST"))</f>
        <v/>
      </c>
      <c r="Y63" s="65">
        <f>IF($B63="","",IFERROR($B63*$X63/$B$3,""))</f>
        <v/>
      </c>
      <c r="Z63" s="76">
        <f>IF($B63="","",IFERROR($Y63/$Y$5,""))</f>
        <v/>
      </c>
    </row>
    <row r="64">
      <c r="B64" s="89" t="n"/>
      <c r="C64" s="6">
        <f>IF($A64="","",$A64&amp;" Equity")</f>
        <v/>
      </c>
      <c r="D64" s="6">
        <f>IF($C64="","",BDP($C64,"NAME"))</f>
        <v/>
      </c>
      <c r="E64" s="6">
        <f>IF($C64="","",BDP($C64,"GICS_SECTOR_NAME"))</f>
        <v/>
      </c>
      <c r="F64" s="33">
        <f>IF($C64="","",BDP($C64,FLD_CCY))</f>
        <v/>
      </c>
      <c r="G64" s="90">
        <f>IFERROR(IF(LEN($F64)&lt;&gt;3,1,IF($F64="HKD",1,BDP(IF($F64="CNY",RMB_CROSS,$F64)&amp;"HKD Curncy","PX_LAST"))),1)</f>
        <v/>
      </c>
      <c r="H64" s="65">
        <f>IF($C64="","",BDP($C64,FLD_DPS12M))</f>
        <v/>
      </c>
      <c r="I64" s="47">
        <f>IF($C64="","",BDP($C64,FLD_YLD12M))</f>
        <v/>
      </c>
      <c r="J64" s="49">
        <f>IF($B64="",0,SUMPRODUCT(('Dvd Calendar'!$E$638:$AR$638&gt;=DATE(YEAR_Y,1,1))*('Dvd Calendar'!$E$638:$AR$638&lt;=REALIZED_TO)*'Dvd Calendar'!$E$641:$AR$641*(('Dvd Calendar'!$E$643:$AR$643=TYPE1)*(TYPE1&lt;&gt;"")+('Dvd Calendar'!$E$643:$AR$643=TYPE2)*(TYPE2&lt;&gt;"")+('Dvd Calendar'!$E$643:$AR$643=TYPE3)*(TYPE3&lt;&gt;"")+('Dvd Calendar'!$E$643:$AR$643=TYPE4)*(TYPE4&lt;&gt;"")+('Dvd Calendar'!$E$643:$AR$643=SPECIAL_LBL)*(INC_SPECIALS="Y"))))</f>
        <v/>
      </c>
      <c r="K64" s="49">
        <f>IF($B64="",0,SUMIFS('Dvd Calendar'!$E$646:$AR$646,'Dvd Calendar'!$E$645:$AR$645,"&gt;"&amp;PROJ_FROM,'Dvd Calendar'!$E$645:$AR$645,"&lt;="&amp;DATE(YEAR_Y,12,31)))</f>
        <v/>
      </c>
      <c r="L64" s="49">
        <f>IF($B64="",0,IF((OV_SWITCH="ON")*(COUNTIFS(OVR_TICKERS,$C64,OVR_BASE,"&gt;=0")&gt;0)&gt;0,SUMIFS(OVR_BASE,OVR_TICKERS,$C64),$K64))</f>
        <v/>
      </c>
      <c r="M64" s="49">
        <f>IF($B64="",0,IF((OV_SWITCH="ON")*(COUNTIFS(OVR_TICKERS,$C64,OVR_LOW,"&gt;=0")&gt;0)&gt;0,SUMIFS(OVR_LOW,OVR_TICKERS,$C64),$L64))</f>
        <v/>
      </c>
      <c r="N64" s="49">
        <f>IF($B64="",0,IF((OV_SWITCH="ON")*(COUNTIFS(OVR_TICKERS,$C64,OVR_HIGH,"&gt;=0")&gt;0)&gt;0,SUMIFS(OVR_HIGH,OVR_TICKERS,$C64),$L64))</f>
        <v/>
      </c>
      <c r="O64" s="65">
        <f>IF($B64="","",IFERROR($B64*$G64*$J64/$B$3,""))</f>
        <v/>
      </c>
      <c r="P64" s="65">
        <f>IF($B64="","",IFERROR($B64*$G64*$L64/$B$3,""))</f>
        <v/>
      </c>
      <c r="Q64" s="41">
        <f>IF($B64="","",IFERROR($O64+$P64,""))</f>
        <v/>
      </c>
      <c r="R64" s="65">
        <f>IF($B64="","",IFERROR($O64+$B64*$G64*$M64/$B$3,""))</f>
        <v/>
      </c>
      <c r="S64" s="65">
        <f>IF($B64="","",IFERROR($O64+$B64*$G64*$N64/$B$3,""))</f>
        <v/>
      </c>
      <c r="T64" s="80">
        <f>IF($B64="","",IFERROR($Q64/$Q$5,""))</f>
        <v/>
      </c>
      <c r="U64" s="2">
        <f>IF($B64="","",IF(COUNTIFS('Dvd Calendar'!$E$644:$AR$644,"&gt;0",'Dvd Calendar'!$E$644:$AR$644,"&lt;="&amp;VAL_DATE,'Dvd Calendar'!$E$645:$AR$645,"&gt;"&amp;PROJ_FROM,'Dvd Calendar'!$E$645:$AR$645,"&lt;="&amp;DATE(YEAR_Y,12,31))-COUNTIFS('Dvd Calendar'!$E$644:$AR$644,"&gt;0",'Dvd Calendar'!$E$644:$AR$644,"&lt;="&amp;VAL_DATE,'Dvd Calendar'!$E$645:$AR$645,"&gt;"&amp;PROJ_FROM,'Dvd Calendar'!$E$645:$AR$645,"&lt;="&amp;DATE(YEAR_Y,12,31),'Dvd Calendar'!$E$646:$AR$646,"&gt;=0")&gt;0,"TBA amount - override me",IF((OV_SWITCH="ON")*(COUNTIFS(OVR_TICKERS,$C64,OVR_BASE,"&gt;=0")&gt;0)&gt;0,"overridden",IF($J64+$K64=0,"no dividend in year Y",""))))</f>
        <v/>
      </c>
      <c r="V64" s="65">
        <f>IF($B64="","",IFERROR(IF(ISNUMBER($H64),$B64*$G64*$H64/$B$3,0),""))</f>
        <v/>
      </c>
      <c r="W64" s="65">
        <f>IF($B64="","",IFERROR($B64*$G64*$K64/$B$3,""))</f>
        <v/>
      </c>
      <c r="X64" s="91">
        <f>IF($C64="","",BDP($C64,"PX_LAST"))</f>
        <v/>
      </c>
      <c r="Y64" s="65">
        <f>IF($B64="","",IFERROR($B64*$X64/$B$3,""))</f>
        <v/>
      </c>
      <c r="Z64" s="76">
        <f>IF($B64="","",IFERROR($Y64/$Y$5,""))</f>
        <v/>
      </c>
    </row>
    <row r="65">
      <c r="B65" s="89" t="n"/>
      <c r="C65" s="6">
        <f>IF($A65="","",$A65&amp;" Equity")</f>
        <v/>
      </c>
      <c r="D65" s="6">
        <f>IF($C65="","",BDP($C65,"NAME"))</f>
        <v/>
      </c>
      <c r="E65" s="6">
        <f>IF($C65="","",BDP($C65,"GICS_SECTOR_NAME"))</f>
        <v/>
      </c>
      <c r="F65" s="33">
        <f>IF($C65="","",BDP($C65,FLD_CCY))</f>
        <v/>
      </c>
      <c r="G65" s="90">
        <f>IFERROR(IF(LEN($F65)&lt;&gt;3,1,IF($F65="HKD",1,BDP(IF($F65="CNY",RMB_CROSS,$F65)&amp;"HKD Curncy","PX_LAST"))),1)</f>
        <v/>
      </c>
      <c r="H65" s="65">
        <f>IF($C65="","",BDP($C65,FLD_DPS12M))</f>
        <v/>
      </c>
      <c r="I65" s="47">
        <f>IF($C65="","",BDP($C65,FLD_YLD12M))</f>
        <v/>
      </c>
      <c r="J65" s="49">
        <f>IF($B65="",0,SUMPRODUCT(('Dvd Calendar'!$E$649:$AR$649&gt;=DATE(YEAR_Y,1,1))*('Dvd Calendar'!$E$649:$AR$649&lt;=REALIZED_TO)*'Dvd Calendar'!$E$652:$AR$652*(('Dvd Calendar'!$E$654:$AR$654=TYPE1)*(TYPE1&lt;&gt;"")+('Dvd Calendar'!$E$654:$AR$654=TYPE2)*(TYPE2&lt;&gt;"")+('Dvd Calendar'!$E$654:$AR$654=TYPE3)*(TYPE3&lt;&gt;"")+('Dvd Calendar'!$E$654:$AR$654=TYPE4)*(TYPE4&lt;&gt;"")+('Dvd Calendar'!$E$654:$AR$654=SPECIAL_LBL)*(INC_SPECIALS="Y"))))</f>
        <v/>
      </c>
      <c r="K65" s="49">
        <f>IF($B65="",0,SUMIFS('Dvd Calendar'!$E$657:$AR$657,'Dvd Calendar'!$E$656:$AR$656,"&gt;"&amp;PROJ_FROM,'Dvd Calendar'!$E$656:$AR$656,"&lt;="&amp;DATE(YEAR_Y,12,31)))</f>
        <v/>
      </c>
      <c r="L65" s="49">
        <f>IF($B65="",0,IF((OV_SWITCH="ON")*(COUNTIFS(OVR_TICKERS,$C65,OVR_BASE,"&gt;=0")&gt;0)&gt;0,SUMIFS(OVR_BASE,OVR_TICKERS,$C65),$K65))</f>
        <v/>
      </c>
      <c r="M65" s="49">
        <f>IF($B65="",0,IF((OV_SWITCH="ON")*(COUNTIFS(OVR_TICKERS,$C65,OVR_LOW,"&gt;=0")&gt;0)&gt;0,SUMIFS(OVR_LOW,OVR_TICKERS,$C65),$L65))</f>
        <v/>
      </c>
      <c r="N65" s="49">
        <f>IF($B65="",0,IF((OV_SWITCH="ON")*(COUNTIFS(OVR_TICKERS,$C65,OVR_HIGH,"&gt;=0")&gt;0)&gt;0,SUMIFS(OVR_HIGH,OVR_TICKERS,$C65),$L65))</f>
        <v/>
      </c>
      <c r="O65" s="65">
        <f>IF($B65="","",IFERROR($B65*$G65*$J65/$B$3,""))</f>
        <v/>
      </c>
      <c r="P65" s="65">
        <f>IF($B65="","",IFERROR($B65*$G65*$L65/$B$3,""))</f>
        <v/>
      </c>
      <c r="Q65" s="41">
        <f>IF($B65="","",IFERROR($O65+$P65,""))</f>
        <v/>
      </c>
      <c r="R65" s="65">
        <f>IF($B65="","",IFERROR($O65+$B65*$G65*$M65/$B$3,""))</f>
        <v/>
      </c>
      <c r="S65" s="65">
        <f>IF($B65="","",IFERROR($O65+$B65*$G65*$N65/$B$3,""))</f>
        <v/>
      </c>
      <c r="T65" s="80">
        <f>IF($B65="","",IFERROR($Q65/$Q$5,""))</f>
        <v/>
      </c>
      <c r="U65" s="2">
        <f>IF($B65="","",IF(COUNTIFS('Dvd Calendar'!$E$655:$AR$655,"&gt;0",'Dvd Calendar'!$E$655:$AR$655,"&lt;="&amp;VAL_DATE,'Dvd Calendar'!$E$656:$AR$656,"&gt;"&amp;PROJ_FROM,'Dvd Calendar'!$E$656:$AR$656,"&lt;="&amp;DATE(YEAR_Y,12,31))-COUNTIFS('Dvd Calendar'!$E$655:$AR$655,"&gt;0",'Dvd Calendar'!$E$655:$AR$655,"&lt;="&amp;VAL_DATE,'Dvd Calendar'!$E$656:$AR$656,"&gt;"&amp;PROJ_FROM,'Dvd Calendar'!$E$656:$AR$656,"&lt;="&amp;DATE(YEAR_Y,12,31),'Dvd Calendar'!$E$657:$AR$657,"&gt;=0")&gt;0,"TBA amount - override me",IF((OV_SWITCH="ON")*(COUNTIFS(OVR_TICKERS,$C65,OVR_BASE,"&gt;=0")&gt;0)&gt;0,"overridden",IF($J65+$K65=0,"no dividend in year Y",""))))</f>
        <v/>
      </c>
      <c r="V65" s="65">
        <f>IF($B65="","",IFERROR(IF(ISNUMBER($H65),$B65*$G65*$H65/$B$3,0),""))</f>
        <v/>
      </c>
      <c r="W65" s="65">
        <f>IF($B65="","",IFERROR($B65*$G65*$K65/$B$3,""))</f>
        <v/>
      </c>
      <c r="X65" s="91">
        <f>IF($C65="","",BDP($C65,"PX_LAST"))</f>
        <v/>
      </c>
      <c r="Y65" s="65">
        <f>IF($B65="","",IFERROR($B65*$X65/$B$3,""))</f>
        <v/>
      </c>
      <c r="Z65" s="76">
        <f>IF($B65="","",IFERROR($Y65/$Y$5,""))</f>
        <v/>
      </c>
    </row>
    <row r="66">
      <c r="B66" s="89" t="n"/>
      <c r="C66" s="6">
        <f>IF($A66="","",$A66&amp;" Equity")</f>
        <v/>
      </c>
      <c r="D66" s="6">
        <f>IF($C66="","",BDP($C66,"NAME"))</f>
        <v/>
      </c>
      <c r="E66" s="6">
        <f>IF($C66="","",BDP($C66,"GICS_SECTOR_NAME"))</f>
        <v/>
      </c>
      <c r="F66" s="33">
        <f>IF($C66="","",BDP($C66,FLD_CCY))</f>
        <v/>
      </c>
      <c r="G66" s="90">
        <f>IFERROR(IF(LEN($F66)&lt;&gt;3,1,IF($F66="HKD",1,BDP(IF($F66="CNY",RMB_CROSS,$F66)&amp;"HKD Curncy","PX_LAST"))),1)</f>
        <v/>
      </c>
      <c r="H66" s="65">
        <f>IF($C66="","",BDP($C66,FLD_DPS12M))</f>
        <v/>
      </c>
      <c r="I66" s="47">
        <f>IF($C66="","",BDP($C66,FLD_YLD12M))</f>
        <v/>
      </c>
      <c r="J66" s="49">
        <f>IF($B66="",0,SUMPRODUCT(('Dvd Calendar'!$E$660:$AR$660&gt;=DATE(YEAR_Y,1,1))*('Dvd Calendar'!$E$660:$AR$660&lt;=REALIZED_TO)*'Dvd Calendar'!$E$663:$AR$663*(('Dvd Calendar'!$E$665:$AR$665=TYPE1)*(TYPE1&lt;&gt;"")+('Dvd Calendar'!$E$665:$AR$665=TYPE2)*(TYPE2&lt;&gt;"")+('Dvd Calendar'!$E$665:$AR$665=TYPE3)*(TYPE3&lt;&gt;"")+('Dvd Calendar'!$E$665:$AR$665=TYPE4)*(TYPE4&lt;&gt;"")+('Dvd Calendar'!$E$665:$AR$665=SPECIAL_LBL)*(INC_SPECIALS="Y"))))</f>
        <v/>
      </c>
      <c r="K66" s="49">
        <f>IF($B66="",0,SUMIFS('Dvd Calendar'!$E$668:$AR$668,'Dvd Calendar'!$E$667:$AR$667,"&gt;"&amp;PROJ_FROM,'Dvd Calendar'!$E$667:$AR$667,"&lt;="&amp;DATE(YEAR_Y,12,31)))</f>
        <v/>
      </c>
      <c r="L66" s="49">
        <f>IF($B66="",0,IF((OV_SWITCH="ON")*(COUNTIFS(OVR_TICKERS,$C66,OVR_BASE,"&gt;=0")&gt;0)&gt;0,SUMIFS(OVR_BASE,OVR_TICKERS,$C66),$K66))</f>
        <v/>
      </c>
      <c r="M66" s="49">
        <f>IF($B66="",0,IF((OV_SWITCH="ON")*(COUNTIFS(OVR_TICKERS,$C66,OVR_LOW,"&gt;=0")&gt;0)&gt;0,SUMIFS(OVR_LOW,OVR_TICKERS,$C66),$L66))</f>
        <v/>
      </c>
      <c r="N66" s="49">
        <f>IF($B66="",0,IF((OV_SWITCH="ON")*(COUNTIFS(OVR_TICKERS,$C66,OVR_HIGH,"&gt;=0")&gt;0)&gt;0,SUMIFS(OVR_HIGH,OVR_TICKERS,$C66),$L66))</f>
        <v/>
      </c>
      <c r="O66" s="65">
        <f>IF($B66="","",IFERROR($B66*$G66*$J66/$B$3,""))</f>
        <v/>
      </c>
      <c r="P66" s="65">
        <f>IF($B66="","",IFERROR($B66*$G66*$L66/$B$3,""))</f>
        <v/>
      </c>
      <c r="Q66" s="41">
        <f>IF($B66="","",IFERROR($O66+$P66,""))</f>
        <v/>
      </c>
      <c r="R66" s="65">
        <f>IF($B66="","",IFERROR($O66+$B66*$G66*$M66/$B$3,""))</f>
        <v/>
      </c>
      <c r="S66" s="65">
        <f>IF($B66="","",IFERROR($O66+$B66*$G66*$N66/$B$3,""))</f>
        <v/>
      </c>
      <c r="T66" s="80">
        <f>IF($B66="","",IFERROR($Q66/$Q$5,""))</f>
        <v/>
      </c>
      <c r="U66" s="2">
        <f>IF($B66="","",IF(COUNTIFS('Dvd Calendar'!$E$666:$AR$666,"&gt;0",'Dvd Calendar'!$E$666:$AR$666,"&lt;="&amp;VAL_DATE,'Dvd Calendar'!$E$667:$AR$667,"&gt;"&amp;PROJ_FROM,'Dvd Calendar'!$E$667:$AR$667,"&lt;="&amp;DATE(YEAR_Y,12,31))-COUNTIFS('Dvd Calendar'!$E$666:$AR$666,"&gt;0",'Dvd Calendar'!$E$666:$AR$666,"&lt;="&amp;VAL_DATE,'Dvd Calendar'!$E$667:$AR$667,"&gt;"&amp;PROJ_FROM,'Dvd Calendar'!$E$667:$AR$667,"&lt;="&amp;DATE(YEAR_Y,12,31),'Dvd Calendar'!$E$668:$AR$668,"&gt;=0")&gt;0,"TBA amount - override me",IF((OV_SWITCH="ON")*(COUNTIFS(OVR_TICKERS,$C66,OVR_BASE,"&gt;=0")&gt;0)&gt;0,"overridden",IF($J66+$K66=0,"no dividend in year Y",""))))</f>
        <v/>
      </c>
      <c r="V66" s="65">
        <f>IF($B66="","",IFERROR(IF(ISNUMBER($H66),$B66*$G66*$H66/$B$3,0),""))</f>
        <v/>
      </c>
      <c r="W66" s="65">
        <f>IF($B66="","",IFERROR($B66*$G66*$K66/$B$3,""))</f>
        <v/>
      </c>
      <c r="X66" s="91">
        <f>IF($C66="","",BDP($C66,"PX_LAST"))</f>
        <v/>
      </c>
      <c r="Y66" s="65">
        <f>IF($B66="","",IFERROR($B66*$X66/$B$3,""))</f>
        <v/>
      </c>
      <c r="Z66" s="76">
        <f>IF($B66="","",IFERROR($Y66/$Y$5,""))</f>
        <v/>
      </c>
    </row>
    <row r="67">
      <c r="B67" s="89" t="n"/>
      <c r="C67" s="6">
        <f>IF($A67="","",$A67&amp;" Equity")</f>
        <v/>
      </c>
      <c r="D67" s="6">
        <f>IF($C67="","",BDP($C67,"NAME"))</f>
        <v/>
      </c>
      <c r="E67" s="6">
        <f>IF($C67="","",BDP($C67,"GICS_SECTOR_NAME"))</f>
        <v/>
      </c>
      <c r="F67" s="33">
        <f>IF($C67="","",BDP($C67,FLD_CCY))</f>
        <v/>
      </c>
      <c r="G67" s="90">
        <f>IFERROR(IF(LEN($F67)&lt;&gt;3,1,IF($F67="HKD",1,BDP(IF($F67="CNY",RMB_CROSS,$F67)&amp;"HKD Curncy","PX_LAST"))),1)</f>
        <v/>
      </c>
      <c r="H67" s="65">
        <f>IF($C67="","",BDP($C67,FLD_DPS12M))</f>
        <v/>
      </c>
      <c r="I67" s="47">
        <f>IF($C67="","",BDP($C67,FLD_YLD12M))</f>
        <v/>
      </c>
      <c r="J67" s="49">
        <f>IF($B67="",0,SUMPRODUCT(('Dvd Calendar'!$E$671:$AR$671&gt;=DATE(YEAR_Y,1,1))*('Dvd Calendar'!$E$671:$AR$671&lt;=REALIZED_TO)*'Dvd Calendar'!$E$674:$AR$674*(('Dvd Calendar'!$E$676:$AR$676=TYPE1)*(TYPE1&lt;&gt;"")+('Dvd Calendar'!$E$676:$AR$676=TYPE2)*(TYPE2&lt;&gt;"")+('Dvd Calendar'!$E$676:$AR$676=TYPE3)*(TYPE3&lt;&gt;"")+('Dvd Calendar'!$E$676:$AR$676=TYPE4)*(TYPE4&lt;&gt;"")+('Dvd Calendar'!$E$676:$AR$676=SPECIAL_LBL)*(INC_SPECIALS="Y"))))</f>
        <v/>
      </c>
      <c r="K67" s="49">
        <f>IF($B67="",0,SUMIFS('Dvd Calendar'!$E$679:$AR$679,'Dvd Calendar'!$E$678:$AR$678,"&gt;"&amp;PROJ_FROM,'Dvd Calendar'!$E$678:$AR$678,"&lt;="&amp;DATE(YEAR_Y,12,31)))</f>
        <v/>
      </c>
      <c r="L67" s="49">
        <f>IF($B67="",0,IF((OV_SWITCH="ON")*(COUNTIFS(OVR_TICKERS,$C67,OVR_BASE,"&gt;=0")&gt;0)&gt;0,SUMIFS(OVR_BASE,OVR_TICKERS,$C67),$K67))</f>
        <v/>
      </c>
      <c r="M67" s="49">
        <f>IF($B67="",0,IF((OV_SWITCH="ON")*(COUNTIFS(OVR_TICKERS,$C67,OVR_LOW,"&gt;=0")&gt;0)&gt;0,SUMIFS(OVR_LOW,OVR_TICKERS,$C67),$L67))</f>
        <v/>
      </c>
      <c r="N67" s="49">
        <f>IF($B67="",0,IF((OV_SWITCH="ON")*(COUNTIFS(OVR_TICKERS,$C67,OVR_HIGH,"&gt;=0")&gt;0)&gt;0,SUMIFS(OVR_HIGH,OVR_TICKERS,$C67),$L67))</f>
        <v/>
      </c>
      <c r="O67" s="65">
        <f>IF($B67="","",IFERROR($B67*$G67*$J67/$B$3,""))</f>
        <v/>
      </c>
      <c r="P67" s="65">
        <f>IF($B67="","",IFERROR($B67*$G67*$L67/$B$3,""))</f>
        <v/>
      </c>
      <c r="Q67" s="41">
        <f>IF($B67="","",IFERROR($O67+$P67,""))</f>
        <v/>
      </c>
      <c r="R67" s="65">
        <f>IF($B67="","",IFERROR($O67+$B67*$G67*$M67/$B$3,""))</f>
        <v/>
      </c>
      <c r="S67" s="65">
        <f>IF($B67="","",IFERROR($O67+$B67*$G67*$N67/$B$3,""))</f>
        <v/>
      </c>
      <c r="T67" s="80">
        <f>IF($B67="","",IFERROR($Q67/$Q$5,""))</f>
        <v/>
      </c>
      <c r="U67" s="2">
        <f>IF($B67="","",IF(COUNTIFS('Dvd Calendar'!$E$677:$AR$677,"&gt;0",'Dvd Calendar'!$E$677:$AR$677,"&lt;="&amp;VAL_DATE,'Dvd Calendar'!$E$678:$AR$678,"&gt;"&amp;PROJ_FROM,'Dvd Calendar'!$E$678:$AR$678,"&lt;="&amp;DATE(YEAR_Y,12,31))-COUNTIFS('Dvd Calendar'!$E$677:$AR$677,"&gt;0",'Dvd Calendar'!$E$677:$AR$677,"&lt;="&amp;VAL_DATE,'Dvd Calendar'!$E$678:$AR$678,"&gt;"&amp;PROJ_FROM,'Dvd Calendar'!$E$678:$AR$678,"&lt;="&amp;DATE(YEAR_Y,12,31),'Dvd Calendar'!$E$679:$AR$679,"&gt;=0")&gt;0,"TBA amount - override me",IF((OV_SWITCH="ON")*(COUNTIFS(OVR_TICKERS,$C67,OVR_BASE,"&gt;=0")&gt;0)&gt;0,"overridden",IF($J67+$K67=0,"no dividend in year Y",""))))</f>
        <v/>
      </c>
      <c r="V67" s="65">
        <f>IF($B67="","",IFERROR(IF(ISNUMBER($H67),$B67*$G67*$H67/$B$3,0),""))</f>
        <v/>
      </c>
      <c r="W67" s="65">
        <f>IF($B67="","",IFERROR($B67*$G67*$K67/$B$3,""))</f>
        <v/>
      </c>
      <c r="X67" s="91">
        <f>IF($C67="","",BDP($C67,"PX_LAST"))</f>
        <v/>
      </c>
      <c r="Y67" s="65">
        <f>IF($B67="","",IFERROR($B67*$X67/$B$3,""))</f>
        <v/>
      </c>
      <c r="Z67" s="76">
        <f>IF($B67="","",IFERROR($Y67/$Y$5,""))</f>
        <v/>
      </c>
    </row>
    <row r="68">
      <c r="B68" s="89" t="n"/>
      <c r="C68" s="6">
        <f>IF($A68="","",$A68&amp;" Equity")</f>
        <v/>
      </c>
      <c r="D68" s="6">
        <f>IF($C68="","",BDP($C68,"NAME"))</f>
        <v/>
      </c>
      <c r="E68" s="6">
        <f>IF($C68="","",BDP($C68,"GICS_SECTOR_NAME"))</f>
        <v/>
      </c>
      <c r="F68" s="33">
        <f>IF($C68="","",BDP($C68,FLD_CCY))</f>
        <v/>
      </c>
      <c r="G68" s="90">
        <f>IFERROR(IF(LEN($F68)&lt;&gt;3,1,IF($F68="HKD",1,BDP(IF($F68="CNY",RMB_CROSS,$F68)&amp;"HKD Curncy","PX_LAST"))),1)</f>
        <v/>
      </c>
      <c r="H68" s="65">
        <f>IF($C68="","",BDP($C68,FLD_DPS12M))</f>
        <v/>
      </c>
      <c r="I68" s="47">
        <f>IF($C68="","",BDP($C68,FLD_YLD12M))</f>
        <v/>
      </c>
      <c r="J68" s="49">
        <f>IF($B68="",0,SUMPRODUCT(('Dvd Calendar'!$E$682:$AR$682&gt;=DATE(YEAR_Y,1,1))*('Dvd Calendar'!$E$682:$AR$682&lt;=REALIZED_TO)*'Dvd Calendar'!$E$685:$AR$685*(('Dvd Calendar'!$E$687:$AR$687=TYPE1)*(TYPE1&lt;&gt;"")+('Dvd Calendar'!$E$687:$AR$687=TYPE2)*(TYPE2&lt;&gt;"")+('Dvd Calendar'!$E$687:$AR$687=TYPE3)*(TYPE3&lt;&gt;"")+('Dvd Calendar'!$E$687:$AR$687=TYPE4)*(TYPE4&lt;&gt;"")+('Dvd Calendar'!$E$687:$AR$687=SPECIAL_LBL)*(INC_SPECIALS="Y"))))</f>
        <v/>
      </c>
      <c r="K68" s="49">
        <f>IF($B68="",0,SUMIFS('Dvd Calendar'!$E$690:$AR$690,'Dvd Calendar'!$E$689:$AR$689,"&gt;"&amp;PROJ_FROM,'Dvd Calendar'!$E$689:$AR$689,"&lt;="&amp;DATE(YEAR_Y,12,31)))</f>
        <v/>
      </c>
      <c r="L68" s="49">
        <f>IF($B68="",0,IF((OV_SWITCH="ON")*(COUNTIFS(OVR_TICKERS,$C68,OVR_BASE,"&gt;=0")&gt;0)&gt;0,SUMIFS(OVR_BASE,OVR_TICKERS,$C68),$K68))</f>
        <v/>
      </c>
      <c r="M68" s="49">
        <f>IF($B68="",0,IF((OV_SWITCH="ON")*(COUNTIFS(OVR_TICKERS,$C68,OVR_LOW,"&gt;=0")&gt;0)&gt;0,SUMIFS(OVR_LOW,OVR_TICKERS,$C68),$L68))</f>
        <v/>
      </c>
      <c r="N68" s="49">
        <f>IF($B68="",0,IF((OV_SWITCH="ON")*(COUNTIFS(OVR_TICKERS,$C68,OVR_HIGH,"&gt;=0")&gt;0)&gt;0,SUMIFS(OVR_HIGH,OVR_TICKERS,$C68),$L68))</f>
        <v/>
      </c>
      <c r="O68" s="65">
        <f>IF($B68="","",IFERROR($B68*$G68*$J68/$B$3,""))</f>
        <v/>
      </c>
      <c r="P68" s="65">
        <f>IF($B68="","",IFERROR($B68*$G68*$L68/$B$3,""))</f>
        <v/>
      </c>
      <c r="Q68" s="41">
        <f>IF($B68="","",IFERROR($O68+$P68,""))</f>
        <v/>
      </c>
      <c r="R68" s="65">
        <f>IF($B68="","",IFERROR($O68+$B68*$G68*$M68/$B$3,""))</f>
        <v/>
      </c>
      <c r="S68" s="65">
        <f>IF($B68="","",IFERROR($O68+$B68*$G68*$N68/$B$3,""))</f>
        <v/>
      </c>
      <c r="T68" s="80">
        <f>IF($B68="","",IFERROR($Q68/$Q$5,""))</f>
        <v/>
      </c>
      <c r="U68" s="2">
        <f>IF($B68="","",IF(COUNTIFS('Dvd Calendar'!$E$688:$AR$688,"&gt;0",'Dvd Calendar'!$E$688:$AR$688,"&lt;="&amp;VAL_DATE,'Dvd Calendar'!$E$689:$AR$689,"&gt;"&amp;PROJ_FROM,'Dvd Calendar'!$E$689:$AR$689,"&lt;="&amp;DATE(YEAR_Y,12,31))-COUNTIFS('Dvd Calendar'!$E$688:$AR$688,"&gt;0",'Dvd Calendar'!$E$688:$AR$688,"&lt;="&amp;VAL_DATE,'Dvd Calendar'!$E$689:$AR$689,"&gt;"&amp;PROJ_FROM,'Dvd Calendar'!$E$689:$AR$689,"&lt;="&amp;DATE(YEAR_Y,12,31),'Dvd Calendar'!$E$690:$AR$690,"&gt;=0")&gt;0,"TBA amount - override me",IF((OV_SWITCH="ON")*(COUNTIFS(OVR_TICKERS,$C68,OVR_BASE,"&gt;=0")&gt;0)&gt;0,"overridden",IF($J68+$K68=0,"no dividend in year Y",""))))</f>
        <v/>
      </c>
      <c r="V68" s="65">
        <f>IF($B68="","",IFERROR(IF(ISNUMBER($H68),$B68*$G68*$H68/$B$3,0),""))</f>
        <v/>
      </c>
      <c r="W68" s="65">
        <f>IF($B68="","",IFERROR($B68*$G68*$K68/$B$3,""))</f>
        <v/>
      </c>
      <c r="X68" s="91">
        <f>IF($C68="","",BDP($C68,"PX_LAST"))</f>
        <v/>
      </c>
      <c r="Y68" s="65">
        <f>IF($B68="","",IFERROR($B68*$X68/$B$3,""))</f>
        <v/>
      </c>
      <c r="Z68" s="76">
        <f>IF($B68="","",IFERROR($Y68/$Y$5,""))</f>
        <v/>
      </c>
    </row>
    <row r="69">
      <c r="B69" s="89" t="n"/>
      <c r="C69" s="6">
        <f>IF($A69="","",$A69&amp;" Equity")</f>
        <v/>
      </c>
      <c r="D69" s="6">
        <f>IF($C69="","",BDP($C69,"NAME"))</f>
        <v/>
      </c>
      <c r="E69" s="6">
        <f>IF($C69="","",BDP($C69,"GICS_SECTOR_NAME"))</f>
        <v/>
      </c>
      <c r="F69" s="33">
        <f>IF($C69="","",BDP($C69,FLD_CCY))</f>
        <v/>
      </c>
      <c r="G69" s="90">
        <f>IFERROR(IF(LEN($F69)&lt;&gt;3,1,IF($F69="HKD",1,BDP(IF($F69="CNY",RMB_CROSS,$F69)&amp;"HKD Curncy","PX_LAST"))),1)</f>
        <v/>
      </c>
      <c r="H69" s="65">
        <f>IF($C69="","",BDP($C69,FLD_DPS12M))</f>
        <v/>
      </c>
      <c r="I69" s="47">
        <f>IF($C69="","",BDP($C69,FLD_YLD12M))</f>
        <v/>
      </c>
      <c r="J69" s="49">
        <f>IF($B69="",0,SUMPRODUCT(('Dvd Calendar'!$E$693:$AR$693&gt;=DATE(YEAR_Y,1,1))*('Dvd Calendar'!$E$693:$AR$693&lt;=REALIZED_TO)*'Dvd Calendar'!$E$696:$AR$696*(('Dvd Calendar'!$E$698:$AR$698=TYPE1)*(TYPE1&lt;&gt;"")+('Dvd Calendar'!$E$698:$AR$698=TYPE2)*(TYPE2&lt;&gt;"")+('Dvd Calendar'!$E$698:$AR$698=TYPE3)*(TYPE3&lt;&gt;"")+('Dvd Calendar'!$E$698:$AR$698=TYPE4)*(TYPE4&lt;&gt;"")+('Dvd Calendar'!$E$698:$AR$698=SPECIAL_LBL)*(INC_SPECIALS="Y"))))</f>
        <v/>
      </c>
      <c r="K69" s="49">
        <f>IF($B69="",0,SUMIFS('Dvd Calendar'!$E$701:$AR$701,'Dvd Calendar'!$E$700:$AR$700,"&gt;"&amp;PROJ_FROM,'Dvd Calendar'!$E$700:$AR$700,"&lt;="&amp;DATE(YEAR_Y,12,31)))</f>
        <v/>
      </c>
      <c r="L69" s="49">
        <f>IF($B69="",0,IF((OV_SWITCH="ON")*(COUNTIFS(OVR_TICKERS,$C69,OVR_BASE,"&gt;=0")&gt;0)&gt;0,SUMIFS(OVR_BASE,OVR_TICKERS,$C69),$K69))</f>
        <v/>
      </c>
      <c r="M69" s="49">
        <f>IF($B69="",0,IF((OV_SWITCH="ON")*(COUNTIFS(OVR_TICKERS,$C69,OVR_LOW,"&gt;=0")&gt;0)&gt;0,SUMIFS(OVR_LOW,OVR_TICKERS,$C69),$L69))</f>
        <v/>
      </c>
      <c r="N69" s="49">
        <f>IF($B69="",0,IF((OV_SWITCH="ON")*(COUNTIFS(OVR_TICKERS,$C69,OVR_HIGH,"&gt;=0")&gt;0)&gt;0,SUMIFS(OVR_HIGH,OVR_TICKERS,$C69),$L69))</f>
        <v/>
      </c>
      <c r="O69" s="65">
        <f>IF($B69="","",IFERROR($B69*$G69*$J69/$B$3,""))</f>
        <v/>
      </c>
      <c r="P69" s="65">
        <f>IF($B69="","",IFERROR($B69*$G69*$L69/$B$3,""))</f>
        <v/>
      </c>
      <c r="Q69" s="41">
        <f>IF($B69="","",IFERROR($O69+$P69,""))</f>
        <v/>
      </c>
      <c r="R69" s="65">
        <f>IF($B69="","",IFERROR($O69+$B69*$G69*$M69/$B$3,""))</f>
        <v/>
      </c>
      <c r="S69" s="65">
        <f>IF($B69="","",IFERROR($O69+$B69*$G69*$N69/$B$3,""))</f>
        <v/>
      </c>
      <c r="T69" s="80">
        <f>IF($B69="","",IFERROR($Q69/$Q$5,""))</f>
        <v/>
      </c>
      <c r="U69" s="2">
        <f>IF($B69="","",IF(COUNTIFS('Dvd Calendar'!$E$699:$AR$699,"&gt;0",'Dvd Calendar'!$E$699:$AR$699,"&lt;="&amp;VAL_DATE,'Dvd Calendar'!$E$700:$AR$700,"&gt;"&amp;PROJ_FROM,'Dvd Calendar'!$E$700:$AR$700,"&lt;="&amp;DATE(YEAR_Y,12,31))-COUNTIFS('Dvd Calendar'!$E$699:$AR$699,"&gt;0",'Dvd Calendar'!$E$699:$AR$699,"&lt;="&amp;VAL_DATE,'Dvd Calendar'!$E$700:$AR$700,"&gt;"&amp;PROJ_FROM,'Dvd Calendar'!$E$700:$AR$700,"&lt;="&amp;DATE(YEAR_Y,12,31),'Dvd Calendar'!$E$701:$AR$701,"&gt;=0")&gt;0,"TBA amount - override me",IF((OV_SWITCH="ON")*(COUNTIFS(OVR_TICKERS,$C69,OVR_BASE,"&gt;=0")&gt;0)&gt;0,"overridden",IF($J69+$K69=0,"no dividend in year Y",""))))</f>
        <v/>
      </c>
      <c r="V69" s="65">
        <f>IF($B69="","",IFERROR(IF(ISNUMBER($H69),$B69*$G69*$H69/$B$3,0),""))</f>
        <v/>
      </c>
      <c r="W69" s="65">
        <f>IF($B69="","",IFERROR($B69*$G69*$K69/$B$3,""))</f>
        <v/>
      </c>
      <c r="X69" s="91">
        <f>IF($C69="","",BDP($C69,"PX_LAST"))</f>
        <v/>
      </c>
      <c r="Y69" s="65">
        <f>IF($B69="","",IFERROR($B69*$X69/$B$3,""))</f>
        <v/>
      </c>
      <c r="Z69" s="76">
        <f>IF($B69="","",IFERROR($Y69/$Y$5,""))</f>
        <v/>
      </c>
    </row>
    <row r="70">
      <c r="B70" s="89" t="n"/>
      <c r="C70" s="6">
        <f>IF($A70="","",$A70&amp;" Equity")</f>
        <v/>
      </c>
      <c r="D70" s="6">
        <f>IF($C70="","",BDP($C70,"NAME"))</f>
        <v/>
      </c>
      <c r="E70" s="6">
        <f>IF($C70="","",BDP($C70,"GICS_SECTOR_NAME"))</f>
        <v/>
      </c>
      <c r="F70" s="33">
        <f>IF($C70="","",BDP($C70,FLD_CCY))</f>
        <v/>
      </c>
      <c r="G70" s="90">
        <f>IFERROR(IF(LEN($F70)&lt;&gt;3,1,IF($F70="HKD",1,BDP(IF($F70="CNY",RMB_CROSS,$F70)&amp;"HKD Curncy","PX_LAST"))),1)</f>
        <v/>
      </c>
      <c r="H70" s="65">
        <f>IF($C70="","",BDP($C70,FLD_DPS12M))</f>
        <v/>
      </c>
      <c r="I70" s="47">
        <f>IF($C70="","",BDP($C70,FLD_YLD12M))</f>
        <v/>
      </c>
      <c r="J70" s="49">
        <f>IF($B70="",0,SUMPRODUCT(('Dvd Calendar'!$E$704:$AR$704&gt;=DATE(YEAR_Y,1,1))*('Dvd Calendar'!$E$704:$AR$704&lt;=REALIZED_TO)*'Dvd Calendar'!$E$707:$AR$707*(('Dvd Calendar'!$E$709:$AR$709=TYPE1)*(TYPE1&lt;&gt;"")+('Dvd Calendar'!$E$709:$AR$709=TYPE2)*(TYPE2&lt;&gt;"")+('Dvd Calendar'!$E$709:$AR$709=TYPE3)*(TYPE3&lt;&gt;"")+('Dvd Calendar'!$E$709:$AR$709=TYPE4)*(TYPE4&lt;&gt;"")+('Dvd Calendar'!$E$709:$AR$709=SPECIAL_LBL)*(INC_SPECIALS="Y"))))</f>
        <v/>
      </c>
      <c r="K70" s="49">
        <f>IF($B70="",0,SUMIFS('Dvd Calendar'!$E$712:$AR$712,'Dvd Calendar'!$E$711:$AR$711,"&gt;"&amp;PROJ_FROM,'Dvd Calendar'!$E$711:$AR$711,"&lt;="&amp;DATE(YEAR_Y,12,31)))</f>
        <v/>
      </c>
      <c r="L70" s="49">
        <f>IF($B70="",0,IF((OV_SWITCH="ON")*(COUNTIFS(OVR_TICKERS,$C70,OVR_BASE,"&gt;=0")&gt;0)&gt;0,SUMIFS(OVR_BASE,OVR_TICKERS,$C70),$K70))</f>
        <v/>
      </c>
      <c r="M70" s="49">
        <f>IF($B70="",0,IF((OV_SWITCH="ON")*(COUNTIFS(OVR_TICKERS,$C70,OVR_LOW,"&gt;=0")&gt;0)&gt;0,SUMIFS(OVR_LOW,OVR_TICKERS,$C70),$L70))</f>
        <v/>
      </c>
      <c r="N70" s="49">
        <f>IF($B70="",0,IF((OV_SWITCH="ON")*(COUNTIFS(OVR_TICKERS,$C70,OVR_HIGH,"&gt;=0")&gt;0)&gt;0,SUMIFS(OVR_HIGH,OVR_TICKERS,$C70),$L70))</f>
        <v/>
      </c>
      <c r="O70" s="65">
        <f>IF($B70="","",IFERROR($B70*$G70*$J70/$B$3,""))</f>
        <v/>
      </c>
      <c r="P70" s="65">
        <f>IF($B70="","",IFERROR($B70*$G70*$L70/$B$3,""))</f>
        <v/>
      </c>
      <c r="Q70" s="41">
        <f>IF($B70="","",IFERROR($O70+$P70,""))</f>
        <v/>
      </c>
      <c r="R70" s="65">
        <f>IF($B70="","",IFERROR($O70+$B70*$G70*$M70/$B$3,""))</f>
        <v/>
      </c>
      <c r="S70" s="65">
        <f>IF($B70="","",IFERROR($O70+$B70*$G70*$N70/$B$3,""))</f>
        <v/>
      </c>
      <c r="T70" s="80">
        <f>IF($B70="","",IFERROR($Q70/$Q$5,""))</f>
        <v/>
      </c>
      <c r="U70" s="2">
        <f>IF($B70="","",IF(COUNTIFS('Dvd Calendar'!$E$710:$AR$710,"&gt;0",'Dvd Calendar'!$E$710:$AR$710,"&lt;="&amp;VAL_DATE,'Dvd Calendar'!$E$711:$AR$711,"&gt;"&amp;PROJ_FROM,'Dvd Calendar'!$E$711:$AR$711,"&lt;="&amp;DATE(YEAR_Y,12,31))-COUNTIFS('Dvd Calendar'!$E$710:$AR$710,"&gt;0",'Dvd Calendar'!$E$710:$AR$710,"&lt;="&amp;VAL_DATE,'Dvd Calendar'!$E$711:$AR$711,"&gt;"&amp;PROJ_FROM,'Dvd Calendar'!$E$711:$AR$711,"&lt;="&amp;DATE(YEAR_Y,12,31),'Dvd Calendar'!$E$712:$AR$712,"&gt;=0")&gt;0,"TBA amount - override me",IF((OV_SWITCH="ON")*(COUNTIFS(OVR_TICKERS,$C70,OVR_BASE,"&gt;=0")&gt;0)&gt;0,"overridden",IF($J70+$K70=0,"no dividend in year Y",""))))</f>
        <v/>
      </c>
      <c r="V70" s="65">
        <f>IF($B70="","",IFERROR(IF(ISNUMBER($H70),$B70*$G70*$H70/$B$3,0),""))</f>
        <v/>
      </c>
      <c r="W70" s="65">
        <f>IF($B70="","",IFERROR($B70*$G70*$K70/$B$3,""))</f>
        <v/>
      </c>
      <c r="X70" s="91">
        <f>IF($C70="","",BDP($C70,"PX_LAST"))</f>
        <v/>
      </c>
      <c r="Y70" s="65">
        <f>IF($B70="","",IFERROR($B70*$X70/$B$3,""))</f>
        <v/>
      </c>
      <c r="Z70" s="76">
        <f>IF($B70="","",IFERROR($Y70/$Y$5,""))</f>
        <v/>
      </c>
    </row>
    <row r="71">
      <c r="B71" s="89" t="n"/>
      <c r="C71" s="6">
        <f>IF($A71="","",$A71&amp;" Equity")</f>
        <v/>
      </c>
      <c r="D71" s="6">
        <f>IF($C71="","",BDP($C71,"NAME"))</f>
        <v/>
      </c>
      <c r="E71" s="6">
        <f>IF($C71="","",BDP($C71,"GICS_SECTOR_NAME"))</f>
        <v/>
      </c>
      <c r="F71" s="33">
        <f>IF($C71="","",BDP($C71,FLD_CCY))</f>
        <v/>
      </c>
      <c r="G71" s="90">
        <f>IFERROR(IF(LEN($F71)&lt;&gt;3,1,IF($F71="HKD",1,BDP(IF($F71="CNY",RMB_CROSS,$F71)&amp;"HKD Curncy","PX_LAST"))),1)</f>
        <v/>
      </c>
      <c r="H71" s="65">
        <f>IF($C71="","",BDP($C71,FLD_DPS12M))</f>
        <v/>
      </c>
      <c r="I71" s="47">
        <f>IF($C71="","",BDP($C71,FLD_YLD12M))</f>
        <v/>
      </c>
      <c r="J71" s="49">
        <f>IF($B71="",0,SUMPRODUCT(('Dvd Calendar'!$E$715:$AR$715&gt;=DATE(YEAR_Y,1,1))*('Dvd Calendar'!$E$715:$AR$715&lt;=REALIZED_TO)*'Dvd Calendar'!$E$718:$AR$718*(('Dvd Calendar'!$E$720:$AR$720=TYPE1)*(TYPE1&lt;&gt;"")+('Dvd Calendar'!$E$720:$AR$720=TYPE2)*(TYPE2&lt;&gt;"")+('Dvd Calendar'!$E$720:$AR$720=TYPE3)*(TYPE3&lt;&gt;"")+('Dvd Calendar'!$E$720:$AR$720=TYPE4)*(TYPE4&lt;&gt;"")+('Dvd Calendar'!$E$720:$AR$720=SPECIAL_LBL)*(INC_SPECIALS="Y"))))</f>
        <v/>
      </c>
      <c r="K71" s="49">
        <f>IF($B71="",0,SUMIFS('Dvd Calendar'!$E$723:$AR$723,'Dvd Calendar'!$E$722:$AR$722,"&gt;"&amp;PROJ_FROM,'Dvd Calendar'!$E$722:$AR$722,"&lt;="&amp;DATE(YEAR_Y,12,31)))</f>
        <v/>
      </c>
      <c r="L71" s="49">
        <f>IF($B71="",0,IF((OV_SWITCH="ON")*(COUNTIFS(OVR_TICKERS,$C71,OVR_BASE,"&gt;=0")&gt;0)&gt;0,SUMIFS(OVR_BASE,OVR_TICKERS,$C71),$K71))</f>
        <v/>
      </c>
      <c r="M71" s="49">
        <f>IF($B71="",0,IF((OV_SWITCH="ON")*(COUNTIFS(OVR_TICKERS,$C71,OVR_LOW,"&gt;=0")&gt;0)&gt;0,SUMIFS(OVR_LOW,OVR_TICKERS,$C71),$L71))</f>
        <v/>
      </c>
      <c r="N71" s="49">
        <f>IF($B71="",0,IF((OV_SWITCH="ON")*(COUNTIFS(OVR_TICKERS,$C71,OVR_HIGH,"&gt;=0")&gt;0)&gt;0,SUMIFS(OVR_HIGH,OVR_TICKERS,$C71),$L71))</f>
        <v/>
      </c>
      <c r="O71" s="65">
        <f>IF($B71="","",IFERROR($B71*$G71*$J71/$B$3,""))</f>
        <v/>
      </c>
      <c r="P71" s="65">
        <f>IF($B71="","",IFERROR($B71*$G71*$L71/$B$3,""))</f>
        <v/>
      </c>
      <c r="Q71" s="41">
        <f>IF($B71="","",IFERROR($O71+$P71,""))</f>
        <v/>
      </c>
      <c r="R71" s="65">
        <f>IF($B71="","",IFERROR($O71+$B71*$G71*$M71/$B$3,""))</f>
        <v/>
      </c>
      <c r="S71" s="65">
        <f>IF($B71="","",IFERROR($O71+$B71*$G71*$N71/$B$3,""))</f>
        <v/>
      </c>
      <c r="T71" s="80">
        <f>IF($B71="","",IFERROR($Q71/$Q$5,""))</f>
        <v/>
      </c>
      <c r="U71" s="2">
        <f>IF($B71="","",IF(COUNTIFS('Dvd Calendar'!$E$721:$AR$721,"&gt;0",'Dvd Calendar'!$E$721:$AR$721,"&lt;="&amp;VAL_DATE,'Dvd Calendar'!$E$722:$AR$722,"&gt;"&amp;PROJ_FROM,'Dvd Calendar'!$E$722:$AR$722,"&lt;="&amp;DATE(YEAR_Y,12,31))-COUNTIFS('Dvd Calendar'!$E$721:$AR$721,"&gt;0",'Dvd Calendar'!$E$721:$AR$721,"&lt;="&amp;VAL_DATE,'Dvd Calendar'!$E$722:$AR$722,"&gt;"&amp;PROJ_FROM,'Dvd Calendar'!$E$722:$AR$722,"&lt;="&amp;DATE(YEAR_Y,12,31),'Dvd Calendar'!$E$723:$AR$723,"&gt;=0")&gt;0,"TBA amount - override me",IF((OV_SWITCH="ON")*(COUNTIFS(OVR_TICKERS,$C71,OVR_BASE,"&gt;=0")&gt;0)&gt;0,"overridden",IF($J71+$K71=0,"no dividend in year Y",""))))</f>
        <v/>
      </c>
      <c r="V71" s="65">
        <f>IF($B71="","",IFERROR(IF(ISNUMBER($H71),$B71*$G71*$H71/$B$3,0),""))</f>
        <v/>
      </c>
      <c r="W71" s="65">
        <f>IF($B71="","",IFERROR($B71*$G71*$K71/$B$3,""))</f>
        <v/>
      </c>
      <c r="X71" s="91">
        <f>IF($C71="","",BDP($C71,"PX_LAST"))</f>
        <v/>
      </c>
      <c r="Y71" s="65">
        <f>IF($B71="","",IFERROR($B71*$X71/$B$3,""))</f>
        <v/>
      </c>
      <c r="Z71" s="76">
        <f>IF($B71="","",IFERROR($Y71/$Y$5,""))</f>
        <v/>
      </c>
    </row>
    <row r="72">
      <c r="B72" s="89" t="n"/>
      <c r="C72" s="6">
        <f>IF($A72="","",$A72&amp;" Equity")</f>
        <v/>
      </c>
      <c r="D72" s="6">
        <f>IF($C72="","",BDP($C72,"NAME"))</f>
        <v/>
      </c>
      <c r="E72" s="6">
        <f>IF($C72="","",BDP($C72,"GICS_SECTOR_NAME"))</f>
        <v/>
      </c>
      <c r="F72" s="33">
        <f>IF($C72="","",BDP($C72,FLD_CCY))</f>
        <v/>
      </c>
      <c r="G72" s="90">
        <f>IFERROR(IF(LEN($F72)&lt;&gt;3,1,IF($F72="HKD",1,BDP(IF($F72="CNY",RMB_CROSS,$F72)&amp;"HKD Curncy","PX_LAST"))),1)</f>
        <v/>
      </c>
      <c r="H72" s="65">
        <f>IF($C72="","",BDP($C72,FLD_DPS12M))</f>
        <v/>
      </c>
      <c r="I72" s="47">
        <f>IF($C72="","",BDP($C72,FLD_YLD12M))</f>
        <v/>
      </c>
      <c r="J72" s="49">
        <f>IF($B72="",0,SUMPRODUCT(('Dvd Calendar'!$E$726:$AR$726&gt;=DATE(YEAR_Y,1,1))*('Dvd Calendar'!$E$726:$AR$726&lt;=REALIZED_TO)*'Dvd Calendar'!$E$729:$AR$729*(('Dvd Calendar'!$E$731:$AR$731=TYPE1)*(TYPE1&lt;&gt;"")+('Dvd Calendar'!$E$731:$AR$731=TYPE2)*(TYPE2&lt;&gt;"")+('Dvd Calendar'!$E$731:$AR$731=TYPE3)*(TYPE3&lt;&gt;"")+('Dvd Calendar'!$E$731:$AR$731=TYPE4)*(TYPE4&lt;&gt;"")+('Dvd Calendar'!$E$731:$AR$731=SPECIAL_LBL)*(INC_SPECIALS="Y"))))</f>
        <v/>
      </c>
      <c r="K72" s="49">
        <f>IF($B72="",0,SUMIFS('Dvd Calendar'!$E$734:$AR$734,'Dvd Calendar'!$E$733:$AR$733,"&gt;"&amp;PROJ_FROM,'Dvd Calendar'!$E$733:$AR$733,"&lt;="&amp;DATE(YEAR_Y,12,31)))</f>
        <v/>
      </c>
      <c r="L72" s="49">
        <f>IF($B72="",0,IF((OV_SWITCH="ON")*(COUNTIFS(OVR_TICKERS,$C72,OVR_BASE,"&gt;=0")&gt;0)&gt;0,SUMIFS(OVR_BASE,OVR_TICKERS,$C72),$K72))</f>
        <v/>
      </c>
      <c r="M72" s="49">
        <f>IF($B72="",0,IF((OV_SWITCH="ON")*(COUNTIFS(OVR_TICKERS,$C72,OVR_LOW,"&gt;=0")&gt;0)&gt;0,SUMIFS(OVR_LOW,OVR_TICKERS,$C72),$L72))</f>
        <v/>
      </c>
      <c r="N72" s="49">
        <f>IF($B72="",0,IF((OV_SWITCH="ON")*(COUNTIFS(OVR_TICKERS,$C72,OVR_HIGH,"&gt;=0")&gt;0)&gt;0,SUMIFS(OVR_HIGH,OVR_TICKERS,$C72),$L72))</f>
        <v/>
      </c>
      <c r="O72" s="65">
        <f>IF($B72="","",IFERROR($B72*$G72*$J72/$B$3,""))</f>
        <v/>
      </c>
      <c r="P72" s="65">
        <f>IF($B72="","",IFERROR($B72*$G72*$L72/$B$3,""))</f>
        <v/>
      </c>
      <c r="Q72" s="41">
        <f>IF($B72="","",IFERROR($O72+$P72,""))</f>
        <v/>
      </c>
      <c r="R72" s="65">
        <f>IF($B72="","",IFERROR($O72+$B72*$G72*$M72/$B$3,""))</f>
        <v/>
      </c>
      <c r="S72" s="65">
        <f>IF($B72="","",IFERROR($O72+$B72*$G72*$N72/$B$3,""))</f>
        <v/>
      </c>
      <c r="T72" s="80">
        <f>IF($B72="","",IFERROR($Q72/$Q$5,""))</f>
        <v/>
      </c>
      <c r="U72" s="2">
        <f>IF($B72="","",IF(COUNTIFS('Dvd Calendar'!$E$732:$AR$732,"&gt;0",'Dvd Calendar'!$E$732:$AR$732,"&lt;="&amp;VAL_DATE,'Dvd Calendar'!$E$733:$AR$733,"&gt;"&amp;PROJ_FROM,'Dvd Calendar'!$E$733:$AR$733,"&lt;="&amp;DATE(YEAR_Y,12,31))-COUNTIFS('Dvd Calendar'!$E$732:$AR$732,"&gt;0",'Dvd Calendar'!$E$732:$AR$732,"&lt;="&amp;VAL_DATE,'Dvd Calendar'!$E$733:$AR$733,"&gt;"&amp;PROJ_FROM,'Dvd Calendar'!$E$733:$AR$733,"&lt;="&amp;DATE(YEAR_Y,12,31),'Dvd Calendar'!$E$734:$AR$734,"&gt;=0")&gt;0,"TBA amount - override me",IF((OV_SWITCH="ON")*(COUNTIFS(OVR_TICKERS,$C72,OVR_BASE,"&gt;=0")&gt;0)&gt;0,"overridden",IF($J72+$K72=0,"no dividend in year Y",""))))</f>
        <v/>
      </c>
      <c r="V72" s="65">
        <f>IF($B72="","",IFERROR(IF(ISNUMBER($H72),$B72*$G72*$H72/$B$3,0),""))</f>
        <v/>
      </c>
      <c r="W72" s="65">
        <f>IF($B72="","",IFERROR($B72*$G72*$K72/$B$3,""))</f>
        <v/>
      </c>
      <c r="X72" s="91">
        <f>IF($C72="","",BDP($C72,"PX_LAST"))</f>
        <v/>
      </c>
      <c r="Y72" s="65">
        <f>IF($B72="","",IFERROR($B72*$X72/$B$3,""))</f>
        <v/>
      </c>
      <c r="Z72" s="76">
        <f>IF($B72="","",IFERROR($Y72/$Y$5,""))</f>
        <v/>
      </c>
    </row>
    <row r="73">
      <c r="B73" s="89" t="n"/>
      <c r="C73" s="6">
        <f>IF($A73="","",$A73&amp;" Equity")</f>
        <v/>
      </c>
      <c r="D73" s="6">
        <f>IF($C73="","",BDP($C73,"NAME"))</f>
        <v/>
      </c>
      <c r="E73" s="6">
        <f>IF($C73="","",BDP($C73,"GICS_SECTOR_NAME"))</f>
        <v/>
      </c>
      <c r="F73" s="33">
        <f>IF($C73="","",BDP($C73,FLD_CCY))</f>
        <v/>
      </c>
      <c r="G73" s="90">
        <f>IFERROR(IF(LEN($F73)&lt;&gt;3,1,IF($F73="HKD",1,BDP(IF($F73="CNY",RMB_CROSS,$F73)&amp;"HKD Curncy","PX_LAST"))),1)</f>
        <v/>
      </c>
      <c r="H73" s="65">
        <f>IF($C73="","",BDP($C73,FLD_DPS12M))</f>
        <v/>
      </c>
      <c r="I73" s="47">
        <f>IF($C73="","",BDP($C73,FLD_YLD12M))</f>
        <v/>
      </c>
      <c r="J73" s="49">
        <f>IF($B73="",0,SUMPRODUCT(('Dvd Calendar'!$E$737:$AR$737&gt;=DATE(YEAR_Y,1,1))*('Dvd Calendar'!$E$737:$AR$737&lt;=REALIZED_TO)*'Dvd Calendar'!$E$740:$AR$740*(('Dvd Calendar'!$E$742:$AR$742=TYPE1)*(TYPE1&lt;&gt;"")+('Dvd Calendar'!$E$742:$AR$742=TYPE2)*(TYPE2&lt;&gt;"")+('Dvd Calendar'!$E$742:$AR$742=TYPE3)*(TYPE3&lt;&gt;"")+('Dvd Calendar'!$E$742:$AR$742=TYPE4)*(TYPE4&lt;&gt;"")+('Dvd Calendar'!$E$742:$AR$742=SPECIAL_LBL)*(INC_SPECIALS="Y"))))</f>
        <v/>
      </c>
      <c r="K73" s="49">
        <f>IF($B73="",0,SUMIFS('Dvd Calendar'!$E$745:$AR$745,'Dvd Calendar'!$E$744:$AR$744,"&gt;"&amp;PROJ_FROM,'Dvd Calendar'!$E$744:$AR$744,"&lt;="&amp;DATE(YEAR_Y,12,31)))</f>
        <v/>
      </c>
      <c r="L73" s="49">
        <f>IF($B73="",0,IF((OV_SWITCH="ON")*(COUNTIFS(OVR_TICKERS,$C73,OVR_BASE,"&gt;=0")&gt;0)&gt;0,SUMIFS(OVR_BASE,OVR_TICKERS,$C73),$K73))</f>
        <v/>
      </c>
      <c r="M73" s="49">
        <f>IF($B73="",0,IF((OV_SWITCH="ON")*(COUNTIFS(OVR_TICKERS,$C73,OVR_LOW,"&gt;=0")&gt;0)&gt;0,SUMIFS(OVR_LOW,OVR_TICKERS,$C73),$L73))</f>
        <v/>
      </c>
      <c r="N73" s="49">
        <f>IF($B73="",0,IF((OV_SWITCH="ON")*(COUNTIFS(OVR_TICKERS,$C73,OVR_HIGH,"&gt;=0")&gt;0)&gt;0,SUMIFS(OVR_HIGH,OVR_TICKERS,$C73),$L73))</f>
        <v/>
      </c>
      <c r="O73" s="65">
        <f>IF($B73="","",IFERROR($B73*$G73*$J73/$B$3,""))</f>
        <v/>
      </c>
      <c r="P73" s="65">
        <f>IF($B73="","",IFERROR($B73*$G73*$L73/$B$3,""))</f>
        <v/>
      </c>
      <c r="Q73" s="41">
        <f>IF($B73="","",IFERROR($O73+$P73,""))</f>
        <v/>
      </c>
      <c r="R73" s="65">
        <f>IF($B73="","",IFERROR($O73+$B73*$G73*$M73/$B$3,""))</f>
        <v/>
      </c>
      <c r="S73" s="65">
        <f>IF($B73="","",IFERROR($O73+$B73*$G73*$N73/$B$3,""))</f>
        <v/>
      </c>
      <c r="T73" s="80">
        <f>IF($B73="","",IFERROR($Q73/$Q$5,""))</f>
        <v/>
      </c>
      <c r="U73" s="2">
        <f>IF($B73="","",IF(COUNTIFS('Dvd Calendar'!$E$743:$AR$743,"&gt;0",'Dvd Calendar'!$E$743:$AR$743,"&lt;="&amp;VAL_DATE,'Dvd Calendar'!$E$744:$AR$744,"&gt;"&amp;PROJ_FROM,'Dvd Calendar'!$E$744:$AR$744,"&lt;="&amp;DATE(YEAR_Y,12,31))-COUNTIFS('Dvd Calendar'!$E$743:$AR$743,"&gt;0",'Dvd Calendar'!$E$743:$AR$743,"&lt;="&amp;VAL_DATE,'Dvd Calendar'!$E$744:$AR$744,"&gt;"&amp;PROJ_FROM,'Dvd Calendar'!$E$744:$AR$744,"&lt;="&amp;DATE(YEAR_Y,12,31),'Dvd Calendar'!$E$745:$AR$745,"&gt;=0")&gt;0,"TBA amount - override me",IF((OV_SWITCH="ON")*(COUNTIFS(OVR_TICKERS,$C73,OVR_BASE,"&gt;=0")&gt;0)&gt;0,"overridden",IF($J73+$K73=0,"no dividend in year Y",""))))</f>
        <v/>
      </c>
      <c r="V73" s="65">
        <f>IF($B73="","",IFERROR(IF(ISNUMBER($H73),$B73*$G73*$H73/$B$3,0),""))</f>
        <v/>
      </c>
      <c r="W73" s="65">
        <f>IF($B73="","",IFERROR($B73*$G73*$K73/$B$3,""))</f>
        <v/>
      </c>
      <c r="X73" s="91">
        <f>IF($C73="","",BDP($C73,"PX_LAST"))</f>
        <v/>
      </c>
      <c r="Y73" s="65">
        <f>IF($B73="","",IFERROR($B73*$X73/$B$3,""))</f>
        <v/>
      </c>
      <c r="Z73" s="76">
        <f>IF($B73="","",IFERROR($Y73/$Y$5,""))</f>
        <v/>
      </c>
    </row>
    <row r="74">
      <c r="B74" s="89" t="n"/>
      <c r="C74" s="6">
        <f>IF($A74="","",$A74&amp;" Equity")</f>
        <v/>
      </c>
      <c r="D74" s="6">
        <f>IF($C74="","",BDP($C74,"NAME"))</f>
        <v/>
      </c>
      <c r="E74" s="6">
        <f>IF($C74="","",BDP($C74,"GICS_SECTOR_NAME"))</f>
        <v/>
      </c>
      <c r="F74" s="33">
        <f>IF($C74="","",BDP($C74,FLD_CCY))</f>
        <v/>
      </c>
      <c r="G74" s="90">
        <f>IFERROR(IF(LEN($F74)&lt;&gt;3,1,IF($F74="HKD",1,BDP(IF($F74="CNY",RMB_CROSS,$F74)&amp;"HKD Curncy","PX_LAST"))),1)</f>
        <v/>
      </c>
      <c r="H74" s="65">
        <f>IF($C74="","",BDP($C74,FLD_DPS12M))</f>
        <v/>
      </c>
      <c r="I74" s="47">
        <f>IF($C74="","",BDP($C74,FLD_YLD12M))</f>
        <v/>
      </c>
      <c r="J74" s="49">
        <f>IF($B74="",0,SUMPRODUCT(('Dvd Calendar'!$E$748:$AR$748&gt;=DATE(YEAR_Y,1,1))*('Dvd Calendar'!$E$748:$AR$748&lt;=REALIZED_TO)*'Dvd Calendar'!$E$751:$AR$751*(('Dvd Calendar'!$E$753:$AR$753=TYPE1)*(TYPE1&lt;&gt;"")+('Dvd Calendar'!$E$753:$AR$753=TYPE2)*(TYPE2&lt;&gt;"")+('Dvd Calendar'!$E$753:$AR$753=TYPE3)*(TYPE3&lt;&gt;"")+('Dvd Calendar'!$E$753:$AR$753=TYPE4)*(TYPE4&lt;&gt;"")+('Dvd Calendar'!$E$753:$AR$753=SPECIAL_LBL)*(INC_SPECIALS="Y"))))</f>
        <v/>
      </c>
      <c r="K74" s="49">
        <f>IF($B74="",0,SUMIFS('Dvd Calendar'!$E$756:$AR$756,'Dvd Calendar'!$E$755:$AR$755,"&gt;"&amp;PROJ_FROM,'Dvd Calendar'!$E$755:$AR$755,"&lt;="&amp;DATE(YEAR_Y,12,31)))</f>
        <v/>
      </c>
      <c r="L74" s="49">
        <f>IF($B74="",0,IF((OV_SWITCH="ON")*(COUNTIFS(OVR_TICKERS,$C74,OVR_BASE,"&gt;=0")&gt;0)&gt;0,SUMIFS(OVR_BASE,OVR_TICKERS,$C74),$K74))</f>
        <v/>
      </c>
      <c r="M74" s="49">
        <f>IF($B74="",0,IF((OV_SWITCH="ON")*(COUNTIFS(OVR_TICKERS,$C74,OVR_LOW,"&gt;=0")&gt;0)&gt;0,SUMIFS(OVR_LOW,OVR_TICKERS,$C74),$L74))</f>
        <v/>
      </c>
      <c r="N74" s="49">
        <f>IF($B74="",0,IF((OV_SWITCH="ON")*(COUNTIFS(OVR_TICKERS,$C74,OVR_HIGH,"&gt;=0")&gt;0)&gt;0,SUMIFS(OVR_HIGH,OVR_TICKERS,$C74),$L74))</f>
        <v/>
      </c>
      <c r="O74" s="65">
        <f>IF($B74="","",IFERROR($B74*$G74*$J74/$B$3,""))</f>
        <v/>
      </c>
      <c r="P74" s="65">
        <f>IF($B74="","",IFERROR($B74*$G74*$L74/$B$3,""))</f>
        <v/>
      </c>
      <c r="Q74" s="41">
        <f>IF($B74="","",IFERROR($O74+$P74,""))</f>
        <v/>
      </c>
      <c r="R74" s="65">
        <f>IF($B74="","",IFERROR($O74+$B74*$G74*$M74/$B$3,""))</f>
        <v/>
      </c>
      <c r="S74" s="65">
        <f>IF($B74="","",IFERROR($O74+$B74*$G74*$N74/$B$3,""))</f>
        <v/>
      </c>
      <c r="T74" s="80">
        <f>IF($B74="","",IFERROR($Q74/$Q$5,""))</f>
        <v/>
      </c>
      <c r="U74" s="2">
        <f>IF($B74="","",IF(COUNTIFS('Dvd Calendar'!$E$754:$AR$754,"&gt;0",'Dvd Calendar'!$E$754:$AR$754,"&lt;="&amp;VAL_DATE,'Dvd Calendar'!$E$755:$AR$755,"&gt;"&amp;PROJ_FROM,'Dvd Calendar'!$E$755:$AR$755,"&lt;="&amp;DATE(YEAR_Y,12,31))-COUNTIFS('Dvd Calendar'!$E$754:$AR$754,"&gt;0",'Dvd Calendar'!$E$754:$AR$754,"&lt;="&amp;VAL_DATE,'Dvd Calendar'!$E$755:$AR$755,"&gt;"&amp;PROJ_FROM,'Dvd Calendar'!$E$755:$AR$755,"&lt;="&amp;DATE(YEAR_Y,12,31),'Dvd Calendar'!$E$756:$AR$756,"&gt;=0")&gt;0,"TBA amount - override me",IF((OV_SWITCH="ON")*(COUNTIFS(OVR_TICKERS,$C74,OVR_BASE,"&gt;=0")&gt;0)&gt;0,"overridden",IF($J74+$K74=0,"no dividend in year Y",""))))</f>
        <v/>
      </c>
      <c r="V74" s="65">
        <f>IF($B74="","",IFERROR(IF(ISNUMBER($H74),$B74*$G74*$H74/$B$3,0),""))</f>
        <v/>
      </c>
      <c r="W74" s="65">
        <f>IF($B74="","",IFERROR($B74*$G74*$K74/$B$3,""))</f>
        <v/>
      </c>
      <c r="X74" s="91">
        <f>IF($C74="","",BDP($C74,"PX_LAST"))</f>
        <v/>
      </c>
      <c r="Y74" s="65">
        <f>IF($B74="","",IFERROR($B74*$X74/$B$3,""))</f>
        <v/>
      </c>
      <c r="Z74" s="76">
        <f>IF($B74="","",IFERROR($Y74/$Y$5,""))</f>
        <v/>
      </c>
    </row>
    <row r="75">
      <c r="B75" s="89" t="n"/>
      <c r="C75" s="6">
        <f>IF($A75="","",$A75&amp;" Equity")</f>
        <v/>
      </c>
      <c r="D75" s="6">
        <f>IF($C75="","",BDP($C75,"NAME"))</f>
        <v/>
      </c>
      <c r="E75" s="6">
        <f>IF($C75="","",BDP($C75,"GICS_SECTOR_NAME"))</f>
        <v/>
      </c>
      <c r="F75" s="33">
        <f>IF($C75="","",BDP($C75,FLD_CCY))</f>
        <v/>
      </c>
      <c r="G75" s="90">
        <f>IFERROR(IF(LEN($F75)&lt;&gt;3,1,IF($F75="HKD",1,BDP(IF($F75="CNY",RMB_CROSS,$F75)&amp;"HKD Curncy","PX_LAST"))),1)</f>
        <v/>
      </c>
      <c r="H75" s="65">
        <f>IF($C75="","",BDP($C75,FLD_DPS12M))</f>
        <v/>
      </c>
      <c r="I75" s="47">
        <f>IF($C75="","",BDP($C75,FLD_YLD12M))</f>
        <v/>
      </c>
      <c r="J75" s="49">
        <f>IF($B75="",0,SUMPRODUCT(('Dvd Calendar'!$E$759:$AR$759&gt;=DATE(YEAR_Y,1,1))*('Dvd Calendar'!$E$759:$AR$759&lt;=REALIZED_TO)*'Dvd Calendar'!$E$762:$AR$762*(('Dvd Calendar'!$E$764:$AR$764=TYPE1)*(TYPE1&lt;&gt;"")+('Dvd Calendar'!$E$764:$AR$764=TYPE2)*(TYPE2&lt;&gt;"")+('Dvd Calendar'!$E$764:$AR$764=TYPE3)*(TYPE3&lt;&gt;"")+('Dvd Calendar'!$E$764:$AR$764=TYPE4)*(TYPE4&lt;&gt;"")+('Dvd Calendar'!$E$764:$AR$764=SPECIAL_LBL)*(INC_SPECIALS="Y"))))</f>
        <v/>
      </c>
      <c r="K75" s="49">
        <f>IF($B75="",0,SUMIFS('Dvd Calendar'!$E$767:$AR$767,'Dvd Calendar'!$E$766:$AR$766,"&gt;"&amp;PROJ_FROM,'Dvd Calendar'!$E$766:$AR$766,"&lt;="&amp;DATE(YEAR_Y,12,31)))</f>
        <v/>
      </c>
      <c r="L75" s="49">
        <f>IF($B75="",0,IF((OV_SWITCH="ON")*(COUNTIFS(OVR_TICKERS,$C75,OVR_BASE,"&gt;=0")&gt;0)&gt;0,SUMIFS(OVR_BASE,OVR_TICKERS,$C75),$K75))</f>
        <v/>
      </c>
      <c r="M75" s="49">
        <f>IF($B75="",0,IF((OV_SWITCH="ON")*(COUNTIFS(OVR_TICKERS,$C75,OVR_LOW,"&gt;=0")&gt;0)&gt;0,SUMIFS(OVR_LOW,OVR_TICKERS,$C75),$L75))</f>
        <v/>
      </c>
      <c r="N75" s="49">
        <f>IF($B75="",0,IF((OV_SWITCH="ON")*(COUNTIFS(OVR_TICKERS,$C75,OVR_HIGH,"&gt;=0")&gt;0)&gt;0,SUMIFS(OVR_HIGH,OVR_TICKERS,$C75),$L75))</f>
        <v/>
      </c>
      <c r="O75" s="65">
        <f>IF($B75="","",IFERROR($B75*$G75*$J75/$B$3,""))</f>
        <v/>
      </c>
      <c r="P75" s="65">
        <f>IF($B75="","",IFERROR($B75*$G75*$L75/$B$3,""))</f>
        <v/>
      </c>
      <c r="Q75" s="41">
        <f>IF($B75="","",IFERROR($O75+$P75,""))</f>
        <v/>
      </c>
      <c r="R75" s="65">
        <f>IF($B75="","",IFERROR($O75+$B75*$G75*$M75/$B$3,""))</f>
        <v/>
      </c>
      <c r="S75" s="65">
        <f>IF($B75="","",IFERROR($O75+$B75*$G75*$N75/$B$3,""))</f>
        <v/>
      </c>
      <c r="T75" s="80">
        <f>IF($B75="","",IFERROR($Q75/$Q$5,""))</f>
        <v/>
      </c>
      <c r="U75" s="2">
        <f>IF($B75="","",IF(COUNTIFS('Dvd Calendar'!$E$765:$AR$765,"&gt;0",'Dvd Calendar'!$E$765:$AR$765,"&lt;="&amp;VAL_DATE,'Dvd Calendar'!$E$766:$AR$766,"&gt;"&amp;PROJ_FROM,'Dvd Calendar'!$E$766:$AR$766,"&lt;="&amp;DATE(YEAR_Y,12,31))-COUNTIFS('Dvd Calendar'!$E$765:$AR$765,"&gt;0",'Dvd Calendar'!$E$765:$AR$765,"&lt;="&amp;VAL_DATE,'Dvd Calendar'!$E$766:$AR$766,"&gt;"&amp;PROJ_FROM,'Dvd Calendar'!$E$766:$AR$766,"&lt;="&amp;DATE(YEAR_Y,12,31),'Dvd Calendar'!$E$767:$AR$767,"&gt;=0")&gt;0,"TBA amount - override me",IF((OV_SWITCH="ON")*(COUNTIFS(OVR_TICKERS,$C75,OVR_BASE,"&gt;=0")&gt;0)&gt;0,"overridden",IF($J75+$K75=0,"no dividend in year Y",""))))</f>
        <v/>
      </c>
      <c r="V75" s="65">
        <f>IF($B75="","",IFERROR(IF(ISNUMBER($H75),$B75*$G75*$H75/$B$3,0),""))</f>
        <v/>
      </c>
      <c r="W75" s="65">
        <f>IF($B75="","",IFERROR($B75*$G75*$K75/$B$3,""))</f>
        <v/>
      </c>
      <c r="X75" s="91">
        <f>IF($C75="","",BDP($C75,"PX_LAST"))</f>
        <v/>
      </c>
      <c r="Y75" s="65">
        <f>IF($B75="","",IFERROR($B75*$X75/$B$3,""))</f>
        <v/>
      </c>
      <c r="Z75" s="76">
        <f>IF($B75="","",IFERROR($Y75/$Y$5,""))</f>
        <v/>
      </c>
    </row>
    <row r="76">
      <c r="B76" s="89" t="n"/>
      <c r="C76" s="6">
        <f>IF($A76="","",$A76&amp;" Equity")</f>
        <v/>
      </c>
      <c r="D76" s="6">
        <f>IF($C76="","",BDP($C76,"NAME"))</f>
        <v/>
      </c>
      <c r="E76" s="6">
        <f>IF($C76="","",BDP($C76,"GICS_SECTOR_NAME"))</f>
        <v/>
      </c>
      <c r="F76" s="33">
        <f>IF($C76="","",BDP($C76,FLD_CCY))</f>
        <v/>
      </c>
      <c r="G76" s="90">
        <f>IFERROR(IF(LEN($F76)&lt;&gt;3,1,IF($F76="HKD",1,BDP(IF($F76="CNY",RMB_CROSS,$F76)&amp;"HKD Curncy","PX_LAST"))),1)</f>
        <v/>
      </c>
      <c r="H76" s="65">
        <f>IF($C76="","",BDP($C76,FLD_DPS12M))</f>
        <v/>
      </c>
      <c r="I76" s="47">
        <f>IF($C76="","",BDP($C76,FLD_YLD12M))</f>
        <v/>
      </c>
      <c r="J76" s="49">
        <f>IF($B76="",0,SUMPRODUCT(('Dvd Calendar'!$E$770:$AR$770&gt;=DATE(YEAR_Y,1,1))*('Dvd Calendar'!$E$770:$AR$770&lt;=REALIZED_TO)*'Dvd Calendar'!$E$773:$AR$773*(('Dvd Calendar'!$E$775:$AR$775=TYPE1)*(TYPE1&lt;&gt;"")+('Dvd Calendar'!$E$775:$AR$775=TYPE2)*(TYPE2&lt;&gt;"")+('Dvd Calendar'!$E$775:$AR$775=TYPE3)*(TYPE3&lt;&gt;"")+('Dvd Calendar'!$E$775:$AR$775=TYPE4)*(TYPE4&lt;&gt;"")+('Dvd Calendar'!$E$775:$AR$775=SPECIAL_LBL)*(INC_SPECIALS="Y"))))</f>
        <v/>
      </c>
      <c r="K76" s="49">
        <f>IF($B76="",0,SUMIFS('Dvd Calendar'!$E$778:$AR$778,'Dvd Calendar'!$E$777:$AR$777,"&gt;"&amp;PROJ_FROM,'Dvd Calendar'!$E$777:$AR$777,"&lt;="&amp;DATE(YEAR_Y,12,31)))</f>
        <v/>
      </c>
      <c r="L76" s="49">
        <f>IF($B76="",0,IF((OV_SWITCH="ON")*(COUNTIFS(OVR_TICKERS,$C76,OVR_BASE,"&gt;=0")&gt;0)&gt;0,SUMIFS(OVR_BASE,OVR_TICKERS,$C76),$K76))</f>
        <v/>
      </c>
      <c r="M76" s="49">
        <f>IF($B76="",0,IF((OV_SWITCH="ON")*(COUNTIFS(OVR_TICKERS,$C76,OVR_LOW,"&gt;=0")&gt;0)&gt;0,SUMIFS(OVR_LOW,OVR_TICKERS,$C76),$L76))</f>
        <v/>
      </c>
      <c r="N76" s="49">
        <f>IF($B76="",0,IF((OV_SWITCH="ON")*(COUNTIFS(OVR_TICKERS,$C76,OVR_HIGH,"&gt;=0")&gt;0)&gt;0,SUMIFS(OVR_HIGH,OVR_TICKERS,$C76),$L76))</f>
        <v/>
      </c>
      <c r="O76" s="65">
        <f>IF($B76="","",IFERROR($B76*$G76*$J76/$B$3,""))</f>
        <v/>
      </c>
      <c r="P76" s="65">
        <f>IF($B76="","",IFERROR($B76*$G76*$L76/$B$3,""))</f>
        <v/>
      </c>
      <c r="Q76" s="41">
        <f>IF($B76="","",IFERROR($O76+$P76,""))</f>
        <v/>
      </c>
      <c r="R76" s="65">
        <f>IF($B76="","",IFERROR($O76+$B76*$G76*$M76/$B$3,""))</f>
        <v/>
      </c>
      <c r="S76" s="65">
        <f>IF($B76="","",IFERROR($O76+$B76*$G76*$N76/$B$3,""))</f>
        <v/>
      </c>
      <c r="T76" s="80">
        <f>IF($B76="","",IFERROR($Q76/$Q$5,""))</f>
        <v/>
      </c>
      <c r="U76" s="2">
        <f>IF($B76="","",IF(COUNTIFS('Dvd Calendar'!$E$776:$AR$776,"&gt;0",'Dvd Calendar'!$E$776:$AR$776,"&lt;="&amp;VAL_DATE,'Dvd Calendar'!$E$777:$AR$777,"&gt;"&amp;PROJ_FROM,'Dvd Calendar'!$E$777:$AR$777,"&lt;="&amp;DATE(YEAR_Y,12,31))-COUNTIFS('Dvd Calendar'!$E$776:$AR$776,"&gt;0",'Dvd Calendar'!$E$776:$AR$776,"&lt;="&amp;VAL_DATE,'Dvd Calendar'!$E$777:$AR$777,"&gt;"&amp;PROJ_FROM,'Dvd Calendar'!$E$777:$AR$777,"&lt;="&amp;DATE(YEAR_Y,12,31),'Dvd Calendar'!$E$778:$AR$778,"&gt;=0")&gt;0,"TBA amount - override me",IF((OV_SWITCH="ON")*(COUNTIFS(OVR_TICKERS,$C76,OVR_BASE,"&gt;=0")&gt;0)&gt;0,"overridden",IF($J76+$K76=0,"no dividend in year Y",""))))</f>
        <v/>
      </c>
      <c r="V76" s="65">
        <f>IF($B76="","",IFERROR(IF(ISNUMBER($H76),$B76*$G76*$H76/$B$3,0),""))</f>
        <v/>
      </c>
      <c r="W76" s="65">
        <f>IF($B76="","",IFERROR($B76*$G76*$K76/$B$3,""))</f>
        <v/>
      </c>
      <c r="X76" s="91">
        <f>IF($C76="","",BDP($C76,"PX_LAST"))</f>
        <v/>
      </c>
      <c r="Y76" s="65">
        <f>IF($B76="","",IFERROR($B76*$X76/$B$3,""))</f>
        <v/>
      </c>
      <c r="Z76" s="76">
        <f>IF($B76="","",IFERROR($Y76/$Y$5,""))</f>
        <v/>
      </c>
    </row>
    <row r="77">
      <c r="B77" s="89" t="n"/>
      <c r="C77" s="6">
        <f>IF($A77="","",$A77&amp;" Equity")</f>
        <v/>
      </c>
      <c r="D77" s="6">
        <f>IF($C77="","",BDP($C77,"NAME"))</f>
        <v/>
      </c>
      <c r="E77" s="6">
        <f>IF($C77="","",BDP($C77,"GICS_SECTOR_NAME"))</f>
        <v/>
      </c>
      <c r="F77" s="33">
        <f>IF($C77="","",BDP($C77,FLD_CCY))</f>
        <v/>
      </c>
      <c r="G77" s="90">
        <f>IFERROR(IF(LEN($F77)&lt;&gt;3,1,IF($F77="HKD",1,BDP(IF($F77="CNY",RMB_CROSS,$F77)&amp;"HKD Curncy","PX_LAST"))),1)</f>
        <v/>
      </c>
      <c r="H77" s="65">
        <f>IF($C77="","",BDP($C77,FLD_DPS12M))</f>
        <v/>
      </c>
      <c r="I77" s="47">
        <f>IF($C77="","",BDP($C77,FLD_YLD12M))</f>
        <v/>
      </c>
      <c r="J77" s="49">
        <f>IF($B77="",0,SUMPRODUCT(('Dvd Calendar'!$E$781:$AR$781&gt;=DATE(YEAR_Y,1,1))*('Dvd Calendar'!$E$781:$AR$781&lt;=REALIZED_TO)*'Dvd Calendar'!$E$784:$AR$784*(('Dvd Calendar'!$E$786:$AR$786=TYPE1)*(TYPE1&lt;&gt;"")+('Dvd Calendar'!$E$786:$AR$786=TYPE2)*(TYPE2&lt;&gt;"")+('Dvd Calendar'!$E$786:$AR$786=TYPE3)*(TYPE3&lt;&gt;"")+('Dvd Calendar'!$E$786:$AR$786=TYPE4)*(TYPE4&lt;&gt;"")+('Dvd Calendar'!$E$786:$AR$786=SPECIAL_LBL)*(INC_SPECIALS="Y"))))</f>
        <v/>
      </c>
      <c r="K77" s="49">
        <f>IF($B77="",0,SUMIFS('Dvd Calendar'!$E$789:$AR$789,'Dvd Calendar'!$E$788:$AR$788,"&gt;"&amp;PROJ_FROM,'Dvd Calendar'!$E$788:$AR$788,"&lt;="&amp;DATE(YEAR_Y,12,31)))</f>
        <v/>
      </c>
      <c r="L77" s="49">
        <f>IF($B77="",0,IF((OV_SWITCH="ON")*(COUNTIFS(OVR_TICKERS,$C77,OVR_BASE,"&gt;=0")&gt;0)&gt;0,SUMIFS(OVR_BASE,OVR_TICKERS,$C77),$K77))</f>
        <v/>
      </c>
      <c r="M77" s="49">
        <f>IF($B77="",0,IF((OV_SWITCH="ON")*(COUNTIFS(OVR_TICKERS,$C77,OVR_LOW,"&gt;=0")&gt;0)&gt;0,SUMIFS(OVR_LOW,OVR_TICKERS,$C77),$L77))</f>
        <v/>
      </c>
      <c r="N77" s="49">
        <f>IF($B77="",0,IF((OV_SWITCH="ON")*(COUNTIFS(OVR_TICKERS,$C77,OVR_HIGH,"&gt;=0")&gt;0)&gt;0,SUMIFS(OVR_HIGH,OVR_TICKERS,$C77),$L77))</f>
        <v/>
      </c>
      <c r="O77" s="65">
        <f>IF($B77="","",IFERROR($B77*$G77*$J77/$B$3,""))</f>
        <v/>
      </c>
      <c r="P77" s="65">
        <f>IF($B77="","",IFERROR($B77*$G77*$L77/$B$3,""))</f>
        <v/>
      </c>
      <c r="Q77" s="41">
        <f>IF($B77="","",IFERROR($O77+$P77,""))</f>
        <v/>
      </c>
      <c r="R77" s="65">
        <f>IF($B77="","",IFERROR($O77+$B77*$G77*$M77/$B$3,""))</f>
        <v/>
      </c>
      <c r="S77" s="65">
        <f>IF($B77="","",IFERROR($O77+$B77*$G77*$N77/$B$3,""))</f>
        <v/>
      </c>
      <c r="T77" s="80">
        <f>IF($B77="","",IFERROR($Q77/$Q$5,""))</f>
        <v/>
      </c>
      <c r="U77" s="2">
        <f>IF($B77="","",IF(COUNTIFS('Dvd Calendar'!$E$787:$AR$787,"&gt;0",'Dvd Calendar'!$E$787:$AR$787,"&lt;="&amp;VAL_DATE,'Dvd Calendar'!$E$788:$AR$788,"&gt;"&amp;PROJ_FROM,'Dvd Calendar'!$E$788:$AR$788,"&lt;="&amp;DATE(YEAR_Y,12,31))-COUNTIFS('Dvd Calendar'!$E$787:$AR$787,"&gt;0",'Dvd Calendar'!$E$787:$AR$787,"&lt;="&amp;VAL_DATE,'Dvd Calendar'!$E$788:$AR$788,"&gt;"&amp;PROJ_FROM,'Dvd Calendar'!$E$788:$AR$788,"&lt;="&amp;DATE(YEAR_Y,12,31),'Dvd Calendar'!$E$789:$AR$789,"&gt;=0")&gt;0,"TBA amount - override me",IF((OV_SWITCH="ON")*(COUNTIFS(OVR_TICKERS,$C77,OVR_BASE,"&gt;=0")&gt;0)&gt;0,"overridden",IF($J77+$K77=0,"no dividend in year Y",""))))</f>
        <v/>
      </c>
      <c r="V77" s="65">
        <f>IF($B77="","",IFERROR(IF(ISNUMBER($H77),$B77*$G77*$H77/$B$3,0),""))</f>
        <v/>
      </c>
      <c r="W77" s="65">
        <f>IF($B77="","",IFERROR($B77*$G77*$K77/$B$3,""))</f>
        <v/>
      </c>
      <c r="X77" s="91">
        <f>IF($C77="","",BDP($C77,"PX_LAST"))</f>
        <v/>
      </c>
      <c r="Y77" s="65">
        <f>IF($B77="","",IFERROR($B77*$X77/$B$3,""))</f>
        <v/>
      </c>
      <c r="Z77" s="76">
        <f>IF($B77="","",IFERROR($Y77/$Y$5,""))</f>
        <v/>
      </c>
    </row>
    <row r="78">
      <c r="B78" s="89" t="n"/>
      <c r="C78" s="6">
        <f>IF($A78="","",$A78&amp;" Equity")</f>
        <v/>
      </c>
      <c r="D78" s="6">
        <f>IF($C78="","",BDP($C78,"NAME"))</f>
        <v/>
      </c>
      <c r="E78" s="6">
        <f>IF($C78="","",BDP($C78,"GICS_SECTOR_NAME"))</f>
        <v/>
      </c>
      <c r="F78" s="33">
        <f>IF($C78="","",BDP($C78,FLD_CCY))</f>
        <v/>
      </c>
      <c r="G78" s="90">
        <f>IFERROR(IF(LEN($F78)&lt;&gt;3,1,IF($F78="HKD",1,BDP(IF($F78="CNY",RMB_CROSS,$F78)&amp;"HKD Curncy","PX_LAST"))),1)</f>
        <v/>
      </c>
      <c r="H78" s="65">
        <f>IF($C78="","",BDP($C78,FLD_DPS12M))</f>
        <v/>
      </c>
      <c r="I78" s="47">
        <f>IF($C78="","",BDP($C78,FLD_YLD12M))</f>
        <v/>
      </c>
      <c r="J78" s="49">
        <f>IF($B78="",0,SUMPRODUCT(('Dvd Calendar'!$E$792:$AR$792&gt;=DATE(YEAR_Y,1,1))*('Dvd Calendar'!$E$792:$AR$792&lt;=REALIZED_TO)*'Dvd Calendar'!$E$795:$AR$795*(('Dvd Calendar'!$E$797:$AR$797=TYPE1)*(TYPE1&lt;&gt;"")+('Dvd Calendar'!$E$797:$AR$797=TYPE2)*(TYPE2&lt;&gt;"")+('Dvd Calendar'!$E$797:$AR$797=TYPE3)*(TYPE3&lt;&gt;"")+('Dvd Calendar'!$E$797:$AR$797=TYPE4)*(TYPE4&lt;&gt;"")+('Dvd Calendar'!$E$797:$AR$797=SPECIAL_LBL)*(INC_SPECIALS="Y"))))</f>
        <v/>
      </c>
      <c r="K78" s="49">
        <f>IF($B78="",0,SUMIFS('Dvd Calendar'!$E$800:$AR$800,'Dvd Calendar'!$E$799:$AR$799,"&gt;"&amp;PROJ_FROM,'Dvd Calendar'!$E$799:$AR$799,"&lt;="&amp;DATE(YEAR_Y,12,31)))</f>
        <v/>
      </c>
      <c r="L78" s="49">
        <f>IF($B78="",0,IF((OV_SWITCH="ON")*(COUNTIFS(OVR_TICKERS,$C78,OVR_BASE,"&gt;=0")&gt;0)&gt;0,SUMIFS(OVR_BASE,OVR_TICKERS,$C78),$K78))</f>
        <v/>
      </c>
      <c r="M78" s="49">
        <f>IF($B78="",0,IF((OV_SWITCH="ON")*(COUNTIFS(OVR_TICKERS,$C78,OVR_LOW,"&gt;=0")&gt;0)&gt;0,SUMIFS(OVR_LOW,OVR_TICKERS,$C78),$L78))</f>
        <v/>
      </c>
      <c r="N78" s="49">
        <f>IF($B78="",0,IF((OV_SWITCH="ON")*(COUNTIFS(OVR_TICKERS,$C78,OVR_HIGH,"&gt;=0")&gt;0)&gt;0,SUMIFS(OVR_HIGH,OVR_TICKERS,$C78),$L78))</f>
        <v/>
      </c>
      <c r="O78" s="65">
        <f>IF($B78="","",IFERROR($B78*$G78*$J78/$B$3,""))</f>
        <v/>
      </c>
      <c r="P78" s="65">
        <f>IF($B78="","",IFERROR($B78*$G78*$L78/$B$3,""))</f>
        <v/>
      </c>
      <c r="Q78" s="41">
        <f>IF($B78="","",IFERROR($O78+$P78,""))</f>
        <v/>
      </c>
      <c r="R78" s="65">
        <f>IF($B78="","",IFERROR($O78+$B78*$G78*$M78/$B$3,""))</f>
        <v/>
      </c>
      <c r="S78" s="65">
        <f>IF($B78="","",IFERROR($O78+$B78*$G78*$N78/$B$3,""))</f>
        <v/>
      </c>
      <c r="T78" s="80">
        <f>IF($B78="","",IFERROR($Q78/$Q$5,""))</f>
        <v/>
      </c>
      <c r="U78" s="2">
        <f>IF($B78="","",IF(COUNTIFS('Dvd Calendar'!$E$798:$AR$798,"&gt;0",'Dvd Calendar'!$E$798:$AR$798,"&lt;="&amp;VAL_DATE,'Dvd Calendar'!$E$799:$AR$799,"&gt;"&amp;PROJ_FROM,'Dvd Calendar'!$E$799:$AR$799,"&lt;="&amp;DATE(YEAR_Y,12,31))-COUNTIFS('Dvd Calendar'!$E$798:$AR$798,"&gt;0",'Dvd Calendar'!$E$798:$AR$798,"&lt;="&amp;VAL_DATE,'Dvd Calendar'!$E$799:$AR$799,"&gt;"&amp;PROJ_FROM,'Dvd Calendar'!$E$799:$AR$799,"&lt;="&amp;DATE(YEAR_Y,12,31),'Dvd Calendar'!$E$800:$AR$800,"&gt;=0")&gt;0,"TBA amount - override me",IF((OV_SWITCH="ON")*(COUNTIFS(OVR_TICKERS,$C78,OVR_BASE,"&gt;=0")&gt;0)&gt;0,"overridden",IF($J78+$K78=0,"no dividend in year Y",""))))</f>
        <v/>
      </c>
      <c r="V78" s="65">
        <f>IF($B78="","",IFERROR(IF(ISNUMBER($H78),$B78*$G78*$H78/$B$3,0),""))</f>
        <v/>
      </c>
      <c r="W78" s="65">
        <f>IF($B78="","",IFERROR($B78*$G78*$K78/$B$3,""))</f>
        <v/>
      </c>
      <c r="X78" s="91">
        <f>IF($C78="","",BDP($C78,"PX_LAST"))</f>
        <v/>
      </c>
      <c r="Y78" s="65">
        <f>IF($B78="","",IFERROR($B78*$X78/$B$3,""))</f>
        <v/>
      </c>
      <c r="Z78" s="76">
        <f>IF($B78="","",IFERROR($Y78/$Y$5,""))</f>
        <v/>
      </c>
    </row>
    <row r="79">
      <c r="B79" s="89" t="n"/>
      <c r="C79" s="6">
        <f>IF($A79="","",$A79&amp;" Equity")</f>
        <v/>
      </c>
      <c r="D79" s="6">
        <f>IF($C79="","",BDP($C79,"NAME"))</f>
        <v/>
      </c>
      <c r="E79" s="6">
        <f>IF($C79="","",BDP($C79,"GICS_SECTOR_NAME"))</f>
        <v/>
      </c>
      <c r="F79" s="33">
        <f>IF($C79="","",BDP($C79,FLD_CCY))</f>
        <v/>
      </c>
      <c r="G79" s="90">
        <f>IFERROR(IF(LEN($F79)&lt;&gt;3,1,IF($F79="HKD",1,BDP(IF($F79="CNY",RMB_CROSS,$F79)&amp;"HKD Curncy","PX_LAST"))),1)</f>
        <v/>
      </c>
      <c r="H79" s="65">
        <f>IF($C79="","",BDP($C79,FLD_DPS12M))</f>
        <v/>
      </c>
      <c r="I79" s="47">
        <f>IF($C79="","",BDP($C79,FLD_YLD12M))</f>
        <v/>
      </c>
      <c r="J79" s="49">
        <f>IF($B79="",0,SUMPRODUCT(('Dvd Calendar'!$E$803:$AR$803&gt;=DATE(YEAR_Y,1,1))*('Dvd Calendar'!$E$803:$AR$803&lt;=REALIZED_TO)*'Dvd Calendar'!$E$806:$AR$806*(('Dvd Calendar'!$E$808:$AR$808=TYPE1)*(TYPE1&lt;&gt;"")+('Dvd Calendar'!$E$808:$AR$808=TYPE2)*(TYPE2&lt;&gt;"")+('Dvd Calendar'!$E$808:$AR$808=TYPE3)*(TYPE3&lt;&gt;"")+('Dvd Calendar'!$E$808:$AR$808=TYPE4)*(TYPE4&lt;&gt;"")+('Dvd Calendar'!$E$808:$AR$808=SPECIAL_LBL)*(INC_SPECIALS="Y"))))</f>
        <v/>
      </c>
      <c r="K79" s="49">
        <f>IF($B79="",0,SUMIFS('Dvd Calendar'!$E$811:$AR$811,'Dvd Calendar'!$E$810:$AR$810,"&gt;"&amp;PROJ_FROM,'Dvd Calendar'!$E$810:$AR$810,"&lt;="&amp;DATE(YEAR_Y,12,31)))</f>
        <v/>
      </c>
      <c r="L79" s="49">
        <f>IF($B79="",0,IF((OV_SWITCH="ON")*(COUNTIFS(OVR_TICKERS,$C79,OVR_BASE,"&gt;=0")&gt;0)&gt;0,SUMIFS(OVR_BASE,OVR_TICKERS,$C79),$K79))</f>
        <v/>
      </c>
      <c r="M79" s="49">
        <f>IF($B79="",0,IF((OV_SWITCH="ON")*(COUNTIFS(OVR_TICKERS,$C79,OVR_LOW,"&gt;=0")&gt;0)&gt;0,SUMIFS(OVR_LOW,OVR_TICKERS,$C79),$L79))</f>
        <v/>
      </c>
      <c r="N79" s="49">
        <f>IF($B79="",0,IF((OV_SWITCH="ON")*(COUNTIFS(OVR_TICKERS,$C79,OVR_HIGH,"&gt;=0")&gt;0)&gt;0,SUMIFS(OVR_HIGH,OVR_TICKERS,$C79),$L79))</f>
        <v/>
      </c>
      <c r="O79" s="65">
        <f>IF($B79="","",IFERROR($B79*$G79*$J79/$B$3,""))</f>
        <v/>
      </c>
      <c r="P79" s="65">
        <f>IF($B79="","",IFERROR($B79*$G79*$L79/$B$3,""))</f>
        <v/>
      </c>
      <c r="Q79" s="41">
        <f>IF($B79="","",IFERROR($O79+$P79,""))</f>
        <v/>
      </c>
      <c r="R79" s="65">
        <f>IF($B79="","",IFERROR($O79+$B79*$G79*$M79/$B$3,""))</f>
        <v/>
      </c>
      <c r="S79" s="65">
        <f>IF($B79="","",IFERROR($O79+$B79*$G79*$N79/$B$3,""))</f>
        <v/>
      </c>
      <c r="T79" s="80">
        <f>IF($B79="","",IFERROR($Q79/$Q$5,""))</f>
        <v/>
      </c>
      <c r="U79" s="2">
        <f>IF($B79="","",IF(COUNTIFS('Dvd Calendar'!$E$809:$AR$809,"&gt;0",'Dvd Calendar'!$E$809:$AR$809,"&lt;="&amp;VAL_DATE,'Dvd Calendar'!$E$810:$AR$810,"&gt;"&amp;PROJ_FROM,'Dvd Calendar'!$E$810:$AR$810,"&lt;="&amp;DATE(YEAR_Y,12,31))-COUNTIFS('Dvd Calendar'!$E$809:$AR$809,"&gt;0",'Dvd Calendar'!$E$809:$AR$809,"&lt;="&amp;VAL_DATE,'Dvd Calendar'!$E$810:$AR$810,"&gt;"&amp;PROJ_FROM,'Dvd Calendar'!$E$810:$AR$810,"&lt;="&amp;DATE(YEAR_Y,12,31),'Dvd Calendar'!$E$811:$AR$811,"&gt;=0")&gt;0,"TBA amount - override me",IF((OV_SWITCH="ON")*(COUNTIFS(OVR_TICKERS,$C79,OVR_BASE,"&gt;=0")&gt;0)&gt;0,"overridden",IF($J79+$K79=0,"no dividend in year Y",""))))</f>
        <v/>
      </c>
      <c r="V79" s="65">
        <f>IF($B79="","",IFERROR(IF(ISNUMBER($H79),$B79*$G79*$H79/$B$3,0),""))</f>
        <v/>
      </c>
      <c r="W79" s="65">
        <f>IF($B79="","",IFERROR($B79*$G79*$K79/$B$3,""))</f>
        <v/>
      </c>
      <c r="X79" s="91">
        <f>IF($C79="","",BDP($C79,"PX_LAST"))</f>
        <v/>
      </c>
      <c r="Y79" s="65">
        <f>IF($B79="","",IFERROR($B79*$X79/$B$3,""))</f>
        <v/>
      </c>
      <c r="Z79" s="76">
        <f>IF($B79="","",IFERROR($Y79/$Y$5,""))</f>
        <v/>
      </c>
    </row>
    <row r="80">
      <c r="B80" s="89" t="n"/>
      <c r="C80" s="6">
        <f>IF($A80="","",$A80&amp;" Equity")</f>
        <v/>
      </c>
      <c r="D80" s="6">
        <f>IF($C80="","",BDP($C80,"NAME"))</f>
        <v/>
      </c>
      <c r="E80" s="6">
        <f>IF($C80="","",BDP($C80,"GICS_SECTOR_NAME"))</f>
        <v/>
      </c>
      <c r="F80" s="33">
        <f>IF($C80="","",BDP($C80,FLD_CCY))</f>
        <v/>
      </c>
      <c r="G80" s="90">
        <f>IFERROR(IF(LEN($F80)&lt;&gt;3,1,IF($F80="HKD",1,BDP(IF($F80="CNY",RMB_CROSS,$F80)&amp;"HKD Curncy","PX_LAST"))),1)</f>
        <v/>
      </c>
      <c r="H80" s="65">
        <f>IF($C80="","",BDP($C80,FLD_DPS12M))</f>
        <v/>
      </c>
      <c r="I80" s="47">
        <f>IF($C80="","",BDP($C80,FLD_YLD12M))</f>
        <v/>
      </c>
      <c r="J80" s="49">
        <f>IF($B80="",0,SUMPRODUCT(('Dvd Calendar'!$E$814:$AR$814&gt;=DATE(YEAR_Y,1,1))*('Dvd Calendar'!$E$814:$AR$814&lt;=REALIZED_TO)*'Dvd Calendar'!$E$817:$AR$817*(('Dvd Calendar'!$E$819:$AR$819=TYPE1)*(TYPE1&lt;&gt;"")+('Dvd Calendar'!$E$819:$AR$819=TYPE2)*(TYPE2&lt;&gt;"")+('Dvd Calendar'!$E$819:$AR$819=TYPE3)*(TYPE3&lt;&gt;"")+('Dvd Calendar'!$E$819:$AR$819=TYPE4)*(TYPE4&lt;&gt;"")+('Dvd Calendar'!$E$819:$AR$819=SPECIAL_LBL)*(INC_SPECIALS="Y"))))</f>
        <v/>
      </c>
      <c r="K80" s="49">
        <f>IF($B80="",0,SUMIFS('Dvd Calendar'!$E$822:$AR$822,'Dvd Calendar'!$E$821:$AR$821,"&gt;"&amp;PROJ_FROM,'Dvd Calendar'!$E$821:$AR$821,"&lt;="&amp;DATE(YEAR_Y,12,31)))</f>
        <v/>
      </c>
      <c r="L80" s="49">
        <f>IF($B80="",0,IF((OV_SWITCH="ON")*(COUNTIFS(OVR_TICKERS,$C80,OVR_BASE,"&gt;=0")&gt;0)&gt;0,SUMIFS(OVR_BASE,OVR_TICKERS,$C80),$K80))</f>
        <v/>
      </c>
      <c r="M80" s="49">
        <f>IF($B80="",0,IF((OV_SWITCH="ON")*(COUNTIFS(OVR_TICKERS,$C80,OVR_LOW,"&gt;=0")&gt;0)&gt;0,SUMIFS(OVR_LOW,OVR_TICKERS,$C80),$L80))</f>
        <v/>
      </c>
      <c r="N80" s="49">
        <f>IF($B80="",0,IF((OV_SWITCH="ON")*(COUNTIFS(OVR_TICKERS,$C80,OVR_HIGH,"&gt;=0")&gt;0)&gt;0,SUMIFS(OVR_HIGH,OVR_TICKERS,$C80),$L80))</f>
        <v/>
      </c>
      <c r="O80" s="65">
        <f>IF($B80="","",IFERROR($B80*$G80*$J80/$B$3,""))</f>
        <v/>
      </c>
      <c r="P80" s="65">
        <f>IF($B80="","",IFERROR($B80*$G80*$L80/$B$3,""))</f>
        <v/>
      </c>
      <c r="Q80" s="41">
        <f>IF($B80="","",IFERROR($O80+$P80,""))</f>
        <v/>
      </c>
      <c r="R80" s="65">
        <f>IF($B80="","",IFERROR($O80+$B80*$G80*$M80/$B$3,""))</f>
        <v/>
      </c>
      <c r="S80" s="65">
        <f>IF($B80="","",IFERROR($O80+$B80*$G80*$N80/$B$3,""))</f>
        <v/>
      </c>
      <c r="T80" s="80">
        <f>IF($B80="","",IFERROR($Q80/$Q$5,""))</f>
        <v/>
      </c>
      <c r="U80" s="2">
        <f>IF($B80="","",IF(COUNTIFS('Dvd Calendar'!$E$820:$AR$820,"&gt;0",'Dvd Calendar'!$E$820:$AR$820,"&lt;="&amp;VAL_DATE,'Dvd Calendar'!$E$821:$AR$821,"&gt;"&amp;PROJ_FROM,'Dvd Calendar'!$E$821:$AR$821,"&lt;="&amp;DATE(YEAR_Y,12,31))-COUNTIFS('Dvd Calendar'!$E$820:$AR$820,"&gt;0",'Dvd Calendar'!$E$820:$AR$820,"&lt;="&amp;VAL_DATE,'Dvd Calendar'!$E$821:$AR$821,"&gt;"&amp;PROJ_FROM,'Dvd Calendar'!$E$821:$AR$821,"&lt;="&amp;DATE(YEAR_Y,12,31),'Dvd Calendar'!$E$822:$AR$822,"&gt;=0")&gt;0,"TBA amount - override me",IF((OV_SWITCH="ON")*(COUNTIFS(OVR_TICKERS,$C80,OVR_BASE,"&gt;=0")&gt;0)&gt;0,"overridden",IF($J80+$K80=0,"no dividend in year Y",""))))</f>
        <v/>
      </c>
      <c r="V80" s="65">
        <f>IF($B80="","",IFERROR(IF(ISNUMBER($H80),$B80*$G80*$H80/$B$3,0),""))</f>
        <v/>
      </c>
      <c r="W80" s="65">
        <f>IF($B80="","",IFERROR($B80*$G80*$K80/$B$3,""))</f>
        <v/>
      </c>
      <c r="X80" s="91">
        <f>IF($C80="","",BDP($C80,"PX_LAST"))</f>
        <v/>
      </c>
      <c r="Y80" s="65">
        <f>IF($B80="","",IFERROR($B80*$X80/$B$3,""))</f>
        <v/>
      </c>
      <c r="Z80" s="76">
        <f>IF($B80="","",IFERROR($Y80/$Y$5,""))</f>
        <v/>
      </c>
    </row>
    <row r="81">
      <c r="B81" s="89" t="n"/>
      <c r="C81" s="6">
        <f>IF($A81="","",$A81&amp;" Equity")</f>
        <v/>
      </c>
      <c r="D81" s="6">
        <f>IF($C81="","",BDP($C81,"NAME"))</f>
        <v/>
      </c>
      <c r="E81" s="6">
        <f>IF($C81="","",BDP($C81,"GICS_SECTOR_NAME"))</f>
        <v/>
      </c>
      <c r="F81" s="33">
        <f>IF($C81="","",BDP($C81,FLD_CCY))</f>
        <v/>
      </c>
      <c r="G81" s="90">
        <f>IFERROR(IF(LEN($F81)&lt;&gt;3,1,IF($F81="HKD",1,BDP(IF($F81="CNY",RMB_CROSS,$F81)&amp;"HKD Curncy","PX_LAST"))),1)</f>
        <v/>
      </c>
      <c r="H81" s="65">
        <f>IF($C81="","",BDP($C81,FLD_DPS12M))</f>
        <v/>
      </c>
      <c r="I81" s="47">
        <f>IF($C81="","",BDP($C81,FLD_YLD12M))</f>
        <v/>
      </c>
      <c r="J81" s="49">
        <f>IF($B81="",0,SUMPRODUCT(('Dvd Calendar'!$E$825:$AR$825&gt;=DATE(YEAR_Y,1,1))*('Dvd Calendar'!$E$825:$AR$825&lt;=REALIZED_TO)*'Dvd Calendar'!$E$828:$AR$828*(('Dvd Calendar'!$E$830:$AR$830=TYPE1)*(TYPE1&lt;&gt;"")+('Dvd Calendar'!$E$830:$AR$830=TYPE2)*(TYPE2&lt;&gt;"")+('Dvd Calendar'!$E$830:$AR$830=TYPE3)*(TYPE3&lt;&gt;"")+('Dvd Calendar'!$E$830:$AR$830=TYPE4)*(TYPE4&lt;&gt;"")+('Dvd Calendar'!$E$830:$AR$830=SPECIAL_LBL)*(INC_SPECIALS="Y"))))</f>
        <v/>
      </c>
      <c r="K81" s="49">
        <f>IF($B81="",0,SUMIFS('Dvd Calendar'!$E$833:$AR$833,'Dvd Calendar'!$E$832:$AR$832,"&gt;"&amp;PROJ_FROM,'Dvd Calendar'!$E$832:$AR$832,"&lt;="&amp;DATE(YEAR_Y,12,31)))</f>
        <v/>
      </c>
      <c r="L81" s="49">
        <f>IF($B81="",0,IF((OV_SWITCH="ON")*(COUNTIFS(OVR_TICKERS,$C81,OVR_BASE,"&gt;=0")&gt;0)&gt;0,SUMIFS(OVR_BASE,OVR_TICKERS,$C81),$K81))</f>
        <v/>
      </c>
      <c r="M81" s="49">
        <f>IF($B81="",0,IF((OV_SWITCH="ON")*(COUNTIFS(OVR_TICKERS,$C81,OVR_LOW,"&gt;=0")&gt;0)&gt;0,SUMIFS(OVR_LOW,OVR_TICKERS,$C81),$L81))</f>
        <v/>
      </c>
      <c r="N81" s="49">
        <f>IF($B81="",0,IF((OV_SWITCH="ON")*(COUNTIFS(OVR_TICKERS,$C81,OVR_HIGH,"&gt;=0")&gt;0)&gt;0,SUMIFS(OVR_HIGH,OVR_TICKERS,$C81),$L81))</f>
        <v/>
      </c>
      <c r="O81" s="65">
        <f>IF($B81="","",IFERROR($B81*$G81*$J81/$B$3,""))</f>
        <v/>
      </c>
      <c r="P81" s="65">
        <f>IF($B81="","",IFERROR($B81*$G81*$L81/$B$3,""))</f>
        <v/>
      </c>
      <c r="Q81" s="41">
        <f>IF($B81="","",IFERROR($O81+$P81,""))</f>
        <v/>
      </c>
      <c r="R81" s="65">
        <f>IF($B81="","",IFERROR($O81+$B81*$G81*$M81/$B$3,""))</f>
        <v/>
      </c>
      <c r="S81" s="65">
        <f>IF($B81="","",IFERROR($O81+$B81*$G81*$N81/$B$3,""))</f>
        <v/>
      </c>
      <c r="T81" s="80">
        <f>IF($B81="","",IFERROR($Q81/$Q$5,""))</f>
        <v/>
      </c>
      <c r="U81" s="2">
        <f>IF($B81="","",IF(COUNTIFS('Dvd Calendar'!$E$831:$AR$831,"&gt;0",'Dvd Calendar'!$E$831:$AR$831,"&lt;="&amp;VAL_DATE,'Dvd Calendar'!$E$832:$AR$832,"&gt;"&amp;PROJ_FROM,'Dvd Calendar'!$E$832:$AR$832,"&lt;="&amp;DATE(YEAR_Y,12,31))-COUNTIFS('Dvd Calendar'!$E$831:$AR$831,"&gt;0",'Dvd Calendar'!$E$831:$AR$831,"&lt;="&amp;VAL_DATE,'Dvd Calendar'!$E$832:$AR$832,"&gt;"&amp;PROJ_FROM,'Dvd Calendar'!$E$832:$AR$832,"&lt;="&amp;DATE(YEAR_Y,12,31),'Dvd Calendar'!$E$833:$AR$833,"&gt;=0")&gt;0,"TBA amount - override me",IF((OV_SWITCH="ON")*(COUNTIFS(OVR_TICKERS,$C81,OVR_BASE,"&gt;=0")&gt;0)&gt;0,"overridden",IF($J81+$K81=0,"no dividend in year Y",""))))</f>
        <v/>
      </c>
      <c r="V81" s="65">
        <f>IF($B81="","",IFERROR(IF(ISNUMBER($H81),$B81*$G81*$H81/$B$3,0),""))</f>
        <v/>
      </c>
      <c r="W81" s="65">
        <f>IF($B81="","",IFERROR($B81*$G81*$K81/$B$3,""))</f>
        <v/>
      </c>
      <c r="X81" s="91">
        <f>IF($C81="","",BDP($C81,"PX_LAST"))</f>
        <v/>
      </c>
      <c r="Y81" s="65">
        <f>IF($B81="","",IFERROR($B81*$X81/$B$3,""))</f>
        <v/>
      </c>
      <c r="Z81" s="76">
        <f>IF($B81="","",IFERROR($Y81/$Y$5,""))</f>
        <v/>
      </c>
    </row>
    <row r="82">
      <c r="B82" s="89" t="n"/>
      <c r="C82" s="6">
        <f>IF($A82="","",$A82&amp;" Equity")</f>
        <v/>
      </c>
      <c r="D82" s="6">
        <f>IF($C82="","",BDP($C82,"NAME"))</f>
        <v/>
      </c>
      <c r="E82" s="6">
        <f>IF($C82="","",BDP($C82,"GICS_SECTOR_NAME"))</f>
        <v/>
      </c>
      <c r="F82" s="33">
        <f>IF($C82="","",BDP($C82,FLD_CCY))</f>
        <v/>
      </c>
      <c r="G82" s="90">
        <f>IFERROR(IF(LEN($F82)&lt;&gt;3,1,IF($F82="HKD",1,BDP(IF($F82="CNY",RMB_CROSS,$F82)&amp;"HKD Curncy","PX_LAST"))),1)</f>
        <v/>
      </c>
      <c r="H82" s="65">
        <f>IF($C82="","",BDP($C82,FLD_DPS12M))</f>
        <v/>
      </c>
      <c r="I82" s="47">
        <f>IF($C82="","",BDP($C82,FLD_YLD12M))</f>
        <v/>
      </c>
      <c r="J82" s="49">
        <f>IF($B82="",0,SUMPRODUCT(('Dvd Calendar'!$E$836:$AR$836&gt;=DATE(YEAR_Y,1,1))*('Dvd Calendar'!$E$836:$AR$836&lt;=REALIZED_TO)*'Dvd Calendar'!$E$839:$AR$839*(('Dvd Calendar'!$E$841:$AR$841=TYPE1)*(TYPE1&lt;&gt;"")+('Dvd Calendar'!$E$841:$AR$841=TYPE2)*(TYPE2&lt;&gt;"")+('Dvd Calendar'!$E$841:$AR$841=TYPE3)*(TYPE3&lt;&gt;"")+('Dvd Calendar'!$E$841:$AR$841=TYPE4)*(TYPE4&lt;&gt;"")+('Dvd Calendar'!$E$841:$AR$841=SPECIAL_LBL)*(INC_SPECIALS="Y"))))</f>
        <v/>
      </c>
      <c r="K82" s="49">
        <f>IF($B82="",0,SUMIFS('Dvd Calendar'!$E$844:$AR$844,'Dvd Calendar'!$E$843:$AR$843,"&gt;"&amp;PROJ_FROM,'Dvd Calendar'!$E$843:$AR$843,"&lt;="&amp;DATE(YEAR_Y,12,31)))</f>
        <v/>
      </c>
      <c r="L82" s="49">
        <f>IF($B82="",0,IF((OV_SWITCH="ON")*(COUNTIFS(OVR_TICKERS,$C82,OVR_BASE,"&gt;=0")&gt;0)&gt;0,SUMIFS(OVR_BASE,OVR_TICKERS,$C82),$K82))</f>
        <v/>
      </c>
      <c r="M82" s="49">
        <f>IF($B82="",0,IF((OV_SWITCH="ON")*(COUNTIFS(OVR_TICKERS,$C82,OVR_LOW,"&gt;=0")&gt;0)&gt;0,SUMIFS(OVR_LOW,OVR_TICKERS,$C82),$L82))</f>
        <v/>
      </c>
      <c r="N82" s="49">
        <f>IF($B82="",0,IF((OV_SWITCH="ON")*(COUNTIFS(OVR_TICKERS,$C82,OVR_HIGH,"&gt;=0")&gt;0)&gt;0,SUMIFS(OVR_HIGH,OVR_TICKERS,$C82),$L82))</f>
        <v/>
      </c>
      <c r="O82" s="65">
        <f>IF($B82="","",IFERROR($B82*$G82*$J82/$B$3,""))</f>
        <v/>
      </c>
      <c r="P82" s="65">
        <f>IF($B82="","",IFERROR($B82*$G82*$L82/$B$3,""))</f>
        <v/>
      </c>
      <c r="Q82" s="41">
        <f>IF($B82="","",IFERROR($O82+$P82,""))</f>
        <v/>
      </c>
      <c r="R82" s="65">
        <f>IF($B82="","",IFERROR($O82+$B82*$G82*$M82/$B$3,""))</f>
        <v/>
      </c>
      <c r="S82" s="65">
        <f>IF($B82="","",IFERROR($O82+$B82*$G82*$N82/$B$3,""))</f>
        <v/>
      </c>
      <c r="T82" s="80">
        <f>IF($B82="","",IFERROR($Q82/$Q$5,""))</f>
        <v/>
      </c>
      <c r="U82" s="2">
        <f>IF($B82="","",IF(COUNTIFS('Dvd Calendar'!$E$842:$AR$842,"&gt;0",'Dvd Calendar'!$E$842:$AR$842,"&lt;="&amp;VAL_DATE,'Dvd Calendar'!$E$843:$AR$843,"&gt;"&amp;PROJ_FROM,'Dvd Calendar'!$E$843:$AR$843,"&lt;="&amp;DATE(YEAR_Y,12,31))-COUNTIFS('Dvd Calendar'!$E$842:$AR$842,"&gt;0",'Dvd Calendar'!$E$842:$AR$842,"&lt;="&amp;VAL_DATE,'Dvd Calendar'!$E$843:$AR$843,"&gt;"&amp;PROJ_FROM,'Dvd Calendar'!$E$843:$AR$843,"&lt;="&amp;DATE(YEAR_Y,12,31),'Dvd Calendar'!$E$844:$AR$844,"&gt;=0")&gt;0,"TBA amount - override me",IF((OV_SWITCH="ON")*(COUNTIFS(OVR_TICKERS,$C82,OVR_BASE,"&gt;=0")&gt;0)&gt;0,"overridden",IF($J82+$K82=0,"no dividend in year Y",""))))</f>
        <v/>
      </c>
      <c r="V82" s="65">
        <f>IF($B82="","",IFERROR(IF(ISNUMBER($H82),$B82*$G82*$H82/$B$3,0),""))</f>
        <v/>
      </c>
      <c r="W82" s="65">
        <f>IF($B82="","",IFERROR($B82*$G82*$K82/$B$3,""))</f>
        <v/>
      </c>
      <c r="X82" s="91">
        <f>IF($C82="","",BDP($C82,"PX_LAST"))</f>
        <v/>
      </c>
      <c r="Y82" s="65">
        <f>IF($B82="","",IFERROR($B82*$X82/$B$3,""))</f>
        <v/>
      </c>
      <c r="Z82" s="76">
        <f>IF($B82="","",IFERROR($Y82/$Y$5,""))</f>
        <v/>
      </c>
    </row>
    <row r="83">
      <c r="B83" s="89" t="n"/>
      <c r="C83" s="6">
        <f>IF($A83="","",$A83&amp;" Equity")</f>
        <v/>
      </c>
      <c r="D83" s="6">
        <f>IF($C83="","",BDP($C83,"NAME"))</f>
        <v/>
      </c>
      <c r="E83" s="6">
        <f>IF($C83="","",BDP($C83,"GICS_SECTOR_NAME"))</f>
        <v/>
      </c>
      <c r="F83" s="33">
        <f>IF($C83="","",BDP($C83,FLD_CCY))</f>
        <v/>
      </c>
      <c r="G83" s="90">
        <f>IFERROR(IF(LEN($F83)&lt;&gt;3,1,IF($F83="HKD",1,BDP(IF($F83="CNY",RMB_CROSS,$F83)&amp;"HKD Curncy","PX_LAST"))),1)</f>
        <v/>
      </c>
      <c r="H83" s="65">
        <f>IF($C83="","",BDP($C83,FLD_DPS12M))</f>
        <v/>
      </c>
      <c r="I83" s="47">
        <f>IF($C83="","",BDP($C83,FLD_YLD12M))</f>
        <v/>
      </c>
      <c r="J83" s="49">
        <f>IF($B83="",0,SUMPRODUCT(('Dvd Calendar'!$E$847:$AR$847&gt;=DATE(YEAR_Y,1,1))*('Dvd Calendar'!$E$847:$AR$847&lt;=REALIZED_TO)*'Dvd Calendar'!$E$850:$AR$850*(('Dvd Calendar'!$E$852:$AR$852=TYPE1)*(TYPE1&lt;&gt;"")+('Dvd Calendar'!$E$852:$AR$852=TYPE2)*(TYPE2&lt;&gt;"")+('Dvd Calendar'!$E$852:$AR$852=TYPE3)*(TYPE3&lt;&gt;"")+('Dvd Calendar'!$E$852:$AR$852=TYPE4)*(TYPE4&lt;&gt;"")+('Dvd Calendar'!$E$852:$AR$852=SPECIAL_LBL)*(INC_SPECIALS="Y"))))</f>
        <v/>
      </c>
      <c r="K83" s="49">
        <f>IF($B83="",0,SUMIFS('Dvd Calendar'!$E$855:$AR$855,'Dvd Calendar'!$E$854:$AR$854,"&gt;"&amp;PROJ_FROM,'Dvd Calendar'!$E$854:$AR$854,"&lt;="&amp;DATE(YEAR_Y,12,31)))</f>
        <v/>
      </c>
      <c r="L83" s="49">
        <f>IF($B83="",0,IF((OV_SWITCH="ON")*(COUNTIFS(OVR_TICKERS,$C83,OVR_BASE,"&gt;=0")&gt;0)&gt;0,SUMIFS(OVR_BASE,OVR_TICKERS,$C83),$K83))</f>
        <v/>
      </c>
      <c r="M83" s="49">
        <f>IF($B83="",0,IF((OV_SWITCH="ON")*(COUNTIFS(OVR_TICKERS,$C83,OVR_LOW,"&gt;=0")&gt;0)&gt;0,SUMIFS(OVR_LOW,OVR_TICKERS,$C83),$L83))</f>
        <v/>
      </c>
      <c r="N83" s="49">
        <f>IF($B83="",0,IF((OV_SWITCH="ON")*(COUNTIFS(OVR_TICKERS,$C83,OVR_HIGH,"&gt;=0")&gt;0)&gt;0,SUMIFS(OVR_HIGH,OVR_TICKERS,$C83),$L83))</f>
        <v/>
      </c>
      <c r="O83" s="65">
        <f>IF($B83="","",IFERROR($B83*$G83*$J83/$B$3,""))</f>
        <v/>
      </c>
      <c r="P83" s="65">
        <f>IF($B83="","",IFERROR($B83*$G83*$L83/$B$3,""))</f>
        <v/>
      </c>
      <c r="Q83" s="41">
        <f>IF($B83="","",IFERROR($O83+$P83,""))</f>
        <v/>
      </c>
      <c r="R83" s="65">
        <f>IF($B83="","",IFERROR($O83+$B83*$G83*$M83/$B$3,""))</f>
        <v/>
      </c>
      <c r="S83" s="65">
        <f>IF($B83="","",IFERROR($O83+$B83*$G83*$N83/$B$3,""))</f>
        <v/>
      </c>
      <c r="T83" s="80">
        <f>IF($B83="","",IFERROR($Q83/$Q$5,""))</f>
        <v/>
      </c>
      <c r="U83" s="2">
        <f>IF($B83="","",IF(COUNTIFS('Dvd Calendar'!$E$853:$AR$853,"&gt;0",'Dvd Calendar'!$E$853:$AR$853,"&lt;="&amp;VAL_DATE,'Dvd Calendar'!$E$854:$AR$854,"&gt;"&amp;PROJ_FROM,'Dvd Calendar'!$E$854:$AR$854,"&lt;="&amp;DATE(YEAR_Y,12,31))-COUNTIFS('Dvd Calendar'!$E$853:$AR$853,"&gt;0",'Dvd Calendar'!$E$853:$AR$853,"&lt;="&amp;VAL_DATE,'Dvd Calendar'!$E$854:$AR$854,"&gt;"&amp;PROJ_FROM,'Dvd Calendar'!$E$854:$AR$854,"&lt;="&amp;DATE(YEAR_Y,12,31),'Dvd Calendar'!$E$855:$AR$855,"&gt;=0")&gt;0,"TBA amount - override me",IF((OV_SWITCH="ON")*(COUNTIFS(OVR_TICKERS,$C83,OVR_BASE,"&gt;=0")&gt;0)&gt;0,"overridden",IF($J83+$K83=0,"no dividend in year Y",""))))</f>
        <v/>
      </c>
      <c r="V83" s="65">
        <f>IF($B83="","",IFERROR(IF(ISNUMBER($H83),$B83*$G83*$H83/$B$3,0),""))</f>
        <v/>
      </c>
      <c r="W83" s="65">
        <f>IF($B83="","",IFERROR($B83*$G83*$K83/$B$3,""))</f>
        <v/>
      </c>
      <c r="X83" s="91">
        <f>IF($C83="","",BDP($C83,"PX_LAST"))</f>
        <v/>
      </c>
      <c r="Y83" s="65">
        <f>IF($B83="","",IFERROR($B83*$X83/$B$3,""))</f>
        <v/>
      </c>
      <c r="Z83" s="76">
        <f>IF($B83="","",IFERROR($Y83/$Y$5,""))</f>
        <v/>
      </c>
    </row>
    <row r="84">
      <c r="B84" s="89" t="n"/>
      <c r="C84" s="6">
        <f>IF($A84="","",$A84&amp;" Equity")</f>
        <v/>
      </c>
      <c r="D84" s="6">
        <f>IF($C84="","",BDP($C84,"NAME"))</f>
        <v/>
      </c>
      <c r="E84" s="6">
        <f>IF($C84="","",BDP($C84,"GICS_SECTOR_NAME"))</f>
        <v/>
      </c>
      <c r="F84" s="33">
        <f>IF($C84="","",BDP($C84,FLD_CCY))</f>
        <v/>
      </c>
      <c r="G84" s="90">
        <f>IFERROR(IF(LEN($F84)&lt;&gt;3,1,IF($F84="HKD",1,BDP(IF($F84="CNY",RMB_CROSS,$F84)&amp;"HKD Curncy","PX_LAST"))),1)</f>
        <v/>
      </c>
      <c r="H84" s="65">
        <f>IF($C84="","",BDP($C84,FLD_DPS12M))</f>
        <v/>
      </c>
      <c r="I84" s="47">
        <f>IF($C84="","",BDP($C84,FLD_YLD12M))</f>
        <v/>
      </c>
      <c r="J84" s="49">
        <f>IF($B84="",0,SUMPRODUCT(('Dvd Calendar'!$E$858:$AR$858&gt;=DATE(YEAR_Y,1,1))*('Dvd Calendar'!$E$858:$AR$858&lt;=REALIZED_TO)*'Dvd Calendar'!$E$861:$AR$861*(('Dvd Calendar'!$E$863:$AR$863=TYPE1)*(TYPE1&lt;&gt;"")+('Dvd Calendar'!$E$863:$AR$863=TYPE2)*(TYPE2&lt;&gt;"")+('Dvd Calendar'!$E$863:$AR$863=TYPE3)*(TYPE3&lt;&gt;"")+('Dvd Calendar'!$E$863:$AR$863=TYPE4)*(TYPE4&lt;&gt;"")+('Dvd Calendar'!$E$863:$AR$863=SPECIAL_LBL)*(INC_SPECIALS="Y"))))</f>
        <v/>
      </c>
      <c r="K84" s="49">
        <f>IF($B84="",0,SUMIFS('Dvd Calendar'!$E$866:$AR$866,'Dvd Calendar'!$E$865:$AR$865,"&gt;"&amp;PROJ_FROM,'Dvd Calendar'!$E$865:$AR$865,"&lt;="&amp;DATE(YEAR_Y,12,31)))</f>
        <v/>
      </c>
      <c r="L84" s="49">
        <f>IF($B84="",0,IF((OV_SWITCH="ON")*(COUNTIFS(OVR_TICKERS,$C84,OVR_BASE,"&gt;=0")&gt;0)&gt;0,SUMIFS(OVR_BASE,OVR_TICKERS,$C84),$K84))</f>
        <v/>
      </c>
      <c r="M84" s="49">
        <f>IF($B84="",0,IF((OV_SWITCH="ON")*(COUNTIFS(OVR_TICKERS,$C84,OVR_LOW,"&gt;=0")&gt;0)&gt;0,SUMIFS(OVR_LOW,OVR_TICKERS,$C84),$L84))</f>
        <v/>
      </c>
      <c r="N84" s="49">
        <f>IF($B84="",0,IF((OV_SWITCH="ON")*(COUNTIFS(OVR_TICKERS,$C84,OVR_HIGH,"&gt;=0")&gt;0)&gt;0,SUMIFS(OVR_HIGH,OVR_TICKERS,$C84),$L84))</f>
        <v/>
      </c>
      <c r="O84" s="65">
        <f>IF($B84="","",IFERROR($B84*$G84*$J84/$B$3,""))</f>
        <v/>
      </c>
      <c r="P84" s="65">
        <f>IF($B84="","",IFERROR($B84*$G84*$L84/$B$3,""))</f>
        <v/>
      </c>
      <c r="Q84" s="41">
        <f>IF($B84="","",IFERROR($O84+$P84,""))</f>
        <v/>
      </c>
      <c r="R84" s="65">
        <f>IF($B84="","",IFERROR($O84+$B84*$G84*$M84/$B$3,""))</f>
        <v/>
      </c>
      <c r="S84" s="65">
        <f>IF($B84="","",IFERROR($O84+$B84*$G84*$N84/$B$3,""))</f>
        <v/>
      </c>
      <c r="T84" s="80">
        <f>IF($B84="","",IFERROR($Q84/$Q$5,""))</f>
        <v/>
      </c>
      <c r="U84" s="2">
        <f>IF($B84="","",IF(COUNTIFS('Dvd Calendar'!$E$864:$AR$864,"&gt;0",'Dvd Calendar'!$E$864:$AR$864,"&lt;="&amp;VAL_DATE,'Dvd Calendar'!$E$865:$AR$865,"&gt;"&amp;PROJ_FROM,'Dvd Calendar'!$E$865:$AR$865,"&lt;="&amp;DATE(YEAR_Y,12,31))-COUNTIFS('Dvd Calendar'!$E$864:$AR$864,"&gt;0",'Dvd Calendar'!$E$864:$AR$864,"&lt;="&amp;VAL_DATE,'Dvd Calendar'!$E$865:$AR$865,"&gt;"&amp;PROJ_FROM,'Dvd Calendar'!$E$865:$AR$865,"&lt;="&amp;DATE(YEAR_Y,12,31),'Dvd Calendar'!$E$866:$AR$866,"&gt;=0")&gt;0,"TBA amount - override me",IF((OV_SWITCH="ON")*(COUNTIFS(OVR_TICKERS,$C84,OVR_BASE,"&gt;=0")&gt;0)&gt;0,"overridden",IF($J84+$K84=0,"no dividend in year Y",""))))</f>
        <v/>
      </c>
      <c r="V84" s="65">
        <f>IF($B84="","",IFERROR(IF(ISNUMBER($H84),$B84*$G84*$H84/$B$3,0),""))</f>
        <v/>
      </c>
      <c r="W84" s="65">
        <f>IF($B84="","",IFERROR($B84*$G84*$K84/$B$3,""))</f>
        <v/>
      </c>
      <c r="X84" s="91">
        <f>IF($C84="","",BDP($C84,"PX_LAST"))</f>
        <v/>
      </c>
      <c r="Y84" s="65">
        <f>IF($B84="","",IFERROR($B84*$X84/$B$3,""))</f>
        <v/>
      </c>
      <c r="Z84" s="76">
        <f>IF($B84="","",IFERROR($Y84/$Y$5,""))</f>
        <v/>
      </c>
    </row>
    <row r="85">
      <c r="B85" s="89" t="n"/>
      <c r="C85" s="6">
        <f>IF($A85="","",$A85&amp;" Equity")</f>
        <v/>
      </c>
      <c r="D85" s="6">
        <f>IF($C85="","",BDP($C85,"NAME"))</f>
        <v/>
      </c>
      <c r="E85" s="6">
        <f>IF($C85="","",BDP($C85,"GICS_SECTOR_NAME"))</f>
        <v/>
      </c>
      <c r="F85" s="33">
        <f>IF($C85="","",BDP($C85,FLD_CCY))</f>
        <v/>
      </c>
      <c r="G85" s="90">
        <f>IFERROR(IF(LEN($F85)&lt;&gt;3,1,IF($F85="HKD",1,BDP(IF($F85="CNY",RMB_CROSS,$F85)&amp;"HKD Curncy","PX_LAST"))),1)</f>
        <v/>
      </c>
      <c r="H85" s="65">
        <f>IF($C85="","",BDP($C85,FLD_DPS12M))</f>
        <v/>
      </c>
      <c r="I85" s="47">
        <f>IF($C85="","",BDP($C85,FLD_YLD12M))</f>
        <v/>
      </c>
      <c r="J85" s="49">
        <f>IF($B85="",0,SUMPRODUCT(('Dvd Calendar'!$E$869:$AR$869&gt;=DATE(YEAR_Y,1,1))*('Dvd Calendar'!$E$869:$AR$869&lt;=REALIZED_TO)*'Dvd Calendar'!$E$872:$AR$872*(('Dvd Calendar'!$E$874:$AR$874=TYPE1)*(TYPE1&lt;&gt;"")+('Dvd Calendar'!$E$874:$AR$874=TYPE2)*(TYPE2&lt;&gt;"")+('Dvd Calendar'!$E$874:$AR$874=TYPE3)*(TYPE3&lt;&gt;"")+('Dvd Calendar'!$E$874:$AR$874=TYPE4)*(TYPE4&lt;&gt;"")+('Dvd Calendar'!$E$874:$AR$874=SPECIAL_LBL)*(INC_SPECIALS="Y"))))</f>
        <v/>
      </c>
      <c r="K85" s="49">
        <f>IF($B85="",0,SUMIFS('Dvd Calendar'!$E$877:$AR$877,'Dvd Calendar'!$E$876:$AR$876,"&gt;"&amp;PROJ_FROM,'Dvd Calendar'!$E$876:$AR$876,"&lt;="&amp;DATE(YEAR_Y,12,31)))</f>
        <v/>
      </c>
      <c r="L85" s="49">
        <f>IF($B85="",0,IF((OV_SWITCH="ON")*(COUNTIFS(OVR_TICKERS,$C85,OVR_BASE,"&gt;=0")&gt;0)&gt;0,SUMIFS(OVR_BASE,OVR_TICKERS,$C85),$K85))</f>
        <v/>
      </c>
      <c r="M85" s="49">
        <f>IF($B85="",0,IF((OV_SWITCH="ON")*(COUNTIFS(OVR_TICKERS,$C85,OVR_LOW,"&gt;=0")&gt;0)&gt;0,SUMIFS(OVR_LOW,OVR_TICKERS,$C85),$L85))</f>
        <v/>
      </c>
      <c r="N85" s="49">
        <f>IF($B85="",0,IF((OV_SWITCH="ON")*(COUNTIFS(OVR_TICKERS,$C85,OVR_HIGH,"&gt;=0")&gt;0)&gt;0,SUMIFS(OVR_HIGH,OVR_TICKERS,$C85),$L85))</f>
        <v/>
      </c>
      <c r="O85" s="65">
        <f>IF($B85="","",IFERROR($B85*$G85*$J85/$B$3,""))</f>
        <v/>
      </c>
      <c r="P85" s="65">
        <f>IF($B85="","",IFERROR($B85*$G85*$L85/$B$3,""))</f>
        <v/>
      </c>
      <c r="Q85" s="41">
        <f>IF($B85="","",IFERROR($O85+$P85,""))</f>
        <v/>
      </c>
      <c r="R85" s="65">
        <f>IF($B85="","",IFERROR($O85+$B85*$G85*$M85/$B$3,""))</f>
        <v/>
      </c>
      <c r="S85" s="65">
        <f>IF($B85="","",IFERROR($O85+$B85*$G85*$N85/$B$3,""))</f>
        <v/>
      </c>
      <c r="T85" s="80">
        <f>IF($B85="","",IFERROR($Q85/$Q$5,""))</f>
        <v/>
      </c>
      <c r="U85" s="2">
        <f>IF($B85="","",IF(COUNTIFS('Dvd Calendar'!$E$875:$AR$875,"&gt;0",'Dvd Calendar'!$E$875:$AR$875,"&lt;="&amp;VAL_DATE,'Dvd Calendar'!$E$876:$AR$876,"&gt;"&amp;PROJ_FROM,'Dvd Calendar'!$E$876:$AR$876,"&lt;="&amp;DATE(YEAR_Y,12,31))-COUNTIFS('Dvd Calendar'!$E$875:$AR$875,"&gt;0",'Dvd Calendar'!$E$875:$AR$875,"&lt;="&amp;VAL_DATE,'Dvd Calendar'!$E$876:$AR$876,"&gt;"&amp;PROJ_FROM,'Dvd Calendar'!$E$876:$AR$876,"&lt;="&amp;DATE(YEAR_Y,12,31),'Dvd Calendar'!$E$877:$AR$877,"&gt;=0")&gt;0,"TBA amount - override me",IF((OV_SWITCH="ON")*(COUNTIFS(OVR_TICKERS,$C85,OVR_BASE,"&gt;=0")&gt;0)&gt;0,"overridden",IF($J85+$K85=0,"no dividend in year Y",""))))</f>
        <v/>
      </c>
      <c r="V85" s="65">
        <f>IF($B85="","",IFERROR(IF(ISNUMBER($H85),$B85*$G85*$H85/$B$3,0),""))</f>
        <v/>
      </c>
      <c r="W85" s="65">
        <f>IF($B85="","",IFERROR($B85*$G85*$K85/$B$3,""))</f>
        <v/>
      </c>
      <c r="X85" s="91">
        <f>IF($C85="","",BDP($C85,"PX_LAST"))</f>
        <v/>
      </c>
      <c r="Y85" s="65">
        <f>IF($B85="","",IFERROR($B85*$X85/$B$3,""))</f>
        <v/>
      </c>
      <c r="Z85" s="76">
        <f>IF($B85="","",IFERROR($Y85/$Y$5,""))</f>
        <v/>
      </c>
    </row>
    <row r="86">
      <c r="B86" s="89" t="n"/>
      <c r="C86" s="6">
        <f>IF($A86="","",$A86&amp;" Equity")</f>
        <v/>
      </c>
      <c r="D86" s="6">
        <f>IF($C86="","",BDP($C86,"NAME"))</f>
        <v/>
      </c>
      <c r="E86" s="6">
        <f>IF($C86="","",BDP($C86,"GICS_SECTOR_NAME"))</f>
        <v/>
      </c>
      <c r="F86" s="33">
        <f>IF($C86="","",BDP($C86,FLD_CCY))</f>
        <v/>
      </c>
      <c r="G86" s="90">
        <f>IFERROR(IF(LEN($F86)&lt;&gt;3,1,IF($F86="HKD",1,BDP(IF($F86="CNY",RMB_CROSS,$F86)&amp;"HKD Curncy","PX_LAST"))),1)</f>
        <v/>
      </c>
      <c r="H86" s="65">
        <f>IF($C86="","",BDP($C86,FLD_DPS12M))</f>
        <v/>
      </c>
      <c r="I86" s="47">
        <f>IF($C86="","",BDP($C86,FLD_YLD12M))</f>
        <v/>
      </c>
      <c r="J86" s="49">
        <f>IF($B86="",0,SUMPRODUCT(('Dvd Calendar'!$E$880:$AR$880&gt;=DATE(YEAR_Y,1,1))*('Dvd Calendar'!$E$880:$AR$880&lt;=REALIZED_TO)*'Dvd Calendar'!$E$883:$AR$883*(('Dvd Calendar'!$E$885:$AR$885=TYPE1)*(TYPE1&lt;&gt;"")+('Dvd Calendar'!$E$885:$AR$885=TYPE2)*(TYPE2&lt;&gt;"")+('Dvd Calendar'!$E$885:$AR$885=TYPE3)*(TYPE3&lt;&gt;"")+('Dvd Calendar'!$E$885:$AR$885=TYPE4)*(TYPE4&lt;&gt;"")+('Dvd Calendar'!$E$885:$AR$885=SPECIAL_LBL)*(INC_SPECIALS="Y"))))</f>
        <v/>
      </c>
      <c r="K86" s="49">
        <f>IF($B86="",0,SUMIFS('Dvd Calendar'!$E$888:$AR$888,'Dvd Calendar'!$E$887:$AR$887,"&gt;"&amp;PROJ_FROM,'Dvd Calendar'!$E$887:$AR$887,"&lt;="&amp;DATE(YEAR_Y,12,31)))</f>
        <v/>
      </c>
      <c r="L86" s="49">
        <f>IF($B86="",0,IF((OV_SWITCH="ON")*(COUNTIFS(OVR_TICKERS,$C86,OVR_BASE,"&gt;=0")&gt;0)&gt;0,SUMIFS(OVR_BASE,OVR_TICKERS,$C86),$K86))</f>
        <v/>
      </c>
      <c r="M86" s="49">
        <f>IF($B86="",0,IF((OV_SWITCH="ON")*(COUNTIFS(OVR_TICKERS,$C86,OVR_LOW,"&gt;=0")&gt;0)&gt;0,SUMIFS(OVR_LOW,OVR_TICKERS,$C86),$L86))</f>
        <v/>
      </c>
      <c r="N86" s="49">
        <f>IF($B86="",0,IF((OV_SWITCH="ON")*(COUNTIFS(OVR_TICKERS,$C86,OVR_HIGH,"&gt;=0")&gt;0)&gt;0,SUMIFS(OVR_HIGH,OVR_TICKERS,$C86),$L86))</f>
        <v/>
      </c>
      <c r="O86" s="65">
        <f>IF($B86="","",IFERROR($B86*$G86*$J86/$B$3,""))</f>
        <v/>
      </c>
      <c r="P86" s="65">
        <f>IF($B86="","",IFERROR($B86*$G86*$L86/$B$3,""))</f>
        <v/>
      </c>
      <c r="Q86" s="41">
        <f>IF($B86="","",IFERROR($O86+$P86,""))</f>
        <v/>
      </c>
      <c r="R86" s="65">
        <f>IF($B86="","",IFERROR($O86+$B86*$G86*$M86/$B$3,""))</f>
        <v/>
      </c>
      <c r="S86" s="65">
        <f>IF($B86="","",IFERROR($O86+$B86*$G86*$N86/$B$3,""))</f>
        <v/>
      </c>
      <c r="T86" s="80">
        <f>IF($B86="","",IFERROR($Q86/$Q$5,""))</f>
        <v/>
      </c>
      <c r="U86" s="2">
        <f>IF($B86="","",IF(COUNTIFS('Dvd Calendar'!$E$886:$AR$886,"&gt;0",'Dvd Calendar'!$E$886:$AR$886,"&lt;="&amp;VAL_DATE,'Dvd Calendar'!$E$887:$AR$887,"&gt;"&amp;PROJ_FROM,'Dvd Calendar'!$E$887:$AR$887,"&lt;="&amp;DATE(YEAR_Y,12,31))-COUNTIFS('Dvd Calendar'!$E$886:$AR$886,"&gt;0",'Dvd Calendar'!$E$886:$AR$886,"&lt;="&amp;VAL_DATE,'Dvd Calendar'!$E$887:$AR$887,"&gt;"&amp;PROJ_FROM,'Dvd Calendar'!$E$887:$AR$887,"&lt;="&amp;DATE(YEAR_Y,12,31),'Dvd Calendar'!$E$888:$AR$888,"&gt;=0")&gt;0,"TBA amount - override me",IF((OV_SWITCH="ON")*(COUNTIFS(OVR_TICKERS,$C86,OVR_BASE,"&gt;=0")&gt;0)&gt;0,"overridden",IF($J86+$K86=0,"no dividend in year Y",""))))</f>
        <v/>
      </c>
      <c r="V86" s="65">
        <f>IF($B86="","",IFERROR(IF(ISNUMBER($H86),$B86*$G86*$H86/$B$3,0),""))</f>
        <v/>
      </c>
      <c r="W86" s="65">
        <f>IF($B86="","",IFERROR($B86*$G86*$K86/$B$3,""))</f>
        <v/>
      </c>
      <c r="X86" s="91">
        <f>IF($C86="","",BDP($C86,"PX_LAST"))</f>
        <v/>
      </c>
      <c r="Y86" s="65">
        <f>IF($B86="","",IFERROR($B86*$X86/$B$3,""))</f>
        <v/>
      </c>
      <c r="Z86" s="76">
        <f>IF($B86="","",IFERROR($Y86/$Y$5,""))</f>
        <v/>
      </c>
    </row>
    <row r="87">
      <c r="B87" s="89" t="n"/>
      <c r="C87" s="6">
        <f>IF($A87="","",$A87&amp;" Equity")</f>
        <v/>
      </c>
      <c r="D87" s="6">
        <f>IF($C87="","",BDP($C87,"NAME"))</f>
        <v/>
      </c>
      <c r="E87" s="6">
        <f>IF($C87="","",BDP($C87,"GICS_SECTOR_NAME"))</f>
        <v/>
      </c>
      <c r="F87" s="33">
        <f>IF($C87="","",BDP($C87,FLD_CCY))</f>
        <v/>
      </c>
      <c r="G87" s="90">
        <f>IFERROR(IF(LEN($F87)&lt;&gt;3,1,IF($F87="HKD",1,BDP(IF($F87="CNY",RMB_CROSS,$F87)&amp;"HKD Curncy","PX_LAST"))),1)</f>
        <v/>
      </c>
      <c r="H87" s="65">
        <f>IF($C87="","",BDP($C87,FLD_DPS12M))</f>
        <v/>
      </c>
      <c r="I87" s="47">
        <f>IF($C87="","",BDP($C87,FLD_YLD12M))</f>
        <v/>
      </c>
      <c r="J87" s="49">
        <f>IF($B87="",0,SUMPRODUCT(('Dvd Calendar'!$E$891:$AR$891&gt;=DATE(YEAR_Y,1,1))*('Dvd Calendar'!$E$891:$AR$891&lt;=REALIZED_TO)*'Dvd Calendar'!$E$894:$AR$894*(('Dvd Calendar'!$E$896:$AR$896=TYPE1)*(TYPE1&lt;&gt;"")+('Dvd Calendar'!$E$896:$AR$896=TYPE2)*(TYPE2&lt;&gt;"")+('Dvd Calendar'!$E$896:$AR$896=TYPE3)*(TYPE3&lt;&gt;"")+('Dvd Calendar'!$E$896:$AR$896=TYPE4)*(TYPE4&lt;&gt;"")+('Dvd Calendar'!$E$896:$AR$896=SPECIAL_LBL)*(INC_SPECIALS="Y"))))</f>
        <v/>
      </c>
      <c r="K87" s="49">
        <f>IF($B87="",0,SUMIFS('Dvd Calendar'!$E$899:$AR$899,'Dvd Calendar'!$E$898:$AR$898,"&gt;"&amp;PROJ_FROM,'Dvd Calendar'!$E$898:$AR$898,"&lt;="&amp;DATE(YEAR_Y,12,31)))</f>
        <v/>
      </c>
      <c r="L87" s="49">
        <f>IF($B87="",0,IF((OV_SWITCH="ON")*(COUNTIFS(OVR_TICKERS,$C87,OVR_BASE,"&gt;=0")&gt;0)&gt;0,SUMIFS(OVR_BASE,OVR_TICKERS,$C87),$K87))</f>
        <v/>
      </c>
      <c r="M87" s="49">
        <f>IF($B87="",0,IF((OV_SWITCH="ON")*(COUNTIFS(OVR_TICKERS,$C87,OVR_LOW,"&gt;=0")&gt;0)&gt;0,SUMIFS(OVR_LOW,OVR_TICKERS,$C87),$L87))</f>
        <v/>
      </c>
      <c r="N87" s="49">
        <f>IF($B87="",0,IF((OV_SWITCH="ON")*(COUNTIFS(OVR_TICKERS,$C87,OVR_HIGH,"&gt;=0")&gt;0)&gt;0,SUMIFS(OVR_HIGH,OVR_TICKERS,$C87),$L87))</f>
        <v/>
      </c>
      <c r="O87" s="65">
        <f>IF($B87="","",IFERROR($B87*$G87*$J87/$B$3,""))</f>
        <v/>
      </c>
      <c r="P87" s="65">
        <f>IF($B87="","",IFERROR($B87*$G87*$L87/$B$3,""))</f>
        <v/>
      </c>
      <c r="Q87" s="41">
        <f>IF($B87="","",IFERROR($O87+$P87,""))</f>
        <v/>
      </c>
      <c r="R87" s="65">
        <f>IF($B87="","",IFERROR($O87+$B87*$G87*$M87/$B$3,""))</f>
        <v/>
      </c>
      <c r="S87" s="65">
        <f>IF($B87="","",IFERROR($O87+$B87*$G87*$N87/$B$3,""))</f>
        <v/>
      </c>
      <c r="T87" s="80">
        <f>IF($B87="","",IFERROR($Q87/$Q$5,""))</f>
        <v/>
      </c>
      <c r="U87" s="2">
        <f>IF($B87="","",IF(COUNTIFS('Dvd Calendar'!$E$897:$AR$897,"&gt;0",'Dvd Calendar'!$E$897:$AR$897,"&lt;="&amp;VAL_DATE,'Dvd Calendar'!$E$898:$AR$898,"&gt;"&amp;PROJ_FROM,'Dvd Calendar'!$E$898:$AR$898,"&lt;="&amp;DATE(YEAR_Y,12,31))-COUNTIFS('Dvd Calendar'!$E$897:$AR$897,"&gt;0",'Dvd Calendar'!$E$897:$AR$897,"&lt;="&amp;VAL_DATE,'Dvd Calendar'!$E$898:$AR$898,"&gt;"&amp;PROJ_FROM,'Dvd Calendar'!$E$898:$AR$898,"&lt;="&amp;DATE(YEAR_Y,12,31),'Dvd Calendar'!$E$899:$AR$899,"&gt;=0")&gt;0,"TBA amount - override me",IF((OV_SWITCH="ON")*(COUNTIFS(OVR_TICKERS,$C87,OVR_BASE,"&gt;=0")&gt;0)&gt;0,"overridden",IF($J87+$K87=0,"no dividend in year Y",""))))</f>
        <v/>
      </c>
      <c r="V87" s="65">
        <f>IF($B87="","",IFERROR(IF(ISNUMBER($H87),$B87*$G87*$H87/$B$3,0),""))</f>
        <v/>
      </c>
      <c r="W87" s="65">
        <f>IF($B87="","",IFERROR($B87*$G87*$K87/$B$3,""))</f>
        <v/>
      </c>
      <c r="X87" s="91">
        <f>IF($C87="","",BDP($C87,"PX_LAST"))</f>
        <v/>
      </c>
      <c r="Y87" s="65">
        <f>IF($B87="","",IFERROR($B87*$X87/$B$3,""))</f>
        <v/>
      </c>
      <c r="Z87" s="76">
        <f>IF($B87="","",IFERROR($Y87/$Y$5,""))</f>
        <v/>
      </c>
    </row>
    <row r="88">
      <c r="B88" s="89" t="n"/>
      <c r="C88" s="6">
        <f>IF($A88="","",$A88&amp;" Equity")</f>
        <v/>
      </c>
      <c r="D88" s="6">
        <f>IF($C88="","",BDP($C88,"NAME"))</f>
        <v/>
      </c>
      <c r="E88" s="6">
        <f>IF($C88="","",BDP($C88,"GICS_SECTOR_NAME"))</f>
        <v/>
      </c>
      <c r="F88" s="33">
        <f>IF($C88="","",BDP($C88,FLD_CCY))</f>
        <v/>
      </c>
      <c r="G88" s="90">
        <f>IFERROR(IF(LEN($F88)&lt;&gt;3,1,IF($F88="HKD",1,BDP(IF($F88="CNY",RMB_CROSS,$F88)&amp;"HKD Curncy","PX_LAST"))),1)</f>
        <v/>
      </c>
      <c r="H88" s="65">
        <f>IF($C88="","",BDP($C88,FLD_DPS12M))</f>
        <v/>
      </c>
      <c r="I88" s="47">
        <f>IF($C88="","",BDP($C88,FLD_YLD12M))</f>
        <v/>
      </c>
      <c r="J88" s="49">
        <f>IF($B88="",0,SUMPRODUCT(('Dvd Calendar'!$E$902:$AR$902&gt;=DATE(YEAR_Y,1,1))*('Dvd Calendar'!$E$902:$AR$902&lt;=REALIZED_TO)*'Dvd Calendar'!$E$905:$AR$905*(('Dvd Calendar'!$E$907:$AR$907=TYPE1)*(TYPE1&lt;&gt;"")+('Dvd Calendar'!$E$907:$AR$907=TYPE2)*(TYPE2&lt;&gt;"")+('Dvd Calendar'!$E$907:$AR$907=TYPE3)*(TYPE3&lt;&gt;"")+('Dvd Calendar'!$E$907:$AR$907=TYPE4)*(TYPE4&lt;&gt;"")+('Dvd Calendar'!$E$907:$AR$907=SPECIAL_LBL)*(INC_SPECIALS="Y"))))</f>
        <v/>
      </c>
      <c r="K88" s="49">
        <f>IF($B88="",0,SUMIFS('Dvd Calendar'!$E$910:$AR$910,'Dvd Calendar'!$E$909:$AR$909,"&gt;"&amp;PROJ_FROM,'Dvd Calendar'!$E$909:$AR$909,"&lt;="&amp;DATE(YEAR_Y,12,31)))</f>
        <v/>
      </c>
      <c r="L88" s="49">
        <f>IF($B88="",0,IF((OV_SWITCH="ON")*(COUNTIFS(OVR_TICKERS,$C88,OVR_BASE,"&gt;=0")&gt;0)&gt;0,SUMIFS(OVR_BASE,OVR_TICKERS,$C88),$K88))</f>
        <v/>
      </c>
      <c r="M88" s="49">
        <f>IF($B88="",0,IF((OV_SWITCH="ON")*(COUNTIFS(OVR_TICKERS,$C88,OVR_LOW,"&gt;=0")&gt;0)&gt;0,SUMIFS(OVR_LOW,OVR_TICKERS,$C88),$L88))</f>
        <v/>
      </c>
      <c r="N88" s="49">
        <f>IF($B88="",0,IF((OV_SWITCH="ON")*(COUNTIFS(OVR_TICKERS,$C88,OVR_HIGH,"&gt;=0")&gt;0)&gt;0,SUMIFS(OVR_HIGH,OVR_TICKERS,$C88),$L88))</f>
        <v/>
      </c>
      <c r="O88" s="65">
        <f>IF($B88="","",IFERROR($B88*$G88*$J88/$B$3,""))</f>
        <v/>
      </c>
      <c r="P88" s="65">
        <f>IF($B88="","",IFERROR($B88*$G88*$L88/$B$3,""))</f>
        <v/>
      </c>
      <c r="Q88" s="41">
        <f>IF($B88="","",IFERROR($O88+$P88,""))</f>
        <v/>
      </c>
      <c r="R88" s="65">
        <f>IF($B88="","",IFERROR($O88+$B88*$G88*$M88/$B$3,""))</f>
        <v/>
      </c>
      <c r="S88" s="65">
        <f>IF($B88="","",IFERROR($O88+$B88*$G88*$N88/$B$3,""))</f>
        <v/>
      </c>
      <c r="T88" s="80">
        <f>IF($B88="","",IFERROR($Q88/$Q$5,""))</f>
        <v/>
      </c>
      <c r="U88" s="2">
        <f>IF($B88="","",IF(COUNTIFS('Dvd Calendar'!$E$908:$AR$908,"&gt;0",'Dvd Calendar'!$E$908:$AR$908,"&lt;="&amp;VAL_DATE,'Dvd Calendar'!$E$909:$AR$909,"&gt;"&amp;PROJ_FROM,'Dvd Calendar'!$E$909:$AR$909,"&lt;="&amp;DATE(YEAR_Y,12,31))-COUNTIFS('Dvd Calendar'!$E$908:$AR$908,"&gt;0",'Dvd Calendar'!$E$908:$AR$908,"&lt;="&amp;VAL_DATE,'Dvd Calendar'!$E$909:$AR$909,"&gt;"&amp;PROJ_FROM,'Dvd Calendar'!$E$909:$AR$909,"&lt;="&amp;DATE(YEAR_Y,12,31),'Dvd Calendar'!$E$910:$AR$910,"&gt;=0")&gt;0,"TBA amount - override me",IF((OV_SWITCH="ON")*(COUNTIFS(OVR_TICKERS,$C88,OVR_BASE,"&gt;=0")&gt;0)&gt;0,"overridden",IF($J88+$K88=0,"no dividend in year Y",""))))</f>
        <v/>
      </c>
      <c r="V88" s="65">
        <f>IF($B88="","",IFERROR(IF(ISNUMBER($H88),$B88*$G88*$H88/$B$3,0),""))</f>
        <v/>
      </c>
      <c r="W88" s="65">
        <f>IF($B88="","",IFERROR($B88*$G88*$K88/$B$3,""))</f>
        <v/>
      </c>
      <c r="X88" s="91">
        <f>IF($C88="","",BDP($C88,"PX_LAST"))</f>
        <v/>
      </c>
      <c r="Y88" s="65">
        <f>IF($B88="","",IFERROR($B88*$X88/$B$3,""))</f>
        <v/>
      </c>
      <c r="Z88" s="76">
        <f>IF($B88="","",IFERROR($Y88/$Y$5,""))</f>
        <v/>
      </c>
    </row>
    <row r="89">
      <c r="B89" s="89" t="n"/>
      <c r="C89" s="6">
        <f>IF($A89="","",$A89&amp;" Equity")</f>
        <v/>
      </c>
      <c r="D89" s="6">
        <f>IF($C89="","",BDP($C89,"NAME"))</f>
        <v/>
      </c>
      <c r="E89" s="6">
        <f>IF($C89="","",BDP($C89,"GICS_SECTOR_NAME"))</f>
        <v/>
      </c>
      <c r="F89" s="33">
        <f>IF($C89="","",BDP($C89,FLD_CCY))</f>
        <v/>
      </c>
      <c r="G89" s="90">
        <f>IFERROR(IF(LEN($F89)&lt;&gt;3,1,IF($F89="HKD",1,BDP(IF($F89="CNY",RMB_CROSS,$F89)&amp;"HKD Curncy","PX_LAST"))),1)</f>
        <v/>
      </c>
      <c r="H89" s="65">
        <f>IF($C89="","",BDP($C89,FLD_DPS12M))</f>
        <v/>
      </c>
      <c r="I89" s="47">
        <f>IF($C89="","",BDP($C89,FLD_YLD12M))</f>
        <v/>
      </c>
      <c r="J89" s="49">
        <f>IF($B89="",0,SUMPRODUCT(('Dvd Calendar'!$E$913:$AR$913&gt;=DATE(YEAR_Y,1,1))*('Dvd Calendar'!$E$913:$AR$913&lt;=REALIZED_TO)*'Dvd Calendar'!$E$916:$AR$916*(('Dvd Calendar'!$E$918:$AR$918=TYPE1)*(TYPE1&lt;&gt;"")+('Dvd Calendar'!$E$918:$AR$918=TYPE2)*(TYPE2&lt;&gt;"")+('Dvd Calendar'!$E$918:$AR$918=TYPE3)*(TYPE3&lt;&gt;"")+('Dvd Calendar'!$E$918:$AR$918=TYPE4)*(TYPE4&lt;&gt;"")+('Dvd Calendar'!$E$918:$AR$918=SPECIAL_LBL)*(INC_SPECIALS="Y"))))</f>
        <v/>
      </c>
      <c r="K89" s="49">
        <f>IF($B89="",0,SUMIFS('Dvd Calendar'!$E$921:$AR$921,'Dvd Calendar'!$E$920:$AR$920,"&gt;"&amp;PROJ_FROM,'Dvd Calendar'!$E$920:$AR$920,"&lt;="&amp;DATE(YEAR_Y,12,31)))</f>
        <v/>
      </c>
      <c r="L89" s="49">
        <f>IF($B89="",0,IF((OV_SWITCH="ON")*(COUNTIFS(OVR_TICKERS,$C89,OVR_BASE,"&gt;=0")&gt;0)&gt;0,SUMIFS(OVR_BASE,OVR_TICKERS,$C89),$K89))</f>
        <v/>
      </c>
      <c r="M89" s="49">
        <f>IF($B89="",0,IF((OV_SWITCH="ON")*(COUNTIFS(OVR_TICKERS,$C89,OVR_LOW,"&gt;=0")&gt;0)&gt;0,SUMIFS(OVR_LOW,OVR_TICKERS,$C89),$L89))</f>
        <v/>
      </c>
      <c r="N89" s="49">
        <f>IF($B89="",0,IF((OV_SWITCH="ON")*(COUNTIFS(OVR_TICKERS,$C89,OVR_HIGH,"&gt;=0")&gt;0)&gt;0,SUMIFS(OVR_HIGH,OVR_TICKERS,$C89),$L89))</f>
        <v/>
      </c>
      <c r="O89" s="65">
        <f>IF($B89="","",IFERROR($B89*$G89*$J89/$B$3,""))</f>
        <v/>
      </c>
      <c r="P89" s="65">
        <f>IF($B89="","",IFERROR($B89*$G89*$L89/$B$3,""))</f>
        <v/>
      </c>
      <c r="Q89" s="41">
        <f>IF($B89="","",IFERROR($O89+$P89,""))</f>
        <v/>
      </c>
      <c r="R89" s="65">
        <f>IF($B89="","",IFERROR($O89+$B89*$G89*$M89/$B$3,""))</f>
        <v/>
      </c>
      <c r="S89" s="65">
        <f>IF($B89="","",IFERROR($O89+$B89*$G89*$N89/$B$3,""))</f>
        <v/>
      </c>
      <c r="T89" s="80">
        <f>IF($B89="","",IFERROR($Q89/$Q$5,""))</f>
        <v/>
      </c>
      <c r="U89" s="2">
        <f>IF($B89="","",IF(COUNTIFS('Dvd Calendar'!$E$919:$AR$919,"&gt;0",'Dvd Calendar'!$E$919:$AR$919,"&lt;="&amp;VAL_DATE,'Dvd Calendar'!$E$920:$AR$920,"&gt;"&amp;PROJ_FROM,'Dvd Calendar'!$E$920:$AR$920,"&lt;="&amp;DATE(YEAR_Y,12,31))-COUNTIFS('Dvd Calendar'!$E$919:$AR$919,"&gt;0",'Dvd Calendar'!$E$919:$AR$919,"&lt;="&amp;VAL_DATE,'Dvd Calendar'!$E$920:$AR$920,"&gt;"&amp;PROJ_FROM,'Dvd Calendar'!$E$920:$AR$920,"&lt;="&amp;DATE(YEAR_Y,12,31),'Dvd Calendar'!$E$921:$AR$921,"&gt;=0")&gt;0,"TBA amount - override me",IF((OV_SWITCH="ON")*(COUNTIFS(OVR_TICKERS,$C89,OVR_BASE,"&gt;=0")&gt;0)&gt;0,"overridden",IF($J89+$K89=0,"no dividend in year Y",""))))</f>
        <v/>
      </c>
      <c r="V89" s="65">
        <f>IF($B89="","",IFERROR(IF(ISNUMBER($H89),$B89*$G89*$H89/$B$3,0),""))</f>
        <v/>
      </c>
      <c r="W89" s="65">
        <f>IF($B89="","",IFERROR($B89*$G89*$K89/$B$3,""))</f>
        <v/>
      </c>
      <c r="X89" s="91">
        <f>IF($C89="","",BDP($C89,"PX_LAST"))</f>
        <v/>
      </c>
      <c r="Y89" s="65">
        <f>IF($B89="","",IFERROR($B89*$X89/$B$3,""))</f>
        <v/>
      </c>
      <c r="Z89" s="76">
        <f>IF($B89="","",IFERROR($Y89/$Y$5,""))</f>
        <v/>
      </c>
    </row>
    <row r="90">
      <c r="B90" s="89" t="n"/>
      <c r="C90" s="6">
        <f>IF($A90="","",$A90&amp;" Equity")</f>
        <v/>
      </c>
      <c r="D90" s="6">
        <f>IF($C90="","",BDP($C90,"NAME"))</f>
        <v/>
      </c>
      <c r="E90" s="6">
        <f>IF($C90="","",BDP($C90,"GICS_SECTOR_NAME"))</f>
        <v/>
      </c>
      <c r="F90" s="33">
        <f>IF($C90="","",BDP($C90,FLD_CCY))</f>
        <v/>
      </c>
      <c r="G90" s="90">
        <f>IFERROR(IF(LEN($F90)&lt;&gt;3,1,IF($F90="HKD",1,BDP(IF($F90="CNY",RMB_CROSS,$F90)&amp;"HKD Curncy","PX_LAST"))),1)</f>
        <v/>
      </c>
      <c r="H90" s="65">
        <f>IF($C90="","",BDP($C90,FLD_DPS12M))</f>
        <v/>
      </c>
      <c r="I90" s="47">
        <f>IF($C90="","",BDP($C90,FLD_YLD12M))</f>
        <v/>
      </c>
      <c r="J90" s="49">
        <f>IF($B90="",0,SUMPRODUCT(('Dvd Calendar'!$E$924:$AR$924&gt;=DATE(YEAR_Y,1,1))*('Dvd Calendar'!$E$924:$AR$924&lt;=REALIZED_TO)*'Dvd Calendar'!$E$927:$AR$927*(('Dvd Calendar'!$E$929:$AR$929=TYPE1)*(TYPE1&lt;&gt;"")+('Dvd Calendar'!$E$929:$AR$929=TYPE2)*(TYPE2&lt;&gt;"")+('Dvd Calendar'!$E$929:$AR$929=TYPE3)*(TYPE3&lt;&gt;"")+('Dvd Calendar'!$E$929:$AR$929=TYPE4)*(TYPE4&lt;&gt;"")+('Dvd Calendar'!$E$929:$AR$929=SPECIAL_LBL)*(INC_SPECIALS="Y"))))</f>
        <v/>
      </c>
      <c r="K90" s="49">
        <f>IF($B90="",0,SUMIFS('Dvd Calendar'!$E$932:$AR$932,'Dvd Calendar'!$E$931:$AR$931,"&gt;"&amp;PROJ_FROM,'Dvd Calendar'!$E$931:$AR$931,"&lt;="&amp;DATE(YEAR_Y,12,31)))</f>
        <v/>
      </c>
      <c r="L90" s="49">
        <f>IF($B90="",0,IF((OV_SWITCH="ON")*(COUNTIFS(OVR_TICKERS,$C90,OVR_BASE,"&gt;=0")&gt;0)&gt;0,SUMIFS(OVR_BASE,OVR_TICKERS,$C90),$K90))</f>
        <v/>
      </c>
      <c r="M90" s="49">
        <f>IF($B90="",0,IF((OV_SWITCH="ON")*(COUNTIFS(OVR_TICKERS,$C90,OVR_LOW,"&gt;=0")&gt;0)&gt;0,SUMIFS(OVR_LOW,OVR_TICKERS,$C90),$L90))</f>
        <v/>
      </c>
      <c r="N90" s="49">
        <f>IF($B90="",0,IF((OV_SWITCH="ON")*(COUNTIFS(OVR_TICKERS,$C90,OVR_HIGH,"&gt;=0")&gt;0)&gt;0,SUMIFS(OVR_HIGH,OVR_TICKERS,$C90),$L90))</f>
        <v/>
      </c>
      <c r="O90" s="65">
        <f>IF($B90="","",IFERROR($B90*$G90*$J90/$B$3,""))</f>
        <v/>
      </c>
      <c r="P90" s="65">
        <f>IF($B90="","",IFERROR($B90*$G90*$L90/$B$3,""))</f>
        <v/>
      </c>
      <c r="Q90" s="41">
        <f>IF($B90="","",IFERROR($O90+$P90,""))</f>
        <v/>
      </c>
      <c r="R90" s="65">
        <f>IF($B90="","",IFERROR($O90+$B90*$G90*$M90/$B$3,""))</f>
        <v/>
      </c>
      <c r="S90" s="65">
        <f>IF($B90="","",IFERROR($O90+$B90*$G90*$N90/$B$3,""))</f>
        <v/>
      </c>
      <c r="T90" s="80">
        <f>IF($B90="","",IFERROR($Q90/$Q$5,""))</f>
        <v/>
      </c>
      <c r="U90" s="2">
        <f>IF($B90="","",IF(COUNTIFS('Dvd Calendar'!$E$930:$AR$930,"&gt;0",'Dvd Calendar'!$E$930:$AR$930,"&lt;="&amp;VAL_DATE,'Dvd Calendar'!$E$931:$AR$931,"&gt;"&amp;PROJ_FROM,'Dvd Calendar'!$E$931:$AR$931,"&lt;="&amp;DATE(YEAR_Y,12,31))-COUNTIFS('Dvd Calendar'!$E$930:$AR$930,"&gt;0",'Dvd Calendar'!$E$930:$AR$930,"&lt;="&amp;VAL_DATE,'Dvd Calendar'!$E$931:$AR$931,"&gt;"&amp;PROJ_FROM,'Dvd Calendar'!$E$931:$AR$931,"&lt;="&amp;DATE(YEAR_Y,12,31),'Dvd Calendar'!$E$932:$AR$932,"&gt;=0")&gt;0,"TBA amount - override me",IF((OV_SWITCH="ON")*(COUNTIFS(OVR_TICKERS,$C90,OVR_BASE,"&gt;=0")&gt;0)&gt;0,"overridden",IF($J90+$K90=0,"no dividend in year Y",""))))</f>
        <v/>
      </c>
      <c r="V90" s="65">
        <f>IF($B90="","",IFERROR(IF(ISNUMBER($H90),$B90*$G90*$H90/$B$3,0),""))</f>
        <v/>
      </c>
      <c r="W90" s="65">
        <f>IF($B90="","",IFERROR($B90*$G90*$K90/$B$3,""))</f>
        <v/>
      </c>
      <c r="X90" s="91">
        <f>IF($C90="","",BDP($C90,"PX_LAST"))</f>
        <v/>
      </c>
      <c r="Y90" s="65">
        <f>IF($B90="","",IFERROR($B90*$X90/$B$3,""))</f>
        <v/>
      </c>
      <c r="Z90" s="76">
        <f>IF($B90="","",IFERROR($Y90/$Y$5,""))</f>
        <v/>
      </c>
    </row>
    <row r="91">
      <c r="B91" s="89" t="n"/>
      <c r="C91" s="6">
        <f>IF($A91="","",$A91&amp;" Equity")</f>
        <v/>
      </c>
      <c r="D91" s="6">
        <f>IF($C91="","",BDP($C91,"NAME"))</f>
        <v/>
      </c>
      <c r="E91" s="6">
        <f>IF($C91="","",BDP($C91,"GICS_SECTOR_NAME"))</f>
        <v/>
      </c>
      <c r="F91" s="33">
        <f>IF($C91="","",BDP($C91,FLD_CCY))</f>
        <v/>
      </c>
      <c r="G91" s="90">
        <f>IFERROR(IF(LEN($F91)&lt;&gt;3,1,IF($F91="HKD",1,BDP(IF($F91="CNY",RMB_CROSS,$F91)&amp;"HKD Curncy","PX_LAST"))),1)</f>
        <v/>
      </c>
      <c r="H91" s="65">
        <f>IF($C91="","",BDP($C91,FLD_DPS12M))</f>
        <v/>
      </c>
      <c r="I91" s="47">
        <f>IF($C91="","",BDP($C91,FLD_YLD12M))</f>
        <v/>
      </c>
      <c r="J91" s="49">
        <f>IF($B91="",0,SUMPRODUCT(('Dvd Calendar'!$E$935:$AR$935&gt;=DATE(YEAR_Y,1,1))*('Dvd Calendar'!$E$935:$AR$935&lt;=REALIZED_TO)*'Dvd Calendar'!$E$938:$AR$938*(('Dvd Calendar'!$E$940:$AR$940=TYPE1)*(TYPE1&lt;&gt;"")+('Dvd Calendar'!$E$940:$AR$940=TYPE2)*(TYPE2&lt;&gt;"")+('Dvd Calendar'!$E$940:$AR$940=TYPE3)*(TYPE3&lt;&gt;"")+('Dvd Calendar'!$E$940:$AR$940=TYPE4)*(TYPE4&lt;&gt;"")+('Dvd Calendar'!$E$940:$AR$940=SPECIAL_LBL)*(INC_SPECIALS="Y"))))</f>
        <v/>
      </c>
      <c r="K91" s="49">
        <f>IF($B91="",0,SUMIFS('Dvd Calendar'!$E$943:$AR$943,'Dvd Calendar'!$E$942:$AR$942,"&gt;"&amp;PROJ_FROM,'Dvd Calendar'!$E$942:$AR$942,"&lt;="&amp;DATE(YEAR_Y,12,31)))</f>
        <v/>
      </c>
      <c r="L91" s="49">
        <f>IF($B91="",0,IF((OV_SWITCH="ON")*(COUNTIFS(OVR_TICKERS,$C91,OVR_BASE,"&gt;=0")&gt;0)&gt;0,SUMIFS(OVR_BASE,OVR_TICKERS,$C91),$K91))</f>
        <v/>
      </c>
      <c r="M91" s="49">
        <f>IF($B91="",0,IF((OV_SWITCH="ON")*(COUNTIFS(OVR_TICKERS,$C91,OVR_LOW,"&gt;=0")&gt;0)&gt;0,SUMIFS(OVR_LOW,OVR_TICKERS,$C91),$L91))</f>
        <v/>
      </c>
      <c r="N91" s="49">
        <f>IF($B91="",0,IF((OV_SWITCH="ON")*(COUNTIFS(OVR_TICKERS,$C91,OVR_HIGH,"&gt;=0")&gt;0)&gt;0,SUMIFS(OVR_HIGH,OVR_TICKERS,$C91),$L91))</f>
        <v/>
      </c>
      <c r="O91" s="65">
        <f>IF($B91="","",IFERROR($B91*$G91*$J91/$B$3,""))</f>
        <v/>
      </c>
      <c r="P91" s="65">
        <f>IF($B91="","",IFERROR($B91*$G91*$L91/$B$3,""))</f>
        <v/>
      </c>
      <c r="Q91" s="41">
        <f>IF($B91="","",IFERROR($O91+$P91,""))</f>
        <v/>
      </c>
      <c r="R91" s="65">
        <f>IF($B91="","",IFERROR($O91+$B91*$G91*$M91/$B$3,""))</f>
        <v/>
      </c>
      <c r="S91" s="65">
        <f>IF($B91="","",IFERROR($O91+$B91*$G91*$N91/$B$3,""))</f>
        <v/>
      </c>
      <c r="T91" s="80">
        <f>IF($B91="","",IFERROR($Q91/$Q$5,""))</f>
        <v/>
      </c>
      <c r="U91" s="2">
        <f>IF($B91="","",IF(COUNTIFS('Dvd Calendar'!$E$941:$AR$941,"&gt;0",'Dvd Calendar'!$E$941:$AR$941,"&lt;="&amp;VAL_DATE,'Dvd Calendar'!$E$942:$AR$942,"&gt;"&amp;PROJ_FROM,'Dvd Calendar'!$E$942:$AR$942,"&lt;="&amp;DATE(YEAR_Y,12,31))-COUNTIFS('Dvd Calendar'!$E$941:$AR$941,"&gt;0",'Dvd Calendar'!$E$941:$AR$941,"&lt;="&amp;VAL_DATE,'Dvd Calendar'!$E$942:$AR$942,"&gt;"&amp;PROJ_FROM,'Dvd Calendar'!$E$942:$AR$942,"&lt;="&amp;DATE(YEAR_Y,12,31),'Dvd Calendar'!$E$943:$AR$943,"&gt;=0")&gt;0,"TBA amount - override me",IF((OV_SWITCH="ON")*(COUNTIFS(OVR_TICKERS,$C91,OVR_BASE,"&gt;=0")&gt;0)&gt;0,"overridden",IF($J91+$K91=0,"no dividend in year Y",""))))</f>
        <v/>
      </c>
      <c r="V91" s="65">
        <f>IF($B91="","",IFERROR(IF(ISNUMBER($H91),$B91*$G91*$H91/$B$3,0),""))</f>
        <v/>
      </c>
      <c r="W91" s="65">
        <f>IF($B91="","",IFERROR($B91*$G91*$K91/$B$3,""))</f>
        <v/>
      </c>
      <c r="X91" s="91">
        <f>IF($C91="","",BDP($C91,"PX_LAST"))</f>
        <v/>
      </c>
      <c r="Y91" s="65">
        <f>IF($B91="","",IFERROR($B91*$X91/$B$3,""))</f>
        <v/>
      </c>
      <c r="Z91" s="76">
        <f>IF($B91="","",IFERROR($Y91/$Y$5,""))</f>
        <v/>
      </c>
    </row>
    <row r="92">
      <c r="B92" s="89" t="n"/>
      <c r="C92" s="6">
        <f>IF($A92="","",$A92&amp;" Equity")</f>
        <v/>
      </c>
      <c r="D92" s="6">
        <f>IF($C92="","",BDP($C92,"NAME"))</f>
        <v/>
      </c>
      <c r="E92" s="6">
        <f>IF($C92="","",BDP($C92,"GICS_SECTOR_NAME"))</f>
        <v/>
      </c>
      <c r="F92" s="33">
        <f>IF($C92="","",BDP($C92,FLD_CCY))</f>
        <v/>
      </c>
      <c r="G92" s="90">
        <f>IFERROR(IF(LEN($F92)&lt;&gt;3,1,IF($F92="HKD",1,BDP(IF($F92="CNY",RMB_CROSS,$F92)&amp;"HKD Curncy","PX_LAST"))),1)</f>
        <v/>
      </c>
      <c r="H92" s="65">
        <f>IF($C92="","",BDP($C92,FLD_DPS12M))</f>
        <v/>
      </c>
      <c r="I92" s="47">
        <f>IF($C92="","",BDP($C92,FLD_YLD12M))</f>
        <v/>
      </c>
      <c r="J92" s="49">
        <f>IF($B92="",0,SUMPRODUCT(('Dvd Calendar'!$E$946:$AR$946&gt;=DATE(YEAR_Y,1,1))*('Dvd Calendar'!$E$946:$AR$946&lt;=REALIZED_TO)*'Dvd Calendar'!$E$949:$AR$949*(('Dvd Calendar'!$E$951:$AR$951=TYPE1)*(TYPE1&lt;&gt;"")+('Dvd Calendar'!$E$951:$AR$951=TYPE2)*(TYPE2&lt;&gt;"")+('Dvd Calendar'!$E$951:$AR$951=TYPE3)*(TYPE3&lt;&gt;"")+('Dvd Calendar'!$E$951:$AR$951=TYPE4)*(TYPE4&lt;&gt;"")+('Dvd Calendar'!$E$951:$AR$951=SPECIAL_LBL)*(INC_SPECIALS="Y"))))</f>
        <v/>
      </c>
      <c r="K92" s="49">
        <f>IF($B92="",0,SUMIFS('Dvd Calendar'!$E$954:$AR$954,'Dvd Calendar'!$E$953:$AR$953,"&gt;"&amp;PROJ_FROM,'Dvd Calendar'!$E$953:$AR$953,"&lt;="&amp;DATE(YEAR_Y,12,31)))</f>
        <v/>
      </c>
      <c r="L92" s="49">
        <f>IF($B92="",0,IF((OV_SWITCH="ON")*(COUNTIFS(OVR_TICKERS,$C92,OVR_BASE,"&gt;=0")&gt;0)&gt;0,SUMIFS(OVR_BASE,OVR_TICKERS,$C92),$K92))</f>
        <v/>
      </c>
      <c r="M92" s="49">
        <f>IF($B92="",0,IF((OV_SWITCH="ON")*(COUNTIFS(OVR_TICKERS,$C92,OVR_LOW,"&gt;=0")&gt;0)&gt;0,SUMIFS(OVR_LOW,OVR_TICKERS,$C92),$L92))</f>
        <v/>
      </c>
      <c r="N92" s="49">
        <f>IF($B92="",0,IF((OV_SWITCH="ON")*(COUNTIFS(OVR_TICKERS,$C92,OVR_HIGH,"&gt;=0")&gt;0)&gt;0,SUMIFS(OVR_HIGH,OVR_TICKERS,$C92),$L92))</f>
        <v/>
      </c>
      <c r="O92" s="65">
        <f>IF($B92="","",IFERROR($B92*$G92*$J92/$B$3,""))</f>
        <v/>
      </c>
      <c r="P92" s="65">
        <f>IF($B92="","",IFERROR($B92*$G92*$L92/$B$3,""))</f>
        <v/>
      </c>
      <c r="Q92" s="41">
        <f>IF($B92="","",IFERROR($O92+$P92,""))</f>
        <v/>
      </c>
      <c r="R92" s="65">
        <f>IF($B92="","",IFERROR($O92+$B92*$G92*$M92/$B$3,""))</f>
        <v/>
      </c>
      <c r="S92" s="65">
        <f>IF($B92="","",IFERROR($O92+$B92*$G92*$N92/$B$3,""))</f>
        <v/>
      </c>
      <c r="T92" s="80">
        <f>IF($B92="","",IFERROR($Q92/$Q$5,""))</f>
        <v/>
      </c>
      <c r="U92" s="2">
        <f>IF($B92="","",IF(COUNTIFS('Dvd Calendar'!$E$952:$AR$952,"&gt;0",'Dvd Calendar'!$E$952:$AR$952,"&lt;="&amp;VAL_DATE,'Dvd Calendar'!$E$953:$AR$953,"&gt;"&amp;PROJ_FROM,'Dvd Calendar'!$E$953:$AR$953,"&lt;="&amp;DATE(YEAR_Y,12,31))-COUNTIFS('Dvd Calendar'!$E$952:$AR$952,"&gt;0",'Dvd Calendar'!$E$952:$AR$952,"&lt;="&amp;VAL_DATE,'Dvd Calendar'!$E$953:$AR$953,"&gt;"&amp;PROJ_FROM,'Dvd Calendar'!$E$953:$AR$953,"&lt;="&amp;DATE(YEAR_Y,12,31),'Dvd Calendar'!$E$954:$AR$954,"&gt;=0")&gt;0,"TBA amount - override me",IF((OV_SWITCH="ON")*(COUNTIFS(OVR_TICKERS,$C92,OVR_BASE,"&gt;=0")&gt;0)&gt;0,"overridden",IF($J92+$K92=0,"no dividend in year Y",""))))</f>
        <v/>
      </c>
      <c r="V92" s="65">
        <f>IF($B92="","",IFERROR(IF(ISNUMBER($H92),$B92*$G92*$H92/$B$3,0),""))</f>
        <v/>
      </c>
      <c r="W92" s="65">
        <f>IF($B92="","",IFERROR($B92*$G92*$K92/$B$3,""))</f>
        <v/>
      </c>
      <c r="X92" s="91">
        <f>IF($C92="","",BDP($C92,"PX_LAST"))</f>
        <v/>
      </c>
      <c r="Y92" s="65">
        <f>IF($B92="","",IFERROR($B92*$X92/$B$3,""))</f>
        <v/>
      </c>
      <c r="Z92" s="76">
        <f>IF($B92="","",IFERROR($Y92/$Y$5,""))</f>
        <v/>
      </c>
    </row>
    <row r="93">
      <c r="B93" s="89" t="n"/>
      <c r="C93" s="6">
        <f>IF($A93="","",$A93&amp;" Equity")</f>
        <v/>
      </c>
      <c r="D93" s="6">
        <f>IF($C93="","",BDP($C93,"NAME"))</f>
        <v/>
      </c>
      <c r="E93" s="6">
        <f>IF($C93="","",BDP($C93,"GICS_SECTOR_NAME"))</f>
        <v/>
      </c>
      <c r="F93" s="33">
        <f>IF($C93="","",BDP($C93,FLD_CCY))</f>
        <v/>
      </c>
      <c r="G93" s="90">
        <f>IFERROR(IF(LEN($F93)&lt;&gt;3,1,IF($F93="HKD",1,BDP(IF($F93="CNY",RMB_CROSS,$F93)&amp;"HKD Curncy","PX_LAST"))),1)</f>
        <v/>
      </c>
      <c r="H93" s="65">
        <f>IF($C93="","",BDP($C93,FLD_DPS12M))</f>
        <v/>
      </c>
      <c r="I93" s="47">
        <f>IF($C93="","",BDP($C93,FLD_YLD12M))</f>
        <v/>
      </c>
      <c r="J93" s="49">
        <f>IF($B93="",0,SUMPRODUCT(('Dvd Calendar'!$E$957:$AR$957&gt;=DATE(YEAR_Y,1,1))*('Dvd Calendar'!$E$957:$AR$957&lt;=REALIZED_TO)*'Dvd Calendar'!$E$960:$AR$960*(('Dvd Calendar'!$E$962:$AR$962=TYPE1)*(TYPE1&lt;&gt;"")+('Dvd Calendar'!$E$962:$AR$962=TYPE2)*(TYPE2&lt;&gt;"")+('Dvd Calendar'!$E$962:$AR$962=TYPE3)*(TYPE3&lt;&gt;"")+('Dvd Calendar'!$E$962:$AR$962=TYPE4)*(TYPE4&lt;&gt;"")+('Dvd Calendar'!$E$962:$AR$962=SPECIAL_LBL)*(INC_SPECIALS="Y"))))</f>
        <v/>
      </c>
      <c r="K93" s="49">
        <f>IF($B93="",0,SUMIFS('Dvd Calendar'!$E$965:$AR$965,'Dvd Calendar'!$E$964:$AR$964,"&gt;"&amp;PROJ_FROM,'Dvd Calendar'!$E$964:$AR$964,"&lt;="&amp;DATE(YEAR_Y,12,31)))</f>
        <v/>
      </c>
      <c r="L93" s="49">
        <f>IF($B93="",0,IF((OV_SWITCH="ON")*(COUNTIFS(OVR_TICKERS,$C93,OVR_BASE,"&gt;=0")&gt;0)&gt;0,SUMIFS(OVR_BASE,OVR_TICKERS,$C93),$K93))</f>
        <v/>
      </c>
      <c r="M93" s="49">
        <f>IF($B93="",0,IF((OV_SWITCH="ON")*(COUNTIFS(OVR_TICKERS,$C93,OVR_LOW,"&gt;=0")&gt;0)&gt;0,SUMIFS(OVR_LOW,OVR_TICKERS,$C93),$L93))</f>
        <v/>
      </c>
      <c r="N93" s="49">
        <f>IF($B93="",0,IF((OV_SWITCH="ON")*(COUNTIFS(OVR_TICKERS,$C93,OVR_HIGH,"&gt;=0")&gt;0)&gt;0,SUMIFS(OVR_HIGH,OVR_TICKERS,$C93),$L93))</f>
        <v/>
      </c>
      <c r="O93" s="65">
        <f>IF($B93="","",IFERROR($B93*$G93*$J93/$B$3,""))</f>
        <v/>
      </c>
      <c r="P93" s="65">
        <f>IF($B93="","",IFERROR($B93*$G93*$L93/$B$3,""))</f>
        <v/>
      </c>
      <c r="Q93" s="41">
        <f>IF($B93="","",IFERROR($O93+$P93,""))</f>
        <v/>
      </c>
      <c r="R93" s="65">
        <f>IF($B93="","",IFERROR($O93+$B93*$G93*$M93/$B$3,""))</f>
        <v/>
      </c>
      <c r="S93" s="65">
        <f>IF($B93="","",IFERROR($O93+$B93*$G93*$N93/$B$3,""))</f>
        <v/>
      </c>
      <c r="T93" s="80">
        <f>IF($B93="","",IFERROR($Q93/$Q$5,""))</f>
        <v/>
      </c>
      <c r="U93" s="2">
        <f>IF($B93="","",IF(COUNTIFS('Dvd Calendar'!$E$963:$AR$963,"&gt;0",'Dvd Calendar'!$E$963:$AR$963,"&lt;="&amp;VAL_DATE,'Dvd Calendar'!$E$964:$AR$964,"&gt;"&amp;PROJ_FROM,'Dvd Calendar'!$E$964:$AR$964,"&lt;="&amp;DATE(YEAR_Y,12,31))-COUNTIFS('Dvd Calendar'!$E$963:$AR$963,"&gt;0",'Dvd Calendar'!$E$963:$AR$963,"&lt;="&amp;VAL_DATE,'Dvd Calendar'!$E$964:$AR$964,"&gt;"&amp;PROJ_FROM,'Dvd Calendar'!$E$964:$AR$964,"&lt;="&amp;DATE(YEAR_Y,12,31),'Dvd Calendar'!$E$965:$AR$965,"&gt;=0")&gt;0,"TBA amount - override me",IF((OV_SWITCH="ON")*(COUNTIFS(OVR_TICKERS,$C93,OVR_BASE,"&gt;=0")&gt;0)&gt;0,"overridden",IF($J93+$K93=0,"no dividend in year Y",""))))</f>
        <v/>
      </c>
      <c r="V93" s="65">
        <f>IF($B93="","",IFERROR(IF(ISNUMBER($H93),$B93*$G93*$H93/$B$3,0),""))</f>
        <v/>
      </c>
      <c r="W93" s="65">
        <f>IF($B93="","",IFERROR($B93*$G93*$K93/$B$3,""))</f>
        <v/>
      </c>
      <c r="X93" s="91">
        <f>IF($C93="","",BDP($C93,"PX_LAST"))</f>
        <v/>
      </c>
      <c r="Y93" s="65">
        <f>IF($B93="","",IFERROR($B93*$X93/$B$3,""))</f>
        <v/>
      </c>
      <c r="Z93" s="76">
        <f>IF($B93="","",IFERROR($Y93/$Y$5,""))</f>
        <v/>
      </c>
    </row>
    <row r="94">
      <c r="B94" s="89" t="n"/>
      <c r="C94" s="6">
        <f>IF($A94="","",$A94&amp;" Equity")</f>
        <v/>
      </c>
      <c r="D94" s="6">
        <f>IF($C94="","",BDP($C94,"NAME"))</f>
        <v/>
      </c>
      <c r="E94" s="6">
        <f>IF($C94="","",BDP($C94,"GICS_SECTOR_NAME"))</f>
        <v/>
      </c>
      <c r="F94" s="33">
        <f>IF($C94="","",BDP($C94,FLD_CCY))</f>
        <v/>
      </c>
      <c r="G94" s="90">
        <f>IFERROR(IF(LEN($F94)&lt;&gt;3,1,IF($F94="HKD",1,BDP(IF($F94="CNY",RMB_CROSS,$F94)&amp;"HKD Curncy","PX_LAST"))),1)</f>
        <v/>
      </c>
      <c r="H94" s="65">
        <f>IF($C94="","",BDP($C94,FLD_DPS12M))</f>
        <v/>
      </c>
      <c r="I94" s="47">
        <f>IF($C94="","",BDP($C94,FLD_YLD12M))</f>
        <v/>
      </c>
      <c r="J94" s="49">
        <f>IF($B94="",0,SUMPRODUCT(('Dvd Calendar'!$E$968:$AR$968&gt;=DATE(YEAR_Y,1,1))*('Dvd Calendar'!$E$968:$AR$968&lt;=REALIZED_TO)*'Dvd Calendar'!$E$971:$AR$971*(('Dvd Calendar'!$E$973:$AR$973=TYPE1)*(TYPE1&lt;&gt;"")+('Dvd Calendar'!$E$973:$AR$973=TYPE2)*(TYPE2&lt;&gt;"")+('Dvd Calendar'!$E$973:$AR$973=TYPE3)*(TYPE3&lt;&gt;"")+('Dvd Calendar'!$E$973:$AR$973=TYPE4)*(TYPE4&lt;&gt;"")+('Dvd Calendar'!$E$973:$AR$973=SPECIAL_LBL)*(INC_SPECIALS="Y"))))</f>
        <v/>
      </c>
      <c r="K94" s="49">
        <f>IF($B94="",0,SUMIFS('Dvd Calendar'!$E$976:$AR$976,'Dvd Calendar'!$E$975:$AR$975,"&gt;"&amp;PROJ_FROM,'Dvd Calendar'!$E$975:$AR$975,"&lt;="&amp;DATE(YEAR_Y,12,31)))</f>
        <v/>
      </c>
      <c r="L94" s="49">
        <f>IF($B94="",0,IF((OV_SWITCH="ON")*(COUNTIFS(OVR_TICKERS,$C94,OVR_BASE,"&gt;=0")&gt;0)&gt;0,SUMIFS(OVR_BASE,OVR_TICKERS,$C94),$K94))</f>
        <v/>
      </c>
      <c r="M94" s="49">
        <f>IF($B94="",0,IF((OV_SWITCH="ON")*(COUNTIFS(OVR_TICKERS,$C94,OVR_LOW,"&gt;=0")&gt;0)&gt;0,SUMIFS(OVR_LOW,OVR_TICKERS,$C94),$L94))</f>
        <v/>
      </c>
      <c r="N94" s="49">
        <f>IF($B94="",0,IF((OV_SWITCH="ON")*(COUNTIFS(OVR_TICKERS,$C94,OVR_HIGH,"&gt;=0")&gt;0)&gt;0,SUMIFS(OVR_HIGH,OVR_TICKERS,$C94),$L94))</f>
        <v/>
      </c>
      <c r="O94" s="65">
        <f>IF($B94="","",IFERROR($B94*$G94*$J94/$B$3,""))</f>
        <v/>
      </c>
      <c r="P94" s="65">
        <f>IF($B94="","",IFERROR($B94*$G94*$L94/$B$3,""))</f>
        <v/>
      </c>
      <c r="Q94" s="41">
        <f>IF($B94="","",IFERROR($O94+$P94,""))</f>
        <v/>
      </c>
      <c r="R94" s="65">
        <f>IF($B94="","",IFERROR($O94+$B94*$G94*$M94/$B$3,""))</f>
        <v/>
      </c>
      <c r="S94" s="65">
        <f>IF($B94="","",IFERROR($O94+$B94*$G94*$N94/$B$3,""))</f>
        <v/>
      </c>
      <c r="T94" s="80">
        <f>IF($B94="","",IFERROR($Q94/$Q$5,""))</f>
        <v/>
      </c>
      <c r="U94" s="2">
        <f>IF($B94="","",IF(COUNTIFS('Dvd Calendar'!$E$974:$AR$974,"&gt;0",'Dvd Calendar'!$E$974:$AR$974,"&lt;="&amp;VAL_DATE,'Dvd Calendar'!$E$975:$AR$975,"&gt;"&amp;PROJ_FROM,'Dvd Calendar'!$E$975:$AR$975,"&lt;="&amp;DATE(YEAR_Y,12,31))-COUNTIFS('Dvd Calendar'!$E$974:$AR$974,"&gt;0",'Dvd Calendar'!$E$974:$AR$974,"&lt;="&amp;VAL_DATE,'Dvd Calendar'!$E$975:$AR$975,"&gt;"&amp;PROJ_FROM,'Dvd Calendar'!$E$975:$AR$975,"&lt;="&amp;DATE(YEAR_Y,12,31),'Dvd Calendar'!$E$976:$AR$976,"&gt;=0")&gt;0,"TBA amount - override me",IF((OV_SWITCH="ON")*(COUNTIFS(OVR_TICKERS,$C94,OVR_BASE,"&gt;=0")&gt;0)&gt;0,"overridden",IF($J94+$K94=0,"no dividend in year Y",""))))</f>
        <v/>
      </c>
      <c r="V94" s="65">
        <f>IF($B94="","",IFERROR(IF(ISNUMBER($H94),$B94*$G94*$H94/$B$3,0),""))</f>
        <v/>
      </c>
      <c r="W94" s="65">
        <f>IF($B94="","",IFERROR($B94*$G94*$K94/$B$3,""))</f>
        <v/>
      </c>
      <c r="X94" s="91">
        <f>IF($C94="","",BDP($C94,"PX_LAST"))</f>
        <v/>
      </c>
      <c r="Y94" s="65">
        <f>IF($B94="","",IFERROR($B94*$X94/$B$3,""))</f>
        <v/>
      </c>
      <c r="Z94" s="76">
        <f>IF($B94="","",IFERROR($Y94/$Y$5,""))</f>
        <v/>
      </c>
    </row>
    <row r="95">
      <c r="B95" s="89" t="n"/>
      <c r="C95" s="6">
        <f>IF($A95="","",$A95&amp;" Equity")</f>
        <v/>
      </c>
      <c r="D95" s="6">
        <f>IF($C95="","",BDP($C95,"NAME"))</f>
        <v/>
      </c>
      <c r="E95" s="6">
        <f>IF($C95="","",BDP($C95,"GICS_SECTOR_NAME"))</f>
        <v/>
      </c>
      <c r="F95" s="33">
        <f>IF($C95="","",BDP($C95,FLD_CCY))</f>
        <v/>
      </c>
      <c r="G95" s="90">
        <f>IFERROR(IF(LEN($F95)&lt;&gt;3,1,IF($F95="HKD",1,BDP(IF($F95="CNY",RMB_CROSS,$F95)&amp;"HKD Curncy","PX_LAST"))),1)</f>
        <v/>
      </c>
      <c r="H95" s="65">
        <f>IF($C95="","",BDP($C95,FLD_DPS12M))</f>
        <v/>
      </c>
      <c r="I95" s="47">
        <f>IF($C95="","",BDP($C95,FLD_YLD12M))</f>
        <v/>
      </c>
      <c r="J95" s="49">
        <f>IF($B95="",0,SUMPRODUCT(('Dvd Calendar'!$E$979:$AR$979&gt;=DATE(YEAR_Y,1,1))*('Dvd Calendar'!$E$979:$AR$979&lt;=REALIZED_TO)*'Dvd Calendar'!$E$982:$AR$982*(('Dvd Calendar'!$E$984:$AR$984=TYPE1)*(TYPE1&lt;&gt;"")+('Dvd Calendar'!$E$984:$AR$984=TYPE2)*(TYPE2&lt;&gt;"")+('Dvd Calendar'!$E$984:$AR$984=TYPE3)*(TYPE3&lt;&gt;"")+('Dvd Calendar'!$E$984:$AR$984=TYPE4)*(TYPE4&lt;&gt;"")+('Dvd Calendar'!$E$984:$AR$984=SPECIAL_LBL)*(INC_SPECIALS="Y"))))</f>
        <v/>
      </c>
      <c r="K95" s="49">
        <f>IF($B95="",0,SUMIFS('Dvd Calendar'!$E$987:$AR$987,'Dvd Calendar'!$E$986:$AR$986,"&gt;"&amp;PROJ_FROM,'Dvd Calendar'!$E$986:$AR$986,"&lt;="&amp;DATE(YEAR_Y,12,31)))</f>
        <v/>
      </c>
      <c r="L95" s="49">
        <f>IF($B95="",0,IF((OV_SWITCH="ON")*(COUNTIFS(OVR_TICKERS,$C95,OVR_BASE,"&gt;=0")&gt;0)&gt;0,SUMIFS(OVR_BASE,OVR_TICKERS,$C95),$K95))</f>
        <v/>
      </c>
      <c r="M95" s="49">
        <f>IF($B95="",0,IF((OV_SWITCH="ON")*(COUNTIFS(OVR_TICKERS,$C95,OVR_LOW,"&gt;=0")&gt;0)&gt;0,SUMIFS(OVR_LOW,OVR_TICKERS,$C95),$L95))</f>
        <v/>
      </c>
      <c r="N95" s="49">
        <f>IF($B95="",0,IF((OV_SWITCH="ON")*(COUNTIFS(OVR_TICKERS,$C95,OVR_HIGH,"&gt;=0")&gt;0)&gt;0,SUMIFS(OVR_HIGH,OVR_TICKERS,$C95),$L95))</f>
        <v/>
      </c>
      <c r="O95" s="65">
        <f>IF($B95="","",IFERROR($B95*$G95*$J95/$B$3,""))</f>
        <v/>
      </c>
      <c r="P95" s="65">
        <f>IF($B95="","",IFERROR($B95*$G95*$L95/$B$3,""))</f>
        <v/>
      </c>
      <c r="Q95" s="41">
        <f>IF($B95="","",IFERROR($O95+$P95,""))</f>
        <v/>
      </c>
      <c r="R95" s="65">
        <f>IF($B95="","",IFERROR($O95+$B95*$G95*$M95/$B$3,""))</f>
        <v/>
      </c>
      <c r="S95" s="65">
        <f>IF($B95="","",IFERROR($O95+$B95*$G95*$N95/$B$3,""))</f>
        <v/>
      </c>
      <c r="T95" s="80">
        <f>IF($B95="","",IFERROR($Q95/$Q$5,""))</f>
        <v/>
      </c>
      <c r="U95" s="2">
        <f>IF($B95="","",IF(COUNTIFS('Dvd Calendar'!$E$985:$AR$985,"&gt;0",'Dvd Calendar'!$E$985:$AR$985,"&lt;="&amp;VAL_DATE,'Dvd Calendar'!$E$986:$AR$986,"&gt;"&amp;PROJ_FROM,'Dvd Calendar'!$E$986:$AR$986,"&lt;="&amp;DATE(YEAR_Y,12,31))-COUNTIFS('Dvd Calendar'!$E$985:$AR$985,"&gt;0",'Dvd Calendar'!$E$985:$AR$985,"&lt;="&amp;VAL_DATE,'Dvd Calendar'!$E$986:$AR$986,"&gt;"&amp;PROJ_FROM,'Dvd Calendar'!$E$986:$AR$986,"&lt;="&amp;DATE(YEAR_Y,12,31),'Dvd Calendar'!$E$987:$AR$987,"&gt;=0")&gt;0,"TBA amount - override me",IF((OV_SWITCH="ON")*(COUNTIFS(OVR_TICKERS,$C95,OVR_BASE,"&gt;=0")&gt;0)&gt;0,"overridden",IF($J95+$K95=0,"no dividend in year Y",""))))</f>
        <v/>
      </c>
      <c r="V95" s="65">
        <f>IF($B95="","",IFERROR(IF(ISNUMBER($H95),$B95*$G95*$H95/$B$3,0),""))</f>
        <v/>
      </c>
      <c r="W95" s="65">
        <f>IF($B95="","",IFERROR($B95*$G95*$K95/$B$3,""))</f>
        <v/>
      </c>
      <c r="X95" s="91">
        <f>IF($C95="","",BDP($C95,"PX_LAST"))</f>
        <v/>
      </c>
      <c r="Y95" s="65">
        <f>IF($B95="","",IFERROR($B95*$X95/$B$3,""))</f>
        <v/>
      </c>
      <c r="Z95" s="76">
        <f>IF($B95="","",IFERROR($Y95/$Y$5,""))</f>
        <v/>
      </c>
    </row>
    <row r="96">
      <c r="B96" s="89" t="n"/>
      <c r="C96" s="6">
        <f>IF($A96="","",$A96&amp;" Equity")</f>
        <v/>
      </c>
      <c r="D96" s="6">
        <f>IF($C96="","",BDP($C96,"NAME"))</f>
        <v/>
      </c>
      <c r="E96" s="6">
        <f>IF($C96="","",BDP($C96,"GICS_SECTOR_NAME"))</f>
        <v/>
      </c>
      <c r="F96" s="33">
        <f>IF($C96="","",BDP($C96,FLD_CCY))</f>
        <v/>
      </c>
      <c r="G96" s="90">
        <f>IFERROR(IF(LEN($F96)&lt;&gt;3,1,IF($F96="HKD",1,BDP(IF($F96="CNY",RMB_CROSS,$F96)&amp;"HKD Curncy","PX_LAST"))),1)</f>
        <v/>
      </c>
      <c r="H96" s="65">
        <f>IF($C96="","",BDP($C96,FLD_DPS12M))</f>
        <v/>
      </c>
      <c r="I96" s="47">
        <f>IF($C96="","",BDP($C96,FLD_YLD12M))</f>
        <v/>
      </c>
      <c r="J96" s="49">
        <f>IF($B96="",0,SUMPRODUCT(('Dvd Calendar'!$E$990:$AR$990&gt;=DATE(YEAR_Y,1,1))*('Dvd Calendar'!$E$990:$AR$990&lt;=REALIZED_TO)*'Dvd Calendar'!$E$993:$AR$993*(('Dvd Calendar'!$E$995:$AR$995=TYPE1)*(TYPE1&lt;&gt;"")+('Dvd Calendar'!$E$995:$AR$995=TYPE2)*(TYPE2&lt;&gt;"")+('Dvd Calendar'!$E$995:$AR$995=TYPE3)*(TYPE3&lt;&gt;"")+('Dvd Calendar'!$E$995:$AR$995=TYPE4)*(TYPE4&lt;&gt;"")+('Dvd Calendar'!$E$995:$AR$995=SPECIAL_LBL)*(INC_SPECIALS="Y"))))</f>
        <v/>
      </c>
      <c r="K96" s="49">
        <f>IF($B96="",0,SUMIFS('Dvd Calendar'!$E$998:$AR$998,'Dvd Calendar'!$E$997:$AR$997,"&gt;"&amp;PROJ_FROM,'Dvd Calendar'!$E$997:$AR$997,"&lt;="&amp;DATE(YEAR_Y,12,31)))</f>
        <v/>
      </c>
      <c r="L96" s="49">
        <f>IF($B96="",0,IF((OV_SWITCH="ON")*(COUNTIFS(OVR_TICKERS,$C96,OVR_BASE,"&gt;=0")&gt;0)&gt;0,SUMIFS(OVR_BASE,OVR_TICKERS,$C96),$K96))</f>
        <v/>
      </c>
      <c r="M96" s="49">
        <f>IF($B96="",0,IF((OV_SWITCH="ON")*(COUNTIFS(OVR_TICKERS,$C96,OVR_LOW,"&gt;=0")&gt;0)&gt;0,SUMIFS(OVR_LOW,OVR_TICKERS,$C96),$L96))</f>
        <v/>
      </c>
      <c r="N96" s="49">
        <f>IF($B96="",0,IF((OV_SWITCH="ON")*(COUNTIFS(OVR_TICKERS,$C96,OVR_HIGH,"&gt;=0")&gt;0)&gt;0,SUMIFS(OVR_HIGH,OVR_TICKERS,$C96),$L96))</f>
        <v/>
      </c>
      <c r="O96" s="65">
        <f>IF($B96="","",IFERROR($B96*$G96*$J96/$B$3,""))</f>
        <v/>
      </c>
      <c r="P96" s="65">
        <f>IF($B96="","",IFERROR($B96*$G96*$L96/$B$3,""))</f>
        <v/>
      </c>
      <c r="Q96" s="41">
        <f>IF($B96="","",IFERROR($O96+$P96,""))</f>
        <v/>
      </c>
      <c r="R96" s="65">
        <f>IF($B96="","",IFERROR($O96+$B96*$G96*$M96/$B$3,""))</f>
        <v/>
      </c>
      <c r="S96" s="65">
        <f>IF($B96="","",IFERROR($O96+$B96*$G96*$N96/$B$3,""))</f>
        <v/>
      </c>
      <c r="T96" s="80">
        <f>IF($B96="","",IFERROR($Q96/$Q$5,""))</f>
        <v/>
      </c>
      <c r="U96" s="2">
        <f>IF($B96="","",IF(COUNTIFS('Dvd Calendar'!$E$996:$AR$996,"&gt;0",'Dvd Calendar'!$E$996:$AR$996,"&lt;="&amp;VAL_DATE,'Dvd Calendar'!$E$997:$AR$997,"&gt;"&amp;PROJ_FROM,'Dvd Calendar'!$E$997:$AR$997,"&lt;="&amp;DATE(YEAR_Y,12,31))-COUNTIFS('Dvd Calendar'!$E$996:$AR$996,"&gt;0",'Dvd Calendar'!$E$996:$AR$996,"&lt;="&amp;VAL_DATE,'Dvd Calendar'!$E$997:$AR$997,"&gt;"&amp;PROJ_FROM,'Dvd Calendar'!$E$997:$AR$997,"&lt;="&amp;DATE(YEAR_Y,12,31),'Dvd Calendar'!$E$998:$AR$998,"&gt;=0")&gt;0,"TBA amount - override me",IF((OV_SWITCH="ON")*(COUNTIFS(OVR_TICKERS,$C96,OVR_BASE,"&gt;=0")&gt;0)&gt;0,"overridden",IF($J96+$K96=0,"no dividend in year Y",""))))</f>
        <v/>
      </c>
      <c r="V96" s="65">
        <f>IF($B96="","",IFERROR(IF(ISNUMBER($H96),$B96*$G96*$H96/$B$3,0),""))</f>
        <v/>
      </c>
      <c r="W96" s="65">
        <f>IF($B96="","",IFERROR($B96*$G96*$K96/$B$3,""))</f>
        <v/>
      </c>
      <c r="X96" s="91">
        <f>IF($C96="","",BDP($C96,"PX_LAST"))</f>
        <v/>
      </c>
      <c r="Y96" s="65">
        <f>IF($B96="","",IFERROR($B96*$X96/$B$3,""))</f>
        <v/>
      </c>
      <c r="Z96" s="76">
        <f>IF($B96="","",IFERROR($Y96/$Y$5,""))</f>
        <v/>
      </c>
    </row>
    <row r="97">
      <c r="B97" s="89" t="n"/>
      <c r="C97" s="6">
        <f>IF($A97="","",$A97&amp;" Equity")</f>
        <v/>
      </c>
      <c r="D97" s="6">
        <f>IF($C97="","",BDP($C97,"NAME"))</f>
        <v/>
      </c>
      <c r="E97" s="6">
        <f>IF($C97="","",BDP($C97,"GICS_SECTOR_NAME"))</f>
        <v/>
      </c>
      <c r="F97" s="33">
        <f>IF($C97="","",BDP($C97,FLD_CCY))</f>
        <v/>
      </c>
      <c r="G97" s="90">
        <f>IFERROR(IF(LEN($F97)&lt;&gt;3,1,IF($F97="HKD",1,BDP(IF($F97="CNY",RMB_CROSS,$F97)&amp;"HKD Curncy","PX_LAST"))),1)</f>
        <v/>
      </c>
      <c r="H97" s="65">
        <f>IF($C97="","",BDP($C97,FLD_DPS12M))</f>
        <v/>
      </c>
      <c r="I97" s="47">
        <f>IF($C97="","",BDP($C97,FLD_YLD12M))</f>
        <v/>
      </c>
      <c r="J97" s="49">
        <f>IF($B97="",0,SUMPRODUCT(('Dvd Calendar'!$E$1001:$AR$1001&gt;=DATE(YEAR_Y,1,1))*('Dvd Calendar'!$E$1001:$AR$1001&lt;=REALIZED_TO)*'Dvd Calendar'!$E$1004:$AR$1004*(('Dvd Calendar'!$E$1006:$AR$1006=TYPE1)*(TYPE1&lt;&gt;"")+('Dvd Calendar'!$E$1006:$AR$1006=TYPE2)*(TYPE2&lt;&gt;"")+('Dvd Calendar'!$E$1006:$AR$1006=TYPE3)*(TYPE3&lt;&gt;"")+('Dvd Calendar'!$E$1006:$AR$1006=TYPE4)*(TYPE4&lt;&gt;"")+('Dvd Calendar'!$E$1006:$AR$1006=SPECIAL_LBL)*(INC_SPECIALS="Y"))))</f>
        <v/>
      </c>
      <c r="K97" s="49">
        <f>IF($B97="",0,SUMIFS('Dvd Calendar'!$E$1009:$AR$1009,'Dvd Calendar'!$E$1008:$AR$1008,"&gt;"&amp;PROJ_FROM,'Dvd Calendar'!$E$1008:$AR$1008,"&lt;="&amp;DATE(YEAR_Y,12,31)))</f>
        <v/>
      </c>
      <c r="L97" s="49">
        <f>IF($B97="",0,IF((OV_SWITCH="ON")*(COUNTIFS(OVR_TICKERS,$C97,OVR_BASE,"&gt;=0")&gt;0)&gt;0,SUMIFS(OVR_BASE,OVR_TICKERS,$C97),$K97))</f>
        <v/>
      </c>
      <c r="M97" s="49">
        <f>IF($B97="",0,IF((OV_SWITCH="ON")*(COUNTIFS(OVR_TICKERS,$C97,OVR_LOW,"&gt;=0")&gt;0)&gt;0,SUMIFS(OVR_LOW,OVR_TICKERS,$C97),$L97))</f>
        <v/>
      </c>
      <c r="N97" s="49">
        <f>IF($B97="",0,IF((OV_SWITCH="ON")*(COUNTIFS(OVR_TICKERS,$C97,OVR_HIGH,"&gt;=0")&gt;0)&gt;0,SUMIFS(OVR_HIGH,OVR_TICKERS,$C97),$L97))</f>
        <v/>
      </c>
      <c r="O97" s="65">
        <f>IF($B97="","",IFERROR($B97*$G97*$J97/$B$3,""))</f>
        <v/>
      </c>
      <c r="P97" s="65">
        <f>IF($B97="","",IFERROR($B97*$G97*$L97/$B$3,""))</f>
        <v/>
      </c>
      <c r="Q97" s="41">
        <f>IF($B97="","",IFERROR($O97+$P97,""))</f>
        <v/>
      </c>
      <c r="R97" s="65">
        <f>IF($B97="","",IFERROR($O97+$B97*$G97*$M97/$B$3,""))</f>
        <v/>
      </c>
      <c r="S97" s="65">
        <f>IF($B97="","",IFERROR($O97+$B97*$G97*$N97/$B$3,""))</f>
        <v/>
      </c>
      <c r="T97" s="80">
        <f>IF($B97="","",IFERROR($Q97/$Q$5,""))</f>
        <v/>
      </c>
      <c r="U97" s="2">
        <f>IF($B97="","",IF(COUNTIFS('Dvd Calendar'!$E$1007:$AR$1007,"&gt;0",'Dvd Calendar'!$E$1007:$AR$1007,"&lt;="&amp;VAL_DATE,'Dvd Calendar'!$E$1008:$AR$1008,"&gt;"&amp;PROJ_FROM,'Dvd Calendar'!$E$1008:$AR$1008,"&lt;="&amp;DATE(YEAR_Y,12,31))-COUNTIFS('Dvd Calendar'!$E$1007:$AR$1007,"&gt;0",'Dvd Calendar'!$E$1007:$AR$1007,"&lt;="&amp;VAL_DATE,'Dvd Calendar'!$E$1008:$AR$1008,"&gt;"&amp;PROJ_FROM,'Dvd Calendar'!$E$1008:$AR$1008,"&lt;="&amp;DATE(YEAR_Y,12,31),'Dvd Calendar'!$E$1009:$AR$1009,"&gt;=0")&gt;0,"TBA amount - override me",IF((OV_SWITCH="ON")*(COUNTIFS(OVR_TICKERS,$C97,OVR_BASE,"&gt;=0")&gt;0)&gt;0,"overridden",IF($J97+$K97=0,"no dividend in year Y",""))))</f>
        <v/>
      </c>
      <c r="V97" s="65">
        <f>IF($B97="","",IFERROR(IF(ISNUMBER($H97),$B97*$G97*$H97/$B$3,0),""))</f>
        <v/>
      </c>
      <c r="W97" s="65">
        <f>IF($B97="","",IFERROR($B97*$G97*$K97/$B$3,""))</f>
        <v/>
      </c>
      <c r="X97" s="91">
        <f>IF($C97="","",BDP($C97,"PX_LAST"))</f>
        <v/>
      </c>
      <c r="Y97" s="65">
        <f>IF($B97="","",IFERROR($B97*$X97/$B$3,""))</f>
        <v/>
      </c>
      <c r="Z97" s="76">
        <f>IF($B97="","",IFERROR($Y97/$Y$5,""))</f>
        <v/>
      </c>
    </row>
    <row r="98">
      <c r="B98" s="89" t="n"/>
      <c r="C98" s="6">
        <f>IF($A98="","",$A98&amp;" Equity")</f>
        <v/>
      </c>
      <c r="D98" s="6">
        <f>IF($C98="","",BDP($C98,"NAME"))</f>
        <v/>
      </c>
      <c r="E98" s="6">
        <f>IF($C98="","",BDP($C98,"GICS_SECTOR_NAME"))</f>
        <v/>
      </c>
      <c r="F98" s="33">
        <f>IF($C98="","",BDP($C98,FLD_CCY))</f>
        <v/>
      </c>
      <c r="G98" s="90">
        <f>IFERROR(IF(LEN($F98)&lt;&gt;3,1,IF($F98="HKD",1,BDP(IF($F98="CNY",RMB_CROSS,$F98)&amp;"HKD Curncy","PX_LAST"))),1)</f>
        <v/>
      </c>
      <c r="H98" s="65">
        <f>IF($C98="","",BDP($C98,FLD_DPS12M))</f>
        <v/>
      </c>
      <c r="I98" s="47">
        <f>IF($C98="","",BDP($C98,FLD_YLD12M))</f>
        <v/>
      </c>
      <c r="J98" s="49">
        <f>IF($B98="",0,SUMPRODUCT(('Dvd Calendar'!$E$1012:$AR$1012&gt;=DATE(YEAR_Y,1,1))*('Dvd Calendar'!$E$1012:$AR$1012&lt;=REALIZED_TO)*'Dvd Calendar'!$E$1015:$AR$1015*(('Dvd Calendar'!$E$1017:$AR$1017=TYPE1)*(TYPE1&lt;&gt;"")+('Dvd Calendar'!$E$1017:$AR$1017=TYPE2)*(TYPE2&lt;&gt;"")+('Dvd Calendar'!$E$1017:$AR$1017=TYPE3)*(TYPE3&lt;&gt;"")+('Dvd Calendar'!$E$1017:$AR$1017=TYPE4)*(TYPE4&lt;&gt;"")+('Dvd Calendar'!$E$1017:$AR$1017=SPECIAL_LBL)*(INC_SPECIALS="Y"))))</f>
        <v/>
      </c>
      <c r="K98" s="49">
        <f>IF($B98="",0,SUMIFS('Dvd Calendar'!$E$1020:$AR$1020,'Dvd Calendar'!$E$1019:$AR$1019,"&gt;"&amp;PROJ_FROM,'Dvd Calendar'!$E$1019:$AR$1019,"&lt;="&amp;DATE(YEAR_Y,12,31)))</f>
        <v/>
      </c>
      <c r="L98" s="49">
        <f>IF($B98="",0,IF((OV_SWITCH="ON")*(COUNTIFS(OVR_TICKERS,$C98,OVR_BASE,"&gt;=0")&gt;0)&gt;0,SUMIFS(OVR_BASE,OVR_TICKERS,$C98),$K98))</f>
        <v/>
      </c>
      <c r="M98" s="49">
        <f>IF($B98="",0,IF((OV_SWITCH="ON")*(COUNTIFS(OVR_TICKERS,$C98,OVR_LOW,"&gt;=0")&gt;0)&gt;0,SUMIFS(OVR_LOW,OVR_TICKERS,$C98),$L98))</f>
        <v/>
      </c>
      <c r="N98" s="49">
        <f>IF($B98="",0,IF((OV_SWITCH="ON")*(COUNTIFS(OVR_TICKERS,$C98,OVR_HIGH,"&gt;=0")&gt;0)&gt;0,SUMIFS(OVR_HIGH,OVR_TICKERS,$C98),$L98))</f>
        <v/>
      </c>
      <c r="O98" s="65">
        <f>IF($B98="","",IFERROR($B98*$G98*$J98/$B$3,""))</f>
        <v/>
      </c>
      <c r="P98" s="65">
        <f>IF($B98="","",IFERROR($B98*$G98*$L98/$B$3,""))</f>
        <v/>
      </c>
      <c r="Q98" s="41">
        <f>IF($B98="","",IFERROR($O98+$P98,""))</f>
        <v/>
      </c>
      <c r="R98" s="65">
        <f>IF($B98="","",IFERROR($O98+$B98*$G98*$M98/$B$3,""))</f>
        <v/>
      </c>
      <c r="S98" s="65">
        <f>IF($B98="","",IFERROR($O98+$B98*$G98*$N98/$B$3,""))</f>
        <v/>
      </c>
      <c r="T98" s="80">
        <f>IF($B98="","",IFERROR($Q98/$Q$5,""))</f>
        <v/>
      </c>
      <c r="U98" s="2">
        <f>IF($B98="","",IF(COUNTIFS('Dvd Calendar'!$E$1018:$AR$1018,"&gt;0",'Dvd Calendar'!$E$1018:$AR$1018,"&lt;="&amp;VAL_DATE,'Dvd Calendar'!$E$1019:$AR$1019,"&gt;"&amp;PROJ_FROM,'Dvd Calendar'!$E$1019:$AR$1019,"&lt;="&amp;DATE(YEAR_Y,12,31))-COUNTIFS('Dvd Calendar'!$E$1018:$AR$1018,"&gt;0",'Dvd Calendar'!$E$1018:$AR$1018,"&lt;="&amp;VAL_DATE,'Dvd Calendar'!$E$1019:$AR$1019,"&gt;"&amp;PROJ_FROM,'Dvd Calendar'!$E$1019:$AR$1019,"&lt;="&amp;DATE(YEAR_Y,12,31),'Dvd Calendar'!$E$1020:$AR$1020,"&gt;=0")&gt;0,"TBA amount - override me",IF((OV_SWITCH="ON")*(COUNTIFS(OVR_TICKERS,$C98,OVR_BASE,"&gt;=0")&gt;0)&gt;0,"overridden",IF($J98+$K98=0,"no dividend in year Y",""))))</f>
        <v/>
      </c>
      <c r="V98" s="65">
        <f>IF($B98="","",IFERROR(IF(ISNUMBER($H98),$B98*$G98*$H98/$B$3,0),""))</f>
        <v/>
      </c>
      <c r="W98" s="65">
        <f>IF($B98="","",IFERROR($B98*$G98*$K98/$B$3,""))</f>
        <v/>
      </c>
      <c r="X98" s="91">
        <f>IF($C98="","",BDP($C98,"PX_LAST"))</f>
        <v/>
      </c>
      <c r="Y98" s="65">
        <f>IF($B98="","",IFERROR($B98*$X98/$B$3,""))</f>
        <v/>
      </c>
      <c r="Z98" s="76">
        <f>IF($B98="","",IFERROR($Y98/$Y$5,""))</f>
        <v/>
      </c>
    </row>
    <row r="99">
      <c r="B99" s="89" t="n"/>
      <c r="C99" s="6">
        <f>IF($A99="","",$A99&amp;" Equity")</f>
        <v/>
      </c>
      <c r="D99" s="6">
        <f>IF($C99="","",BDP($C99,"NAME"))</f>
        <v/>
      </c>
      <c r="E99" s="6">
        <f>IF($C99="","",BDP($C99,"GICS_SECTOR_NAME"))</f>
        <v/>
      </c>
      <c r="F99" s="33">
        <f>IF($C99="","",BDP($C99,FLD_CCY))</f>
        <v/>
      </c>
      <c r="G99" s="90">
        <f>IFERROR(IF(LEN($F99)&lt;&gt;3,1,IF($F99="HKD",1,BDP(IF($F99="CNY",RMB_CROSS,$F99)&amp;"HKD Curncy","PX_LAST"))),1)</f>
        <v/>
      </c>
      <c r="H99" s="65">
        <f>IF($C99="","",BDP($C99,FLD_DPS12M))</f>
        <v/>
      </c>
      <c r="I99" s="47">
        <f>IF($C99="","",BDP($C99,FLD_YLD12M))</f>
        <v/>
      </c>
      <c r="J99" s="49">
        <f>IF($B99="",0,SUMPRODUCT(('Dvd Calendar'!$E$1023:$AR$1023&gt;=DATE(YEAR_Y,1,1))*('Dvd Calendar'!$E$1023:$AR$1023&lt;=REALIZED_TO)*'Dvd Calendar'!$E$1026:$AR$1026*(('Dvd Calendar'!$E$1028:$AR$1028=TYPE1)*(TYPE1&lt;&gt;"")+('Dvd Calendar'!$E$1028:$AR$1028=TYPE2)*(TYPE2&lt;&gt;"")+('Dvd Calendar'!$E$1028:$AR$1028=TYPE3)*(TYPE3&lt;&gt;"")+('Dvd Calendar'!$E$1028:$AR$1028=TYPE4)*(TYPE4&lt;&gt;"")+('Dvd Calendar'!$E$1028:$AR$1028=SPECIAL_LBL)*(INC_SPECIALS="Y"))))</f>
        <v/>
      </c>
      <c r="K99" s="49">
        <f>IF($B99="",0,SUMIFS('Dvd Calendar'!$E$1031:$AR$1031,'Dvd Calendar'!$E$1030:$AR$1030,"&gt;"&amp;PROJ_FROM,'Dvd Calendar'!$E$1030:$AR$1030,"&lt;="&amp;DATE(YEAR_Y,12,31)))</f>
        <v/>
      </c>
      <c r="L99" s="49">
        <f>IF($B99="",0,IF((OV_SWITCH="ON")*(COUNTIFS(OVR_TICKERS,$C99,OVR_BASE,"&gt;=0")&gt;0)&gt;0,SUMIFS(OVR_BASE,OVR_TICKERS,$C99),$K99))</f>
        <v/>
      </c>
      <c r="M99" s="49">
        <f>IF($B99="",0,IF((OV_SWITCH="ON")*(COUNTIFS(OVR_TICKERS,$C99,OVR_LOW,"&gt;=0")&gt;0)&gt;0,SUMIFS(OVR_LOW,OVR_TICKERS,$C99),$L99))</f>
        <v/>
      </c>
      <c r="N99" s="49">
        <f>IF($B99="",0,IF((OV_SWITCH="ON")*(COUNTIFS(OVR_TICKERS,$C99,OVR_HIGH,"&gt;=0")&gt;0)&gt;0,SUMIFS(OVR_HIGH,OVR_TICKERS,$C99),$L99))</f>
        <v/>
      </c>
      <c r="O99" s="65">
        <f>IF($B99="","",IFERROR($B99*$G99*$J99/$B$3,""))</f>
        <v/>
      </c>
      <c r="P99" s="65">
        <f>IF($B99="","",IFERROR($B99*$G99*$L99/$B$3,""))</f>
        <v/>
      </c>
      <c r="Q99" s="41">
        <f>IF($B99="","",IFERROR($O99+$P99,""))</f>
        <v/>
      </c>
      <c r="R99" s="65">
        <f>IF($B99="","",IFERROR($O99+$B99*$G99*$M99/$B$3,""))</f>
        <v/>
      </c>
      <c r="S99" s="65">
        <f>IF($B99="","",IFERROR($O99+$B99*$G99*$N99/$B$3,""))</f>
        <v/>
      </c>
      <c r="T99" s="80">
        <f>IF($B99="","",IFERROR($Q99/$Q$5,""))</f>
        <v/>
      </c>
      <c r="U99" s="2">
        <f>IF($B99="","",IF(COUNTIFS('Dvd Calendar'!$E$1029:$AR$1029,"&gt;0",'Dvd Calendar'!$E$1029:$AR$1029,"&lt;="&amp;VAL_DATE,'Dvd Calendar'!$E$1030:$AR$1030,"&gt;"&amp;PROJ_FROM,'Dvd Calendar'!$E$1030:$AR$1030,"&lt;="&amp;DATE(YEAR_Y,12,31))-COUNTIFS('Dvd Calendar'!$E$1029:$AR$1029,"&gt;0",'Dvd Calendar'!$E$1029:$AR$1029,"&lt;="&amp;VAL_DATE,'Dvd Calendar'!$E$1030:$AR$1030,"&gt;"&amp;PROJ_FROM,'Dvd Calendar'!$E$1030:$AR$1030,"&lt;="&amp;DATE(YEAR_Y,12,31),'Dvd Calendar'!$E$1031:$AR$1031,"&gt;=0")&gt;0,"TBA amount - override me",IF((OV_SWITCH="ON")*(COUNTIFS(OVR_TICKERS,$C99,OVR_BASE,"&gt;=0")&gt;0)&gt;0,"overridden",IF($J99+$K99=0,"no dividend in year Y",""))))</f>
        <v/>
      </c>
      <c r="V99" s="65">
        <f>IF($B99="","",IFERROR(IF(ISNUMBER($H99),$B99*$G99*$H99/$B$3,0),""))</f>
        <v/>
      </c>
      <c r="W99" s="65">
        <f>IF($B99="","",IFERROR($B99*$G99*$K99/$B$3,""))</f>
        <v/>
      </c>
      <c r="X99" s="91">
        <f>IF($C99="","",BDP($C99,"PX_LAST"))</f>
        <v/>
      </c>
      <c r="Y99" s="65">
        <f>IF($B99="","",IFERROR($B99*$X99/$B$3,""))</f>
        <v/>
      </c>
      <c r="Z99" s="76">
        <f>IF($B99="","",IFERROR($Y99/$Y$5,""))</f>
        <v/>
      </c>
    </row>
    <row r="100">
      <c r="B100" s="89" t="n"/>
      <c r="C100" s="6">
        <f>IF($A100="","",$A100&amp;" Equity")</f>
        <v/>
      </c>
      <c r="D100" s="6">
        <f>IF($C100="","",BDP($C100,"NAME"))</f>
        <v/>
      </c>
      <c r="E100" s="6">
        <f>IF($C100="","",BDP($C100,"GICS_SECTOR_NAME"))</f>
        <v/>
      </c>
      <c r="F100" s="33">
        <f>IF($C100="","",BDP($C100,FLD_CCY))</f>
        <v/>
      </c>
      <c r="G100" s="90">
        <f>IFERROR(IF(LEN($F100)&lt;&gt;3,1,IF($F100="HKD",1,BDP(IF($F100="CNY",RMB_CROSS,$F100)&amp;"HKD Curncy","PX_LAST"))),1)</f>
        <v/>
      </c>
      <c r="H100" s="65">
        <f>IF($C100="","",BDP($C100,FLD_DPS12M))</f>
        <v/>
      </c>
      <c r="I100" s="47">
        <f>IF($C100="","",BDP($C100,FLD_YLD12M))</f>
        <v/>
      </c>
      <c r="J100" s="49">
        <f>IF($B100="",0,SUMPRODUCT(('Dvd Calendar'!$E$1034:$AR$1034&gt;=DATE(YEAR_Y,1,1))*('Dvd Calendar'!$E$1034:$AR$1034&lt;=REALIZED_TO)*'Dvd Calendar'!$E$1037:$AR$1037*(('Dvd Calendar'!$E$1039:$AR$1039=TYPE1)*(TYPE1&lt;&gt;"")+('Dvd Calendar'!$E$1039:$AR$1039=TYPE2)*(TYPE2&lt;&gt;"")+('Dvd Calendar'!$E$1039:$AR$1039=TYPE3)*(TYPE3&lt;&gt;"")+('Dvd Calendar'!$E$1039:$AR$1039=TYPE4)*(TYPE4&lt;&gt;"")+('Dvd Calendar'!$E$1039:$AR$1039=SPECIAL_LBL)*(INC_SPECIALS="Y"))))</f>
        <v/>
      </c>
      <c r="K100" s="49">
        <f>IF($B100="",0,SUMIFS('Dvd Calendar'!$E$1042:$AR$1042,'Dvd Calendar'!$E$1041:$AR$1041,"&gt;"&amp;PROJ_FROM,'Dvd Calendar'!$E$1041:$AR$1041,"&lt;="&amp;DATE(YEAR_Y,12,31)))</f>
        <v/>
      </c>
      <c r="L100" s="49">
        <f>IF($B100="",0,IF((OV_SWITCH="ON")*(COUNTIFS(OVR_TICKERS,$C100,OVR_BASE,"&gt;=0")&gt;0)&gt;0,SUMIFS(OVR_BASE,OVR_TICKERS,$C100),$K100))</f>
        <v/>
      </c>
      <c r="M100" s="49">
        <f>IF($B100="",0,IF((OV_SWITCH="ON")*(COUNTIFS(OVR_TICKERS,$C100,OVR_LOW,"&gt;=0")&gt;0)&gt;0,SUMIFS(OVR_LOW,OVR_TICKERS,$C100),$L100))</f>
        <v/>
      </c>
      <c r="N100" s="49">
        <f>IF($B100="",0,IF((OV_SWITCH="ON")*(COUNTIFS(OVR_TICKERS,$C100,OVR_HIGH,"&gt;=0")&gt;0)&gt;0,SUMIFS(OVR_HIGH,OVR_TICKERS,$C100),$L100))</f>
        <v/>
      </c>
      <c r="O100" s="65">
        <f>IF($B100="","",IFERROR($B100*$G100*$J100/$B$3,""))</f>
        <v/>
      </c>
      <c r="P100" s="65">
        <f>IF($B100="","",IFERROR($B100*$G100*$L100/$B$3,""))</f>
        <v/>
      </c>
      <c r="Q100" s="41">
        <f>IF($B100="","",IFERROR($O100+$P100,""))</f>
        <v/>
      </c>
      <c r="R100" s="65">
        <f>IF($B100="","",IFERROR($O100+$B100*$G100*$M100/$B$3,""))</f>
        <v/>
      </c>
      <c r="S100" s="65">
        <f>IF($B100="","",IFERROR($O100+$B100*$G100*$N100/$B$3,""))</f>
        <v/>
      </c>
      <c r="T100" s="80">
        <f>IF($B100="","",IFERROR($Q100/$Q$5,""))</f>
        <v/>
      </c>
      <c r="U100" s="2">
        <f>IF($B100="","",IF(COUNTIFS('Dvd Calendar'!$E$1040:$AR$1040,"&gt;0",'Dvd Calendar'!$E$1040:$AR$1040,"&lt;="&amp;VAL_DATE,'Dvd Calendar'!$E$1041:$AR$1041,"&gt;"&amp;PROJ_FROM,'Dvd Calendar'!$E$1041:$AR$1041,"&lt;="&amp;DATE(YEAR_Y,12,31))-COUNTIFS('Dvd Calendar'!$E$1040:$AR$1040,"&gt;0",'Dvd Calendar'!$E$1040:$AR$1040,"&lt;="&amp;VAL_DATE,'Dvd Calendar'!$E$1041:$AR$1041,"&gt;"&amp;PROJ_FROM,'Dvd Calendar'!$E$1041:$AR$1041,"&lt;="&amp;DATE(YEAR_Y,12,31),'Dvd Calendar'!$E$1042:$AR$1042,"&gt;=0")&gt;0,"TBA amount - override me",IF((OV_SWITCH="ON")*(COUNTIFS(OVR_TICKERS,$C100,OVR_BASE,"&gt;=0")&gt;0)&gt;0,"overridden",IF($J100+$K100=0,"no dividend in year Y",""))))</f>
        <v/>
      </c>
      <c r="V100" s="65">
        <f>IF($B100="","",IFERROR(IF(ISNUMBER($H100),$B100*$G100*$H100/$B$3,0),""))</f>
        <v/>
      </c>
      <c r="W100" s="65">
        <f>IF($B100="","",IFERROR($B100*$G100*$K100/$B$3,""))</f>
        <v/>
      </c>
      <c r="X100" s="91">
        <f>IF($C100="","",BDP($C100,"PX_LAST"))</f>
        <v/>
      </c>
      <c r="Y100" s="65">
        <f>IF($B100="","",IFERROR($B100*$X100/$B$3,""))</f>
        <v/>
      </c>
      <c r="Z100" s="76">
        <f>IF($B100="","",IFERROR($Y100/$Y$5,""))</f>
        <v/>
      </c>
    </row>
    <row r="101">
      <c r="B101" s="89" t="n"/>
      <c r="C101" s="6">
        <f>IF($A101="","",$A101&amp;" Equity")</f>
        <v/>
      </c>
      <c r="D101" s="6">
        <f>IF($C101="","",BDP($C101,"NAME"))</f>
        <v/>
      </c>
      <c r="E101" s="6">
        <f>IF($C101="","",BDP($C101,"GICS_SECTOR_NAME"))</f>
        <v/>
      </c>
      <c r="F101" s="33">
        <f>IF($C101="","",BDP($C101,FLD_CCY))</f>
        <v/>
      </c>
      <c r="G101" s="90">
        <f>IFERROR(IF(LEN($F101)&lt;&gt;3,1,IF($F101="HKD",1,BDP(IF($F101="CNY",RMB_CROSS,$F101)&amp;"HKD Curncy","PX_LAST"))),1)</f>
        <v/>
      </c>
      <c r="H101" s="65">
        <f>IF($C101="","",BDP($C101,FLD_DPS12M))</f>
        <v/>
      </c>
      <c r="I101" s="47">
        <f>IF($C101="","",BDP($C101,FLD_YLD12M))</f>
        <v/>
      </c>
      <c r="J101" s="49">
        <f>IF($B101="",0,SUMPRODUCT(('Dvd Calendar'!$E$1045:$AR$1045&gt;=DATE(YEAR_Y,1,1))*('Dvd Calendar'!$E$1045:$AR$1045&lt;=REALIZED_TO)*'Dvd Calendar'!$E$1048:$AR$1048*(('Dvd Calendar'!$E$1050:$AR$1050=TYPE1)*(TYPE1&lt;&gt;"")+('Dvd Calendar'!$E$1050:$AR$1050=TYPE2)*(TYPE2&lt;&gt;"")+('Dvd Calendar'!$E$1050:$AR$1050=TYPE3)*(TYPE3&lt;&gt;"")+('Dvd Calendar'!$E$1050:$AR$1050=TYPE4)*(TYPE4&lt;&gt;"")+('Dvd Calendar'!$E$1050:$AR$1050=SPECIAL_LBL)*(INC_SPECIALS="Y"))))</f>
        <v/>
      </c>
      <c r="K101" s="49">
        <f>IF($B101="",0,SUMIFS('Dvd Calendar'!$E$1053:$AR$1053,'Dvd Calendar'!$E$1052:$AR$1052,"&gt;"&amp;PROJ_FROM,'Dvd Calendar'!$E$1052:$AR$1052,"&lt;="&amp;DATE(YEAR_Y,12,31)))</f>
        <v/>
      </c>
      <c r="L101" s="49">
        <f>IF($B101="",0,IF((OV_SWITCH="ON")*(COUNTIFS(OVR_TICKERS,$C101,OVR_BASE,"&gt;=0")&gt;0)&gt;0,SUMIFS(OVR_BASE,OVR_TICKERS,$C101),$K101))</f>
        <v/>
      </c>
      <c r="M101" s="49">
        <f>IF($B101="",0,IF((OV_SWITCH="ON")*(COUNTIFS(OVR_TICKERS,$C101,OVR_LOW,"&gt;=0")&gt;0)&gt;0,SUMIFS(OVR_LOW,OVR_TICKERS,$C101),$L101))</f>
        <v/>
      </c>
      <c r="N101" s="49">
        <f>IF($B101="",0,IF((OV_SWITCH="ON")*(COUNTIFS(OVR_TICKERS,$C101,OVR_HIGH,"&gt;=0")&gt;0)&gt;0,SUMIFS(OVR_HIGH,OVR_TICKERS,$C101),$L101))</f>
        <v/>
      </c>
      <c r="O101" s="65">
        <f>IF($B101="","",IFERROR($B101*$G101*$J101/$B$3,""))</f>
        <v/>
      </c>
      <c r="P101" s="65">
        <f>IF($B101="","",IFERROR($B101*$G101*$L101/$B$3,""))</f>
        <v/>
      </c>
      <c r="Q101" s="41">
        <f>IF($B101="","",IFERROR($O101+$P101,""))</f>
        <v/>
      </c>
      <c r="R101" s="65">
        <f>IF($B101="","",IFERROR($O101+$B101*$G101*$M101/$B$3,""))</f>
        <v/>
      </c>
      <c r="S101" s="65">
        <f>IF($B101="","",IFERROR($O101+$B101*$G101*$N101/$B$3,""))</f>
        <v/>
      </c>
      <c r="T101" s="80">
        <f>IF($B101="","",IFERROR($Q101/$Q$5,""))</f>
        <v/>
      </c>
      <c r="U101" s="2">
        <f>IF($B101="","",IF(COUNTIFS('Dvd Calendar'!$E$1051:$AR$1051,"&gt;0",'Dvd Calendar'!$E$1051:$AR$1051,"&lt;="&amp;VAL_DATE,'Dvd Calendar'!$E$1052:$AR$1052,"&gt;"&amp;PROJ_FROM,'Dvd Calendar'!$E$1052:$AR$1052,"&lt;="&amp;DATE(YEAR_Y,12,31))-COUNTIFS('Dvd Calendar'!$E$1051:$AR$1051,"&gt;0",'Dvd Calendar'!$E$1051:$AR$1051,"&lt;="&amp;VAL_DATE,'Dvd Calendar'!$E$1052:$AR$1052,"&gt;"&amp;PROJ_FROM,'Dvd Calendar'!$E$1052:$AR$1052,"&lt;="&amp;DATE(YEAR_Y,12,31),'Dvd Calendar'!$E$1053:$AR$1053,"&gt;=0")&gt;0,"TBA amount - override me",IF((OV_SWITCH="ON")*(COUNTIFS(OVR_TICKERS,$C101,OVR_BASE,"&gt;=0")&gt;0)&gt;0,"overridden",IF($J101+$K101=0,"no dividend in year Y",""))))</f>
        <v/>
      </c>
      <c r="V101" s="65">
        <f>IF($B101="","",IFERROR(IF(ISNUMBER($H101),$B101*$G101*$H101/$B$3,0),""))</f>
        <v/>
      </c>
      <c r="W101" s="65">
        <f>IF($B101="","",IFERROR($B101*$G101*$K101/$B$3,""))</f>
        <v/>
      </c>
      <c r="X101" s="91">
        <f>IF($C101="","",BDP($C101,"PX_LAST"))</f>
        <v/>
      </c>
      <c r="Y101" s="65">
        <f>IF($B101="","",IFERROR($B101*$X101/$B$3,""))</f>
        <v/>
      </c>
      <c r="Z101" s="76">
        <f>IF($B101="","",IFERROR($Y101/$Y$5,""))</f>
        <v/>
      </c>
    </row>
    <row r="102">
      <c r="B102" s="89" t="n"/>
      <c r="C102" s="6">
        <f>IF($A102="","",$A102&amp;" Equity")</f>
        <v/>
      </c>
      <c r="D102" s="6">
        <f>IF($C102="","",BDP($C102,"NAME"))</f>
        <v/>
      </c>
      <c r="E102" s="6">
        <f>IF($C102="","",BDP($C102,"GICS_SECTOR_NAME"))</f>
        <v/>
      </c>
      <c r="F102" s="33">
        <f>IF($C102="","",BDP($C102,FLD_CCY))</f>
        <v/>
      </c>
      <c r="G102" s="90">
        <f>IFERROR(IF(LEN($F102)&lt;&gt;3,1,IF($F102="HKD",1,BDP(IF($F102="CNY",RMB_CROSS,$F102)&amp;"HKD Curncy","PX_LAST"))),1)</f>
        <v/>
      </c>
      <c r="H102" s="65">
        <f>IF($C102="","",BDP($C102,FLD_DPS12M))</f>
        <v/>
      </c>
      <c r="I102" s="47">
        <f>IF($C102="","",BDP($C102,FLD_YLD12M))</f>
        <v/>
      </c>
      <c r="J102" s="49">
        <f>IF($B102="",0,SUMPRODUCT(('Dvd Calendar'!$E$1056:$AR$1056&gt;=DATE(YEAR_Y,1,1))*('Dvd Calendar'!$E$1056:$AR$1056&lt;=REALIZED_TO)*'Dvd Calendar'!$E$1059:$AR$1059*(('Dvd Calendar'!$E$1061:$AR$1061=TYPE1)*(TYPE1&lt;&gt;"")+('Dvd Calendar'!$E$1061:$AR$1061=TYPE2)*(TYPE2&lt;&gt;"")+('Dvd Calendar'!$E$1061:$AR$1061=TYPE3)*(TYPE3&lt;&gt;"")+('Dvd Calendar'!$E$1061:$AR$1061=TYPE4)*(TYPE4&lt;&gt;"")+('Dvd Calendar'!$E$1061:$AR$1061=SPECIAL_LBL)*(INC_SPECIALS="Y"))))</f>
        <v/>
      </c>
      <c r="K102" s="49">
        <f>IF($B102="",0,SUMIFS('Dvd Calendar'!$E$1064:$AR$1064,'Dvd Calendar'!$E$1063:$AR$1063,"&gt;"&amp;PROJ_FROM,'Dvd Calendar'!$E$1063:$AR$1063,"&lt;="&amp;DATE(YEAR_Y,12,31)))</f>
        <v/>
      </c>
      <c r="L102" s="49">
        <f>IF($B102="",0,IF((OV_SWITCH="ON")*(COUNTIFS(OVR_TICKERS,$C102,OVR_BASE,"&gt;=0")&gt;0)&gt;0,SUMIFS(OVR_BASE,OVR_TICKERS,$C102),$K102))</f>
        <v/>
      </c>
      <c r="M102" s="49">
        <f>IF($B102="",0,IF((OV_SWITCH="ON")*(COUNTIFS(OVR_TICKERS,$C102,OVR_LOW,"&gt;=0")&gt;0)&gt;0,SUMIFS(OVR_LOW,OVR_TICKERS,$C102),$L102))</f>
        <v/>
      </c>
      <c r="N102" s="49">
        <f>IF($B102="",0,IF((OV_SWITCH="ON")*(COUNTIFS(OVR_TICKERS,$C102,OVR_HIGH,"&gt;=0")&gt;0)&gt;0,SUMIFS(OVR_HIGH,OVR_TICKERS,$C102),$L102))</f>
        <v/>
      </c>
      <c r="O102" s="65">
        <f>IF($B102="","",IFERROR($B102*$G102*$J102/$B$3,""))</f>
        <v/>
      </c>
      <c r="P102" s="65">
        <f>IF($B102="","",IFERROR($B102*$G102*$L102/$B$3,""))</f>
        <v/>
      </c>
      <c r="Q102" s="41">
        <f>IF($B102="","",IFERROR($O102+$P102,""))</f>
        <v/>
      </c>
      <c r="R102" s="65">
        <f>IF($B102="","",IFERROR($O102+$B102*$G102*$M102/$B$3,""))</f>
        <v/>
      </c>
      <c r="S102" s="65">
        <f>IF($B102="","",IFERROR($O102+$B102*$G102*$N102/$B$3,""))</f>
        <v/>
      </c>
      <c r="T102" s="80">
        <f>IF($B102="","",IFERROR($Q102/$Q$5,""))</f>
        <v/>
      </c>
      <c r="U102" s="2">
        <f>IF($B102="","",IF(COUNTIFS('Dvd Calendar'!$E$1062:$AR$1062,"&gt;0",'Dvd Calendar'!$E$1062:$AR$1062,"&lt;="&amp;VAL_DATE,'Dvd Calendar'!$E$1063:$AR$1063,"&gt;"&amp;PROJ_FROM,'Dvd Calendar'!$E$1063:$AR$1063,"&lt;="&amp;DATE(YEAR_Y,12,31))-COUNTIFS('Dvd Calendar'!$E$1062:$AR$1062,"&gt;0",'Dvd Calendar'!$E$1062:$AR$1062,"&lt;="&amp;VAL_DATE,'Dvd Calendar'!$E$1063:$AR$1063,"&gt;"&amp;PROJ_FROM,'Dvd Calendar'!$E$1063:$AR$1063,"&lt;="&amp;DATE(YEAR_Y,12,31),'Dvd Calendar'!$E$1064:$AR$1064,"&gt;=0")&gt;0,"TBA amount - override me",IF((OV_SWITCH="ON")*(COUNTIFS(OVR_TICKERS,$C102,OVR_BASE,"&gt;=0")&gt;0)&gt;0,"overridden",IF($J102+$K102=0,"no dividend in year Y",""))))</f>
        <v/>
      </c>
      <c r="V102" s="65">
        <f>IF($B102="","",IFERROR(IF(ISNUMBER($H102),$B102*$G102*$H102/$B$3,0),""))</f>
        <v/>
      </c>
      <c r="W102" s="65">
        <f>IF($B102="","",IFERROR($B102*$G102*$K102/$B$3,""))</f>
        <v/>
      </c>
      <c r="X102" s="91">
        <f>IF($C102="","",BDP($C102,"PX_LAST"))</f>
        <v/>
      </c>
      <c r="Y102" s="65">
        <f>IF($B102="","",IFERROR($B102*$X102/$B$3,""))</f>
        <v/>
      </c>
      <c r="Z102" s="76">
        <f>IF($B102="","",IFERROR($Y102/$Y$5,""))</f>
        <v/>
      </c>
    </row>
    <row r="103">
      <c r="B103" s="89" t="n"/>
      <c r="C103" s="6">
        <f>IF($A103="","",$A103&amp;" Equity")</f>
        <v/>
      </c>
      <c r="D103" s="6">
        <f>IF($C103="","",BDP($C103,"NAME"))</f>
        <v/>
      </c>
      <c r="E103" s="6">
        <f>IF($C103="","",BDP($C103,"GICS_SECTOR_NAME"))</f>
        <v/>
      </c>
      <c r="F103" s="33">
        <f>IF($C103="","",BDP($C103,FLD_CCY))</f>
        <v/>
      </c>
      <c r="G103" s="90">
        <f>IFERROR(IF(LEN($F103)&lt;&gt;3,1,IF($F103="HKD",1,BDP(IF($F103="CNY",RMB_CROSS,$F103)&amp;"HKD Curncy","PX_LAST"))),1)</f>
        <v/>
      </c>
      <c r="H103" s="65">
        <f>IF($C103="","",BDP($C103,FLD_DPS12M))</f>
        <v/>
      </c>
      <c r="I103" s="47">
        <f>IF($C103="","",BDP($C103,FLD_YLD12M))</f>
        <v/>
      </c>
      <c r="J103" s="49">
        <f>IF($B103="",0,SUMPRODUCT(('Dvd Calendar'!$E$1067:$AR$1067&gt;=DATE(YEAR_Y,1,1))*('Dvd Calendar'!$E$1067:$AR$1067&lt;=REALIZED_TO)*'Dvd Calendar'!$E$1070:$AR$1070*(('Dvd Calendar'!$E$1072:$AR$1072=TYPE1)*(TYPE1&lt;&gt;"")+('Dvd Calendar'!$E$1072:$AR$1072=TYPE2)*(TYPE2&lt;&gt;"")+('Dvd Calendar'!$E$1072:$AR$1072=TYPE3)*(TYPE3&lt;&gt;"")+('Dvd Calendar'!$E$1072:$AR$1072=TYPE4)*(TYPE4&lt;&gt;"")+('Dvd Calendar'!$E$1072:$AR$1072=SPECIAL_LBL)*(INC_SPECIALS="Y"))))</f>
        <v/>
      </c>
      <c r="K103" s="49">
        <f>IF($B103="",0,SUMIFS('Dvd Calendar'!$E$1075:$AR$1075,'Dvd Calendar'!$E$1074:$AR$1074,"&gt;"&amp;PROJ_FROM,'Dvd Calendar'!$E$1074:$AR$1074,"&lt;="&amp;DATE(YEAR_Y,12,31)))</f>
        <v/>
      </c>
      <c r="L103" s="49">
        <f>IF($B103="",0,IF((OV_SWITCH="ON")*(COUNTIFS(OVR_TICKERS,$C103,OVR_BASE,"&gt;=0")&gt;0)&gt;0,SUMIFS(OVR_BASE,OVR_TICKERS,$C103),$K103))</f>
        <v/>
      </c>
      <c r="M103" s="49">
        <f>IF($B103="",0,IF((OV_SWITCH="ON")*(COUNTIFS(OVR_TICKERS,$C103,OVR_LOW,"&gt;=0")&gt;0)&gt;0,SUMIFS(OVR_LOW,OVR_TICKERS,$C103),$L103))</f>
        <v/>
      </c>
      <c r="N103" s="49">
        <f>IF($B103="",0,IF((OV_SWITCH="ON")*(COUNTIFS(OVR_TICKERS,$C103,OVR_HIGH,"&gt;=0")&gt;0)&gt;0,SUMIFS(OVR_HIGH,OVR_TICKERS,$C103),$L103))</f>
        <v/>
      </c>
      <c r="O103" s="65">
        <f>IF($B103="","",IFERROR($B103*$G103*$J103/$B$3,""))</f>
        <v/>
      </c>
      <c r="P103" s="65">
        <f>IF($B103="","",IFERROR($B103*$G103*$L103/$B$3,""))</f>
        <v/>
      </c>
      <c r="Q103" s="41">
        <f>IF($B103="","",IFERROR($O103+$P103,""))</f>
        <v/>
      </c>
      <c r="R103" s="65">
        <f>IF($B103="","",IFERROR($O103+$B103*$G103*$M103/$B$3,""))</f>
        <v/>
      </c>
      <c r="S103" s="65">
        <f>IF($B103="","",IFERROR($O103+$B103*$G103*$N103/$B$3,""))</f>
        <v/>
      </c>
      <c r="T103" s="80">
        <f>IF($B103="","",IFERROR($Q103/$Q$5,""))</f>
        <v/>
      </c>
      <c r="U103" s="2">
        <f>IF($B103="","",IF(COUNTIFS('Dvd Calendar'!$E$1073:$AR$1073,"&gt;0",'Dvd Calendar'!$E$1073:$AR$1073,"&lt;="&amp;VAL_DATE,'Dvd Calendar'!$E$1074:$AR$1074,"&gt;"&amp;PROJ_FROM,'Dvd Calendar'!$E$1074:$AR$1074,"&lt;="&amp;DATE(YEAR_Y,12,31))-COUNTIFS('Dvd Calendar'!$E$1073:$AR$1073,"&gt;0",'Dvd Calendar'!$E$1073:$AR$1073,"&lt;="&amp;VAL_DATE,'Dvd Calendar'!$E$1074:$AR$1074,"&gt;"&amp;PROJ_FROM,'Dvd Calendar'!$E$1074:$AR$1074,"&lt;="&amp;DATE(YEAR_Y,12,31),'Dvd Calendar'!$E$1075:$AR$1075,"&gt;=0")&gt;0,"TBA amount - override me",IF((OV_SWITCH="ON")*(COUNTIFS(OVR_TICKERS,$C103,OVR_BASE,"&gt;=0")&gt;0)&gt;0,"overridden",IF($J103+$K103=0,"no dividend in year Y",""))))</f>
        <v/>
      </c>
      <c r="V103" s="65">
        <f>IF($B103="","",IFERROR(IF(ISNUMBER($H103),$B103*$G103*$H103/$B$3,0),""))</f>
        <v/>
      </c>
      <c r="W103" s="65">
        <f>IF($B103="","",IFERROR($B103*$G103*$K103/$B$3,""))</f>
        <v/>
      </c>
      <c r="X103" s="91">
        <f>IF($C103="","",BDP($C103,"PX_LAST"))</f>
        <v/>
      </c>
      <c r="Y103" s="65">
        <f>IF($B103="","",IFERROR($B103*$X103/$B$3,""))</f>
        <v/>
      </c>
      <c r="Z103" s="76">
        <f>IF($B103="","",IFERROR($Y103/$Y$5,""))</f>
        <v/>
      </c>
    </row>
    <row r="104">
      <c r="B104" s="89" t="n"/>
      <c r="C104" s="6">
        <f>IF($A104="","",$A104&amp;" Equity")</f>
        <v/>
      </c>
      <c r="D104" s="6">
        <f>IF($C104="","",BDP($C104,"NAME"))</f>
        <v/>
      </c>
      <c r="E104" s="6">
        <f>IF($C104="","",BDP($C104,"GICS_SECTOR_NAME"))</f>
        <v/>
      </c>
      <c r="F104" s="33">
        <f>IF($C104="","",BDP($C104,FLD_CCY))</f>
        <v/>
      </c>
      <c r="G104" s="90">
        <f>IFERROR(IF(LEN($F104)&lt;&gt;3,1,IF($F104="HKD",1,BDP(IF($F104="CNY",RMB_CROSS,$F104)&amp;"HKD Curncy","PX_LAST"))),1)</f>
        <v/>
      </c>
      <c r="H104" s="65">
        <f>IF($C104="","",BDP($C104,FLD_DPS12M))</f>
        <v/>
      </c>
      <c r="I104" s="47">
        <f>IF($C104="","",BDP($C104,FLD_YLD12M))</f>
        <v/>
      </c>
      <c r="J104" s="49">
        <f>IF($B104="",0,SUMPRODUCT(('Dvd Calendar'!$E$1078:$AR$1078&gt;=DATE(YEAR_Y,1,1))*('Dvd Calendar'!$E$1078:$AR$1078&lt;=REALIZED_TO)*'Dvd Calendar'!$E$1081:$AR$1081*(('Dvd Calendar'!$E$1083:$AR$1083=TYPE1)*(TYPE1&lt;&gt;"")+('Dvd Calendar'!$E$1083:$AR$1083=TYPE2)*(TYPE2&lt;&gt;"")+('Dvd Calendar'!$E$1083:$AR$1083=TYPE3)*(TYPE3&lt;&gt;"")+('Dvd Calendar'!$E$1083:$AR$1083=TYPE4)*(TYPE4&lt;&gt;"")+('Dvd Calendar'!$E$1083:$AR$1083=SPECIAL_LBL)*(INC_SPECIALS="Y"))))</f>
        <v/>
      </c>
      <c r="K104" s="49">
        <f>IF($B104="",0,SUMIFS('Dvd Calendar'!$E$1086:$AR$1086,'Dvd Calendar'!$E$1085:$AR$1085,"&gt;"&amp;PROJ_FROM,'Dvd Calendar'!$E$1085:$AR$1085,"&lt;="&amp;DATE(YEAR_Y,12,31)))</f>
        <v/>
      </c>
      <c r="L104" s="49">
        <f>IF($B104="",0,IF((OV_SWITCH="ON")*(COUNTIFS(OVR_TICKERS,$C104,OVR_BASE,"&gt;=0")&gt;0)&gt;0,SUMIFS(OVR_BASE,OVR_TICKERS,$C104),$K104))</f>
        <v/>
      </c>
      <c r="M104" s="49">
        <f>IF($B104="",0,IF((OV_SWITCH="ON")*(COUNTIFS(OVR_TICKERS,$C104,OVR_LOW,"&gt;=0")&gt;0)&gt;0,SUMIFS(OVR_LOW,OVR_TICKERS,$C104),$L104))</f>
        <v/>
      </c>
      <c r="N104" s="49">
        <f>IF($B104="",0,IF((OV_SWITCH="ON")*(COUNTIFS(OVR_TICKERS,$C104,OVR_HIGH,"&gt;=0")&gt;0)&gt;0,SUMIFS(OVR_HIGH,OVR_TICKERS,$C104),$L104))</f>
        <v/>
      </c>
      <c r="O104" s="65">
        <f>IF($B104="","",IFERROR($B104*$G104*$J104/$B$3,""))</f>
        <v/>
      </c>
      <c r="P104" s="65">
        <f>IF($B104="","",IFERROR($B104*$G104*$L104/$B$3,""))</f>
        <v/>
      </c>
      <c r="Q104" s="41">
        <f>IF($B104="","",IFERROR($O104+$P104,""))</f>
        <v/>
      </c>
      <c r="R104" s="65">
        <f>IF($B104="","",IFERROR($O104+$B104*$G104*$M104/$B$3,""))</f>
        <v/>
      </c>
      <c r="S104" s="65">
        <f>IF($B104="","",IFERROR($O104+$B104*$G104*$N104/$B$3,""))</f>
        <v/>
      </c>
      <c r="T104" s="80">
        <f>IF($B104="","",IFERROR($Q104/$Q$5,""))</f>
        <v/>
      </c>
      <c r="U104" s="2">
        <f>IF($B104="","",IF(COUNTIFS('Dvd Calendar'!$E$1084:$AR$1084,"&gt;0",'Dvd Calendar'!$E$1084:$AR$1084,"&lt;="&amp;VAL_DATE,'Dvd Calendar'!$E$1085:$AR$1085,"&gt;"&amp;PROJ_FROM,'Dvd Calendar'!$E$1085:$AR$1085,"&lt;="&amp;DATE(YEAR_Y,12,31))-COUNTIFS('Dvd Calendar'!$E$1084:$AR$1084,"&gt;0",'Dvd Calendar'!$E$1084:$AR$1084,"&lt;="&amp;VAL_DATE,'Dvd Calendar'!$E$1085:$AR$1085,"&gt;"&amp;PROJ_FROM,'Dvd Calendar'!$E$1085:$AR$1085,"&lt;="&amp;DATE(YEAR_Y,12,31),'Dvd Calendar'!$E$1086:$AR$1086,"&gt;=0")&gt;0,"TBA amount - override me",IF((OV_SWITCH="ON")*(COUNTIFS(OVR_TICKERS,$C104,OVR_BASE,"&gt;=0")&gt;0)&gt;0,"overridden",IF($J104+$K104=0,"no dividend in year Y",""))))</f>
        <v/>
      </c>
      <c r="V104" s="65">
        <f>IF($B104="","",IFERROR(IF(ISNUMBER($H104),$B104*$G104*$H104/$B$3,0),""))</f>
        <v/>
      </c>
      <c r="W104" s="65">
        <f>IF($B104="","",IFERROR($B104*$G104*$K104/$B$3,""))</f>
        <v/>
      </c>
      <c r="X104" s="91">
        <f>IF($C104="","",BDP($C104,"PX_LAST"))</f>
        <v/>
      </c>
      <c r="Y104" s="65">
        <f>IF($B104="","",IFERROR($B104*$X104/$B$3,""))</f>
        <v/>
      </c>
      <c r="Z104" s="76">
        <f>IF($B104="","",IFERROR($Y104/$Y$5,""))</f>
        <v/>
      </c>
    </row>
    <row r="105">
      <c r="B105" s="89" t="n"/>
      <c r="C105" s="6">
        <f>IF($A105="","",$A105&amp;" Equity")</f>
        <v/>
      </c>
      <c r="D105" s="6">
        <f>IF($C105="","",BDP($C105,"NAME"))</f>
        <v/>
      </c>
      <c r="E105" s="6">
        <f>IF($C105="","",BDP($C105,"GICS_SECTOR_NAME"))</f>
        <v/>
      </c>
      <c r="F105" s="33">
        <f>IF($C105="","",BDP($C105,FLD_CCY))</f>
        <v/>
      </c>
      <c r="G105" s="90">
        <f>IFERROR(IF(LEN($F105)&lt;&gt;3,1,IF($F105="HKD",1,BDP(IF($F105="CNY",RMB_CROSS,$F105)&amp;"HKD Curncy","PX_LAST"))),1)</f>
        <v/>
      </c>
      <c r="H105" s="65">
        <f>IF($C105="","",BDP($C105,FLD_DPS12M))</f>
        <v/>
      </c>
      <c r="I105" s="47">
        <f>IF($C105="","",BDP($C105,FLD_YLD12M))</f>
        <v/>
      </c>
      <c r="J105" s="49">
        <f>IF($B105="",0,SUMPRODUCT(('Dvd Calendar'!$E$1089:$AR$1089&gt;=DATE(YEAR_Y,1,1))*('Dvd Calendar'!$E$1089:$AR$1089&lt;=REALIZED_TO)*'Dvd Calendar'!$E$1092:$AR$1092*(('Dvd Calendar'!$E$1094:$AR$1094=TYPE1)*(TYPE1&lt;&gt;"")+('Dvd Calendar'!$E$1094:$AR$1094=TYPE2)*(TYPE2&lt;&gt;"")+('Dvd Calendar'!$E$1094:$AR$1094=TYPE3)*(TYPE3&lt;&gt;"")+('Dvd Calendar'!$E$1094:$AR$1094=TYPE4)*(TYPE4&lt;&gt;"")+('Dvd Calendar'!$E$1094:$AR$1094=SPECIAL_LBL)*(INC_SPECIALS="Y"))))</f>
        <v/>
      </c>
      <c r="K105" s="49">
        <f>IF($B105="",0,SUMIFS('Dvd Calendar'!$E$1097:$AR$1097,'Dvd Calendar'!$E$1096:$AR$1096,"&gt;"&amp;PROJ_FROM,'Dvd Calendar'!$E$1096:$AR$1096,"&lt;="&amp;DATE(YEAR_Y,12,31)))</f>
        <v/>
      </c>
      <c r="L105" s="49">
        <f>IF($B105="",0,IF((OV_SWITCH="ON")*(COUNTIFS(OVR_TICKERS,$C105,OVR_BASE,"&gt;=0")&gt;0)&gt;0,SUMIFS(OVR_BASE,OVR_TICKERS,$C105),$K105))</f>
        <v/>
      </c>
      <c r="M105" s="49">
        <f>IF($B105="",0,IF((OV_SWITCH="ON")*(COUNTIFS(OVR_TICKERS,$C105,OVR_LOW,"&gt;=0")&gt;0)&gt;0,SUMIFS(OVR_LOW,OVR_TICKERS,$C105),$L105))</f>
        <v/>
      </c>
      <c r="N105" s="49">
        <f>IF($B105="",0,IF((OV_SWITCH="ON")*(COUNTIFS(OVR_TICKERS,$C105,OVR_HIGH,"&gt;=0")&gt;0)&gt;0,SUMIFS(OVR_HIGH,OVR_TICKERS,$C105),$L105))</f>
        <v/>
      </c>
      <c r="O105" s="65">
        <f>IF($B105="","",IFERROR($B105*$G105*$J105/$B$3,""))</f>
        <v/>
      </c>
      <c r="P105" s="65">
        <f>IF($B105="","",IFERROR($B105*$G105*$L105/$B$3,""))</f>
        <v/>
      </c>
      <c r="Q105" s="41">
        <f>IF($B105="","",IFERROR($O105+$P105,""))</f>
        <v/>
      </c>
      <c r="R105" s="65">
        <f>IF($B105="","",IFERROR($O105+$B105*$G105*$M105/$B$3,""))</f>
        <v/>
      </c>
      <c r="S105" s="65">
        <f>IF($B105="","",IFERROR($O105+$B105*$G105*$N105/$B$3,""))</f>
        <v/>
      </c>
      <c r="T105" s="80">
        <f>IF($B105="","",IFERROR($Q105/$Q$5,""))</f>
        <v/>
      </c>
      <c r="U105" s="2">
        <f>IF($B105="","",IF(COUNTIFS('Dvd Calendar'!$E$1095:$AR$1095,"&gt;0",'Dvd Calendar'!$E$1095:$AR$1095,"&lt;="&amp;VAL_DATE,'Dvd Calendar'!$E$1096:$AR$1096,"&gt;"&amp;PROJ_FROM,'Dvd Calendar'!$E$1096:$AR$1096,"&lt;="&amp;DATE(YEAR_Y,12,31))-COUNTIFS('Dvd Calendar'!$E$1095:$AR$1095,"&gt;0",'Dvd Calendar'!$E$1095:$AR$1095,"&lt;="&amp;VAL_DATE,'Dvd Calendar'!$E$1096:$AR$1096,"&gt;"&amp;PROJ_FROM,'Dvd Calendar'!$E$1096:$AR$1096,"&lt;="&amp;DATE(YEAR_Y,12,31),'Dvd Calendar'!$E$1097:$AR$1097,"&gt;=0")&gt;0,"TBA amount - override me",IF((OV_SWITCH="ON")*(COUNTIFS(OVR_TICKERS,$C105,OVR_BASE,"&gt;=0")&gt;0)&gt;0,"overridden",IF($J105+$K105=0,"no dividend in year Y",""))))</f>
        <v/>
      </c>
      <c r="V105" s="65">
        <f>IF($B105="","",IFERROR(IF(ISNUMBER($H105),$B105*$G105*$H105/$B$3,0),""))</f>
        <v/>
      </c>
      <c r="W105" s="65">
        <f>IF($B105="","",IFERROR($B105*$G105*$K105/$B$3,""))</f>
        <v/>
      </c>
      <c r="X105" s="91">
        <f>IF($C105="","",BDP($C105,"PX_LAST"))</f>
        <v/>
      </c>
      <c r="Y105" s="65">
        <f>IF($B105="","",IFERROR($B105*$X105/$B$3,""))</f>
        <v/>
      </c>
      <c r="Z105" s="76">
        <f>IF($B105="","",IFERROR($Y105/$Y$5,""))</f>
        <v/>
      </c>
    </row>
    <row r="106">
      <c r="B106" s="89" t="n"/>
      <c r="C106" s="6">
        <f>IF($A106="","",$A106&amp;" Equity")</f>
        <v/>
      </c>
      <c r="D106" s="6">
        <f>IF($C106="","",BDP($C106,"NAME"))</f>
        <v/>
      </c>
      <c r="E106" s="6">
        <f>IF($C106="","",BDP($C106,"GICS_SECTOR_NAME"))</f>
        <v/>
      </c>
      <c r="F106" s="33">
        <f>IF($C106="","",BDP($C106,FLD_CCY))</f>
        <v/>
      </c>
      <c r="G106" s="90">
        <f>IFERROR(IF(LEN($F106)&lt;&gt;3,1,IF($F106="HKD",1,BDP(IF($F106="CNY",RMB_CROSS,$F106)&amp;"HKD Curncy","PX_LAST"))),1)</f>
        <v/>
      </c>
      <c r="H106" s="65">
        <f>IF($C106="","",BDP($C106,FLD_DPS12M))</f>
        <v/>
      </c>
      <c r="I106" s="47">
        <f>IF($C106="","",BDP($C106,FLD_YLD12M))</f>
        <v/>
      </c>
      <c r="J106" s="49">
        <f>IF($B106="",0,SUMPRODUCT(('Dvd Calendar'!$E$1100:$AR$1100&gt;=DATE(YEAR_Y,1,1))*('Dvd Calendar'!$E$1100:$AR$1100&lt;=REALIZED_TO)*'Dvd Calendar'!$E$1103:$AR$1103*(('Dvd Calendar'!$E$1105:$AR$1105=TYPE1)*(TYPE1&lt;&gt;"")+('Dvd Calendar'!$E$1105:$AR$1105=TYPE2)*(TYPE2&lt;&gt;"")+('Dvd Calendar'!$E$1105:$AR$1105=TYPE3)*(TYPE3&lt;&gt;"")+('Dvd Calendar'!$E$1105:$AR$1105=TYPE4)*(TYPE4&lt;&gt;"")+('Dvd Calendar'!$E$1105:$AR$1105=SPECIAL_LBL)*(INC_SPECIALS="Y"))))</f>
        <v/>
      </c>
      <c r="K106" s="49">
        <f>IF($B106="",0,SUMIFS('Dvd Calendar'!$E$1108:$AR$1108,'Dvd Calendar'!$E$1107:$AR$1107,"&gt;"&amp;PROJ_FROM,'Dvd Calendar'!$E$1107:$AR$1107,"&lt;="&amp;DATE(YEAR_Y,12,31)))</f>
        <v/>
      </c>
      <c r="L106" s="49">
        <f>IF($B106="",0,IF((OV_SWITCH="ON")*(COUNTIFS(OVR_TICKERS,$C106,OVR_BASE,"&gt;=0")&gt;0)&gt;0,SUMIFS(OVR_BASE,OVR_TICKERS,$C106),$K106))</f>
        <v/>
      </c>
      <c r="M106" s="49">
        <f>IF($B106="",0,IF((OV_SWITCH="ON")*(COUNTIFS(OVR_TICKERS,$C106,OVR_LOW,"&gt;=0")&gt;0)&gt;0,SUMIFS(OVR_LOW,OVR_TICKERS,$C106),$L106))</f>
        <v/>
      </c>
      <c r="N106" s="49">
        <f>IF($B106="",0,IF((OV_SWITCH="ON")*(COUNTIFS(OVR_TICKERS,$C106,OVR_HIGH,"&gt;=0")&gt;0)&gt;0,SUMIFS(OVR_HIGH,OVR_TICKERS,$C106),$L106))</f>
        <v/>
      </c>
      <c r="O106" s="65">
        <f>IF($B106="","",IFERROR($B106*$G106*$J106/$B$3,""))</f>
        <v/>
      </c>
      <c r="P106" s="65">
        <f>IF($B106="","",IFERROR($B106*$G106*$L106/$B$3,""))</f>
        <v/>
      </c>
      <c r="Q106" s="41">
        <f>IF($B106="","",IFERROR($O106+$P106,""))</f>
        <v/>
      </c>
      <c r="R106" s="65">
        <f>IF($B106="","",IFERROR($O106+$B106*$G106*$M106/$B$3,""))</f>
        <v/>
      </c>
      <c r="S106" s="65">
        <f>IF($B106="","",IFERROR($O106+$B106*$G106*$N106/$B$3,""))</f>
        <v/>
      </c>
      <c r="T106" s="80">
        <f>IF($B106="","",IFERROR($Q106/$Q$5,""))</f>
        <v/>
      </c>
      <c r="U106" s="2">
        <f>IF($B106="","",IF(COUNTIFS('Dvd Calendar'!$E$1106:$AR$1106,"&gt;0",'Dvd Calendar'!$E$1106:$AR$1106,"&lt;="&amp;VAL_DATE,'Dvd Calendar'!$E$1107:$AR$1107,"&gt;"&amp;PROJ_FROM,'Dvd Calendar'!$E$1107:$AR$1107,"&lt;="&amp;DATE(YEAR_Y,12,31))-COUNTIFS('Dvd Calendar'!$E$1106:$AR$1106,"&gt;0",'Dvd Calendar'!$E$1106:$AR$1106,"&lt;="&amp;VAL_DATE,'Dvd Calendar'!$E$1107:$AR$1107,"&gt;"&amp;PROJ_FROM,'Dvd Calendar'!$E$1107:$AR$1107,"&lt;="&amp;DATE(YEAR_Y,12,31),'Dvd Calendar'!$E$1108:$AR$1108,"&gt;=0")&gt;0,"TBA amount - override me",IF((OV_SWITCH="ON")*(COUNTIFS(OVR_TICKERS,$C106,OVR_BASE,"&gt;=0")&gt;0)&gt;0,"overridden",IF($J106+$K106=0,"no dividend in year Y",""))))</f>
        <v/>
      </c>
      <c r="V106" s="65">
        <f>IF($B106="","",IFERROR(IF(ISNUMBER($H106),$B106*$G106*$H106/$B$3,0),""))</f>
        <v/>
      </c>
      <c r="W106" s="65">
        <f>IF($B106="","",IFERROR($B106*$G106*$K106/$B$3,""))</f>
        <v/>
      </c>
      <c r="X106" s="91">
        <f>IF($C106="","",BDP($C106,"PX_LAST"))</f>
        <v/>
      </c>
      <c r="Y106" s="65">
        <f>IF($B106="","",IFERROR($B106*$X106/$B$3,""))</f>
        <v/>
      </c>
      <c r="Z106" s="76">
        <f>IF($B106="","",IFERROR($Y106/$Y$5,""))</f>
        <v/>
      </c>
    </row>
  </sheetData>
  <autoFilter ref="A6:Z106"/>
  <conditionalFormatting sqref="U7:U106">
    <cfRule type="expression" priority="1" dxfId="0">
      <formula>ISNUMBER(SEARCH("TBA",$U7))</formula>
    </cfRule>
  </conditionalFormatting>
  <pageMargins left="0.75" right="0.75" top="1" bottom="1" header="0.5" footer="0.5"/>
</worksheet>
</file>

<file path=xl/worksheets/sheet8.xml><?xml version="1.0" encoding="utf-8"?>
<worksheet xmlns="http://schemas.openxmlformats.org/spreadsheetml/2006/main">
  <sheetPr>
    <tabColor rgb="008EAADB"/>
    <outlinePr summaryBelow="1" summaryRight="1"/>
    <pageSetUpPr/>
  </sheetPr>
  <dimension ref="A1:Z4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TECH Index (HSTECH)  -  MEMBERS, YOUR BASKET, AND THE YEAR MODEL</t>
        </is>
      </c>
    </row>
    <row r="2">
      <c r="A2" s="9" t="inlineStr">
        <is>
          <t>Index ticker</t>
        </is>
      </c>
      <c r="B2" s="14" t="inlineStr">
        <is>
          <t>HSTECH Index</t>
        </is>
      </c>
      <c r="G2" s="2" t="inlineStr">
        <is>
          <t>Members</t>
        </is>
      </c>
      <c r="H2" s="36">
        <f>SUMPRODUCT(($A$7:$A$46&lt;&gt;"")*1)</f>
        <v/>
      </c>
      <c r="K2" s="2" t="inlineStr">
        <is>
          <t>Qty pasted</t>
        </is>
      </c>
      <c r="L2" s="36">
        <f>COUNT($B$7:$B$46)</f>
        <v/>
      </c>
      <c r="O2" s="2" t="inlineStr">
        <is>
          <t>No qty</t>
        </is>
      </c>
      <c r="P2" s="36">
        <f>SUMPRODUCT(($A$7:$A$46&lt;&gt;"")*($B$7:$B$46=""))</f>
        <v/>
      </c>
      <c r="S2" s="2" t="inlineStr">
        <is>
          <t>Amount TBA</t>
        </is>
      </c>
      <c r="T2" s="36">
        <f>COUNTIF($U$7:$U$46,"TBA amount - override me")</f>
        <v/>
      </c>
    </row>
    <row r="3">
      <c r="A3" s="9" t="inlineStr">
        <is>
          <t>Index divisor</t>
        </is>
      </c>
      <c r="B3" s="25" t="n"/>
      <c r="C3" s="2" t="inlineStr">
        <is>
          <t>Paste the official divisor here and the basket quantities in column B, in CONSISTENT units - the SCALE FACTOR row on Summary flags a mismatch instantly. A refresh can reshuffle members; pasted quantities do NOT follow them.</t>
        </is>
      </c>
    </row>
    <row r="4">
      <c r="A4" s="3" t="inlineStr">
        <is>
          <t>MEMBER &amp; REFERENCE DATA (Bloomberg)</t>
        </is>
      </c>
      <c r="B4" s="4" t="n"/>
      <c r="C4" s="4" t="n"/>
      <c r="D4" s="4" t="n"/>
      <c r="E4" s="4" t="n"/>
      <c r="F4" s="4" t="n"/>
      <c r="G4" s="4" t="n"/>
      <c r="H4" s="4" t="n"/>
      <c r="I4" s="4" t="n"/>
      <c r="J4" s="53" t="inlineStr">
        <is>
          <t>DIVIDEND PER SHARE - declared currency</t>
        </is>
      </c>
      <c r="K4" s="54" t="n"/>
      <c r="L4" s="54" t="n"/>
      <c r="M4" s="54" t="n"/>
      <c r="N4" s="54" t="n"/>
      <c r="O4" s="53" t="inlineStr">
        <is>
          <t>INDEX POINTS</t>
        </is>
      </c>
      <c r="P4" s="54" t="n"/>
      <c r="Q4" s="54" t="n"/>
      <c r="R4" s="54" t="n"/>
      <c r="S4" s="54" t="n"/>
      <c r="T4" s="54" t="n"/>
      <c r="U4" s="3" t="inlineStr">
        <is>
          <t>FLAG / REFERENCE</t>
        </is>
      </c>
      <c r="V4" s="4" t="n"/>
      <c r="W4" s="4" t="n"/>
      <c r="X4" s="55" t="inlineStr">
        <is>
          <t>UNITS CHECK (price x qty must rebuild the index)</t>
        </is>
      </c>
      <c r="Y4" s="56" t="n"/>
      <c r="Z4" s="56" t="n"/>
    </row>
    <row r="5">
      <c r="N5" s="9" t="inlineStr">
        <is>
          <t>TOTAL -&gt;</t>
        </is>
      </c>
      <c r="O5" s="26">
        <f>IFERROR(SUM(O7:O46),"")</f>
        <v/>
      </c>
      <c r="P5" s="26">
        <f>IFERROR(SUM(P7:P46),"")</f>
        <v/>
      </c>
      <c r="Q5" s="46">
        <f>IFERROR(SUM(Q7:Q46),"")</f>
        <v/>
      </c>
      <c r="R5" s="26">
        <f>IFERROR(SUM(R7:R46),"")</f>
        <v/>
      </c>
      <c r="S5" s="26">
        <f>IFERROR(SUM(S7:S46),"")</f>
        <v/>
      </c>
      <c r="V5" s="26">
        <f>IFERROR(SUM(V7:V46),"")</f>
        <v/>
      </c>
      <c r="W5" s="26">
        <f>IFERROR(SUM(W7:W46),"")</f>
        <v/>
      </c>
      <c r="Y5" s="46">
        <f>IFERROR(SUM(Y7:Y46),"")</f>
        <v/>
      </c>
      <c r="Z5" s="88">
        <f>IFERROR(SUM(Z7:Z46),"")</f>
        <v/>
      </c>
    </row>
    <row r="6">
      <c r="A6" s="19" t="inlineStr">
        <is>
          <t>Member</t>
        </is>
      </c>
      <c r="B6" s="19" t="inlineStr">
        <is>
          <t>Basket
Qty</t>
        </is>
      </c>
      <c r="C6" s="19" t="inlineStr">
        <is>
          <t>Bloomberg Ticker</t>
        </is>
      </c>
      <c r="D6" s="19" t="inlineStr">
        <is>
          <t>Name</t>
        </is>
      </c>
      <c r="E6" s="19" t="inlineStr">
        <is>
          <t>GICS Sector</t>
        </is>
      </c>
      <c r="F6" s="19" t="inlineStr">
        <is>
          <t>Dvd
CCY</t>
        </is>
      </c>
      <c r="G6" s="19" t="inlineStr">
        <is>
          <t>FX -&gt;
HKD</t>
        </is>
      </c>
      <c r="H6" s="19" t="inlineStr">
        <is>
          <t>DPS 12M
(ref)</t>
        </is>
      </c>
      <c r="I6" s="19" t="inlineStr">
        <is>
          <t>Yld 12M
(ref)</t>
        </is>
      </c>
      <c r="J6" s="19" t="inlineStr">
        <is>
          <t>Realized
DPS</t>
        </is>
      </c>
      <c r="K6" s="19" t="inlineStr">
        <is>
          <t>To come
DPS (BBG)</t>
        </is>
      </c>
      <c r="L6" s="19" t="inlineStr">
        <is>
          <t>To come
DPS (eff)</t>
        </is>
      </c>
      <c r="M6" s="19" t="inlineStr">
        <is>
          <t>LOW
DPS</t>
        </is>
      </c>
      <c r="N6" s="19" t="inlineStr">
        <is>
          <t>HIGH
DPS</t>
        </is>
      </c>
      <c r="O6" s="58" t="inlineStr">
        <is>
          <t>Realized
(pts)</t>
        </is>
      </c>
      <c r="P6" s="58" t="inlineStr">
        <is>
          <t>To come
(pts)</t>
        </is>
      </c>
      <c r="Q6" s="58" t="inlineStr">
        <is>
          <t>YEAR
TOTAL (pts)</t>
        </is>
      </c>
      <c r="R6" s="58" t="inlineStr">
        <is>
          <t>LOW
(pts)</t>
        </is>
      </c>
      <c r="S6" s="58" t="inlineStr">
        <is>
          <t>HIGH
(pts)</t>
        </is>
      </c>
      <c r="T6" s="58" t="inlineStr">
        <is>
          <t>% of yr
dvds</t>
        </is>
      </c>
      <c r="U6" s="19" t="inlineStr">
        <is>
          <t>Flag</t>
        </is>
      </c>
      <c r="V6" s="19" t="inlineStr">
        <is>
          <t>12M pts
(ref)</t>
        </is>
      </c>
      <c r="W6" s="19" t="inlineStr">
        <is>
          <t>To come
pts (BBG)</t>
        </is>
      </c>
      <c r="X6" s="61" t="inlineStr">
        <is>
          <t>Price
(PX_LAST)</t>
        </is>
      </c>
      <c r="Y6" s="61" t="inlineStr">
        <is>
          <t>Value
(index pts)</t>
        </is>
      </c>
      <c r="Z6" s="61" t="inlineStr">
        <is>
          <t>Index
weight</t>
        </is>
      </c>
    </row>
    <row r="7">
      <c r="A7" s="6">
        <f>BDS($B$2,"INDX_MEMBERS")</f>
        <v/>
      </c>
      <c r="B7" s="89" t="n"/>
      <c r="C7" s="6">
        <f>IF($A7="","",$A7&amp;" Equity")</f>
        <v/>
      </c>
      <c r="D7" s="6">
        <f>IF($C7="","",BDP($C7,"NAME"))</f>
        <v/>
      </c>
      <c r="E7" s="6">
        <f>IF($C7="","",BDP($C7,"GICS_SECTOR_NAME"))</f>
        <v/>
      </c>
      <c r="F7" s="33">
        <f>IF($C7="","",BDP($C7,FLD_CCY))</f>
        <v/>
      </c>
      <c r="G7" s="90">
        <f>IFERROR(IF(LEN($F7)&lt;&gt;3,1,IF($F7="HKD",1,BDP(IF($F7="CNY",RMB_CROSS,$F7)&amp;"HKD Curncy","PX_LAST"))),1)</f>
        <v/>
      </c>
      <c r="H7" s="65">
        <f>IF($C7="","",BDP($C7,FLD_DPS12M))</f>
        <v/>
      </c>
      <c r="I7" s="47">
        <f>IF($C7="","",BDP($C7,FLD_YLD12M))</f>
        <v/>
      </c>
      <c r="J7" s="49">
        <f>IF($B7="",0,SUMPRODUCT(('Dvd Calendar'!$E$1116:$AR$1116&gt;=DATE(YEAR_Y,1,1))*('Dvd Calendar'!$E$1116:$AR$1116&lt;=REALIZED_TO)*'Dvd Calendar'!$E$1119:$AR$1119*(('Dvd Calendar'!$E$1121:$AR$1121=TYPE1)*(TYPE1&lt;&gt;"")+('Dvd Calendar'!$E$1121:$AR$1121=TYPE2)*(TYPE2&lt;&gt;"")+('Dvd Calendar'!$E$1121:$AR$1121=TYPE3)*(TYPE3&lt;&gt;"")+('Dvd Calendar'!$E$1121:$AR$1121=TYPE4)*(TYPE4&lt;&gt;"")+('Dvd Calendar'!$E$1121:$AR$1121=SPECIAL_LBL)*(INC_SPECIALS="Y"))))</f>
        <v/>
      </c>
      <c r="K7" s="49">
        <f>IF($B7="",0,SUMIFS('Dvd Calendar'!$E$1124:$AR$1124,'Dvd Calendar'!$E$1123:$AR$1123,"&gt;"&amp;PROJ_FROM,'Dvd Calendar'!$E$1123:$AR$1123,"&lt;="&amp;DATE(YEAR_Y,12,31)))</f>
        <v/>
      </c>
      <c r="L7" s="49">
        <f>IF($B7="",0,IF((OV_SWITCH="ON")*(COUNTIFS(OVR_TICKERS,$C7,OVR_BASE,"&gt;=0")&gt;0)&gt;0,SUMIFS(OVR_BASE,OVR_TICKERS,$C7),$K7))</f>
        <v/>
      </c>
      <c r="M7" s="49">
        <f>IF($B7="",0,IF((OV_SWITCH="ON")*(COUNTIFS(OVR_TICKERS,$C7,OVR_LOW,"&gt;=0")&gt;0)&gt;0,SUMIFS(OVR_LOW,OVR_TICKERS,$C7),$L7))</f>
        <v/>
      </c>
      <c r="N7" s="49">
        <f>IF($B7="",0,IF((OV_SWITCH="ON")*(COUNTIFS(OVR_TICKERS,$C7,OVR_HIGH,"&gt;=0")&gt;0)&gt;0,SUMIFS(OVR_HIGH,OVR_TICKERS,$C7),$L7))</f>
        <v/>
      </c>
      <c r="O7" s="65">
        <f>IF($B7="","",IFERROR($B7*$G7*$J7/$B$3,""))</f>
        <v/>
      </c>
      <c r="P7" s="65">
        <f>IF($B7="","",IFERROR($B7*$G7*$L7/$B$3,""))</f>
        <v/>
      </c>
      <c r="Q7" s="41">
        <f>IF($B7="","",IFERROR($O7+$P7,""))</f>
        <v/>
      </c>
      <c r="R7" s="65">
        <f>IF($B7="","",IFERROR($O7+$B7*$G7*$M7/$B$3,""))</f>
        <v/>
      </c>
      <c r="S7" s="65">
        <f>IF($B7="","",IFERROR($O7+$B7*$G7*$N7/$B$3,""))</f>
        <v/>
      </c>
      <c r="T7" s="80">
        <f>IF($B7="","",IFERROR($Q7/$Q$5,""))</f>
        <v/>
      </c>
      <c r="U7" s="2">
        <f>IF($B7="","",IF(COUNTIFS('Dvd Calendar'!$E$1122:$AR$1122,"&gt;0",'Dvd Calendar'!$E$1122:$AR$1122,"&lt;="&amp;VAL_DATE,'Dvd Calendar'!$E$1123:$AR$1123,"&gt;"&amp;PROJ_FROM,'Dvd Calendar'!$E$1123:$AR$1123,"&lt;="&amp;DATE(YEAR_Y,12,31))-COUNTIFS('Dvd Calendar'!$E$1122:$AR$1122,"&gt;0",'Dvd Calendar'!$E$1122:$AR$1122,"&lt;="&amp;VAL_DATE,'Dvd Calendar'!$E$1123:$AR$1123,"&gt;"&amp;PROJ_FROM,'Dvd Calendar'!$E$1123:$AR$1123,"&lt;="&amp;DATE(YEAR_Y,12,31),'Dvd Calendar'!$E$1124:$AR$1124,"&gt;=0")&gt;0,"TBA amount - override me",IF((OV_SWITCH="ON")*(COUNTIFS(OVR_TICKERS,$C7,OVR_BASE,"&gt;=0")&gt;0)&gt;0,"overridden",IF($J7+$K7=0,"no dividend in year Y",""))))</f>
        <v/>
      </c>
      <c r="V7" s="65">
        <f>IF($B7="","",IFERROR(IF(ISNUMBER($H7),$B7*$G7*$H7/$B$3,0),""))</f>
        <v/>
      </c>
      <c r="W7" s="65">
        <f>IF($B7="","",IFERROR($B7*$G7*$K7/$B$3,""))</f>
        <v/>
      </c>
      <c r="X7" s="91">
        <f>IF($C7="","",BDP($C7,"PX_LAST"))</f>
        <v/>
      </c>
      <c r="Y7" s="65">
        <f>IF($B7="","",IFERROR($B7*$X7/$B$3,""))</f>
        <v/>
      </c>
      <c r="Z7" s="76">
        <f>IF($B7="","",IFERROR($Y7/$Y$5,""))</f>
        <v/>
      </c>
    </row>
    <row r="8">
      <c r="B8" s="89" t="n"/>
      <c r="C8" s="6">
        <f>IF($A8="","",$A8&amp;" Equity")</f>
        <v/>
      </c>
      <c r="D8" s="6">
        <f>IF($C8="","",BDP($C8,"NAME"))</f>
        <v/>
      </c>
      <c r="E8" s="6">
        <f>IF($C8="","",BDP($C8,"GICS_SECTOR_NAME"))</f>
        <v/>
      </c>
      <c r="F8" s="33">
        <f>IF($C8="","",BDP($C8,FLD_CCY))</f>
        <v/>
      </c>
      <c r="G8" s="90">
        <f>IFERROR(IF(LEN($F8)&lt;&gt;3,1,IF($F8="HKD",1,BDP(IF($F8="CNY",RMB_CROSS,$F8)&amp;"HKD Curncy","PX_LAST"))),1)</f>
        <v/>
      </c>
      <c r="H8" s="65">
        <f>IF($C8="","",BDP($C8,FLD_DPS12M))</f>
        <v/>
      </c>
      <c r="I8" s="47">
        <f>IF($C8="","",BDP($C8,FLD_YLD12M))</f>
        <v/>
      </c>
      <c r="J8" s="49">
        <f>IF($B8="",0,SUMPRODUCT(('Dvd Calendar'!$E$1127:$AR$1127&gt;=DATE(YEAR_Y,1,1))*('Dvd Calendar'!$E$1127:$AR$1127&lt;=REALIZED_TO)*'Dvd Calendar'!$E$1130:$AR$1130*(('Dvd Calendar'!$E$1132:$AR$1132=TYPE1)*(TYPE1&lt;&gt;"")+('Dvd Calendar'!$E$1132:$AR$1132=TYPE2)*(TYPE2&lt;&gt;"")+('Dvd Calendar'!$E$1132:$AR$1132=TYPE3)*(TYPE3&lt;&gt;"")+('Dvd Calendar'!$E$1132:$AR$1132=TYPE4)*(TYPE4&lt;&gt;"")+('Dvd Calendar'!$E$1132:$AR$1132=SPECIAL_LBL)*(INC_SPECIALS="Y"))))</f>
        <v/>
      </c>
      <c r="K8" s="49">
        <f>IF($B8="",0,SUMIFS('Dvd Calendar'!$E$1135:$AR$1135,'Dvd Calendar'!$E$1134:$AR$1134,"&gt;"&amp;PROJ_FROM,'Dvd Calendar'!$E$1134:$AR$1134,"&lt;="&amp;DATE(YEAR_Y,12,31)))</f>
        <v/>
      </c>
      <c r="L8" s="49">
        <f>IF($B8="",0,IF((OV_SWITCH="ON")*(COUNTIFS(OVR_TICKERS,$C8,OVR_BASE,"&gt;=0")&gt;0)&gt;0,SUMIFS(OVR_BASE,OVR_TICKERS,$C8),$K8))</f>
        <v/>
      </c>
      <c r="M8" s="49">
        <f>IF($B8="",0,IF((OV_SWITCH="ON")*(COUNTIFS(OVR_TICKERS,$C8,OVR_LOW,"&gt;=0")&gt;0)&gt;0,SUMIFS(OVR_LOW,OVR_TICKERS,$C8),$L8))</f>
        <v/>
      </c>
      <c r="N8" s="49">
        <f>IF($B8="",0,IF((OV_SWITCH="ON")*(COUNTIFS(OVR_TICKERS,$C8,OVR_HIGH,"&gt;=0")&gt;0)&gt;0,SUMIFS(OVR_HIGH,OVR_TICKERS,$C8),$L8))</f>
        <v/>
      </c>
      <c r="O8" s="65">
        <f>IF($B8="","",IFERROR($B8*$G8*$J8/$B$3,""))</f>
        <v/>
      </c>
      <c r="P8" s="65">
        <f>IF($B8="","",IFERROR($B8*$G8*$L8/$B$3,""))</f>
        <v/>
      </c>
      <c r="Q8" s="41">
        <f>IF($B8="","",IFERROR($O8+$P8,""))</f>
        <v/>
      </c>
      <c r="R8" s="65">
        <f>IF($B8="","",IFERROR($O8+$B8*$G8*$M8/$B$3,""))</f>
        <v/>
      </c>
      <c r="S8" s="65">
        <f>IF($B8="","",IFERROR($O8+$B8*$G8*$N8/$B$3,""))</f>
        <v/>
      </c>
      <c r="T8" s="80">
        <f>IF($B8="","",IFERROR($Q8/$Q$5,""))</f>
        <v/>
      </c>
      <c r="U8" s="2">
        <f>IF($B8="","",IF(COUNTIFS('Dvd Calendar'!$E$1133:$AR$1133,"&gt;0",'Dvd Calendar'!$E$1133:$AR$1133,"&lt;="&amp;VAL_DATE,'Dvd Calendar'!$E$1134:$AR$1134,"&gt;"&amp;PROJ_FROM,'Dvd Calendar'!$E$1134:$AR$1134,"&lt;="&amp;DATE(YEAR_Y,12,31))-COUNTIFS('Dvd Calendar'!$E$1133:$AR$1133,"&gt;0",'Dvd Calendar'!$E$1133:$AR$1133,"&lt;="&amp;VAL_DATE,'Dvd Calendar'!$E$1134:$AR$1134,"&gt;"&amp;PROJ_FROM,'Dvd Calendar'!$E$1134:$AR$1134,"&lt;="&amp;DATE(YEAR_Y,12,31),'Dvd Calendar'!$E$1135:$AR$1135,"&gt;=0")&gt;0,"TBA amount - override me",IF((OV_SWITCH="ON")*(COUNTIFS(OVR_TICKERS,$C8,OVR_BASE,"&gt;=0")&gt;0)&gt;0,"overridden",IF($J8+$K8=0,"no dividend in year Y",""))))</f>
        <v/>
      </c>
      <c r="V8" s="65">
        <f>IF($B8="","",IFERROR(IF(ISNUMBER($H8),$B8*$G8*$H8/$B$3,0),""))</f>
        <v/>
      </c>
      <c r="W8" s="65">
        <f>IF($B8="","",IFERROR($B8*$G8*$K8/$B$3,""))</f>
        <v/>
      </c>
      <c r="X8" s="91">
        <f>IF($C8="","",BDP($C8,"PX_LAST"))</f>
        <v/>
      </c>
      <c r="Y8" s="65">
        <f>IF($B8="","",IFERROR($B8*$X8/$B$3,""))</f>
        <v/>
      </c>
      <c r="Z8" s="76">
        <f>IF($B8="","",IFERROR($Y8/$Y$5,""))</f>
        <v/>
      </c>
    </row>
    <row r="9">
      <c r="B9" s="89" t="n"/>
      <c r="C9" s="6">
        <f>IF($A9="","",$A9&amp;" Equity")</f>
        <v/>
      </c>
      <c r="D9" s="6">
        <f>IF($C9="","",BDP($C9,"NAME"))</f>
        <v/>
      </c>
      <c r="E9" s="6">
        <f>IF($C9="","",BDP($C9,"GICS_SECTOR_NAME"))</f>
        <v/>
      </c>
      <c r="F9" s="33">
        <f>IF($C9="","",BDP($C9,FLD_CCY))</f>
        <v/>
      </c>
      <c r="G9" s="90">
        <f>IFERROR(IF(LEN($F9)&lt;&gt;3,1,IF($F9="HKD",1,BDP(IF($F9="CNY",RMB_CROSS,$F9)&amp;"HKD Curncy","PX_LAST"))),1)</f>
        <v/>
      </c>
      <c r="H9" s="65">
        <f>IF($C9="","",BDP($C9,FLD_DPS12M))</f>
        <v/>
      </c>
      <c r="I9" s="47">
        <f>IF($C9="","",BDP($C9,FLD_YLD12M))</f>
        <v/>
      </c>
      <c r="J9" s="49">
        <f>IF($B9="",0,SUMPRODUCT(('Dvd Calendar'!$E$1138:$AR$1138&gt;=DATE(YEAR_Y,1,1))*('Dvd Calendar'!$E$1138:$AR$1138&lt;=REALIZED_TO)*'Dvd Calendar'!$E$1141:$AR$1141*(('Dvd Calendar'!$E$1143:$AR$1143=TYPE1)*(TYPE1&lt;&gt;"")+('Dvd Calendar'!$E$1143:$AR$1143=TYPE2)*(TYPE2&lt;&gt;"")+('Dvd Calendar'!$E$1143:$AR$1143=TYPE3)*(TYPE3&lt;&gt;"")+('Dvd Calendar'!$E$1143:$AR$1143=TYPE4)*(TYPE4&lt;&gt;"")+('Dvd Calendar'!$E$1143:$AR$1143=SPECIAL_LBL)*(INC_SPECIALS="Y"))))</f>
        <v/>
      </c>
      <c r="K9" s="49">
        <f>IF($B9="",0,SUMIFS('Dvd Calendar'!$E$1146:$AR$1146,'Dvd Calendar'!$E$1145:$AR$1145,"&gt;"&amp;PROJ_FROM,'Dvd Calendar'!$E$1145:$AR$1145,"&lt;="&amp;DATE(YEAR_Y,12,31)))</f>
        <v/>
      </c>
      <c r="L9" s="49">
        <f>IF($B9="",0,IF((OV_SWITCH="ON")*(COUNTIFS(OVR_TICKERS,$C9,OVR_BASE,"&gt;=0")&gt;0)&gt;0,SUMIFS(OVR_BASE,OVR_TICKERS,$C9),$K9))</f>
        <v/>
      </c>
      <c r="M9" s="49">
        <f>IF($B9="",0,IF((OV_SWITCH="ON")*(COUNTIFS(OVR_TICKERS,$C9,OVR_LOW,"&gt;=0")&gt;0)&gt;0,SUMIFS(OVR_LOW,OVR_TICKERS,$C9),$L9))</f>
        <v/>
      </c>
      <c r="N9" s="49">
        <f>IF($B9="",0,IF((OV_SWITCH="ON")*(COUNTIFS(OVR_TICKERS,$C9,OVR_HIGH,"&gt;=0")&gt;0)&gt;0,SUMIFS(OVR_HIGH,OVR_TICKERS,$C9),$L9))</f>
        <v/>
      </c>
      <c r="O9" s="65">
        <f>IF($B9="","",IFERROR($B9*$G9*$J9/$B$3,""))</f>
        <v/>
      </c>
      <c r="P9" s="65">
        <f>IF($B9="","",IFERROR($B9*$G9*$L9/$B$3,""))</f>
        <v/>
      </c>
      <c r="Q9" s="41">
        <f>IF($B9="","",IFERROR($O9+$P9,""))</f>
        <v/>
      </c>
      <c r="R9" s="65">
        <f>IF($B9="","",IFERROR($O9+$B9*$G9*$M9/$B$3,""))</f>
        <v/>
      </c>
      <c r="S9" s="65">
        <f>IF($B9="","",IFERROR($O9+$B9*$G9*$N9/$B$3,""))</f>
        <v/>
      </c>
      <c r="T9" s="80">
        <f>IF($B9="","",IFERROR($Q9/$Q$5,""))</f>
        <v/>
      </c>
      <c r="U9" s="2">
        <f>IF($B9="","",IF(COUNTIFS('Dvd Calendar'!$E$1144:$AR$1144,"&gt;0",'Dvd Calendar'!$E$1144:$AR$1144,"&lt;="&amp;VAL_DATE,'Dvd Calendar'!$E$1145:$AR$1145,"&gt;"&amp;PROJ_FROM,'Dvd Calendar'!$E$1145:$AR$1145,"&lt;="&amp;DATE(YEAR_Y,12,31))-COUNTIFS('Dvd Calendar'!$E$1144:$AR$1144,"&gt;0",'Dvd Calendar'!$E$1144:$AR$1144,"&lt;="&amp;VAL_DATE,'Dvd Calendar'!$E$1145:$AR$1145,"&gt;"&amp;PROJ_FROM,'Dvd Calendar'!$E$1145:$AR$1145,"&lt;="&amp;DATE(YEAR_Y,12,31),'Dvd Calendar'!$E$1146:$AR$1146,"&gt;=0")&gt;0,"TBA amount - override me",IF((OV_SWITCH="ON")*(COUNTIFS(OVR_TICKERS,$C9,OVR_BASE,"&gt;=0")&gt;0)&gt;0,"overridden",IF($J9+$K9=0,"no dividend in year Y",""))))</f>
        <v/>
      </c>
      <c r="V9" s="65">
        <f>IF($B9="","",IFERROR(IF(ISNUMBER($H9),$B9*$G9*$H9/$B$3,0),""))</f>
        <v/>
      </c>
      <c r="W9" s="65">
        <f>IF($B9="","",IFERROR($B9*$G9*$K9/$B$3,""))</f>
        <v/>
      </c>
      <c r="X9" s="91">
        <f>IF($C9="","",BDP($C9,"PX_LAST"))</f>
        <v/>
      </c>
      <c r="Y9" s="65">
        <f>IF($B9="","",IFERROR($B9*$X9/$B$3,""))</f>
        <v/>
      </c>
      <c r="Z9" s="76">
        <f>IF($B9="","",IFERROR($Y9/$Y$5,""))</f>
        <v/>
      </c>
    </row>
    <row r="10">
      <c r="B10" s="89" t="n"/>
      <c r="C10" s="6">
        <f>IF($A10="","",$A10&amp;" Equity")</f>
        <v/>
      </c>
      <c r="D10" s="6">
        <f>IF($C10="","",BDP($C10,"NAME"))</f>
        <v/>
      </c>
      <c r="E10" s="6">
        <f>IF($C10="","",BDP($C10,"GICS_SECTOR_NAME"))</f>
        <v/>
      </c>
      <c r="F10" s="33">
        <f>IF($C10="","",BDP($C10,FLD_CCY))</f>
        <v/>
      </c>
      <c r="G10" s="90">
        <f>IFERROR(IF(LEN($F10)&lt;&gt;3,1,IF($F10="HKD",1,BDP(IF($F10="CNY",RMB_CROSS,$F10)&amp;"HKD Curncy","PX_LAST"))),1)</f>
        <v/>
      </c>
      <c r="H10" s="65">
        <f>IF($C10="","",BDP($C10,FLD_DPS12M))</f>
        <v/>
      </c>
      <c r="I10" s="47">
        <f>IF($C10="","",BDP($C10,FLD_YLD12M))</f>
        <v/>
      </c>
      <c r="J10" s="49">
        <f>IF($B10="",0,SUMPRODUCT(('Dvd Calendar'!$E$1149:$AR$1149&gt;=DATE(YEAR_Y,1,1))*('Dvd Calendar'!$E$1149:$AR$1149&lt;=REALIZED_TO)*'Dvd Calendar'!$E$1152:$AR$1152*(('Dvd Calendar'!$E$1154:$AR$1154=TYPE1)*(TYPE1&lt;&gt;"")+('Dvd Calendar'!$E$1154:$AR$1154=TYPE2)*(TYPE2&lt;&gt;"")+('Dvd Calendar'!$E$1154:$AR$1154=TYPE3)*(TYPE3&lt;&gt;"")+('Dvd Calendar'!$E$1154:$AR$1154=TYPE4)*(TYPE4&lt;&gt;"")+('Dvd Calendar'!$E$1154:$AR$1154=SPECIAL_LBL)*(INC_SPECIALS="Y"))))</f>
        <v/>
      </c>
      <c r="K10" s="49">
        <f>IF($B10="",0,SUMIFS('Dvd Calendar'!$E$1157:$AR$1157,'Dvd Calendar'!$E$1156:$AR$1156,"&gt;"&amp;PROJ_FROM,'Dvd Calendar'!$E$1156:$AR$1156,"&lt;="&amp;DATE(YEAR_Y,12,31)))</f>
        <v/>
      </c>
      <c r="L10" s="49">
        <f>IF($B10="",0,IF((OV_SWITCH="ON")*(COUNTIFS(OVR_TICKERS,$C10,OVR_BASE,"&gt;=0")&gt;0)&gt;0,SUMIFS(OVR_BASE,OVR_TICKERS,$C10),$K10))</f>
        <v/>
      </c>
      <c r="M10" s="49">
        <f>IF($B10="",0,IF((OV_SWITCH="ON")*(COUNTIFS(OVR_TICKERS,$C10,OVR_LOW,"&gt;=0")&gt;0)&gt;0,SUMIFS(OVR_LOW,OVR_TICKERS,$C10),$L10))</f>
        <v/>
      </c>
      <c r="N10" s="49">
        <f>IF($B10="",0,IF((OV_SWITCH="ON")*(COUNTIFS(OVR_TICKERS,$C10,OVR_HIGH,"&gt;=0")&gt;0)&gt;0,SUMIFS(OVR_HIGH,OVR_TICKERS,$C10),$L10))</f>
        <v/>
      </c>
      <c r="O10" s="65">
        <f>IF($B10="","",IFERROR($B10*$G10*$J10/$B$3,""))</f>
        <v/>
      </c>
      <c r="P10" s="65">
        <f>IF($B10="","",IFERROR($B10*$G10*$L10/$B$3,""))</f>
        <v/>
      </c>
      <c r="Q10" s="41">
        <f>IF($B10="","",IFERROR($O10+$P10,""))</f>
        <v/>
      </c>
      <c r="R10" s="65">
        <f>IF($B10="","",IFERROR($O10+$B10*$G10*$M10/$B$3,""))</f>
        <v/>
      </c>
      <c r="S10" s="65">
        <f>IF($B10="","",IFERROR($O10+$B10*$G10*$N10/$B$3,""))</f>
        <v/>
      </c>
      <c r="T10" s="80">
        <f>IF($B10="","",IFERROR($Q10/$Q$5,""))</f>
        <v/>
      </c>
      <c r="U10" s="2">
        <f>IF($B10="","",IF(COUNTIFS('Dvd Calendar'!$E$1155:$AR$1155,"&gt;0",'Dvd Calendar'!$E$1155:$AR$1155,"&lt;="&amp;VAL_DATE,'Dvd Calendar'!$E$1156:$AR$1156,"&gt;"&amp;PROJ_FROM,'Dvd Calendar'!$E$1156:$AR$1156,"&lt;="&amp;DATE(YEAR_Y,12,31))-COUNTIFS('Dvd Calendar'!$E$1155:$AR$1155,"&gt;0",'Dvd Calendar'!$E$1155:$AR$1155,"&lt;="&amp;VAL_DATE,'Dvd Calendar'!$E$1156:$AR$1156,"&gt;"&amp;PROJ_FROM,'Dvd Calendar'!$E$1156:$AR$1156,"&lt;="&amp;DATE(YEAR_Y,12,31),'Dvd Calendar'!$E$1157:$AR$1157,"&gt;=0")&gt;0,"TBA amount - override me",IF((OV_SWITCH="ON")*(COUNTIFS(OVR_TICKERS,$C10,OVR_BASE,"&gt;=0")&gt;0)&gt;0,"overridden",IF($J10+$K10=0,"no dividend in year Y",""))))</f>
        <v/>
      </c>
      <c r="V10" s="65">
        <f>IF($B10="","",IFERROR(IF(ISNUMBER($H10),$B10*$G10*$H10/$B$3,0),""))</f>
        <v/>
      </c>
      <c r="W10" s="65">
        <f>IF($B10="","",IFERROR($B10*$G10*$K10/$B$3,""))</f>
        <v/>
      </c>
      <c r="X10" s="91">
        <f>IF($C10="","",BDP($C10,"PX_LAST"))</f>
        <v/>
      </c>
      <c r="Y10" s="65">
        <f>IF($B10="","",IFERROR($B10*$X10/$B$3,""))</f>
        <v/>
      </c>
      <c r="Z10" s="76">
        <f>IF($B10="","",IFERROR($Y10/$Y$5,""))</f>
        <v/>
      </c>
    </row>
    <row r="11">
      <c r="B11" s="89" t="n"/>
      <c r="C11" s="6">
        <f>IF($A11="","",$A11&amp;" Equity")</f>
        <v/>
      </c>
      <c r="D11" s="6">
        <f>IF($C11="","",BDP($C11,"NAME"))</f>
        <v/>
      </c>
      <c r="E11" s="6">
        <f>IF($C11="","",BDP($C11,"GICS_SECTOR_NAME"))</f>
        <v/>
      </c>
      <c r="F11" s="33">
        <f>IF($C11="","",BDP($C11,FLD_CCY))</f>
        <v/>
      </c>
      <c r="G11" s="90">
        <f>IFERROR(IF(LEN($F11)&lt;&gt;3,1,IF($F11="HKD",1,BDP(IF($F11="CNY",RMB_CROSS,$F11)&amp;"HKD Curncy","PX_LAST"))),1)</f>
        <v/>
      </c>
      <c r="H11" s="65">
        <f>IF($C11="","",BDP($C11,FLD_DPS12M))</f>
        <v/>
      </c>
      <c r="I11" s="47">
        <f>IF($C11="","",BDP($C11,FLD_YLD12M))</f>
        <v/>
      </c>
      <c r="J11" s="49">
        <f>IF($B11="",0,SUMPRODUCT(('Dvd Calendar'!$E$1160:$AR$1160&gt;=DATE(YEAR_Y,1,1))*('Dvd Calendar'!$E$1160:$AR$1160&lt;=REALIZED_TO)*'Dvd Calendar'!$E$1163:$AR$1163*(('Dvd Calendar'!$E$1165:$AR$1165=TYPE1)*(TYPE1&lt;&gt;"")+('Dvd Calendar'!$E$1165:$AR$1165=TYPE2)*(TYPE2&lt;&gt;"")+('Dvd Calendar'!$E$1165:$AR$1165=TYPE3)*(TYPE3&lt;&gt;"")+('Dvd Calendar'!$E$1165:$AR$1165=TYPE4)*(TYPE4&lt;&gt;"")+('Dvd Calendar'!$E$1165:$AR$1165=SPECIAL_LBL)*(INC_SPECIALS="Y"))))</f>
        <v/>
      </c>
      <c r="K11" s="49">
        <f>IF($B11="",0,SUMIFS('Dvd Calendar'!$E$1168:$AR$1168,'Dvd Calendar'!$E$1167:$AR$1167,"&gt;"&amp;PROJ_FROM,'Dvd Calendar'!$E$1167:$AR$1167,"&lt;="&amp;DATE(YEAR_Y,12,31)))</f>
        <v/>
      </c>
      <c r="L11" s="49">
        <f>IF($B11="",0,IF((OV_SWITCH="ON")*(COUNTIFS(OVR_TICKERS,$C11,OVR_BASE,"&gt;=0")&gt;0)&gt;0,SUMIFS(OVR_BASE,OVR_TICKERS,$C11),$K11))</f>
        <v/>
      </c>
      <c r="M11" s="49">
        <f>IF($B11="",0,IF((OV_SWITCH="ON")*(COUNTIFS(OVR_TICKERS,$C11,OVR_LOW,"&gt;=0")&gt;0)&gt;0,SUMIFS(OVR_LOW,OVR_TICKERS,$C11),$L11))</f>
        <v/>
      </c>
      <c r="N11" s="49">
        <f>IF($B11="",0,IF((OV_SWITCH="ON")*(COUNTIFS(OVR_TICKERS,$C11,OVR_HIGH,"&gt;=0")&gt;0)&gt;0,SUMIFS(OVR_HIGH,OVR_TICKERS,$C11),$L11))</f>
        <v/>
      </c>
      <c r="O11" s="65">
        <f>IF($B11="","",IFERROR($B11*$G11*$J11/$B$3,""))</f>
        <v/>
      </c>
      <c r="P11" s="65">
        <f>IF($B11="","",IFERROR($B11*$G11*$L11/$B$3,""))</f>
        <v/>
      </c>
      <c r="Q11" s="41">
        <f>IF($B11="","",IFERROR($O11+$P11,""))</f>
        <v/>
      </c>
      <c r="R11" s="65">
        <f>IF($B11="","",IFERROR($O11+$B11*$G11*$M11/$B$3,""))</f>
        <v/>
      </c>
      <c r="S11" s="65">
        <f>IF($B11="","",IFERROR($O11+$B11*$G11*$N11/$B$3,""))</f>
        <v/>
      </c>
      <c r="T11" s="80">
        <f>IF($B11="","",IFERROR($Q11/$Q$5,""))</f>
        <v/>
      </c>
      <c r="U11" s="2">
        <f>IF($B11="","",IF(COUNTIFS('Dvd Calendar'!$E$1166:$AR$1166,"&gt;0",'Dvd Calendar'!$E$1166:$AR$1166,"&lt;="&amp;VAL_DATE,'Dvd Calendar'!$E$1167:$AR$1167,"&gt;"&amp;PROJ_FROM,'Dvd Calendar'!$E$1167:$AR$1167,"&lt;="&amp;DATE(YEAR_Y,12,31))-COUNTIFS('Dvd Calendar'!$E$1166:$AR$1166,"&gt;0",'Dvd Calendar'!$E$1166:$AR$1166,"&lt;="&amp;VAL_DATE,'Dvd Calendar'!$E$1167:$AR$1167,"&gt;"&amp;PROJ_FROM,'Dvd Calendar'!$E$1167:$AR$1167,"&lt;="&amp;DATE(YEAR_Y,12,31),'Dvd Calendar'!$E$1168:$AR$1168,"&gt;=0")&gt;0,"TBA amount - override me",IF((OV_SWITCH="ON")*(COUNTIFS(OVR_TICKERS,$C11,OVR_BASE,"&gt;=0")&gt;0)&gt;0,"overridden",IF($J11+$K11=0,"no dividend in year Y",""))))</f>
        <v/>
      </c>
      <c r="V11" s="65">
        <f>IF($B11="","",IFERROR(IF(ISNUMBER($H11),$B11*$G11*$H11/$B$3,0),""))</f>
        <v/>
      </c>
      <c r="W11" s="65">
        <f>IF($B11="","",IFERROR($B11*$G11*$K11/$B$3,""))</f>
        <v/>
      </c>
      <c r="X11" s="91">
        <f>IF($C11="","",BDP($C11,"PX_LAST"))</f>
        <v/>
      </c>
      <c r="Y11" s="65">
        <f>IF($B11="","",IFERROR($B11*$X11/$B$3,""))</f>
        <v/>
      </c>
      <c r="Z11" s="76">
        <f>IF($B11="","",IFERROR($Y11/$Y$5,""))</f>
        <v/>
      </c>
    </row>
    <row r="12">
      <c r="B12" s="89" t="n"/>
      <c r="C12" s="6">
        <f>IF($A12="","",$A12&amp;" Equity")</f>
        <v/>
      </c>
      <c r="D12" s="6">
        <f>IF($C12="","",BDP($C12,"NAME"))</f>
        <v/>
      </c>
      <c r="E12" s="6">
        <f>IF($C12="","",BDP($C12,"GICS_SECTOR_NAME"))</f>
        <v/>
      </c>
      <c r="F12" s="33">
        <f>IF($C12="","",BDP($C12,FLD_CCY))</f>
        <v/>
      </c>
      <c r="G12" s="90">
        <f>IFERROR(IF(LEN($F12)&lt;&gt;3,1,IF($F12="HKD",1,BDP(IF($F12="CNY",RMB_CROSS,$F12)&amp;"HKD Curncy","PX_LAST"))),1)</f>
        <v/>
      </c>
      <c r="H12" s="65">
        <f>IF($C12="","",BDP($C12,FLD_DPS12M))</f>
        <v/>
      </c>
      <c r="I12" s="47">
        <f>IF($C12="","",BDP($C12,FLD_YLD12M))</f>
        <v/>
      </c>
      <c r="J12" s="49">
        <f>IF($B12="",0,SUMPRODUCT(('Dvd Calendar'!$E$1171:$AR$1171&gt;=DATE(YEAR_Y,1,1))*('Dvd Calendar'!$E$1171:$AR$1171&lt;=REALIZED_TO)*'Dvd Calendar'!$E$1174:$AR$1174*(('Dvd Calendar'!$E$1176:$AR$1176=TYPE1)*(TYPE1&lt;&gt;"")+('Dvd Calendar'!$E$1176:$AR$1176=TYPE2)*(TYPE2&lt;&gt;"")+('Dvd Calendar'!$E$1176:$AR$1176=TYPE3)*(TYPE3&lt;&gt;"")+('Dvd Calendar'!$E$1176:$AR$1176=TYPE4)*(TYPE4&lt;&gt;"")+('Dvd Calendar'!$E$1176:$AR$1176=SPECIAL_LBL)*(INC_SPECIALS="Y"))))</f>
        <v/>
      </c>
      <c r="K12" s="49">
        <f>IF($B12="",0,SUMIFS('Dvd Calendar'!$E$1179:$AR$1179,'Dvd Calendar'!$E$1178:$AR$1178,"&gt;"&amp;PROJ_FROM,'Dvd Calendar'!$E$1178:$AR$1178,"&lt;="&amp;DATE(YEAR_Y,12,31)))</f>
        <v/>
      </c>
      <c r="L12" s="49">
        <f>IF($B12="",0,IF((OV_SWITCH="ON")*(COUNTIFS(OVR_TICKERS,$C12,OVR_BASE,"&gt;=0")&gt;0)&gt;0,SUMIFS(OVR_BASE,OVR_TICKERS,$C12),$K12))</f>
        <v/>
      </c>
      <c r="M12" s="49">
        <f>IF($B12="",0,IF((OV_SWITCH="ON")*(COUNTIFS(OVR_TICKERS,$C12,OVR_LOW,"&gt;=0")&gt;0)&gt;0,SUMIFS(OVR_LOW,OVR_TICKERS,$C12),$L12))</f>
        <v/>
      </c>
      <c r="N12" s="49">
        <f>IF($B12="",0,IF((OV_SWITCH="ON")*(COUNTIFS(OVR_TICKERS,$C12,OVR_HIGH,"&gt;=0")&gt;0)&gt;0,SUMIFS(OVR_HIGH,OVR_TICKERS,$C12),$L12))</f>
        <v/>
      </c>
      <c r="O12" s="65">
        <f>IF($B12="","",IFERROR($B12*$G12*$J12/$B$3,""))</f>
        <v/>
      </c>
      <c r="P12" s="65">
        <f>IF($B12="","",IFERROR($B12*$G12*$L12/$B$3,""))</f>
        <v/>
      </c>
      <c r="Q12" s="41">
        <f>IF($B12="","",IFERROR($O12+$P12,""))</f>
        <v/>
      </c>
      <c r="R12" s="65">
        <f>IF($B12="","",IFERROR($O12+$B12*$G12*$M12/$B$3,""))</f>
        <v/>
      </c>
      <c r="S12" s="65">
        <f>IF($B12="","",IFERROR($O12+$B12*$G12*$N12/$B$3,""))</f>
        <v/>
      </c>
      <c r="T12" s="80">
        <f>IF($B12="","",IFERROR($Q12/$Q$5,""))</f>
        <v/>
      </c>
      <c r="U12" s="2">
        <f>IF($B12="","",IF(COUNTIFS('Dvd Calendar'!$E$1177:$AR$1177,"&gt;0",'Dvd Calendar'!$E$1177:$AR$1177,"&lt;="&amp;VAL_DATE,'Dvd Calendar'!$E$1178:$AR$1178,"&gt;"&amp;PROJ_FROM,'Dvd Calendar'!$E$1178:$AR$1178,"&lt;="&amp;DATE(YEAR_Y,12,31))-COUNTIFS('Dvd Calendar'!$E$1177:$AR$1177,"&gt;0",'Dvd Calendar'!$E$1177:$AR$1177,"&lt;="&amp;VAL_DATE,'Dvd Calendar'!$E$1178:$AR$1178,"&gt;"&amp;PROJ_FROM,'Dvd Calendar'!$E$1178:$AR$1178,"&lt;="&amp;DATE(YEAR_Y,12,31),'Dvd Calendar'!$E$1179:$AR$1179,"&gt;=0")&gt;0,"TBA amount - override me",IF((OV_SWITCH="ON")*(COUNTIFS(OVR_TICKERS,$C12,OVR_BASE,"&gt;=0")&gt;0)&gt;0,"overridden",IF($J12+$K12=0,"no dividend in year Y",""))))</f>
        <v/>
      </c>
      <c r="V12" s="65">
        <f>IF($B12="","",IFERROR(IF(ISNUMBER($H12),$B12*$G12*$H12/$B$3,0),""))</f>
        <v/>
      </c>
      <c r="W12" s="65">
        <f>IF($B12="","",IFERROR($B12*$G12*$K12/$B$3,""))</f>
        <v/>
      </c>
      <c r="X12" s="91">
        <f>IF($C12="","",BDP($C12,"PX_LAST"))</f>
        <v/>
      </c>
      <c r="Y12" s="65">
        <f>IF($B12="","",IFERROR($B12*$X12/$B$3,""))</f>
        <v/>
      </c>
      <c r="Z12" s="76">
        <f>IF($B12="","",IFERROR($Y12/$Y$5,""))</f>
        <v/>
      </c>
    </row>
    <row r="13">
      <c r="B13" s="89" t="n"/>
      <c r="C13" s="6">
        <f>IF($A13="","",$A13&amp;" Equity")</f>
        <v/>
      </c>
      <c r="D13" s="6">
        <f>IF($C13="","",BDP($C13,"NAME"))</f>
        <v/>
      </c>
      <c r="E13" s="6">
        <f>IF($C13="","",BDP($C13,"GICS_SECTOR_NAME"))</f>
        <v/>
      </c>
      <c r="F13" s="33">
        <f>IF($C13="","",BDP($C13,FLD_CCY))</f>
        <v/>
      </c>
      <c r="G13" s="90">
        <f>IFERROR(IF(LEN($F13)&lt;&gt;3,1,IF($F13="HKD",1,BDP(IF($F13="CNY",RMB_CROSS,$F13)&amp;"HKD Curncy","PX_LAST"))),1)</f>
        <v/>
      </c>
      <c r="H13" s="65">
        <f>IF($C13="","",BDP($C13,FLD_DPS12M))</f>
        <v/>
      </c>
      <c r="I13" s="47">
        <f>IF($C13="","",BDP($C13,FLD_YLD12M))</f>
        <v/>
      </c>
      <c r="J13" s="49">
        <f>IF($B13="",0,SUMPRODUCT(('Dvd Calendar'!$E$1182:$AR$1182&gt;=DATE(YEAR_Y,1,1))*('Dvd Calendar'!$E$1182:$AR$1182&lt;=REALIZED_TO)*'Dvd Calendar'!$E$1185:$AR$1185*(('Dvd Calendar'!$E$1187:$AR$1187=TYPE1)*(TYPE1&lt;&gt;"")+('Dvd Calendar'!$E$1187:$AR$1187=TYPE2)*(TYPE2&lt;&gt;"")+('Dvd Calendar'!$E$1187:$AR$1187=TYPE3)*(TYPE3&lt;&gt;"")+('Dvd Calendar'!$E$1187:$AR$1187=TYPE4)*(TYPE4&lt;&gt;"")+('Dvd Calendar'!$E$1187:$AR$1187=SPECIAL_LBL)*(INC_SPECIALS="Y"))))</f>
        <v/>
      </c>
      <c r="K13" s="49">
        <f>IF($B13="",0,SUMIFS('Dvd Calendar'!$E$1190:$AR$1190,'Dvd Calendar'!$E$1189:$AR$1189,"&gt;"&amp;PROJ_FROM,'Dvd Calendar'!$E$1189:$AR$1189,"&lt;="&amp;DATE(YEAR_Y,12,31)))</f>
        <v/>
      </c>
      <c r="L13" s="49">
        <f>IF($B13="",0,IF((OV_SWITCH="ON")*(COUNTIFS(OVR_TICKERS,$C13,OVR_BASE,"&gt;=0")&gt;0)&gt;0,SUMIFS(OVR_BASE,OVR_TICKERS,$C13),$K13))</f>
        <v/>
      </c>
      <c r="M13" s="49">
        <f>IF($B13="",0,IF((OV_SWITCH="ON")*(COUNTIFS(OVR_TICKERS,$C13,OVR_LOW,"&gt;=0")&gt;0)&gt;0,SUMIFS(OVR_LOW,OVR_TICKERS,$C13),$L13))</f>
        <v/>
      </c>
      <c r="N13" s="49">
        <f>IF($B13="",0,IF((OV_SWITCH="ON")*(COUNTIFS(OVR_TICKERS,$C13,OVR_HIGH,"&gt;=0")&gt;0)&gt;0,SUMIFS(OVR_HIGH,OVR_TICKERS,$C13),$L13))</f>
        <v/>
      </c>
      <c r="O13" s="65">
        <f>IF($B13="","",IFERROR($B13*$G13*$J13/$B$3,""))</f>
        <v/>
      </c>
      <c r="P13" s="65">
        <f>IF($B13="","",IFERROR($B13*$G13*$L13/$B$3,""))</f>
        <v/>
      </c>
      <c r="Q13" s="41">
        <f>IF($B13="","",IFERROR($O13+$P13,""))</f>
        <v/>
      </c>
      <c r="R13" s="65">
        <f>IF($B13="","",IFERROR($O13+$B13*$G13*$M13/$B$3,""))</f>
        <v/>
      </c>
      <c r="S13" s="65">
        <f>IF($B13="","",IFERROR($O13+$B13*$G13*$N13/$B$3,""))</f>
        <v/>
      </c>
      <c r="T13" s="80">
        <f>IF($B13="","",IFERROR($Q13/$Q$5,""))</f>
        <v/>
      </c>
      <c r="U13" s="2">
        <f>IF($B13="","",IF(COUNTIFS('Dvd Calendar'!$E$1188:$AR$1188,"&gt;0",'Dvd Calendar'!$E$1188:$AR$1188,"&lt;="&amp;VAL_DATE,'Dvd Calendar'!$E$1189:$AR$1189,"&gt;"&amp;PROJ_FROM,'Dvd Calendar'!$E$1189:$AR$1189,"&lt;="&amp;DATE(YEAR_Y,12,31))-COUNTIFS('Dvd Calendar'!$E$1188:$AR$1188,"&gt;0",'Dvd Calendar'!$E$1188:$AR$1188,"&lt;="&amp;VAL_DATE,'Dvd Calendar'!$E$1189:$AR$1189,"&gt;"&amp;PROJ_FROM,'Dvd Calendar'!$E$1189:$AR$1189,"&lt;="&amp;DATE(YEAR_Y,12,31),'Dvd Calendar'!$E$1190:$AR$1190,"&gt;=0")&gt;0,"TBA amount - override me",IF((OV_SWITCH="ON")*(COUNTIFS(OVR_TICKERS,$C13,OVR_BASE,"&gt;=0")&gt;0)&gt;0,"overridden",IF($J13+$K13=0,"no dividend in year Y",""))))</f>
        <v/>
      </c>
      <c r="V13" s="65">
        <f>IF($B13="","",IFERROR(IF(ISNUMBER($H13),$B13*$G13*$H13/$B$3,0),""))</f>
        <v/>
      </c>
      <c r="W13" s="65">
        <f>IF($B13="","",IFERROR($B13*$G13*$K13/$B$3,""))</f>
        <v/>
      </c>
      <c r="X13" s="91">
        <f>IF($C13="","",BDP($C13,"PX_LAST"))</f>
        <v/>
      </c>
      <c r="Y13" s="65">
        <f>IF($B13="","",IFERROR($B13*$X13/$B$3,""))</f>
        <v/>
      </c>
      <c r="Z13" s="76">
        <f>IF($B13="","",IFERROR($Y13/$Y$5,""))</f>
        <v/>
      </c>
    </row>
    <row r="14">
      <c r="B14" s="89" t="n"/>
      <c r="C14" s="6">
        <f>IF($A14="","",$A14&amp;" Equity")</f>
        <v/>
      </c>
      <c r="D14" s="6">
        <f>IF($C14="","",BDP($C14,"NAME"))</f>
        <v/>
      </c>
      <c r="E14" s="6">
        <f>IF($C14="","",BDP($C14,"GICS_SECTOR_NAME"))</f>
        <v/>
      </c>
      <c r="F14" s="33">
        <f>IF($C14="","",BDP($C14,FLD_CCY))</f>
        <v/>
      </c>
      <c r="G14" s="90">
        <f>IFERROR(IF(LEN($F14)&lt;&gt;3,1,IF($F14="HKD",1,BDP(IF($F14="CNY",RMB_CROSS,$F14)&amp;"HKD Curncy","PX_LAST"))),1)</f>
        <v/>
      </c>
      <c r="H14" s="65">
        <f>IF($C14="","",BDP($C14,FLD_DPS12M))</f>
        <v/>
      </c>
      <c r="I14" s="47">
        <f>IF($C14="","",BDP($C14,FLD_YLD12M))</f>
        <v/>
      </c>
      <c r="J14" s="49">
        <f>IF($B14="",0,SUMPRODUCT(('Dvd Calendar'!$E$1193:$AR$1193&gt;=DATE(YEAR_Y,1,1))*('Dvd Calendar'!$E$1193:$AR$1193&lt;=REALIZED_TO)*'Dvd Calendar'!$E$1196:$AR$1196*(('Dvd Calendar'!$E$1198:$AR$1198=TYPE1)*(TYPE1&lt;&gt;"")+('Dvd Calendar'!$E$1198:$AR$1198=TYPE2)*(TYPE2&lt;&gt;"")+('Dvd Calendar'!$E$1198:$AR$1198=TYPE3)*(TYPE3&lt;&gt;"")+('Dvd Calendar'!$E$1198:$AR$1198=TYPE4)*(TYPE4&lt;&gt;"")+('Dvd Calendar'!$E$1198:$AR$1198=SPECIAL_LBL)*(INC_SPECIALS="Y"))))</f>
        <v/>
      </c>
      <c r="K14" s="49">
        <f>IF($B14="",0,SUMIFS('Dvd Calendar'!$E$1201:$AR$1201,'Dvd Calendar'!$E$1200:$AR$1200,"&gt;"&amp;PROJ_FROM,'Dvd Calendar'!$E$1200:$AR$1200,"&lt;="&amp;DATE(YEAR_Y,12,31)))</f>
        <v/>
      </c>
      <c r="L14" s="49">
        <f>IF($B14="",0,IF((OV_SWITCH="ON")*(COUNTIFS(OVR_TICKERS,$C14,OVR_BASE,"&gt;=0")&gt;0)&gt;0,SUMIFS(OVR_BASE,OVR_TICKERS,$C14),$K14))</f>
        <v/>
      </c>
      <c r="M14" s="49">
        <f>IF($B14="",0,IF((OV_SWITCH="ON")*(COUNTIFS(OVR_TICKERS,$C14,OVR_LOW,"&gt;=0")&gt;0)&gt;0,SUMIFS(OVR_LOW,OVR_TICKERS,$C14),$L14))</f>
        <v/>
      </c>
      <c r="N14" s="49">
        <f>IF($B14="",0,IF((OV_SWITCH="ON")*(COUNTIFS(OVR_TICKERS,$C14,OVR_HIGH,"&gt;=0")&gt;0)&gt;0,SUMIFS(OVR_HIGH,OVR_TICKERS,$C14),$L14))</f>
        <v/>
      </c>
      <c r="O14" s="65">
        <f>IF($B14="","",IFERROR($B14*$G14*$J14/$B$3,""))</f>
        <v/>
      </c>
      <c r="P14" s="65">
        <f>IF($B14="","",IFERROR($B14*$G14*$L14/$B$3,""))</f>
        <v/>
      </c>
      <c r="Q14" s="41">
        <f>IF($B14="","",IFERROR($O14+$P14,""))</f>
        <v/>
      </c>
      <c r="R14" s="65">
        <f>IF($B14="","",IFERROR($O14+$B14*$G14*$M14/$B$3,""))</f>
        <v/>
      </c>
      <c r="S14" s="65">
        <f>IF($B14="","",IFERROR($O14+$B14*$G14*$N14/$B$3,""))</f>
        <v/>
      </c>
      <c r="T14" s="80">
        <f>IF($B14="","",IFERROR($Q14/$Q$5,""))</f>
        <v/>
      </c>
      <c r="U14" s="2">
        <f>IF($B14="","",IF(COUNTIFS('Dvd Calendar'!$E$1199:$AR$1199,"&gt;0",'Dvd Calendar'!$E$1199:$AR$1199,"&lt;="&amp;VAL_DATE,'Dvd Calendar'!$E$1200:$AR$1200,"&gt;"&amp;PROJ_FROM,'Dvd Calendar'!$E$1200:$AR$1200,"&lt;="&amp;DATE(YEAR_Y,12,31))-COUNTIFS('Dvd Calendar'!$E$1199:$AR$1199,"&gt;0",'Dvd Calendar'!$E$1199:$AR$1199,"&lt;="&amp;VAL_DATE,'Dvd Calendar'!$E$1200:$AR$1200,"&gt;"&amp;PROJ_FROM,'Dvd Calendar'!$E$1200:$AR$1200,"&lt;="&amp;DATE(YEAR_Y,12,31),'Dvd Calendar'!$E$1201:$AR$1201,"&gt;=0")&gt;0,"TBA amount - override me",IF((OV_SWITCH="ON")*(COUNTIFS(OVR_TICKERS,$C14,OVR_BASE,"&gt;=0")&gt;0)&gt;0,"overridden",IF($J14+$K14=0,"no dividend in year Y",""))))</f>
        <v/>
      </c>
      <c r="V14" s="65">
        <f>IF($B14="","",IFERROR(IF(ISNUMBER($H14),$B14*$G14*$H14/$B$3,0),""))</f>
        <v/>
      </c>
      <c r="W14" s="65">
        <f>IF($B14="","",IFERROR($B14*$G14*$K14/$B$3,""))</f>
        <v/>
      </c>
      <c r="X14" s="91">
        <f>IF($C14="","",BDP($C14,"PX_LAST"))</f>
        <v/>
      </c>
      <c r="Y14" s="65">
        <f>IF($B14="","",IFERROR($B14*$X14/$B$3,""))</f>
        <v/>
      </c>
      <c r="Z14" s="76">
        <f>IF($B14="","",IFERROR($Y14/$Y$5,""))</f>
        <v/>
      </c>
    </row>
    <row r="15">
      <c r="B15" s="89" t="n"/>
      <c r="C15" s="6">
        <f>IF($A15="","",$A15&amp;" Equity")</f>
        <v/>
      </c>
      <c r="D15" s="6">
        <f>IF($C15="","",BDP($C15,"NAME"))</f>
        <v/>
      </c>
      <c r="E15" s="6">
        <f>IF($C15="","",BDP($C15,"GICS_SECTOR_NAME"))</f>
        <v/>
      </c>
      <c r="F15" s="33">
        <f>IF($C15="","",BDP($C15,FLD_CCY))</f>
        <v/>
      </c>
      <c r="G15" s="90">
        <f>IFERROR(IF(LEN($F15)&lt;&gt;3,1,IF($F15="HKD",1,BDP(IF($F15="CNY",RMB_CROSS,$F15)&amp;"HKD Curncy","PX_LAST"))),1)</f>
        <v/>
      </c>
      <c r="H15" s="65">
        <f>IF($C15="","",BDP($C15,FLD_DPS12M))</f>
        <v/>
      </c>
      <c r="I15" s="47">
        <f>IF($C15="","",BDP($C15,FLD_YLD12M))</f>
        <v/>
      </c>
      <c r="J15" s="49">
        <f>IF($B15="",0,SUMPRODUCT(('Dvd Calendar'!$E$1204:$AR$1204&gt;=DATE(YEAR_Y,1,1))*('Dvd Calendar'!$E$1204:$AR$1204&lt;=REALIZED_TO)*'Dvd Calendar'!$E$1207:$AR$1207*(('Dvd Calendar'!$E$1209:$AR$1209=TYPE1)*(TYPE1&lt;&gt;"")+('Dvd Calendar'!$E$1209:$AR$1209=TYPE2)*(TYPE2&lt;&gt;"")+('Dvd Calendar'!$E$1209:$AR$1209=TYPE3)*(TYPE3&lt;&gt;"")+('Dvd Calendar'!$E$1209:$AR$1209=TYPE4)*(TYPE4&lt;&gt;"")+('Dvd Calendar'!$E$1209:$AR$1209=SPECIAL_LBL)*(INC_SPECIALS="Y"))))</f>
        <v/>
      </c>
      <c r="K15" s="49">
        <f>IF($B15="",0,SUMIFS('Dvd Calendar'!$E$1212:$AR$1212,'Dvd Calendar'!$E$1211:$AR$1211,"&gt;"&amp;PROJ_FROM,'Dvd Calendar'!$E$1211:$AR$1211,"&lt;="&amp;DATE(YEAR_Y,12,31)))</f>
        <v/>
      </c>
      <c r="L15" s="49">
        <f>IF($B15="",0,IF((OV_SWITCH="ON")*(COUNTIFS(OVR_TICKERS,$C15,OVR_BASE,"&gt;=0")&gt;0)&gt;0,SUMIFS(OVR_BASE,OVR_TICKERS,$C15),$K15))</f>
        <v/>
      </c>
      <c r="M15" s="49">
        <f>IF($B15="",0,IF((OV_SWITCH="ON")*(COUNTIFS(OVR_TICKERS,$C15,OVR_LOW,"&gt;=0")&gt;0)&gt;0,SUMIFS(OVR_LOW,OVR_TICKERS,$C15),$L15))</f>
        <v/>
      </c>
      <c r="N15" s="49">
        <f>IF($B15="",0,IF((OV_SWITCH="ON")*(COUNTIFS(OVR_TICKERS,$C15,OVR_HIGH,"&gt;=0")&gt;0)&gt;0,SUMIFS(OVR_HIGH,OVR_TICKERS,$C15),$L15))</f>
        <v/>
      </c>
      <c r="O15" s="65">
        <f>IF($B15="","",IFERROR($B15*$G15*$J15/$B$3,""))</f>
        <v/>
      </c>
      <c r="P15" s="65">
        <f>IF($B15="","",IFERROR($B15*$G15*$L15/$B$3,""))</f>
        <v/>
      </c>
      <c r="Q15" s="41">
        <f>IF($B15="","",IFERROR($O15+$P15,""))</f>
        <v/>
      </c>
      <c r="R15" s="65">
        <f>IF($B15="","",IFERROR($O15+$B15*$G15*$M15/$B$3,""))</f>
        <v/>
      </c>
      <c r="S15" s="65">
        <f>IF($B15="","",IFERROR($O15+$B15*$G15*$N15/$B$3,""))</f>
        <v/>
      </c>
      <c r="T15" s="80">
        <f>IF($B15="","",IFERROR($Q15/$Q$5,""))</f>
        <v/>
      </c>
      <c r="U15" s="2">
        <f>IF($B15="","",IF(COUNTIFS('Dvd Calendar'!$E$1210:$AR$1210,"&gt;0",'Dvd Calendar'!$E$1210:$AR$1210,"&lt;="&amp;VAL_DATE,'Dvd Calendar'!$E$1211:$AR$1211,"&gt;"&amp;PROJ_FROM,'Dvd Calendar'!$E$1211:$AR$1211,"&lt;="&amp;DATE(YEAR_Y,12,31))-COUNTIFS('Dvd Calendar'!$E$1210:$AR$1210,"&gt;0",'Dvd Calendar'!$E$1210:$AR$1210,"&lt;="&amp;VAL_DATE,'Dvd Calendar'!$E$1211:$AR$1211,"&gt;"&amp;PROJ_FROM,'Dvd Calendar'!$E$1211:$AR$1211,"&lt;="&amp;DATE(YEAR_Y,12,31),'Dvd Calendar'!$E$1212:$AR$1212,"&gt;=0")&gt;0,"TBA amount - override me",IF((OV_SWITCH="ON")*(COUNTIFS(OVR_TICKERS,$C15,OVR_BASE,"&gt;=0")&gt;0)&gt;0,"overridden",IF($J15+$K15=0,"no dividend in year Y",""))))</f>
        <v/>
      </c>
      <c r="V15" s="65">
        <f>IF($B15="","",IFERROR(IF(ISNUMBER($H15),$B15*$G15*$H15/$B$3,0),""))</f>
        <v/>
      </c>
      <c r="W15" s="65">
        <f>IF($B15="","",IFERROR($B15*$G15*$K15/$B$3,""))</f>
        <v/>
      </c>
      <c r="X15" s="91">
        <f>IF($C15="","",BDP($C15,"PX_LAST"))</f>
        <v/>
      </c>
      <c r="Y15" s="65">
        <f>IF($B15="","",IFERROR($B15*$X15/$B$3,""))</f>
        <v/>
      </c>
      <c r="Z15" s="76">
        <f>IF($B15="","",IFERROR($Y15/$Y$5,""))</f>
        <v/>
      </c>
    </row>
    <row r="16">
      <c r="B16" s="89" t="n"/>
      <c r="C16" s="6">
        <f>IF($A16="","",$A16&amp;" Equity")</f>
        <v/>
      </c>
      <c r="D16" s="6">
        <f>IF($C16="","",BDP($C16,"NAME"))</f>
        <v/>
      </c>
      <c r="E16" s="6">
        <f>IF($C16="","",BDP($C16,"GICS_SECTOR_NAME"))</f>
        <v/>
      </c>
      <c r="F16" s="33">
        <f>IF($C16="","",BDP($C16,FLD_CCY))</f>
        <v/>
      </c>
      <c r="G16" s="90">
        <f>IFERROR(IF(LEN($F16)&lt;&gt;3,1,IF($F16="HKD",1,BDP(IF($F16="CNY",RMB_CROSS,$F16)&amp;"HKD Curncy","PX_LAST"))),1)</f>
        <v/>
      </c>
      <c r="H16" s="65">
        <f>IF($C16="","",BDP($C16,FLD_DPS12M))</f>
        <v/>
      </c>
      <c r="I16" s="47">
        <f>IF($C16="","",BDP($C16,FLD_YLD12M))</f>
        <v/>
      </c>
      <c r="J16" s="49">
        <f>IF($B16="",0,SUMPRODUCT(('Dvd Calendar'!$E$1215:$AR$1215&gt;=DATE(YEAR_Y,1,1))*('Dvd Calendar'!$E$1215:$AR$1215&lt;=REALIZED_TO)*'Dvd Calendar'!$E$1218:$AR$1218*(('Dvd Calendar'!$E$1220:$AR$1220=TYPE1)*(TYPE1&lt;&gt;"")+('Dvd Calendar'!$E$1220:$AR$1220=TYPE2)*(TYPE2&lt;&gt;"")+('Dvd Calendar'!$E$1220:$AR$1220=TYPE3)*(TYPE3&lt;&gt;"")+('Dvd Calendar'!$E$1220:$AR$1220=TYPE4)*(TYPE4&lt;&gt;"")+('Dvd Calendar'!$E$1220:$AR$1220=SPECIAL_LBL)*(INC_SPECIALS="Y"))))</f>
        <v/>
      </c>
      <c r="K16" s="49">
        <f>IF($B16="",0,SUMIFS('Dvd Calendar'!$E$1223:$AR$1223,'Dvd Calendar'!$E$1222:$AR$1222,"&gt;"&amp;PROJ_FROM,'Dvd Calendar'!$E$1222:$AR$1222,"&lt;="&amp;DATE(YEAR_Y,12,31)))</f>
        <v/>
      </c>
      <c r="L16" s="49">
        <f>IF($B16="",0,IF((OV_SWITCH="ON")*(COUNTIFS(OVR_TICKERS,$C16,OVR_BASE,"&gt;=0")&gt;0)&gt;0,SUMIFS(OVR_BASE,OVR_TICKERS,$C16),$K16))</f>
        <v/>
      </c>
      <c r="M16" s="49">
        <f>IF($B16="",0,IF((OV_SWITCH="ON")*(COUNTIFS(OVR_TICKERS,$C16,OVR_LOW,"&gt;=0")&gt;0)&gt;0,SUMIFS(OVR_LOW,OVR_TICKERS,$C16),$L16))</f>
        <v/>
      </c>
      <c r="N16" s="49">
        <f>IF($B16="",0,IF((OV_SWITCH="ON")*(COUNTIFS(OVR_TICKERS,$C16,OVR_HIGH,"&gt;=0")&gt;0)&gt;0,SUMIFS(OVR_HIGH,OVR_TICKERS,$C16),$L16))</f>
        <v/>
      </c>
      <c r="O16" s="65">
        <f>IF($B16="","",IFERROR($B16*$G16*$J16/$B$3,""))</f>
        <v/>
      </c>
      <c r="P16" s="65">
        <f>IF($B16="","",IFERROR($B16*$G16*$L16/$B$3,""))</f>
        <v/>
      </c>
      <c r="Q16" s="41">
        <f>IF($B16="","",IFERROR($O16+$P16,""))</f>
        <v/>
      </c>
      <c r="R16" s="65">
        <f>IF($B16="","",IFERROR($O16+$B16*$G16*$M16/$B$3,""))</f>
        <v/>
      </c>
      <c r="S16" s="65">
        <f>IF($B16="","",IFERROR($O16+$B16*$G16*$N16/$B$3,""))</f>
        <v/>
      </c>
      <c r="T16" s="80">
        <f>IF($B16="","",IFERROR($Q16/$Q$5,""))</f>
        <v/>
      </c>
      <c r="U16" s="2">
        <f>IF($B16="","",IF(COUNTIFS('Dvd Calendar'!$E$1221:$AR$1221,"&gt;0",'Dvd Calendar'!$E$1221:$AR$1221,"&lt;="&amp;VAL_DATE,'Dvd Calendar'!$E$1222:$AR$1222,"&gt;"&amp;PROJ_FROM,'Dvd Calendar'!$E$1222:$AR$1222,"&lt;="&amp;DATE(YEAR_Y,12,31))-COUNTIFS('Dvd Calendar'!$E$1221:$AR$1221,"&gt;0",'Dvd Calendar'!$E$1221:$AR$1221,"&lt;="&amp;VAL_DATE,'Dvd Calendar'!$E$1222:$AR$1222,"&gt;"&amp;PROJ_FROM,'Dvd Calendar'!$E$1222:$AR$1222,"&lt;="&amp;DATE(YEAR_Y,12,31),'Dvd Calendar'!$E$1223:$AR$1223,"&gt;=0")&gt;0,"TBA amount - override me",IF((OV_SWITCH="ON")*(COUNTIFS(OVR_TICKERS,$C16,OVR_BASE,"&gt;=0")&gt;0)&gt;0,"overridden",IF($J16+$K16=0,"no dividend in year Y",""))))</f>
        <v/>
      </c>
      <c r="V16" s="65">
        <f>IF($B16="","",IFERROR(IF(ISNUMBER($H16),$B16*$G16*$H16/$B$3,0),""))</f>
        <v/>
      </c>
      <c r="W16" s="65">
        <f>IF($B16="","",IFERROR($B16*$G16*$K16/$B$3,""))</f>
        <v/>
      </c>
      <c r="X16" s="91">
        <f>IF($C16="","",BDP($C16,"PX_LAST"))</f>
        <v/>
      </c>
      <c r="Y16" s="65">
        <f>IF($B16="","",IFERROR($B16*$X16/$B$3,""))</f>
        <v/>
      </c>
      <c r="Z16" s="76">
        <f>IF($B16="","",IFERROR($Y16/$Y$5,""))</f>
        <v/>
      </c>
    </row>
    <row r="17">
      <c r="B17" s="89" t="n"/>
      <c r="C17" s="6">
        <f>IF($A17="","",$A17&amp;" Equity")</f>
        <v/>
      </c>
      <c r="D17" s="6">
        <f>IF($C17="","",BDP($C17,"NAME"))</f>
        <v/>
      </c>
      <c r="E17" s="6">
        <f>IF($C17="","",BDP($C17,"GICS_SECTOR_NAME"))</f>
        <v/>
      </c>
      <c r="F17" s="33">
        <f>IF($C17="","",BDP($C17,FLD_CCY))</f>
        <v/>
      </c>
      <c r="G17" s="90">
        <f>IFERROR(IF(LEN($F17)&lt;&gt;3,1,IF($F17="HKD",1,BDP(IF($F17="CNY",RMB_CROSS,$F17)&amp;"HKD Curncy","PX_LAST"))),1)</f>
        <v/>
      </c>
      <c r="H17" s="65">
        <f>IF($C17="","",BDP($C17,FLD_DPS12M))</f>
        <v/>
      </c>
      <c r="I17" s="47">
        <f>IF($C17="","",BDP($C17,FLD_YLD12M))</f>
        <v/>
      </c>
      <c r="J17" s="49">
        <f>IF($B17="",0,SUMPRODUCT(('Dvd Calendar'!$E$1226:$AR$1226&gt;=DATE(YEAR_Y,1,1))*('Dvd Calendar'!$E$1226:$AR$1226&lt;=REALIZED_TO)*'Dvd Calendar'!$E$1229:$AR$1229*(('Dvd Calendar'!$E$1231:$AR$1231=TYPE1)*(TYPE1&lt;&gt;"")+('Dvd Calendar'!$E$1231:$AR$1231=TYPE2)*(TYPE2&lt;&gt;"")+('Dvd Calendar'!$E$1231:$AR$1231=TYPE3)*(TYPE3&lt;&gt;"")+('Dvd Calendar'!$E$1231:$AR$1231=TYPE4)*(TYPE4&lt;&gt;"")+('Dvd Calendar'!$E$1231:$AR$1231=SPECIAL_LBL)*(INC_SPECIALS="Y"))))</f>
        <v/>
      </c>
      <c r="K17" s="49">
        <f>IF($B17="",0,SUMIFS('Dvd Calendar'!$E$1234:$AR$1234,'Dvd Calendar'!$E$1233:$AR$1233,"&gt;"&amp;PROJ_FROM,'Dvd Calendar'!$E$1233:$AR$1233,"&lt;="&amp;DATE(YEAR_Y,12,31)))</f>
        <v/>
      </c>
      <c r="L17" s="49">
        <f>IF($B17="",0,IF((OV_SWITCH="ON")*(COUNTIFS(OVR_TICKERS,$C17,OVR_BASE,"&gt;=0")&gt;0)&gt;0,SUMIFS(OVR_BASE,OVR_TICKERS,$C17),$K17))</f>
        <v/>
      </c>
      <c r="M17" s="49">
        <f>IF($B17="",0,IF((OV_SWITCH="ON")*(COUNTIFS(OVR_TICKERS,$C17,OVR_LOW,"&gt;=0")&gt;0)&gt;0,SUMIFS(OVR_LOW,OVR_TICKERS,$C17),$L17))</f>
        <v/>
      </c>
      <c r="N17" s="49">
        <f>IF($B17="",0,IF((OV_SWITCH="ON")*(COUNTIFS(OVR_TICKERS,$C17,OVR_HIGH,"&gt;=0")&gt;0)&gt;0,SUMIFS(OVR_HIGH,OVR_TICKERS,$C17),$L17))</f>
        <v/>
      </c>
      <c r="O17" s="65">
        <f>IF($B17="","",IFERROR($B17*$G17*$J17/$B$3,""))</f>
        <v/>
      </c>
      <c r="P17" s="65">
        <f>IF($B17="","",IFERROR($B17*$G17*$L17/$B$3,""))</f>
        <v/>
      </c>
      <c r="Q17" s="41">
        <f>IF($B17="","",IFERROR($O17+$P17,""))</f>
        <v/>
      </c>
      <c r="R17" s="65">
        <f>IF($B17="","",IFERROR($O17+$B17*$G17*$M17/$B$3,""))</f>
        <v/>
      </c>
      <c r="S17" s="65">
        <f>IF($B17="","",IFERROR($O17+$B17*$G17*$N17/$B$3,""))</f>
        <v/>
      </c>
      <c r="T17" s="80">
        <f>IF($B17="","",IFERROR($Q17/$Q$5,""))</f>
        <v/>
      </c>
      <c r="U17" s="2">
        <f>IF($B17="","",IF(COUNTIFS('Dvd Calendar'!$E$1232:$AR$1232,"&gt;0",'Dvd Calendar'!$E$1232:$AR$1232,"&lt;="&amp;VAL_DATE,'Dvd Calendar'!$E$1233:$AR$1233,"&gt;"&amp;PROJ_FROM,'Dvd Calendar'!$E$1233:$AR$1233,"&lt;="&amp;DATE(YEAR_Y,12,31))-COUNTIFS('Dvd Calendar'!$E$1232:$AR$1232,"&gt;0",'Dvd Calendar'!$E$1232:$AR$1232,"&lt;="&amp;VAL_DATE,'Dvd Calendar'!$E$1233:$AR$1233,"&gt;"&amp;PROJ_FROM,'Dvd Calendar'!$E$1233:$AR$1233,"&lt;="&amp;DATE(YEAR_Y,12,31),'Dvd Calendar'!$E$1234:$AR$1234,"&gt;=0")&gt;0,"TBA amount - override me",IF((OV_SWITCH="ON")*(COUNTIFS(OVR_TICKERS,$C17,OVR_BASE,"&gt;=0")&gt;0)&gt;0,"overridden",IF($J17+$K17=0,"no dividend in year Y",""))))</f>
        <v/>
      </c>
      <c r="V17" s="65">
        <f>IF($B17="","",IFERROR(IF(ISNUMBER($H17),$B17*$G17*$H17/$B$3,0),""))</f>
        <v/>
      </c>
      <c r="W17" s="65">
        <f>IF($B17="","",IFERROR($B17*$G17*$K17/$B$3,""))</f>
        <v/>
      </c>
      <c r="X17" s="91">
        <f>IF($C17="","",BDP($C17,"PX_LAST"))</f>
        <v/>
      </c>
      <c r="Y17" s="65">
        <f>IF($B17="","",IFERROR($B17*$X17/$B$3,""))</f>
        <v/>
      </c>
      <c r="Z17" s="76">
        <f>IF($B17="","",IFERROR($Y17/$Y$5,""))</f>
        <v/>
      </c>
    </row>
    <row r="18">
      <c r="B18" s="89" t="n"/>
      <c r="C18" s="6">
        <f>IF($A18="","",$A18&amp;" Equity")</f>
        <v/>
      </c>
      <c r="D18" s="6">
        <f>IF($C18="","",BDP($C18,"NAME"))</f>
        <v/>
      </c>
      <c r="E18" s="6">
        <f>IF($C18="","",BDP($C18,"GICS_SECTOR_NAME"))</f>
        <v/>
      </c>
      <c r="F18" s="33">
        <f>IF($C18="","",BDP($C18,FLD_CCY))</f>
        <v/>
      </c>
      <c r="G18" s="90">
        <f>IFERROR(IF(LEN($F18)&lt;&gt;3,1,IF($F18="HKD",1,BDP(IF($F18="CNY",RMB_CROSS,$F18)&amp;"HKD Curncy","PX_LAST"))),1)</f>
        <v/>
      </c>
      <c r="H18" s="65">
        <f>IF($C18="","",BDP($C18,FLD_DPS12M))</f>
        <v/>
      </c>
      <c r="I18" s="47">
        <f>IF($C18="","",BDP($C18,FLD_YLD12M))</f>
        <v/>
      </c>
      <c r="J18" s="49">
        <f>IF($B18="",0,SUMPRODUCT(('Dvd Calendar'!$E$1237:$AR$1237&gt;=DATE(YEAR_Y,1,1))*('Dvd Calendar'!$E$1237:$AR$1237&lt;=REALIZED_TO)*'Dvd Calendar'!$E$1240:$AR$1240*(('Dvd Calendar'!$E$1242:$AR$1242=TYPE1)*(TYPE1&lt;&gt;"")+('Dvd Calendar'!$E$1242:$AR$1242=TYPE2)*(TYPE2&lt;&gt;"")+('Dvd Calendar'!$E$1242:$AR$1242=TYPE3)*(TYPE3&lt;&gt;"")+('Dvd Calendar'!$E$1242:$AR$1242=TYPE4)*(TYPE4&lt;&gt;"")+('Dvd Calendar'!$E$1242:$AR$1242=SPECIAL_LBL)*(INC_SPECIALS="Y"))))</f>
        <v/>
      </c>
      <c r="K18" s="49">
        <f>IF($B18="",0,SUMIFS('Dvd Calendar'!$E$1245:$AR$1245,'Dvd Calendar'!$E$1244:$AR$1244,"&gt;"&amp;PROJ_FROM,'Dvd Calendar'!$E$1244:$AR$1244,"&lt;="&amp;DATE(YEAR_Y,12,31)))</f>
        <v/>
      </c>
      <c r="L18" s="49">
        <f>IF($B18="",0,IF((OV_SWITCH="ON")*(COUNTIFS(OVR_TICKERS,$C18,OVR_BASE,"&gt;=0")&gt;0)&gt;0,SUMIFS(OVR_BASE,OVR_TICKERS,$C18),$K18))</f>
        <v/>
      </c>
      <c r="M18" s="49">
        <f>IF($B18="",0,IF((OV_SWITCH="ON")*(COUNTIFS(OVR_TICKERS,$C18,OVR_LOW,"&gt;=0")&gt;0)&gt;0,SUMIFS(OVR_LOW,OVR_TICKERS,$C18),$L18))</f>
        <v/>
      </c>
      <c r="N18" s="49">
        <f>IF($B18="",0,IF((OV_SWITCH="ON")*(COUNTIFS(OVR_TICKERS,$C18,OVR_HIGH,"&gt;=0")&gt;0)&gt;0,SUMIFS(OVR_HIGH,OVR_TICKERS,$C18),$L18))</f>
        <v/>
      </c>
      <c r="O18" s="65">
        <f>IF($B18="","",IFERROR($B18*$G18*$J18/$B$3,""))</f>
        <v/>
      </c>
      <c r="P18" s="65">
        <f>IF($B18="","",IFERROR($B18*$G18*$L18/$B$3,""))</f>
        <v/>
      </c>
      <c r="Q18" s="41">
        <f>IF($B18="","",IFERROR($O18+$P18,""))</f>
        <v/>
      </c>
      <c r="R18" s="65">
        <f>IF($B18="","",IFERROR($O18+$B18*$G18*$M18/$B$3,""))</f>
        <v/>
      </c>
      <c r="S18" s="65">
        <f>IF($B18="","",IFERROR($O18+$B18*$G18*$N18/$B$3,""))</f>
        <v/>
      </c>
      <c r="T18" s="80">
        <f>IF($B18="","",IFERROR($Q18/$Q$5,""))</f>
        <v/>
      </c>
      <c r="U18" s="2">
        <f>IF($B18="","",IF(COUNTIFS('Dvd Calendar'!$E$1243:$AR$1243,"&gt;0",'Dvd Calendar'!$E$1243:$AR$1243,"&lt;="&amp;VAL_DATE,'Dvd Calendar'!$E$1244:$AR$1244,"&gt;"&amp;PROJ_FROM,'Dvd Calendar'!$E$1244:$AR$1244,"&lt;="&amp;DATE(YEAR_Y,12,31))-COUNTIFS('Dvd Calendar'!$E$1243:$AR$1243,"&gt;0",'Dvd Calendar'!$E$1243:$AR$1243,"&lt;="&amp;VAL_DATE,'Dvd Calendar'!$E$1244:$AR$1244,"&gt;"&amp;PROJ_FROM,'Dvd Calendar'!$E$1244:$AR$1244,"&lt;="&amp;DATE(YEAR_Y,12,31),'Dvd Calendar'!$E$1245:$AR$1245,"&gt;=0")&gt;0,"TBA amount - override me",IF((OV_SWITCH="ON")*(COUNTIFS(OVR_TICKERS,$C18,OVR_BASE,"&gt;=0")&gt;0)&gt;0,"overridden",IF($J18+$K18=0,"no dividend in year Y",""))))</f>
        <v/>
      </c>
      <c r="V18" s="65">
        <f>IF($B18="","",IFERROR(IF(ISNUMBER($H18),$B18*$G18*$H18/$B$3,0),""))</f>
        <v/>
      </c>
      <c r="W18" s="65">
        <f>IF($B18="","",IFERROR($B18*$G18*$K18/$B$3,""))</f>
        <v/>
      </c>
      <c r="X18" s="91">
        <f>IF($C18="","",BDP($C18,"PX_LAST"))</f>
        <v/>
      </c>
      <c r="Y18" s="65">
        <f>IF($B18="","",IFERROR($B18*$X18/$B$3,""))</f>
        <v/>
      </c>
      <c r="Z18" s="76">
        <f>IF($B18="","",IFERROR($Y18/$Y$5,""))</f>
        <v/>
      </c>
    </row>
    <row r="19">
      <c r="B19" s="89" t="n"/>
      <c r="C19" s="6">
        <f>IF($A19="","",$A19&amp;" Equity")</f>
        <v/>
      </c>
      <c r="D19" s="6">
        <f>IF($C19="","",BDP($C19,"NAME"))</f>
        <v/>
      </c>
      <c r="E19" s="6">
        <f>IF($C19="","",BDP($C19,"GICS_SECTOR_NAME"))</f>
        <v/>
      </c>
      <c r="F19" s="33">
        <f>IF($C19="","",BDP($C19,FLD_CCY))</f>
        <v/>
      </c>
      <c r="G19" s="90">
        <f>IFERROR(IF(LEN($F19)&lt;&gt;3,1,IF($F19="HKD",1,BDP(IF($F19="CNY",RMB_CROSS,$F19)&amp;"HKD Curncy","PX_LAST"))),1)</f>
        <v/>
      </c>
      <c r="H19" s="65">
        <f>IF($C19="","",BDP($C19,FLD_DPS12M))</f>
        <v/>
      </c>
      <c r="I19" s="47">
        <f>IF($C19="","",BDP($C19,FLD_YLD12M))</f>
        <v/>
      </c>
      <c r="J19" s="49">
        <f>IF($B19="",0,SUMPRODUCT(('Dvd Calendar'!$E$1248:$AR$1248&gt;=DATE(YEAR_Y,1,1))*('Dvd Calendar'!$E$1248:$AR$1248&lt;=REALIZED_TO)*'Dvd Calendar'!$E$1251:$AR$1251*(('Dvd Calendar'!$E$1253:$AR$1253=TYPE1)*(TYPE1&lt;&gt;"")+('Dvd Calendar'!$E$1253:$AR$1253=TYPE2)*(TYPE2&lt;&gt;"")+('Dvd Calendar'!$E$1253:$AR$1253=TYPE3)*(TYPE3&lt;&gt;"")+('Dvd Calendar'!$E$1253:$AR$1253=TYPE4)*(TYPE4&lt;&gt;"")+('Dvd Calendar'!$E$1253:$AR$1253=SPECIAL_LBL)*(INC_SPECIALS="Y"))))</f>
        <v/>
      </c>
      <c r="K19" s="49">
        <f>IF($B19="",0,SUMIFS('Dvd Calendar'!$E$1256:$AR$1256,'Dvd Calendar'!$E$1255:$AR$1255,"&gt;"&amp;PROJ_FROM,'Dvd Calendar'!$E$1255:$AR$1255,"&lt;="&amp;DATE(YEAR_Y,12,31)))</f>
        <v/>
      </c>
      <c r="L19" s="49">
        <f>IF($B19="",0,IF((OV_SWITCH="ON")*(COUNTIFS(OVR_TICKERS,$C19,OVR_BASE,"&gt;=0")&gt;0)&gt;0,SUMIFS(OVR_BASE,OVR_TICKERS,$C19),$K19))</f>
        <v/>
      </c>
      <c r="M19" s="49">
        <f>IF($B19="",0,IF((OV_SWITCH="ON")*(COUNTIFS(OVR_TICKERS,$C19,OVR_LOW,"&gt;=0")&gt;0)&gt;0,SUMIFS(OVR_LOW,OVR_TICKERS,$C19),$L19))</f>
        <v/>
      </c>
      <c r="N19" s="49">
        <f>IF($B19="",0,IF((OV_SWITCH="ON")*(COUNTIFS(OVR_TICKERS,$C19,OVR_HIGH,"&gt;=0")&gt;0)&gt;0,SUMIFS(OVR_HIGH,OVR_TICKERS,$C19),$L19))</f>
        <v/>
      </c>
      <c r="O19" s="65">
        <f>IF($B19="","",IFERROR($B19*$G19*$J19/$B$3,""))</f>
        <v/>
      </c>
      <c r="P19" s="65">
        <f>IF($B19="","",IFERROR($B19*$G19*$L19/$B$3,""))</f>
        <v/>
      </c>
      <c r="Q19" s="41">
        <f>IF($B19="","",IFERROR($O19+$P19,""))</f>
        <v/>
      </c>
      <c r="R19" s="65">
        <f>IF($B19="","",IFERROR($O19+$B19*$G19*$M19/$B$3,""))</f>
        <v/>
      </c>
      <c r="S19" s="65">
        <f>IF($B19="","",IFERROR($O19+$B19*$G19*$N19/$B$3,""))</f>
        <v/>
      </c>
      <c r="T19" s="80">
        <f>IF($B19="","",IFERROR($Q19/$Q$5,""))</f>
        <v/>
      </c>
      <c r="U19" s="2">
        <f>IF($B19="","",IF(COUNTIFS('Dvd Calendar'!$E$1254:$AR$1254,"&gt;0",'Dvd Calendar'!$E$1254:$AR$1254,"&lt;="&amp;VAL_DATE,'Dvd Calendar'!$E$1255:$AR$1255,"&gt;"&amp;PROJ_FROM,'Dvd Calendar'!$E$1255:$AR$1255,"&lt;="&amp;DATE(YEAR_Y,12,31))-COUNTIFS('Dvd Calendar'!$E$1254:$AR$1254,"&gt;0",'Dvd Calendar'!$E$1254:$AR$1254,"&lt;="&amp;VAL_DATE,'Dvd Calendar'!$E$1255:$AR$1255,"&gt;"&amp;PROJ_FROM,'Dvd Calendar'!$E$1255:$AR$1255,"&lt;="&amp;DATE(YEAR_Y,12,31),'Dvd Calendar'!$E$1256:$AR$1256,"&gt;=0")&gt;0,"TBA amount - override me",IF((OV_SWITCH="ON")*(COUNTIFS(OVR_TICKERS,$C19,OVR_BASE,"&gt;=0")&gt;0)&gt;0,"overridden",IF($J19+$K19=0,"no dividend in year Y",""))))</f>
        <v/>
      </c>
      <c r="V19" s="65">
        <f>IF($B19="","",IFERROR(IF(ISNUMBER($H19),$B19*$G19*$H19/$B$3,0),""))</f>
        <v/>
      </c>
      <c r="W19" s="65">
        <f>IF($B19="","",IFERROR($B19*$G19*$K19/$B$3,""))</f>
        <v/>
      </c>
      <c r="X19" s="91">
        <f>IF($C19="","",BDP($C19,"PX_LAST"))</f>
        <v/>
      </c>
      <c r="Y19" s="65">
        <f>IF($B19="","",IFERROR($B19*$X19/$B$3,""))</f>
        <v/>
      </c>
      <c r="Z19" s="76">
        <f>IF($B19="","",IFERROR($Y19/$Y$5,""))</f>
        <v/>
      </c>
    </row>
    <row r="20">
      <c r="B20" s="89" t="n"/>
      <c r="C20" s="6">
        <f>IF($A20="","",$A20&amp;" Equity")</f>
        <v/>
      </c>
      <c r="D20" s="6">
        <f>IF($C20="","",BDP($C20,"NAME"))</f>
        <v/>
      </c>
      <c r="E20" s="6">
        <f>IF($C20="","",BDP($C20,"GICS_SECTOR_NAME"))</f>
        <v/>
      </c>
      <c r="F20" s="33">
        <f>IF($C20="","",BDP($C20,FLD_CCY))</f>
        <v/>
      </c>
      <c r="G20" s="90">
        <f>IFERROR(IF(LEN($F20)&lt;&gt;3,1,IF($F20="HKD",1,BDP(IF($F20="CNY",RMB_CROSS,$F20)&amp;"HKD Curncy","PX_LAST"))),1)</f>
        <v/>
      </c>
      <c r="H20" s="65">
        <f>IF($C20="","",BDP($C20,FLD_DPS12M))</f>
        <v/>
      </c>
      <c r="I20" s="47">
        <f>IF($C20="","",BDP($C20,FLD_YLD12M))</f>
        <v/>
      </c>
      <c r="J20" s="49">
        <f>IF($B20="",0,SUMPRODUCT(('Dvd Calendar'!$E$1259:$AR$1259&gt;=DATE(YEAR_Y,1,1))*('Dvd Calendar'!$E$1259:$AR$1259&lt;=REALIZED_TO)*'Dvd Calendar'!$E$1262:$AR$1262*(('Dvd Calendar'!$E$1264:$AR$1264=TYPE1)*(TYPE1&lt;&gt;"")+('Dvd Calendar'!$E$1264:$AR$1264=TYPE2)*(TYPE2&lt;&gt;"")+('Dvd Calendar'!$E$1264:$AR$1264=TYPE3)*(TYPE3&lt;&gt;"")+('Dvd Calendar'!$E$1264:$AR$1264=TYPE4)*(TYPE4&lt;&gt;"")+('Dvd Calendar'!$E$1264:$AR$1264=SPECIAL_LBL)*(INC_SPECIALS="Y"))))</f>
        <v/>
      </c>
      <c r="K20" s="49">
        <f>IF($B20="",0,SUMIFS('Dvd Calendar'!$E$1267:$AR$1267,'Dvd Calendar'!$E$1266:$AR$1266,"&gt;"&amp;PROJ_FROM,'Dvd Calendar'!$E$1266:$AR$1266,"&lt;="&amp;DATE(YEAR_Y,12,31)))</f>
        <v/>
      </c>
      <c r="L20" s="49">
        <f>IF($B20="",0,IF((OV_SWITCH="ON")*(COUNTIFS(OVR_TICKERS,$C20,OVR_BASE,"&gt;=0")&gt;0)&gt;0,SUMIFS(OVR_BASE,OVR_TICKERS,$C20),$K20))</f>
        <v/>
      </c>
      <c r="M20" s="49">
        <f>IF($B20="",0,IF((OV_SWITCH="ON")*(COUNTIFS(OVR_TICKERS,$C20,OVR_LOW,"&gt;=0")&gt;0)&gt;0,SUMIFS(OVR_LOW,OVR_TICKERS,$C20),$L20))</f>
        <v/>
      </c>
      <c r="N20" s="49">
        <f>IF($B20="",0,IF((OV_SWITCH="ON")*(COUNTIFS(OVR_TICKERS,$C20,OVR_HIGH,"&gt;=0")&gt;0)&gt;0,SUMIFS(OVR_HIGH,OVR_TICKERS,$C20),$L20))</f>
        <v/>
      </c>
      <c r="O20" s="65">
        <f>IF($B20="","",IFERROR($B20*$G20*$J20/$B$3,""))</f>
        <v/>
      </c>
      <c r="P20" s="65">
        <f>IF($B20="","",IFERROR($B20*$G20*$L20/$B$3,""))</f>
        <v/>
      </c>
      <c r="Q20" s="41">
        <f>IF($B20="","",IFERROR($O20+$P20,""))</f>
        <v/>
      </c>
      <c r="R20" s="65">
        <f>IF($B20="","",IFERROR($O20+$B20*$G20*$M20/$B$3,""))</f>
        <v/>
      </c>
      <c r="S20" s="65">
        <f>IF($B20="","",IFERROR($O20+$B20*$G20*$N20/$B$3,""))</f>
        <v/>
      </c>
      <c r="T20" s="80">
        <f>IF($B20="","",IFERROR($Q20/$Q$5,""))</f>
        <v/>
      </c>
      <c r="U20" s="2">
        <f>IF($B20="","",IF(COUNTIFS('Dvd Calendar'!$E$1265:$AR$1265,"&gt;0",'Dvd Calendar'!$E$1265:$AR$1265,"&lt;="&amp;VAL_DATE,'Dvd Calendar'!$E$1266:$AR$1266,"&gt;"&amp;PROJ_FROM,'Dvd Calendar'!$E$1266:$AR$1266,"&lt;="&amp;DATE(YEAR_Y,12,31))-COUNTIFS('Dvd Calendar'!$E$1265:$AR$1265,"&gt;0",'Dvd Calendar'!$E$1265:$AR$1265,"&lt;="&amp;VAL_DATE,'Dvd Calendar'!$E$1266:$AR$1266,"&gt;"&amp;PROJ_FROM,'Dvd Calendar'!$E$1266:$AR$1266,"&lt;="&amp;DATE(YEAR_Y,12,31),'Dvd Calendar'!$E$1267:$AR$1267,"&gt;=0")&gt;0,"TBA amount - override me",IF((OV_SWITCH="ON")*(COUNTIFS(OVR_TICKERS,$C20,OVR_BASE,"&gt;=0")&gt;0)&gt;0,"overridden",IF($J20+$K20=0,"no dividend in year Y",""))))</f>
        <v/>
      </c>
      <c r="V20" s="65">
        <f>IF($B20="","",IFERROR(IF(ISNUMBER($H20),$B20*$G20*$H20/$B$3,0),""))</f>
        <v/>
      </c>
      <c r="W20" s="65">
        <f>IF($B20="","",IFERROR($B20*$G20*$K20/$B$3,""))</f>
        <v/>
      </c>
      <c r="X20" s="91">
        <f>IF($C20="","",BDP($C20,"PX_LAST"))</f>
        <v/>
      </c>
      <c r="Y20" s="65">
        <f>IF($B20="","",IFERROR($B20*$X20/$B$3,""))</f>
        <v/>
      </c>
      <c r="Z20" s="76">
        <f>IF($B20="","",IFERROR($Y20/$Y$5,""))</f>
        <v/>
      </c>
    </row>
    <row r="21">
      <c r="B21" s="89" t="n"/>
      <c r="C21" s="6">
        <f>IF($A21="","",$A21&amp;" Equity")</f>
        <v/>
      </c>
      <c r="D21" s="6">
        <f>IF($C21="","",BDP($C21,"NAME"))</f>
        <v/>
      </c>
      <c r="E21" s="6">
        <f>IF($C21="","",BDP($C21,"GICS_SECTOR_NAME"))</f>
        <v/>
      </c>
      <c r="F21" s="33">
        <f>IF($C21="","",BDP($C21,FLD_CCY))</f>
        <v/>
      </c>
      <c r="G21" s="90">
        <f>IFERROR(IF(LEN($F21)&lt;&gt;3,1,IF($F21="HKD",1,BDP(IF($F21="CNY",RMB_CROSS,$F21)&amp;"HKD Curncy","PX_LAST"))),1)</f>
        <v/>
      </c>
      <c r="H21" s="65">
        <f>IF($C21="","",BDP($C21,FLD_DPS12M))</f>
        <v/>
      </c>
      <c r="I21" s="47">
        <f>IF($C21="","",BDP($C21,FLD_YLD12M))</f>
        <v/>
      </c>
      <c r="J21" s="49">
        <f>IF($B21="",0,SUMPRODUCT(('Dvd Calendar'!$E$1270:$AR$1270&gt;=DATE(YEAR_Y,1,1))*('Dvd Calendar'!$E$1270:$AR$1270&lt;=REALIZED_TO)*'Dvd Calendar'!$E$1273:$AR$1273*(('Dvd Calendar'!$E$1275:$AR$1275=TYPE1)*(TYPE1&lt;&gt;"")+('Dvd Calendar'!$E$1275:$AR$1275=TYPE2)*(TYPE2&lt;&gt;"")+('Dvd Calendar'!$E$1275:$AR$1275=TYPE3)*(TYPE3&lt;&gt;"")+('Dvd Calendar'!$E$1275:$AR$1275=TYPE4)*(TYPE4&lt;&gt;"")+('Dvd Calendar'!$E$1275:$AR$1275=SPECIAL_LBL)*(INC_SPECIALS="Y"))))</f>
        <v/>
      </c>
      <c r="K21" s="49">
        <f>IF($B21="",0,SUMIFS('Dvd Calendar'!$E$1278:$AR$1278,'Dvd Calendar'!$E$1277:$AR$1277,"&gt;"&amp;PROJ_FROM,'Dvd Calendar'!$E$1277:$AR$1277,"&lt;="&amp;DATE(YEAR_Y,12,31)))</f>
        <v/>
      </c>
      <c r="L21" s="49">
        <f>IF($B21="",0,IF((OV_SWITCH="ON")*(COUNTIFS(OVR_TICKERS,$C21,OVR_BASE,"&gt;=0")&gt;0)&gt;0,SUMIFS(OVR_BASE,OVR_TICKERS,$C21),$K21))</f>
        <v/>
      </c>
      <c r="M21" s="49">
        <f>IF($B21="",0,IF((OV_SWITCH="ON")*(COUNTIFS(OVR_TICKERS,$C21,OVR_LOW,"&gt;=0")&gt;0)&gt;0,SUMIFS(OVR_LOW,OVR_TICKERS,$C21),$L21))</f>
        <v/>
      </c>
      <c r="N21" s="49">
        <f>IF($B21="",0,IF((OV_SWITCH="ON")*(COUNTIFS(OVR_TICKERS,$C21,OVR_HIGH,"&gt;=0")&gt;0)&gt;0,SUMIFS(OVR_HIGH,OVR_TICKERS,$C21),$L21))</f>
        <v/>
      </c>
      <c r="O21" s="65">
        <f>IF($B21="","",IFERROR($B21*$G21*$J21/$B$3,""))</f>
        <v/>
      </c>
      <c r="P21" s="65">
        <f>IF($B21="","",IFERROR($B21*$G21*$L21/$B$3,""))</f>
        <v/>
      </c>
      <c r="Q21" s="41">
        <f>IF($B21="","",IFERROR($O21+$P21,""))</f>
        <v/>
      </c>
      <c r="R21" s="65">
        <f>IF($B21="","",IFERROR($O21+$B21*$G21*$M21/$B$3,""))</f>
        <v/>
      </c>
      <c r="S21" s="65">
        <f>IF($B21="","",IFERROR($O21+$B21*$G21*$N21/$B$3,""))</f>
        <v/>
      </c>
      <c r="T21" s="80">
        <f>IF($B21="","",IFERROR($Q21/$Q$5,""))</f>
        <v/>
      </c>
      <c r="U21" s="2">
        <f>IF($B21="","",IF(COUNTIFS('Dvd Calendar'!$E$1276:$AR$1276,"&gt;0",'Dvd Calendar'!$E$1276:$AR$1276,"&lt;="&amp;VAL_DATE,'Dvd Calendar'!$E$1277:$AR$1277,"&gt;"&amp;PROJ_FROM,'Dvd Calendar'!$E$1277:$AR$1277,"&lt;="&amp;DATE(YEAR_Y,12,31))-COUNTIFS('Dvd Calendar'!$E$1276:$AR$1276,"&gt;0",'Dvd Calendar'!$E$1276:$AR$1276,"&lt;="&amp;VAL_DATE,'Dvd Calendar'!$E$1277:$AR$1277,"&gt;"&amp;PROJ_FROM,'Dvd Calendar'!$E$1277:$AR$1277,"&lt;="&amp;DATE(YEAR_Y,12,31),'Dvd Calendar'!$E$1278:$AR$1278,"&gt;=0")&gt;0,"TBA amount - override me",IF((OV_SWITCH="ON")*(COUNTIFS(OVR_TICKERS,$C21,OVR_BASE,"&gt;=0")&gt;0)&gt;0,"overridden",IF($J21+$K21=0,"no dividend in year Y",""))))</f>
        <v/>
      </c>
      <c r="V21" s="65">
        <f>IF($B21="","",IFERROR(IF(ISNUMBER($H21),$B21*$G21*$H21/$B$3,0),""))</f>
        <v/>
      </c>
      <c r="W21" s="65">
        <f>IF($B21="","",IFERROR($B21*$G21*$K21/$B$3,""))</f>
        <v/>
      </c>
      <c r="X21" s="91">
        <f>IF($C21="","",BDP($C21,"PX_LAST"))</f>
        <v/>
      </c>
      <c r="Y21" s="65">
        <f>IF($B21="","",IFERROR($B21*$X21/$B$3,""))</f>
        <v/>
      </c>
      <c r="Z21" s="76">
        <f>IF($B21="","",IFERROR($Y21/$Y$5,""))</f>
        <v/>
      </c>
    </row>
    <row r="22">
      <c r="B22" s="89" t="n"/>
      <c r="C22" s="6">
        <f>IF($A22="","",$A22&amp;" Equity")</f>
        <v/>
      </c>
      <c r="D22" s="6">
        <f>IF($C22="","",BDP($C22,"NAME"))</f>
        <v/>
      </c>
      <c r="E22" s="6">
        <f>IF($C22="","",BDP($C22,"GICS_SECTOR_NAME"))</f>
        <v/>
      </c>
      <c r="F22" s="33">
        <f>IF($C22="","",BDP($C22,FLD_CCY))</f>
        <v/>
      </c>
      <c r="G22" s="90">
        <f>IFERROR(IF(LEN($F22)&lt;&gt;3,1,IF($F22="HKD",1,BDP(IF($F22="CNY",RMB_CROSS,$F22)&amp;"HKD Curncy","PX_LAST"))),1)</f>
        <v/>
      </c>
      <c r="H22" s="65">
        <f>IF($C22="","",BDP($C22,FLD_DPS12M))</f>
        <v/>
      </c>
      <c r="I22" s="47">
        <f>IF($C22="","",BDP($C22,FLD_YLD12M))</f>
        <v/>
      </c>
      <c r="J22" s="49">
        <f>IF($B22="",0,SUMPRODUCT(('Dvd Calendar'!$E$1281:$AR$1281&gt;=DATE(YEAR_Y,1,1))*('Dvd Calendar'!$E$1281:$AR$1281&lt;=REALIZED_TO)*'Dvd Calendar'!$E$1284:$AR$1284*(('Dvd Calendar'!$E$1286:$AR$1286=TYPE1)*(TYPE1&lt;&gt;"")+('Dvd Calendar'!$E$1286:$AR$1286=TYPE2)*(TYPE2&lt;&gt;"")+('Dvd Calendar'!$E$1286:$AR$1286=TYPE3)*(TYPE3&lt;&gt;"")+('Dvd Calendar'!$E$1286:$AR$1286=TYPE4)*(TYPE4&lt;&gt;"")+('Dvd Calendar'!$E$1286:$AR$1286=SPECIAL_LBL)*(INC_SPECIALS="Y"))))</f>
        <v/>
      </c>
      <c r="K22" s="49">
        <f>IF($B22="",0,SUMIFS('Dvd Calendar'!$E$1289:$AR$1289,'Dvd Calendar'!$E$1288:$AR$1288,"&gt;"&amp;PROJ_FROM,'Dvd Calendar'!$E$1288:$AR$1288,"&lt;="&amp;DATE(YEAR_Y,12,31)))</f>
        <v/>
      </c>
      <c r="L22" s="49">
        <f>IF($B22="",0,IF((OV_SWITCH="ON")*(COUNTIFS(OVR_TICKERS,$C22,OVR_BASE,"&gt;=0")&gt;0)&gt;0,SUMIFS(OVR_BASE,OVR_TICKERS,$C22),$K22))</f>
        <v/>
      </c>
      <c r="M22" s="49">
        <f>IF($B22="",0,IF((OV_SWITCH="ON")*(COUNTIFS(OVR_TICKERS,$C22,OVR_LOW,"&gt;=0")&gt;0)&gt;0,SUMIFS(OVR_LOW,OVR_TICKERS,$C22),$L22))</f>
        <v/>
      </c>
      <c r="N22" s="49">
        <f>IF($B22="",0,IF((OV_SWITCH="ON")*(COUNTIFS(OVR_TICKERS,$C22,OVR_HIGH,"&gt;=0")&gt;0)&gt;0,SUMIFS(OVR_HIGH,OVR_TICKERS,$C22),$L22))</f>
        <v/>
      </c>
      <c r="O22" s="65">
        <f>IF($B22="","",IFERROR($B22*$G22*$J22/$B$3,""))</f>
        <v/>
      </c>
      <c r="P22" s="65">
        <f>IF($B22="","",IFERROR($B22*$G22*$L22/$B$3,""))</f>
        <v/>
      </c>
      <c r="Q22" s="41">
        <f>IF($B22="","",IFERROR($O22+$P22,""))</f>
        <v/>
      </c>
      <c r="R22" s="65">
        <f>IF($B22="","",IFERROR($O22+$B22*$G22*$M22/$B$3,""))</f>
        <v/>
      </c>
      <c r="S22" s="65">
        <f>IF($B22="","",IFERROR($O22+$B22*$G22*$N22/$B$3,""))</f>
        <v/>
      </c>
      <c r="T22" s="80">
        <f>IF($B22="","",IFERROR($Q22/$Q$5,""))</f>
        <v/>
      </c>
      <c r="U22" s="2">
        <f>IF($B22="","",IF(COUNTIFS('Dvd Calendar'!$E$1287:$AR$1287,"&gt;0",'Dvd Calendar'!$E$1287:$AR$1287,"&lt;="&amp;VAL_DATE,'Dvd Calendar'!$E$1288:$AR$1288,"&gt;"&amp;PROJ_FROM,'Dvd Calendar'!$E$1288:$AR$1288,"&lt;="&amp;DATE(YEAR_Y,12,31))-COUNTIFS('Dvd Calendar'!$E$1287:$AR$1287,"&gt;0",'Dvd Calendar'!$E$1287:$AR$1287,"&lt;="&amp;VAL_DATE,'Dvd Calendar'!$E$1288:$AR$1288,"&gt;"&amp;PROJ_FROM,'Dvd Calendar'!$E$1288:$AR$1288,"&lt;="&amp;DATE(YEAR_Y,12,31),'Dvd Calendar'!$E$1289:$AR$1289,"&gt;=0")&gt;0,"TBA amount - override me",IF((OV_SWITCH="ON")*(COUNTIFS(OVR_TICKERS,$C22,OVR_BASE,"&gt;=0")&gt;0)&gt;0,"overridden",IF($J22+$K22=0,"no dividend in year Y",""))))</f>
        <v/>
      </c>
      <c r="V22" s="65">
        <f>IF($B22="","",IFERROR(IF(ISNUMBER($H22),$B22*$G22*$H22/$B$3,0),""))</f>
        <v/>
      </c>
      <c r="W22" s="65">
        <f>IF($B22="","",IFERROR($B22*$G22*$K22/$B$3,""))</f>
        <v/>
      </c>
      <c r="X22" s="91">
        <f>IF($C22="","",BDP($C22,"PX_LAST"))</f>
        <v/>
      </c>
      <c r="Y22" s="65">
        <f>IF($B22="","",IFERROR($B22*$X22/$B$3,""))</f>
        <v/>
      </c>
      <c r="Z22" s="76">
        <f>IF($B22="","",IFERROR($Y22/$Y$5,""))</f>
        <v/>
      </c>
    </row>
    <row r="23">
      <c r="B23" s="89" t="n"/>
      <c r="C23" s="6">
        <f>IF($A23="","",$A23&amp;" Equity")</f>
        <v/>
      </c>
      <c r="D23" s="6">
        <f>IF($C23="","",BDP($C23,"NAME"))</f>
        <v/>
      </c>
      <c r="E23" s="6">
        <f>IF($C23="","",BDP($C23,"GICS_SECTOR_NAME"))</f>
        <v/>
      </c>
      <c r="F23" s="33">
        <f>IF($C23="","",BDP($C23,FLD_CCY))</f>
        <v/>
      </c>
      <c r="G23" s="90">
        <f>IFERROR(IF(LEN($F23)&lt;&gt;3,1,IF($F23="HKD",1,BDP(IF($F23="CNY",RMB_CROSS,$F23)&amp;"HKD Curncy","PX_LAST"))),1)</f>
        <v/>
      </c>
      <c r="H23" s="65">
        <f>IF($C23="","",BDP($C23,FLD_DPS12M))</f>
        <v/>
      </c>
      <c r="I23" s="47">
        <f>IF($C23="","",BDP($C23,FLD_YLD12M))</f>
        <v/>
      </c>
      <c r="J23" s="49">
        <f>IF($B23="",0,SUMPRODUCT(('Dvd Calendar'!$E$1292:$AR$1292&gt;=DATE(YEAR_Y,1,1))*('Dvd Calendar'!$E$1292:$AR$1292&lt;=REALIZED_TO)*'Dvd Calendar'!$E$1295:$AR$1295*(('Dvd Calendar'!$E$1297:$AR$1297=TYPE1)*(TYPE1&lt;&gt;"")+('Dvd Calendar'!$E$1297:$AR$1297=TYPE2)*(TYPE2&lt;&gt;"")+('Dvd Calendar'!$E$1297:$AR$1297=TYPE3)*(TYPE3&lt;&gt;"")+('Dvd Calendar'!$E$1297:$AR$1297=TYPE4)*(TYPE4&lt;&gt;"")+('Dvd Calendar'!$E$1297:$AR$1297=SPECIAL_LBL)*(INC_SPECIALS="Y"))))</f>
        <v/>
      </c>
      <c r="K23" s="49">
        <f>IF($B23="",0,SUMIFS('Dvd Calendar'!$E$1300:$AR$1300,'Dvd Calendar'!$E$1299:$AR$1299,"&gt;"&amp;PROJ_FROM,'Dvd Calendar'!$E$1299:$AR$1299,"&lt;="&amp;DATE(YEAR_Y,12,31)))</f>
        <v/>
      </c>
      <c r="L23" s="49">
        <f>IF($B23="",0,IF((OV_SWITCH="ON")*(COUNTIFS(OVR_TICKERS,$C23,OVR_BASE,"&gt;=0")&gt;0)&gt;0,SUMIFS(OVR_BASE,OVR_TICKERS,$C23),$K23))</f>
        <v/>
      </c>
      <c r="M23" s="49">
        <f>IF($B23="",0,IF((OV_SWITCH="ON")*(COUNTIFS(OVR_TICKERS,$C23,OVR_LOW,"&gt;=0")&gt;0)&gt;0,SUMIFS(OVR_LOW,OVR_TICKERS,$C23),$L23))</f>
        <v/>
      </c>
      <c r="N23" s="49">
        <f>IF($B23="",0,IF((OV_SWITCH="ON")*(COUNTIFS(OVR_TICKERS,$C23,OVR_HIGH,"&gt;=0")&gt;0)&gt;0,SUMIFS(OVR_HIGH,OVR_TICKERS,$C23),$L23))</f>
        <v/>
      </c>
      <c r="O23" s="65">
        <f>IF($B23="","",IFERROR($B23*$G23*$J23/$B$3,""))</f>
        <v/>
      </c>
      <c r="P23" s="65">
        <f>IF($B23="","",IFERROR($B23*$G23*$L23/$B$3,""))</f>
        <v/>
      </c>
      <c r="Q23" s="41">
        <f>IF($B23="","",IFERROR($O23+$P23,""))</f>
        <v/>
      </c>
      <c r="R23" s="65">
        <f>IF($B23="","",IFERROR($O23+$B23*$G23*$M23/$B$3,""))</f>
        <v/>
      </c>
      <c r="S23" s="65">
        <f>IF($B23="","",IFERROR($O23+$B23*$G23*$N23/$B$3,""))</f>
        <v/>
      </c>
      <c r="T23" s="80">
        <f>IF($B23="","",IFERROR($Q23/$Q$5,""))</f>
        <v/>
      </c>
      <c r="U23" s="2">
        <f>IF($B23="","",IF(COUNTIFS('Dvd Calendar'!$E$1298:$AR$1298,"&gt;0",'Dvd Calendar'!$E$1298:$AR$1298,"&lt;="&amp;VAL_DATE,'Dvd Calendar'!$E$1299:$AR$1299,"&gt;"&amp;PROJ_FROM,'Dvd Calendar'!$E$1299:$AR$1299,"&lt;="&amp;DATE(YEAR_Y,12,31))-COUNTIFS('Dvd Calendar'!$E$1298:$AR$1298,"&gt;0",'Dvd Calendar'!$E$1298:$AR$1298,"&lt;="&amp;VAL_DATE,'Dvd Calendar'!$E$1299:$AR$1299,"&gt;"&amp;PROJ_FROM,'Dvd Calendar'!$E$1299:$AR$1299,"&lt;="&amp;DATE(YEAR_Y,12,31),'Dvd Calendar'!$E$1300:$AR$1300,"&gt;=0")&gt;0,"TBA amount - override me",IF((OV_SWITCH="ON")*(COUNTIFS(OVR_TICKERS,$C23,OVR_BASE,"&gt;=0")&gt;0)&gt;0,"overridden",IF($J23+$K23=0,"no dividend in year Y",""))))</f>
        <v/>
      </c>
      <c r="V23" s="65">
        <f>IF($B23="","",IFERROR(IF(ISNUMBER($H23),$B23*$G23*$H23/$B$3,0),""))</f>
        <v/>
      </c>
      <c r="W23" s="65">
        <f>IF($B23="","",IFERROR($B23*$G23*$K23/$B$3,""))</f>
        <v/>
      </c>
      <c r="X23" s="91">
        <f>IF($C23="","",BDP($C23,"PX_LAST"))</f>
        <v/>
      </c>
      <c r="Y23" s="65">
        <f>IF($B23="","",IFERROR($B23*$X23/$B$3,""))</f>
        <v/>
      </c>
      <c r="Z23" s="76">
        <f>IF($B23="","",IFERROR($Y23/$Y$5,""))</f>
        <v/>
      </c>
    </row>
    <row r="24">
      <c r="B24" s="89" t="n"/>
      <c r="C24" s="6">
        <f>IF($A24="","",$A24&amp;" Equity")</f>
        <v/>
      </c>
      <c r="D24" s="6">
        <f>IF($C24="","",BDP($C24,"NAME"))</f>
        <v/>
      </c>
      <c r="E24" s="6">
        <f>IF($C24="","",BDP($C24,"GICS_SECTOR_NAME"))</f>
        <v/>
      </c>
      <c r="F24" s="33">
        <f>IF($C24="","",BDP($C24,FLD_CCY))</f>
        <v/>
      </c>
      <c r="G24" s="90">
        <f>IFERROR(IF(LEN($F24)&lt;&gt;3,1,IF($F24="HKD",1,BDP(IF($F24="CNY",RMB_CROSS,$F24)&amp;"HKD Curncy","PX_LAST"))),1)</f>
        <v/>
      </c>
      <c r="H24" s="65">
        <f>IF($C24="","",BDP($C24,FLD_DPS12M))</f>
        <v/>
      </c>
      <c r="I24" s="47">
        <f>IF($C24="","",BDP($C24,FLD_YLD12M))</f>
        <v/>
      </c>
      <c r="J24" s="49">
        <f>IF($B24="",0,SUMPRODUCT(('Dvd Calendar'!$E$1303:$AR$1303&gt;=DATE(YEAR_Y,1,1))*('Dvd Calendar'!$E$1303:$AR$1303&lt;=REALIZED_TO)*'Dvd Calendar'!$E$1306:$AR$1306*(('Dvd Calendar'!$E$1308:$AR$1308=TYPE1)*(TYPE1&lt;&gt;"")+('Dvd Calendar'!$E$1308:$AR$1308=TYPE2)*(TYPE2&lt;&gt;"")+('Dvd Calendar'!$E$1308:$AR$1308=TYPE3)*(TYPE3&lt;&gt;"")+('Dvd Calendar'!$E$1308:$AR$1308=TYPE4)*(TYPE4&lt;&gt;"")+('Dvd Calendar'!$E$1308:$AR$1308=SPECIAL_LBL)*(INC_SPECIALS="Y"))))</f>
        <v/>
      </c>
      <c r="K24" s="49">
        <f>IF($B24="",0,SUMIFS('Dvd Calendar'!$E$1311:$AR$1311,'Dvd Calendar'!$E$1310:$AR$1310,"&gt;"&amp;PROJ_FROM,'Dvd Calendar'!$E$1310:$AR$1310,"&lt;="&amp;DATE(YEAR_Y,12,31)))</f>
        <v/>
      </c>
      <c r="L24" s="49">
        <f>IF($B24="",0,IF((OV_SWITCH="ON")*(COUNTIFS(OVR_TICKERS,$C24,OVR_BASE,"&gt;=0")&gt;0)&gt;0,SUMIFS(OVR_BASE,OVR_TICKERS,$C24),$K24))</f>
        <v/>
      </c>
      <c r="M24" s="49">
        <f>IF($B24="",0,IF((OV_SWITCH="ON")*(COUNTIFS(OVR_TICKERS,$C24,OVR_LOW,"&gt;=0")&gt;0)&gt;0,SUMIFS(OVR_LOW,OVR_TICKERS,$C24),$L24))</f>
        <v/>
      </c>
      <c r="N24" s="49">
        <f>IF($B24="",0,IF((OV_SWITCH="ON")*(COUNTIFS(OVR_TICKERS,$C24,OVR_HIGH,"&gt;=0")&gt;0)&gt;0,SUMIFS(OVR_HIGH,OVR_TICKERS,$C24),$L24))</f>
        <v/>
      </c>
      <c r="O24" s="65">
        <f>IF($B24="","",IFERROR($B24*$G24*$J24/$B$3,""))</f>
        <v/>
      </c>
      <c r="P24" s="65">
        <f>IF($B24="","",IFERROR($B24*$G24*$L24/$B$3,""))</f>
        <v/>
      </c>
      <c r="Q24" s="41">
        <f>IF($B24="","",IFERROR($O24+$P24,""))</f>
        <v/>
      </c>
      <c r="R24" s="65">
        <f>IF($B24="","",IFERROR($O24+$B24*$G24*$M24/$B$3,""))</f>
        <v/>
      </c>
      <c r="S24" s="65">
        <f>IF($B24="","",IFERROR($O24+$B24*$G24*$N24/$B$3,""))</f>
        <v/>
      </c>
      <c r="T24" s="80">
        <f>IF($B24="","",IFERROR($Q24/$Q$5,""))</f>
        <v/>
      </c>
      <c r="U24" s="2">
        <f>IF($B24="","",IF(COUNTIFS('Dvd Calendar'!$E$1309:$AR$1309,"&gt;0",'Dvd Calendar'!$E$1309:$AR$1309,"&lt;="&amp;VAL_DATE,'Dvd Calendar'!$E$1310:$AR$1310,"&gt;"&amp;PROJ_FROM,'Dvd Calendar'!$E$1310:$AR$1310,"&lt;="&amp;DATE(YEAR_Y,12,31))-COUNTIFS('Dvd Calendar'!$E$1309:$AR$1309,"&gt;0",'Dvd Calendar'!$E$1309:$AR$1309,"&lt;="&amp;VAL_DATE,'Dvd Calendar'!$E$1310:$AR$1310,"&gt;"&amp;PROJ_FROM,'Dvd Calendar'!$E$1310:$AR$1310,"&lt;="&amp;DATE(YEAR_Y,12,31),'Dvd Calendar'!$E$1311:$AR$1311,"&gt;=0")&gt;0,"TBA amount - override me",IF((OV_SWITCH="ON")*(COUNTIFS(OVR_TICKERS,$C24,OVR_BASE,"&gt;=0")&gt;0)&gt;0,"overridden",IF($J24+$K24=0,"no dividend in year Y",""))))</f>
        <v/>
      </c>
      <c r="V24" s="65">
        <f>IF($B24="","",IFERROR(IF(ISNUMBER($H24),$B24*$G24*$H24/$B$3,0),""))</f>
        <v/>
      </c>
      <c r="W24" s="65">
        <f>IF($B24="","",IFERROR($B24*$G24*$K24/$B$3,""))</f>
        <v/>
      </c>
      <c r="X24" s="91">
        <f>IF($C24="","",BDP($C24,"PX_LAST"))</f>
        <v/>
      </c>
      <c r="Y24" s="65">
        <f>IF($B24="","",IFERROR($B24*$X24/$B$3,""))</f>
        <v/>
      </c>
      <c r="Z24" s="76">
        <f>IF($B24="","",IFERROR($Y24/$Y$5,""))</f>
        <v/>
      </c>
    </row>
    <row r="25">
      <c r="B25" s="89" t="n"/>
      <c r="C25" s="6">
        <f>IF($A25="","",$A25&amp;" Equity")</f>
        <v/>
      </c>
      <c r="D25" s="6">
        <f>IF($C25="","",BDP($C25,"NAME"))</f>
        <v/>
      </c>
      <c r="E25" s="6">
        <f>IF($C25="","",BDP($C25,"GICS_SECTOR_NAME"))</f>
        <v/>
      </c>
      <c r="F25" s="33">
        <f>IF($C25="","",BDP($C25,FLD_CCY))</f>
        <v/>
      </c>
      <c r="G25" s="90">
        <f>IFERROR(IF(LEN($F25)&lt;&gt;3,1,IF($F25="HKD",1,BDP(IF($F25="CNY",RMB_CROSS,$F25)&amp;"HKD Curncy","PX_LAST"))),1)</f>
        <v/>
      </c>
      <c r="H25" s="65">
        <f>IF($C25="","",BDP($C25,FLD_DPS12M))</f>
        <v/>
      </c>
      <c r="I25" s="47">
        <f>IF($C25="","",BDP($C25,FLD_YLD12M))</f>
        <v/>
      </c>
      <c r="J25" s="49">
        <f>IF($B25="",0,SUMPRODUCT(('Dvd Calendar'!$E$1314:$AR$1314&gt;=DATE(YEAR_Y,1,1))*('Dvd Calendar'!$E$1314:$AR$1314&lt;=REALIZED_TO)*'Dvd Calendar'!$E$1317:$AR$1317*(('Dvd Calendar'!$E$1319:$AR$1319=TYPE1)*(TYPE1&lt;&gt;"")+('Dvd Calendar'!$E$1319:$AR$1319=TYPE2)*(TYPE2&lt;&gt;"")+('Dvd Calendar'!$E$1319:$AR$1319=TYPE3)*(TYPE3&lt;&gt;"")+('Dvd Calendar'!$E$1319:$AR$1319=TYPE4)*(TYPE4&lt;&gt;"")+('Dvd Calendar'!$E$1319:$AR$1319=SPECIAL_LBL)*(INC_SPECIALS="Y"))))</f>
        <v/>
      </c>
      <c r="K25" s="49">
        <f>IF($B25="",0,SUMIFS('Dvd Calendar'!$E$1322:$AR$1322,'Dvd Calendar'!$E$1321:$AR$1321,"&gt;"&amp;PROJ_FROM,'Dvd Calendar'!$E$1321:$AR$1321,"&lt;="&amp;DATE(YEAR_Y,12,31)))</f>
        <v/>
      </c>
      <c r="L25" s="49">
        <f>IF($B25="",0,IF((OV_SWITCH="ON")*(COUNTIFS(OVR_TICKERS,$C25,OVR_BASE,"&gt;=0")&gt;0)&gt;0,SUMIFS(OVR_BASE,OVR_TICKERS,$C25),$K25))</f>
        <v/>
      </c>
      <c r="M25" s="49">
        <f>IF($B25="",0,IF((OV_SWITCH="ON")*(COUNTIFS(OVR_TICKERS,$C25,OVR_LOW,"&gt;=0")&gt;0)&gt;0,SUMIFS(OVR_LOW,OVR_TICKERS,$C25),$L25))</f>
        <v/>
      </c>
      <c r="N25" s="49">
        <f>IF($B25="",0,IF((OV_SWITCH="ON")*(COUNTIFS(OVR_TICKERS,$C25,OVR_HIGH,"&gt;=0")&gt;0)&gt;0,SUMIFS(OVR_HIGH,OVR_TICKERS,$C25),$L25))</f>
        <v/>
      </c>
      <c r="O25" s="65">
        <f>IF($B25="","",IFERROR($B25*$G25*$J25/$B$3,""))</f>
        <v/>
      </c>
      <c r="P25" s="65">
        <f>IF($B25="","",IFERROR($B25*$G25*$L25/$B$3,""))</f>
        <v/>
      </c>
      <c r="Q25" s="41">
        <f>IF($B25="","",IFERROR($O25+$P25,""))</f>
        <v/>
      </c>
      <c r="R25" s="65">
        <f>IF($B25="","",IFERROR($O25+$B25*$G25*$M25/$B$3,""))</f>
        <v/>
      </c>
      <c r="S25" s="65">
        <f>IF($B25="","",IFERROR($O25+$B25*$G25*$N25/$B$3,""))</f>
        <v/>
      </c>
      <c r="T25" s="80">
        <f>IF($B25="","",IFERROR($Q25/$Q$5,""))</f>
        <v/>
      </c>
      <c r="U25" s="2">
        <f>IF($B25="","",IF(COUNTIFS('Dvd Calendar'!$E$1320:$AR$1320,"&gt;0",'Dvd Calendar'!$E$1320:$AR$1320,"&lt;="&amp;VAL_DATE,'Dvd Calendar'!$E$1321:$AR$1321,"&gt;"&amp;PROJ_FROM,'Dvd Calendar'!$E$1321:$AR$1321,"&lt;="&amp;DATE(YEAR_Y,12,31))-COUNTIFS('Dvd Calendar'!$E$1320:$AR$1320,"&gt;0",'Dvd Calendar'!$E$1320:$AR$1320,"&lt;="&amp;VAL_DATE,'Dvd Calendar'!$E$1321:$AR$1321,"&gt;"&amp;PROJ_FROM,'Dvd Calendar'!$E$1321:$AR$1321,"&lt;="&amp;DATE(YEAR_Y,12,31),'Dvd Calendar'!$E$1322:$AR$1322,"&gt;=0")&gt;0,"TBA amount - override me",IF((OV_SWITCH="ON")*(COUNTIFS(OVR_TICKERS,$C25,OVR_BASE,"&gt;=0")&gt;0)&gt;0,"overridden",IF($J25+$K25=0,"no dividend in year Y",""))))</f>
        <v/>
      </c>
      <c r="V25" s="65">
        <f>IF($B25="","",IFERROR(IF(ISNUMBER($H25),$B25*$G25*$H25/$B$3,0),""))</f>
        <v/>
      </c>
      <c r="W25" s="65">
        <f>IF($B25="","",IFERROR($B25*$G25*$K25/$B$3,""))</f>
        <v/>
      </c>
      <c r="X25" s="91">
        <f>IF($C25="","",BDP($C25,"PX_LAST"))</f>
        <v/>
      </c>
      <c r="Y25" s="65">
        <f>IF($B25="","",IFERROR($B25*$X25/$B$3,""))</f>
        <v/>
      </c>
      <c r="Z25" s="76">
        <f>IF($B25="","",IFERROR($Y25/$Y$5,""))</f>
        <v/>
      </c>
    </row>
    <row r="26">
      <c r="B26" s="89" t="n"/>
      <c r="C26" s="6">
        <f>IF($A26="","",$A26&amp;" Equity")</f>
        <v/>
      </c>
      <c r="D26" s="6">
        <f>IF($C26="","",BDP($C26,"NAME"))</f>
        <v/>
      </c>
      <c r="E26" s="6">
        <f>IF($C26="","",BDP($C26,"GICS_SECTOR_NAME"))</f>
        <v/>
      </c>
      <c r="F26" s="33">
        <f>IF($C26="","",BDP($C26,FLD_CCY))</f>
        <v/>
      </c>
      <c r="G26" s="90">
        <f>IFERROR(IF(LEN($F26)&lt;&gt;3,1,IF($F26="HKD",1,BDP(IF($F26="CNY",RMB_CROSS,$F26)&amp;"HKD Curncy","PX_LAST"))),1)</f>
        <v/>
      </c>
      <c r="H26" s="65">
        <f>IF($C26="","",BDP($C26,FLD_DPS12M))</f>
        <v/>
      </c>
      <c r="I26" s="47">
        <f>IF($C26="","",BDP($C26,FLD_YLD12M))</f>
        <v/>
      </c>
      <c r="J26" s="49">
        <f>IF($B26="",0,SUMPRODUCT(('Dvd Calendar'!$E$1325:$AR$1325&gt;=DATE(YEAR_Y,1,1))*('Dvd Calendar'!$E$1325:$AR$1325&lt;=REALIZED_TO)*'Dvd Calendar'!$E$1328:$AR$1328*(('Dvd Calendar'!$E$1330:$AR$1330=TYPE1)*(TYPE1&lt;&gt;"")+('Dvd Calendar'!$E$1330:$AR$1330=TYPE2)*(TYPE2&lt;&gt;"")+('Dvd Calendar'!$E$1330:$AR$1330=TYPE3)*(TYPE3&lt;&gt;"")+('Dvd Calendar'!$E$1330:$AR$1330=TYPE4)*(TYPE4&lt;&gt;"")+('Dvd Calendar'!$E$1330:$AR$1330=SPECIAL_LBL)*(INC_SPECIALS="Y"))))</f>
        <v/>
      </c>
      <c r="K26" s="49">
        <f>IF($B26="",0,SUMIFS('Dvd Calendar'!$E$1333:$AR$1333,'Dvd Calendar'!$E$1332:$AR$1332,"&gt;"&amp;PROJ_FROM,'Dvd Calendar'!$E$1332:$AR$1332,"&lt;="&amp;DATE(YEAR_Y,12,31)))</f>
        <v/>
      </c>
      <c r="L26" s="49">
        <f>IF($B26="",0,IF((OV_SWITCH="ON")*(COUNTIFS(OVR_TICKERS,$C26,OVR_BASE,"&gt;=0")&gt;0)&gt;0,SUMIFS(OVR_BASE,OVR_TICKERS,$C26),$K26))</f>
        <v/>
      </c>
      <c r="M26" s="49">
        <f>IF($B26="",0,IF((OV_SWITCH="ON")*(COUNTIFS(OVR_TICKERS,$C26,OVR_LOW,"&gt;=0")&gt;0)&gt;0,SUMIFS(OVR_LOW,OVR_TICKERS,$C26),$L26))</f>
        <v/>
      </c>
      <c r="N26" s="49">
        <f>IF($B26="",0,IF((OV_SWITCH="ON")*(COUNTIFS(OVR_TICKERS,$C26,OVR_HIGH,"&gt;=0")&gt;0)&gt;0,SUMIFS(OVR_HIGH,OVR_TICKERS,$C26),$L26))</f>
        <v/>
      </c>
      <c r="O26" s="65">
        <f>IF($B26="","",IFERROR($B26*$G26*$J26/$B$3,""))</f>
        <v/>
      </c>
      <c r="P26" s="65">
        <f>IF($B26="","",IFERROR($B26*$G26*$L26/$B$3,""))</f>
        <v/>
      </c>
      <c r="Q26" s="41">
        <f>IF($B26="","",IFERROR($O26+$P26,""))</f>
        <v/>
      </c>
      <c r="R26" s="65">
        <f>IF($B26="","",IFERROR($O26+$B26*$G26*$M26/$B$3,""))</f>
        <v/>
      </c>
      <c r="S26" s="65">
        <f>IF($B26="","",IFERROR($O26+$B26*$G26*$N26/$B$3,""))</f>
        <v/>
      </c>
      <c r="T26" s="80">
        <f>IF($B26="","",IFERROR($Q26/$Q$5,""))</f>
        <v/>
      </c>
      <c r="U26" s="2">
        <f>IF($B26="","",IF(COUNTIFS('Dvd Calendar'!$E$1331:$AR$1331,"&gt;0",'Dvd Calendar'!$E$1331:$AR$1331,"&lt;="&amp;VAL_DATE,'Dvd Calendar'!$E$1332:$AR$1332,"&gt;"&amp;PROJ_FROM,'Dvd Calendar'!$E$1332:$AR$1332,"&lt;="&amp;DATE(YEAR_Y,12,31))-COUNTIFS('Dvd Calendar'!$E$1331:$AR$1331,"&gt;0",'Dvd Calendar'!$E$1331:$AR$1331,"&lt;="&amp;VAL_DATE,'Dvd Calendar'!$E$1332:$AR$1332,"&gt;"&amp;PROJ_FROM,'Dvd Calendar'!$E$1332:$AR$1332,"&lt;="&amp;DATE(YEAR_Y,12,31),'Dvd Calendar'!$E$1333:$AR$1333,"&gt;=0")&gt;0,"TBA amount - override me",IF((OV_SWITCH="ON")*(COUNTIFS(OVR_TICKERS,$C26,OVR_BASE,"&gt;=0")&gt;0)&gt;0,"overridden",IF($J26+$K26=0,"no dividend in year Y",""))))</f>
        <v/>
      </c>
      <c r="V26" s="65">
        <f>IF($B26="","",IFERROR(IF(ISNUMBER($H26),$B26*$G26*$H26/$B$3,0),""))</f>
        <v/>
      </c>
      <c r="W26" s="65">
        <f>IF($B26="","",IFERROR($B26*$G26*$K26/$B$3,""))</f>
        <v/>
      </c>
      <c r="X26" s="91">
        <f>IF($C26="","",BDP($C26,"PX_LAST"))</f>
        <v/>
      </c>
      <c r="Y26" s="65">
        <f>IF($B26="","",IFERROR($B26*$X26/$B$3,""))</f>
        <v/>
      </c>
      <c r="Z26" s="76">
        <f>IF($B26="","",IFERROR($Y26/$Y$5,""))</f>
        <v/>
      </c>
    </row>
    <row r="27">
      <c r="B27" s="89" t="n"/>
      <c r="C27" s="6">
        <f>IF($A27="","",$A27&amp;" Equity")</f>
        <v/>
      </c>
      <c r="D27" s="6">
        <f>IF($C27="","",BDP($C27,"NAME"))</f>
        <v/>
      </c>
      <c r="E27" s="6">
        <f>IF($C27="","",BDP($C27,"GICS_SECTOR_NAME"))</f>
        <v/>
      </c>
      <c r="F27" s="33">
        <f>IF($C27="","",BDP($C27,FLD_CCY))</f>
        <v/>
      </c>
      <c r="G27" s="90">
        <f>IFERROR(IF(LEN($F27)&lt;&gt;3,1,IF($F27="HKD",1,BDP(IF($F27="CNY",RMB_CROSS,$F27)&amp;"HKD Curncy","PX_LAST"))),1)</f>
        <v/>
      </c>
      <c r="H27" s="65">
        <f>IF($C27="","",BDP($C27,FLD_DPS12M))</f>
        <v/>
      </c>
      <c r="I27" s="47">
        <f>IF($C27="","",BDP($C27,FLD_YLD12M))</f>
        <v/>
      </c>
      <c r="J27" s="49">
        <f>IF($B27="",0,SUMPRODUCT(('Dvd Calendar'!$E$1336:$AR$1336&gt;=DATE(YEAR_Y,1,1))*('Dvd Calendar'!$E$1336:$AR$1336&lt;=REALIZED_TO)*'Dvd Calendar'!$E$1339:$AR$1339*(('Dvd Calendar'!$E$1341:$AR$1341=TYPE1)*(TYPE1&lt;&gt;"")+('Dvd Calendar'!$E$1341:$AR$1341=TYPE2)*(TYPE2&lt;&gt;"")+('Dvd Calendar'!$E$1341:$AR$1341=TYPE3)*(TYPE3&lt;&gt;"")+('Dvd Calendar'!$E$1341:$AR$1341=TYPE4)*(TYPE4&lt;&gt;"")+('Dvd Calendar'!$E$1341:$AR$1341=SPECIAL_LBL)*(INC_SPECIALS="Y"))))</f>
        <v/>
      </c>
      <c r="K27" s="49">
        <f>IF($B27="",0,SUMIFS('Dvd Calendar'!$E$1344:$AR$1344,'Dvd Calendar'!$E$1343:$AR$1343,"&gt;"&amp;PROJ_FROM,'Dvd Calendar'!$E$1343:$AR$1343,"&lt;="&amp;DATE(YEAR_Y,12,31)))</f>
        <v/>
      </c>
      <c r="L27" s="49">
        <f>IF($B27="",0,IF((OV_SWITCH="ON")*(COUNTIFS(OVR_TICKERS,$C27,OVR_BASE,"&gt;=0")&gt;0)&gt;0,SUMIFS(OVR_BASE,OVR_TICKERS,$C27),$K27))</f>
        <v/>
      </c>
      <c r="M27" s="49">
        <f>IF($B27="",0,IF((OV_SWITCH="ON")*(COUNTIFS(OVR_TICKERS,$C27,OVR_LOW,"&gt;=0")&gt;0)&gt;0,SUMIFS(OVR_LOW,OVR_TICKERS,$C27),$L27))</f>
        <v/>
      </c>
      <c r="N27" s="49">
        <f>IF($B27="",0,IF((OV_SWITCH="ON")*(COUNTIFS(OVR_TICKERS,$C27,OVR_HIGH,"&gt;=0")&gt;0)&gt;0,SUMIFS(OVR_HIGH,OVR_TICKERS,$C27),$L27))</f>
        <v/>
      </c>
      <c r="O27" s="65">
        <f>IF($B27="","",IFERROR($B27*$G27*$J27/$B$3,""))</f>
        <v/>
      </c>
      <c r="P27" s="65">
        <f>IF($B27="","",IFERROR($B27*$G27*$L27/$B$3,""))</f>
        <v/>
      </c>
      <c r="Q27" s="41">
        <f>IF($B27="","",IFERROR($O27+$P27,""))</f>
        <v/>
      </c>
      <c r="R27" s="65">
        <f>IF($B27="","",IFERROR($O27+$B27*$G27*$M27/$B$3,""))</f>
        <v/>
      </c>
      <c r="S27" s="65">
        <f>IF($B27="","",IFERROR($O27+$B27*$G27*$N27/$B$3,""))</f>
        <v/>
      </c>
      <c r="T27" s="80">
        <f>IF($B27="","",IFERROR($Q27/$Q$5,""))</f>
        <v/>
      </c>
      <c r="U27" s="2">
        <f>IF($B27="","",IF(COUNTIFS('Dvd Calendar'!$E$1342:$AR$1342,"&gt;0",'Dvd Calendar'!$E$1342:$AR$1342,"&lt;="&amp;VAL_DATE,'Dvd Calendar'!$E$1343:$AR$1343,"&gt;"&amp;PROJ_FROM,'Dvd Calendar'!$E$1343:$AR$1343,"&lt;="&amp;DATE(YEAR_Y,12,31))-COUNTIFS('Dvd Calendar'!$E$1342:$AR$1342,"&gt;0",'Dvd Calendar'!$E$1342:$AR$1342,"&lt;="&amp;VAL_DATE,'Dvd Calendar'!$E$1343:$AR$1343,"&gt;"&amp;PROJ_FROM,'Dvd Calendar'!$E$1343:$AR$1343,"&lt;="&amp;DATE(YEAR_Y,12,31),'Dvd Calendar'!$E$1344:$AR$1344,"&gt;=0")&gt;0,"TBA amount - override me",IF((OV_SWITCH="ON")*(COUNTIFS(OVR_TICKERS,$C27,OVR_BASE,"&gt;=0")&gt;0)&gt;0,"overridden",IF($J27+$K27=0,"no dividend in year Y",""))))</f>
        <v/>
      </c>
      <c r="V27" s="65">
        <f>IF($B27="","",IFERROR(IF(ISNUMBER($H27),$B27*$G27*$H27/$B$3,0),""))</f>
        <v/>
      </c>
      <c r="W27" s="65">
        <f>IF($B27="","",IFERROR($B27*$G27*$K27/$B$3,""))</f>
        <v/>
      </c>
      <c r="X27" s="91">
        <f>IF($C27="","",BDP($C27,"PX_LAST"))</f>
        <v/>
      </c>
      <c r="Y27" s="65">
        <f>IF($B27="","",IFERROR($B27*$X27/$B$3,""))</f>
        <v/>
      </c>
      <c r="Z27" s="76">
        <f>IF($B27="","",IFERROR($Y27/$Y$5,""))</f>
        <v/>
      </c>
    </row>
    <row r="28">
      <c r="B28" s="89" t="n"/>
      <c r="C28" s="6">
        <f>IF($A28="","",$A28&amp;" Equity")</f>
        <v/>
      </c>
      <c r="D28" s="6">
        <f>IF($C28="","",BDP($C28,"NAME"))</f>
        <v/>
      </c>
      <c r="E28" s="6">
        <f>IF($C28="","",BDP($C28,"GICS_SECTOR_NAME"))</f>
        <v/>
      </c>
      <c r="F28" s="33">
        <f>IF($C28="","",BDP($C28,FLD_CCY))</f>
        <v/>
      </c>
      <c r="G28" s="90">
        <f>IFERROR(IF(LEN($F28)&lt;&gt;3,1,IF($F28="HKD",1,BDP(IF($F28="CNY",RMB_CROSS,$F28)&amp;"HKD Curncy","PX_LAST"))),1)</f>
        <v/>
      </c>
      <c r="H28" s="65">
        <f>IF($C28="","",BDP($C28,FLD_DPS12M))</f>
        <v/>
      </c>
      <c r="I28" s="47">
        <f>IF($C28="","",BDP($C28,FLD_YLD12M))</f>
        <v/>
      </c>
      <c r="J28" s="49">
        <f>IF($B28="",0,SUMPRODUCT(('Dvd Calendar'!$E$1347:$AR$1347&gt;=DATE(YEAR_Y,1,1))*('Dvd Calendar'!$E$1347:$AR$1347&lt;=REALIZED_TO)*'Dvd Calendar'!$E$1350:$AR$1350*(('Dvd Calendar'!$E$1352:$AR$1352=TYPE1)*(TYPE1&lt;&gt;"")+('Dvd Calendar'!$E$1352:$AR$1352=TYPE2)*(TYPE2&lt;&gt;"")+('Dvd Calendar'!$E$1352:$AR$1352=TYPE3)*(TYPE3&lt;&gt;"")+('Dvd Calendar'!$E$1352:$AR$1352=TYPE4)*(TYPE4&lt;&gt;"")+('Dvd Calendar'!$E$1352:$AR$1352=SPECIAL_LBL)*(INC_SPECIALS="Y"))))</f>
        <v/>
      </c>
      <c r="K28" s="49">
        <f>IF($B28="",0,SUMIFS('Dvd Calendar'!$E$1355:$AR$1355,'Dvd Calendar'!$E$1354:$AR$1354,"&gt;"&amp;PROJ_FROM,'Dvd Calendar'!$E$1354:$AR$1354,"&lt;="&amp;DATE(YEAR_Y,12,31)))</f>
        <v/>
      </c>
      <c r="L28" s="49">
        <f>IF($B28="",0,IF((OV_SWITCH="ON")*(COUNTIFS(OVR_TICKERS,$C28,OVR_BASE,"&gt;=0")&gt;0)&gt;0,SUMIFS(OVR_BASE,OVR_TICKERS,$C28),$K28))</f>
        <v/>
      </c>
      <c r="M28" s="49">
        <f>IF($B28="",0,IF((OV_SWITCH="ON")*(COUNTIFS(OVR_TICKERS,$C28,OVR_LOW,"&gt;=0")&gt;0)&gt;0,SUMIFS(OVR_LOW,OVR_TICKERS,$C28),$L28))</f>
        <v/>
      </c>
      <c r="N28" s="49">
        <f>IF($B28="",0,IF((OV_SWITCH="ON")*(COUNTIFS(OVR_TICKERS,$C28,OVR_HIGH,"&gt;=0")&gt;0)&gt;0,SUMIFS(OVR_HIGH,OVR_TICKERS,$C28),$L28))</f>
        <v/>
      </c>
      <c r="O28" s="65">
        <f>IF($B28="","",IFERROR($B28*$G28*$J28/$B$3,""))</f>
        <v/>
      </c>
      <c r="P28" s="65">
        <f>IF($B28="","",IFERROR($B28*$G28*$L28/$B$3,""))</f>
        <v/>
      </c>
      <c r="Q28" s="41">
        <f>IF($B28="","",IFERROR($O28+$P28,""))</f>
        <v/>
      </c>
      <c r="R28" s="65">
        <f>IF($B28="","",IFERROR($O28+$B28*$G28*$M28/$B$3,""))</f>
        <v/>
      </c>
      <c r="S28" s="65">
        <f>IF($B28="","",IFERROR($O28+$B28*$G28*$N28/$B$3,""))</f>
        <v/>
      </c>
      <c r="T28" s="80">
        <f>IF($B28="","",IFERROR($Q28/$Q$5,""))</f>
        <v/>
      </c>
      <c r="U28" s="2">
        <f>IF($B28="","",IF(COUNTIFS('Dvd Calendar'!$E$1353:$AR$1353,"&gt;0",'Dvd Calendar'!$E$1353:$AR$1353,"&lt;="&amp;VAL_DATE,'Dvd Calendar'!$E$1354:$AR$1354,"&gt;"&amp;PROJ_FROM,'Dvd Calendar'!$E$1354:$AR$1354,"&lt;="&amp;DATE(YEAR_Y,12,31))-COUNTIFS('Dvd Calendar'!$E$1353:$AR$1353,"&gt;0",'Dvd Calendar'!$E$1353:$AR$1353,"&lt;="&amp;VAL_DATE,'Dvd Calendar'!$E$1354:$AR$1354,"&gt;"&amp;PROJ_FROM,'Dvd Calendar'!$E$1354:$AR$1354,"&lt;="&amp;DATE(YEAR_Y,12,31),'Dvd Calendar'!$E$1355:$AR$1355,"&gt;=0")&gt;0,"TBA amount - override me",IF((OV_SWITCH="ON")*(COUNTIFS(OVR_TICKERS,$C28,OVR_BASE,"&gt;=0")&gt;0)&gt;0,"overridden",IF($J28+$K28=0,"no dividend in year Y",""))))</f>
        <v/>
      </c>
      <c r="V28" s="65">
        <f>IF($B28="","",IFERROR(IF(ISNUMBER($H28),$B28*$G28*$H28/$B$3,0),""))</f>
        <v/>
      </c>
      <c r="W28" s="65">
        <f>IF($B28="","",IFERROR($B28*$G28*$K28/$B$3,""))</f>
        <v/>
      </c>
      <c r="X28" s="91">
        <f>IF($C28="","",BDP($C28,"PX_LAST"))</f>
        <v/>
      </c>
      <c r="Y28" s="65">
        <f>IF($B28="","",IFERROR($B28*$X28/$B$3,""))</f>
        <v/>
      </c>
      <c r="Z28" s="76">
        <f>IF($B28="","",IFERROR($Y28/$Y$5,""))</f>
        <v/>
      </c>
    </row>
    <row r="29">
      <c r="B29" s="89" t="n"/>
      <c r="C29" s="6">
        <f>IF($A29="","",$A29&amp;" Equity")</f>
        <v/>
      </c>
      <c r="D29" s="6">
        <f>IF($C29="","",BDP($C29,"NAME"))</f>
        <v/>
      </c>
      <c r="E29" s="6">
        <f>IF($C29="","",BDP($C29,"GICS_SECTOR_NAME"))</f>
        <v/>
      </c>
      <c r="F29" s="33">
        <f>IF($C29="","",BDP($C29,FLD_CCY))</f>
        <v/>
      </c>
      <c r="G29" s="90">
        <f>IFERROR(IF(LEN($F29)&lt;&gt;3,1,IF($F29="HKD",1,BDP(IF($F29="CNY",RMB_CROSS,$F29)&amp;"HKD Curncy","PX_LAST"))),1)</f>
        <v/>
      </c>
      <c r="H29" s="65">
        <f>IF($C29="","",BDP($C29,FLD_DPS12M))</f>
        <v/>
      </c>
      <c r="I29" s="47">
        <f>IF($C29="","",BDP($C29,FLD_YLD12M))</f>
        <v/>
      </c>
      <c r="J29" s="49">
        <f>IF($B29="",0,SUMPRODUCT(('Dvd Calendar'!$E$1358:$AR$1358&gt;=DATE(YEAR_Y,1,1))*('Dvd Calendar'!$E$1358:$AR$1358&lt;=REALIZED_TO)*'Dvd Calendar'!$E$1361:$AR$1361*(('Dvd Calendar'!$E$1363:$AR$1363=TYPE1)*(TYPE1&lt;&gt;"")+('Dvd Calendar'!$E$1363:$AR$1363=TYPE2)*(TYPE2&lt;&gt;"")+('Dvd Calendar'!$E$1363:$AR$1363=TYPE3)*(TYPE3&lt;&gt;"")+('Dvd Calendar'!$E$1363:$AR$1363=TYPE4)*(TYPE4&lt;&gt;"")+('Dvd Calendar'!$E$1363:$AR$1363=SPECIAL_LBL)*(INC_SPECIALS="Y"))))</f>
        <v/>
      </c>
      <c r="K29" s="49">
        <f>IF($B29="",0,SUMIFS('Dvd Calendar'!$E$1366:$AR$1366,'Dvd Calendar'!$E$1365:$AR$1365,"&gt;"&amp;PROJ_FROM,'Dvd Calendar'!$E$1365:$AR$1365,"&lt;="&amp;DATE(YEAR_Y,12,31)))</f>
        <v/>
      </c>
      <c r="L29" s="49">
        <f>IF($B29="",0,IF((OV_SWITCH="ON")*(COUNTIFS(OVR_TICKERS,$C29,OVR_BASE,"&gt;=0")&gt;0)&gt;0,SUMIFS(OVR_BASE,OVR_TICKERS,$C29),$K29))</f>
        <v/>
      </c>
      <c r="M29" s="49">
        <f>IF($B29="",0,IF((OV_SWITCH="ON")*(COUNTIFS(OVR_TICKERS,$C29,OVR_LOW,"&gt;=0")&gt;0)&gt;0,SUMIFS(OVR_LOW,OVR_TICKERS,$C29),$L29))</f>
        <v/>
      </c>
      <c r="N29" s="49">
        <f>IF($B29="",0,IF((OV_SWITCH="ON")*(COUNTIFS(OVR_TICKERS,$C29,OVR_HIGH,"&gt;=0")&gt;0)&gt;0,SUMIFS(OVR_HIGH,OVR_TICKERS,$C29),$L29))</f>
        <v/>
      </c>
      <c r="O29" s="65">
        <f>IF($B29="","",IFERROR($B29*$G29*$J29/$B$3,""))</f>
        <v/>
      </c>
      <c r="P29" s="65">
        <f>IF($B29="","",IFERROR($B29*$G29*$L29/$B$3,""))</f>
        <v/>
      </c>
      <c r="Q29" s="41">
        <f>IF($B29="","",IFERROR($O29+$P29,""))</f>
        <v/>
      </c>
      <c r="R29" s="65">
        <f>IF($B29="","",IFERROR($O29+$B29*$G29*$M29/$B$3,""))</f>
        <v/>
      </c>
      <c r="S29" s="65">
        <f>IF($B29="","",IFERROR($O29+$B29*$G29*$N29/$B$3,""))</f>
        <v/>
      </c>
      <c r="T29" s="80">
        <f>IF($B29="","",IFERROR($Q29/$Q$5,""))</f>
        <v/>
      </c>
      <c r="U29" s="2">
        <f>IF($B29="","",IF(COUNTIFS('Dvd Calendar'!$E$1364:$AR$1364,"&gt;0",'Dvd Calendar'!$E$1364:$AR$1364,"&lt;="&amp;VAL_DATE,'Dvd Calendar'!$E$1365:$AR$1365,"&gt;"&amp;PROJ_FROM,'Dvd Calendar'!$E$1365:$AR$1365,"&lt;="&amp;DATE(YEAR_Y,12,31))-COUNTIFS('Dvd Calendar'!$E$1364:$AR$1364,"&gt;0",'Dvd Calendar'!$E$1364:$AR$1364,"&lt;="&amp;VAL_DATE,'Dvd Calendar'!$E$1365:$AR$1365,"&gt;"&amp;PROJ_FROM,'Dvd Calendar'!$E$1365:$AR$1365,"&lt;="&amp;DATE(YEAR_Y,12,31),'Dvd Calendar'!$E$1366:$AR$1366,"&gt;=0")&gt;0,"TBA amount - override me",IF((OV_SWITCH="ON")*(COUNTIFS(OVR_TICKERS,$C29,OVR_BASE,"&gt;=0")&gt;0)&gt;0,"overridden",IF($J29+$K29=0,"no dividend in year Y",""))))</f>
        <v/>
      </c>
      <c r="V29" s="65">
        <f>IF($B29="","",IFERROR(IF(ISNUMBER($H29),$B29*$G29*$H29/$B$3,0),""))</f>
        <v/>
      </c>
      <c r="W29" s="65">
        <f>IF($B29="","",IFERROR($B29*$G29*$K29/$B$3,""))</f>
        <v/>
      </c>
      <c r="X29" s="91">
        <f>IF($C29="","",BDP($C29,"PX_LAST"))</f>
        <v/>
      </c>
      <c r="Y29" s="65">
        <f>IF($B29="","",IFERROR($B29*$X29/$B$3,""))</f>
        <v/>
      </c>
      <c r="Z29" s="76">
        <f>IF($B29="","",IFERROR($Y29/$Y$5,""))</f>
        <v/>
      </c>
    </row>
    <row r="30">
      <c r="B30" s="89" t="n"/>
      <c r="C30" s="6">
        <f>IF($A30="","",$A30&amp;" Equity")</f>
        <v/>
      </c>
      <c r="D30" s="6">
        <f>IF($C30="","",BDP($C30,"NAME"))</f>
        <v/>
      </c>
      <c r="E30" s="6">
        <f>IF($C30="","",BDP($C30,"GICS_SECTOR_NAME"))</f>
        <v/>
      </c>
      <c r="F30" s="33">
        <f>IF($C30="","",BDP($C30,FLD_CCY))</f>
        <v/>
      </c>
      <c r="G30" s="90">
        <f>IFERROR(IF(LEN($F30)&lt;&gt;3,1,IF($F30="HKD",1,BDP(IF($F30="CNY",RMB_CROSS,$F30)&amp;"HKD Curncy","PX_LAST"))),1)</f>
        <v/>
      </c>
      <c r="H30" s="65">
        <f>IF($C30="","",BDP($C30,FLD_DPS12M))</f>
        <v/>
      </c>
      <c r="I30" s="47">
        <f>IF($C30="","",BDP($C30,FLD_YLD12M))</f>
        <v/>
      </c>
      <c r="J30" s="49">
        <f>IF($B30="",0,SUMPRODUCT(('Dvd Calendar'!$E$1369:$AR$1369&gt;=DATE(YEAR_Y,1,1))*('Dvd Calendar'!$E$1369:$AR$1369&lt;=REALIZED_TO)*'Dvd Calendar'!$E$1372:$AR$1372*(('Dvd Calendar'!$E$1374:$AR$1374=TYPE1)*(TYPE1&lt;&gt;"")+('Dvd Calendar'!$E$1374:$AR$1374=TYPE2)*(TYPE2&lt;&gt;"")+('Dvd Calendar'!$E$1374:$AR$1374=TYPE3)*(TYPE3&lt;&gt;"")+('Dvd Calendar'!$E$1374:$AR$1374=TYPE4)*(TYPE4&lt;&gt;"")+('Dvd Calendar'!$E$1374:$AR$1374=SPECIAL_LBL)*(INC_SPECIALS="Y"))))</f>
        <v/>
      </c>
      <c r="K30" s="49">
        <f>IF($B30="",0,SUMIFS('Dvd Calendar'!$E$1377:$AR$1377,'Dvd Calendar'!$E$1376:$AR$1376,"&gt;"&amp;PROJ_FROM,'Dvd Calendar'!$E$1376:$AR$1376,"&lt;="&amp;DATE(YEAR_Y,12,31)))</f>
        <v/>
      </c>
      <c r="L30" s="49">
        <f>IF($B30="",0,IF((OV_SWITCH="ON")*(COUNTIFS(OVR_TICKERS,$C30,OVR_BASE,"&gt;=0")&gt;0)&gt;0,SUMIFS(OVR_BASE,OVR_TICKERS,$C30),$K30))</f>
        <v/>
      </c>
      <c r="M30" s="49">
        <f>IF($B30="",0,IF((OV_SWITCH="ON")*(COUNTIFS(OVR_TICKERS,$C30,OVR_LOW,"&gt;=0")&gt;0)&gt;0,SUMIFS(OVR_LOW,OVR_TICKERS,$C30),$L30))</f>
        <v/>
      </c>
      <c r="N30" s="49">
        <f>IF($B30="",0,IF((OV_SWITCH="ON")*(COUNTIFS(OVR_TICKERS,$C30,OVR_HIGH,"&gt;=0")&gt;0)&gt;0,SUMIFS(OVR_HIGH,OVR_TICKERS,$C30),$L30))</f>
        <v/>
      </c>
      <c r="O30" s="65">
        <f>IF($B30="","",IFERROR($B30*$G30*$J30/$B$3,""))</f>
        <v/>
      </c>
      <c r="P30" s="65">
        <f>IF($B30="","",IFERROR($B30*$G30*$L30/$B$3,""))</f>
        <v/>
      </c>
      <c r="Q30" s="41">
        <f>IF($B30="","",IFERROR($O30+$P30,""))</f>
        <v/>
      </c>
      <c r="R30" s="65">
        <f>IF($B30="","",IFERROR($O30+$B30*$G30*$M30/$B$3,""))</f>
        <v/>
      </c>
      <c r="S30" s="65">
        <f>IF($B30="","",IFERROR($O30+$B30*$G30*$N30/$B$3,""))</f>
        <v/>
      </c>
      <c r="T30" s="80">
        <f>IF($B30="","",IFERROR($Q30/$Q$5,""))</f>
        <v/>
      </c>
      <c r="U30" s="2">
        <f>IF($B30="","",IF(COUNTIFS('Dvd Calendar'!$E$1375:$AR$1375,"&gt;0",'Dvd Calendar'!$E$1375:$AR$1375,"&lt;="&amp;VAL_DATE,'Dvd Calendar'!$E$1376:$AR$1376,"&gt;"&amp;PROJ_FROM,'Dvd Calendar'!$E$1376:$AR$1376,"&lt;="&amp;DATE(YEAR_Y,12,31))-COUNTIFS('Dvd Calendar'!$E$1375:$AR$1375,"&gt;0",'Dvd Calendar'!$E$1375:$AR$1375,"&lt;="&amp;VAL_DATE,'Dvd Calendar'!$E$1376:$AR$1376,"&gt;"&amp;PROJ_FROM,'Dvd Calendar'!$E$1376:$AR$1376,"&lt;="&amp;DATE(YEAR_Y,12,31),'Dvd Calendar'!$E$1377:$AR$1377,"&gt;=0")&gt;0,"TBA amount - override me",IF((OV_SWITCH="ON")*(COUNTIFS(OVR_TICKERS,$C30,OVR_BASE,"&gt;=0")&gt;0)&gt;0,"overridden",IF($J30+$K30=0,"no dividend in year Y",""))))</f>
        <v/>
      </c>
      <c r="V30" s="65">
        <f>IF($B30="","",IFERROR(IF(ISNUMBER($H30),$B30*$G30*$H30/$B$3,0),""))</f>
        <v/>
      </c>
      <c r="W30" s="65">
        <f>IF($B30="","",IFERROR($B30*$G30*$K30/$B$3,""))</f>
        <v/>
      </c>
      <c r="X30" s="91">
        <f>IF($C30="","",BDP($C30,"PX_LAST"))</f>
        <v/>
      </c>
      <c r="Y30" s="65">
        <f>IF($B30="","",IFERROR($B30*$X30/$B$3,""))</f>
        <v/>
      </c>
      <c r="Z30" s="76">
        <f>IF($B30="","",IFERROR($Y30/$Y$5,""))</f>
        <v/>
      </c>
    </row>
    <row r="31">
      <c r="B31" s="89" t="n"/>
      <c r="C31" s="6">
        <f>IF($A31="","",$A31&amp;" Equity")</f>
        <v/>
      </c>
      <c r="D31" s="6">
        <f>IF($C31="","",BDP($C31,"NAME"))</f>
        <v/>
      </c>
      <c r="E31" s="6">
        <f>IF($C31="","",BDP($C31,"GICS_SECTOR_NAME"))</f>
        <v/>
      </c>
      <c r="F31" s="33">
        <f>IF($C31="","",BDP($C31,FLD_CCY))</f>
        <v/>
      </c>
      <c r="G31" s="90">
        <f>IFERROR(IF(LEN($F31)&lt;&gt;3,1,IF($F31="HKD",1,BDP(IF($F31="CNY",RMB_CROSS,$F31)&amp;"HKD Curncy","PX_LAST"))),1)</f>
        <v/>
      </c>
      <c r="H31" s="65">
        <f>IF($C31="","",BDP($C31,FLD_DPS12M))</f>
        <v/>
      </c>
      <c r="I31" s="47">
        <f>IF($C31="","",BDP($C31,FLD_YLD12M))</f>
        <v/>
      </c>
      <c r="J31" s="49">
        <f>IF($B31="",0,SUMPRODUCT(('Dvd Calendar'!$E$1380:$AR$1380&gt;=DATE(YEAR_Y,1,1))*('Dvd Calendar'!$E$1380:$AR$1380&lt;=REALIZED_TO)*'Dvd Calendar'!$E$1383:$AR$1383*(('Dvd Calendar'!$E$1385:$AR$1385=TYPE1)*(TYPE1&lt;&gt;"")+('Dvd Calendar'!$E$1385:$AR$1385=TYPE2)*(TYPE2&lt;&gt;"")+('Dvd Calendar'!$E$1385:$AR$1385=TYPE3)*(TYPE3&lt;&gt;"")+('Dvd Calendar'!$E$1385:$AR$1385=TYPE4)*(TYPE4&lt;&gt;"")+('Dvd Calendar'!$E$1385:$AR$1385=SPECIAL_LBL)*(INC_SPECIALS="Y"))))</f>
        <v/>
      </c>
      <c r="K31" s="49">
        <f>IF($B31="",0,SUMIFS('Dvd Calendar'!$E$1388:$AR$1388,'Dvd Calendar'!$E$1387:$AR$1387,"&gt;"&amp;PROJ_FROM,'Dvd Calendar'!$E$1387:$AR$1387,"&lt;="&amp;DATE(YEAR_Y,12,31)))</f>
        <v/>
      </c>
      <c r="L31" s="49">
        <f>IF($B31="",0,IF((OV_SWITCH="ON")*(COUNTIFS(OVR_TICKERS,$C31,OVR_BASE,"&gt;=0")&gt;0)&gt;0,SUMIFS(OVR_BASE,OVR_TICKERS,$C31),$K31))</f>
        <v/>
      </c>
      <c r="M31" s="49">
        <f>IF($B31="",0,IF((OV_SWITCH="ON")*(COUNTIFS(OVR_TICKERS,$C31,OVR_LOW,"&gt;=0")&gt;0)&gt;0,SUMIFS(OVR_LOW,OVR_TICKERS,$C31),$L31))</f>
        <v/>
      </c>
      <c r="N31" s="49">
        <f>IF($B31="",0,IF((OV_SWITCH="ON")*(COUNTIFS(OVR_TICKERS,$C31,OVR_HIGH,"&gt;=0")&gt;0)&gt;0,SUMIFS(OVR_HIGH,OVR_TICKERS,$C31),$L31))</f>
        <v/>
      </c>
      <c r="O31" s="65">
        <f>IF($B31="","",IFERROR($B31*$G31*$J31/$B$3,""))</f>
        <v/>
      </c>
      <c r="P31" s="65">
        <f>IF($B31="","",IFERROR($B31*$G31*$L31/$B$3,""))</f>
        <v/>
      </c>
      <c r="Q31" s="41">
        <f>IF($B31="","",IFERROR($O31+$P31,""))</f>
        <v/>
      </c>
      <c r="R31" s="65">
        <f>IF($B31="","",IFERROR($O31+$B31*$G31*$M31/$B$3,""))</f>
        <v/>
      </c>
      <c r="S31" s="65">
        <f>IF($B31="","",IFERROR($O31+$B31*$G31*$N31/$B$3,""))</f>
        <v/>
      </c>
      <c r="T31" s="80">
        <f>IF($B31="","",IFERROR($Q31/$Q$5,""))</f>
        <v/>
      </c>
      <c r="U31" s="2">
        <f>IF($B31="","",IF(COUNTIFS('Dvd Calendar'!$E$1386:$AR$1386,"&gt;0",'Dvd Calendar'!$E$1386:$AR$1386,"&lt;="&amp;VAL_DATE,'Dvd Calendar'!$E$1387:$AR$1387,"&gt;"&amp;PROJ_FROM,'Dvd Calendar'!$E$1387:$AR$1387,"&lt;="&amp;DATE(YEAR_Y,12,31))-COUNTIFS('Dvd Calendar'!$E$1386:$AR$1386,"&gt;0",'Dvd Calendar'!$E$1386:$AR$1386,"&lt;="&amp;VAL_DATE,'Dvd Calendar'!$E$1387:$AR$1387,"&gt;"&amp;PROJ_FROM,'Dvd Calendar'!$E$1387:$AR$1387,"&lt;="&amp;DATE(YEAR_Y,12,31),'Dvd Calendar'!$E$1388:$AR$1388,"&gt;=0")&gt;0,"TBA amount - override me",IF((OV_SWITCH="ON")*(COUNTIFS(OVR_TICKERS,$C31,OVR_BASE,"&gt;=0")&gt;0)&gt;0,"overridden",IF($J31+$K31=0,"no dividend in year Y",""))))</f>
        <v/>
      </c>
      <c r="V31" s="65">
        <f>IF($B31="","",IFERROR(IF(ISNUMBER($H31),$B31*$G31*$H31/$B$3,0),""))</f>
        <v/>
      </c>
      <c r="W31" s="65">
        <f>IF($B31="","",IFERROR($B31*$G31*$K31/$B$3,""))</f>
        <v/>
      </c>
      <c r="X31" s="91">
        <f>IF($C31="","",BDP($C31,"PX_LAST"))</f>
        <v/>
      </c>
      <c r="Y31" s="65">
        <f>IF($B31="","",IFERROR($B31*$X31/$B$3,""))</f>
        <v/>
      </c>
      <c r="Z31" s="76">
        <f>IF($B31="","",IFERROR($Y31/$Y$5,""))</f>
        <v/>
      </c>
    </row>
    <row r="32">
      <c r="B32" s="89" t="n"/>
      <c r="C32" s="6">
        <f>IF($A32="","",$A32&amp;" Equity")</f>
        <v/>
      </c>
      <c r="D32" s="6">
        <f>IF($C32="","",BDP($C32,"NAME"))</f>
        <v/>
      </c>
      <c r="E32" s="6">
        <f>IF($C32="","",BDP($C32,"GICS_SECTOR_NAME"))</f>
        <v/>
      </c>
      <c r="F32" s="33">
        <f>IF($C32="","",BDP($C32,FLD_CCY))</f>
        <v/>
      </c>
      <c r="G32" s="90">
        <f>IFERROR(IF(LEN($F32)&lt;&gt;3,1,IF($F32="HKD",1,BDP(IF($F32="CNY",RMB_CROSS,$F32)&amp;"HKD Curncy","PX_LAST"))),1)</f>
        <v/>
      </c>
      <c r="H32" s="65">
        <f>IF($C32="","",BDP($C32,FLD_DPS12M))</f>
        <v/>
      </c>
      <c r="I32" s="47">
        <f>IF($C32="","",BDP($C32,FLD_YLD12M))</f>
        <v/>
      </c>
      <c r="J32" s="49">
        <f>IF($B32="",0,SUMPRODUCT(('Dvd Calendar'!$E$1391:$AR$1391&gt;=DATE(YEAR_Y,1,1))*('Dvd Calendar'!$E$1391:$AR$1391&lt;=REALIZED_TO)*'Dvd Calendar'!$E$1394:$AR$1394*(('Dvd Calendar'!$E$1396:$AR$1396=TYPE1)*(TYPE1&lt;&gt;"")+('Dvd Calendar'!$E$1396:$AR$1396=TYPE2)*(TYPE2&lt;&gt;"")+('Dvd Calendar'!$E$1396:$AR$1396=TYPE3)*(TYPE3&lt;&gt;"")+('Dvd Calendar'!$E$1396:$AR$1396=TYPE4)*(TYPE4&lt;&gt;"")+('Dvd Calendar'!$E$1396:$AR$1396=SPECIAL_LBL)*(INC_SPECIALS="Y"))))</f>
        <v/>
      </c>
      <c r="K32" s="49">
        <f>IF($B32="",0,SUMIFS('Dvd Calendar'!$E$1399:$AR$1399,'Dvd Calendar'!$E$1398:$AR$1398,"&gt;"&amp;PROJ_FROM,'Dvd Calendar'!$E$1398:$AR$1398,"&lt;="&amp;DATE(YEAR_Y,12,31)))</f>
        <v/>
      </c>
      <c r="L32" s="49">
        <f>IF($B32="",0,IF((OV_SWITCH="ON")*(COUNTIFS(OVR_TICKERS,$C32,OVR_BASE,"&gt;=0")&gt;0)&gt;0,SUMIFS(OVR_BASE,OVR_TICKERS,$C32),$K32))</f>
        <v/>
      </c>
      <c r="M32" s="49">
        <f>IF($B32="",0,IF((OV_SWITCH="ON")*(COUNTIFS(OVR_TICKERS,$C32,OVR_LOW,"&gt;=0")&gt;0)&gt;0,SUMIFS(OVR_LOW,OVR_TICKERS,$C32),$L32))</f>
        <v/>
      </c>
      <c r="N32" s="49">
        <f>IF($B32="",0,IF((OV_SWITCH="ON")*(COUNTIFS(OVR_TICKERS,$C32,OVR_HIGH,"&gt;=0")&gt;0)&gt;0,SUMIFS(OVR_HIGH,OVR_TICKERS,$C32),$L32))</f>
        <v/>
      </c>
      <c r="O32" s="65">
        <f>IF($B32="","",IFERROR($B32*$G32*$J32/$B$3,""))</f>
        <v/>
      </c>
      <c r="P32" s="65">
        <f>IF($B32="","",IFERROR($B32*$G32*$L32/$B$3,""))</f>
        <v/>
      </c>
      <c r="Q32" s="41">
        <f>IF($B32="","",IFERROR($O32+$P32,""))</f>
        <v/>
      </c>
      <c r="R32" s="65">
        <f>IF($B32="","",IFERROR($O32+$B32*$G32*$M32/$B$3,""))</f>
        <v/>
      </c>
      <c r="S32" s="65">
        <f>IF($B32="","",IFERROR($O32+$B32*$G32*$N32/$B$3,""))</f>
        <v/>
      </c>
      <c r="T32" s="80">
        <f>IF($B32="","",IFERROR($Q32/$Q$5,""))</f>
        <v/>
      </c>
      <c r="U32" s="2">
        <f>IF($B32="","",IF(COUNTIFS('Dvd Calendar'!$E$1397:$AR$1397,"&gt;0",'Dvd Calendar'!$E$1397:$AR$1397,"&lt;="&amp;VAL_DATE,'Dvd Calendar'!$E$1398:$AR$1398,"&gt;"&amp;PROJ_FROM,'Dvd Calendar'!$E$1398:$AR$1398,"&lt;="&amp;DATE(YEAR_Y,12,31))-COUNTIFS('Dvd Calendar'!$E$1397:$AR$1397,"&gt;0",'Dvd Calendar'!$E$1397:$AR$1397,"&lt;="&amp;VAL_DATE,'Dvd Calendar'!$E$1398:$AR$1398,"&gt;"&amp;PROJ_FROM,'Dvd Calendar'!$E$1398:$AR$1398,"&lt;="&amp;DATE(YEAR_Y,12,31),'Dvd Calendar'!$E$1399:$AR$1399,"&gt;=0")&gt;0,"TBA amount - override me",IF((OV_SWITCH="ON")*(COUNTIFS(OVR_TICKERS,$C32,OVR_BASE,"&gt;=0")&gt;0)&gt;0,"overridden",IF($J32+$K32=0,"no dividend in year Y",""))))</f>
        <v/>
      </c>
      <c r="V32" s="65">
        <f>IF($B32="","",IFERROR(IF(ISNUMBER($H32),$B32*$G32*$H32/$B$3,0),""))</f>
        <v/>
      </c>
      <c r="W32" s="65">
        <f>IF($B32="","",IFERROR($B32*$G32*$K32/$B$3,""))</f>
        <v/>
      </c>
      <c r="X32" s="91">
        <f>IF($C32="","",BDP($C32,"PX_LAST"))</f>
        <v/>
      </c>
      <c r="Y32" s="65">
        <f>IF($B32="","",IFERROR($B32*$X32/$B$3,""))</f>
        <v/>
      </c>
      <c r="Z32" s="76">
        <f>IF($B32="","",IFERROR($Y32/$Y$5,""))</f>
        <v/>
      </c>
    </row>
    <row r="33">
      <c r="B33" s="89" t="n"/>
      <c r="C33" s="6">
        <f>IF($A33="","",$A33&amp;" Equity")</f>
        <v/>
      </c>
      <c r="D33" s="6">
        <f>IF($C33="","",BDP($C33,"NAME"))</f>
        <v/>
      </c>
      <c r="E33" s="6">
        <f>IF($C33="","",BDP($C33,"GICS_SECTOR_NAME"))</f>
        <v/>
      </c>
      <c r="F33" s="33">
        <f>IF($C33="","",BDP($C33,FLD_CCY))</f>
        <v/>
      </c>
      <c r="G33" s="90">
        <f>IFERROR(IF(LEN($F33)&lt;&gt;3,1,IF($F33="HKD",1,BDP(IF($F33="CNY",RMB_CROSS,$F33)&amp;"HKD Curncy","PX_LAST"))),1)</f>
        <v/>
      </c>
      <c r="H33" s="65">
        <f>IF($C33="","",BDP($C33,FLD_DPS12M))</f>
        <v/>
      </c>
      <c r="I33" s="47">
        <f>IF($C33="","",BDP($C33,FLD_YLD12M))</f>
        <v/>
      </c>
      <c r="J33" s="49">
        <f>IF($B33="",0,SUMPRODUCT(('Dvd Calendar'!$E$1402:$AR$1402&gt;=DATE(YEAR_Y,1,1))*('Dvd Calendar'!$E$1402:$AR$1402&lt;=REALIZED_TO)*'Dvd Calendar'!$E$1405:$AR$1405*(('Dvd Calendar'!$E$1407:$AR$1407=TYPE1)*(TYPE1&lt;&gt;"")+('Dvd Calendar'!$E$1407:$AR$1407=TYPE2)*(TYPE2&lt;&gt;"")+('Dvd Calendar'!$E$1407:$AR$1407=TYPE3)*(TYPE3&lt;&gt;"")+('Dvd Calendar'!$E$1407:$AR$1407=TYPE4)*(TYPE4&lt;&gt;"")+('Dvd Calendar'!$E$1407:$AR$1407=SPECIAL_LBL)*(INC_SPECIALS="Y"))))</f>
        <v/>
      </c>
      <c r="K33" s="49">
        <f>IF($B33="",0,SUMIFS('Dvd Calendar'!$E$1410:$AR$1410,'Dvd Calendar'!$E$1409:$AR$1409,"&gt;"&amp;PROJ_FROM,'Dvd Calendar'!$E$1409:$AR$1409,"&lt;="&amp;DATE(YEAR_Y,12,31)))</f>
        <v/>
      </c>
      <c r="L33" s="49">
        <f>IF($B33="",0,IF((OV_SWITCH="ON")*(COUNTIFS(OVR_TICKERS,$C33,OVR_BASE,"&gt;=0")&gt;0)&gt;0,SUMIFS(OVR_BASE,OVR_TICKERS,$C33),$K33))</f>
        <v/>
      </c>
      <c r="M33" s="49">
        <f>IF($B33="",0,IF((OV_SWITCH="ON")*(COUNTIFS(OVR_TICKERS,$C33,OVR_LOW,"&gt;=0")&gt;0)&gt;0,SUMIFS(OVR_LOW,OVR_TICKERS,$C33),$L33))</f>
        <v/>
      </c>
      <c r="N33" s="49">
        <f>IF($B33="",0,IF((OV_SWITCH="ON")*(COUNTIFS(OVR_TICKERS,$C33,OVR_HIGH,"&gt;=0")&gt;0)&gt;0,SUMIFS(OVR_HIGH,OVR_TICKERS,$C33),$L33))</f>
        <v/>
      </c>
      <c r="O33" s="65">
        <f>IF($B33="","",IFERROR($B33*$G33*$J33/$B$3,""))</f>
        <v/>
      </c>
      <c r="P33" s="65">
        <f>IF($B33="","",IFERROR($B33*$G33*$L33/$B$3,""))</f>
        <v/>
      </c>
      <c r="Q33" s="41">
        <f>IF($B33="","",IFERROR($O33+$P33,""))</f>
        <v/>
      </c>
      <c r="R33" s="65">
        <f>IF($B33="","",IFERROR($O33+$B33*$G33*$M33/$B$3,""))</f>
        <v/>
      </c>
      <c r="S33" s="65">
        <f>IF($B33="","",IFERROR($O33+$B33*$G33*$N33/$B$3,""))</f>
        <v/>
      </c>
      <c r="T33" s="80">
        <f>IF($B33="","",IFERROR($Q33/$Q$5,""))</f>
        <v/>
      </c>
      <c r="U33" s="2">
        <f>IF($B33="","",IF(COUNTIFS('Dvd Calendar'!$E$1408:$AR$1408,"&gt;0",'Dvd Calendar'!$E$1408:$AR$1408,"&lt;="&amp;VAL_DATE,'Dvd Calendar'!$E$1409:$AR$1409,"&gt;"&amp;PROJ_FROM,'Dvd Calendar'!$E$1409:$AR$1409,"&lt;="&amp;DATE(YEAR_Y,12,31))-COUNTIFS('Dvd Calendar'!$E$1408:$AR$1408,"&gt;0",'Dvd Calendar'!$E$1408:$AR$1408,"&lt;="&amp;VAL_DATE,'Dvd Calendar'!$E$1409:$AR$1409,"&gt;"&amp;PROJ_FROM,'Dvd Calendar'!$E$1409:$AR$1409,"&lt;="&amp;DATE(YEAR_Y,12,31),'Dvd Calendar'!$E$1410:$AR$1410,"&gt;=0")&gt;0,"TBA amount - override me",IF((OV_SWITCH="ON")*(COUNTIFS(OVR_TICKERS,$C33,OVR_BASE,"&gt;=0")&gt;0)&gt;0,"overridden",IF($J33+$K33=0,"no dividend in year Y",""))))</f>
        <v/>
      </c>
      <c r="V33" s="65">
        <f>IF($B33="","",IFERROR(IF(ISNUMBER($H33),$B33*$G33*$H33/$B$3,0),""))</f>
        <v/>
      </c>
      <c r="W33" s="65">
        <f>IF($B33="","",IFERROR($B33*$G33*$K33/$B$3,""))</f>
        <v/>
      </c>
      <c r="X33" s="91">
        <f>IF($C33="","",BDP($C33,"PX_LAST"))</f>
        <v/>
      </c>
      <c r="Y33" s="65">
        <f>IF($B33="","",IFERROR($B33*$X33/$B$3,""))</f>
        <v/>
      </c>
      <c r="Z33" s="76">
        <f>IF($B33="","",IFERROR($Y33/$Y$5,""))</f>
        <v/>
      </c>
    </row>
    <row r="34">
      <c r="B34" s="89" t="n"/>
      <c r="C34" s="6">
        <f>IF($A34="","",$A34&amp;" Equity")</f>
        <v/>
      </c>
      <c r="D34" s="6">
        <f>IF($C34="","",BDP($C34,"NAME"))</f>
        <v/>
      </c>
      <c r="E34" s="6">
        <f>IF($C34="","",BDP($C34,"GICS_SECTOR_NAME"))</f>
        <v/>
      </c>
      <c r="F34" s="33">
        <f>IF($C34="","",BDP($C34,FLD_CCY))</f>
        <v/>
      </c>
      <c r="G34" s="90">
        <f>IFERROR(IF(LEN($F34)&lt;&gt;3,1,IF($F34="HKD",1,BDP(IF($F34="CNY",RMB_CROSS,$F34)&amp;"HKD Curncy","PX_LAST"))),1)</f>
        <v/>
      </c>
      <c r="H34" s="65">
        <f>IF($C34="","",BDP($C34,FLD_DPS12M))</f>
        <v/>
      </c>
      <c r="I34" s="47">
        <f>IF($C34="","",BDP($C34,FLD_YLD12M))</f>
        <v/>
      </c>
      <c r="J34" s="49">
        <f>IF($B34="",0,SUMPRODUCT(('Dvd Calendar'!$E$1413:$AR$1413&gt;=DATE(YEAR_Y,1,1))*('Dvd Calendar'!$E$1413:$AR$1413&lt;=REALIZED_TO)*'Dvd Calendar'!$E$1416:$AR$1416*(('Dvd Calendar'!$E$1418:$AR$1418=TYPE1)*(TYPE1&lt;&gt;"")+('Dvd Calendar'!$E$1418:$AR$1418=TYPE2)*(TYPE2&lt;&gt;"")+('Dvd Calendar'!$E$1418:$AR$1418=TYPE3)*(TYPE3&lt;&gt;"")+('Dvd Calendar'!$E$1418:$AR$1418=TYPE4)*(TYPE4&lt;&gt;"")+('Dvd Calendar'!$E$1418:$AR$1418=SPECIAL_LBL)*(INC_SPECIALS="Y"))))</f>
        <v/>
      </c>
      <c r="K34" s="49">
        <f>IF($B34="",0,SUMIFS('Dvd Calendar'!$E$1421:$AR$1421,'Dvd Calendar'!$E$1420:$AR$1420,"&gt;"&amp;PROJ_FROM,'Dvd Calendar'!$E$1420:$AR$1420,"&lt;="&amp;DATE(YEAR_Y,12,31)))</f>
        <v/>
      </c>
      <c r="L34" s="49">
        <f>IF($B34="",0,IF((OV_SWITCH="ON")*(COUNTIFS(OVR_TICKERS,$C34,OVR_BASE,"&gt;=0")&gt;0)&gt;0,SUMIFS(OVR_BASE,OVR_TICKERS,$C34),$K34))</f>
        <v/>
      </c>
      <c r="M34" s="49">
        <f>IF($B34="",0,IF((OV_SWITCH="ON")*(COUNTIFS(OVR_TICKERS,$C34,OVR_LOW,"&gt;=0")&gt;0)&gt;0,SUMIFS(OVR_LOW,OVR_TICKERS,$C34),$L34))</f>
        <v/>
      </c>
      <c r="N34" s="49">
        <f>IF($B34="",0,IF((OV_SWITCH="ON")*(COUNTIFS(OVR_TICKERS,$C34,OVR_HIGH,"&gt;=0")&gt;0)&gt;0,SUMIFS(OVR_HIGH,OVR_TICKERS,$C34),$L34))</f>
        <v/>
      </c>
      <c r="O34" s="65">
        <f>IF($B34="","",IFERROR($B34*$G34*$J34/$B$3,""))</f>
        <v/>
      </c>
      <c r="P34" s="65">
        <f>IF($B34="","",IFERROR($B34*$G34*$L34/$B$3,""))</f>
        <v/>
      </c>
      <c r="Q34" s="41">
        <f>IF($B34="","",IFERROR($O34+$P34,""))</f>
        <v/>
      </c>
      <c r="R34" s="65">
        <f>IF($B34="","",IFERROR($O34+$B34*$G34*$M34/$B$3,""))</f>
        <v/>
      </c>
      <c r="S34" s="65">
        <f>IF($B34="","",IFERROR($O34+$B34*$G34*$N34/$B$3,""))</f>
        <v/>
      </c>
      <c r="T34" s="80">
        <f>IF($B34="","",IFERROR($Q34/$Q$5,""))</f>
        <v/>
      </c>
      <c r="U34" s="2">
        <f>IF($B34="","",IF(COUNTIFS('Dvd Calendar'!$E$1419:$AR$1419,"&gt;0",'Dvd Calendar'!$E$1419:$AR$1419,"&lt;="&amp;VAL_DATE,'Dvd Calendar'!$E$1420:$AR$1420,"&gt;"&amp;PROJ_FROM,'Dvd Calendar'!$E$1420:$AR$1420,"&lt;="&amp;DATE(YEAR_Y,12,31))-COUNTIFS('Dvd Calendar'!$E$1419:$AR$1419,"&gt;0",'Dvd Calendar'!$E$1419:$AR$1419,"&lt;="&amp;VAL_DATE,'Dvd Calendar'!$E$1420:$AR$1420,"&gt;"&amp;PROJ_FROM,'Dvd Calendar'!$E$1420:$AR$1420,"&lt;="&amp;DATE(YEAR_Y,12,31),'Dvd Calendar'!$E$1421:$AR$1421,"&gt;=0")&gt;0,"TBA amount - override me",IF((OV_SWITCH="ON")*(COUNTIFS(OVR_TICKERS,$C34,OVR_BASE,"&gt;=0")&gt;0)&gt;0,"overridden",IF($J34+$K34=0,"no dividend in year Y",""))))</f>
        <v/>
      </c>
      <c r="V34" s="65">
        <f>IF($B34="","",IFERROR(IF(ISNUMBER($H34),$B34*$G34*$H34/$B$3,0),""))</f>
        <v/>
      </c>
      <c r="W34" s="65">
        <f>IF($B34="","",IFERROR($B34*$G34*$K34/$B$3,""))</f>
        <v/>
      </c>
      <c r="X34" s="91">
        <f>IF($C34="","",BDP($C34,"PX_LAST"))</f>
        <v/>
      </c>
      <c r="Y34" s="65">
        <f>IF($B34="","",IFERROR($B34*$X34/$B$3,""))</f>
        <v/>
      </c>
      <c r="Z34" s="76">
        <f>IF($B34="","",IFERROR($Y34/$Y$5,""))</f>
        <v/>
      </c>
    </row>
    <row r="35">
      <c r="B35" s="89" t="n"/>
      <c r="C35" s="6">
        <f>IF($A35="","",$A35&amp;" Equity")</f>
        <v/>
      </c>
      <c r="D35" s="6">
        <f>IF($C35="","",BDP($C35,"NAME"))</f>
        <v/>
      </c>
      <c r="E35" s="6">
        <f>IF($C35="","",BDP($C35,"GICS_SECTOR_NAME"))</f>
        <v/>
      </c>
      <c r="F35" s="33">
        <f>IF($C35="","",BDP($C35,FLD_CCY))</f>
        <v/>
      </c>
      <c r="G35" s="90">
        <f>IFERROR(IF(LEN($F35)&lt;&gt;3,1,IF($F35="HKD",1,BDP(IF($F35="CNY",RMB_CROSS,$F35)&amp;"HKD Curncy","PX_LAST"))),1)</f>
        <v/>
      </c>
      <c r="H35" s="65">
        <f>IF($C35="","",BDP($C35,FLD_DPS12M))</f>
        <v/>
      </c>
      <c r="I35" s="47">
        <f>IF($C35="","",BDP($C35,FLD_YLD12M))</f>
        <v/>
      </c>
      <c r="J35" s="49">
        <f>IF($B35="",0,SUMPRODUCT(('Dvd Calendar'!$E$1424:$AR$1424&gt;=DATE(YEAR_Y,1,1))*('Dvd Calendar'!$E$1424:$AR$1424&lt;=REALIZED_TO)*'Dvd Calendar'!$E$1427:$AR$1427*(('Dvd Calendar'!$E$1429:$AR$1429=TYPE1)*(TYPE1&lt;&gt;"")+('Dvd Calendar'!$E$1429:$AR$1429=TYPE2)*(TYPE2&lt;&gt;"")+('Dvd Calendar'!$E$1429:$AR$1429=TYPE3)*(TYPE3&lt;&gt;"")+('Dvd Calendar'!$E$1429:$AR$1429=TYPE4)*(TYPE4&lt;&gt;"")+('Dvd Calendar'!$E$1429:$AR$1429=SPECIAL_LBL)*(INC_SPECIALS="Y"))))</f>
        <v/>
      </c>
      <c r="K35" s="49">
        <f>IF($B35="",0,SUMIFS('Dvd Calendar'!$E$1432:$AR$1432,'Dvd Calendar'!$E$1431:$AR$1431,"&gt;"&amp;PROJ_FROM,'Dvd Calendar'!$E$1431:$AR$1431,"&lt;="&amp;DATE(YEAR_Y,12,31)))</f>
        <v/>
      </c>
      <c r="L35" s="49">
        <f>IF($B35="",0,IF((OV_SWITCH="ON")*(COUNTIFS(OVR_TICKERS,$C35,OVR_BASE,"&gt;=0")&gt;0)&gt;0,SUMIFS(OVR_BASE,OVR_TICKERS,$C35),$K35))</f>
        <v/>
      </c>
      <c r="M35" s="49">
        <f>IF($B35="",0,IF((OV_SWITCH="ON")*(COUNTIFS(OVR_TICKERS,$C35,OVR_LOW,"&gt;=0")&gt;0)&gt;0,SUMIFS(OVR_LOW,OVR_TICKERS,$C35),$L35))</f>
        <v/>
      </c>
      <c r="N35" s="49">
        <f>IF($B35="",0,IF((OV_SWITCH="ON")*(COUNTIFS(OVR_TICKERS,$C35,OVR_HIGH,"&gt;=0")&gt;0)&gt;0,SUMIFS(OVR_HIGH,OVR_TICKERS,$C35),$L35))</f>
        <v/>
      </c>
      <c r="O35" s="65">
        <f>IF($B35="","",IFERROR($B35*$G35*$J35/$B$3,""))</f>
        <v/>
      </c>
      <c r="P35" s="65">
        <f>IF($B35="","",IFERROR($B35*$G35*$L35/$B$3,""))</f>
        <v/>
      </c>
      <c r="Q35" s="41">
        <f>IF($B35="","",IFERROR($O35+$P35,""))</f>
        <v/>
      </c>
      <c r="R35" s="65">
        <f>IF($B35="","",IFERROR($O35+$B35*$G35*$M35/$B$3,""))</f>
        <v/>
      </c>
      <c r="S35" s="65">
        <f>IF($B35="","",IFERROR($O35+$B35*$G35*$N35/$B$3,""))</f>
        <v/>
      </c>
      <c r="T35" s="80">
        <f>IF($B35="","",IFERROR($Q35/$Q$5,""))</f>
        <v/>
      </c>
      <c r="U35" s="2">
        <f>IF($B35="","",IF(COUNTIFS('Dvd Calendar'!$E$1430:$AR$1430,"&gt;0",'Dvd Calendar'!$E$1430:$AR$1430,"&lt;="&amp;VAL_DATE,'Dvd Calendar'!$E$1431:$AR$1431,"&gt;"&amp;PROJ_FROM,'Dvd Calendar'!$E$1431:$AR$1431,"&lt;="&amp;DATE(YEAR_Y,12,31))-COUNTIFS('Dvd Calendar'!$E$1430:$AR$1430,"&gt;0",'Dvd Calendar'!$E$1430:$AR$1430,"&lt;="&amp;VAL_DATE,'Dvd Calendar'!$E$1431:$AR$1431,"&gt;"&amp;PROJ_FROM,'Dvd Calendar'!$E$1431:$AR$1431,"&lt;="&amp;DATE(YEAR_Y,12,31),'Dvd Calendar'!$E$1432:$AR$1432,"&gt;=0")&gt;0,"TBA amount - override me",IF((OV_SWITCH="ON")*(COUNTIFS(OVR_TICKERS,$C35,OVR_BASE,"&gt;=0")&gt;0)&gt;0,"overridden",IF($J35+$K35=0,"no dividend in year Y",""))))</f>
        <v/>
      </c>
      <c r="V35" s="65">
        <f>IF($B35="","",IFERROR(IF(ISNUMBER($H35),$B35*$G35*$H35/$B$3,0),""))</f>
        <v/>
      </c>
      <c r="W35" s="65">
        <f>IF($B35="","",IFERROR($B35*$G35*$K35/$B$3,""))</f>
        <v/>
      </c>
      <c r="X35" s="91">
        <f>IF($C35="","",BDP($C35,"PX_LAST"))</f>
        <v/>
      </c>
      <c r="Y35" s="65">
        <f>IF($B35="","",IFERROR($B35*$X35/$B$3,""))</f>
        <v/>
      </c>
      <c r="Z35" s="76">
        <f>IF($B35="","",IFERROR($Y35/$Y$5,""))</f>
        <v/>
      </c>
    </row>
    <row r="36">
      <c r="B36" s="89" t="n"/>
      <c r="C36" s="6">
        <f>IF($A36="","",$A36&amp;" Equity")</f>
        <v/>
      </c>
      <c r="D36" s="6">
        <f>IF($C36="","",BDP($C36,"NAME"))</f>
        <v/>
      </c>
      <c r="E36" s="6">
        <f>IF($C36="","",BDP($C36,"GICS_SECTOR_NAME"))</f>
        <v/>
      </c>
      <c r="F36" s="33">
        <f>IF($C36="","",BDP($C36,FLD_CCY))</f>
        <v/>
      </c>
      <c r="G36" s="90">
        <f>IFERROR(IF(LEN($F36)&lt;&gt;3,1,IF($F36="HKD",1,BDP(IF($F36="CNY",RMB_CROSS,$F36)&amp;"HKD Curncy","PX_LAST"))),1)</f>
        <v/>
      </c>
      <c r="H36" s="65">
        <f>IF($C36="","",BDP($C36,FLD_DPS12M))</f>
        <v/>
      </c>
      <c r="I36" s="47">
        <f>IF($C36="","",BDP($C36,FLD_YLD12M))</f>
        <v/>
      </c>
      <c r="J36" s="49">
        <f>IF($B36="",0,SUMPRODUCT(('Dvd Calendar'!$E$1435:$AR$1435&gt;=DATE(YEAR_Y,1,1))*('Dvd Calendar'!$E$1435:$AR$1435&lt;=REALIZED_TO)*'Dvd Calendar'!$E$1438:$AR$1438*(('Dvd Calendar'!$E$1440:$AR$1440=TYPE1)*(TYPE1&lt;&gt;"")+('Dvd Calendar'!$E$1440:$AR$1440=TYPE2)*(TYPE2&lt;&gt;"")+('Dvd Calendar'!$E$1440:$AR$1440=TYPE3)*(TYPE3&lt;&gt;"")+('Dvd Calendar'!$E$1440:$AR$1440=TYPE4)*(TYPE4&lt;&gt;"")+('Dvd Calendar'!$E$1440:$AR$1440=SPECIAL_LBL)*(INC_SPECIALS="Y"))))</f>
        <v/>
      </c>
      <c r="K36" s="49">
        <f>IF($B36="",0,SUMIFS('Dvd Calendar'!$E$1443:$AR$1443,'Dvd Calendar'!$E$1442:$AR$1442,"&gt;"&amp;PROJ_FROM,'Dvd Calendar'!$E$1442:$AR$1442,"&lt;="&amp;DATE(YEAR_Y,12,31)))</f>
        <v/>
      </c>
      <c r="L36" s="49">
        <f>IF($B36="",0,IF((OV_SWITCH="ON")*(COUNTIFS(OVR_TICKERS,$C36,OVR_BASE,"&gt;=0")&gt;0)&gt;0,SUMIFS(OVR_BASE,OVR_TICKERS,$C36),$K36))</f>
        <v/>
      </c>
      <c r="M36" s="49">
        <f>IF($B36="",0,IF((OV_SWITCH="ON")*(COUNTIFS(OVR_TICKERS,$C36,OVR_LOW,"&gt;=0")&gt;0)&gt;0,SUMIFS(OVR_LOW,OVR_TICKERS,$C36),$L36))</f>
        <v/>
      </c>
      <c r="N36" s="49">
        <f>IF($B36="",0,IF((OV_SWITCH="ON")*(COUNTIFS(OVR_TICKERS,$C36,OVR_HIGH,"&gt;=0")&gt;0)&gt;0,SUMIFS(OVR_HIGH,OVR_TICKERS,$C36),$L36))</f>
        <v/>
      </c>
      <c r="O36" s="65">
        <f>IF($B36="","",IFERROR($B36*$G36*$J36/$B$3,""))</f>
        <v/>
      </c>
      <c r="P36" s="65">
        <f>IF($B36="","",IFERROR($B36*$G36*$L36/$B$3,""))</f>
        <v/>
      </c>
      <c r="Q36" s="41">
        <f>IF($B36="","",IFERROR($O36+$P36,""))</f>
        <v/>
      </c>
      <c r="R36" s="65">
        <f>IF($B36="","",IFERROR($O36+$B36*$G36*$M36/$B$3,""))</f>
        <v/>
      </c>
      <c r="S36" s="65">
        <f>IF($B36="","",IFERROR($O36+$B36*$G36*$N36/$B$3,""))</f>
        <v/>
      </c>
      <c r="T36" s="80">
        <f>IF($B36="","",IFERROR($Q36/$Q$5,""))</f>
        <v/>
      </c>
      <c r="U36" s="2">
        <f>IF($B36="","",IF(COUNTIFS('Dvd Calendar'!$E$1441:$AR$1441,"&gt;0",'Dvd Calendar'!$E$1441:$AR$1441,"&lt;="&amp;VAL_DATE,'Dvd Calendar'!$E$1442:$AR$1442,"&gt;"&amp;PROJ_FROM,'Dvd Calendar'!$E$1442:$AR$1442,"&lt;="&amp;DATE(YEAR_Y,12,31))-COUNTIFS('Dvd Calendar'!$E$1441:$AR$1441,"&gt;0",'Dvd Calendar'!$E$1441:$AR$1441,"&lt;="&amp;VAL_DATE,'Dvd Calendar'!$E$1442:$AR$1442,"&gt;"&amp;PROJ_FROM,'Dvd Calendar'!$E$1442:$AR$1442,"&lt;="&amp;DATE(YEAR_Y,12,31),'Dvd Calendar'!$E$1443:$AR$1443,"&gt;=0")&gt;0,"TBA amount - override me",IF((OV_SWITCH="ON")*(COUNTIFS(OVR_TICKERS,$C36,OVR_BASE,"&gt;=0")&gt;0)&gt;0,"overridden",IF($J36+$K36=0,"no dividend in year Y",""))))</f>
        <v/>
      </c>
      <c r="V36" s="65">
        <f>IF($B36="","",IFERROR(IF(ISNUMBER($H36),$B36*$G36*$H36/$B$3,0),""))</f>
        <v/>
      </c>
      <c r="W36" s="65">
        <f>IF($B36="","",IFERROR($B36*$G36*$K36/$B$3,""))</f>
        <v/>
      </c>
      <c r="X36" s="91">
        <f>IF($C36="","",BDP($C36,"PX_LAST"))</f>
        <v/>
      </c>
      <c r="Y36" s="65">
        <f>IF($B36="","",IFERROR($B36*$X36/$B$3,""))</f>
        <v/>
      </c>
      <c r="Z36" s="76">
        <f>IF($B36="","",IFERROR($Y36/$Y$5,""))</f>
        <v/>
      </c>
    </row>
    <row r="37">
      <c r="B37" s="89" t="n"/>
      <c r="C37" s="6">
        <f>IF($A37="","",$A37&amp;" Equity")</f>
        <v/>
      </c>
      <c r="D37" s="6">
        <f>IF($C37="","",BDP($C37,"NAME"))</f>
        <v/>
      </c>
      <c r="E37" s="6">
        <f>IF($C37="","",BDP($C37,"GICS_SECTOR_NAME"))</f>
        <v/>
      </c>
      <c r="F37" s="33">
        <f>IF($C37="","",BDP($C37,FLD_CCY))</f>
        <v/>
      </c>
      <c r="G37" s="90">
        <f>IFERROR(IF(LEN($F37)&lt;&gt;3,1,IF($F37="HKD",1,BDP(IF($F37="CNY",RMB_CROSS,$F37)&amp;"HKD Curncy","PX_LAST"))),1)</f>
        <v/>
      </c>
      <c r="H37" s="65">
        <f>IF($C37="","",BDP($C37,FLD_DPS12M))</f>
        <v/>
      </c>
      <c r="I37" s="47">
        <f>IF($C37="","",BDP($C37,FLD_YLD12M))</f>
        <v/>
      </c>
      <c r="J37" s="49">
        <f>IF($B37="",0,SUMPRODUCT(('Dvd Calendar'!$E$1446:$AR$1446&gt;=DATE(YEAR_Y,1,1))*('Dvd Calendar'!$E$1446:$AR$1446&lt;=REALIZED_TO)*'Dvd Calendar'!$E$1449:$AR$1449*(('Dvd Calendar'!$E$1451:$AR$1451=TYPE1)*(TYPE1&lt;&gt;"")+('Dvd Calendar'!$E$1451:$AR$1451=TYPE2)*(TYPE2&lt;&gt;"")+('Dvd Calendar'!$E$1451:$AR$1451=TYPE3)*(TYPE3&lt;&gt;"")+('Dvd Calendar'!$E$1451:$AR$1451=TYPE4)*(TYPE4&lt;&gt;"")+('Dvd Calendar'!$E$1451:$AR$1451=SPECIAL_LBL)*(INC_SPECIALS="Y"))))</f>
        <v/>
      </c>
      <c r="K37" s="49">
        <f>IF($B37="",0,SUMIFS('Dvd Calendar'!$E$1454:$AR$1454,'Dvd Calendar'!$E$1453:$AR$1453,"&gt;"&amp;PROJ_FROM,'Dvd Calendar'!$E$1453:$AR$1453,"&lt;="&amp;DATE(YEAR_Y,12,31)))</f>
        <v/>
      </c>
      <c r="L37" s="49">
        <f>IF($B37="",0,IF((OV_SWITCH="ON")*(COUNTIFS(OVR_TICKERS,$C37,OVR_BASE,"&gt;=0")&gt;0)&gt;0,SUMIFS(OVR_BASE,OVR_TICKERS,$C37),$K37))</f>
        <v/>
      </c>
      <c r="M37" s="49">
        <f>IF($B37="",0,IF((OV_SWITCH="ON")*(COUNTIFS(OVR_TICKERS,$C37,OVR_LOW,"&gt;=0")&gt;0)&gt;0,SUMIFS(OVR_LOW,OVR_TICKERS,$C37),$L37))</f>
        <v/>
      </c>
      <c r="N37" s="49">
        <f>IF($B37="",0,IF((OV_SWITCH="ON")*(COUNTIFS(OVR_TICKERS,$C37,OVR_HIGH,"&gt;=0")&gt;0)&gt;0,SUMIFS(OVR_HIGH,OVR_TICKERS,$C37),$L37))</f>
        <v/>
      </c>
      <c r="O37" s="65">
        <f>IF($B37="","",IFERROR($B37*$G37*$J37/$B$3,""))</f>
        <v/>
      </c>
      <c r="P37" s="65">
        <f>IF($B37="","",IFERROR($B37*$G37*$L37/$B$3,""))</f>
        <v/>
      </c>
      <c r="Q37" s="41">
        <f>IF($B37="","",IFERROR($O37+$P37,""))</f>
        <v/>
      </c>
      <c r="R37" s="65">
        <f>IF($B37="","",IFERROR($O37+$B37*$G37*$M37/$B$3,""))</f>
        <v/>
      </c>
      <c r="S37" s="65">
        <f>IF($B37="","",IFERROR($O37+$B37*$G37*$N37/$B$3,""))</f>
        <v/>
      </c>
      <c r="T37" s="80">
        <f>IF($B37="","",IFERROR($Q37/$Q$5,""))</f>
        <v/>
      </c>
      <c r="U37" s="2">
        <f>IF($B37="","",IF(COUNTIFS('Dvd Calendar'!$E$1452:$AR$1452,"&gt;0",'Dvd Calendar'!$E$1452:$AR$1452,"&lt;="&amp;VAL_DATE,'Dvd Calendar'!$E$1453:$AR$1453,"&gt;"&amp;PROJ_FROM,'Dvd Calendar'!$E$1453:$AR$1453,"&lt;="&amp;DATE(YEAR_Y,12,31))-COUNTIFS('Dvd Calendar'!$E$1452:$AR$1452,"&gt;0",'Dvd Calendar'!$E$1452:$AR$1452,"&lt;="&amp;VAL_DATE,'Dvd Calendar'!$E$1453:$AR$1453,"&gt;"&amp;PROJ_FROM,'Dvd Calendar'!$E$1453:$AR$1453,"&lt;="&amp;DATE(YEAR_Y,12,31),'Dvd Calendar'!$E$1454:$AR$1454,"&gt;=0")&gt;0,"TBA amount - override me",IF((OV_SWITCH="ON")*(COUNTIFS(OVR_TICKERS,$C37,OVR_BASE,"&gt;=0")&gt;0)&gt;0,"overridden",IF($J37+$K37=0,"no dividend in year Y",""))))</f>
        <v/>
      </c>
      <c r="V37" s="65">
        <f>IF($B37="","",IFERROR(IF(ISNUMBER($H37),$B37*$G37*$H37/$B$3,0),""))</f>
        <v/>
      </c>
      <c r="W37" s="65">
        <f>IF($B37="","",IFERROR($B37*$G37*$K37/$B$3,""))</f>
        <v/>
      </c>
      <c r="X37" s="91">
        <f>IF($C37="","",BDP($C37,"PX_LAST"))</f>
        <v/>
      </c>
      <c r="Y37" s="65">
        <f>IF($B37="","",IFERROR($B37*$X37/$B$3,""))</f>
        <v/>
      </c>
      <c r="Z37" s="76">
        <f>IF($B37="","",IFERROR($Y37/$Y$5,""))</f>
        <v/>
      </c>
    </row>
    <row r="38">
      <c r="B38" s="89" t="n"/>
      <c r="C38" s="6">
        <f>IF($A38="","",$A38&amp;" Equity")</f>
        <v/>
      </c>
      <c r="D38" s="6">
        <f>IF($C38="","",BDP($C38,"NAME"))</f>
        <v/>
      </c>
      <c r="E38" s="6">
        <f>IF($C38="","",BDP($C38,"GICS_SECTOR_NAME"))</f>
        <v/>
      </c>
      <c r="F38" s="33">
        <f>IF($C38="","",BDP($C38,FLD_CCY))</f>
        <v/>
      </c>
      <c r="G38" s="90">
        <f>IFERROR(IF(LEN($F38)&lt;&gt;3,1,IF($F38="HKD",1,BDP(IF($F38="CNY",RMB_CROSS,$F38)&amp;"HKD Curncy","PX_LAST"))),1)</f>
        <v/>
      </c>
      <c r="H38" s="65">
        <f>IF($C38="","",BDP($C38,FLD_DPS12M))</f>
        <v/>
      </c>
      <c r="I38" s="47">
        <f>IF($C38="","",BDP($C38,FLD_YLD12M))</f>
        <v/>
      </c>
      <c r="J38" s="49">
        <f>IF($B38="",0,SUMPRODUCT(('Dvd Calendar'!$E$1457:$AR$1457&gt;=DATE(YEAR_Y,1,1))*('Dvd Calendar'!$E$1457:$AR$1457&lt;=REALIZED_TO)*'Dvd Calendar'!$E$1460:$AR$1460*(('Dvd Calendar'!$E$1462:$AR$1462=TYPE1)*(TYPE1&lt;&gt;"")+('Dvd Calendar'!$E$1462:$AR$1462=TYPE2)*(TYPE2&lt;&gt;"")+('Dvd Calendar'!$E$1462:$AR$1462=TYPE3)*(TYPE3&lt;&gt;"")+('Dvd Calendar'!$E$1462:$AR$1462=TYPE4)*(TYPE4&lt;&gt;"")+('Dvd Calendar'!$E$1462:$AR$1462=SPECIAL_LBL)*(INC_SPECIALS="Y"))))</f>
        <v/>
      </c>
      <c r="K38" s="49">
        <f>IF($B38="",0,SUMIFS('Dvd Calendar'!$E$1465:$AR$1465,'Dvd Calendar'!$E$1464:$AR$1464,"&gt;"&amp;PROJ_FROM,'Dvd Calendar'!$E$1464:$AR$1464,"&lt;="&amp;DATE(YEAR_Y,12,31)))</f>
        <v/>
      </c>
      <c r="L38" s="49">
        <f>IF($B38="",0,IF((OV_SWITCH="ON")*(COUNTIFS(OVR_TICKERS,$C38,OVR_BASE,"&gt;=0")&gt;0)&gt;0,SUMIFS(OVR_BASE,OVR_TICKERS,$C38),$K38))</f>
        <v/>
      </c>
      <c r="M38" s="49">
        <f>IF($B38="",0,IF((OV_SWITCH="ON")*(COUNTIFS(OVR_TICKERS,$C38,OVR_LOW,"&gt;=0")&gt;0)&gt;0,SUMIFS(OVR_LOW,OVR_TICKERS,$C38),$L38))</f>
        <v/>
      </c>
      <c r="N38" s="49">
        <f>IF($B38="",0,IF((OV_SWITCH="ON")*(COUNTIFS(OVR_TICKERS,$C38,OVR_HIGH,"&gt;=0")&gt;0)&gt;0,SUMIFS(OVR_HIGH,OVR_TICKERS,$C38),$L38))</f>
        <v/>
      </c>
      <c r="O38" s="65">
        <f>IF($B38="","",IFERROR($B38*$G38*$J38/$B$3,""))</f>
        <v/>
      </c>
      <c r="P38" s="65">
        <f>IF($B38="","",IFERROR($B38*$G38*$L38/$B$3,""))</f>
        <v/>
      </c>
      <c r="Q38" s="41">
        <f>IF($B38="","",IFERROR($O38+$P38,""))</f>
        <v/>
      </c>
      <c r="R38" s="65">
        <f>IF($B38="","",IFERROR($O38+$B38*$G38*$M38/$B$3,""))</f>
        <v/>
      </c>
      <c r="S38" s="65">
        <f>IF($B38="","",IFERROR($O38+$B38*$G38*$N38/$B$3,""))</f>
        <v/>
      </c>
      <c r="T38" s="80">
        <f>IF($B38="","",IFERROR($Q38/$Q$5,""))</f>
        <v/>
      </c>
      <c r="U38" s="2">
        <f>IF($B38="","",IF(COUNTIFS('Dvd Calendar'!$E$1463:$AR$1463,"&gt;0",'Dvd Calendar'!$E$1463:$AR$1463,"&lt;="&amp;VAL_DATE,'Dvd Calendar'!$E$1464:$AR$1464,"&gt;"&amp;PROJ_FROM,'Dvd Calendar'!$E$1464:$AR$1464,"&lt;="&amp;DATE(YEAR_Y,12,31))-COUNTIFS('Dvd Calendar'!$E$1463:$AR$1463,"&gt;0",'Dvd Calendar'!$E$1463:$AR$1463,"&lt;="&amp;VAL_DATE,'Dvd Calendar'!$E$1464:$AR$1464,"&gt;"&amp;PROJ_FROM,'Dvd Calendar'!$E$1464:$AR$1464,"&lt;="&amp;DATE(YEAR_Y,12,31),'Dvd Calendar'!$E$1465:$AR$1465,"&gt;=0")&gt;0,"TBA amount - override me",IF((OV_SWITCH="ON")*(COUNTIFS(OVR_TICKERS,$C38,OVR_BASE,"&gt;=0")&gt;0)&gt;0,"overridden",IF($J38+$K38=0,"no dividend in year Y",""))))</f>
        <v/>
      </c>
      <c r="V38" s="65">
        <f>IF($B38="","",IFERROR(IF(ISNUMBER($H38),$B38*$G38*$H38/$B$3,0),""))</f>
        <v/>
      </c>
      <c r="W38" s="65">
        <f>IF($B38="","",IFERROR($B38*$G38*$K38/$B$3,""))</f>
        <v/>
      </c>
      <c r="X38" s="91">
        <f>IF($C38="","",BDP($C38,"PX_LAST"))</f>
        <v/>
      </c>
      <c r="Y38" s="65">
        <f>IF($B38="","",IFERROR($B38*$X38/$B$3,""))</f>
        <v/>
      </c>
      <c r="Z38" s="76">
        <f>IF($B38="","",IFERROR($Y38/$Y$5,""))</f>
        <v/>
      </c>
    </row>
    <row r="39">
      <c r="B39" s="89" t="n"/>
      <c r="C39" s="6">
        <f>IF($A39="","",$A39&amp;" Equity")</f>
        <v/>
      </c>
      <c r="D39" s="6">
        <f>IF($C39="","",BDP($C39,"NAME"))</f>
        <v/>
      </c>
      <c r="E39" s="6">
        <f>IF($C39="","",BDP($C39,"GICS_SECTOR_NAME"))</f>
        <v/>
      </c>
      <c r="F39" s="33">
        <f>IF($C39="","",BDP($C39,FLD_CCY))</f>
        <v/>
      </c>
      <c r="G39" s="90">
        <f>IFERROR(IF(LEN($F39)&lt;&gt;3,1,IF($F39="HKD",1,BDP(IF($F39="CNY",RMB_CROSS,$F39)&amp;"HKD Curncy","PX_LAST"))),1)</f>
        <v/>
      </c>
      <c r="H39" s="65">
        <f>IF($C39="","",BDP($C39,FLD_DPS12M))</f>
        <v/>
      </c>
      <c r="I39" s="47">
        <f>IF($C39="","",BDP($C39,FLD_YLD12M))</f>
        <v/>
      </c>
      <c r="J39" s="49">
        <f>IF($B39="",0,SUMPRODUCT(('Dvd Calendar'!$E$1468:$AR$1468&gt;=DATE(YEAR_Y,1,1))*('Dvd Calendar'!$E$1468:$AR$1468&lt;=REALIZED_TO)*'Dvd Calendar'!$E$1471:$AR$1471*(('Dvd Calendar'!$E$1473:$AR$1473=TYPE1)*(TYPE1&lt;&gt;"")+('Dvd Calendar'!$E$1473:$AR$1473=TYPE2)*(TYPE2&lt;&gt;"")+('Dvd Calendar'!$E$1473:$AR$1473=TYPE3)*(TYPE3&lt;&gt;"")+('Dvd Calendar'!$E$1473:$AR$1473=TYPE4)*(TYPE4&lt;&gt;"")+('Dvd Calendar'!$E$1473:$AR$1473=SPECIAL_LBL)*(INC_SPECIALS="Y"))))</f>
        <v/>
      </c>
      <c r="K39" s="49">
        <f>IF($B39="",0,SUMIFS('Dvd Calendar'!$E$1476:$AR$1476,'Dvd Calendar'!$E$1475:$AR$1475,"&gt;"&amp;PROJ_FROM,'Dvd Calendar'!$E$1475:$AR$1475,"&lt;="&amp;DATE(YEAR_Y,12,31)))</f>
        <v/>
      </c>
      <c r="L39" s="49">
        <f>IF($B39="",0,IF((OV_SWITCH="ON")*(COUNTIFS(OVR_TICKERS,$C39,OVR_BASE,"&gt;=0")&gt;0)&gt;0,SUMIFS(OVR_BASE,OVR_TICKERS,$C39),$K39))</f>
        <v/>
      </c>
      <c r="M39" s="49">
        <f>IF($B39="",0,IF((OV_SWITCH="ON")*(COUNTIFS(OVR_TICKERS,$C39,OVR_LOW,"&gt;=0")&gt;0)&gt;0,SUMIFS(OVR_LOW,OVR_TICKERS,$C39),$L39))</f>
        <v/>
      </c>
      <c r="N39" s="49">
        <f>IF($B39="",0,IF((OV_SWITCH="ON")*(COUNTIFS(OVR_TICKERS,$C39,OVR_HIGH,"&gt;=0")&gt;0)&gt;0,SUMIFS(OVR_HIGH,OVR_TICKERS,$C39),$L39))</f>
        <v/>
      </c>
      <c r="O39" s="65">
        <f>IF($B39="","",IFERROR($B39*$G39*$J39/$B$3,""))</f>
        <v/>
      </c>
      <c r="P39" s="65">
        <f>IF($B39="","",IFERROR($B39*$G39*$L39/$B$3,""))</f>
        <v/>
      </c>
      <c r="Q39" s="41">
        <f>IF($B39="","",IFERROR($O39+$P39,""))</f>
        <v/>
      </c>
      <c r="R39" s="65">
        <f>IF($B39="","",IFERROR($O39+$B39*$G39*$M39/$B$3,""))</f>
        <v/>
      </c>
      <c r="S39" s="65">
        <f>IF($B39="","",IFERROR($O39+$B39*$G39*$N39/$B$3,""))</f>
        <v/>
      </c>
      <c r="T39" s="80">
        <f>IF($B39="","",IFERROR($Q39/$Q$5,""))</f>
        <v/>
      </c>
      <c r="U39" s="2">
        <f>IF($B39="","",IF(COUNTIFS('Dvd Calendar'!$E$1474:$AR$1474,"&gt;0",'Dvd Calendar'!$E$1474:$AR$1474,"&lt;="&amp;VAL_DATE,'Dvd Calendar'!$E$1475:$AR$1475,"&gt;"&amp;PROJ_FROM,'Dvd Calendar'!$E$1475:$AR$1475,"&lt;="&amp;DATE(YEAR_Y,12,31))-COUNTIFS('Dvd Calendar'!$E$1474:$AR$1474,"&gt;0",'Dvd Calendar'!$E$1474:$AR$1474,"&lt;="&amp;VAL_DATE,'Dvd Calendar'!$E$1475:$AR$1475,"&gt;"&amp;PROJ_FROM,'Dvd Calendar'!$E$1475:$AR$1475,"&lt;="&amp;DATE(YEAR_Y,12,31),'Dvd Calendar'!$E$1476:$AR$1476,"&gt;=0")&gt;0,"TBA amount - override me",IF((OV_SWITCH="ON")*(COUNTIFS(OVR_TICKERS,$C39,OVR_BASE,"&gt;=0")&gt;0)&gt;0,"overridden",IF($J39+$K39=0,"no dividend in year Y",""))))</f>
        <v/>
      </c>
      <c r="V39" s="65">
        <f>IF($B39="","",IFERROR(IF(ISNUMBER($H39),$B39*$G39*$H39/$B$3,0),""))</f>
        <v/>
      </c>
      <c r="W39" s="65">
        <f>IF($B39="","",IFERROR($B39*$G39*$K39/$B$3,""))</f>
        <v/>
      </c>
      <c r="X39" s="91">
        <f>IF($C39="","",BDP($C39,"PX_LAST"))</f>
        <v/>
      </c>
      <c r="Y39" s="65">
        <f>IF($B39="","",IFERROR($B39*$X39/$B$3,""))</f>
        <v/>
      </c>
      <c r="Z39" s="76">
        <f>IF($B39="","",IFERROR($Y39/$Y$5,""))</f>
        <v/>
      </c>
    </row>
    <row r="40">
      <c r="B40" s="89" t="n"/>
      <c r="C40" s="6">
        <f>IF($A40="","",$A40&amp;" Equity")</f>
        <v/>
      </c>
      <c r="D40" s="6">
        <f>IF($C40="","",BDP($C40,"NAME"))</f>
        <v/>
      </c>
      <c r="E40" s="6">
        <f>IF($C40="","",BDP($C40,"GICS_SECTOR_NAME"))</f>
        <v/>
      </c>
      <c r="F40" s="33">
        <f>IF($C40="","",BDP($C40,FLD_CCY))</f>
        <v/>
      </c>
      <c r="G40" s="90">
        <f>IFERROR(IF(LEN($F40)&lt;&gt;3,1,IF($F40="HKD",1,BDP(IF($F40="CNY",RMB_CROSS,$F40)&amp;"HKD Curncy","PX_LAST"))),1)</f>
        <v/>
      </c>
      <c r="H40" s="65">
        <f>IF($C40="","",BDP($C40,FLD_DPS12M))</f>
        <v/>
      </c>
      <c r="I40" s="47">
        <f>IF($C40="","",BDP($C40,FLD_YLD12M))</f>
        <v/>
      </c>
      <c r="J40" s="49">
        <f>IF($B40="",0,SUMPRODUCT(('Dvd Calendar'!$E$1479:$AR$1479&gt;=DATE(YEAR_Y,1,1))*('Dvd Calendar'!$E$1479:$AR$1479&lt;=REALIZED_TO)*'Dvd Calendar'!$E$1482:$AR$1482*(('Dvd Calendar'!$E$1484:$AR$1484=TYPE1)*(TYPE1&lt;&gt;"")+('Dvd Calendar'!$E$1484:$AR$1484=TYPE2)*(TYPE2&lt;&gt;"")+('Dvd Calendar'!$E$1484:$AR$1484=TYPE3)*(TYPE3&lt;&gt;"")+('Dvd Calendar'!$E$1484:$AR$1484=TYPE4)*(TYPE4&lt;&gt;"")+('Dvd Calendar'!$E$1484:$AR$1484=SPECIAL_LBL)*(INC_SPECIALS="Y"))))</f>
        <v/>
      </c>
      <c r="K40" s="49">
        <f>IF($B40="",0,SUMIFS('Dvd Calendar'!$E$1487:$AR$1487,'Dvd Calendar'!$E$1486:$AR$1486,"&gt;"&amp;PROJ_FROM,'Dvd Calendar'!$E$1486:$AR$1486,"&lt;="&amp;DATE(YEAR_Y,12,31)))</f>
        <v/>
      </c>
      <c r="L40" s="49">
        <f>IF($B40="",0,IF((OV_SWITCH="ON")*(COUNTIFS(OVR_TICKERS,$C40,OVR_BASE,"&gt;=0")&gt;0)&gt;0,SUMIFS(OVR_BASE,OVR_TICKERS,$C40),$K40))</f>
        <v/>
      </c>
      <c r="M40" s="49">
        <f>IF($B40="",0,IF((OV_SWITCH="ON")*(COUNTIFS(OVR_TICKERS,$C40,OVR_LOW,"&gt;=0")&gt;0)&gt;0,SUMIFS(OVR_LOW,OVR_TICKERS,$C40),$L40))</f>
        <v/>
      </c>
      <c r="N40" s="49">
        <f>IF($B40="",0,IF((OV_SWITCH="ON")*(COUNTIFS(OVR_TICKERS,$C40,OVR_HIGH,"&gt;=0")&gt;0)&gt;0,SUMIFS(OVR_HIGH,OVR_TICKERS,$C40),$L40))</f>
        <v/>
      </c>
      <c r="O40" s="65">
        <f>IF($B40="","",IFERROR($B40*$G40*$J40/$B$3,""))</f>
        <v/>
      </c>
      <c r="P40" s="65">
        <f>IF($B40="","",IFERROR($B40*$G40*$L40/$B$3,""))</f>
        <v/>
      </c>
      <c r="Q40" s="41">
        <f>IF($B40="","",IFERROR($O40+$P40,""))</f>
        <v/>
      </c>
      <c r="R40" s="65">
        <f>IF($B40="","",IFERROR($O40+$B40*$G40*$M40/$B$3,""))</f>
        <v/>
      </c>
      <c r="S40" s="65">
        <f>IF($B40="","",IFERROR($O40+$B40*$G40*$N40/$B$3,""))</f>
        <v/>
      </c>
      <c r="T40" s="80">
        <f>IF($B40="","",IFERROR($Q40/$Q$5,""))</f>
        <v/>
      </c>
      <c r="U40" s="2">
        <f>IF($B40="","",IF(COUNTIFS('Dvd Calendar'!$E$1485:$AR$1485,"&gt;0",'Dvd Calendar'!$E$1485:$AR$1485,"&lt;="&amp;VAL_DATE,'Dvd Calendar'!$E$1486:$AR$1486,"&gt;"&amp;PROJ_FROM,'Dvd Calendar'!$E$1486:$AR$1486,"&lt;="&amp;DATE(YEAR_Y,12,31))-COUNTIFS('Dvd Calendar'!$E$1485:$AR$1485,"&gt;0",'Dvd Calendar'!$E$1485:$AR$1485,"&lt;="&amp;VAL_DATE,'Dvd Calendar'!$E$1486:$AR$1486,"&gt;"&amp;PROJ_FROM,'Dvd Calendar'!$E$1486:$AR$1486,"&lt;="&amp;DATE(YEAR_Y,12,31),'Dvd Calendar'!$E$1487:$AR$1487,"&gt;=0")&gt;0,"TBA amount - override me",IF((OV_SWITCH="ON")*(COUNTIFS(OVR_TICKERS,$C40,OVR_BASE,"&gt;=0")&gt;0)&gt;0,"overridden",IF($J40+$K40=0,"no dividend in year Y",""))))</f>
        <v/>
      </c>
      <c r="V40" s="65">
        <f>IF($B40="","",IFERROR(IF(ISNUMBER($H40),$B40*$G40*$H40/$B$3,0),""))</f>
        <v/>
      </c>
      <c r="W40" s="65">
        <f>IF($B40="","",IFERROR($B40*$G40*$K40/$B$3,""))</f>
        <v/>
      </c>
      <c r="X40" s="91">
        <f>IF($C40="","",BDP($C40,"PX_LAST"))</f>
        <v/>
      </c>
      <c r="Y40" s="65">
        <f>IF($B40="","",IFERROR($B40*$X40/$B$3,""))</f>
        <v/>
      </c>
      <c r="Z40" s="76">
        <f>IF($B40="","",IFERROR($Y40/$Y$5,""))</f>
        <v/>
      </c>
    </row>
    <row r="41">
      <c r="B41" s="89" t="n"/>
      <c r="C41" s="6">
        <f>IF($A41="","",$A41&amp;" Equity")</f>
        <v/>
      </c>
      <c r="D41" s="6">
        <f>IF($C41="","",BDP($C41,"NAME"))</f>
        <v/>
      </c>
      <c r="E41" s="6">
        <f>IF($C41="","",BDP($C41,"GICS_SECTOR_NAME"))</f>
        <v/>
      </c>
      <c r="F41" s="33">
        <f>IF($C41="","",BDP($C41,FLD_CCY))</f>
        <v/>
      </c>
      <c r="G41" s="90">
        <f>IFERROR(IF(LEN($F41)&lt;&gt;3,1,IF($F41="HKD",1,BDP(IF($F41="CNY",RMB_CROSS,$F41)&amp;"HKD Curncy","PX_LAST"))),1)</f>
        <v/>
      </c>
      <c r="H41" s="65">
        <f>IF($C41="","",BDP($C41,FLD_DPS12M))</f>
        <v/>
      </c>
      <c r="I41" s="47">
        <f>IF($C41="","",BDP($C41,FLD_YLD12M))</f>
        <v/>
      </c>
      <c r="J41" s="49">
        <f>IF($B41="",0,SUMPRODUCT(('Dvd Calendar'!$E$1490:$AR$1490&gt;=DATE(YEAR_Y,1,1))*('Dvd Calendar'!$E$1490:$AR$1490&lt;=REALIZED_TO)*'Dvd Calendar'!$E$1493:$AR$1493*(('Dvd Calendar'!$E$1495:$AR$1495=TYPE1)*(TYPE1&lt;&gt;"")+('Dvd Calendar'!$E$1495:$AR$1495=TYPE2)*(TYPE2&lt;&gt;"")+('Dvd Calendar'!$E$1495:$AR$1495=TYPE3)*(TYPE3&lt;&gt;"")+('Dvd Calendar'!$E$1495:$AR$1495=TYPE4)*(TYPE4&lt;&gt;"")+('Dvd Calendar'!$E$1495:$AR$1495=SPECIAL_LBL)*(INC_SPECIALS="Y"))))</f>
        <v/>
      </c>
      <c r="K41" s="49">
        <f>IF($B41="",0,SUMIFS('Dvd Calendar'!$E$1498:$AR$1498,'Dvd Calendar'!$E$1497:$AR$1497,"&gt;"&amp;PROJ_FROM,'Dvd Calendar'!$E$1497:$AR$1497,"&lt;="&amp;DATE(YEAR_Y,12,31)))</f>
        <v/>
      </c>
      <c r="L41" s="49">
        <f>IF($B41="",0,IF((OV_SWITCH="ON")*(COUNTIFS(OVR_TICKERS,$C41,OVR_BASE,"&gt;=0")&gt;0)&gt;0,SUMIFS(OVR_BASE,OVR_TICKERS,$C41),$K41))</f>
        <v/>
      </c>
      <c r="M41" s="49">
        <f>IF($B41="",0,IF((OV_SWITCH="ON")*(COUNTIFS(OVR_TICKERS,$C41,OVR_LOW,"&gt;=0")&gt;0)&gt;0,SUMIFS(OVR_LOW,OVR_TICKERS,$C41),$L41))</f>
        <v/>
      </c>
      <c r="N41" s="49">
        <f>IF($B41="",0,IF((OV_SWITCH="ON")*(COUNTIFS(OVR_TICKERS,$C41,OVR_HIGH,"&gt;=0")&gt;0)&gt;0,SUMIFS(OVR_HIGH,OVR_TICKERS,$C41),$L41))</f>
        <v/>
      </c>
      <c r="O41" s="65">
        <f>IF($B41="","",IFERROR($B41*$G41*$J41/$B$3,""))</f>
        <v/>
      </c>
      <c r="P41" s="65">
        <f>IF($B41="","",IFERROR($B41*$G41*$L41/$B$3,""))</f>
        <v/>
      </c>
      <c r="Q41" s="41">
        <f>IF($B41="","",IFERROR($O41+$P41,""))</f>
        <v/>
      </c>
      <c r="R41" s="65">
        <f>IF($B41="","",IFERROR($O41+$B41*$G41*$M41/$B$3,""))</f>
        <v/>
      </c>
      <c r="S41" s="65">
        <f>IF($B41="","",IFERROR($O41+$B41*$G41*$N41/$B$3,""))</f>
        <v/>
      </c>
      <c r="T41" s="80">
        <f>IF($B41="","",IFERROR($Q41/$Q$5,""))</f>
        <v/>
      </c>
      <c r="U41" s="2">
        <f>IF($B41="","",IF(COUNTIFS('Dvd Calendar'!$E$1496:$AR$1496,"&gt;0",'Dvd Calendar'!$E$1496:$AR$1496,"&lt;="&amp;VAL_DATE,'Dvd Calendar'!$E$1497:$AR$1497,"&gt;"&amp;PROJ_FROM,'Dvd Calendar'!$E$1497:$AR$1497,"&lt;="&amp;DATE(YEAR_Y,12,31))-COUNTIFS('Dvd Calendar'!$E$1496:$AR$1496,"&gt;0",'Dvd Calendar'!$E$1496:$AR$1496,"&lt;="&amp;VAL_DATE,'Dvd Calendar'!$E$1497:$AR$1497,"&gt;"&amp;PROJ_FROM,'Dvd Calendar'!$E$1497:$AR$1497,"&lt;="&amp;DATE(YEAR_Y,12,31),'Dvd Calendar'!$E$1498:$AR$1498,"&gt;=0")&gt;0,"TBA amount - override me",IF((OV_SWITCH="ON")*(COUNTIFS(OVR_TICKERS,$C41,OVR_BASE,"&gt;=0")&gt;0)&gt;0,"overridden",IF($J41+$K41=0,"no dividend in year Y",""))))</f>
        <v/>
      </c>
      <c r="V41" s="65">
        <f>IF($B41="","",IFERROR(IF(ISNUMBER($H41),$B41*$G41*$H41/$B$3,0),""))</f>
        <v/>
      </c>
      <c r="W41" s="65">
        <f>IF($B41="","",IFERROR($B41*$G41*$K41/$B$3,""))</f>
        <v/>
      </c>
      <c r="X41" s="91">
        <f>IF($C41="","",BDP($C41,"PX_LAST"))</f>
        <v/>
      </c>
      <c r="Y41" s="65">
        <f>IF($B41="","",IFERROR($B41*$X41/$B$3,""))</f>
        <v/>
      </c>
      <c r="Z41" s="76">
        <f>IF($B41="","",IFERROR($Y41/$Y$5,""))</f>
        <v/>
      </c>
    </row>
    <row r="42">
      <c r="B42" s="89" t="n"/>
      <c r="C42" s="6">
        <f>IF($A42="","",$A42&amp;" Equity")</f>
        <v/>
      </c>
      <c r="D42" s="6">
        <f>IF($C42="","",BDP($C42,"NAME"))</f>
        <v/>
      </c>
      <c r="E42" s="6">
        <f>IF($C42="","",BDP($C42,"GICS_SECTOR_NAME"))</f>
        <v/>
      </c>
      <c r="F42" s="33">
        <f>IF($C42="","",BDP($C42,FLD_CCY))</f>
        <v/>
      </c>
      <c r="G42" s="90">
        <f>IFERROR(IF(LEN($F42)&lt;&gt;3,1,IF($F42="HKD",1,BDP(IF($F42="CNY",RMB_CROSS,$F42)&amp;"HKD Curncy","PX_LAST"))),1)</f>
        <v/>
      </c>
      <c r="H42" s="65">
        <f>IF($C42="","",BDP($C42,FLD_DPS12M))</f>
        <v/>
      </c>
      <c r="I42" s="47">
        <f>IF($C42="","",BDP($C42,FLD_YLD12M))</f>
        <v/>
      </c>
      <c r="J42" s="49">
        <f>IF($B42="",0,SUMPRODUCT(('Dvd Calendar'!$E$1501:$AR$1501&gt;=DATE(YEAR_Y,1,1))*('Dvd Calendar'!$E$1501:$AR$1501&lt;=REALIZED_TO)*'Dvd Calendar'!$E$1504:$AR$1504*(('Dvd Calendar'!$E$1506:$AR$1506=TYPE1)*(TYPE1&lt;&gt;"")+('Dvd Calendar'!$E$1506:$AR$1506=TYPE2)*(TYPE2&lt;&gt;"")+('Dvd Calendar'!$E$1506:$AR$1506=TYPE3)*(TYPE3&lt;&gt;"")+('Dvd Calendar'!$E$1506:$AR$1506=TYPE4)*(TYPE4&lt;&gt;"")+('Dvd Calendar'!$E$1506:$AR$1506=SPECIAL_LBL)*(INC_SPECIALS="Y"))))</f>
        <v/>
      </c>
      <c r="K42" s="49">
        <f>IF($B42="",0,SUMIFS('Dvd Calendar'!$E$1509:$AR$1509,'Dvd Calendar'!$E$1508:$AR$1508,"&gt;"&amp;PROJ_FROM,'Dvd Calendar'!$E$1508:$AR$1508,"&lt;="&amp;DATE(YEAR_Y,12,31)))</f>
        <v/>
      </c>
      <c r="L42" s="49">
        <f>IF($B42="",0,IF((OV_SWITCH="ON")*(COUNTIFS(OVR_TICKERS,$C42,OVR_BASE,"&gt;=0")&gt;0)&gt;0,SUMIFS(OVR_BASE,OVR_TICKERS,$C42),$K42))</f>
        <v/>
      </c>
      <c r="M42" s="49">
        <f>IF($B42="",0,IF((OV_SWITCH="ON")*(COUNTIFS(OVR_TICKERS,$C42,OVR_LOW,"&gt;=0")&gt;0)&gt;0,SUMIFS(OVR_LOW,OVR_TICKERS,$C42),$L42))</f>
        <v/>
      </c>
      <c r="N42" s="49">
        <f>IF($B42="",0,IF((OV_SWITCH="ON")*(COUNTIFS(OVR_TICKERS,$C42,OVR_HIGH,"&gt;=0")&gt;0)&gt;0,SUMIFS(OVR_HIGH,OVR_TICKERS,$C42),$L42))</f>
        <v/>
      </c>
      <c r="O42" s="65">
        <f>IF($B42="","",IFERROR($B42*$G42*$J42/$B$3,""))</f>
        <v/>
      </c>
      <c r="P42" s="65">
        <f>IF($B42="","",IFERROR($B42*$G42*$L42/$B$3,""))</f>
        <v/>
      </c>
      <c r="Q42" s="41">
        <f>IF($B42="","",IFERROR($O42+$P42,""))</f>
        <v/>
      </c>
      <c r="R42" s="65">
        <f>IF($B42="","",IFERROR($O42+$B42*$G42*$M42/$B$3,""))</f>
        <v/>
      </c>
      <c r="S42" s="65">
        <f>IF($B42="","",IFERROR($O42+$B42*$G42*$N42/$B$3,""))</f>
        <v/>
      </c>
      <c r="T42" s="80">
        <f>IF($B42="","",IFERROR($Q42/$Q$5,""))</f>
        <v/>
      </c>
      <c r="U42" s="2">
        <f>IF($B42="","",IF(COUNTIFS('Dvd Calendar'!$E$1507:$AR$1507,"&gt;0",'Dvd Calendar'!$E$1507:$AR$1507,"&lt;="&amp;VAL_DATE,'Dvd Calendar'!$E$1508:$AR$1508,"&gt;"&amp;PROJ_FROM,'Dvd Calendar'!$E$1508:$AR$1508,"&lt;="&amp;DATE(YEAR_Y,12,31))-COUNTIFS('Dvd Calendar'!$E$1507:$AR$1507,"&gt;0",'Dvd Calendar'!$E$1507:$AR$1507,"&lt;="&amp;VAL_DATE,'Dvd Calendar'!$E$1508:$AR$1508,"&gt;"&amp;PROJ_FROM,'Dvd Calendar'!$E$1508:$AR$1508,"&lt;="&amp;DATE(YEAR_Y,12,31),'Dvd Calendar'!$E$1509:$AR$1509,"&gt;=0")&gt;0,"TBA amount - override me",IF((OV_SWITCH="ON")*(COUNTIFS(OVR_TICKERS,$C42,OVR_BASE,"&gt;=0")&gt;0)&gt;0,"overridden",IF($J42+$K42=0,"no dividend in year Y",""))))</f>
        <v/>
      </c>
      <c r="V42" s="65">
        <f>IF($B42="","",IFERROR(IF(ISNUMBER($H42),$B42*$G42*$H42/$B$3,0),""))</f>
        <v/>
      </c>
      <c r="W42" s="65">
        <f>IF($B42="","",IFERROR($B42*$G42*$K42/$B$3,""))</f>
        <v/>
      </c>
      <c r="X42" s="91">
        <f>IF($C42="","",BDP($C42,"PX_LAST"))</f>
        <v/>
      </c>
      <c r="Y42" s="65">
        <f>IF($B42="","",IFERROR($B42*$X42/$B$3,""))</f>
        <v/>
      </c>
      <c r="Z42" s="76">
        <f>IF($B42="","",IFERROR($Y42/$Y$5,""))</f>
        <v/>
      </c>
    </row>
    <row r="43">
      <c r="B43" s="89" t="n"/>
      <c r="C43" s="6">
        <f>IF($A43="","",$A43&amp;" Equity")</f>
        <v/>
      </c>
      <c r="D43" s="6">
        <f>IF($C43="","",BDP($C43,"NAME"))</f>
        <v/>
      </c>
      <c r="E43" s="6">
        <f>IF($C43="","",BDP($C43,"GICS_SECTOR_NAME"))</f>
        <v/>
      </c>
      <c r="F43" s="33">
        <f>IF($C43="","",BDP($C43,FLD_CCY))</f>
        <v/>
      </c>
      <c r="G43" s="90">
        <f>IFERROR(IF(LEN($F43)&lt;&gt;3,1,IF($F43="HKD",1,BDP(IF($F43="CNY",RMB_CROSS,$F43)&amp;"HKD Curncy","PX_LAST"))),1)</f>
        <v/>
      </c>
      <c r="H43" s="65">
        <f>IF($C43="","",BDP($C43,FLD_DPS12M))</f>
        <v/>
      </c>
      <c r="I43" s="47">
        <f>IF($C43="","",BDP($C43,FLD_YLD12M))</f>
        <v/>
      </c>
      <c r="J43" s="49">
        <f>IF($B43="",0,SUMPRODUCT(('Dvd Calendar'!$E$1512:$AR$1512&gt;=DATE(YEAR_Y,1,1))*('Dvd Calendar'!$E$1512:$AR$1512&lt;=REALIZED_TO)*'Dvd Calendar'!$E$1515:$AR$1515*(('Dvd Calendar'!$E$1517:$AR$1517=TYPE1)*(TYPE1&lt;&gt;"")+('Dvd Calendar'!$E$1517:$AR$1517=TYPE2)*(TYPE2&lt;&gt;"")+('Dvd Calendar'!$E$1517:$AR$1517=TYPE3)*(TYPE3&lt;&gt;"")+('Dvd Calendar'!$E$1517:$AR$1517=TYPE4)*(TYPE4&lt;&gt;"")+('Dvd Calendar'!$E$1517:$AR$1517=SPECIAL_LBL)*(INC_SPECIALS="Y"))))</f>
        <v/>
      </c>
      <c r="K43" s="49">
        <f>IF($B43="",0,SUMIFS('Dvd Calendar'!$E$1520:$AR$1520,'Dvd Calendar'!$E$1519:$AR$1519,"&gt;"&amp;PROJ_FROM,'Dvd Calendar'!$E$1519:$AR$1519,"&lt;="&amp;DATE(YEAR_Y,12,31)))</f>
        <v/>
      </c>
      <c r="L43" s="49">
        <f>IF($B43="",0,IF((OV_SWITCH="ON")*(COUNTIFS(OVR_TICKERS,$C43,OVR_BASE,"&gt;=0")&gt;0)&gt;0,SUMIFS(OVR_BASE,OVR_TICKERS,$C43),$K43))</f>
        <v/>
      </c>
      <c r="M43" s="49">
        <f>IF($B43="",0,IF((OV_SWITCH="ON")*(COUNTIFS(OVR_TICKERS,$C43,OVR_LOW,"&gt;=0")&gt;0)&gt;0,SUMIFS(OVR_LOW,OVR_TICKERS,$C43),$L43))</f>
        <v/>
      </c>
      <c r="N43" s="49">
        <f>IF($B43="",0,IF((OV_SWITCH="ON")*(COUNTIFS(OVR_TICKERS,$C43,OVR_HIGH,"&gt;=0")&gt;0)&gt;0,SUMIFS(OVR_HIGH,OVR_TICKERS,$C43),$L43))</f>
        <v/>
      </c>
      <c r="O43" s="65">
        <f>IF($B43="","",IFERROR($B43*$G43*$J43/$B$3,""))</f>
        <v/>
      </c>
      <c r="P43" s="65">
        <f>IF($B43="","",IFERROR($B43*$G43*$L43/$B$3,""))</f>
        <v/>
      </c>
      <c r="Q43" s="41">
        <f>IF($B43="","",IFERROR($O43+$P43,""))</f>
        <v/>
      </c>
      <c r="R43" s="65">
        <f>IF($B43="","",IFERROR($O43+$B43*$G43*$M43/$B$3,""))</f>
        <v/>
      </c>
      <c r="S43" s="65">
        <f>IF($B43="","",IFERROR($O43+$B43*$G43*$N43/$B$3,""))</f>
        <v/>
      </c>
      <c r="T43" s="80">
        <f>IF($B43="","",IFERROR($Q43/$Q$5,""))</f>
        <v/>
      </c>
      <c r="U43" s="2">
        <f>IF($B43="","",IF(COUNTIFS('Dvd Calendar'!$E$1518:$AR$1518,"&gt;0",'Dvd Calendar'!$E$1518:$AR$1518,"&lt;="&amp;VAL_DATE,'Dvd Calendar'!$E$1519:$AR$1519,"&gt;"&amp;PROJ_FROM,'Dvd Calendar'!$E$1519:$AR$1519,"&lt;="&amp;DATE(YEAR_Y,12,31))-COUNTIFS('Dvd Calendar'!$E$1518:$AR$1518,"&gt;0",'Dvd Calendar'!$E$1518:$AR$1518,"&lt;="&amp;VAL_DATE,'Dvd Calendar'!$E$1519:$AR$1519,"&gt;"&amp;PROJ_FROM,'Dvd Calendar'!$E$1519:$AR$1519,"&lt;="&amp;DATE(YEAR_Y,12,31),'Dvd Calendar'!$E$1520:$AR$1520,"&gt;=0")&gt;0,"TBA amount - override me",IF((OV_SWITCH="ON")*(COUNTIFS(OVR_TICKERS,$C43,OVR_BASE,"&gt;=0")&gt;0)&gt;0,"overridden",IF($J43+$K43=0,"no dividend in year Y",""))))</f>
        <v/>
      </c>
      <c r="V43" s="65">
        <f>IF($B43="","",IFERROR(IF(ISNUMBER($H43),$B43*$G43*$H43/$B$3,0),""))</f>
        <v/>
      </c>
      <c r="W43" s="65">
        <f>IF($B43="","",IFERROR($B43*$G43*$K43/$B$3,""))</f>
        <v/>
      </c>
      <c r="X43" s="91">
        <f>IF($C43="","",BDP($C43,"PX_LAST"))</f>
        <v/>
      </c>
      <c r="Y43" s="65">
        <f>IF($B43="","",IFERROR($B43*$X43/$B$3,""))</f>
        <v/>
      </c>
      <c r="Z43" s="76">
        <f>IF($B43="","",IFERROR($Y43/$Y$5,""))</f>
        <v/>
      </c>
    </row>
    <row r="44">
      <c r="B44" s="89" t="n"/>
      <c r="C44" s="6">
        <f>IF($A44="","",$A44&amp;" Equity")</f>
        <v/>
      </c>
      <c r="D44" s="6">
        <f>IF($C44="","",BDP($C44,"NAME"))</f>
        <v/>
      </c>
      <c r="E44" s="6">
        <f>IF($C44="","",BDP($C44,"GICS_SECTOR_NAME"))</f>
        <v/>
      </c>
      <c r="F44" s="33">
        <f>IF($C44="","",BDP($C44,FLD_CCY))</f>
        <v/>
      </c>
      <c r="G44" s="90">
        <f>IFERROR(IF(LEN($F44)&lt;&gt;3,1,IF($F44="HKD",1,BDP(IF($F44="CNY",RMB_CROSS,$F44)&amp;"HKD Curncy","PX_LAST"))),1)</f>
        <v/>
      </c>
      <c r="H44" s="65">
        <f>IF($C44="","",BDP($C44,FLD_DPS12M))</f>
        <v/>
      </c>
      <c r="I44" s="47">
        <f>IF($C44="","",BDP($C44,FLD_YLD12M))</f>
        <v/>
      </c>
      <c r="J44" s="49">
        <f>IF($B44="",0,SUMPRODUCT(('Dvd Calendar'!$E$1523:$AR$1523&gt;=DATE(YEAR_Y,1,1))*('Dvd Calendar'!$E$1523:$AR$1523&lt;=REALIZED_TO)*'Dvd Calendar'!$E$1526:$AR$1526*(('Dvd Calendar'!$E$1528:$AR$1528=TYPE1)*(TYPE1&lt;&gt;"")+('Dvd Calendar'!$E$1528:$AR$1528=TYPE2)*(TYPE2&lt;&gt;"")+('Dvd Calendar'!$E$1528:$AR$1528=TYPE3)*(TYPE3&lt;&gt;"")+('Dvd Calendar'!$E$1528:$AR$1528=TYPE4)*(TYPE4&lt;&gt;"")+('Dvd Calendar'!$E$1528:$AR$1528=SPECIAL_LBL)*(INC_SPECIALS="Y"))))</f>
        <v/>
      </c>
      <c r="K44" s="49">
        <f>IF($B44="",0,SUMIFS('Dvd Calendar'!$E$1531:$AR$1531,'Dvd Calendar'!$E$1530:$AR$1530,"&gt;"&amp;PROJ_FROM,'Dvd Calendar'!$E$1530:$AR$1530,"&lt;="&amp;DATE(YEAR_Y,12,31)))</f>
        <v/>
      </c>
      <c r="L44" s="49">
        <f>IF($B44="",0,IF((OV_SWITCH="ON")*(COUNTIFS(OVR_TICKERS,$C44,OVR_BASE,"&gt;=0")&gt;0)&gt;0,SUMIFS(OVR_BASE,OVR_TICKERS,$C44),$K44))</f>
        <v/>
      </c>
      <c r="M44" s="49">
        <f>IF($B44="",0,IF((OV_SWITCH="ON")*(COUNTIFS(OVR_TICKERS,$C44,OVR_LOW,"&gt;=0")&gt;0)&gt;0,SUMIFS(OVR_LOW,OVR_TICKERS,$C44),$L44))</f>
        <v/>
      </c>
      <c r="N44" s="49">
        <f>IF($B44="",0,IF((OV_SWITCH="ON")*(COUNTIFS(OVR_TICKERS,$C44,OVR_HIGH,"&gt;=0")&gt;0)&gt;0,SUMIFS(OVR_HIGH,OVR_TICKERS,$C44),$L44))</f>
        <v/>
      </c>
      <c r="O44" s="65">
        <f>IF($B44="","",IFERROR($B44*$G44*$J44/$B$3,""))</f>
        <v/>
      </c>
      <c r="P44" s="65">
        <f>IF($B44="","",IFERROR($B44*$G44*$L44/$B$3,""))</f>
        <v/>
      </c>
      <c r="Q44" s="41">
        <f>IF($B44="","",IFERROR($O44+$P44,""))</f>
        <v/>
      </c>
      <c r="R44" s="65">
        <f>IF($B44="","",IFERROR($O44+$B44*$G44*$M44/$B$3,""))</f>
        <v/>
      </c>
      <c r="S44" s="65">
        <f>IF($B44="","",IFERROR($O44+$B44*$G44*$N44/$B$3,""))</f>
        <v/>
      </c>
      <c r="T44" s="80">
        <f>IF($B44="","",IFERROR($Q44/$Q$5,""))</f>
        <v/>
      </c>
      <c r="U44" s="2">
        <f>IF($B44="","",IF(COUNTIFS('Dvd Calendar'!$E$1529:$AR$1529,"&gt;0",'Dvd Calendar'!$E$1529:$AR$1529,"&lt;="&amp;VAL_DATE,'Dvd Calendar'!$E$1530:$AR$1530,"&gt;"&amp;PROJ_FROM,'Dvd Calendar'!$E$1530:$AR$1530,"&lt;="&amp;DATE(YEAR_Y,12,31))-COUNTIFS('Dvd Calendar'!$E$1529:$AR$1529,"&gt;0",'Dvd Calendar'!$E$1529:$AR$1529,"&lt;="&amp;VAL_DATE,'Dvd Calendar'!$E$1530:$AR$1530,"&gt;"&amp;PROJ_FROM,'Dvd Calendar'!$E$1530:$AR$1530,"&lt;="&amp;DATE(YEAR_Y,12,31),'Dvd Calendar'!$E$1531:$AR$1531,"&gt;=0")&gt;0,"TBA amount - override me",IF((OV_SWITCH="ON")*(COUNTIFS(OVR_TICKERS,$C44,OVR_BASE,"&gt;=0")&gt;0)&gt;0,"overridden",IF($J44+$K44=0,"no dividend in year Y",""))))</f>
        <v/>
      </c>
      <c r="V44" s="65">
        <f>IF($B44="","",IFERROR(IF(ISNUMBER($H44),$B44*$G44*$H44/$B$3,0),""))</f>
        <v/>
      </c>
      <c r="W44" s="65">
        <f>IF($B44="","",IFERROR($B44*$G44*$K44/$B$3,""))</f>
        <v/>
      </c>
      <c r="X44" s="91">
        <f>IF($C44="","",BDP($C44,"PX_LAST"))</f>
        <v/>
      </c>
      <c r="Y44" s="65">
        <f>IF($B44="","",IFERROR($B44*$X44/$B$3,""))</f>
        <v/>
      </c>
      <c r="Z44" s="76">
        <f>IF($B44="","",IFERROR($Y44/$Y$5,""))</f>
        <v/>
      </c>
    </row>
    <row r="45">
      <c r="B45" s="89" t="n"/>
      <c r="C45" s="6">
        <f>IF($A45="","",$A45&amp;" Equity")</f>
        <v/>
      </c>
      <c r="D45" s="6">
        <f>IF($C45="","",BDP($C45,"NAME"))</f>
        <v/>
      </c>
      <c r="E45" s="6">
        <f>IF($C45="","",BDP($C45,"GICS_SECTOR_NAME"))</f>
        <v/>
      </c>
      <c r="F45" s="33">
        <f>IF($C45="","",BDP($C45,FLD_CCY))</f>
        <v/>
      </c>
      <c r="G45" s="90">
        <f>IFERROR(IF(LEN($F45)&lt;&gt;3,1,IF($F45="HKD",1,BDP(IF($F45="CNY",RMB_CROSS,$F45)&amp;"HKD Curncy","PX_LAST"))),1)</f>
        <v/>
      </c>
      <c r="H45" s="65">
        <f>IF($C45="","",BDP($C45,FLD_DPS12M))</f>
        <v/>
      </c>
      <c r="I45" s="47">
        <f>IF($C45="","",BDP($C45,FLD_YLD12M))</f>
        <v/>
      </c>
      <c r="J45" s="49">
        <f>IF($B45="",0,SUMPRODUCT(('Dvd Calendar'!$E$1534:$AR$1534&gt;=DATE(YEAR_Y,1,1))*('Dvd Calendar'!$E$1534:$AR$1534&lt;=REALIZED_TO)*'Dvd Calendar'!$E$1537:$AR$1537*(('Dvd Calendar'!$E$1539:$AR$1539=TYPE1)*(TYPE1&lt;&gt;"")+('Dvd Calendar'!$E$1539:$AR$1539=TYPE2)*(TYPE2&lt;&gt;"")+('Dvd Calendar'!$E$1539:$AR$1539=TYPE3)*(TYPE3&lt;&gt;"")+('Dvd Calendar'!$E$1539:$AR$1539=TYPE4)*(TYPE4&lt;&gt;"")+('Dvd Calendar'!$E$1539:$AR$1539=SPECIAL_LBL)*(INC_SPECIALS="Y"))))</f>
        <v/>
      </c>
      <c r="K45" s="49">
        <f>IF($B45="",0,SUMIFS('Dvd Calendar'!$E$1542:$AR$1542,'Dvd Calendar'!$E$1541:$AR$1541,"&gt;"&amp;PROJ_FROM,'Dvd Calendar'!$E$1541:$AR$1541,"&lt;="&amp;DATE(YEAR_Y,12,31)))</f>
        <v/>
      </c>
      <c r="L45" s="49">
        <f>IF($B45="",0,IF((OV_SWITCH="ON")*(COUNTIFS(OVR_TICKERS,$C45,OVR_BASE,"&gt;=0")&gt;0)&gt;0,SUMIFS(OVR_BASE,OVR_TICKERS,$C45),$K45))</f>
        <v/>
      </c>
      <c r="M45" s="49">
        <f>IF($B45="",0,IF((OV_SWITCH="ON")*(COUNTIFS(OVR_TICKERS,$C45,OVR_LOW,"&gt;=0")&gt;0)&gt;0,SUMIFS(OVR_LOW,OVR_TICKERS,$C45),$L45))</f>
        <v/>
      </c>
      <c r="N45" s="49">
        <f>IF($B45="",0,IF((OV_SWITCH="ON")*(COUNTIFS(OVR_TICKERS,$C45,OVR_HIGH,"&gt;=0")&gt;0)&gt;0,SUMIFS(OVR_HIGH,OVR_TICKERS,$C45),$L45))</f>
        <v/>
      </c>
      <c r="O45" s="65">
        <f>IF($B45="","",IFERROR($B45*$G45*$J45/$B$3,""))</f>
        <v/>
      </c>
      <c r="P45" s="65">
        <f>IF($B45="","",IFERROR($B45*$G45*$L45/$B$3,""))</f>
        <v/>
      </c>
      <c r="Q45" s="41">
        <f>IF($B45="","",IFERROR($O45+$P45,""))</f>
        <v/>
      </c>
      <c r="R45" s="65">
        <f>IF($B45="","",IFERROR($O45+$B45*$G45*$M45/$B$3,""))</f>
        <v/>
      </c>
      <c r="S45" s="65">
        <f>IF($B45="","",IFERROR($O45+$B45*$G45*$N45/$B$3,""))</f>
        <v/>
      </c>
      <c r="T45" s="80">
        <f>IF($B45="","",IFERROR($Q45/$Q$5,""))</f>
        <v/>
      </c>
      <c r="U45" s="2">
        <f>IF($B45="","",IF(COUNTIFS('Dvd Calendar'!$E$1540:$AR$1540,"&gt;0",'Dvd Calendar'!$E$1540:$AR$1540,"&lt;="&amp;VAL_DATE,'Dvd Calendar'!$E$1541:$AR$1541,"&gt;"&amp;PROJ_FROM,'Dvd Calendar'!$E$1541:$AR$1541,"&lt;="&amp;DATE(YEAR_Y,12,31))-COUNTIFS('Dvd Calendar'!$E$1540:$AR$1540,"&gt;0",'Dvd Calendar'!$E$1540:$AR$1540,"&lt;="&amp;VAL_DATE,'Dvd Calendar'!$E$1541:$AR$1541,"&gt;"&amp;PROJ_FROM,'Dvd Calendar'!$E$1541:$AR$1541,"&lt;="&amp;DATE(YEAR_Y,12,31),'Dvd Calendar'!$E$1542:$AR$1542,"&gt;=0")&gt;0,"TBA amount - override me",IF((OV_SWITCH="ON")*(COUNTIFS(OVR_TICKERS,$C45,OVR_BASE,"&gt;=0")&gt;0)&gt;0,"overridden",IF($J45+$K45=0,"no dividend in year Y",""))))</f>
        <v/>
      </c>
      <c r="V45" s="65">
        <f>IF($B45="","",IFERROR(IF(ISNUMBER($H45),$B45*$G45*$H45/$B$3,0),""))</f>
        <v/>
      </c>
      <c r="W45" s="65">
        <f>IF($B45="","",IFERROR($B45*$G45*$K45/$B$3,""))</f>
        <v/>
      </c>
      <c r="X45" s="91">
        <f>IF($C45="","",BDP($C45,"PX_LAST"))</f>
        <v/>
      </c>
      <c r="Y45" s="65">
        <f>IF($B45="","",IFERROR($B45*$X45/$B$3,""))</f>
        <v/>
      </c>
      <c r="Z45" s="76">
        <f>IF($B45="","",IFERROR($Y45/$Y$5,""))</f>
        <v/>
      </c>
    </row>
    <row r="46">
      <c r="B46" s="89" t="n"/>
      <c r="C46" s="6">
        <f>IF($A46="","",$A46&amp;" Equity")</f>
        <v/>
      </c>
      <c r="D46" s="6">
        <f>IF($C46="","",BDP($C46,"NAME"))</f>
        <v/>
      </c>
      <c r="E46" s="6">
        <f>IF($C46="","",BDP($C46,"GICS_SECTOR_NAME"))</f>
        <v/>
      </c>
      <c r="F46" s="33">
        <f>IF($C46="","",BDP($C46,FLD_CCY))</f>
        <v/>
      </c>
      <c r="G46" s="90">
        <f>IFERROR(IF(LEN($F46)&lt;&gt;3,1,IF($F46="HKD",1,BDP(IF($F46="CNY",RMB_CROSS,$F46)&amp;"HKD Curncy","PX_LAST"))),1)</f>
        <v/>
      </c>
      <c r="H46" s="65">
        <f>IF($C46="","",BDP($C46,FLD_DPS12M))</f>
        <v/>
      </c>
      <c r="I46" s="47">
        <f>IF($C46="","",BDP($C46,FLD_YLD12M))</f>
        <v/>
      </c>
      <c r="J46" s="49">
        <f>IF($B46="",0,SUMPRODUCT(('Dvd Calendar'!$E$1545:$AR$1545&gt;=DATE(YEAR_Y,1,1))*('Dvd Calendar'!$E$1545:$AR$1545&lt;=REALIZED_TO)*'Dvd Calendar'!$E$1548:$AR$1548*(('Dvd Calendar'!$E$1550:$AR$1550=TYPE1)*(TYPE1&lt;&gt;"")+('Dvd Calendar'!$E$1550:$AR$1550=TYPE2)*(TYPE2&lt;&gt;"")+('Dvd Calendar'!$E$1550:$AR$1550=TYPE3)*(TYPE3&lt;&gt;"")+('Dvd Calendar'!$E$1550:$AR$1550=TYPE4)*(TYPE4&lt;&gt;"")+('Dvd Calendar'!$E$1550:$AR$1550=SPECIAL_LBL)*(INC_SPECIALS="Y"))))</f>
        <v/>
      </c>
      <c r="K46" s="49">
        <f>IF($B46="",0,SUMIFS('Dvd Calendar'!$E$1553:$AR$1553,'Dvd Calendar'!$E$1552:$AR$1552,"&gt;"&amp;PROJ_FROM,'Dvd Calendar'!$E$1552:$AR$1552,"&lt;="&amp;DATE(YEAR_Y,12,31)))</f>
        <v/>
      </c>
      <c r="L46" s="49">
        <f>IF($B46="",0,IF((OV_SWITCH="ON")*(COUNTIFS(OVR_TICKERS,$C46,OVR_BASE,"&gt;=0")&gt;0)&gt;0,SUMIFS(OVR_BASE,OVR_TICKERS,$C46),$K46))</f>
        <v/>
      </c>
      <c r="M46" s="49">
        <f>IF($B46="",0,IF((OV_SWITCH="ON")*(COUNTIFS(OVR_TICKERS,$C46,OVR_LOW,"&gt;=0")&gt;0)&gt;0,SUMIFS(OVR_LOW,OVR_TICKERS,$C46),$L46))</f>
        <v/>
      </c>
      <c r="N46" s="49">
        <f>IF($B46="",0,IF((OV_SWITCH="ON")*(COUNTIFS(OVR_TICKERS,$C46,OVR_HIGH,"&gt;=0")&gt;0)&gt;0,SUMIFS(OVR_HIGH,OVR_TICKERS,$C46),$L46))</f>
        <v/>
      </c>
      <c r="O46" s="65">
        <f>IF($B46="","",IFERROR($B46*$G46*$J46/$B$3,""))</f>
        <v/>
      </c>
      <c r="P46" s="65">
        <f>IF($B46="","",IFERROR($B46*$G46*$L46/$B$3,""))</f>
        <v/>
      </c>
      <c r="Q46" s="41">
        <f>IF($B46="","",IFERROR($O46+$P46,""))</f>
        <v/>
      </c>
      <c r="R46" s="65">
        <f>IF($B46="","",IFERROR($O46+$B46*$G46*$M46/$B$3,""))</f>
        <v/>
      </c>
      <c r="S46" s="65">
        <f>IF($B46="","",IFERROR($O46+$B46*$G46*$N46/$B$3,""))</f>
        <v/>
      </c>
      <c r="T46" s="80">
        <f>IF($B46="","",IFERROR($Q46/$Q$5,""))</f>
        <v/>
      </c>
      <c r="U46" s="2">
        <f>IF($B46="","",IF(COUNTIFS('Dvd Calendar'!$E$1551:$AR$1551,"&gt;0",'Dvd Calendar'!$E$1551:$AR$1551,"&lt;="&amp;VAL_DATE,'Dvd Calendar'!$E$1552:$AR$1552,"&gt;"&amp;PROJ_FROM,'Dvd Calendar'!$E$1552:$AR$1552,"&lt;="&amp;DATE(YEAR_Y,12,31))-COUNTIFS('Dvd Calendar'!$E$1551:$AR$1551,"&gt;0",'Dvd Calendar'!$E$1551:$AR$1551,"&lt;="&amp;VAL_DATE,'Dvd Calendar'!$E$1552:$AR$1552,"&gt;"&amp;PROJ_FROM,'Dvd Calendar'!$E$1552:$AR$1552,"&lt;="&amp;DATE(YEAR_Y,12,31),'Dvd Calendar'!$E$1553:$AR$1553,"&gt;=0")&gt;0,"TBA amount - override me",IF((OV_SWITCH="ON")*(COUNTIFS(OVR_TICKERS,$C46,OVR_BASE,"&gt;=0")&gt;0)&gt;0,"overridden",IF($J46+$K46=0,"no dividend in year Y",""))))</f>
        <v/>
      </c>
      <c r="V46" s="65">
        <f>IF($B46="","",IFERROR(IF(ISNUMBER($H46),$B46*$G46*$H46/$B$3,0),""))</f>
        <v/>
      </c>
      <c r="W46" s="65">
        <f>IF($B46="","",IFERROR($B46*$G46*$K46/$B$3,""))</f>
        <v/>
      </c>
      <c r="X46" s="91">
        <f>IF($C46="","",BDP($C46,"PX_LAST"))</f>
        <v/>
      </c>
      <c r="Y46" s="65">
        <f>IF($B46="","",IFERROR($B46*$X46/$B$3,""))</f>
        <v/>
      </c>
      <c r="Z46" s="76">
        <f>IF($B46="","",IFERROR($Y46/$Y$5,""))</f>
        <v/>
      </c>
    </row>
  </sheetData>
  <autoFilter ref="A6:Z46"/>
  <conditionalFormatting sqref="U7:U46">
    <cfRule type="expression" priority="1" dxfId="0">
      <formula>ISNUMBER(SEARCH("TBA",$U7))</formula>
    </cfRule>
  </conditionalFormatting>
  <pageMargins left="0.75" right="0.75" top="1" bottom="1" header="0.5" footer="0.5"/>
</worksheet>
</file>

<file path=xl/worksheets/sheet9.xml><?xml version="1.0" encoding="utf-8"?>
<worksheet xmlns="http://schemas.openxmlformats.org/spreadsheetml/2006/main">
  <sheetPr>
    <tabColor rgb="008EAADB"/>
    <outlinePr summaryBelow="1" summaryRight="1"/>
    <pageSetUpPr/>
  </sheetPr>
  <dimension ref="A1:Z6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 width="10" customWidth="1" min="24" max="24"/>
    <col width="10" customWidth="1" min="25" max="25"/>
    <col width="9" customWidth="1" min="26" max="26"/>
  </cols>
  <sheetData>
    <row r="1">
      <c r="A1" s="1" t="inlineStr">
        <is>
          <t>Hang Seng China Enterprises (HSCEI)  -  MEMBERS, YOUR BASKET, AND THE YEAR MODEL</t>
        </is>
      </c>
    </row>
    <row r="2">
      <c r="A2" s="9" t="inlineStr">
        <is>
          <t>Index ticker</t>
        </is>
      </c>
      <c r="B2" s="14" t="inlineStr">
        <is>
          <t>HSCEI Index</t>
        </is>
      </c>
      <c r="G2" s="2" t="inlineStr">
        <is>
          <t>Members</t>
        </is>
      </c>
      <c r="H2" s="36">
        <f>SUMPRODUCT(($A$7:$A$66&lt;&gt;"")*1)</f>
        <v/>
      </c>
      <c r="K2" s="2" t="inlineStr">
        <is>
          <t>Qty pasted</t>
        </is>
      </c>
      <c r="L2" s="36">
        <f>COUNT($B$7:$B$66)</f>
        <v/>
      </c>
      <c r="O2" s="2" t="inlineStr">
        <is>
          <t>No qty</t>
        </is>
      </c>
      <c r="P2" s="36">
        <f>SUMPRODUCT(($A$7:$A$66&lt;&gt;"")*($B$7:$B$66=""))</f>
        <v/>
      </c>
      <c r="S2" s="2" t="inlineStr">
        <is>
          <t>Amount TBA</t>
        </is>
      </c>
      <c r="T2" s="36">
        <f>COUNTIF($U$7:$U$66,"TBA amount - override me")</f>
        <v/>
      </c>
    </row>
    <row r="3">
      <c r="A3" s="9" t="inlineStr">
        <is>
          <t>Index divisor</t>
        </is>
      </c>
      <c r="B3" s="25" t="n"/>
      <c r="C3" s="2" t="inlineStr">
        <is>
          <t>Paste the official divisor here and the basket quantities in column B, in CONSISTENT units - the SCALE FACTOR row on Summary flags a mismatch instantly. A refresh can reshuffle members; pasted quantities do NOT follow them.</t>
        </is>
      </c>
    </row>
    <row r="4">
      <c r="A4" s="3" t="inlineStr">
        <is>
          <t>MEMBER &amp; REFERENCE DATA (Bloomberg)</t>
        </is>
      </c>
      <c r="B4" s="4" t="n"/>
      <c r="C4" s="4" t="n"/>
      <c r="D4" s="4" t="n"/>
      <c r="E4" s="4" t="n"/>
      <c r="F4" s="4" t="n"/>
      <c r="G4" s="4" t="n"/>
      <c r="H4" s="4" t="n"/>
      <c r="I4" s="4" t="n"/>
      <c r="J4" s="53" t="inlineStr">
        <is>
          <t>DIVIDEND PER SHARE - declared currency</t>
        </is>
      </c>
      <c r="K4" s="54" t="n"/>
      <c r="L4" s="54" t="n"/>
      <c r="M4" s="54" t="n"/>
      <c r="N4" s="54" t="n"/>
      <c r="O4" s="53" t="inlineStr">
        <is>
          <t>INDEX POINTS</t>
        </is>
      </c>
      <c r="P4" s="54" t="n"/>
      <c r="Q4" s="54" t="n"/>
      <c r="R4" s="54" t="n"/>
      <c r="S4" s="54" t="n"/>
      <c r="T4" s="54" t="n"/>
      <c r="U4" s="3" t="inlineStr">
        <is>
          <t>FLAG / REFERENCE</t>
        </is>
      </c>
      <c r="V4" s="4" t="n"/>
      <c r="W4" s="4" t="n"/>
      <c r="X4" s="55" t="inlineStr">
        <is>
          <t>UNITS CHECK (price x qty must rebuild the index)</t>
        </is>
      </c>
      <c r="Y4" s="56" t="n"/>
      <c r="Z4" s="56" t="n"/>
    </row>
    <row r="5">
      <c r="N5" s="9" t="inlineStr">
        <is>
          <t>TOTAL -&gt;</t>
        </is>
      </c>
      <c r="O5" s="26">
        <f>IFERROR(SUM(O7:O66),"")</f>
        <v/>
      </c>
      <c r="P5" s="26">
        <f>IFERROR(SUM(P7:P66),"")</f>
        <v/>
      </c>
      <c r="Q5" s="46">
        <f>IFERROR(SUM(Q7:Q66),"")</f>
        <v/>
      </c>
      <c r="R5" s="26">
        <f>IFERROR(SUM(R7:R66),"")</f>
        <v/>
      </c>
      <c r="S5" s="26">
        <f>IFERROR(SUM(S7:S66),"")</f>
        <v/>
      </c>
      <c r="V5" s="26">
        <f>IFERROR(SUM(V7:V66),"")</f>
        <v/>
      </c>
      <c r="W5" s="26">
        <f>IFERROR(SUM(W7:W66),"")</f>
        <v/>
      </c>
      <c r="Y5" s="46">
        <f>IFERROR(SUM(Y7:Y66),"")</f>
        <v/>
      </c>
      <c r="Z5" s="88">
        <f>IFERROR(SUM(Z7:Z66),"")</f>
        <v/>
      </c>
    </row>
    <row r="6">
      <c r="A6" s="19" t="inlineStr">
        <is>
          <t>Member</t>
        </is>
      </c>
      <c r="B6" s="19" t="inlineStr">
        <is>
          <t>Basket
Qty</t>
        </is>
      </c>
      <c r="C6" s="19" t="inlineStr">
        <is>
          <t>Bloomberg Ticker</t>
        </is>
      </c>
      <c r="D6" s="19" t="inlineStr">
        <is>
          <t>Name</t>
        </is>
      </c>
      <c r="E6" s="19" t="inlineStr">
        <is>
          <t>GICS Sector</t>
        </is>
      </c>
      <c r="F6" s="19" t="inlineStr">
        <is>
          <t>Dvd
CCY</t>
        </is>
      </c>
      <c r="G6" s="19" t="inlineStr">
        <is>
          <t>FX -&gt;
HKD</t>
        </is>
      </c>
      <c r="H6" s="19" t="inlineStr">
        <is>
          <t>DPS 12M
(ref)</t>
        </is>
      </c>
      <c r="I6" s="19" t="inlineStr">
        <is>
          <t>Yld 12M
(ref)</t>
        </is>
      </c>
      <c r="J6" s="19" t="inlineStr">
        <is>
          <t>Realized
DPS</t>
        </is>
      </c>
      <c r="K6" s="19" t="inlineStr">
        <is>
          <t>To come
DPS (BBG)</t>
        </is>
      </c>
      <c r="L6" s="19" t="inlineStr">
        <is>
          <t>To come
DPS (eff)</t>
        </is>
      </c>
      <c r="M6" s="19" t="inlineStr">
        <is>
          <t>LOW
DPS</t>
        </is>
      </c>
      <c r="N6" s="19" t="inlineStr">
        <is>
          <t>HIGH
DPS</t>
        </is>
      </c>
      <c r="O6" s="58" t="inlineStr">
        <is>
          <t>Realized
(pts)</t>
        </is>
      </c>
      <c r="P6" s="58" t="inlineStr">
        <is>
          <t>To come
(pts)</t>
        </is>
      </c>
      <c r="Q6" s="58" t="inlineStr">
        <is>
          <t>YEAR
TOTAL (pts)</t>
        </is>
      </c>
      <c r="R6" s="58" t="inlineStr">
        <is>
          <t>LOW
(pts)</t>
        </is>
      </c>
      <c r="S6" s="58" t="inlineStr">
        <is>
          <t>HIGH
(pts)</t>
        </is>
      </c>
      <c r="T6" s="58" t="inlineStr">
        <is>
          <t>% of yr
dvds</t>
        </is>
      </c>
      <c r="U6" s="19" t="inlineStr">
        <is>
          <t>Flag</t>
        </is>
      </c>
      <c r="V6" s="19" t="inlineStr">
        <is>
          <t>12M pts
(ref)</t>
        </is>
      </c>
      <c r="W6" s="19" t="inlineStr">
        <is>
          <t>To come
pts (BBG)</t>
        </is>
      </c>
      <c r="X6" s="61" t="inlineStr">
        <is>
          <t>Price
(PX_LAST)</t>
        </is>
      </c>
      <c r="Y6" s="61" t="inlineStr">
        <is>
          <t>Value
(index pts)</t>
        </is>
      </c>
      <c r="Z6" s="61" t="inlineStr">
        <is>
          <t>Index
weight</t>
        </is>
      </c>
    </row>
    <row r="7">
      <c r="A7" s="6">
        <f>BDS($B$2,"INDX_MEMBERS")</f>
        <v/>
      </c>
      <c r="B7" s="89" t="n"/>
      <c r="C7" s="6">
        <f>IF($A7="","",$A7&amp;" Equity")</f>
        <v/>
      </c>
      <c r="D7" s="6">
        <f>IF($C7="","",BDP($C7,"NAME"))</f>
        <v/>
      </c>
      <c r="E7" s="6">
        <f>IF($C7="","",BDP($C7,"GICS_SECTOR_NAME"))</f>
        <v/>
      </c>
      <c r="F7" s="33">
        <f>IF($C7="","",BDP($C7,FLD_CCY))</f>
        <v/>
      </c>
      <c r="G7" s="90">
        <f>IFERROR(IF(LEN($F7)&lt;&gt;3,1,IF($F7="HKD",1,BDP(IF($F7="CNY",RMB_CROSS,$F7)&amp;"HKD Curncy","PX_LAST"))),1)</f>
        <v/>
      </c>
      <c r="H7" s="65">
        <f>IF($C7="","",BDP($C7,FLD_DPS12M))</f>
        <v/>
      </c>
      <c r="I7" s="47">
        <f>IF($C7="","",BDP($C7,FLD_YLD12M))</f>
        <v/>
      </c>
      <c r="J7" s="49">
        <f>IF($B7="",0,SUMPRODUCT(('Dvd Calendar'!$E$1561:$AR$1561&gt;=DATE(YEAR_Y,1,1))*('Dvd Calendar'!$E$1561:$AR$1561&lt;=REALIZED_TO)*'Dvd Calendar'!$E$1564:$AR$1564*(('Dvd Calendar'!$E$1566:$AR$1566=TYPE1)*(TYPE1&lt;&gt;"")+('Dvd Calendar'!$E$1566:$AR$1566=TYPE2)*(TYPE2&lt;&gt;"")+('Dvd Calendar'!$E$1566:$AR$1566=TYPE3)*(TYPE3&lt;&gt;"")+('Dvd Calendar'!$E$1566:$AR$1566=TYPE4)*(TYPE4&lt;&gt;"")+('Dvd Calendar'!$E$1566:$AR$1566=SPECIAL_LBL)*(INC_SPECIALS="Y"))))</f>
        <v/>
      </c>
      <c r="K7" s="49">
        <f>IF($B7="",0,SUMIFS('Dvd Calendar'!$E$1569:$AR$1569,'Dvd Calendar'!$E$1568:$AR$1568,"&gt;"&amp;PROJ_FROM,'Dvd Calendar'!$E$1568:$AR$1568,"&lt;="&amp;DATE(YEAR_Y,12,31)))</f>
        <v/>
      </c>
      <c r="L7" s="49">
        <f>IF($B7="",0,IF((OV_SWITCH="ON")*(COUNTIFS(OVR_TICKERS,$C7,OVR_BASE,"&gt;=0")&gt;0)&gt;0,SUMIFS(OVR_BASE,OVR_TICKERS,$C7),$K7))</f>
        <v/>
      </c>
      <c r="M7" s="49">
        <f>IF($B7="",0,IF((OV_SWITCH="ON")*(COUNTIFS(OVR_TICKERS,$C7,OVR_LOW,"&gt;=0")&gt;0)&gt;0,SUMIFS(OVR_LOW,OVR_TICKERS,$C7),$L7))</f>
        <v/>
      </c>
      <c r="N7" s="49">
        <f>IF($B7="",0,IF((OV_SWITCH="ON")*(COUNTIFS(OVR_TICKERS,$C7,OVR_HIGH,"&gt;=0")&gt;0)&gt;0,SUMIFS(OVR_HIGH,OVR_TICKERS,$C7),$L7))</f>
        <v/>
      </c>
      <c r="O7" s="65">
        <f>IF($B7="","",IFERROR($B7*$G7*$J7/$B$3,""))</f>
        <v/>
      </c>
      <c r="P7" s="65">
        <f>IF($B7="","",IFERROR($B7*$G7*$L7/$B$3,""))</f>
        <v/>
      </c>
      <c r="Q7" s="41">
        <f>IF($B7="","",IFERROR($O7+$P7,""))</f>
        <v/>
      </c>
      <c r="R7" s="65">
        <f>IF($B7="","",IFERROR($O7+$B7*$G7*$M7/$B$3,""))</f>
        <v/>
      </c>
      <c r="S7" s="65">
        <f>IF($B7="","",IFERROR($O7+$B7*$G7*$N7/$B$3,""))</f>
        <v/>
      </c>
      <c r="T7" s="80">
        <f>IF($B7="","",IFERROR($Q7/$Q$5,""))</f>
        <v/>
      </c>
      <c r="U7" s="2">
        <f>IF($B7="","",IF(COUNTIFS('Dvd Calendar'!$E$1567:$AR$1567,"&gt;0",'Dvd Calendar'!$E$1567:$AR$1567,"&lt;="&amp;VAL_DATE,'Dvd Calendar'!$E$1568:$AR$1568,"&gt;"&amp;PROJ_FROM,'Dvd Calendar'!$E$1568:$AR$1568,"&lt;="&amp;DATE(YEAR_Y,12,31))-COUNTIFS('Dvd Calendar'!$E$1567:$AR$1567,"&gt;0",'Dvd Calendar'!$E$1567:$AR$1567,"&lt;="&amp;VAL_DATE,'Dvd Calendar'!$E$1568:$AR$1568,"&gt;"&amp;PROJ_FROM,'Dvd Calendar'!$E$1568:$AR$1568,"&lt;="&amp;DATE(YEAR_Y,12,31),'Dvd Calendar'!$E$1569:$AR$1569,"&gt;=0")&gt;0,"TBA amount - override me",IF((OV_SWITCH="ON")*(COUNTIFS(OVR_TICKERS,$C7,OVR_BASE,"&gt;=0")&gt;0)&gt;0,"overridden",IF($J7+$K7=0,"no dividend in year Y",""))))</f>
        <v/>
      </c>
      <c r="V7" s="65">
        <f>IF($B7="","",IFERROR(IF(ISNUMBER($H7),$B7*$G7*$H7/$B$3,0),""))</f>
        <v/>
      </c>
      <c r="W7" s="65">
        <f>IF($B7="","",IFERROR($B7*$G7*$K7/$B$3,""))</f>
        <v/>
      </c>
      <c r="X7" s="91">
        <f>IF($C7="","",BDP($C7,"PX_LAST"))</f>
        <v/>
      </c>
      <c r="Y7" s="65">
        <f>IF($B7="","",IFERROR($B7*$X7/$B$3,""))</f>
        <v/>
      </c>
      <c r="Z7" s="76">
        <f>IF($B7="","",IFERROR($Y7/$Y$5,""))</f>
        <v/>
      </c>
    </row>
    <row r="8">
      <c r="B8" s="89" t="n"/>
      <c r="C8" s="6">
        <f>IF($A8="","",$A8&amp;" Equity")</f>
        <v/>
      </c>
      <c r="D8" s="6">
        <f>IF($C8="","",BDP($C8,"NAME"))</f>
        <v/>
      </c>
      <c r="E8" s="6">
        <f>IF($C8="","",BDP($C8,"GICS_SECTOR_NAME"))</f>
        <v/>
      </c>
      <c r="F8" s="33">
        <f>IF($C8="","",BDP($C8,FLD_CCY))</f>
        <v/>
      </c>
      <c r="G8" s="90">
        <f>IFERROR(IF(LEN($F8)&lt;&gt;3,1,IF($F8="HKD",1,BDP(IF($F8="CNY",RMB_CROSS,$F8)&amp;"HKD Curncy","PX_LAST"))),1)</f>
        <v/>
      </c>
      <c r="H8" s="65">
        <f>IF($C8="","",BDP($C8,FLD_DPS12M))</f>
        <v/>
      </c>
      <c r="I8" s="47">
        <f>IF($C8="","",BDP($C8,FLD_YLD12M))</f>
        <v/>
      </c>
      <c r="J8" s="49">
        <f>IF($B8="",0,SUMPRODUCT(('Dvd Calendar'!$E$1572:$AR$1572&gt;=DATE(YEAR_Y,1,1))*('Dvd Calendar'!$E$1572:$AR$1572&lt;=REALIZED_TO)*'Dvd Calendar'!$E$1575:$AR$1575*(('Dvd Calendar'!$E$1577:$AR$1577=TYPE1)*(TYPE1&lt;&gt;"")+('Dvd Calendar'!$E$1577:$AR$1577=TYPE2)*(TYPE2&lt;&gt;"")+('Dvd Calendar'!$E$1577:$AR$1577=TYPE3)*(TYPE3&lt;&gt;"")+('Dvd Calendar'!$E$1577:$AR$1577=TYPE4)*(TYPE4&lt;&gt;"")+('Dvd Calendar'!$E$1577:$AR$1577=SPECIAL_LBL)*(INC_SPECIALS="Y"))))</f>
        <v/>
      </c>
      <c r="K8" s="49">
        <f>IF($B8="",0,SUMIFS('Dvd Calendar'!$E$1580:$AR$1580,'Dvd Calendar'!$E$1579:$AR$1579,"&gt;"&amp;PROJ_FROM,'Dvd Calendar'!$E$1579:$AR$1579,"&lt;="&amp;DATE(YEAR_Y,12,31)))</f>
        <v/>
      </c>
      <c r="L8" s="49">
        <f>IF($B8="",0,IF((OV_SWITCH="ON")*(COUNTIFS(OVR_TICKERS,$C8,OVR_BASE,"&gt;=0")&gt;0)&gt;0,SUMIFS(OVR_BASE,OVR_TICKERS,$C8),$K8))</f>
        <v/>
      </c>
      <c r="M8" s="49">
        <f>IF($B8="",0,IF((OV_SWITCH="ON")*(COUNTIFS(OVR_TICKERS,$C8,OVR_LOW,"&gt;=0")&gt;0)&gt;0,SUMIFS(OVR_LOW,OVR_TICKERS,$C8),$L8))</f>
        <v/>
      </c>
      <c r="N8" s="49">
        <f>IF($B8="",0,IF((OV_SWITCH="ON")*(COUNTIFS(OVR_TICKERS,$C8,OVR_HIGH,"&gt;=0")&gt;0)&gt;0,SUMIFS(OVR_HIGH,OVR_TICKERS,$C8),$L8))</f>
        <v/>
      </c>
      <c r="O8" s="65">
        <f>IF($B8="","",IFERROR($B8*$G8*$J8/$B$3,""))</f>
        <v/>
      </c>
      <c r="P8" s="65">
        <f>IF($B8="","",IFERROR($B8*$G8*$L8/$B$3,""))</f>
        <v/>
      </c>
      <c r="Q8" s="41">
        <f>IF($B8="","",IFERROR($O8+$P8,""))</f>
        <v/>
      </c>
      <c r="R8" s="65">
        <f>IF($B8="","",IFERROR($O8+$B8*$G8*$M8/$B$3,""))</f>
        <v/>
      </c>
      <c r="S8" s="65">
        <f>IF($B8="","",IFERROR($O8+$B8*$G8*$N8/$B$3,""))</f>
        <v/>
      </c>
      <c r="T8" s="80">
        <f>IF($B8="","",IFERROR($Q8/$Q$5,""))</f>
        <v/>
      </c>
      <c r="U8" s="2">
        <f>IF($B8="","",IF(COUNTIFS('Dvd Calendar'!$E$1578:$AR$1578,"&gt;0",'Dvd Calendar'!$E$1578:$AR$1578,"&lt;="&amp;VAL_DATE,'Dvd Calendar'!$E$1579:$AR$1579,"&gt;"&amp;PROJ_FROM,'Dvd Calendar'!$E$1579:$AR$1579,"&lt;="&amp;DATE(YEAR_Y,12,31))-COUNTIFS('Dvd Calendar'!$E$1578:$AR$1578,"&gt;0",'Dvd Calendar'!$E$1578:$AR$1578,"&lt;="&amp;VAL_DATE,'Dvd Calendar'!$E$1579:$AR$1579,"&gt;"&amp;PROJ_FROM,'Dvd Calendar'!$E$1579:$AR$1579,"&lt;="&amp;DATE(YEAR_Y,12,31),'Dvd Calendar'!$E$1580:$AR$1580,"&gt;=0")&gt;0,"TBA amount - override me",IF((OV_SWITCH="ON")*(COUNTIFS(OVR_TICKERS,$C8,OVR_BASE,"&gt;=0")&gt;0)&gt;0,"overridden",IF($J8+$K8=0,"no dividend in year Y",""))))</f>
        <v/>
      </c>
      <c r="V8" s="65">
        <f>IF($B8="","",IFERROR(IF(ISNUMBER($H8),$B8*$G8*$H8/$B$3,0),""))</f>
        <v/>
      </c>
      <c r="W8" s="65">
        <f>IF($B8="","",IFERROR($B8*$G8*$K8/$B$3,""))</f>
        <v/>
      </c>
      <c r="X8" s="91">
        <f>IF($C8="","",BDP($C8,"PX_LAST"))</f>
        <v/>
      </c>
      <c r="Y8" s="65">
        <f>IF($B8="","",IFERROR($B8*$X8/$B$3,""))</f>
        <v/>
      </c>
      <c r="Z8" s="76">
        <f>IF($B8="","",IFERROR($Y8/$Y$5,""))</f>
        <v/>
      </c>
    </row>
    <row r="9">
      <c r="B9" s="89" t="n"/>
      <c r="C9" s="6">
        <f>IF($A9="","",$A9&amp;" Equity")</f>
        <v/>
      </c>
      <c r="D9" s="6">
        <f>IF($C9="","",BDP($C9,"NAME"))</f>
        <v/>
      </c>
      <c r="E9" s="6">
        <f>IF($C9="","",BDP($C9,"GICS_SECTOR_NAME"))</f>
        <v/>
      </c>
      <c r="F9" s="33">
        <f>IF($C9="","",BDP($C9,FLD_CCY))</f>
        <v/>
      </c>
      <c r="G9" s="90">
        <f>IFERROR(IF(LEN($F9)&lt;&gt;3,1,IF($F9="HKD",1,BDP(IF($F9="CNY",RMB_CROSS,$F9)&amp;"HKD Curncy","PX_LAST"))),1)</f>
        <v/>
      </c>
      <c r="H9" s="65">
        <f>IF($C9="","",BDP($C9,FLD_DPS12M))</f>
        <v/>
      </c>
      <c r="I9" s="47">
        <f>IF($C9="","",BDP($C9,FLD_YLD12M))</f>
        <v/>
      </c>
      <c r="J9" s="49">
        <f>IF($B9="",0,SUMPRODUCT(('Dvd Calendar'!$E$1583:$AR$1583&gt;=DATE(YEAR_Y,1,1))*('Dvd Calendar'!$E$1583:$AR$1583&lt;=REALIZED_TO)*'Dvd Calendar'!$E$1586:$AR$1586*(('Dvd Calendar'!$E$1588:$AR$1588=TYPE1)*(TYPE1&lt;&gt;"")+('Dvd Calendar'!$E$1588:$AR$1588=TYPE2)*(TYPE2&lt;&gt;"")+('Dvd Calendar'!$E$1588:$AR$1588=TYPE3)*(TYPE3&lt;&gt;"")+('Dvd Calendar'!$E$1588:$AR$1588=TYPE4)*(TYPE4&lt;&gt;"")+('Dvd Calendar'!$E$1588:$AR$1588=SPECIAL_LBL)*(INC_SPECIALS="Y"))))</f>
        <v/>
      </c>
      <c r="K9" s="49">
        <f>IF($B9="",0,SUMIFS('Dvd Calendar'!$E$1591:$AR$1591,'Dvd Calendar'!$E$1590:$AR$1590,"&gt;"&amp;PROJ_FROM,'Dvd Calendar'!$E$1590:$AR$1590,"&lt;="&amp;DATE(YEAR_Y,12,31)))</f>
        <v/>
      </c>
      <c r="L9" s="49">
        <f>IF($B9="",0,IF((OV_SWITCH="ON")*(COUNTIFS(OVR_TICKERS,$C9,OVR_BASE,"&gt;=0")&gt;0)&gt;0,SUMIFS(OVR_BASE,OVR_TICKERS,$C9),$K9))</f>
        <v/>
      </c>
      <c r="M9" s="49">
        <f>IF($B9="",0,IF((OV_SWITCH="ON")*(COUNTIFS(OVR_TICKERS,$C9,OVR_LOW,"&gt;=0")&gt;0)&gt;0,SUMIFS(OVR_LOW,OVR_TICKERS,$C9),$L9))</f>
        <v/>
      </c>
      <c r="N9" s="49">
        <f>IF($B9="",0,IF((OV_SWITCH="ON")*(COUNTIFS(OVR_TICKERS,$C9,OVR_HIGH,"&gt;=0")&gt;0)&gt;0,SUMIFS(OVR_HIGH,OVR_TICKERS,$C9),$L9))</f>
        <v/>
      </c>
      <c r="O9" s="65">
        <f>IF($B9="","",IFERROR($B9*$G9*$J9/$B$3,""))</f>
        <v/>
      </c>
      <c r="P9" s="65">
        <f>IF($B9="","",IFERROR($B9*$G9*$L9/$B$3,""))</f>
        <v/>
      </c>
      <c r="Q9" s="41">
        <f>IF($B9="","",IFERROR($O9+$P9,""))</f>
        <v/>
      </c>
      <c r="R9" s="65">
        <f>IF($B9="","",IFERROR($O9+$B9*$G9*$M9/$B$3,""))</f>
        <v/>
      </c>
      <c r="S9" s="65">
        <f>IF($B9="","",IFERROR($O9+$B9*$G9*$N9/$B$3,""))</f>
        <v/>
      </c>
      <c r="T9" s="80">
        <f>IF($B9="","",IFERROR($Q9/$Q$5,""))</f>
        <v/>
      </c>
      <c r="U9" s="2">
        <f>IF($B9="","",IF(COUNTIFS('Dvd Calendar'!$E$1589:$AR$1589,"&gt;0",'Dvd Calendar'!$E$1589:$AR$1589,"&lt;="&amp;VAL_DATE,'Dvd Calendar'!$E$1590:$AR$1590,"&gt;"&amp;PROJ_FROM,'Dvd Calendar'!$E$1590:$AR$1590,"&lt;="&amp;DATE(YEAR_Y,12,31))-COUNTIFS('Dvd Calendar'!$E$1589:$AR$1589,"&gt;0",'Dvd Calendar'!$E$1589:$AR$1589,"&lt;="&amp;VAL_DATE,'Dvd Calendar'!$E$1590:$AR$1590,"&gt;"&amp;PROJ_FROM,'Dvd Calendar'!$E$1590:$AR$1590,"&lt;="&amp;DATE(YEAR_Y,12,31),'Dvd Calendar'!$E$1591:$AR$1591,"&gt;=0")&gt;0,"TBA amount - override me",IF((OV_SWITCH="ON")*(COUNTIFS(OVR_TICKERS,$C9,OVR_BASE,"&gt;=0")&gt;0)&gt;0,"overridden",IF($J9+$K9=0,"no dividend in year Y",""))))</f>
        <v/>
      </c>
      <c r="V9" s="65">
        <f>IF($B9="","",IFERROR(IF(ISNUMBER($H9),$B9*$G9*$H9/$B$3,0),""))</f>
        <v/>
      </c>
      <c r="W9" s="65">
        <f>IF($B9="","",IFERROR($B9*$G9*$K9/$B$3,""))</f>
        <v/>
      </c>
      <c r="X9" s="91">
        <f>IF($C9="","",BDP($C9,"PX_LAST"))</f>
        <v/>
      </c>
      <c r="Y9" s="65">
        <f>IF($B9="","",IFERROR($B9*$X9/$B$3,""))</f>
        <v/>
      </c>
      <c r="Z9" s="76">
        <f>IF($B9="","",IFERROR($Y9/$Y$5,""))</f>
        <v/>
      </c>
    </row>
    <row r="10">
      <c r="B10" s="89" t="n"/>
      <c r="C10" s="6">
        <f>IF($A10="","",$A10&amp;" Equity")</f>
        <v/>
      </c>
      <c r="D10" s="6">
        <f>IF($C10="","",BDP($C10,"NAME"))</f>
        <v/>
      </c>
      <c r="E10" s="6">
        <f>IF($C10="","",BDP($C10,"GICS_SECTOR_NAME"))</f>
        <v/>
      </c>
      <c r="F10" s="33">
        <f>IF($C10="","",BDP($C10,FLD_CCY))</f>
        <v/>
      </c>
      <c r="G10" s="90">
        <f>IFERROR(IF(LEN($F10)&lt;&gt;3,1,IF($F10="HKD",1,BDP(IF($F10="CNY",RMB_CROSS,$F10)&amp;"HKD Curncy","PX_LAST"))),1)</f>
        <v/>
      </c>
      <c r="H10" s="65">
        <f>IF($C10="","",BDP($C10,FLD_DPS12M))</f>
        <v/>
      </c>
      <c r="I10" s="47">
        <f>IF($C10="","",BDP($C10,FLD_YLD12M))</f>
        <v/>
      </c>
      <c r="J10" s="49">
        <f>IF($B10="",0,SUMPRODUCT(('Dvd Calendar'!$E$1594:$AR$1594&gt;=DATE(YEAR_Y,1,1))*('Dvd Calendar'!$E$1594:$AR$1594&lt;=REALIZED_TO)*'Dvd Calendar'!$E$1597:$AR$1597*(('Dvd Calendar'!$E$1599:$AR$1599=TYPE1)*(TYPE1&lt;&gt;"")+('Dvd Calendar'!$E$1599:$AR$1599=TYPE2)*(TYPE2&lt;&gt;"")+('Dvd Calendar'!$E$1599:$AR$1599=TYPE3)*(TYPE3&lt;&gt;"")+('Dvd Calendar'!$E$1599:$AR$1599=TYPE4)*(TYPE4&lt;&gt;"")+('Dvd Calendar'!$E$1599:$AR$1599=SPECIAL_LBL)*(INC_SPECIALS="Y"))))</f>
        <v/>
      </c>
      <c r="K10" s="49">
        <f>IF($B10="",0,SUMIFS('Dvd Calendar'!$E$1602:$AR$1602,'Dvd Calendar'!$E$1601:$AR$1601,"&gt;"&amp;PROJ_FROM,'Dvd Calendar'!$E$1601:$AR$1601,"&lt;="&amp;DATE(YEAR_Y,12,31)))</f>
        <v/>
      </c>
      <c r="L10" s="49">
        <f>IF($B10="",0,IF((OV_SWITCH="ON")*(COUNTIFS(OVR_TICKERS,$C10,OVR_BASE,"&gt;=0")&gt;0)&gt;0,SUMIFS(OVR_BASE,OVR_TICKERS,$C10),$K10))</f>
        <v/>
      </c>
      <c r="M10" s="49">
        <f>IF($B10="",0,IF((OV_SWITCH="ON")*(COUNTIFS(OVR_TICKERS,$C10,OVR_LOW,"&gt;=0")&gt;0)&gt;0,SUMIFS(OVR_LOW,OVR_TICKERS,$C10),$L10))</f>
        <v/>
      </c>
      <c r="N10" s="49">
        <f>IF($B10="",0,IF((OV_SWITCH="ON")*(COUNTIFS(OVR_TICKERS,$C10,OVR_HIGH,"&gt;=0")&gt;0)&gt;0,SUMIFS(OVR_HIGH,OVR_TICKERS,$C10),$L10))</f>
        <v/>
      </c>
      <c r="O10" s="65">
        <f>IF($B10="","",IFERROR($B10*$G10*$J10/$B$3,""))</f>
        <v/>
      </c>
      <c r="P10" s="65">
        <f>IF($B10="","",IFERROR($B10*$G10*$L10/$B$3,""))</f>
        <v/>
      </c>
      <c r="Q10" s="41">
        <f>IF($B10="","",IFERROR($O10+$P10,""))</f>
        <v/>
      </c>
      <c r="R10" s="65">
        <f>IF($B10="","",IFERROR($O10+$B10*$G10*$M10/$B$3,""))</f>
        <v/>
      </c>
      <c r="S10" s="65">
        <f>IF($B10="","",IFERROR($O10+$B10*$G10*$N10/$B$3,""))</f>
        <v/>
      </c>
      <c r="T10" s="80">
        <f>IF($B10="","",IFERROR($Q10/$Q$5,""))</f>
        <v/>
      </c>
      <c r="U10" s="2">
        <f>IF($B10="","",IF(COUNTIFS('Dvd Calendar'!$E$1600:$AR$1600,"&gt;0",'Dvd Calendar'!$E$1600:$AR$1600,"&lt;="&amp;VAL_DATE,'Dvd Calendar'!$E$1601:$AR$1601,"&gt;"&amp;PROJ_FROM,'Dvd Calendar'!$E$1601:$AR$1601,"&lt;="&amp;DATE(YEAR_Y,12,31))-COUNTIFS('Dvd Calendar'!$E$1600:$AR$1600,"&gt;0",'Dvd Calendar'!$E$1600:$AR$1600,"&lt;="&amp;VAL_DATE,'Dvd Calendar'!$E$1601:$AR$1601,"&gt;"&amp;PROJ_FROM,'Dvd Calendar'!$E$1601:$AR$1601,"&lt;="&amp;DATE(YEAR_Y,12,31),'Dvd Calendar'!$E$1602:$AR$1602,"&gt;=0")&gt;0,"TBA amount - override me",IF((OV_SWITCH="ON")*(COUNTIFS(OVR_TICKERS,$C10,OVR_BASE,"&gt;=0")&gt;0)&gt;0,"overridden",IF($J10+$K10=0,"no dividend in year Y",""))))</f>
        <v/>
      </c>
      <c r="V10" s="65">
        <f>IF($B10="","",IFERROR(IF(ISNUMBER($H10),$B10*$G10*$H10/$B$3,0),""))</f>
        <v/>
      </c>
      <c r="W10" s="65">
        <f>IF($B10="","",IFERROR($B10*$G10*$K10/$B$3,""))</f>
        <v/>
      </c>
      <c r="X10" s="91">
        <f>IF($C10="","",BDP($C10,"PX_LAST"))</f>
        <v/>
      </c>
      <c r="Y10" s="65">
        <f>IF($B10="","",IFERROR($B10*$X10/$B$3,""))</f>
        <v/>
      </c>
      <c r="Z10" s="76">
        <f>IF($B10="","",IFERROR($Y10/$Y$5,""))</f>
        <v/>
      </c>
    </row>
    <row r="11">
      <c r="B11" s="89" t="n"/>
      <c r="C11" s="6">
        <f>IF($A11="","",$A11&amp;" Equity")</f>
        <v/>
      </c>
      <c r="D11" s="6">
        <f>IF($C11="","",BDP($C11,"NAME"))</f>
        <v/>
      </c>
      <c r="E11" s="6">
        <f>IF($C11="","",BDP($C11,"GICS_SECTOR_NAME"))</f>
        <v/>
      </c>
      <c r="F11" s="33">
        <f>IF($C11="","",BDP($C11,FLD_CCY))</f>
        <v/>
      </c>
      <c r="G11" s="90">
        <f>IFERROR(IF(LEN($F11)&lt;&gt;3,1,IF($F11="HKD",1,BDP(IF($F11="CNY",RMB_CROSS,$F11)&amp;"HKD Curncy","PX_LAST"))),1)</f>
        <v/>
      </c>
      <c r="H11" s="65">
        <f>IF($C11="","",BDP($C11,FLD_DPS12M))</f>
        <v/>
      </c>
      <c r="I11" s="47">
        <f>IF($C11="","",BDP($C11,FLD_YLD12M))</f>
        <v/>
      </c>
      <c r="J11" s="49">
        <f>IF($B11="",0,SUMPRODUCT(('Dvd Calendar'!$E$1605:$AR$1605&gt;=DATE(YEAR_Y,1,1))*('Dvd Calendar'!$E$1605:$AR$1605&lt;=REALIZED_TO)*'Dvd Calendar'!$E$1608:$AR$1608*(('Dvd Calendar'!$E$1610:$AR$1610=TYPE1)*(TYPE1&lt;&gt;"")+('Dvd Calendar'!$E$1610:$AR$1610=TYPE2)*(TYPE2&lt;&gt;"")+('Dvd Calendar'!$E$1610:$AR$1610=TYPE3)*(TYPE3&lt;&gt;"")+('Dvd Calendar'!$E$1610:$AR$1610=TYPE4)*(TYPE4&lt;&gt;"")+('Dvd Calendar'!$E$1610:$AR$1610=SPECIAL_LBL)*(INC_SPECIALS="Y"))))</f>
        <v/>
      </c>
      <c r="K11" s="49">
        <f>IF($B11="",0,SUMIFS('Dvd Calendar'!$E$1613:$AR$1613,'Dvd Calendar'!$E$1612:$AR$1612,"&gt;"&amp;PROJ_FROM,'Dvd Calendar'!$E$1612:$AR$1612,"&lt;="&amp;DATE(YEAR_Y,12,31)))</f>
        <v/>
      </c>
      <c r="L11" s="49">
        <f>IF($B11="",0,IF((OV_SWITCH="ON")*(COUNTIFS(OVR_TICKERS,$C11,OVR_BASE,"&gt;=0")&gt;0)&gt;0,SUMIFS(OVR_BASE,OVR_TICKERS,$C11),$K11))</f>
        <v/>
      </c>
      <c r="M11" s="49">
        <f>IF($B11="",0,IF((OV_SWITCH="ON")*(COUNTIFS(OVR_TICKERS,$C11,OVR_LOW,"&gt;=0")&gt;0)&gt;0,SUMIFS(OVR_LOW,OVR_TICKERS,$C11),$L11))</f>
        <v/>
      </c>
      <c r="N11" s="49">
        <f>IF($B11="",0,IF((OV_SWITCH="ON")*(COUNTIFS(OVR_TICKERS,$C11,OVR_HIGH,"&gt;=0")&gt;0)&gt;0,SUMIFS(OVR_HIGH,OVR_TICKERS,$C11),$L11))</f>
        <v/>
      </c>
      <c r="O11" s="65">
        <f>IF($B11="","",IFERROR($B11*$G11*$J11/$B$3,""))</f>
        <v/>
      </c>
      <c r="P11" s="65">
        <f>IF($B11="","",IFERROR($B11*$G11*$L11/$B$3,""))</f>
        <v/>
      </c>
      <c r="Q11" s="41">
        <f>IF($B11="","",IFERROR($O11+$P11,""))</f>
        <v/>
      </c>
      <c r="R11" s="65">
        <f>IF($B11="","",IFERROR($O11+$B11*$G11*$M11/$B$3,""))</f>
        <v/>
      </c>
      <c r="S11" s="65">
        <f>IF($B11="","",IFERROR($O11+$B11*$G11*$N11/$B$3,""))</f>
        <v/>
      </c>
      <c r="T11" s="80">
        <f>IF($B11="","",IFERROR($Q11/$Q$5,""))</f>
        <v/>
      </c>
      <c r="U11" s="2">
        <f>IF($B11="","",IF(COUNTIFS('Dvd Calendar'!$E$1611:$AR$1611,"&gt;0",'Dvd Calendar'!$E$1611:$AR$1611,"&lt;="&amp;VAL_DATE,'Dvd Calendar'!$E$1612:$AR$1612,"&gt;"&amp;PROJ_FROM,'Dvd Calendar'!$E$1612:$AR$1612,"&lt;="&amp;DATE(YEAR_Y,12,31))-COUNTIFS('Dvd Calendar'!$E$1611:$AR$1611,"&gt;0",'Dvd Calendar'!$E$1611:$AR$1611,"&lt;="&amp;VAL_DATE,'Dvd Calendar'!$E$1612:$AR$1612,"&gt;"&amp;PROJ_FROM,'Dvd Calendar'!$E$1612:$AR$1612,"&lt;="&amp;DATE(YEAR_Y,12,31),'Dvd Calendar'!$E$1613:$AR$1613,"&gt;=0")&gt;0,"TBA amount - override me",IF((OV_SWITCH="ON")*(COUNTIFS(OVR_TICKERS,$C11,OVR_BASE,"&gt;=0")&gt;0)&gt;0,"overridden",IF($J11+$K11=0,"no dividend in year Y",""))))</f>
        <v/>
      </c>
      <c r="V11" s="65">
        <f>IF($B11="","",IFERROR(IF(ISNUMBER($H11),$B11*$G11*$H11/$B$3,0),""))</f>
        <v/>
      </c>
      <c r="W11" s="65">
        <f>IF($B11="","",IFERROR($B11*$G11*$K11/$B$3,""))</f>
        <v/>
      </c>
      <c r="X11" s="91">
        <f>IF($C11="","",BDP($C11,"PX_LAST"))</f>
        <v/>
      </c>
      <c r="Y11" s="65">
        <f>IF($B11="","",IFERROR($B11*$X11/$B$3,""))</f>
        <v/>
      </c>
      <c r="Z11" s="76">
        <f>IF($B11="","",IFERROR($Y11/$Y$5,""))</f>
        <v/>
      </c>
    </row>
    <row r="12">
      <c r="B12" s="89" t="n"/>
      <c r="C12" s="6">
        <f>IF($A12="","",$A12&amp;" Equity")</f>
        <v/>
      </c>
      <c r="D12" s="6">
        <f>IF($C12="","",BDP($C12,"NAME"))</f>
        <v/>
      </c>
      <c r="E12" s="6">
        <f>IF($C12="","",BDP($C12,"GICS_SECTOR_NAME"))</f>
        <v/>
      </c>
      <c r="F12" s="33">
        <f>IF($C12="","",BDP($C12,FLD_CCY))</f>
        <v/>
      </c>
      <c r="G12" s="90">
        <f>IFERROR(IF(LEN($F12)&lt;&gt;3,1,IF($F12="HKD",1,BDP(IF($F12="CNY",RMB_CROSS,$F12)&amp;"HKD Curncy","PX_LAST"))),1)</f>
        <v/>
      </c>
      <c r="H12" s="65">
        <f>IF($C12="","",BDP($C12,FLD_DPS12M))</f>
        <v/>
      </c>
      <c r="I12" s="47">
        <f>IF($C12="","",BDP($C12,FLD_YLD12M))</f>
        <v/>
      </c>
      <c r="J12" s="49">
        <f>IF($B12="",0,SUMPRODUCT(('Dvd Calendar'!$E$1616:$AR$1616&gt;=DATE(YEAR_Y,1,1))*('Dvd Calendar'!$E$1616:$AR$1616&lt;=REALIZED_TO)*'Dvd Calendar'!$E$1619:$AR$1619*(('Dvd Calendar'!$E$1621:$AR$1621=TYPE1)*(TYPE1&lt;&gt;"")+('Dvd Calendar'!$E$1621:$AR$1621=TYPE2)*(TYPE2&lt;&gt;"")+('Dvd Calendar'!$E$1621:$AR$1621=TYPE3)*(TYPE3&lt;&gt;"")+('Dvd Calendar'!$E$1621:$AR$1621=TYPE4)*(TYPE4&lt;&gt;"")+('Dvd Calendar'!$E$1621:$AR$1621=SPECIAL_LBL)*(INC_SPECIALS="Y"))))</f>
        <v/>
      </c>
      <c r="K12" s="49">
        <f>IF($B12="",0,SUMIFS('Dvd Calendar'!$E$1624:$AR$1624,'Dvd Calendar'!$E$1623:$AR$1623,"&gt;"&amp;PROJ_FROM,'Dvd Calendar'!$E$1623:$AR$1623,"&lt;="&amp;DATE(YEAR_Y,12,31)))</f>
        <v/>
      </c>
      <c r="L12" s="49">
        <f>IF($B12="",0,IF((OV_SWITCH="ON")*(COUNTIFS(OVR_TICKERS,$C12,OVR_BASE,"&gt;=0")&gt;0)&gt;0,SUMIFS(OVR_BASE,OVR_TICKERS,$C12),$K12))</f>
        <v/>
      </c>
      <c r="M12" s="49">
        <f>IF($B12="",0,IF((OV_SWITCH="ON")*(COUNTIFS(OVR_TICKERS,$C12,OVR_LOW,"&gt;=0")&gt;0)&gt;0,SUMIFS(OVR_LOW,OVR_TICKERS,$C12),$L12))</f>
        <v/>
      </c>
      <c r="N12" s="49">
        <f>IF($B12="",0,IF((OV_SWITCH="ON")*(COUNTIFS(OVR_TICKERS,$C12,OVR_HIGH,"&gt;=0")&gt;0)&gt;0,SUMIFS(OVR_HIGH,OVR_TICKERS,$C12),$L12))</f>
        <v/>
      </c>
      <c r="O12" s="65">
        <f>IF($B12="","",IFERROR($B12*$G12*$J12/$B$3,""))</f>
        <v/>
      </c>
      <c r="P12" s="65">
        <f>IF($B12="","",IFERROR($B12*$G12*$L12/$B$3,""))</f>
        <v/>
      </c>
      <c r="Q12" s="41">
        <f>IF($B12="","",IFERROR($O12+$P12,""))</f>
        <v/>
      </c>
      <c r="R12" s="65">
        <f>IF($B12="","",IFERROR($O12+$B12*$G12*$M12/$B$3,""))</f>
        <v/>
      </c>
      <c r="S12" s="65">
        <f>IF($B12="","",IFERROR($O12+$B12*$G12*$N12/$B$3,""))</f>
        <v/>
      </c>
      <c r="T12" s="80">
        <f>IF($B12="","",IFERROR($Q12/$Q$5,""))</f>
        <v/>
      </c>
      <c r="U12" s="2">
        <f>IF($B12="","",IF(COUNTIFS('Dvd Calendar'!$E$1622:$AR$1622,"&gt;0",'Dvd Calendar'!$E$1622:$AR$1622,"&lt;="&amp;VAL_DATE,'Dvd Calendar'!$E$1623:$AR$1623,"&gt;"&amp;PROJ_FROM,'Dvd Calendar'!$E$1623:$AR$1623,"&lt;="&amp;DATE(YEAR_Y,12,31))-COUNTIFS('Dvd Calendar'!$E$1622:$AR$1622,"&gt;0",'Dvd Calendar'!$E$1622:$AR$1622,"&lt;="&amp;VAL_DATE,'Dvd Calendar'!$E$1623:$AR$1623,"&gt;"&amp;PROJ_FROM,'Dvd Calendar'!$E$1623:$AR$1623,"&lt;="&amp;DATE(YEAR_Y,12,31),'Dvd Calendar'!$E$1624:$AR$1624,"&gt;=0")&gt;0,"TBA amount - override me",IF((OV_SWITCH="ON")*(COUNTIFS(OVR_TICKERS,$C12,OVR_BASE,"&gt;=0")&gt;0)&gt;0,"overridden",IF($J12+$K12=0,"no dividend in year Y",""))))</f>
        <v/>
      </c>
      <c r="V12" s="65">
        <f>IF($B12="","",IFERROR(IF(ISNUMBER($H12),$B12*$G12*$H12/$B$3,0),""))</f>
        <v/>
      </c>
      <c r="W12" s="65">
        <f>IF($B12="","",IFERROR($B12*$G12*$K12/$B$3,""))</f>
        <v/>
      </c>
      <c r="X12" s="91">
        <f>IF($C12="","",BDP($C12,"PX_LAST"))</f>
        <v/>
      </c>
      <c r="Y12" s="65">
        <f>IF($B12="","",IFERROR($B12*$X12/$B$3,""))</f>
        <v/>
      </c>
      <c r="Z12" s="76">
        <f>IF($B12="","",IFERROR($Y12/$Y$5,""))</f>
        <v/>
      </c>
    </row>
    <row r="13">
      <c r="B13" s="89" t="n"/>
      <c r="C13" s="6">
        <f>IF($A13="","",$A13&amp;" Equity")</f>
        <v/>
      </c>
      <c r="D13" s="6">
        <f>IF($C13="","",BDP($C13,"NAME"))</f>
        <v/>
      </c>
      <c r="E13" s="6">
        <f>IF($C13="","",BDP($C13,"GICS_SECTOR_NAME"))</f>
        <v/>
      </c>
      <c r="F13" s="33">
        <f>IF($C13="","",BDP($C13,FLD_CCY))</f>
        <v/>
      </c>
      <c r="G13" s="90">
        <f>IFERROR(IF(LEN($F13)&lt;&gt;3,1,IF($F13="HKD",1,BDP(IF($F13="CNY",RMB_CROSS,$F13)&amp;"HKD Curncy","PX_LAST"))),1)</f>
        <v/>
      </c>
      <c r="H13" s="65">
        <f>IF($C13="","",BDP($C13,FLD_DPS12M))</f>
        <v/>
      </c>
      <c r="I13" s="47">
        <f>IF($C13="","",BDP($C13,FLD_YLD12M))</f>
        <v/>
      </c>
      <c r="J13" s="49">
        <f>IF($B13="",0,SUMPRODUCT(('Dvd Calendar'!$E$1627:$AR$1627&gt;=DATE(YEAR_Y,1,1))*('Dvd Calendar'!$E$1627:$AR$1627&lt;=REALIZED_TO)*'Dvd Calendar'!$E$1630:$AR$1630*(('Dvd Calendar'!$E$1632:$AR$1632=TYPE1)*(TYPE1&lt;&gt;"")+('Dvd Calendar'!$E$1632:$AR$1632=TYPE2)*(TYPE2&lt;&gt;"")+('Dvd Calendar'!$E$1632:$AR$1632=TYPE3)*(TYPE3&lt;&gt;"")+('Dvd Calendar'!$E$1632:$AR$1632=TYPE4)*(TYPE4&lt;&gt;"")+('Dvd Calendar'!$E$1632:$AR$1632=SPECIAL_LBL)*(INC_SPECIALS="Y"))))</f>
        <v/>
      </c>
      <c r="K13" s="49">
        <f>IF($B13="",0,SUMIFS('Dvd Calendar'!$E$1635:$AR$1635,'Dvd Calendar'!$E$1634:$AR$1634,"&gt;"&amp;PROJ_FROM,'Dvd Calendar'!$E$1634:$AR$1634,"&lt;="&amp;DATE(YEAR_Y,12,31)))</f>
        <v/>
      </c>
      <c r="L13" s="49">
        <f>IF($B13="",0,IF((OV_SWITCH="ON")*(COUNTIFS(OVR_TICKERS,$C13,OVR_BASE,"&gt;=0")&gt;0)&gt;0,SUMIFS(OVR_BASE,OVR_TICKERS,$C13),$K13))</f>
        <v/>
      </c>
      <c r="M13" s="49">
        <f>IF($B13="",0,IF((OV_SWITCH="ON")*(COUNTIFS(OVR_TICKERS,$C13,OVR_LOW,"&gt;=0")&gt;0)&gt;0,SUMIFS(OVR_LOW,OVR_TICKERS,$C13),$L13))</f>
        <v/>
      </c>
      <c r="N13" s="49">
        <f>IF($B13="",0,IF((OV_SWITCH="ON")*(COUNTIFS(OVR_TICKERS,$C13,OVR_HIGH,"&gt;=0")&gt;0)&gt;0,SUMIFS(OVR_HIGH,OVR_TICKERS,$C13),$L13))</f>
        <v/>
      </c>
      <c r="O13" s="65">
        <f>IF($B13="","",IFERROR($B13*$G13*$J13/$B$3,""))</f>
        <v/>
      </c>
      <c r="P13" s="65">
        <f>IF($B13="","",IFERROR($B13*$G13*$L13/$B$3,""))</f>
        <v/>
      </c>
      <c r="Q13" s="41">
        <f>IF($B13="","",IFERROR($O13+$P13,""))</f>
        <v/>
      </c>
      <c r="R13" s="65">
        <f>IF($B13="","",IFERROR($O13+$B13*$G13*$M13/$B$3,""))</f>
        <v/>
      </c>
      <c r="S13" s="65">
        <f>IF($B13="","",IFERROR($O13+$B13*$G13*$N13/$B$3,""))</f>
        <v/>
      </c>
      <c r="T13" s="80">
        <f>IF($B13="","",IFERROR($Q13/$Q$5,""))</f>
        <v/>
      </c>
      <c r="U13" s="2">
        <f>IF($B13="","",IF(COUNTIFS('Dvd Calendar'!$E$1633:$AR$1633,"&gt;0",'Dvd Calendar'!$E$1633:$AR$1633,"&lt;="&amp;VAL_DATE,'Dvd Calendar'!$E$1634:$AR$1634,"&gt;"&amp;PROJ_FROM,'Dvd Calendar'!$E$1634:$AR$1634,"&lt;="&amp;DATE(YEAR_Y,12,31))-COUNTIFS('Dvd Calendar'!$E$1633:$AR$1633,"&gt;0",'Dvd Calendar'!$E$1633:$AR$1633,"&lt;="&amp;VAL_DATE,'Dvd Calendar'!$E$1634:$AR$1634,"&gt;"&amp;PROJ_FROM,'Dvd Calendar'!$E$1634:$AR$1634,"&lt;="&amp;DATE(YEAR_Y,12,31),'Dvd Calendar'!$E$1635:$AR$1635,"&gt;=0")&gt;0,"TBA amount - override me",IF((OV_SWITCH="ON")*(COUNTIFS(OVR_TICKERS,$C13,OVR_BASE,"&gt;=0")&gt;0)&gt;0,"overridden",IF($J13+$K13=0,"no dividend in year Y",""))))</f>
        <v/>
      </c>
      <c r="V13" s="65">
        <f>IF($B13="","",IFERROR(IF(ISNUMBER($H13),$B13*$G13*$H13/$B$3,0),""))</f>
        <v/>
      </c>
      <c r="W13" s="65">
        <f>IF($B13="","",IFERROR($B13*$G13*$K13/$B$3,""))</f>
        <v/>
      </c>
      <c r="X13" s="91">
        <f>IF($C13="","",BDP($C13,"PX_LAST"))</f>
        <v/>
      </c>
      <c r="Y13" s="65">
        <f>IF($B13="","",IFERROR($B13*$X13/$B$3,""))</f>
        <v/>
      </c>
      <c r="Z13" s="76">
        <f>IF($B13="","",IFERROR($Y13/$Y$5,""))</f>
        <v/>
      </c>
    </row>
    <row r="14">
      <c r="B14" s="89" t="n"/>
      <c r="C14" s="6">
        <f>IF($A14="","",$A14&amp;" Equity")</f>
        <v/>
      </c>
      <c r="D14" s="6">
        <f>IF($C14="","",BDP($C14,"NAME"))</f>
        <v/>
      </c>
      <c r="E14" s="6">
        <f>IF($C14="","",BDP($C14,"GICS_SECTOR_NAME"))</f>
        <v/>
      </c>
      <c r="F14" s="33">
        <f>IF($C14="","",BDP($C14,FLD_CCY))</f>
        <v/>
      </c>
      <c r="G14" s="90">
        <f>IFERROR(IF(LEN($F14)&lt;&gt;3,1,IF($F14="HKD",1,BDP(IF($F14="CNY",RMB_CROSS,$F14)&amp;"HKD Curncy","PX_LAST"))),1)</f>
        <v/>
      </c>
      <c r="H14" s="65">
        <f>IF($C14="","",BDP($C14,FLD_DPS12M))</f>
        <v/>
      </c>
      <c r="I14" s="47">
        <f>IF($C14="","",BDP($C14,FLD_YLD12M))</f>
        <v/>
      </c>
      <c r="J14" s="49">
        <f>IF($B14="",0,SUMPRODUCT(('Dvd Calendar'!$E$1638:$AR$1638&gt;=DATE(YEAR_Y,1,1))*('Dvd Calendar'!$E$1638:$AR$1638&lt;=REALIZED_TO)*'Dvd Calendar'!$E$1641:$AR$1641*(('Dvd Calendar'!$E$1643:$AR$1643=TYPE1)*(TYPE1&lt;&gt;"")+('Dvd Calendar'!$E$1643:$AR$1643=TYPE2)*(TYPE2&lt;&gt;"")+('Dvd Calendar'!$E$1643:$AR$1643=TYPE3)*(TYPE3&lt;&gt;"")+('Dvd Calendar'!$E$1643:$AR$1643=TYPE4)*(TYPE4&lt;&gt;"")+('Dvd Calendar'!$E$1643:$AR$1643=SPECIAL_LBL)*(INC_SPECIALS="Y"))))</f>
        <v/>
      </c>
      <c r="K14" s="49">
        <f>IF($B14="",0,SUMIFS('Dvd Calendar'!$E$1646:$AR$1646,'Dvd Calendar'!$E$1645:$AR$1645,"&gt;"&amp;PROJ_FROM,'Dvd Calendar'!$E$1645:$AR$1645,"&lt;="&amp;DATE(YEAR_Y,12,31)))</f>
        <v/>
      </c>
      <c r="L14" s="49">
        <f>IF($B14="",0,IF((OV_SWITCH="ON")*(COUNTIFS(OVR_TICKERS,$C14,OVR_BASE,"&gt;=0")&gt;0)&gt;0,SUMIFS(OVR_BASE,OVR_TICKERS,$C14),$K14))</f>
        <v/>
      </c>
      <c r="M14" s="49">
        <f>IF($B14="",0,IF((OV_SWITCH="ON")*(COUNTIFS(OVR_TICKERS,$C14,OVR_LOW,"&gt;=0")&gt;0)&gt;0,SUMIFS(OVR_LOW,OVR_TICKERS,$C14),$L14))</f>
        <v/>
      </c>
      <c r="N14" s="49">
        <f>IF($B14="",0,IF((OV_SWITCH="ON")*(COUNTIFS(OVR_TICKERS,$C14,OVR_HIGH,"&gt;=0")&gt;0)&gt;0,SUMIFS(OVR_HIGH,OVR_TICKERS,$C14),$L14))</f>
        <v/>
      </c>
      <c r="O14" s="65">
        <f>IF($B14="","",IFERROR($B14*$G14*$J14/$B$3,""))</f>
        <v/>
      </c>
      <c r="P14" s="65">
        <f>IF($B14="","",IFERROR($B14*$G14*$L14/$B$3,""))</f>
        <v/>
      </c>
      <c r="Q14" s="41">
        <f>IF($B14="","",IFERROR($O14+$P14,""))</f>
        <v/>
      </c>
      <c r="R14" s="65">
        <f>IF($B14="","",IFERROR($O14+$B14*$G14*$M14/$B$3,""))</f>
        <v/>
      </c>
      <c r="S14" s="65">
        <f>IF($B14="","",IFERROR($O14+$B14*$G14*$N14/$B$3,""))</f>
        <v/>
      </c>
      <c r="T14" s="80">
        <f>IF($B14="","",IFERROR($Q14/$Q$5,""))</f>
        <v/>
      </c>
      <c r="U14" s="2">
        <f>IF($B14="","",IF(COUNTIFS('Dvd Calendar'!$E$1644:$AR$1644,"&gt;0",'Dvd Calendar'!$E$1644:$AR$1644,"&lt;="&amp;VAL_DATE,'Dvd Calendar'!$E$1645:$AR$1645,"&gt;"&amp;PROJ_FROM,'Dvd Calendar'!$E$1645:$AR$1645,"&lt;="&amp;DATE(YEAR_Y,12,31))-COUNTIFS('Dvd Calendar'!$E$1644:$AR$1644,"&gt;0",'Dvd Calendar'!$E$1644:$AR$1644,"&lt;="&amp;VAL_DATE,'Dvd Calendar'!$E$1645:$AR$1645,"&gt;"&amp;PROJ_FROM,'Dvd Calendar'!$E$1645:$AR$1645,"&lt;="&amp;DATE(YEAR_Y,12,31),'Dvd Calendar'!$E$1646:$AR$1646,"&gt;=0")&gt;0,"TBA amount - override me",IF((OV_SWITCH="ON")*(COUNTIFS(OVR_TICKERS,$C14,OVR_BASE,"&gt;=0")&gt;0)&gt;0,"overridden",IF($J14+$K14=0,"no dividend in year Y",""))))</f>
        <v/>
      </c>
      <c r="V14" s="65">
        <f>IF($B14="","",IFERROR(IF(ISNUMBER($H14),$B14*$G14*$H14/$B$3,0),""))</f>
        <v/>
      </c>
      <c r="W14" s="65">
        <f>IF($B14="","",IFERROR($B14*$G14*$K14/$B$3,""))</f>
        <v/>
      </c>
      <c r="X14" s="91">
        <f>IF($C14="","",BDP($C14,"PX_LAST"))</f>
        <v/>
      </c>
      <c r="Y14" s="65">
        <f>IF($B14="","",IFERROR($B14*$X14/$B$3,""))</f>
        <v/>
      </c>
      <c r="Z14" s="76">
        <f>IF($B14="","",IFERROR($Y14/$Y$5,""))</f>
        <v/>
      </c>
    </row>
    <row r="15">
      <c r="B15" s="89" t="n"/>
      <c r="C15" s="6">
        <f>IF($A15="","",$A15&amp;" Equity")</f>
        <v/>
      </c>
      <c r="D15" s="6">
        <f>IF($C15="","",BDP($C15,"NAME"))</f>
        <v/>
      </c>
      <c r="E15" s="6">
        <f>IF($C15="","",BDP($C15,"GICS_SECTOR_NAME"))</f>
        <v/>
      </c>
      <c r="F15" s="33">
        <f>IF($C15="","",BDP($C15,FLD_CCY))</f>
        <v/>
      </c>
      <c r="G15" s="90">
        <f>IFERROR(IF(LEN($F15)&lt;&gt;3,1,IF($F15="HKD",1,BDP(IF($F15="CNY",RMB_CROSS,$F15)&amp;"HKD Curncy","PX_LAST"))),1)</f>
        <v/>
      </c>
      <c r="H15" s="65">
        <f>IF($C15="","",BDP($C15,FLD_DPS12M))</f>
        <v/>
      </c>
      <c r="I15" s="47">
        <f>IF($C15="","",BDP($C15,FLD_YLD12M))</f>
        <v/>
      </c>
      <c r="J15" s="49">
        <f>IF($B15="",0,SUMPRODUCT(('Dvd Calendar'!$E$1649:$AR$1649&gt;=DATE(YEAR_Y,1,1))*('Dvd Calendar'!$E$1649:$AR$1649&lt;=REALIZED_TO)*'Dvd Calendar'!$E$1652:$AR$1652*(('Dvd Calendar'!$E$1654:$AR$1654=TYPE1)*(TYPE1&lt;&gt;"")+('Dvd Calendar'!$E$1654:$AR$1654=TYPE2)*(TYPE2&lt;&gt;"")+('Dvd Calendar'!$E$1654:$AR$1654=TYPE3)*(TYPE3&lt;&gt;"")+('Dvd Calendar'!$E$1654:$AR$1654=TYPE4)*(TYPE4&lt;&gt;"")+('Dvd Calendar'!$E$1654:$AR$1654=SPECIAL_LBL)*(INC_SPECIALS="Y"))))</f>
        <v/>
      </c>
      <c r="K15" s="49">
        <f>IF($B15="",0,SUMIFS('Dvd Calendar'!$E$1657:$AR$1657,'Dvd Calendar'!$E$1656:$AR$1656,"&gt;"&amp;PROJ_FROM,'Dvd Calendar'!$E$1656:$AR$1656,"&lt;="&amp;DATE(YEAR_Y,12,31)))</f>
        <v/>
      </c>
      <c r="L15" s="49">
        <f>IF($B15="",0,IF((OV_SWITCH="ON")*(COUNTIFS(OVR_TICKERS,$C15,OVR_BASE,"&gt;=0")&gt;0)&gt;0,SUMIFS(OVR_BASE,OVR_TICKERS,$C15),$K15))</f>
        <v/>
      </c>
      <c r="M15" s="49">
        <f>IF($B15="",0,IF((OV_SWITCH="ON")*(COUNTIFS(OVR_TICKERS,$C15,OVR_LOW,"&gt;=0")&gt;0)&gt;0,SUMIFS(OVR_LOW,OVR_TICKERS,$C15),$L15))</f>
        <v/>
      </c>
      <c r="N15" s="49">
        <f>IF($B15="",0,IF((OV_SWITCH="ON")*(COUNTIFS(OVR_TICKERS,$C15,OVR_HIGH,"&gt;=0")&gt;0)&gt;0,SUMIFS(OVR_HIGH,OVR_TICKERS,$C15),$L15))</f>
        <v/>
      </c>
      <c r="O15" s="65">
        <f>IF($B15="","",IFERROR($B15*$G15*$J15/$B$3,""))</f>
        <v/>
      </c>
      <c r="P15" s="65">
        <f>IF($B15="","",IFERROR($B15*$G15*$L15/$B$3,""))</f>
        <v/>
      </c>
      <c r="Q15" s="41">
        <f>IF($B15="","",IFERROR($O15+$P15,""))</f>
        <v/>
      </c>
      <c r="R15" s="65">
        <f>IF($B15="","",IFERROR($O15+$B15*$G15*$M15/$B$3,""))</f>
        <v/>
      </c>
      <c r="S15" s="65">
        <f>IF($B15="","",IFERROR($O15+$B15*$G15*$N15/$B$3,""))</f>
        <v/>
      </c>
      <c r="T15" s="80">
        <f>IF($B15="","",IFERROR($Q15/$Q$5,""))</f>
        <v/>
      </c>
      <c r="U15" s="2">
        <f>IF($B15="","",IF(COUNTIFS('Dvd Calendar'!$E$1655:$AR$1655,"&gt;0",'Dvd Calendar'!$E$1655:$AR$1655,"&lt;="&amp;VAL_DATE,'Dvd Calendar'!$E$1656:$AR$1656,"&gt;"&amp;PROJ_FROM,'Dvd Calendar'!$E$1656:$AR$1656,"&lt;="&amp;DATE(YEAR_Y,12,31))-COUNTIFS('Dvd Calendar'!$E$1655:$AR$1655,"&gt;0",'Dvd Calendar'!$E$1655:$AR$1655,"&lt;="&amp;VAL_DATE,'Dvd Calendar'!$E$1656:$AR$1656,"&gt;"&amp;PROJ_FROM,'Dvd Calendar'!$E$1656:$AR$1656,"&lt;="&amp;DATE(YEAR_Y,12,31),'Dvd Calendar'!$E$1657:$AR$1657,"&gt;=0")&gt;0,"TBA amount - override me",IF((OV_SWITCH="ON")*(COUNTIFS(OVR_TICKERS,$C15,OVR_BASE,"&gt;=0")&gt;0)&gt;0,"overridden",IF($J15+$K15=0,"no dividend in year Y",""))))</f>
        <v/>
      </c>
      <c r="V15" s="65">
        <f>IF($B15="","",IFERROR(IF(ISNUMBER($H15),$B15*$G15*$H15/$B$3,0),""))</f>
        <v/>
      </c>
      <c r="W15" s="65">
        <f>IF($B15="","",IFERROR($B15*$G15*$K15/$B$3,""))</f>
        <v/>
      </c>
      <c r="X15" s="91">
        <f>IF($C15="","",BDP($C15,"PX_LAST"))</f>
        <v/>
      </c>
      <c r="Y15" s="65">
        <f>IF($B15="","",IFERROR($B15*$X15/$B$3,""))</f>
        <v/>
      </c>
      <c r="Z15" s="76">
        <f>IF($B15="","",IFERROR($Y15/$Y$5,""))</f>
        <v/>
      </c>
    </row>
    <row r="16">
      <c r="B16" s="89" t="n"/>
      <c r="C16" s="6">
        <f>IF($A16="","",$A16&amp;" Equity")</f>
        <v/>
      </c>
      <c r="D16" s="6">
        <f>IF($C16="","",BDP($C16,"NAME"))</f>
        <v/>
      </c>
      <c r="E16" s="6">
        <f>IF($C16="","",BDP($C16,"GICS_SECTOR_NAME"))</f>
        <v/>
      </c>
      <c r="F16" s="33">
        <f>IF($C16="","",BDP($C16,FLD_CCY))</f>
        <v/>
      </c>
      <c r="G16" s="90">
        <f>IFERROR(IF(LEN($F16)&lt;&gt;3,1,IF($F16="HKD",1,BDP(IF($F16="CNY",RMB_CROSS,$F16)&amp;"HKD Curncy","PX_LAST"))),1)</f>
        <v/>
      </c>
      <c r="H16" s="65">
        <f>IF($C16="","",BDP($C16,FLD_DPS12M))</f>
        <v/>
      </c>
      <c r="I16" s="47">
        <f>IF($C16="","",BDP($C16,FLD_YLD12M))</f>
        <v/>
      </c>
      <c r="J16" s="49">
        <f>IF($B16="",0,SUMPRODUCT(('Dvd Calendar'!$E$1660:$AR$1660&gt;=DATE(YEAR_Y,1,1))*('Dvd Calendar'!$E$1660:$AR$1660&lt;=REALIZED_TO)*'Dvd Calendar'!$E$1663:$AR$1663*(('Dvd Calendar'!$E$1665:$AR$1665=TYPE1)*(TYPE1&lt;&gt;"")+('Dvd Calendar'!$E$1665:$AR$1665=TYPE2)*(TYPE2&lt;&gt;"")+('Dvd Calendar'!$E$1665:$AR$1665=TYPE3)*(TYPE3&lt;&gt;"")+('Dvd Calendar'!$E$1665:$AR$1665=TYPE4)*(TYPE4&lt;&gt;"")+('Dvd Calendar'!$E$1665:$AR$1665=SPECIAL_LBL)*(INC_SPECIALS="Y"))))</f>
        <v/>
      </c>
      <c r="K16" s="49">
        <f>IF($B16="",0,SUMIFS('Dvd Calendar'!$E$1668:$AR$1668,'Dvd Calendar'!$E$1667:$AR$1667,"&gt;"&amp;PROJ_FROM,'Dvd Calendar'!$E$1667:$AR$1667,"&lt;="&amp;DATE(YEAR_Y,12,31)))</f>
        <v/>
      </c>
      <c r="L16" s="49">
        <f>IF($B16="",0,IF((OV_SWITCH="ON")*(COUNTIFS(OVR_TICKERS,$C16,OVR_BASE,"&gt;=0")&gt;0)&gt;0,SUMIFS(OVR_BASE,OVR_TICKERS,$C16),$K16))</f>
        <v/>
      </c>
      <c r="M16" s="49">
        <f>IF($B16="",0,IF((OV_SWITCH="ON")*(COUNTIFS(OVR_TICKERS,$C16,OVR_LOW,"&gt;=0")&gt;0)&gt;0,SUMIFS(OVR_LOW,OVR_TICKERS,$C16),$L16))</f>
        <v/>
      </c>
      <c r="N16" s="49">
        <f>IF($B16="",0,IF((OV_SWITCH="ON")*(COUNTIFS(OVR_TICKERS,$C16,OVR_HIGH,"&gt;=0")&gt;0)&gt;0,SUMIFS(OVR_HIGH,OVR_TICKERS,$C16),$L16))</f>
        <v/>
      </c>
      <c r="O16" s="65">
        <f>IF($B16="","",IFERROR($B16*$G16*$J16/$B$3,""))</f>
        <v/>
      </c>
      <c r="P16" s="65">
        <f>IF($B16="","",IFERROR($B16*$G16*$L16/$B$3,""))</f>
        <v/>
      </c>
      <c r="Q16" s="41">
        <f>IF($B16="","",IFERROR($O16+$P16,""))</f>
        <v/>
      </c>
      <c r="R16" s="65">
        <f>IF($B16="","",IFERROR($O16+$B16*$G16*$M16/$B$3,""))</f>
        <v/>
      </c>
      <c r="S16" s="65">
        <f>IF($B16="","",IFERROR($O16+$B16*$G16*$N16/$B$3,""))</f>
        <v/>
      </c>
      <c r="T16" s="80">
        <f>IF($B16="","",IFERROR($Q16/$Q$5,""))</f>
        <v/>
      </c>
      <c r="U16" s="2">
        <f>IF($B16="","",IF(COUNTIFS('Dvd Calendar'!$E$1666:$AR$1666,"&gt;0",'Dvd Calendar'!$E$1666:$AR$1666,"&lt;="&amp;VAL_DATE,'Dvd Calendar'!$E$1667:$AR$1667,"&gt;"&amp;PROJ_FROM,'Dvd Calendar'!$E$1667:$AR$1667,"&lt;="&amp;DATE(YEAR_Y,12,31))-COUNTIFS('Dvd Calendar'!$E$1666:$AR$1666,"&gt;0",'Dvd Calendar'!$E$1666:$AR$1666,"&lt;="&amp;VAL_DATE,'Dvd Calendar'!$E$1667:$AR$1667,"&gt;"&amp;PROJ_FROM,'Dvd Calendar'!$E$1667:$AR$1667,"&lt;="&amp;DATE(YEAR_Y,12,31),'Dvd Calendar'!$E$1668:$AR$1668,"&gt;=0")&gt;0,"TBA amount - override me",IF((OV_SWITCH="ON")*(COUNTIFS(OVR_TICKERS,$C16,OVR_BASE,"&gt;=0")&gt;0)&gt;0,"overridden",IF($J16+$K16=0,"no dividend in year Y",""))))</f>
        <v/>
      </c>
      <c r="V16" s="65">
        <f>IF($B16="","",IFERROR(IF(ISNUMBER($H16),$B16*$G16*$H16/$B$3,0),""))</f>
        <v/>
      </c>
      <c r="W16" s="65">
        <f>IF($B16="","",IFERROR($B16*$G16*$K16/$B$3,""))</f>
        <v/>
      </c>
      <c r="X16" s="91">
        <f>IF($C16="","",BDP($C16,"PX_LAST"))</f>
        <v/>
      </c>
      <c r="Y16" s="65">
        <f>IF($B16="","",IFERROR($B16*$X16/$B$3,""))</f>
        <v/>
      </c>
      <c r="Z16" s="76">
        <f>IF($B16="","",IFERROR($Y16/$Y$5,""))</f>
        <v/>
      </c>
    </row>
    <row r="17">
      <c r="B17" s="89" t="n"/>
      <c r="C17" s="6">
        <f>IF($A17="","",$A17&amp;" Equity")</f>
        <v/>
      </c>
      <c r="D17" s="6">
        <f>IF($C17="","",BDP($C17,"NAME"))</f>
        <v/>
      </c>
      <c r="E17" s="6">
        <f>IF($C17="","",BDP($C17,"GICS_SECTOR_NAME"))</f>
        <v/>
      </c>
      <c r="F17" s="33">
        <f>IF($C17="","",BDP($C17,FLD_CCY))</f>
        <v/>
      </c>
      <c r="G17" s="90">
        <f>IFERROR(IF(LEN($F17)&lt;&gt;3,1,IF($F17="HKD",1,BDP(IF($F17="CNY",RMB_CROSS,$F17)&amp;"HKD Curncy","PX_LAST"))),1)</f>
        <v/>
      </c>
      <c r="H17" s="65">
        <f>IF($C17="","",BDP($C17,FLD_DPS12M))</f>
        <v/>
      </c>
      <c r="I17" s="47">
        <f>IF($C17="","",BDP($C17,FLD_YLD12M))</f>
        <v/>
      </c>
      <c r="J17" s="49">
        <f>IF($B17="",0,SUMPRODUCT(('Dvd Calendar'!$E$1671:$AR$1671&gt;=DATE(YEAR_Y,1,1))*('Dvd Calendar'!$E$1671:$AR$1671&lt;=REALIZED_TO)*'Dvd Calendar'!$E$1674:$AR$1674*(('Dvd Calendar'!$E$1676:$AR$1676=TYPE1)*(TYPE1&lt;&gt;"")+('Dvd Calendar'!$E$1676:$AR$1676=TYPE2)*(TYPE2&lt;&gt;"")+('Dvd Calendar'!$E$1676:$AR$1676=TYPE3)*(TYPE3&lt;&gt;"")+('Dvd Calendar'!$E$1676:$AR$1676=TYPE4)*(TYPE4&lt;&gt;"")+('Dvd Calendar'!$E$1676:$AR$1676=SPECIAL_LBL)*(INC_SPECIALS="Y"))))</f>
        <v/>
      </c>
      <c r="K17" s="49">
        <f>IF($B17="",0,SUMIFS('Dvd Calendar'!$E$1679:$AR$1679,'Dvd Calendar'!$E$1678:$AR$1678,"&gt;"&amp;PROJ_FROM,'Dvd Calendar'!$E$1678:$AR$1678,"&lt;="&amp;DATE(YEAR_Y,12,31)))</f>
        <v/>
      </c>
      <c r="L17" s="49">
        <f>IF($B17="",0,IF((OV_SWITCH="ON")*(COUNTIFS(OVR_TICKERS,$C17,OVR_BASE,"&gt;=0")&gt;0)&gt;0,SUMIFS(OVR_BASE,OVR_TICKERS,$C17),$K17))</f>
        <v/>
      </c>
      <c r="M17" s="49">
        <f>IF($B17="",0,IF((OV_SWITCH="ON")*(COUNTIFS(OVR_TICKERS,$C17,OVR_LOW,"&gt;=0")&gt;0)&gt;0,SUMIFS(OVR_LOW,OVR_TICKERS,$C17),$L17))</f>
        <v/>
      </c>
      <c r="N17" s="49">
        <f>IF($B17="",0,IF((OV_SWITCH="ON")*(COUNTIFS(OVR_TICKERS,$C17,OVR_HIGH,"&gt;=0")&gt;0)&gt;0,SUMIFS(OVR_HIGH,OVR_TICKERS,$C17),$L17))</f>
        <v/>
      </c>
      <c r="O17" s="65">
        <f>IF($B17="","",IFERROR($B17*$G17*$J17/$B$3,""))</f>
        <v/>
      </c>
      <c r="P17" s="65">
        <f>IF($B17="","",IFERROR($B17*$G17*$L17/$B$3,""))</f>
        <v/>
      </c>
      <c r="Q17" s="41">
        <f>IF($B17="","",IFERROR($O17+$P17,""))</f>
        <v/>
      </c>
      <c r="R17" s="65">
        <f>IF($B17="","",IFERROR($O17+$B17*$G17*$M17/$B$3,""))</f>
        <v/>
      </c>
      <c r="S17" s="65">
        <f>IF($B17="","",IFERROR($O17+$B17*$G17*$N17/$B$3,""))</f>
        <v/>
      </c>
      <c r="T17" s="80">
        <f>IF($B17="","",IFERROR($Q17/$Q$5,""))</f>
        <v/>
      </c>
      <c r="U17" s="2">
        <f>IF($B17="","",IF(COUNTIFS('Dvd Calendar'!$E$1677:$AR$1677,"&gt;0",'Dvd Calendar'!$E$1677:$AR$1677,"&lt;="&amp;VAL_DATE,'Dvd Calendar'!$E$1678:$AR$1678,"&gt;"&amp;PROJ_FROM,'Dvd Calendar'!$E$1678:$AR$1678,"&lt;="&amp;DATE(YEAR_Y,12,31))-COUNTIFS('Dvd Calendar'!$E$1677:$AR$1677,"&gt;0",'Dvd Calendar'!$E$1677:$AR$1677,"&lt;="&amp;VAL_DATE,'Dvd Calendar'!$E$1678:$AR$1678,"&gt;"&amp;PROJ_FROM,'Dvd Calendar'!$E$1678:$AR$1678,"&lt;="&amp;DATE(YEAR_Y,12,31),'Dvd Calendar'!$E$1679:$AR$1679,"&gt;=0")&gt;0,"TBA amount - override me",IF((OV_SWITCH="ON")*(COUNTIFS(OVR_TICKERS,$C17,OVR_BASE,"&gt;=0")&gt;0)&gt;0,"overridden",IF($J17+$K17=0,"no dividend in year Y",""))))</f>
        <v/>
      </c>
      <c r="V17" s="65">
        <f>IF($B17="","",IFERROR(IF(ISNUMBER($H17),$B17*$G17*$H17/$B$3,0),""))</f>
        <v/>
      </c>
      <c r="W17" s="65">
        <f>IF($B17="","",IFERROR($B17*$G17*$K17/$B$3,""))</f>
        <v/>
      </c>
      <c r="X17" s="91">
        <f>IF($C17="","",BDP($C17,"PX_LAST"))</f>
        <v/>
      </c>
      <c r="Y17" s="65">
        <f>IF($B17="","",IFERROR($B17*$X17/$B$3,""))</f>
        <v/>
      </c>
      <c r="Z17" s="76">
        <f>IF($B17="","",IFERROR($Y17/$Y$5,""))</f>
        <v/>
      </c>
    </row>
    <row r="18">
      <c r="B18" s="89" t="n"/>
      <c r="C18" s="6">
        <f>IF($A18="","",$A18&amp;" Equity")</f>
        <v/>
      </c>
      <c r="D18" s="6">
        <f>IF($C18="","",BDP($C18,"NAME"))</f>
        <v/>
      </c>
      <c r="E18" s="6">
        <f>IF($C18="","",BDP($C18,"GICS_SECTOR_NAME"))</f>
        <v/>
      </c>
      <c r="F18" s="33">
        <f>IF($C18="","",BDP($C18,FLD_CCY))</f>
        <v/>
      </c>
      <c r="G18" s="90">
        <f>IFERROR(IF(LEN($F18)&lt;&gt;3,1,IF($F18="HKD",1,BDP(IF($F18="CNY",RMB_CROSS,$F18)&amp;"HKD Curncy","PX_LAST"))),1)</f>
        <v/>
      </c>
      <c r="H18" s="65">
        <f>IF($C18="","",BDP($C18,FLD_DPS12M))</f>
        <v/>
      </c>
      <c r="I18" s="47">
        <f>IF($C18="","",BDP($C18,FLD_YLD12M))</f>
        <v/>
      </c>
      <c r="J18" s="49">
        <f>IF($B18="",0,SUMPRODUCT(('Dvd Calendar'!$E$1682:$AR$1682&gt;=DATE(YEAR_Y,1,1))*('Dvd Calendar'!$E$1682:$AR$1682&lt;=REALIZED_TO)*'Dvd Calendar'!$E$1685:$AR$1685*(('Dvd Calendar'!$E$1687:$AR$1687=TYPE1)*(TYPE1&lt;&gt;"")+('Dvd Calendar'!$E$1687:$AR$1687=TYPE2)*(TYPE2&lt;&gt;"")+('Dvd Calendar'!$E$1687:$AR$1687=TYPE3)*(TYPE3&lt;&gt;"")+('Dvd Calendar'!$E$1687:$AR$1687=TYPE4)*(TYPE4&lt;&gt;"")+('Dvd Calendar'!$E$1687:$AR$1687=SPECIAL_LBL)*(INC_SPECIALS="Y"))))</f>
        <v/>
      </c>
      <c r="K18" s="49">
        <f>IF($B18="",0,SUMIFS('Dvd Calendar'!$E$1690:$AR$1690,'Dvd Calendar'!$E$1689:$AR$1689,"&gt;"&amp;PROJ_FROM,'Dvd Calendar'!$E$1689:$AR$1689,"&lt;="&amp;DATE(YEAR_Y,12,31)))</f>
        <v/>
      </c>
      <c r="L18" s="49">
        <f>IF($B18="",0,IF((OV_SWITCH="ON")*(COUNTIFS(OVR_TICKERS,$C18,OVR_BASE,"&gt;=0")&gt;0)&gt;0,SUMIFS(OVR_BASE,OVR_TICKERS,$C18),$K18))</f>
        <v/>
      </c>
      <c r="M18" s="49">
        <f>IF($B18="",0,IF((OV_SWITCH="ON")*(COUNTIFS(OVR_TICKERS,$C18,OVR_LOW,"&gt;=0")&gt;0)&gt;0,SUMIFS(OVR_LOW,OVR_TICKERS,$C18),$L18))</f>
        <v/>
      </c>
      <c r="N18" s="49">
        <f>IF($B18="",0,IF((OV_SWITCH="ON")*(COUNTIFS(OVR_TICKERS,$C18,OVR_HIGH,"&gt;=0")&gt;0)&gt;0,SUMIFS(OVR_HIGH,OVR_TICKERS,$C18),$L18))</f>
        <v/>
      </c>
      <c r="O18" s="65">
        <f>IF($B18="","",IFERROR($B18*$G18*$J18/$B$3,""))</f>
        <v/>
      </c>
      <c r="P18" s="65">
        <f>IF($B18="","",IFERROR($B18*$G18*$L18/$B$3,""))</f>
        <v/>
      </c>
      <c r="Q18" s="41">
        <f>IF($B18="","",IFERROR($O18+$P18,""))</f>
        <v/>
      </c>
      <c r="R18" s="65">
        <f>IF($B18="","",IFERROR($O18+$B18*$G18*$M18/$B$3,""))</f>
        <v/>
      </c>
      <c r="S18" s="65">
        <f>IF($B18="","",IFERROR($O18+$B18*$G18*$N18/$B$3,""))</f>
        <v/>
      </c>
      <c r="T18" s="80">
        <f>IF($B18="","",IFERROR($Q18/$Q$5,""))</f>
        <v/>
      </c>
      <c r="U18" s="2">
        <f>IF($B18="","",IF(COUNTIFS('Dvd Calendar'!$E$1688:$AR$1688,"&gt;0",'Dvd Calendar'!$E$1688:$AR$1688,"&lt;="&amp;VAL_DATE,'Dvd Calendar'!$E$1689:$AR$1689,"&gt;"&amp;PROJ_FROM,'Dvd Calendar'!$E$1689:$AR$1689,"&lt;="&amp;DATE(YEAR_Y,12,31))-COUNTIFS('Dvd Calendar'!$E$1688:$AR$1688,"&gt;0",'Dvd Calendar'!$E$1688:$AR$1688,"&lt;="&amp;VAL_DATE,'Dvd Calendar'!$E$1689:$AR$1689,"&gt;"&amp;PROJ_FROM,'Dvd Calendar'!$E$1689:$AR$1689,"&lt;="&amp;DATE(YEAR_Y,12,31),'Dvd Calendar'!$E$1690:$AR$1690,"&gt;=0")&gt;0,"TBA amount - override me",IF((OV_SWITCH="ON")*(COUNTIFS(OVR_TICKERS,$C18,OVR_BASE,"&gt;=0")&gt;0)&gt;0,"overridden",IF($J18+$K18=0,"no dividend in year Y",""))))</f>
        <v/>
      </c>
      <c r="V18" s="65">
        <f>IF($B18="","",IFERROR(IF(ISNUMBER($H18),$B18*$G18*$H18/$B$3,0),""))</f>
        <v/>
      </c>
      <c r="W18" s="65">
        <f>IF($B18="","",IFERROR($B18*$G18*$K18/$B$3,""))</f>
        <v/>
      </c>
      <c r="X18" s="91">
        <f>IF($C18="","",BDP($C18,"PX_LAST"))</f>
        <v/>
      </c>
      <c r="Y18" s="65">
        <f>IF($B18="","",IFERROR($B18*$X18/$B$3,""))</f>
        <v/>
      </c>
      <c r="Z18" s="76">
        <f>IF($B18="","",IFERROR($Y18/$Y$5,""))</f>
        <v/>
      </c>
    </row>
    <row r="19">
      <c r="B19" s="89" t="n"/>
      <c r="C19" s="6">
        <f>IF($A19="","",$A19&amp;" Equity")</f>
        <v/>
      </c>
      <c r="D19" s="6">
        <f>IF($C19="","",BDP($C19,"NAME"))</f>
        <v/>
      </c>
      <c r="E19" s="6">
        <f>IF($C19="","",BDP($C19,"GICS_SECTOR_NAME"))</f>
        <v/>
      </c>
      <c r="F19" s="33">
        <f>IF($C19="","",BDP($C19,FLD_CCY))</f>
        <v/>
      </c>
      <c r="G19" s="90">
        <f>IFERROR(IF(LEN($F19)&lt;&gt;3,1,IF($F19="HKD",1,BDP(IF($F19="CNY",RMB_CROSS,$F19)&amp;"HKD Curncy","PX_LAST"))),1)</f>
        <v/>
      </c>
      <c r="H19" s="65">
        <f>IF($C19="","",BDP($C19,FLD_DPS12M))</f>
        <v/>
      </c>
      <c r="I19" s="47">
        <f>IF($C19="","",BDP($C19,FLD_YLD12M))</f>
        <v/>
      </c>
      <c r="J19" s="49">
        <f>IF($B19="",0,SUMPRODUCT(('Dvd Calendar'!$E$1693:$AR$1693&gt;=DATE(YEAR_Y,1,1))*('Dvd Calendar'!$E$1693:$AR$1693&lt;=REALIZED_TO)*'Dvd Calendar'!$E$1696:$AR$1696*(('Dvd Calendar'!$E$1698:$AR$1698=TYPE1)*(TYPE1&lt;&gt;"")+('Dvd Calendar'!$E$1698:$AR$1698=TYPE2)*(TYPE2&lt;&gt;"")+('Dvd Calendar'!$E$1698:$AR$1698=TYPE3)*(TYPE3&lt;&gt;"")+('Dvd Calendar'!$E$1698:$AR$1698=TYPE4)*(TYPE4&lt;&gt;"")+('Dvd Calendar'!$E$1698:$AR$1698=SPECIAL_LBL)*(INC_SPECIALS="Y"))))</f>
        <v/>
      </c>
      <c r="K19" s="49">
        <f>IF($B19="",0,SUMIFS('Dvd Calendar'!$E$1701:$AR$1701,'Dvd Calendar'!$E$1700:$AR$1700,"&gt;"&amp;PROJ_FROM,'Dvd Calendar'!$E$1700:$AR$1700,"&lt;="&amp;DATE(YEAR_Y,12,31)))</f>
        <v/>
      </c>
      <c r="L19" s="49">
        <f>IF($B19="",0,IF((OV_SWITCH="ON")*(COUNTIFS(OVR_TICKERS,$C19,OVR_BASE,"&gt;=0")&gt;0)&gt;0,SUMIFS(OVR_BASE,OVR_TICKERS,$C19),$K19))</f>
        <v/>
      </c>
      <c r="M19" s="49">
        <f>IF($B19="",0,IF((OV_SWITCH="ON")*(COUNTIFS(OVR_TICKERS,$C19,OVR_LOW,"&gt;=0")&gt;0)&gt;0,SUMIFS(OVR_LOW,OVR_TICKERS,$C19),$L19))</f>
        <v/>
      </c>
      <c r="N19" s="49">
        <f>IF($B19="",0,IF((OV_SWITCH="ON")*(COUNTIFS(OVR_TICKERS,$C19,OVR_HIGH,"&gt;=0")&gt;0)&gt;0,SUMIFS(OVR_HIGH,OVR_TICKERS,$C19),$L19))</f>
        <v/>
      </c>
      <c r="O19" s="65">
        <f>IF($B19="","",IFERROR($B19*$G19*$J19/$B$3,""))</f>
        <v/>
      </c>
      <c r="P19" s="65">
        <f>IF($B19="","",IFERROR($B19*$G19*$L19/$B$3,""))</f>
        <v/>
      </c>
      <c r="Q19" s="41">
        <f>IF($B19="","",IFERROR($O19+$P19,""))</f>
        <v/>
      </c>
      <c r="R19" s="65">
        <f>IF($B19="","",IFERROR($O19+$B19*$G19*$M19/$B$3,""))</f>
        <v/>
      </c>
      <c r="S19" s="65">
        <f>IF($B19="","",IFERROR($O19+$B19*$G19*$N19/$B$3,""))</f>
        <v/>
      </c>
      <c r="T19" s="80">
        <f>IF($B19="","",IFERROR($Q19/$Q$5,""))</f>
        <v/>
      </c>
      <c r="U19" s="2">
        <f>IF($B19="","",IF(COUNTIFS('Dvd Calendar'!$E$1699:$AR$1699,"&gt;0",'Dvd Calendar'!$E$1699:$AR$1699,"&lt;="&amp;VAL_DATE,'Dvd Calendar'!$E$1700:$AR$1700,"&gt;"&amp;PROJ_FROM,'Dvd Calendar'!$E$1700:$AR$1700,"&lt;="&amp;DATE(YEAR_Y,12,31))-COUNTIFS('Dvd Calendar'!$E$1699:$AR$1699,"&gt;0",'Dvd Calendar'!$E$1699:$AR$1699,"&lt;="&amp;VAL_DATE,'Dvd Calendar'!$E$1700:$AR$1700,"&gt;"&amp;PROJ_FROM,'Dvd Calendar'!$E$1700:$AR$1700,"&lt;="&amp;DATE(YEAR_Y,12,31),'Dvd Calendar'!$E$1701:$AR$1701,"&gt;=0")&gt;0,"TBA amount - override me",IF((OV_SWITCH="ON")*(COUNTIFS(OVR_TICKERS,$C19,OVR_BASE,"&gt;=0")&gt;0)&gt;0,"overridden",IF($J19+$K19=0,"no dividend in year Y",""))))</f>
        <v/>
      </c>
      <c r="V19" s="65">
        <f>IF($B19="","",IFERROR(IF(ISNUMBER($H19),$B19*$G19*$H19/$B$3,0),""))</f>
        <v/>
      </c>
      <c r="W19" s="65">
        <f>IF($B19="","",IFERROR($B19*$G19*$K19/$B$3,""))</f>
        <v/>
      </c>
      <c r="X19" s="91">
        <f>IF($C19="","",BDP($C19,"PX_LAST"))</f>
        <v/>
      </c>
      <c r="Y19" s="65">
        <f>IF($B19="","",IFERROR($B19*$X19/$B$3,""))</f>
        <v/>
      </c>
      <c r="Z19" s="76">
        <f>IF($B19="","",IFERROR($Y19/$Y$5,""))</f>
        <v/>
      </c>
    </row>
    <row r="20">
      <c r="B20" s="89" t="n"/>
      <c r="C20" s="6">
        <f>IF($A20="","",$A20&amp;" Equity")</f>
        <v/>
      </c>
      <c r="D20" s="6">
        <f>IF($C20="","",BDP($C20,"NAME"))</f>
        <v/>
      </c>
      <c r="E20" s="6">
        <f>IF($C20="","",BDP($C20,"GICS_SECTOR_NAME"))</f>
        <v/>
      </c>
      <c r="F20" s="33">
        <f>IF($C20="","",BDP($C20,FLD_CCY))</f>
        <v/>
      </c>
      <c r="G20" s="90">
        <f>IFERROR(IF(LEN($F20)&lt;&gt;3,1,IF($F20="HKD",1,BDP(IF($F20="CNY",RMB_CROSS,$F20)&amp;"HKD Curncy","PX_LAST"))),1)</f>
        <v/>
      </c>
      <c r="H20" s="65">
        <f>IF($C20="","",BDP($C20,FLD_DPS12M))</f>
        <v/>
      </c>
      <c r="I20" s="47">
        <f>IF($C20="","",BDP($C20,FLD_YLD12M))</f>
        <v/>
      </c>
      <c r="J20" s="49">
        <f>IF($B20="",0,SUMPRODUCT(('Dvd Calendar'!$E$1704:$AR$1704&gt;=DATE(YEAR_Y,1,1))*('Dvd Calendar'!$E$1704:$AR$1704&lt;=REALIZED_TO)*'Dvd Calendar'!$E$1707:$AR$1707*(('Dvd Calendar'!$E$1709:$AR$1709=TYPE1)*(TYPE1&lt;&gt;"")+('Dvd Calendar'!$E$1709:$AR$1709=TYPE2)*(TYPE2&lt;&gt;"")+('Dvd Calendar'!$E$1709:$AR$1709=TYPE3)*(TYPE3&lt;&gt;"")+('Dvd Calendar'!$E$1709:$AR$1709=TYPE4)*(TYPE4&lt;&gt;"")+('Dvd Calendar'!$E$1709:$AR$1709=SPECIAL_LBL)*(INC_SPECIALS="Y"))))</f>
        <v/>
      </c>
      <c r="K20" s="49">
        <f>IF($B20="",0,SUMIFS('Dvd Calendar'!$E$1712:$AR$1712,'Dvd Calendar'!$E$1711:$AR$1711,"&gt;"&amp;PROJ_FROM,'Dvd Calendar'!$E$1711:$AR$1711,"&lt;="&amp;DATE(YEAR_Y,12,31)))</f>
        <v/>
      </c>
      <c r="L20" s="49">
        <f>IF($B20="",0,IF((OV_SWITCH="ON")*(COUNTIFS(OVR_TICKERS,$C20,OVR_BASE,"&gt;=0")&gt;0)&gt;0,SUMIFS(OVR_BASE,OVR_TICKERS,$C20),$K20))</f>
        <v/>
      </c>
      <c r="M20" s="49">
        <f>IF($B20="",0,IF((OV_SWITCH="ON")*(COUNTIFS(OVR_TICKERS,$C20,OVR_LOW,"&gt;=0")&gt;0)&gt;0,SUMIFS(OVR_LOW,OVR_TICKERS,$C20),$L20))</f>
        <v/>
      </c>
      <c r="N20" s="49">
        <f>IF($B20="",0,IF((OV_SWITCH="ON")*(COUNTIFS(OVR_TICKERS,$C20,OVR_HIGH,"&gt;=0")&gt;0)&gt;0,SUMIFS(OVR_HIGH,OVR_TICKERS,$C20),$L20))</f>
        <v/>
      </c>
      <c r="O20" s="65">
        <f>IF($B20="","",IFERROR($B20*$G20*$J20/$B$3,""))</f>
        <v/>
      </c>
      <c r="P20" s="65">
        <f>IF($B20="","",IFERROR($B20*$G20*$L20/$B$3,""))</f>
        <v/>
      </c>
      <c r="Q20" s="41">
        <f>IF($B20="","",IFERROR($O20+$P20,""))</f>
        <v/>
      </c>
      <c r="R20" s="65">
        <f>IF($B20="","",IFERROR($O20+$B20*$G20*$M20/$B$3,""))</f>
        <v/>
      </c>
      <c r="S20" s="65">
        <f>IF($B20="","",IFERROR($O20+$B20*$G20*$N20/$B$3,""))</f>
        <v/>
      </c>
      <c r="T20" s="80">
        <f>IF($B20="","",IFERROR($Q20/$Q$5,""))</f>
        <v/>
      </c>
      <c r="U20" s="2">
        <f>IF($B20="","",IF(COUNTIFS('Dvd Calendar'!$E$1710:$AR$1710,"&gt;0",'Dvd Calendar'!$E$1710:$AR$1710,"&lt;="&amp;VAL_DATE,'Dvd Calendar'!$E$1711:$AR$1711,"&gt;"&amp;PROJ_FROM,'Dvd Calendar'!$E$1711:$AR$1711,"&lt;="&amp;DATE(YEAR_Y,12,31))-COUNTIFS('Dvd Calendar'!$E$1710:$AR$1710,"&gt;0",'Dvd Calendar'!$E$1710:$AR$1710,"&lt;="&amp;VAL_DATE,'Dvd Calendar'!$E$1711:$AR$1711,"&gt;"&amp;PROJ_FROM,'Dvd Calendar'!$E$1711:$AR$1711,"&lt;="&amp;DATE(YEAR_Y,12,31),'Dvd Calendar'!$E$1712:$AR$1712,"&gt;=0")&gt;0,"TBA amount - override me",IF((OV_SWITCH="ON")*(COUNTIFS(OVR_TICKERS,$C20,OVR_BASE,"&gt;=0")&gt;0)&gt;0,"overridden",IF($J20+$K20=0,"no dividend in year Y",""))))</f>
        <v/>
      </c>
      <c r="V20" s="65">
        <f>IF($B20="","",IFERROR(IF(ISNUMBER($H20),$B20*$G20*$H20/$B$3,0),""))</f>
        <v/>
      </c>
      <c r="W20" s="65">
        <f>IF($B20="","",IFERROR($B20*$G20*$K20/$B$3,""))</f>
        <v/>
      </c>
      <c r="X20" s="91">
        <f>IF($C20="","",BDP($C20,"PX_LAST"))</f>
        <v/>
      </c>
      <c r="Y20" s="65">
        <f>IF($B20="","",IFERROR($B20*$X20/$B$3,""))</f>
        <v/>
      </c>
      <c r="Z20" s="76">
        <f>IF($B20="","",IFERROR($Y20/$Y$5,""))</f>
        <v/>
      </c>
    </row>
    <row r="21">
      <c r="B21" s="89" t="n"/>
      <c r="C21" s="6">
        <f>IF($A21="","",$A21&amp;" Equity")</f>
        <v/>
      </c>
      <c r="D21" s="6">
        <f>IF($C21="","",BDP($C21,"NAME"))</f>
        <v/>
      </c>
      <c r="E21" s="6">
        <f>IF($C21="","",BDP($C21,"GICS_SECTOR_NAME"))</f>
        <v/>
      </c>
      <c r="F21" s="33">
        <f>IF($C21="","",BDP($C21,FLD_CCY))</f>
        <v/>
      </c>
      <c r="G21" s="90">
        <f>IFERROR(IF(LEN($F21)&lt;&gt;3,1,IF($F21="HKD",1,BDP(IF($F21="CNY",RMB_CROSS,$F21)&amp;"HKD Curncy","PX_LAST"))),1)</f>
        <v/>
      </c>
      <c r="H21" s="65">
        <f>IF($C21="","",BDP($C21,FLD_DPS12M))</f>
        <v/>
      </c>
      <c r="I21" s="47">
        <f>IF($C21="","",BDP($C21,FLD_YLD12M))</f>
        <v/>
      </c>
      <c r="J21" s="49">
        <f>IF($B21="",0,SUMPRODUCT(('Dvd Calendar'!$E$1715:$AR$1715&gt;=DATE(YEAR_Y,1,1))*('Dvd Calendar'!$E$1715:$AR$1715&lt;=REALIZED_TO)*'Dvd Calendar'!$E$1718:$AR$1718*(('Dvd Calendar'!$E$1720:$AR$1720=TYPE1)*(TYPE1&lt;&gt;"")+('Dvd Calendar'!$E$1720:$AR$1720=TYPE2)*(TYPE2&lt;&gt;"")+('Dvd Calendar'!$E$1720:$AR$1720=TYPE3)*(TYPE3&lt;&gt;"")+('Dvd Calendar'!$E$1720:$AR$1720=TYPE4)*(TYPE4&lt;&gt;"")+('Dvd Calendar'!$E$1720:$AR$1720=SPECIAL_LBL)*(INC_SPECIALS="Y"))))</f>
        <v/>
      </c>
      <c r="K21" s="49">
        <f>IF($B21="",0,SUMIFS('Dvd Calendar'!$E$1723:$AR$1723,'Dvd Calendar'!$E$1722:$AR$1722,"&gt;"&amp;PROJ_FROM,'Dvd Calendar'!$E$1722:$AR$1722,"&lt;="&amp;DATE(YEAR_Y,12,31)))</f>
        <v/>
      </c>
      <c r="L21" s="49">
        <f>IF($B21="",0,IF((OV_SWITCH="ON")*(COUNTIFS(OVR_TICKERS,$C21,OVR_BASE,"&gt;=0")&gt;0)&gt;0,SUMIFS(OVR_BASE,OVR_TICKERS,$C21),$K21))</f>
        <v/>
      </c>
      <c r="M21" s="49">
        <f>IF($B21="",0,IF((OV_SWITCH="ON")*(COUNTIFS(OVR_TICKERS,$C21,OVR_LOW,"&gt;=0")&gt;0)&gt;0,SUMIFS(OVR_LOW,OVR_TICKERS,$C21),$L21))</f>
        <v/>
      </c>
      <c r="N21" s="49">
        <f>IF($B21="",0,IF((OV_SWITCH="ON")*(COUNTIFS(OVR_TICKERS,$C21,OVR_HIGH,"&gt;=0")&gt;0)&gt;0,SUMIFS(OVR_HIGH,OVR_TICKERS,$C21),$L21))</f>
        <v/>
      </c>
      <c r="O21" s="65">
        <f>IF($B21="","",IFERROR($B21*$G21*$J21/$B$3,""))</f>
        <v/>
      </c>
      <c r="P21" s="65">
        <f>IF($B21="","",IFERROR($B21*$G21*$L21/$B$3,""))</f>
        <v/>
      </c>
      <c r="Q21" s="41">
        <f>IF($B21="","",IFERROR($O21+$P21,""))</f>
        <v/>
      </c>
      <c r="R21" s="65">
        <f>IF($B21="","",IFERROR($O21+$B21*$G21*$M21/$B$3,""))</f>
        <v/>
      </c>
      <c r="S21" s="65">
        <f>IF($B21="","",IFERROR($O21+$B21*$G21*$N21/$B$3,""))</f>
        <v/>
      </c>
      <c r="T21" s="80">
        <f>IF($B21="","",IFERROR($Q21/$Q$5,""))</f>
        <v/>
      </c>
      <c r="U21" s="2">
        <f>IF($B21="","",IF(COUNTIFS('Dvd Calendar'!$E$1721:$AR$1721,"&gt;0",'Dvd Calendar'!$E$1721:$AR$1721,"&lt;="&amp;VAL_DATE,'Dvd Calendar'!$E$1722:$AR$1722,"&gt;"&amp;PROJ_FROM,'Dvd Calendar'!$E$1722:$AR$1722,"&lt;="&amp;DATE(YEAR_Y,12,31))-COUNTIFS('Dvd Calendar'!$E$1721:$AR$1721,"&gt;0",'Dvd Calendar'!$E$1721:$AR$1721,"&lt;="&amp;VAL_DATE,'Dvd Calendar'!$E$1722:$AR$1722,"&gt;"&amp;PROJ_FROM,'Dvd Calendar'!$E$1722:$AR$1722,"&lt;="&amp;DATE(YEAR_Y,12,31),'Dvd Calendar'!$E$1723:$AR$1723,"&gt;=0")&gt;0,"TBA amount - override me",IF((OV_SWITCH="ON")*(COUNTIFS(OVR_TICKERS,$C21,OVR_BASE,"&gt;=0")&gt;0)&gt;0,"overridden",IF($J21+$K21=0,"no dividend in year Y",""))))</f>
        <v/>
      </c>
      <c r="V21" s="65">
        <f>IF($B21="","",IFERROR(IF(ISNUMBER($H21),$B21*$G21*$H21/$B$3,0),""))</f>
        <v/>
      </c>
      <c r="W21" s="65">
        <f>IF($B21="","",IFERROR($B21*$G21*$K21/$B$3,""))</f>
        <v/>
      </c>
      <c r="X21" s="91">
        <f>IF($C21="","",BDP($C21,"PX_LAST"))</f>
        <v/>
      </c>
      <c r="Y21" s="65">
        <f>IF($B21="","",IFERROR($B21*$X21/$B$3,""))</f>
        <v/>
      </c>
      <c r="Z21" s="76">
        <f>IF($B21="","",IFERROR($Y21/$Y$5,""))</f>
        <v/>
      </c>
    </row>
    <row r="22">
      <c r="B22" s="89" t="n"/>
      <c r="C22" s="6">
        <f>IF($A22="","",$A22&amp;" Equity")</f>
        <v/>
      </c>
      <c r="D22" s="6">
        <f>IF($C22="","",BDP($C22,"NAME"))</f>
        <v/>
      </c>
      <c r="E22" s="6">
        <f>IF($C22="","",BDP($C22,"GICS_SECTOR_NAME"))</f>
        <v/>
      </c>
      <c r="F22" s="33">
        <f>IF($C22="","",BDP($C22,FLD_CCY))</f>
        <v/>
      </c>
      <c r="G22" s="90">
        <f>IFERROR(IF(LEN($F22)&lt;&gt;3,1,IF($F22="HKD",1,BDP(IF($F22="CNY",RMB_CROSS,$F22)&amp;"HKD Curncy","PX_LAST"))),1)</f>
        <v/>
      </c>
      <c r="H22" s="65">
        <f>IF($C22="","",BDP($C22,FLD_DPS12M))</f>
        <v/>
      </c>
      <c r="I22" s="47">
        <f>IF($C22="","",BDP($C22,FLD_YLD12M))</f>
        <v/>
      </c>
      <c r="J22" s="49">
        <f>IF($B22="",0,SUMPRODUCT(('Dvd Calendar'!$E$1726:$AR$1726&gt;=DATE(YEAR_Y,1,1))*('Dvd Calendar'!$E$1726:$AR$1726&lt;=REALIZED_TO)*'Dvd Calendar'!$E$1729:$AR$1729*(('Dvd Calendar'!$E$1731:$AR$1731=TYPE1)*(TYPE1&lt;&gt;"")+('Dvd Calendar'!$E$1731:$AR$1731=TYPE2)*(TYPE2&lt;&gt;"")+('Dvd Calendar'!$E$1731:$AR$1731=TYPE3)*(TYPE3&lt;&gt;"")+('Dvd Calendar'!$E$1731:$AR$1731=TYPE4)*(TYPE4&lt;&gt;"")+('Dvd Calendar'!$E$1731:$AR$1731=SPECIAL_LBL)*(INC_SPECIALS="Y"))))</f>
        <v/>
      </c>
      <c r="K22" s="49">
        <f>IF($B22="",0,SUMIFS('Dvd Calendar'!$E$1734:$AR$1734,'Dvd Calendar'!$E$1733:$AR$1733,"&gt;"&amp;PROJ_FROM,'Dvd Calendar'!$E$1733:$AR$1733,"&lt;="&amp;DATE(YEAR_Y,12,31)))</f>
        <v/>
      </c>
      <c r="L22" s="49">
        <f>IF($B22="",0,IF((OV_SWITCH="ON")*(COUNTIFS(OVR_TICKERS,$C22,OVR_BASE,"&gt;=0")&gt;0)&gt;0,SUMIFS(OVR_BASE,OVR_TICKERS,$C22),$K22))</f>
        <v/>
      </c>
      <c r="M22" s="49">
        <f>IF($B22="",0,IF((OV_SWITCH="ON")*(COUNTIFS(OVR_TICKERS,$C22,OVR_LOW,"&gt;=0")&gt;0)&gt;0,SUMIFS(OVR_LOW,OVR_TICKERS,$C22),$L22))</f>
        <v/>
      </c>
      <c r="N22" s="49">
        <f>IF($B22="",0,IF((OV_SWITCH="ON")*(COUNTIFS(OVR_TICKERS,$C22,OVR_HIGH,"&gt;=0")&gt;0)&gt;0,SUMIFS(OVR_HIGH,OVR_TICKERS,$C22),$L22))</f>
        <v/>
      </c>
      <c r="O22" s="65">
        <f>IF($B22="","",IFERROR($B22*$G22*$J22/$B$3,""))</f>
        <v/>
      </c>
      <c r="P22" s="65">
        <f>IF($B22="","",IFERROR($B22*$G22*$L22/$B$3,""))</f>
        <v/>
      </c>
      <c r="Q22" s="41">
        <f>IF($B22="","",IFERROR($O22+$P22,""))</f>
        <v/>
      </c>
      <c r="R22" s="65">
        <f>IF($B22="","",IFERROR($O22+$B22*$G22*$M22/$B$3,""))</f>
        <v/>
      </c>
      <c r="S22" s="65">
        <f>IF($B22="","",IFERROR($O22+$B22*$G22*$N22/$B$3,""))</f>
        <v/>
      </c>
      <c r="T22" s="80">
        <f>IF($B22="","",IFERROR($Q22/$Q$5,""))</f>
        <v/>
      </c>
      <c r="U22" s="2">
        <f>IF($B22="","",IF(COUNTIFS('Dvd Calendar'!$E$1732:$AR$1732,"&gt;0",'Dvd Calendar'!$E$1732:$AR$1732,"&lt;="&amp;VAL_DATE,'Dvd Calendar'!$E$1733:$AR$1733,"&gt;"&amp;PROJ_FROM,'Dvd Calendar'!$E$1733:$AR$1733,"&lt;="&amp;DATE(YEAR_Y,12,31))-COUNTIFS('Dvd Calendar'!$E$1732:$AR$1732,"&gt;0",'Dvd Calendar'!$E$1732:$AR$1732,"&lt;="&amp;VAL_DATE,'Dvd Calendar'!$E$1733:$AR$1733,"&gt;"&amp;PROJ_FROM,'Dvd Calendar'!$E$1733:$AR$1733,"&lt;="&amp;DATE(YEAR_Y,12,31),'Dvd Calendar'!$E$1734:$AR$1734,"&gt;=0")&gt;0,"TBA amount - override me",IF((OV_SWITCH="ON")*(COUNTIFS(OVR_TICKERS,$C22,OVR_BASE,"&gt;=0")&gt;0)&gt;0,"overridden",IF($J22+$K22=0,"no dividend in year Y",""))))</f>
        <v/>
      </c>
      <c r="V22" s="65">
        <f>IF($B22="","",IFERROR(IF(ISNUMBER($H22),$B22*$G22*$H22/$B$3,0),""))</f>
        <v/>
      </c>
      <c r="W22" s="65">
        <f>IF($B22="","",IFERROR($B22*$G22*$K22/$B$3,""))</f>
        <v/>
      </c>
      <c r="X22" s="91">
        <f>IF($C22="","",BDP($C22,"PX_LAST"))</f>
        <v/>
      </c>
      <c r="Y22" s="65">
        <f>IF($B22="","",IFERROR($B22*$X22/$B$3,""))</f>
        <v/>
      </c>
      <c r="Z22" s="76">
        <f>IF($B22="","",IFERROR($Y22/$Y$5,""))</f>
        <v/>
      </c>
    </row>
    <row r="23">
      <c r="B23" s="89" t="n"/>
      <c r="C23" s="6">
        <f>IF($A23="","",$A23&amp;" Equity")</f>
        <v/>
      </c>
      <c r="D23" s="6">
        <f>IF($C23="","",BDP($C23,"NAME"))</f>
        <v/>
      </c>
      <c r="E23" s="6">
        <f>IF($C23="","",BDP($C23,"GICS_SECTOR_NAME"))</f>
        <v/>
      </c>
      <c r="F23" s="33">
        <f>IF($C23="","",BDP($C23,FLD_CCY))</f>
        <v/>
      </c>
      <c r="G23" s="90">
        <f>IFERROR(IF(LEN($F23)&lt;&gt;3,1,IF($F23="HKD",1,BDP(IF($F23="CNY",RMB_CROSS,$F23)&amp;"HKD Curncy","PX_LAST"))),1)</f>
        <v/>
      </c>
      <c r="H23" s="65">
        <f>IF($C23="","",BDP($C23,FLD_DPS12M))</f>
        <v/>
      </c>
      <c r="I23" s="47">
        <f>IF($C23="","",BDP($C23,FLD_YLD12M))</f>
        <v/>
      </c>
      <c r="J23" s="49">
        <f>IF($B23="",0,SUMPRODUCT(('Dvd Calendar'!$E$1737:$AR$1737&gt;=DATE(YEAR_Y,1,1))*('Dvd Calendar'!$E$1737:$AR$1737&lt;=REALIZED_TO)*'Dvd Calendar'!$E$1740:$AR$1740*(('Dvd Calendar'!$E$1742:$AR$1742=TYPE1)*(TYPE1&lt;&gt;"")+('Dvd Calendar'!$E$1742:$AR$1742=TYPE2)*(TYPE2&lt;&gt;"")+('Dvd Calendar'!$E$1742:$AR$1742=TYPE3)*(TYPE3&lt;&gt;"")+('Dvd Calendar'!$E$1742:$AR$1742=TYPE4)*(TYPE4&lt;&gt;"")+('Dvd Calendar'!$E$1742:$AR$1742=SPECIAL_LBL)*(INC_SPECIALS="Y"))))</f>
        <v/>
      </c>
      <c r="K23" s="49">
        <f>IF($B23="",0,SUMIFS('Dvd Calendar'!$E$1745:$AR$1745,'Dvd Calendar'!$E$1744:$AR$1744,"&gt;"&amp;PROJ_FROM,'Dvd Calendar'!$E$1744:$AR$1744,"&lt;="&amp;DATE(YEAR_Y,12,31)))</f>
        <v/>
      </c>
      <c r="L23" s="49">
        <f>IF($B23="",0,IF((OV_SWITCH="ON")*(COUNTIFS(OVR_TICKERS,$C23,OVR_BASE,"&gt;=0")&gt;0)&gt;0,SUMIFS(OVR_BASE,OVR_TICKERS,$C23),$K23))</f>
        <v/>
      </c>
      <c r="M23" s="49">
        <f>IF($B23="",0,IF((OV_SWITCH="ON")*(COUNTIFS(OVR_TICKERS,$C23,OVR_LOW,"&gt;=0")&gt;0)&gt;0,SUMIFS(OVR_LOW,OVR_TICKERS,$C23),$L23))</f>
        <v/>
      </c>
      <c r="N23" s="49">
        <f>IF($B23="",0,IF((OV_SWITCH="ON")*(COUNTIFS(OVR_TICKERS,$C23,OVR_HIGH,"&gt;=0")&gt;0)&gt;0,SUMIFS(OVR_HIGH,OVR_TICKERS,$C23),$L23))</f>
        <v/>
      </c>
      <c r="O23" s="65">
        <f>IF($B23="","",IFERROR($B23*$G23*$J23/$B$3,""))</f>
        <v/>
      </c>
      <c r="P23" s="65">
        <f>IF($B23="","",IFERROR($B23*$G23*$L23/$B$3,""))</f>
        <v/>
      </c>
      <c r="Q23" s="41">
        <f>IF($B23="","",IFERROR($O23+$P23,""))</f>
        <v/>
      </c>
      <c r="R23" s="65">
        <f>IF($B23="","",IFERROR($O23+$B23*$G23*$M23/$B$3,""))</f>
        <v/>
      </c>
      <c r="S23" s="65">
        <f>IF($B23="","",IFERROR($O23+$B23*$G23*$N23/$B$3,""))</f>
        <v/>
      </c>
      <c r="T23" s="80">
        <f>IF($B23="","",IFERROR($Q23/$Q$5,""))</f>
        <v/>
      </c>
      <c r="U23" s="2">
        <f>IF($B23="","",IF(COUNTIFS('Dvd Calendar'!$E$1743:$AR$1743,"&gt;0",'Dvd Calendar'!$E$1743:$AR$1743,"&lt;="&amp;VAL_DATE,'Dvd Calendar'!$E$1744:$AR$1744,"&gt;"&amp;PROJ_FROM,'Dvd Calendar'!$E$1744:$AR$1744,"&lt;="&amp;DATE(YEAR_Y,12,31))-COUNTIFS('Dvd Calendar'!$E$1743:$AR$1743,"&gt;0",'Dvd Calendar'!$E$1743:$AR$1743,"&lt;="&amp;VAL_DATE,'Dvd Calendar'!$E$1744:$AR$1744,"&gt;"&amp;PROJ_FROM,'Dvd Calendar'!$E$1744:$AR$1744,"&lt;="&amp;DATE(YEAR_Y,12,31),'Dvd Calendar'!$E$1745:$AR$1745,"&gt;=0")&gt;0,"TBA amount - override me",IF((OV_SWITCH="ON")*(COUNTIFS(OVR_TICKERS,$C23,OVR_BASE,"&gt;=0")&gt;0)&gt;0,"overridden",IF($J23+$K23=0,"no dividend in year Y",""))))</f>
        <v/>
      </c>
      <c r="V23" s="65">
        <f>IF($B23="","",IFERROR(IF(ISNUMBER($H23),$B23*$G23*$H23/$B$3,0),""))</f>
        <v/>
      </c>
      <c r="W23" s="65">
        <f>IF($B23="","",IFERROR($B23*$G23*$K23/$B$3,""))</f>
        <v/>
      </c>
      <c r="X23" s="91">
        <f>IF($C23="","",BDP($C23,"PX_LAST"))</f>
        <v/>
      </c>
      <c r="Y23" s="65">
        <f>IF($B23="","",IFERROR($B23*$X23/$B$3,""))</f>
        <v/>
      </c>
      <c r="Z23" s="76">
        <f>IF($B23="","",IFERROR($Y23/$Y$5,""))</f>
        <v/>
      </c>
    </row>
    <row r="24">
      <c r="B24" s="89" t="n"/>
      <c r="C24" s="6">
        <f>IF($A24="","",$A24&amp;" Equity")</f>
        <v/>
      </c>
      <c r="D24" s="6">
        <f>IF($C24="","",BDP($C24,"NAME"))</f>
        <v/>
      </c>
      <c r="E24" s="6">
        <f>IF($C24="","",BDP($C24,"GICS_SECTOR_NAME"))</f>
        <v/>
      </c>
      <c r="F24" s="33">
        <f>IF($C24="","",BDP($C24,FLD_CCY))</f>
        <v/>
      </c>
      <c r="G24" s="90">
        <f>IFERROR(IF(LEN($F24)&lt;&gt;3,1,IF($F24="HKD",1,BDP(IF($F24="CNY",RMB_CROSS,$F24)&amp;"HKD Curncy","PX_LAST"))),1)</f>
        <v/>
      </c>
      <c r="H24" s="65">
        <f>IF($C24="","",BDP($C24,FLD_DPS12M))</f>
        <v/>
      </c>
      <c r="I24" s="47">
        <f>IF($C24="","",BDP($C24,FLD_YLD12M))</f>
        <v/>
      </c>
      <c r="J24" s="49">
        <f>IF($B24="",0,SUMPRODUCT(('Dvd Calendar'!$E$1748:$AR$1748&gt;=DATE(YEAR_Y,1,1))*('Dvd Calendar'!$E$1748:$AR$1748&lt;=REALIZED_TO)*'Dvd Calendar'!$E$1751:$AR$1751*(('Dvd Calendar'!$E$1753:$AR$1753=TYPE1)*(TYPE1&lt;&gt;"")+('Dvd Calendar'!$E$1753:$AR$1753=TYPE2)*(TYPE2&lt;&gt;"")+('Dvd Calendar'!$E$1753:$AR$1753=TYPE3)*(TYPE3&lt;&gt;"")+('Dvd Calendar'!$E$1753:$AR$1753=TYPE4)*(TYPE4&lt;&gt;"")+('Dvd Calendar'!$E$1753:$AR$1753=SPECIAL_LBL)*(INC_SPECIALS="Y"))))</f>
        <v/>
      </c>
      <c r="K24" s="49">
        <f>IF($B24="",0,SUMIFS('Dvd Calendar'!$E$1756:$AR$1756,'Dvd Calendar'!$E$1755:$AR$1755,"&gt;"&amp;PROJ_FROM,'Dvd Calendar'!$E$1755:$AR$1755,"&lt;="&amp;DATE(YEAR_Y,12,31)))</f>
        <v/>
      </c>
      <c r="L24" s="49">
        <f>IF($B24="",0,IF((OV_SWITCH="ON")*(COUNTIFS(OVR_TICKERS,$C24,OVR_BASE,"&gt;=0")&gt;0)&gt;0,SUMIFS(OVR_BASE,OVR_TICKERS,$C24),$K24))</f>
        <v/>
      </c>
      <c r="M24" s="49">
        <f>IF($B24="",0,IF((OV_SWITCH="ON")*(COUNTIFS(OVR_TICKERS,$C24,OVR_LOW,"&gt;=0")&gt;0)&gt;0,SUMIFS(OVR_LOW,OVR_TICKERS,$C24),$L24))</f>
        <v/>
      </c>
      <c r="N24" s="49">
        <f>IF($B24="",0,IF((OV_SWITCH="ON")*(COUNTIFS(OVR_TICKERS,$C24,OVR_HIGH,"&gt;=0")&gt;0)&gt;0,SUMIFS(OVR_HIGH,OVR_TICKERS,$C24),$L24))</f>
        <v/>
      </c>
      <c r="O24" s="65">
        <f>IF($B24="","",IFERROR($B24*$G24*$J24/$B$3,""))</f>
        <v/>
      </c>
      <c r="P24" s="65">
        <f>IF($B24="","",IFERROR($B24*$G24*$L24/$B$3,""))</f>
        <v/>
      </c>
      <c r="Q24" s="41">
        <f>IF($B24="","",IFERROR($O24+$P24,""))</f>
        <v/>
      </c>
      <c r="R24" s="65">
        <f>IF($B24="","",IFERROR($O24+$B24*$G24*$M24/$B$3,""))</f>
        <v/>
      </c>
      <c r="S24" s="65">
        <f>IF($B24="","",IFERROR($O24+$B24*$G24*$N24/$B$3,""))</f>
        <v/>
      </c>
      <c r="T24" s="80">
        <f>IF($B24="","",IFERROR($Q24/$Q$5,""))</f>
        <v/>
      </c>
      <c r="U24" s="2">
        <f>IF($B24="","",IF(COUNTIFS('Dvd Calendar'!$E$1754:$AR$1754,"&gt;0",'Dvd Calendar'!$E$1754:$AR$1754,"&lt;="&amp;VAL_DATE,'Dvd Calendar'!$E$1755:$AR$1755,"&gt;"&amp;PROJ_FROM,'Dvd Calendar'!$E$1755:$AR$1755,"&lt;="&amp;DATE(YEAR_Y,12,31))-COUNTIFS('Dvd Calendar'!$E$1754:$AR$1754,"&gt;0",'Dvd Calendar'!$E$1754:$AR$1754,"&lt;="&amp;VAL_DATE,'Dvd Calendar'!$E$1755:$AR$1755,"&gt;"&amp;PROJ_FROM,'Dvd Calendar'!$E$1755:$AR$1755,"&lt;="&amp;DATE(YEAR_Y,12,31),'Dvd Calendar'!$E$1756:$AR$1756,"&gt;=0")&gt;0,"TBA amount - override me",IF((OV_SWITCH="ON")*(COUNTIFS(OVR_TICKERS,$C24,OVR_BASE,"&gt;=0")&gt;0)&gt;0,"overridden",IF($J24+$K24=0,"no dividend in year Y",""))))</f>
        <v/>
      </c>
      <c r="V24" s="65">
        <f>IF($B24="","",IFERROR(IF(ISNUMBER($H24),$B24*$G24*$H24/$B$3,0),""))</f>
        <v/>
      </c>
      <c r="W24" s="65">
        <f>IF($B24="","",IFERROR($B24*$G24*$K24/$B$3,""))</f>
        <v/>
      </c>
      <c r="X24" s="91">
        <f>IF($C24="","",BDP($C24,"PX_LAST"))</f>
        <v/>
      </c>
      <c r="Y24" s="65">
        <f>IF($B24="","",IFERROR($B24*$X24/$B$3,""))</f>
        <v/>
      </c>
      <c r="Z24" s="76">
        <f>IF($B24="","",IFERROR($Y24/$Y$5,""))</f>
        <v/>
      </c>
    </row>
    <row r="25">
      <c r="B25" s="89" t="n"/>
      <c r="C25" s="6">
        <f>IF($A25="","",$A25&amp;" Equity")</f>
        <v/>
      </c>
      <c r="D25" s="6">
        <f>IF($C25="","",BDP($C25,"NAME"))</f>
        <v/>
      </c>
      <c r="E25" s="6">
        <f>IF($C25="","",BDP($C25,"GICS_SECTOR_NAME"))</f>
        <v/>
      </c>
      <c r="F25" s="33">
        <f>IF($C25="","",BDP($C25,FLD_CCY))</f>
        <v/>
      </c>
      <c r="G25" s="90">
        <f>IFERROR(IF(LEN($F25)&lt;&gt;3,1,IF($F25="HKD",1,BDP(IF($F25="CNY",RMB_CROSS,$F25)&amp;"HKD Curncy","PX_LAST"))),1)</f>
        <v/>
      </c>
      <c r="H25" s="65">
        <f>IF($C25="","",BDP($C25,FLD_DPS12M))</f>
        <v/>
      </c>
      <c r="I25" s="47">
        <f>IF($C25="","",BDP($C25,FLD_YLD12M))</f>
        <v/>
      </c>
      <c r="J25" s="49">
        <f>IF($B25="",0,SUMPRODUCT(('Dvd Calendar'!$E$1759:$AR$1759&gt;=DATE(YEAR_Y,1,1))*('Dvd Calendar'!$E$1759:$AR$1759&lt;=REALIZED_TO)*'Dvd Calendar'!$E$1762:$AR$1762*(('Dvd Calendar'!$E$1764:$AR$1764=TYPE1)*(TYPE1&lt;&gt;"")+('Dvd Calendar'!$E$1764:$AR$1764=TYPE2)*(TYPE2&lt;&gt;"")+('Dvd Calendar'!$E$1764:$AR$1764=TYPE3)*(TYPE3&lt;&gt;"")+('Dvd Calendar'!$E$1764:$AR$1764=TYPE4)*(TYPE4&lt;&gt;"")+('Dvd Calendar'!$E$1764:$AR$1764=SPECIAL_LBL)*(INC_SPECIALS="Y"))))</f>
        <v/>
      </c>
      <c r="K25" s="49">
        <f>IF($B25="",0,SUMIFS('Dvd Calendar'!$E$1767:$AR$1767,'Dvd Calendar'!$E$1766:$AR$1766,"&gt;"&amp;PROJ_FROM,'Dvd Calendar'!$E$1766:$AR$1766,"&lt;="&amp;DATE(YEAR_Y,12,31)))</f>
        <v/>
      </c>
      <c r="L25" s="49">
        <f>IF($B25="",0,IF((OV_SWITCH="ON")*(COUNTIFS(OVR_TICKERS,$C25,OVR_BASE,"&gt;=0")&gt;0)&gt;0,SUMIFS(OVR_BASE,OVR_TICKERS,$C25),$K25))</f>
        <v/>
      </c>
      <c r="M25" s="49">
        <f>IF($B25="",0,IF((OV_SWITCH="ON")*(COUNTIFS(OVR_TICKERS,$C25,OVR_LOW,"&gt;=0")&gt;0)&gt;0,SUMIFS(OVR_LOW,OVR_TICKERS,$C25),$L25))</f>
        <v/>
      </c>
      <c r="N25" s="49">
        <f>IF($B25="",0,IF((OV_SWITCH="ON")*(COUNTIFS(OVR_TICKERS,$C25,OVR_HIGH,"&gt;=0")&gt;0)&gt;0,SUMIFS(OVR_HIGH,OVR_TICKERS,$C25),$L25))</f>
        <v/>
      </c>
      <c r="O25" s="65">
        <f>IF($B25="","",IFERROR($B25*$G25*$J25/$B$3,""))</f>
        <v/>
      </c>
      <c r="P25" s="65">
        <f>IF($B25="","",IFERROR($B25*$G25*$L25/$B$3,""))</f>
        <v/>
      </c>
      <c r="Q25" s="41">
        <f>IF($B25="","",IFERROR($O25+$P25,""))</f>
        <v/>
      </c>
      <c r="R25" s="65">
        <f>IF($B25="","",IFERROR($O25+$B25*$G25*$M25/$B$3,""))</f>
        <v/>
      </c>
      <c r="S25" s="65">
        <f>IF($B25="","",IFERROR($O25+$B25*$G25*$N25/$B$3,""))</f>
        <v/>
      </c>
      <c r="T25" s="80">
        <f>IF($B25="","",IFERROR($Q25/$Q$5,""))</f>
        <v/>
      </c>
      <c r="U25" s="2">
        <f>IF($B25="","",IF(COUNTIFS('Dvd Calendar'!$E$1765:$AR$1765,"&gt;0",'Dvd Calendar'!$E$1765:$AR$1765,"&lt;="&amp;VAL_DATE,'Dvd Calendar'!$E$1766:$AR$1766,"&gt;"&amp;PROJ_FROM,'Dvd Calendar'!$E$1766:$AR$1766,"&lt;="&amp;DATE(YEAR_Y,12,31))-COUNTIFS('Dvd Calendar'!$E$1765:$AR$1765,"&gt;0",'Dvd Calendar'!$E$1765:$AR$1765,"&lt;="&amp;VAL_DATE,'Dvd Calendar'!$E$1766:$AR$1766,"&gt;"&amp;PROJ_FROM,'Dvd Calendar'!$E$1766:$AR$1766,"&lt;="&amp;DATE(YEAR_Y,12,31),'Dvd Calendar'!$E$1767:$AR$1767,"&gt;=0")&gt;0,"TBA amount - override me",IF((OV_SWITCH="ON")*(COUNTIFS(OVR_TICKERS,$C25,OVR_BASE,"&gt;=0")&gt;0)&gt;0,"overridden",IF($J25+$K25=0,"no dividend in year Y",""))))</f>
        <v/>
      </c>
      <c r="V25" s="65">
        <f>IF($B25="","",IFERROR(IF(ISNUMBER($H25),$B25*$G25*$H25/$B$3,0),""))</f>
        <v/>
      </c>
      <c r="W25" s="65">
        <f>IF($B25="","",IFERROR($B25*$G25*$K25/$B$3,""))</f>
        <v/>
      </c>
      <c r="X25" s="91">
        <f>IF($C25="","",BDP($C25,"PX_LAST"))</f>
        <v/>
      </c>
      <c r="Y25" s="65">
        <f>IF($B25="","",IFERROR($B25*$X25/$B$3,""))</f>
        <v/>
      </c>
      <c r="Z25" s="76">
        <f>IF($B25="","",IFERROR($Y25/$Y$5,""))</f>
        <v/>
      </c>
    </row>
    <row r="26">
      <c r="B26" s="89" t="n"/>
      <c r="C26" s="6">
        <f>IF($A26="","",$A26&amp;" Equity")</f>
        <v/>
      </c>
      <c r="D26" s="6">
        <f>IF($C26="","",BDP($C26,"NAME"))</f>
        <v/>
      </c>
      <c r="E26" s="6">
        <f>IF($C26="","",BDP($C26,"GICS_SECTOR_NAME"))</f>
        <v/>
      </c>
      <c r="F26" s="33">
        <f>IF($C26="","",BDP($C26,FLD_CCY))</f>
        <v/>
      </c>
      <c r="G26" s="90">
        <f>IFERROR(IF(LEN($F26)&lt;&gt;3,1,IF($F26="HKD",1,BDP(IF($F26="CNY",RMB_CROSS,$F26)&amp;"HKD Curncy","PX_LAST"))),1)</f>
        <v/>
      </c>
      <c r="H26" s="65">
        <f>IF($C26="","",BDP($C26,FLD_DPS12M))</f>
        <v/>
      </c>
      <c r="I26" s="47">
        <f>IF($C26="","",BDP($C26,FLD_YLD12M))</f>
        <v/>
      </c>
      <c r="J26" s="49">
        <f>IF($B26="",0,SUMPRODUCT(('Dvd Calendar'!$E$1770:$AR$1770&gt;=DATE(YEAR_Y,1,1))*('Dvd Calendar'!$E$1770:$AR$1770&lt;=REALIZED_TO)*'Dvd Calendar'!$E$1773:$AR$1773*(('Dvd Calendar'!$E$1775:$AR$1775=TYPE1)*(TYPE1&lt;&gt;"")+('Dvd Calendar'!$E$1775:$AR$1775=TYPE2)*(TYPE2&lt;&gt;"")+('Dvd Calendar'!$E$1775:$AR$1775=TYPE3)*(TYPE3&lt;&gt;"")+('Dvd Calendar'!$E$1775:$AR$1775=TYPE4)*(TYPE4&lt;&gt;"")+('Dvd Calendar'!$E$1775:$AR$1775=SPECIAL_LBL)*(INC_SPECIALS="Y"))))</f>
        <v/>
      </c>
      <c r="K26" s="49">
        <f>IF($B26="",0,SUMIFS('Dvd Calendar'!$E$1778:$AR$1778,'Dvd Calendar'!$E$1777:$AR$1777,"&gt;"&amp;PROJ_FROM,'Dvd Calendar'!$E$1777:$AR$1777,"&lt;="&amp;DATE(YEAR_Y,12,31)))</f>
        <v/>
      </c>
      <c r="L26" s="49">
        <f>IF($B26="",0,IF((OV_SWITCH="ON")*(COUNTIFS(OVR_TICKERS,$C26,OVR_BASE,"&gt;=0")&gt;0)&gt;0,SUMIFS(OVR_BASE,OVR_TICKERS,$C26),$K26))</f>
        <v/>
      </c>
      <c r="M26" s="49">
        <f>IF($B26="",0,IF((OV_SWITCH="ON")*(COUNTIFS(OVR_TICKERS,$C26,OVR_LOW,"&gt;=0")&gt;0)&gt;0,SUMIFS(OVR_LOW,OVR_TICKERS,$C26),$L26))</f>
        <v/>
      </c>
      <c r="N26" s="49">
        <f>IF($B26="",0,IF((OV_SWITCH="ON")*(COUNTIFS(OVR_TICKERS,$C26,OVR_HIGH,"&gt;=0")&gt;0)&gt;0,SUMIFS(OVR_HIGH,OVR_TICKERS,$C26),$L26))</f>
        <v/>
      </c>
      <c r="O26" s="65">
        <f>IF($B26="","",IFERROR($B26*$G26*$J26/$B$3,""))</f>
        <v/>
      </c>
      <c r="P26" s="65">
        <f>IF($B26="","",IFERROR($B26*$G26*$L26/$B$3,""))</f>
        <v/>
      </c>
      <c r="Q26" s="41">
        <f>IF($B26="","",IFERROR($O26+$P26,""))</f>
        <v/>
      </c>
      <c r="R26" s="65">
        <f>IF($B26="","",IFERROR($O26+$B26*$G26*$M26/$B$3,""))</f>
        <v/>
      </c>
      <c r="S26" s="65">
        <f>IF($B26="","",IFERROR($O26+$B26*$G26*$N26/$B$3,""))</f>
        <v/>
      </c>
      <c r="T26" s="80">
        <f>IF($B26="","",IFERROR($Q26/$Q$5,""))</f>
        <v/>
      </c>
      <c r="U26" s="2">
        <f>IF($B26="","",IF(COUNTIFS('Dvd Calendar'!$E$1776:$AR$1776,"&gt;0",'Dvd Calendar'!$E$1776:$AR$1776,"&lt;="&amp;VAL_DATE,'Dvd Calendar'!$E$1777:$AR$1777,"&gt;"&amp;PROJ_FROM,'Dvd Calendar'!$E$1777:$AR$1777,"&lt;="&amp;DATE(YEAR_Y,12,31))-COUNTIFS('Dvd Calendar'!$E$1776:$AR$1776,"&gt;0",'Dvd Calendar'!$E$1776:$AR$1776,"&lt;="&amp;VAL_DATE,'Dvd Calendar'!$E$1777:$AR$1777,"&gt;"&amp;PROJ_FROM,'Dvd Calendar'!$E$1777:$AR$1777,"&lt;="&amp;DATE(YEAR_Y,12,31),'Dvd Calendar'!$E$1778:$AR$1778,"&gt;=0")&gt;0,"TBA amount - override me",IF((OV_SWITCH="ON")*(COUNTIFS(OVR_TICKERS,$C26,OVR_BASE,"&gt;=0")&gt;0)&gt;0,"overridden",IF($J26+$K26=0,"no dividend in year Y",""))))</f>
        <v/>
      </c>
      <c r="V26" s="65">
        <f>IF($B26="","",IFERROR(IF(ISNUMBER($H26),$B26*$G26*$H26/$B$3,0),""))</f>
        <v/>
      </c>
      <c r="W26" s="65">
        <f>IF($B26="","",IFERROR($B26*$G26*$K26/$B$3,""))</f>
        <v/>
      </c>
      <c r="X26" s="91">
        <f>IF($C26="","",BDP($C26,"PX_LAST"))</f>
        <v/>
      </c>
      <c r="Y26" s="65">
        <f>IF($B26="","",IFERROR($B26*$X26/$B$3,""))</f>
        <v/>
      </c>
      <c r="Z26" s="76">
        <f>IF($B26="","",IFERROR($Y26/$Y$5,""))</f>
        <v/>
      </c>
    </row>
    <row r="27">
      <c r="B27" s="89" t="n"/>
      <c r="C27" s="6">
        <f>IF($A27="","",$A27&amp;" Equity")</f>
        <v/>
      </c>
      <c r="D27" s="6">
        <f>IF($C27="","",BDP($C27,"NAME"))</f>
        <v/>
      </c>
      <c r="E27" s="6">
        <f>IF($C27="","",BDP($C27,"GICS_SECTOR_NAME"))</f>
        <v/>
      </c>
      <c r="F27" s="33">
        <f>IF($C27="","",BDP($C27,FLD_CCY))</f>
        <v/>
      </c>
      <c r="G27" s="90">
        <f>IFERROR(IF(LEN($F27)&lt;&gt;3,1,IF($F27="HKD",1,BDP(IF($F27="CNY",RMB_CROSS,$F27)&amp;"HKD Curncy","PX_LAST"))),1)</f>
        <v/>
      </c>
      <c r="H27" s="65">
        <f>IF($C27="","",BDP($C27,FLD_DPS12M))</f>
        <v/>
      </c>
      <c r="I27" s="47">
        <f>IF($C27="","",BDP($C27,FLD_YLD12M))</f>
        <v/>
      </c>
      <c r="J27" s="49">
        <f>IF($B27="",0,SUMPRODUCT(('Dvd Calendar'!$E$1781:$AR$1781&gt;=DATE(YEAR_Y,1,1))*('Dvd Calendar'!$E$1781:$AR$1781&lt;=REALIZED_TO)*'Dvd Calendar'!$E$1784:$AR$1784*(('Dvd Calendar'!$E$1786:$AR$1786=TYPE1)*(TYPE1&lt;&gt;"")+('Dvd Calendar'!$E$1786:$AR$1786=TYPE2)*(TYPE2&lt;&gt;"")+('Dvd Calendar'!$E$1786:$AR$1786=TYPE3)*(TYPE3&lt;&gt;"")+('Dvd Calendar'!$E$1786:$AR$1786=TYPE4)*(TYPE4&lt;&gt;"")+('Dvd Calendar'!$E$1786:$AR$1786=SPECIAL_LBL)*(INC_SPECIALS="Y"))))</f>
        <v/>
      </c>
      <c r="K27" s="49">
        <f>IF($B27="",0,SUMIFS('Dvd Calendar'!$E$1789:$AR$1789,'Dvd Calendar'!$E$1788:$AR$1788,"&gt;"&amp;PROJ_FROM,'Dvd Calendar'!$E$1788:$AR$1788,"&lt;="&amp;DATE(YEAR_Y,12,31)))</f>
        <v/>
      </c>
      <c r="L27" s="49">
        <f>IF($B27="",0,IF((OV_SWITCH="ON")*(COUNTIFS(OVR_TICKERS,$C27,OVR_BASE,"&gt;=0")&gt;0)&gt;0,SUMIFS(OVR_BASE,OVR_TICKERS,$C27),$K27))</f>
        <v/>
      </c>
      <c r="M27" s="49">
        <f>IF($B27="",0,IF((OV_SWITCH="ON")*(COUNTIFS(OVR_TICKERS,$C27,OVR_LOW,"&gt;=0")&gt;0)&gt;0,SUMIFS(OVR_LOW,OVR_TICKERS,$C27),$L27))</f>
        <v/>
      </c>
      <c r="N27" s="49">
        <f>IF($B27="",0,IF((OV_SWITCH="ON")*(COUNTIFS(OVR_TICKERS,$C27,OVR_HIGH,"&gt;=0")&gt;0)&gt;0,SUMIFS(OVR_HIGH,OVR_TICKERS,$C27),$L27))</f>
        <v/>
      </c>
      <c r="O27" s="65">
        <f>IF($B27="","",IFERROR($B27*$G27*$J27/$B$3,""))</f>
        <v/>
      </c>
      <c r="P27" s="65">
        <f>IF($B27="","",IFERROR($B27*$G27*$L27/$B$3,""))</f>
        <v/>
      </c>
      <c r="Q27" s="41">
        <f>IF($B27="","",IFERROR($O27+$P27,""))</f>
        <v/>
      </c>
      <c r="R27" s="65">
        <f>IF($B27="","",IFERROR($O27+$B27*$G27*$M27/$B$3,""))</f>
        <v/>
      </c>
      <c r="S27" s="65">
        <f>IF($B27="","",IFERROR($O27+$B27*$G27*$N27/$B$3,""))</f>
        <v/>
      </c>
      <c r="T27" s="80">
        <f>IF($B27="","",IFERROR($Q27/$Q$5,""))</f>
        <v/>
      </c>
      <c r="U27" s="2">
        <f>IF($B27="","",IF(COUNTIFS('Dvd Calendar'!$E$1787:$AR$1787,"&gt;0",'Dvd Calendar'!$E$1787:$AR$1787,"&lt;="&amp;VAL_DATE,'Dvd Calendar'!$E$1788:$AR$1788,"&gt;"&amp;PROJ_FROM,'Dvd Calendar'!$E$1788:$AR$1788,"&lt;="&amp;DATE(YEAR_Y,12,31))-COUNTIFS('Dvd Calendar'!$E$1787:$AR$1787,"&gt;0",'Dvd Calendar'!$E$1787:$AR$1787,"&lt;="&amp;VAL_DATE,'Dvd Calendar'!$E$1788:$AR$1788,"&gt;"&amp;PROJ_FROM,'Dvd Calendar'!$E$1788:$AR$1788,"&lt;="&amp;DATE(YEAR_Y,12,31),'Dvd Calendar'!$E$1789:$AR$1789,"&gt;=0")&gt;0,"TBA amount - override me",IF((OV_SWITCH="ON")*(COUNTIFS(OVR_TICKERS,$C27,OVR_BASE,"&gt;=0")&gt;0)&gt;0,"overridden",IF($J27+$K27=0,"no dividend in year Y",""))))</f>
        <v/>
      </c>
      <c r="V27" s="65">
        <f>IF($B27="","",IFERROR(IF(ISNUMBER($H27),$B27*$G27*$H27/$B$3,0),""))</f>
        <v/>
      </c>
      <c r="W27" s="65">
        <f>IF($B27="","",IFERROR($B27*$G27*$K27/$B$3,""))</f>
        <v/>
      </c>
      <c r="X27" s="91">
        <f>IF($C27="","",BDP($C27,"PX_LAST"))</f>
        <v/>
      </c>
      <c r="Y27" s="65">
        <f>IF($B27="","",IFERROR($B27*$X27/$B$3,""))</f>
        <v/>
      </c>
      <c r="Z27" s="76">
        <f>IF($B27="","",IFERROR($Y27/$Y$5,""))</f>
        <v/>
      </c>
    </row>
    <row r="28">
      <c r="B28" s="89" t="n"/>
      <c r="C28" s="6">
        <f>IF($A28="","",$A28&amp;" Equity")</f>
        <v/>
      </c>
      <c r="D28" s="6">
        <f>IF($C28="","",BDP($C28,"NAME"))</f>
        <v/>
      </c>
      <c r="E28" s="6">
        <f>IF($C28="","",BDP($C28,"GICS_SECTOR_NAME"))</f>
        <v/>
      </c>
      <c r="F28" s="33">
        <f>IF($C28="","",BDP($C28,FLD_CCY))</f>
        <v/>
      </c>
      <c r="G28" s="90">
        <f>IFERROR(IF(LEN($F28)&lt;&gt;3,1,IF($F28="HKD",1,BDP(IF($F28="CNY",RMB_CROSS,$F28)&amp;"HKD Curncy","PX_LAST"))),1)</f>
        <v/>
      </c>
      <c r="H28" s="65">
        <f>IF($C28="","",BDP($C28,FLD_DPS12M))</f>
        <v/>
      </c>
      <c r="I28" s="47">
        <f>IF($C28="","",BDP($C28,FLD_YLD12M))</f>
        <v/>
      </c>
      <c r="J28" s="49">
        <f>IF($B28="",0,SUMPRODUCT(('Dvd Calendar'!$E$1792:$AR$1792&gt;=DATE(YEAR_Y,1,1))*('Dvd Calendar'!$E$1792:$AR$1792&lt;=REALIZED_TO)*'Dvd Calendar'!$E$1795:$AR$1795*(('Dvd Calendar'!$E$1797:$AR$1797=TYPE1)*(TYPE1&lt;&gt;"")+('Dvd Calendar'!$E$1797:$AR$1797=TYPE2)*(TYPE2&lt;&gt;"")+('Dvd Calendar'!$E$1797:$AR$1797=TYPE3)*(TYPE3&lt;&gt;"")+('Dvd Calendar'!$E$1797:$AR$1797=TYPE4)*(TYPE4&lt;&gt;"")+('Dvd Calendar'!$E$1797:$AR$1797=SPECIAL_LBL)*(INC_SPECIALS="Y"))))</f>
        <v/>
      </c>
      <c r="K28" s="49">
        <f>IF($B28="",0,SUMIFS('Dvd Calendar'!$E$1800:$AR$1800,'Dvd Calendar'!$E$1799:$AR$1799,"&gt;"&amp;PROJ_FROM,'Dvd Calendar'!$E$1799:$AR$1799,"&lt;="&amp;DATE(YEAR_Y,12,31)))</f>
        <v/>
      </c>
      <c r="L28" s="49">
        <f>IF($B28="",0,IF((OV_SWITCH="ON")*(COUNTIFS(OVR_TICKERS,$C28,OVR_BASE,"&gt;=0")&gt;0)&gt;0,SUMIFS(OVR_BASE,OVR_TICKERS,$C28),$K28))</f>
        <v/>
      </c>
      <c r="M28" s="49">
        <f>IF($B28="",0,IF((OV_SWITCH="ON")*(COUNTIFS(OVR_TICKERS,$C28,OVR_LOW,"&gt;=0")&gt;0)&gt;0,SUMIFS(OVR_LOW,OVR_TICKERS,$C28),$L28))</f>
        <v/>
      </c>
      <c r="N28" s="49">
        <f>IF($B28="",0,IF((OV_SWITCH="ON")*(COUNTIFS(OVR_TICKERS,$C28,OVR_HIGH,"&gt;=0")&gt;0)&gt;0,SUMIFS(OVR_HIGH,OVR_TICKERS,$C28),$L28))</f>
        <v/>
      </c>
      <c r="O28" s="65">
        <f>IF($B28="","",IFERROR($B28*$G28*$J28/$B$3,""))</f>
        <v/>
      </c>
      <c r="P28" s="65">
        <f>IF($B28="","",IFERROR($B28*$G28*$L28/$B$3,""))</f>
        <v/>
      </c>
      <c r="Q28" s="41">
        <f>IF($B28="","",IFERROR($O28+$P28,""))</f>
        <v/>
      </c>
      <c r="R28" s="65">
        <f>IF($B28="","",IFERROR($O28+$B28*$G28*$M28/$B$3,""))</f>
        <v/>
      </c>
      <c r="S28" s="65">
        <f>IF($B28="","",IFERROR($O28+$B28*$G28*$N28/$B$3,""))</f>
        <v/>
      </c>
      <c r="T28" s="80">
        <f>IF($B28="","",IFERROR($Q28/$Q$5,""))</f>
        <v/>
      </c>
      <c r="U28" s="2">
        <f>IF($B28="","",IF(COUNTIFS('Dvd Calendar'!$E$1798:$AR$1798,"&gt;0",'Dvd Calendar'!$E$1798:$AR$1798,"&lt;="&amp;VAL_DATE,'Dvd Calendar'!$E$1799:$AR$1799,"&gt;"&amp;PROJ_FROM,'Dvd Calendar'!$E$1799:$AR$1799,"&lt;="&amp;DATE(YEAR_Y,12,31))-COUNTIFS('Dvd Calendar'!$E$1798:$AR$1798,"&gt;0",'Dvd Calendar'!$E$1798:$AR$1798,"&lt;="&amp;VAL_DATE,'Dvd Calendar'!$E$1799:$AR$1799,"&gt;"&amp;PROJ_FROM,'Dvd Calendar'!$E$1799:$AR$1799,"&lt;="&amp;DATE(YEAR_Y,12,31),'Dvd Calendar'!$E$1800:$AR$1800,"&gt;=0")&gt;0,"TBA amount - override me",IF((OV_SWITCH="ON")*(COUNTIFS(OVR_TICKERS,$C28,OVR_BASE,"&gt;=0")&gt;0)&gt;0,"overridden",IF($J28+$K28=0,"no dividend in year Y",""))))</f>
        <v/>
      </c>
      <c r="V28" s="65">
        <f>IF($B28="","",IFERROR(IF(ISNUMBER($H28),$B28*$G28*$H28/$B$3,0),""))</f>
        <v/>
      </c>
      <c r="W28" s="65">
        <f>IF($B28="","",IFERROR($B28*$G28*$K28/$B$3,""))</f>
        <v/>
      </c>
      <c r="X28" s="91">
        <f>IF($C28="","",BDP($C28,"PX_LAST"))</f>
        <v/>
      </c>
      <c r="Y28" s="65">
        <f>IF($B28="","",IFERROR($B28*$X28/$B$3,""))</f>
        <v/>
      </c>
      <c r="Z28" s="76">
        <f>IF($B28="","",IFERROR($Y28/$Y$5,""))</f>
        <v/>
      </c>
    </row>
    <row r="29">
      <c r="B29" s="89" t="n"/>
      <c r="C29" s="6">
        <f>IF($A29="","",$A29&amp;" Equity")</f>
        <v/>
      </c>
      <c r="D29" s="6">
        <f>IF($C29="","",BDP($C29,"NAME"))</f>
        <v/>
      </c>
      <c r="E29" s="6">
        <f>IF($C29="","",BDP($C29,"GICS_SECTOR_NAME"))</f>
        <v/>
      </c>
      <c r="F29" s="33">
        <f>IF($C29="","",BDP($C29,FLD_CCY))</f>
        <v/>
      </c>
      <c r="G29" s="90">
        <f>IFERROR(IF(LEN($F29)&lt;&gt;3,1,IF($F29="HKD",1,BDP(IF($F29="CNY",RMB_CROSS,$F29)&amp;"HKD Curncy","PX_LAST"))),1)</f>
        <v/>
      </c>
      <c r="H29" s="65">
        <f>IF($C29="","",BDP($C29,FLD_DPS12M))</f>
        <v/>
      </c>
      <c r="I29" s="47">
        <f>IF($C29="","",BDP($C29,FLD_YLD12M))</f>
        <v/>
      </c>
      <c r="J29" s="49">
        <f>IF($B29="",0,SUMPRODUCT(('Dvd Calendar'!$E$1803:$AR$1803&gt;=DATE(YEAR_Y,1,1))*('Dvd Calendar'!$E$1803:$AR$1803&lt;=REALIZED_TO)*'Dvd Calendar'!$E$1806:$AR$1806*(('Dvd Calendar'!$E$1808:$AR$1808=TYPE1)*(TYPE1&lt;&gt;"")+('Dvd Calendar'!$E$1808:$AR$1808=TYPE2)*(TYPE2&lt;&gt;"")+('Dvd Calendar'!$E$1808:$AR$1808=TYPE3)*(TYPE3&lt;&gt;"")+('Dvd Calendar'!$E$1808:$AR$1808=TYPE4)*(TYPE4&lt;&gt;"")+('Dvd Calendar'!$E$1808:$AR$1808=SPECIAL_LBL)*(INC_SPECIALS="Y"))))</f>
        <v/>
      </c>
      <c r="K29" s="49">
        <f>IF($B29="",0,SUMIFS('Dvd Calendar'!$E$1811:$AR$1811,'Dvd Calendar'!$E$1810:$AR$1810,"&gt;"&amp;PROJ_FROM,'Dvd Calendar'!$E$1810:$AR$1810,"&lt;="&amp;DATE(YEAR_Y,12,31)))</f>
        <v/>
      </c>
      <c r="L29" s="49">
        <f>IF($B29="",0,IF((OV_SWITCH="ON")*(COUNTIFS(OVR_TICKERS,$C29,OVR_BASE,"&gt;=0")&gt;0)&gt;0,SUMIFS(OVR_BASE,OVR_TICKERS,$C29),$K29))</f>
        <v/>
      </c>
      <c r="M29" s="49">
        <f>IF($B29="",0,IF((OV_SWITCH="ON")*(COUNTIFS(OVR_TICKERS,$C29,OVR_LOW,"&gt;=0")&gt;0)&gt;0,SUMIFS(OVR_LOW,OVR_TICKERS,$C29),$L29))</f>
        <v/>
      </c>
      <c r="N29" s="49">
        <f>IF($B29="",0,IF((OV_SWITCH="ON")*(COUNTIFS(OVR_TICKERS,$C29,OVR_HIGH,"&gt;=0")&gt;0)&gt;0,SUMIFS(OVR_HIGH,OVR_TICKERS,$C29),$L29))</f>
        <v/>
      </c>
      <c r="O29" s="65">
        <f>IF($B29="","",IFERROR($B29*$G29*$J29/$B$3,""))</f>
        <v/>
      </c>
      <c r="P29" s="65">
        <f>IF($B29="","",IFERROR($B29*$G29*$L29/$B$3,""))</f>
        <v/>
      </c>
      <c r="Q29" s="41">
        <f>IF($B29="","",IFERROR($O29+$P29,""))</f>
        <v/>
      </c>
      <c r="R29" s="65">
        <f>IF($B29="","",IFERROR($O29+$B29*$G29*$M29/$B$3,""))</f>
        <v/>
      </c>
      <c r="S29" s="65">
        <f>IF($B29="","",IFERROR($O29+$B29*$G29*$N29/$B$3,""))</f>
        <v/>
      </c>
      <c r="T29" s="80">
        <f>IF($B29="","",IFERROR($Q29/$Q$5,""))</f>
        <v/>
      </c>
      <c r="U29" s="2">
        <f>IF($B29="","",IF(COUNTIFS('Dvd Calendar'!$E$1809:$AR$1809,"&gt;0",'Dvd Calendar'!$E$1809:$AR$1809,"&lt;="&amp;VAL_DATE,'Dvd Calendar'!$E$1810:$AR$1810,"&gt;"&amp;PROJ_FROM,'Dvd Calendar'!$E$1810:$AR$1810,"&lt;="&amp;DATE(YEAR_Y,12,31))-COUNTIFS('Dvd Calendar'!$E$1809:$AR$1809,"&gt;0",'Dvd Calendar'!$E$1809:$AR$1809,"&lt;="&amp;VAL_DATE,'Dvd Calendar'!$E$1810:$AR$1810,"&gt;"&amp;PROJ_FROM,'Dvd Calendar'!$E$1810:$AR$1810,"&lt;="&amp;DATE(YEAR_Y,12,31),'Dvd Calendar'!$E$1811:$AR$1811,"&gt;=0")&gt;0,"TBA amount - override me",IF((OV_SWITCH="ON")*(COUNTIFS(OVR_TICKERS,$C29,OVR_BASE,"&gt;=0")&gt;0)&gt;0,"overridden",IF($J29+$K29=0,"no dividend in year Y",""))))</f>
        <v/>
      </c>
      <c r="V29" s="65">
        <f>IF($B29="","",IFERROR(IF(ISNUMBER($H29),$B29*$G29*$H29/$B$3,0),""))</f>
        <v/>
      </c>
      <c r="W29" s="65">
        <f>IF($B29="","",IFERROR($B29*$G29*$K29/$B$3,""))</f>
        <v/>
      </c>
      <c r="X29" s="91">
        <f>IF($C29="","",BDP($C29,"PX_LAST"))</f>
        <v/>
      </c>
      <c r="Y29" s="65">
        <f>IF($B29="","",IFERROR($B29*$X29/$B$3,""))</f>
        <v/>
      </c>
      <c r="Z29" s="76">
        <f>IF($B29="","",IFERROR($Y29/$Y$5,""))</f>
        <v/>
      </c>
    </row>
    <row r="30">
      <c r="B30" s="89" t="n"/>
      <c r="C30" s="6">
        <f>IF($A30="","",$A30&amp;" Equity")</f>
        <v/>
      </c>
      <c r="D30" s="6">
        <f>IF($C30="","",BDP($C30,"NAME"))</f>
        <v/>
      </c>
      <c r="E30" s="6">
        <f>IF($C30="","",BDP($C30,"GICS_SECTOR_NAME"))</f>
        <v/>
      </c>
      <c r="F30" s="33">
        <f>IF($C30="","",BDP($C30,FLD_CCY))</f>
        <v/>
      </c>
      <c r="G30" s="90">
        <f>IFERROR(IF(LEN($F30)&lt;&gt;3,1,IF($F30="HKD",1,BDP(IF($F30="CNY",RMB_CROSS,$F30)&amp;"HKD Curncy","PX_LAST"))),1)</f>
        <v/>
      </c>
      <c r="H30" s="65">
        <f>IF($C30="","",BDP($C30,FLD_DPS12M))</f>
        <v/>
      </c>
      <c r="I30" s="47">
        <f>IF($C30="","",BDP($C30,FLD_YLD12M))</f>
        <v/>
      </c>
      <c r="J30" s="49">
        <f>IF($B30="",0,SUMPRODUCT(('Dvd Calendar'!$E$1814:$AR$1814&gt;=DATE(YEAR_Y,1,1))*('Dvd Calendar'!$E$1814:$AR$1814&lt;=REALIZED_TO)*'Dvd Calendar'!$E$1817:$AR$1817*(('Dvd Calendar'!$E$1819:$AR$1819=TYPE1)*(TYPE1&lt;&gt;"")+('Dvd Calendar'!$E$1819:$AR$1819=TYPE2)*(TYPE2&lt;&gt;"")+('Dvd Calendar'!$E$1819:$AR$1819=TYPE3)*(TYPE3&lt;&gt;"")+('Dvd Calendar'!$E$1819:$AR$1819=TYPE4)*(TYPE4&lt;&gt;"")+('Dvd Calendar'!$E$1819:$AR$1819=SPECIAL_LBL)*(INC_SPECIALS="Y"))))</f>
        <v/>
      </c>
      <c r="K30" s="49">
        <f>IF($B30="",0,SUMIFS('Dvd Calendar'!$E$1822:$AR$1822,'Dvd Calendar'!$E$1821:$AR$1821,"&gt;"&amp;PROJ_FROM,'Dvd Calendar'!$E$1821:$AR$1821,"&lt;="&amp;DATE(YEAR_Y,12,31)))</f>
        <v/>
      </c>
      <c r="L30" s="49">
        <f>IF($B30="",0,IF((OV_SWITCH="ON")*(COUNTIFS(OVR_TICKERS,$C30,OVR_BASE,"&gt;=0")&gt;0)&gt;0,SUMIFS(OVR_BASE,OVR_TICKERS,$C30),$K30))</f>
        <v/>
      </c>
      <c r="M30" s="49">
        <f>IF($B30="",0,IF((OV_SWITCH="ON")*(COUNTIFS(OVR_TICKERS,$C30,OVR_LOW,"&gt;=0")&gt;0)&gt;0,SUMIFS(OVR_LOW,OVR_TICKERS,$C30),$L30))</f>
        <v/>
      </c>
      <c r="N30" s="49">
        <f>IF($B30="",0,IF((OV_SWITCH="ON")*(COUNTIFS(OVR_TICKERS,$C30,OVR_HIGH,"&gt;=0")&gt;0)&gt;0,SUMIFS(OVR_HIGH,OVR_TICKERS,$C30),$L30))</f>
        <v/>
      </c>
      <c r="O30" s="65">
        <f>IF($B30="","",IFERROR($B30*$G30*$J30/$B$3,""))</f>
        <v/>
      </c>
      <c r="P30" s="65">
        <f>IF($B30="","",IFERROR($B30*$G30*$L30/$B$3,""))</f>
        <v/>
      </c>
      <c r="Q30" s="41">
        <f>IF($B30="","",IFERROR($O30+$P30,""))</f>
        <v/>
      </c>
      <c r="R30" s="65">
        <f>IF($B30="","",IFERROR($O30+$B30*$G30*$M30/$B$3,""))</f>
        <v/>
      </c>
      <c r="S30" s="65">
        <f>IF($B30="","",IFERROR($O30+$B30*$G30*$N30/$B$3,""))</f>
        <v/>
      </c>
      <c r="T30" s="80">
        <f>IF($B30="","",IFERROR($Q30/$Q$5,""))</f>
        <v/>
      </c>
      <c r="U30" s="2">
        <f>IF($B30="","",IF(COUNTIFS('Dvd Calendar'!$E$1820:$AR$1820,"&gt;0",'Dvd Calendar'!$E$1820:$AR$1820,"&lt;="&amp;VAL_DATE,'Dvd Calendar'!$E$1821:$AR$1821,"&gt;"&amp;PROJ_FROM,'Dvd Calendar'!$E$1821:$AR$1821,"&lt;="&amp;DATE(YEAR_Y,12,31))-COUNTIFS('Dvd Calendar'!$E$1820:$AR$1820,"&gt;0",'Dvd Calendar'!$E$1820:$AR$1820,"&lt;="&amp;VAL_DATE,'Dvd Calendar'!$E$1821:$AR$1821,"&gt;"&amp;PROJ_FROM,'Dvd Calendar'!$E$1821:$AR$1821,"&lt;="&amp;DATE(YEAR_Y,12,31),'Dvd Calendar'!$E$1822:$AR$1822,"&gt;=0")&gt;0,"TBA amount - override me",IF((OV_SWITCH="ON")*(COUNTIFS(OVR_TICKERS,$C30,OVR_BASE,"&gt;=0")&gt;0)&gt;0,"overridden",IF($J30+$K30=0,"no dividend in year Y",""))))</f>
        <v/>
      </c>
      <c r="V30" s="65">
        <f>IF($B30="","",IFERROR(IF(ISNUMBER($H30),$B30*$G30*$H30/$B$3,0),""))</f>
        <v/>
      </c>
      <c r="W30" s="65">
        <f>IF($B30="","",IFERROR($B30*$G30*$K30/$B$3,""))</f>
        <v/>
      </c>
      <c r="X30" s="91">
        <f>IF($C30="","",BDP($C30,"PX_LAST"))</f>
        <v/>
      </c>
      <c r="Y30" s="65">
        <f>IF($B30="","",IFERROR($B30*$X30/$B$3,""))</f>
        <v/>
      </c>
      <c r="Z30" s="76">
        <f>IF($B30="","",IFERROR($Y30/$Y$5,""))</f>
        <v/>
      </c>
    </row>
    <row r="31">
      <c r="B31" s="89" t="n"/>
      <c r="C31" s="6">
        <f>IF($A31="","",$A31&amp;" Equity")</f>
        <v/>
      </c>
      <c r="D31" s="6">
        <f>IF($C31="","",BDP($C31,"NAME"))</f>
        <v/>
      </c>
      <c r="E31" s="6">
        <f>IF($C31="","",BDP($C31,"GICS_SECTOR_NAME"))</f>
        <v/>
      </c>
      <c r="F31" s="33">
        <f>IF($C31="","",BDP($C31,FLD_CCY))</f>
        <v/>
      </c>
      <c r="G31" s="90">
        <f>IFERROR(IF(LEN($F31)&lt;&gt;3,1,IF($F31="HKD",1,BDP(IF($F31="CNY",RMB_CROSS,$F31)&amp;"HKD Curncy","PX_LAST"))),1)</f>
        <v/>
      </c>
      <c r="H31" s="65">
        <f>IF($C31="","",BDP($C31,FLD_DPS12M))</f>
        <v/>
      </c>
      <c r="I31" s="47">
        <f>IF($C31="","",BDP($C31,FLD_YLD12M))</f>
        <v/>
      </c>
      <c r="J31" s="49">
        <f>IF($B31="",0,SUMPRODUCT(('Dvd Calendar'!$E$1825:$AR$1825&gt;=DATE(YEAR_Y,1,1))*('Dvd Calendar'!$E$1825:$AR$1825&lt;=REALIZED_TO)*'Dvd Calendar'!$E$1828:$AR$1828*(('Dvd Calendar'!$E$1830:$AR$1830=TYPE1)*(TYPE1&lt;&gt;"")+('Dvd Calendar'!$E$1830:$AR$1830=TYPE2)*(TYPE2&lt;&gt;"")+('Dvd Calendar'!$E$1830:$AR$1830=TYPE3)*(TYPE3&lt;&gt;"")+('Dvd Calendar'!$E$1830:$AR$1830=TYPE4)*(TYPE4&lt;&gt;"")+('Dvd Calendar'!$E$1830:$AR$1830=SPECIAL_LBL)*(INC_SPECIALS="Y"))))</f>
        <v/>
      </c>
      <c r="K31" s="49">
        <f>IF($B31="",0,SUMIFS('Dvd Calendar'!$E$1833:$AR$1833,'Dvd Calendar'!$E$1832:$AR$1832,"&gt;"&amp;PROJ_FROM,'Dvd Calendar'!$E$1832:$AR$1832,"&lt;="&amp;DATE(YEAR_Y,12,31)))</f>
        <v/>
      </c>
      <c r="L31" s="49">
        <f>IF($B31="",0,IF((OV_SWITCH="ON")*(COUNTIFS(OVR_TICKERS,$C31,OVR_BASE,"&gt;=0")&gt;0)&gt;0,SUMIFS(OVR_BASE,OVR_TICKERS,$C31),$K31))</f>
        <v/>
      </c>
      <c r="M31" s="49">
        <f>IF($B31="",0,IF((OV_SWITCH="ON")*(COUNTIFS(OVR_TICKERS,$C31,OVR_LOW,"&gt;=0")&gt;0)&gt;0,SUMIFS(OVR_LOW,OVR_TICKERS,$C31),$L31))</f>
        <v/>
      </c>
      <c r="N31" s="49">
        <f>IF($B31="",0,IF((OV_SWITCH="ON")*(COUNTIFS(OVR_TICKERS,$C31,OVR_HIGH,"&gt;=0")&gt;0)&gt;0,SUMIFS(OVR_HIGH,OVR_TICKERS,$C31),$L31))</f>
        <v/>
      </c>
      <c r="O31" s="65">
        <f>IF($B31="","",IFERROR($B31*$G31*$J31/$B$3,""))</f>
        <v/>
      </c>
      <c r="P31" s="65">
        <f>IF($B31="","",IFERROR($B31*$G31*$L31/$B$3,""))</f>
        <v/>
      </c>
      <c r="Q31" s="41">
        <f>IF($B31="","",IFERROR($O31+$P31,""))</f>
        <v/>
      </c>
      <c r="R31" s="65">
        <f>IF($B31="","",IFERROR($O31+$B31*$G31*$M31/$B$3,""))</f>
        <v/>
      </c>
      <c r="S31" s="65">
        <f>IF($B31="","",IFERROR($O31+$B31*$G31*$N31/$B$3,""))</f>
        <v/>
      </c>
      <c r="T31" s="80">
        <f>IF($B31="","",IFERROR($Q31/$Q$5,""))</f>
        <v/>
      </c>
      <c r="U31" s="2">
        <f>IF($B31="","",IF(COUNTIFS('Dvd Calendar'!$E$1831:$AR$1831,"&gt;0",'Dvd Calendar'!$E$1831:$AR$1831,"&lt;="&amp;VAL_DATE,'Dvd Calendar'!$E$1832:$AR$1832,"&gt;"&amp;PROJ_FROM,'Dvd Calendar'!$E$1832:$AR$1832,"&lt;="&amp;DATE(YEAR_Y,12,31))-COUNTIFS('Dvd Calendar'!$E$1831:$AR$1831,"&gt;0",'Dvd Calendar'!$E$1831:$AR$1831,"&lt;="&amp;VAL_DATE,'Dvd Calendar'!$E$1832:$AR$1832,"&gt;"&amp;PROJ_FROM,'Dvd Calendar'!$E$1832:$AR$1832,"&lt;="&amp;DATE(YEAR_Y,12,31),'Dvd Calendar'!$E$1833:$AR$1833,"&gt;=0")&gt;0,"TBA amount - override me",IF((OV_SWITCH="ON")*(COUNTIFS(OVR_TICKERS,$C31,OVR_BASE,"&gt;=0")&gt;0)&gt;0,"overridden",IF($J31+$K31=0,"no dividend in year Y",""))))</f>
        <v/>
      </c>
      <c r="V31" s="65">
        <f>IF($B31="","",IFERROR(IF(ISNUMBER($H31),$B31*$G31*$H31/$B$3,0),""))</f>
        <v/>
      </c>
      <c r="W31" s="65">
        <f>IF($B31="","",IFERROR($B31*$G31*$K31/$B$3,""))</f>
        <v/>
      </c>
      <c r="X31" s="91">
        <f>IF($C31="","",BDP($C31,"PX_LAST"))</f>
        <v/>
      </c>
      <c r="Y31" s="65">
        <f>IF($B31="","",IFERROR($B31*$X31/$B$3,""))</f>
        <v/>
      </c>
      <c r="Z31" s="76">
        <f>IF($B31="","",IFERROR($Y31/$Y$5,""))</f>
        <v/>
      </c>
    </row>
    <row r="32">
      <c r="B32" s="89" t="n"/>
      <c r="C32" s="6">
        <f>IF($A32="","",$A32&amp;" Equity")</f>
        <v/>
      </c>
      <c r="D32" s="6">
        <f>IF($C32="","",BDP($C32,"NAME"))</f>
        <v/>
      </c>
      <c r="E32" s="6">
        <f>IF($C32="","",BDP($C32,"GICS_SECTOR_NAME"))</f>
        <v/>
      </c>
      <c r="F32" s="33">
        <f>IF($C32="","",BDP($C32,FLD_CCY))</f>
        <v/>
      </c>
      <c r="G32" s="90">
        <f>IFERROR(IF(LEN($F32)&lt;&gt;3,1,IF($F32="HKD",1,BDP(IF($F32="CNY",RMB_CROSS,$F32)&amp;"HKD Curncy","PX_LAST"))),1)</f>
        <v/>
      </c>
      <c r="H32" s="65">
        <f>IF($C32="","",BDP($C32,FLD_DPS12M))</f>
        <v/>
      </c>
      <c r="I32" s="47">
        <f>IF($C32="","",BDP($C32,FLD_YLD12M))</f>
        <v/>
      </c>
      <c r="J32" s="49">
        <f>IF($B32="",0,SUMPRODUCT(('Dvd Calendar'!$E$1836:$AR$1836&gt;=DATE(YEAR_Y,1,1))*('Dvd Calendar'!$E$1836:$AR$1836&lt;=REALIZED_TO)*'Dvd Calendar'!$E$1839:$AR$1839*(('Dvd Calendar'!$E$1841:$AR$1841=TYPE1)*(TYPE1&lt;&gt;"")+('Dvd Calendar'!$E$1841:$AR$1841=TYPE2)*(TYPE2&lt;&gt;"")+('Dvd Calendar'!$E$1841:$AR$1841=TYPE3)*(TYPE3&lt;&gt;"")+('Dvd Calendar'!$E$1841:$AR$1841=TYPE4)*(TYPE4&lt;&gt;"")+('Dvd Calendar'!$E$1841:$AR$1841=SPECIAL_LBL)*(INC_SPECIALS="Y"))))</f>
        <v/>
      </c>
      <c r="K32" s="49">
        <f>IF($B32="",0,SUMIFS('Dvd Calendar'!$E$1844:$AR$1844,'Dvd Calendar'!$E$1843:$AR$1843,"&gt;"&amp;PROJ_FROM,'Dvd Calendar'!$E$1843:$AR$1843,"&lt;="&amp;DATE(YEAR_Y,12,31)))</f>
        <v/>
      </c>
      <c r="L32" s="49">
        <f>IF($B32="",0,IF((OV_SWITCH="ON")*(COUNTIFS(OVR_TICKERS,$C32,OVR_BASE,"&gt;=0")&gt;0)&gt;0,SUMIFS(OVR_BASE,OVR_TICKERS,$C32),$K32))</f>
        <v/>
      </c>
      <c r="M32" s="49">
        <f>IF($B32="",0,IF((OV_SWITCH="ON")*(COUNTIFS(OVR_TICKERS,$C32,OVR_LOW,"&gt;=0")&gt;0)&gt;0,SUMIFS(OVR_LOW,OVR_TICKERS,$C32),$L32))</f>
        <v/>
      </c>
      <c r="N32" s="49">
        <f>IF($B32="",0,IF((OV_SWITCH="ON")*(COUNTIFS(OVR_TICKERS,$C32,OVR_HIGH,"&gt;=0")&gt;0)&gt;0,SUMIFS(OVR_HIGH,OVR_TICKERS,$C32),$L32))</f>
        <v/>
      </c>
      <c r="O32" s="65">
        <f>IF($B32="","",IFERROR($B32*$G32*$J32/$B$3,""))</f>
        <v/>
      </c>
      <c r="P32" s="65">
        <f>IF($B32="","",IFERROR($B32*$G32*$L32/$B$3,""))</f>
        <v/>
      </c>
      <c r="Q32" s="41">
        <f>IF($B32="","",IFERROR($O32+$P32,""))</f>
        <v/>
      </c>
      <c r="R32" s="65">
        <f>IF($B32="","",IFERROR($O32+$B32*$G32*$M32/$B$3,""))</f>
        <v/>
      </c>
      <c r="S32" s="65">
        <f>IF($B32="","",IFERROR($O32+$B32*$G32*$N32/$B$3,""))</f>
        <v/>
      </c>
      <c r="T32" s="80">
        <f>IF($B32="","",IFERROR($Q32/$Q$5,""))</f>
        <v/>
      </c>
      <c r="U32" s="2">
        <f>IF($B32="","",IF(COUNTIFS('Dvd Calendar'!$E$1842:$AR$1842,"&gt;0",'Dvd Calendar'!$E$1842:$AR$1842,"&lt;="&amp;VAL_DATE,'Dvd Calendar'!$E$1843:$AR$1843,"&gt;"&amp;PROJ_FROM,'Dvd Calendar'!$E$1843:$AR$1843,"&lt;="&amp;DATE(YEAR_Y,12,31))-COUNTIFS('Dvd Calendar'!$E$1842:$AR$1842,"&gt;0",'Dvd Calendar'!$E$1842:$AR$1842,"&lt;="&amp;VAL_DATE,'Dvd Calendar'!$E$1843:$AR$1843,"&gt;"&amp;PROJ_FROM,'Dvd Calendar'!$E$1843:$AR$1843,"&lt;="&amp;DATE(YEAR_Y,12,31),'Dvd Calendar'!$E$1844:$AR$1844,"&gt;=0")&gt;0,"TBA amount - override me",IF((OV_SWITCH="ON")*(COUNTIFS(OVR_TICKERS,$C32,OVR_BASE,"&gt;=0")&gt;0)&gt;0,"overridden",IF($J32+$K32=0,"no dividend in year Y",""))))</f>
        <v/>
      </c>
      <c r="V32" s="65">
        <f>IF($B32="","",IFERROR(IF(ISNUMBER($H32),$B32*$G32*$H32/$B$3,0),""))</f>
        <v/>
      </c>
      <c r="W32" s="65">
        <f>IF($B32="","",IFERROR($B32*$G32*$K32/$B$3,""))</f>
        <v/>
      </c>
      <c r="X32" s="91">
        <f>IF($C32="","",BDP($C32,"PX_LAST"))</f>
        <v/>
      </c>
      <c r="Y32" s="65">
        <f>IF($B32="","",IFERROR($B32*$X32/$B$3,""))</f>
        <v/>
      </c>
      <c r="Z32" s="76">
        <f>IF($B32="","",IFERROR($Y32/$Y$5,""))</f>
        <v/>
      </c>
    </row>
    <row r="33">
      <c r="B33" s="89" t="n"/>
      <c r="C33" s="6">
        <f>IF($A33="","",$A33&amp;" Equity")</f>
        <v/>
      </c>
      <c r="D33" s="6">
        <f>IF($C33="","",BDP($C33,"NAME"))</f>
        <v/>
      </c>
      <c r="E33" s="6">
        <f>IF($C33="","",BDP($C33,"GICS_SECTOR_NAME"))</f>
        <v/>
      </c>
      <c r="F33" s="33">
        <f>IF($C33="","",BDP($C33,FLD_CCY))</f>
        <v/>
      </c>
      <c r="G33" s="90">
        <f>IFERROR(IF(LEN($F33)&lt;&gt;3,1,IF($F33="HKD",1,BDP(IF($F33="CNY",RMB_CROSS,$F33)&amp;"HKD Curncy","PX_LAST"))),1)</f>
        <v/>
      </c>
      <c r="H33" s="65">
        <f>IF($C33="","",BDP($C33,FLD_DPS12M))</f>
        <v/>
      </c>
      <c r="I33" s="47">
        <f>IF($C33="","",BDP($C33,FLD_YLD12M))</f>
        <v/>
      </c>
      <c r="J33" s="49">
        <f>IF($B33="",0,SUMPRODUCT(('Dvd Calendar'!$E$1847:$AR$1847&gt;=DATE(YEAR_Y,1,1))*('Dvd Calendar'!$E$1847:$AR$1847&lt;=REALIZED_TO)*'Dvd Calendar'!$E$1850:$AR$1850*(('Dvd Calendar'!$E$1852:$AR$1852=TYPE1)*(TYPE1&lt;&gt;"")+('Dvd Calendar'!$E$1852:$AR$1852=TYPE2)*(TYPE2&lt;&gt;"")+('Dvd Calendar'!$E$1852:$AR$1852=TYPE3)*(TYPE3&lt;&gt;"")+('Dvd Calendar'!$E$1852:$AR$1852=TYPE4)*(TYPE4&lt;&gt;"")+('Dvd Calendar'!$E$1852:$AR$1852=SPECIAL_LBL)*(INC_SPECIALS="Y"))))</f>
        <v/>
      </c>
      <c r="K33" s="49">
        <f>IF($B33="",0,SUMIFS('Dvd Calendar'!$E$1855:$AR$1855,'Dvd Calendar'!$E$1854:$AR$1854,"&gt;"&amp;PROJ_FROM,'Dvd Calendar'!$E$1854:$AR$1854,"&lt;="&amp;DATE(YEAR_Y,12,31)))</f>
        <v/>
      </c>
      <c r="L33" s="49">
        <f>IF($B33="",0,IF((OV_SWITCH="ON")*(COUNTIFS(OVR_TICKERS,$C33,OVR_BASE,"&gt;=0")&gt;0)&gt;0,SUMIFS(OVR_BASE,OVR_TICKERS,$C33),$K33))</f>
        <v/>
      </c>
      <c r="M33" s="49">
        <f>IF($B33="",0,IF((OV_SWITCH="ON")*(COUNTIFS(OVR_TICKERS,$C33,OVR_LOW,"&gt;=0")&gt;0)&gt;0,SUMIFS(OVR_LOW,OVR_TICKERS,$C33),$L33))</f>
        <v/>
      </c>
      <c r="N33" s="49">
        <f>IF($B33="",0,IF((OV_SWITCH="ON")*(COUNTIFS(OVR_TICKERS,$C33,OVR_HIGH,"&gt;=0")&gt;0)&gt;0,SUMIFS(OVR_HIGH,OVR_TICKERS,$C33),$L33))</f>
        <v/>
      </c>
      <c r="O33" s="65">
        <f>IF($B33="","",IFERROR($B33*$G33*$J33/$B$3,""))</f>
        <v/>
      </c>
      <c r="P33" s="65">
        <f>IF($B33="","",IFERROR($B33*$G33*$L33/$B$3,""))</f>
        <v/>
      </c>
      <c r="Q33" s="41">
        <f>IF($B33="","",IFERROR($O33+$P33,""))</f>
        <v/>
      </c>
      <c r="R33" s="65">
        <f>IF($B33="","",IFERROR($O33+$B33*$G33*$M33/$B$3,""))</f>
        <v/>
      </c>
      <c r="S33" s="65">
        <f>IF($B33="","",IFERROR($O33+$B33*$G33*$N33/$B$3,""))</f>
        <v/>
      </c>
      <c r="T33" s="80">
        <f>IF($B33="","",IFERROR($Q33/$Q$5,""))</f>
        <v/>
      </c>
      <c r="U33" s="2">
        <f>IF($B33="","",IF(COUNTIFS('Dvd Calendar'!$E$1853:$AR$1853,"&gt;0",'Dvd Calendar'!$E$1853:$AR$1853,"&lt;="&amp;VAL_DATE,'Dvd Calendar'!$E$1854:$AR$1854,"&gt;"&amp;PROJ_FROM,'Dvd Calendar'!$E$1854:$AR$1854,"&lt;="&amp;DATE(YEAR_Y,12,31))-COUNTIFS('Dvd Calendar'!$E$1853:$AR$1853,"&gt;0",'Dvd Calendar'!$E$1853:$AR$1853,"&lt;="&amp;VAL_DATE,'Dvd Calendar'!$E$1854:$AR$1854,"&gt;"&amp;PROJ_FROM,'Dvd Calendar'!$E$1854:$AR$1854,"&lt;="&amp;DATE(YEAR_Y,12,31),'Dvd Calendar'!$E$1855:$AR$1855,"&gt;=0")&gt;0,"TBA amount - override me",IF((OV_SWITCH="ON")*(COUNTIFS(OVR_TICKERS,$C33,OVR_BASE,"&gt;=0")&gt;0)&gt;0,"overridden",IF($J33+$K33=0,"no dividend in year Y",""))))</f>
        <v/>
      </c>
      <c r="V33" s="65">
        <f>IF($B33="","",IFERROR(IF(ISNUMBER($H33),$B33*$G33*$H33/$B$3,0),""))</f>
        <v/>
      </c>
      <c r="W33" s="65">
        <f>IF($B33="","",IFERROR($B33*$G33*$K33/$B$3,""))</f>
        <v/>
      </c>
      <c r="X33" s="91">
        <f>IF($C33="","",BDP($C33,"PX_LAST"))</f>
        <v/>
      </c>
      <c r="Y33" s="65">
        <f>IF($B33="","",IFERROR($B33*$X33/$B$3,""))</f>
        <v/>
      </c>
      <c r="Z33" s="76">
        <f>IF($B33="","",IFERROR($Y33/$Y$5,""))</f>
        <v/>
      </c>
    </row>
    <row r="34">
      <c r="B34" s="89" t="n"/>
      <c r="C34" s="6">
        <f>IF($A34="","",$A34&amp;" Equity")</f>
        <v/>
      </c>
      <c r="D34" s="6">
        <f>IF($C34="","",BDP($C34,"NAME"))</f>
        <v/>
      </c>
      <c r="E34" s="6">
        <f>IF($C34="","",BDP($C34,"GICS_SECTOR_NAME"))</f>
        <v/>
      </c>
      <c r="F34" s="33">
        <f>IF($C34="","",BDP($C34,FLD_CCY))</f>
        <v/>
      </c>
      <c r="G34" s="90">
        <f>IFERROR(IF(LEN($F34)&lt;&gt;3,1,IF($F34="HKD",1,BDP(IF($F34="CNY",RMB_CROSS,$F34)&amp;"HKD Curncy","PX_LAST"))),1)</f>
        <v/>
      </c>
      <c r="H34" s="65">
        <f>IF($C34="","",BDP($C34,FLD_DPS12M))</f>
        <v/>
      </c>
      <c r="I34" s="47">
        <f>IF($C34="","",BDP($C34,FLD_YLD12M))</f>
        <v/>
      </c>
      <c r="J34" s="49">
        <f>IF($B34="",0,SUMPRODUCT(('Dvd Calendar'!$E$1858:$AR$1858&gt;=DATE(YEAR_Y,1,1))*('Dvd Calendar'!$E$1858:$AR$1858&lt;=REALIZED_TO)*'Dvd Calendar'!$E$1861:$AR$1861*(('Dvd Calendar'!$E$1863:$AR$1863=TYPE1)*(TYPE1&lt;&gt;"")+('Dvd Calendar'!$E$1863:$AR$1863=TYPE2)*(TYPE2&lt;&gt;"")+('Dvd Calendar'!$E$1863:$AR$1863=TYPE3)*(TYPE3&lt;&gt;"")+('Dvd Calendar'!$E$1863:$AR$1863=TYPE4)*(TYPE4&lt;&gt;"")+('Dvd Calendar'!$E$1863:$AR$1863=SPECIAL_LBL)*(INC_SPECIALS="Y"))))</f>
        <v/>
      </c>
      <c r="K34" s="49">
        <f>IF($B34="",0,SUMIFS('Dvd Calendar'!$E$1866:$AR$1866,'Dvd Calendar'!$E$1865:$AR$1865,"&gt;"&amp;PROJ_FROM,'Dvd Calendar'!$E$1865:$AR$1865,"&lt;="&amp;DATE(YEAR_Y,12,31)))</f>
        <v/>
      </c>
      <c r="L34" s="49">
        <f>IF($B34="",0,IF((OV_SWITCH="ON")*(COUNTIFS(OVR_TICKERS,$C34,OVR_BASE,"&gt;=0")&gt;0)&gt;0,SUMIFS(OVR_BASE,OVR_TICKERS,$C34),$K34))</f>
        <v/>
      </c>
      <c r="M34" s="49">
        <f>IF($B34="",0,IF((OV_SWITCH="ON")*(COUNTIFS(OVR_TICKERS,$C34,OVR_LOW,"&gt;=0")&gt;0)&gt;0,SUMIFS(OVR_LOW,OVR_TICKERS,$C34),$L34))</f>
        <v/>
      </c>
      <c r="N34" s="49">
        <f>IF($B34="",0,IF((OV_SWITCH="ON")*(COUNTIFS(OVR_TICKERS,$C34,OVR_HIGH,"&gt;=0")&gt;0)&gt;0,SUMIFS(OVR_HIGH,OVR_TICKERS,$C34),$L34))</f>
        <v/>
      </c>
      <c r="O34" s="65">
        <f>IF($B34="","",IFERROR($B34*$G34*$J34/$B$3,""))</f>
        <v/>
      </c>
      <c r="P34" s="65">
        <f>IF($B34="","",IFERROR($B34*$G34*$L34/$B$3,""))</f>
        <v/>
      </c>
      <c r="Q34" s="41">
        <f>IF($B34="","",IFERROR($O34+$P34,""))</f>
        <v/>
      </c>
      <c r="R34" s="65">
        <f>IF($B34="","",IFERROR($O34+$B34*$G34*$M34/$B$3,""))</f>
        <v/>
      </c>
      <c r="S34" s="65">
        <f>IF($B34="","",IFERROR($O34+$B34*$G34*$N34/$B$3,""))</f>
        <v/>
      </c>
      <c r="T34" s="80">
        <f>IF($B34="","",IFERROR($Q34/$Q$5,""))</f>
        <v/>
      </c>
      <c r="U34" s="2">
        <f>IF($B34="","",IF(COUNTIFS('Dvd Calendar'!$E$1864:$AR$1864,"&gt;0",'Dvd Calendar'!$E$1864:$AR$1864,"&lt;="&amp;VAL_DATE,'Dvd Calendar'!$E$1865:$AR$1865,"&gt;"&amp;PROJ_FROM,'Dvd Calendar'!$E$1865:$AR$1865,"&lt;="&amp;DATE(YEAR_Y,12,31))-COUNTIFS('Dvd Calendar'!$E$1864:$AR$1864,"&gt;0",'Dvd Calendar'!$E$1864:$AR$1864,"&lt;="&amp;VAL_DATE,'Dvd Calendar'!$E$1865:$AR$1865,"&gt;"&amp;PROJ_FROM,'Dvd Calendar'!$E$1865:$AR$1865,"&lt;="&amp;DATE(YEAR_Y,12,31),'Dvd Calendar'!$E$1866:$AR$1866,"&gt;=0")&gt;0,"TBA amount - override me",IF((OV_SWITCH="ON")*(COUNTIFS(OVR_TICKERS,$C34,OVR_BASE,"&gt;=0")&gt;0)&gt;0,"overridden",IF($J34+$K34=0,"no dividend in year Y",""))))</f>
        <v/>
      </c>
      <c r="V34" s="65">
        <f>IF($B34="","",IFERROR(IF(ISNUMBER($H34),$B34*$G34*$H34/$B$3,0),""))</f>
        <v/>
      </c>
      <c r="W34" s="65">
        <f>IF($B34="","",IFERROR($B34*$G34*$K34/$B$3,""))</f>
        <v/>
      </c>
      <c r="X34" s="91">
        <f>IF($C34="","",BDP($C34,"PX_LAST"))</f>
        <v/>
      </c>
      <c r="Y34" s="65">
        <f>IF($B34="","",IFERROR($B34*$X34/$B$3,""))</f>
        <v/>
      </c>
      <c r="Z34" s="76">
        <f>IF($B34="","",IFERROR($Y34/$Y$5,""))</f>
        <v/>
      </c>
    </row>
    <row r="35">
      <c r="B35" s="89" t="n"/>
      <c r="C35" s="6">
        <f>IF($A35="","",$A35&amp;" Equity")</f>
        <v/>
      </c>
      <c r="D35" s="6">
        <f>IF($C35="","",BDP($C35,"NAME"))</f>
        <v/>
      </c>
      <c r="E35" s="6">
        <f>IF($C35="","",BDP($C35,"GICS_SECTOR_NAME"))</f>
        <v/>
      </c>
      <c r="F35" s="33">
        <f>IF($C35="","",BDP($C35,FLD_CCY))</f>
        <v/>
      </c>
      <c r="G35" s="90">
        <f>IFERROR(IF(LEN($F35)&lt;&gt;3,1,IF($F35="HKD",1,BDP(IF($F35="CNY",RMB_CROSS,$F35)&amp;"HKD Curncy","PX_LAST"))),1)</f>
        <v/>
      </c>
      <c r="H35" s="65">
        <f>IF($C35="","",BDP($C35,FLD_DPS12M))</f>
        <v/>
      </c>
      <c r="I35" s="47">
        <f>IF($C35="","",BDP($C35,FLD_YLD12M))</f>
        <v/>
      </c>
      <c r="J35" s="49">
        <f>IF($B35="",0,SUMPRODUCT(('Dvd Calendar'!$E$1869:$AR$1869&gt;=DATE(YEAR_Y,1,1))*('Dvd Calendar'!$E$1869:$AR$1869&lt;=REALIZED_TO)*'Dvd Calendar'!$E$1872:$AR$1872*(('Dvd Calendar'!$E$1874:$AR$1874=TYPE1)*(TYPE1&lt;&gt;"")+('Dvd Calendar'!$E$1874:$AR$1874=TYPE2)*(TYPE2&lt;&gt;"")+('Dvd Calendar'!$E$1874:$AR$1874=TYPE3)*(TYPE3&lt;&gt;"")+('Dvd Calendar'!$E$1874:$AR$1874=TYPE4)*(TYPE4&lt;&gt;"")+('Dvd Calendar'!$E$1874:$AR$1874=SPECIAL_LBL)*(INC_SPECIALS="Y"))))</f>
        <v/>
      </c>
      <c r="K35" s="49">
        <f>IF($B35="",0,SUMIFS('Dvd Calendar'!$E$1877:$AR$1877,'Dvd Calendar'!$E$1876:$AR$1876,"&gt;"&amp;PROJ_FROM,'Dvd Calendar'!$E$1876:$AR$1876,"&lt;="&amp;DATE(YEAR_Y,12,31)))</f>
        <v/>
      </c>
      <c r="L35" s="49">
        <f>IF($B35="",0,IF((OV_SWITCH="ON")*(COUNTIFS(OVR_TICKERS,$C35,OVR_BASE,"&gt;=0")&gt;0)&gt;0,SUMIFS(OVR_BASE,OVR_TICKERS,$C35),$K35))</f>
        <v/>
      </c>
      <c r="M35" s="49">
        <f>IF($B35="",0,IF((OV_SWITCH="ON")*(COUNTIFS(OVR_TICKERS,$C35,OVR_LOW,"&gt;=0")&gt;0)&gt;0,SUMIFS(OVR_LOW,OVR_TICKERS,$C35),$L35))</f>
        <v/>
      </c>
      <c r="N35" s="49">
        <f>IF($B35="",0,IF((OV_SWITCH="ON")*(COUNTIFS(OVR_TICKERS,$C35,OVR_HIGH,"&gt;=0")&gt;0)&gt;0,SUMIFS(OVR_HIGH,OVR_TICKERS,$C35),$L35))</f>
        <v/>
      </c>
      <c r="O35" s="65">
        <f>IF($B35="","",IFERROR($B35*$G35*$J35/$B$3,""))</f>
        <v/>
      </c>
      <c r="P35" s="65">
        <f>IF($B35="","",IFERROR($B35*$G35*$L35/$B$3,""))</f>
        <v/>
      </c>
      <c r="Q35" s="41">
        <f>IF($B35="","",IFERROR($O35+$P35,""))</f>
        <v/>
      </c>
      <c r="R35" s="65">
        <f>IF($B35="","",IFERROR($O35+$B35*$G35*$M35/$B$3,""))</f>
        <v/>
      </c>
      <c r="S35" s="65">
        <f>IF($B35="","",IFERROR($O35+$B35*$G35*$N35/$B$3,""))</f>
        <v/>
      </c>
      <c r="T35" s="80">
        <f>IF($B35="","",IFERROR($Q35/$Q$5,""))</f>
        <v/>
      </c>
      <c r="U35" s="2">
        <f>IF($B35="","",IF(COUNTIFS('Dvd Calendar'!$E$1875:$AR$1875,"&gt;0",'Dvd Calendar'!$E$1875:$AR$1875,"&lt;="&amp;VAL_DATE,'Dvd Calendar'!$E$1876:$AR$1876,"&gt;"&amp;PROJ_FROM,'Dvd Calendar'!$E$1876:$AR$1876,"&lt;="&amp;DATE(YEAR_Y,12,31))-COUNTIFS('Dvd Calendar'!$E$1875:$AR$1875,"&gt;0",'Dvd Calendar'!$E$1875:$AR$1875,"&lt;="&amp;VAL_DATE,'Dvd Calendar'!$E$1876:$AR$1876,"&gt;"&amp;PROJ_FROM,'Dvd Calendar'!$E$1876:$AR$1876,"&lt;="&amp;DATE(YEAR_Y,12,31),'Dvd Calendar'!$E$1877:$AR$1877,"&gt;=0")&gt;0,"TBA amount - override me",IF((OV_SWITCH="ON")*(COUNTIFS(OVR_TICKERS,$C35,OVR_BASE,"&gt;=0")&gt;0)&gt;0,"overridden",IF($J35+$K35=0,"no dividend in year Y",""))))</f>
        <v/>
      </c>
      <c r="V35" s="65">
        <f>IF($B35="","",IFERROR(IF(ISNUMBER($H35),$B35*$G35*$H35/$B$3,0),""))</f>
        <v/>
      </c>
      <c r="W35" s="65">
        <f>IF($B35="","",IFERROR($B35*$G35*$K35/$B$3,""))</f>
        <v/>
      </c>
      <c r="X35" s="91">
        <f>IF($C35="","",BDP($C35,"PX_LAST"))</f>
        <v/>
      </c>
      <c r="Y35" s="65">
        <f>IF($B35="","",IFERROR($B35*$X35/$B$3,""))</f>
        <v/>
      </c>
      <c r="Z35" s="76">
        <f>IF($B35="","",IFERROR($Y35/$Y$5,""))</f>
        <v/>
      </c>
    </row>
    <row r="36">
      <c r="B36" s="89" t="n"/>
      <c r="C36" s="6">
        <f>IF($A36="","",$A36&amp;" Equity")</f>
        <v/>
      </c>
      <c r="D36" s="6">
        <f>IF($C36="","",BDP($C36,"NAME"))</f>
        <v/>
      </c>
      <c r="E36" s="6">
        <f>IF($C36="","",BDP($C36,"GICS_SECTOR_NAME"))</f>
        <v/>
      </c>
      <c r="F36" s="33">
        <f>IF($C36="","",BDP($C36,FLD_CCY))</f>
        <v/>
      </c>
      <c r="G36" s="90">
        <f>IFERROR(IF(LEN($F36)&lt;&gt;3,1,IF($F36="HKD",1,BDP(IF($F36="CNY",RMB_CROSS,$F36)&amp;"HKD Curncy","PX_LAST"))),1)</f>
        <v/>
      </c>
      <c r="H36" s="65">
        <f>IF($C36="","",BDP($C36,FLD_DPS12M))</f>
        <v/>
      </c>
      <c r="I36" s="47">
        <f>IF($C36="","",BDP($C36,FLD_YLD12M))</f>
        <v/>
      </c>
      <c r="J36" s="49">
        <f>IF($B36="",0,SUMPRODUCT(('Dvd Calendar'!$E$1880:$AR$1880&gt;=DATE(YEAR_Y,1,1))*('Dvd Calendar'!$E$1880:$AR$1880&lt;=REALIZED_TO)*'Dvd Calendar'!$E$1883:$AR$1883*(('Dvd Calendar'!$E$1885:$AR$1885=TYPE1)*(TYPE1&lt;&gt;"")+('Dvd Calendar'!$E$1885:$AR$1885=TYPE2)*(TYPE2&lt;&gt;"")+('Dvd Calendar'!$E$1885:$AR$1885=TYPE3)*(TYPE3&lt;&gt;"")+('Dvd Calendar'!$E$1885:$AR$1885=TYPE4)*(TYPE4&lt;&gt;"")+('Dvd Calendar'!$E$1885:$AR$1885=SPECIAL_LBL)*(INC_SPECIALS="Y"))))</f>
        <v/>
      </c>
      <c r="K36" s="49">
        <f>IF($B36="",0,SUMIFS('Dvd Calendar'!$E$1888:$AR$1888,'Dvd Calendar'!$E$1887:$AR$1887,"&gt;"&amp;PROJ_FROM,'Dvd Calendar'!$E$1887:$AR$1887,"&lt;="&amp;DATE(YEAR_Y,12,31)))</f>
        <v/>
      </c>
      <c r="L36" s="49">
        <f>IF($B36="",0,IF((OV_SWITCH="ON")*(COUNTIFS(OVR_TICKERS,$C36,OVR_BASE,"&gt;=0")&gt;0)&gt;0,SUMIFS(OVR_BASE,OVR_TICKERS,$C36),$K36))</f>
        <v/>
      </c>
      <c r="M36" s="49">
        <f>IF($B36="",0,IF((OV_SWITCH="ON")*(COUNTIFS(OVR_TICKERS,$C36,OVR_LOW,"&gt;=0")&gt;0)&gt;0,SUMIFS(OVR_LOW,OVR_TICKERS,$C36),$L36))</f>
        <v/>
      </c>
      <c r="N36" s="49">
        <f>IF($B36="",0,IF((OV_SWITCH="ON")*(COUNTIFS(OVR_TICKERS,$C36,OVR_HIGH,"&gt;=0")&gt;0)&gt;0,SUMIFS(OVR_HIGH,OVR_TICKERS,$C36),$L36))</f>
        <v/>
      </c>
      <c r="O36" s="65">
        <f>IF($B36="","",IFERROR($B36*$G36*$J36/$B$3,""))</f>
        <v/>
      </c>
      <c r="P36" s="65">
        <f>IF($B36="","",IFERROR($B36*$G36*$L36/$B$3,""))</f>
        <v/>
      </c>
      <c r="Q36" s="41">
        <f>IF($B36="","",IFERROR($O36+$P36,""))</f>
        <v/>
      </c>
      <c r="R36" s="65">
        <f>IF($B36="","",IFERROR($O36+$B36*$G36*$M36/$B$3,""))</f>
        <v/>
      </c>
      <c r="S36" s="65">
        <f>IF($B36="","",IFERROR($O36+$B36*$G36*$N36/$B$3,""))</f>
        <v/>
      </c>
      <c r="T36" s="80">
        <f>IF($B36="","",IFERROR($Q36/$Q$5,""))</f>
        <v/>
      </c>
      <c r="U36" s="2">
        <f>IF($B36="","",IF(COUNTIFS('Dvd Calendar'!$E$1886:$AR$1886,"&gt;0",'Dvd Calendar'!$E$1886:$AR$1886,"&lt;="&amp;VAL_DATE,'Dvd Calendar'!$E$1887:$AR$1887,"&gt;"&amp;PROJ_FROM,'Dvd Calendar'!$E$1887:$AR$1887,"&lt;="&amp;DATE(YEAR_Y,12,31))-COUNTIFS('Dvd Calendar'!$E$1886:$AR$1886,"&gt;0",'Dvd Calendar'!$E$1886:$AR$1886,"&lt;="&amp;VAL_DATE,'Dvd Calendar'!$E$1887:$AR$1887,"&gt;"&amp;PROJ_FROM,'Dvd Calendar'!$E$1887:$AR$1887,"&lt;="&amp;DATE(YEAR_Y,12,31),'Dvd Calendar'!$E$1888:$AR$1888,"&gt;=0")&gt;0,"TBA amount - override me",IF((OV_SWITCH="ON")*(COUNTIFS(OVR_TICKERS,$C36,OVR_BASE,"&gt;=0")&gt;0)&gt;0,"overridden",IF($J36+$K36=0,"no dividend in year Y",""))))</f>
        <v/>
      </c>
      <c r="V36" s="65">
        <f>IF($B36="","",IFERROR(IF(ISNUMBER($H36),$B36*$G36*$H36/$B$3,0),""))</f>
        <v/>
      </c>
      <c r="W36" s="65">
        <f>IF($B36="","",IFERROR($B36*$G36*$K36/$B$3,""))</f>
        <v/>
      </c>
      <c r="X36" s="91">
        <f>IF($C36="","",BDP($C36,"PX_LAST"))</f>
        <v/>
      </c>
      <c r="Y36" s="65">
        <f>IF($B36="","",IFERROR($B36*$X36/$B$3,""))</f>
        <v/>
      </c>
      <c r="Z36" s="76">
        <f>IF($B36="","",IFERROR($Y36/$Y$5,""))</f>
        <v/>
      </c>
    </row>
    <row r="37">
      <c r="B37" s="89" t="n"/>
      <c r="C37" s="6">
        <f>IF($A37="","",$A37&amp;" Equity")</f>
        <v/>
      </c>
      <c r="D37" s="6">
        <f>IF($C37="","",BDP($C37,"NAME"))</f>
        <v/>
      </c>
      <c r="E37" s="6">
        <f>IF($C37="","",BDP($C37,"GICS_SECTOR_NAME"))</f>
        <v/>
      </c>
      <c r="F37" s="33">
        <f>IF($C37="","",BDP($C37,FLD_CCY))</f>
        <v/>
      </c>
      <c r="G37" s="90">
        <f>IFERROR(IF(LEN($F37)&lt;&gt;3,1,IF($F37="HKD",1,BDP(IF($F37="CNY",RMB_CROSS,$F37)&amp;"HKD Curncy","PX_LAST"))),1)</f>
        <v/>
      </c>
      <c r="H37" s="65">
        <f>IF($C37="","",BDP($C37,FLD_DPS12M))</f>
        <v/>
      </c>
      <c r="I37" s="47">
        <f>IF($C37="","",BDP($C37,FLD_YLD12M))</f>
        <v/>
      </c>
      <c r="J37" s="49">
        <f>IF($B37="",0,SUMPRODUCT(('Dvd Calendar'!$E$1891:$AR$1891&gt;=DATE(YEAR_Y,1,1))*('Dvd Calendar'!$E$1891:$AR$1891&lt;=REALIZED_TO)*'Dvd Calendar'!$E$1894:$AR$1894*(('Dvd Calendar'!$E$1896:$AR$1896=TYPE1)*(TYPE1&lt;&gt;"")+('Dvd Calendar'!$E$1896:$AR$1896=TYPE2)*(TYPE2&lt;&gt;"")+('Dvd Calendar'!$E$1896:$AR$1896=TYPE3)*(TYPE3&lt;&gt;"")+('Dvd Calendar'!$E$1896:$AR$1896=TYPE4)*(TYPE4&lt;&gt;"")+('Dvd Calendar'!$E$1896:$AR$1896=SPECIAL_LBL)*(INC_SPECIALS="Y"))))</f>
        <v/>
      </c>
      <c r="K37" s="49">
        <f>IF($B37="",0,SUMIFS('Dvd Calendar'!$E$1899:$AR$1899,'Dvd Calendar'!$E$1898:$AR$1898,"&gt;"&amp;PROJ_FROM,'Dvd Calendar'!$E$1898:$AR$1898,"&lt;="&amp;DATE(YEAR_Y,12,31)))</f>
        <v/>
      </c>
      <c r="L37" s="49">
        <f>IF($B37="",0,IF((OV_SWITCH="ON")*(COUNTIFS(OVR_TICKERS,$C37,OVR_BASE,"&gt;=0")&gt;0)&gt;0,SUMIFS(OVR_BASE,OVR_TICKERS,$C37),$K37))</f>
        <v/>
      </c>
      <c r="M37" s="49">
        <f>IF($B37="",0,IF((OV_SWITCH="ON")*(COUNTIFS(OVR_TICKERS,$C37,OVR_LOW,"&gt;=0")&gt;0)&gt;0,SUMIFS(OVR_LOW,OVR_TICKERS,$C37),$L37))</f>
        <v/>
      </c>
      <c r="N37" s="49">
        <f>IF($B37="",0,IF((OV_SWITCH="ON")*(COUNTIFS(OVR_TICKERS,$C37,OVR_HIGH,"&gt;=0")&gt;0)&gt;0,SUMIFS(OVR_HIGH,OVR_TICKERS,$C37),$L37))</f>
        <v/>
      </c>
      <c r="O37" s="65">
        <f>IF($B37="","",IFERROR($B37*$G37*$J37/$B$3,""))</f>
        <v/>
      </c>
      <c r="P37" s="65">
        <f>IF($B37="","",IFERROR($B37*$G37*$L37/$B$3,""))</f>
        <v/>
      </c>
      <c r="Q37" s="41">
        <f>IF($B37="","",IFERROR($O37+$P37,""))</f>
        <v/>
      </c>
      <c r="R37" s="65">
        <f>IF($B37="","",IFERROR($O37+$B37*$G37*$M37/$B$3,""))</f>
        <v/>
      </c>
      <c r="S37" s="65">
        <f>IF($B37="","",IFERROR($O37+$B37*$G37*$N37/$B$3,""))</f>
        <v/>
      </c>
      <c r="T37" s="80">
        <f>IF($B37="","",IFERROR($Q37/$Q$5,""))</f>
        <v/>
      </c>
      <c r="U37" s="2">
        <f>IF($B37="","",IF(COUNTIFS('Dvd Calendar'!$E$1897:$AR$1897,"&gt;0",'Dvd Calendar'!$E$1897:$AR$1897,"&lt;="&amp;VAL_DATE,'Dvd Calendar'!$E$1898:$AR$1898,"&gt;"&amp;PROJ_FROM,'Dvd Calendar'!$E$1898:$AR$1898,"&lt;="&amp;DATE(YEAR_Y,12,31))-COUNTIFS('Dvd Calendar'!$E$1897:$AR$1897,"&gt;0",'Dvd Calendar'!$E$1897:$AR$1897,"&lt;="&amp;VAL_DATE,'Dvd Calendar'!$E$1898:$AR$1898,"&gt;"&amp;PROJ_FROM,'Dvd Calendar'!$E$1898:$AR$1898,"&lt;="&amp;DATE(YEAR_Y,12,31),'Dvd Calendar'!$E$1899:$AR$1899,"&gt;=0")&gt;0,"TBA amount - override me",IF((OV_SWITCH="ON")*(COUNTIFS(OVR_TICKERS,$C37,OVR_BASE,"&gt;=0")&gt;0)&gt;0,"overridden",IF($J37+$K37=0,"no dividend in year Y",""))))</f>
        <v/>
      </c>
      <c r="V37" s="65">
        <f>IF($B37="","",IFERROR(IF(ISNUMBER($H37),$B37*$G37*$H37/$B$3,0),""))</f>
        <v/>
      </c>
      <c r="W37" s="65">
        <f>IF($B37="","",IFERROR($B37*$G37*$K37/$B$3,""))</f>
        <v/>
      </c>
      <c r="X37" s="91">
        <f>IF($C37="","",BDP($C37,"PX_LAST"))</f>
        <v/>
      </c>
      <c r="Y37" s="65">
        <f>IF($B37="","",IFERROR($B37*$X37/$B$3,""))</f>
        <v/>
      </c>
      <c r="Z37" s="76">
        <f>IF($B37="","",IFERROR($Y37/$Y$5,""))</f>
        <v/>
      </c>
    </row>
    <row r="38">
      <c r="B38" s="89" t="n"/>
      <c r="C38" s="6">
        <f>IF($A38="","",$A38&amp;" Equity")</f>
        <v/>
      </c>
      <c r="D38" s="6">
        <f>IF($C38="","",BDP($C38,"NAME"))</f>
        <v/>
      </c>
      <c r="E38" s="6">
        <f>IF($C38="","",BDP($C38,"GICS_SECTOR_NAME"))</f>
        <v/>
      </c>
      <c r="F38" s="33">
        <f>IF($C38="","",BDP($C38,FLD_CCY))</f>
        <v/>
      </c>
      <c r="G38" s="90">
        <f>IFERROR(IF(LEN($F38)&lt;&gt;3,1,IF($F38="HKD",1,BDP(IF($F38="CNY",RMB_CROSS,$F38)&amp;"HKD Curncy","PX_LAST"))),1)</f>
        <v/>
      </c>
      <c r="H38" s="65">
        <f>IF($C38="","",BDP($C38,FLD_DPS12M))</f>
        <v/>
      </c>
      <c r="I38" s="47">
        <f>IF($C38="","",BDP($C38,FLD_YLD12M))</f>
        <v/>
      </c>
      <c r="J38" s="49">
        <f>IF($B38="",0,SUMPRODUCT(('Dvd Calendar'!$E$1902:$AR$1902&gt;=DATE(YEAR_Y,1,1))*('Dvd Calendar'!$E$1902:$AR$1902&lt;=REALIZED_TO)*'Dvd Calendar'!$E$1905:$AR$1905*(('Dvd Calendar'!$E$1907:$AR$1907=TYPE1)*(TYPE1&lt;&gt;"")+('Dvd Calendar'!$E$1907:$AR$1907=TYPE2)*(TYPE2&lt;&gt;"")+('Dvd Calendar'!$E$1907:$AR$1907=TYPE3)*(TYPE3&lt;&gt;"")+('Dvd Calendar'!$E$1907:$AR$1907=TYPE4)*(TYPE4&lt;&gt;"")+('Dvd Calendar'!$E$1907:$AR$1907=SPECIAL_LBL)*(INC_SPECIALS="Y"))))</f>
        <v/>
      </c>
      <c r="K38" s="49">
        <f>IF($B38="",0,SUMIFS('Dvd Calendar'!$E$1910:$AR$1910,'Dvd Calendar'!$E$1909:$AR$1909,"&gt;"&amp;PROJ_FROM,'Dvd Calendar'!$E$1909:$AR$1909,"&lt;="&amp;DATE(YEAR_Y,12,31)))</f>
        <v/>
      </c>
      <c r="L38" s="49">
        <f>IF($B38="",0,IF((OV_SWITCH="ON")*(COUNTIFS(OVR_TICKERS,$C38,OVR_BASE,"&gt;=0")&gt;0)&gt;0,SUMIFS(OVR_BASE,OVR_TICKERS,$C38),$K38))</f>
        <v/>
      </c>
      <c r="M38" s="49">
        <f>IF($B38="",0,IF((OV_SWITCH="ON")*(COUNTIFS(OVR_TICKERS,$C38,OVR_LOW,"&gt;=0")&gt;0)&gt;0,SUMIFS(OVR_LOW,OVR_TICKERS,$C38),$L38))</f>
        <v/>
      </c>
      <c r="N38" s="49">
        <f>IF($B38="",0,IF((OV_SWITCH="ON")*(COUNTIFS(OVR_TICKERS,$C38,OVR_HIGH,"&gt;=0")&gt;0)&gt;0,SUMIFS(OVR_HIGH,OVR_TICKERS,$C38),$L38))</f>
        <v/>
      </c>
      <c r="O38" s="65">
        <f>IF($B38="","",IFERROR($B38*$G38*$J38/$B$3,""))</f>
        <v/>
      </c>
      <c r="P38" s="65">
        <f>IF($B38="","",IFERROR($B38*$G38*$L38/$B$3,""))</f>
        <v/>
      </c>
      <c r="Q38" s="41">
        <f>IF($B38="","",IFERROR($O38+$P38,""))</f>
        <v/>
      </c>
      <c r="R38" s="65">
        <f>IF($B38="","",IFERROR($O38+$B38*$G38*$M38/$B$3,""))</f>
        <v/>
      </c>
      <c r="S38" s="65">
        <f>IF($B38="","",IFERROR($O38+$B38*$G38*$N38/$B$3,""))</f>
        <v/>
      </c>
      <c r="T38" s="80">
        <f>IF($B38="","",IFERROR($Q38/$Q$5,""))</f>
        <v/>
      </c>
      <c r="U38" s="2">
        <f>IF($B38="","",IF(COUNTIFS('Dvd Calendar'!$E$1908:$AR$1908,"&gt;0",'Dvd Calendar'!$E$1908:$AR$1908,"&lt;="&amp;VAL_DATE,'Dvd Calendar'!$E$1909:$AR$1909,"&gt;"&amp;PROJ_FROM,'Dvd Calendar'!$E$1909:$AR$1909,"&lt;="&amp;DATE(YEAR_Y,12,31))-COUNTIFS('Dvd Calendar'!$E$1908:$AR$1908,"&gt;0",'Dvd Calendar'!$E$1908:$AR$1908,"&lt;="&amp;VAL_DATE,'Dvd Calendar'!$E$1909:$AR$1909,"&gt;"&amp;PROJ_FROM,'Dvd Calendar'!$E$1909:$AR$1909,"&lt;="&amp;DATE(YEAR_Y,12,31),'Dvd Calendar'!$E$1910:$AR$1910,"&gt;=0")&gt;0,"TBA amount - override me",IF((OV_SWITCH="ON")*(COUNTIFS(OVR_TICKERS,$C38,OVR_BASE,"&gt;=0")&gt;0)&gt;0,"overridden",IF($J38+$K38=0,"no dividend in year Y",""))))</f>
        <v/>
      </c>
      <c r="V38" s="65">
        <f>IF($B38="","",IFERROR(IF(ISNUMBER($H38),$B38*$G38*$H38/$B$3,0),""))</f>
        <v/>
      </c>
      <c r="W38" s="65">
        <f>IF($B38="","",IFERROR($B38*$G38*$K38/$B$3,""))</f>
        <v/>
      </c>
      <c r="X38" s="91">
        <f>IF($C38="","",BDP($C38,"PX_LAST"))</f>
        <v/>
      </c>
      <c r="Y38" s="65">
        <f>IF($B38="","",IFERROR($B38*$X38/$B$3,""))</f>
        <v/>
      </c>
      <c r="Z38" s="76">
        <f>IF($B38="","",IFERROR($Y38/$Y$5,""))</f>
        <v/>
      </c>
    </row>
    <row r="39">
      <c r="B39" s="89" t="n"/>
      <c r="C39" s="6">
        <f>IF($A39="","",$A39&amp;" Equity")</f>
        <v/>
      </c>
      <c r="D39" s="6">
        <f>IF($C39="","",BDP($C39,"NAME"))</f>
        <v/>
      </c>
      <c r="E39" s="6">
        <f>IF($C39="","",BDP($C39,"GICS_SECTOR_NAME"))</f>
        <v/>
      </c>
      <c r="F39" s="33">
        <f>IF($C39="","",BDP($C39,FLD_CCY))</f>
        <v/>
      </c>
      <c r="G39" s="90">
        <f>IFERROR(IF(LEN($F39)&lt;&gt;3,1,IF($F39="HKD",1,BDP(IF($F39="CNY",RMB_CROSS,$F39)&amp;"HKD Curncy","PX_LAST"))),1)</f>
        <v/>
      </c>
      <c r="H39" s="65">
        <f>IF($C39="","",BDP($C39,FLD_DPS12M))</f>
        <v/>
      </c>
      <c r="I39" s="47">
        <f>IF($C39="","",BDP($C39,FLD_YLD12M))</f>
        <v/>
      </c>
      <c r="J39" s="49">
        <f>IF($B39="",0,SUMPRODUCT(('Dvd Calendar'!$E$1913:$AR$1913&gt;=DATE(YEAR_Y,1,1))*('Dvd Calendar'!$E$1913:$AR$1913&lt;=REALIZED_TO)*'Dvd Calendar'!$E$1916:$AR$1916*(('Dvd Calendar'!$E$1918:$AR$1918=TYPE1)*(TYPE1&lt;&gt;"")+('Dvd Calendar'!$E$1918:$AR$1918=TYPE2)*(TYPE2&lt;&gt;"")+('Dvd Calendar'!$E$1918:$AR$1918=TYPE3)*(TYPE3&lt;&gt;"")+('Dvd Calendar'!$E$1918:$AR$1918=TYPE4)*(TYPE4&lt;&gt;"")+('Dvd Calendar'!$E$1918:$AR$1918=SPECIAL_LBL)*(INC_SPECIALS="Y"))))</f>
        <v/>
      </c>
      <c r="K39" s="49">
        <f>IF($B39="",0,SUMIFS('Dvd Calendar'!$E$1921:$AR$1921,'Dvd Calendar'!$E$1920:$AR$1920,"&gt;"&amp;PROJ_FROM,'Dvd Calendar'!$E$1920:$AR$1920,"&lt;="&amp;DATE(YEAR_Y,12,31)))</f>
        <v/>
      </c>
      <c r="L39" s="49">
        <f>IF($B39="",0,IF((OV_SWITCH="ON")*(COUNTIFS(OVR_TICKERS,$C39,OVR_BASE,"&gt;=0")&gt;0)&gt;0,SUMIFS(OVR_BASE,OVR_TICKERS,$C39),$K39))</f>
        <v/>
      </c>
      <c r="M39" s="49">
        <f>IF($B39="",0,IF((OV_SWITCH="ON")*(COUNTIFS(OVR_TICKERS,$C39,OVR_LOW,"&gt;=0")&gt;0)&gt;0,SUMIFS(OVR_LOW,OVR_TICKERS,$C39),$L39))</f>
        <v/>
      </c>
      <c r="N39" s="49">
        <f>IF($B39="",0,IF((OV_SWITCH="ON")*(COUNTIFS(OVR_TICKERS,$C39,OVR_HIGH,"&gt;=0")&gt;0)&gt;0,SUMIFS(OVR_HIGH,OVR_TICKERS,$C39),$L39))</f>
        <v/>
      </c>
      <c r="O39" s="65">
        <f>IF($B39="","",IFERROR($B39*$G39*$J39/$B$3,""))</f>
        <v/>
      </c>
      <c r="P39" s="65">
        <f>IF($B39="","",IFERROR($B39*$G39*$L39/$B$3,""))</f>
        <v/>
      </c>
      <c r="Q39" s="41">
        <f>IF($B39="","",IFERROR($O39+$P39,""))</f>
        <v/>
      </c>
      <c r="R39" s="65">
        <f>IF($B39="","",IFERROR($O39+$B39*$G39*$M39/$B$3,""))</f>
        <v/>
      </c>
      <c r="S39" s="65">
        <f>IF($B39="","",IFERROR($O39+$B39*$G39*$N39/$B$3,""))</f>
        <v/>
      </c>
      <c r="T39" s="80">
        <f>IF($B39="","",IFERROR($Q39/$Q$5,""))</f>
        <v/>
      </c>
      <c r="U39" s="2">
        <f>IF($B39="","",IF(COUNTIFS('Dvd Calendar'!$E$1919:$AR$1919,"&gt;0",'Dvd Calendar'!$E$1919:$AR$1919,"&lt;="&amp;VAL_DATE,'Dvd Calendar'!$E$1920:$AR$1920,"&gt;"&amp;PROJ_FROM,'Dvd Calendar'!$E$1920:$AR$1920,"&lt;="&amp;DATE(YEAR_Y,12,31))-COUNTIFS('Dvd Calendar'!$E$1919:$AR$1919,"&gt;0",'Dvd Calendar'!$E$1919:$AR$1919,"&lt;="&amp;VAL_DATE,'Dvd Calendar'!$E$1920:$AR$1920,"&gt;"&amp;PROJ_FROM,'Dvd Calendar'!$E$1920:$AR$1920,"&lt;="&amp;DATE(YEAR_Y,12,31),'Dvd Calendar'!$E$1921:$AR$1921,"&gt;=0")&gt;0,"TBA amount - override me",IF((OV_SWITCH="ON")*(COUNTIFS(OVR_TICKERS,$C39,OVR_BASE,"&gt;=0")&gt;0)&gt;0,"overridden",IF($J39+$K39=0,"no dividend in year Y",""))))</f>
        <v/>
      </c>
      <c r="V39" s="65">
        <f>IF($B39="","",IFERROR(IF(ISNUMBER($H39),$B39*$G39*$H39/$B$3,0),""))</f>
        <v/>
      </c>
      <c r="W39" s="65">
        <f>IF($B39="","",IFERROR($B39*$G39*$K39/$B$3,""))</f>
        <v/>
      </c>
      <c r="X39" s="91">
        <f>IF($C39="","",BDP($C39,"PX_LAST"))</f>
        <v/>
      </c>
      <c r="Y39" s="65">
        <f>IF($B39="","",IFERROR($B39*$X39/$B$3,""))</f>
        <v/>
      </c>
      <c r="Z39" s="76">
        <f>IF($B39="","",IFERROR($Y39/$Y$5,""))</f>
        <v/>
      </c>
    </row>
    <row r="40">
      <c r="B40" s="89" t="n"/>
      <c r="C40" s="6">
        <f>IF($A40="","",$A40&amp;" Equity")</f>
        <v/>
      </c>
      <c r="D40" s="6">
        <f>IF($C40="","",BDP($C40,"NAME"))</f>
        <v/>
      </c>
      <c r="E40" s="6">
        <f>IF($C40="","",BDP($C40,"GICS_SECTOR_NAME"))</f>
        <v/>
      </c>
      <c r="F40" s="33">
        <f>IF($C40="","",BDP($C40,FLD_CCY))</f>
        <v/>
      </c>
      <c r="G40" s="90">
        <f>IFERROR(IF(LEN($F40)&lt;&gt;3,1,IF($F40="HKD",1,BDP(IF($F40="CNY",RMB_CROSS,$F40)&amp;"HKD Curncy","PX_LAST"))),1)</f>
        <v/>
      </c>
      <c r="H40" s="65">
        <f>IF($C40="","",BDP($C40,FLD_DPS12M))</f>
        <v/>
      </c>
      <c r="I40" s="47">
        <f>IF($C40="","",BDP($C40,FLD_YLD12M))</f>
        <v/>
      </c>
      <c r="J40" s="49">
        <f>IF($B40="",0,SUMPRODUCT(('Dvd Calendar'!$E$1924:$AR$1924&gt;=DATE(YEAR_Y,1,1))*('Dvd Calendar'!$E$1924:$AR$1924&lt;=REALIZED_TO)*'Dvd Calendar'!$E$1927:$AR$1927*(('Dvd Calendar'!$E$1929:$AR$1929=TYPE1)*(TYPE1&lt;&gt;"")+('Dvd Calendar'!$E$1929:$AR$1929=TYPE2)*(TYPE2&lt;&gt;"")+('Dvd Calendar'!$E$1929:$AR$1929=TYPE3)*(TYPE3&lt;&gt;"")+('Dvd Calendar'!$E$1929:$AR$1929=TYPE4)*(TYPE4&lt;&gt;"")+('Dvd Calendar'!$E$1929:$AR$1929=SPECIAL_LBL)*(INC_SPECIALS="Y"))))</f>
        <v/>
      </c>
      <c r="K40" s="49">
        <f>IF($B40="",0,SUMIFS('Dvd Calendar'!$E$1932:$AR$1932,'Dvd Calendar'!$E$1931:$AR$1931,"&gt;"&amp;PROJ_FROM,'Dvd Calendar'!$E$1931:$AR$1931,"&lt;="&amp;DATE(YEAR_Y,12,31)))</f>
        <v/>
      </c>
      <c r="L40" s="49">
        <f>IF($B40="",0,IF((OV_SWITCH="ON")*(COUNTIFS(OVR_TICKERS,$C40,OVR_BASE,"&gt;=0")&gt;0)&gt;0,SUMIFS(OVR_BASE,OVR_TICKERS,$C40),$K40))</f>
        <v/>
      </c>
      <c r="M40" s="49">
        <f>IF($B40="",0,IF((OV_SWITCH="ON")*(COUNTIFS(OVR_TICKERS,$C40,OVR_LOW,"&gt;=0")&gt;0)&gt;0,SUMIFS(OVR_LOW,OVR_TICKERS,$C40),$L40))</f>
        <v/>
      </c>
      <c r="N40" s="49">
        <f>IF($B40="",0,IF((OV_SWITCH="ON")*(COUNTIFS(OVR_TICKERS,$C40,OVR_HIGH,"&gt;=0")&gt;0)&gt;0,SUMIFS(OVR_HIGH,OVR_TICKERS,$C40),$L40))</f>
        <v/>
      </c>
      <c r="O40" s="65">
        <f>IF($B40="","",IFERROR($B40*$G40*$J40/$B$3,""))</f>
        <v/>
      </c>
      <c r="P40" s="65">
        <f>IF($B40="","",IFERROR($B40*$G40*$L40/$B$3,""))</f>
        <v/>
      </c>
      <c r="Q40" s="41">
        <f>IF($B40="","",IFERROR($O40+$P40,""))</f>
        <v/>
      </c>
      <c r="R40" s="65">
        <f>IF($B40="","",IFERROR($O40+$B40*$G40*$M40/$B$3,""))</f>
        <v/>
      </c>
      <c r="S40" s="65">
        <f>IF($B40="","",IFERROR($O40+$B40*$G40*$N40/$B$3,""))</f>
        <v/>
      </c>
      <c r="T40" s="80">
        <f>IF($B40="","",IFERROR($Q40/$Q$5,""))</f>
        <v/>
      </c>
      <c r="U40" s="2">
        <f>IF($B40="","",IF(COUNTIFS('Dvd Calendar'!$E$1930:$AR$1930,"&gt;0",'Dvd Calendar'!$E$1930:$AR$1930,"&lt;="&amp;VAL_DATE,'Dvd Calendar'!$E$1931:$AR$1931,"&gt;"&amp;PROJ_FROM,'Dvd Calendar'!$E$1931:$AR$1931,"&lt;="&amp;DATE(YEAR_Y,12,31))-COUNTIFS('Dvd Calendar'!$E$1930:$AR$1930,"&gt;0",'Dvd Calendar'!$E$1930:$AR$1930,"&lt;="&amp;VAL_DATE,'Dvd Calendar'!$E$1931:$AR$1931,"&gt;"&amp;PROJ_FROM,'Dvd Calendar'!$E$1931:$AR$1931,"&lt;="&amp;DATE(YEAR_Y,12,31),'Dvd Calendar'!$E$1932:$AR$1932,"&gt;=0")&gt;0,"TBA amount - override me",IF((OV_SWITCH="ON")*(COUNTIFS(OVR_TICKERS,$C40,OVR_BASE,"&gt;=0")&gt;0)&gt;0,"overridden",IF($J40+$K40=0,"no dividend in year Y",""))))</f>
        <v/>
      </c>
      <c r="V40" s="65">
        <f>IF($B40="","",IFERROR(IF(ISNUMBER($H40),$B40*$G40*$H40/$B$3,0),""))</f>
        <v/>
      </c>
      <c r="W40" s="65">
        <f>IF($B40="","",IFERROR($B40*$G40*$K40/$B$3,""))</f>
        <v/>
      </c>
      <c r="X40" s="91">
        <f>IF($C40="","",BDP($C40,"PX_LAST"))</f>
        <v/>
      </c>
      <c r="Y40" s="65">
        <f>IF($B40="","",IFERROR($B40*$X40/$B$3,""))</f>
        <v/>
      </c>
      <c r="Z40" s="76">
        <f>IF($B40="","",IFERROR($Y40/$Y$5,""))</f>
        <v/>
      </c>
    </row>
    <row r="41">
      <c r="B41" s="89" t="n"/>
      <c r="C41" s="6">
        <f>IF($A41="","",$A41&amp;" Equity")</f>
        <v/>
      </c>
      <c r="D41" s="6">
        <f>IF($C41="","",BDP($C41,"NAME"))</f>
        <v/>
      </c>
      <c r="E41" s="6">
        <f>IF($C41="","",BDP($C41,"GICS_SECTOR_NAME"))</f>
        <v/>
      </c>
      <c r="F41" s="33">
        <f>IF($C41="","",BDP($C41,FLD_CCY))</f>
        <v/>
      </c>
      <c r="G41" s="90">
        <f>IFERROR(IF(LEN($F41)&lt;&gt;3,1,IF($F41="HKD",1,BDP(IF($F41="CNY",RMB_CROSS,$F41)&amp;"HKD Curncy","PX_LAST"))),1)</f>
        <v/>
      </c>
      <c r="H41" s="65">
        <f>IF($C41="","",BDP($C41,FLD_DPS12M))</f>
        <v/>
      </c>
      <c r="I41" s="47">
        <f>IF($C41="","",BDP($C41,FLD_YLD12M))</f>
        <v/>
      </c>
      <c r="J41" s="49">
        <f>IF($B41="",0,SUMPRODUCT(('Dvd Calendar'!$E$1935:$AR$1935&gt;=DATE(YEAR_Y,1,1))*('Dvd Calendar'!$E$1935:$AR$1935&lt;=REALIZED_TO)*'Dvd Calendar'!$E$1938:$AR$1938*(('Dvd Calendar'!$E$1940:$AR$1940=TYPE1)*(TYPE1&lt;&gt;"")+('Dvd Calendar'!$E$1940:$AR$1940=TYPE2)*(TYPE2&lt;&gt;"")+('Dvd Calendar'!$E$1940:$AR$1940=TYPE3)*(TYPE3&lt;&gt;"")+('Dvd Calendar'!$E$1940:$AR$1940=TYPE4)*(TYPE4&lt;&gt;"")+('Dvd Calendar'!$E$1940:$AR$1940=SPECIAL_LBL)*(INC_SPECIALS="Y"))))</f>
        <v/>
      </c>
      <c r="K41" s="49">
        <f>IF($B41="",0,SUMIFS('Dvd Calendar'!$E$1943:$AR$1943,'Dvd Calendar'!$E$1942:$AR$1942,"&gt;"&amp;PROJ_FROM,'Dvd Calendar'!$E$1942:$AR$1942,"&lt;="&amp;DATE(YEAR_Y,12,31)))</f>
        <v/>
      </c>
      <c r="L41" s="49">
        <f>IF($B41="",0,IF((OV_SWITCH="ON")*(COUNTIFS(OVR_TICKERS,$C41,OVR_BASE,"&gt;=0")&gt;0)&gt;0,SUMIFS(OVR_BASE,OVR_TICKERS,$C41),$K41))</f>
        <v/>
      </c>
      <c r="M41" s="49">
        <f>IF($B41="",0,IF((OV_SWITCH="ON")*(COUNTIFS(OVR_TICKERS,$C41,OVR_LOW,"&gt;=0")&gt;0)&gt;0,SUMIFS(OVR_LOW,OVR_TICKERS,$C41),$L41))</f>
        <v/>
      </c>
      <c r="N41" s="49">
        <f>IF($B41="",0,IF((OV_SWITCH="ON")*(COUNTIFS(OVR_TICKERS,$C41,OVR_HIGH,"&gt;=0")&gt;0)&gt;0,SUMIFS(OVR_HIGH,OVR_TICKERS,$C41),$L41))</f>
        <v/>
      </c>
      <c r="O41" s="65">
        <f>IF($B41="","",IFERROR($B41*$G41*$J41/$B$3,""))</f>
        <v/>
      </c>
      <c r="P41" s="65">
        <f>IF($B41="","",IFERROR($B41*$G41*$L41/$B$3,""))</f>
        <v/>
      </c>
      <c r="Q41" s="41">
        <f>IF($B41="","",IFERROR($O41+$P41,""))</f>
        <v/>
      </c>
      <c r="R41" s="65">
        <f>IF($B41="","",IFERROR($O41+$B41*$G41*$M41/$B$3,""))</f>
        <v/>
      </c>
      <c r="S41" s="65">
        <f>IF($B41="","",IFERROR($O41+$B41*$G41*$N41/$B$3,""))</f>
        <v/>
      </c>
      <c r="T41" s="80">
        <f>IF($B41="","",IFERROR($Q41/$Q$5,""))</f>
        <v/>
      </c>
      <c r="U41" s="2">
        <f>IF($B41="","",IF(COUNTIFS('Dvd Calendar'!$E$1941:$AR$1941,"&gt;0",'Dvd Calendar'!$E$1941:$AR$1941,"&lt;="&amp;VAL_DATE,'Dvd Calendar'!$E$1942:$AR$1942,"&gt;"&amp;PROJ_FROM,'Dvd Calendar'!$E$1942:$AR$1942,"&lt;="&amp;DATE(YEAR_Y,12,31))-COUNTIFS('Dvd Calendar'!$E$1941:$AR$1941,"&gt;0",'Dvd Calendar'!$E$1941:$AR$1941,"&lt;="&amp;VAL_DATE,'Dvd Calendar'!$E$1942:$AR$1942,"&gt;"&amp;PROJ_FROM,'Dvd Calendar'!$E$1942:$AR$1942,"&lt;="&amp;DATE(YEAR_Y,12,31),'Dvd Calendar'!$E$1943:$AR$1943,"&gt;=0")&gt;0,"TBA amount - override me",IF((OV_SWITCH="ON")*(COUNTIFS(OVR_TICKERS,$C41,OVR_BASE,"&gt;=0")&gt;0)&gt;0,"overridden",IF($J41+$K41=0,"no dividend in year Y",""))))</f>
        <v/>
      </c>
      <c r="V41" s="65">
        <f>IF($B41="","",IFERROR(IF(ISNUMBER($H41),$B41*$G41*$H41/$B$3,0),""))</f>
        <v/>
      </c>
      <c r="W41" s="65">
        <f>IF($B41="","",IFERROR($B41*$G41*$K41/$B$3,""))</f>
        <v/>
      </c>
      <c r="X41" s="91">
        <f>IF($C41="","",BDP($C41,"PX_LAST"))</f>
        <v/>
      </c>
      <c r="Y41" s="65">
        <f>IF($B41="","",IFERROR($B41*$X41/$B$3,""))</f>
        <v/>
      </c>
      <c r="Z41" s="76">
        <f>IF($B41="","",IFERROR($Y41/$Y$5,""))</f>
        <v/>
      </c>
    </row>
    <row r="42">
      <c r="B42" s="89" t="n"/>
      <c r="C42" s="6">
        <f>IF($A42="","",$A42&amp;" Equity")</f>
        <v/>
      </c>
      <c r="D42" s="6">
        <f>IF($C42="","",BDP($C42,"NAME"))</f>
        <v/>
      </c>
      <c r="E42" s="6">
        <f>IF($C42="","",BDP($C42,"GICS_SECTOR_NAME"))</f>
        <v/>
      </c>
      <c r="F42" s="33">
        <f>IF($C42="","",BDP($C42,FLD_CCY))</f>
        <v/>
      </c>
      <c r="G42" s="90">
        <f>IFERROR(IF(LEN($F42)&lt;&gt;3,1,IF($F42="HKD",1,BDP(IF($F42="CNY",RMB_CROSS,$F42)&amp;"HKD Curncy","PX_LAST"))),1)</f>
        <v/>
      </c>
      <c r="H42" s="65">
        <f>IF($C42="","",BDP($C42,FLD_DPS12M))</f>
        <v/>
      </c>
      <c r="I42" s="47">
        <f>IF($C42="","",BDP($C42,FLD_YLD12M))</f>
        <v/>
      </c>
      <c r="J42" s="49">
        <f>IF($B42="",0,SUMPRODUCT(('Dvd Calendar'!$E$1946:$AR$1946&gt;=DATE(YEAR_Y,1,1))*('Dvd Calendar'!$E$1946:$AR$1946&lt;=REALIZED_TO)*'Dvd Calendar'!$E$1949:$AR$1949*(('Dvd Calendar'!$E$1951:$AR$1951=TYPE1)*(TYPE1&lt;&gt;"")+('Dvd Calendar'!$E$1951:$AR$1951=TYPE2)*(TYPE2&lt;&gt;"")+('Dvd Calendar'!$E$1951:$AR$1951=TYPE3)*(TYPE3&lt;&gt;"")+('Dvd Calendar'!$E$1951:$AR$1951=TYPE4)*(TYPE4&lt;&gt;"")+('Dvd Calendar'!$E$1951:$AR$1951=SPECIAL_LBL)*(INC_SPECIALS="Y"))))</f>
        <v/>
      </c>
      <c r="K42" s="49">
        <f>IF($B42="",0,SUMIFS('Dvd Calendar'!$E$1954:$AR$1954,'Dvd Calendar'!$E$1953:$AR$1953,"&gt;"&amp;PROJ_FROM,'Dvd Calendar'!$E$1953:$AR$1953,"&lt;="&amp;DATE(YEAR_Y,12,31)))</f>
        <v/>
      </c>
      <c r="L42" s="49">
        <f>IF($B42="",0,IF((OV_SWITCH="ON")*(COUNTIFS(OVR_TICKERS,$C42,OVR_BASE,"&gt;=0")&gt;0)&gt;0,SUMIFS(OVR_BASE,OVR_TICKERS,$C42),$K42))</f>
        <v/>
      </c>
      <c r="M42" s="49">
        <f>IF($B42="",0,IF((OV_SWITCH="ON")*(COUNTIFS(OVR_TICKERS,$C42,OVR_LOW,"&gt;=0")&gt;0)&gt;0,SUMIFS(OVR_LOW,OVR_TICKERS,$C42),$L42))</f>
        <v/>
      </c>
      <c r="N42" s="49">
        <f>IF($B42="",0,IF((OV_SWITCH="ON")*(COUNTIFS(OVR_TICKERS,$C42,OVR_HIGH,"&gt;=0")&gt;0)&gt;0,SUMIFS(OVR_HIGH,OVR_TICKERS,$C42),$L42))</f>
        <v/>
      </c>
      <c r="O42" s="65">
        <f>IF($B42="","",IFERROR($B42*$G42*$J42/$B$3,""))</f>
        <v/>
      </c>
      <c r="P42" s="65">
        <f>IF($B42="","",IFERROR($B42*$G42*$L42/$B$3,""))</f>
        <v/>
      </c>
      <c r="Q42" s="41">
        <f>IF($B42="","",IFERROR($O42+$P42,""))</f>
        <v/>
      </c>
      <c r="R42" s="65">
        <f>IF($B42="","",IFERROR($O42+$B42*$G42*$M42/$B$3,""))</f>
        <v/>
      </c>
      <c r="S42" s="65">
        <f>IF($B42="","",IFERROR($O42+$B42*$G42*$N42/$B$3,""))</f>
        <v/>
      </c>
      <c r="T42" s="80">
        <f>IF($B42="","",IFERROR($Q42/$Q$5,""))</f>
        <v/>
      </c>
      <c r="U42" s="2">
        <f>IF($B42="","",IF(COUNTIFS('Dvd Calendar'!$E$1952:$AR$1952,"&gt;0",'Dvd Calendar'!$E$1952:$AR$1952,"&lt;="&amp;VAL_DATE,'Dvd Calendar'!$E$1953:$AR$1953,"&gt;"&amp;PROJ_FROM,'Dvd Calendar'!$E$1953:$AR$1953,"&lt;="&amp;DATE(YEAR_Y,12,31))-COUNTIFS('Dvd Calendar'!$E$1952:$AR$1952,"&gt;0",'Dvd Calendar'!$E$1952:$AR$1952,"&lt;="&amp;VAL_DATE,'Dvd Calendar'!$E$1953:$AR$1953,"&gt;"&amp;PROJ_FROM,'Dvd Calendar'!$E$1953:$AR$1953,"&lt;="&amp;DATE(YEAR_Y,12,31),'Dvd Calendar'!$E$1954:$AR$1954,"&gt;=0")&gt;0,"TBA amount - override me",IF((OV_SWITCH="ON")*(COUNTIFS(OVR_TICKERS,$C42,OVR_BASE,"&gt;=0")&gt;0)&gt;0,"overridden",IF($J42+$K42=0,"no dividend in year Y",""))))</f>
        <v/>
      </c>
      <c r="V42" s="65">
        <f>IF($B42="","",IFERROR(IF(ISNUMBER($H42),$B42*$G42*$H42/$B$3,0),""))</f>
        <v/>
      </c>
      <c r="W42" s="65">
        <f>IF($B42="","",IFERROR($B42*$G42*$K42/$B$3,""))</f>
        <v/>
      </c>
      <c r="X42" s="91">
        <f>IF($C42="","",BDP($C42,"PX_LAST"))</f>
        <v/>
      </c>
      <c r="Y42" s="65">
        <f>IF($B42="","",IFERROR($B42*$X42/$B$3,""))</f>
        <v/>
      </c>
      <c r="Z42" s="76">
        <f>IF($B42="","",IFERROR($Y42/$Y$5,""))</f>
        <v/>
      </c>
    </row>
    <row r="43">
      <c r="B43" s="89" t="n"/>
      <c r="C43" s="6">
        <f>IF($A43="","",$A43&amp;" Equity")</f>
        <v/>
      </c>
      <c r="D43" s="6">
        <f>IF($C43="","",BDP($C43,"NAME"))</f>
        <v/>
      </c>
      <c r="E43" s="6">
        <f>IF($C43="","",BDP($C43,"GICS_SECTOR_NAME"))</f>
        <v/>
      </c>
      <c r="F43" s="33">
        <f>IF($C43="","",BDP($C43,FLD_CCY))</f>
        <v/>
      </c>
      <c r="G43" s="90">
        <f>IFERROR(IF(LEN($F43)&lt;&gt;3,1,IF($F43="HKD",1,BDP(IF($F43="CNY",RMB_CROSS,$F43)&amp;"HKD Curncy","PX_LAST"))),1)</f>
        <v/>
      </c>
      <c r="H43" s="65">
        <f>IF($C43="","",BDP($C43,FLD_DPS12M))</f>
        <v/>
      </c>
      <c r="I43" s="47">
        <f>IF($C43="","",BDP($C43,FLD_YLD12M))</f>
        <v/>
      </c>
      <c r="J43" s="49">
        <f>IF($B43="",0,SUMPRODUCT(('Dvd Calendar'!$E$1957:$AR$1957&gt;=DATE(YEAR_Y,1,1))*('Dvd Calendar'!$E$1957:$AR$1957&lt;=REALIZED_TO)*'Dvd Calendar'!$E$1960:$AR$1960*(('Dvd Calendar'!$E$1962:$AR$1962=TYPE1)*(TYPE1&lt;&gt;"")+('Dvd Calendar'!$E$1962:$AR$1962=TYPE2)*(TYPE2&lt;&gt;"")+('Dvd Calendar'!$E$1962:$AR$1962=TYPE3)*(TYPE3&lt;&gt;"")+('Dvd Calendar'!$E$1962:$AR$1962=TYPE4)*(TYPE4&lt;&gt;"")+('Dvd Calendar'!$E$1962:$AR$1962=SPECIAL_LBL)*(INC_SPECIALS="Y"))))</f>
        <v/>
      </c>
      <c r="K43" s="49">
        <f>IF($B43="",0,SUMIFS('Dvd Calendar'!$E$1965:$AR$1965,'Dvd Calendar'!$E$1964:$AR$1964,"&gt;"&amp;PROJ_FROM,'Dvd Calendar'!$E$1964:$AR$1964,"&lt;="&amp;DATE(YEAR_Y,12,31)))</f>
        <v/>
      </c>
      <c r="L43" s="49">
        <f>IF($B43="",0,IF((OV_SWITCH="ON")*(COUNTIFS(OVR_TICKERS,$C43,OVR_BASE,"&gt;=0")&gt;0)&gt;0,SUMIFS(OVR_BASE,OVR_TICKERS,$C43),$K43))</f>
        <v/>
      </c>
      <c r="M43" s="49">
        <f>IF($B43="",0,IF((OV_SWITCH="ON")*(COUNTIFS(OVR_TICKERS,$C43,OVR_LOW,"&gt;=0")&gt;0)&gt;0,SUMIFS(OVR_LOW,OVR_TICKERS,$C43),$L43))</f>
        <v/>
      </c>
      <c r="N43" s="49">
        <f>IF($B43="",0,IF((OV_SWITCH="ON")*(COUNTIFS(OVR_TICKERS,$C43,OVR_HIGH,"&gt;=0")&gt;0)&gt;0,SUMIFS(OVR_HIGH,OVR_TICKERS,$C43),$L43))</f>
        <v/>
      </c>
      <c r="O43" s="65">
        <f>IF($B43="","",IFERROR($B43*$G43*$J43/$B$3,""))</f>
        <v/>
      </c>
      <c r="P43" s="65">
        <f>IF($B43="","",IFERROR($B43*$G43*$L43/$B$3,""))</f>
        <v/>
      </c>
      <c r="Q43" s="41">
        <f>IF($B43="","",IFERROR($O43+$P43,""))</f>
        <v/>
      </c>
      <c r="R43" s="65">
        <f>IF($B43="","",IFERROR($O43+$B43*$G43*$M43/$B$3,""))</f>
        <v/>
      </c>
      <c r="S43" s="65">
        <f>IF($B43="","",IFERROR($O43+$B43*$G43*$N43/$B$3,""))</f>
        <v/>
      </c>
      <c r="T43" s="80">
        <f>IF($B43="","",IFERROR($Q43/$Q$5,""))</f>
        <v/>
      </c>
      <c r="U43" s="2">
        <f>IF($B43="","",IF(COUNTIFS('Dvd Calendar'!$E$1963:$AR$1963,"&gt;0",'Dvd Calendar'!$E$1963:$AR$1963,"&lt;="&amp;VAL_DATE,'Dvd Calendar'!$E$1964:$AR$1964,"&gt;"&amp;PROJ_FROM,'Dvd Calendar'!$E$1964:$AR$1964,"&lt;="&amp;DATE(YEAR_Y,12,31))-COUNTIFS('Dvd Calendar'!$E$1963:$AR$1963,"&gt;0",'Dvd Calendar'!$E$1963:$AR$1963,"&lt;="&amp;VAL_DATE,'Dvd Calendar'!$E$1964:$AR$1964,"&gt;"&amp;PROJ_FROM,'Dvd Calendar'!$E$1964:$AR$1964,"&lt;="&amp;DATE(YEAR_Y,12,31),'Dvd Calendar'!$E$1965:$AR$1965,"&gt;=0")&gt;0,"TBA amount - override me",IF((OV_SWITCH="ON")*(COUNTIFS(OVR_TICKERS,$C43,OVR_BASE,"&gt;=0")&gt;0)&gt;0,"overridden",IF($J43+$K43=0,"no dividend in year Y",""))))</f>
        <v/>
      </c>
      <c r="V43" s="65">
        <f>IF($B43="","",IFERROR(IF(ISNUMBER($H43),$B43*$G43*$H43/$B$3,0),""))</f>
        <v/>
      </c>
      <c r="W43" s="65">
        <f>IF($B43="","",IFERROR($B43*$G43*$K43/$B$3,""))</f>
        <v/>
      </c>
      <c r="X43" s="91">
        <f>IF($C43="","",BDP($C43,"PX_LAST"))</f>
        <v/>
      </c>
      <c r="Y43" s="65">
        <f>IF($B43="","",IFERROR($B43*$X43/$B$3,""))</f>
        <v/>
      </c>
      <c r="Z43" s="76">
        <f>IF($B43="","",IFERROR($Y43/$Y$5,""))</f>
        <v/>
      </c>
    </row>
    <row r="44">
      <c r="B44" s="89" t="n"/>
      <c r="C44" s="6">
        <f>IF($A44="","",$A44&amp;" Equity")</f>
        <v/>
      </c>
      <c r="D44" s="6">
        <f>IF($C44="","",BDP($C44,"NAME"))</f>
        <v/>
      </c>
      <c r="E44" s="6">
        <f>IF($C44="","",BDP($C44,"GICS_SECTOR_NAME"))</f>
        <v/>
      </c>
      <c r="F44" s="33">
        <f>IF($C44="","",BDP($C44,FLD_CCY))</f>
        <v/>
      </c>
      <c r="G44" s="90">
        <f>IFERROR(IF(LEN($F44)&lt;&gt;3,1,IF($F44="HKD",1,BDP(IF($F44="CNY",RMB_CROSS,$F44)&amp;"HKD Curncy","PX_LAST"))),1)</f>
        <v/>
      </c>
      <c r="H44" s="65">
        <f>IF($C44="","",BDP($C44,FLD_DPS12M))</f>
        <v/>
      </c>
      <c r="I44" s="47">
        <f>IF($C44="","",BDP($C44,FLD_YLD12M))</f>
        <v/>
      </c>
      <c r="J44" s="49">
        <f>IF($B44="",0,SUMPRODUCT(('Dvd Calendar'!$E$1968:$AR$1968&gt;=DATE(YEAR_Y,1,1))*('Dvd Calendar'!$E$1968:$AR$1968&lt;=REALIZED_TO)*'Dvd Calendar'!$E$1971:$AR$1971*(('Dvd Calendar'!$E$1973:$AR$1973=TYPE1)*(TYPE1&lt;&gt;"")+('Dvd Calendar'!$E$1973:$AR$1973=TYPE2)*(TYPE2&lt;&gt;"")+('Dvd Calendar'!$E$1973:$AR$1973=TYPE3)*(TYPE3&lt;&gt;"")+('Dvd Calendar'!$E$1973:$AR$1973=TYPE4)*(TYPE4&lt;&gt;"")+('Dvd Calendar'!$E$1973:$AR$1973=SPECIAL_LBL)*(INC_SPECIALS="Y"))))</f>
        <v/>
      </c>
      <c r="K44" s="49">
        <f>IF($B44="",0,SUMIFS('Dvd Calendar'!$E$1976:$AR$1976,'Dvd Calendar'!$E$1975:$AR$1975,"&gt;"&amp;PROJ_FROM,'Dvd Calendar'!$E$1975:$AR$1975,"&lt;="&amp;DATE(YEAR_Y,12,31)))</f>
        <v/>
      </c>
      <c r="L44" s="49">
        <f>IF($B44="",0,IF((OV_SWITCH="ON")*(COUNTIFS(OVR_TICKERS,$C44,OVR_BASE,"&gt;=0")&gt;0)&gt;0,SUMIFS(OVR_BASE,OVR_TICKERS,$C44),$K44))</f>
        <v/>
      </c>
      <c r="M44" s="49">
        <f>IF($B44="",0,IF((OV_SWITCH="ON")*(COUNTIFS(OVR_TICKERS,$C44,OVR_LOW,"&gt;=0")&gt;0)&gt;0,SUMIFS(OVR_LOW,OVR_TICKERS,$C44),$L44))</f>
        <v/>
      </c>
      <c r="N44" s="49">
        <f>IF($B44="",0,IF((OV_SWITCH="ON")*(COUNTIFS(OVR_TICKERS,$C44,OVR_HIGH,"&gt;=0")&gt;0)&gt;0,SUMIFS(OVR_HIGH,OVR_TICKERS,$C44),$L44))</f>
        <v/>
      </c>
      <c r="O44" s="65">
        <f>IF($B44="","",IFERROR($B44*$G44*$J44/$B$3,""))</f>
        <v/>
      </c>
      <c r="P44" s="65">
        <f>IF($B44="","",IFERROR($B44*$G44*$L44/$B$3,""))</f>
        <v/>
      </c>
      <c r="Q44" s="41">
        <f>IF($B44="","",IFERROR($O44+$P44,""))</f>
        <v/>
      </c>
      <c r="R44" s="65">
        <f>IF($B44="","",IFERROR($O44+$B44*$G44*$M44/$B$3,""))</f>
        <v/>
      </c>
      <c r="S44" s="65">
        <f>IF($B44="","",IFERROR($O44+$B44*$G44*$N44/$B$3,""))</f>
        <v/>
      </c>
      <c r="T44" s="80">
        <f>IF($B44="","",IFERROR($Q44/$Q$5,""))</f>
        <v/>
      </c>
      <c r="U44" s="2">
        <f>IF($B44="","",IF(COUNTIFS('Dvd Calendar'!$E$1974:$AR$1974,"&gt;0",'Dvd Calendar'!$E$1974:$AR$1974,"&lt;="&amp;VAL_DATE,'Dvd Calendar'!$E$1975:$AR$1975,"&gt;"&amp;PROJ_FROM,'Dvd Calendar'!$E$1975:$AR$1975,"&lt;="&amp;DATE(YEAR_Y,12,31))-COUNTIFS('Dvd Calendar'!$E$1974:$AR$1974,"&gt;0",'Dvd Calendar'!$E$1974:$AR$1974,"&lt;="&amp;VAL_DATE,'Dvd Calendar'!$E$1975:$AR$1975,"&gt;"&amp;PROJ_FROM,'Dvd Calendar'!$E$1975:$AR$1975,"&lt;="&amp;DATE(YEAR_Y,12,31),'Dvd Calendar'!$E$1976:$AR$1976,"&gt;=0")&gt;0,"TBA amount - override me",IF((OV_SWITCH="ON")*(COUNTIFS(OVR_TICKERS,$C44,OVR_BASE,"&gt;=0")&gt;0)&gt;0,"overridden",IF($J44+$K44=0,"no dividend in year Y",""))))</f>
        <v/>
      </c>
      <c r="V44" s="65">
        <f>IF($B44="","",IFERROR(IF(ISNUMBER($H44),$B44*$G44*$H44/$B$3,0),""))</f>
        <v/>
      </c>
      <c r="W44" s="65">
        <f>IF($B44="","",IFERROR($B44*$G44*$K44/$B$3,""))</f>
        <v/>
      </c>
      <c r="X44" s="91">
        <f>IF($C44="","",BDP($C44,"PX_LAST"))</f>
        <v/>
      </c>
      <c r="Y44" s="65">
        <f>IF($B44="","",IFERROR($B44*$X44/$B$3,""))</f>
        <v/>
      </c>
      <c r="Z44" s="76">
        <f>IF($B44="","",IFERROR($Y44/$Y$5,""))</f>
        <v/>
      </c>
    </row>
    <row r="45">
      <c r="B45" s="89" t="n"/>
      <c r="C45" s="6">
        <f>IF($A45="","",$A45&amp;" Equity")</f>
        <v/>
      </c>
      <c r="D45" s="6">
        <f>IF($C45="","",BDP($C45,"NAME"))</f>
        <v/>
      </c>
      <c r="E45" s="6">
        <f>IF($C45="","",BDP($C45,"GICS_SECTOR_NAME"))</f>
        <v/>
      </c>
      <c r="F45" s="33">
        <f>IF($C45="","",BDP($C45,FLD_CCY))</f>
        <v/>
      </c>
      <c r="G45" s="90">
        <f>IFERROR(IF(LEN($F45)&lt;&gt;3,1,IF($F45="HKD",1,BDP(IF($F45="CNY",RMB_CROSS,$F45)&amp;"HKD Curncy","PX_LAST"))),1)</f>
        <v/>
      </c>
      <c r="H45" s="65">
        <f>IF($C45="","",BDP($C45,FLD_DPS12M))</f>
        <v/>
      </c>
      <c r="I45" s="47">
        <f>IF($C45="","",BDP($C45,FLD_YLD12M))</f>
        <v/>
      </c>
      <c r="J45" s="49">
        <f>IF($B45="",0,SUMPRODUCT(('Dvd Calendar'!$E$1979:$AR$1979&gt;=DATE(YEAR_Y,1,1))*('Dvd Calendar'!$E$1979:$AR$1979&lt;=REALIZED_TO)*'Dvd Calendar'!$E$1982:$AR$1982*(('Dvd Calendar'!$E$1984:$AR$1984=TYPE1)*(TYPE1&lt;&gt;"")+('Dvd Calendar'!$E$1984:$AR$1984=TYPE2)*(TYPE2&lt;&gt;"")+('Dvd Calendar'!$E$1984:$AR$1984=TYPE3)*(TYPE3&lt;&gt;"")+('Dvd Calendar'!$E$1984:$AR$1984=TYPE4)*(TYPE4&lt;&gt;"")+('Dvd Calendar'!$E$1984:$AR$1984=SPECIAL_LBL)*(INC_SPECIALS="Y"))))</f>
        <v/>
      </c>
      <c r="K45" s="49">
        <f>IF($B45="",0,SUMIFS('Dvd Calendar'!$E$1987:$AR$1987,'Dvd Calendar'!$E$1986:$AR$1986,"&gt;"&amp;PROJ_FROM,'Dvd Calendar'!$E$1986:$AR$1986,"&lt;="&amp;DATE(YEAR_Y,12,31)))</f>
        <v/>
      </c>
      <c r="L45" s="49">
        <f>IF($B45="",0,IF((OV_SWITCH="ON")*(COUNTIFS(OVR_TICKERS,$C45,OVR_BASE,"&gt;=0")&gt;0)&gt;0,SUMIFS(OVR_BASE,OVR_TICKERS,$C45),$K45))</f>
        <v/>
      </c>
      <c r="M45" s="49">
        <f>IF($B45="",0,IF((OV_SWITCH="ON")*(COUNTIFS(OVR_TICKERS,$C45,OVR_LOW,"&gt;=0")&gt;0)&gt;0,SUMIFS(OVR_LOW,OVR_TICKERS,$C45),$L45))</f>
        <v/>
      </c>
      <c r="N45" s="49">
        <f>IF($B45="",0,IF((OV_SWITCH="ON")*(COUNTIFS(OVR_TICKERS,$C45,OVR_HIGH,"&gt;=0")&gt;0)&gt;0,SUMIFS(OVR_HIGH,OVR_TICKERS,$C45),$L45))</f>
        <v/>
      </c>
      <c r="O45" s="65">
        <f>IF($B45="","",IFERROR($B45*$G45*$J45/$B$3,""))</f>
        <v/>
      </c>
      <c r="P45" s="65">
        <f>IF($B45="","",IFERROR($B45*$G45*$L45/$B$3,""))</f>
        <v/>
      </c>
      <c r="Q45" s="41">
        <f>IF($B45="","",IFERROR($O45+$P45,""))</f>
        <v/>
      </c>
      <c r="R45" s="65">
        <f>IF($B45="","",IFERROR($O45+$B45*$G45*$M45/$B$3,""))</f>
        <v/>
      </c>
      <c r="S45" s="65">
        <f>IF($B45="","",IFERROR($O45+$B45*$G45*$N45/$B$3,""))</f>
        <v/>
      </c>
      <c r="T45" s="80">
        <f>IF($B45="","",IFERROR($Q45/$Q$5,""))</f>
        <v/>
      </c>
      <c r="U45" s="2">
        <f>IF($B45="","",IF(COUNTIFS('Dvd Calendar'!$E$1985:$AR$1985,"&gt;0",'Dvd Calendar'!$E$1985:$AR$1985,"&lt;="&amp;VAL_DATE,'Dvd Calendar'!$E$1986:$AR$1986,"&gt;"&amp;PROJ_FROM,'Dvd Calendar'!$E$1986:$AR$1986,"&lt;="&amp;DATE(YEAR_Y,12,31))-COUNTIFS('Dvd Calendar'!$E$1985:$AR$1985,"&gt;0",'Dvd Calendar'!$E$1985:$AR$1985,"&lt;="&amp;VAL_DATE,'Dvd Calendar'!$E$1986:$AR$1986,"&gt;"&amp;PROJ_FROM,'Dvd Calendar'!$E$1986:$AR$1986,"&lt;="&amp;DATE(YEAR_Y,12,31),'Dvd Calendar'!$E$1987:$AR$1987,"&gt;=0")&gt;0,"TBA amount - override me",IF((OV_SWITCH="ON")*(COUNTIFS(OVR_TICKERS,$C45,OVR_BASE,"&gt;=0")&gt;0)&gt;0,"overridden",IF($J45+$K45=0,"no dividend in year Y",""))))</f>
        <v/>
      </c>
      <c r="V45" s="65">
        <f>IF($B45="","",IFERROR(IF(ISNUMBER($H45),$B45*$G45*$H45/$B$3,0),""))</f>
        <v/>
      </c>
      <c r="W45" s="65">
        <f>IF($B45="","",IFERROR($B45*$G45*$K45/$B$3,""))</f>
        <v/>
      </c>
      <c r="X45" s="91">
        <f>IF($C45="","",BDP($C45,"PX_LAST"))</f>
        <v/>
      </c>
      <c r="Y45" s="65">
        <f>IF($B45="","",IFERROR($B45*$X45/$B$3,""))</f>
        <v/>
      </c>
      <c r="Z45" s="76">
        <f>IF($B45="","",IFERROR($Y45/$Y$5,""))</f>
        <v/>
      </c>
    </row>
    <row r="46">
      <c r="B46" s="89" t="n"/>
      <c r="C46" s="6">
        <f>IF($A46="","",$A46&amp;" Equity")</f>
        <v/>
      </c>
      <c r="D46" s="6">
        <f>IF($C46="","",BDP($C46,"NAME"))</f>
        <v/>
      </c>
      <c r="E46" s="6">
        <f>IF($C46="","",BDP($C46,"GICS_SECTOR_NAME"))</f>
        <v/>
      </c>
      <c r="F46" s="33">
        <f>IF($C46="","",BDP($C46,FLD_CCY))</f>
        <v/>
      </c>
      <c r="G46" s="90">
        <f>IFERROR(IF(LEN($F46)&lt;&gt;3,1,IF($F46="HKD",1,BDP(IF($F46="CNY",RMB_CROSS,$F46)&amp;"HKD Curncy","PX_LAST"))),1)</f>
        <v/>
      </c>
      <c r="H46" s="65">
        <f>IF($C46="","",BDP($C46,FLD_DPS12M))</f>
        <v/>
      </c>
      <c r="I46" s="47">
        <f>IF($C46="","",BDP($C46,FLD_YLD12M))</f>
        <v/>
      </c>
      <c r="J46" s="49">
        <f>IF($B46="",0,SUMPRODUCT(('Dvd Calendar'!$E$1990:$AR$1990&gt;=DATE(YEAR_Y,1,1))*('Dvd Calendar'!$E$1990:$AR$1990&lt;=REALIZED_TO)*'Dvd Calendar'!$E$1993:$AR$1993*(('Dvd Calendar'!$E$1995:$AR$1995=TYPE1)*(TYPE1&lt;&gt;"")+('Dvd Calendar'!$E$1995:$AR$1995=TYPE2)*(TYPE2&lt;&gt;"")+('Dvd Calendar'!$E$1995:$AR$1995=TYPE3)*(TYPE3&lt;&gt;"")+('Dvd Calendar'!$E$1995:$AR$1995=TYPE4)*(TYPE4&lt;&gt;"")+('Dvd Calendar'!$E$1995:$AR$1995=SPECIAL_LBL)*(INC_SPECIALS="Y"))))</f>
        <v/>
      </c>
      <c r="K46" s="49">
        <f>IF($B46="",0,SUMIFS('Dvd Calendar'!$E$1998:$AR$1998,'Dvd Calendar'!$E$1997:$AR$1997,"&gt;"&amp;PROJ_FROM,'Dvd Calendar'!$E$1997:$AR$1997,"&lt;="&amp;DATE(YEAR_Y,12,31)))</f>
        <v/>
      </c>
      <c r="L46" s="49">
        <f>IF($B46="",0,IF((OV_SWITCH="ON")*(COUNTIFS(OVR_TICKERS,$C46,OVR_BASE,"&gt;=0")&gt;0)&gt;0,SUMIFS(OVR_BASE,OVR_TICKERS,$C46),$K46))</f>
        <v/>
      </c>
      <c r="M46" s="49">
        <f>IF($B46="",0,IF((OV_SWITCH="ON")*(COUNTIFS(OVR_TICKERS,$C46,OVR_LOW,"&gt;=0")&gt;0)&gt;0,SUMIFS(OVR_LOW,OVR_TICKERS,$C46),$L46))</f>
        <v/>
      </c>
      <c r="N46" s="49">
        <f>IF($B46="",0,IF((OV_SWITCH="ON")*(COUNTIFS(OVR_TICKERS,$C46,OVR_HIGH,"&gt;=0")&gt;0)&gt;0,SUMIFS(OVR_HIGH,OVR_TICKERS,$C46),$L46))</f>
        <v/>
      </c>
      <c r="O46" s="65">
        <f>IF($B46="","",IFERROR($B46*$G46*$J46/$B$3,""))</f>
        <v/>
      </c>
      <c r="P46" s="65">
        <f>IF($B46="","",IFERROR($B46*$G46*$L46/$B$3,""))</f>
        <v/>
      </c>
      <c r="Q46" s="41">
        <f>IF($B46="","",IFERROR($O46+$P46,""))</f>
        <v/>
      </c>
      <c r="R46" s="65">
        <f>IF($B46="","",IFERROR($O46+$B46*$G46*$M46/$B$3,""))</f>
        <v/>
      </c>
      <c r="S46" s="65">
        <f>IF($B46="","",IFERROR($O46+$B46*$G46*$N46/$B$3,""))</f>
        <v/>
      </c>
      <c r="T46" s="80">
        <f>IF($B46="","",IFERROR($Q46/$Q$5,""))</f>
        <v/>
      </c>
      <c r="U46" s="2">
        <f>IF($B46="","",IF(COUNTIFS('Dvd Calendar'!$E$1996:$AR$1996,"&gt;0",'Dvd Calendar'!$E$1996:$AR$1996,"&lt;="&amp;VAL_DATE,'Dvd Calendar'!$E$1997:$AR$1997,"&gt;"&amp;PROJ_FROM,'Dvd Calendar'!$E$1997:$AR$1997,"&lt;="&amp;DATE(YEAR_Y,12,31))-COUNTIFS('Dvd Calendar'!$E$1996:$AR$1996,"&gt;0",'Dvd Calendar'!$E$1996:$AR$1996,"&lt;="&amp;VAL_DATE,'Dvd Calendar'!$E$1997:$AR$1997,"&gt;"&amp;PROJ_FROM,'Dvd Calendar'!$E$1997:$AR$1997,"&lt;="&amp;DATE(YEAR_Y,12,31),'Dvd Calendar'!$E$1998:$AR$1998,"&gt;=0")&gt;0,"TBA amount - override me",IF((OV_SWITCH="ON")*(COUNTIFS(OVR_TICKERS,$C46,OVR_BASE,"&gt;=0")&gt;0)&gt;0,"overridden",IF($J46+$K46=0,"no dividend in year Y",""))))</f>
        <v/>
      </c>
      <c r="V46" s="65">
        <f>IF($B46="","",IFERROR(IF(ISNUMBER($H46),$B46*$G46*$H46/$B$3,0),""))</f>
        <v/>
      </c>
      <c r="W46" s="65">
        <f>IF($B46="","",IFERROR($B46*$G46*$K46/$B$3,""))</f>
        <v/>
      </c>
      <c r="X46" s="91">
        <f>IF($C46="","",BDP($C46,"PX_LAST"))</f>
        <v/>
      </c>
      <c r="Y46" s="65">
        <f>IF($B46="","",IFERROR($B46*$X46/$B$3,""))</f>
        <v/>
      </c>
      <c r="Z46" s="76">
        <f>IF($B46="","",IFERROR($Y46/$Y$5,""))</f>
        <v/>
      </c>
    </row>
    <row r="47">
      <c r="B47" s="89" t="n"/>
      <c r="C47" s="6">
        <f>IF($A47="","",$A47&amp;" Equity")</f>
        <v/>
      </c>
      <c r="D47" s="6">
        <f>IF($C47="","",BDP($C47,"NAME"))</f>
        <v/>
      </c>
      <c r="E47" s="6">
        <f>IF($C47="","",BDP($C47,"GICS_SECTOR_NAME"))</f>
        <v/>
      </c>
      <c r="F47" s="33">
        <f>IF($C47="","",BDP($C47,FLD_CCY))</f>
        <v/>
      </c>
      <c r="G47" s="90">
        <f>IFERROR(IF(LEN($F47)&lt;&gt;3,1,IF($F47="HKD",1,BDP(IF($F47="CNY",RMB_CROSS,$F47)&amp;"HKD Curncy","PX_LAST"))),1)</f>
        <v/>
      </c>
      <c r="H47" s="65">
        <f>IF($C47="","",BDP($C47,FLD_DPS12M))</f>
        <v/>
      </c>
      <c r="I47" s="47">
        <f>IF($C47="","",BDP($C47,FLD_YLD12M))</f>
        <v/>
      </c>
      <c r="J47" s="49">
        <f>IF($B47="",0,SUMPRODUCT(('Dvd Calendar'!$E$2001:$AR$2001&gt;=DATE(YEAR_Y,1,1))*('Dvd Calendar'!$E$2001:$AR$2001&lt;=REALIZED_TO)*'Dvd Calendar'!$E$2004:$AR$2004*(('Dvd Calendar'!$E$2006:$AR$2006=TYPE1)*(TYPE1&lt;&gt;"")+('Dvd Calendar'!$E$2006:$AR$2006=TYPE2)*(TYPE2&lt;&gt;"")+('Dvd Calendar'!$E$2006:$AR$2006=TYPE3)*(TYPE3&lt;&gt;"")+('Dvd Calendar'!$E$2006:$AR$2006=TYPE4)*(TYPE4&lt;&gt;"")+('Dvd Calendar'!$E$2006:$AR$2006=SPECIAL_LBL)*(INC_SPECIALS="Y"))))</f>
        <v/>
      </c>
      <c r="K47" s="49">
        <f>IF($B47="",0,SUMIFS('Dvd Calendar'!$E$2009:$AR$2009,'Dvd Calendar'!$E$2008:$AR$2008,"&gt;"&amp;PROJ_FROM,'Dvd Calendar'!$E$2008:$AR$2008,"&lt;="&amp;DATE(YEAR_Y,12,31)))</f>
        <v/>
      </c>
      <c r="L47" s="49">
        <f>IF($B47="",0,IF((OV_SWITCH="ON")*(COUNTIFS(OVR_TICKERS,$C47,OVR_BASE,"&gt;=0")&gt;0)&gt;0,SUMIFS(OVR_BASE,OVR_TICKERS,$C47),$K47))</f>
        <v/>
      </c>
      <c r="M47" s="49">
        <f>IF($B47="",0,IF((OV_SWITCH="ON")*(COUNTIFS(OVR_TICKERS,$C47,OVR_LOW,"&gt;=0")&gt;0)&gt;0,SUMIFS(OVR_LOW,OVR_TICKERS,$C47),$L47))</f>
        <v/>
      </c>
      <c r="N47" s="49">
        <f>IF($B47="",0,IF((OV_SWITCH="ON")*(COUNTIFS(OVR_TICKERS,$C47,OVR_HIGH,"&gt;=0")&gt;0)&gt;0,SUMIFS(OVR_HIGH,OVR_TICKERS,$C47),$L47))</f>
        <v/>
      </c>
      <c r="O47" s="65">
        <f>IF($B47="","",IFERROR($B47*$G47*$J47/$B$3,""))</f>
        <v/>
      </c>
      <c r="P47" s="65">
        <f>IF($B47="","",IFERROR($B47*$G47*$L47/$B$3,""))</f>
        <v/>
      </c>
      <c r="Q47" s="41">
        <f>IF($B47="","",IFERROR($O47+$P47,""))</f>
        <v/>
      </c>
      <c r="R47" s="65">
        <f>IF($B47="","",IFERROR($O47+$B47*$G47*$M47/$B$3,""))</f>
        <v/>
      </c>
      <c r="S47" s="65">
        <f>IF($B47="","",IFERROR($O47+$B47*$G47*$N47/$B$3,""))</f>
        <v/>
      </c>
      <c r="T47" s="80">
        <f>IF($B47="","",IFERROR($Q47/$Q$5,""))</f>
        <v/>
      </c>
      <c r="U47" s="2">
        <f>IF($B47="","",IF(COUNTIFS('Dvd Calendar'!$E$2007:$AR$2007,"&gt;0",'Dvd Calendar'!$E$2007:$AR$2007,"&lt;="&amp;VAL_DATE,'Dvd Calendar'!$E$2008:$AR$2008,"&gt;"&amp;PROJ_FROM,'Dvd Calendar'!$E$2008:$AR$2008,"&lt;="&amp;DATE(YEAR_Y,12,31))-COUNTIFS('Dvd Calendar'!$E$2007:$AR$2007,"&gt;0",'Dvd Calendar'!$E$2007:$AR$2007,"&lt;="&amp;VAL_DATE,'Dvd Calendar'!$E$2008:$AR$2008,"&gt;"&amp;PROJ_FROM,'Dvd Calendar'!$E$2008:$AR$2008,"&lt;="&amp;DATE(YEAR_Y,12,31),'Dvd Calendar'!$E$2009:$AR$2009,"&gt;=0")&gt;0,"TBA amount - override me",IF((OV_SWITCH="ON")*(COUNTIFS(OVR_TICKERS,$C47,OVR_BASE,"&gt;=0")&gt;0)&gt;0,"overridden",IF($J47+$K47=0,"no dividend in year Y",""))))</f>
        <v/>
      </c>
      <c r="V47" s="65">
        <f>IF($B47="","",IFERROR(IF(ISNUMBER($H47),$B47*$G47*$H47/$B$3,0),""))</f>
        <v/>
      </c>
      <c r="W47" s="65">
        <f>IF($B47="","",IFERROR($B47*$G47*$K47/$B$3,""))</f>
        <v/>
      </c>
      <c r="X47" s="91">
        <f>IF($C47="","",BDP($C47,"PX_LAST"))</f>
        <v/>
      </c>
      <c r="Y47" s="65">
        <f>IF($B47="","",IFERROR($B47*$X47/$B$3,""))</f>
        <v/>
      </c>
      <c r="Z47" s="76">
        <f>IF($B47="","",IFERROR($Y47/$Y$5,""))</f>
        <v/>
      </c>
    </row>
    <row r="48">
      <c r="B48" s="89" t="n"/>
      <c r="C48" s="6">
        <f>IF($A48="","",$A48&amp;" Equity")</f>
        <v/>
      </c>
      <c r="D48" s="6">
        <f>IF($C48="","",BDP($C48,"NAME"))</f>
        <v/>
      </c>
      <c r="E48" s="6">
        <f>IF($C48="","",BDP($C48,"GICS_SECTOR_NAME"))</f>
        <v/>
      </c>
      <c r="F48" s="33">
        <f>IF($C48="","",BDP($C48,FLD_CCY))</f>
        <v/>
      </c>
      <c r="G48" s="90">
        <f>IFERROR(IF(LEN($F48)&lt;&gt;3,1,IF($F48="HKD",1,BDP(IF($F48="CNY",RMB_CROSS,$F48)&amp;"HKD Curncy","PX_LAST"))),1)</f>
        <v/>
      </c>
      <c r="H48" s="65">
        <f>IF($C48="","",BDP($C48,FLD_DPS12M))</f>
        <v/>
      </c>
      <c r="I48" s="47">
        <f>IF($C48="","",BDP($C48,FLD_YLD12M))</f>
        <v/>
      </c>
      <c r="J48" s="49">
        <f>IF($B48="",0,SUMPRODUCT(('Dvd Calendar'!$E$2012:$AR$2012&gt;=DATE(YEAR_Y,1,1))*('Dvd Calendar'!$E$2012:$AR$2012&lt;=REALIZED_TO)*'Dvd Calendar'!$E$2015:$AR$2015*(('Dvd Calendar'!$E$2017:$AR$2017=TYPE1)*(TYPE1&lt;&gt;"")+('Dvd Calendar'!$E$2017:$AR$2017=TYPE2)*(TYPE2&lt;&gt;"")+('Dvd Calendar'!$E$2017:$AR$2017=TYPE3)*(TYPE3&lt;&gt;"")+('Dvd Calendar'!$E$2017:$AR$2017=TYPE4)*(TYPE4&lt;&gt;"")+('Dvd Calendar'!$E$2017:$AR$2017=SPECIAL_LBL)*(INC_SPECIALS="Y"))))</f>
        <v/>
      </c>
      <c r="K48" s="49">
        <f>IF($B48="",0,SUMIFS('Dvd Calendar'!$E$2020:$AR$2020,'Dvd Calendar'!$E$2019:$AR$2019,"&gt;"&amp;PROJ_FROM,'Dvd Calendar'!$E$2019:$AR$2019,"&lt;="&amp;DATE(YEAR_Y,12,31)))</f>
        <v/>
      </c>
      <c r="L48" s="49">
        <f>IF($B48="",0,IF((OV_SWITCH="ON")*(COUNTIFS(OVR_TICKERS,$C48,OVR_BASE,"&gt;=0")&gt;0)&gt;0,SUMIFS(OVR_BASE,OVR_TICKERS,$C48),$K48))</f>
        <v/>
      </c>
      <c r="M48" s="49">
        <f>IF($B48="",0,IF((OV_SWITCH="ON")*(COUNTIFS(OVR_TICKERS,$C48,OVR_LOW,"&gt;=0")&gt;0)&gt;0,SUMIFS(OVR_LOW,OVR_TICKERS,$C48),$L48))</f>
        <v/>
      </c>
      <c r="N48" s="49">
        <f>IF($B48="",0,IF((OV_SWITCH="ON")*(COUNTIFS(OVR_TICKERS,$C48,OVR_HIGH,"&gt;=0")&gt;0)&gt;0,SUMIFS(OVR_HIGH,OVR_TICKERS,$C48),$L48))</f>
        <v/>
      </c>
      <c r="O48" s="65">
        <f>IF($B48="","",IFERROR($B48*$G48*$J48/$B$3,""))</f>
        <v/>
      </c>
      <c r="P48" s="65">
        <f>IF($B48="","",IFERROR($B48*$G48*$L48/$B$3,""))</f>
        <v/>
      </c>
      <c r="Q48" s="41">
        <f>IF($B48="","",IFERROR($O48+$P48,""))</f>
        <v/>
      </c>
      <c r="R48" s="65">
        <f>IF($B48="","",IFERROR($O48+$B48*$G48*$M48/$B$3,""))</f>
        <v/>
      </c>
      <c r="S48" s="65">
        <f>IF($B48="","",IFERROR($O48+$B48*$G48*$N48/$B$3,""))</f>
        <v/>
      </c>
      <c r="T48" s="80">
        <f>IF($B48="","",IFERROR($Q48/$Q$5,""))</f>
        <v/>
      </c>
      <c r="U48" s="2">
        <f>IF($B48="","",IF(COUNTIFS('Dvd Calendar'!$E$2018:$AR$2018,"&gt;0",'Dvd Calendar'!$E$2018:$AR$2018,"&lt;="&amp;VAL_DATE,'Dvd Calendar'!$E$2019:$AR$2019,"&gt;"&amp;PROJ_FROM,'Dvd Calendar'!$E$2019:$AR$2019,"&lt;="&amp;DATE(YEAR_Y,12,31))-COUNTIFS('Dvd Calendar'!$E$2018:$AR$2018,"&gt;0",'Dvd Calendar'!$E$2018:$AR$2018,"&lt;="&amp;VAL_DATE,'Dvd Calendar'!$E$2019:$AR$2019,"&gt;"&amp;PROJ_FROM,'Dvd Calendar'!$E$2019:$AR$2019,"&lt;="&amp;DATE(YEAR_Y,12,31),'Dvd Calendar'!$E$2020:$AR$2020,"&gt;=0")&gt;0,"TBA amount - override me",IF((OV_SWITCH="ON")*(COUNTIFS(OVR_TICKERS,$C48,OVR_BASE,"&gt;=0")&gt;0)&gt;0,"overridden",IF($J48+$K48=0,"no dividend in year Y",""))))</f>
        <v/>
      </c>
      <c r="V48" s="65">
        <f>IF($B48="","",IFERROR(IF(ISNUMBER($H48),$B48*$G48*$H48/$B$3,0),""))</f>
        <v/>
      </c>
      <c r="W48" s="65">
        <f>IF($B48="","",IFERROR($B48*$G48*$K48/$B$3,""))</f>
        <v/>
      </c>
      <c r="X48" s="91">
        <f>IF($C48="","",BDP($C48,"PX_LAST"))</f>
        <v/>
      </c>
      <c r="Y48" s="65">
        <f>IF($B48="","",IFERROR($B48*$X48/$B$3,""))</f>
        <v/>
      </c>
      <c r="Z48" s="76">
        <f>IF($B48="","",IFERROR($Y48/$Y$5,""))</f>
        <v/>
      </c>
    </row>
    <row r="49">
      <c r="B49" s="89" t="n"/>
      <c r="C49" s="6">
        <f>IF($A49="","",$A49&amp;" Equity")</f>
        <v/>
      </c>
      <c r="D49" s="6">
        <f>IF($C49="","",BDP($C49,"NAME"))</f>
        <v/>
      </c>
      <c r="E49" s="6">
        <f>IF($C49="","",BDP($C49,"GICS_SECTOR_NAME"))</f>
        <v/>
      </c>
      <c r="F49" s="33">
        <f>IF($C49="","",BDP($C49,FLD_CCY))</f>
        <v/>
      </c>
      <c r="G49" s="90">
        <f>IFERROR(IF(LEN($F49)&lt;&gt;3,1,IF($F49="HKD",1,BDP(IF($F49="CNY",RMB_CROSS,$F49)&amp;"HKD Curncy","PX_LAST"))),1)</f>
        <v/>
      </c>
      <c r="H49" s="65">
        <f>IF($C49="","",BDP($C49,FLD_DPS12M))</f>
        <v/>
      </c>
      <c r="I49" s="47">
        <f>IF($C49="","",BDP($C49,FLD_YLD12M))</f>
        <v/>
      </c>
      <c r="J49" s="49">
        <f>IF($B49="",0,SUMPRODUCT(('Dvd Calendar'!$E$2023:$AR$2023&gt;=DATE(YEAR_Y,1,1))*('Dvd Calendar'!$E$2023:$AR$2023&lt;=REALIZED_TO)*'Dvd Calendar'!$E$2026:$AR$2026*(('Dvd Calendar'!$E$2028:$AR$2028=TYPE1)*(TYPE1&lt;&gt;"")+('Dvd Calendar'!$E$2028:$AR$2028=TYPE2)*(TYPE2&lt;&gt;"")+('Dvd Calendar'!$E$2028:$AR$2028=TYPE3)*(TYPE3&lt;&gt;"")+('Dvd Calendar'!$E$2028:$AR$2028=TYPE4)*(TYPE4&lt;&gt;"")+('Dvd Calendar'!$E$2028:$AR$2028=SPECIAL_LBL)*(INC_SPECIALS="Y"))))</f>
        <v/>
      </c>
      <c r="K49" s="49">
        <f>IF($B49="",0,SUMIFS('Dvd Calendar'!$E$2031:$AR$2031,'Dvd Calendar'!$E$2030:$AR$2030,"&gt;"&amp;PROJ_FROM,'Dvd Calendar'!$E$2030:$AR$2030,"&lt;="&amp;DATE(YEAR_Y,12,31)))</f>
        <v/>
      </c>
      <c r="L49" s="49">
        <f>IF($B49="",0,IF((OV_SWITCH="ON")*(COUNTIFS(OVR_TICKERS,$C49,OVR_BASE,"&gt;=0")&gt;0)&gt;0,SUMIFS(OVR_BASE,OVR_TICKERS,$C49),$K49))</f>
        <v/>
      </c>
      <c r="M49" s="49">
        <f>IF($B49="",0,IF((OV_SWITCH="ON")*(COUNTIFS(OVR_TICKERS,$C49,OVR_LOW,"&gt;=0")&gt;0)&gt;0,SUMIFS(OVR_LOW,OVR_TICKERS,$C49),$L49))</f>
        <v/>
      </c>
      <c r="N49" s="49">
        <f>IF($B49="",0,IF((OV_SWITCH="ON")*(COUNTIFS(OVR_TICKERS,$C49,OVR_HIGH,"&gt;=0")&gt;0)&gt;0,SUMIFS(OVR_HIGH,OVR_TICKERS,$C49),$L49))</f>
        <v/>
      </c>
      <c r="O49" s="65">
        <f>IF($B49="","",IFERROR($B49*$G49*$J49/$B$3,""))</f>
        <v/>
      </c>
      <c r="P49" s="65">
        <f>IF($B49="","",IFERROR($B49*$G49*$L49/$B$3,""))</f>
        <v/>
      </c>
      <c r="Q49" s="41">
        <f>IF($B49="","",IFERROR($O49+$P49,""))</f>
        <v/>
      </c>
      <c r="R49" s="65">
        <f>IF($B49="","",IFERROR($O49+$B49*$G49*$M49/$B$3,""))</f>
        <v/>
      </c>
      <c r="S49" s="65">
        <f>IF($B49="","",IFERROR($O49+$B49*$G49*$N49/$B$3,""))</f>
        <v/>
      </c>
      <c r="T49" s="80">
        <f>IF($B49="","",IFERROR($Q49/$Q$5,""))</f>
        <v/>
      </c>
      <c r="U49" s="2">
        <f>IF($B49="","",IF(COUNTIFS('Dvd Calendar'!$E$2029:$AR$2029,"&gt;0",'Dvd Calendar'!$E$2029:$AR$2029,"&lt;="&amp;VAL_DATE,'Dvd Calendar'!$E$2030:$AR$2030,"&gt;"&amp;PROJ_FROM,'Dvd Calendar'!$E$2030:$AR$2030,"&lt;="&amp;DATE(YEAR_Y,12,31))-COUNTIFS('Dvd Calendar'!$E$2029:$AR$2029,"&gt;0",'Dvd Calendar'!$E$2029:$AR$2029,"&lt;="&amp;VAL_DATE,'Dvd Calendar'!$E$2030:$AR$2030,"&gt;"&amp;PROJ_FROM,'Dvd Calendar'!$E$2030:$AR$2030,"&lt;="&amp;DATE(YEAR_Y,12,31),'Dvd Calendar'!$E$2031:$AR$2031,"&gt;=0")&gt;0,"TBA amount - override me",IF((OV_SWITCH="ON")*(COUNTIFS(OVR_TICKERS,$C49,OVR_BASE,"&gt;=0")&gt;0)&gt;0,"overridden",IF($J49+$K49=0,"no dividend in year Y",""))))</f>
        <v/>
      </c>
      <c r="V49" s="65">
        <f>IF($B49="","",IFERROR(IF(ISNUMBER($H49),$B49*$G49*$H49/$B$3,0),""))</f>
        <v/>
      </c>
      <c r="W49" s="65">
        <f>IF($B49="","",IFERROR($B49*$G49*$K49/$B$3,""))</f>
        <v/>
      </c>
      <c r="X49" s="91">
        <f>IF($C49="","",BDP($C49,"PX_LAST"))</f>
        <v/>
      </c>
      <c r="Y49" s="65">
        <f>IF($B49="","",IFERROR($B49*$X49/$B$3,""))</f>
        <v/>
      </c>
      <c r="Z49" s="76">
        <f>IF($B49="","",IFERROR($Y49/$Y$5,""))</f>
        <v/>
      </c>
    </row>
    <row r="50">
      <c r="B50" s="89" t="n"/>
      <c r="C50" s="6">
        <f>IF($A50="","",$A50&amp;" Equity")</f>
        <v/>
      </c>
      <c r="D50" s="6">
        <f>IF($C50="","",BDP($C50,"NAME"))</f>
        <v/>
      </c>
      <c r="E50" s="6">
        <f>IF($C50="","",BDP($C50,"GICS_SECTOR_NAME"))</f>
        <v/>
      </c>
      <c r="F50" s="33">
        <f>IF($C50="","",BDP($C50,FLD_CCY))</f>
        <v/>
      </c>
      <c r="G50" s="90">
        <f>IFERROR(IF(LEN($F50)&lt;&gt;3,1,IF($F50="HKD",1,BDP(IF($F50="CNY",RMB_CROSS,$F50)&amp;"HKD Curncy","PX_LAST"))),1)</f>
        <v/>
      </c>
      <c r="H50" s="65">
        <f>IF($C50="","",BDP($C50,FLD_DPS12M))</f>
        <v/>
      </c>
      <c r="I50" s="47">
        <f>IF($C50="","",BDP($C50,FLD_YLD12M))</f>
        <v/>
      </c>
      <c r="J50" s="49">
        <f>IF($B50="",0,SUMPRODUCT(('Dvd Calendar'!$E$2034:$AR$2034&gt;=DATE(YEAR_Y,1,1))*('Dvd Calendar'!$E$2034:$AR$2034&lt;=REALIZED_TO)*'Dvd Calendar'!$E$2037:$AR$2037*(('Dvd Calendar'!$E$2039:$AR$2039=TYPE1)*(TYPE1&lt;&gt;"")+('Dvd Calendar'!$E$2039:$AR$2039=TYPE2)*(TYPE2&lt;&gt;"")+('Dvd Calendar'!$E$2039:$AR$2039=TYPE3)*(TYPE3&lt;&gt;"")+('Dvd Calendar'!$E$2039:$AR$2039=TYPE4)*(TYPE4&lt;&gt;"")+('Dvd Calendar'!$E$2039:$AR$2039=SPECIAL_LBL)*(INC_SPECIALS="Y"))))</f>
        <v/>
      </c>
      <c r="K50" s="49">
        <f>IF($B50="",0,SUMIFS('Dvd Calendar'!$E$2042:$AR$2042,'Dvd Calendar'!$E$2041:$AR$2041,"&gt;"&amp;PROJ_FROM,'Dvd Calendar'!$E$2041:$AR$2041,"&lt;="&amp;DATE(YEAR_Y,12,31)))</f>
        <v/>
      </c>
      <c r="L50" s="49">
        <f>IF($B50="",0,IF((OV_SWITCH="ON")*(COUNTIFS(OVR_TICKERS,$C50,OVR_BASE,"&gt;=0")&gt;0)&gt;0,SUMIFS(OVR_BASE,OVR_TICKERS,$C50),$K50))</f>
        <v/>
      </c>
      <c r="M50" s="49">
        <f>IF($B50="",0,IF((OV_SWITCH="ON")*(COUNTIFS(OVR_TICKERS,$C50,OVR_LOW,"&gt;=0")&gt;0)&gt;0,SUMIFS(OVR_LOW,OVR_TICKERS,$C50),$L50))</f>
        <v/>
      </c>
      <c r="N50" s="49">
        <f>IF($B50="",0,IF((OV_SWITCH="ON")*(COUNTIFS(OVR_TICKERS,$C50,OVR_HIGH,"&gt;=0")&gt;0)&gt;0,SUMIFS(OVR_HIGH,OVR_TICKERS,$C50),$L50))</f>
        <v/>
      </c>
      <c r="O50" s="65">
        <f>IF($B50="","",IFERROR($B50*$G50*$J50/$B$3,""))</f>
        <v/>
      </c>
      <c r="P50" s="65">
        <f>IF($B50="","",IFERROR($B50*$G50*$L50/$B$3,""))</f>
        <v/>
      </c>
      <c r="Q50" s="41">
        <f>IF($B50="","",IFERROR($O50+$P50,""))</f>
        <v/>
      </c>
      <c r="R50" s="65">
        <f>IF($B50="","",IFERROR($O50+$B50*$G50*$M50/$B$3,""))</f>
        <v/>
      </c>
      <c r="S50" s="65">
        <f>IF($B50="","",IFERROR($O50+$B50*$G50*$N50/$B$3,""))</f>
        <v/>
      </c>
      <c r="T50" s="80">
        <f>IF($B50="","",IFERROR($Q50/$Q$5,""))</f>
        <v/>
      </c>
      <c r="U50" s="2">
        <f>IF($B50="","",IF(COUNTIFS('Dvd Calendar'!$E$2040:$AR$2040,"&gt;0",'Dvd Calendar'!$E$2040:$AR$2040,"&lt;="&amp;VAL_DATE,'Dvd Calendar'!$E$2041:$AR$2041,"&gt;"&amp;PROJ_FROM,'Dvd Calendar'!$E$2041:$AR$2041,"&lt;="&amp;DATE(YEAR_Y,12,31))-COUNTIFS('Dvd Calendar'!$E$2040:$AR$2040,"&gt;0",'Dvd Calendar'!$E$2040:$AR$2040,"&lt;="&amp;VAL_DATE,'Dvd Calendar'!$E$2041:$AR$2041,"&gt;"&amp;PROJ_FROM,'Dvd Calendar'!$E$2041:$AR$2041,"&lt;="&amp;DATE(YEAR_Y,12,31),'Dvd Calendar'!$E$2042:$AR$2042,"&gt;=0")&gt;0,"TBA amount - override me",IF((OV_SWITCH="ON")*(COUNTIFS(OVR_TICKERS,$C50,OVR_BASE,"&gt;=0")&gt;0)&gt;0,"overridden",IF($J50+$K50=0,"no dividend in year Y",""))))</f>
        <v/>
      </c>
      <c r="V50" s="65">
        <f>IF($B50="","",IFERROR(IF(ISNUMBER($H50),$B50*$G50*$H50/$B$3,0),""))</f>
        <v/>
      </c>
      <c r="W50" s="65">
        <f>IF($B50="","",IFERROR($B50*$G50*$K50/$B$3,""))</f>
        <v/>
      </c>
      <c r="X50" s="91">
        <f>IF($C50="","",BDP($C50,"PX_LAST"))</f>
        <v/>
      </c>
      <c r="Y50" s="65">
        <f>IF($B50="","",IFERROR($B50*$X50/$B$3,""))</f>
        <v/>
      </c>
      <c r="Z50" s="76">
        <f>IF($B50="","",IFERROR($Y50/$Y$5,""))</f>
        <v/>
      </c>
    </row>
    <row r="51">
      <c r="B51" s="89" t="n"/>
      <c r="C51" s="6">
        <f>IF($A51="","",$A51&amp;" Equity")</f>
        <v/>
      </c>
      <c r="D51" s="6">
        <f>IF($C51="","",BDP($C51,"NAME"))</f>
        <v/>
      </c>
      <c r="E51" s="6">
        <f>IF($C51="","",BDP($C51,"GICS_SECTOR_NAME"))</f>
        <v/>
      </c>
      <c r="F51" s="33">
        <f>IF($C51="","",BDP($C51,FLD_CCY))</f>
        <v/>
      </c>
      <c r="G51" s="90">
        <f>IFERROR(IF(LEN($F51)&lt;&gt;3,1,IF($F51="HKD",1,BDP(IF($F51="CNY",RMB_CROSS,$F51)&amp;"HKD Curncy","PX_LAST"))),1)</f>
        <v/>
      </c>
      <c r="H51" s="65">
        <f>IF($C51="","",BDP($C51,FLD_DPS12M))</f>
        <v/>
      </c>
      <c r="I51" s="47">
        <f>IF($C51="","",BDP($C51,FLD_YLD12M))</f>
        <v/>
      </c>
      <c r="J51" s="49">
        <f>IF($B51="",0,SUMPRODUCT(('Dvd Calendar'!$E$2045:$AR$2045&gt;=DATE(YEAR_Y,1,1))*('Dvd Calendar'!$E$2045:$AR$2045&lt;=REALIZED_TO)*'Dvd Calendar'!$E$2048:$AR$2048*(('Dvd Calendar'!$E$2050:$AR$2050=TYPE1)*(TYPE1&lt;&gt;"")+('Dvd Calendar'!$E$2050:$AR$2050=TYPE2)*(TYPE2&lt;&gt;"")+('Dvd Calendar'!$E$2050:$AR$2050=TYPE3)*(TYPE3&lt;&gt;"")+('Dvd Calendar'!$E$2050:$AR$2050=TYPE4)*(TYPE4&lt;&gt;"")+('Dvd Calendar'!$E$2050:$AR$2050=SPECIAL_LBL)*(INC_SPECIALS="Y"))))</f>
        <v/>
      </c>
      <c r="K51" s="49">
        <f>IF($B51="",0,SUMIFS('Dvd Calendar'!$E$2053:$AR$2053,'Dvd Calendar'!$E$2052:$AR$2052,"&gt;"&amp;PROJ_FROM,'Dvd Calendar'!$E$2052:$AR$2052,"&lt;="&amp;DATE(YEAR_Y,12,31)))</f>
        <v/>
      </c>
      <c r="L51" s="49">
        <f>IF($B51="",0,IF((OV_SWITCH="ON")*(COUNTIFS(OVR_TICKERS,$C51,OVR_BASE,"&gt;=0")&gt;0)&gt;0,SUMIFS(OVR_BASE,OVR_TICKERS,$C51),$K51))</f>
        <v/>
      </c>
      <c r="M51" s="49">
        <f>IF($B51="",0,IF((OV_SWITCH="ON")*(COUNTIFS(OVR_TICKERS,$C51,OVR_LOW,"&gt;=0")&gt;0)&gt;0,SUMIFS(OVR_LOW,OVR_TICKERS,$C51),$L51))</f>
        <v/>
      </c>
      <c r="N51" s="49">
        <f>IF($B51="",0,IF((OV_SWITCH="ON")*(COUNTIFS(OVR_TICKERS,$C51,OVR_HIGH,"&gt;=0")&gt;0)&gt;0,SUMIFS(OVR_HIGH,OVR_TICKERS,$C51),$L51))</f>
        <v/>
      </c>
      <c r="O51" s="65">
        <f>IF($B51="","",IFERROR($B51*$G51*$J51/$B$3,""))</f>
        <v/>
      </c>
      <c r="P51" s="65">
        <f>IF($B51="","",IFERROR($B51*$G51*$L51/$B$3,""))</f>
        <v/>
      </c>
      <c r="Q51" s="41">
        <f>IF($B51="","",IFERROR($O51+$P51,""))</f>
        <v/>
      </c>
      <c r="R51" s="65">
        <f>IF($B51="","",IFERROR($O51+$B51*$G51*$M51/$B$3,""))</f>
        <v/>
      </c>
      <c r="S51" s="65">
        <f>IF($B51="","",IFERROR($O51+$B51*$G51*$N51/$B$3,""))</f>
        <v/>
      </c>
      <c r="T51" s="80">
        <f>IF($B51="","",IFERROR($Q51/$Q$5,""))</f>
        <v/>
      </c>
      <c r="U51" s="2">
        <f>IF($B51="","",IF(COUNTIFS('Dvd Calendar'!$E$2051:$AR$2051,"&gt;0",'Dvd Calendar'!$E$2051:$AR$2051,"&lt;="&amp;VAL_DATE,'Dvd Calendar'!$E$2052:$AR$2052,"&gt;"&amp;PROJ_FROM,'Dvd Calendar'!$E$2052:$AR$2052,"&lt;="&amp;DATE(YEAR_Y,12,31))-COUNTIFS('Dvd Calendar'!$E$2051:$AR$2051,"&gt;0",'Dvd Calendar'!$E$2051:$AR$2051,"&lt;="&amp;VAL_DATE,'Dvd Calendar'!$E$2052:$AR$2052,"&gt;"&amp;PROJ_FROM,'Dvd Calendar'!$E$2052:$AR$2052,"&lt;="&amp;DATE(YEAR_Y,12,31),'Dvd Calendar'!$E$2053:$AR$2053,"&gt;=0")&gt;0,"TBA amount - override me",IF((OV_SWITCH="ON")*(COUNTIFS(OVR_TICKERS,$C51,OVR_BASE,"&gt;=0")&gt;0)&gt;0,"overridden",IF($J51+$K51=0,"no dividend in year Y",""))))</f>
        <v/>
      </c>
      <c r="V51" s="65">
        <f>IF($B51="","",IFERROR(IF(ISNUMBER($H51),$B51*$G51*$H51/$B$3,0),""))</f>
        <v/>
      </c>
      <c r="W51" s="65">
        <f>IF($B51="","",IFERROR($B51*$G51*$K51/$B$3,""))</f>
        <v/>
      </c>
      <c r="X51" s="91">
        <f>IF($C51="","",BDP($C51,"PX_LAST"))</f>
        <v/>
      </c>
      <c r="Y51" s="65">
        <f>IF($B51="","",IFERROR($B51*$X51/$B$3,""))</f>
        <v/>
      </c>
      <c r="Z51" s="76">
        <f>IF($B51="","",IFERROR($Y51/$Y$5,""))</f>
        <v/>
      </c>
    </row>
    <row r="52">
      <c r="B52" s="89" t="n"/>
      <c r="C52" s="6">
        <f>IF($A52="","",$A52&amp;" Equity")</f>
        <v/>
      </c>
      <c r="D52" s="6">
        <f>IF($C52="","",BDP($C52,"NAME"))</f>
        <v/>
      </c>
      <c r="E52" s="6">
        <f>IF($C52="","",BDP($C52,"GICS_SECTOR_NAME"))</f>
        <v/>
      </c>
      <c r="F52" s="33">
        <f>IF($C52="","",BDP($C52,FLD_CCY))</f>
        <v/>
      </c>
      <c r="G52" s="90">
        <f>IFERROR(IF(LEN($F52)&lt;&gt;3,1,IF($F52="HKD",1,BDP(IF($F52="CNY",RMB_CROSS,$F52)&amp;"HKD Curncy","PX_LAST"))),1)</f>
        <v/>
      </c>
      <c r="H52" s="65">
        <f>IF($C52="","",BDP($C52,FLD_DPS12M))</f>
        <v/>
      </c>
      <c r="I52" s="47">
        <f>IF($C52="","",BDP($C52,FLD_YLD12M))</f>
        <v/>
      </c>
      <c r="J52" s="49">
        <f>IF($B52="",0,SUMPRODUCT(('Dvd Calendar'!$E$2056:$AR$2056&gt;=DATE(YEAR_Y,1,1))*('Dvd Calendar'!$E$2056:$AR$2056&lt;=REALIZED_TO)*'Dvd Calendar'!$E$2059:$AR$2059*(('Dvd Calendar'!$E$2061:$AR$2061=TYPE1)*(TYPE1&lt;&gt;"")+('Dvd Calendar'!$E$2061:$AR$2061=TYPE2)*(TYPE2&lt;&gt;"")+('Dvd Calendar'!$E$2061:$AR$2061=TYPE3)*(TYPE3&lt;&gt;"")+('Dvd Calendar'!$E$2061:$AR$2061=TYPE4)*(TYPE4&lt;&gt;"")+('Dvd Calendar'!$E$2061:$AR$2061=SPECIAL_LBL)*(INC_SPECIALS="Y"))))</f>
        <v/>
      </c>
      <c r="K52" s="49">
        <f>IF($B52="",0,SUMIFS('Dvd Calendar'!$E$2064:$AR$2064,'Dvd Calendar'!$E$2063:$AR$2063,"&gt;"&amp;PROJ_FROM,'Dvd Calendar'!$E$2063:$AR$2063,"&lt;="&amp;DATE(YEAR_Y,12,31)))</f>
        <v/>
      </c>
      <c r="L52" s="49">
        <f>IF($B52="",0,IF((OV_SWITCH="ON")*(COUNTIFS(OVR_TICKERS,$C52,OVR_BASE,"&gt;=0")&gt;0)&gt;0,SUMIFS(OVR_BASE,OVR_TICKERS,$C52),$K52))</f>
        <v/>
      </c>
      <c r="M52" s="49">
        <f>IF($B52="",0,IF((OV_SWITCH="ON")*(COUNTIFS(OVR_TICKERS,$C52,OVR_LOW,"&gt;=0")&gt;0)&gt;0,SUMIFS(OVR_LOW,OVR_TICKERS,$C52),$L52))</f>
        <v/>
      </c>
      <c r="N52" s="49">
        <f>IF($B52="",0,IF((OV_SWITCH="ON")*(COUNTIFS(OVR_TICKERS,$C52,OVR_HIGH,"&gt;=0")&gt;0)&gt;0,SUMIFS(OVR_HIGH,OVR_TICKERS,$C52),$L52))</f>
        <v/>
      </c>
      <c r="O52" s="65">
        <f>IF($B52="","",IFERROR($B52*$G52*$J52/$B$3,""))</f>
        <v/>
      </c>
      <c r="P52" s="65">
        <f>IF($B52="","",IFERROR($B52*$G52*$L52/$B$3,""))</f>
        <v/>
      </c>
      <c r="Q52" s="41">
        <f>IF($B52="","",IFERROR($O52+$P52,""))</f>
        <v/>
      </c>
      <c r="R52" s="65">
        <f>IF($B52="","",IFERROR($O52+$B52*$G52*$M52/$B$3,""))</f>
        <v/>
      </c>
      <c r="S52" s="65">
        <f>IF($B52="","",IFERROR($O52+$B52*$G52*$N52/$B$3,""))</f>
        <v/>
      </c>
      <c r="T52" s="80">
        <f>IF($B52="","",IFERROR($Q52/$Q$5,""))</f>
        <v/>
      </c>
      <c r="U52" s="2">
        <f>IF($B52="","",IF(COUNTIFS('Dvd Calendar'!$E$2062:$AR$2062,"&gt;0",'Dvd Calendar'!$E$2062:$AR$2062,"&lt;="&amp;VAL_DATE,'Dvd Calendar'!$E$2063:$AR$2063,"&gt;"&amp;PROJ_FROM,'Dvd Calendar'!$E$2063:$AR$2063,"&lt;="&amp;DATE(YEAR_Y,12,31))-COUNTIFS('Dvd Calendar'!$E$2062:$AR$2062,"&gt;0",'Dvd Calendar'!$E$2062:$AR$2062,"&lt;="&amp;VAL_DATE,'Dvd Calendar'!$E$2063:$AR$2063,"&gt;"&amp;PROJ_FROM,'Dvd Calendar'!$E$2063:$AR$2063,"&lt;="&amp;DATE(YEAR_Y,12,31),'Dvd Calendar'!$E$2064:$AR$2064,"&gt;=0")&gt;0,"TBA amount - override me",IF((OV_SWITCH="ON")*(COUNTIFS(OVR_TICKERS,$C52,OVR_BASE,"&gt;=0")&gt;0)&gt;0,"overridden",IF($J52+$K52=0,"no dividend in year Y",""))))</f>
        <v/>
      </c>
      <c r="V52" s="65">
        <f>IF($B52="","",IFERROR(IF(ISNUMBER($H52),$B52*$G52*$H52/$B$3,0),""))</f>
        <v/>
      </c>
      <c r="W52" s="65">
        <f>IF($B52="","",IFERROR($B52*$G52*$K52/$B$3,""))</f>
        <v/>
      </c>
      <c r="X52" s="91">
        <f>IF($C52="","",BDP($C52,"PX_LAST"))</f>
        <v/>
      </c>
      <c r="Y52" s="65">
        <f>IF($B52="","",IFERROR($B52*$X52/$B$3,""))</f>
        <v/>
      </c>
      <c r="Z52" s="76">
        <f>IF($B52="","",IFERROR($Y52/$Y$5,""))</f>
        <v/>
      </c>
    </row>
    <row r="53">
      <c r="B53" s="89" t="n"/>
      <c r="C53" s="6">
        <f>IF($A53="","",$A53&amp;" Equity")</f>
        <v/>
      </c>
      <c r="D53" s="6">
        <f>IF($C53="","",BDP($C53,"NAME"))</f>
        <v/>
      </c>
      <c r="E53" s="6">
        <f>IF($C53="","",BDP($C53,"GICS_SECTOR_NAME"))</f>
        <v/>
      </c>
      <c r="F53" s="33">
        <f>IF($C53="","",BDP($C53,FLD_CCY))</f>
        <v/>
      </c>
      <c r="G53" s="90">
        <f>IFERROR(IF(LEN($F53)&lt;&gt;3,1,IF($F53="HKD",1,BDP(IF($F53="CNY",RMB_CROSS,$F53)&amp;"HKD Curncy","PX_LAST"))),1)</f>
        <v/>
      </c>
      <c r="H53" s="65">
        <f>IF($C53="","",BDP($C53,FLD_DPS12M))</f>
        <v/>
      </c>
      <c r="I53" s="47">
        <f>IF($C53="","",BDP($C53,FLD_YLD12M))</f>
        <v/>
      </c>
      <c r="J53" s="49">
        <f>IF($B53="",0,SUMPRODUCT(('Dvd Calendar'!$E$2067:$AR$2067&gt;=DATE(YEAR_Y,1,1))*('Dvd Calendar'!$E$2067:$AR$2067&lt;=REALIZED_TO)*'Dvd Calendar'!$E$2070:$AR$2070*(('Dvd Calendar'!$E$2072:$AR$2072=TYPE1)*(TYPE1&lt;&gt;"")+('Dvd Calendar'!$E$2072:$AR$2072=TYPE2)*(TYPE2&lt;&gt;"")+('Dvd Calendar'!$E$2072:$AR$2072=TYPE3)*(TYPE3&lt;&gt;"")+('Dvd Calendar'!$E$2072:$AR$2072=TYPE4)*(TYPE4&lt;&gt;"")+('Dvd Calendar'!$E$2072:$AR$2072=SPECIAL_LBL)*(INC_SPECIALS="Y"))))</f>
        <v/>
      </c>
      <c r="K53" s="49">
        <f>IF($B53="",0,SUMIFS('Dvd Calendar'!$E$2075:$AR$2075,'Dvd Calendar'!$E$2074:$AR$2074,"&gt;"&amp;PROJ_FROM,'Dvd Calendar'!$E$2074:$AR$2074,"&lt;="&amp;DATE(YEAR_Y,12,31)))</f>
        <v/>
      </c>
      <c r="L53" s="49">
        <f>IF($B53="",0,IF((OV_SWITCH="ON")*(COUNTIFS(OVR_TICKERS,$C53,OVR_BASE,"&gt;=0")&gt;0)&gt;0,SUMIFS(OVR_BASE,OVR_TICKERS,$C53),$K53))</f>
        <v/>
      </c>
      <c r="M53" s="49">
        <f>IF($B53="",0,IF((OV_SWITCH="ON")*(COUNTIFS(OVR_TICKERS,$C53,OVR_LOW,"&gt;=0")&gt;0)&gt;0,SUMIFS(OVR_LOW,OVR_TICKERS,$C53),$L53))</f>
        <v/>
      </c>
      <c r="N53" s="49">
        <f>IF($B53="",0,IF((OV_SWITCH="ON")*(COUNTIFS(OVR_TICKERS,$C53,OVR_HIGH,"&gt;=0")&gt;0)&gt;0,SUMIFS(OVR_HIGH,OVR_TICKERS,$C53),$L53))</f>
        <v/>
      </c>
      <c r="O53" s="65">
        <f>IF($B53="","",IFERROR($B53*$G53*$J53/$B$3,""))</f>
        <v/>
      </c>
      <c r="P53" s="65">
        <f>IF($B53="","",IFERROR($B53*$G53*$L53/$B$3,""))</f>
        <v/>
      </c>
      <c r="Q53" s="41">
        <f>IF($B53="","",IFERROR($O53+$P53,""))</f>
        <v/>
      </c>
      <c r="R53" s="65">
        <f>IF($B53="","",IFERROR($O53+$B53*$G53*$M53/$B$3,""))</f>
        <v/>
      </c>
      <c r="S53" s="65">
        <f>IF($B53="","",IFERROR($O53+$B53*$G53*$N53/$B$3,""))</f>
        <v/>
      </c>
      <c r="T53" s="80">
        <f>IF($B53="","",IFERROR($Q53/$Q$5,""))</f>
        <v/>
      </c>
      <c r="U53" s="2">
        <f>IF($B53="","",IF(COUNTIFS('Dvd Calendar'!$E$2073:$AR$2073,"&gt;0",'Dvd Calendar'!$E$2073:$AR$2073,"&lt;="&amp;VAL_DATE,'Dvd Calendar'!$E$2074:$AR$2074,"&gt;"&amp;PROJ_FROM,'Dvd Calendar'!$E$2074:$AR$2074,"&lt;="&amp;DATE(YEAR_Y,12,31))-COUNTIFS('Dvd Calendar'!$E$2073:$AR$2073,"&gt;0",'Dvd Calendar'!$E$2073:$AR$2073,"&lt;="&amp;VAL_DATE,'Dvd Calendar'!$E$2074:$AR$2074,"&gt;"&amp;PROJ_FROM,'Dvd Calendar'!$E$2074:$AR$2074,"&lt;="&amp;DATE(YEAR_Y,12,31),'Dvd Calendar'!$E$2075:$AR$2075,"&gt;=0")&gt;0,"TBA amount - override me",IF((OV_SWITCH="ON")*(COUNTIFS(OVR_TICKERS,$C53,OVR_BASE,"&gt;=0")&gt;0)&gt;0,"overridden",IF($J53+$K53=0,"no dividend in year Y",""))))</f>
        <v/>
      </c>
      <c r="V53" s="65">
        <f>IF($B53="","",IFERROR(IF(ISNUMBER($H53),$B53*$G53*$H53/$B$3,0),""))</f>
        <v/>
      </c>
      <c r="W53" s="65">
        <f>IF($B53="","",IFERROR($B53*$G53*$K53/$B$3,""))</f>
        <v/>
      </c>
      <c r="X53" s="91">
        <f>IF($C53="","",BDP($C53,"PX_LAST"))</f>
        <v/>
      </c>
      <c r="Y53" s="65">
        <f>IF($B53="","",IFERROR($B53*$X53/$B$3,""))</f>
        <v/>
      </c>
      <c r="Z53" s="76">
        <f>IF($B53="","",IFERROR($Y53/$Y$5,""))</f>
        <v/>
      </c>
    </row>
    <row r="54">
      <c r="B54" s="89" t="n"/>
      <c r="C54" s="6">
        <f>IF($A54="","",$A54&amp;" Equity")</f>
        <v/>
      </c>
      <c r="D54" s="6">
        <f>IF($C54="","",BDP($C54,"NAME"))</f>
        <v/>
      </c>
      <c r="E54" s="6">
        <f>IF($C54="","",BDP($C54,"GICS_SECTOR_NAME"))</f>
        <v/>
      </c>
      <c r="F54" s="33">
        <f>IF($C54="","",BDP($C54,FLD_CCY))</f>
        <v/>
      </c>
      <c r="G54" s="90">
        <f>IFERROR(IF(LEN($F54)&lt;&gt;3,1,IF($F54="HKD",1,BDP(IF($F54="CNY",RMB_CROSS,$F54)&amp;"HKD Curncy","PX_LAST"))),1)</f>
        <v/>
      </c>
      <c r="H54" s="65">
        <f>IF($C54="","",BDP($C54,FLD_DPS12M))</f>
        <v/>
      </c>
      <c r="I54" s="47">
        <f>IF($C54="","",BDP($C54,FLD_YLD12M))</f>
        <v/>
      </c>
      <c r="J54" s="49">
        <f>IF($B54="",0,SUMPRODUCT(('Dvd Calendar'!$E$2078:$AR$2078&gt;=DATE(YEAR_Y,1,1))*('Dvd Calendar'!$E$2078:$AR$2078&lt;=REALIZED_TO)*'Dvd Calendar'!$E$2081:$AR$2081*(('Dvd Calendar'!$E$2083:$AR$2083=TYPE1)*(TYPE1&lt;&gt;"")+('Dvd Calendar'!$E$2083:$AR$2083=TYPE2)*(TYPE2&lt;&gt;"")+('Dvd Calendar'!$E$2083:$AR$2083=TYPE3)*(TYPE3&lt;&gt;"")+('Dvd Calendar'!$E$2083:$AR$2083=TYPE4)*(TYPE4&lt;&gt;"")+('Dvd Calendar'!$E$2083:$AR$2083=SPECIAL_LBL)*(INC_SPECIALS="Y"))))</f>
        <v/>
      </c>
      <c r="K54" s="49">
        <f>IF($B54="",0,SUMIFS('Dvd Calendar'!$E$2086:$AR$2086,'Dvd Calendar'!$E$2085:$AR$2085,"&gt;"&amp;PROJ_FROM,'Dvd Calendar'!$E$2085:$AR$2085,"&lt;="&amp;DATE(YEAR_Y,12,31)))</f>
        <v/>
      </c>
      <c r="L54" s="49">
        <f>IF($B54="",0,IF((OV_SWITCH="ON")*(COUNTIFS(OVR_TICKERS,$C54,OVR_BASE,"&gt;=0")&gt;0)&gt;0,SUMIFS(OVR_BASE,OVR_TICKERS,$C54),$K54))</f>
        <v/>
      </c>
      <c r="M54" s="49">
        <f>IF($B54="",0,IF((OV_SWITCH="ON")*(COUNTIFS(OVR_TICKERS,$C54,OVR_LOW,"&gt;=0")&gt;0)&gt;0,SUMIFS(OVR_LOW,OVR_TICKERS,$C54),$L54))</f>
        <v/>
      </c>
      <c r="N54" s="49">
        <f>IF($B54="",0,IF((OV_SWITCH="ON")*(COUNTIFS(OVR_TICKERS,$C54,OVR_HIGH,"&gt;=0")&gt;0)&gt;0,SUMIFS(OVR_HIGH,OVR_TICKERS,$C54),$L54))</f>
        <v/>
      </c>
      <c r="O54" s="65">
        <f>IF($B54="","",IFERROR($B54*$G54*$J54/$B$3,""))</f>
        <v/>
      </c>
      <c r="P54" s="65">
        <f>IF($B54="","",IFERROR($B54*$G54*$L54/$B$3,""))</f>
        <v/>
      </c>
      <c r="Q54" s="41">
        <f>IF($B54="","",IFERROR($O54+$P54,""))</f>
        <v/>
      </c>
      <c r="R54" s="65">
        <f>IF($B54="","",IFERROR($O54+$B54*$G54*$M54/$B$3,""))</f>
        <v/>
      </c>
      <c r="S54" s="65">
        <f>IF($B54="","",IFERROR($O54+$B54*$G54*$N54/$B$3,""))</f>
        <v/>
      </c>
      <c r="T54" s="80">
        <f>IF($B54="","",IFERROR($Q54/$Q$5,""))</f>
        <v/>
      </c>
      <c r="U54" s="2">
        <f>IF($B54="","",IF(COUNTIFS('Dvd Calendar'!$E$2084:$AR$2084,"&gt;0",'Dvd Calendar'!$E$2084:$AR$2084,"&lt;="&amp;VAL_DATE,'Dvd Calendar'!$E$2085:$AR$2085,"&gt;"&amp;PROJ_FROM,'Dvd Calendar'!$E$2085:$AR$2085,"&lt;="&amp;DATE(YEAR_Y,12,31))-COUNTIFS('Dvd Calendar'!$E$2084:$AR$2084,"&gt;0",'Dvd Calendar'!$E$2084:$AR$2084,"&lt;="&amp;VAL_DATE,'Dvd Calendar'!$E$2085:$AR$2085,"&gt;"&amp;PROJ_FROM,'Dvd Calendar'!$E$2085:$AR$2085,"&lt;="&amp;DATE(YEAR_Y,12,31),'Dvd Calendar'!$E$2086:$AR$2086,"&gt;=0")&gt;0,"TBA amount - override me",IF((OV_SWITCH="ON")*(COUNTIFS(OVR_TICKERS,$C54,OVR_BASE,"&gt;=0")&gt;0)&gt;0,"overridden",IF($J54+$K54=0,"no dividend in year Y",""))))</f>
        <v/>
      </c>
      <c r="V54" s="65">
        <f>IF($B54="","",IFERROR(IF(ISNUMBER($H54),$B54*$G54*$H54/$B$3,0),""))</f>
        <v/>
      </c>
      <c r="W54" s="65">
        <f>IF($B54="","",IFERROR($B54*$G54*$K54/$B$3,""))</f>
        <v/>
      </c>
      <c r="X54" s="91">
        <f>IF($C54="","",BDP($C54,"PX_LAST"))</f>
        <v/>
      </c>
      <c r="Y54" s="65">
        <f>IF($B54="","",IFERROR($B54*$X54/$B$3,""))</f>
        <v/>
      </c>
      <c r="Z54" s="76">
        <f>IF($B54="","",IFERROR($Y54/$Y$5,""))</f>
        <v/>
      </c>
    </row>
    <row r="55">
      <c r="B55" s="89" t="n"/>
      <c r="C55" s="6">
        <f>IF($A55="","",$A55&amp;" Equity")</f>
        <v/>
      </c>
      <c r="D55" s="6">
        <f>IF($C55="","",BDP($C55,"NAME"))</f>
        <v/>
      </c>
      <c r="E55" s="6">
        <f>IF($C55="","",BDP($C55,"GICS_SECTOR_NAME"))</f>
        <v/>
      </c>
      <c r="F55" s="33">
        <f>IF($C55="","",BDP($C55,FLD_CCY))</f>
        <v/>
      </c>
      <c r="G55" s="90">
        <f>IFERROR(IF(LEN($F55)&lt;&gt;3,1,IF($F55="HKD",1,BDP(IF($F55="CNY",RMB_CROSS,$F55)&amp;"HKD Curncy","PX_LAST"))),1)</f>
        <v/>
      </c>
      <c r="H55" s="65">
        <f>IF($C55="","",BDP($C55,FLD_DPS12M))</f>
        <v/>
      </c>
      <c r="I55" s="47">
        <f>IF($C55="","",BDP($C55,FLD_YLD12M))</f>
        <v/>
      </c>
      <c r="J55" s="49">
        <f>IF($B55="",0,SUMPRODUCT(('Dvd Calendar'!$E$2089:$AR$2089&gt;=DATE(YEAR_Y,1,1))*('Dvd Calendar'!$E$2089:$AR$2089&lt;=REALIZED_TO)*'Dvd Calendar'!$E$2092:$AR$2092*(('Dvd Calendar'!$E$2094:$AR$2094=TYPE1)*(TYPE1&lt;&gt;"")+('Dvd Calendar'!$E$2094:$AR$2094=TYPE2)*(TYPE2&lt;&gt;"")+('Dvd Calendar'!$E$2094:$AR$2094=TYPE3)*(TYPE3&lt;&gt;"")+('Dvd Calendar'!$E$2094:$AR$2094=TYPE4)*(TYPE4&lt;&gt;"")+('Dvd Calendar'!$E$2094:$AR$2094=SPECIAL_LBL)*(INC_SPECIALS="Y"))))</f>
        <v/>
      </c>
      <c r="K55" s="49">
        <f>IF($B55="",0,SUMIFS('Dvd Calendar'!$E$2097:$AR$2097,'Dvd Calendar'!$E$2096:$AR$2096,"&gt;"&amp;PROJ_FROM,'Dvd Calendar'!$E$2096:$AR$2096,"&lt;="&amp;DATE(YEAR_Y,12,31)))</f>
        <v/>
      </c>
      <c r="L55" s="49">
        <f>IF($B55="",0,IF((OV_SWITCH="ON")*(COUNTIFS(OVR_TICKERS,$C55,OVR_BASE,"&gt;=0")&gt;0)&gt;0,SUMIFS(OVR_BASE,OVR_TICKERS,$C55),$K55))</f>
        <v/>
      </c>
      <c r="M55" s="49">
        <f>IF($B55="",0,IF((OV_SWITCH="ON")*(COUNTIFS(OVR_TICKERS,$C55,OVR_LOW,"&gt;=0")&gt;0)&gt;0,SUMIFS(OVR_LOW,OVR_TICKERS,$C55),$L55))</f>
        <v/>
      </c>
      <c r="N55" s="49">
        <f>IF($B55="",0,IF((OV_SWITCH="ON")*(COUNTIFS(OVR_TICKERS,$C55,OVR_HIGH,"&gt;=0")&gt;0)&gt;0,SUMIFS(OVR_HIGH,OVR_TICKERS,$C55),$L55))</f>
        <v/>
      </c>
      <c r="O55" s="65">
        <f>IF($B55="","",IFERROR($B55*$G55*$J55/$B$3,""))</f>
        <v/>
      </c>
      <c r="P55" s="65">
        <f>IF($B55="","",IFERROR($B55*$G55*$L55/$B$3,""))</f>
        <v/>
      </c>
      <c r="Q55" s="41">
        <f>IF($B55="","",IFERROR($O55+$P55,""))</f>
        <v/>
      </c>
      <c r="R55" s="65">
        <f>IF($B55="","",IFERROR($O55+$B55*$G55*$M55/$B$3,""))</f>
        <v/>
      </c>
      <c r="S55" s="65">
        <f>IF($B55="","",IFERROR($O55+$B55*$G55*$N55/$B$3,""))</f>
        <v/>
      </c>
      <c r="T55" s="80">
        <f>IF($B55="","",IFERROR($Q55/$Q$5,""))</f>
        <v/>
      </c>
      <c r="U55" s="2">
        <f>IF($B55="","",IF(COUNTIFS('Dvd Calendar'!$E$2095:$AR$2095,"&gt;0",'Dvd Calendar'!$E$2095:$AR$2095,"&lt;="&amp;VAL_DATE,'Dvd Calendar'!$E$2096:$AR$2096,"&gt;"&amp;PROJ_FROM,'Dvd Calendar'!$E$2096:$AR$2096,"&lt;="&amp;DATE(YEAR_Y,12,31))-COUNTIFS('Dvd Calendar'!$E$2095:$AR$2095,"&gt;0",'Dvd Calendar'!$E$2095:$AR$2095,"&lt;="&amp;VAL_DATE,'Dvd Calendar'!$E$2096:$AR$2096,"&gt;"&amp;PROJ_FROM,'Dvd Calendar'!$E$2096:$AR$2096,"&lt;="&amp;DATE(YEAR_Y,12,31),'Dvd Calendar'!$E$2097:$AR$2097,"&gt;=0")&gt;0,"TBA amount - override me",IF((OV_SWITCH="ON")*(COUNTIFS(OVR_TICKERS,$C55,OVR_BASE,"&gt;=0")&gt;0)&gt;0,"overridden",IF($J55+$K55=0,"no dividend in year Y",""))))</f>
        <v/>
      </c>
      <c r="V55" s="65">
        <f>IF($B55="","",IFERROR(IF(ISNUMBER($H55),$B55*$G55*$H55/$B$3,0),""))</f>
        <v/>
      </c>
      <c r="W55" s="65">
        <f>IF($B55="","",IFERROR($B55*$G55*$K55/$B$3,""))</f>
        <v/>
      </c>
      <c r="X55" s="91">
        <f>IF($C55="","",BDP($C55,"PX_LAST"))</f>
        <v/>
      </c>
      <c r="Y55" s="65">
        <f>IF($B55="","",IFERROR($B55*$X55/$B$3,""))</f>
        <v/>
      </c>
      <c r="Z55" s="76">
        <f>IF($B55="","",IFERROR($Y55/$Y$5,""))</f>
        <v/>
      </c>
    </row>
    <row r="56">
      <c r="B56" s="89" t="n"/>
      <c r="C56" s="6">
        <f>IF($A56="","",$A56&amp;" Equity")</f>
        <v/>
      </c>
      <c r="D56" s="6">
        <f>IF($C56="","",BDP($C56,"NAME"))</f>
        <v/>
      </c>
      <c r="E56" s="6">
        <f>IF($C56="","",BDP($C56,"GICS_SECTOR_NAME"))</f>
        <v/>
      </c>
      <c r="F56" s="33">
        <f>IF($C56="","",BDP($C56,FLD_CCY))</f>
        <v/>
      </c>
      <c r="G56" s="90">
        <f>IFERROR(IF(LEN($F56)&lt;&gt;3,1,IF($F56="HKD",1,BDP(IF($F56="CNY",RMB_CROSS,$F56)&amp;"HKD Curncy","PX_LAST"))),1)</f>
        <v/>
      </c>
      <c r="H56" s="65">
        <f>IF($C56="","",BDP($C56,FLD_DPS12M))</f>
        <v/>
      </c>
      <c r="I56" s="47">
        <f>IF($C56="","",BDP($C56,FLD_YLD12M))</f>
        <v/>
      </c>
      <c r="J56" s="49">
        <f>IF($B56="",0,SUMPRODUCT(('Dvd Calendar'!$E$2100:$AR$2100&gt;=DATE(YEAR_Y,1,1))*('Dvd Calendar'!$E$2100:$AR$2100&lt;=REALIZED_TO)*'Dvd Calendar'!$E$2103:$AR$2103*(('Dvd Calendar'!$E$2105:$AR$2105=TYPE1)*(TYPE1&lt;&gt;"")+('Dvd Calendar'!$E$2105:$AR$2105=TYPE2)*(TYPE2&lt;&gt;"")+('Dvd Calendar'!$E$2105:$AR$2105=TYPE3)*(TYPE3&lt;&gt;"")+('Dvd Calendar'!$E$2105:$AR$2105=TYPE4)*(TYPE4&lt;&gt;"")+('Dvd Calendar'!$E$2105:$AR$2105=SPECIAL_LBL)*(INC_SPECIALS="Y"))))</f>
        <v/>
      </c>
      <c r="K56" s="49">
        <f>IF($B56="",0,SUMIFS('Dvd Calendar'!$E$2108:$AR$2108,'Dvd Calendar'!$E$2107:$AR$2107,"&gt;"&amp;PROJ_FROM,'Dvd Calendar'!$E$2107:$AR$2107,"&lt;="&amp;DATE(YEAR_Y,12,31)))</f>
        <v/>
      </c>
      <c r="L56" s="49">
        <f>IF($B56="",0,IF((OV_SWITCH="ON")*(COUNTIFS(OVR_TICKERS,$C56,OVR_BASE,"&gt;=0")&gt;0)&gt;0,SUMIFS(OVR_BASE,OVR_TICKERS,$C56),$K56))</f>
        <v/>
      </c>
      <c r="M56" s="49">
        <f>IF($B56="",0,IF((OV_SWITCH="ON")*(COUNTIFS(OVR_TICKERS,$C56,OVR_LOW,"&gt;=0")&gt;0)&gt;0,SUMIFS(OVR_LOW,OVR_TICKERS,$C56),$L56))</f>
        <v/>
      </c>
      <c r="N56" s="49">
        <f>IF($B56="",0,IF((OV_SWITCH="ON")*(COUNTIFS(OVR_TICKERS,$C56,OVR_HIGH,"&gt;=0")&gt;0)&gt;0,SUMIFS(OVR_HIGH,OVR_TICKERS,$C56),$L56))</f>
        <v/>
      </c>
      <c r="O56" s="65">
        <f>IF($B56="","",IFERROR($B56*$G56*$J56/$B$3,""))</f>
        <v/>
      </c>
      <c r="P56" s="65">
        <f>IF($B56="","",IFERROR($B56*$G56*$L56/$B$3,""))</f>
        <v/>
      </c>
      <c r="Q56" s="41">
        <f>IF($B56="","",IFERROR($O56+$P56,""))</f>
        <v/>
      </c>
      <c r="R56" s="65">
        <f>IF($B56="","",IFERROR($O56+$B56*$G56*$M56/$B$3,""))</f>
        <v/>
      </c>
      <c r="S56" s="65">
        <f>IF($B56="","",IFERROR($O56+$B56*$G56*$N56/$B$3,""))</f>
        <v/>
      </c>
      <c r="T56" s="80">
        <f>IF($B56="","",IFERROR($Q56/$Q$5,""))</f>
        <v/>
      </c>
      <c r="U56" s="2">
        <f>IF($B56="","",IF(COUNTIFS('Dvd Calendar'!$E$2106:$AR$2106,"&gt;0",'Dvd Calendar'!$E$2106:$AR$2106,"&lt;="&amp;VAL_DATE,'Dvd Calendar'!$E$2107:$AR$2107,"&gt;"&amp;PROJ_FROM,'Dvd Calendar'!$E$2107:$AR$2107,"&lt;="&amp;DATE(YEAR_Y,12,31))-COUNTIFS('Dvd Calendar'!$E$2106:$AR$2106,"&gt;0",'Dvd Calendar'!$E$2106:$AR$2106,"&lt;="&amp;VAL_DATE,'Dvd Calendar'!$E$2107:$AR$2107,"&gt;"&amp;PROJ_FROM,'Dvd Calendar'!$E$2107:$AR$2107,"&lt;="&amp;DATE(YEAR_Y,12,31),'Dvd Calendar'!$E$2108:$AR$2108,"&gt;=0")&gt;0,"TBA amount - override me",IF((OV_SWITCH="ON")*(COUNTIFS(OVR_TICKERS,$C56,OVR_BASE,"&gt;=0")&gt;0)&gt;0,"overridden",IF($J56+$K56=0,"no dividend in year Y",""))))</f>
        <v/>
      </c>
      <c r="V56" s="65">
        <f>IF($B56="","",IFERROR(IF(ISNUMBER($H56),$B56*$G56*$H56/$B$3,0),""))</f>
        <v/>
      </c>
      <c r="W56" s="65">
        <f>IF($B56="","",IFERROR($B56*$G56*$K56/$B$3,""))</f>
        <v/>
      </c>
      <c r="X56" s="91">
        <f>IF($C56="","",BDP($C56,"PX_LAST"))</f>
        <v/>
      </c>
      <c r="Y56" s="65">
        <f>IF($B56="","",IFERROR($B56*$X56/$B$3,""))</f>
        <v/>
      </c>
      <c r="Z56" s="76">
        <f>IF($B56="","",IFERROR($Y56/$Y$5,""))</f>
        <v/>
      </c>
    </row>
    <row r="57">
      <c r="B57" s="89" t="n"/>
      <c r="C57" s="6">
        <f>IF($A57="","",$A57&amp;" Equity")</f>
        <v/>
      </c>
      <c r="D57" s="6">
        <f>IF($C57="","",BDP($C57,"NAME"))</f>
        <v/>
      </c>
      <c r="E57" s="6">
        <f>IF($C57="","",BDP($C57,"GICS_SECTOR_NAME"))</f>
        <v/>
      </c>
      <c r="F57" s="33">
        <f>IF($C57="","",BDP($C57,FLD_CCY))</f>
        <v/>
      </c>
      <c r="G57" s="90">
        <f>IFERROR(IF(LEN($F57)&lt;&gt;3,1,IF($F57="HKD",1,BDP(IF($F57="CNY",RMB_CROSS,$F57)&amp;"HKD Curncy","PX_LAST"))),1)</f>
        <v/>
      </c>
      <c r="H57" s="65">
        <f>IF($C57="","",BDP($C57,FLD_DPS12M))</f>
        <v/>
      </c>
      <c r="I57" s="47">
        <f>IF($C57="","",BDP($C57,FLD_YLD12M))</f>
        <v/>
      </c>
      <c r="J57" s="49">
        <f>IF($B57="",0,SUMPRODUCT(('Dvd Calendar'!$E$2111:$AR$2111&gt;=DATE(YEAR_Y,1,1))*('Dvd Calendar'!$E$2111:$AR$2111&lt;=REALIZED_TO)*'Dvd Calendar'!$E$2114:$AR$2114*(('Dvd Calendar'!$E$2116:$AR$2116=TYPE1)*(TYPE1&lt;&gt;"")+('Dvd Calendar'!$E$2116:$AR$2116=TYPE2)*(TYPE2&lt;&gt;"")+('Dvd Calendar'!$E$2116:$AR$2116=TYPE3)*(TYPE3&lt;&gt;"")+('Dvd Calendar'!$E$2116:$AR$2116=TYPE4)*(TYPE4&lt;&gt;"")+('Dvd Calendar'!$E$2116:$AR$2116=SPECIAL_LBL)*(INC_SPECIALS="Y"))))</f>
        <v/>
      </c>
      <c r="K57" s="49">
        <f>IF($B57="",0,SUMIFS('Dvd Calendar'!$E$2119:$AR$2119,'Dvd Calendar'!$E$2118:$AR$2118,"&gt;"&amp;PROJ_FROM,'Dvd Calendar'!$E$2118:$AR$2118,"&lt;="&amp;DATE(YEAR_Y,12,31)))</f>
        <v/>
      </c>
      <c r="L57" s="49">
        <f>IF($B57="",0,IF((OV_SWITCH="ON")*(COUNTIFS(OVR_TICKERS,$C57,OVR_BASE,"&gt;=0")&gt;0)&gt;0,SUMIFS(OVR_BASE,OVR_TICKERS,$C57),$K57))</f>
        <v/>
      </c>
      <c r="M57" s="49">
        <f>IF($B57="",0,IF((OV_SWITCH="ON")*(COUNTIFS(OVR_TICKERS,$C57,OVR_LOW,"&gt;=0")&gt;0)&gt;0,SUMIFS(OVR_LOW,OVR_TICKERS,$C57),$L57))</f>
        <v/>
      </c>
      <c r="N57" s="49">
        <f>IF($B57="",0,IF((OV_SWITCH="ON")*(COUNTIFS(OVR_TICKERS,$C57,OVR_HIGH,"&gt;=0")&gt;0)&gt;0,SUMIFS(OVR_HIGH,OVR_TICKERS,$C57),$L57))</f>
        <v/>
      </c>
      <c r="O57" s="65">
        <f>IF($B57="","",IFERROR($B57*$G57*$J57/$B$3,""))</f>
        <v/>
      </c>
      <c r="P57" s="65">
        <f>IF($B57="","",IFERROR($B57*$G57*$L57/$B$3,""))</f>
        <v/>
      </c>
      <c r="Q57" s="41">
        <f>IF($B57="","",IFERROR($O57+$P57,""))</f>
        <v/>
      </c>
      <c r="R57" s="65">
        <f>IF($B57="","",IFERROR($O57+$B57*$G57*$M57/$B$3,""))</f>
        <v/>
      </c>
      <c r="S57" s="65">
        <f>IF($B57="","",IFERROR($O57+$B57*$G57*$N57/$B$3,""))</f>
        <v/>
      </c>
      <c r="T57" s="80">
        <f>IF($B57="","",IFERROR($Q57/$Q$5,""))</f>
        <v/>
      </c>
      <c r="U57" s="2">
        <f>IF($B57="","",IF(COUNTIFS('Dvd Calendar'!$E$2117:$AR$2117,"&gt;0",'Dvd Calendar'!$E$2117:$AR$2117,"&lt;="&amp;VAL_DATE,'Dvd Calendar'!$E$2118:$AR$2118,"&gt;"&amp;PROJ_FROM,'Dvd Calendar'!$E$2118:$AR$2118,"&lt;="&amp;DATE(YEAR_Y,12,31))-COUNTIFS('Dvd Calendar'!$E$2117:$AR$2117,"&gt;0",'Dvd Calendar'!$E$2117:$AR$2117,"&lt;="&amp;VAL_DATE,'Dvd Calendar'!$E$2118:$AR$2118,"&gt;"&amp;PROJ_FROM,'Dvd Calendar'!$E$2118:$AR$2118,"&lt;="&amp;DATE(YEAR_Y,12,31),'Dvd Calendar'!$E$2119:$AR$2119,"&gt;=0")&gt;0,"TBA amount - override me",IF((OV_SWITCH="ON")*(COUNTIFS(OVR_TICKERS,$C57,OVR_BASE,"&gt;=0")&gt;0)&gt;0,"overridden",IF($J57+$K57=0,"no dividend in year Y",""))))</f>
        <v/>
      </c>
      <c r="V57" s="65">
        <f>IF($B57="","",IFERROR(IF(ISNUMBER($H57),$B57*$G57*$H57/$B$3,0),""))</f>
        <v/>
      </c>
      <c r="W57" s="65">
        <f>IF($B57="","",IFERROR($B57*$G57*$K57/$B$3,""))</f>
        <v/>
      </c>
      <c r="X57" s="91">
        <f>IF($C57="","",BDP($C57,"PX_LAST"))</f>
        <v/>
      </c>
      <c r="Y57" s="65">
        <f>IF($B57="","",IFERROR($B57*$X57/$B$3,""))</f>
        <v/>
      </c>
      <c r="Z57" s="76">
        <f>IF($B57="","",IFERROR($Y57/$Y$5,""))</f>
        <v/>
      </c>
    </row>
    <row r="58">
      <c r="B58" s="89" t="n"/>
      <c r="C58" s="6">
        <f>IF($A58="","",$A58&amp;" Equity")</f>
        <v/>
      </c>
      <c r="D58" s="6">
        <f>IF($C58="","",BDP($C58,"NAME"))</f>
        <v/>
      </c>
      <c r="E58" s="6">
        <f>IF($C58="","",BDP($C58,"GICS_SECTOR_NAME"))</f>
        <v/>
      </c>
      <c r="F58" s="33">
        <f>IF($C58="","",BDP($C58,FLD_CCY))</f>
        <v/>
      </c>
      <c r="G58" s="90">
        <f>IFERROR(IF(LEN($F58)&lt;&gt;3,1,IF($F58="HKD",1,BDP(IF($F58="CNY",RMB_CROSS,$F58)&amp;"HKD Curncy","PX_LAST"))),1)</f>
        <v/>
      </c>
      <c r="H58" s="65">
        <f>IF($C58="","",BDP($C58,FLD_DPS12M))</f>
        <v/>
      </c>
      <c r="I58" s="47">
        <f>IF($C58="","",BDP($C58,FLD_YLD12M))</f>
        <v/>
      </c>
      <c r="J58" s="49">
        <f>IF($B58="",0,SUMPRODUCT(('Dvd Calendar'!$E$2122:$AR$2122&gt;=DATE(YEAR_Y,1,1))*('Dvd Calendar'!$E$2122:$AR$2122&lt;=REALIZED_TO)*'Dvd Calendar'!$E$2125:$AR$2125*(('Dvd Calendar'!$E$2127:$AR$2127=TYPE1)*(TYPE1&lt;&gt;"")+('Dvd Calendar'!$E$2127:$AR$2127=TYPE2)*(TYPE2&lt;&gt;"")+('Dvd Calendar'!$E$2127:$AR$2127=TYPE3)*(TYPE3&lt;&gt;"")+('Dvd Calendar'!$E$2127:$AR$2127=TYPE4)*(TYPE4&lt;&gt;"")+('Dvd Calendar'!$E$2127:$AR$2127=SPECIAL_LBL)*(INC_SPECIALS="Y"))))</f>
        <v/>
      </c>
      <c r="K58" s="49">
        <f>IF($B58="",0,SUMIFS('Dvd Calendar'!$E$2130:$AR$2130,'Dvd Calendar'!$E$2129:$AR$2129,"&gt;"&amp;PROJ_FROM,'Dvd Calendar'!$E$2129:$AR$2129,"&lt;="&amp;DATE(YEAR_Y,12,31)))</f>
        <v/>
      </c>
      <c r="L58" s="49">
        <f>IF($B58="",0,IF((OV_SWITCH="ON")*(COUNTIFS(OVR_TICKERS,$C58,OVR_BASE,"&gt;=0")&gt;0)&gt;0,SUMIFS(OVR_BASE,OVR_TICKERS,$C58),$K58))</f>
        <v/>
      </c>
      <c r="M58" s="49">
        <f>IF($B58="",0,IF((OV_SWITCH="ON")*(COUNTIFS(OVR_TICKERS,$C58,OVR_LOW,"&gt;=0")&gt;0)&gt;0,SUMIFS(OVR_LOW,OVR_TICKERS,$C58),$L58))</f>
        <v/>
      </c>
      <c r="N58" s="49">
        <f>IF($B58="",0,IF((OV_SWITCH="ON")*(COUNTIFS(OVR_TICKERS,$C58,OVR_HIGH,"&gt;=0")&gt;0)&gt;0,SUMIFS(OVR_HIGH,OVR_TICKERS,$C58),$L58))</f>
        <v/>
      </c>
      <c r="O58" s="65">
        <f>IF($B58="","",IFERROR($B58*$G58*$J58/$B$3,""))</f>
        <v/>
      </c>
      <c r="P58" s="65">
        <f>IF($B58="","",IFERROR($B58*$G58*$L58/$B$3,""))</f>
        <v/>
      </c>
      <c r="Q58" s="41">
        <f>IF($B58="","",IFERROR($O58+$P58,""))</f>
        <v/>
      </c>
      <c r="R58" s="65">
        <f>IF($B58="","",IFERROR($O58+$B58*$G58*$M58/$B$3,""))</f>
        <v/>
      </c>
      <c r="S58" s="65">
        <f>IF($B58="","",IFERROR($O58+$B58*$G58*$N58/$B$3,""))</f>
        <v/>
      </c>
      <c r="T58" s="80">
        <f>IF($B58="","",IFERROR($Q58/$Q$5,""))</f>
        <v/>
      </c>
      <c r="U58" s="2">
        <f>IF($B58="","",IF(COUNTIFS('Dvd Calendar'!$E$2128:$AR$2128,"&gt;0",'Dvd Calendar'!$E$2128:$AR$2128,"&lt;="&amp;VAL_DATE,'Dvd Calendar'!$E$2129:$AR$2129,"&gt;"&amp;PROJ_FROM,'Dvd Calendar'!$E$2129:$AR$2129,"&lt;="&amp;DATE(YEAR_Y,12,31))-COUNTIFS('Dvd Calendar'!$E$2128:$AR$2128,"&gt;0",'Dvd Calendar'!$E$2128:$AR$2128,"&lt;="&amp;VAL_DATE,'Dvd Calendar'!$E$2129:$AR$2129,"&gt;"&amp;PROJ_FROM,'Dvd Calendar'!$E$2129:$AR$2129,"&lt;="&amp;DATE(YEAR_Y,12,31),'Dvd Calendar'!$E$2130:$AR$2130,"&gt;=0")&gt;0,"TBA amount - override me",IF((OV_SWITCH="ON")*(COUNTIFS(OVR_TICKERS,$C58,OVR_BASE,"&gt;=0")&gt;0)&gt;0,"overridden",IF($J58+$K58=0,"no dividend in year Y",""))))</f>
        <v/>
      </c>
      <c r="V58" s="65">
        <f>IF($B58="","",IFERROR(IF(ISNUMBER($H58),$B58*$G58*$H58/$B$3,0),""))</f>
        <v/>
      </c>
      <c r="W58" s="65">
        <f>IF($B58="","",IFERROR($B58*$G58*$K58/$B$3,""))</f>
        <v/>
      </c>
      <c r="X58" s="91">
        <f>IF($C58="","",BDP($C58,"PX_LAST"))</f>
        <v/>
      </c>
      <c r="Y58" s="65">
        <f>IF($B58="","",IFERROR($B58*$X58/$B$3,""))</f>
        <v/>
      </c>
      <c r="Z58" s="76">
        <f>IF($B58="","",IFERROR($Y58/$Y$5,""))</f>
        <v/>
      </c>
    </row>
    <row r="59">
      <c r="B59" s="89" t="n"/>
      <c r="C59" s="6">
        <f>IF($A59="","",$A59&amp;" Equity")</f>
        <v/>
      </c>
      <c r="D59" s="6">
        <f>IF($C59="","",BDP($C59,"NAME"))</f>
        <v/>
      </c>
      <c r="E59" s="6">
        <f>IF($C59="","",BDP($C59,"GICS_SECTOR_NAME"))</f>
        <v/>
      </c>
      <c r="F59" s="33">
        <f>IF($C59="","",BDP($C59,FLD_CCY))</f>
        <v/>
      </c>
      <c r="G59" s="90">
        <f>IFERROR(IF(LEN($F59)&lt;&gt;3,1,IF($F59="HKD",1,BDP(IF($F59="CNY",RMB_CROSS,$F59)&amp;"HKD Curncy","PX_LAST"))),1)</f>
        <v/>
      </c>
      <c r="H59" s="65">
        <f>IF($C59="","",BDP($C59,FLD_DPS12M))</f>
        <v/>
      </c>
      <c r="I59" s="47">
        <f>IF($C59="","",BDP($C59,FLD_YLD12M))</f>
        <v/>
      </c>
      <c r="J59" s="49">
        <f>IF($B59="",0,SUMPRODUCT(('Dvd Calendar'!$E$2133:$AR$2133&gt;=DATE(YEAR_Y,1,1))*('Dvd Calendar'!$E$2133:$AR$2133&lt;=REALIZED_TO)*'Dvd Calendar'!$E$2136:$AR$2136*(('Dvd Calendar'!$E$2138:$AR$2138=TYPE1)*(TYPE1&lt;&gt;"")+('Dvd Calendar'!$E$2138:$AR$2138=TYPE2)*(TYPE2&lt;&gt;"")+('Dvd Calendar'!$E$2138:$AR$2138=TYPE3)*(TYPE3&lt;&gt;"")+('Dvd Calendar'!$E$2138:$AR$2138=TYPE4)*(TYPE4&lt;&gt;"")+('Dvd Calendar'!$E$2138:$AR$2138=SPECIAL_LBL)*(INC_SPECIALS="Y"))))</f>
        <v/>
      </c>
      <c r="K59" s="49">
        <f>IF($B59="",0,SUMIFS('Dvd Calendar'!$E$2141:$AR$2141,'Dvd Calendar'!$E$2140:$AR$2140,"&gt;"&amp;PROJ_FROM,'Dvd Calendar'!$E$2140:$AR$2140,"&lt;="&amp;DATE(YEAR_Y,12,31)))</f>
        <v/>
      </c>
      <c r="L59" s="49">
        <f>IF($B59="",0,IF((OV_SWITCH="ON")*(COUNTIFS(OVR_TICKERS,$C59,OVR_BASE,"&gt;=0")&gt;0)&gt;0,SUMIFS(OVR_BASE,OVR_TICKERS,$C59),$K59))</f>
        <v/>
      </c>
      <c r="M59" s="49">
        <f>IF($B59="",0,IF((OV_SWITCH="ON")*(COUNTIFS(OVR_TICKERS,$C59,OVR_LOW,"&gt;=0")&gt;0)&gt;0,SUMIFS(OVR_LOW,OVR_TICKERS,$C59),$L59))</f>
        <v/>
      </c>
      <c r="N59" s="49">
        <f>IF($B59="",0,IF((OV_SWITCH="ON")*(COUNTIFS(OVR_TICKERS,$C59,OVR_HIGH,"&gt;=0")&gt;0)&gt;0,SUMIFS(OVR_HIGH,OVR_TICKERS,$C59),$L59))</f>
        <v/>
      </c>
      <c r="O59" s="65">
        <f>IF($B59="","",IFERROR($B59*$G59*$J59/$B$3,""))</f>
        <v/>
      </c>
      <c r="P59" s="65">
        <f>IF($B59="","",IFERROR($B59*$G59*$L59/$B$3,""))</f>
        <v/>
      </c>
      <c r="Q59" s="41">
        <f>IF($B59="","",IFERROR($O59+$P59,""))</f>
        <v/>
      </c>
      <c r="R59" s="65">
        <f>IF($B59="","",IFERROR($O59+$B59*$G59*$M59/$B$3,""))</f>
        <v/>
      </c>
      <c r="S59" s="65">
        <f>IF($B59="","",IFERROR($O59+$B59*$G59*$N59/$B$3,""))</f>
        <v/>
      </c>
      <c r="T59" s="80">
        <f>IF($B59="","",IFERROR($Q59/$Q$5,""))</f>
        <v/>
      </c>
      <c r="U59" s="2">
        <f>IF($B59="","",IF(COUNTIFS('Dvd Calendar'!$E$2139:$AR$2139,"&gt;0",'Dvd Calendar'!$E$2139:$AR$2139,"&lt;="&amp;VAL_DATE,'Dvd Calendar'!$E$2140:$AR$2140,"&gt;"&amp;PROJ_FROM,'Dvd Calendar'!$E$2140:$AR$2140,"&lt;="&amp;DATE(YEAR_Y,12,31))-COUNTIFS('Dvd Calendar'!$E$2139:$AR$2139,"&gt;0",'Dvd Calendar'!$E$2139:$AR$2139,"&lt;="&amp;VAL_DATE,'Dvd Calendar'!$E$2140:$AR$2140,"&gt;"&amp;PROJ_FROM,'Dvd Calendar'!$E$2140:$AR$2140,"&lt;="&amp;DATE(YEAR_Y,12,31),'Dvd Calendar'!$E$2141:$AR$2141,"&gt;=0")&gt;0,"TBA amount - override me",IF((OV_SWITCH="ON")*(COUNTIFS(OVR_TICKERS,$C59,OVR_BASE,"&gt;=0")&gt;0)&gt;0,"overridden",IF($J59+$K59=0,"no dividend in year Y",""))))</f>
        <v/>
      </c>
      <c r="V59" s="65">
        <f>IF($B59="","",IFERROR(IF(ISNUMBER($H59),$B59*$G59*$H59/$B$3,0),""))</f>
        <v/>
      </c>
      <c r="W59" s="65">
        <f>IF($B59="","",IFERROR($B59*$G59*$K59/$B$3,""))</f>
        <v/>
      </c>
      <c r="X59" s="91">
        <f>IF($C59="","",BDP($C59,"PX_LAST"))</f>
        <v/>
      </c>
      <c r="Y59" s="65">
        <f>IF($B59="","",IFERROR($B59*$X59/$B$3,""))</f>
        <v/>
      </c>
      <c r="Z59" s="76">
        <f>IF($B59="","",IFERROR($Y59/$Y$5,""))</f>
        <v/>
      </c>
    </row>
    <row r="60">
      <c r="B60" s="89" t="n"/>
      <c r="C60" s="6">
        <f>IF($A60="","",$A60&amp;" Equity")</f>
        <v/>
      </c>
      <c r="D60" s="6">
        <f>IF($C60="","",BDP($C60,"NAME"))</f>
        <v/>
      </c>
      <c r="E60" s="6">
        <f>IF($C60="","",BDP($C60,"GICS_SECTOR_NAME"))</f>
        <v/>
      </c>
      <c r="F60" s="33">
        <f>IF($C60="","",BDP($C60,FLD_CCY))</f>
        <v/>
      </c>
      <c r="G60" s="90">
        <f>IFERROR(IF(LEN($F60)&lt;&gt;3,1,IF($F60="HKD",1,BDP(IF($F60="CNY",RMB_CROSS,$F60)&amp;"HKD Curncy","PX_LAST"))),1)</f>
        <v/>
      </c>
      <c r="H60" s="65">
        <f>IF($C60="","",BDP($C60,FLD_DPS12M))</f>
        <v/>
      </c>
      <c r="I60" s="47">
        <f>IF($C60="","",BDP($C60,FLD_YLD12M))</f>
        <v/>
      </c>
      <c r="J60" s="49">
        <f>IF($B60="",0,SUMPRODUCT(('Dvd Calendar'!$E$2144:$AR$2144&gt;=DATE(YEAR_Y,1,1))*('Dvd Calendar'!$E$2144:$AR$2144&lt;=REALIZED_TO)*'Dvd Calendar'!$E$2147:$AR$2147*(('Dvd Calendar'!$E$2149:$AR$2149=TYPE1)*(TYPE1&lt;&gt;"")+('Dvd Calendar'!$E$2149:$AR$2149=TYPE2)*(TYPE2&lt;&gt;"")+('Dvd Calendar'!$E$2149:$AR$2149=TYPE3)*(TYPE3&lt;&gt;"")+('Dvd Calendar'!$E$2149:$AR$2149=TYPE4)*(TYPE4&lt;&gt;"")+('Dvd Calendar'!$E$2149:$AR$2149=SPECIAL_LBL)*(INC_SPECIALS="Y"))))</f>
        <v/>
      </c>
      <c r="K60" s="49">
        <f>IF($B60="",0,SUMIFS('Dvd Calendar'!$E$2152:$AR$2152,'Dvd Calendar'!$E$2151:$AR$2151,"&gt;"&amp;PROJ_FROM,'Dvd Calendar'!$E$2151:$AR$2151,"&lt;="&amp;DATE(YEAR_Y,12,31)))</f>
        <v/>
      </c>
      <c r="L60" s="49">
        <f>IF($B60="",0,IF((OV_SWITCH="ON")*(COUNTIFS(OVR_TICKERS,$C60,OVR_BASE,"&gt;=0")&gt;0)&gt;0,SUMIFS(OVR_BASE,OVR_TICKERS,$C60),$K60))</f>
        <v/>
      </c>
      <c r="M60" s="49">
        <f>IF($B60="",0,IF((OV_SWITCH="ON")*(COUNTIFS(OVR_TICKERS,$C60,OVR_LOW,"&gt;=0")&gt;0)&gt;0,SUMIFS(OVR_LOW,OVR_TICKERS,$C60),$L60))</f>
        <v/>
      </c>
      <c r="N60" s="49">
        <f>IF($B60="",0,IF((OV_SWITCH="ON")*(COUNTIFS(OVR_TICKERS,$C60,OVR_HIGH,"&gt;=0")&gt;0)&gt;0,SUMIFS(OVR_HIGH,OVR_TICKERS,$C60),$L60))</f>
        <v/>
      </c>
      <c r="O60" s="65">
        <f>IF($B60="","",IFERROR($B60*$G60*$J60/$B$3,""))</f>
        <v/>
      </c>
      <c r="P60" s="65">
        <f>IF($B60="","",IFERROR($B60*$G60*$L60/$B$3,""))</f>
        <v/>
      </c>
      <c r="Q60" s="41">
        <f>IF($B60="","",IFERROR($O60+$P60,""))</f>
        <v/>
      </c>
      <c r="R60" s="65">
        <f>IF($B60="","",IFERROR($O60+$B60*$G60*$M60/$B$3,""))</f>
        <v/>
      </c>
      <c r="S60" s="65">
        <f>IF($B60="","",IFERROR($O60+$B60*$G60*$N60/$B$3,""))</f>
        <v/>
      </c>
      <c r="T60" s="80">
        <f>IF($B60="","",IFERROR($Q60/$Q$5,""))</f>
        <v/>
      </c>
      <c r="U60" s="2">
        <f>IF($B60="","",IF(COUNTIFS('Dvd Calendar'!$E$2150:$AR$2150,"&gt;0",'Dvd Calendar'!$E$2150:$AR$2150,"&lt;="&amp;VAL_DATE,'Dvd Calendar'!$E$2151:$AR$2151,"&gt;"&amp;PROJ_FROM,'Dvd Calendar'!$E$2151:$AR$2151,"&lt;="&amp;DATE(YEAR_Y,12,31))-COUNTIFS('Dvd Calendar'!$E$2150:$AR$2150,"&gt;0",'Dvd Calendar'!$E$2150:$AR$2150,"&lt;="&amp;VAL_DATE,'Dvd Calendar'!$E$2151:$AR$2151,"&gt;"&amp;PROJ_FROM,'Dvd Calendar'!$E$2151:$AR$2151,"&lt;="&amp;DATE(YEAR_Y,12,31),'Dvd Calendar'!$E$2152:$AR$2152,"&gt;=0")&gt;0,"TBA amount - override me",IF((OV_SWITCH="ON")*(COUNTIFS(OVR_TICKERS,$C60,OVR_BASE,"&gt;=0")&gt;0)&gt;0,"overridden",IF($J60+$K60=0,"no dividend in year Y",""))))</f>
        <v/>
      </c>
      <c r="V60" s="65">
        <f>IF($B60="","",IFERROR(IF(ISNUMBER($H60),$B60*$G60*$H60/$B$3,0),""))</f>
        <v/>
      </c>
      <c r="W60" s="65">
        <f>IF($B60="","",IFERROR($B60*$G60*$K60/$B$3,""))</f>
        <v/>
      </c>
      <c r="X60" s="91">
        <f>IF($C60="","",BDP($C60,"PX_LAST"))</f>
        <v/>
      </c>
      <c r="Y60" s="65">
        <f>IF($B60="","",IFERROR($B60*$X60/$B$3,""))</f>
        <v/>
      </c>
      <c r="Z60" s="76">
        <f>IF($B60="","",IFERROR($Y60/$Y$5,""))</f>
        <v/>
      </c>
    </row>
    <row r="61">
      <c r="B61" s="89" t="n"/>
      <c r="C61" s="6">
        <f>IF($A61="","",$A61&amp;" Equity")</f>
        <v/>
      </c>
      <c r="D61" s="6">
        <f>IF($C61="","",BDP($C61,"NAME"))</f>
        <v/>
      </c>
      <c r="E61" s="6">
        <f>IF($C61="","",BDP($C61,"GICS_SECTOR_NAME"))</f>
        <v/>
      </c>
      <c r="F61" s="33">
        <f>IF($C61="","",BDP($C61,FLD_CCY))</f>
        <v/>
      </c>
      <c r="G61" s="90">
        <f>IFERROR(IF(LEN($F61)&lt;&gt;3,1,IF($F61="HKD",1,BDP(IF($F61="CNY",RMB_CROSS,$F61)&amp;"HKD Curncy","PX_LAST"))),1)</f>
        <v/>
      </c>
      <c r="H61" s="65">
        <f>IF($C61="","",BDP($C61,FLD_DPS12M))</f>
        <v/>
      </c>
      <c r="I61" s="47">
        <f>IF($C61="","",BDP($C61,FLD_YLD12M))</f>
        <v/>
      </c>
      <c r="J61" s="49">
        <f>IF($B61="",0,SUMPRODUCT(('Dvd Calendar'!$E$2155:$AR$2155&gt;=DATE(YEAR_Y,1,1))*('Dvd Calendar'!$E$2155:$AR$2155&lt;=REALIZED_TO)*'Dvd Calendar'!$E$2158:$AR$2158*(('Dvd Calendar'!$E$2160:$AR$2160=TYPE1)*(TYPE1&lt;&gt;"")+('Dvd Calendar'!$E$2160:$AR$2160=TYPE2)*(TYPE2&lt;&gt;"")+('Dvd Calendar'!$E$2160:$AR$2160=TYPE3)*(TYPE3&lt;&gt;"")+('Dvd Calendar'!$E$2160:$AR$2160=TYPE4)*(TYPE4&lt;&gt;"")+('Dvd Calendar'!$E$2160:$AR$2160=SPECIAL_LBL)*(INC_SPECIALS="Y"))))</f>
        <v/>
      </c>
      <c r="K61" s="49">
        <f>IF($B61="",0,SUMIFS('Dvd Calendar'!$E$2163:$AR$2163,'Dvd Calendar'!$E$2162:$AR$2162,"&gt;"&amp;PROJ_FROM,'Dvd Calendar'!$E$2162:$AR$2162,"&lt;="&amp;DATE(YEAR_Y,12,31)))</f>
        <v/>
      </c>
      <c r="L61" s="49">
        <f>IF($B61="",0,IF((OV_SWITCH="ON")*(COUNTIFS(OVR_TICKERS,$C61,OVR_BASE,"&gt;=0")&gt;0)&gt;0,SUMIFS(OVR_BASE,OVR_TICKERS,$C61),$K61))</f>
        <v/>
      </c>
      <c r="M61" s="49">
        <f>IF($B61="",0,IF((OV_SWITCH="ON")*(COUNTIFS(OVR_TICKERS,$C61,OVR_LOW,"&gt;=0")&gt;0)&gt;0,SUMIFS(OVR_LOW,OVR_TICKERS,$C61),$L61))</f>
        <v/>
      </c>
      <c r="N61" s="49">
        <f>IF($B61="",0,IF((OV_SWITCH="ON")*(COUNTIFS(OVR_TICKERS,$C61,OVR_HIGH,"&gt;=0")&gt;0)&gt;0,SUMIFS(OVR_HIGH,OVR_TICKERS,$C61),$L61))</f>
        <v/>
      </c>
      <c r="O61" s="65">
        <f>IF($B61="","",IFERROR($B61*$G61*$J61/$B$3,""))</f>
        <v/>
      </c>
      <c r="P61" s="65">
        <f>IF($B61="","",IFERROR($B61*$G61*$L61/$B$3,""))</f>
        <v/>
      </c>
      <c r="Q61" s="41">
        <f>IF($B61="","",IFERROR($O61+$P61,""))</f>
        <v/>
      </c>
      <c r="R61" s="65">
        <f>IF($B61="","",IFERROR($O61+$B61*$G61*$M61/$B$3,""))</f>
        <v/>
      </c>
      <c r="S61" s="65">
        <f>IF($B61="","",IFERROR($O61+$B61*$G61*$N61/$B$3,""))</f>
        <v/>
      </c>
      <c r="T61" s="80">
        <f>IF($B61="","",IFERROR($Q61/$Q$5,""))</f>
        <v/>
      </c>
      <c r="U61" s="2">
        <f>IF($B61="","",IF(COUNTIFS('Dvd Calendar'!$E$2161:$AR$2161,"&gt;0",'Dvd Calendar'!$E$2161:$AR$2161,"&lt;="&amp;VAL_DATE,'Dvd Calendar'!$E$2162:$AR$2162,"&gt;"&amp;PROJ_FROM,'Dvd Calendar'!$E$2162:$AR$2162,"&lt;="&amp;DATE(YEAR_Y,12,31))-COUNTIFS('Dvd Calendar'!$E$2161:$AR$2161,"&gt;0",'Dvd Calendar'!$E$2161:$AR$2161,"&lt;="&amp;VAL_DATE,'Dvd Calendar'!$E$2162:$AR$2162,"&gt;"&amp;PROJ_FROM,'Dvd Calendar'!$E$2162:$AR$2162,"&lt;="&amp;DATE(YEAR_Y,12,31),'Dvd Calendar'!$E$2163:$AR$2163,"&gt;=0")&gt;0,"TBA amount - override me",IF((OV_SWITCH="ON")*(COUNTIFS(OVR_TICKERS,$C61,OVR_BASE,"&gt;=0")&gt;0)&gt;0,"overridden",IF($J61+$K61=0,"no dividend in year Y",""))))</f>
        <v/>
      </c>
      <c r="V61" s="65">
        <f>IF($B61="","",IFERROR(IF(ISNUMBER($H61),$B61*$G61*$H61/$B$3,0),""))</f>
        <v/>
      </c>
      <c r="W61" s="65">
        <f>IF($B61="","",IFERROR($B61*$G61*$K61/$B$3,""))</f>
        <v/>
      </c>
      <c r="X61" s="91">
        <f>IF($C61="","",BDP($C61,"PX_LAST"))</f>
        <v/>
      </c>
      <c r="Y61" s="65">
        <f>IF($B61="","",IFERROR($B61*$X61/$B$3,""))</f>
        <v/>
      </c>
      <c r="Z61" s="76">
        <f>IF($B61="","",IFERROR($Y61/$Y$5,""))</f>
        <v/>
      </c>
    </row>
    <row r="62">
      <c r="B62" s="89" t="n"/>
      <c r="C62" s="6">
        <f>IF($A62="","",$A62&amp;" Equity")</f>
        <v/>
      </c>
      <c r="D62" s="6">
        <f>IF($C62="","",BDP($C62,"NAME"))</f>
        <v/>
      </c>
      <c r="E62" s="6">
        <f>IF($C62="","",BDP($C62,"GICS_SECTOR_NAME"))</f>
        <v/>
      </c>
      <c r="F62" s="33">
        <f>IF($C62="","",BDP($C62,FLD_CCY))</f>
        <v/>
      </c>
      <c r="G62" s="90">
        <f>IFERROR(IF(LEN($F62)&lt;&gt;3,1,IF($F62="HKD",1,BDP(IF($F62="CNY",RMB_CROSS,$F62)&amp;"HKD Curncy","PX_LAST"))),1)</f>
        <v/>
      </c>
      <c r="H62" s="65">
        <f>IF($C62="","",BDP($C62,FLD_DPS12M))</f>
        <v/>
      </c>
      <c r="I62" s="47">
        <f>IF($C62="","",BDP($C62,FLD_YLD12M))</f>
        <v/>
      </c>
      <c r="J62" s="49">
        <f>IF($B62="",0,SUMPRODUCT(('Dvd Calendar'!$E$2166:$AR$2166&gt;=DATE(YEAR_Y,1,1))*('Dvd Calendar'!$E$2166:$AR$2166&lt;=REALIZED_TO)*'Dvd Calendar'!$E$2169:$AR$2169*(('Dvd Calendar'!$E$2171:$AR$2171=TYPE1)*(TYPE1&lt;&gt;"")+('Dvd Calendar'!$E$2171:$AR$2171=TYPE2)*(TYPE2&lt;&gt;"")+('Dvd Calendar'!$E$2171:$AR$2171=TYPE3)*(TYPE3&lt;&gt;"")+('Dvd Calendar'!$E$2171:$AR$2171=TYPE4)*(TYPE4&lt;&gt;"")+('Dvd Calendar'!$E$2171:$AR$2171=SPECIAL_LBL)*(INC_SPECIALS="Y"))))</f>
        <v/>
      </c>
      <c r="K62" s="49">
        <f>IF($B62="",0,SUMIFS('Dvd Calendar'!$E$2174:$AR$2174,'Dvd Calendar'!$E$2173:$AR$2173,"&gt;"&amp;PROJ_FROM,'Dvd Calendar'!$E$2173:$AR$2173,"&lt;="&amp;DATE(YEAR_Y,12,31)))</f>
        <v/>
      </c>
      <c r="L62" s="49">
        <f>IF($B62="",0,IF((OV_SWITCH="ON")*(COUNTIFS(OVR_TICKERS,$C62,OVR_BASE,"&gt;=0")&gt;0)&gt;0,SUMIFS(OVR_BASE,OVR_TICKERS,$C62),$K62))</f>
        <v/>
      </c>
      <c r="M62" s="49">
        <f>IF($B62="",0,IF((OV_SWITCH="ON")*(COUNTIFS(OVR_TICKERS,$C62,OVR_LOW,"&gt;=0")&gt;0)&gt;0,SUMIFS(OVR_LOW,OVR_TICKERS,$C62),$L62))</f>
        <v/>
      </c>
      <c r="N62" s="49">
        <f>IF($B62="",0,IF((OV_SWITCH="ON")*(COUNTIFS(OVR_TICKERS,$C62,OVR_HIGH,"&gt;=0")&gt;0)&gt;0,SUMIFS(OVR_HIGH,OVR_TICKERS,$C62),$L62))</f>
        <v/>
      </c>
      <c r="O62" s="65">
        <f>IF($B62="","",IFERROR($B62*$G62*$J62/$B$3,""))</f>
        <v/>
      </c>
      <c r="P62" s="65">
        <f>IF($B62="","",IFERROR($B62*$G62*$L62/$B$3,""))</f>
        <v/>
      </c>
      <c r="Q62" s="41">
        <f>IF($B62="","",IFERROR($O62+$P62,""))</f>
        <v/>
      </c>
      <c r="R62" s="65">
        <f>IF($B62="","",IFERROR($O62+$B62*$G62*$M62/$B$3,""))</f>
        <v/>
      </c>
      <c r="S62" s="65">
        <f>IF($B62="","",IFERROR($O62+$B62*$G62*$N62/$B$3,""))</f>
        <v/>
      </c>
      <c r="T62" s="80">
        <f>IF($B62="","",IFERROR($Q62/$Q$5,""))</f>
        <v/>
      </c>
      <c r="U62" s="2">
        <f>IF($B62="","",IF(COUNTIFS('Dvd Calendar'!$E$2172:$AR$2172,"&gt;0",'Dvd Calendar'!$E$2172:$AR$2172,"&lt;="&amp;VAL_DATE,'Dvd Calendar'!$E$2173:$AR$2173,"&gt;"&amp;PROJ_FROM,'Dvd Calendar'!$E$2173:$AR$2173,"&lt;="&amp;DATE(YEAR_Y,12,31))-COUNTIFS('Dvd Calendar'!$E$2172:$AR$2172,"&gt;0",'Dvd Calendar'!$E$2172:$AR$2172,"&lt;="&amp;VAL_DATE,'Dvd Calendar'!$E$2173:$AR$2173,"&gt;"&amp;PROJ_FROM,'Dvd Calendar'!$E$2173:$AR$2173,"&lt;="&amp;DATE(YEAR_Y,12,31),'Dvd Calendar'!$E$2174:$AR$2174,"&gt;=0")&gt;0,"TBA amount - override me",IF((OV_SWITCH="ON")*(COUNTIFS(OVR_TICKERS,$C62,OVR_BASE,"&gt;=0")&gt;0)&gt;0,"overridden",IF($J62+$K62=0,"no dividend in year Y",""))))</f>
        <v/>
      </c>
      <c r="V62" s="65">
        <f>IF($B62="","",IFERROR(IF(ISNUMBER($H62),$B62*$G62*$H62/$B$3,0),""))</f>
        <v/>
      </c>
      <c r="W62" s="65">
        <f>IF($B62="","",IFERROR($B62*$G62*$K62/$B$3,""))</f>
        <v/>
      </c>
      <c r="X62" s="91">
        <f>IF($C62="","",BDP($C62,"PX_LAST"))</f>
        <v/>
      </c>
      <c r="Y62" s="65">
        <f>IF($B62="","",IFERROR($B62*$X62/$B$3,""))</f>
        <v/>
      </c>
      <c r="Z62" s="76">
        <f>IF($B62="","",IFERROR($Y62/$Y$5,""))</f>
        <v/>
      </c>
    </row>
    <row r="63">
      <c r="B63" s="89" t="n"/>
      <c r="C63" s="6">
        <f>IF($A63="","",$A63&amp;" Equity")</f>
        <v/>
      </c>
      <c r="D63" s="6">
        <f>IF($C63="","",BDP($C63,"NAME"))</f>
        <v/>
      </c>
      <c r="E63" s="6">
        <f>IF($C63="","",BDP($C63,"GICS_SECTOR_NAME"))</f>
        <v/>
      </c>
      <c r="F63" s="33">
        <f>IF($C63="","",BDP($C63,FLD_CCY))</f>
        <v/>
      </c>
      <c r="G63" s="90">
        <f>IFERROR(IF(LEN($F63)&lt;&gt;3,1,IF($F63="HKD",1,BDP(IF($F63="CNY",RMB_CROSS,$F63)&amp;"HKD Curncy","PX_LAST"))),1)</f>
        <v/>
      </c>
      <c r="H63" s="65">
        <f>IF($C63="","",BDP($C63,FLD_DPS12M))</f>
        <v/>
      </c>
      <c r="I63" s="47">
        <f>IF($C63="","",BDP($C63,FLD_YLD12M))</f>
        <v/>
      </c>
      <c r="J63" s="49">
        <f>IF($B63="",0,SUMPRODUCT(('Dvd Calendar'!$E$2177:$AR$2177&gt;=DATE(YEAR_Y,1,1))*('Dvd Calendar'!$E$2177:$AR$2177&lt;=REALIZED_TO)*'Dvd Calendar'!$E$2180:$AR$2180*(('Dvd Calendar'!$E$2182:$AR$2182=TYPE1)*(TYPE1&lt;&gt;"")+('Dvd Calendar'!$E$2182:$AR$2182=TYPE2)*(TYPE2&lt;&gt;"")+('Dvd Calendar'!$E$2182:$AR$2182=TYPE3)*(TYPE3&lt;&gt;"")+('Dvd Calendar'!$E$2182:$AR$2182=TYPE4)*(TYPE4&lt;&gt;"")+('Dvd Calendar'!$E$2182:$AR$2182=SPECIAL_LBL)*(INC_SPECIALS="Y"))))</f>
        <v/>
      </c>
      <c r="K63" s="49">
        <f>IF($B63="",0,SUMIFS('Dvd Calendar'!$E$2185:$AR$2185,'Dvd Calendar'!$E$2184:$AR$2184,"&gt;"&amp;PROJ_FROM,'Dvd Calendar'!$E$2184:$AR$2184,"&lt;="&amp;DATE(YEAR_Y,12,31)))</f>
        <v/>
      </c>
      <c r="L63" s="49">
        <f>IF($B63="",0,IF((OV_SWITCH="ON")*(COUNTIFS(OVR_TICKERS,$C63,OVR_BASE,"&gt;=0")&gt;0)&gt;0,SUMIFS(OVR_BASE,OVR_TICKERS,$C63),$K63))</f>
        <v/>
      </c>
      <c r="M63" s="49">
        <f>IF($B63="",0,IF((OV_SWITCH="ON")*(COUNTIFS(OVR_TICKERS,$C63,OVR_LOW,"&gt;=0")&gt;0)&gt;0,SUMIFS(OVR_LOW,OVR_TICKERS,$C63),$L63))</f>
        <v/>
      </c>
      <c r="N63" s="49">
        <f>IF($B63="",0,IF((OV_SWITCH="ON")*(COUNTIFS(OVR_TICKERS,$C63,OVR_HIGH,"&gt;=0")&gt;0)&gt;0,SUMIFS(OVR_HIGH,OVR_TICKERS,$C63),$L63))</f>
        <v/>
      </c>
      <c r="O63" s="65">
        <f>IF($B63="","",IFERROR($B63*$G63*$J63/$B$3,""))</f>
        <v/>
      </c>
      <c r="P63" s="65">
        <f>IF($B63="","",IFERROR($B63*$G63*$L63/$B$3,""))</f>
        <v/>
      </c>
      <c r="Q63" s="41">
        <f>IF($B63="","",IFERROR($O63+$P63,""))</f>
        <v/>
      </c>
      <c r="R63" s="65">
        <f>IF($B63="","",IFERROR($O63+$B63*$G63*$M63/$B$3,""))</f>
        <v/>
      </c>
      <c r="S63" s="65">
        <f>IF($B63="","",IFERROR($O63+$B63*$G63*$N63/$B$3,""))</f>
        <v/>
      </c>
      <c r="T63" s="80">
        <f>IF($B63="","",IFERROR($Q63/$Q$5,""))</f>
        <v/>
      </c>
      <c r="U63" s="2">
        <f>IF($B63="","",IF(COUNTIFS('Dvd Calendar'!$E$2183:$AR$2183,"&gt;0",'Dvd Calendar'!$E$2183:$AR$2183,"&lt;="&amp;VAL_DATE,'Dvd Calendar'!$E$2184:$AR$2184,"&gt;"&amp;PROJ_FROM,'Dvd Calendar'!$E$2184:$AR$2184,"&lt;="&amp;DATE(YEAR_Y,12,31))-COUNTIFS('Dvd Calendar'!$E$2183:$AR$2183,"&gt;0",'Dvd Calendar'!$E$2183:$AR$2183,"&lt;="&amp;VAL_DATE,'Dvd Calendar'!$E$2184:$AR$2184,"&gt;"&amp;PROJ_FROM,'Dvd Calendar'!$E$2184:$AR$2184,"&lt;="&amp;DATE(YEAR_Y,12,31),'Dvd Calendar'!$E$2185:$AR$2185,"&gt;=0")&gt;0,"TBA amount - override me",IF((OV_SWITCH="ON")*(COUNTIFS(OVR_TICKERS,$C63,OVR_BASE,"&gt;=0")&gt;0)&gt;0,"overridden",IF($J63+$K63=0,"no dividend in year Y",""))))</f>
        <v/>
      </c>
      <c r="V63" s="65">
        <f>IF($B63="","",IFERROR(IF(ISNUMBER($H63),$B63*$G63*$H63/$B$3,0),""))</f>
        <v/>
      </c>
      <c r="W63" s="65">
        <f>IF($B63="","",IFERROR($B63*$G63*$K63/$B$3,""))</f>
        <v/>
      </c>
      <c r="X63" s="91">
        <f>IF($C63="","",BDP($C63,"PX_LAST"))</f>
        <v/>
      </c>
      <c r="Y63" s="65">
        <f>IF($B63="","",IFERROR($B63*$X63/$B$3,""))</f>
        <v/>
      </c>
      <c r="Z63" s="76">
        <f>IF($B63="","",IFERROR($Y63/$Y$5,""))</f>
        <v/>
      </c>
    </row>
    <row r="64">
      <c r="B64" s="89" t="n"/>
      <c r="C64" s="6">
        <f>IF($A64="","",$A64&amp;" Equity")</f>
        <v/>
      </c>
      <c r="D64" s="6">
        <f>IF($C64="","",BDP($C64,"NAME"))</f>
        <v/>
      </c>
      <c r="E64" s="6">
        <f>IF($C64="","",BDP($C64,"GICS_SECTOR_NAME"))</f>
        <v/>
      </c>
      <c r="F64" s="33">
        <f>IF($C64="","",BDP($C64,FLD_CCY))</f>
        <v/>
      </c>
      <c r="G64" s="90">
        <f>IFERROR(IF(LEN($F64)&lt;&gt;3,1,IF($F64="HKD",1,BDP(IF($F64="CNY",RMB_CROSS,$F64)&amp;"HKD Curncy","PX_LAST"))),1)</f>
        <v/>
      </c>
      <c r="H64" s="65">
        <f>IF($C64="","",BDP($C64,FLD_DPS12M))</f>
        <v/>
      </c>
      <c r="I64" s="47">
        <f>IF($C64="","",BDP($C64,FLD_YLD12M))</f>
        <v/>
      </c>
      <c r="J64" s="49">
        <f>IF($B64="",0,SUMPRODUCT(('Dvd Calendar'!$E$2188:$AR$2188&gt;=DATE(YEAR_Y,1,1))*('Dvd Calendar'!$E$2188:$AR$2188&lt;=REALIZED_TO)*'Dvd Calendar'!$E$2191:$AR$2191*(('Dvd Calendar'!$E$2193:$AR$2193=TYPE1)*(TYPE1&lt;&gt;"")+('Dvd Calendar'!$E$2193:$AR$2193=TYPE2)*(TYPE2&lt;&gt;"")+('Dvd Calendar'!$E$2193:$AR$2193=TYPE3)*(TYPE3&lt;&gt;"")+('Dvd Calendar'!$E$2193:$AR$2193=TYPE4)*(TYPE4&lt;&gt;"")+('Dvd Calendar'!$E$2193:$AR$2193=SPECIAL_LBL)*(INC_SPECIALS="Y"))))</f>
        <v/>
      </c>
      <c r="K64" s="49">
        <f>IF($B64="",0,SUMIFS('Dvd Calendar'!$E$2196:$AR$2196,'Dvd Calendar'!$E$2195:$AR$2195,"&gt;"&amp;PROJ_FROM,'Dvd Calendar'!$E$2195:$AR$2195,"&lt;="&amp;DATE(YEAR_Y,12,31)))</f>
        <v/>
      </c>
      <c r="L64" s="49">
        <f>IF($B64="",0,IF((OV_SWITCH="ON")*(COUNTIFS(OVR_TICKERS,$C64,OVR_BASE,"&gt;=0")&gt;0)&gt;0,SUMIFS(OVR_BASE,OVR_TICKERS,$C64),$K64))</f>
        <v/>
      </c>
      <c r="M64" s="49">
        <f>IF($B64="",0,IF((OV_SWITCH="ON")*(COUNTIFS(OVR_TICKERS,$C64,OVR_LOW,"&gt;=0")&gt;0)&gt;0,SUMIFS(OVR_LOW,OVR_TICKERS,$C64),$L64))</f>
        <v/>
      </c>
      <c r="N64" s="49">
        <f>IF($B64="",0,IF((OV_SWITCH="ON")*(COUNTIFS(OVR_TICKERS,$C64,OVR_HIGH,"&gt;=0")&gt;0)&gt;0,SUMIFS(OVR_HIGH,OVR_TICKERS,$C64),$L64))</f>
        <v/>
      </c>
      <c r="O64" s="65">
        <f>IF($B64="","",IFERROR($B64*$G64*$J64/$B$3,""))</f>
        <v/>
      </c>
      <c r="P64" s="65">
        <f>IF($B64="","",IFERROR($B64*$G64*$L64/$B$3,""))</f>
        <v/>
      </c>
      <c r="Q64" s="41">
        <f>IF($B64="","",IFERROR($O64+$P64,""))</f>
        <v/>
      </c>
      <c r="R64" s="65">
        <f>IF($B64="","",IFERROR($O64+$B64*$G64*$M64/$B$3,""))</f>
        <v/>
      </c>
      <c r="S64" s="65">
        <f>IF($B64="","",IFERROR($O64+$B64*$G64*$N64/$B$3,""))</f>
        <v/>
      </c>
      <c r="T64" s="80">
        <f>IF($B64="","",IFERROR($Q64/$Q$5,""))</f>
        <v/>
      </c>
      <c r="U64" s="2">
        <f>IF($B64="","",IF(COUNTIFS('Dvd Calendar'!$E$2194:$AR$2194,"&gt;0",'Dvd Calendar'!$E$2194:$AR$2194,"&lt;="&amp;VAL_DATE,'Dvd Calendar'!$E$2195:$AR$2195,"&gt;"&amp;PROJ_FROM,'Dvd Calendar'!$E$2195:$AR$2195,"&lt;="&amp;DATE(YEAR_Y,12,31))-COUNTIFS('Dvd Calendar'!$E$2194:$AR$2194,"&gt;0",'Dvd Calendar'!$E$2194:$AR$2194,"&lt;="&amp;VAL_DATE,'Dvd Calendar'!$E$2195:$AR$2195,"&gt;"&amp;PROJ_FROM,'Dvd Calendar'!$E$2195:$AR$2195,"&lt;="&amp;DATE(YEAR_Y,12,31),'Dvd Calendar'!$E$2196:$AR$2196,"&gt;=0")&gt;0,"TBA amount - override me",IF((OV_SWITCH="ON")*(COUNTIFS(OVR_TICKERS,$C64,OVR_BASE,"&gt;=0")&gt;0)&gt;0,"overridden",IF($J64+$K64=0,"no dividend in year Y",""))))</f>
        <v/>
      </c>
      <c r="V64" s="65">
        <f>IF($B64="","",IFERROR(IF(ISNUMBER($H64),$B64*$G64*$H64/$B$3,0),""))</f>
        <v/>
      </c>
      <c r="W64" s="65">
        <f>IF($B64="","",IFERROR($B64*$G64*$K64/$B$3,""))</f>
        <v/>
      </c>
      <c r="X64" s="91">
        <f>IF($C64="","",BDP($C64,"PX_LAST"))</f>
        <v/>
      </c>
      <c r="Y64" s="65">
        <f>IF($B64="","",IFERROR($B64*$X64/$B$3,""))</f>
        <v/>
      </c>
      <c r="Z64" s="76">
        <f>IF($B64="","",IFERROR($Y64/$Y$5,""))</f>
        <v/>
      </c>
    </row>
    <row r="65">
      <c r="B65" s="89" t="n"/>
      <c r="C65" s="6">
        <f>IF($A65="","",$A65&amp;" Equity")</f>
        <v/>
      </c>
      <c r="D65" s="6">
        <f>IF($C65="","",BDP($C65,"NAME"))</f>
        <v/>
      </c>
      <c r="E65" s="6">
        <f>IF($C65="","",BDP($C65,"GICS_SECTOR_NAME"))</f>
        <v/>
      </c>
      <c r="F65" s="33">
        <f>IF($C65="","",BDP($C65,FLD_CCY))</f>
        <v/>
      </c>
      <c r="G65" s="90">
        <f>IFERROR(IF(LEN($F65)&lt;&gt;3,1,IF($F65="HKD",1,BDP(IF($F65="CNY",RMB_CROSS,$F65)&amp;"HKD Curncy","PX_LAST"))),1)</f>
        <v/>
      </c>
      <c r="H65" s="65">
        <f>IF($C65="","",BDP($C65,FLD_DPS12M))</f>
        <v/>
      </c>
      <c r="I65" s="47">
        <f>IF($C65="","",BDP($C65,FLD_YLD12M))</f>
        <v/>
      </c>
      <c r="J65" s="49">
        <f>IF($B65="",0,SUMPRODUCT(('Dvd Calendar'!$E$2199:$AR$2199&gt;=DATE(YEAR_Y,1,1))*('Dvd Calendar'!$E$2199:$AR$2199&lt;=REALIZED_TO)*'Dvd Calendar'!$E$2202:$AR$2202*(('Dvd Calendar'!$E$2204:$AR$2204=TYPE1)*(TYPE1&lt;&gt;"")+('Dvd Calendar'!$E$2204:$AR$2204=TYPE2)*(TYPE2&lt;&gt;"")+('Dvd Calendar'!$E$2204:$AR$2204=TYPE3)*(TYPE3&lt;&gt;"")+('Dvd Calendar'!$E$2204:$AR$2204=TYPE4)*(TYPE4&lt;&gt;"")+('Dvd Calendar'!$E$2204:$AR$2204=SPECIAL_LBL)*(INC_SPECIALS="Y"))))</f>
        <v/>
      </c>
      <c r="K65" s="49">
        <f>IF($B65="",0,SUMIFS('Dvd Calendar'!$E$2207:$AR$2207,'Dvd Calendar'!$E$2206:$AR$2206,"&gt;"&amp;PROJ_FROM,'Dvd Calendar'!$E$2206:$AR$2206,"&lt;="&amp;DATE(YEAR_Y,12,31)))</f>
        <v/>
      </c>
      <c r="L65" s="49">
        <f>IF($B65="",0,IF((OV_SWITCH="ON")*(COUNTIFS(OVR_TICKERS,$C65,OVR_BASE,"&gt;=0")&gt;0)&gt;0,SUMIFS(OVR_BASE,OVR_TICKERS,$C65),$K65))</f>
        <v/>
      </c>
      <c r="M65" s="49">
        <f>IF($B65="",0,IF((OV_SWITCH="ON")*(COUNTIFS(OVR_TICKERS,$C65,OVR_LOW,"&gt;=0")&gt;0)&gt;0,SUMIFS(OVR_LOW,OVR_TICKERS,$C65),$L65))</f>
        <v/>
      </c>
      <c r="N65" s="49">
        <f>IF($B65="",0,IF((OV_SWITCH="ON")*(COUNTIFS(OVR_TICKERS,$C65,OVR_HIGH,"&gt;=0")&gt;0)&gt;0,SUMIFS(OVR_HIGH,OVR_TICKERS,$C65),$L65))</f>
        <v/>
      </c>
      <c r="O65" s="65">
        <f>IF($B65="","",IFERROR($B65*$G65*$J65/$B$3,""))</f>
        <v/>
      </c>
      <c r="P65" s="65">
        <f>IF($B65="","",IFERROR($B65*$G65*$L65/$B$3,""))</f>
        <v/>
      </c>
      <c r="Q65" s="41">
        <f>IF($B65="","",IFERROR($O65+$P65,""))</f>
        <v/>
      </c>
      <c r="R65" s="65">
        <f>IF($B65="","",IFERROR($O65+$B65*$G65*$M65/$B$3,""))</f>
        <v/>
      </c>
      <c r="S65" s="65">
        <f>IF($B65="","",IFERROR($O65+$B65*$G65*$N65/$B$3,""))</f>
        <v/>
      </c>
      <c r="T65" s="80">
        <f>IF($B65="","",IFERROR($Q65/$Q$5,""))</f>
        <v/>
      </c>
      <c r="U65" s="2">
        <f>IF($B65="","",IF(COUNTIFS('Dvd Calendar'!$E$2205:$AR$2205,"&gt;0",'Dvd Calendar'!$E$2205:$AR$2205,"&lt;="&amp;VAL_DATE,'Dvd Calendar'!$E$2206:$AR$2206,"&gt;"&amp;PROJ_FROM,'Dvd Calendar'!$E$2206:$AR$2206,"&lt;="&amp;DATE(YEAR_Y,12,31))-COUNTIFS('Dvd Calendar'!$E$2205:$AR$2205,"&gt;0",'Dvd Calendar'!$E$2205:$AR$2205,"&lt;="&amp;VAL_DATE,'Dvd Calendar'!$E$2206:$AR$2206,"&gt;"&amp;PROJ_FROM,'Dvd Calendar'!$E$2206:$AR$2206,"&lt;="&amp;DATE(YEAR_Y,12,31),'Dvd Calendar'!$E$2207:$AR$2207,"&gt;=0")&gt;0,"TBA amount - override me",IF((OV_SWITCH="ON")*(COUNTIFS(OVR_TICKERS,$C65,OVR_BASE,"&gt;=0")&gt;0)&gt;0,"overridden",IF($J65+$K65=0,"no dividend in year Y",""))))</f>
        <v/>
      </c>
      <c r="V65" s="65">
        <f>IF($B65="","",IFERROR(IF(ISNUMBER($H65),$B65*$G65*$H65/$B$3,0),""))</f>
        <v/>
      </c>
      <c r="W65" s="65">
        <f>IF($B65="","",IFERROR($B65*$G65*$K65/$B$3,""))</f>
        <v/>
      </c>
      <c r="X65" s="91">
        <f>IF($C65="","",BDP($C65,"PX_LAST"))</f>
        <v/>
      </c>
      <c r="Y65" s="65">
        <f>IF($B65="","",IFERROR($B65*$X65/$B$3,""))</f>
        <v/>
      </c>
      <c r="Z65" s="76">
        <f>IF($B65="","",IFERROR($Y65/$Y$5,""))</f>
        <v/>
      </c>
    </row>
    <row r="66">
      <c r="B66" s="89" t="n"/>
      <c r="C66" s="6">
        <f>IF($A66="","",$A66&amp;" Equity")</f>
        <v/>
      </c>
      <c r="D66" s="6">
        <f>IF($C66="","",BDP($C66,"NAME"))</f>
        <v/>
      </c>
      <c r="E66" s="6">
        <f>IF($C66="","",BDP($C66,"GICS_SECTOR_NAME"))</f>
        <v/>
      </c>
      <c r="F66" s="33">
        <f>IF($C66="","",BDP($C66,FLD_CCY))</f>
        <v/>
      </c>
      <c r="G66" s="90">
        <f>IFERROR(IF(LEN($F66)&lt;&gt;3,1,IF($F66="HKD",1,BDP(IF($F66="CNY",RMB_CROSS,$F66)&amp;"HKD Curncy","PX_LAST"))),1)</f>
        <v/>
      </c>
      <c r="H66" s="65">
        <f>IF($C66="","",BDP($C66,FLD_DPS12M))</f>
        <v/>
      </c>
      <c r="I66" s="47">
        <f>IF($C66="","",BDP($C66,FLD_YLD12M))</f>
        <v/>
      </c>
      <c r="J66" s="49">
        <f>IF($B66="",0,SUMPRODUCT(('Dvd Calendar'!$E$2210:$AR$2210&gt;=DATE(YEAR_Y,1,1))*('Dvd Calendar'!$E$2210:$AR$2210&lt;=REALIZED_TO)*'Dvd Calendar'!$E$2213:$AR$2213*(('Dvd Calendar'!$E$2215:$AR$2215=TYPE1)*(TYPE1&lt;&gt;"")+('Dvd Calendar'!$E$2215:$AR$2215=TYPE2)*(TYPE2&lt;&gt;"")+('Dvd Calendar'!$E$2215:$AR$2215=TYPE3)*(TYPE3&lt;&gt;"")+('Dvd Calendar'!$E$2215:$AR$2215=TYPE4)*(TYPE4&lt;&gt;"")+('Dvd Calendar'!$E$2215:$AR$2215=SPECIAL_LBL)*(INC_SPECIALS="Y"))))</f>
        <v/>
      </c>
      <c r="K66" s="49">
        <f>IF($B66="",0,SUMIFS('Dvd Calendar'!$E$2218:$AR$2218,'Dvd Calendar'!$E$2217:$AR$2217,"&gt;"&amp;PROJ_FROM,'Dvd Calendar'!$E$2217:$AR$2217,"&lt;="&amp;DATE(YEAR_Y,12,31)))</f>
        <v/>
      </c>
      <c r="L66" s="49">
        <f>IF($B66="",0,IF((OV_SWITCH="ON")*(COUNTIFS(OVR_TICKERS,$C66,OVR_BASE,"&gt;=0")&gt;0)&gt;0,SUMIFS(OVR_BASE,OVR_TICKERS,$C66),$K66))</f>
        <v/>
      </c>
      <c r="M66" s="49">
        <f>IF($B66="",0,IF((OV_SWITCH="ON")*(COUNTIFS(OVR_TICKERS,$C66,OVR_LOW,"&gt;=0")&gt;0)&gt;0,SUMIFS(OVR_LOW,OVR_TICKERS,$C66),$L66))</f>
        <v/>
      </c>
      <c r="N66" s="49">
        <f>IF($B66="",0,IF((OV_SWITCH="ON")*(COUNTIFS(OVR_TICKERS,$C66,OVR_HIGH,"&gt;=0")&gt;0)&gt;0,SUMIFS(OVR_HIGH,OVR_TICKERS,$C66),$L66))</f>
        <v/>
      </c>
      <c r="O66" s="65">
        <f>IF($B66="","",IFERROR($B66*$G66*$J66/$B$3,""))</f>
        <v/>
      </c>
      <c r="P66" s="65">
        <f>IF($B66="","",IFERROR($B66*$G66*$L66/$B$3,""))</f>
        <v/>
      </c>
      <c r="Q66" s="41">
        <f>IF($B66="","",IFERROR($O66+$P66,""))</f>
        <v/>
      </c>
      <c r="R66" s="65">
        <f>IF($B66="","",IFERROR($O66+$B66*$G66*$M66/$B$3,""))</f>
        <v/>
      </c>
      <c r="S66" s="65">
        <f>IF($B66="","",IFERROR($O66+$B66*$G66*$N66/$B$3,""))</f>
        <v/>
      </c>
      <c r="T66" s="80">
        <f>IF($B66="","",IFERROR($Q66/$Q$5,""))</f>
        <v/>
      </c>
      <c r="U66" s="2">
        <f>IF($B66="","",IF(COUNTIFS('Dvd Calendar'!$E$2216:$AR$2216,"&gt;0",'Dvd Calendar'!$E$2216:$AR$2216,"&lt;="&amp;VAL_DATE,'Dvd Calendar'!$E$2217:$AR$2217,"&gt;"&amp;PROJ_FROM,'Dvd Calendar'!$E$2217:$AR$2217,"&lt;="&amp;DATE(YEAR_Y,12,31))-COUNTIFS('Dvd Calendar'!$E$2216:$AR$2216,"&gt;0",'Dvd Calendar'!$E$2216:$AR$2216,"&lt;="&amp;VAL_DATE,'Dvd Calendar'!$E$2217:$AR$2217,"&gt;"&amp;PROJ_FROM,'Dvd Calendar'!$E$2217:$AR$2217,"&lt;="&amp;DATE(YEAR_Y,12,31),'Dvd Calendar'!$E$2218:$AR$2218,"&gt;=0")&gt;0,"TBA amount - override me",IF((OV_SWITCH="ON")*(COUNTIFS(OVR_TICKERS,$C66,OVR_BASE,"&gt;=0")&gt;0)&gt;0,"overridden",IF($J66+$K66=0,"no dividend in year Y",""))))</f>
        <v/>
      </c>
      <c r="V66" s="65">
        <f>IF($B66="","",IFERROR(IF(ISNUMBER($H66),$B66*$G66*$H66/$B$3,0),""))</f>
        <v/>
      </c>
      <c r="W66" s="65">
        <f>IF($B66="","",IFERROR($B66*$G66*$K66/$B$3,""))</f>
        <v/>
      </c>
      <c r="X66" s="91">
        <f>IF($C66="","",BDP($C66,"PX_LAST"))</f>
        <v/>
      </c>
      <c r="Y66" s="65">
        <f>IF($B66="","",IFERROR($B66*$X66/$B$3,""))</f>
        <v/>
      </c>
      <c r="Z66" s="76">
        <f>IF($B66="","",IFERROR($Y66/$Y$5,""))</f>
        <v/>
      </c>
    </row>
  </sheetData>
  <autoFilter ref="A6:Z66"/>
  <conditionalFormatting sqref="U7:U66">
    <cfRule type="expression" priority="1" dxfId="0">
      <formula>ISNUMBER(SEARCH("TBA",$U7))</formula>
    </cfRule>
  </conditionalFormatting>
  <pageMargins left="0.75" right="0.75" top="1" bottom="1" header="0.5" footer="0.5"/>
</worksheet>
</file>

<file path=xl/worksheets/sheet10.xml><?xml version="1.0" encoding="utf-8"?>
<worksheet xmlns="http://schemas.openxmlformats.org/spreadsheetml/2006/main">
  <sheetPr>
    <tabColor rgb="00FFD966"/>
    <outlinePr summaryBelow="1" summaryRight="1"/>
    <pageSetUpPr/>
  </sheetPr>
  <dimension ref="B1:F59"/>
  <sheetViews>
    <sheetView workbookViewId="0">
      <selection activeCell="A1" sqref="A1"/>
    </sheetView>
  </sheetViews>
  <sheetFormatPr baseColWidth="8" defaultRowHeight="15"/>
  <cols>
    <col width="3" customWidth="1" min="1" max="1"/>
    <col width="32" customWidth="1" min="2" max="2"/>
    <col width="30" customWidth="1" min="3" max="3"/>
    <col width="15" customWidth="1" min="4" max="4"/>
    <col width="14" customWidth="1" min="5" max="5"/>
    <col width="76" customWidth="1" min="6" max="6"/>
  </cols>
  <sheetData>
    <row r="1">
      <c r="B1" s="1" t="inlineStr">
        <is>
          <t>FIELD MNEMONIC TESTER &amp; CONFIG</t>
        </is>
      </c>
    </row>
    <row r="2">
      <c r="B2" s="2" t="inlineStr">
        <is>
          <t>Every mnemonic, query and type label lives on this tab - fix one here and the whole book follows. Green = verified on YOUR terminal. Amber = candidate.</t>
        </is>
      </c>
    </row>
    <row r="3">
      <c r="B3" s="9" t="inlineStr">
        <is>
          <t>Test ticker</t>
        </is>
      </c>
      <c r="C3" s="14" t="inlineStr">
        <is>
          <t>700 HK Equity</t>
        </is>
      </c>
    </row>
    <row r="4">
      <c r="B4" s="37" t="inlineStr">
        <is>
          <t>WHEN SOMETHING BREAKS: 1) the HEALTH strip on Summary  2) the status column E below  3) the two live samples at the bottom - a changed spill shape shows there instantly.</t>
        </is>
      </c>
    </row>
    <row r="5">
      <c r="B5" s="3" t="inlineStr">
        <is>
          <t>CONFIRMED - dividends &amp; members</t>
        </is>
      </c>
      <c r="C5" s="4" t="n"/>
      <c r="D5" s="4" t="n"/>
      <c r="E5" s="4" t="n"/>
      <c r="F5" s="4" t="n"/>
    </row>
    <row r="6">
      <c r="B6" s="6" t="inlineStr">
        <is>
          <t>Projected dividends (BDS)</t>
        </is>
      </c>
      <c r="C6" s="92" t="inlineStr">
        <is>
          <t>BDVD_ALL_PROJECTIONS</t>
        </is>
      </c>
      <c r="F6" s="2" t="inlineStr">
        <is>
          <t>Columns: Projected Declared / Ex-Date / Amount (the calendar pulls just these three). The declared date is filled even for far forecasts - ANNOUNCED means it has already passed.</t>
        </is>
      </c>
    </row>
    <row r="7">
      <c r="B7" s="6" t="inlineStr">
        <is>
          <t>Dividend history (BDS)</t>
        </is>
      </c>
      <c r="C7" s="92" t="inlineStr">
        <is>
          <t>DVD_HIST_ALL</t>
        </is>
      </c>
      <c r="F7" s="2" t="inlineStr">
        <is>
          <t>Columns: Declared / Ex / Record / Payable / AMOUNT (5th) / Frequency / Type.</t>
        </is>
      </c>
    </row>
    <row r="8">
      <c r="B8" s="6" t="inlineStr">
        <is>
          <t>Dividend currency (BDP)</t>
        </is>
      </c>
      <c r="C8" s="92" t="inlineStr">
        <is>
          <t>EQY_DVD_CRNCY</t>
        </is>
      </c>
      <c r="F8" s="2" t="inlineStr">
        <is>
          <t>Feeds the FX-to-HKD column.</t>
        </is>
      </c>
    </row>
    <row r="9">
      <c r="B9" s="6" t="inlineStr">
        <is>
          <t>DPS 12M (BDP)</t>
        </is>
      </c>
      <c r="C9" s="92" t="inlineStr">
        <is>
          <t>EQY_DVD_SH_12M</t>
        </is>
      </c>
      <c r="F9" s="2" t="inlineStr">
        <is>
          <t>Reference + the divisor check on Summary.</t>
        </is>
      </c>
    </row>
    <row r="10">
      <c r="B10" s="6" t="inlineStr">
        <is>
          <t>Yield 12M (BDP)</t>
        </is>
      </c>
      <c r="C10" s="92" t="inlineStr">
        <is>
          <t>EQY_DVD_YLD_12M</t>
        </is>
      </c>
      <c r="F10" s="2" t="inlineStr">
        <is>
          <t>Reference; also read at index level on Summary.</t>
        </is>
      </c>
    </row>
    <row r="11">
      <c r="B11" s="6" t="inlineStr">
        <is>
          <t>GICS sector (BDP)</t>
        </is>
      </c>
      <c r="C11" s="92" t="inlineStr">
        <is>
          <t>GICS_SECTOR_NAME</t>
        </is>
      </c>
      <c r="F11" s="2" t="inlineStr">
        <is>
          <t>Drives every sector rollup and the Override view.</t>
        </is>
      </c>
    </row>
    <row r="12">
      <c r="B12" s="6" t="inlineStr">
        <is>
          <t>Name (BDP)</t>
        </is>
      </c>
      <c r="C12" s="92" t="inlineStr">
        <is>
          <t>NAME</t>
        </is>
      </c>
      <c r="F12" s="2" t="inlineStr"/>
    </row>
    <row r="14">
      <c r="B14" s="3" t="inlineStr">
        <is>
          <t>CONFIRMED - fundamentals (verified on your terminal run)</t>
        </is>
      </c>
      <c r="C14" s="4" t="n"/>
      <c r="D14" s="4" t="n"/>
      <c r="E14" s="4" t="n"/>
      <c r="F14" s="4" t="n"/>
    </row>
    <row r="15">
      <c r="B15" s="6" t="inlineStr">
        <is>
          <t>EPS by fiscal year (BDP)</t>
        </is>
      </c>
      <c r="C15" s="92" t="inlineStr">
        <is>
          <t>IS_EPS</t>
        </is>
      </c>
      <c r="F15" s="2" t="inlineStr">
        <is>
          <t>With the year override below. Tested OK.</t>
        </is>
      </c>
    </row>
    <row r="16">
      <c r="B16" s="6" t="inlineStr">
        <is>
          <t xml:space="preserve">  fiscal-year override name</t>
        </is>
      </c>
      <c r="C16" s="92" t="inlineStr">
        <is>
          <t>EQY_FUND_YEAR</t>
        </is>
      </c>
      <c r="F16" s="2" t="inlineStr"/>
    </row>
    <row r="17">
      <c r="B17" s="6" t="inlineStr">
        <is>
          <t>Payout by fiscal year (BDP)</t>
        </is>
      </c>
      <c r="C17" s="92" t="inlineStr">
        <is>
          <t>DVD_PAYOUT_RATIO</t>
        </is>
      </c>
      <c r="F17" s="2" t="inlineStr">
        <is>
          <t>Fiscal basis - DPS and EPS on the same clock. Tested OK.</t>
        </is>
      </c>
    </row>
    <row r="18">
      <c r="B18" s="6" t="inlineStr">
        <is>
          <t>Net debt / EBITDA (BDP)</t>
        </is>
      </c>
      <c r="C18" s="92" t="inlineStr">
        <is>
          <t>NET_DEBT_TO_EBITDA</t>
        </is>
      </c>
      <c r="F18" s="2" t="inlineStr">
        <is>
          <t>Tested OK.</t>
        </is>
      </c>
    </row>
    <row r="19">
      <c r="B19" s="6" t="inlineStr">
        <is>
          <t>EBITDA / interest (BDP)</t>
        </is>
      </c>
      <c r="C19" s="92" t="inlineStr">
        <is>
          <t>EBITDA_TO_INTEREST_EXPN</t>
        </is>
      </c>
      <c r="F19" s="2" t="inlineStr">
        <is>
          <t>Tested OK.</t>
        </is>
      </c>
    </row>
    <row r="20">
      <c r="B20" s="6" t="inlineStr">
        <is>
          <t>Net debt / equity (BDH, 5Y)</t>
        </is>
      </c>
      <c r="C20" s="92" t="inlineStr">
        <is>
          <t>NET_DEBT_TO_SHRHLDR_EQTY</t>
        </is>
      </c>
      <c r="F20" s="2" t="inlineStr">
        <is>
          <t>Your working BDH pull (note _EQTY): five rows of date + value per stock on Fund History.</t>
        </is>
      </c>
    </row>
    <row r="21">
      <c r="B21" s="6" t="inlineStr">
        <is>
          <t>Buyback yield by year (BQL)</t>
        </is>
      </c>
      <c r="C21" s="92" t="inlineStr">
        <is>
          <t>dropna((bs_tot_val_of_shares_repurchased(fpt=ltm)/cur_mkt_cap())*100, true)</t>
        </is>
      </c>
      <c r="F21" s="2" t="inlineStr">
        <is>
          <t>Your working BQL query: LTM buybacks / market cap, yearly, per stock on Fund History.</t>
        </is>
      </c>
    </row>
    <row r="23">
      <c r="B23" s="3" t="inlineStr">
        <is>
          <t>CANDIDATES - check column E after a refresh</t>
        </is>
      </c>
      <c r="C23" s="4" t="n"/>
      <c r="D23" s="93" t="inlineStr">
        <is>
          <t>live result</t>
        </is>
      </c>
      <c r="E23" s="93" t="inlineStr">
        <is>
          <t>status</t>
        </is>
      </c>
      <c r="F23" s="4" t="n"/>
    </row>
    <row r="24">
      <c r="B24" s="6" t="inlineStr">
        <is>
          <t>FCF yield (BDP)</t>
        </is>
      </c>
      <c r="C24" s="94" t="inlineStr">
        <is>
          <t>FREE_CASH_FLOW_YIELD</t>
        </is>
      </c>
      <c r="D24" s="90">
        <f>BDP($C$3,$C$24)</f>
        <v/>
      </c>
      <c r="E24" s="95">
        <f>IF(ISNUMBER($D$24),"OK","check field")</f>
        <v/>
      </c>
      <c r="F24" s="2" t="inlineStr">
        <is>
          <t>Came back N/A on the test name - the field exists but may need a different basis. Alternates: CF_FREE_CASH_FLOW_YIELD, FCF_YIELD.</t>
        </is>
      </c>
    </row>
    <row r="25">
      <c r="B25" s="6" t="inlineStr">
        <is>
          <t>Forward EPS (BDP)</t>
        </is>
      </c>
      <c r="C25" s="94" t="inlineStr">
        <is>
          <t>BEST_EPS</t>
        </is>
      </c>
      <c r="D25" s="90">
        <f>BDP($C$3,$C$25,$C$27,TEXT(MOD(Summary!$C$12,100),"00")&amp;"Y")</f>
        <v/>
      </c>
      <c r="E25" s="95">
        <f>IF(ISNUMBER($D$25),"OK","check field")</f>
        <v/>
      </c>
      <c r="F25" s="2" t="inlineStr">
        <is>
          <t>Consensus EPS for year Y via the period override below.</t>
        </is>
      </c>
    </row>
    <row r="26">
      <c r="B26" s="6" t="inlineStr">
        <is>
          <t>Forward DPS (BDP)</t>
        </is>
      </c>
      <c r="C26" s="94" t="inlineStr">
        <is>
          <t>BEST_DPS</t>
        </is>
      </c>
      <c r="D26" s="90">
        <f>BDP($C$3,$C$26,$C$27,TEXT(MOD(Summary!$C$12,100),"00")&amp;"Y")</f>
        <v/>
      </c>
      <c r="E26" s="95">
        <f>IF(ISNUMBER($D$26),"OK","check field")</f>
        <v/>
      </c>
      <c r="F26" s="2" t="inlineStr">
        <is>
          <t>Consensus DPS for year Y - sits beside the model's own number on Fundamentals.</t>
        </is>
      </c>
    </row>
    <row r="27">
      <c r="B27" s="6" t="inlineStr">
        <is>
          <t xml:space="preserve">  forward period override name</t>
        </is>
      </c>
      <c r="C27" s="94" t="inlineStr">
        <is>
          <t>BEST_FPERIOD_OVERRIDE</t>
        </is>
      </c>
      <c r="F27" s="2" t="inlineStr">
        <is>
          <t>e.g. 26Y = fiscal 2026. Alternate: BEST_FPERIOD_OVR.</t>
        </is>
      </c>
    </row>
    <row r="29">
      <c r="B29" s="3" t="inlineStr">
        <is>
          <t>DIVIDEND TYPES THAT COUNT AS CASH  (anything not listed is ignored)</t>
        </is>
      </c>
      <c r="C29" s="4" t="n"/>
      <c r="D29" s="4" t="n"/>
      <c r="E29" s="4" t="n"/>
      <c r="F29" s="93" t="inlineStr">
        <is>
          <t>Seen in your data and EXCLUDED by omission: Spinoff, Bonus, Stock Split, Rights Issue, Entitlement, Omitted, Discontinued - none are cash dividends.</t>
        </is>
      </c>
    </row>
    <row r="30">
      <c r="B30" s="6" t="inlineStr">
        <is>
          <t>Cash type 1</t>
        </is>
      </c>
      <c r="C30" s="14" t="inlineStr">
        <is>
          <t>Final</t>
        </is>
      </c>
      <c r="F30" s="2" t="inlineStr"/>
    </row>
    <row r="31">
      <c r="B31" s="6" t="inlineStr">
        <is>
          <t>Cash type 2</t>
        </is>
      </c>
      <c r="C31" s="14" t="inlineStr">
        <is>
          <t>Interim</t>
        </is>
      </c>
      <c r="F31" s="2" t="inlineStr"/>
    </row>
    <row r="32">
      <c r="B32" s="6" t="inlineStr">
        <is>
          <t>Cash type 3</t>
        </is>
      </c>
      <c r="C32" s="14" t="inlineStr">
        <is>
          <t>Regular Cash</t>
        </is>
      </c>
      <c r="F32" s="2" t="inlineStr"/>
    </row>
    <row r="33">
      <c r="B33" s="6" t="inlineStr">
        <is>
          <t>Cash type 4</t>
        </is>
      </c>
      <c r="C33" s="14" t="inlineStr">
        <is>
          <t>Return of Capital</t>
        </is>
      </c>
      <c r="F33" s="2" t="inlineStr">
        <is>
          <t>Cash to holders - blank this cell to exclude it.</t>
        </is>
      </c>
    </row>
    <row r="34">
      <c r="B34" s="6" t="inlineStr">
        <is>
          <t>Special label</t>
        </is>
      </c>
      <c r="C34" s="14" t="inlineStr">
        <is>
          <t>Special Cash</t>
        </is>
      </c>
      <c r="F34" s="2" t="inlineStr">
        <is>
          <t>Counted only when the specials switch on Summary is Y.</t>
        </is>
      </c>
    </row>
    <row r="36">
      <c r="B36" s="3" t="inlineStr">
        <is>
          <t>LIVE SAMPLE 1 - projections, FULL width (the calendar itself pulls only columns 1-3)</t>
        </is>
      </c>
      <c r="C36" s="4" t="n"/>
      <c r="D36" s="4" t="n"/>
      <c r="E36" s="4" t="n"/>
      <c r="F36" s="4" t="n"/>
    </row>
    <row r="37">
      <c r="C37" s="6">
        <f>BDS($C$3,$C$6,"headers=y","startcol=1","endcol=7","dir=h")</f>
        <v/>
      </c>
    </row>
    <row r="45">
      <c r="B45" s="3" t="inlineStr">
        <is>
          <t>LIVE SAMPLE 2 - dividend history (7 rows: the amount is the 5th)</t>
        </is>
      </c>
      <c r="C45" s="4" t="n"/>
      <c r="D45" s="4" t="n"/>
      <c r="E45" s="4" t="n"/>
      <c r="F45" s="4" t="n"/>
    </row>
    <row r="46">
      <c r="C46" s="6">
        <f>BDS($C$3,$C$7,"headers=y","startcol=1","endcol=7","dir=h","DVD_START_DT",Summary!$C$18,"DVD_END_DT",Summary!$D$18)</f>
        <v/>
      </c>
    </row>
    <row r="55">
      <c r="B55" s="3" t="inlineStr">
        <is>
          <t>YOUR BQL QUERY - reference</t>
        </is>
      </c>
      <c r="C55" s="4" t="n"/>
      <c r="D55" s="4" t="n"/>
      <c r="E55" s="4" t="n"/>
      <c r="F55" s="4" t="n"/>
    </row>
    <row r="56">
      <c r="C56" s="2" t="inlineStr">
        <is>
          <t>'=@BQL.QUERY(AC16&amp;AC17,"showallcols=t, showheaders=f, xlfill=b","cols=10;rows=1")</t>
        </is>
      </c>
    </row>
    <row r="57">
      <c r="C57" s="2" t="inlineStr">
        <is>
          <t>let(#div=dividends(offset=1, status=TBA);#hastba=count(#div().status);) get(groupsort(#div,sortby=#div().ex_date,order=asc)) for(filter(members('HSI Index'),#hastba&gt;0))</t>
        </is>
      </c>
    </row>
    <row r="59">
      <c r="B59" s="2" t="inlineStr">
        <is>
          <t>Leave the space right of both samples clear - they spill as far as they need.</t>
        </is>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AR2218"/>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1" customWidth="1" min="3" max="3"/>
    <col width="17"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s>
  <sheetData>
    <row r="1">
      <c r="A1" s="1" t="inlineStr">
        <is>
          <t>DIVIDEND CALENDAR - RAW BLOOMBERG PULLS.  ENGINE TAB: NEVER EDIT, NEVER SORT.</t>
        </is>
      </c>
    </row>
    <row r="2">
      <c r="A2" s="2" t="inlineStr">
        <is>
          <t>Per stock: HISTORY (7 rows - Declared / Ex / Record / Payable / Amount / Frequency / Type, five years back) then PROJECTIONS (3 rows - Projected Declared / Ex / Amount). Bloomberg fills the projected declared date even for forecasts years out: an event is truly ANNOUNCED only once that date has passed.</t>
        </is>
      </c>
    </row>
    <row r="3">
      <c r="A3" s="2" t="inlineStr">
        <is>
          <t>Date rows are pre-formatted (Bloomberg spills serial numbers); amount rows are plain numbers. Your overrides never touch this tab.</t>
        </is>
      </c>
    </row>
    <row r="7">
      <c r="A7" s="3" t="inlineStr">
        <is>
          <t>Hang Seng Index (HSI)</t>
        </is>
      </c>
      <c r="B7" s="4" t="n"/>
      <c r="C7" s="4" t="n"/>
      <c r="D7" s="4" t="n"/>
      <c r="F7" s="2">
        <f>SUMPRODUCT($B$10:$B$1109)&amp;" events read   |   "&amp;COUNTA($AS$10:$CF$1109)&amp;" beyond the window (must be 0)"</f>
        <v/>
      </c>
    </row>
    <row r="8">
      <c r="A8" s="19" t="inlineStr">
        <is>
          <t>Ticker</t>
        </is>
      </c>
      <c r="B8" s="19" t="inlineStr">
        <is>
          <t>Events</t>
        </is>
      </c>
      <c r="C8" s="19" t="inlineStr">
        <is>
          <t>Last ex</t>
        </is>
      </c>
      <c r="D8" s="19" t="inlineStr">
        <is>
          <t>Bloomberg spill -&gt;</t>
        </is>
      </c>
    </row>
    <row r="10">
      <c r="A10" s="6">
        <f>IF(HSI!$C$7="","",HSI!$C$7)</f>
        <v/>
      </c>
      <c r="B10" s="96">
        <f>IF($A10="",0,COUNT($E11:$AR11))</f>
        <v/>
      </c>
      <c r="C10" s="97">
        <f>IF($B10=0,0,MAX($E11:$AR11))</f>
        <v/>
      </c>
      <c r="D10" s="98">
        <f>BDS($A10,FLD_HIST,"headers=y","startcol=1","endcol=7","dir=h","DVD_START_DT",HIST_FROM,"DVD_END_DT",HIST_TO)</f>
        <v/>
      </c>
      <c r="E10" s="99" t="n"/>
      <c r="F10" s="99" t="n"/>
      <c r="G10" s="99" t="n"/>
      <c r="H10" s="99" t="n"/>
      <c r="I10" s="99" t="n"/>
      <c r="J10" s="99" t="n"/>
      <c r="K10" s="99" t="n"/>
      <c r="L10" s="99" t="n"/>
      <c r="M10" s="99" t="n"/>
      <c r="N10" s="99" t="n"/>
      <c r="O10" s="99" t="n"/>
      <c r="P10" s="99" t="n"/>
      <c r="Q10" s="99" t="n"/>
      <c r="R10" s="99" t="n"/>
      <c r="S10" s="99" t="n"/>
      <c r="T10" s="99" t="n"/>
      <c r="U10" s="99" t="n"/>
      <c r="V10" s="99" t="n"/>
      <c r="W10" s="99" t="n"/>
      <c r="X10" s="99" t="n"/>
      <c r="Y10" s="99" t="n"/>
      <c r="Z10" s="99" t="n"/>
      <c r="AA10" s="99" t="n"/>
      <c r="AB10" s="99" t="n"/>
      <c r="AC10" s="99" t="n"/>
      <c r="AD10" s="99" t="n"/>
      <c r="AE10" s="99" t="n"/>
      <c r="AF10" s="99" t="n"/>
      <c r="AG10" s="99" t="n"/>
      <c r="AH10" s="99" t="n"/>
      <c r="AI10" s="99" t="n"/>
      <c r="AJ10" s="99" t="n"/>
      <c r="AK10" s="99" t="n"/>
      <c r="AL10" s="99" t="n"/>
      <c r="AM10" s="99" t="n"/>
      <c r="AN10" s="99" t="n"/>
      <c r="AO10" s="99" t="n"/>
      <c r="AP10" s="99" t="n"/>
      <c r="AQ10" s="99" t="n"/>
      <c r="AR10" s="99" t="n"/>
    </row>
    <row r="11">
      <c r="D11" s="99" t="n"/>
      <c r="E11" s="99" t="n"/>
      <c r="F11" s="99" t="n"/>
      <c r="G11" s="99" t="n"/>
      <c r="H11" s="99" t="n"/>
      <c r="I11" s="99" t="n"/>
      <c r="J11" s="99" t="n"/>
      <c r="K11" s="99" t="n"/>
      <c r="L11" s="99" t="n"/>
      <c r="M11" s="99" t="n"/>
      <c r="N11" s="99" t="n"/>
      <c r="O11" s="99" t="n"/>
      <c r="P11" s="99" t="n"/>
      <c r="Q11" s="99" t="n"/>
      <c r="R11" s="99" t="n"/>
      <c r="S11" s="99" t="n"/>
      <c r="T11" s="99" t="n"/>
      <c r="U11" s="99" t="n"/>
      <c r="V11" s="99" t="n"/>
      <c r="W11" s="99" t="n"/>
      <c r="X11" s="99" t="n"/>
      <c r="Y11" s="99" t="n"/>
      <c r="Z11" s="99" t="n"/>
      <c r="AA11" s="99" t="n"/>
      <c r="AB11" s="99" t="n"/>
      <c r="AC11" s="99" t="n"/>
      <c r="AD11" s="99" t="n"/>
      <c r="AE11" s="99" t="n"/>
      <c r="AF11" s="99" t="n"/>
      <c r="AG11" s="99" t="n"/>
      <c r="AH11" s="99" t="n"/>
      <c r="AI11" s="99" t="n"/>
      <c r="AJ11" s="99" t="n"/>
      <c r="AK11" s="99" t="n"/>
      <c r="AL11" s="99" t="n"/>
      <c r="AM11" s="99" t="n"/>
      <c r="AN11" s="99" t="n"/>
      <c r="AO11" s="99" t="n"/>
      <c r="AP11" s="99" t="n"/>
      <c r="AQ11" s="99" t="n"/>
      <c r="AR11" s="99" t="n"/>
    </row>
    <row r="12">
      <c r="D12" s="99" t="n"/>
      <c r="E12" s="99" t="n"/>
      <c r="F12" s="99" t="n"/>
      <c r="G12" s="99" t="n"/>
      <c r="H12" s="99" t="n"/>
      <c r="I12" s="99" t="n"/>
      <c r="J12" s="99" t="n"/>
      <c r="K12" s="99" t="n"/>
      <c r="L12" s="99" t="n"/>
      <c r="M12" s="99" t="n"/>
      <c r="N12" s="99" t="n"/>
      <c r="O12" s="99" t="n"/>
      <c r="P12" s="99" t="n"/>
      <c r="Q12" s="99" t="n"/>
      <c r="R12" s="99" t="n"/>
      <c r="S12" s="99" t="n"/>
      <c r="T12" s="99" t="n"/>
      <c r="U12" s="99" t="n"/>
      <c r="V12" s="99" t="n"/>
      <c r="W12" s="99" t="n"/>
      <c r="X12" s="99" t="n"/>
      <c r="Y12" s="99" t="n"/>
      <c r="Z12" s="99" t="n"/>
      <c r="AA12" s="99" t="n"/>
      <c r="AB12" s="99" t="n"/>
      <c r="AC12" s="99" t="n"/>
      <c r="AD12" s="99" t="n"/>
      <c r="AE12" s="99" t="n"/>
      <c r="AF12" s="99" t="n"/>
      <c r="AG12" s="99" t="n"/>
      <c r="AH12" s="99" t="n"/>
      <c r="AI12" s="99" t="n"/>
      <c r="AJ12" s="99" t="n"/>
      <c r="AK12" s="99" t="n"/>
      <c r="AL12" s="99" t="n"/>
      <c r="AM12" s="99" t="n"/>
      <c r="AN12" s="99" t="n"/>
      <c r="AO12" s="99" t="n"/>
      <c r="AP12" s="99" t="n"/>
      <c r="AQ12" s="99" t="n"/>
      <c r="AR12" s="99" t="n"/>
    </row>
    <row r="13">
      <c r="D13" s="99" t="n"/>
      <c r="E13" s="99" t="n"/>
      <c r="F13" s="99" t="n"/>
      <c r="G13" s="99" t="n"/>
      <c r="H13" s="99" t="n"/>
      <c r="I13" s="99" t="n"/>
      <c r="J13" s="99" t="n"/>
      <c r="K13" s="99" t="n"/>
      <c r="L13" s="99" t="n"/>
      <c r="M13" s="99" t="n"/>
      <c r="N13" s="99" t="n"/>
      <c r="O13" s="99" t="n"/>
      <c r="P13" s="99" t="n"/>
      <c r="Q13" s="99" t="n"/>
      <c r="R13" s="99" t="n"/>
      <c r="S13" s="99" t="n"/>
      <c r="T13" s="99" t="n"/>
      <c r="U13" s="99" t="n"/>
      <c r="V13" s="99" t="n"/>
      <c r="W13" s="99" t="n"/>
      <c r="X13" s="99" t="n"/>
      <c r="Y13" s="99" t="n"/>
      <c r="Z13" s="99" t="n"/>
      <c r="AA13" s="99" t="n"/>
      <c r="AB13" s="99" t="n"/>
      <c r="AC13" s="99" t="n"/>
      <c r="AD13" s="99" t="n"/>
      <c r="AE13" s="99" t="n"/>
      <c r="AF13" s="99" t="n"/>
      <c r="AG13" s="99" t="n"/>
      <c r="AH13" s="99" t="n"/>
      <c r="AI13" s="99" t="n"/>
      <c r="AJ13" s="99" t="n"/>
      <c r="AK13" s="99" t="n"/>
      <c r="AL13" s="99" t="n"/>
      <c r="AM13" s="99" t="n"/>
      <c r="AN13" s="99" t="n"/>
      <c r="AO13" s="99" t="n"/>
      <c r="AP13" s="99" t="n"/>
      <c r="AQ13" s="99" t="n"/>
      <c r="AR13" s="99" t="n"/>
    </row>
    <row r="14">
      <c r="D14" s="100" t="n"/>
      <c r="E14" s="100" t="n"/>
      <c r="F14" s="100" t="n"/>
      <c r="G14" s="100" t="n"/>
      <c r="H14" s="100" t="n"/>
      <c r="I14" s="100" t="n"/>
      <c r="J14" s="100" t="n"/>
      <c r="K14" s="100" t="n"/>
      <c r="L14" s="100" t="n"/>
      <c r="M14" s="100" t="n"/>
      <c r="N14" s="100" t="n"/>
      <c r="O14" s="100" t="n"/>
      <c r="P14" s="100" t="n"/>
      <c r="Q14" s="100" t="n"/>
      <c r="R14" s="100" t="n"/>
      <c r="S14" s="100" t="n"/>
      <c r="T14" s="100" t="n"/>
      <c r="U14" s="100" t="n"/>
      <c r="V14" s="100" t="n"/>
      <c r="W14" s="100" t="n"/>
      <c r="X14" s="100" t="n"/>
      <c r="Y14" s="100" t="n"/>
      <c r="Z14" s="100" t="n"/>
      <c r="AA14" s="100" t="n"/>
      <c r="AB14" s="100" t="n"/>
      <c r="AC14" s="100" t="n"/>
      <c r="AD14" s="100" t="n"/>
      <c r="AE14" s="100" t="n"/>
      <c r="AF14" s="100" t="n"/>
      <c r="AG14" s="100" t="n"/>
      <c r="AH14" s="100" t="n"/>
      <c r="AI14" s="100" t="n"/>
      <c r="AJ14" s="100" t="n"/>
      <c r="AK14" s="100" t="n"/>
      <c r="AL14" s="100" t="n"/>
      <c r="AM14" s="100" t="n"/>
      <c r="AN14" s="100" t="n"/>
      <c r="AO14" s="100" t="n"/>
      <c r="AP14" s="100" t="n"/>
      <c r="AQ14" s="100" t="n"/>
      <c r="AR14" s="100" t="n"/>
    </row>
    <row r="17">
      <c r="A17" s="2">
        <f>IF($A10="","","   projections")</f>
        <v/>
      </c>
      <c r="B17" s="96">
        <f>IF($A10="",0,COUNT($E18:$AR18))</f>
        <v/>
      </c>
      <c r="C17" s="97">
        <f>IF($B17=0,0,MAX($E18:$AR18))</f>
        <v/>
      </c>
      <c r="D17" s="98">
        <f>BDS($A10,FLD_PROJ,"headers=y","startcol=1","endcol=3","dir=h")</f>
        <v/>
      </c>
      <c r="E17" s="99" t="n"/>
      <c r="F17" s="99" t="n"/>
      <c r="G17" s="99" t="n"/>
      <c r="H17" s="99" t="n"/>
      <c r="I17" s="99" t="n"/>
      <c r="J17" s="99" t="n"/>
      <c r="K17" s="99" t="n"/>
      <c r="L17" s="99" t="n"/>
      <c r="M17" s="99" t="n"/>
      <c r="N17" s="99" t="n"/>
      <c r="O17" s="99" t="n"/>
      <c r="P17" s="99" t="n"/>
      <c r="Q17" s="99" t="n"/>
      <c r="R17" s="99" t="n"/>
      <c r="S17" s="99" t="n"/>
      <c r="T17" s="99" t="n"/>
      <c r="U17" s="99" t="n"/>
      <c r="V17" s="99" t="n"/>
      <c r="W17" s="99" t="n"/>
      <c r="X17" s="99" t="n"/>
      <c r="Y17" s="99" t="n"/>
      <c r="Z17" s="99" t="n"/>
      <c r="AA17" s="99" t="n"/>
      <c r="AB17" s="99" t="n"/>
      <c r="AC17" s="99" t="n"/>
      <c r="AD17" s="99" t="n"/>
      <c r="AE17" s="99" t="n"/>
      <c r="AF17" s="99" t="n"/>
      <c r="AG17" s="99" t="n"/>
      <c r="AH17" s="99" t="n"/>
      <c r="AI17" s="99" t="n"/>
      <c r="AJ17" s="99" t="n"/>
      <c r="AK17" s="99" t="n"/>
      <c r="AL17" s="99" t="n"/>
      <c r="AM17" s="99" t="n"/>
      <c r="AN17" s="99" t="n"/>
      <c r="AO17" s="99" t="n"/>
      <c r="AP17" s="99" t="n"/>
      <c r="AQ17" s="99" t="n"/>
      <c r="AR17" s="99" t="n"/>
    </row>
    <row r="18">
      <c r="D18" s="99" t="n"/>
      <c r="E18" s="99" t="n"/>
      <c r="F18" s="99" t="n"/>
      <c r="G18" s="99" t="n"/>
      <c r="H18" s="99" t="n"/>
      <c r="I18" s="99" t="n"/>
      <c r="J18" s="99" t="n"/>
      <c r="K18" s="99" t="n"/>
      <c r="L18" s="99" t="n"/>
      <c r="M18" s="99" t="n"/>
      <c r="N18" s="99" t="n"/>
      <c r="O18" s="99" t="n"/>
      <c r="P18" s="99" t="n"/>
      <c r="Q18" s="99" t="n"/>
      <c r="R18" s="99" t="n"/>
      <c r="S18" s="99" t="n"/>
      <c r="T18" s="99" t="n"/>
      <c r="U18" s="99" t="n"/>
      <c r="V18" s="99" t="n"/>
      <c r="W18" s="99" t="n"/>
      <c r="X18" s="99" t="n"/>
      <c r="Y18" s="99" t="n"/>
      <c r="Z18" s="99" t="n"/>
      <c r="AA18" s="99" t="n"/>
      <c r="AB18" s="99" t="n"/>
      <c r="AC18" s="99" t="n"/>
      <c r="AD18" s="99" t="n"/>
      <c r="AE18" s="99" t="n"/>
      <c r="AF18" s="99" t="n"/>
      <c r="AG18" s="99" t="n"/>
      <c r="AH18" s="99" t="n"/>
      <c r="AI18" s="99" t="n"/>
      <c r="AJ18" s="99" t="n"/>
      <c r="AK18" s="99" t="n"/>
      <c r="AL18" s="99" t="n"/>
      <c r="AM18" s="99" t="n"/>
      <c r="AN18" s="99" t="n"/>
      <c r="AO18" s="99" t="n"/>
      <c r="AP18" s="99" t="n"/>
      <c r="AQ18" s="99" t="n"/>
      <c r="AR18" s="99" t="n"/>
    </row>
    <row r="19">
      <c r="D19" s="100" t="n"/>
      <c r="E19" s="100" t="n"/>
      <c r="F19" s="100" t="n"/>
      <c r="G19" s="100" t="n"/>
      <c r="H19" s="100" t="n"/>
      <c r="I19" s="100" t="n"/>
      <c r="J19" s="100" t="n"/>
      <c r="K19" s="100" t="n"/>
      <c r="L19" s="100" t="n"/>
      <c r="M19" s="100" t="n"/>
      <c r="N19" s="100" t="n"/>
      <c r="O19" s="100" t="n"/>
      <c r="P19" s="100" t="n"/>
      <c r="Q19" s="100" t="n"/>
      <c r="R19" s="100" t="n"/>
      <c r="S19" s="100" t="n"/>
      <c r="T19" s="100" t="n"/>
      <c r="U19" s="100" t="n"/>
      <c r="V19" s="100" t="n"/>
      <c r="W19" s="100" t="n"/>
      <c r="X19" s="100" t="n"/>
      <c r="Y19" s="100" t="n"/>
      <c r="Z19" s="100" t="n"/>
      <c r="AA19" s="100" t="n"/>
      <c r="AB19" s="100" t="n"/>
      <c r="AC19" s="100" t="n"/>
      <c r="AD19" s="100" t="n"/>
      <c r="AE19" s="100" t="n"/>
      <c r="AF19" s="100" t="n"/>
      <c r="AG19" s="100" t="n"/>
      <c r="AH19" s="100" t="n"/>
      <c r="AI19" s="100" t="n"/>
      <c r="AJ19" s="100" t="n"/>
      <c r="AK19" s="100" t="n"/>
      <c r="AL19" s="100" t="n"/>
      <c r="AM19" s="100" t="n"/>
      <c r="AN19" s="100" t="n"/>
      <c r="AO19" s="100" t="n"/>
      <c r="AP19" s="100" t="n"/>
      <c r="AQ19" s="100" t="n"/>
      <c r="AR19" s="100" t="n"/>
    </row>
    <row r="21">
      <c r="A21" s="6">
        <f>IF(HSI!$C$8="","",HSI!$C$8)</f>
        <v/>
      </c>
      <c r="B21" s="96">
        <f>IF($A21="",0,COUNT($E22:$AR22))</f>
        <v/>
      </c>
      <c r="C21" s="97">
        <f>IF($B21=0,0,MAX($E22:$AR22))</f>
        <v/>
      </c>
      <c r="D21" s="98">
        <f>BDS($A21,FLD_HIST,"headers=y","startcol=1","endcol=7","dir=h","DVD_START_DT",HIST_FROM,"DVD_END_DT",HIST_TO)</f>
        <v/>
      </c>
      <c r="E21" s="99" t="n"/>
      <c r="F21" s="99" t="n"/>
      <c r="G21" s="99" t="n"/>
      <c r="H21" s="99" t="n"/>
      <c r="I21" s="99" t="n"/>
      <c r="J21" s="99" t="n"/>
      <c r="K21" s="99" t="n"/>
      <c r="L21" s="99" t="n"/>
      <c r="M21" s="99" t="n"/>
      <c r="N21" s="99" t="n"/>
      <c r="O21" s="99" t="n"/>
      <c r="P21" s="99" t="n"/>
      <c r="Q21" s="99" t="n"/>
      <c r="R21" s="99" t="n"/>
      <c r="S21" s="99" t="n"/>
      <c r="T21" s="99" t="n"/>
      <c r="U21" s="99" t="n"/>
      <c r="V21" s="99" t="n"/>
      <c r="W21" s="99" t="n"/>
      <c r="X21" s="99" t="n"/>
      <c r="Y21" s="99" t="n"/>
      <c r="Z21" s="99" t="n"/>
      <c r="AA21" s="99" t="n"/>
      <c r="AB21" s="99" t="n"/>
      <c r="AC21" s="99" t="n"/>
      <c r="AD21" s="99" t="n"/>
      <c r="AE21" s="99" t="n"/>
      <c r="AF21" s="99" t="n"/>
      <c r="AG21" s="99" t="n"/>
      <c r="AH21" s="99" t="n"/>
      <c r="AI21" s="99" t="n"/>
      <c r="AJ21" s="99" t="n"/>
      <c r="AK21" s="99" t="n"/>
      <c r="AL21" s="99" t="n"/>
      <c r="AM21" s="99" t="n"/>
      <c r="AN21" s="99" t="n"/>
      <c r="AO21" s="99" t="n"/>
      <c r="AP21" s="99" t="n"/>
      <c r="AQ21" s="99" t="n"/>
      <c r="AR21" s="99" t="n"/>
    </row>
    <row r="22">
      <c r="D22" s="99" t="n"/>
      <c r="E22" s="99" t="n"/>
      <c r="F22" s="99" t="n"/>
      <c r="G22" s="99" t="n"/>
      <c r="H22" s="99" t="n"/>
      <c r="I22" s="99" t="n"/>
      <c r="J22" s="99" t="n"/>
      <c r="K22" s="99" t="n"/>
      <c r="L22" s="99" t="n"/>
      <c r="M22" s="99" t="n"/>
      <c r="N22" s="99" t="n"/>
      <c r="O22" s="99" t="n"/>
      <c r="P22" s="99" t="n"/>
      <c r="Q22" s="99" t="n"/>
      <c r="R22" s="99" t="n"/>
      <c r="S22" s="99" t="n"/>
      <c r="T22" s="99" t="n"/>
      <c r="U22" s="99" t="n"/>
      <c r="V22" s="99" t="n"/>
      <c r="W22" s="99" t="n"/>
      <c r="X22" s="99" t="n"/>
      <c r="Y22" s="99" t="n"/>
      <c r="Z22" s="99" t="n"/>
      <c r="AA22" s="99" t="n"/>
      <c r="AB22" s="99" t="n"/>
      <c r="AC22" s="99" t="n"/>
      <c r="AD22" s="99" t="n"/>
      <c r="AE22" s="99" t="n"/>
      <c r="AF22" s="99" t="n"/>
      <c r="AG22" s="99" t="n"/>
      <c r="AH22" s="99" t="n"/>
      <c r="AI22" s="99" t="n"/>
      <c r="AJ22" s="99" t="n"/>
      <c r="AK22" s="99" t="n"/>
      <c r="AL22" s="99" t="n"/>
      <c r="AM22" s="99" t="n"/>
      <c r="AN22" s="99" t="n"/>
      <c r="AO22" s="99" t="n"/>
      <c r="AP22" s="99" t="n"/>
      <c r="AQ22" s="99" t="n"/>
      <c r="AR22" s="99" t="n"/>
    </row>
    <row r="23">
      <c r="D23" s="99" t="n"/>
      <c r="E23" s="99" t="n"/>
      <c r="F23" s="99" t="n"/>
      <c r="G23" s="99" t="n"/>
      <c r="H23" s="99" t="n"/>
      <c r="I23" s="99" t="n"/>
      <c r="J23" s="99" t="n"/>
      <c r="K23" s="99" t="n"/>
      <c r="L23" s="99" t="n"/>
      <c r="M23" s="99" t="n"/>
      <c r="N23" s="99" t="n"/>
      <c r="O23" s="99" t="n"/>
      <c r="P23" s="99" t="n"/>
      <c r="Q23" s="99" t="n"/>
      <c r="R23" s="99" t="n"/>
      <c r="S23" s="99" t="n"/>
      <c r="T23" s="99" t="n"/>
      <c r="U23" s="99" t="n"/>
      <c r="V23" s="99" t="n"/>
      <c r="W23" s="99" t="n"/>
      <c r="X23" s="99" t="n"/>
      <c r="Y23" s="99" t="n"/>
      <c r="Z23" s="99" t="n"/>
      <c r="AA23" s="99" t="n"/>
      <c r="AB23" s="99" t="n"/>
      <c r="AC23" s="99" t="n"/>
      <c r="AD23" s="99" t="n"/>
      <c r="AE23" s="99" t="n"/>
      <c r="AF23" s="99" t="n"/>
      <c r="AG23" s="99" t="n"/>
      <c r="AH23" s="99" t="n"/>
      <c r="AI23" s="99" t="n"/>
      <c r="AJ23" s="99" t="n"/>
      <c r="AK23" s="99" t="n"/>
      <c r="AL23" s="99" t="n"/>
      <c r="AM23" s="99" t="n"/>
      <c r="AN23" s="99" t="n"/>
      <c r="AO23" s="99" t="n"/>
      <c r="AP23" s="99" t="n"/>
      <c r="AQ23" s="99" t="n"/>
      <c r="AR23" s="99" t="n"/>
    </row>
    <row r="24">
      <c r="D24" s="99" t="n"/>
      <c r="E24" s="99" t="n"/>
      <c r="F24" s="99" t="n"/>
      <c r="G24" s="99" t="n"/>
      <c r="H24" s="99" t="n"/>
      <c r="I24" s="99" t="n"/>
      <c r="J24" s="99" t="n"/>
      <c r="K24" s="99" t="n"/>
      <c r="L24" s="99" t="n"/>
      <c r="M24" s="99" t="n"/>
      <c r="N24" s="99" t="n"/>
      <c r="O24" s="99" t="n"/>
      <c r="P24" s="99" t="n"/>
      <c r="Q24" s="99" t="n"/>
      <c r="R24" s="99" t="n"/>
      <c r="S24" s="99" t="n"/>
      <c r="T24" s="99" t="n"/>
      <c r="U24" s="99" t="n"/>
      <c r="V24" s="99" t="n"/>
      <c r="W24" s="99" t="n"/>
      <c r="X24" s="99" t="n"/>
      <c r="Y24" s="99" t="n"/>
      <c r="Z24" s="99" t="n"/>
      <c r="AA24" s="99" t="n"/>
      <c r="AB24" s="99" t="n"/>
      <c r="AC24" s="99" t="n"/>
      <c r="AD24" s="99" t="n"/>
      <c r="AE24" s="99" t="n"/>
      <c r="AF24" s="99" t="n"/>
      <c r="AG24" s="99" t="n"/>
      <c r="AH24" s="99" t="n"/>
      <c r="AI24" s="99" t="n"/>
      <c r="AJ24" s="99" t="n"/>
      <c r="AK24" s="99" t="n"/>
      <c r="AL24" s="99" t="n"/>
      <c r="AM24" s="99" t="n"/>
      <c r="AN24" s="99" t="n"/>
      <c r="AO24" s="99" t="n"/>
      <c r="AP24" s="99" t="n"/>
      <c r="AQ24" s="99" t="n"/>
      <c r="AR24" s="99" t="n"/>
    </row>
    <row r="25">
      <c r="D25" s="100" t="n"/>
      <c r="E25" s="100" t="n"/>
      <c r="F25" s="100" t="n"/>
      <c r="G25" s="100" t="n"/>
      <c r="H25" s="100" t="n"/>
      <c r="I25" s="100" t="n"/>
      <c r="J25" s="100" t="n"/>
      <c r="K25" s="100" t="n"/>
      <c r="L25" s="100" t="n"/>
      <c r="M25" s="100" t="n"/>
      <c r="N25" s="100" t="n"/>
      <c r="O25" s="100" t="n"/>
      <c r="P25" s="100" t="n"/>
      <c r="Q25" s="100" t="n"/>
      <c r="R25" s="100" t="n"/>
      <c r="S25" s="100" t="n"/>
      <c r="T25" s="100" t="n"/>
      <c r="U25" s="100" t="n"/>
      <c r="V25" s="100" t="n"/>
      <c r="W25" s="100" t="n"/>
      <c r="X25" s="100" t="n"/>
      <c r="Y25" s="100" t="n"/>
      <c r="Z25" s="100" t="n"/>
      <c r="AA25" s="100" t="n"/>
      <c r="AB25" s="100" t="n"/>
      <c r="AC25" s="100" t="n"/>
      <c r="AD25" s="100" t="n"/>
      <c r="AE25" s="100" t="n"/>
      <c r="AF25" s="100" t="n"/>
      <c r="AG25" s="100" t="n"/>
      <c r="AH25" s="100" t="n"/>
      <c r="AI25" s="100" t="n"/>
      <c r="AJ25" s="100" t="n"/>
      <c r="AK25" s="100" t="n"/>
      <c r="AL25" s="100" t="n"/>
      <c r="AM25" s="100" t="n"/>
      <c r="AN25" s="100" t="n"/>
      <c r="AO25" s="100" t="n"/>
      <c r="AP25" s="100" t="n"/>
      <c r="AQ25" s="100" t="n"/>
      <c r="AR25" s="100" t="n"/>
    </row>
    <row r="28">
      <c r="A28" s="2">
        <f>IF($A21="","","   projections")</f>
        <v/>
      </c>
      <c r="B28" s="96">
        <f>IF($A21="",0,COUNT($E29:$AR29))</f>
        <v/>
      </c>
      <c r="C28" s="97">
        <f>IF($B28=0,0,MAX($E29:$AR29))</f>
        <v/>
      </c>
      <c r="D28" s="98">
        <f>BDS($A21,FLD_PROJ,"headers=y","startcol=1","endcol=3","dir=h")</f>
        <v/>
      </c>
      <c r="E28" s="99" t="n"/>
      <c r="F28" s="99" t="n"/>
      <c r="G28" s="99" t="n"/>
      <c r="H28" s="99" t="n"/>
      <c r="I28" s="99" t="n"/>
      <c r="J28" s="99" t="n"/>
      <c r="K28" s="99" t="n"/>
      <c r="L28" s="99" t="n"/>
      <c r="M28" s="99" t="n"/>
      <c r="N28" s="99" t="n"/>
      <c r="O28" s="99" t="n"/>
      <c r="P28" s="99" t="n"/>
      <c r="Q28" s="99" t="n"/>
      <c r="R28" s="99" t="n"/>
      <c r="S28" s="99" t="n"/>
      <c r="T28" s="99" t="n"/>
      <c r="U28" s="99" t="n"/>
      <c r="V28" s="99" t="n"/>
      <c r="W28" s="99" t="n"/>
      <c r="X28" s="99" t="n"/>
      <c r="Y28" s="99" t="n"/>
      <c r="Z28" s="99" t="n"/>
      <c r="AA28" s="99" t="n"/>
      <c r="AB28" s="99" t="n"/>
      <c r="AC28" s="99" t="n"/>
      <c r="AD28" s="99" t="n"/>
      <c r="AE28" s="99" t="n"/>
      <c r="AF28" s="99" t="n"/>
      <c r="AG28" s="99" t="n"/>
      <c r="AH28" s="99" t="n"/>
      <c r="AI28" s="99" t="n"/>
      <c r="AJ28" s="99" t="n"/>
      <c r="AK28" s="99" t="n"/>
      <c r="AL28" s="99" t="n"/>
      <c r="AM28" s="99" t="n"/>
      <c r="AN28" s="99" t="n"/>
      <c r="AO28" s="99" t="n"/>
      <c r="AP28" s="99" t="n"/>
      <c r="AQ28" s="99" t="n"/>
      <c r="AR28" s="99" t="n"/>
    </row>
    <row r="29">
      <c r="D29" s="99" t="n"/>
      <c r="E29" s="99" t="n"/>
      <c r="F29" s="99" t="n"/>
      <c r="G29" s="99" t="n"/>
      <c r="H29" s="99" t="n"/>
      <c r="I29" s="99" t="n"/>
      <c r="J29" s="99" t="n"/>
      <c r="K29" s="99" t="n"/>
      <c r="L29" s="99" t="n"/>
      <c r="M29" s="99" t="n"/>
      <c r="N29" s="99" t="n"/>
      <c r="O29" s="99" t="n"/>
      <c r="P29" s="99" t="n"/>
      <c r="Q29" s="99" t="n"/>
      <c r="R29" s="99" t="n"/>
      <c r="S29" s="99" t="n"/>
      <c r="T29" s="99" t="n"/>
      <c r="U29" s="99" t="n"/>
      <c r="V29" s="99" t="n"/>
      <c r="W29" s="99" t="n"/>
      <c r="X29" s="99" t="n"/>
      <c r="Y29" s="99" t="n"/>
      <c r="Z29" s="99" t="n"/>
      <c r="AA29" s="99" t="n"/>
      <c r="AB29" s="99" t="n"/>
      <c r="AC29" s="99" t="n"/>
      <c r="AD29" s="99" t="n"/>
      <c r="AE29" s="99" t="n"/>
      <c r="AF29" s="99" t="n"/>
      <c r="AG29" s="99" t="n"/>
      <c r="AH29" s="99" t="n"/>
      <c r="AI29" s="99" t="n"/>
      <c r="AJ29" s="99" t="n"/>
      <c r="AK29" s="99" t="n"/>
      <c r="AL29" s="99" t="n"/>
      <c r="AM29" s="99" t="n"/>
      <c r="AN29" s="99" t="n"/>
      <c r="AO29" s="99" t="n"/>
      <c r="AP29" s="99" t="n"/>
      <c r="AQ29" s="99" t="n"/>
      <c r="AR29" s="99" t="n"/>
    </row>
    <row r="30">
      <c r="D30" s="100" t="n"/>
      <c r="E30" s="100" t="n"/>
      <c r="F30" s="100" t="n"/>
      <c r="G30" s="100" t="n"/>
      <c r="H30" s="100" t="n"/>
      <c r="I30" s="100" t="n"/>
      <c r="J30" s="100" t="n"/>
      <c r="K30" s="100" t="n"/>
      <c r="L30" s="100" t="n"/>
      <c r="M30" s="100" t="n"/>
      <c r="N30" s="100" t="n"/>
      <c r="O30" s="100" t="n"/>
      <c r="P30" s="100" t="n"/>
      <c r="Q30" s="100" t="n"/>
      <c r="R30" s="100" t="n"/>
      <c r="S30" s="100" t="n"/>
      <c r="T30" s="100" t="n"/>
      <c r="U30" s="100" t="n"/>
      <c r="V30" s="100" t="n"/>
      <c r="W30" s="100" t="n"/>
      <c r="X30" s="100" t="n"/>
      <c r="Y30" s="100" t="n"/>
      <c r="Z30" s="100" t="n"/>
      <c r="AA30" s="100" t="n"/>
      <c r="AB30" s="100" t="n"/>
      <c r="AC30" s="100" t="n"/>
      <c r="AD30" s="100" t="n"/>
      <c r="AE30" s="100" t="n"/>
      <c r="AF30" s="100" t="n"/>
      <c r="AG30" s="100" t="n"/>
      <c r="AH30" s="100" t="n"/>
      <c r="AI30" s="100" t="n"/>
      <c r="AJ30" s="100" t="n"/>
      <c r="AK30" s="100" t="n"/>
      <c r="AL30" s="100" t="n"/>
      <c r="AM30" s="100" t="n"/>
      <c r="AN30" s="100" t="n"/>
      <c r="AO30" s="100" t="n"/>
      <c r="AP30" s="100" t="n"/>
      <c r="AQ30" s="100" t="n"/>
      <c r="AR30" s="100" t="n"/>
    </row>
    <row r="32">
      <c r="A32" s="6">
        <f>IF(HSI!$C$9="","",HSI!$C$9)</f>
        <v/>
      </c>
      <c r="B32" s="96">
        <f>IF($A32="",0,COUNT($E33:$AR33))</f>
        <v/>
      </c>
      <c r="C32" s="97">
        <f>IF($B32=0,0,MAX($E33:$AR33))</f>
        <v/>
      </c>
      <c r="D32" s="98">
        <f>BDS($A32,FLD_HIST,"headers=y","startcol=1","endcol=7","dir=h","DVD_START_DT",HIST_FROM,"DVD_END_DT",HIST_TO)</f>
        <v/>
      </c>
      <c r="E32" s="99" t="n"/>
      <c r="F32" s="99" t="n"/>
      <c r="G32" s="99" t="n"/>
      <c r="H32" s="99" t="n"/>
      <c r="I32" s="99" t="n"/>
      <c r="J32" s="99" t="n"/>
      <c r="K32" s="99" t="n"/>
      <c r="L32" s="99" t="n"/>
      <c r="M32" s="99" t="n"/>
      <c r="N32" s="99" t="n"/>
      <c r="O32" s="99" t="n"/>
      <c r="P32" s="99" t="n"/>
      <c r="Q32" s="99" t="n"/>
      <c r="R32" s="99" t="n"/>
      <c r="S32" s="99" t="n"/>
      <c r="T32" s="99" t="n"/>
      <c r="U32" s="99" t="n"/>
      <c r="V32" s="99" t="n"/>
      <c r="W32" s="99" t="n"/>
      <c r="X32" s="99" t="n"/>
      <c r="Y32" s="99" t="n"/>
      <c r="Z32" s="99" t="n"/>
      <c r="AA32" s="99" t="n"/>
      <c r="AB32" s="99" t="n"/>
      <c r="AC32" s="99" t="n"/>
      <c r="AD32" s="99" t="n"/>
      <c r="AE32" s="99" t="n"/>
      <c r="AF32" s="99" t="n"/>
      <c r="AG32" s="99" t="n"/>
      <c r="AH32" s="99" t="n"/>
      <c r="AI32" s="99" t="n"/>
      <c r="AJ32" s="99" t="n"/>
      <c r="AK32" s="99" t="n"/>
      <c r="AL32" s="99" t="n"/>
      <c r="AM32" s="99" t="n"/>
      <c r="AN32" s="99" t="n"/>
      <c r="AO32" s="99" t="n"/>
      <c r="AP32" s="99" t="n"/>
      <c r="AQ32" s="99" t="n"/>
      <c r="AR32" s="99" t="n"/>
    </row>
    <row r="33">
      <c r="D33" s="99" t="n"/>
      <c r="E33" s="99" t="n"/>
      <c r="F33" s="99" t="n"/>
      <c r="G33" s="99" t="n"/>
      <c r="H33" s="99" t="n"/>
      <c r="I33" s="99" t="n"/>
      <c r="J33" s="99" t="n"/>
      <c r="K33" s="99" t="n"/>
      <c r="L33" s="99" t="n"/>
      <c r="M33" s="99" t="n"/>
      <c r="N33" s="99" t="n"/>
      <c r="O33" s="99" t="n"/>
      <c r="P33" s="99" t="n"/>
      <c r="Q33" s="99" t="n"/>
      <c r="R33" s="99" t="n"/>
      <c r="S33" s="99" t="n"/>
      <c r="T33" s="99" t="n"/>
      <c r="U33" s="99" t="n"/>
      <c r="V33" s="99" t="n"/>
      <c r="W33" s="99" t="n"/>
      <c r="X33" s="99" t="n"/>
      <c r="Y33" s="99" t="n"/>
      <c r="Z33" s="99" t="n"/>
      <c r="AA33" s="99" t="n"/>
      <c r="AB33" s="99" t="n"/>
      <c r="AC33" s="99" t="n"/>
      <c r="AD33" s="99" t="n"/>
      <c r="AE33" s="99" t="n"/>
      <c r="AF33" s="99" t="n"/>
      <c r="AG33" s="99" t="n"/>
      <c r="AH33" s="99" t="n"/>
      <c r="AI33" s="99" t="n"/>
      <c r="AJ33" s="99" t="n"/>
      <c r="AK33" s="99" t="n"/>
      <c r="AL33" s="99" t="n"/>
      <c r="AM33" s="99" t="n"/>
      <c r="AN33" s="99" t="n"/>
      <c r="AO33" s="99" t="n"/>
      <c r="AP33" s="99" t="n"/>
      <c r="AQ33" s="99" t="n"/>
      <c r="AR33" s="99" t="n"/>
    </row>
    <row r="34">
      <c r="D34" s="99" t="n"/>
      <c r="E34" s="99" t="n"/>
      <c r="F34" s="99" t="n"/>
      <c r="G34" s="99" t="n"/>
      <c r="H34" s="99" t="n"/>
      <c r="I34" s="99" t="n"/>
      <c r="J34" s="99" t="n"/>
      <c r="K34" s="99" t="n"/>
      <c r="L34" s="99" t="n"/>
      <c r="M34" s="99" t="n"/>
      <c r="N34" s="99" t="n"/>
      <c r="O34" s="99" t="n"/>
      <c r="P34" s="99" t="n"/>
      <c r="Q34" s="99" t="n"/>
      <c r="R34" s="99" t="n"/>
      <c r="S34" s="99" t="n"/>
      <c r="T34" s="99" t="n"/>
      <c r="U34" s="99" t="n"/>
      <c r="V34" s="99" t="n"/>
      <c r="W34" s="99" t="n"/>
      <c r="X34" s="99" t="n"/>
      <c r="Y34" s="99" t="n"/>
      <c r="Z34" s="99" t="n"/>
      <c r="AA34" s="99" t="n"/>
      <c r="AB34" s="99" t="n"/>
      <c r="AC34" s="99" t="n"/>
      <c r="AD34" s="99" t="n"/>
      <c r="AE34" s="99" t="n"/>
      <c r="AF34" s="99" t="n"/>
      <c r="AG34" s="99" t="n"/>
      <c r="AH34" s="99" t="n"/>
      <c r="AI34" s="99" t="n"/>
      <c r="AJ34" s="99" t="n"/>
      <c r="AK34" s="99" t="n"/>
      <c r="AL34" s="99" t="n"/>
      <c r="AM34" s="99" t="n"/>
      <c r="AN34" s="99" t="n"/>
      <c r="AO34" s="99" t="n"/>
      <c r="AP34" s="99" t="n"/>
      <c r="AQ34" s="99" t="n"/>
      <c r="AR34" s="99" t="n"/>
    </row>
    <row r="35">
      <c r="D35" s="99" t="n"/>
      <c r="E35" s="99" t="n"/>
      <c r="F35" s="99" t="n"/>
      <c r="G35" s="99" t="n"/>
      <c r="H35" s="99" t="n"/>
      <c r="I35" s="99" t="n"/>
      <c r="J35" s="99" t="n"/>
      <c r="K35" s="99" t="n"/>
      <c r="L35" s="99" t="n"/>
      <c r="M35" s="99" t="n"/>
      <c r="N35" s="99" t="n"/>
      <c r="O35" s="99" t="n"/>
      <c r="P35" s="99" t="n"/>
      <c r="Q35" s="99" t="n"/>
      <c r="R35" s="99" t="n"/>
      <c r="S35" s="99" t="n"/>
      <c r="T35" s="99" t="n"/>
      <c r="U35" s="99" t="n"/>
      <c r="V35" s="99" t="n"/>
      <c r="W35" s="99" t="n"/>
      <c r="X35" s="99" t="n"/>
      <c r="Y35" s="99" t="n"/>
      <c r="Z35" s="99" t="n"/>
      <c r="AA35" s="99" t="n"/>
      <c r="AB35" s="99" t="n"/>
      <c r="AC35" s="99" t="n"/>
      <c r="AD35" s="99" t="n"/>
      <c r="AE35" s="99" t="n"/>
      <c r="AF35" s="99" t="n"/>
      <c r="AG35" s="99" t="n"/>
      <c r="AH35" s="99" t="n"/>
      <c r="AI35" s="99" t="n"/>
      <c r="AJ35" s="99" t="n"/>
      <c r="AK35" s="99" t="n"/>
      <c r="AL35" s="99" t="n"/>
      <c r="AM35" s="99" t="n"/>
      <c r="AN35" s="99" t="n"/>
      <c r="AO35" s="99" t="n"/>
      <c r="AP35" s="99" t="n"/>
      <c r="AQ35" s="99" t="n"/>
      <c r="AR35" s="99" t="n"/>
    </row>
    <row r="36">
      <c r="D36" s="100" t="n"/>
      <c r="E36" s="100" t="n"/>
      <c r="F36" s="100" t="n"/>
      <c r="G36" s="100" t="n"/>
      <c r="H36" s="100" t="n"/>
      <c r="I36" s="100" t="n"/>
      <c r="J36" s="100" t="n"/>
      <c r="K36" s="100" t="n"/>
      <c r="L36" s="100" t="n"/>
      <c r="M36" s="100" t="n"/>
      <c r="N36" s="100" t="n"/>
      <c r="O36" s="100" t="n"/>
      <c r="P36" s="100" t="n"/>
      <c r="Q36" s="100" t="n"/>
      <c r="R36" s="100" t="n"/>
      <c r="S36" s="100" t="n"/>
      <c r="T36" s="100" t="n"/>
      <c r="U36" s="100" t="n"/>
      <c r="V36" s="100" t="n"/>
      <c r="W36" s="100" t="n"/>
      <c r="X36" s="100" t="n"/>
      <c r="Y36" s="100" t="n"/>
      <c r="Z36" s="100" t="n"/>
      <c r="AA36" s="100" t="n"/>
      <c r="AB36" s="100" t="n"/>
      <c r="AC36" s="100" t="n"/>
      <c r="AD36" s="100" t="n"/>
      <c r="AE36" s="100" t="n"/>
      <c r="AF36" s="100" t="n"/>
      <c r="AG36" s="100" t="n"/>
      <c r="AH36" s="100" t="n"/>
      <c r="AI36" s="100" t="n"/>
      <c r="AJ36" s="100" t="n"/>
      <c r="AK36" s="100" t="n"/>
      <c r="AL36" s="100" t="n"/>
      <c r="AM36" s="100" t="n"/>
      <c r="AN36" s="100" t="n"/>
      <c r="AO36" s="100" t="n"/>
      <c r="AP36" s="100" t="n"/>
      <c r="AQ36" s="100" t="n"/>
      <c r="AR36" s="100" t="n"/>
    </row>
    <row r="39">
      <c r="A39" s="2">
        <f>IF($A32="","","   projections")</f>
        <v/>
      </c>
      <c r="B39" s="96">
        <f>IF($A32="",0,COUNT($E40:$AR40))</f>
        <v/>
      </c>
      <c r="C39" s="97">
        <f>IF($B39=0,0,MAX($E40:$AR40))</f>
        <v/>
      </c>
      <c r="D39" s="98">
        <f>BDS($A32,FLD_PROJ,"headers=y","startcol=1","endcol=3","dir=h")</f>
        <v/>
      </c>
      <c r="E39" s="99" t="n"/>
      <c r="F39" s="99" t="n"/>
      <c r="G39" s="99" t="n"/>
      <c r="H39" s="99" t="n"/>
      <c r="I39" s="99" t="n"/>
      <c r="J39" s="99" t="n"/>
      <c r="K39" s="99" t="n"/>
      <c r="L39" s="99" t="n"/>
      <c r="M39" s="99" t="n"/>
      <c r="N39" s="99" t="n"/>
      <c r="O39" s="99" t="n"/>
      <c r="P39" s="99" t="n"/>
      <c r="Q39" s="99" t="n"/>
      <c r="R39" s="99" t="n"/>
      <c r="S39" s="99" t="n"/>
      <c r="T39" s="99" t="n"/>
      <c r="U39" s="99" t="n"/>
      <c r="V39" s="99" t="n"/>
      <c r="W39" s="99" t="n"/>
      <c r="X39" s="99" t="n"/>
      <c r="Y39" s="99" t="n"/>
      <c r="Z39" s="99" t="n"/>
      <c r="AA39" s="99" t="n"/>
      <c r="AB39" s="99" t="n"/>
      <c r="AC39" s="99" t="n"/>
      <c r="AD39" s="99" t="n"/>
      <c r="AE39" s="99" t="n"/>
      <c r="AF39" s="99" t="n"/>
      <c r="AG39" s="99" t="n"/>
      <c r="AH39" s="99" t="n"/>
      <c r="AI39" s="99" t="n"/>
      <c r="AJ39" s="99" t="n"/>
      <c r="AK39" s="99" t="n"/>
      <c r="AL39" s="99" t="n"/>
      <c r="AM39" s="99" t="n"/>
      <c r="AN39" s="99" t="n"/>
      <c r="AO39" s="99" t="n"/>
      <c r="AP39" s="99" t="n"/>
      <c r="AQ39" s="99" t="n"/>
      <c r="AR39" s="99" t="n"/>
    </row>
    <row r="40">
      <c r="D40" s="99" t="n"/>
      <c r="E40" s="99" t="n"/>
      <c r="F40" s="99" t="n"/>
      <c r="G40" s="99" t="n"/>
      <c r="H40" s="99" t="n"/>
      <c r="I40" s="99" t="n"/>
      <c r="J40" s="99" t="n"/>
      <c r="K40" s="99" t="n"/>
      <c r="L40" s="99" t="n"/>
      <c r="M40" s="99" t="n"/>
      <c r="N40" s="99" t="n"/>
      <c r="O40" s="99" t="n"/>
      <c r="P40" s="99" t="n"/>
      <c r="Q40" s="99" t="n"/>
      <c r="R40" s="99" t="n"/>
      <c r="S40" s="99" t="n"/>
      <c r="T40" s="99" t="n"/>
      <c r="U40" s="99" t="n"/>
      <c r="V40" s="99" t="n"/>
      <c r="W40" s="99" t="n"/>
      <c r="X40" s="99" t="n"/>
      <c r="Y40" s="99" t="n"/>
      <c r="Z40" s="99" t="n"/>
      <c r="AA40" s="99" t="n"/>
      <c r="AB40" s="99" t="n"/>
      <c r="AC40" s="99" t="n"/>
      <c r="AD40" s="99" t="n"/>
      <c r="AE40" s="99" t="n"/>
      <c r="AF40" s="99" t="n"/>
      <c r="AG40" s="99" t="n"/>
      <c r="AH40" s="99" t="n"/>
      <c r="AI40" s="99" t="n"/>
      <c r="AJ40" s="99" t="n"/>
      <c r="AK40" s="99" t="n"/>
      <c r="AL40" s="99" t="n"/>
      <c r="AM40" s="99" t="n"/>
      <c r="AN40" s="99" t="n"/>
      <c r="AO40" s="99" t="n"/>
      <c r="AP40" s="99" t="n"/>
      <c r="AQ40" s="99" t="n"/>
      <c r="AR40" s="99" t="n"/>
    </row>
    <row r="41">
      <c r="D41" s="100" t="n"/>
      <c r="E41" s="100" t="n"/>
      <c r="F41" s="100" t="n"/>
      <c r="G41" s="100" t="n"/>
      <c r="H41" s="100" t="n"/>
      <c r="I41" s="100" t="n"/>
      <c r="J41" s="100" t="n"/>
      <c r="K41" s="100" t="n"/>
      <c r="L41" s="100" t="n"/>
      <c r="M41" s="100" t="n"/>
      <c r="N41" s="100" t="n"/>
      <c r="O41" s="100" t="n"/>
      <c r="P41" s="100" t="n"/>
      <c r="Q41" s="100"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row>
    <row r="43">
      <c r="A43" s="6">
        <f>IF(HSI!$C$10="","",HSI!$C$10)</f>
        <v/>
      </c>
      <c r="B43" s="96">
        <f>IF($A43="",0,COUNT($E44:$AR44))</f>
        <v/>
      </c>
      <c r="C43" s="97">
        <f>IF($B43=0,0,MAX($E44:$AR44))</f>
        <v/>
      </c>
      <c r="D43" s="98">
        <f>BDS($A43,FLD_HIST,"headers=y","startcol=1","endcol=7","dir=h","DVD_START_DT",HIST_FROM,"DVD_END_DT",HIST_TO)</f>
        <v/>
      </c>
      <c r="E43" s="99" t="n"/>
      <c r="F43" s="99" t="n"/>
      <c r="G43" s="99" t="n"/>
      <c r="H43" s="99" t="n"/>
      <c r="I43" s="99" t="n"/>
      <c r="J43" s="99" t="n"/>
      <c r="K43" s="99" t="n"/>
      <c r="L43" s="99" t="n"/>
      <c r="M43" s="99" t="n"/>
      <c r="N43" s="99" t="n"/>
      <c r="O43" s="99" t="n"/>
      <c r="P43" s="99" t="n"/>
      <c r="Q43" s="99" t="n"/>
      <c r="R43" s="99" t="n"/>
      <c r="S43" s="99" t="n"/>
      <c r="T43" s="99" t="n"/>
      <c r="U43" s="99" t="n"/>
      <c r="V43" s="99" t="n"/>
      <c r="W43" s="99" t="n"/>
      <c r="X43" s="99" t="n"/>
      <c r="Y43" s="99" t="n"/>
      <c r="Z43" s="99" t="n"/>
      <c r="AA43" s="99" t="n"/>
      <c r="AB43" s="99" t="n"/>
      <c r="AC43" s="99" t="n"/>
      <c r="AD43" s="99" t="n"/>
      <c r="AE43" s="99" t="n"/>
      <c r="AF43" s="99" t="n"/>
      <c r="AG43" s="99" t="n"/>
      <c r="AH43" s="99" t="n"/>
      <c r="AI43" s="99" t="n"/>
      <c r="AJ43" s="99" t="n"/>
      <c r="AK43" s="99" t="n"/>
      <c r="AL43" s="99" t="n"/>
      <c r="AM43" s="99" t="n"/>
      <c r="AN43" s="99" t="n"/>
      <c r="AO43" s="99" t="n"/>
      <c r="AP43" s="99" t="n"/>
      <c r="AQ43" s="99" t="n"/>
      <c r="AR43" s="99" t="n"/>
    </row>
    <row r="44">
      <c r="D44" s="99" t="n"/>
      <c r="E44" s="99" t="n"/>
      <c r="F44" s="99" t="n"/>
      <c r="G44" s="99" t="n"/>
      <c r="H44" s="99" t="n"/>
      <c r="I44" s="99" t="n"/>
      <c r="J44" s="99" t="n"/>
      <c r="K44" s="99" t="n"/>
      <c r="L44" s="99" t="n"/>
      <c r="M44" s="99" t="n"/>
      <c r="N44" s="99" t="n"/>
      <c r="O44" s="99" t="n"/>
      <c r="P44" s="99" t="n"/>
      <c r="Q44" s="99" t="n"/>
      <c r="R44" s="99" t="n"/>
      <c r="S44" s="99" t="n"/>
      <c r="T44" s="99" t="n"/>
      <c r="U44" s="99" t="n"/>
      <c r="V44" s="99" t="n"/>
      <c r="W44" s="99" t="n"/>
      <c r="X44" s="99" t="n"/>
      <c r="Y44" s="99" t="n"/>
      <c r="Z44" s="99" t="n"/>
      <c r="AA44" s="99" t="n"/>
      <c r="AB44" s="99" t="n"/>
      <c r="AC44" s="99" t="n"/>
      <c r="AD44" s="99" t="n"/>
      <c r="AE44" s="99" t="n"/>
      <c r="AF44" s="99" t="n"/>
      <c r="AG44" s="99" t="n"/>
      <c r="AH44" s="99" t="n"/>
      <c r="AI44" s="99" t="n"/>
      <c r="AJ44" s="99" t="n"/>
      <c r="AK44" s="99" t="n"/>
      <c r="AL44" s="99" t="n"/>
      <c r="AM44" s="99" t="n"/>
      <c r="AN44" s="99" t="n"/>
      <c r="AO44" s="99" t="n"/>
      <c r="AP44" s="99" t="n"/>
      <c r="AQ44" s="99" t="n"/>
      <c r="AR44" s="99" t="n"/>
    </row>
    <row r="45">
      <c r="D45" s="99" t="n"/>
      <c r="E45" s="99" t="n"/>
      <c r="F45" s="99" t="n"/>
      <c r="G45" s="99" t="n"/>
      <c r="H45" s="99" t="n"/>
      <c r="I45" s="99" t="n"/>
      <c r="J45" s="99" t="n"/>
      <c r="K45" s="99" t="n"/>
      <c r="L45" s="99" t="n"/>
      <c r="M45" s="99" t="n"/>
      <c r="N45" s="99" t="n"/>
      <c r="O45" s="99" t="n"/>
      <c r="P45" s="99" t="n"/>
      <c r="Q45" s="99" t="n"/>
      <c r="R45" s="99" t="n"/>
      <c r="S45" s="99" t="n"/>
      <c r="T45" s="99" t="n"/>
      <c r="U45" s="99" t="n"/>
      <c r="V45" s="99" t="n"/>
      <c r="W45" s="99" t="n"/>
      <c r="X45" s="99" t="n"/>
      <c r="Y45" s="99" t="n"/>
      <c r="Z45" s="99" t="n"/>
      <c r="AA45" s="99" t="n"/>
      <c r="AB45" s="99" t="n"/>
      <c r="AC45" s="99" t="n"/>
      <c r="AD45" s="99" t="n"/>
      <c r="AE45" s="99" t="n"/>
      <c r="AF45" s="99" t="n"/>
      <c r="AG45" s="99" t="n"/>
      <c r="AH45" s="99" t="n"/>
      <c r="AI45" s="99" t="n"/>
      <c r="AJ45" s="99" t="n"/>
      <c r="AK45" s="99" t="n"/>
      <c r="AL45" s="99" t="n"/>
      <c r="AM45" s="99" t="n"/>
      <c r="AN45" s="99" t="n"/>
      <c r="AO45" s="99" t="n"/>
      <c r="AP45" s="99" t="n"/>
      <c r="AQ45" s="99" t="n"/>
      <c r="AR45" s="99" t="n"/>
    </row>
    <row r="46">
      <c r="D46" s="99" t="n"/>
      <c r="E46" s="99" t="n"/>
      <c r="F46" s="99" t="n"/>
      <c r="G46" s="99" t="n"/>
      <c r="H46" s="99" t="n"/>
      <c r="I46" s="99" t="n"/>
      <c r="J46" s="99" t="n"/>
      <c r="K46" s="99" t="n"/>
      <c r="L46" s="99" t="n"/>
      <c r="M46" s="99" t="n"/>
      <c r="N46" s="99" t="n"/>
      <c r="O46" s="99" t="n"/>
      <c r="P46" s="99" t="n"/>
      <c r="Q46" s="99" t="n"/>
      <c r="R46" s="99" t="n"/>
      <c r="S46" s="99" t="n"/>
      <c r="T46" s="99" t="n"/>
      <c r="U46" s="99" t="n"/>
      <c r="V46" s="99" t="n"/>
      <c r="W46" s="99" t="n"/>
      <c r="X46" s="99" t="n"/>
      <c r="Y46" s="99" t="n"/>
      <c r="Z46" s="99" t="n"/>
      <c r="AA46" s="99" t="n"/>
      <c r="AB46" s="99" t="n"/>
      <c r="AC46" s="99" t="n"/>
      <c r="AD46" s="99" t="n"/>
      <c r="AE46" s="99" t="n"/>
      <c r="AF46" s="99" t="n"/>
      <c r="AG46" s="99" t="n"/>
      <c r="AH46" s="99" t="n"/>
      <c r="AI46" s="99" t="n"/>
      <c r="AJ46" s="99" t="n"/>
      <c r="AK46" s="99" t="n"/>
      <c r="AL46" s="99" t="n"/>
      <c r="AM46" s="99" t="n"/>
      <c r="AN46" s="99" t="n"/>
      <c r="AO46" s="99" t="n"/>
      <c r="AP46" s="99" t="n"/>
      <c r="AQ46" s="99" t="n"/>
      <c r="AR46" s="99" t="n"/>
    </row>
    <row r="47">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c r="AA47" s="100" t="n"/>
      <c r="AB47" s="100" t="n"/>
      <c r="AC47" s="100" t="n"/>
      <c r="AD47" s="100" t="n"/>
      <c r="AE47" s="100" t="n"/>
      <c r="AF47" s="100" t="n"/>
      <c r="AG47" s="100" t="n"/>
      <c r="AH47" s="100" t="n"/>
      <c r="AI47" s="100" t="n"/>
      <c r="AJ47" s="100" t="n"/>
      <c r="AK47" s="100" t="n"/>
      <c r="AL47" s="100" t="n"/>
      <c r="AM47" s="100" t="n"/>
      <c r="AN47" s="100" t="n"/>
      <c r="AO47" s="100" t="n"/>
      <c r="AP47" s="100" t="n"/>
      <c r="AQ47" s="100" t="n"/>
      <c r="AR47" s="100" t="n"/>
    </row>
    <row r="50">
      <c r="A50" s="2">
        <f>IF($A43="","","   projections")</f>
        <v/>
      </c>
      <c r="B50" s="96">
        <f>IF($A43="",0,COUNT($E51:$AR51))</f>
        <v/>
      </c>
      <c r="C50" s="97">
        <f>IF($B50=0,0,MAX($E51:$AR51))</f>
        <v/>
      </c>
      <c r="D50" s="98">
        <f>BDS($A43,FLD_PROJ,"headers=y","startcol=1","endcol=3","dir=h")</f>
        <v/>
      </c>
      <c r="E50" s="99" t="n"/>
      <c r="F50" s="99" t="n"/>
      <c r="G50" s="99" t="n"/>
      <c r="H50" s="99" t="n"/>
      <c r="I50" s="99" t="n"/>
      <c r="J50" s="99" t="n"/>
      <c r="K50" s="99" t="n"/>
      <c r="L50" s="99" t="n"/>
      <c r="M50" s="99" t="n"/>
      <c r="N50" s="99" t="n"/>
      <c r="O50" s="99" t="n"/>
      <c r="P50" s="99" t="n"/>
      <c r="Q50" s="99" t="n"/>
      <c r="R50" s="99" t="n"/>
      <c r="S50" s="99" t="n"/>
      <c r="T50" s="99" t="n"/>
      <c r="U50" s="99" t="n"/>
      <c r="V50" s="99" t="n"/>
      <c r="W50" s="99" t="n"/>
      <c r="X50" s="99" t="n"/>
      <c r="Y50" s="99" t="n"/>
      <c r="Z50" s="99" t="n"/>
      <c r="AA50" s="99" t="n"/>
      <c r="AB50" s="99" t="n"/>
      <c r="AC50" s="99" t="n"/>
      <c r="AD50" s="99" t="n"/>
      <c r="AE50" s="99" t="n"/>
      <c r="AF50" s="99" t="n"/>
      <c r="AG50" s="99" t="n"/>
      <c r="AH50" s="99" t="n"/>
      <c r="AI50" s="99" t="n"/>
      <c r="AJ50" s="99" t="n"/>
      <c r="AK50" s="99" t="n"/>
      <c r="AL50" s="99" t="n"/>
      <c r="AM50" s="99" t="n"/>
      <c r="AN50" s="99" t="n"/>
      <c r="AO50" s="99" t="n"/>
      <c r="AP50" s="99" t="n"/>
      <c r="AQ50" s="99" t="n"/>
      <c r="AR50" s="99" t="n"/>
    </row>
    <row r="51">
      <c r="D51" s="99" t="n"/>
      <c r="E51" s="99" t="n"/>
      <c r="F51" s="99" t="n"/>
      <c r="G51" s="99" t="n"/>
      <c r="H51" s="99" t="n"/>
      <c r="I51" s="99" t="n"/>
      <c r="J51" s="99" t="n"/>
      <c r="K51" s="99" t="n"/>
      <c r="L51" s="99" t="n"/>
      <c r="M51" s="99" t="n"/>
      <c r="N51" s="99" t="n"/>
      <c r="O51" s="99" t="n"/>
      <c r="P51" s="99" t="n"/>
      <c r="Q51" s="99" t="n"/>
      <c r="R51" s="99" t="n"/>
      <c r="S51" s="99" t="n"/>
      <c r="T51" s="99" t="n"/>
      <c r="U51" s="99" t="n"/>
      <c r="V51" s="99" t="n"/>
      <c r="W51" s="99" t="n"/>
      <c r="X51" s="99" t="n"/>
      <c r="Y51" s="99" t="n"/>
      <c r="Z51" s="99" t="n"/>
      <c r="AA51" s="99" t="n"/>
      <c r="AB51" s="99" t="n"/>
      <c r="AC51" s="99" t="n"/>
      <c r="AD51" s="99" t="n"/>
      <c r="AE51" s="99" t="n"/>
      <c r="AF51" s="99" t="n"/>
      <c r="AG51" s="99" t="n"/>
      <c r="AH51" s="99" t="n"/>
      <c r="AI51" s="99" t="n"/>
      <c r="AJ51" s="99" t="n"/>
      <c r="AK51" s="99" t="n"/>
      <c r="AL51" s="99" t="n"/>
      <c r="AM51" s="99" t="n"/>
      <c r="AN51" s="99" t="n"/>
      <c r="AO51" s="99" t="n"/>
      <c r="AP51" s="99" t="n"/>
      <c r="AQ51" s="99" t="n"/>
      <c r="AR51" s="99" t="n"/>
    </row>
    <row r="52">
      <c r="D52" s="100" t="n"/>
      <c r="E52" s="100" t="n"/>
      <c r="F52" s="100" t="n"/>
      <c r="G52" s="100" t="n"/>
      <c r="H52" s="100" t="n"/>
      <c r="I52" s="100" t="n"/>
      <c r="J52" s="100" t="n"/>
      <c r="K52" s="100" t="n"/>
      <c r="L52" s="100" t="n"/>
      <c r="M52" s="100" t="n"/>
      <c r="N52" s="100" t="n"/>
      <c r="O52" s="100" t="n"/>
      <c r="P52" s="100" t="n"/>
      <c r="Q52" s="100" t="n"/>
      <c r="R52" s="100" t="n"/>
      <c r="S52" s="100" t="n"/>
      <c r="T52" s="100" t="n"/>
      <c r="U52" s="100" t="n"/>
      <c r="V52" s="100" t="n"/>
      <c r="W52" s="100" t="n"/>
      <c r="X52" s="100" t="n"/>
      <c r="Y52" s="100" t="n"/>
      <c r="Z52" s="100" t="n"/>
      <c r="AA52" s="100" t="n"/>
      <c r="AB52" s="100" t="n"/>
      <c r="AC52" s="100" t="n"/>
      <c r="AD52" s="100" t="n"/>
      <c r="AE52" s="100" t="n"/>
      <c r="AF52" s="100" t="n"/>
      <c r="AG52" s="100" t="n"/>
      <c r="AH52" s="100" t="n"/>
      <c r="AI52" s="100" t="n"/>
      <c r="AJ52" s="100" t="n"/>
      <c r="AK52" s="100" t="n"/>
      <c r="AL52" s="100" t="n"/>
      <c r="AM52" s="100" t="n"/>
      <c r="AN52" s="100" t="n"/>
      <c r="AO52" s="100" t="n"/>
      <c r="AP52" s="100" t="n"/>
      <c r="AQ52" s="100" t="n"/>
      <c r="AR52" s="100" t="n"/>
    </row>
    <row r="54">
      <c r="A54" s="6">
        <f>IF(HSI!$C$11="","",HSI!$C$11)</f>
        <v/>
      </c>
      <c r="B54" s="96">
        <f>IF($A54="",0,COUNT($E55:$AR55))</f>
        <v/>
      </c>
      <c r="C54" s="97">
        <f>IF($B54=0,0,MAX($E55:$AR55))</f>
        <v/>
      </c>
      <c r="D54" s="98">
        <f>BDS($A54,FLD_HIST,"headers=y","startcol=1","endcol=7","dir=h","DVD_START_DT",HIST_FROM,"DVD_END_DT",HIST_TO)</f>
        <v/>
      </c>
      <c r="E54" s="99" t="n"/>
      <c r="F54" s="99" t="n"/>
      <c r="G54" s="99" t="n"/>
      <c r="H54" s="99" t="n"/>
      <c r="I54" s="99" t="n"/>
      <c r="J54" s="99" t="n"/>
      <c r="K54" s="99" t="n"/>
      <c r="L54" s="99" t="n"/>
      <c r="M54" s="99" t="n"/>
      <c r="N54" s="99" t="n"/>
      <c r="O54" s="99" t="n"/>
      <c r="P54" s="99" t="n"/>
      <c r="Q54" s="99" t="n"/>
      <c r="R54" s="99" t="n"/>
      <c r="S54" s="99" t="n"/>
      <c r="T54" s="99" t="n"/>
      <c r="U54" s="99" t="n"/>
      <c r="V54" s="99" t="n"/>
      <c r="W54" s="99" t="n"/>
      <c r="X54" s="99" t="n"/>
      <c r="Y54" s="99" t="n"/>
      <c r="Z54" s="99" t="n"/>
      <c r="AA54" s="99" t="n"/>
      <c r="AB54" s="99" t="n"/>
      <c r="AC54" s="99" t="n"/>
      <c r="AD54" s="99" t="n"/>
      <c r="AE54" s="99" t="n"/>
      <c r="AF54" s="99" t="n"/>
      <c r="AG54" s="99" t="n"/>
      <c r="AH54" s="99" t="n"/>
      <c r="AI54" s="99" t="n"/>
      <c r="AJ54" s="99" t="n"/>
      <c r="AK54" s="99" t="n"/>
      <c r="AL54" s="99" t="n"/>
      <c r="AM54" s="99" t="n"/>
      <c r="AN54" s="99" t="n"/>
      <c r="AO54" s="99" t="n"/>
      <c r="AP54" s="99" t="n"/>
      <c r="AQ54" s="99" t="n"/>
      <c r="AR54" s="99" t="n"/>
    </row>
    <row r="55">
      <c r="D55" s="99" t="n"/>
      <c r="E55" s="99" t="n"/>
      <c r="F55" s="99" t="n"/>
      <c r="G55" s="99" t="n"/>
      <c r="H55" s="99" t="n"/>
      <c r="I55" s="99" t="n"/>
      <c r="J55" s="99" t="n"/>
      <c r="K55" s="99" t="n"/>
      <c r="L55" s="99" t="n"/>
      <c r="M55" s="99" t="n"/>
      <c r="N55" s="99" t="n"/>
      <c r="O55" s="99" t="n"/>
      <c r="P55" s="99" t="n"/>
      <c r="Q55" s="99" t="n"/>
      <c r="R55" s="99" t="n"/>
      <c r="S55" s="99" t="n"/>
      <c r="T55" s="99" t="n"/>
      <c r="U55" s="99" t="n"/>
      <c r="V55" s="99" t="n"/>
      <c r="W55" s="99" t="n"/>
      <c r="X55" s="99" t="n"/>
      <c r="Y55" s="99" t="n"/>
      <c r="Z55" s="99" t="n"/>
      <c r="AA55" s="99" t="n"/>
      <c r="AB55" s="99" t="n"/>
      <c r="AC55" s="99" t="n"/>
      <c r="AD55" s="99" t="n"/>
      <c r="AE55" s="99" t="n"/>
      <c r="AF55" s="99" t="n"/>
      <c r="AG55" s="99" t="n"/>
      <c r="AH55" s="99" t="n"/>
      <c r="AI55" s="99" t="n"/>
      <c r="AJ55" s="99" t="n"/>
      <c r="AK55" s="99" t="n"/>
      <c r="AL55" s="99" t="n"/>
      <c r="AM55" s="99" t="n"/>
      <c r="AN55" s="99" t="n"/>
      <c r="AO55" s="99" t="n"/>
      <c r="AP55" s="99" t="n"/>
      <c r="AQ55" s="99" t="n"/>
      <c r="AR55" s="99" t="n"/>
    </row>
    <row r="56">
      <c r="D56" s="99" t="n"/>
      <c r="E56" s="99" t="n"/>
      <c r="F56" s="99" t="n"/>
      <c r="G56" s="99" t="n"/>
      <c r="H56" s="99" t="n"/>
      <c r="I56" s="99" t="n"/>
      <c r="J56" s="99" t="n"/>
      <c r="K56" s="99" t="n"/>
      <c r="L56" s="99" t="n"/>
      <c r="M56" s="99" t="n"/>
      <c r="N56" s="99" t="n"/>
      <c r="O56" s="99" t="n"/>
      <c r="P56" s="99" t="n"/>
      <c r="Q56" s="99" t="n"/>
      <c r="R56" s="99" t="n"/>
      <c r="S56" s="99" t="n"/>
      <c r="T56" s="99" t="n"/>
      <c r="U56" s="99" t="n"/>
      <c r="V56" s="99" t="n"/>
      <c r="W56" s="99" t="n"/>
      <c r="X56" s="99" t="n"/>
      <c r="Y56" s="99" t="n"/>
      <c r="Z56" s="99" t="n"/>
      <c r="AA56" s="99" t="n"/>
      <c r="AB56" s="99" t="n"/>
      <c r="AC56" s="99" t="n"/>
      <c r="AD56" s="99" t="n"/>
      <c r="AE56" s="99" t="n"/>
      <c r="AF56" s="99" t="n"/>
      <c r="AG56" s="99" t="n"/>
      <c r="AH56" s="99" t="n"/>
      <c r="AI56" s="99" t="n"/>
      <c r="AJ56" s="99" t="n"/>
      <c r="AK56" s="99" t="n"/>
      <c r="AL56" s="99" t="n"/>
      <c r="AM56" s="99" t="n"/>
      <c r="AN56" s="99" t="n"/>
      <c r="AO56" s="99" t="n"/>
      <c r="AP56" s="99" t="n"/>
      <c r="AQ56" s="99" t="n"/>
      <c r="AR56" s="99" t="n"/>
    </row>
    <row r="57">
      <c r="D57" s="99" t="n"/>
      <c r="E57" s="99" t="n"/>
      <c r="F57" s="99" t="n"/>
      <c r="G57" s="99" t="n"/>
      <c r="H57" s="99" t="n"/>
      <c r="I57" s="99" t="n"/>
      <c r="J57" s="99" t="n"/>
      <c r="K57" s="99" t="n"/>
      <c r="L57" s="99" t="n"/>
      <c r="M57" s="99" t="n"/>
      <c r="N57" s="99" t="n"/>
      <c r="O57" s="99" t="n"/>
      <c r="P57" s="99" t="n"/>
      <c r="Q57" s="99" t="n"/>
      <c r="R57" s="99" t="n"/>
      <c r="S57" s="99" t="n"/>
      <c r="T57" s="99" t="n"/>
      <c r="U57" s="99" t="n"/>
      <c r="V57" s="99" t="n"/>
      <c r="W57" s="99" t="n"/>
      <c r="X57" s="99" t="n"/>
      <c r="Y57" s="99" t="n"/>
      <c r="Z57" s="99" t="n"/>
      <c r="AA57" s="99" t="n"/>
      <c r="AB57" s="99" t="n"/>
      <c r="AC57" s="99" t="n"/>
      <c r="AD57" s="99" t="n"/>
      <c r="AE57" s="99" t="n"/>
      <c r="AF57" s="99" t="n"/>
      <c r="AG57" s="99" t="n"/>
      <c r="AH57" s="99" t="n"/>
      <c r="AI57" s="99" t="n"/>
      <c r="AJ57" s="99" t="n"/>
      <c r="AK57" s="99" t="n"/>
      <c r="AL57" s="99" t="n"/>
      <c r="AM57" s="99" t="n"/>
      <c r="AN57" s="99" t="n"/>
      <c r="AO57" s="99" t="n"/>
      <c r="AP57" s="99" t="n"/>
      <c r="AQ57" s="99" t="n"/>
      <c r="AR57" s="99" t="n"/>
    </row>
    <row r="58">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row>
    <row r="61">
      <c r="A61" s="2">
        <f>IF($A54="","","   projections")</f>
        <v/>
      </c>
      <c r="B61" s="96">
        <f>IF($A54="",0,COUNT($E62:$AR62))</f>
        <v/>
      </c>
      <c r="C61" s="97">
        <f>IF($B61=0,0,MAX($E62:$AR62))</f>
        <v/>
      </c>
      <c r="D61" s="98">
        <f>BDS($A54,FLD_PROJ,"headers=y","startcol=1","endcol=3","dir=h")</f>
        <v/>
      </c>
      <c r="E61" s="99" t="n"/>
      <c r="F61" s="99" t="n"/>
      <c r="G61" s="99" t="n"/>
      <c r="H61" s="99" t="n"/>
      <c r="I61" s="99" t="n"/>
      <c r="J61" s="99" t="n"/>
      <c r="K61" s="99" t="n"/>
      <c r="L61" s="99" t="n"/>
      <c r="M61" s="99" t="n"/>
      <c r="N61" s="99" t="n"/>
      <c r="O61" s="99" t="n"/>
      <c r="P61" s="99" t="n"/>
      <c r="Q61" s="99" t="n"/>
      <c r="R61" s="99" t="n"/>
      <c r="S61" s="99" t="n"/>
      <c r="T61" s="99" t="n"/>
      <c r="U61" s="99" t="n"/>
      <c r="V61" s="99" t="n"/>
      <c r="W61" s="99" t="n"/>
      <c r="X61" s="99" t="n"/>
      <c r="Y61" s="99" t="n"/>
      <c r="Z61" s="99" t="n"/>
      <c r="AA61" s="99" t="n"/>
      <c r="AB61" s="99" t="n"/>
      <c r="AC61" s="99" t="n"/>
      <c r="AD61" s="99" t="n"/>
      <c r="AE61" s="99" t="n"/>
      <c r="AF61" s="99" t="n"/>
      <c r="AG61" s="99" t="n"/>
      <c r="AH61" s="99" t="n"/>
      <c r="AI61" s="99" t="n"/>
      <c r="AJ61" s="99" t="n"/>
      <c r="AK61" s="99" t="n"/>
      <c r="AL61" s="99" t="n"/>
      <c r="AM61" s="99" t="n"/>
      <c r="AN61" s="99" t="n"/>
      <c r="AO61" s="99" t="n"/>
      <c r="AP61" s="99" t="n"/>
      <c r="AQ61" s="99" t="n"/>
      <c r="AR61" s="99" t="n"/>
    </row>
    <row r="62">
      <c r="D62" s="99" t="n"/>
      <c r="E62" s="99" t="n"/>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c r="AA62" s="99" t="n"/>
      <c r="AB62" s="99" t="n"/>
      <c r="AC62" s="99" t="n"/>
      <c r="AD62" s="99" t="n"/>
      <c r="AE62" s="99" t="n"/>
      <c r="AF62" s="99" t="n"/>
      <c r="AG62" s="99" t="n"/>
      <c r="AH62" s="99" t="n"/>
      <c r="AI62" s="99" t="n"/>
      <c r="AJ62" s="99" t="n"/>
      <c r="AK62" s="99" t="n"/>
      <c r="AL62" s="99" t="n"/>
      <c r="AM62" s="99" t="n"/>
      <c r="AN62" s="99" t="n"/>
      <c r="AO62" s="99" t="n"/>
      <c r="AP62" s="99" t="n"/>
      <c r="AQ62" s="99" t="n"/>
      <c r="AR62" s="99" t="n"/>
    </row>
    <row r="63">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c r="AA63" s="100" t="n"/>
      <c r="AB63" s="100" t="n"/>
      <c r="AC63" s="100" t="n"/>
      <c r="AD63" s="100" t="n"/>
      <c r="AE63" s="100" t="n"/>
      <c r="AF63" s="100" t="n"/>
      <c r="AG63" s="100" t="n"/>
      <c r="AH63" s="100" t="n"/>
      <c r="AI63" s="100" t="n"/>
      <c r="AJ63" s="100" t="n"/>
      <c r="AK63" s="100" t="n"/>
      <c r="AL63" s="100" t="n"/>
      <c r="AM63" s="100" t="n"/>
      <c r="AN63" s="100" t="n"/>
      <c r="AO63" s="100" t="n"/>
      <c r="AP63" s="100" t="n"/>
      <c r="AQ63" s="100" t="n"/>
      <c r="AR63" s="100" t="n"/>
    </row>
    <row r="65">
      <c r="A65" s="6">
        <f>IF(HSI!$C$12="","",HSI!$C$12)</f>
        <v/>
      </c>
      <c r="B65" s="96">
        <f>IF($A65="",0,COUNT($E66:$AR66))</f>
        <v/>
      </c>
      <c r="C65" s="97">
        <f>IF($B65=0,0,MAX($E66:$AR66))</f>
        <v/>
      </c>
      <c r="D65" s="98">
        <f>BDS($A65,FLD_HIST,"headers=y","startcol=1","endcol=7","dir=h","DVD_START_DT",HIST_FROM,"DVD_END_DT",HIST_TO)</f>
        <v/>
      </c>
      <c r="E65" s="99" t="n"/>
      <c r="F65" s="99" t="n"/>
      <c r="G65" s="99" t="n"/>
      <c r="H65" s="99" t="n"/>
      <c r="I65" s="99" t="n"/>
      <c r="J65" s="99" t="n"/>
      <c r="K65" s="99" t="n"/>
      <c r="L65" s="99" t="n"/>
      <c r="M65" s="99" t="n"/>
      <c r="N65" s="99" t="n"/>
      <c r="O65" s="99" t="n"/>
      <c r="P65" s="99" t="n"/>
      <c r="Q65" s="99" t="n"/>
      <c r="R65" s="99" t="n"/>
      <c r="S65" s="99" t="n"/>
      <c r="T65" s="99" t="n"/>
      <c r="U65" s="99" t="n"/>
      <c r="V65" s="99" t="n"/>
      <c r="W65" s="99" t="n"/>
      <c r="X65" s="99" t="n"/>
      <c r="Y65" s="99" t="n"/>
      <c r="Z65" s="99" t="n"/>
      <c r="AA65" s="99" t="n"/>
      <c r="AB65" s="99" t="n"/>
      <c r="AC65" s="99" t="n"/>
      <c r="AD65" s="99" t="n"/>
      <c r="AE65" s="99" t="n"/>
      <c r="AF65" s="99" t="n"/>
      <c r="AG65" s="99" t="n"/>
      <c r="AH65" s="99" t="n"/>
      <c r="AI65" s="99" t="n"/>
      <c r="AJ65" s="99" t="n"/>
      <c r="AK65" s="99" t="n"/>
      <c r="AL65" s="99" t="n"/>
      <c r="AM65" s="99" t="n"/>
      <c r="AN65" s="99" t="n"/>
      <c r="AO65" s="99" t="n"/>
      <c r="AP65" s="99" t="n"/>
      <c r="AQ65" s="99" t="n"/>
      <c r="AR65" s="99" t="n"/>
    </row>
    <row r="66">
      <c r="D66" s="99" t="n"/>
      <c r="E66" s="99" t="n"/>
      <c r="F66" s="99" t="n"/>
      <c r="G66" s="99" t="n"/>
      <c r="H66" s="99" t="n"/>
      <c r="I66" s="99" t="n"/>
      <c r="J66" s="99" t="n"/>
      <c r="K66" s="99" t="n"/>
      <c r="L66" s="99" t="n"/>
      <c r="M66" s="99" t="n"/>
      <c r="N66" s="99" t="n"/>
      <c r="O66" s="99" t="n"/>
      <c r="P66" s="99" t="n"/>
      <c r="Q66" s="99" t="n"/>
      <c r="R66" s="99" t="n"/>
      <c r="S66" s="99" t="n"/>
      <c r="T66" s="99" t="n"/>
      <c r="U66" s="99" t="n"/>
      <c r="V66" s="99" t="n"/>
      <c r="W66" s="99" t="n"/>
      <c r="X66" s="99" t="n"/>
      <c r="Y66" s="99" t="n"/>
      <c r="Z66" s="99" t="n"/>
      <c r="AA66" s="99" t="n"/>
      <c r="AB66" s="99" t="n"/>
      <c r="AC66" s="99" t="n"/>
      <c r="AD66" s="99" t="n"/>
      <c r="AE66" s="99" t="n"/>
      <c r="AF66" s="99" t="n"/>
      <c r="AG66" s="99" t="n"/>
      <c r="AH66" s="99" t="n"/>
      <c r="AI66" s="99" t="n"/>
      <c r="AJ66" s="99" t="n"/>
      <c r="AK66" s="99" t="n"/>
      <c r="AL66" s="99" t="n"/>
      <c r="AM66" s="99" t="n"/>
      <c r="AN66" s="99" t="n"/>
      <c r="AO66" s="99" t="n"/>
      <c r="AP66" s="99" t="n"/>
      <c r="AQ66" s="99" t="n"/>
      <c r="AR66" s="99" t="n"/>
    </row>
    <row r="67">
      <c r="D67" s="99" t="n"/>
      <c r="E67" s="99" t="n"/>
      <c r="F67" s="99" t="n"/>
      <c r="G67" s="99" t="n"/>
      <c r="H67" s="99" t="n"/>
      <c r="I67" s="99" t="n"/>
      <c r="J67" s="99" t="n"/>
      <c r="K67" s="99" t="n"/>
      <c r="L67" s="99" t="n"/>
      <c r="M67" s="99" t="n"/>
      <c r="N67" s="99" t="n"/>
      <c r="O67" s="99" t="n"/>
      <c r="P67" s="99" t="n"/>
      <c r="Q67" s="99" t="n"/>
      <c r="R67" s="99" t="n"/>
      <c r="S67" s="99" t="n"/>
      <c r="T67" s="99" t="n"/>
      <c r="U67" s="99" t="n"/>
      <c r="V67" s="99" t="n"/>
      <c r="W67" s="99" t="n"/>
      <c r="X67" s="99" t="n"/>
      <c r="Y67" s="99" t="n"/>
      <c r="Z67" s="99" t="n"/>
      <c r="AA67" s="99" t="n"/>
      <c r="AB67" s="99" t="n"/>
      <c r="AC67" s="99" t="n"/>
      <c r="AD67" s="99" t="n"/>
      <c r="AE67" s="99" t="n"/>
      <c r="AF67" s="99" t="n"/>
      <c r="AG67" s="99" t="n"/>
      <c r="AH67" s="99" t="n"/>
      <c r="AI67" s="99" t="n"/>
      <c r="AJ67" s="99" t="n"/>
      <c r="AK67" s="99" t="n"/>
      <c r="AL67" s="99" t="n"/>
      <c r="AM67" s="99" t="n"/>
      <c r="AN67" s="99" t="n"/>
      <c r="AO67" s="99" t="n"/>
      <c r="AP67" s="99" t="n"/>
      <c r="AQ67" s="99" t="n"/>
      <c r="AR67" s="99" t="n"/>
    </row>
    <row r="68">
      <c r="D68" s="99" t="n"/>
      <c r="E68" s="99" t="n"/>
      <c r="F68" s="99" t="n"/>
      <c r="G68" s="99" t="n"/>
      <c r="H68" s="99" t="n"/>
      <c r="I68" s="99" t="n"/>
      <c r="J68" s="99" t="n"/>
      <c r="K68" s="99" t="n"/>
      <c r="L68" s="99" t="n"/>
      <c r="M68" s="99" t="n"/>
      <c r="N68" s="99" t="n"/>
      <c r="O68" s="99" t="n"/>
      <c r="P68" s="99" t="n"/>
      <c r="Q68" s="99" t="n"/>
      <c r="R68" s="99" t="n"/>
      <c r="S68" s="99" t="n"/>
      <c r="T68" s="99" t="n"/>
      <c r="U68" s="99" t="n"/>
      <c r="V68" s="99" t="n"/>
      <c r="W68" s="99" t="n"/>
      <c r="X68" s="99" t="n"/>
      <c r="Y68" s="99" t="n"/>
      <c r="Z68" s="99" t="n"/>
      <c r="AA68" s="99" t="n"/>
      <c r="AB68" s="99" t="n"/>
      <c r="AC68" s="99" t="n"/>
      <c r="AD68" s="99" t="n"/>
      <c r="AE68" s="99" t="n"/>
      <c r="AF68" s="99" t="n"/>
      <c r="AG68" s="99" t="n"/>
      <c r="AH68" s="99" t="n"/>
      <c r="AI68" s="99" t="n"/>
      <c r="AJ68" s="99" t="n"/>
      <c r="AK68" s="99" t="n"/>
      <c r="AL68" s="99" t="n"/>
      <c r="AM68" s="99" t="n"/>
      <c r="AN68" s="99" t="n"/>
      <c r="AO68" s="99" t="n"/>
      <c r="AP68" s="99" t="n"/>
      <c r="AQ68" s="99" t="n"/>
      <c r="AR68" s="99" t="n"/>
    </row>
    <row r="69">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c r="AA69" s="100" t="n"/>
      <c r="AB69" s="100" t="n"/>
      <c r="AC69" s="100" t="n"/>
      <c r="AD69" s="100" t="n"/>
      <c r="AE69" s="100" t="n"/>
      <c r="AF69" s="100" t="n"/>
      <c r="AG69" s="100" t="n"/>
      <c r="AH69" s="100" t="n"/>
      <c r="AI69" s="100" t="n"/>
      <c r="AJ69" s="100" t="n"/>
      <c r="AK69" s="100" t="n"/>
      <c r="AL69" s="100" t="n"/>
      <c r="AM69" s="100" t="n"/>
      <c r="AN69" s="100" t="n"/>
      <c r="AO69" s="100" t="n"/>
      <c r="AP69" s="100" t="n"/>
      <c r="AQ69" s="100" t="n"/>
      <c r="AR69" s="100" t="n"/>
    </row>
    <row r="72">
      <c r="A72" s="2">
        <f>IF($A65="","","   projections")</f>
        <v/>
      </c>
      <c r="B72" s="96">
        <f>IF($A65="",0,COUNT($E73:$AR73))</f>
        <v/>
      </c>
      <c r="C72" s="97">
        <f>IF($B72=0,0,MAX($E73:$AR73))</f>
        <v/>
      </c>
      <c r="D72" s="98">
        <f>BDS($A65,FLD_PROJ,"headers=y","startcol=1","endcol=3","dir=h")</f>
        <v/>
      </c>
      <c r="E72" s="99" t="n"/>
      <c r="F72" s="99" t="n"/>
      <c r="G72" s="99" t="n"/>
      <c r="H72" s="99" t="n"/>
      <c r="I72" s="99" t="n"/>
      <c r="J72" s="99" t="n"/>
      <c r="K72" s="99" t="n"/>
      <c r="L72" s="99" t="n"/>
      <c r="M72" s="99" t="n"/>
      <c r="N72" s="99" t="n"/>
      <c r="O72" s="99" t="n"/>
      <c r="P72" s="99" t="n"/>
      <c r="Q72" s="99" t="n"/>
      <c r="R72" s="99" t="n"/>
      <c r="S72" s="99" t="n"/>
      <c r="T72" s="99" t="n"/>
      <c r="U72" s="99" t="n"/>
      <c r="V72" s="99" t="n"/>
      <c r="W72" s="99" t="n"/>
      <c r="X72" s="99" t="n"/>
      <c r="Y72" s="99" t="n"/>
      <c r="Z72" s="99" t="n"/>
      <c r="AA72" s="99" t="n"/>
      <c r="AB72" s="99" t="n"/>
      <c r="AC72" s="99" t="n"/>
      <c r="AD72" s="99" t="n"/>
      <c r="AE72" s="99" t="n"/>
      <c r="AF72" s="99" t="n"/>
      <c r="AG72" s="99" t="n"/>
      <c r="AH72" s="99" t="n"/>
      <c r="AI72" s="99" t="n"/>
      <c r="AJ72" s="99" t="n"/>
      <c r="AK72" s="99" t="n"/>
      <c r="AL72" s="99" t="n"/>
      <c r="AM72" s="99" t="n"/>
      <c r="AN72" s="99" t="n"/>
      <c r="AO72" s="99" t="n"/>
      <c r="AP72" s="99" t="n"/>
      <c r="AQ72" s="99" t="n"/>
      <c r="AR72" s="99" t="n"/>
    </row>
    <row r="73">
      <c r="D73" s="99" t="n"/>
      <c r="E73" s="99" t="n"/>
      <c r="F73" s="99" t="n"/>
      <c r="G73" s="99" t="n"/>
      <c r="H73" s="99" t="n"/>
      <c r="I73" s="99" t="n"/>
      <c r="J73" s="99" t="n"/>
      <c r="K73" s="99" t="n"/>
      <c r="L73" s="99" t="n"/>
      <c r="M73" s="99" t="n"/>
      <c r="N73" s="99" t="n"/>
      <c r="O73" s="99" t="n"/>
      <c r="P73" s="99" t="n"/>
      <c r="Q73" s="99" t="n"/>
      <c r="R73" s="99" t="n"/>
      <c r="S73" s="99" t="n"/>
      <c r="T73" s="99" t="n"/>
      <c r="U73" s="99" t="n"/>
      <c r="V73" s="99" t="n"/>
      <c r="W73" s="99" t="n"/>
      <c r="X73" s="99" t="n"/>
      <c r="Y73" s="99" t="n"/>
      <c r="Z73" s="99" t="n"/>
      <c r="AA73" s="99" t="n"/>
      <c r="AB73" s="99" t="n"/>
      <c r="AC73" s="99" t="n"/>
      <c r="AD73" s="99" t="n"/>
      <c r="AE73" s="99" t="n"/>
      <c r="AF73" s="99" t="n"/>
      <c r="AG73" s="99" t="n"/>
      <c r="AH73" s="99" t="n"/>
      <c r="AI73" s="99" t="n"/>
      <c r="AJ73" s="99" t="n"/>
      <c r="AK73" s="99" t="n"/>
      <c r="AL73" s="99" t="n"/>
      <c r="AM73" s="99" t="n"/>
      <c r="AN73" s="99" t="n"/>
      <c r="AO73" s="99" t="n"/>
      <c r="AP73" s="99" t="n"/>
      <c r="AQ73" s="99" t="n"/>
      <c r="AR73" s="99" t="n"/>
    </row>
    <row r="74">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c r="AA74" s="100" t="n"/>
      <c r="AB74" s="100" t="n"/>
      <c r="AC74" s="100" t="n"/>
      <c r="AD74" s="100" t="n"/>
      <c r="AE74" s="100" t="n"/>
      <c r="AF74" s="100" t="n"/>
      <c r="AG74" s="100" t="n"/>
      <c r="AH74" s="100" t="n"/>
      <c r="AI74" s="100" t="n"/>
      <c r="AJ74" s="100" t="n"/>
      <c r="AK74" s="100" t="n"/>
      <c r="AL74" s="100" t="n"/>
      <c r="AM74" s="100" t="n"/>
      <c r="AN74" s="100" t="n"/>
      <c r="AO74" s="100" t="n"/>
      <c r="AP74" s="100" t="n"/>
      <c r="AQ74" s="100" t="n"/>
      <c r="AR74" s="100" t="n"/>
    </row>
    <row r="76">
      <c r="A76" s="6">
        <f>IF(HSI!$C$13="","",HSI!$C$13)</f>
        <v/>
      </c>
      <c r="B76" s="96">
        <f>IF($A76="",0,COUNT($E77:$AR77))</f>
        <v/>
      </c>
      <c r="C76" s="97">
        <f>IF($B76=0,0,MAX($E77:$AR77))</f>
        <v/>
      </c>
      <c r="D76" s="98">
        <f>BDS($A76,FLD_HIST,"headers=y","startcol=1","endcol=7","dir=h","DVD_START_DT",HIST_FROM,"DVD_END_DT",HIST_TO)</f>
        <v/>
      </c>
      <c r="E76" s="99" t="n"/>
      <c r="F76" s="99" t="n"/>
      <c r="G76" s="99" t="n"/>
      <c r="H76" s="99" t="n"/>
      <c r="I76" s="99" t="n"/>
      <c r="J76" s="99" t="n"/>
      <c r="K76" s="99" t="n"/>
      <c r="L76" s="99" t="n"/>
      <c r="M76" s="99" t="n"/>
      <c r="N76" s="99" t="n"/>
      <c r="O76" s="99" t="n"/>
      <c r="P76" s="99" t="n"/>
      <c r="Q76" s="99" t="n"/>
      <c r="R76" s="99" t="n"/>
      <c r="S76" s="99" t="n"/>
      <c r="T76" s="99" t="n"/>
      <c r="U76" s="99" t="n"/>
      <c r="V76" s="99" t="n"/>
      <c r="W76" s="99" t="n"/>
      <c r="X76" s="99" t="n"/>
      <c r="Y76" s="99" t="n"/>
      <c r="Z76" s="99" t="n"/>
      <c r="AA76" s="99" t="n"/>
      <c r="AB76" s="99" t="n"/>
      <c r="AC76" s="99" t="n"/>
      <c r="AD76" s="99" t="n"/>
      <c r="AE76" s="99" t="n"/>
      <c r="AF76" s="99" t="n"/>
      <c r="AG76" s="99" t="n"/>
      <c r="AH76" s="99" t="n"/>
      <c r="AI76" s="99" t="n"/>
      <c r="AJ76" s="99" t="n"/>
      <c r="AK76" s="99" t="n"/>
      <c r="AL76" s="99" t="n"/>
      <c r="AM76" s="99" t="n"/>
      <c r="AN76" s="99" t="n"/>
      <c r="AO76" s="99" t="n"/>
      <c r="AP76" s="99" t="n"/>
      <c r="AQ76" s="99" t="n"/>
      <c r="AR76" s="99" t="n"/>
    </row>
    <row r="77">
      <c r="D77" s="99" t="n"/>
      <c r="E77" s="99" t="n"/>
      <c r="F77" s="99" t="n"/>
      <c r="G77" s="99" t="n"/>
      <c r="H77" s="99" t="n"/>
      <c r="I77" s="99" t="n"/>
      <c r="J77" s="99" t="n"/>
      <c r="K77" s="99" t="n"/>
      <c r="L77" s="99" t="n"/>
      <c r="M77" s="99" t="n"/>
      <c r="N77" s="99" t="n"/>
      <c r="O77" s="99" t="n"/>
      <c r="P77" s="99" t="n"/>
      <c r="Q77" s="99" t="n"/>
      <c r="R77" s="99" t="n"/>
      <c r="S77" s="99" t="n"/>
      <c r="T77" s="99" t="n"/>
      <c r="U77" s="99" t="n"/>
      <c r="V77" s="99" t="n"/>
      <c r="W77" s="99" t="n"/>
      <c r="X77" s="99" t="n"/>
      <c r="Y77" s="99" t="n"/>
      <c r="Z77" s="99" t="n"/>
      <c r="AA77" s="99" t="n"/>
      <c r="AB77" s="99" t="n"/>
      <c r="AC77" s="99" t="n"/>
      <c r="AD77" s="99" t="n"/>
      <c r="AE77" s="99" t="n"/>
      <c r="AF77" s="99" t="n"/>
      <c r="AG77" s="99" t="n"/>
      <c r="AH77" s="99" t="n"/>
      <c r="AI77" s="99" t="n"/>
      <c r="AJ77" s="99" t="n"/>
      <c r="AK77" s="99" t="n"/>
      <c r="AL77" s="99" t="n"/>
      <c r="AM77" s="99" t="n"/>
      <c r="AN77" s="99" t="n"/>
      <c r="AO77" s="99" t="n"/>
      <c r="AP77" s="99" t="n"/>
      <c r="AQ77" s="99" t="n"/>
      <c r="AR77" s="99" t="n"/>
    </row>
    <row r="78">
      <c r="D78" s="99" t="n"/>
      <c r="E78" s="99" t="n"/>
      <c r="F78" s="99" t="n"/>
      <c r="G78" s="99" t="n"/>
      <c r="H78" s="99" t="n"/>
      <c r="I78" s="99" t="n"/>
      <c r="J78" s="99" t="n"/>
      <c r="K78" s="99" t="n"/>
      <c r="L78" s="99" t="n"/>
      <c r="M78" s="99" t="n"/>
      <c r="N78" s="99" t="n"/>
      <c r="O78" s="99" t="n"/>
      <c r="P78" s="99" t="n"/>
      <c r="Q78" s="99" t="n"/>
      <c r="R78" s="99" t="n"/>
      <c r="S78" s="99" t="n"/>
      <c r="T78" s="99" t="n"/>
      <c r="U78" s="99" t="n"/>
      <c r="V78" s="99" t="n"/>
      <c r="W78" s="99" t="n"/>
      <c r="X78" s="99" t="n"/>
      <c r="Y78" s="99" t="n"/>
      <c r="Z78" s="99" t="n"/>
      <c r="AA78" s="99" t="n"/>
      <c r="AB78" s="99" t="n"/>
      <c r="AC78" s="99" t="n"/>
      <c r="AD78" s="99" t="n"/>
      <c r="AE78" s="99" t="n"/>
      <c r="AF78" s="99" t="n"/>
      <c r="AG78" s="99" t="n"/>
      <c r="AH78" s="99" t="n"/>
      <c r="AI78" s="99" t="n"/>
      <c r="AJ78" s="99" t="n"/>
      <c r="AK78" s="99" t="n"/>
      <c r="AL78" s="99" t="n"/>
      <c r="AM78" s="99" t="n"/>
      <c r="AN78" s="99" t="n"/>
      <c r="AO78" s="99" t="n"/>
      <c r="AP78" s="99" t="n"/>
      <c r="AQ78" s="99" t="n"/>
      <c r="AR78" s="99" t="n"/>
    </row>
    <row r="79">
      <c r="D79" s="99" t="n"/>
      <c r="E79" s="99" t="n"/>
      <c r="F79" s="99" t="n"/>
      <c r="G79" s="99" t="n"/>
      <c r="H79" s="99" t="n"/>
      <c r="I79" s="99" t="n"/>
      <c r="J79" s="99" t="n"/>
      <c r="K79" s="99" t="n"/>
      <c r="L79" s="99" t="n"/>
      <c r="M79" s="99" t="n"/>
      <c r="N79" s="99" t="n"/>
      <c r="O79" s="99" t="n"/>
      <c r="P79" s="99" t="n"/>
      <c r="Q79" s="99" t="n"/>
      <c r="R79" s="99" t="n"/>
      <c r="S79" s="99" t="n"/>
      <c r="T79" s="99" t="n"/>
      <c r="U79" s="99" t="n"/>
      <c r="V79" s="99" t="n"/>
      <c r="W79" s="99" t="n"/>
      <c r="X79" s="99" t="n"/>
      <c r="Y79" s="99" t="n"/>
      <c r="Z79" s="99" t="n"/>
      <c r="AA79" s="99" t="n"/>
      <c r="AB79" s="99" t="n"/>
      <c r="AC79" s="99" t="n"/>
      <c r="AD79" s="99" t="n"/>
      <c r="AE79" s="99" t="n"/>
      <c r="AF79" s="99" t="n"/>
      <c r="AG79" s="99" t="n"/>
      <c r="AH79" s="99" t="n"/>
      <c r="AI79" s="99" t="n"/>
      <c r="AJ79" s="99" t="n"/>
      <c r="AK79" s="99" t="n"/>
      <c r="AL79" s="99" t="n"/>
      <c r="AM79" s="99" t="n"/>
      <c r="AN79" s="99" t="n"/>
      <c r="AO79" s="99" t="n"/>
      <c r="AP79" s="99" t="n"/>
      <c r="AQ79" s="99" t="n"/>
      <c r="AR79" s="99" t="n"/>
    </row>
    <row r="80">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0" t="n"/>
      <c r="AI80" s="100" t="n"/>
      <c r="AJ80" s="100" t="n"/>
      <c r="AK80" s="100" t="n"/>
      <c r="AL80" s="100" t="n"/>
      <c r="AM80" s="100" t="n"/>
      <c r="AN80" s="100" t="n"/>
      <c r="AO80" s="100" t="n"/>
      <c r="AP80" s="100" t="n"/>
      <c r="AQ80" s="100" t="n"/>
      <c r="AR80" s="100" t="n"/>
    </row>
    <row r="83">
      <c r="A83" s="2">
        <f>IF($A76="","","   projections")</f>
        <v/>
      </c>
      <c r="B83" s="96">
        <f>IF($A76="",0,COUNT($E84:$AR84))</f>
        <v/>
      </c>
      <c r="C83" s="97">
        <f>IF($B83=0,0,MAX($E84:$AR84))</f>
        <v/>
      </c>
      <c r="D83" s="98">
        <f>BDS($A76,FLD_PROJ,"headers=y","startcol=1","endcol=3","dir=h")</f>
        <v/>
      </c>
      <c r="E83" s="99" t="n"/>
      <c r="F83" s="99" t="n"/>
      <c r="G83" s="99" t="n"/>
      <c r="H83" s="99" t="n"/>
      <c r="I83" s="99" t="n"/>
      <c r="J83" s="99" t="n"/>
      <c r="K83" s="99" t="n"/>
      <c r="L83" s="99" t="n"/>
      <c r="M83" s="99" t="n"/>
      <c r="N83" s="99" t="n"/>
      <c r="O83" s="99" t="n"/>
      <c r="P83" s="99" t="n"/>
      <c r="Q83" s="99" t="n"/>
      <c r="R83" s="99" t="n"/>
      <c r="S83" s="99" t="n"/>
      <c r="T83" s="99" t="n"/>
      <c r="U83" s="99" t="n"/>
      <c r="V83" s="99" t="n"/>
      <c r="W83" s="99" t="n"/>
      <c r="X83" s="99" t="n"/>
      <c r="Y83" s="99" t="n"/>
      <c r="Z83" s="99" t="n"/>
      <c r="AA83" s="99" t="n"/>
      <c r="AB83" s="99" t="n"/>
      <c r="AC83" s="99" t="n"/>
      <c r="AD83" s="99" t="n"/>
      <c r="AE83" s="99" t="n"/>
      <c r="AF83" s="99" t="n"/>
      <c r="AG83" s="99" t="n"/>
      <c r="AH83" s="99" t="n"/>
      <c r="AI83" s="99" t="n"/>
      <c r="AJ83" s="99" t="n"/>
      <c r="AK83" s="99" t="n"/>
      <c r="AL83" s="99" t="n"/>
      <c r="AM83" s="99" t="n"/>
      <c r="AN83" s="99" t="n"/>
      <c r="AO83" s="99" t="n"/>
      <c r="AP83" s="99" t="n"/>
      <c r="AQ83" s="99" t="n"/>
      <c r="AR83" s="99" t="n"/>
    </row>
    <row r="84">
      <c r="D84" s="99" t="n"/>
      <c r="E84" s="99" t="n"/>
      <c r="F84" s="99" t="n"/>
      <c r="G84" s="99" t="n"/>
      <c r="H84" s="99" t="n"/>
      <c r="I84" s="99" t="n"/>
      <c r="J84" s="99" t="n"/>
      <c r="K84" s="99" t="n"/>
      <c r="L84" s="99" t="n"/>
      <c r="M84" s="99" t="n"/>
      <c r="N84" s="99" t="n"/>
      <c r="O84" s="99" t="n"/>
      <c r="P84" s="99" t="n"/>
      <c r="Q84" s="99" t="n"/>
      <c r="R84" s="99" t="n"/>
      <c r="S84" s="99" t="n"/>
      <c r="T84" s="99" t="n"/>
      <c r="U84" s="99" t="n"/>
      <c r="V84" s="99" t="n"/>
      <c r="W84" s="99" t="n"/>
      <c r="X84" s="99" t="n"/>
      <c r="Y84" s="99" t="n"/>
      <c r="Z84" s="99" t="n"/>
      <c r="AA84" s="99" t="n"/>
      <c r="AB84" s="99" t="n"/>
      <c r="AC84" s="99" t="n"/>
      <c r="AD84" s="99" t="n"/>
      <c r="AE84" s="99" t="n"/>
      <c r="AF84" s="99" t="n"/>
      <c r="AG84" s="99" t="n"/>
      <c r="AH84" s="99" t="n"/>
      <c r="AI84" s="99" t="n"/>
      <c r="AJ84" s="99" t="n"/>
      <c r="AK84" s="99" t="n"/>
      <c r="AL84" s="99" t="n"/>
      <c r="AM84" s="99" t="n"/>
      <c r="AN84" s="99" t="n"/>
      <c r="AO84" s="99" t="n"/>
      <c r="AP84" s="99" t="n"/>
      <c r="AQ84" s="99" t="n"/>
      <c r="AR84" s="99" t="n"/>
    </row>
    <row r="85">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0" t="n"/>
      <c r="AI85" s="100" t="n"/>
      <c r="AJ85" s="100" t="n"/>
      <c r="AK85" s="100" t="n"/>
      <c r="AL85" s="100" t="n"/>
      <c r="AM85" s="100" t="n"/>
      <c r="AN85" s="100" t="n"/>
      <c r="AO85" s="100" t="n"/>
      <c r="AP85" s="100" t="n"/>
      <c r="AQ85" s="100" t="n"/>
      <c r="AR85" s="100" t="n"/>
    </row>
    <row r="87">
      <c r="A87" s="6">
        <f>IF(HSI!$C$14="","",HSI!$C$14)</f>
        <v/>
      </c>
      <c r="B87" s="96">
        <f>IF($A87="",0,COUNT($E88:$AR88))</f>
        <v/>
      </c>
      <c r="C87" s="97">
        <f>IF($B87=0,0,MAX($E88:$AR88))</f>
        <v/>
      </c>
      <c r="D87" s="98">
        <f>BDS($A87,FLD_HIST,"headers=y","startcol=1","endcol=7","dir=h","DVD_START_DT",HIST_FROM,"DVD_END_DT",HIST_TO)</f>
        <v/>
      </c>
      <c r="E87" s="99" t="n"/>
      <c r="F87" s="99" t="n"/>
      <c r="G87" s="99" t="n"/>
      <c r="H87" s="99" t="n"/>
      <c r="I87" s="99" t="n"/>
      <c r="J87" s="99" t="n"/>
      <c r="K87" s="99" t="n"/>
      <c r="L87" s="99" t="n"/>
      <c r="M87" s="99" t="n"/>
      <c r="N87" s="99" t="n"/>
      <c r="O87" s="99" t="n"/>
      <c r="P87" s="99" t="n"/>
      <c r="Q87" s="99" t="n"/>
      <c r="R87" s="99" t="n"/>
      <c r="S87" s="99" t="n"/>
      <c r="T87" s="99" t="n"/>
      <c r="U87" s="99" t="n"/>
      <c r="V87" s="99" t="n"/>
      <c r="W87" s="99" t="n"/>
      <c r="X87" s="99" t="n"/>
      <c r="Y87" s="99" t="n"/>
      <c r="Z87" s="99" t="n"/>
      <c r="AA87" s="99" t="n"/>
      <c r="AB87" s="99" t="n"/>
      <c r="AC87" s="99" t="n"/>
      <c r="AD87" s="99" t="n"/>
      <c r="AE87" s="99" t="n"/>
      <c r="AF87" s="99" t="n"/>
      <c r="AG87" s="99" t="n"/>
      <c r="AH87" s="99" t="n"/>
      <c r="AI87" s="99" t="n"/>
      <c r="AJ87" s="99" t="n"/>
      <c r="AK87" s="99" t="n"/>
      <c r="AL87" s="99" t="n"/>
      <c r="AM87" s="99" t="n"/>
      <c r="AN87" s="99" t="n"/>
      <c r="AO87" s="99" t="n"/>
      <c r="AP87" s="99" t="n"/>
      <c r="AQ87" s="99" t="n"/>
      <c r="AR87" s="99" t="n"/>
    </row>
    <row r="88">
      <c r="D88" s="99" t="n"/>
      <c r="E88" s="99" t="n"/>
      <c r="F88" s="99" t="n"/>
      <c r="G88" s="99" t="n"/>
      <c r="H88" s="99" t="n"/>
      <c r="I88" s="99" t="n"/>
      <c r="J88" s="99" t="n"/>
      <c r="K88" s="99" t="n"/>
      <c r="L88" s="99" t="n"/>
      <c r="M88" s="99" t="n"/>
      <c r="N88" s="99" t="n"/>
      <c r="O88" s="99" t="n"/>
      <c r="P88" s="99" t="n"/>
      <c r="Q88" s="99" t="n"/>
      <c r="R88" s="99" t="n"/>
      <c r="S88" s="99" t="n"/>
      <c r="T88" s="99" t="n"/>
      <c r="U88" s="99" t="n"/>
      <c r="V88" s="99" t="n"/>
      <c r="W88" s="99" t="n"/>
      <c r="X88" s="99" t="n"/>
      <c r="Y88" s="99" t="n"/>
      <c r="Z88" s="99" t="n"/>
      <c r="AA88" s="99" t="n"/>
      <c r="AB88" s="99" t="n"/>
      <c r="AC88" s="99" t="n"/>
      <c r="AD88" s="99" t="n"/>
      <c r="AE88" s="99" t="n"/>
      <c r="AF88" s="99" t="n"/>
      <c r="AG88" s="99" t="n"/>
      <c r="AH88" s="99" t="n"/>
      <c r="AI88" s="99" t="n"/>
      <c r="AJ88" s="99" t="n"/>
      <c r="AK88" s="99" t="n"/>
      <c r="AL88" s="99" t="n"/>
      <c r="AM88" s="99" t="n"/>
      <c r="AN88" s="99" t="n"/>
      <c r="AO88" s="99" t="n"/>
      <c r="AP88" s="99" t="n"/>
      <c r="AQ88" s="99" t="n"/>
      <c r="AR88" s="99" t="n"/>
    </row>
    <row r="89">
      <c r="D89" s="99" t="n"/>
      <c r="E89" s="99" t="n"/>
      <c r="F89" s="99" t="n"/>
      <c r="G89" s="99" t="n"/>
      <c r="H89" s="99" t="n"/>
      <c r="I89" s="99" t="n"/>
      <c r="J89" s="99" t="n"/>
      <c r="K89" s="99" t="n"/>
      <c r="L89" s="99" t="n"/>
      <c r="M89" s="99" t="n"/>
      <c r="N89" s="99" t="n"/>
      <c r="O89" s="99" t="n"/>
      <c r="P89" s="99" t="n"/>
      <c r="Q89" s="99" t="n"/>
      <c r="R89" s="99" t="n"/>
      <c r="S89" s="99" t="n"/>
      <c r="T89" s="99" t="n"/>
      <c r="U89" s="99" t="n"/>
      <c r="V89" s="99" t="n"/>
      <c r="W89" s="99" t="n"/>
      <c r="X89" s="99" t="n"/>
      <c r="Y89" s="99" t="n"/>
      <c r="Z89" s="99" t="n"/>
      <c r="AA89" s="99" t="n"/>
      <c r="AB89" s="99" t="n"/>
      <c r="AC89" s="99" t="n"/>
      <c r="AD89" s="99" t="n"/>
      <c r="AE89" s="99" t="n"/>
      <c r="AF89" s="99" t="n"/>
      <c r="AG89" s="99" t="n"/>
      <c r="AH89" s="99" t="n"/>
      <c r="AI89" s="99" t="n"/>
      <c r="AJ89" s="99" t="n"/>
      <c r="AK89" s="99" t="n"/>
      <c r="AL89" s="99" t="n"/>
      <c r="AM89" s="99" t="n"/>
      <c r="AN89" s="99" t="n"/>
      <c r="AO89" s="99" t="n"/>
      <c r="AP89" s="99" t="n"/>
      <c r="AQ89" s="99" t="n"/>
      <c r="AR89" s="99" t="n"/>
    </row>
    <row r="90">
      <c r="D90" s="99" t="n"/>
      <c r="E90" s="99" t="n"/>
      <c r="F90" s="99" t="n"/>
      <c r="G90" s="99" t="n"/>
      <c r="H90" s="99" t="n"/>
      <c r="I90" s="99" t="n"/>
      <c r="J90" s="99" t="n"/>
      <c r="K90" s="99" t="n"/>
      <c r="L90" s="99" t="n"/>
      <c r="M90" s="99" t="n"/>
      <c r="N90" s="99" t="n"/>
      <c r="O90" s="99" t="n"/>
      <c r="P90" s="99" t="n"/>
      <c r="Q90" s="99" t="n"/>
      <c r="R90" s="99" t="n"/>
      <c r="S90" s="99" t="n"/>
      <c r="T90" s="99" t="n"/>
      <c r="U90" s="99" t="n"/>
      <c r="V90" s="99" t="n"/>
      <c r="W90" s="99" t="n"/>
      <c r="X90" s="99" t="n"/>
      <c r="Y90" s="99" t="n"/>
      <c r="Z90" s="99" t="n"/>
      <c r="AA90" s="99" t="n"/>
      <c r="AB90" s="99" t="n"/>
      <c r="AC90" s="99" t="n"/>
      <c r="AD90" s="99" t="n"/>
      <c r="AE90" s="99" t="n"/>
      <c r="AF90" s="99" t="n"/>
      <c r="AG90" s="99" t="n"/>
      <c r="AH90" s="99" t="n"/>
      <c r="AI90" s="99" t="n"/>
      <c r="AJ90" s="99" t="n"/>
      <c r="AK90" s="99" t="n"/>
      <c r="AL90" s="99" t="n"/>
      <c r="AM90" s="99" t="n"/>
      <c r="AN90" s="99" t="n"/>
      <c r="AO90" s="99" t="n"/>
      <c r="AP90" s="99" t="n"/>
      <c r="AQ90" s="99" t="n"/>
      <c r="AR90" s="99" t="n"/>
    </row>
    <row r="91">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0" t="n"/>
      <c r="AI91" s="100" t="n"/>
      <c r="AJ91" s="100" t="n"/>
      <c r="AK91" s="100" t="n"/>
      <c r="AL91" s="100" t="n"/>
      <c r="AM91" s="100" t="n"/>
      <c r="AN91" s="100" t="n"/>
      <c r="AO91" s="100" t="n"/>
      <c r="AP91" s="100" t="n"/>
      <c r="AQ91" s="100" t="n"/>
      <c r="AR91" s="100" t="n"/>
    </row>
    <row r="94">
      <c r="A94" s="2">
        <f>IF($A87="","","   projections")</f>
        <v/>
      </c>
      <c r="B94" s="96">
        <f>IF($A87="",0,COUNT($E95:$AR95))</f>
        <v/>
      </c>
      <c r="C94" s="97">
        <f>IF($B94=0,0,MAX($E95:$AR95))</f>
        <v/>
      </c>
      <c r="D94" s="98">
        <f>BDS($A87,FLD_PROJ,"headers=y","startcol=1","endcol=3","dir=h")</f>
        <v/>
      </c>
      <c r="E94" s="99" t="n"/>
      <c r="F94" s="99" t="n"/>
      <c r="G94" s="99" t="n"/>
      <c r="H94" s="99" t="n"/>
      <c r="I94" s="99" t="n"/>
      <c r="J94" s="99" t="n"/>
      <c r="K94" s="99" t="n"/>
      <c r="L94" s="99" t="n"/>
      <c r="M94" s="99" t="n"/>
      <c r="N94" s="99" t="n"/>
      <c r="O94" s="99" t="n"/>
      <c r="P94" s="99" t="n"/>
      <c r="Q94" s="99" t="n"/>
      <c r="R94" s="99" t="n"/>
      <c r="S94" s="99" t="n"/>
      <c r="T94" s="99" t="n"/>
      <c r="U94" s="99" t="n"/>
      <c r="V94" s="99" t="n"/>
      <c r="W94" s="99" t="n"/>
      <c r="X94" s="99" t="n"/>
      <c r="Y94" s="99" t="n"/>
      <c r="Z94" s="99" t="n"/>
      <c r="AA94" s="99" t="n"/>
      <c r="AB94" s="99" t="n"/>
      <c r="AC94" s="99" t="n"/>
      <c r="AD94" s="99" t="n"/>
      <c r="AE94" s="99" t="n"/>
      <c r="AF94" s="99" t="n"/>
      <c r="AG94" s="99" t="n"/>
      <c r="AH94" s="99" t="n"/>
      <c r="AI94" s="99" t="n"/>
      <c r="AJ94" s="99" t="n"/>
      <c r="AK94" s="99" t="n"/>
      <c r="AL94" s="99" t="n"/>
      <c r="AM94" s="99" t="n"/>
      <c r="AN94" s="99" t="n"/>
      <c r="AO94" s="99" t="n"/>
      <c r="AP94" s="99" t="n"/>
      <c r="AQ94" s="99" t="n"/>
      <c r="AR94" s="99" t="n"/>
    </row>
    <row r="95">
      <c r="D95" s="99" t="n"/>
      <c r="E95" s="99" t="n"/>
      <c r="F95" s="99" t="n"/>
      <c r="G95" s="99" t="n"/>
      <c r="H95" s="99" t="n"/>
      <c r="I95" s="99" t="n"/>
      <c r="J95" s="99" t="n"/>
      <c r="K95" s="99" t="n"/>
      <c r="L95" s="99" t="n"/>
      <c r="M95" s="99" t="n"/>
      <c r="N95" s="99" t="n"/>
      <c r="O95" s="99" t="n"/>
      <c r="P95" s="99" t="n"/>
      <c r="Q95" s="99" t="n"/>
      <c r="R95" s="99" t="n"/>
      <c r="S95" s="99" t="n"/>
      <c r="T95" s="99" t="n"/>
      <c r="U95" s="99" t="n"/>
      <c r="V95" s="99" t="n"/>
      <c r="W95" s="99" t="n"/>
      <c r="X95" s="99" t="n"/>
      <c r="Y95" s="99" t="n"/>
      <c r="Z95" s="99" t="n"/>
      <c r="AA95" s="99" t="n"/>
      <c r="AB95" s="99" t="n"/>
      <c r="AC95" s="99" t="n"/>
      <c r="AD95" s="99" t="n"/>
      <c r="AE95" s="99" t="n"/>
      <c r="AF95" s="99" t="n"/>
      <c r="AG95" s="99" t="n"/>
      <c r="AH95" s="99" t="n"/>
      <c r="AI95" s="99" t="n"/>
      <c r="AJ95" s="99" t="n"/>
      <c r="AK95" s="99" t="n"/>
      <c r="AL95" s="99" t="n"/>
      <c r="AM95" s="99" t="n"/>
      <c r="AN95" s="99" t="n"/>
      <c r="AO95" s="99" t="n"/>
      <c r="AP95" s="99" t="n"/>
      <c r="AQ95" s="99" t="n"/>
      <c r="AR95" s="99" t="n"/>
    </row>
    <row r="96">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0" t="n"/>
      <c r="AI96" s="100" t="n"/>
      <c r="AJ96" s="100" t="n"/>
      <c r="AK96" s="100" t="n"/>
      <c r="AL96" s="100" t="n"/>
      <c r="AM96" s="100" t="n"/>
      <c r="AN96" s="100" t="n"/>
      <c r="AO96" s="100" t="n"/>
      <c r="AP96" s="100" t="n"/>
      <c r="AQ96" s="100" t="n"/>
      <c r="AR96" s="100" t="n"/>
    </row>
    <row r="98">
      <c r="A98" s="6">
        <f>IF(HSI!$C$15="","",HSI!$C$15)</f>
        <v/>
      </c>
      <c r="B98" s="96">
        <f>IF($A98="",0,COUNT($E99:$AR99))</f>
        <v/>
      </c>
      <c r="C98" s="97">
        <f>IF($B98=0,0,MAX($E99:$AR99))</f>
        <v/>
      </c>
      <c r="D98" s="98">
        <f>BDS($A98,FLD_HIST,"headers=y","startcol=1","endcol=7","dir=h","DVD_START_DT",HIST_FROM,"DVD_END_DT",HIST_TO)</f>
        <v/>
      </c>
      <c r="E98" s="99" t="n"/>
      <c r="F98" s="99" t="n"/>
      <c r="G98" s="99" t="n"/>
      <c r="H98" s="99" t="n"/>
      <c r="I98" s="99" t="n"/>
      <c r="J98" s="99" t="n"/>
      <c r="K98" s="99" t="n"/>
      <c r="L98" s="99" t="n"/>
      <c r="M98" s="99" t="n"/>
      <c r="N98" s="99" t="n"/>
      <c r="O98" s="99" t="n"/>
      <c r="P98" s="99" t="n"/>
      <c r="Q98" s="99" t="n"/>
      <c r="R98" s="99" t="n"/>
      <c r="S98" s="99" t="n"/>
      <c r="T98" s="99" t="n"/>
      <c r="U98" s="99" t="n"/>
      <c r="V98" s="99" t="n"/>
      <c r="W98" s="99" t="n"/>
      <c r="X98" s="99" t="n"/>
      <c r="Y98" s="99" t="n"/>
      <c r="Z98" s="99" t="n"/>
      <c r="AA98" s="99" t="n"/>
      <c r="AB98" s="99" t="n"/>
      <c r="AC98" s="99" t="n"/>
      <c r="AD98" s="99" t="n"/>
      <c r="AE98" s="99" t="n"/>
      <c r="AF98" s="99" t="n"/>
      <c r="AG98" s="99" t="n"/>
      <c r="AH98" s="99" t="n"/>
      <c r="AI98" s="99" t="n"/>
      <c r="AJ98" s="99" t="n"/>
      <c r="AK98" s="99" t="n"/>
      <c r="AL98" s="99" t="n"/>
      <c r="AM98" s="99" t="n"/>
      <c r="AN98" s="99" t="n"/>
      <c r="AO98" s="99" t="n"/>
      <c r="AP98" s="99" t="n"/>
      <c r="AQ98" s="99" t="n"/>
      <c r="AR98" s="99" t="n"/>
    </row>
    <row r="99">
      <c r="D99" s="99" t="n"/>
      <c r="E99" s="99" t="n"/>
      <c r="F99" s="99" t="n"/>
      <c r="G99" s="99" t="n"/>
      <c r="H99" s="99" t="n"/>
      <c r="I99" s="99" t="n"/>
      <c r="J99" s="99" t="n"/>
      <c r="K99" s="99" t="n"/>
      <c r="L99" s="99" t="n"/>
      <c r="M99" s="99" t="n"/>
      <c r="N99" s="99" t="n"/>
      <c r="O99" s="99" t="n"/>
      <c r="P99" s="99" t="n"/>
      <c r="Q99" s="99" t="n"/>
      <c r="R99" s="99" t="n"/>
      <c r="S99" s="99" t="n"/>
      <c r="T99" s="99" t="n"/>
      <c r="U99" s="99" t="n"/>
      <c r="V99" s="99" t="n"/>
      <c r="W99" s="99" t="n"/>
      <c r="X99" s="99" t="n"/>
      <c r="Y99" s="99" t="n"/>
      <c r="Z99" s="99" t="n"/>
      <c r="AA99" s="99" t="n"/>
      <c r="AB99" s="99" t="n"/>
      <c r="AC99" s="99" t="n"/>
      <c r="AD99" s="99" t="n"/>
      <c r="AE99" s="99" t="n"/>
      <c r="AF99" s="99" t="n"/>
      <c r="AG99" s="99" t="n"/>
      <c r="AH99" s="99" t="n"/>
      <c r="AI99" s="99" t="n"/>
      <c r="AJ99" s="99" t="n"/>
      <c r="AK99" s="99" t="n"/>
      <c r="AL99" s="99" t="n"/>
      <c r="AM99" s="99" t="n"/>
      <c r="AN99" s="99" t="n"/>
      <c r="AO99" s="99" t="n"/>
      <c r="AP99" s="99" t="n"/>
      <c r="AQ99" s="99" t="n"/>
      <c r="AR99" s="99" t="n"/>
    </row>
    <row r="100">
      <c r="D100" s="99" t="n"/>
      <c r="E100" s="99" t="n"/>
      <c r="F100" s="99" t="n"/>
      <c r="G100" s="99" t="n"/>
      <c r="H100" s="99" t="n"/>
      <c r="I100" s="99" t="n"/>
      <c r="J100" s="99" t="n"/>
      <c r="K100" s="99" t="n"/>
      <c r="L100" s="99" t="n"/>
      <c r="M100" s="99" t="n"/>
      <c r="N100" s="99" t="n"/>
      <c r="O100" s="99" t="n"/>
      <c r="P100" s="99" t="n"/>
      <c r="Q100" s="99" t="n"/>
      <c r="R100" s="99" t="n"/>
      <c r="S100" s="99" t="n"/>
      <c r="T100" s="99" t="n"/>
      <c r="U100" s="99" t="n"/>
      <c r="V100" s="99" t="n"/>
      <c r="W100" s="99" t="n"/>
      <c r="X100" s="99" t="n"/>
      <c r="Y100" s="99" t="n"/>
      <c r="Z100" s="99" t="n"/>
      <c r="AA100" s="99" t="n"/>
      <c r="AB100" s="99" t="n"/>
      <c r="AC100" s="99" t="n"/>
      <c r="AD100" s="99" t="n"/>
      <c r="AE100" s="99" t="n"/>
      <c r="AF100" s="99" t="n"/>
      <c r="AG100" s="99" t="n"/>
      <c r="AH100" s="99" t="n"/>
      <c r="AI100" s="99" t="n"/>
      <c r="AJ100" s="99" t="n"/>
      <c r="AK100" s="99" t="n"/>
      <c r="AL100" s="99" t="n"/>
      <c r="AM100" s="99" t="n"/>
      <c r="AN100" s="99" t="n"/>
      <c r="AO100" s="99" t="n"/>
      <c r="AP100" s="99" t="n"/>
      <c r="AQ100" s="99" t="n"/>
      <c r="AR100" s="99" t="n"/>
    </row>
    <row r="101">
      <c r="D101" s="99" t="n"/>
      <c r="E101" s="99" t="n"/>
      <c r="F101" s="99" t="n"/>
      <c r="G101" s="99" t="n"/>
      <c r="H101" s="99" t="n"/>
      <c r="I101" s="99" t="n"/>
      <c r="J101" s="99" t="n"/>
      <c r="K101" s="99" t="n"/>
      <c r="L101" s="99" t="n"/>
      <c r="M101" s="99" t="n"/>
      <c r="N101" s="99" t="n"/>
      <c r="O101" s="99" t="n"/>
      <c r="P101" s="99" t="n"/>
      <c r="Q101" s="99" t="n"/>
      <c r="R101" s="99" t="n"/>
      <c r="S101" s="99" t="n"/>
      <c r="T101" s="99" t="n"/>
      <c r="U101" s="99" t="n"/>
      <c r="V101" s="99" t="n"/>
      <c r="W101" s="99" t="n"/>
      <c r="X101" s="99" t="n"/>
      <c r="Y101" s="99" t="n"/>
      <c r="Z101" s="99" t="n"/>
      <c r="AA101" s="99" t="n"/>
      <c r="AB101" s="99" t="n"/>
      <c r="AC101" s="99" t="n"/>
      <c r="AD101" s="99" t="n"/>
      <c r="AE101" s="99" t="n"/>
      <c r="AF101" s="99" t="n"/>
      <c r="AG101" s="99" t="n"/>
      <c r="AH101" s="99" t="n"/>
      <c r="AI101" s="99" t="n"/>
      <c r="AJ101" s="99" t="n"/>
      <c r="AK101" s="99" t="n"/>
      <c r="AL101" s="99" t="n"/>
      <c r="AM101" s="99" t="n"/>
      <c r="AN101" s="99" t="n"/>
      <c r="AO101" s="99" t="n"/>
      <c r="AP101" s="99" t="n"/>
      <c r="AQ101" s="99" t="n"/>
      <c r="AR101" s="99" t="n"/>
    </row>
    <row r="102">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row>
    <row r="105">
      <c r="A105" s="2">
        <f>IF($A98="","","   projections")</f>
        <v/>
      </c>
      <c r="B105" s="96">
        <f>IF($A98="",0,COUNT($E106:$AR106))</f>
        <v/>
      </c>
      <c r="C105" s="97">
        <f>IF($B105=0,0,MAX($E106:$AR106))</f>
        <v/>
      </c>
      <c r="D105" s="98">
        <f>BDS($A98,FLD_PROJ,"headers=y","startcol=1","endcol=3","dir=h")</f>
        <v/>
      </c>
      <c r="E105" s="99" t="n"/>
      <c r="F105" s="99" t="n"/>
      <c r="G105" s="99" t="n"/>
      <c r="H105" s="99" t="n"/>
      <c r="I105" s="99" t="n"/>
      <c r="J105" s="99" t="n"/>
      <c r="K105" s="99" t="n"/>
      <c r="L105" s="99" t="n"/>
      <c r="M105" s="99" t="n"/>
      <c r="N105" s="99" t="n"/>
      <c r="O105" s="99" t="n"/>
      <c r="P105" s="99" t="n"/>
      <c r="Q105" s="99" t="n"/>
      <c r="R105" s="99" t="n"/>
      <c r="S105" s="99" t="n"/>
      <c r="T105" s="99" t="n"/>
      <c r="U105" s="99" t="n"/>
      <c r="V105" s="99" t="n"/>
      <c r="W105" s="99" t="n"/>
      <c r="X105" s="99" t="n"/>
      <c r="Y105" s="99" t="n"/>
      <c r="Z105" s="99" t="n"/>
      <c r="AA105" s="99" t="n"/>
      <c r="AB105" s="99" t="n"/>
      <c r="AC105" s="99" t="n"/>
      <c r="AD105" s="99" t="n"/>
      <c r="AE105" s="99" t="n"/>
      <c r="AF105" s="99" t="n"/>
      <c r="AG105" s="99" t="n"/>
      <c r="AH105" s="99" t="n"/>
      <c r="AI105" s="99" t="n"/>
      <c r="AJ105" s="99" t="n"/>
      <c r="AK105" s="99" t="n"/>
      <c r="AL105" s="99" t="n"/>
      <c r="AM105" s="99" t="n"/>
      <c r="AN105" s="99" t="n"/>
      <c r="AO105" s="99" t="n"/>
      <c r="AP105" s="99" t="n"/>
      <c r="AQ105" s="99" t="n"/>
      <c r="AR105" s="99" t="n"/>
    </row>
    <row r="106">
      <c r="D106" s="99" t="n"/>
      <c r="E106" s="99" t="n"/>
      <c r="F106" s="99" t="n"/>
      <c r="G106" s="99" t="n"/>
      <c r="H106" s="99" t="n"/>
      <c r="I106" s="99" t="n"/>
      <c r="J106" s="99" t="n"/>
      <c r="K106" s="99" t="n"/>
      <c r="L106" s="99" t="n"/>
      <c r="M106" s="99" t="n"/>
      <c r="N106" s="99" t="n"/>
      <c r="O106" s="99" t="n"/>
      <c r="P106" s="99" t="n"/>
      <c r="Q106" s="99" t="n"/>
      <c r="R106" s="99" t="n"/>
      <c r="S106" s="99" t="n"/>
      <c r="T106" s="99" t="n"/>
      <c r="U106" s="99" t="n"/>
      <c r="V106" s="99" t="n"/>
      <c r="W106" s="99" t="n"/>
      <c r="X106" s="99" t="n"/>
      <c r="Y106" s="99" t="n"/>
      <c r="Z106" s="99" t="n"/>
      <c r="AA106" s="99" t="n"/>
      <c r="AB106" s="99" t="n"/>
      <c r="AC106" s="99" t="n"/>
      <c r="AD106" s="99" t="n"/>
      <c r="AE106" s="99" t="n"/>
      <c r="AF106" s="99" t="n"/>
      <c r="AG106" s="99" t="n"/>
      <c r="AH106" s="99" t="n"/>
      <c r="AI106" s="99" t="n"/>
      <c r="AJ106" s="99" t="n"/>
      <c r="AK106" s="99" t="n"/>
      <c r="AL106" s="99" t="n"/>
      <c r="AM106" s="99" t="n"/>
      <c r="AN106" s="99" t="n"/>
      <c r="AO106" s="99" t="n"/>
      <c r="AP106" s="99" t="n"/>
      <c r="AQ106" s="99" t="n"/>
      <c r="AR106" s="99" t="n"/>
    </row>
    <row r="107">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0" t="n"/>
      <c r="AI107" s="100" t="n"/>
      <c r="AJ107" s="100" t="n"/>
      <c r="AK107" s="100" t="n"/>
      <c r="AL107" s="100" t="n"/>
      <c r="AM107" s="100" t="n"/>
      <c r="AN107" s="100" t="n"/>
      <c r="AO107" s="100" t="n"/>
      <c r="AP107" s="100" t="n"/>
      <c r="AQ107" s="100" t="n"/>
      <c r="AR107" s="100" t="n"/>
    </row>
    <row r="109">
      <c r="A109" s="6">
        <f>IF(HSI!$C$16="","",HSI!$C$16)</f>
        <v/>
      </c>
      <c r="B109" s="96">
        <f>IF($A109="",0,COUNT($E110:$AR110))</f>
        <v/>
      </c>
      <c r="C109" s="97">
        <f>IF($B109=0,0,MAX($E110:$AR110))</f>
        <v/>
      </c>
      <c r="D109" s="98">
        <f>BDS($A109,FLD_HIST,"headers=y","startcol=1","endcol=7","dir=h","DVD_START_DT",HIST_FROM,"DVD_END_DT",HIST_TO)</f>
        <v/>
      </c>
      <c r="E109" s="99" t="n"/>
      <c r="F109" s="99" t="n"/>
      <c r="G109" s="99" t="n"/>
      <c r="H109" s="99" t="n"/>
      <c r="I109" s="99" t="n"/>
      <c r="J109" s="99" t="n"/>
      <c r="K109" s="99" t="n"/>
      <c r="L109" s="99" t="n"/>
      <c r="M109" s="99" t="n"/>
      <c r="N109" s="99" t="n"/>
      <c r="O109" s="99" t="n"/>
      <c r="P109" s="99" t="n"/>
      <c r="Q109" s="99" t="n"/>
      <c r="R109" s="99" t="n"/>
      <c r="S109" s="99" t="n"/>
      <c r="T109" s="99" t="n"/>
      <c r="U109" s="99" t="n"/>
      <c r="V109" s="99" t="n"/>
      <c r="W109" s="99" t="n"/>
      <c r="X109" s="99" t="n"/>
      <c r="Y109" s="99" t="n"/>
      <c r="Z109" s="99" t="n"/>
      <c r="AA109" s="99" t="n"/>
      <c r="AB109" s="99" t="n"/>
      <c r="AC109" s="99" t="n"/>
      <c r="AD109" s="99" t="n"/>
      <c r="AE109" s="99" t="n"/>
      <c r="AF109" s="99" t="n"/>
      <c r="AG109" s="99" t="n"/>
      <c r="AH109" s="99" t="n"/>
      <c r="AI109" s="99" t="n"/>
      <c r="AJ109" s="99" t="n"/>
      <c r="AK109" s="99" t="n"/>
      <c r="AL109" s="99" t="n"/>
      <c r="AM109" s="99" t="n"/>
      <c r="AN109" s="99" t="n"/>
      <c r="AO109" s="99" t="n"/>
      <c r="AP109" s="99" t="n"/>
      <c r="AQ109" s="99" t="n"/>
      <c r="AR109" s="99" t="n"/>
    </row>
    <row r="110">
      <c r="D110" s="99" t="n"/>
      <c r="E110" s="99" t="n"/>
      <c r="F110" s="99" t="n"/>
      <c r="G110" s="99" t="n"/>
      <c r="H110" s="99" t="n"/>
      <c r="I110" s="99" t="n"/>
      <c r="J110" s="99" t="n"/>
      <c r="K110" s="99" t="n"/>
      <c r="L110" s="99" t="n"/>
      <c r="M110" s="99" t="n"/>
      <c r="N110" s="99" t="n"/>
      <c r="O110" s="99" t="n"/>
      <c r="P110" s="99" t="n"/>
      <c r="Q110" s="99" t="n"/>
      <c r="R110" s="99" t="n"/>
      <c r="S110" s="99" t="n"/>
      <c r="T110" s="99" t="n"/>
      <c r="U110" s="99" t="n"/>
      <c r="V110" s="99" t="n"/>
      <c r="W110" s="99" t="n"/>
      <c r="X110" s="99" t="n"/>
      <c r="Y110" s="99" t="n"/>
      <c r="Z110" s="99" t="n"/>
      <c r="AA110" s="99" t="n"/>
      <c r="AB110" s="99" t="n"/>
      <c r="AC110" s="99" t="n"/>
      <c r="AD110" s="99" t="n"/>
      <c r="AE110" s="99" t="n"/>
      <c r="AF110" s="99" t="n"/>
      <c r="AG110" s="99" t="n"/>
      <c r="AH110" s="99" t="n"/>
      <c r="AI110" s="99" t="n"/>
      <c r="AJ110" s="99" t="n"/>
      <c r="AK110" s="99" t="n"/>
      <c r="AL110" s="99" t="n"/>
      <c r="AM110" s="99" t="n"/>
      <c r="AN110" s="99" t="n"/>
      <c r="AO110" s="99" t="n"/>
      <c r="AP110" s="99" t="n"/>
      <c r="AQ110" s="99" t="n"/>
      <c r="AR110" s="99" t="n"/>
    </row>
    <row r="111">
      <c r="D111" s="99" t="n"/>
      <c r="E111" s="99" t="n"/>
      <c r="F111" s="99" t="n"/>
      <c r="G111" s="99" t="n"/>
      <c r="H111" s="99" t="n"/>
      <c r="I111" s="99" t="n"/>
      <c r="J111" s="99" t="n"/>
      <c r="K111" s="99" t="n"/>
      <c r="L111" s="99" t="n"/>
      <c r="M111" s="99" t="n"/>
      <c r="N111" s="99" t="n"/>
      <c r="O111" s="99" t="n"/>
      <c r="P111" s="99" t="n"/>
      <c r="Q111" s="99" t="n"/>
      <c r="R111" s="99" t="n"/>
      <c r="S111" s="99" t="n"/>
      <c r="T111" s="99" t="n"/>
      <c r="U111" s="99" t="n"/>
      <c r="V111" s="99" t="n"/>
      <c r="W111" s="99" t="n"/>
      <c r="X111" s="99" t="n"/>
      <c r="Y111" s="99" t="n"/>
      <c r="Z111" s="99" t="n"/>
      <c r="AA111" s="99" t="n"/>
      <c r="AB111" s="99" t="n"/>
      <c r="AC111" s="99" t="n"/>
      <c r="AD111" s="99" t="n"/>
      <c r="AE111" s="99" t="n"/>
      <c r="AF111" s="99" t="n"/>
      <c r="AG111" s="99" t="n"/>
      <c r="AH111" s="99" t="n"/>
      <c r="AI111" s="99" t="n"/>
      <c r="AJ111" s="99" t="n"/>
      <c r="AK111" s="99" t="n"/>
      <c r="AL111" s="99" t="n"/>
      <c r="AM111" s="99" t="n"/>
      <c r="AN111" s="99" t="n"/>
      <c r="AO111" s="99" t="n"/>
      <c r="AP111" s="99" t="n"/>
      <c r="AQ111" s="99" t="n"/>
      <c r="AR111" s="99" t="n"/>
    </row>
    <row r="112">
      <c r="D112" s="99" t="n"/>
      <c r="E112" s="99" t="n"/>
      <c r="F112" s="99" t="n"/>
      <c r="G112" s="99" t="n"/>
      <c r="H112" s="99" t="n"/>
      <c r="I112" s="99" t="n"/>
      <c r="J112" s="99" t="n"/>
      <c r="K112" s="99" t="n"/>
      <c r="L112" s="99" t="n"/>
      <c r="M112" s="99" t="n"/>
      <c r="N112" s="99" t="n"/>
      <c r="O112" s="99" t="n"/>
      <c r="P112" s="99" t="n"/>
      <c r="Q112" s="99" t="n"/>
      <c r="R112" s="99" t="n"/>
      <c r="S112" s="99" t="n"/>
      <c r="T112" s="99" t="n"/>
      <c r="U112" s="99" t="n"/>
      <c r="V112" s="99" t="n"/>
      <c r="W112" s="99" t="n"/>
      <c r="X112" s="99" t="n"/>
      <c r="Y112" s="99" t="n"/>
      <c r="Z112" s="99" t="n"/>
      <c r="AA112" s="99" t="n"/>
      <c r="AB112" s="99" t="n"/>
      <c r="AC112" s="99" t="n"/>
      <c r="AD112" s="99" t="n"/>
      <c r="AE112" s="99" t="n"/>
      <c r="AF112" s="99" t="n"/>
      <c r="AG112" s="99" t="n"/>
      <c r="AH112" s="99" t="n"/>
      <c r="AI112" s="99" t="n"/>
      <c r="AJ112" s="99" t="n"/>
      <c r="AK112" s="99" t="n"/>
      <c r="AL112" s="99" t="n"/>
      <c r="AM112" s="99" t="n"/>
      <c r="AN112" s="99" t="n"/>
      <c r="AO112" s="99" t="n"/>
      <c r="AP112" s="99" t="n"/>
      <c r="AQ112" s="99" t="n"/>
      <c r="AR112" s="99" t="n"/>
    </row>
    <row r="113">
      <c r="D113" s="100" t="n"/>
      <c r="E113" s="100" t="n"/>
      <c r="F113" s="100" t="n"/>
      <c r="G113" s="100" t="n"/>
      <c r="H113" s="100" t="n"/>
      <c r="I113" s="100" t="n"/>
      <c r="J113" s="100" t="n"/>
      <c r="K113" s="100" t="n"/>
      <c r="L113" s="100" t="n"/>
      <c r="M113" s="100" t="n"/>
      <c r="N113" s="100" t="n"/>
      <c r="O113" s="100" t="n"/>
      <c r="P113" s="100" t="n"/>
      <c r="Q113" s="100" t="n"/>
      <c r="R113" s="100" t="n"/>
      <c r="S113" s="100" t="n"/>
      <c r="T113" s="100" t="n"/>
      <c r="U113" s="100" t="n"/>
      <c r="V113" s="100" t="n"/>
      <c r="W113" s="100" t="n"/>
      <c r="X113" s="100" t="n"/>
      <c r="Y113" s="100" t="n"/>
      <c r="Z113" s="100" t="n"/>
      <c r="AA113" s="100" t="n"/>
      <c r="AB113" s="100" t="n"/>
      <c r="AC113" s="100" t="n"/>
      <c r="AD113" s="100" t="n"/>
      <c r="AE113" s="100" t="n"/>
      <c r="AF113" s="100" t="n"/>
      <c r="AG113" s="100" t="n"/>
      <c r="AH113" s="100" t="n"/>
      <c r="AI113" s="100" t="n"/>
      <c r="AJ113" s="100" t="n"/>
      <c r="AK113" s="100" t="n"/>
      <c r="AL113" s="100" t="n"/>
      <c r="AM113" s="100" t="n"/>
      <c r="AN113" s="100" t="n"/>
      <c r="AO113" s="100" t="n"/>
      <c r="AP113" s="100" t="n"/>
      <c r="AQ113" s="100" t="n"/>
      <c r="AR113" s="100" t="n"/>
    </row>
    <row r="116">
      <c r="A116" s="2">
        <f>IF($A109="","","   projections")</f>
        <v/>
      </c>
      <c r="B116" s="96">
        <f>IF($A109="",0,COUNT($E117:$AR117))</f>
        <v/>
      </c>
      <c r="C116" s="97">
        <f>IF($B116=0,0,MAX($E117:$AR117))</f>
        <v/>
      </c>
      <c r="D116" s="98">
        <f>BDS($A109,FLD_PROJ,"headers=y","startcol=1","endcol=3","dir=h")</f>
        <v/>
      </c>
      <c r="E116" s="99" t="n"/>
      <c r="F116" s="99" t="n"/>
      <c r="G116" s="99" t="n"/>
      <c r="H116" s="99" t="n"/>
      <c r="I116" s="99" t="n"/>
      <c r="J116" s="99" t="n"/>
      <c r="K116" s="99" t="n"/>
      <c r="L116" s="99" t="n"/>
      <c r="M116" s="99" t="n"/>
      <c r="N116" s="99" t="n"/>
      <c r="O116" s="99" t="n"/>
      <c r="P116" s="99" t="n"/>
      <c r="Q116" s="99" t="n"/>
      <c r="R116" s="99" t="n"/>
      <c r="S116" s="99" t="n"/>
      <c r="T116" s="99" t="n"/>
      <c r="U116" s="99" t="n"/>
      <c r="V116" s="99" t="n"/>
      <c r="W116" s="99" t="n"/>
      <c r="X116" s="99" t="n"/>
      <c r="Y116" s="99" t="n"/>
      <c r="Z116" s="99" t="n"/>
      <c r="AA116" s="99" t="n"/>
      <c r="AB116" s="99" t="n"/>
      <c r="AC116" s="99" t="n"/>
      <c r="AD116" s="99" t="n"/>
      <c r="AE116" s="99" t="n"/>
      <c r="AF116" s="99" t="n"/>
      <c r="AG116" s="99" t="n"/>
      <c r="AH116" s="99" t="n"/>
      <c r="AI116" s="99" t="n"/>
      <c r="AJ116" s="99" t="n"/>
      <c r="AK116" s="99" t="n"/>
      <c r="AL116" s="99" t="n"/>
      <c r="AM116" s="99" t="n"/>
      <c r="AN116" s="99" t="n"/>
      <c r="AO116" s="99" t="n"/>
      <c r="AP116" s="99" t="n"/>
      <c r="AQ116" s="99" t="n"/>
      <c r="AR116" s="99" t="n"/>
    </row>
    <row r="117">
      <c r="D117" s="99" t="n"/>
      <c r="E117" s="99" t="n"/>
      <c r="F117" s="99" t="n"/>
      <c r="G117" s="99" t="n"/>
      <c r="H117" s="99" t="n"/>
      <c r="I117" s="99" t="n"/>
      <c r="J117" s="99" t="n"/>
      <c r="K117" s="99" t="n"/>
      <c r="L117" s="99" t="n"/>
      <c r="M117" s="99" t="n"/>
      <c r="N117" s="99" t="n"/>
      <c r="O117" s="99" t="n"/>
      <c r="P117" s="99" t="n"/>
      <c r="Q117" s="99" t="n"/>
      <c r="R117" s="99" t="n"/>
      <c r="S117" s="99" t="n"/>
      <c r="T117" s="99" t="n"/>
      <c r="U117" s="99" t="n"/>
      <c r="V117" s="99" t="n"/>
      <c r="W117" s="99" t="n"/>
      <c r="X117" s="99" t="n"/>
      <c r="Y117" s="99" t="n"/>
      <c r="Z117" s="99" t="n"/>
      <c r="AA117" s="99" t="n"/>
      <c r="AB117" s="99" t="n"/>
      <c r="AC117" s="99" t="n"/>
      <c r="AD117" s="99" t="n"/>
      <c r="AE117" s="99" t="n"/>
      <c r="AF117" s="99" t="n"/>
      <c r="AG117" s="99" t="n"/>
      <c r="AH117" s="99" t="n"/>
      <c r="AI117" s="99" t="n"/>
      <c r="AJ117" s="99" t="n"/>
      <c r="AK117" s="99" t="n"/>
      <c r="AL117" s="99" t="n"/>
      <c r="AM117" s="99" t="n"/>
      <c r="AN117" s="99" t="n"/>
      <c r="AO117" s="99" t="n"/>
      <c r="AP117" s="99" t="n"/>
      <c r="AQ117" s="99" t="n"/>
      <c r="AR117" s="99" t="n"/>
    </row>
    <row r="118">
      <c r="D118" s="100" t="n"/>
      <c r="E118" s="100" t="n"/>
      <c r="F118" s="100" t="n"/>
      <c r="G118" s="100" t="n"/>
      <c r="H118" s="100" t="n"/>
      <c r="I118" s="100" t="n"/>
      <c r="J118" s="100" t="n"/>
      <c r="K118" s="100" t="n"/>
      <c r="L118" s="100" t="n"/>
      <c r="M118" s="100" t="n"/>
      <c r="N118" s="100" t="n"/>
      <c r="O118" s="100" t="n"/>
      <c r="P118" s="100" t="n"/>
      <c r="Q118" s="100" t="n"/>
      <c r="R118" s="100" t="n"/>
      <c r="S118" s="100" t="n"/>
      <c r="T118" s="100" t="n"/>
      <c r="U118" s="100" t="n"/>
      <c r="V118" s="100" t="n"/>
      <c r="W118" s="100" t="n"/>
      <c r="X118" s="100" t="n"/>
      <c r="Y118" s="100" t="n"/>
      <c r="Z118" s="100" t="n"/>
      <c r="AA118" s="100" t="n"/>
      <c r="AB118" s="100" t="n"/>
      <c r="AC118" s="100" t="n"/>
      <c r="AD118" s="100" t="n"/>
      <c r="AE118" s="100" t="n"/>
      <c r="AF118" s="100" t="n"/>
      <c r="AG118" s="100" t="n"/>
      <c r="AH118" s="100" t="n"/>
      <c r="AI118" s="100" t="n"/>
      <c r="AJ118" s="100" t="n"/>
      <c r="AK118" s="100" t="n"/>
      <c r="AL118" s="100" t="n"/>
      <c r="AM118" s="100" t="n"/>
      <c r="AN118" s="100" t="n"/>
      <c r="AO118" s="100" t="n"/>
      <c r="AP118" s="100" t="n"/>
      <c r="AQ118" s="100" t="n"/>
      <c r="AR118" s="100" t="n"/>
    </row>
    <row r="120">
      <c r="A120" s="6">
        <f>IF(HSI!$C$17="","",HSI!$C$17)</f>
        <v/>
      </c>
      <c r="B120" s="96">
        <f>IF($A120="",0,COUNT($E121:$AR121))</f>
        <v/>
      </c>
      <c r="C120" s="97">
        <f>IF($B120=0,0,MAX($E121:$AR121))</f>
        <v/>
      </c>
      <c r="D120" s="98">
        <f>BDS($A120,FLD_HIST,"headers=y","startcol=1","endcol=7","dir=h","DVD_START_DT",HIST_FROM,"DVD_END_DT",HIST_TO)</f>
        <v/>
      </c>
      <c r="E120" s="99" t="n"/>
      <c r="F120" s="99" t="n"/>
      <c r="G120" s="99" t="n"/>
      <c r="H120" s="99" t="n"/>
      <c r="I120" s="99" t="n"/>
      <c r="J120" s="99" t="n"/>
      <c r="K120" s="99" t="n"/>
      <c r="L120" s="99" t="n"/>
      <c r="M120" s="99" t="n"/>
      <c r="N120" s="99" t="n"/>
      <c r="O120" s="99" t="n"/>
      <c r="P120" s="99" t="n"/>
      <c r="Q120" s="99" t="n"/>
      <c r="R120" s="99" t="n"/>
      <c r="S120" s="99" t="n"/>
      <c r="T120" s="99" t="n"/>
      <c r="U120" s="99" t="n"/>
      <c r="V120" s="99" t="n"/>
      <c r="W120" s="99" t="n"/>
      <c r="X120" s="99" t="n"/>
      <c r="Y120" s="99" t="n"/>
      <c r="Z120" s="99" t="n"/>
      <c r="AA120" s="99" t="n"/>
      <c r="AB120" s="99" t="n"/>
      <c r="AC120" s="99" t="n"/>
      <c r="AD120" s="99" t="n"/>
      <c r="AE120" s="99" t="n"/>
      <c r="AF120" s="99" t="n"/>
      <c r="AG120" s="99" t="n"/>
      <c r="AH120" s="99" t="n"/>
      <c r="AI120" s="99" t="n"/>
      <c r="AJ120" s="99" t="n"/>
      <c r="AK120" s="99" t="n"/>
      <c r="AL120" s="99" t="n"/>
      <c r="AM120" s="99" t="n"/>
      <c r="AN120" s="99" t="n"/>
      <c r="AO120" s="99" t="n"/>
      <c r="AP120" s="99" t="n"/>
      <c r="AQ120" s="99" t="n"/>
      <c r="AR120" s="99" t="n"/>
    </row>
    <row r="121">
      <c r="D121" s="99" t="n"/>
      <c r="E121" s="99" t="n"/>
      <c r="F121" s="99" t="n"/>
      <c r="G121" s="99" t="n"/>
      <c r="H121" s="99" t="n"/>
      <c r="I121" s="99" t="n"/>
      <c r="J121" s="99" t="n"/>
      <c r="K121" s="99" t="n"/>
      <c r="L121" s="99" t="n"/>
      <c r="M121" s="99" t="n"/>
      <c r="N121" s="99" t="n"/>
      <c r="O121" s="99" t="n"/>
      <c r="P121" s="99" t="n"/>
      <c r="Q121" s="99" t="n"/>
      <c r="R121" s="99" t="n"/>
      <c r="S121" s="99" t="n"/>
      <c r="T121" s="99" t="n"/>
      <c r="U121" s="99" t="n"/>
      <c r="V121" s="99" t="n"/>
      <c r="W121" s="99" t="n"/>
      <c r="X121" s="99" t="n"/>
      <c r="Y121" s="99" t="n"/>
      <c r="Z121" s="99" t="n"/>
      <c r="AA121" s="99" t="n"/>
      <c r="AB121" s="99" t="n"/>
      <c r="AC121" s="99" t="n"/>
      <c r="AD121" s="99" t="n"/>
      <c r="AE121" s="99" t="n"/>
      <c r="AF121" s="99" t="n"/>
      <c r="AG121" s="99" t="n"/>
      <c r="AH121" s="99" t="n"/>
      <c r="AI121" s="99" t="n"/>
      <c r="AJ121" s="99" t="n"/>
      <c r="AK121" s="99" t="n"/>
      <c r="AL121" s="99" t="n"/>
      <c r="AM121" s="99" t="n"/>
      <c r="AN121" s="99" t="n"/>
      <c r="AO121" s="99" t="n"/>
      <c r="AP121" s="99" t="n"/>
      <c r="AQ121" s="99" t="n"/>
      <c r="AR121" s="99" t="n"/>
    </row>
    <row r="122">
      <c r="D122" s="99" t="n"/>
      <c r="E122" s="99" t="n"/>
      <c r="F122" s="99" t="n"/>
      <c r="G122" s="99" t="n"/>
      <c r="H122" s="99" t="n"/>
      <c r="I122" s="99" t="n"/>
      <c r="J122" s="99" t="n"/>
      <c r="K122" s="99" t="n"/>
      <c r="L122" s="99" t="n"/>
      <c r="M122" s="99" t="n"/>
      <c r="N122" s="99" t="n"/>
      <c r="O122" s="99" t="n"/>
      <c r="P122" s="99" t="n"/>
      <c r="Q122" s="99" t="n"/>
      <c r="R122" s="99" t="n"/>
      <c r="S122" s="99" t="n"/>
      <c r="T122" s="99" t="n"/>
      <c r="U122" s="99" t="n"/>
      <c r="V122" s="99" t="n"/>
      <c r="W122" s="99" t="n"/>
      <c r="X122" s="99" t="n"/>
      <c r="Y122" s="99" t="n"/>
      <c r="Z122" s="99" t="n"/>
      <c r="AA122" s="99" t="n"/>
      <c r="AB122" s="99" t="n"/>
      <c r="AC122" s="99" t="n"/>
      <c r="AD122" s="99" t="n"/>
      <c r="AE122" s="99" t="n"/>
      <c r="AF122" s="99" t="n"/>
      <c r="AG122" s="99" t="n"/>
      <c r="AH122" s="99" t="n"/>
      <c r="AI122" s="99" t="n"/>
      <c r="AJ122" s="99" t="n"/>
      <c r="AK122" s="99" t="n"/>
      <c r="AL122" s="99" t="n"/>
      <c r="AM122" s="99" t="n"/>
      <c r="AN122" s="99" t="n"/>
      <c r="AO122" s="99" t="n"/>
      <c r="AP122" s="99" t="n"/>
      <c r="AQ122" s="99" t="n"/>
      <c r="AR122" s="99" t="n"/>
    </row>
    <row r="123">
      <c r="D123" s="99" t="n"/>
      <c r="E123" s="99" t="n"/>
      <c r="F123" s="99" t="n"/>
      <c r="G123" s="99" t="n"/>
      <c r="H123" s="99" t="n"/>
      <c r="I123" s="99" t="n"/>
      <c r="J123" s="99" t="n"/>
      <c r="K123" s="99" t="n"/>
      <c r="L123" s="99" t="n"/>
      <c r="M123" s="99" t="n"/>
      <c r="N123" s="99" t="n"/>
      <c r="O123" s="99" t="n"/>
      <c r="P123" s="99" t="n"/>
      <c r="Q123" s="99" t="n"/>
      <c r="R123" s="99" t="n"/>
      <c r="S123" s="99" t="n"/>
      <c r="T123" s="99" t="n"/>
      <c r="U123" s="99" t="n"/>
      <c r="V123" s="99" t="n"/>
      <c r="W123" s="99" t="n"/>
      <c r="X123" s="99" t="n"/>
      <c r="Y123" s="99" t="n"/>
      <c r="Z123" s="99" t="n"/>
      <c r="AA123" s="99" t="n"/>
      <c r="AB123" s="99" t="n"/>
      <c r="AC123" s="99" t="n"/>
      <c r="AD123" s="99" t="n"/>
      <c r="AE123" s="99" t="n"/>
      <c r="AF123" s="99" t="n"/>
      <c r="AG123" s="99" t="n"/>
      <c r="AH123" s="99" t="n"/>
      <c r="AI123" s="99" t="n"/>
      <c r="AJ123" s="99" t="n"/>
      <c r="AK123" s="99" t="n"/>
      <c r="AL123" s="99" t="n"/>
      <c r="AM123" s="99" t="n"/>
      <c r="AN123" s="99" t="n"/>
      <c r="AO123" s="99" t="n"/>
      <c r="AP123" s="99" t="n"/>
      <c r="AQ123" s="99" t="n"/>
      <c r="AR123" s="99" t="n"/>
    </row>
    <row r="124">
      <c r="D124" s="100" t="n"/>
      <c r="E124" s="100" t="n"/>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c r="AA124" s="100" t="n"/>
      <c r="AB124" s="100" t="n"/>
      <c r="AC124" s="100" t="n"/>
      <c r="AD124" s="100" t="n"/>
      <c r="AE124" s="100" t="n"/>
      <c r="AF124" s="100" t="n"/>
      <c r="AG124" s="100" t="n"/>
      <c r="AH124" s="100" t="n"/>
      <c r="AI124" s="100" t="n"/>
      <c r="AJ124" s="100" t="n"/>
      <c r="AK124" s="100" t="n"/>
      <c r="AL124" s="100" t="n"/>
      <c r="AM124" s="100" t="n"/>
      <c r="AN124" s="100" t="n"/>
      <c r="AO124" s="100" t="n"/>
      <c r="AP124" s="100" t="n"/>
      <c r="AQ124" s="100" t="n"/>
      <c r="AR124" s="100" t="n"/>
    </row>
    <row r="127">
      <c r="A127" s="2">
        <f>IF($A120="","","   projections")</f>
        <v/>
      </c>
      <c r="B127" s="96">
        <f>IF($A120="",0,COUNT($E128:$AR128))</f>
        <v/>
      </c>
      <c r="C127" s="97">
        <f>IF($B127=0,0,MAX($E128:$AR128))</f>
        <v/>
      </c>
      <c r="D127" s="98">
        <f>BDS($A120,FLD_PROJ,"headers=y","startcol=1","endcol=3","dir=h")</f>
        <v/>
      </c>
      <c r="E127" s="99" t="n"/>
      <c r="F127" s="99" t="n"/>
      <c r="G127" s="99" t="n"/>
      <c r="H127" s="99" t="n"/>
      <c r="I127" s="99" t="n"/>
      <c r="J127" s="99" t="n"/>
      <c r="K127" s="99" t="n"/>
      <c r="L127" s="99" t="n"/>
      <c r="M127" s="99" t="n"/>
      <c r="N127" s="99" t="n"/>
      <c r="O127" s="99" t="n"/>
      <c r="P127" s="99" t="n"/>
      <c r="Q127" s="99" t="n"/>
      <c r="R127" s="99" t="n"/>
      <c r="S127" s="99" t="n"/>
      <c r="T127" s="99" t="n"/>
      <c r="U127" s="99" t="n"/>
      <c r="V127" s="99" t="n"/>
      <c r="W127" s="99" t="n"/>
      <c r="X127" s="99" t="n"/>
      <c r="Y127" s="99" t="n"/>
      <c r="Z127" s="99" t="n"/>
      <c r="AA127" s="99" t="n"/>
      <c r="AB127" s="99" t="n"/>
      <c r="AC127" s="99" t="n"/>
      <c r="AD127" s="99" t="n"/>
      <c r="AE127" s="99" t="n"/>
      <c r="AF127" s="99" t="n"/>
      <c r="AG127" s="99" t="n"/>
      <c r="AH127" s="99" t="n"/>
      <c r="AI127" s="99" t="n"/>
      <c r="AJ127" s="99" t="n"/>
      <c r="AK127" s="99" t="n"/>
      <c r="AL127" s="99" t="n"/>
      <c r="AM127" s="99" t="n"/>
      <c r="AN127" s="99" t="n"/>
      <c r="AO127" s="99" t="n"/>
      <c r="AP127" s="99" t="n"/>
      <c r="AQ127" s="99" t="n"/>
      <c r="AR127" s="99" t="n"/>
    </row>
    <row r="128">
      <c r="D128" s="99" t="n"/>
      <c r="E128" s="99" t="n"/>
      <c r="F128" s="99" t="n"/>
      <c r="G128" s="99" t="n"/>
      <c r="H128" s="99" t="n"/>
      <c r="I128" s="99" t="n"/>
      <c r="J128" s="99" t="n"/>
      <c r="K128" s="99" t="n"/>
      <c r="L128" s="99" t="n"/>
      <c r="M128" s="99" t="n"/>
      <c r="N128" s="99" t="n"/>
      <c r="O128" s="99" t="n"/>
      <c r="P128" s="99" t="n"/>
      <c r="Q128" s="99" t="n"/>
      <c r="R128" s="99" t="n"/>
      <c r="S128" s="99" t="n"/>
      <c r="T128" s="99" t="n"/>
      <c r="U128" s="99" t="n"/>
      <c r="V128" s="99" t="n"/>
      <c r="W128" s="99" t="n"/>
      <c r="X128" s="99" t="n"/>
      <c r="Y128" s="99" t="n"/>
      <c r="Z128" s="99" t="n"/>
      <c r="AA128" s="99" t="n"/>
      <c r="AB128" s="99" t="n"/>
      <c r="AC128" s="99" t="n"/>
      <c r="AD128" s="99" t="n"/>
      <c r="AE128" s="99" t="n"/>
      <c r="AF128" s="99" t="n"/>
      <c r="AG128" s="99" t="n"/>
      <c r="AH128" s="99" t="n"/>
      <c r="AI128" s="99" t="n"/>
      <c r="AJ128" s="99" t="n"/>
      <c r="AK128" s="99" t="n"/>
      <c r="AL128" s="99" t="n"/>
      <c r="AM128" s="99" t="n"/>
      <c r="AN128" s="99" t="n"/>
      <c r="AO128" s="99" t="n"/>
      <c r="AP128" s="99" t="n"/>
      <c r="AQ128" s="99" t="n"/>
      <c r="AR128" s="99" t="n"/>
    </row>
    <row r="129">
      <c r="D129" s="100" t="n"/>
      <c r="E129" s="100" t="n"/>
      <c r="F129" s="100" t="n"/>
      <c r="G129" s="100" t="n"/>
      <c r="H129" s="100" t="n"/>
      <c r="I129" s="100" t="n"/>
      <c r="J129" s="100" t="n"/>
      <c r="K129" s="100" t="n"/>
      <c r="L129" s="100" t="n"/>
      <c r="M129" s="100" t="n"/>
      <c r="N129" s="100" t="n"/>
      <c r="O129" s="100" t="n"/>
      <c r="P129" s="100" t="n"/>
      <c r="Q129" s="100" t="n"/>
      <c r="R129" s="100" t="n"/>
      <c r="S129" s="100" t="n"/>
      <c r="T129" s="100" t="n"/>
      <c r="U129" s="100" t="n"/>
      <c r="V129" s="100" t="n"/>
      <c r="W129" s="100" t="n"/>
      <c r="X129" s="100" t="n"/>
      <c r="Y129" s="100" t="n"/>
      <c r="Z129" s="100" t="n"/>
      <c r="AA129" s="100" t="n"/>
      <c r="AB129" s="100" t="n"/>
      <c r="AC129" s="100" t="n"/>
      <c r="AD129" s="100" t="n"/>
      <c r="AE129" s="100" t="n"/>
      <c r="AF129" s="100" t="n"/>
      <c r="AG129" s="100" t="n"/>
      <c r="AH129" s="100" t="n"/>
      <c r="AI129" s="100" t="n"/>
      <c r="AJ129" s="100" t="n"/>
      <c r="AK129" s="100" t="n"/>
      <c r="AL129" s="100" t="n"/>
      <c r="AM129" s="100" t="n"/>
      <c r="AN129" s="100" t="n"/>
      <c r="AO129" s="100" t="n"/>
      <c r="AP129" s="100" t="n"/>
      <c r="AQ129" s="100" t="n"/>
      <c r="AR129" s="100" t="n"/>
    </row>
    <row r="131">
      <c r="A131" s="6">
        <f>IF(HSI!$C$18="","",HSI!$C$18)</f>
        <v/>
      </c>
      <c r="B131" s="96">
        <f>IF($A131="",0,COUNT($E132:$AR132))</f>
        <v/>
      </c>
      <c r="C131" s="97">
        <f>IF($B131=0,0,MAX($E132:$AR132))</f>
        <v/>
      </c>
      <c r="D131" s="98">
        <f>BDS($A131,FLD_HIST,"headers=y","startcol=1","endcol=7","dir=h","DVD_START_DT",HIST_FROM,"DVD_END_DT",HIST_TO)</f>
        <v/>
      </c>
      <c r="E131" s="99" t="n"/>
      <c r="F131" s="99" t="n"/>
      <c r="G131" s="99" t="n"/>
      <c r="H131" s="99" t="n"/>
      <c r="I131" s="99" t="n"/>
      <c r="J131" s="99" t="n"/>
      <c r="K131" s="99" t="n"/>
      <c r="L131" s="99" t="n"/>
      <c r="M131" s="99" t="n"/>
      <c r="N131" s="99" t="n"/>
      <c r="O131" s="99" t="n"/>
      <c r="P131" s="99" t="n"/>
      <c r="Q131" s="99" t="n"/>
      <c r="R131" s="99" t="n"/>
      <c r="S131" s="99" t="n"/>
      <c r="T131" s="99" t="n"/>
      <c r="U131" s="99" t="n"/>
      <c r="V131" s="99" t="n"/>
      <c r="W131" s="99" t="n"/>
      <c r="X131" s="99" t="n"/>
      <c r="Y131" s="99" t="n"/>
      <c r="Z131" s="99" t="n"/>
      <c r="AA131" s="99" t="n"/>
      <c r="AB131" s="99" t="n"/>
      <c r="AC131" s="99" t="n"/>
      <c r="AD131" s="99" t="n"/>
      <c r="AE131" s="99" t="n"/>
      <c r="AF131" s="99" t="n"/>
      <c r="AG131" s="99" t="n"/>
      <c r="AH131" s="99" t="n"/>
      <c r="AI131" s="99" t="n"/>
      <c r="AJ131" s="99" t="n"/>
      <c r="AK131" s="99" t="n"/>
      <c r="AL131" s="99" t="n"/>
      <c r="AM131" s="99" t="n"/>
      <c r="AN131" s="99" t="n"/>
      <c r="AO131" s="99" t="n"/>
      <c r="AP131" s="99" t="n"/>
      <c r="AQ131" s="99" t="n"/>
      <c r="AR131" s="99" t="n"/>
    </row>
    <row r="132">
      <c r="D132" s="99" t="n"/>
      <c r="E132" s="99" t="n"/>
      <c r="F132" s="99" t="n"/>
      <c r="G132" s="99" t="n"/>
      <c r="H132" s="99" t="n"/>
      <c r="I132" s="99" t="n"/>
      <c r="J132" s="99" t="n"/>
      <c r="K132" s="99" t="n"/>
      <c r="L132" s="99" t="n"/>
      <c r="M132" s="99" t="n"/>
      <c r="N132" s="99" t="n"/>
      <c r="O132" s="99" t="n"/>
      <c r="P132" s="99" t="n"/>
      <c r="Q132" s="99" t="n"/>
      <c r="R132" s="99" t="n"/>
      <c r="S132" s="99" t="n"/>
      <c r="T132" s="99" t="n"/>
      <c r="U132" s="99" t="n"/>
      <c r="V132" s="99" t="n"/>
      <c r="W132" s="99" t="n"/>
      <c r="X132" s="99" t="n"/>
      <c r="Y132" s="99" t="n"/>
      <c r="Z132" s="99" t="n"/>
      <c r="AA132" s="99" t="n"/>
      <c r="AB132" s="99" t="n"/>
      <c r="AC132" s="99" t="n"/>
      <c r="AD132" s="99" t="n"/>
      <c r="AE132" s="99" t="n"/>
      <c r="AF132" s="99" t="n"/>
      <c r="AG132" s="99" t="n"/>
      <c r="AH132" s="99" t="n"/>
      <c r="AI132" s="99" t="n"/>
      <c r="AJ132" s="99" t="n"/>
      <c r="AK132" s="99" t="n"/>
      <c r="AL132" s="99" t="n"/>
      <c r="AM132" s="99" t="n"/>
      <c r="AN132" s="99" t="n"/>
      <c r="AO132" s="99" t="n"/>
      <c r="AP132" s="99" t="n"/>
      <c r="AQ132" s="99" t="n"/>
      <c r="AR132" s="99" t="n"/>
    </row>
    <row r="133">
      <c r="D133" s="99" t="n"/>
      <c r="E133" s="99" t="n"/>
      <c r="F133" s="99" t="n"/>
      <c r="G133" s="99" t="n"/>
      <c r="H133" s="99" t="n"/>
      <c r="I133" s="99" t="n"/>
      <c r="J133" s="99" t="n"/>
      <c r="K133" s="99" t="n"/>
      <c r="L133" s="99" t="n"/>
      <c r="M133" s="99" t="n"/>
      <c r="N133" s="99" t="n"/>
      <c r="O133" s="99" t="n"/>
      <c r="P133" s="99" t="n"/>
      <c r="Q133" s="99" t="n"/>
      <c r="R133" s="99" t="n"/>
      <c r="S133" s="99" t="n"/>
      <c r="T133" s="99" t="n"/>
      <c r="U133" s="99" t="n"/>
      <c r="V133" s="99" t="n"/>
      <c r="W133" s="99" t="n"/>
      <c r="X133" s="99" t="n"/>
      <c r="Y133" s="99" t="n"/>
      <c r="Z133" s="99" t="n"/>
      <c r="AA133" s="99" t="n"/>
      <c r="AB133" s="99" t="n"/>
      <c r="AC133" s="99" t="n"/>
      <c r="AD133" s="99" t="n"/>
      <c r="AE133" s="99" t="n"/>
      <c r="AF133" s="99" t="n"/>
      <c r="AG133" s="99" t="n"/>
      <c r="AH133" s="99" t="n"/>
      <c r="AI133" s="99" t="n"/>
      <c r="AJ133" s="99" t="n"/>
      <c r="AK133" s="99" t="n"/>
      <c r="AL133" s="99" t="n"/>
      <c r="AM133" s="99" t="n"/>
      <c r="AN133" s="99" t="n"/>
      <c r="AO133" s="99" t="n"/>
      <c r="AP133" s="99" t="n"/>
      <c r="AQ133" s="99" t="n"/>
      <c r="AR133" s="99" t="n"/>
    </row>
    <row r="134">
      <c r="D134" s="99" t="n"/>
      <c r="E134" s="99" t="n"/>
      <c r="F134" s="99" t="n"/>
      <c r="G134" s="99" t="n"/>
      <c r="H134" s="99" t="n"/>
      <c r="I134" s="99" t="n"/>
      <c r="J134" s="99" t="n"/>
      <c r="K134" s="99" t="n"/>
      <c r="L134" s="99" t="n"/>
      <c r="M134" s="99" t="n"/>
      <c r="N134" s="99" t="n"/>
      <c r="O134" s="99" t="n"/>
      <c r="P134" s="99" t="n"/>
      <c r="Q134" s="99" t="n"/>
      <c r="R134" s="99" t="n"/>
      <c r="S134" s="99" t="n"/>
      <c r="T134" s="99" t="n"/>
      <c r="U134" s="99" t="n"/>
      <c r="V134" s="99" t="n"/>
      <c r="W134" s="99" t="n"/>
      <c r="X134" s="99" t="n"/>
      <c r="Y134" s="99" t="n"/>
      <c r="Z134" s="99" t="n"/>
      <c r="AA134" s="99" t="n"/>
      <c r="AB134" s="99" t="n"/>
      <c r="AC134" s="99" t="n"/>
      <c r="AD134" s="99" t="n"/>
      <c r="AE134" s="99" t="n"/>
      <c r="AF134" s="99" t="n"/>
      <c r="AG134" s="99" t="n"/>
      <c r="AH134" s="99" t="n"/>
      <c r="AI134" s="99" t="n"/>
      <c r="AJ134" s="99" t="n"/>
      <c r="AK134" s="99" t="n"/>
      <c r="AL134" s="99" t="n"/>
      <c r="AM134" s="99" t="n"/>
      <c r="AN134" s="99" t="n"/>
      <c r="AO134" s="99" t="n"/>
      <c r="AP134" s="99" t="n"/>
      <c r="AQ134" s="99" t="n"/>
      <c r="AR134" s="99" t="n"/>
    </row>
    <row r="135">
      <c r="D135" s="100" t="n"/>
      <c r="E135" s="100" t="n"/>
      <c r="F135" s="100" t="n"/>
      <c r="G135" s="100" t="n"/>
      <c r="H135" s="100" t="n"/>
      <c r="I135" s="100" t="n"/>
      <c r="J135" s="100" t="n"/>
      <c r="K135" s="100" t="n"/>
      <c r="L135" s="100" t="n"/>
      <c r="M135" s="100" t="n"/>
      <c r="N135" s="100" t="n"/>
      <c r="O135" s="100" t="n"/>
      <c r="P135" s="100" t="n"/>
      <c r="Q135" s="100" t="n"/>
      <c r="R135" s="100" t="n"/>
      <c r="S135" s="100" t="n"/>
      <c r="T135" s="100" t="n"/>
      <c r="U135" s="100" t="n"/>
      <c r="V135" s="100" t="n"/>
      <c r="W135" s="100" t="n"/>
      <c r="X135" s="100" t="n"/>
      <c r="Y135" s="100" t="n"/>
      <c r="Z135" s="100" t="n"/>
      <c r="AA135" s="100" t="n"/>
      <c r="AB135" s="100" t="n"/>
      <c r="AC135" s="100" t="n"/>
      <c r="AD135" s="100" t="n"/>
      <c r="AE135" s="100" t="n"/>
      <c r="AF135" s="100" t="n"/>
      <c r="AG135" s="100" t="n"/>
      <c r="AH135" s="100" t="n"/>
      <c r="AI135" s="100" t="n"/>
      <c r="AJ135" s="100" t="n"/>
      <c r="AK135" s="100" t="n"/>
      <c r="AL135" s="100" t="n"/>
      <c r="AM135" s="100" t="n"/>
      <c r="AN135" s="100" t="n"/>
      <c r="AO135" s="100" t="n"/>
      <c r="AP135" s="100" t="n"/>
      <c r="AQ135" s="100" t="n"/>
      <c r="AR135" s="100" t="n"/>
    </row>
    <row r="138">
      <c r="A138" s="2">
        <f>IF($A131="","","   projections")</f>
        <v/>
      </c>
      <c r="B138" s="96">
        <f>IF($A131="",0,COUNT($E139:$AR139))</f>
        <v/>
      </c>
      <c r="C138" s="97">
        <f>IF($B138=0,0,MAX($E139:$AR139))</f>
        <v/>
      </c>
      <c r="D138" s="98">
        <f>BDS($A131,FLD_PROJ,"headers=y","startcol=1","endcol=3","dir=h")</f>
        <v/>
      </c>
      <c r="E138" s="99" t="n"/>
      <c r="F138" s="99" t="n"/>
      <c r="G138" s="99" t="n"/>
      <c r="H138" s="99" t="n"/>
      <c r="I138" s="99" t="n"/>
      <c r="J138" s="99" t="n"/>
      <c r="K138" s="99" t="n"/>
      <c r="L138" s="99" t="n"/>
      <c r="M138" s="99" t="n"/>
      <c r="N138" s="99" t="n"/>
      <c r="O138" s="99" t="n"/>
      <c r="P138" s="99" t="n"/>
      <c r="Q138" s="99" t="n"/>
      <c r="R138" s="99" t="n"/>
      <c r="S138" s="99" t="n"/>
      <c r="T138" s="99" t="n"/>
      <c r="U138" s="99" t="n"/>
      <c r="V138" s="99" t="n"/>
      <c r="W138" s="99" t="n"/>
      <c r="X138" s="99" t="n"/>
      <c r="Y138" s="99" t="n"/>
      <c r="Z138" s="99" t="n"/>
      <c r="AA138" s="99" t="n"/>
      <c r="AB138" s="99" t="n"/>
      <c r="AC138" s="99" t="n"/>
      <c r="AD138" s="99" t="n"/>
      <c r="AE138" s="99" t="n"/>
      <c r="AF138" s="99" t="n"/>
      <c r="AG138" s="99" t="n"/>
      <c r="AH138" s="99" t="n"/>
      <c r="AI138" s="99" t="n"/>
      <c r="AJ138" s="99" t="n"/>
      <c r="AK138" s="99" t="n"/>
      <c r="AL138" s="99" t="n"/>
      <c r="AM138" s="99" t="n"/>
      <c r="AN138" s="99" t="n"/>
      <c r="AO138" s="99" t="n"/>
      <c r="AP138" s="99" t="n"/>
      <c r="AQ138" s="99" t="n"/>
      <c r="AR138" s="99" t="n"/>
    </row>
    <row r="139">
      <c r="D139" s="99" t="n"/>
      <c r="E139" s="99" t="n"/>
      <c r="F139" s="99" t="n"/>
      <c r="G139" s="99" t="n"/>
      <c r="H139" s="99" t="n"/>
      <c r="I139" s="99" t="n"/>
      <c r="J139" s="99" t="n"/>
      <c r="K139" s="99" t="n"/>
      <c r="L139" s="99" t="n"/>
      <c r="M139" s="99" t="n"/>
      <c r="N139" s="99" t="n"/>
      <c r="O139" s="99" t="n"/>
      <c r="P139" s="99" t="n"/>
      <c r="Q139" s="99" t="n"/>
      <c r="R139" s="99" t="n"/>
      <c r="S139" s="99" t="n"/>
      <c r="T139" s="99" t="n"/>
      <c r="U139" s="99" t="n"/>
      <c r="V139" s="99" t="n"/>
      <c r="W139" s="99" t="n"/>
      <c r="X139" s="99" t="n"/>
      <c r="Y139" s="99" t="n"/>
      <c r="Z139" s="99" t="n"/>
      <c r="AA139" s="99" t="n"/>
      <c r="AB139" s="99" t="n"/>
      <c r="AC139" s="99" t="n"/>
      <c r="AD139" s="99" t="n"/>
      <c r="AE139" s="99" t="n"/>
      <c r="AF139" s="99" t="n"/>
      <c r="AG139" s="99" t="n"/>
      <c r="AH139" s="99" t="n"/>
      <c r="AI139" s="99" t="n"/>
      <c r="AJ139" s="99" t="n"/>
      <c r="AK139" s="99" t="n"/>
      <c r="AL139" s="99" t="n"/>
      <c r="AM139" s="99" t="n"/>
      <c r="AN139" s="99" t="n"/>
      <c r="AO139" s="99" t="n"/>
      <c r="AP139" s="99" t="n"/>
      <c r="AQ139" s="99" t="n"/>
      <c r="AR139" s="99" t="n"/>
    </row>
    <row r="140">
      <c r="D140" s="100" t="n"/>
      <c r="E140" s="100" t="n"/>
      <c r="F140" s="100" t="n"/>
      <c r="G140" s="100" t="n"/>
      <c r="H140" s="100" t="n"/>
      <c r="I140" s="100" t="n"/>
      <c r="J140" s="100" t="n"/>
      <c r="K140" s="100" t="n"/>
      <c r="L140" s="100" t="n"/>
      <c r="M140" s="100" t="n"/>
      <c r="N140" s="100" t="n"/>
      <c r="O140" s="100" t="n"/>
      <c r="P140" s="100" t="n"/>
      <c r="Q140" s="100" t="n"/>
      <c r="R140" s="100" t="n"/>
      <c r="S140" s="100" t="n"/>
      <c r="T140" s="100" t="n"/>
      <c r="U140" s="100" t="n"/>
      <c r="V140" s="100" t="n"/>
      <c r="W140" s="100" t="n"/>
      <c r="X140" s="100" t="n"/>
      <c r="Y140" s="100" t="n"/>
      <c r="Z140" s="100" t="n"/>
      <c r="AA140" s="100" t="n"/>
      <c r="AB140" s="100" t="n"/>
      <c r="AC140" s="100" t="n"/>
      <c r="AD140" s="100" t="n"/>
      <c r="AE140" s="100" t="n"/>
      <c r="AF140" s="100" t="n"/>
      <c r="AG140" s="100" t="n"/>
      <c r="AH140" s="100" t="n"/>
      <c r="AI140" s="100" t="n"/>
      <c r="AJ140" s="100" t="n"/>
      <c r="AK140" s="100" t="n"/>
      <c r="AL140" s="100" t="n"/>
      <c r="AM140" s="100" t="n"/>
      <c r="AN140" s="100" t="n"/>
      <c r="AO140" s="100" t="n"/>
      <c r="AP140" s="100" t="n"/>
      <c r="AQ140" s="100" t="n"/>
      <c r="AR140" s="100" t="n"/>
    </row>
    <row r="142">
      <c r="A142" s="6">
        <f>IF(HSI!$C$19="","",HSI!$C$19)</f>
        <v/>
      </c>
      <c r="B142" s="96">
        <f>IF($A142="",0,COUNT($E143:$AR143))</f>
        <v/>
      </c>
      <c r="C142" s="97">
        <f>IF($B142=0,0,MAX($E143:$AR143))</f>
        <v/>
      </c>
      <c r="D142" s="98">
        <f>BDS($A142,FLD_HIST,"headers=y","startcol=1","endcol=7","dir=h","DVD_START_DT",HIST_FROM,"DVD_END_DT",HIST_TO)</f>
        <v/>
      </c>
      <c r="E142" s="99" t="n"/>
      <c r="F142" s="99" t="n"/>
      <c r="G142" s="99" t="n"/>
      <c r="H142" s="99" t="n"/>
      <c r="I142" s="99" t="n"/>
      <c r="J142" s="99" t="n"/>
      <c r="K142" s="99" t="n"/>
      <c r="L142" s="99" t="n"/>
      <c r="M142" s="99" t="n"/>
      <c r="N142" s="99" t="n"/>
      <c r="O142" s="99" t="n"/>
      <c r="P142" s="99" t="n"/>
      <c r="Q142" s="99" t="n"/>
      <c r="R142" s="99" t="n"/>
      <c r="S142" s="99" t="n"/>
      <c r="T142" s="99" t="n"/>
      <c r="U142" s="99" t="n"/>
      <c r="V142" s="99" t="n"/>
      <c r="W142" s="99" t="n"/>
      <c r="X142" s="99" t="n"/>
      <c r="Y142" s="99" t="n"/>
      <c r="Z142" s="99" t="n"/>
      <c r="AA142" s="99" t="n"/>
      <c r="AB142" s="99" t="n"/>
      <c r="AC142" s="99" t="n"/>
      <c r="AD142" s="99" t="n"/>
      <c r="AE142" s="99" t="n"/>
      <c r="AF142" s="99" t="n"/>
      <c r="AG142" s="99" t="n"/>
      <c r="AH142" s="99" t="n"/>
      <c r="AI142" s="99" t="n"/>
      <c r="AJ142" s="99" t="n"/>
      <c r="AK142" s="99" t="n"/>
      <c r="AL142" s="99" t="n"/>
      <c r="AM142" s="99" t="n"/>
      <c r="AN142" s="99" t="n"/>
      <c r="AO142" s="99" t="n"/>
      <c r="AP142" s="99" t="n"/>
      <c r="AQ142" s="99" t="n"/>
      <c r="AR142" s="99" t="n"/>
    </row>
    <row r="143">
      <c r="D143" s="99" t="n"/>
      <c r="E143" s="99" t="n"/>
      <c r="F143" s="99" t="n"/>
      <c r="G143" s="99" t="n"/>
      <c r="H143" s="99" t="n"/>
      <c r="I143" s="99" t="n"/>
      <c r="J143" s="99" t="n"/>
      <c r="K143" s="99" t="n"/>
      <c r="L143" s="99" t="n"/>
      <c r="M143" s="99" t="n"/>
      <c r="N143" s="99" t="n"/>
      <c r="O143" s="99" t="n"/>
      <c r="P143" s="99" t="n"/>
      <c r="Q143" s="99" t="n"/>
      <c r="R143" s="99" t="n"/>
      <c r="S143" s="99" t="n"/>
      <c r="T143" s="99" t="n"/>
      <c r="U143" s="99" t="n"/>
      <c r="V143" s="99" t="n"/>
      <c r="W143" s="99" t="n"/>
      <c r="X143" s="99" t="n"/>
      <c r="Y143" s="99" t="n"/>
      <c r="Z143" s="99" t="n"/>
      <c r="AA143" s="99" t="n"/>
      <c r="AB143" s="99" t="n"/>
      <c r="AC143" s="99" t="n"/>
      <c r="AD143" s="99" t="n"/>
      <c r="AE143" s="99" t="n"/>
      <c r="AF143" s="99" t="n"/>
      <c r="AG143" s="99" t="n"/>
      <c r="AH143" s="99" t="n"/>
      <c r="AI143" s="99" t="n"/>
      <c r="AJ143" s="99" t="n"/>
      <c r="AK143" s="99" t="n"/>
      <c r="AL143" s="99" t="n"/>
      <c r="AM143" s="99" t="n"/>
      <c r="AN143" s="99" t="n"/>
      <c r="AO143" s="99" t="n"/>
      <c r="AP143" s="99" t="n"/>
      <c r="AQ143" s="99" t="n"/>
      <c r="AR143" s="99" t="n"/>
    </row>
    <row r="144">
      <c r="D144" s="99" t="n"/>
      <c r="E144" s="99" t="n"/>
      <c r="F144" s="99" t="n"/>
      <c r="G144" s="99" t="n"/>
      <c r="H144" s="99" t="n"/>
      <c r="I144" s="99" t="n"/>
      <c r="J144" s="99" t="n"/>
      <c r="K144" s="99" t="n"/>
      <c r="L144" s="99" t="n"/>
      <c r="M144" s="99" t="n"/>
      <c r="N144" s="99" t="n"/>
      <c r="O144" s="99" t="n"/>
      <c r="P144" s="99" t="n"/>
      <c r="Q144" s="99" t="n"/>
      <c r="R144" s="99" t="n"/>
      <c r="S144" s="99" t="n"/>
      <c r="T144" s="99" t="n"/>
      <c r="U144" s="99" t="n"/>
      <c r="V144" s="99" t="n"/>
      <c r="W144" s="99" t="n"/>
      <c r="X144" s="99" t="n"/>
      <c r="Y144" s="99" t="n"/>
      <c r="Z144" s="99" t="n"/>
      <c r="AA144" s="99" t="n"/>
      <c r="AB144" s="99" t="n"/>
      <c r="AC144" s="99" t="n"/>
      <c r="AD144" s="99" t="n"/>
      <c r="AE144" s="99" t="n"/>
      <c r="AF144" s="99" t="n"/>
      <c r="AG144" s="99" t="n"/>
      <c r="AH144" s="99" t="n"/>
      <c r="AI144" s="99" t="n"/>
      <c r="AJ144" s="99" t="n"/>
      <c r="AK144" s="99" t="n"/>
      <c r="AL144" s="99" t="n"/>
      <c r="AM144" s="99" t="n"/>
      <c r="AN144" s="99" t="n"/>
      <c r="AO144" s="99" t="n"/>
      <c r="AP144" s="99" t="n"/>
      <c r="AQ144" s="99" t="n"/>
      <c r="AR144" s="99" t="n"/>
    </row>
    <row r="145">
      <c r="D145" s="99" t="n"/>
      <c r="E145" s="99" t="n"/>
      <c r="F145" s="99" t="n"/>
      <c r="G145" s="99" t="n"/>
      <c r="H145" s="99" t="n"/>
      <c r="I145" s="99" t="n"/>
      <c r="J145" s="99" t="n"/>
      <c r="K145" s="99" t="n"/>
      <c r="L145" s="99" t="n"/>
      <c r="M145" s="99" t="n"/>
      <c r="N145" s="99" t="n"/>
      <c r="O145" s="99" t="n"/>
      <c r="P145" s="99" t="n"/>
      <c r="Q145" s="99" t="n"/>
      <c r="R145" s="99" t="n"/>
      <c r="S145" s="99" t="n"/>
      <c r="T145" s="99" t="n"/>
      <c r="U145" s="99" t="n"/>
      <c r="V145" s="99" t="n"/>
      <c r="W145" s="99" t="n"/>
      <c r="X145" s="99" t="n"/>
      <c r="Y145" s="99" t="n"/>
      <c r="Z145" s="99" t="n"/>
      <c r="AA145" s="99" t="n"/>
      <c r="AB145" s="99" t="n"/>
      <c r="AC145" s="99" t="n"/>
      <c r="AD145" s="99" t="n"/>
      <c r="AE145" s="99" t="n"/>
      <c r="AF145" s="99" t="n"/>
      <c r="AG145" s="99" t="n"/>
      <c r="AH145" s="99" t="n"/>
      <c r="AI145" s="99" t="n"/>
      <c r="AJ145" s="99" t="n"/>
      <c r="AK145" s="99" t="n"/>
      <c r="AL145" s="99" t="n"/>
      <c r="AM145" s="99" t="n"/>
      <c r="AN145" s="99" t="n"/>
      <c r="AO145" s="99" t="n"/>
      <c r="AP145" s="99" t="n"/>
      <c r="AQ145" s="99" t="n"/>
      <c r="AR145" s="99" t="n"/>
    </row>
    <row r="146">
      <c r="D146" s="100" t="n"/>
      <c r="E146" s="100" t="n"/>
      <c r="F146" s="100" t="n"/>
      <c r="G146" s="100" t="n"/>
      <c r="H146" s="100" t="n"/>
      <c r="I146" s="100" t="n"/>
      <c r="J146" s="100" t="n"/>
      <c r="K146" s="100" t="n"/>
      <c r="L146" s="100" t="n"/>
      <c r="M146" s="100" t="n"/>
      <c r="N146" s="100" t="n"/>
      <c r="O146" s="100" t="n"/>
      <c r="P146" s="100" t="n"/>
      <c r="Q146" s="100" t="n"/>
      <c r="R146" s="100" t="n"/>
      <c r="S146" s="100" t="n"/>
      <c r="T146" s="100" t="n"/>
      <c r="U146" s="100" t="n"/>
      <c r="V146" s="100" t="n"/>
      <c r="W146" s="100" t="n"/>
      <c r="X146" s="100" t="n"/>
      <c r="Y146" s="100" t="n"/>
      <c r="Z146" s="100" t="n"/>
      <c r="AA146" s="100" t="n"/>
      <c r="AB146" s="100" t="n"/>
      <c r="AC146" s="100" t="n"/>
      <c r="AD146" s="100" t="n"/>
      <c r="AE146" s="100" t="n"/>
      <c r="AF146" s="100" t="n"/>
      <c r="AG146" s="100" t="n"/>
      <c r="AH146" s="100" t="n"/>
      <c r="AI146" s="100" t="n"/>
      <c r="AJ146" s="100" t="n"/>
      <c r="AK146" s="100" t="n"/>
      <c r="AL146" s="100" t="n"/>
      <c r="AM146" s="100" t="n"/>
      <c r="AN146" s="100" t="n"/>
      <c r="AO146" s="100" t="n"/>
      <c r="AP146" s="100" t="n"/>
      <c r="AQ146" s="100" t="n"/>
      <c r="AR146" s="100" t="n"/>
    </row>
    <row r="149">
      <c r="A149" s="2">
        <f>IF($A142="","","   projections")</f>
        <v/>
      </c>
      <c r="B149" s="96">
        <f>IF($A142="",0,COUNT($E150:$AR150))</f>
        <v/>
      </c>
      <c r="C149" s="97">
        <f>IF($B149=0,0,MAX($E150:$AR150))</f>
        <v/>
      </c>
      <c r="D149" s="98">
        <f>BDS($A142,FLD_PROJ,"headers=y","startcol=1","endcol=3","dir=h")</f>
        <v/>
      </c>
      <c r="E149" s="99" t="n"/>
      <c r="F149" s="99" t="n"/>
      <c r="G149" s="99" t="n"/>
      <c r="H149" s="99" t="n"/>
      <c r="I149" s="99" t="n"/>
      <c r="J149" s="99" t="n"/>
      <c r="K149" s="99" t="n"/>
      <c r="L149" s="99" t="n"/>
      <c r="M149" s="99" t="n"/>
      <c r="N149" s="99" t="n"/>
      <c r="O149" s="99" t="n"/>
      <c r="P149" s="99" t="n"/>
      <c r="Q149" s="99" t="n"/>
      <c r="R149" s="99" t="n"/>
      <c r="S149" s="99" t="n"/>
      <c r="T149" s="99" t="n"/>
      <c r="U149" s="99" t="n"/>
      <c r="V149" s="99" t="n"/>
      <c r="W149" s="99" t="n"/>
      <c r="X149" s="99" t="n"/>
      <c r="Y149" s="99" t="n"/>
      <c r="Z149" s="99" t="n"/>
      <c r="AA149" s="99" t="n"/>
      <c r="AB149" s="99" t="n"/>
      <c r="AC149" s="99" t="n"/>
      <c r="AD149" s="99" t="n"/>
      <c r="AE149" s="99" t="n"/>
      <c r="AF149" s="99" t="n"/>
      <c r="AG149" s="99" t="n"/>
      <c r="AH149" s="99" t="n"/>
      <c r="AI149" s="99" t="n"/>
      <c r="AJ149" s="99" t="n"/>
      <c r="AK149" s="99" t="n"/>
      <c r="AL149" s="99" t="n"/>
      <c r="AM149" s="99" t="n"/>
      <c r="AN149" s="99" t="n"/>
      <c r="AO149" s="99" t="n"/>
      <c r="AP149" s="99" t="n"/>
      <c r="AQ149" s="99" t="n"/>
      <c r="AR149" s="99" t="n"/>
    </row>
    <row r="150">
      <c r="D150" s="99" t="n"/>
      <c r="E150" s="99" t="n"/>
      <c r="F150" s="99" t="n"/>
      <c r="G150" s="99" t="n"/>
      <c r="H150" s="99" t="n"/>
      <c r="I150" s="99" t="n"/>
      <c r="J150" s="99" t="n"/>
      <c r="K150" s="99" t="n"/>
      <c r="L150" s="99" t="n"/>
      <c r="M150" s="99" t="n"/>
      <c r="N150" s="99" t="n"/>
      <c r="O150" s="99" t="n"/>
      <c r="P150" s="99" t="n"/>
      <c r="Q150" s="99" t="n"/>
      <c r="R150" s="99" t="n"/>
      <c r="S150" s="99" t="n"/>
      <c r="T150" s="99" t="n"/>
      <c r="U150" s="99" t="n"/>
      <c r="V150" s="99" t="n"/>
      <c r="W150" s="99" t="n"/>
      <c r="X150" s="99" t="n"/>
      <c r="Y150" s="99" t="n"/>
      <c r="Z150" s="99" t="n"/>
      <c r="AA150" s="99" t="n"/>
      <c r="AB150" s="99" t="n"/>
      <c r="AC150" s="99" t="n"/>
      <c r="AD150" s="99" t="n"/>
      <c r="AE150" s="99" t="n"/>
      <c r="AF150" s="99" t="n"/>
      <c r="AG150" s="99" t="n"/>
      <c r="AH150" s="99" t="n"/>
      <c r="AI150" s="99" t="n"/>
      <c r="AJ150" s="99" t="n"/>
      <c r="AK150" s="99" t="n"/>
      <c r="AL150" s="99" t="n"/>
      <c r="AM150" s="99" t="n"/>
      <c r="AN150" s="99" t="n"/>
      <c r="AO150" s="99" t="n"/>
      <c r="AP150" s="99" t="n"/>
      <c r="AQ150" s="99" t="n"/>
      <c r="AR150" s="99" t="n"/>
    </row>
    <row r="151">
      <c r="D151" s="100" t="n"/>
      <c r="E151" s="100" t="n"/>
      <c r="F151" s="100" t="n"/>
      <c r="G151" s="100" t="n"/>
      <c r="H151" s="100" t="n"/>
      <c r="I151" s="100" t="n"/>
      <c r="J151" s="100" t="n"/>
      <c r="K151" s="100" t="n"/>
      <c r="L151" s="100" t="n"/>
      <c r="M151" s="100" t="n"/>
      <c r="N151" s="100" t="n"/>
      <c r="O151" s="100" t="n"/>
      <c r="P151" s="100" t="n"/>
      <c r="Q151" s="100" t="n"/>
      <c r="R151" s="100" t="n"/>
      <c r="S151" s="100" t="n"/>
      <c r="T151" s="100" t="n"/>
      <c r="U151" s="100" t="n"/>
      <c r="V151" s="100" t="n"/>
      <c r="W151" s="100" t="n"/>
      <c r="X151" s="100" t="n"/>
      <c r="Y151" s="100" t="n"/>
      <c r="Z151" s="100" t="n"/>
      <c r="AA151" s="100" t="n"/>
      <c r="AB151" s="100" t="n"/>
      <c r="AC151" s="100" t="n"/>
      <c r="AD151" s="100" t="n"/>
      <c r="AE151" s="100" t="n"/>
      <c r="AF151" s="100" t="n"/>
      <c r="AG151" s="100" t="n"/>
      <c r="AH151" s="100" t="n"/>
      <c r="AI151" s="100" t="n"/>
      <c r="AJ151" s="100" t="n"/>
      <c r="AK151" s="100" t="n"/>
      <c r="AL151" s="100" t="n"/>
      <c r="AM151" s="100" t="n"/>
      <c r="AN151" s="100" t="n"/>
      <c r="AO151" s="100" t="n"/>
      <c r="AP151" s="100" t="n"/>
      <c r="AQ151" s="100" t="n"/>
      <c r="AR151" s="100" t="n"/>
    </row>
    <row r="153">
      <c r="A153" s="6">
        <f>IF(HSI!$C$20="","",HSI!$C$20)</f>
        <v/>
      </c>
      <c r="B153" s="96">
        <f>IF($A153="",0,COUNT($E154:$AR154))</f>
        <v/>
      </c>
      <c r="C153" s="97">
        <f>IF($B153=0,0,MAX($E154:$AR154))</f>
        <v/>
      </c>
      <c r="D153" s="98">
        <f>BDS($A153,FLD_HIST,"headers=y","startcol=1","endcol=7","dir=h","DVD_START_DT",HIST_FROM,"DVD_END_DT",HIST_TO)</f>
        <v/>
      </c>
      <c r="E153" s="99" t="n"/>
      <c r="F153" s="99" t="n"/>
      <c r="G153" s="99" t="n"/>
      <c r="H153" s="99" t="n"/>
      <c r="I153" s="99" t="n"/>
      <c r="J153" s="99" t="n"/>
      <c r="K153" s="99" t="n"/>
      <c r="L153" s="99" t="n"/>
      <c r="M153" s="99" t="n"/>
      <c r="N153" s="99" t="n"/>
      <c r="O153" s="99" t="n"/>
      <c r="P153" s="99" t="n"/>
      <c r="Q153" s="99" t="n"/>
      <c r="R153" s="99" t="n"/>
      <c r="S153" s="99" t="n"/>
      <c r="T153" s="99" t="n"/>
      <c r="U153" s="99" t="n"/>
      <c r="V153" s="99" t="n"/>
      <c r="W153" s="99" t="n"/>
      <c r="X153" s="99" t="n"/>
      <c r="Y153" s="99" t="n"/>
      <c r="Z153" s="99" t="n"/>
      <c r="AA153" s="99" t="n"/>
      <c r="AB153" s="99" t="n"/>
      <c r="AC153" s="99" t="n"/>
      <c r="AD153" s="99" t="n"/>
      <c r="AE153" s="99" t="n"/>
      <c r="AF153" s="99" t="n"/>
      <c r="AG153" s="99" t="n"/>
      <c r="AH153" s="99" t="n"/>
      <c r="AI153" s="99" t="n"/>
      <c r="AJ153" s="99" t="n"/>
      <c r="AK153" s="99" t="n"/>
      <c r="AL153" s="99" t="n"/>
      <c r="AM153" s="99" t="n"/>
      <c r="AN153" s="99" t="n"/>
      <c r="AO153" s="99" t="n"/>
      <c r="AP153" s="99" t="n"/>
      <c r="AQ153" s="99" t="n"/>
      <c r="AR153" s="99" t="n"/>
    </row>
    <row r="154">
      <c r="D154" s="99" t="n"/>
      <c r="E154" s="99" t="n"/>
      <c r="F154" s="99" t="n"/>
      <c r="G154" s="99" t="n"/>
      <c r="H154" s="99" t="n"/>
      <c r="I154" s="99" t="n"/>
      <c r="J154" s="99" t="n"/>
      <c r="K154" s="99" t="n"/>
      <c r="L154" s="99" t="n"/>
      <c r="M154" s="99" t="n"/>
      <c r="N154" s="99" t="n"/>
      <c r="O154" s="99" t="n"/>
      <c r="P154" s="99" t="n"/>
      <c r="Q154" s="99" t="n"/>
      <c r="R154" s="99" t="n"/>
      <c r="S154" s="99" t="n"/>
      <c r="T154" s="99" t="n"/>
      <c r="U154" s="99" t="n"/>
      <c r="V154" s="99" t="n"/>
      <c r="W154" s="99" t="n"/>
      <c r="X154" s="99" t="n"/>
      <c r="Y154" s="99" t="n"/>
      <c r="Z154" s="99" t="n"/>
      <c r="AA154" s="99" t="n"/>
      <c r="AB154" s="99" t="n"/>
      <c r="AC154" s="99" t="n"/>
      <c r="AD154" s="99" t="n"/>
      <c r="AE154" s="99" t="n"/>
      <c r="AF154" s="99" t="n"/>
      <c r="AG154" s="99" t="n"/>
      <c r="AH154" s="99" t="n"/>
      <c r="AI154" s="99" t="n"/>
      <c r="AJ154" s="99" t="n"/>
      <c r="AK154" s="99" t="n"/>
      <c r="AL154" s="99" t="n"/>
      <c r="AM154" s="99" t="n"/>
      <c r="AN154" s="99" t="n"/>
      <c r="AO154" s="99" t="n"/>
      <c r="AP154" s="99" t="n"/>
      <c r="AQ154" s="99" t="n"/>
      <c r="AR154" s="99" t="n"/>
    </row>
    <row r="155">
      <c r="D155" s="99" t="n"/>
      <c r="E155" s="99" t="n"/>
      <c r="F155" s="99" t="n"/>
      <c r="G155" s="99" t="n"/>
      <c r="H155" s="99" t="n"/>
      <c r="I155" s="99" t="n"/>
      <c r="J155" s="99" t="n"/>
      <c r="K155" s="99" t="n"/>
      <c r="L155" s="99" t="n"/>
      <c r="M155" s="99" t="n"/>
      <c r="N155" s="99" t="n"/>
      <c r="O155" s="99" t="n"/>
      <c r="P155" s="99" t="n"/>
      <c r="Q155" s="99" t="n"/>
      <c r="R155" s="99" t="n"/>
      <c r="S155" s="99" t="n"/>
      <c r="T155" s="99" t="n"/>
      <c r="U155" s="99" t="n"/>
      <c r="V155" s="99" t="n"/>
      <c r="W155" s="99" t="n"/>
      <c r="X155" s="99" t="n"/>
      <c r="Y155" s="99" t="n"/>
      <c r="Z155" s="99" t="n"/>
      <c r="AA155" s="99" t="n"/>
      <c r="AB155" s="99" t="n"/>
      <c r="AC155" s="99" t="n"/>
      <c r="AD155" s="99" t="n"/>
      <c r="AE155" s="99" t="n"/>
      <c r="AF155" s="99" t="n"/>
      <c r="AG155" s="99" t="n"/>
      <c r="AH155" s="99" t="n"/>
      <c r="AI155" s="99" t="n"/>
      <c r="AJ155" s="99" t="n"/>
      <c r="AK155" s="99" t="n"/>
      <c r="AL155" s="99" t="n"/>
      <c r="AM155" s="99" t="n"/>
      <c r="AN155" s="99" t="n"/>
      <c r="AO155" s="99" t="n"/>
      <c r="AP155" s="99" t="n"/>
      <c r="AQ155" s="99" t="n"/>
      <c r="AR155" s="99" t="n"/>
    </row>
    <row r="156">
      <c r="D156" s="99" t="n"/>
      <c r="E156" s="99" t="n"/>
      <c r="F156" s="99" t="n"/>
      <c r="G156" s="99" t="n"/>
      <c r="H156" s="99" t="n"/>
      <c r="I156" s="99" t="n"/>
      <c r="J156" s="99" t="n"/>
      <c r="K156" s="99" t="n"/>
      <c r="L156" s="99" t="n"/>
      <c r="M156" s="99" t="n"/>
      <c r="N156" s="99" t="n"/>
      <c r="O156" s="99" t="n"/>
      <c r="P156" s="99" t="n"/>
      <c r="Q156" s="99" t="n"/>
      <c r="R156" s="99" t="n"/>
      <c r="S156" s="99" t="n"/>
      <c r="T156" s="99" t="n"/>
      <c r="U156" s="99" t="n"/>
      <c r="V156" s="99" t="n"/>
      <c r="W156" s="99" t="n"/>
      <c r="X156" s="99" t="n"/>
      <c r="Y156" s="99" t="n"/>
      <c r="Z156" s="99" t="n"/>
      <c r="AA156" s="99" t="n"/>
      <c r="AB156" s="99" t="n"/>
      <c r="AC156" s="99" t="n"/>
      <c r="AD156" s="99" t="n"/>
      <c r="AE156" s="99" t="n"/>
      <c r="AF156" s="99" t="n"/>
      <c r="AG156" s="99" t="n"/>
      <c r="AH156" s="99" t="n"/>
      <c r="AI156" s="99" t="n"/>
      <c r="AJ156" s="99" t="n"/>
      <c r="AK156" s="99" t="n"/>
      <c r="AL156" s="99" t="n"/>
      <c r="AM156" s="99" t="n"/>
      <c r="AN156" s="99" t="n"/>
      <c r="AO156" s="99" t="n"/>
      <c r="AP156" s="99" t="n"/>
      <c r="AQ156" s="99" t="n"/>
      <c r="AR156" s="99" t="n"/>
    </row>
    <row r="157">
      <c r="D157" s="100" t="n"/>
      <c r="E157" s="100" t="n"/>
      <c r="F157" s="100" t="n"/>
      <c r="G157" s="100" t="n"/>
      <c r="H157" s="100" t="n"/>
      <c r="I157" s="100" t="n"/>
      <c r="J157" s="100" t="n"/>
      <c r="K157" s="100" t="n"/>
      <c r="L157" s="100" t="n"/>
      <c r="M157" s="100" t="n"/>
      <c r="N157" s="100" t="n"/>
      <c r="O157" s="100" t="n"/>
      <c r="P157" s="100" t="n"/>
      <c r="Q157" s="100" t="n"/>
      <c r="R157" s="100" t="n"/>
      <c r="S157" s="100" t="n"/>
      <c r="T157" s="100" t="n"/>
      <c r="U157" s="100" t="n"/>
      <c r="V157" s="100" t="n"/>
      <c r="W157" s="100" t="n"/>
      <c r="X157" s="100" t="n"/>
      <c r="Y157" s="100" t="n"/>
      <c r="Z157" s="100" t="n"/>
      <c r="AA157" s="100" t="n"/>
      <c r="AB157" s="100" t="n"/>
      <c r="AC157" s="100" t="n"/>
      <c r="AD157" s="100" t="n"/>
      <c r="AE157" s="100" t="n"/>
      <c r="AF157" s="100" t="n"/>
      <c r="AG157" s="100" t="n"/>
      <c r="AH157" s="100" t="n"/>
      <c r="AI157" s="100" t="n"/>
      <c r="AJ157" s="100" t="n"/>
      <c r="AK157" s="100" t="n"/>
      <c r="AL157" s="100" t="n"/>
      <c r="AM157" s="100" t="n"/>
      <c r="AN157" s="100" t="n"/>
      <c r="AO157" s="100" t="n"/>
      <c r="AP157" s="100" t="n"/>
      <c r="AQ157" s="100" t="n"/>
      <c r="AR157" s="100" t="n"/>
    </row>
    <row r="160">
      <c r="A160" s="2">
        <f>IF($A153="","","   projections")</f>
        <v/>
      </c>
      <c r="B160" s="96">
        <f>IF($A153="",0,COUNT($E161:$AR161))</f>
        <v/>
      </c>
      <c r="C160" s="97">
        <f>IF($B160=0,0,MAX($E161:$AR161))</f>
        <v/>
      </c>
      <c r="D160" s="98">
        <f>BDS($A153,FLD_PROJ,"headers=y","startcol=1","endcol=3","dir=h")</f>
        <v/>
      </c>
      <c r="E160" s="99" t="n"/>
      <c r="F160" s="99" t="n"/>
      <c r="G160" s="99" t="n"/>
      <c r="H160" s="99" t="n"/>
      <c r="I160" s="99" t="n"/>
      <c r="J160" s="99" t="n"/>
      <c r="K160" s="99" t="n"/>
      <c r="L160" s="99" t="n"/>
      <c r="M160" s="99" t="n"/>
      <c r="N160" s="99" t="n"/>
      <c r="O160" s="99" t="n"/>
      <c r="P160" s="99" t="n"/>
      <c r="Q160" s="99" t="n"/>
      <c r="R160" s="99" t="n"/>
      <c r="S160" s="99" t="n"/>
      <c r="T160" s="99" t="n"/>
      <c r="U160" s="99" t="n"/>
      <c r="V160" s="99" t="n"/>
      <c r="W160" s="99" t="n"/>
      <c r="X160" s="99" t="n"/>
      <c r="Y160" s="99" t="n"/>
      <c r="Z160" s="99" t="n"/>
      <c r="AA160" s="99" t="n"/>
      <c r="AB160" s="99" t="n"/>
      <c r="AC160" s="99" t="n"/>
      <c r="AD160" s="99" t="n"/>
      <c r="AE160" s="99" t="n"/>
      <c r="AF160" s="99" t="n"/>
      <c r="AG160" s="99" t="n"/>
      <c r="AH160" s="99" t="n"/>
      <c r="AI160" s="99" t="n"/>
      <c r="AJ160" s="99" t="n"/>
      <c r="AK160" s="99" t="n"/>
      <c r="AL160" s="99" t="n"/>
      <c r="AM160" s="99" t="n"/>
      <c r="AN160" s="99" t="n"/>
      <c r="AO160" s="99" t="n"/>
      <c r="AP160" s="99" t="n"/>
      <c r="AQ160" s="99" t="n"/>
      <c r="AR160" s="99" t="n"/>
    </row>
    <row r="161">
      <c r="D161" s="99" t="n"/>
      <c r="E161" s="99" t="n"/>
      <c r="F161" s="99" t="n"/>
      <c r="G161" s="99" t="n"/>
      <c r="H161" s="99" t="n"/>
      <c r="I161" s="99" t="n"/>
      <c r="J161" s="99" t="n"/>
      <c r="K161" s="99" t="n"/>
      <c r="L161" s="99" t="n"/>
      <c r="M161" s="99" t="n"/>
      <c r="N161" s="99" t="n"/>
      <c r="O161" s="99" t="n"/>
      <c r="P161" s="99" t="n"/>
      <c r="Q161" s="99" t="n"/>
      <c r="R161" s="99" t="n"/>
      <c r="S161" s="99" t="n"/>
      <c r="T161" s="99" t="n"/>
      <c r="U161" s="99" t="n"/>
      <c r="V161" s="99" t="n"/>
      <c r="W161" s="99" t="n"/>
      <c r="X161" s="99" t="n"/>
      <c r="Y161" s="99" t="n"/>
      <c r="Z161" s="99" t="n"/>
      <c r="AA161" s="99" t="n"/>
      <c r="AB161" s="99" t="n"/>
      <c r="AC161" s="99" t="n"/>
      <c r="AD161" s="99" t="n"/>
      <c r="AE161" s="99" t="n"/>
      <c r="AF161" s="99" t="n"/>
      <c r="AG161" s="99" t="n"/>
      <c r="AH161" s="99" t="n"/>
      <c r="AI161" s="99" t="n"/>
      <c r="AJ161" s="99" t="n"/>
      <c r="AK161" s="99" t="n"/>
      <c r="AL161" s="99" t="n"/>
      <c r="AM161" s="99" t="n"/>
      <c r="AN161" s="99" t="n"/>
      <c r="AO161" s="99" t="n"/>
      <c r="AP161" s="99" t="n"/>
      <c r="AQ161" s="99" t="n"/>
      <c r="AR161" s="99" t="n"/>
    </row>
    <row r="162">
      <c r="D162" s="100" t="n"/>
      <c r="E162" s="100" t="n"/>
      <c r="F162" s="100" t="n"/>
      <c r="G162" s="100" t="n"/>
      <c r="H162" s="100" t="n"/>
      <c r="I162" s="100" t="n"/>
      <c r="J162" s="100" t="n"/>
      <c r="K162" s="100" t="n"/>
      <c r="L162" s="100" t="n"/>
      <c r="M162" s="100" t="n"/>
      <c r="N162" s="100" t="n"/>
      <c r="O162" s="100" t="n"/>
      <c r="P162" s="100" t="n"/>
      <c r="Q162" s="100" t="n"/>
      <c r="R162" s="100" t="n"/>
      <c r="S162" s="100" t="n"/>
      <c r="T162" s="100" t="n"/>
      <c r="U162" s="100" t="n"/>
      <c r="V162" s="100" t="n"/>
      <c r="W162" s="100" t="n"/>
      <c r="X162" s="100" t="n"/>
      <c r="Y162" s="100" t="n"/>
      <c r="Z162" s="100" t="n"/>
      <c r="AA162" s="100" t="n"/>
      <c r="AB162" s="100" t="n"/>
      <c r="AC162" s="100" t="n"/>
      <c r="AD162" s="100" t="n"/>
      <c r="AE162" s="100" t="n"/>
      <c r="AF162" s="100" t="n"/>
      <c r="AG162" s="100" t="n"/>
      <c r="AH162" s="100" t="n"/>
      <c r="AI162" s="100" t="n"/>
      <c r="AJ162" s="100" t="n"/>
      <c r="AK162" s="100" t="n"/>
      <c r="AL162" s="100" t="n"/>
      <c r="AM162" s="100" t="n"/>
      <c r="AN162" s="100" t="n"/>
      <c r="AO162" s="100" t="n"/>
      <c r="AP162" s="100" t="n"/>
      <c r="AQ162" s="100" t="n"/>
      <c r="AR162" s="100" t="n"/>
    </row>
    <row r="164">
      <c r="A164" s="6">
        <f>IF(HSI!$C$21="","",HSI!$C$21)</f>
        <v/>
      </c>
      <c r="B164" s="96">
        <f>IF($A164="",0,COUNT($E165:$AR165))</f>
        <v/>
      </c>
      <c r="C164" s="97">
        <f>IF($B164=0,0,MAX($E165:$AR165))</f>
        <v/>
      </c>
      <c r="D164" s="98">
        <f>BDS($A164,FLD_HIST,"headers=y","startcol=1","endcol=7","dir=h","DVD_START_DT",HIST_FROM,"DVD_END_DT",HIST_TO)</f>
        <v/>
      </c>
      <c r="E164" s="99" t="n"/>
      <c r="F164" s="99" t="n"/>
      <c r="G164" s="99" t="n"/>
      <c r="H164" s="99" t="n"/>
      <c r="I164" s="99" t="n"/>
      <c r="J164" s="99" t="n"/>
      <c r="K164" s="99" t="n"/>
      <c r="L164" s="99" t="n"/>
      <c r="M164" s="99" t="n"/>
      <c r="N164" s="99" t="n"/>
      <c r="O164" s="99" t="n"/>
      <c r="P164" s="99" t="n"/>
      <c r="Q164" s="99" t="n"/>
      <c r="R164" s="99" t="n"/>
      <c r="S164" s="99" t="n"/>
      <c r="T164" s="99" t="n"/>
      <c r="U164" s="99" t="n"/>
      <c r="V164" s="99" t="n"/>
      <c r="W164" s="99" t="n"/>
      <c r="X164" s="99" t="n"/>
      <c r="Y164" s="99" t="n"/>
      <c r="Z164" s="99" t="n"/>
      <c r="AA164" s="99" t="n"/>
      <c r="AB164" s="99" t="n"/>
      <c r="AC164" s="99" t="n"/>
      <c r="AD164" s="99" t="n"/>
      <c r="AE164" s="99" t="n"/>
      <c r="AF164" s="99" t="n"/>
      <c r="AG164" s="99" t="n"/>
      <c r="AH164" s="99" t="n"/>
      <c r="AI164" s="99" t="n"/>
      <c r="AJ164" s="99" t="n"/>
      <c r="AK164" s="99" t="n"/>
      <c r="AL164" s="99" t="n"/>
      <c r="AM164" s="99" t="n"/>
      <c r="AN164" s="99" t="n"/>
      <c r="AO164" s="99" t="n"/>
      <c r="AP164" s="99" t="n"/>
      <c r="AQ164" s="99" t="n"/>
      <c r="AR164" s="99" t="n"/>
    </row>
    <row r="165">
      <c r="D165" s="99" t="n"/>
      <c r="E165" s="99" t="n"/>
      <c r="F165" s="99" t="n"/>
      <c r="G165" s="99" t="n"/>
      <c r="H165" s="99" t="n"/>
      <c r="I165" s="99" t="n"/>
      <c r="J165" s="99" t="n"/>
      <c r="K165" s="99" t="n"/>
      <c r="L165" s="99" t="n"/>
      <c r="M165" s="99" t="n"/>
      <c r="N165" s="99" t="n"/>
      <c r="O165" s="99" t="n"/>
      <c r="P165" s="99" t="n"/>
      <c r="Q165" s="99" t="n"/>
      <c r="R165" s="99" t="n"/>
      <c r="S165" s="99" t="n"/>
      <c r="T165" s="99" t="n"/>
      <c r="U165" s="99" t="n"/>
      <c r="V165" s="99" t="n"/>
      <c r="W165" s="99" t="n"/>
      <c r="X165" s="99" t="n"/>
      <c r="Y165" s="99" t="n"/>
      <c r="Z165" s="99" t="n"/>
      <c r="AA165" s="99" t="n"/>
      <c r="AB165" s="99" t="n"/>
      <c r="AC165" s="99" t="n"/>
      <c r="AD165" s="99" t="n"/>
      <c r="AE165" s="99" t="n"/>
      <c r="AF165" s="99" t="n"/>
      <c r="AG165" s="99" t="n"/>
      <c r="AH165" s="99" t="n"/>
      <c r="AI165" s="99" t="n"/>
      <c r="AJ165" s="99" t="n"/>
      <c r="AK165" s="99" t="n"/>
      <c r="AL165" s="99" t="n"/>
      <c r="AM165" s="99" t="n"/>
      <c r="AN165" s="99" t="n"/>
      <c r="AO165" s="99" t="n"/>
      <c r="AP165" s="99" t="n"/>
      <c r="AQ165" s="99" t="n"/>
      <c r="AR165" s="99" t="n"/>
    </row>
    <row r="166">
      <c r="D166" s="99" t="n"/>
      <c r="E166" s="99" t="n"/>
      <c r="F166" s="99" t="n"/>
      <c r="G166" s="99" t="n"/>
      <c r="H166" s="99" t="n"/>
      <c r="I166" s="99" t="n"/>
      <c r="J166" s="99" t="n"/>
      <c r="K166" s="99" t="n"/>
      <c r="L166" s="99" t="n"/>
      <c r="M166" s="99" t="n"/>
      <c r="N166" s="99" t="n"/>
      <c r="O166" s="99" t="n"/>
      <c r="P166" s="99" t="n"/>
      <c r="Q166" s="99" t="n"/>
      <c r="R166" s="99" t="n"/>
      <c r="S166" s="99" t="n"/>
      <c r="T166" s="99" t="n"/>
      <c r="U166" s="99" t="n"/>
      <c r="V166" s="99" t="n"/>
      <c r="W166" s="99" t="n"/>
      <c r="X166" s="99" t="n"/>
      <c r="Y166" s="99" t="n"/>
      <c r="Z166" s="99" t="n"/>
      <c r="AA166" s="99" t="n"/>
      <c r="AB166" s="99" t="n"/>
      <c r="AC166" s="99" t="n"/>
      <c r="AD166" s="99" t="n"/>
      <c r="AE166" s="99" t="n"/>
      <c r="AF166" s="99" t="n"/>
      <c r="AG166" s="99" t="n"/>
      <c r="AH166" s="99" t="n"/>
      <c r="AI166" s="99" t="n"/>
      <c r="AJ166" s="99" t="n"/>
      <c r="AK166" s="99" t="n"/>
      <c r="AL166" s="99" t="n"/>
      <c r="AM166" s="99" t="n"/>
      <c r="AN166" s="99" t="n"/>
      <c r="AO166" s="99" t="n"/>
      <c r="AP166" s="99" t="n"/>
      <c r="AQ166" s="99" t="n"/>
      <c r="AR166" s="99" t="n"/>
    </row>
    <row r="167">
      <c r="D167" s="99" t="n"/>
      <c r="E167" s="99" t="n"/>
      <c r="F167" s="99" t="n"/>
      <c r="G167" s="99" t="n"/>
      <c r="H167" s="99" t="n"/>
      <c r="I167" s="99" t="n"/>
      <c r="J167" s="99" t="n"/>
      <c r="K167" s="99" t="n"/>
      <c r="L167" s="99" t="n"/>
      <c r="M167" s="99" t="n"/>
      <c r="N167" s="99" t="n"/>
      <c r="O167" s="99" t="n"/>
      <c r="P167" s="99" t="n"/>
      <c r="Q167" s="99" t="n"/>
      <c r="R167" s="99" t="n"/>
      <c r="S167" s="99" t="n"/>
      <c r="T167" s="99" t="n"/>
      <c r="U167" s="99" t="n"/>
      <c r="V167" s="99" t="n"/>
      <c r="W167" s="99" t="n"/>
      <c r="X167" s="99" t="n"/>
      <c r="Y167" s="99" t="n"/>
      <c r="Z167" s="99" t="n"/>
      <c r="AA167" s="99" t="n"/>
      <c r="AB167" s="99" t="n"/>
      <c r="AC167" s="99" t="n"/>
      <c r="AD167" s="99" t="n"/>
      <c r="AE167" s="99" t="n"/>
      <c r="AF167" s="99" t="n"/>
      <c r="AG167" s="99" t="n"/>
      <c r="AH167" s="99" t="n"/>
      <c r="AI167" s="99" t="n"/>
      <c r="AJ167" s="99" t="n"/>
      <c r="AK167" s="99" t="n"/>
      <c r="AL167" s="99" t="n"/>
      <c r="AM167" s="99" t="n"/>
      <c r="AN167" s="99" t="n"/>
      <c r="AO167" s="99" t="n"/>
      <c r="AP167" s="99" t="n"/>
      <c r="AQ167" s="99" t="n"/>
      <c r="AR167" s="99" t="n"/>
    </row>
    <row r="168">
      <c r="D168" s="100" t="n"/>
      <c r="E168" s="100" t="n"/>
      <c r="F168" s="100" t="n"/>
      <c r="G168" s="100" t="n"/>
      <c r="H168" s="100" t="n"/>
      <c r="I168" s="100" t="n"/>
      <c r="J168" s="100" t="n"/>
      <c r="K168" s="100" t="n"/>
      <c r="L168" s="100" t="n"/>
      <c r="M168" s="100" t="n"/>
      <c r="N168" s="100" t="n"/>
      <c r="O168" s="100" t="n"/>
      <c r="P168" s="100" t="n"/>
      <c r="Q168" s="100" t="n"/>
      <c r="R168" s="100" t="n"/>
      <c r="S168" s="100" t="n"/>
      <c r="T168" s="100" t="n"/>
      <c r="U168" s="100" t="n"/>
      <c r="V168" s="100" t="n"/>
      <c r="W168" s="100" t="n"/>
      <c r="X168" s="100" t="n"/>
      <c r="Y168" s="100" t="n"/>
      <c r="Z168" s="100" t="n"/>
      <c r="AA168" s="100" t="n"/>
      <c r="AB168" s="100" t="n"/>
      <c r="AC168" s="100" t="n"/>
      <c r="AD168" s="100" t="n"/>
      <c r="AE168" s="100" t="n"/>
      <c r="AF168" s="100" t="n"/>
      <c r="AG168" s="100" t="n"/>
      <c r="AH168" s="100" t="n"/>
      <c r="AI168" s="100" t="n"/>
      <c r="AJ168" s="100" t="n"/>
      <c r="AK168" s="100" t="n"/>
      <c r="AL168" s="100" t="n"/>
      <c r="AM168" s="100" t="n"/>
      <c r="AN168" s="100" t="n"/>
      <c r="AO168" s="100" t="n"/>
      <c r="AP168" s="100" t="n"/>
      <c r="AQ168" s="100" t="n"/>
      <c r="AR168" s="100" t="n"/>
    </row>
    <row r="171">
      <c r="A171" s="2">
        <f>IF($A164="","","   projections")</f>
        <v/>
      </c>
      <c r="B171" s="96">
        <f>IF($A164="",0,COUNT($E172:$AR172))</f>
        <v/>
      </c>
      <c r="C171" s="97">
        <f>IF($B171=0,0,MAX($E172:$AR172))</f>
        <v/>
      </c>
      <c r="D171" s="98">
        <f>BDS($A164,FLD_PROJ,"headers=y","startcol=1","endcol=3","dir=h")</f>
        <v/>
      </c>
      <c r="E171" s="99" t="n"/>
      <c r="F171" s="99" t="n"/>
      <c r="G171" s="99" t="n"/>
      <c r="H171" s="99" t="n"/>
      <c r="I171" s="99" t="n"/>
      <c r="J171" s="99" t="n"/>
      <c r="K171" s="99" t="n"/>
      <c r="L171" s="99" t="n"/>
      <c r="M171" s="99" t="n"/>
      <c r="N171" s="99" t="n"/>
      <c r="O171" s="99" t="n"/>
      <c r="P171" s="99" t="n"/>
      <c r="Q171" s="99" t="n"/>
      <c r="R171" s="99" t="n"/>
      <c r="S171" s="99" t="n"/>
      <c r="T171" s="99" t="n"/>
      <c r="U171" s="99" t="n"/>
      <c r="V171" s="99" t="n"/>
      <c r="W171" s="99" t="n"/>
      <c r="X171" s="99" t="n"/>
      <c r="Y171" s="99" t="n"/>
      <c r="Z171" s="99" t="n"/>
      <c r="AA171" s="99" t="n"/>
      <c r="AB171" s="99" t="n"/>
      <c r="AC171" s="99" t="n"/>
      <c r="AD171" s="99" t="n"/>
      <c r="AE171" s="99" t="n"/>
      <c r="AF171" s="99" t="n"/>
      <c r="AG171" s="99" t="n"/>
      <c r="AH171" s="99" t="n"/>
      <c r="AI171" s="99" t="n"/>
      <c r="AJ171" s="99" t="n"/>
      <c r="AK171" s="99" t="n"/>
      <c r="AL171" s="99" t="n"/>
      <c r="AM171" s="99" t="n"/>
      <c r="AN171" s="99" t="n"/>
      <c r="AO171" s="99" t="n"/>
      <c r="AP171" s="99" t="n"/>
      <c r="AQ171" s="99" t="n"/>
      <c r="AR171" s="99" t="n"/>
    </row>
    <row r="172">
      <c r="D172" s="99" t="n"/>
      <c r="E172" s="99" t="n"/>
      <c r="F172" s="99" t="n"/>
      <c r="G172" s="99" t="n"/>
      <c r="H172" s="99" t="n"/>
      <c r="I172" s="99" t="n"/>
      <c r="J172" s="99" t="n"/>
      <c r="K172" s="99" t="n"/>
      <c r="L172" s="99" t="n"/>
      <c r="M172" s="99" t="n"/>
      <c r="N172" s="99" t="n"/>
      <c r="O172" s="99" t="n"/>
      <c r="P172" s="99" t="n"/>
      <c r="Q172" s="99" t="n"/>
      <c r="R172" s="99" t="n"/>
      <c r="S172" s="99" t="n"/>
      <c r="T172" s="99" t="n"/>
      <c r="U172" s="99" t="n"/>
      <c r="V172" s="99" t="n"/>
      <c r="W172" s="99" t="n"/>
      <c r="X172" s="99" t="n"/>
      <c r="Y172" s="99" t="n"/>
      <c r="Z172" s="99" t="n"/>
      <c r="AA172" s="99" t="n"/>
      <c r="AB172" s="99" t="n"/>
      <c r="AC172" s="99" t="n"/>
      <c r="AD172" s="99" t="n"/>
      <c r="AE172" s="99" t="n"/>
      <c r="AF172" s="99" t="n"/>
      <c r="AG172" s="99" t="n"/>
      <c r="AH172" s="99" t="n"/>
      <c r="AI172" s="99" t="n"/>
      <c r="AJ172" s="99" t="n"/>
      <c r="AK172" s="99" t="n"/>
      <c r="AL172" s="99" t="n"/>
      <c r="AM172" s="99" t="n"/>
      <c r="AN172" s="99" t="n"/>
      <c r="AO172" s="99" t="n"/>
      <c r="AP172" s="99" t="n"/>
      <c r="AQ172" s="99" t="n"/>
      <c r="AR172" s="99" t="n"/>
    </row>
    <row r="173">
      <c r="D173" s="100" t="n"/>
      <c r="E173" s="100" t="n"/>
      <c r="F173" s="100" t="n"/>
      <c r="G173" s="100" t="n"/>
      <c r="H173" s="100" t="n"/>
      <c r="I173" s="100" t="n"/>
      <c r="J173" s="100" t="n"/>
      <c r="K173" s="100" t="n"/>
      <c r="L173" s="100" t="n"/>
      <c r="M173" s="100" t="n"/>
      <c r="N173" s="100" t="n"/>
      <c r="O173" s="100" t="n"/>
      <c r="P173" s="100" t="n"/>
      <c r="Q173" s="100" t="n"/>
      <c r="R173" s="100" t="n"/>
      <c r="S173" s="100" t="n"/>
      <c r="T173" s="100" t="n"/>
      <c r="U173" s="100" t="n"/>
      <c r="V173" s="100" t="n"/>
      <c r="W173" s="100" t="n"/>
      <c r="X173" s="100" t="n"/>
      <c r="Y173" s="100" t="n"/>
      <c r="Z173" s="100" t="n"/>
      <c r="AA173" s="100" t="n"/>
      <c r="AB173" s="100" t="n"/>
      <c r="AC173" s="100" t="n"/>
      <c r="AD173" s="100" t="n"/>
      <c r="AE173" s="100" t="n"/>
      <c r="AF173" s="100" t="n"/>
      <c r="AG173" s="100" t="n"/>
      <c r="AH173" s="100" t="n"/>
      <c r="AI173" s="100" t="n"/>
      <c r="AJ173" s="100" t="n"/>
      <c r="AK173" s="100" t="n"/>
      <c r="AL173" s="100" t="n"/>
      <c r="AM173" s="100" t="n"/>
      <c r="AN173" s="100" t="n"/>
      <c r="AO173" s="100" t="n"/>
      <c r="AP173" s="100" t="n"/>
      <c r="AQ173" s="100" t="n"/>
      <c r="AR173" s="100" t="n"/>
    </row>
    <row r="175">
      <c r="A175" s="6">
        <f>IF(HSI!$C$22="","",HSI!$C$22)</f>
        <v/>
      </c>
      <c r="B175" s="96">
        <f>IF($A175="",0,COUNT($E176:$AR176))</f>
        <v/>
      </c>
      <c r="C175" s="97">
        <f>IF($B175=0,0,MAX($E176:$AR176))</f>
        <v/>
      </c>
      <c r="D175" s="98">
        <f>BDS($A175,FLD_HIST,"headers=y","startcol=1","endcol=7","dir=h","DVD_START_DT",HIST_FROM,"DVD_END_DT",HIST_TO)</f>
        <v/>
      </c>
      <c r="E175" s="99" t="n"/>
      <c r="F175" s="99" t="n"/>
      <c r="G175" s="99" t="n"/>
      <c r="H175" s="99" t="n"/>
      <c r="I175" s="99" t="n"/>
      <c r="J175" s="99" t="n"/>
      <c r="K175" s="99" t="n"/>
      <c r="L175" s="99" t="n"/>
      <c r="M175" s="99" t="n"/>
      <c r="N175" s="99" t="n"/>
      <c r="O175" s="99" t="n"/>
      <c r="P175" s="99" t="n"/>
      <c r="Q175" s="99" t="n"/>
      <c r="R175" s="99" t="n"/>
      <c r="S175" s="99" t="n"/>
      <c r="T175" s="99" t="n"/>
      <c r="U175" s="99" t="n"/>
      <c r="V175" s="99" t="n"/>
      <c r="W175" s="99" t="n"/>
      <c r="X175" s="99" t="n"/>
      <c r="Y175" s="99" t="n"/>
      <c r="Z175" s="99" t="n"/>
      <c r="AA175" s="99" t="n"/>
      <c r="AB175" s="99" t="n"/>
      <c r="AC175" s="99" t="n"/>
      <c r="AD175" s="99" t="n"/>
      <c r="AE175" s="99" t="n"/>
      <c r="AF175" s="99" t="n"/>
      <c r="AG175" s="99" t="n"/>
      <c r="AH175" s="99" t="n"/>
      <c r="AI175" s="99" t="n"/>
      <c r="AJ175" s="99" t="n"/>
      <c r="AK175" s="99" t="n"/>
      <c r="AL175" s="99" t="n"/>
      <c r="AM175" s="99" t="n"/>
      <c r="AN175" s="99" t="n"/>
      <c r="AO175" s="99" t="n"/>
      <c r="AP175" s="99" t="n"/>
      <c r="AQ175" s="99" t="n"/>
      <c r="AR175" s="99" t="n"/>
    </row>
    <row r="176">
      <c r="D176" s="99" t="n"/>
      <c r="E176" s="99" t="n"/>
      <c r="F176" s="99" t="n"/>
      <c r="G176" s="99" t="n"/>
      <c r="H176" s="99" t="n"/>
      <c r="I176" s="99" t="n"/>
      <c r="J176" s="99" t="n"/>
      <c r="K176" s="99" t="n"/>
      <c r="L176" s="99" t="n"/>
      <c r="M176" s="99" t="n"/>
      <c r="N176" s="99" t="n"/>
      <c r="O176" s="99" t="n"/>
      <c r="P176" s="99" t="n"/>
      <c r="Q176" s="99" t="n"/>
      <c r="R176" s="99" t="n"/>
      <c r="S176" s="99" t="n"/>
      <c r="T176" s="99" t="n"/>
      <c r="U176" s="99" t="n"/>
      <c r="V176" s="99" t="n"/>
      <c r="W176" s="99" t="n"/>
      <c r="X176" s="99" t="n"/>
      <c r="Y176" s="99" t="n"/>
      <c r="Z176" s="99" t="n"/>
      <c r="AA176" s="99" t="n"/>
      <c r="AB176" s="99" t="n"/>
      <c r="AC176" s="99" t="n"/>
      <c r="AD176" s="99" t="n"/>
      <c r="AE176" s="99" t="n"/>
      <c r="AF176" s="99" t="n"/>
      <c r="AG176" s="99" t="n"/>
      <c r="AH176" s="99" t="n"/>
      <c r="AI176" s="99" t="n"/>
      <c r="AJ176" s="99" t="n"/>
      <c r="AK176" s="99" t="n"/>
      <c r="AL176" s="99" t="n"/>
      <c r="AM176" s="99" t="n"/>
      <c r="AN176" s="99" t="n"/>
      <c r="AO176" s="99" t="n"/>
      <c r="AP176" s="99" t="n"/>
      <c r="AQ176" s="99" t="n"/>
      <c r="AR176" s="99" t="n"/>
    </row>
    <row r="177">
      <c r="D177" s="99" t="n"/>
      <c r="E177" s="99" t="n"/>
      <c r="F177" s="99" t="n"/>
      <c r="G177" s="99" t="n"/>
      <c r="H177" s="99" t="n"/>
      <c r="I177" s="99" t="n"/>
      <c r="J177" s="99" t="n"/>
      <c r="K177" s="99" t="n"/>
      <c r="L177" s="99" t="n"/>
      <c r="M177" s="99" t="n"/>
      <c r="N177" s="99" t="n"/>
      <c r="O177" s="99" t="n"/>
      <c r="P177" s="99" t="n"/>
      <c r="Q177" s="99" t="n"/>
      <c r="R177" s="99" t="n"/>
      <c r="S177" s="99" t="n"/>
      <c r="T177" s="99" t="n"/>
      <c r="U177" s="99" t="n"/>
      <c r="V177" s="99" t="n"/>
      <c r="W177" s="99" t="n"/>
      <c r="X177" s="99" t="n"/>
      <c r="Y177" s="99" t="n"/>
      <c r="Z177" s="99" t="n"/>
      <c r="AA177" s="99" t="n"/>
      <c r="AB177" s="99" t="n"/>
      <c r="AC177" s="99" t="n"/>
      <c r="AD177" s="99" t="n"/>
      <c r="AE177" s="99" t="n"/>
      <c r="AF177" s="99" t="n"/>
      <c r="AG177" s="99" t="n"/>
      <c r="AH177" s="99" t="n"/>
      <c r="AI177" s="99" t="n"/>
      <c r="AJ177" s="99" t="n"/>
      <c r="AK177" s="99" t="n"/>
      <c r="AL177" s="99" t="n"/>
      <c r="AM177" s="99" t="n"/>
      <c r="AN177" s="99" t="n"/>
      <c r="AO177" s="99" t="n"/>
      <c r="AP177" s="99" t="n"/>
      <c r="AQ177" s="99" t="n"/>
      <c r="AR177" s="99" t="n"/>
    </row>
    <row r="178">
      <c r="D178" s="99" t="n"/>
      <c r="E178" s="99" t="n"/>
      <c r="F178" s="99" t="n"/>
      <c r="G178" s="99" t="n"/>
      <c r="H178" s="99" t="n"/>
      <c r="I178" s="99" t="n"/>
      <c r="J178" s="99" t="n"/>
      <c r="K178" s="99" t="n"/>
      <c r="L178" s="99" t="n"/>
      <c r="M178" s="99" t="n"/>
      <c r="N178" s="99" t="n"/>
      <c r="O178" s="99" t="n"/>
      <c r="P178" s="99" t="n"/>
      <c r="Q178" s="99" t="n"/>
      <c r="R178" s="99" t="n"/>
      <c r="S178" s="99" t="n"/>
      <c r="T178" s="99" t="n"/>
      <c r="U178" s="99" t="n"/>
      <c r="V178" s="99" t="n"/>
      <c r="W178" s="99" t="n"/>
      <c r="X178" s="99" t="n"/>
      <c r="Y178" s="99" t="n"/>
      <c r="Z178" s="99" t="n"/>
      <c r="AA178" s="99" t="n"/>
      <c r="AB178" s="99" t="n"/>
      <c r="AC178" s="99" t="n"/>
      <c r="AD178" s="99" t="n"/>
      <c r="AE178" s="99" t="n"/>
      <c r="AF178" s="99" t="n"/>
      <c r="AG178" s="99" t="n"/>
      <c r="AH178" s="99" t="n"/>
      <c r="AI178" s="99" t="n"/>
      <c r="AJ178" s="99" t="n"/>
      <c r="AK178" s="99" t="n"/>
      <c r="AL178" s="99" t="n"/>
      <c r="AM178" s="99" t="n"/>
      <c r="AN178" s="99" t="n"/>
      <c r="AO178" s="99" t="n"/>
      <c r="AP178" s="99" t="n"/>
      <c r="AQ178" s="99" t="n"/>
      <c r="AR178" s="99" t="n"/>
    </row>
    <row r="179">
      <c r="D179" s="100" t="n"/>
      <c r="E179" s="100" t="n"/>
      <c r="F179" s="100" t="n"/>
      <c r="G179" s="100" t="n"/>
      <c r="H179" s="100" t="n"/>
      <c r="I179" s="100" t="n"/>
      <c r="J179" s="100" t="n"/>
      <c r="K179" s="100" t="n"/>
      <c r="L179" s="100" t="n"/>
      <c r="M179" s="100" t="n"/>
      <c r="N179" s="100" t="n"/>
      <c r="O179" s="100" t="n"/>
      <c r="P179" s="100" t="n"/>
      <c r="Q179" s="100" t="n"/>
      <c r="R179" s="100" t="n"/>
      <c r="S179" s="100" t="n"/>
      <c r="T179" s="100" t="n"/>
      <c r="U179" s="100" t="n"/>
      <c r="V179" s="100" t="n"/>
      <c r="W179" s="100" t="n"/>
      <c r="X179" s="100" t="n"/>
      <c r="Y179" s="100" t="n"/>
      <c r="Z179" s="100" t="n"/>
      <c r="AA179" s="100" t="n"/>
      <c r="AB179" s="100" t="n"/>
      <c r="AC179" s="100" t="n"/>
      <c r="AD179" s="100" t="n"/>
      <c r="AE179" s="100" t="n"/>
      <c r="AF179" s="100" t="n"/>
      <c r="AG179" s="100" t="n"/>
      <c r="AH179" s="100" t="n"/>
      <c r="AI179" s="100" t="n"/>
      <c r="AJ179" s="100" t="n"/>
      <c r="AK179" s="100" t="n"/>
      <c r="AL179" s="100" t="n"/>
      <c r="AM179" s="100" t="n"/>
      <c r="AN179" s="100" t="n"/>
      <c r="AO179" s="100" t="n"/>
      <c r="AP179" s="100" t="n"/>
      <c r="AQ179" s="100" t="n"/>
      <c r="AR179" s="100" t="n"/>
    </row>
    <row r="182">
      <c r="A182" s="2">
        <f>IF($A175="","","   projections")</f>
        <v/>
      </c>
      <c r="B182" s="96">
        <f>IF($A175="",0,COUNT($E183:$AR183))</f>
        <v/>
      </c>
      <c r="C182" s="97">
        <f>IF($B182=0,0,MAX($E183:$AR183))</f>
        <v/>
      </c>
      <c r="D182" s="98">
        <f>BDS($A175,FLD_PROJ,"headers=y","startcol=1","endcol=3","dir=h")</f>
        <v/>
      </c>
      <c r="E182" s="99" t="n"/>
      <c r="F182" s="99" t="n"/>
      <c r="G182" s="99" t="n"/>
      <c r="H182" s="99" t="n"/>
      <c r="I182" s="99" t="n"/>
      <c r="J182" s="99" t="n"/>
      <c r="K182" s="99" t="n"/>
      <c r="L182" s="99" t="n"/>
      <c r="M182" s="99" t="n"/>
      <c r="N182" s="99" t="n"/>
      <c r="O182" s="99" t="n"/>
      <c r="P182" s="99" t="n"/>
      <c r="Q182" s="99" t="n"/>
      <c r="R182" s="99" t="n"/>
      <c r="S182" s="99" t="n"/>
      <c r="T182" s="99" t="n"/>
      <c r="U182" s="99" t="n"/>
      <c r="V182" s="99" t="n"/>
      <c r="W182" s="99" t="n"/>
      <c r="X182" s="99" t="n"/>
      <c r="Y182" s="99" t="n"/>
      <c r="Z182" s="99" t="n"/>
      <c r="AA182" s="99" t="n"/>
      <c r="AB182" s="99" t="n"/>
      <c r="AC182" s="99" t="n"/>
      <c r="AD182" s="99" t="n"/>
      <c r="AE182" s="99" t="n"/>
      <c r="AF182" s="99" t="n"/>
      <c r="AG182" s="99" t="n"/>
      <c r="AH182" s="99" t="n"/>
      <c r="AI182" s="99" t="n"/>
      <c r="AJ182" s="99" t="n"/>
      <c r="AK182" s="99" t="n"/>
      <c r="AL182" s="99" t="n"/>
      <c r="AM182" s="99" t="n"/>
      <c r="AN182" s="99" t="n"/>
      <c r="AO182" s="99" t="n"/>
      <c r="AP182" s="99" t="n"/>
      <c r="AQ182" s="99" t="n"/>
      <c r="AR182" s="99" t="n"/>
    </row>
    <row r="183">
      <c r="D183" s="99" t="n"/>
      <c r="E183" s="99" t="n"/>
      <c r="F183" s="99" t="n"/>
      <c r="G183" s="99" t="n"/>
      <c r="H183" s="99" t="n"/>
      <c r="I183" s="99" t="n"/>
      <c r="J183" s="99" t="n"/>
      <c r="K183" s="99" t="n"/>
      <c r="L183" s="99" t="n"/>
      <c r="M183" s="99" t="n"/>
      <c r="N183" s="99" t="n"/>
      <c r="O183" s="99" t="n"/>
      <c r="P183" s="99" t="n"/>
      <c r="Q183" s="99" t="n"/>
      <c r="R183" s="99" t="n"/>
      <c r="S183" s="99" t="n"/>
      <c r="T183" s="99" t="n"/>
      <c r="U183" s="99" t="n"/>
      <c r="V183" s="99" t="n"/>
      <c r="W183" s="99" t="n"/>
      <c r="X183" s="99" t="n"/>
      <c r="Y183" s="99" t="n"/>
      <c r="Z183" s="99" t="n"/>
      <c r="AA183" s="99" t="n"/>
      <c r="AB183" s="99" t="n"/>
      <c r="AC183" s="99" t="n"/>
      <c r="AD183" s="99" t="n"/>
      <c r="AE183" s="99" t="n"/>
      <c r="AF183" s="99" t="n"/>
      <c r="AG183" s="99" t="n"/>
      <c r="AH183" s="99" t="n"/>
      <c r="AI183" s="99" t="n"/>
      <c r="AJ183" s="99" t="n"/>
      <c r="AK183" s="99" t="n"/>
      <c r="AL183" s="99" t="n"/>
      <c r="AM183" s="99" t="n"/>
      <c r="AN183" s="99" t="n"/>
      <c r="AO183" s="99" t="n"/>
      <c r="AP183" s="99" t="n"/>
      <c r="AQ183" s="99" t="n"/>
      <c r="AR183" s="99" t="n"/>
    </row>
    <row r="184">
      <c r="D184" s="100" t="n"/>
      <c r="E184" s="100" t="n"/>
      <c r="F184" s="100" t="n"/>
      <c r="G184" s="100" t="n"/>
      <c r="H184" s="100" t="n"/>
      <c r="I184" s="100" t="n"/>
      <c r="J184" s="100" t="n"/>
      <c r="K184" s="100" t="n"/>
      <c r="L184" s="100" t="n"/>
      <c r="M184" s="100" t="n"/>
      <c r="N184" s="100" t="n"/>
      <c r="O184" s="100" t="n"/>
      <c r="P184" s="100" t="n"/>
      <c r="Q184" s="100" t="n"/>
      <c r="R184" s="100" t="n"/>
      <c r="S184" s="100" t="n"/>
      <c r="T184" s="100" t="n"/>
      <c r="U184" s="100" t="n"/>
      <c r="V184" s="100" t="n"/>
      <c r="W184" s="100" t="n"/>
      <c r="X184" s="100" t="n"/>
      <c r="Y184" s="100" t="n"/>
      <c r="Z184" s="100" t="n"/>
      <c r="AA184" s="100" t="n"/>
      <c r="AB184" s="100" t="n"/>
      <c r="AC184" s="100" t="n"/>
      <c r="AD184" s="100" t="n"/>
      <c r="AE184" s="100" t="n"/>
      <c r="AF184" s="100" t="n"/>
      <c r="AG184" s="100" t="n"/>
      <c r="AH184" s="100" t="n"/>
      <c r="AI184" s="100" t="n"/>
      <c r="AJ184" s="100" t="n"/>
      <c r="AK184" s="100" t="n"/>
      <c r="AL184" s="100" t="n"/>
      <c r="AM184" s="100" t="n"/>
      <c r="AN184" s="100" t="n"/>
      <c r="AO184" s="100" t="n"/>
      <c r="AP184" s="100" t="n"/>
      <c r="AQ184" s="100" t="n"/>
      <c r="AR184" s="100" t="n"/>
    </row>
    <row r="186">
      <c r="A186" s="6">
        <f>IF(HSI!$C$23="","",HSI!$C$23)</f>
        <v/>
      </c>
      <c r="B186" s="96">
        <f>IF($A186="",0,COUNT($E187:$AR187))</f>
        <v/>
      </c>
      <c r="C186" s="97">
        <f>IF($B186=0,0,MAX($E187:$AR187))</f>
        <v/>
      </c>
      <c r="D186" s="98">
        <f>BDS($A186,FLD_HIST,"headers=y","startcol=1","endcol=7","dir=h","DVD_START_DT",HIST_FROM,"DVD_END_DT",HIST_TO)</f>
        <v/>
      </c>
      <c r="E186" s="99" t="n"/>
      <c r="F186" s="99" t="n"/>
      <c r="G186" s="99" t="n"/>
      <c r="H186" s="99" t="n"/>
      <c r="I186" s="99" t="n"/>
      <c r="J186" s="99" t="n"/>
      <c r="K186" s="99" t="n"/>
      <c r="L186" s="99" t="n"/>
      <c r="M186" s="99" t="n"/>
      <c r="N186" s="99" t="n"/>
      <c r="O186" s="99" t="n"/>
      <c r="P186" s="99" t="n"/>
      <c r="Q186" s="99" t="n"/>
      <c r="R186" s="99" t="n"/>
      <c r="S186" s="99" t="n"/>
      <c r="T186" s="99" t="n"/>
      <c r="U186" s="99" t="n"/>
      <c r="V186" s="99" t="n"/>
      <c r="W186" s="99" t="n"/>
      <c r="X186" s="99" t="n"/>
      <c r="Y186" s="99" t="n"/>
      <c r="Z186" s="99" t="n"/>
      <c r="AA186" s="99" t="n"/>
      <c r="AB186" s="99" t="n"/>
      <c r="AC186" s="99" t="n"/>
      <c r="AD186" s="99" t="n"/>
      <c r="AE186" s="99" t="n"/>
      <c r="AF186" s="99" t="n"/>
      <c r="AG186" s="99" t="n"/>
      <c r="AH186" s="99" t="n"/>
      <c r="AI186" s="99" t="n"/>
      <c r="AJ186" s="99" t="n"/>
      <c r="AK186" s="99" t="n"/>
      <c r="AL186" s="99" t="n"/>
      <c r="AM186" s="99" t="n"/>
      <c r="AN186" s="99" t="n"/>
      <c r="AO186" s="99" t="n"/>
      <c r="AP186" s="99" t="n"/>
      <c r="AQ186" s="99" t="n"/>
      <c r="AR186" s="99" t="n"/>
    </row>
    <row r="187">
      <c r="D187" s="99" t="n"/>
      <c r="E187" s="99" t="n"/>
      <c r="F187" s="99" t="n"/>
      <c r="G187" s="99" t="n"/>
      <c r="H187" s="99" t="n"/>
      <c r="I187" s="99" t="n"/>
      <c r="J187" s="99" t="n"/>
      <c r="K187" s="99" t="n"/>
      <c r="L187" s="99" t="n"/>
      <c r="M187" s="99" t="n"/>
      <c r="N187" s="99" t="n"/>
      <c r="O187" s="99" t="n"/>
      <c r="P187" s="99" t="n"/>
      <c r="Q187" s="99" t="n"/>
      <c r="R187" s="99" t="n"/>
      <c r="S187" s="99" t="n"/>
      <c r="T187" s="99" t="n"/>
      <c r="U187" s="99" t="n"/>
      <c r="V187" s="99" t="n"/>
      <c r="W187" s="99" t="n"/>
      <c r="X187" s="99" t="n"/>
      <c r="Y187" s="99" t="n"/>
      <c r="Z187" s="99" t="n"/>
      <c r="AA187" s="99" t="n"/>
      <c r="AB187" s="99" t="n"/>
      <c r="AC187" s="99" t="n"/>
      <c r="AD187" s="99" t="n"/>
      <c r="AE187" s="99" t="n"/>
      <c r="AF187" s="99" t="n"/>
      <c r="AG187" s="99" t="n"/>
      <c r="AH187" s="99" t="n"/>
      <c r="AI187" s="99" t="n"/>
      <c r="AJ187" s="99" t="n"/>
      <c r="AK187" s="99" t="n"/>
      <c r="AL187" s="99" t="n"/>
      <c r="AM187" s="99" t="n"/>
      <c r="AN187" s="99" t="n"/>
      <c r="AO187" s="99" t="n"/>
      <c r="AP187" s="99" t="n"/>
      <c r="AQ187" s="99" t="n"/>
      <c r="AR187" s="99" t="n"/>
    </row>
    <row r="188">
      <c r="D188" s="99" t="n"/>
      <c r="E188" s="99" t="n"/>
      <c r="F188" s="99" t="n"/>
      <c r="G188" s="99" t="n"/>
      <c r="H188" s="99" t="n"/>
      <c r="I188" s="99" t="n"/>
      <c r="J188" s="99" t="n"/>
      <c r="K188" s="99" t="n"/>
      <c r="L188" s="99" t="n"/>
      <c r="M188" s="99" t="n"/>
      <c r="N188" s="99" t="n"/>
      <c r="O188" s="99" t="n"/>
      <c r="P188" s="99" t="n"/>
      <c r="Q188" s="99" t="n"/>
      <c r="R188" s="99" t="n"/>
      <c r="S188" s="99" t="n"/>
      <c r="T188" s="99" t="n"/>
      <c r="U188" s="99" t="n"/>
      <c r="V188" s="99" t="n"/>
      <c r="W188" s="99" t="n"/>
      <c r="X188" s="99" t="n"/>
      <c r="Y188" s="99" t="n"/>
      <c r="Z188" s="99" t="n"/>
      <c r="AA188" s="99" t="n"/>
      <c r="AB188" s="99" t="n"/>
      <c r="AC188" s="99" t="n"/>
      <c r="AD188" s="99" t="n"/>
      <c r="AE188" s="99" t="n"/>
      <c r="AF188" s="99" t="n"/>
      <c r="AG188" s="99" t="n"/>
      <c r="AH188" s="99" t="n"/>
      <c r="AI188" s="99" t="n"/>
      <c r="AJ188" s="99" t="n"/>
      <c r="AK188" s="99" t="n"/>
      <c r="AL188" s="99" t="n"/>
      <c r="AM188" s="99" t="n"/>
      <c r="AN188" s="99" t="n"/>
      <c r="AO188" s="99" t="n"/>
      <c r="AP188" s="99" t="n"/>
      <c r="AQ188" s="99" t="n"/>
      <c r="AR188" s="99" t="n"/>
    </row>
    <row r="189">
      <c r="D189" s="99" t="n"/>
      <c r="E189" s="99" t="n"/>
      <c r="F189" s="99" t="n"/>
      <c r="G189" s="99" t="n"/>
      <c r="H189" s="99" t="n"/>
      <c r="I189" s="99" t="n"/>
      <c r="J189" s="99" t="n"/>
      <c r="K189" s="99" t="n"/>
      <c r="L189" s="99" t="n"/>
      <c r="M189" s="99" t="n"/>
      <c r="N189" s="99" t="n"/>
      <c r="O189" s="99" t="n"/>
      <c r="P189" s="99" t="n"/>
      <c r="Q189" s="99" t="n"/>
      <c r="R189" s="99" t="n"/>
      <c r="S189" s="99" t="n"/>
      <c r="T189" s="99" t="n"/>
      <c r="U189" s="99" t="n"/>
      <c r="V189" s="99" t="n"/>
      <c r="W189" s="99" t="n"/>
      <c r="X189" s="99" t="n"/>
      <c r="Y189" s="99" t="n"/>
      <c r="Z189" s="99" t="n"/>
      <c r="AA189" s="99" t="n"/>
      <c r="AB189" s="99" t="n"/>
      <c r="AC189" s="99" t="n"/>
      <c r="AD189" s="99" t="n"/>
      <c r="AE189" s="99" t="n"/>
      <c r="AF189" s="99" t="n"/>
      <c r="AG189" s="99" t="n"/>
      <c r="AH189" s="99" t="n"/>
      <c r="AI189" s="99" t="n"/>
      <c r="AJ189" s="99" t="n"/>
      <c r="AK189" s="99" t="n"/>
      <c r="AL189" s="99" t="n"/>
      <c r="AM189" s="99" t="n"/>
      <c r="AN189" s="99" t="n"/>
      <c r="AO189" s="99" t="n"/>
      <c r="AP189" s="99" t="n"/>
      <c r="AQ189" s="99" t="n"/>
      <c r="AR189" s="99" t="n"/>
    </row>
    <row r="190">
      <c r="D190" s="100" t="n"/>
      <c r="E190" s="100" t="n"/>
      <c r="F190" s="100" t="n"/>
      <c r="G190" s="100" t="n"/>
      <c r="H190" s="100" t="n"/>
      <c r="I190" s="100" t="n"/>
      <c r="J190" s="100" t="n"/>
      <c r="K190" s="100" t="n"/>
      <c r="L190" s="100" t="n"/>
      <c r="M190" s="100" t="n"/>
      <c r="N190" s="100" t="n"/>
      <c r="O190" s="100" t="n"/>
      <c r="P190" s="100" t="n"/>
      <c r="Q190" s="100" t="n"/>
      <c r="R190" s="100" t="n"/>
      <c r="S190" s="100" t="n"/>
      <c r="T190" s="100" t="n"/>
      <c r="U190" s="100" t="n"/>
      <c r="V190" s="100" t="n"/>
      <c r="W190" s="100" t="n"/>
      <c r="X190" s="100" t="n"/>
      <c r="Y190" s="100" t="n"/>
      <c r="Z190" s="100" t="n"/>
      <c r="AA190" s="100" t="n"/>
      <c r="AB190" s="100" t="n"/>
      <c r="AC190" s="100" t="n"/>
      <c r="AD190" s="100" t="n"/>
      <c r="AE190" s="100" t="n"/>
      <c r="AF190" s="100" t="n"/>
      <c r="AG190" s="100" t="n"/>
      <c r="AH190" s="100" t="n"/>
      <c r="AI190" s="100" t="n"/>
      <c r="AJ190" s="100" t="n"/>
      <c r="AK190" s="100" t="n"/>
      <c r="AL190" s="100" t="n"/>
      <c r="AM190" s="100" t="n"/>
      <c r="AN190" s="100" t="n"/>
      <c r="AO190" s="100" t="n"/>
      <c r="AP190" s="100" t="n"/>
      <c r="AQ190" s="100" t="n"/>
      <c r="AR190" s="100" t="n"/>
    </row>
    <row r="193">
      <c r="A193" s="2">
        <f>IF($A186="","","   projections")</f>
        <v/>
      </c>
      <c r="B193" s="96">
        <f>IF($A186="",0,COUNT($E194:$AR194))</f>
        <v/>
      </c>
      <c r="C193" s="97">
        <f>IF($B193=0,0,MAX($E194:$AR194))</f>
        <v/>
      </c>
      <c r="D193" s="98">
        <f>BDS($A186,FLD_PROJ,"headers=y","startcol=1","endcol=3","dir=h")</f>
        <v/>
      </c>
      <c r="E193" s="99" t="n"/>
      <c r="F193" s="99" t="n"/>
      <c r="G193" s="99" t="n"/>
      <c r="H193" s="99" t="n"/>
      <c r="I193" s="99" t="n"/>
      <c r="J193" s="99" t="n"/>
      <c r="K193" s="99" t="n"/>
      <c r="L193" s="99" t="n"/>
      <c r="M193" s="99" t="n"/>
      <c r="N193" s="99" t="n"/>
      <c r="O193" s="99" t="n"/>
      <c r="P193" s="99" t="n"/>
      <c r="Q193" s="99" t="n"/>
      <c r="R193" s="99" t="n"/>
      <c r="S193" s="99" t="n"/>
      <c r="T193" s="99" t="n"/>
      <c r="U193" s="99" t="n"/>
      <c r="V193" s="99" t="n"/>
      <c r="W193" s="99" t="n"/>
      <c r="X193" s="99" t="n"/>
      <c r="Y193" s="99" t="n"/>
      <c r="Z193" s="99" t="n"/>
      <c r="AA193" s="99" t="n"/>
      <c r="AB193" s="99" t="n"/>
      <c r="AC193" s="99" t="n"/>
      <c r="AD193" s="99" t="n"/>
      <c r="AE193" s="99" t="n"/>
      <c r="AF193" s="99" t="n"/>
      <c r="AG193" s="99" t="n"/>
      <c r="AH193" s="99" t="n"/>
      <c r="AI193" s="99" t="n"/>
      <c r="AJ193" s="99" t="n"/>
      <c r="AK193" s="99" t="n"/>
      <c r="AL193" s="99" t="n"/>
      <c r="AM193" s="99" t="n"/>
      <c r="AN193" s="99" t="n"/>
      <c r="AO193" s="99" t="n"/>
      <c r="AP193" s="99" t="n"/>
      <c r="AQ193" s="99" t="n"/>
      <c r="AR193" s="99" t="n"/>
    </row>
    <row r="194">
      <c r="D194" s="99" t="n"/>
      <c r="E194" s="99" t="n"/>
      <c r="F194" s="99" t="n"/>
      <c r="G194" s="99" t="n"/>
      <c r="H194" s="99" t="n"/>
      <c r="I194" s="99" t="n"/>
      <c r="J194" s="99" t="n"/>
      <c r="K194" s="99" t="n"/>
      <c r="L194" s="99" t="n"/>
      <c r="M194" s="99" t="n"/>
      <c r="N194" s="99" t="n"/>
      <c r="O194" s="99" t="n"/>
      <c r="P194" s="99" t="n"/>
      <c r="Q194" s="99" t="n"/>
      <c r="R194" s="99" t="n"/>
      <c r="S194" s="99" t="n"/>
      <c r="T194" s="99" t="n"/>
      <c r="U194" s="99" t="n"/>
      <c r="V194" s="99" t="n"/>
      <c r="W194" s="99" t="n"/>
      <c r="X194" s="99" t="n"/>
      <c r="Y194" s="99" t="n"/>
      <c r="Z194" s="99" t="n"/>
      <c r="AA194" s="99" t="n"/>
      <c r="AB194" s="99" t="n"/>
      <c r="AC194" s="99" t="n"/>
      <c r="AD194" s="99" t="n"/>
      <c r="AE194" s="99" t="n"/>
      <c r="AF194" s="99" t="n"/>
      <c r="AG194" s="99" t="n"/>
      <c r="AH194" s="99" t="n"/>
      <c r="AI194" s="99" t="n"/>
      <c r="AJ194" s="99" t="n"/>
      <c r="AK194" s="99" t="n"/>
      <c r="AL194" s="99" t="n"/>
      <c r="AM194" s="99" t="n"/>
      <c r="AN194" s="99" t="n"/>
      <c r="AO194" s="99" t="n"/>
      <c r="AP194" s="99" t="n"/>
      <c r="AQ194" s="99" t="n"/>
      <c r="AR194" s="99" t="n"/>
    </row>
    <row r="195">
      <c r="D195" s="100" t="n"/>
      <c r="E195" s="100" t="n"/>
      <c r="F195" s="100" t="n"/>
      <c r="G195" s="100" t="n"/>
      <c r="H195" s="100" t="n"/>
      <c r="I195" s="100" t="n"/>
      <c r="J195" s="100" t="n"/>
      <c r="K195" s="100" t="n"/>
      <c r="L195" s="100" t="n"/>
      <c r="M195" s="100" t="n"/>
      <c r="N195" s="100" t="n"/>
      <c r="O195" s="100" t="n"/>
      <c r="P195" s="100" t="n"/>
      <c r="Q195" s="100" t="n"/>
      <c r="R195" s="100" t="n"/>
      <c r="S195" s="100" t="n"/>
      <c r="T195" s="100" t="n"/>
      <c r="U195" s="100" t="n"/>
      <c r="V195" s="100" t="n"/>
      <c r="W195" s="100" t="n"/>
      <c r="X195" s="100" t="n"/>
      <c r="Y195" s="100" t="n"/>
      <c r="Z195" s="100" t="n"/>
      <c r="AA195" s="100" t="n"/>
      <c r="AB195" s="100" t="n"/>
      <c r="AC195" s="100" t="n"/>
      <c r="AD195" s="100" t="n"/>
      <c r="AE195" s="100" t="n"/>
      <c r="AF195" s="100" t="n"/>
      <c r="AG195" s="100" t="n"/>
      <c r="AH195" s="100" t="n"/>
      <c r="AI195" s="100" t="n"/>
      <c r="AJ195" s="100" t="n"/>
      <c r="AK195" s="100" t="n"/>
      <c r="AL195" s="100" t="n"/>
      <c r="AM195" s="100" t="n"/>
      <c r="AN195" s="100" t="n"/>
      <c r="AO195" s="100" t="n"/>
      <c r="AP195" s="100" t="n"/>
      <c r="AQ195" s="100" t="n"/>
      <c r="AR195" s="100" t="n"/>
    </row>
    <row r="197">
      <c r="A197" s="6">
        <f>IF(HSI!$C$24="","",HSI!$C$24)</f>
        <v/>
      </c>
      <c r="B197" s="96">
        <f>IF($A197="",0,COUNT($E198:$AR198))</f>
        <v/>
      </c>
      <c r="C197" s="97">
        <f>IF($B197=0,0,MAX($E198:$AR198))</f>
        <v/>
      </c>
      <c r="D197" s="98">
        <f>BDS($A197,FLD_HIST,"headers=y","startcol=1","endcol=7","dir=h","DVD_START_DT",HIST_FROM,"DVD_END_DT",HIST_TO)</f>
        <v/>
      </c>
      <c r="E197" s="99" t="n"/>
      <c r="F197" s="99" t="n"/>
      <c r="G197" s="99" t="n"/>
      <c r="H197" s="99" t="n"/>
      <c r="I197" s="99" t="n"/>
      <c r="J197" s="99" t="n"/>
      <c r="K197" s="99" t="n"/>
      <c r="L197" s="99" t="n"/>
      <c r="M197" s="99" t="n"/>
      <c r="N197" s="99" t="n"/>
      <c r="O197" s="99" t="n"/>
      <c r="P197" s="99" t="n"/>
      <c r="Q197" s="99" t="n"/>
      <c r="R197" s="99" t="n"/>
      <c r="S197" s="99" t="n"/>
      <c r="T197" s="99" t="n"/>
      <c r="U197" s="99" t="n"/>
      <c r="V197" s="99" t="n"/>
      <c r="W197" s="99" t="n"/>
      <c r="X197" s="99" t="n"/>
      <c r="Y197" s="99" t="n"/>
      <c r="Z197" s="99" t="n"/>
      <c r="AA197" s="99" t="n"/>
      <c r="AB197" s="99" t="n"/>
      <c r="AC197" s="99" t="n"/>
      <c r="AD197" s="99" t="n"/>
      <c r="AE197" s="99" t="n"/>
      <c r="AF197" s="99" t="n"/>
      <c r="AG197" s="99" t="n"/>
      <c r="AH197" s="99" t="n"/>
      <c r="AI197" s="99" t="n"/>
      <c r="AJ197" s="99" t="n"/>
      <c r="AK197" s="99" t="n"/>
      <c r="AL197" s="99" t="n"/>
      <c r="AM197" s="99" t="n"/>
      <c r="AN197" s="99" t="n"/>
      <c r="AO197" s="99" t="n"/>
      <c r="AP197" s="99" t="n"/>
      <c r="AQ197" s="99" t="n"/>
      <c r="AR197" s="99" t="n"/>
    </row>
    <row r="198">
      <c r="D198" s="99" t="n"/>
      <c r="E198" s="99" t="n"/>
      <c r="F198" s="99" t="n"/>
      <c r="G198" s="99" t="n"/>
      <c r="H198" s="99" t="n"/>
      <c r="I198" s="99" t="n"/>
      <c r="J198" s="99" t="n"/>
      <c r="K198" s="99" t="n"/>
      <c r="L198" s="99" t="n"/>
      <c r="M198" s="99" t="n"/>
      <c r="N198" s="99" t="n"/>
      <c r="O198" s="99" t="n"/>
      <c r="P198" s="99" t="n"/>
      <c r="Q198" s="99" t="n"/>
      <c r="R198" s="99" t="n"/>
      <c r="S198" s="99" t="n"/>
      <c r="T198" s="99" t="n"/>
      <c r="U198" s="99" t="n"/>
      <c r="V198" s="99" t="n"/>
      <c r="W198" s="99" t="n"/>
      <c r="X198" s="99" t="n"/>
      <c r="Y198" s="99" t="n"/>
      <c r="Z198" s="99" t="n"/>
      <c r="AA198" s="99" t="n"/>
      <c r="AB198" s="99" t="n"/>
      <c r="AC198" s="99" t="n"/>
      <c r="AD198" s="99" t="n"/>
      <c r="AE198" s="99" t="n"/>
      <c r="AF198" s="99" t="n"/>
      <c r="AG198" s="99" t="n"/>
      <c r="AH198" s="99" t="n"/>
      <c r="AI198" s="99" t="n"/>
      <c r="AJ198" s="99" t="n"/>
      <c r="AK198" s="99" t="n"/>
      <c r="AL198" s="99" t="n"/>
      <c r="AM198" s="99" t="n"/>
      <c r="AN198" s="99" t="n"/>
      <c r="AO198" s="99" t="n"/>
      <c r="AP198" s="99" t="n"/>
      <c r="AQ198" s="99" t="n"/>
      <c r="AR198" s="99" t="n"/>
    </row>
    <row r="199">
      <c r="D199" s="99" t="n"/>
      <c r="E199" s="99" t="n"/>
      <c r="F199" s="99" t="n"/>
      <c r="G199" s="99" t="n"/>
      <c r="H199" s="99" t="n"/>
      <c r="I199" s="99" t="n"/>
      <c r="J199" s="99" t="n"/>
      <c r="K199" s="99" t="n"/>
      <c r="L199" s="99" t="n"/>
      <c r="M199" s="99" t="n"/>
      <c r="N199" s="99" t="n"/>
      <c r="O199" s="99" t="n"/>
      <c r="P199" s="99" t="n"/>
      <c r="Q199" s="99" t="n"/>
      <c r="R199" s="99" t="n"/>
      <c r="S199" s="99" t="n"/>
      <c r="T199" s="99" t="n"/>
      <c r="U199" s="99" t="n"/>
      <c r="V199" s="99" t="n"/>
      <c r="W199" s="99" t="n"/>
      <c r="X199" s="99" t="n"/>
      <c r="Y199" s="99" t="n"/>
      <c r="Z199" s="99" t="n"/>
      <c r="AA199" s="99" t="n"/>
      <c r="AB199" s="99" t="n"/>
      <c r="AC199" s="99" t="n"/>
      <c r="AD199" s="99" t="n"/>
      <c r="AE199" s="99" t="n"/>
      <c r="AF199" s="99" t="n"/>
      <c r="AG199" s="99" t="n"/>
      <c r="AH199" s="99" t="n"/>
      <c r="AI199" s="99" t="n"/>
      <c r="AJ199" s="99" t="n"/>
      <c r="AK199" s="99" t="n"/>
      <c r="AL199" s="99" t="n"/>
      <c r="AM199" s="99" t="n"/>
      <c r="AN199" s="99" t="n"/>
      <c r="AO199" s="99" t="n"/>
      <c r="AP199" s="99" t="n"/>
      <c r="AQ199" s="99" t="n"/>
      <c r="AR199" s="99" t="n"/>
    </row>
    <row r="200">
      <c r="D200" s="99" t="n"/>
      <c r="E200" s="99" t="n"/>
      <c r="F200" s="99" t="n"/>
      <c r="G200" s="99" t="n"/>
      <c r="H200" s="99" t="n"/>
      <c r="I200" s="99" t="n"/>
      <c r="J200" s="99" t="n"/>
      <c r="K200" s="99" t="n"/>
      <c r="L200" s="99" t="n"/>
      <c r="M200" s="99" t="n"/>
      <c r="N200" s="99" t="n"/>
      <c r="O200" s="99" t="n"/>
      <c r="P200" s="99" t="n"/>
      <c r="Q200" s="99" t="n"/>
      <c r="R200" s="99" t="n"/>
      <c r="S200" s="99" t="n"/>
      <c r="T200" s="99" t="n"/>
      <c r="U200" s="99" t="n"/>
      <c r="V200" s="99" t="n"/>
      <c r="W200" s="99" t="n"/>
      <c r="X200" s="99" t="n"/>
      <c r="Y200" s="99" t="n"/>
      <c r="Z200" s="99" t="n"/>
      <c r="AA200" s="99" t="n"/>
      <c r="AB200" s="99" t="n"/>
      <c r="AC200" s="99" t="n"/>
      <c r="AD200" s="99" t="n"/>
      <c r="AE200" s="99" t="n"/>
      <c r="AF200" s="99" t="n"/>
      <c r="AG200" s="99" t="n"/>
      <c r="AH200" s="99" t="n"/>
      <c r="AI200" s="99" t="n"/>
      <c r="AJ200" s="99" t="n"/>
      <c r="AK200" s="99" t="n"/>
      <c r="AL200" s="99" t="n"/>
      <c r="AM200" s="99" t="n"/>
      <c r="AN200" s="99" t="n"/>
      <c r="AO200" s="99" t="n"/>
      <c r="AP200" s="99" t="n"/>
      <c r="AQ200" s="99" t="n"/>
      <c r="AR200" s="99" t="n"/>
    </row>
    <row r="201">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100" t="n"/>
      <c r="AG201" s="100" t="n"/>
      <c r="AH201" s="100" t="n"/>
      <c r="AI201" s="100" t="n"/>
      <c r="AJ201" s="100" t="n"/>
      <c r="AK201" s="100" t="n"/>
      <c r="AL201" s="100" t="n"/>
      <c r="AM201" s="100" t="n"/>
      <c r="AN201" s="100" t="n"/>
      <c r="AO201" s="100" t="n"/>
      <c r="AP201" s="100" t="n"/>
      <c r="AQ201" s="100" t="n"/>
      <c r="AR201" s="100" t="n"/>
    </row>
    <row r="204">
      <c r="A204" s="2">
        <f>IF($A197="","","   projections")</f>
        <v/>
      </c>
      <c r="B204" s="96">
        <f>IF($A197="",0,COUNT($E205:$AR205))</f>
        <v/>
      </c>
      <c r="C204" s="97">
        <f>IF($B204=0,0,MAX($E205:$AR205))</f>
        <v/>
      </c>
      <c r="D204" s="98">
        <f>BDS($A197,FLD_PROJ,"headers=y","startcol=1","endcol=3","dir=h")</f>
        <v/>
      </c>
      <c r="E204" s="99" t="n"/>
      <c r="F204" s="99" t="n"/>
      <c r="G204" s="99" t="n"/>
      <c r="H204" s="99" t="n"/>
      <c r="I204" s="99" t="n"/>
      <c r="J204" s="99" t="n"/>
      <c r="K204" s="99" t="n"/>
      <c r="L204" s="99" t="n"/>
      <c r="M204" s="99" t="n"/>
      <c r="N204" s="99" t="n"/>
      <c r="O204" s="99" t="n"/>
      <c r="P204" s="99" t="n"/>
      <c r="Q204" s="99" t="n"/>
      <c r="R204" s="99" t="n"/>
      <c r="S204" s="99" t="n"/>
      <c r="T204" s="99" t="n"/>
      <c r="U204" s="99" t="n"/>
      <c r="V204" s="99" t="n"/>
      <c r="W204" s="99" t="n"/>
      <c r="X204" s="99" t="n"/>
      <c r="Y204" s="99" t="n"/>
      <c r="Z204" s="99" t="n"/>
      <c r="AA204" s="99" t="n"/>
      <c r="AB204" s="99" t="n"/>
      <c r="AC204" s="99" t="n"/>
      <c r="AD204" s="99" t="n"/>
      <c r="AE204" s="99" t="n"/>
      <c r="AF204" s="99" t="n"/>
      <c r="AG204" s="99" t="n"/>
      <c r="AH204" s="99" t="n"/>
      <c r="AI204" s="99" t="n"/>
      <c r="AJ204" s="99" t="n"/>
      <c r="AK204" s="99" t="n"/>
      <c r="AL204" s="99" t="n"/>
      <c r="AM204" s="99" t="n"/>
      <c r="AN204" s="99" t="n"/>
      <c r="AO204" s="99" t="n"/>
      <c r="AP204" s="99" t="n"/>
      <c r="AQ204" s="99" t="n"/>
      <c r="AR204" s="99" t="n"/>
    </row>
    <row r="205">
      <c r="D205" s="99" t="n"/>
      <c r="E205" s="99" t="n"/>
      <c r="F205" s="99" t="n"/>
      <c r="G205" s="99" t="n"/>
      <c r="H205" s="99" t="n"/>
      <c r="I205" s="99" t="n"/>
      <c r="J205" s="99" t="n"/>
      <c r="K205" s="99" t="n"/>
      <c r="L205" s="99" t="n"/>
      <c r="M205" s="99" t="n"/>
      <c r="N205" s="99" t="n"/>
      <c r="O205" s="99" t="n"/>
      <c r="P205" s="99" t="n"/>
      <c r="Q205" s="99" t="n"/>
      <c r="R205" s="99" t="n"/>
      <c r="S205" s="99" t="n"/>
      <c r="T205" s="99" t="n"/>
      <c r="U205" s="99" t="n"/>
      <c r="V205" s="99" t="n"/>
      <c r="W205" s="99" t="n"/>
      <c r="X205" s="99" t="n"/>
      <c r="Y205" s="99" t="n"/>
      <c r="Z205" s="99" t="n"/>
      <c r="AA205" s="99" t="n"/>
      <c r="AB205" s="99" t="n"/>
      <c r="AC205" s="99" t="n"/>
      <c r="AD205" s="99" t="n"/>
      <c r="AE205" s="99" t="n"/>
      <c r="AF205" s="99" t="n"/>
      <c r="AG205" s="99" t="n"/>
      <c r="AH205" s="99" t="n"/>
      <c r="AI205" s="99" t="n"/>
      <c r="AJ205" s="99" t="n"/>
      <c r="AK205" s="99" t="n"/>
      <c r="AL205" s="99" t="n"/>
      <c r="AM205" s="99" t="n"/>
      <c r="AN205" s="99" t="n"/>
      <c r="AO205" s="99" t="n"/>
      <c r="AP205" s="99" t="n"/>
      <c r="AQ205" s="99" t="n"/>
      <c r="AR205" s="99" t="n"/>
    </row>
    <row r="206">
      <c r="D206" s="100" t="n"/>
      <c r="E206" s="100" t="n"/>
      <c r="F206" s="100" t="n"/>
      <c r="G206" s="100" t="n"/>
      <c r="H206" s="100" t="n"/>
      <c r="I206" s="100" t="n"/>
      <c r="J206" s="100" t="n"/>
      <c r="K206" s="100" t="n"/>
      <c r="L206" s="100" t="n"/>
      <c r="M206" s="100" t="n"/>
      <c r="N206" s="100" t="n"/>
      <c r="O206" s="100" t="n"/>
      <c r="P206" s="100" t="n"/>
      <c r="Q206" s="100" t="n"/>
      <c r="R206" s="100" t="n"/>
      <c r="S206" s="100" t="n"/>
      <c r="T206" s="100" t="n"/>
      <c r="U206" s="100" t="n"/>
      <c r="V206" s="100" t="n"/>
      <c r="W206" s="100" t="n"/>
      <c r="X206" s="100" t="n"/>
      <c r="Y206" s="100" t="n"/>
      <c r="Z206" s="100" t="n"/>
      <c r="AA206" s="100" t="n"/>
      <c r="AB206" s="100" t="n"/>
      <c r="AC206" s="100" t="n"/>
      <c r="AD206" s="100" t="n"/>
      <c r="AE206" s="100" t="n"/>
      <c r="AF206" s="100" t="n"/>
      <c r="AG206" s="100" t="n"/>
      <c r="AH206" s="100" t="n"/>
      <c r="AI206" s="100" t="n"/>
      <c r="AJ206" s="100" t="n"/>
      <c r="AK206" s="100" t="n"/>
      <c r="AL206" s="100" t="n"/>
      <c r="AM206" s="100" t="n"/>
      <c r="AN206" s="100" t="n"/>
      <c r="AO206" s="100" t="n"/>
      <c r="AP206" s="100" t="n"/>
      <c r="AQ206" s="100" t="n"/>
      <c r="AR206" s="100" t="n"/>
    </row>
    <row r="208">
      <c r="A208" s="6">
        <f>IF(HSI!$C$25="","",HSI!$C$25)</f>
        <v/>
      </c>
      <c r="B208" s="96">
        <f>IF($A208="",0,COUNT($E209:$AR209))</f>
        <v/>
      </c>
      <c r="C208" s="97">
        <f>IF($B208=0,0,MAX($E209:$AR209))</f>
        <v/>
      </c>
      <c r="D208" s="98">
        <f>BDS($A208,FLD_HIST,"headers=y","startcol=1","endcol=7","dir=h","DVD_START_DT",HIST_FROM,"DVD_END_DT",HIST_TO)</f>
        <v/>
      </c>
      <c r="E208" s="99" t="n"/>
      <c r="F208" s="99" t="n"/>
      <c r="G208" s="99" t="n"/>
      <c r="H208" s="99" t="n"/>
      <c r="I208" s="99" t="n"/>
      <c r="J208" s="99" t="n"/>
      <c r="K208" s="99" t="n"/>
      <c r="L208" s="99" t="n"/>
      <c r="M208" s="99" t="n"/>
      <c r="N208" s="99" t="n"/>
      <c r="O208" s="99" t="n"/>
      <c r="P208" s="99" t="n"/>
      <c r="Q208" s="99" t="n"/>
      <c r="R208" s="99" t="n"/>
      <c r="S208" s="99" t="n"/>
      <c r="T208" s="99" t="n"/>
      <c r="U208" s="99" t="n"/>
      <c r="V208" s="99" t="n"/>
      <c r="W208" s="99" t="n"/>
      <c r="X208" s="99" t="n"/>
      <c r="Y208" s="99" t="n"/>
      <c r="Z208" s="99" t="n"/>
      <c r="AA208" s="99" t="n"/>
      <c r="AB208" s="99" t="n"/>
      <c r="AC208" s="99" t="n"/>
      <c r="AD208" s="99" t="n"/>
      <c r="AE208" s="99" t="n"/>
      <c r="AF208" s="99" t="n"/>
      <c r="AG208" s="99" t="n"/>
      <c r="AH208" s="99" t="n"/>
      <c r="AI208" s="99" t="n"/>
      <c r="AJ208" s="99" t="n"/>
      <c r="AK208" s="99" t="n"/>
      <c r="AL208" s="99" t="n"/>
      <c r="AM208" s="99" t="n"/>
      <c r="AN208" s="99" t="n"/>
      <c r="AO208" s="99" t="n"/>
      <c r="AP208" s="99" t="n"/>
      <c r="AQ208" s="99" t="n"/>
      <c r="AR208" s="99" t="n"/>
    </row>
    <row r="209">
      <c r="D209" s="99" t="n"/>
      <c r="E209" s="99" t="n"/>
      <c r="F209" s="99" t="n"/>
      <c r="G209" s="99" t="n"/>
      <c r="H209" s="99" t="n"/>
      <c r="I209" s="99" t="n"/>
      <c r="J209" s="99" t="n"/>
      <c r="K209" s="99" t="n"/>
      <c r="L209" s="99" t="n"/>
      <c r="M209" s="99" t="n"/>
      <c r="N209" s="99" t="n"/>
      <c r="O209" s="99" t="n"/>
      <c r="P209" s="99" t="n"/>
      <c r="Q209" s="99" t="n"/>
      <c r="R209" s="99" t="n"/>
      <c r="S209" s="99" t="n"/>
      <c r="T209" s="99" t="n"/>
      <c r="U209" s="99" t="n"/>
      <c r="V209" s="99" t="n"/>
      <c r="W209" s="99" t="n"/>
      <c r="X209" s="99" t="n"/>
      <c r="Y209" s="99" t="n"/>
      <c r="Z209" s="99" t="n"/>
      <c r="AA209" s="99" t="n"/>
      <c r="AB209" s="99" t="n"/>
      <c r="AC209" s="99" t="n"/>
      <c r="AD209" s="99" t="n"/>
      <c r="AE209" s="99" t="n"/>
      <c r="AF209" s="99" t="n"/>
      <c r="AG209" s="99" t="n"/>
      <c r="AH209" s="99" t="n"/>
      <c r="AI209" s="99" t="n"/>
      <c r="AJ209" s="99" t="n"/>
      <c r="AK209" s="99" t="n"/>
      <c r="AL209" s="99" t="n"/>
      <c r="AM209" s="99" t="n"/>
      <c r="AN209" s="99" t="n"/>
      <c r="AO209" s="99" t="n"/>
      <c r="AP209" s="99" t="n"/>
      <c r="AQ209" s="99" t="n"/>
      <c r="AR209" s="99" t="n"/>
    </row>
    <row r="210">
      <c r="D210" s="99" t="n"/>
      <c r="E210" s="99" t="n"/>
      <c r="F210" s="99" t="n"/>
      <c r="G210" s="99" t="n"/>
      <c r="H210" s="99" t="n"/>
      <c r="I210" s="99" t="n"/>
      <c r="J210" s="99" t="n"/>
      <c r="K210" s="99" t="n"/>
      <c r="L210" s="99" t="n"/>
      <c r="M210" s="99" t="n"/>
      <c r="N210" s="99" t="n"/>
      <c r="O210" s="99" t="n"/>
      <c r="P210" s="99" t="n"/>
      <c r="Q210" s="99" t="n"/>
      <c r="R210" s="99" t="n"/>
      <c r="S210" s="99" t="n"/>
      <c r="T210" s="99" t="n"/>
      <c r="U210" s="99" t="n"/>
      <c r="V210" s="99" t="n"/>
      <c r="W210" s="99" t="n"/>
      <c r="X210" s="99" t="n"/>
      <c r="Y210" s="99" t="n"/>
      <c r="Z210" s="99" t="n"/>
      <c r="AA210" s="99" t="n"/>
      <c r="AB210" s="99" t="n"/>
      <c r="AC210" s="99" t="n"/>
      <c r="AD210" s="99" t="n"/>
      <c r="AE210" s="99" t="n"/>
      <c r="AF210" s="99" t="n"/>
      <c r="AG210" s="99" t="n"/>
      <c r="AH210" s="99" t="n"/>
      <c r="AI210" s="99" t="n"/>
      <c r="AJ210" s="99" t="n"/>
      <c r="AK210" s="99" t="n"/>
      <c r="AL210" s="99" t="n"/>
      <c r="AM210" s="99" t="n"/>
      <c r="AN210" s="99" t="n"/>
      <c r="AO210" s="99" t="n"/>
      <c r="AP210" s="99" t="n"/>
      <c r="AQ210" s="99" t="n"/>
      <c r="AR210" s="99" t="n"/>
    </row>
    <row r="211">
      <c r="D211" s="99" t="n"/>
      <c r="E211" s="99" t="n"/>
      <c r="F211" s="99" t="n"/>
      <c r="G211" s="99" t="n"/>
      <c r="H211" s="99" t="n"/>
      <c r="I211" s="99" t="n"/>
      <c r="J211" s="99" t="n"/>
      <c r="K211" s="99" t="n"/>
      <c r="L211" s="99" t="n"/>
      <c r="M211" s="99" t="n"/>
      <c r="N211" s="99" t="n"/>
      <c r="O211" s="99" t="n"/>
      <c r="P211" s="99" t="n"/>
      <c r="Q211" s="99" t="n"/>
      <c r="R211" s="99" t="n"/>
      <c r="S211" s="99" t="n"/>
      <c r="T211" s="99" t="n"/>
      <c r="U211" s="99" t="n"/>
      <c r="V211" s="99" t="n"/>
      <c r="W211" s="99" t="n"/>
      <c r="X211" s="99" t="n"/>
      <c r="Y211" s="99" t="n"/>
      <c r="Z211" s="99" t="n"/>
      <c r="AA211" s="99" t="n"/>
      <c r="AB211" s="99" t="n"/>
      <c r="AC211" s="99" t="n"/>
      <c r="AD211" s="99" t="n"/>
      <c r="AE211" s="99" t="n"/>
      <c r="AF211" s="99" t="n"/>
      <c r="AG211" s="99" t="n"/>
      <c r="AH211" s="99" t="n"/>
      <c r="AI211" s="99" t="n"/>
      <c r="AJ211" s="99" t="n"/>
      <c r="AK211" s="99" t="n"/>
      <c r="AL211" s="99" t="n"/>
      <c r="AM211" s="99" t="n"/>
      <c r="AN211" s="99" t="n"/>
      <c r="AO211" s="99" t="n"/>
      <c r="AP211" s="99" t="n"/>
      <c r="AQ211" s="99" t="n"/>
      <c r="AR211" s="99" t="n"/>
    </row>
    <row r="212">
      <c r="D212" s="100" t="n"/>
      <c r="E212" s="100" t="n"/>
      <c r="F212" s="100" t="n"/>
      <c r="G212" s="100" t="n"/>
      <c r="H212" s="100" t="n"/>
      <c r="I212" s="100" t="n"/>
      <c r="J212" s="100" t="n"/>
      <c r="K212" s="100" t="n"/>
      <c r="L212" s="100" t="n"/>
      <c r="M212" s="100" t="n"/>
      <c r="N212" s="100" t="n"/>
      <c r="O212" s="100" t="n"/>
      <c r="P212" s="100" t="n"/>
      <c r="Q212" s="100" t="n"/>
      <c r="R212" s="100" t="n"/>
      <c r="S212" s="100" t="n"/>
      <c r="T212" s="100" t="n"/>
      <c r="U212" s="100" t="n"/>
      <c r="V212" s="100" t="n"/>
      <c r="W212" s="100" t="n"/>
      <c r="X212" s="100" t="n"/>
      <c r="Y212" s="100" t="n"/>
      <c r="Z212" s="100" t="n"/>
      <c r="AA212" s="100" t="n"/>
      <c r="AB212" s="100" t="n"/>
      <c r="AC212" s="100" t="n"/>
      <c r="AD212" s="100" t="n"/>
      <c r="AE212" s="100" t="n"/>
      <c r="AF212" s="100" t="n"/>
      <c r="AG212" s="100" t="n"/>
      <c r="AH212" s="100" t="n"/>
      <c r="AI212" s="100" t="n"/>
      <c r="AJ212" s="100" t="n"/>
      <c r="AK212" s="100" t="n"/>
      <c r="AL212" s="100" t="n"/>
      <c r="AM212" s="100" t="n"/>
      <c r="AN212" s="100" t="n"/>
      <c r="AO212" s="100" t="n"/>
      <c r="AP212" s="100" t="n"/>
      <c r="AQ212" s="100" t="n"/>
      <c r="AR212" s="100" t="n"/>
    </row>
    <row r="215">
      <c r="A215" s="2">
        <f>IF($A208="","","   projections")</f>
        <v/>
      </c>
      <c r="B215" s="96">
        <f>IF($A208="",0,COUNT($E216:$AR216))</f>
        <v/>
      </c>
      <c r="C215" s="97">
        <f>IF($B215=0,0,MAX($E216:$AR216))</f>
        <v/>
      </c>
      <c r="D215" s="98">
        <f>BDS($A208,FLD_PROJ,"headers=y","startcol=1","endcol=3","dir=h")</f>
        <v/>
      </c>
      <c r="E215" s="99" t="n"/>
      <c r="F215" s="99" t="n"/>
      <c r="G215" s="99" t="n"/>
      <c r="H215" s="99" t="n"/>
      <c r="I215" s="99" t="n"/>
      <c r="J215" s="99" t="n"/>
      <c r="K215" s="99" t="n"/>
      <c r="L215" s="99" t="n"/>
      <c r="M215" s="99" t="n"/>
      <c r="N215" s="99" t="n"/>
      <c r="O215" s="99" t="n"/>
      <c r="P215" s="99" t="n"/>
      <c r="Q215" s="99" t="n"/>
      <c r="R215" s="99" t="n"/>
      <c r="S215" s="99" t="n"/>
      <c r="T215" s="99" t="n"/>
      <c r="U215" s="99" t="n"/>
      <c r="V215" s="99" t="n"/>
      <c r="W215" s="99" t="n"/>
      <c r="X215" s="99" t="n"/>
      <c r="Y215" s="99" t="n"/>
      <c r="Z215" s="99" t="n"/>
      <c r="AA215" s="99" t="n"/>
      <c r="AB215" s="99" t="n"/>
      <c r="AC215" s="99" t="n"/>
      <c r="AD215" s="99" t="n"/>
      <c r="AE215" s="99" t="n"/>
      <c r="AF215" s="99" t="n"/>
      <c r="AG215" s="99" t="n"/>
      <c r="AH215" s="99" t="n"/>
      <c r="AI215" s="99" t="n"/>
      <c r="AJ215" s="99" t="n"/>
      <c r="AK215" s="99" t="n"/>
      <c r="AL215" s="99" t="n"/>
      <c r="AM215" s="99" t="n"/>
      <c r="AN215" s="99" t="n"/>
      <c r="AO215" s="99" t="n"/>
      <c r="AP215" s="99" t="n"/>
      <c r="AQ215" s="99" t="n"/>
      <c r="AR215" s="99" t="n"/>
    </row>
    <row r="216">
      <c r="D216" s="99" t="n"/>
      <c r="E216" s="99" t="n"/>
      <c r="F216" s="99" t="n"/>
      <c r="G216" s="99" t="n"/>
      <c r="H216" s="99" t="n"/>
      <c r="I216" s="99" t="n"/>
      <c r="J216" s="99" t="n"/>
      <c r="K216" s="99" t="n"/>
      <c r="L216" s="99" t="n"/>
      <c r="M216" s="99" t="n"/>
      <c r="N216" s="99" t="n"/>
      <c r="O216" s="99" t="n"/>
      <c r="P216" s="99" t="n"/>
      <c r="Q216" s="99" t="n"/>
      <c r="R216" s="99" t="n"/>
      <c r="S216" s="99" t="n"/>
      <c r="T216" s="99" t="n"/>
      <c r="U216" s="99" t="n"/>
      <c r="V216" s="99" t="n"/>
      <c r="W216" s="99" t="n"/>
      <c r="X216" s="99" t="n"/>
      <c r="Y216" s="99" t="n"/>
      <c r="Z216" s="99" t="n"/>
      <c r="AA216" s="99" t="n"/>
      <c r="AB216" s="99" t="n"/>
      <c r="AC216" s="99" t="n"/>
      <c r="AD216" s="99" t="n"/>
      <c r="AE216" s="99" t="n"/>
      <c r="AF216" s="99" t="n"/>
      <c r="AG216" s="99" t="n"/>
      <c r="AH216" s="99" t="n"/>
      <c r="AI216" s="99" t="n"/>
      <c r="AJ216" s="99" t="n"/>
      <c r="AK216" s="99" t="n"/>
      <c r="AL216" s="99" t="n"/>
      <c r="AM216" s="99" t="n"/>
      <c r="AN216" s="99" t="n"/>
      <c r="AO216" s="99" t="n"/>
      <c r="AP216" s="99" t="n"/>
      <c r="AQ216" s="99" t="n"/>
      <c r="AR216" s="99" t="n"/>
    </row>
    <row r="217">
      <c r="D217" s="100" t="n"/>
      <c r="E217" s="100" t="n"/>
      <c r="F217" s="100" t="n"/>
      <c r="G217" s="100" t="n"/>
      <c r="H217" s="100" t="n"/>
      <c r="I217" s="100" t="n"/>
      <c r="J217" s="100" t="n"/>
      <c r="K217" s="100" t="n"/>
      <c r="L217" s="100" t="n"/>
      <c r="M217" s="100" t="n"/>
      <c r="N217" s="100" t="n"/>
      <c r="O217" s="100" t="n"/>
      <c r="P217" s="100" t="n"/>
      <c r="Q217" s="100" t="n"/>
      <c r="R217" s="100" t="n"/>
      <c r="S217" s="100" t="n"/>
      <c r="T217" s="100" t="n"/>
      <c r="U217" s="100" t="n"/>
      <c r="V217" s="100" t="n"/>
      <c r="W217" s="100" t="n"/>
      <c r="X217" s="100" t="n"/>
      <c r="Y217" s="100" t="n"/>
      <c r="Z217" s="100" t="n"/>
      <c r="AA217" s="100" t="n"/>
      <c r="AB217" s="100" t="n"/>
      <c r="AC217" s="100" t="n"/>
      <c r="AD217" s="100" t="n"/>
      <c r="AE217" s="100" t="n"/>
      <c r="AF217" s="100" t="n"/>
      <c r="AG217" s="100" t="n"/>
      <c r="AH217" s="100" t="n"/>
      <c r="AI217" s="100" t="n"/>
      <c r="AJ217" s="100" t="n"/>
      <c r="AK217" s="100" t="n"/>
      <c r="AL217" s="100" t="n"/>
      <c r="AM217" s="100" t="n"/>
      <c r="AN217" s="100" t="n"/>
      <c r="AO217" s="100" t="n"/>
      <c r="AP217" s="100" t="n"/>
      <c r="AQ217" s="100" t="n"/>
      <c r="AR217" s="100" t="n"/>
    </row>
    <row r="219">
      <c r="A219" s="6">
        <f>IF(HSI!$C$26="","",HSI!$C$26)</f>
        <v/>
      </c>
      <c r="B219" s="96">
        <f>IF($A219="",0,COUNT($E220:$AR220))</f>
        <v/>
      </c>
      <c r="C219" s="97">
        <f>IF($B219=0,0,MAX($E220:$AR220))</f>
        <v/>
      </c>
      <c r="D219" s="98">
        <f>BDS($A219,FLD_HIST,"headers=y","startcol=1","endcol=7","dir=h","DVD_START_DT",HIST_FROM,"DVD_END_DT",HIST_TO)</f>
        <v/>
      </c>
      <c r="E219" s="99" t="n"/>
      <c r="F219" s="99" t="n"/>
      <c r="G219" s="99" t="n"/>
      <c r="H219" s="99" t="n"/>
      <c r="I219" s="99" t="n"/>
      <c r="J219" s="99" t="n"/>
      <c r="K219" s="99" t="n"/>
      <c r="L219" s="99" t="n"/>
      <c r="M219" s="99" t="n"/>
      <c r="N219" s="99" t="n"/>
      <c r="O219" s="99" t="n"/>
      <c r="P219" s="99" t="n"/>
      <c r="Q219" s="99" t="n"/>
      <c r="R219" s="99" t="n"/>
      <c r="S219" s="99" t="n"/>
      <c r="T219" s="99" t="n"/>
      <c r="U219" s="99" t="n"/>
      <c r="V219" s="99" t="n"/>
      <c r="W219" s="99" t="n"/>
      <c r="X219" s="99" t="n"/>
      <c r="Y219" s="99" t="n"/>
      <c r="Z219" s="99" t="n"/>
      <c r="AA219" s="99" t="n"/>
      <c r="AB219" s="99" t="n"/>
      <c r="AC219" s="99" t="n"/>
      <c r="AD219" s="99" t="n"/>
      <c r="AE219" s="99" t="n"/>
      <c r="AF219" s="99" t="n"/>
      <c r="AG219" s="99" t="n"/>
      <c r="AH219" s="99" t="n"/>
      <c r="AI219" s="99" t="n"/>
      <c r="AJ219" s="99" t="n"/>
      <c r="AK219" s="99" t="n"/>
      <c r="AL219" s="99" t="n"/>
      <c r="AM219" s="99" t="n"/>
      <c r="AN219" s="99" t="n"/>
      <c r="AO219" s="99" t="n"/>
      <c r="AP219" s="99" t="n"/>
      <c r="AQ219" s="99" t="n"/>
      <c r="AR219" s="99" t="n"/>
    </row>
    <row r="220">
      <c r="D220" s="99" t="n"/>
      <c r="E220" s="99" t="n"/>
      <c r="F220" s="99" t="n"/>
      <c r="G220" s="99" t="n"/>
      <c r="H220" s="99" t="n"/>
      <c r="I220" s="99" t="n"/>
      <c r="J220" s="99" t="n"/>
      <c r="K220" s="99" t="n"/>
      <c r="L220" s="99" t="n"/>
      <c r="M220" s="99" t="n"/>
      <c r="N220" s="99" t="n"/>
      <c r="O220" s="99" t="n"/>
      <c r="P220" s="99" t="n"/>
      <c r="Q220" s="99" t="n"/>
      <c r="R220" s="99" t="n"/>
      <c r="S220" s="99" t="n"/>
      <c r="T220" s="99" t="n"/>
      <c r="U220" s="99" t="n"/>
      <c r="V220" s="99" t="n"/>
      <c r="W220" s="99" t="n"/>
      <c r="X220" s="99" t="n"/>
      <c r="Y220" s="99" t="n"/>
      <c r="Z220" s="99" t="n"/>
      <c r="AA220" s="99" t="n"/>
      <c r="AB220" s="99" t="n"/>
      <c r="AC220" s="99" t="n"/>
      <c r="AD220" s="99" t="n"/>
      <c r="AE220" s="99" t="n"/>
      <c r="AF220" s="99" t="n"/>
      <c r="AG220" s="99" t="n"/>
      <c r="AH220" s="99" t="n"/>
      <c r="AI220" s="99" t="n"/>
      <c r="AJ220" s="99" t="n"/>
      <c r="AK220" s="99" t="n"/>
      <c r="AL220" s="99" t="n"/>
      <c r="AM220" s="99" t="n"/>
      <c r="AN220" s="99" t="n"/>
      <c r="AO220" s="99" t="n"/>
      <c r="AP220" s="99" t="n"/>
      <c r="AQ220" s="99" t="n"/>
      <c r="AR220" s="99" t="n"/>
    </row>
    <row r="221">
      <c r="D221" s="99" t="n"/>
      <c r="E221" s="99" t="n"/>
      <c r="F221" s="99" t="n"/>
      <c r="G221" s="99" t="n"/>
      <c r="H221" s="99" t="n"/>
      <c r="I221" s="99" t="n"/>
      <c r="J221" s="99" t="n"/>
      <c r="K221" s="99" t="n"/>
      <c r="L221" s="99" t="n"/>
      <c r="M221" s="99" t="n"/>
      <c r="N221" s="99" t="n"/>
      <c r="O221" s="99" t="n"/>
      <c r="P221" s="99" t="n"/>
      <c r="Q221" s="99" t="n"/>
      <c r="R221" s="99" t="n"/>
      <c r="S221" s="99" t="n"/>
      <c r="T221" s="99" t="n"/>
      <c r="U221" s="99" t="n"/>
      <c r="V221" s="99" t="n"/>
      <c r="W221" s="99" t="n"/>
      <c r="X221" s="99" t="n"/>
      <c r="Y221" s="99" t="n"/>
      <c r="Z221" s="99" t="n"/>
      <c r="AA221" s="99" t="n"/>
      <c r="AB221" s="99" t="n"/>
      <c r="AC221" s="99" t="n"/>
      <c r="AD221" s="99" t="n"/>
      <c r="AE221" s="99" t="n"/>
      <c r="AF221" s="99" t="n"/>
      <c r="AG221" s="99" t="n"/>
      <c r="AH221" s="99" t="n"/>
      <c r="AI221" s="99" t="n"/>
      <c r="AJ221" s="99" t="n"/>
      <c r="AK221" s="99" t="n"/>
      <c r="AL221" s="99" t="n"/>
      <c r="AM221" s="99" t="n"/>
      <c r="AN221" s="99" t="n"/>
      <c r="AO221" s="99" t="n"/>
      <c r="AP221" s="99" t="n"/>
      <c r="AQ221" s="99" t="n"/>
      <c r="AR221" s="99" t="n"/>
    </row>
    <row r="222">
      <c r="D222" s="99" t="n"/>
      <c r="E222" s="99" t="n"/>
      <c r="F222" s="99" t="n"/>
      <c r="G222" s="99" t="n"/>
      <c r="H222" s="99" t="n"/>
      <c r="I222" s="99" t="n"/>
      <c r="J222" s="99" t="n"/>
      <c r="K222" s="99" t="n"/>
      <c r="L222" s="99" t="n"/>
      <c r="M222" s="99" t="n"/>
      <c r="N222" s="99" t="n"/>
      <c r="O222" s="99" t="n"/>
      <c r="P222" s="99" t="n"/>
      <c r="Q222" s="99" t="n"/>
      <c r="R222" s="99" t="n"/>
      <c r="S222" s="99" t="n"/>
      <c r="T222" s="99" t="n"/>
      <c r="U222" s="99" t="n"/>
      <c r="V222" s="99" t="n"/>
      <c r="W222" s="99" t="n"/>
      <c r="X222" s="99" t="n"/>
      <c r="Y222" s="99" t="n"/>
      <c r="Z222" s="99" t="n"/>
      <c r="AA222" s="99" t="n"/>
      <c r="AB222" s="99" t="n"/>
      <c r="AC222" s="99" t="n"/>
      <c r="AD222" s="99" t="n"/>
      <c r="AE222" s="99" t="n"/>
      <c r="AF222" s="99" t="n"/>
      <c r="AG222" s="99" t="n"/>
      <c r="AH222" s="99" t="n"/>
      <c r="AI222" s="99" t="n"/>
      <c r="AJ222" s="99" t="n"/>
      <c r="AK222" s="99" t="n"/>
      <c r="AL222" s="99" t="n"/>
      <c r="AM222" s="99" t="n"/>
      <c r="AN222" s="99" t="n"/>
      <c r="AO222" s="99" t="n"/>
      <c r="AP222" s="99" t="n"/>
      <c r="AQ222" s="99" t="n"/>
      <c r="AR222" s="99" t="n"/>
    </row>
    <row r="223">
      <c r="D223" s="100" t="n"/>
      <c r="E223" s="100" t="n"/>
      <c r="F223" s="100" t="n"/>
      <c r="G223" s="100" t="n"/>
      <c r="H223" s="100" t="n"/>
      <c r="I223" s="100" t="n"/>
      <c r="J223" s="100" t="n"/>
      <c r="K223" s="100" t="n"/>
      <c r="L223" s="100" t="n"/>
      <c r="M223" s="100" t="n"/>
      <c r="N223" s="100" t="n"/>
      <c r="O223" s="100" t="n"/>
      <c r="P223" s="100" t="n"/>
      <c r="Q223" s="100" t="n"/>
      <c r="R223" s="100" t="n"/>
      <c r="S223" s="100" t="n"/>
      <c r="T223" s="100" t="n"/>
      <c r="U223" s="100" t="n"/>
      <c r="V223" s="100" t="n"/>
      <c r="W223" s="100" t="n"/>
      <c r="X223" s="100" t="n"/>
      <c r="Y223" s="100" t="n"/>
      <c r="Z223" s="100" t="n"/>
      <c r="AA223" s="100" t="n"/>
      <c r="AB223" s="100" t="n"/>
      <c r="AC223" s="100" t="n"/>
      <c r="AD223" s="100" t="n"/>
      <c r="AE223" s="100" t="n"/>
      <c r="AF223" s="100" t="n"/>
      <c r="AG223" s="100" t="n"/>
      <c r="AH223" s="100" t="n"/>
      <c r="AI223" s="100" t="n"/>
      <c r="AJ223" s="100" t="n"/>
      <c r="AK223" s="100" t="n"/>
      <c r="AL223" s="100" t="n"/>
      <c r="AM223" s="100" t="n"/>
      <c r="AN223" s="100" t="n"/>
      <c r="AO223" s="100" t="n"/>
      <c r="AP223" s="100" t="n"/>
      <c r="AQ223" s="100" t="n"/>
      <c r="AR223" s="100" t="n"/>
    </row>
    <row r="226">
      <c r="A226" s="2">
        <f>IF($A219="","","   projections")</f>
        <v/>
      </c>
      <c r="B226" s="96">
        <f>IF($A219="",0,COUNT($E227:$AR227))</f>
        <v/>
      </c>
      <c r="C226" s="97">
        <f>IF($B226=0,0,MAX($E227:$AR227))</f>
        <v/>
      </c>
      <c r="D226" s="98">
        <f>BDS($A219,FLD_PROJ,"headers=y","startcol=1","endcol=3","dir=h")</f>
        <v/>
      </c>
      <c r="E226" s="99" t="n"/>
      <c r="F226" s="99" t="n"/>
      <c r="G226" s="99" t="n"/>
      <c r="H226" s="99" t="n"/>
      <c r="I226" s="99" t="n"/>
      <c r="J226" s="99" t="n"/>
      <c r="K226" s="99" t="n"/>
      <c r="L226" s="99" t="n"/>
      <c r="M226" s="99" t="n"/>
      <c r="N226" s="99" t="n"/>
      <c r="O226" s="99" t="n"/>
      <c r="P226" s="99" t="n"/>
      <c r="Q226" s="99" t="n"/>
      <c r="R226" s="99" t="n"/>
      <c r="S226" s="99" t="n"/>
      <c r="T226" s="99" t="n"/>
      <c r="U226" s="99" t="n"/>
      <c r="V226" s="99" t="n"/>
      <c r="W226" s="99" t="n"/>
      <c r="X226" s="99" t="n"/>
      <c r="Y226" s="99" t="n"/>
      <c r="Z226" s="99" t="n"/>
      <c r="AA226" s="99" t="n"/>
      <c r="AB226" s="99" t="n"/>
      <c r="AC226" s="99" t="n"/>
      <c r="AD226" s="99" t="n"/>
      <c r="AE226" s="99" t="n"/>
      <c r="AF226" s="99" t="n"/>
      <c r="AG226" s="99" t="n"/>
      <c r="AH226" s="99" t="n"/>
      <c r="AI226" s="99" t="n"/>
      <c r="AJ226" s="99" t="n"/>
      <c r="AK226" s="99" t="n"/>
      <c r="AL226" s="99" t="n"/>
      <c r="AM226" s="99" t="n"/>
      <c r="AN226" s="99" t="n"/>
      <c r="AO226" s="99" t="n"/>
      <c r="AP226" s="99" t="n"/>
      <c r="AQ226" s="99" t="n"/>
      <c r="AR226" s="99" t="n"/>
    </row>
    <row r="227">
      <c r="D227" s="99" t="n"/>
      <c r="E227" s="99" t="n"/>
      <c r="F227" s="99" t="n"/>
      <c r="G227" s="99" t="n"/>
      <c r="H227" s="99" t="n"/>
      <c r="I227" s="99" t="n"/>
      <c r="J227" s="99" t="n"/>
      <c r="K227" s="99" t="n"/>
      <c r="L227" s="99" t="n"/>
      <c r="M227" s="99" t="n"/>
      <c r="N227" s="99" t="n"/>
      <c r="O227" s="99" t="n"/>
      <c r="P227" s="99" t="n"/>
      <c r="Q227" s="99" t="n"/>
      <c r="R227" s="99" t="n"/>
      <c r="S227" s="99" t="n"/>
      <c r="T227" s="99" t="n"/>
      <c r="U227" s="99" t="n"/>
      <c r="V227" s="99" t="n"/>
      <c r="W227" s="99" t="n"/>
      <c r="X227" s="99" t="n"/>
      <c r="Y227" s="99" t="n"/>
      <c r="Z227" s="99" t="n"/>
      <c r="AA227" s="99" t="n"/>
      <c r="AB227" s="99" t="n"/>
      <c r="AC227" s="99" t="n"/>
      <c r="AD227" s="99" t="n"/>
      <c r="AE227" s="99" t="n"/>
      <c r="AF227" s="99" t="n"/>
      <c r="AG227" s="99" t="n"/>
      <c r="AH227" s="99" t="n"/>
      <c r="AI227" s="99" t="n"/>
      <c r="AJ227" s="99" t="n"/>
      <c r="AK227" s="99" t="n"/>
      <c r="AL227" s="99" t="n"/>
      <c r="AM227" s="99" t="n"/>
      <c r="AN227" s="99" t="n"/>
      <c r="AO227" s="99" t="n"/>
      <c r="AP227" s="99" t="n"/>
      <c r="AQ227" s="99" t="n"/>
      <c r="AR227" s="99" t="n"/>
    </row>
    <row r="228">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100" t="n"/>
      <c r="AG228" s="100" t="n"/>
      <c r="AH228" s="100" t="n"/>
      <c r="AI228" s="100" t="n"/>
      <c r="AJ228" s="100" t="n"/>
      <c r="AK228" s="100" t="n"/>
      <c r="AL228" s="100" t="n"/>
      <c r="AM228" s="100" t="n"/>
      <c r="AN228" s="100" t="n"/>
      <c r="AO228" s="100" t="n"/>
      <c r="AP228" s="100" t="n"/>
      <c r="AQ228" s="100" t="n"/>
      <c r="AR228" s="100" t="n"/>
    </row>
    <row r="230">
      <c r="A230" s="6">
        <f>IF(HSI!$C$27="","",HSI!$C$27)</f>
        <v/>
      </c>
      <c r="B230" s="96">
        <f>IF($A230="",0,COUNT($E231:$AR231))</f>
        <v/>
      </c>
      <c r="C230" s="97">
        <f>IF($B230=0,0,MAX($E231:$AR231))</f>
        <v/>
      </c>
      <c r="D230" s="98">
        <f>BDS($A230,FLD_HIST,"headers=y","startcol=1","endcol=7","dir=h","DVD_START_DT",HIST_FROM,"DVD_END_DT",HIST_TO)</f>
        <v/>
      </c>
      <c r="E230" s="99" t="n"/>
      <c r="F230" s="99" t="n"/>
      <c r="G230" s="99" t="n"/>
      <c r="H230" s="99" t="n"/>
      <c r="I230" s="99" t="n"/>
      <c r="J230" s="99" t="n"/>
      <c r="K230" s="99" t="n"/>
      <c r="L230" s="99" t="n"/>
      <c r="M230" s="99" t="n"/>
      <c r="N230" s="99" t="n"/>
      <c r="O230" s="99" t="n"/>
      <c r="P230" s="99" t="n"/>
      <c r="Q230" s="99" t="n"/>
      <c r="R230" s="99" t="n"/>
      <c r="S230" s="99" t="n"/>
      <c r="T230" s="99" t="n"/>
      <c r="U230" s="99" t="n"/>
      <c r="V230" s="99" t="n"/>
      <c r="W230" s="99" t="n"/>
      <c r="X230" s="99" t="n"/>
      <c r="Y230" s="99" t="n"/>
      <c r="Z230" s="99" t="n"/>
      <c r="AA230" s="99" t="n"/>
      <c r="AB230" s="99" t="n"/>
      <c r="AC230" s="99" t="n"/>
      <c r="AD230" s="99" t="n"/>
      <c r="AE230" s="99" t="n"/>
      <c r="AF230" s="99" t="n"/>
      <c r="AG230" s="99" t="n"/>
      <c r="AH230" s="99" t="n"/>
      <c r="AI230" s="99" t="n"/>
      <c r="AJ230" s="99" t="n"/>
      <c r="AK230" s="99" t="n"/>
      <c r="AL230" s="99" t="n"/>
      <c r="AM230" s="99" t="n"/>
      <c r="AN230" s="99" t="n"/>
      <c r="AO230" s="99" t="n"/>
      <c r="AP230" s="99" t="n"/>
      <c r="AQ230" s="99" t="n"/>
      <c r="AR230" s="99" t="n"/>
    </row>
    <row r="231">
      <c r="D231" s="99" t="n"/>
      <c r="E231" s="99" t="n"/>
      <c r="F231" s="99" t="n"/>
      <c r="G231" s="99" t="n"/>
      <c r="H231" s="99" t="n"/>
      <c r="I231" s="99" t="n"/>
      <c r="J231" s="99" t="n"/>
      <c r="K231" s="99" t="n"/>
      <c r="L231" s="99" t="n"/>
      <c r="M231" s="99" t="n"/>
      <c r="N231" s="99" t="n"/>
      <c r="O231" s="99" t="n"/>
      <c r="P231" s="99" t="n"/>
      <c r="Q231" s="99" t="n"/>
      <c r="R231" s="99" t="n"/>
      <c r="S231" s="99" t="n"/>
      <c r="T231" s="99" t="n"/>
      <c r="U231" s="99" t="n"/>
      <c r="V231" s="99" t="n"/>
      <c r="W231" s="99" t="n"/>
      <c r="X231" s="99" t="n"/>
      <c r="Y231" s="99" t="n"/>
      <c r="Z231" s="99" t="n"/>
      <c r="AA231" s="99" t="n"/>
      <c r="AB231" s="99" t="n"/>
      <c r="AC231" s="99" t="n"/>
      <c r="AD231" s="99" t="n"/>
      <c r="AE231" s="99" t="n"/>
      <c r="AF231" s="99" t="n"/>
      <c r="AG231" s="99" t="n"/>
      <c r="AH231" s="99" t="n"/>
      <c r="AI231" s="99" t="n"/>
      <c r="AJ231" s="99" t="n"/>
      <c r="AK231" s="99" t="n"/>
      <c r="AL231" s="99" t="n"/>
      <c r="AM231" s="99" t="n"/>
      <c r="AN231" s="99" t="n"/>
      <c r="AO231" s="99" t="n"/>
      <c r="AP231" s="99" t="n"/>
      <c r="AQ231" s="99" t="n"/>
      <c r="AR231" s="99" t="n"/>
    </row>
    <row r="232">
      <c r="D232" s="99" t="n"/>
      <c r="E232" s="99" t="n"/>
      <c r="F232" s="99" t="n"/>
      <c r="G232" s="99" t="n"/>
      <c r="H232" s="99" t="n"/>
      <c r="I232" s="99" t="n"/>
      <c r="J232" s="99" t="n"/>
      <c r="K232" s="99" t="n"/>
      <c r="L232" s="99" t="n"/>
      <c r="M232" s="99" t="n"/>
      <c r="N232" s="99" t="n"/>
      <c r="O232" s="99" t="n"/>
      <c r="P232" s="99" t="n"/>
      <c r="Q232" s="99" t="n"/>
      <c r="R232" s="99" t="n"/>
      <c r="S232" s="99" t="n"/>
      <c r="T232" s="99" t="n"/>
      <c r="U232" s="99" t="n"/>
      <c r="V232" s="99" t="n"/>
      <c r="W232" s="99" t="n"/>
      <c r="X232" s="99" t="n"/>
      <c r="Y232" s="99" t="n"/>
      <c r="Z232" s="99" t="n"/>
      <c r="AA232" s="99" t="n"/>
      <c r="AB232" s="99" t="n"/>
      <c r="AC232" s="99" t="n"/>
      <c r="AD232" s="99" t="n"/>
      <c r="AE232" s="99" t="n"/>
      <c r="AF232" s="99" t="n"/>
      <c r="AG232" s="99" t="n"/>
      <c r="AH232" s="99" t="n"/>
      <c r="AI232" s="99" t="n"/>
      <c r="AJ232" s="99" t="n"/>
      <c r="AK232" s="99" t="n"/>
      <c r="AL232" s="99" t="n"/>
      <c r="AM232" s="99" t="n"/>
      <c r="AN232" s="99" t="n"/>
      <c r="AO232" s="99" t="n"/>
      <c r="AP232" s="99" t="n"/>
      <c r="AQ232" s="99" t="n"/>
      <c r="AR232" s="99" t="n"/>
    </row>
    <row r="233">
      <c r="D233" s="99" t="n"/>
      <c r="E233" s="99" t="n"/>
      <c r="F233" s="99" t="n"/>
      <c r="G233" s="99" t="n"/>
      <c r="H233" s="99" t="n"/>
      <c r="I233" s="99" t="n"/>
      <c r="J233" s="99" t="n"/>
      <c r="K233" s="99" t="n"/>
      <c r="L233" s="99" t="n"/>
      <c r="M233" s="99" t="n"/>
      <c r="N233" s="99" t="n"/>
      <c r="O233" s="99" t="n"/>
      <c r="P233" s="99" t="n"/>
      <c r="Q233" s="99" t="n"/>
      <c r="R233" s="99" t="n"/>
      <c r="S233" s="99" t="n"/>
      <c r="T233" s="99" t="n"/>
      <c r="U233" s="99" t="n"/>
      <c r="V233" s="99" t="n"/>
      <c r="W233" s="99" t="n"/>
      <c r="X233" s="99" t="n"/>
      <c r="Y233" s="99" t="n"/>
      <c r="Z233" s="99" t="n"/>
      <c r="AA233" s="99" t="n"/>
      <c r="AB233" s="99" t="n"/>
      <c r="AC233" s="99" t="n"/>
      <c r="AD233" s="99" t="n"/>
      <c r="AE233" s="99" t="n"/>
      <c r="AF233" s="99" t="n"/>
      <c r="AG233" s="99" t="n"/>
      <c r="AH233" s="99" t="n"/>
      <c r="AI233" s="99" t="n"/>
      <c r="AJ233" s="99" t="n"/>
      <c r="AK233" s="99" t="n"/>
      <c r="AL233" s="99" t="n"/>
      <c r="AM233" s="99" t="n"/>
      <c r="AN233" s="99" t="n"/>
      <c r="AO233" s="99" t="n"/>
      <c r="AP233" s="99" t="n"/>
      <c r="AQ233" s="99" t="n"/>
      <c r="AR233" s="99" t="n"/>
    </row>
    <row r="234">
      <c r="D234" s="100" t="n"/>
      <c r="E234" s="100" t="n"/>
      <c r="F234" s="100" t="n"/>
      <c r="G234" s="100" t="n"/>
      <c r="H234" s="100" t="n"/>
      <c r="I234" s="100" t="n"/>
      <c r="J234" s="100" t="n"/>
      <c r="K234" s="100" t="n"/>
      <c r="L234" s="100" t="n"/>
      <c r="M234" s="100" t="n"/>
      <c r="N234" s="100" t="n"/>
      <c r="O234" s="100" t="n"/>
      <c r="P234" s="100" t="n"/>
      <c r="Q234" s="100" t="n"/>
      <c r="R234" s="100" t="n"/>
      <c r="S234" s="100" t="n"/>
      <c r="T234" s="100" t="n"/>
      <c r="U234" s="100" t="n"/>
      <c r="V234" s="100" t="n"/>
      <c r="W234" s="100" t="n"/>
      <c r="X234" s="100" t="n"/>
      <c r="Y234" s="100" t="n"/>
      <c r="Z234" s="100" t="n"/>
      <c r="AA234" s="100" t="n"/>
      <c r="AB234" s="100" t="n"/>
      <c r="AC234" s="100" t="n"/>
      <c r="AD234" s="100" t="n"/>
      <c r="AE234" s="100" t="n"/>
      <c r="AF234" s="100" t="n"/>
      <c r="AG234" s="100" t="n"/>
      <c r="AH234" s="100" t="n"/>
      <c r="AI234" s="100" t="n"/>
      <c r="AJ234" s="100" t="n"/>
      <c r="AK234" s="100" t="n"/>
      <c r="AL234" s="100" t="n"/>
      <c r="AM234" s="100" t="n"/>
      <c r="AN234" s="100" t="n"/>
      <c r="AO234" s="100" t="n"/>
      <c r="AP234" s="100" t="n"/>
      <c r="AQ234" s="100" t="n"/>
      <c r="AR234" s="100" t="n"/>
    </row>
    <row r="237">
      <c r="A237" s="2">
        <f>IF($A230="","","   projections")</f>
        <v/>
      </c>
      <c r="B237" s="96">
        <f>IF($A230="",0,COUNT($E238:$AR238))</f>
        <v/>
      </c>
      <c r="C237" s="97">
        <f>IF($B237=0,0,MAX($E238:$AR238))</f>
        <v/>
      </c>
      <c r="D237" s="98">
        <f>BDS($A230,FLD_PROJ,"headers=y","startcol=1","endcol=3","dir=h")</f>
        <v/>
      </c>
      <c r="E237" s="99" t="n"/>
      <c r="F237" s="99" t="n"/>
      <c r="G237" s="99" t="n"/>
      <c r="H237" s="99" t="n"/>
      <c r="I237" s="99" t="n"/>
      <c r="J237" s="99" t="n"/>
      <c r="K237" s="99" t="n"/>
      <c r="L237" s="99" t="n"/>
      <c r="M237" s="99" t="n"/>
      <c r="N237" s="99" t="n"/>
      <c r="O237" s="99" t="n"/>
      <c r="P237" s="99" t="n"/>
      <c r="Q237" s="99" t="n"/>
      <c r="R237" s="99" t="n"/>
      <c r="S237" s="99" t="n"/>
      <c r="T237" s="99" t="n"/>
      <c r="U237" s="99" t="n"/>
      <c r="V237" s="99" t="n"/>
      <c r="W237" s="99" t="n"/>
      <c r="X237" s="99" t="n"/>
      <c r="Y237" s="99" t="n"/>
      <c r="Z237" s="99" t="n"/>
      <c r="AA237" s="99" t="n"/>
      <c r="AB237" s="99" t="n"/>
      <c r="AC237" s="99" t="n"/>
      <c r="AD237" s="99" t="n"/>
      <c r="AE237" s="99" t="n"/>
      <c r="AF237" s="99" t="n"/>
      <c r="AG237" s="99" t="n"/>
      <c r="AH237" s="99" t="n"/>
      <c r="AI237" s="99" t="n"/>
      <c r="AJ237" s="99" t="n"/>
      <c r="AK237" s="99" t="n"/>
      <c r="AL237" s="99" t="n"/>
      <c r="AM237" s="99" t="n"/>
      <c r="AN237" s="99" t="n"/>
      <c r="AO237" s="99" t="n"/>
      <c r="AP237" s="99" t="n"/>
      <c r="AQ237" s="99" t="n"/>
      <c r="AR237" s="99" t="n"/>
    </row>
    <row r="238">
      <c r="D238" s="99" t="n"/>
      <c r="E238" s="99" t="n"/>
      <c r="F238" s="99" t="n"/>
      <c r="G238" s="99" t="n"/>
      <c r="H238" s="99" t="n"/>
      <c r="I238" s="99" t="n"/>
      <c r="J238" s="99" t="n"/>
      <c r="K238" s="99" t="n"/>
      <c r="L238" s="99" t="n"/>
      <c r="M238" s="99" t="n"/>
      <c r="N238" s="99" t="n"/>
      <c r="O238" s="99" t="n"/>
      <c r="P238" s="99" t="n"/>
      <c r="Q238" s="99" t="n"/>
      <c r="R238" s="99" t="n"/>
      <c r="S238" s="99" t="n"/>
      <c r="T238" s="99" t="n"/>
      <c r="U238" s="99" t="n"/>
      <c r="V238" s="99" t="n"/>
      <c r="W238" s="99" t="n"/>
      <c r="X238" s="99" t="n"/>
      <c r="Y238" s="99" t="n"/>
      <c r="Z238" s="99" t="n"/>
      <c r="AA238" s="99" t="n"/>
      <c r="AB238" s="99" t="n"/>
      <c r="AC238" s="99" t="n"/>
      <c r="AD238" s="99" t="n"/>
      <c r="AE238" s="99" t="n"/>
      <c r="AF238" s="99" t="n"/>
      <c r="AG238" s="99" t="n"/>
      <c r="AH238" s="99" t="n"/>
      <c r="AI238" s="99" t="n"/>
      <c r="AJ238" s="99" t="n"/>
      <c r="AK238" s="99" t="n"/>
      <c r="AL238" s="99" t="n"/>
      <c r="AM238" s="99" t="n"/>
      <c r="AN238" s="99" t="n"/>
      <c r="AO238" s="99" t="n"/>
      <c r="AP238" s="99" t="n"/>
      <c r="AQ238" s="99" t="n"/>
      <c r="AR238" s="99" t="n"/>
    </row>
    <row r="239">
      <c r="D239" s="100" t="n"/>
      <c r="E239" s="100" t="n"/>
      <c r="F239" s="100" t="n"/>
      <c r="G239" s="100" t="n"/>
      <c r="H239" s="100" t="n"/>
      <c r="I239" s="100" t="n"/>
      <c r="J239" s="100" t="n"/>
      <c r="K239" s="100" t="n"/>
      <c r="L239" s="100" t="n"/>
      <c r="M239" s="100" t="n"/>
      <c r="N239" s="100" t="n"/>
      <c r="O239" s="100" t="n"/>
      <c r="P239" s="100" t="n"/>
      <c r="Q239" s="100" t="n"/>
      <c r="R239" s="100" t="n"/>
      <c r="S239" s="100" t="n"/>
      <c r="T239" s="100" t="n"/>
      <c r="U239" s="100" t="n"/>
      <c r="V239" s="100" t="n"/>
      <c r="W239" s="100" t="n"/>
      <c r="X239" s="100" t="n"/>
      <c r="Y239" s="100" t="n"/>
      <c r="Z239" s="100" t="n"/>
      <c r="AA239" s="100" t="n"/>
      <c r="AB239" s="100" t="n"/>
      <c r="AC239" s="100" t="n"/>
      <c r="AD239" s="100" t="n"/>
      <c r="AE239" s="100" t="n"/>
      <c r="AF239" s="100" t="n"/>
      <c r="AG239" s="100" t="n"/>
      <c r="AH239" s="100" t="n"/>
      <c r="AI239" s="100" t="n"/>
      <c r="AJ239" s="100" t="n"/>
      <c r="AK239" s="100" t="n"/>
      <c r="AL239" s="100" t="n"/>
      <c r="AM239" s="100" t="n"/>
      <c r="AN239" s="100" t="n"/>
      <c r="AO239" s="100" t="n"/>
      <c r="AP239" s="100" t="n"/>
      <c r="AQ239" s="100" t="n"/>
      <c r="AR239" s="100" t="n"/>
    </row>
    <row r="241">
      <c r="A241" s="6">
        <f>IF(HSI!$C$28="","",HSI!$C$28)</f>
        <v/>
      </c>
      <c r="B241" s="96">
        <f>IF($A241="",0,COUNT($E242:$AR242))</f>
        <v/>
      </c>
      <c r="C241" s="97">
        <f>IF($B241=0,0,MAX($E242:$AR242))</f>
        <v/>
      </c>
      <c r="D241" s="98">
        <f>BDS($A241,FLD_HIST,"headers=y","startcol=1","endcol=7","dir=h","DVD_START_DT",HIST_FROM,"DVD_END_DT",HIST_TO)</f>
        <v/>
      </c>
      <c r="E241" s="99" t="n"/>
      <c r="F241" s="99" t="n"/>
      <c r="G241" s="99" t="n"/>
      <c r="H241" s="99" t="n"/>
      <c r="I241" s="99" t="n"/>
      <c r="J241" s="99" t="n"/>
      <c r="K241" s="99" t="n"/>
      <c r="L241" s="99" t="n"/>
      <c r="M241" s="99" t="n"/>
      <c r="N241" s="99" t="n"/>
      <c r="O241" s="99" t="n"/>
      <c r="P241" s="99" t="n"/>
      <c r="Q241" s="99" t="n"/>
      <c r="R241" s="99" t="n"/>
      <c r="S241" s="99" t="n"/>
      <c r="T241" s="99" t="n"/>
      <c r="U241" s="99" t="n"/>
      <c r="V241" s="99" t="n"/>
      <c r="W241" s="99" t="n"/>
      <c r="X241" s="99" t="n"/>
      <c r="Y241" s="99" t="n"/>
      <c r="Z241" s="99" t="n"/>
      <c r="AA241" s="99" t="n"/>
      <c r="AB241" s="99" t="n"/>
      <c r="AC241" s="99" t="n"/>
      <c r="AD241" s="99" t="n"/>
      <c r="AE241" s="99" t="n"/>
      <c r="AF241" s="99" t="n"/>
      <c r="AG241" s="99" t="n"/>
      <c r="AH241" s="99" t="n"/>
      <c r="AI241" s="99" t="n"/>
      <c r="AJ241" s="99" t="n"/>
      <c r="AK241" s="99" t="n"/>
      <c r="AL241" s="99" t="n"/>
      <c r="AM241" s="99" t="n"/>
      <c r="AN241" s="99" t="n"/>
      <c r="AO241" s="99" t="n"/>
      <c r="AP241" s="99" t="n"/>
      <c r="AQ241" s="99" t="n"/>
      <c r="AR241" s="99" t="n"/>
    </row>
    <row r="242">
      <c r="D242" s="99" t="n"/>
      <c r="E242" s="99" t="n"/>
      <c r="F242" s="99" t="n"/>
      <c r="G242" s="99" t="n"/>
      <c r="H242" s="99" t="n"/>
      <c r="I242" s="99" t="n"/>
      <c r="J242" s="99" t="n"/>
      <c r="K242" s="99" t="n"/>
      <c r="L242" s="99" t="n"/>
      <c r="M242" s="99" t="n"/>
      <c r="N242" s="99" t="n"/>
      <c r="O242" s="99" t="n"/>
      <c r="P242" s="99" t="n"/>
      <c r="Q242" s="99" t="n"/>
      <c r="R242" s="99" t="n"/>
      <c r="S242" s="99" t="n"/>
      <c r="T242" s="99" t="n"/>
      <c r="U242" s="99" t="n"/>
      <c r="V242" s="99" t="n"/>
      <c r="W242" s="99" t="n"/>
      <c r="X242" s="99" t="n"/>
      <c r="Y242" s="99" t="n"/>
      <c r="Z242" s="99" t="n"/>
      <c r="AA242" s="99" t="n"/>
      <c r="AB242" s="99" t="n"/>
      <c r="AC242" s="99" t="n"/>
      <c r="AD242" s="99" t="n"/>
      <c r="AE242" s="99" t="n"/>
      <c r="AF242" s="99" t="n"/>
      <c r="AG242" s="99" t="n"/>
      <c r="AH242" s="99" t="n"/>
      <c r="AI242" s="99" t="n"/>
      <c r="AJ242" s="99" t="n"/>
      <c r="AK242" s="99" t="n"/>
      <c r="AL242" s="99" t="n"/>
      <c r="AM242" s="99" t="n"/>
      <c r="AN242" s="99" t="n"/>
      <c r="AO242" s="99" t="n"/>
      <c r="AP242" s="99" t="n"/>
      <c r="AQ242" s="99" t="n"/>
      <c r="AR242" s="99" t="n"/>
    </row>
    <row r="243">
      <c r="D243" s="99" t="n"/>
      <c r="E243" s="99" t="n"/>
      <c r="F243" s="99" t="n"/>
      <c r="G243" s="99" t="n"/>
      <c r="H243" s="99" t="n"/>
      <c r="I243" s="99" t="n"/>
      <c r="J243" s="99" t="n"/>
      <c r="K243" s="99" t="n"/>
      <c r="L243" s="99" t="n"/>
      <c r="M243" s="99" t="n"/>
      <c r="N243" s="99" t="n"/>
      <c r="O243" s="99" t="n"/>
      <c r="P243" s="99" t="n"/>
      <c r="Q243" s="99" t="n"/>
      <c r="R243" s="99" t="n"/>
      <c r="S243" s="99" t="n"/>
      <c r="T243" s="99" t="n"/>
      <c r="U243" s="99" t="n"/>
      <c r="V243" s="99" t="n"/>
      <c r="W243" s="99" t="n"/>
      <c r="X243" s="99" t="n"/>
      <c r="Y243" s="99" t="n"/>
      <c r="Z243" s="99" t="n"/>
      <c r="AA243" s="99" t="n"/>
      <c r="AB243" s="99" t="n"/>
      <c r="AC243" s="99" t="n"/>
      <c r="AD243" s="99" t="n"/>
      <c r="AE243" s="99" t="n"/>
      <c r="AF243" s="99" t="n"/>
      <c r="AG243" s="99" t="n"/>
      <c r="AH243" s="99" t="n"/>
      <c r="AI243" s="99" t="n"/>
      <c r="AJ243" s="99" t="n"/>
      <c r="AK243" s="99" t="n"/>
      <c r="AL243" s="99" t="n"/>
      <c r="AM243" s="99" t="n"/>
      <c r="AN243" s="99" t="n"/>
      <c r="AO243" s="99" t="n"/>
      <c r="AP243" s="99" t="n"/>
      <c r="AQ243" s="99" t="n"/>
      <c r="AR243" s="99" t="n"/>
    </row>
    <row r="244">
      <c r="D244" s="99" t="n"/>
      <c r="E244" s="99" t="n"/>
      <c r="F244" s="99" t="n"/>
      <c r="G244" s="99" t="n"/>
      <c r="H244" s="99" t="n"/>
      <c r="I244" s="99" t="n"/>
      <c r="J244" s="99" t="n"/>
      <c r="K244" s="99" t="n"/>
      <c r="L244" s="99" t="n"/>
      <c r="M244" s="99" t="n"/>
      <c r="N244" s="99" t="n"/>
      <c r="O244" s="99" t="n"/>
      <c r="P244" s="99" t="n"/>
      <c r="Q244" s="99" t="n"/>
      <c r="R244" s="99" t="n"/>
      <c r="S244" s="99" t="n"/>
      <c r="T244" s="99" t="n"/>
      <c r="U244" s="99" t="n"/>
      <c r="V244" s="99" t="n"/>
      <c r="W244" s="99" t="n"/>
      <c r="X244" s="99" t="n"/>
      <c r="Y244" s="99" t="n"/>
      <c r="Z244" s="99" t="n"/>
      <c r="AA244" s="99" t="n"/>
      <c r="AB244" s="99" t="n"/>
      <c r="AC244" s="99" t="n"/>
      <c r="AD244" s="99" t="n"/>
      <c r="AE244" s="99" t="n"/>
      <c r="AF244" s="99" t="n"/>
      <c r="AG244" s="99" t="n"/>
      <c r="AH244" s="99" t="n"/>
      <c r="AI244" s="99" t="n"/>
      <c r="AJ244" s="99" t="n"/>
      <c r="AK244" s="99" t="n"/>
      <c r="AL244" s="99" t="n"/>
      <c r="AM244" s="99" t="n"/>
      <c r="AN244" s="99" t="n"/>
      <c r="AO244" s="99" t="n"/>
      <c r="AP244" s="99" t="n"/>
      <c r="AQ244" s="99" t="n"/>
      <c r="AR244" s="99" t="n"/>
    </row>
    <row r="245">
      <c r="D245" s="100" t="n"/>
      <c r="E245" s="100" t="n"/>
      <c r="F245" s="100" t="n"/>
      <c r="G245" s="100" t="n"/>
      <c r="H245" s="100" t="n"/>
      <c r="I245" s="100" t="n"/>
      <c r="J245" s="100" t="n"/>
      <c r="K245" s="100" t="n"/>
      <c r="L245" s="100" t="n"/>
      <c r="M245" s="100" t="n"/>
      <c r="N245" s="100" t="n"/>
      <c r="O245" s="100" t="n"/>
      <c r="P245" s="100" t="n"/>
      <c r="Q245" s="100" t="n"/>
      <c r="R245" s="100" t="n"/>
      <c r="S245" s="100" t="n"/>
      <c r="T245" s="100" t="n"/>
      <c r="U245" s="100" t="n"/>
      <c r="V245" s="100" t="n"/>
      <c r="W245" s="100" t="n"/>
      <c r="X245" s="100" t="n"/>
      <c r="Y245" s="100" t="n"/>
      <c r="Z245" s="100" t="n"/>
      <c r="AA245" s="100" t="n"/>
      <c r="AB245" s="100" t="n"/>
      <c r="AC245" s="100" t="n"/>
      <c r="AD245" s="100" t="n"/>
      <c r="AE245" s="100" t="n"/>
      <c r="AF245" s="100" t="n"/>
      <c r="AG245" s="100" t="n"/>
      <c r="AH245" s="100" t="n"/>
      <c r="AI245" s="100" t="n"/>
      <c r="AJ245" s="100" t="n"/>
      <c r="AK245" s="100" t="n"/>
      <c r="AL245" s="100" t="n"/>
      <c r="AM245" s="100" t="n"/>
      <c r="AN245" s="100" t="n"/>
      <c r="AO245" s="100" t="n"/>
      <c r="AP245" s="100" t="n"/>
      <c r="AQ245" s="100" t="n"/>
      <c r="AR245" s="100" t="n"/>
    </row>
    <row r="248">
      <c r="A248" s="2">
        <f>IF($A241="","","   projections")</f>
        <v/>
      </c>
      <c r="B248" s="96">
        <f>IF($A241="",0,COUNT($E249:$AR249))</f>
        <v/>
      </c>
      <c r="C248" s="97">
        <f>IF($B248=0,0,MAX($E249:$AR249))</f>
        <v/>
      </c>
      <c r="D248" s="98">
        <f>BDS($A241,FLD_PROJ,"headers=y","startcol=1","endcol=3","dir=h")</f>
        <v/>
      </c>
      <c r="E248" s="99" t="n"/>
      <c r="F248" s="99" t="n"/>
      <c r="G248" s="99" t="n"/>
      <c r="H248" s="99" t="n"/>
      <c r="I248" s="99" t="n"/>
      <c r="J248" s="99" t="n"/>
      <c r="K248" s="99" t="n"/>
      <c r="L248" s="99" t="n"/>
      <c r="M248" s="99" t="n"/>
      <c r="N248" s="99" t="n"/>
      <c r="O248" s="99" t="n"/>
      <c r="P248" s="99" t="n"/>
      <c r="Q248" s="99" t="n"/>
      <c r="R248" s="99" t="n"/>
      <c r="S248" s="99" t="n"/>
      <c r="T248" s="99" t="n"/>
      <c r="U248" s="99" t="n"/>
      <c r="V248" s="99" t="n"/>
      <c r="W248" s="99" t="n"/>
      <c r="X248" s="99" t="n"/>
      <c r="Y248" s="99" t="n"/>
      <c r="Z248" s="99" t="n"/>
      <c r="AA248" s="99" t="n"/>
      <c r="AB248" s="99" t="n"/>
      <c r="AC248" s="99" t="n"/>
      <c r="AD248" s="99" t="n"/>
      <c r="AE248" s="99" t="n"/>
      <c r="AF248" s="99" t="n"/>
      <c r="AG248" s="99" t="n"/>
      <c r="AH248" s="99" t="n"/>
      <c r="AI248" s="99" t="n"/>
      <c r="AJ248" s="99" t="n"/>
      <c r="AK248" s="99" t="n"/>
      <c r="AL248" s="99" t="n"/>
      <c r="AM248" s="99" t="n"/>
      <c r="AN248" s="99" t="n"/>
      <c r="AO248" s="99" t="n"/>
      <c r="AP248" s="99" t="n"/>
      <c r="AQ248" s="99" t="n"/>
      <c r="AR248" s="99" t="n"/>
    </row>
    <row r="249">
      <c r="D249" s="99" t="n"/>
      <c r="E249" s="99" t="n"/>
      <c r="F249" s="99" t="n"/>
      <c r="G249" s="99" t="n"/>
      <c r="H249" s="99" t="n"/>
      <c r="I249" s="99" t="n"/>
      <c r="J249" s="99" t="n"/>
      <c r="K249" s="99" t="n"/>
      <c r="L249" s="99" t="n"/>
      <c r="M249" s="99" t="n"/>
      <c r="N249" s="99" t="n"/>
      <c r="O249" s="99" t="n"/>
      <c r="P249" s="99" t="n"/>
      <c r="Q249" s="99" t="n"/>
      <c r="R249" s="99" t="n"/>
      <c r="S249" s="99" t="n"/>
      <c r="T249" s="99" t="n"/>
      <c r="U249" s="99" t="n"/>
      <c r="V249" s="99" t="n"/>
      <c r="W249" s="99" t="n"/>
      <c r="X249" s="99" t="n"/>
      <c r="Y249" s="99" t="n"/>
      <c r="Z249" s="99" t="n"/>
      <c r="AA249" s="99" t="n"/>
      <c r="AB249" s="99" t="n"/>
      <c r="AC249" s="99" t="n"/>
      <c r="AD249" s="99" t="n"/>
      <c r="AE249" s="99" t="n"/>
      <c r="AF249" s="99" t="n"/>
      <c r="AG249" s="99" t="n"/>
      <c r="AH249" s="99" t="n"/>
      <c r="AI249" s="99" t="n"/>
      <c r="AJ249" s="99" t="n"/>
      <c r="AK249" s="99" t="n"/>
      <c r="AL249" s="99" t="n"/>
      <c r="AM249" s="99" t="n"/>
      <c r="AN249" s="99" t="n"/>
      <c r="AO249" s="99" t="n"/>
      <c r="AP249" s="99" t="n"/>
      <c r="AQ249" s="99" t="n"/>
      <c r="AR249" s="99" t="n"/>
    </row>
    <row r="250">
      <c r="D250" s="100" t="n"/>
      <c r="E250" s="100" t="n"/>
      <c r="F250" s="100" t="n"/>
      <c r="G250" s="100" t="n"/>
      <c r="H250" s="100" t="n"/>
      <c r="I250" s="100" t="n"/>
      <c r="J250" s="100" t="n"/>
      <c r="K250" s="100" t="n"/>
      <c r="L250" s="100" t="n"/>
      <c r="M250" s="100" t="n"/>
      <c r="N250" s="100" t="n"/>
      <c r="O250" s="100" t="n"/>
      <c r="P250" s="100" t="n"/>
      <c r="Q250" s="100" t="n"/>
      <c r="R250" s="100" t="n"/>
      <c r="S250" s="100" t="n"/>
      <c r="T250" s="100" t="n"/>
      <c r="U250" s="100" t="n"/>
      <c r="V250" s="100" t="n"/>
      <c r="W250" s="100" t="n"/>
      <c r="X250" s="100" t="n"/>
      <c r="Y250" s="100" t="n"/>
      <c r="Z250" s="100" t="n"/>
      <c r="AA250" s="100" t="n"/>
      <c r="AB250" s="100" t="n"/>
      <c r="AC250" s="100" t="n"/>
      <c r="AD250" s="100" t="n"/>
      <c r="AE250" s="100" t="n"/>
      <c r="AF250" s="100" t="n"/>
      <c r="AG250" s="100" t="n"/>
      <c r="AH250" s="100" t="n"/>
      <c r="AI250" s="100" t="n"/>
      <c r="AJ250" s="100" t="n"/>
      <c r="AK250" s="100" t="n"/>
      <c r="AL250" s="100" t="n"/>
      <c r="AM250" s="100" t="n"/>
      <c r="AN250" s="100" t="n"/>
      <c r="AO250" s="100" t="n"/>
      <c r="AP250" s="100" t="n"/>
      <c r="AQ250" s="100" t="n"/>
      <c r="AR250" s="100" t="n"/>
    </row>
    <row r="252">
      <c r="A252" s="6">
        <f>IF(HSI!$C$29="","",HSI!$C$29)</f>
        <v/>
      </c>
      <c r="B252" s="96">
        <f>IF($A252="",0,COUNT($E253:$AR253))</f>
        <v/>
      </c>
      <c r="C252" s="97">
        <f>IF($B252=0,0,MAX($E253:$AR253))</f>
        <v/>
      </c>
      <c r="D252" s="98">
        <f>BDS($A252,FLD_HIST,"headers=y","startcol=1","endcol=7","dir=h","DVD_START_DT",HIST_FROM,"DVD_END_DT",HIST_TO)</f>
        <v/>
      </c>
      <c r="E252" s="99" t="n"/>
      <c r="F252" s="99" t="n"/>
      <c r="G252" s="99" t="n"/>
      <c r="H252" s="99" t="n"/>
      <c r="I252" s="99" t="n"/>
      <c r="J252" s="99" t="n"/>
      <c r="K252" s="99" t="n"/>
      <c r="L252" s="99" t="n"/>
      <c r="M252" s="99" t="n"/>
      <c r="N252" s="99" t="n"/>
      <c r="O252" s="99" t="n"/>
      <c r="P252" s="99" t="n"/>
      <c r="Q252" s="99" t="n"/>
      <c r="R252" s="99" t="n"/>
      <c r="S252" s="99" t="n"/>
      <c r="T252" s="99" t="n"/>
      <c r="U252" s="99" t="n"/>
      <c r="V252" s="99" t="n"/>
      <c r="W252" s="99" t="n"/>
      <c r="X252" s="99" t="n"/>
      <c r="Y252" s="99" t="n"/>
      <c r="Z252" s="99" t="n"/>
      <c r="AA252" s="99" t="n"/>
      <c r="AB252" s="99" t="n"/>
      <c r="AC252" s="99" t="n"/>
      <c r="AD252" s="99" t="n"/>
      <c r="AE252" s="99" t="n"/>
      <c r="AF252" s="99" t="n"/>
      <c r="AG252" s="99" t="n"/>
      <c r="AH252" s="99" t="n"/>
      <c r="AI252" s="99" t="n"/>
      <c r="AJ252" s="99" t="n"/>
      <c r="AK252" s="99" t="n"/>
      <c r="AL252" s="99" t="n"/>
      <c r="AM252" s="99" t="n"/>
      <c r="AN252" s="99" t="n"/>
      <c r="AO252" s="99" t="n"/>
      <c r="AP252" s="99" t="n"/>
      <c r="AQ252" s="99" t="n"/>
      <c r="AR252" s="99" t="n"/>
    </row>
    <row r="253">
      <c r="D253" s="99" t="n"/>
      <c r="E253" s="99" t="n"/>
      <c r="F253" s="99" t="n"/>
      <c r="G253" s="99" t="n"/>
      <c r="H253" s="99" t="n"/>
      <c r="I253" s="99" t="n"/>
      <c r="J253" s="99" t="n"/>
      <c r="K253" s="99" t="n"/>
      <c r="L253" s="99" t="n"/>
      <c r="M253" s="99" t="n"/>
      <c r="N253" s="99" t="n"/>
      <c r="O253" s="99" t="n"/>
      <c r="P253" s="99" t="n"/>
      <c r="Q253" s="99" t="n"/>
      <c r="R253" s="99" t="n"/>
      <c r="S253" s="99" t="n"/>
      <c r="T253" s="99" t="n"/>
      <c r="U253" s="99" t="n"/>
      <c r="V253" s="99" t="n"/>
      <c r="W253" s="99" t="n"/>
      <c r="X253" s="99" t="n"/>
      <c r="Y253" s="99" t="n"/>
      <c r="Z253" s="99" t="n"/>
      <c r="AA253" s="99" t="n"/>
      <c r="AB253" s="99" t="n"/>
      <c r="AC253" s="99" t="n"/>
      <c r="AD253" s="99" t="n"/>
      <c r="AE253" s="99" t="n"/>
      <c r="AF253" s="99" t="n"/>
      <c r="AG253" s="99" t="n"/>
      <c r="AH253" s="99" t="n"/>
      <c r="AI253" s="99" t="n"/>
      <c r="AJ253" s="99" t="n"/>
      <c r="AK253" s="99" t="n"/>
      <c r="AL253" s="99" t="n"/>
      <c r="AM253" s="99" t="n"/>
      <c r="AN253" s="99" t="n"/>
      <c r="AO253" s="99" t="n"/>
      <c r="AP253" s="99" t="n"/>
      <c r="AQ253" s="99" t="n"/>
      <c r="AR253" s="99" t="n"/>
    </row>
    <row r="254">
      <c r="D254" s="99" t="n"/>
      <c r="E254" s="99" t="n"/>
      <c r="F254" s="99" t="n"/>
      <c r="G254" s="99" t="n"/>
      <c r="H254" s="99" t="n"/>
      <c r="I254" s="99" t="n"/>
      <c r="J254" s="99" t="n"/>
      <c r="K254" s="99" t="n"/>
      <c r="L254" s="99" t="n"/>
      <c r="M254" s="99" t="n"/>
      <c r="N254" s="99" t="n"/>
      <c r="O254" s="99" t="n"/>
      <c r="P254" s="99" t="n"/>
      <c r="Q254" s="99" t="n"/>
      <c r="R254" s="99" t="n"/>
      <c r="S254" s="99" t="n"/>
      <c r="T254" s="99" t="n"/>
      <c r="U254" s="99" t="n"/>
      <c r="V254" s="99" t="n"/>
      <c r="W254" s="99" t="n"/>
      <c r="X254" s="99" t="n"/>
      <c r="Y254" s="99" t="n"/>
      <c r="Z254" s="99" t="n"/>
      <c r="AA254" s="99" t="n"/>
      <c r="AB254" s="99" t="n"/>
      <c r="AC254" s="99" t="n"/>
      <c r="AD254" s="99" t="n"/>
      <c r="AE254" s="99" t="n"/>
      <c r="AF254" s="99" t="n"/>
      <c r="AG254" s="99" t="n"/>
      <c r="AH254" s="99" t="n"/>
      <c r="AI254" s="99" t="n"/>
      <c r="AJ254" s="99" t="n"/>
      <c r="AK254" s="99" t="n"/>
      <c r="AL254" s="99" t="n"/>
      <c r="AM254" s="99" t="n"/>
      <c r="AN254" s="99" t="n"/>
      <c r="AO254" s="99" t="n"/>
      <c r="AP254" s="99" t="n"/>
      <c r="AQ254" s="99" t="n"/>
      <c r="AR254" s="99" t="n"/>
    </row>
    <row r="255">
      <c r="D255" s="99" t="n"/>
      <c r="E255" s="99" t="n"/>
      <c r="F255" s="99" t="n"/>
      <c r="G255" s="99" t="n"/>
      <c r="H255" s="99" t="n"/>
      <c r="I255" s="99" t="n"/>
      <c r="J255" s="99" t="n"/>
      <c r="K255" s="99" t="n"/>
      <c r="L255" s="99" t="n"/>
      <c r="M255" s="99" t="n"/>
      <c r="N255" s="99" t="n"/>
      <c r="O255" s="99" t="n"/>
      <c r="P255" s="99" t="n"/>
      <c r="Q255" s="99" t="n"/>
      <c r="R255" s="99" t="n"/>
      <c r="S255" s="99" t="n"/>
      <c r="T255" s="99" t="n"/>
      <c r="U255" s="99" t="n"/>
      <c r="V255" s="99" t="n"/>
      <c r="W255" s="99" t="n"/>
      <c r="X255" s="99" t="n"/>
      <c r="Y255" s="99" t="n"/>
      <c r="Z255" s="99" t="n"/>
      <c r="AA255" s="99" t="n"/>
      <c r="AB255" s="99" t="n"/>
      <c r="AC255" s="99" t="n"/>
      <c r="AD255" s="99" t="n"/>
      <c r="AE255" s="99" t="n"/>
      <c r="AF255" s="99" t="n"/>
      <c r="AG255" s="99" t="n"/>
      <c r="AH255" s="99" t="n"/>
      <c r="AI255" s="99" t="n"/>
      <c r="AJ255" s="99" t="n"/>
      <c r="AK255" s="99" t="n"/>
      <c r="AL255" s="99" t="n"/>
      <c r="AM255" s="99" t="n"/>
      <c r="AN255" s="99" t="n"/>
      <c r="AO255" s="99" t="n"/>
      <c r="AP255" s="99" t="n"/>
      <c r="AQ255" s="99" t="n"/>
      <c r="AR255" s="99" t="n"/>
    </row>
    <row r="256">
      <c r="D256" s="100" t="n"/>
      <c r="E256" s="100" t="n"/>
      <c r="F256" s="100" t="n"/>
      <c r="G256" s="100" t="n"/>
      <c r="H256" s="100" t="n"/>
      <c r="I256" s="100" t="n"/>
      <c r="J256" s="100" t="n"/>
      <c r="K256" s="100" t="n"/>
      <c r="L256" s="100" t="n"/>
      <c r="M256" s="100" t="n"/>
      <c r="N256" s="100" t="n"/>
      <c r="O256" s="100" t="n"/>
      <c r="P256" s="100" t="n"/>
      <c r="Q256" s="100" t="n"/>
      <c r="R256" s="100" t="n"/>
      <c r="S256" s="100" t="n"/>
      <c r="T256" s="100" t="n"/>
      <c r="U256" s="100" t="n"/>
      <c r="V256" s="100" t="n"/>
      <c r="W256" s="100" t="n"/>
      <c r="X256" s="100" t="n"/>
      <c r="Y256" s="100" t="n"/>
      <c r="Z256" s="100" t="n"/>
      <c r="AA256" s="100" t="n"/>
      <c r="AB256" s="100" t="n"/>
      <c r="AC256" s="100" t="n"/>
      <c r="AD256" s="100" t="n"/>
      <c r="AE256" s="100" t="n"/>
      <c r="AF256" s="100" t="n"/>
      <c r="AG256" s="100" t="n"/>
      <c r="AH256" s="100" t="n"/>
      <c r="AI256" s="100" t="n"/>
      <c r="AJ256" s="100" t="n"/>
      <c r="AK256" s="100" t="n"/>
      <c r="AL256" s="100" t="n"/>
      <c r="AM256" s="100" t="n"/>
      <c r="AN256" s="100" t="n"/>
      <c r="AO256" s="100" t="n"/>
      <c r="AP256" s="100" t="n"/>
      <c r="AQ256" s="100" t="n"/>
      <c r="AR256" s="100" t="n"/>
    </row>
    <row r="259">
      <c r="A259" s="2">
        <f>IF($A252="","","   projections")</f>
        <v/>
      </c>
      <c r="B259" s="96">
        <f>IF($A252="",0,COUNT($E260:$AR260))</f>
        <v/>
      </c>
      <c r="C259" s="97">
        <f>IF($B259=0,0,MAX($E260:$AR260))</f>
        <v/>
      </c>
      <c r="D259" s="98">
        <f>BDS($A252,FLD_PROJ,"headers=y","startcol=1","endcol=3","dir=h")</f>
        <v/>
      </c>
      <c r="E259" s="99" t="n"/>
      <c r="F259" s="99" t="n"/>
      <c r="G259" s="99" t="n"/>
      <c r="H259" s="99" t="n"/>
      <c r="I259" s="99" t="n"/>
      <c r="J259" s="99" t="n"/>
      <c r="K259" s="99" t="n"/>
      <c r="L259" s="99" t="n"/>
      <c r="M259" s="99" t="n"/>
      <c r="N259" s="99" t="n"/>
      <c r="O259" s="99" t="n"/>
      <c r="P259" s="99" t="n"/>
      <c r="Q259" s="99" t="n"/>
      <c r="R259" s="99" t="n"/>
      <c r="S259" s="99" t="n"/>
      <c r="T259" s="99" t="n"/>
      <c r="U259" s="99" t="n"/>
      <c r="V259" s="99" t="n"/>
      <c r="W259" s="99" t="n"/>
      <c r="X259" s="99" t="n"/>
      <c r="Y259" s="99" t="n"/>
      <c r="Z259" s="99" t="n"/>
      <c r="AA259" s="99" t="n"/>
      <c r="AB259" s="99" t="n"/>
      <c r="AC259" s="99" t="n"/>
      <c r="AD259" s="99" t="n"/>
      <c r="AE259" s="99" t="n"/>
      <c r="AF259" s="99" t="n"/>
      <c r="AG259" s="99" t="n"/>
      <c r="AH259" s="99" t="n"/>
      <c r="AI259" s="99" t="n"/>
      <c r="AJ259" s="99" t="n"/>
      <c r="AK259" s="99" t="n"/>
      <c r="AL259" s="99" t="n"/>
      <c r="AM259" s="99" t="n"/>
      <c r="AN259" s="99" t="n"/>
      <c r="AO259" s="99" t="n"/>
      <c r="AP259" s="99" t="n"/>
      <c r="AQ259" s="99" t="n"/>
      <c r="AR259" s="99" t="n"/>
    </row>
    <row r="260">
      <c r="D260" s="99" t="n"/>
      <c r="E260" s="99" t="n"/>
      <c r="F260" s="99" t="n"/>
      <c r="G260" s="99" t="n"/>
      <c r="H260" s="99" t="n"/>
      <c r="I260" s="99" t="n"/>
      <c r="J260" s="99" t="n"/>
      <c r="K260" s="99" t="n"/>
      <c r="L260" s="99" t="n"/>
      <c r="M260" s="99" t="n"/>
      <c r="N260" s="99" t="n"/>
      <c r="O260" s="99" t="n"/>
      <c r="P260" s="99" t="n"/>
      <c r="Q260" s="99" t="n"/>
      <c r="R260" s="99" t="n"/>
      <c r="S260" s="99" t="n"/>
      <c r="T260" s="99" t="n"/>
      <c r="U260" s="99" t="n"/>
      <c r="V260" s="99" t="n"/>
      <c r="W260" s="99" t="n"/>
      <c r="X260" s="99" t="n"/>
      <c r="Y260" s="99" t="n"/>
      <c r="Z260" s="99" t="n"/>
      <c r="AA260" s="99" t="n"/>
      <c r="AB260" s="99" t="n"/>
      <c r="AC260" s="99" t="n"/>
      <c r="AD260" s="99" t="n"/>
      <c r="AE260" s="99" t="n"/>
      <c r="AF260" s="99" t="n"/>
      <c r="AG260" s="99" t="n"/>
      <c r="AH260" s="99" t="n"/>
      <c r="AI260" s="99" t="n"/>
      <c r="AJ260" s="99" t="n"/>
      <c r="AK260" s="99" t="n"/>
      <c r="AL260" s="99" t="n"/>
      <c r="AM260" s="99" t="n"/>
      <c r="AN260" s="99" t="n"/>
      <c r="AO260" s="99" t="n"/>
      <c r="AP260" s="99" t="n"/>
      <c r="AQ260" s="99" t="n"/>
      <c r="AR260" s="99" t="n"/>
    </row>
    <row r="261">
      <c r="D261" s="100" t="n"/>
      <c r="E261" s="100" t="n"/>
      <c r="F261" s="100" t="n"/>
      <c r="G261" s="100" t="n"/>
      <c r="H261" s="100" t="n"/>
      <c r="I261" s="100" t="n"/>
      <c r="J261" s="100" t="n"/>
      <c r="K261" s="100" t="n"/>
      <c r="L261" s="100" t="n"/>
      <c r="M261" s="100" t="n"/>
      <c r="N261" s="100" t="n"/>
      <c r="O261" s="100" t="n"/>
      <c r="P261" s="100" t="n"/>
      <c r="Q261" s="100" t="n"/>
      <c r="R261" s="100" t="n"/>
      <c r="S261" s="100" t="n"/>
      <c r="T261" s="100" t="n"/>
      <c r="U261" s="100" t="n"/>
      <c r="V261" s="100" t="n"/>
      <c r="W261" s="100" t="n"/>
      <c r="X261" s="100" t="n"/>
      <c r="Y261" s="100" t="n"/>
      <c r="Z261" s="100" t="n"/>
      <c r="AA261" s="100" t="n"/>
      <c r="AB261" s="100" t="n"/>
      <c r="AC261" s="100" t="n"/>
      <c r="AD261" s="100" t="n"/>
      <c r="AE261" s="100" t="n"/>
      <c r="AF261" s="100" t="n"/>
      <c r="AG261" s="100" t="n"/>
      <c r="AH261" s="100" t="n"/>
      <c r="AI261" s="100" t="n"/>
      <c r="AJ261" s="100" t="n"/>
      <c r="AK261" s="100" t="n"/>
      <c r="AL261" s="100" t="n"/>
      <c r="AM261" s="100" t="n"/>
      <c r="AN261" s="100" t="n"/>
      <c r="AO261" s="100" t="n"/>
      <c r="AP261" s="100" t="n"/>
      <c r="AQ261" s="100" t="n"/>
      <c r="AR261" s="100" t="n"/>
    </row>
    <row r="263">
      <c r="A263" s="6">
        <f>IF(HSI!$C$30="","",HSI!$C$30)</f>
        <v/>
      </c>
      <c r="B263" s="96">
        <f>IF($A263="",0,COUNT($E264:$AR264))</f>
        <v/>
      </c>
      <c r="C263" s="97">
        <f>IF($B263=0,0,MAX($E264:$AR264))</f>
        <v/>
      </c>
      <c r="D263" s="98">
        <f>BDS($A263,FLD_HIST,"headers=y","startcol=1","endcol=7","dir=h","DVD_START_DT",HIST_FROM,"DVD_END_DT",HIST_TO)</f>
        <v/>
      </c>
      <c r="E263" s="99" t="n"/>
      <c r="F263" s="99" t="n"/>
      <c r="G263" s="99" t="n"/>
      <c r="H263" s="99" t="n"/>
      <c r="I263" s="99" t="n"/>
      <c r="J263" s="99" t="n"/>
      <c r="K263" s="99" t="n"/>
      <c r="L263" s="99" t="n"/>
      <c r="M263" s="99" t="n"/>
      <c r="N263" s="99" t="n"/>
      <c r="O263" s="99" t="n"/>
      <c r="P263" s="99" t="n"/>
      <c r="Q263" s="99" t="n"/>
      <c r="R263" s="99" t="n"/>
      <c r="S263" s="99" t="n"/>
      <c r="T263" s="99" t="n"/>
      <c r="U263" s="99" t="n"/>
      <c r="V263" s="99" t="n"/>
      <c r="W263" s="99" t="n"/>
      <c r="X263" s="99" t="n"/>
      <c r="Y263" s="99" t="n"/>
      <c r="Z263" s="99" t="n"/>
      <c r="AA263" s="99" t="n"/>
      <c r="AB263" s="99" t="n"/>
      <c r="AC263" s="99" t="n"/>
      <c r="AD263" s="99" t="n"/>
      <c r="AE263" s="99" t="n"/>
      <c r="AF263" s="99" t="n"/>
      <c r="AG263" s="99" t="n"/>
      <c r="AH263" s="99" t="n"/>
      <c r="AI263" s="99" t="n"/>
      <c r="AJ263" s="99" t="n"/>
      <c r="AK263" s="99" t="n"/>
      <c r="AL263" s="99" t="n"/>
      <c r="AM263" s="99" t="n"/>
      <c r="AN263" s="99" t="n"/>
      <c r="AO263" s="99" t="n"/>
      <c r="AP263" s="99" t="n"/>
      <c r="AQ263" s="99" t="n"/>
      <c r="AR263" s="99" t="n"/>
    </row>
    <row r="264">
      <c r="D264" s="99" t="n"/>
      <c r="E264" s="99" t="n"/>
      <c r="F264" s="99" t="n"/>
      <c r="G264" s="99" t="n"/>
      <c r="H264" s="99" t="n"/>
      <c r="I264" s="99" t="n"/>
      <c r="J264" s="99" t="n"/>
      <c r="K264" s="99" t="n"/>
      <c r="L264" s="99" t="n"/>
      <c r="M264" s="99" t="n"/>
      <c r="N264" s="99" t="n"/>
      <c r="O264" s="99" t="n"/>
      <c r="P264" s="99" t="n"/>
      <c r="Q264" s="99" t="n"/>
      <c r="R264" s="99" t="n"/>
      <c r="S264" s="99" t="n"/>
      <c r="T264" s="99" t="n"/>
      <c r="U264" s="99" t="n"/>
      <c r="V264" s="99" t="n"/>
      <c r="W264" s="99" t="n"/>
      <c r="X264" s="99" t="n"/>
      <c r="Y264" s="99" t="n"/>
      <c r="Z264" s="99" t="n"/>
      <c r="AA264" s="99" t="n"/>
      <c r="AB264" s="99" t="n"/>
      <c r="AC264" s="99" t="n"/>
      <c r="AD264" s="99" t="n"/>
      <c r="AE264" s="99" t="n"/>
      <c r="AF264" s="99" t="n"/>
      <c r="AG264" s="99" t="n"/>
      <c r="AH264" s="99" t="n"/>
      <c r="AI264" s="99" t="n"/>
      <c r="AJ264" s="99" t="n"/>
      <c r="AK264" s="99" t="n"/>
      <c r="AL264" s="99" t="n"/>
      <c r="AM264" s="99" t="n"/>
      <c r="AN264" s="99" t="n"/>
      <c r="AO264" s="99" t="n"/>
      <c r="AP264" s="99" t="n"/>
      <c r="AQ264" s="99" t="n"/>
      <c r="AR264" s="99" t="n"/>
    </row>
    <row r="265">
      <c r="D265" s="99" t="n"/>
      <c r="E265" s="99" t="n"/>
      <c r="F265" s="99" t="n"/>
      <c r="G265" s="99" t="n"/>
      <c r="H265" s="99" t="n"/>
      <c r="I265" s="99" t="n"/>
      <c r="J265" s="99" t="n"/>
      <c r="K265" s="99" t="n"/>
      <c r="L265" s="99" t="n"/>
      <c r="M265" s="99" t="n"/>
      <c r="N265" s="99" t="n"/>
      <c r="O265" s="99" t="n"/>
      <c r="P265" s="99" t="n"/>
      <c r="Q265" s="99" t="n"/>
      <c r="R265" s="99" t="n"/>
      <c r="S265" s="99" t="n"/>
      <c r="T265" s="99" t="n"/>
      <c r="U265" s="99" t="n"/>
      <c r="V265" s="99" t="n"/>
      <c r="W265" s="99" t="n"/>
      <c r="X265" s="99" t="n"/>
      <c r="Y265" s="99" t="n"/>
      <c r="Z265" s="99" t="n"/>
      <c r="AA265" s="99" t="n"/>
      <c r="AB265" s="99" t="n"/>
      <c r="AC265" s="99" t="n"/>
      <c r="AD265" s="99" t="n"/>
      <c r="AE265" s="99" t="n"/>
      <c r="AF265" s="99" t="n"/>
      <c r="AG265" s="99" t="n"/>
      <c r="AH265" s="99" t="n"/>
      <c r="AI265" s="99" t="n"/>
      <c r="AJ265" s="99" t="n"/>
      <c r="AK265" s="99" t="n"/>
      <c r="AL265" s="99" t="n"/>
      <c r="AM265" s="99" t="n"/>
      <c r="AN265" s="99" t="n"/>
      <c r="AO265" s="99" t="n"/>
      <c r="AP265" s="99" t="n"/>
      <c r="AQ265" s="99" t="n"/>
      <c r="AR265" s="99" t="n"/>
    </row>
    <row r="266">
      <c r="D266" s="99" t="n"/>
      <c r="E266" s="99" t="n"/>
      <c r="F266" s="99" t="n"/>
      <c r="G266" s="99" t="n"/>
      <c r="H266" s="99" t="n"/>
      <c r="I266" s="99" t="n"/>
      <c r="J266" s="99" t="n"/>
      <c r="K266" s="99" t="n"/>
      <c r="L266" s="99" t="n"/>
      <c r="M266" s="99" t="n"/>
      <c r="N266" s="99" t="n"/>
      <c r="O266" s="99" t="n"/>
      <c r="P266" s="99" t="n"/>
      <c r="Q266" s="99" t="n"/>
      <c r="R266" s="99" t="n"/>
      <c r="S266" s="99" t="n"/>
      <c r="T266" s="99" t="n"/>
      <c r="U266" s="99" t="n"/>
      <c r="V266" s="99" t="n"/>
      <c r="W266" s="99" t="n"/>
      <c r="X266" s="99" t="n"/>
      <c r="Y266" s="99" t="n"/>
      <c r="Z266" s="99" t="n"/>
      <c r="AA266" s="99" t="n"/>
      <c r="AB266" s="99" t="n"/>
      <c r="AC266" s="99" t="n"/>
      <c r="AD266" s="99" t="n"/>
      <c r="AE266" s="99" t="n"/>
      <c r="AF266" s="99" t="n"/>
      <c r="AG266" s="99" t="n"/>
      <c r="AH266" s="99" t="n"/>
      <c r="AI266" s="99" t="n"/>
      <c r="AJ266" s="99" t="n"/>
      <c r="AK266" s="99" t="n"/>
      <c r="AL266" s="99" t="n"/>
      <c r="AM266" s="99" t="n"/>
      <c r="AN266" s="99" t="n"/>
      <c r="AO266" s="99" t="n"/>
      <c r="AP266" s="99" t="n"/>
      <c r="AQ266" s="99" t="n"/>
      <c r="AR266" s="99" t="n"/>
    </row>
    <row r="267">
      <c r="D267" s="100" t="n"/>
      <c r="E267" s="100" t="n"/>
      <c r="F267" s="100" t="n"/>
      <c r="G267" s="100" t="n"/>
      <c r="H267" s="100" t="n"/>
      <c r="I267" s="100" t="n"/>
      <c r="J267" s="100" t="n"/>
      <c r="K267" s="100" t="n"/>
      <c r="L267" s="100" t="n"/>
      <c r="M267" s="100" t="n"/>
      <c r="N267" s="100" t="n"/>
      <c r="O267" s="100" t="n"/>
      <c r="P267" s="100" t="n"/>
      <c r="Q267" s="100" t="n"/>
      <c r="R267" s="100" t="n"/>
      <c r="S267" s="100" t="n"/>
      <c r="T267" s="100" t="n"/>
      <c r="U267" s="100" t="n"/>
      <c r="V267" s="100" t="n"/>
      <c r="W267" s="100" t="n"/>
      <c r="X267" s="100" t="n"/>
      <c r="Y267" s="100" t="n"/>
      <c r="Z267" s="100" t="n"/>
      <c r="AA267" s="100" t="n"/>
      <c r="AB267" s="100" t="n"/>
      <c r="AC267" s="100" t="n"/>
      <c r="AD267" s="100" t="n"/>
      <c r="AE267" s="100" t="n"/>
      <c r="AF267" s="100" t="n"/>
      <c r="AG267" s="100" t="n"/>
      <c r="AH267" s="100" t="n"/>
      <c r="AI267" s="100" t="n"/>
      <c r="AJ267" s="100" t="n"/>
      <c r="AK267" s="100" t="n"/>
      <c r="AL267" s="100" t="n"/>
      <c r="AM267" s="100" t="n"/>
      <c r="AN267" s="100" t="n"/>
      <c r="AO267" s="100" t="n"/>
      <c r="AP267" s="100" t="n"/>
      <c r="AQ267" s="100" t="n"/>
      <c r="AR267" s="100" t="n"/>
    </row>
    <row r="270">
      <c r="A270" s="2">
        <f>IF($A263="","","   projections")</f>
        <v/>
      </c>
      <c r="B270" s="96">
        <f>IF($A263="",0,COUNT($E271:$AR271))</f>
        <v/>
      </c>
      <c r="C270" s="97">
        <f>IF($B270=0,0,MAX($E271:$AR271))</f>
        <v/>
      </c>
      <c r="D270" s="98">
        <f>BDS($A263,FLD_PROJ,"headers=y","startcol=1","endcol=3","dir=h")</f>
        <v/>
      </c>
      <c r="E270" s="99" t="n"/>
      <c r="F270" s="99" t="n"/>
      <c r="G270" s="99" t="n"/>
      <c r="H270" s="99" t="n"/>
      <c r="I270" s="99" t="n"/>
      <c r="J270" s="99" t="n"/>
      <c r="K270" s="99" t="n"/>
      <c r="L270" s="99" t="n"/>
      <c r="M270" s="99" t="n"/>
      <c r="N270" s="99" t="n"/>
      <c r="O270" s="99" t="n"/>
      <c r="P270" s="99" t="n"/>
      <c r="Q270" s="99" t="n"/>
      <c r="R270" s="99" t="n"/>
      <c r="S270" s="99" t="n"/>
      <c r="T270" s="99" t="n"/>
      <c r="U270" s="99" t="n"/>
      <c r="V270" s="99" t="n"/>
      <c r="W270" s="99" t="n"/>
      <c r="X270" s="99" t="n"/>
      <c r="Y270" s="99" t="n"/>
      <c r="Z270" s="99" t="n"/>
      <c r="AA270" s="99" t="n"/>
      <c r="AB270" s="99" t="n"/>
      <c r="AC270" s="99" t="n"/>
      <c r="AD270" s="99" t="n"/>
      <c r="AE270" s="99" t="n"/>
      <c r="AF270" s="99" t="n"/>
      <c r="AG270" s="99" t="n"/>
      <c r="AH270" s="99" t="n"/>
      <c r="AI270" s="99" t="n"/>
      <c r="AJ270" s="99" t="n"/>
      <c r="AK270" s="99" t="n"/>
      <c r="AL270" s="99" t="n"/>
      <c r="AM270" s="99" t="n"/>
      <c r="AN270" s="99" t="n"/>
      <c r="AO270" s="99" t="n"/>
      <c r="AP270" s="99" t="n"/>
      <c r="AQ270" s="99" t="n"/>
      <c r="AR270" s="99" t="n"/>
    </row>
    <row r="271">
      <c r="D271" s="99" t="n"/>
      <c r="E271" s="99" t="n"/>
      <c r="F271" s="99" t="n"/>
      <c r="G271" s="99" t="n"/>
      <c r="H271" s="99" t="n"/>
      <c r="I271" s="99" t="n"/>
      <c r="J271" s="99" t="n"/>
      <c r="K271" s="99" t="n"/>
      <c r="L271" s="99" t="n"/>
      <c r="M271" s="99" t="n"/>
      <c r="N271" s="99" t="n"/>
      <c r="O271" s="99" t="n"/>
      <c r="P271" s="99" t="n"/>
      <c r="Q271" s="99" t="n"/>
      <c r="R271" s="99" t="n"/>
      <c r="S271" s="99" t="n"/>
      <c r="T271" s="99" t="n"/>
      <c r="U271" s="99" t="n"/>
      <c r="V271" s="99" t="n"/>
      <c r="W271" s="99" t="n"/>
      <c r="X271" s="99" t="n"/>
      <c r="Y271" s="99" t="n"/>
      <c r="Z271" s="99" t="n"/>
      <c r="AA271" s="99" t="n"/>
      <c r="AB271" s="99" t="n"/>
      <c r="AC271" s="99" t="n"/>
      <c r="AD271" s="99" t="n"/>
      <c r="AE271" s="99" t="n"/>
      <c r="AF271" s="99" t="n"/>
      <c r="AG271" s="99" t="n"/>
      <c r="AH271" s="99" t="n"/>
      <c r="AI271" s="99" t="n"/>
      <c r="AJ271" s="99" t="n"/>
      <c r="AK271" s="99" t="n"/>
      <c r="AL271" s="99" t="n"/>
      <c r="AM271" s="99" t="n"/>
      <c r="AN271" s="99" t="n"/>
      <c r="AO271" s="99" t="n"/>
      <c r="AP271" s="99" t="n"/>
      <c r="AQ271" s="99" t="n"/>
      <c r="AR271" s="99" t="n"/>
    </row>
    <row r="272">
      <c r="D272" s="100" t="n"/>
      <c r="E272" s="100" t="n"/>
      <c r="F272" s="100" t="n"/>
      <c r="G272" s="100" t="n"/>
      <c r="H272" s="100" t="n"/>
      <c r="I272" s="100" t="n"/>
      <c r="J272" s="100" t="n"/>
      <c r="K272" s="100" t="n"/>
      <c r="L272" s="100" t="n"/>
      <c r="M272" s="100" t="n"/>
      <c r="N272" s="100" t="n"/>
      <c r="O272" s="100" t="n"/>
      <c r="P272" s="100" t="n"/>
      <c r="Q272" s="100" t="n"/>
      <c r="R272" s="100" t="n"/>
      <c r="S272" s="100" t="n"/>
      <c r="T272" s="100" t="n"/>
      <c r="U272" s="100" t="n"/>
      <c r="V272" s="100" t="n"/>
      <c r="W272" s="100" t="n"/>
      <c r="X272" s="100" t="n"/>
      <c r="Y272" s="100" t="n"/>
      <c r="Z272" s="100" t="n"/>
      <c r="AA272" s="100" t="n"/>
      <c r="AB272" s="100" t="n"/>
      <c r="AC272" s="100" t="n"/>
      <c r="AD272" s="100" t="n"/>
      <c r="AE272" s="100" t="n"/>
      <c r="AF272" s="100" t="n"/>
      <c r="AG272" s="100" t="n"/>
      <c r="AH272" s="100" t="n"/>
      <c r="AI272" s="100" t="n"/>
      <c r="AJ272" s="100" t="n"/>
      <c r="AK272" s="100" t="n"/>
      <c r="AL272" s="100" t="n"/>
      <c r="AM272" s="100" t="n"/>
      <c r="AN272" s="100" t="n"/>
      <c r="AO272" s="100" t="n"/>
      <c r="AP272" s="100" t="n"/>
      <c r="AQ272" s="100" t="n"/>
      <c r="AR272" s="100" t="n"/>
    </row>
    <row r="274">
      <c r="A274" s="6">
        <f>IF(HSI!$C$31="","",HSI!$C$31)</f>
        <v/>
      </c>
      <c r="B274" s="96">
        <f>IF($A274="",0,COUNT($E275:$AR275))</f>
        <v/>
      </c>
      <c r="C274" s="97">
        <f>IF($B274=0,0,MAX($E275:$AR275))</f>
        <v/>
      </c>
      <c r="D274" s="98">
        <f>BDS($A274,FLD_HIST,"headers=y","startcol=1","endcol=7","dir=h","DVD_START_DT",HIST_FROM,"DVD_END_DT",HIST_TO)</f>
        <v/>
      </c>
      <c r="E274" s="99" t="n"/>
      <c r="F274" s="99" t="n"/>
      <c r="G274" s="99" t="n"/>
      <c r="H274" s="99" t="n"/>
      <c r="I274" s="99" t="n"/>
      <c r="J274" s="99" t="n"/>
      <c r="K274" s="99" t="n"/>
      <c r="L274" s="99" t="n"/>
      <c r="M274" s="99" t="n"/>
      <c r="N274" s="99" t="n"/>
      <c r="O274" s="99" t="n"/>
      <c r="P274" s="99" t="n"/>
      <c r="Q274" s="99" t="n"/>
      <c r="R274" s="99" t="n"/>
      <c r="S274" s="99" t="n"/>
      <c r="T274" s="99" t="n"/>
      <c r="U274" s="99" t="n"/>
      <c r="V274" s="99" t="n"/>
      <c r="W274" s="99" t="n"/>
      <c r="X274" s="99" t="n"/>
      <c r="Y274" s="99" t="n"/>
      <c r="Z274" s="99" t="n"/>
      <c r="AA274" s="99" t="n"/>
      <c r="AB274" s="99" t="n"/>
      <c r="AC274" s="99" t="n"/>
      <c r="AD274" s="99" t="n"/>
      <c r="AE274" s="99" t="n"/>
      <c r="AF274" s="99" t="n"/>
      <c r="AG274" s="99" t="n"/>
      <c r="AH274" s="99" t="n"/>
      <c r="AI274" s="99" t="n"/>
      <c r="AJ274" s="99" t="n"/>
      <c r="AK274" s="99" t="n"/>
      <c r="AL274" s="99" t="n"/>
      <c r="AM274" s="99" t="n"/>
      <c r="AN274" s="99" t="n"/>
      <c r="AO274" s="99" t="n"/>
      <c r="AP274" s="99" t="n"/>
      <c r="AQ274" s="99" t="n"/>
      <c r="AR274" s="99" t="n"/>
    </row>
    <row r="275">
      <c r="D275" s="99" t="n"/>
      <c r="E275" s="99" t="n"/>
      <c r="F275" s="99" t="n"/>
      <c r="G275" s="99" t="n"/>
      <c r="H275" s="99" t="n"/>
      <c r="I275" s="99" t="n"/>
      <c r="J275" s="99" t="n"/>
      <c r="K275" s="99" t="n"/>
      <c r="L275" s="99" t="n"/>
      <c r="M275" s="99" t="n"/>
      <c r="N275" s="99" t="n"/>
      <c r="O275" s="99" t="n"/>
      <c r="P275" s="99" t="n"/>
      <c r="Q275" s="99" t="n"/>
      <c r="R275" s="99" t="n"/>
      <c r="S275" s="99" t="n"/>
      <c r="T275" s="99" t="n"/>
      <c r="U275" s="99" t="n"/>
      <c r="V275" s="99" t="n"/>
      <c r="W275" s="99" t="n"/>
      <c r="X275" s="99" t="n"/>
      <c r="Y275" s="99" t="n"/>
      <c r="Z275" s="99" t="n"/>
      <c r="AA275" s="99" t="n"/>
      <c r="AB275" s="99" t="n"/>
      <c r="AC275" s="99" t="n"/>
      <c r="AD275" s="99" t="n"/>
      <c r="AE275" s="99" t="n"/>
      <c r="AF275" s="99" t="n"/>
      <c r="AG275" s="99" t="n"/>
      <c r="AH275" s="99" t="n"/>
      <c r="AI275" s="99" t="n"/>
      <c r="AJ275" s="99" t="n"/>
      <c r="AK275" s="99" t="n"/>
      <c r="AL275" s="99" t="n"/>
      <c r="AM275" s="99" t="n"/>
      <c r="AN275" s="99" t="n"/>
      <c r="AO275" s="99" t="n"/>
      <c r="AP275" s="99" t="n"/>
      <c r="AQ275" s="99" t="n"/>
      <c r="AR275" s="99" t="n"/>
    </row>
    <row r="276">
      <c r="D276" s="99" t="n"/>
      <c r="E276" s="99" t="n"/>
      <c r="F276" s="99" t="n"/>
      <c r="G276" s="99" t="n"/>
      <c r="H276" s="99" t="n"/>
      <c r="I276" s="99" t="n"/>
      <c r="J276" s="99" t="n"/>
      <c r="K276" s="99" t="n"/>
      <c r="L276" s="99" t="n"/>
      <c r="M276" s="99" t="n"/>
      <c r="N276" s="99" t="n"/>
      <c r="O276" s="99" t="n"/>
      <c r="P276" s="99" t="n"/>
      <c r="Q276" s="99" t="n"/>
      <c r="R276" s="99" t="n"/>
      <c r="S276" s="99" t="n"/>
      <c r="T276" s="99" t="n"/>
      <c r="U276" s="99" t="n"/>
      <c r="V276" s="99" t="n"/>
      <c r="W276" s="99" t="n"/>
      <c r="X276" s="99" t="n"/>
      <c r="Y276" s="99" t="n"/>
      <c r="Z276" s="99" t="n"/>
      <c r="AA276" s="99" t="n"/>
      <c r="AB276" s="99" t="n"/>
      <c r="AC276" s="99" t="n"/>
      <c r="AD276" s="99" t="n"/>
      <c r="AE276" s="99" t="n"/>
      <c r="AF276" s="99" t="n"/>
      <c r="AG276" s="99" t="n"/>
      <c r="AH276" s="99" t="n"/>
      <c r="AI276" s="99" t="n"/>
      <c r="AJ276" s="99" t="n"/>
      <c r="AK276" s="99" t="n"/>
      <c r="AL276" s="99" t="n"/>
      <c r="AM276" s="99" t="n"/>
      <c r="AN276" s="99" t="n"/>
      <c r="AO276" s="99" t="n"/>
      <c r="AP276" s="99" t="n"/>
      <c r="AQ276" s="99" t="n"/>
      <c r="AR276" s="99" t="n"/>
    </row>
    <row r="277">
      <c r="D277" s="99" t="n"/>
      <c r="E277" s="99" t="n"/>
      <c r="F277" s="99" t="n"/>
      <c r="G277" s="99" t="n"/>
      <c r="H277" s="99" t="n"/>
      <c r="I277" s="99" t="n"/>
      <c r="J277" s="99" t="n"/>
      <c r="K277" s="99" t="n"/>
      <c r="L277" s="99" t="n"/>
      <c r="M277" s="99" t="n"/>
      <c r="N277" s="99" t="n"/>
      <c r="O277" s="99" t="n"/>
      <c r="P277" s="99" t="n"/>
      <c r="Q277" s="99" t="n"/>
      <c r="R277" s="99" t="n"/>
      <c r="S277" s="99" t="n"/>
      <c r="T277" s="99" t="n"/>
      <c r="U277" s="99" t="n"/>
      <c r="V277" s="99" t="n"/>
      <c r="W277" s="99" t="n"/>
      <c r="X277" s="99" t="n"/>
      <c r="Y277" s="99" t="n"/>
      <c r="Z277" s="99" t="n"/>
      <c r="AA277" s="99" t="n"/>
      <c r="AB277" s="99" t="n"/>
      <c r="AC277" s="99" t="n"/>
      <c r="AD277" s="99" t="n"/>
      <c r="AE277" s="99" t="n"/>
      <c r="AF277" s="99" t="n"/>
      <c r="AG277" s="99" t="n"/>
      <c r="AH277" s="99" t="n"/>
      <c r="AI277" s="99" t="n"/>
      <c r="AJ277" s="99" t="n"/>
      <c r="AK277" s="99" t="n"/>
      <c r="AL277" s="99" t="n"/>
      <c r="AM277" s="99" t="n"/>
      <c r="AN277" s="99" t="n"/>
      <c r="AO277" s="99" t="n"/>
      <c r="AP277" s="99" t="n"/>
      <c r="AQ277" s="99" t="n"/>
      <c r="AR277" s="99" t="n"/>
    </row>
    <row r="278">
      <c r="D278" s="100" t="n"/>
      <c r="E278" s="100" t="n"/>
      <c r="F278" s="100" t="n"/>
      <c r="G278" s="100" t="n"/>
      <c r="H278" s="100" t="n"/>
      <c r="I278" s="100" t="n"/>
      <c r="J278" s="100" t="n"/>
      <c r="K278" s="100" t="n"/>
      <c r="L278" s="100" t="n"/>
      <c r="M278" s="100" t="n"/>
      <c r="N278" s="100" t="n"/>
      <c r="O278" s="100" t="n"/>
      <c r="P278" s="100" t="n"/>
      <c r="Q278" s="100" t="n"/>
      <c r="R278" s="100" t="n"/>
      <c r="S278" s="100" t="n"/>
      <c r="T278" s="100" t="n"/>
      <c r="U278" s="100" t="n"/>
      <c r="V278" s="100" t="n"/>
      <c r="W278" s="100" t="n"/>
      <c r="X278" s="100" t="n"/>
      <c r="Y278" s="100" t="n"/>
      <c r="Z278" s="100" t="n"/>
      <c r="AA278" s="100" t="n"/>
      <c r="AB278" s="100" t="n"/>
      <c r="AC278" s="100" t="n"/>
      <c r="AD278" s="100" t="n"/>
      <c r="AE278" s="100" t="n"/>
      <c r="AF278" s="100" t="n"/>
      <c r="AG278" s="100" t="n"/>
      <c r="AH278" s="100" t="n"/>
      <c r="AI278" s="100" t="n"/>
      <c r="AJ278" s="100" t="n"/>
      <c r="AK278" s="100" t="n"/>
      <c r="AL278" s="100" t="n"/>
      <c r="AM278" s="100" t="n"/>
      <c r="AN278" s="100" t="n"/>
      <c r="AO278" s="100" t="n"/>
      <c r="AP278" s="100" t="n"/>
      <c r="AQ278" s="100" t="n"/>
      <c r="AR278" s="100" t="n"/>
    </row>
    <row r="281">
      <c r="A281" s="2">
        <f>IF($A274="","","   projections")</f>
        <v/>
      </c>
      <c r="B281" s="96">
        <f>IF($A274="",0,COUNT($E282:$AR282))</f>
        <v/>
      </c>
      <c r="C281" s="97">
        <f>IF($B281=0,0,MAX($E282:$AR282))</f>
        <v/>
      </c>
      <c r="D281" s="98">
        <f>BDS($A274,FLD_PROJ,"headers=y","startcol=1","endcol=3","dir=h")</f>
        <v/>
      </c>
      <c r="E281" s="99" t="n"/>
      <c r="F281" s="99" t="n"/>
      <c r="G281" s="99" t="n"/>
      <c r="H281" s="99" t="n"/>
      <c r="I281" s="99" t="n"/>
      <c r="J281" s="99" t="n"/>
      <c r="K281" s="99" t="n"/>
      <c r="L281" s="99" t="n"/>
      <c r="M281" s="99" t="n"/>
      <c r="N281" s="99" t="n"/>
      <c r="O281" s="99" t="n"/>
      <c r="P281" s="99" t="n"/>
      <c r="Q281" s="99" t="n"/>
      <c r="R281" s="99" t="n"/>
      <c r="S281" s="99" t="n"/>
      <c r="T281" s="99" t="n"/>
      <c r="U281" s="99" t="n"/>
      <c r="V281" s="99" t="n"/>
      <c r="W281" s="99" t="n"/>
      <c r="X281" s="99" t="n"/>
      <c r="Y281" s="99" t="n"/>
      <c r="Z281" s="99" t="n"/>
      <c r="AA281" s="99" t="n"/>
      <c r="AB281" s="99" t="n"/>
      <c r="AC281" s="99" t="n"/>
      <c r="AD281" s="99" t="n"/>
      <c r="AE281" s="99" t="n"/>
      <c r="AF281" s="99" t="n"/>
      <c r="AG281" s="99" t="n"/>
      <c r="AH281" s="99" t="n"/>
      <c r="AI281" s="99" t="n"/>
      <c r="AJ281" s="99" t="n"/>
      <c r="AK281" s="99" t="n"/>
      <c r="AL281" s="99" t="n"/>
      <c r="AM281" s="99" t="n"/>
      <c r="AN281" s="99" t="n"/>
      <c r="AO281" s="99" t="n"/>
      <c r="AP281" s="99" t="n"/>
      <c r="AQ281" s="99" t="n"/>
      <c r="AR281" s="99" t="n"/>
    </row>
    <row r="282">
      <c r="D282" s="99" t="n"/>
      <c r="E282" s="99" t="n"/>
      <c r="F282" s="99" t="n"/>
      <c r="G282" s="99" t="n"/>
      <c r="H282" s="99" t="n"/>
      <c r="I282" s="99" t="n"/>
      <c r="J282" s="99" t="n"/>
      <c r="K282" s="99" t="n"/>
      <c r="L282" s="99" t="n"/>
      <c r="M282" s="99" t="n"/>
      <c r="N282" s="99" t="n"/>
      <c r="O282" s="99" t="n"/>
      <c r="P282" s="99" t="n"/>
      <c r="Q282" s="99" t="n"/>
      <c r="R282" s="99" t="n"/>
      <c r="S282" s="99" t="n"/>
      <c r="T282" s="99" t="n"/>
      <c r="U282" s="99" t="n"/>
      <c r="V282" s="99" t="n"/>
      <c r="W282" s="99" t="n"/>
      <c r="X282" s="99" t="n"/>
      <c r="Y282" s="99" t="n"/>
      <c r="Z282" s="99" t="n"/>
      <c r="AA282" s="99" t="n"/>
      <c r="AB282" s="99" t="n"/>
      <c r="AC282" s="99" t="n"/>
      <c r="AD282" s="99" t="n"/>
      <c r="AE282" s="99" t="n"/>
      <c r="AF282" s="99" t="n"/>
      <c r="AG282" s="99" t="n"/>
      <c r="AH282" s="99" t="n"/>
      <c r="AI282" s="99" t="n"/>
      <c r="AJ282" s="99" t="n"/>
      <c r="AK282" s="99" t="n"/>
      <c r="AL282" s="99" t="n"/>
      <c r="AM282" s="99" t="n"/>
      <c r="AN282" s="99" t="n"/>
      <c r="AO282" s="99" t="n"/>
      <c r="AP282" s="99" t="n"/>
      <c r="AQ282" s="99" t="n"/>
      <c r="AR282" s="99" t="n"/>
    </row>
    <row r="283">
      <c r="D283" s="100" t="n"/>
      <c r="E283" s="100" t="n"/>
      <c r="F283" s="100" t="n"/>
      <c r="G283" s="100" t="n"/>
      <c r="H283" s="100" t="n"/>
      <c r="I283" s="100" t="n"/>
      <c r="J283" s="100" t="n"/>
      <c r="K283" s="100" t="n"/>
      <c r="L283" s="100" t="n"/>
      <c r="M283" s="100" t="n"/>
      <c r="N283" s="100" t="n"/>
      <c r="O283" s="100" t="n"/>
      <c r="P283" s="100" t="n"/>
      <c r="Q283" s="100" t="n"/>
      <c r="R283" s="100" t="n"/>
      <c r="S283" s="100" t="n"/>
      <c r="T283" s="100" t="n"/>
      <c r="U283" s="100" t="n"/>
      <c r="V283" s="100" t="n"/>
      <c r="W283" s="100" t="n"/>
      <c r="X283" s="100" t="n"/>
      <c r="Y283" s="100" t="n"/>
      <c r="Z283" s="100" t="n"/>
      <c r="AA283" s="100" t="n"/>
      <c r="AB283" s="100" t="n"/>
      <c r="AC283" s="100" t="n"/>
      <c r="AD283" s="100" t="n"/>
      <c r="AE283" s="100" t="n"/>
      <c r="AF283" s="100" t="n"/>
      <c r="AG283" s="100" t="n"/>
      <c r="AH283" s="100" t="n"/>
      <c r="AI283" s="100" t="n"/>
      <c r="AJ283" s="100" t="n"/>
      <c r="AK283" s="100" t="n"/>
      <c r="AL283" s="100" t="n"/>
      <c r="AM283" s="100" t="n"/>
      <c r="AN283" s="100" t="n"/>
      <c r="AO283" s="100" t="n"/>
      <c r="AP283" s="100" t="n"/>
      <c r="AQ283" s="100" t="n"/>
      <c r="AR283" s="100" t="n"/>
    </row>
    <row r="285">
      <c r="A285" s="6">
        <f>IF(HSI!$C$32="","",HSI!$C$32)</f>
        <v/>
      </c>
      <c r="B285" s="96">
        <f>IF($A285="",0,COUNT($E286:$AR286))</f>
        <v/>
      </c>
      <c r="C285" s="97">
        <f>IF($B285=0,0,MAX($E286:$AR286))</f>
        <v/>
      </c>
      <c r="D285" s="98">
        <f>BDS($A285,FLD_HIST,"headers=y","startcol=1","endcol=7","dir=h","DVD_START_DT",HIST_FROM,"DVD_END_DT",HIST_TO)</f>
        <v/>
      </c>
      <c r="E285" s="99" t="n"/>
      <c r="F285" s="99" t="n"/>
      <c r="G285" s="99" t="n"/>
      <c r="H285" s="99" t="n"/>
      <c r="I285" s="99" t="n"/>
      <c r="J285" s="99" t="n"/>
      <c r="K285" s="99" t="n"/>
      <c r="L285" s="99" t="n"/>
      <c r="M285" s="99" t="n"/>
      <c r="N285" s="99" t="n"/>
      <c r="O285" s="99" t="n"/>
      <c r="P285" s="99" t="n"/>
      <c r="Q285" s="99" t="n"/>
      <c r="R285" s="99" t="n"/>
      <c r="S285" s="99" t="n"/>
      <c r="T285" s="99" t="n"/>
      <c r="U285" s="99" t="n"/>
      <c r="V285" s="99" t="n"/>
      <c r="W285" s="99" t="n"/>
      <c r="X285" s="99" t="n"/>
      <c r="Y285" s="99" t="n"/>
      <c r="Z285" s="99" t="n"/>
      <c r="AA285" s="99" t="n"/>
      <c r="AB285" s="99" t="n"/>
      <c r="AC285" s="99" t="n"/>
      <c r="AD285" s="99" t="n"/>
      <c r="AE285" s="99" t="n"/>
      <c r="AF285" s="99" t="n"/>
      <c r="AG285" s="99" t="n"/>
      <c r="AH285" s="99" t="n"/>
      <c r="AI285" s="99" t="n"/>
      <c r="AJ285" s="99" t="n"/>
      <c r="AK285" s="99" t="n"/>
      <c r="AL285" s="99" t="n"/>
      <c r="AM285" s="99" t="n"/>
      <c r="AN285" s="99" t="n"/>
      <c r="AO285" s="99" t="n"/>
      <c r="AP285" s="99" t="n"/>
      <c r="AQ285" s="99" t="n"/>
      <c r="AR285" s="99" t="n"/>
    </row>
    <row r="286">
      <c r="D286" s="99" t="n"/>
      <c r="E286" s="99" t="n"/>
      <c r="F286" s="99" t="n"/>
      <c r="G286" s="99" t="n"/>
      <c r="H286" s="99" t="n"/>
      <c r="I286" s="99" t="n"/>
      <c r="J286" s="99" t="n"/>
      <c r="K286" s="99" t="n"/>
      <c r="L286" s="99" t="n"/>
      <c r="M286" s="99" t="n"/>
      <c r="N286" s="99" t="n"/>
      <c r="O286" s="99" t="n"/>
      <c r="P286" s="99" t="n"/>
      <c r="Q286" s="99" t="n"/>
      <c r="R286" s="99" t="n"/>
      <c r="S286" s="99" t="n"/>
      <c r="T286" s="99" t="n"/>
      <c r="U286" s="99" t="n"/>
      <c r="V286" s="99" t="n"/>
      <c r="W286" s="99" t="n"/>
      <c r="X286" s="99" t="n"/>
      <c r="Y286" s="99" t="n"/>
      <c r="Z286" s="99" t="n"/>
      <c r="AA286" s="99" t="n"/>
      <c r="AB286" s="99" t="n"/>
      <c r="AC286" s="99" t="n"/>
      <c r="AD286" s="99" t="n"/>
      <c r="AE286" s="99" t="n"/>
      <c r="AF286" s="99" t="n"/>
      <c r="AG286" s="99" t="n"/>
      <c r="AH286" s="99" t="n"/>
      <c r="AI286" s="99" t="n"/>
      <c r="AJ286" s="99" t="n"/>
      <c r="AK286" s="99" t="n"/>
      <c r="AL286" s="99" t="n"/>
      <c r="AM286" s="99" t="n"/>
      <c r="AN286" s="99" t="n"/>
      <c r="AO286" s="99" t="n"/>
      <c r="AP286" s="99" t="n"/>
      <c r="AQ286" s="99" t="n"/>
      <c r="AR286" s="99" t="n"/>
    </row>
    <row r="287">
      <c r="D287" s="99" t="n"/>
      <c r="E287" s="99" t="n"/>
      <c r="F287" s="99" t="n"/>
      <c r="G287" s="99" t="n"/>
      <c r="H287" s="99" t="n"/>
      <c r="I287" s="99" t="n"/>
      <c r="J287" s="99" t="n"/>
      <c r="K287" s="99" t="n"/>
      <c r="L287" s="99" t="n"/>
      <c r="M287" s="99" t="n"/>
      <c r="N287" s="99" t="n"/>
      <c r="O287" s="99" t="n"/>
      <c r="P287" s="99" t="n"/>
      <c r="Q287" s="99" t="n"/>
      <c r="R287" s="99" t="n"/>
      <c r="S287" s="99" t="n"/>
      <c r="T287" s="99" t="n"/>
      <c r="U287" s="99" t="n"/>
      <c r="V287" s="99" t="n"/>
      <c r="W287" s="99" t="n"/>
      <c r="X287" s="99" t="n"/>
      <c r="Y287" s="99" t="n"/>
      <c r="Z287" s="99" t="n"/>
      <c r="AA287" s="99" t="n"/>
      <c r="AB287" s="99" t="n"/>
      <c r="AC287" s="99" t="n"/>
      <c r="AD287" s="99" t="n"/>
      <c r="AE287" s="99" t="n"/>
      <c r="AF287" s="99" t="n"/>
      <c r="AG287" s="99" t="n"/>
      <c r="AH287" s="99" t="n"/>
      <c r="AI287" s="99" t="n"/>
      <c r="AJ287" s="99" t="n"/>
      <c r="AK287" s="99" t="n"/>
      <c r="AL287" s="99" t="n"/>
      <c r="AM287" s="99" t="n"/>
      <c r="AN287" s="99" t="n"/>
      <c r="AO287" s="99" t="n"/>
      <c r="AP287" s="99" t="n"/>
      <c r="AQ287" s="99" t="n"/>
      <c r="AR287" s="99" t="n"/>
    </row>
    <row r="288">
      <c r="D288" s="99" t="n"/>
      <c r="E288" s="99" t="n"/>
      <c r="F288" s="99" t="n"/>
      <c r="G288" s="99" t="n"/>
      <c r="H288" s="99" t="n"/>
      <c r="I288" s="99" t="n"/>
      <c r="J288" s="99" t="n"/>
      <c r="K288" s="99" t="n"/>
      <c r="L288" s="99" t="n"/>
      <c r="M288" s="99" t="n"/>
      <c r="N288" s="99" t="n"/>
      <c r="O288" s="99" t="n"/>
      <c r="P288" s="99" t="n"/>
      <c r="Q288" s="99" t="n"/>
      <c r="R288" s="99" t="n"/>
      <c r="S288" s="99" t="n"/>
      <c r="T288" s="99" t="n"/>
      <c r="U288" s="99" t="n"/>
      <c r="V288" s="99" t="n"/>
      <c r="W288" s="99" t="n"/>
      <c r="X288" s="99" t="n"/>
      <c r="Y288" s="99" t="n"/>
      <c r="Z288" s="99" t="n"/>
      <c r="AA288" s="99" t="n"/>
      <c r="AB288" s="99" t="n"/>
      <c r="AC288" s="99" t="n"/>
      <c r="AD288" s="99" t="n"/>
      <c r="AE288" s="99" t="n"/>
      <c r="AF288" s="99" t="n"/>
      <c r="AG288" s="99" t="n"/>
      <c r="AH288" s="99" t="n"/>
      <c r="AI288" s="99" t="n"/>
      <c r="AJ288" s="99" t="n"/>
      <c r="AK288" s="99" t="n"/>
      <c r="AL288" s="99" t="n"/>
      <c r="AM288" s="99" t="n"/>
      <c r="AN288" s="99" t="n"/>
      <c r="AO288" s="99" t="n"/>
      <c r="AP288" s="99" t="n"/>
      <c r="AQ288" s="99" t="n"/>
      <c r="AR288" s="99" t="n"/>
    </row>
    <row r="289">
      <c r="D289" s="100" t="n"/>
      <c r="E289" s="100" t="n"/>
      <c r="F289" s="100" t="n"/>
      <c r="G289" s="100" t="n"/>
      <c r="H289" s="100" t="n"/>
      <c r="I289" s="100" t="n"/>
      <c r="J289" s="100" t="n"/>
      <c r="K289" s="100" t="n"/>
      <c r="L289" s="100" t="n"/>
      <c r="M289" s="100" t="n"/>
      <c r="N289" s="100" t="n"/>
      <c r="O289" s="100" t="n"/>
      <c r="P289" s="100" t="n"/>
      <c r="Q289" s="100" t="n"/>
      <c r="R289" s="100" t="n"/>
      <c r="S289" s="100" t="n"/>
      <c r="T289" s="100" t="n"/>
      <c r="U289" s="100" t="n"/>
      <c r="V289" s="100" t="n"/>
      <c r="W289" s="100" t="n"/>
      <c r="X289" s="100" t="n"/>
      <c r="Y289" s="100" t="n"/>
      <c r="Z289" s="100" t="n"/>
      <c r="AA289" s="100" t="n"/>
      <c r="AB289" s="100" t="n"/>
      <c r="AC289" s="100" t="n"/>
      <c r="AD289" s="100" t="n"/>
      <c r="AE289" s="100" t="n"/>
      <c r="AF289" s="100" t="n"/>
      <c r="AG289" s="100" t="n"/>
      <c r="AH289" s="100" t="n"/>
      <c r="AI289" s="100" t="n"/>
      <c r="AJ289" s="100" t="n"/>
      <c r="AK289" s="100" t="n"/>
      <c r="AL289" s="100" t="n"/>
      <c r="AM289" s="100" t="n"/>
      <c r="AN289" s="100" t="n"/>
      <c r="AO289" s="100" t="n"/>
      <c r="AP289" s="100" t="n"/>
      <c r="AQ289" s="100" t="n"/>
      <c r="AR289" s="100" t="n"/>
    </row>
    <row r="292">
      <c r="A292" s="2">
        <f>IF($A285="","","   projections")</f>
        <v/>
      </c>
      <c r="B292" s="96">
        <f>IF($A285="",0,COUNT($E293:$AR293))</f>
        <v/>
      </c>
      <c r="C292" s="97">
        <f>IF($B292=0,0,MAX($E293:$AR293))</f>
        <v/>
      </c>
      <c r="D292" s="98">
        <f>BDS($A285,FLD_PROJ,"headers=y","startcol=1","endcol=3","dir=h")</f>
        <v/>
      </c>
      <c r="E292" s="99" t="n"/>
      <c r="F292" s="99" t="n"/>
      <c r="G292" s="99" t="n"/>
      <c r="H292" s="99" t="n"/>
      <c r="I292" s="99" t="n"/>
      <c r="J292" s="99" t="n"/>
      <c r="K292" s="99" t="n"/>
      <c r="L292" s="99" t="n"/>
      <c r="M292" s="99" t="n"/>
      <c r="N292" s="99" t="n"/>
      <c r="O292" s="99" t="n"/>
      <c r="P292" s="99" t="n"/>
      <c r="Q292" s="99" t="n"/>
      <c r="R292" s="99" t="n"/>
      <c r="S292" s="99" t="n"/>
      <c r="T292" s="99" t="n"/>
      <c r="U292" s="99" t="n"/>
      <c r="V292" s="99" t="n"/>
      <c r="W292" s="99" t="n"/>
      <c r="X292" s="99" t="n"/>
      <c r="Y292" s="99" t="n"/>
      <c r="Z292" s="99" t="n"/>
      <c r="AA292" s="99" t="n"/>
      <c r="AB292" s="99" t="n"/>
      <c r="AC292" s="99" t="n"/>
      <c r="AD292" s="99" t="n"/>
      <c r="AE292" s="99" t="n"/>
      <c r="AF292" s="99" t="n"/>
      <c r="AG292" s="99" t="n"/>
      <c r="AH292" s="99" t="n"/>
      <c r="AI292" s="99" t="n"/>
      <c r="AJ292" s="99" t="n"/>
      <c r="AK292" s="99" t="n"/>
      <c r="AL292" s="99" t="n"/>
      <c r="AM292" s="99" t="n"/>
      <c r="AN292" s="99" t="n"/>
      <c r="AO292" s="99" t="n"/>
      <c r="AP292" s="99" t="n"/>
      <c r="AQ292" s="99" t="n"/>
      <c r="AR292" s="99" t="n"/>
    </row>
    <row r="293">
      <c r="D293" s="99" t="n"/>
      <c r="E293" s="99" t="n"/>
      <c r="F293" s="99" t="n"/>
      <c r="G293" s="99" t="n"/>
      <c r="H293" s="99" t="n"/>
      <c r="I293" s="99" t="n"/>
      <c r="J293" s="99" t="n"/>
      <c r="K293" s="99" t="n"/>
      <c r="L293" s="99" t="n"/>
      <c r="M293" s="99" t="n"/>
      <c r="N293" s="99" t="n"/>
      <c r="O293" s="99" t="n"/>
      <c r="P293" s="99" t="n"/>
      <c r="Q293" s="99" t="n"/>
      <c r="R293" s="99" t="n"/>
      <c r="S293" s="99" t="n"/>
      <c r="T293" s="99" t="n"/>
      <c r="U293" s="99" t="n"/>
      <c r="V293" s="99" t="n"/>
      <c r="W293" s="99" t="n"/>
      <c r="X293" s="99" t="n"/>
      <c r="Y293" s="99" t="n"/>
      <c r="Z293" s="99" t="n"/>
      <c r="AA293" s="99" t="n"/>
      <c r="AB293" s="99" t="n"/>
      <c r="AC293" s="99" t="n"/>
      <c r="AD293" s="99" t="n"/>
      <c r="AE293" s="99" t="n"/>
      <c r="AF293" s="99" t="n"/>
      <c r="AG293" s="99" t="n"/>
      <c r="AH293" s="99" t="n"/>
      <c r="AI293" s="99" t="n"/>
      <c r="AJ293" s="99" t="n"/>
      <c r="AK293" s="99" t="n"/>
      <c r="AL293" s="99" t="n"/>
      <c r="AM293" s="99" t="n"/>
      <c r="AN293" s="99" t="n"/>
      <c r="AO293" s="99" t="n"/>
      <c r="AP293" s="99" t="n"/>
      <c r="AQ293" s="99" t="n"/>
      <c r="AR293" s="99" t="n"/>
    </row>
    <row r="294">
      <c r="D294" s="100" t="n"/>
      <c r="E294" s="100" t="n"/>
      <c r="F294" s="100" t="n"/>
      <c r="G294" s="100" t="n"/>
      <c r="H294" s="100" t="n"/>
      <c r="I294" s="100" t="n"/>
      <c r="J294" s="100" t="n"/>
      <c r="K294" s="100" t="n"/>
      <c r="L294" s="100" t="n"/>
      <c r="M294" s="100" t="n"/>
      <c r="N294" s="100" t="n"/>
      <c r="O294" s="100" t="n"/>
      <c r="P294" s="100" t="n"/>
      <c r="Q294" s="100" t="n"/>
      <c r="R294" s="100" t="n"/>
      <c r="S294" s="100" t="n"/>
      <c r="T294" s="100" t="n"/>
      <c r="U294" s="100" t="n"/>
      <c r="V294" s="100" t="n"/>
      <c r="W294" s="100" t="n"/>
      <c r="X294" s="100" t="n"/>
      <c r="Y294" s="100" t="n"/>
      <c r="Z294" s="100" t="n"/>
      <c r="AA294" s="100" t="n"/>
      <c r="AB294" s="100" t="n"/>
      <c r="AC294" s="100" t="n"/>
      <c r="AD294" s="100" t="n"/>
      <c r="AE294" s="100" t="n"/>
      <c r="AF294" s="100" t="n"/>
      <c r="AG294" s="100" t="n"/>
      <c r="AH294" s="100" t="n"/>
      <c r="AI294" s="100" t="n"/>
      <c r="AJ294" s="100" t="n"/>
      <c r="AK294" s="100" t="n"/>
      <c r="AL294" s="100" t="n"/>
      <c r="AM294" s="100" t="n"/>
      <c r="AN294" s="100" t="n"/>
      <c r="AO294" s="100" t="n"/>
      <c r="AP294" s="100" t="n"/>
      <c r="AQ294" s="100" t="n"/>
      <c r="AR294" s="100" t="n"/>
    </row>
    <row r="296">
      <c r="A296" s="6">
        <f>IF(HSI!$C$33="","",HSI!$C$33)</f>
        <v/>
      </c>
      <c r="B296" s="96">
        <f>IF($A296="",0,COUNT($E297:$AR297))</f>
        <v/>
      </c>
      <c r="C296" s="97">
        <f>IF($B296=0,0,MAX($E297:$AR297))</f>
        <v/>
      </c>
      <c r="D296" s="98">
        <f>BDS($A296,FLD_HIST,"headers=y","startcol=1","endcol=7","dir=h","DVD_START_DT",HIST_FROM,"DVD_END_DT",HIST_TO)</f>
        <v/>
      </c>
      <c r="E296" s="99" t="n"/>
      <c r="F296" s="99" t="n"/>
      <c r="G296" s="99" t="n"/>
      <c r="H296" s="99" t="n"/>
      <c r="I296" s="99" t="n"/>
      <c r="J296" s="99" t="n"/>
      <c r="K296" s="99" t="n"/>
      <c r="L296" s="99" t="n"/>
      <c r="M296" s="99" t="n"/>
      <c r="N296" s="99" t="n"/>
      <c r="O296" s="99" t="n"/>
      <c r="P296" s="99" t="n"/>
      <c r="Q296" s="99" t="n"/>
      <c r="R296" s="99" t="n"/>
      <c r="S296" s="99" t="n"/>
      <c r="T296" s="99" t="n"/>
      <c r="U296" s="99" t="n"/>
      <c r="V296" s="99" t="n"/>
      <c r="W296" s="99" t="n"/>
      <c r="X296" s="99" t="n"/>
      <c r="Y296" s="99" t="n"/>
      <c r="Z296" s="99" t="n"/>
      <c r="AA296" s="99" t="n"/>
      <c r="AB296" s="99" t="n"/>
      <c r="AC296" s="99" t="n"/>
      <c r="AD296" s="99" t="n"/>
      <c r="AE296" s="99" t="n"/>
      <c r="AF296" s="99" t="n"/>
      <c r="AG296" s="99" t="n"/>
      <c r="AH296" s="99" t="n"/>
      <c r="AI296" s="99" t="n"/>
      <c r="AJ296" s="99" t="n"/>
      <c r="AK296" s="99" t="n"/>
      <c r="AL296" s="99" t="n"/>
      <c r="AM296" s="99" t="n"/>
      <c r="AN296" s="99" t="n"/>
      <c r="AO296" s="99" t="n"/>
      <c r="AP296" s="99" t="n"/>
      <c r="AQ296" s="99" t="n"/>
      <c r="AR296" s="99" t="n"/>
    </row>
    <row r="297">
      <c r="D297" s="99" t="n"/>
      <c r="E297" s="99" t="n"/>
      <c r="F297" s="99" t="n"/>
      <c r="G297" s="99" t="n"/>
      <c r="H297" s="99" t="n"/>
      <c r="I297" s="99" t="n"/>
      <c r="J297" s="99" t="n"/>
      <c r="K297" s="99" t="n"/>
      <c r="L297" s="99" t="n"/>
      <c r="M297" s="99" t="n"/>
      <c r="N297" s="99" t="n"/>
      <c r="O297" s="99" t="n"/>
      <c r="P297" s="99" t="n"/>
      <c r="Q297" s="99" t="n"/>
      <c r="R297" s="99" t="n"/>
      <c r="S297" s="99" t="n"/>
      <c r="T297" s="99" t="n"/>
      <c r="U297" s="99" t="n"/>
      <c r="V297" s="99" t="n"/>
      <c r="W297" s="99" t="n"/>
      <c r="X297" s="99" t="n"/>
      <c r="Y297" s="99" t="n"/>
      <c r="Z297" s="99" t="n"/>
      <c r="AA297" s="99" t="n"/>
      <c r="AB297" s="99" t="n"/>
      <c r="AC297" s="99" t="n"/>
      <c r="AD297" s="99" t="n"/>
      <c r="AE297" s="99" t="n"/>
      <c r="AF297" s="99" t="n"/>
      <c r="AG297" s="99" t="n"/>
      <c r="AH297" s="99" t="n"/>
      <c r="AI297" s="99" t="n"/>
      <c r="AJ297" s="99" t="n"/>
      <c r="AK297" s="99" t="n"/>
      <c r="AL297" s="99" t="n"/>
      <c r="AM297" s="99" t="n"/>
      <c r="AN297" s="99" t="n"/>
      <c r="AO297" s="99" t="n"/>
      <c r="AP297" s="99" t="n"/>
      <c r="AQ297" s="99" t="n"/>
      <c r="AR297" s="99" t="n"/>
    </row>
    <row r="298">
      <c r="D298" s="99" t="n"/>
      <c r="E298" s="99" t="n"/>
      <c r="F298" s="99" t="n"/>
      <c r="G298" s="99" t="n"/>
      <c r="H298" s="99" t="n"/>
      <c r="I298" s="99" t="n"/>
      <c r="J298" s="99" t="n"/>
      <c r="K298" s="99" t="n"/>
      <c r="L298" s="99" t="n"/>
      <c r="M298" s="99" t="n"/>
      <c r="N298" s="99" t="n"/>
      <c r="O298" s="99" t="n"/>
      <c r="P298" s="99" t="n"/>
      <c r="Q298" s="99" t="n"/>
      <c r="R298" s="99" t="n"/>
      <c r="S298" s="99" t="n"/>
      <c r="T298" s="99" t="n"/>
      <c r="U298" s="99" t="n"/>
      <c r="V298" s="99" t="n"/>
      <c r="W298" s="99" t="n"/>
      <c r="X298" s="99" t="n"/>
      <c r="Y298" s="99" t="n"/>
      <c r="Z298" s="99" t="n"/>
      <c r="AA298" s="99" t="n"/>
      <c r="AB298" s="99" t="n"/>
      <c r="AC298" s="99" t="n"/>
      <c r="AD298" s="99" t="n"/>
      <c r="AE298" s="99" t="n"/>
      <c r="AF298" s="99" t="n"/>
      <c r="AG298" s="99" t="n"/>
      <c r="AH298" s="99" t="n"/>
      <c r="AI298" s="99" t="n"/>
      <c r="AJ298" s="99" t="n"/>
      <c r="AK298" s="99" t="n"/>
      <c r="AL298" s="99" t="n"/>
      <c r="AM298" s="99" t="n"/>
      <c r="AN298" s="99" t="n"/>
      <c r="AO298" s="99" t="n"/>
      <c r="AP298" s="99" t="n"/>
      <c r="AQ298" s="99" t="n"/>
      <c r="AR298" s="99" t="n"/>
    </row>
    <row r="299">
      <c r="D299" s="99" t="n"/>
      <c r="E299" s="99" t="n"/>
      <c r="F299" s="99" t="n"/>
      <c r="G299" s="99" t="n"/>
      <c r="H299" s="99" t="n"/>
      <c r="I299" s="99" t="n"/>
      <c r="J299" s="99" t="n"/>
      <c r="K299" s="99" t="n"/>
      <c r="L299" s="99" t="n"/>
      <c r="M299" s="99" t="n"/>
      <c r="N299" s="99" t="n"/>
      <c r="O299" s="99" t="n"/>
      <c r="P299" s="99" t="n"/>
      <c r="Q299" s="99" t="n"/>
      <c r="R299" s="99" t="n"/>
      <c r="S299" s="99" t="n"/>
      <c r="T299" s="99" t="n"/>
      <c r="U299" s="99" t="n"/>
      <c r="V299" s="99" t="n"/>
      <c r="W299" s="99" t="n"/>
      <c r="X299" s="99" t="n"/>
      <c r="Y299" s="99" t="n"/>
      <c r="Z299" s="99" t="n"/>
      <c r="AA299" s="99" t="n"/>
      <c r="AB299" s="99" t="n"/>
      <c r="AC299" s="99" t="n"/>
      <c r="AD299" s="99" t="n"/>
      <c r="AE299" s="99" t="n"/>
      <c r="AF299" s="99" t="n"/>
      <c r="AG299" s="99" t="n"/>
      <c r="AH299" s="99" t="n"/>
      <c r="AI299" s="99" t="n"/>
      <c r="AJ299" s="99" t="n"/>
      <c r="AK299" s="99" t="n"/>
      <c r="AL299" s="99" t="n"/>
      <c r="AM299" s="99" t="n"/>
      <c r="AN299" s="99" t="n"/>
      <c r="AO299" s="99" t="n"/>
      <c r="AP299" s="99" t="n"/>
      <c r="AQ299" s="99" t="n"/>
      <c r="AR299" s="99" t="n"/>
    </row>
    <row r="300">
      <c r="D300" s="100" t="n"/>
      <c r="E300" s="100" t="n"/>
      <c r="F300" s="100" t="n"/>
      <c r="G300" s="100" t="n"/>
      <c r="H300" s="100" t="n"/>
      <c r="I300" s="100" t="n"/>
      <c r="J300" s="100" t="n"/>
      <c r="K300" s="100" t="n"/>
      <c r="L300" s="100" t="n"/>
      <c r="M300" s="100" t="n"/>
      <c r="N300" s="100" t="n"/>
      <c r="O300" s="100" t="n"/>
      <c r="P300" s="100" t="n"/>
      <c r="Q300" s="100" t="n"/>
      <c r="R300" s="100" t="n"/>
      <c r="S300" s="100" t="n"/>
      <c r="T300" s="100" t="n"/>
      <c r="U300" s="100" t="n"/>
      <c r="V300" s="100" t="n"/>
      <c r="W300" s="100" t="n"/>
      <c r="X300" s="100" t="n"/>
      <c r="Y300" s="100" t="n"/>
      <c r="Z300" s="100" t="n"/>
      <c r="AA300" s="100" t="n"/>
      <c r="AB300" s="100" t="n"/>
      <c r="AC300" s="100" t="n"/>
      <c r="AD300" s="100" t="n"/>
      <c r="AE300" s="100" t="n"/>
      <c r="AF300" s="100" t="n"/>
      <c r="AG300" s="100" t="n"/>
      <c r="AH300" s="100" t="n"/>
      <c r="AI300" s="100" t="n"/>
      <c r="AJ300" s="100" t="n"/>
      <c r="AK300" s="100" t="n"/>
      <c r="AL300" s="100" t="n"/>
      <c r="AM300" s="100" t="n"/>
      <c r="AN300" s="100" t="n"/>
      <c r="AO300" s="100" t="n"/>
      <c r="AP300" s="100" t="n"/>
      <c r="AQ300" s="100" t="n"/>
      <c r="AR300" s="100" t="n"/>
    </row>
    <row r="303">
      <c r="A303" s="2">
        <f>IF($A296="","","   projections")</f>
        <v/>
      </c>
      <c r="B303" s="96">
        <f>IF($A296="",0,COUNT($E304:$AR304))</f>
        <v/>
      </c>
      <c r="C303" s="97">
        <f>IF($B303=0,0,MAX($E304:$AR304))</f>
        <v/>
      </c>
      <c r="D303" s="98">
        <f>BDS($A296,FLD_PROJ,"headers=y","startcol=1","endcol=3","dir=h")</f>
        <v/>
      </c>
      <c r="E303" s="99" t="n"/>
      <c r="F303" s="99" t="n"/>
      <c r="G303" s="99" t="n"/>
      <c r="H303" s="99" t="n"/>
      <c r="I303" s="99" t="n"/>
      <c r="J303" s="99" t="n"/>
      <c r="K303" s="99" t="n"/>
      <c r="L303" s="99" t="n"/>
      <c r="M303" s="99" t="n"/>
      <c r="N303" s="99" t="n"/>
      <c r="O303" s="99" t="n"/>
      <c r="P303" s="99" t="n"/>
      <c r="Q303" s="99" t="n"/>
      <c r="R303" s="99" t="n"/>
      <c r="S303" s="99" t="n"/>
      <c r="T303" s="99" t="n"/>
      <c r="U303" s="99" t="n"/>
      <c r="V303" s="99" t="n"/>
      <c r="W303" s="99" t="n"/>
      <c r="X303" s="99" t="n"/>
      <c r="Y303" s="99" t="n"/>
      <c r="Z303" s="99" t="n"/>
      <c r="AA303" s="99" t="n"/>
      <c r="AB303" s="99" t="n"/>
      <c r="AC303" s="99" t="n"/>
      <c r="AD303" s="99" t="n"/>
      <c r="AE303" s="99" t="n"/>
      <c r="AF303" s="99" t="n"/>
      <c r="AG303" s="99" t="n"/>
      <c r="AH303" s="99" t="n"/>
      <c r="AI303" s="99" t="n"/>
      <c r="AJ303" s="99" t="n"/>
      <c r="AK303" s="99" t="n"/>
      <c r="AL303" s="99" t="n"/>
      <c r="AM303" s="99" t="n"/>
      <c r="AN303" s="99" t="n"/>
      <c r="AO303" s="99" t="n"/>
      <c r="AP303" s="99" t="n"/>
      <c r="AQ303" s="99" t="n"/>
      <c r="AR303" s="99" t="n"/>
    </row>
    <row r="304">
      <c r="D304" s="99" t="n"/>
      <c r="E304" s="99" t="n"/>
      <c r="F304" s="99" t="n"/>
      <c r="G304" s="99" t="n"/>
      <c r="H304" s="99" t="n"/>
      <c r="I304" s="99" t="n"/>
      <c r="J304" s="99" t="n"/>
      <c r="K304" s="99" t="n"/>
      <c r="L304" s="99" t="n"/>
      <c r="M304" s="99" t="n"/>
      <c r="N304" s="99" t="n"/>
      <c r="O304" s="99" t="n"/>
      <c r="P304" s="99" t="n"/>
      <c r="Q304" s="99" t="n"/>
      <c r="R304" s="99" t="n"/>
      <c r="S304" s="99" t="n"/>
      <c r="T304" s="99" t="n"/>
      <c r="U304" s="99" t="n"/>
      <c r="V304" s="99" t="n"/>
      <c r="W304" s="99" t="n"/>
      <c r="X304" s="99" t="n"/>
      <c r="Y304" s="99" t="n"/>
      <c r="Z304" s="99" t="n"/>
      <c r="AA304" s="99" t="n"/>
      <c r="AB304" s="99" t="n"/>
      <c r="AC304" s="99" t="n"/>
      <c r="AD304" s="99" t="n"/>
      <c r="AE304" s="99" t="n"/>
      <c r="AF304" s="99" t="n"/>
      <c r="AG304" s="99" t="n"/>
      <c r="AH304" s="99" t="n"/>
      <c r="AI304" s="99" t="n"/>
      <c r="AJ304" s="99" t="n"/>
      <c r="AK304" s="99" t="n"/>
      <c r="AL304" s="99" t="n"/>
      <c r="AM304" s="99" t="n"/>
      <c r="AN304" s="99" t="n"/>
      <c r="AO304" s="99" t="n"/>
      <c r="AP304" s="99" t="n"/>
      <c r="AQ304" s="99" t="n"/>
      <c r="AR304" s="99" t="n"/>
    </row>
    <row r="305">
      <c r="D305" s="100" t="n"/>
      <c r="E305" s="100" t="n"/>
      <c r="F305" s="100" t="n"/>
      <c r="G305" s="100" t="n"/>
      <c r="H305" s="100" t="n"/>
      <c r="I305" s="100" t="n"/>
      <c r="J305" s="100" t="n"/>
      <c r="K305" s="100" t="n"/>
      <c r="L305" s="100" t="n"/>
      <c r="M305" s="100" t="n"/>
      <c r="N305" s="100" t="n"/>
      <c r="O305" s="100" t="n"/>
      <c r="P305" s="100" t="n"/>
      <c r="Q305" s="100" t="n"/>
      <c r="R305" s="100" t="n"/>
      <c r="S305" s="100" t="n"/>
      <c r="T305" s="100" t="n"/>
      <c r="U305" s="100" t="n"/>
      <c r="V305" s="100" t="n"/>
      <c r="W305" s="100" t="n"/>
      <c r="X305" s="100" t="n"/>
      <c r="Y305" s="100" t="n"/>
      <c r="Z305" s="100" t="n"/>
      <c r="AA305" s="100" t="n"/>
      <c r="AB305" s="100" t="n"/>
      <c r="AC305" s="100" t="n"/>
      <c r="AD305" s="100" t="n"/>
      <c r="AE305" s="100" t="n"/>
      <c r="AF305" s="100" t="n"/>
      <c r="AG305" s="100" t="n"/>
      <c r="AH305" s="100" t="n"/>
      <c r="AI305" s="100" t="n"/>
      <c r="AJ305" s="100" t="n"/>
      <c r="AK305" s="100" t="n"/>
      <c r="AL305" s="100" t="n"/>
      <c r="AM305" s="100" t="n"/>
      <c r="AN305" s="100" t="n"/>
      <c r="AO305" s="100" t="n"/>
      <c r="AP305" s="100" t="n"/>
      <c r="AQ305" s="100" t="n"/>
      <c r="AR305" s="100" t="n"/>
    </row>
    <row r="307">
      <c r="A307" s="6">
        <f>IF(HSI!$C$34="","",HSI!$C$34)</f>
        <v/>
      </c>
      <c r="B307" s="96">
        <f>IF($A307="",0,COUNT($E308:$AR308))</f>
        <v/>
      </c>
      <c r="C307" s="97">
        <f>IF($B307=0,0,MAX($E308:$AR308))</f>
        <v/>
      </c>
      <c r="D307" s="98">
        <f>BDS($A307,FLD_HIST,"headers=y","startcol=1","endcol=7","dir=h","DVD_START_DT",HIST_FROM,"DVD_END_DT",HIST_TO)</f>
        <v/>
      </c>
      <c r="E307" s="99" t="n"/>
      <c r="F307" s="99" t="n"/>
      <c r="G307" s="99" t="n"/>
      <c r="H307" s="99" t="n"/>
      <c r="I307" s="99" t="n"/>
      <c r="J307" s="99" t="n"/>
      <c r="K307" s="99" t="n"/>
      <c r="L307" s="99" t="n"/>
      <c r="M307" s="99" t="n"/>
      <c r="N307" s="99" t="n"/>
      <c r="O307" s="99" t="n"/>
      <c r="P307" s="99" t="n"/>
      <c r="Q307" s="99" t="n"/>
      <c r="R307" s="99" t="n"/>
      <c r="S307" s="99" t="n"/>
      <c r="T307" s="99" t="n"/>
      <c r="U307" s="99" t="n"/>
      <c r="V307" s="99" t="n"/>
      <c r="W307" s="99" t="n"/>
      <c r="X307" s="99" t="n"/>
      <c r="Y307" s="99" t="n"/>
      <c r="Z307" s="99" t="n"/>
      <c r="AA307" s="99" t="n"/>
      <c r="AB307" s="99" t="n"/>
      <c r="AC307" s="99" t="n"/>
      <c r="AD307" s="99" t="n"/>
      <c r="AE307" s="99" t="n"/>
      <c r="AF307" s="99" t="n"/>
      <c r="AG307" s="99" t="n"/>
      <c r="AH307" s="99" t="n"/>
      <c r="AI307" s="99" t="n"/>
      <c r="AJ307" s="99" t="n"/>
      <c r="AK307" s="99" t="n"/>
      <c r="AL307" s="99" t="n"/>
      <c r="AM307" s="99" t="n"/>
      <c r="AN307" s="99" t="n"/>
      <c r="AO307" s="99" t="n"/>
      <c r="AP307" s="99" t="n"/>
      <c r="AQ307" s="99" t="n"/>
      <c r="AR307" s="99" t="n"/>
    </row>
    <row r="308">
      <c r="D308" s="99" t="n"/>
      <c r="E308" s="99" t="n"/>
      <c r="F308" s="99" t="n"/>
      <c r="G308" s="99" t="n"/>
      <c r="H308" s="99" t="n"/>
      <c r="I308" s="99" t="n"/>
      <c r="J308" s="99" t="n"/>
      <c r="K308" s="99" t="n"/>
      <c r="L308" s="99" t="n"/>
      <c r="M308" s="99" t="n"/>
      <c r="N308" s="99" t="n"/>
      <c r="O308" s="99" t="n"/>
      <c r="P308" s="99" t="n"/>
      <c r="Q308" s="99" t="n"/>
      <c r="R308" s="99" t="n"/>
      <c r="S308" s="99" t="n"/>
      <c r="T308" s="99" t="n"/>
      <c r="U308" s="99" t="n"/>
      <c r="V308" s="99" t="n"/>
      <c r="W308" s="99" t="n"/>
      <c r="X308" s="99" t="n"/>
      <c r="Y308" s="99" t="n"/>
      <c r="Z308" s="99" t="n"/>
      <c r="AA308" s="99" t="n"/>
      <c r="AB308" s="99" t="n"/>
      <c r="AC308" s="99" t="n"/>
      <c r="AD308" s="99" t="n"/>
      <c r="AE308" s="99" t="n"/>
      <c r="AF308" s="99" t="n"/>
      <c r="AG308" s="99" t="n"/>
      <c r="AH308" s="99" t="n"/>
      <c r="AI308" s="99" t="n"/>
      <c r="AJ308" s="99" t="n"/>
      <c r="AK308" s="99" t="n"/>
      <c r="AL308" s="99" t="n"/>
      <c r="AM308" s="99" t="n"/>
      <c r="AN308" s="99" t="n"/>
      <c r="AO308" s="99" t="n"/>
      <c r="AP308" s="99" t="n"/>
      <c r="AQ308" s="99" t="n"/>
      <c r="AR308" s="99" t="n"/>
    </row>
    <row r="309">
      <c r="D309" s="99" t="n"/>
      <c r="E309" s="99" t="n"/>
      <c r="F309" s="99" t="n"/>
      <c r="G309" s="99" t="n"/>
      <c r="H309" s="99" t="n"/>
      <c r="I309" s="99" t="n"/>
      <c r="J309" s="99" t="n"/>
      <c r="K309" s="99" t="n"/>
      <c r="L309" s="99" t="n"/>
      <c r="M309" s="99" t="n"/>
      <c r="N309" s="99" t="n"/>
      <c r="O309" s="99" t="n"/>
      <c r="P309" s="99" t="n"/>
      <c r="Q309" s="99" t="n"/>
      <c r="R309" s="99" t="n"/>
      <c r="S309" s="99" t="n"/>
      <c r="T309" s="99" t="n"/>
      <c r="U309" s="99" t="n"/>
      <c r="V309" s="99" t="n"/>
      <c r="W309" s="99" t="n"/>
      <c r="X309" s="99" t="n"/>
      <c r="Y309" s="99" t="n"/>
      <c r="Z309" s="99" t="n"/>
      <c r="AA309" s="99" t="n"/>
      <c r="AB309" s="99" t="n"/>
      <c r="AC309" s="99" t="n"/>
      <c r="AD309" s="99" t="n"/>
      <c r="AE309" s="99" t="n"/>
      <c r="AF309" s="99" t="n"/>
      <c r="AG309" s="99" t="n"/>
      <c r="AH309" s="99" t="n"/>
      <c r="AI309" s="99" t="n"/>
      <c r="AJ309" s="99" t="n"/>
      <c r="AK309" s="99" t="n"/>
      <c r="AL309" s="99" t="n"/>
      <c r="AM309" s="99" t="n"/>
      <c r="AN309" s="99" t="n"/>
      <c r="AO309" s="99" t="n"/>
      <c r="AP309" s="99" t="n"/>
      <c r="AQ309" s="99" t="n"/>
      <c r="AR309" s="99" t="n"/>
    </row>
    <row r="310">
      <c r="D310" s="99" t="n"/>
      <c r="E310" s="99" t="n"/>
      <c r="F310" s="99" t="n"/>
      <c r="G310" s="99" t="n"/>
      <c r="H310" s="99" t="n"/>
      <c r="I310" s="99" t="n"/>
      <c r="J310" s="99" t="n"/>
      <c r="K310" s="99" t="n"/>
      <c r="L310" s="99" t="n"/>
      <c r="M310" s="99" t="n"/>
      <c r="N310" s="99" t="n"/>
      <c r="O310" s="99" t="n"/>
      <c r="P310" s="99" t="n"/>
      <c r="Q310" s="99" t="n"/>
      <c r="R310" s="99" t="n"/>
      <c r="S310" s="99" t="n"/>
      <c r="T310" s="99" t="n"/>
      <c r="U310" s="99" t="n"/>
      <c r="V310" s="99" t="n"/>
      <c r="W310" s="99" t="n"/>
      <c r="X310" s="99" t="n"/>
      <c r="Y310" s="99" t="n"/>
      <c r="Z310" s="99" t="n"/>
      <c r="AA310" s="99" t="n"/>
      <c r="AB310" s="99" t="n"/>
      <c r="AC310" s="99" t="n"/>
      <c r="AD310" s="99" t="n"/>
      <c r="AE310" s="99" t="n"/>
      <c r="AF310" s="99" t="n"/>
      <c r="AG310" s="99" t="n"/>
      <c r="AH310" s="99" t="n"/>
      <c r="AI310" s="99" t="n"/>
      <c r="AJ310" s="99" t="n"/>
      <c r="AK310" s="99" t="n"/>
      <c r="AL310" s="99" t="n"/>
      <c r="AM310" s="99" t="n"/>
      <c r="AN310" s="99" t="n"/>
      <c r="AO310" s="99" t="n"/>
      <c r="AP310" s="99" t="n"/>
      <c r="AQ310" s="99" t="n"/>
      <c r="AR310" s="99" t="n"/>
    </row>
    <row r="311">
      <c r="D311" s="100" t="n"/>
      <c r="E311" s="100" t="n"/>
      <c r="F311" s="100" t="n"/>
      <c r="G311" s="100" t="n"/>
      <c r="H311" s="100" t="n"/>
      <c r="I311" s="100" t="n"/>
      <c r="J311" s="100" t="n"/>
      <c r="K311" s="100" t="n"/>
      <c r="L311" s="100" t="n"/>
      <c r="M311" s="100" t="n"/>
      <c r="N311" s="100" t="n"/>
      <c r="O311" s="100" t="n"/>
      <c r="P311" s="100" t="n"/>
      <c r="Q311" s="100" t="n"/>
      <c r="R311" s="100" t="n"/>
      <c r="S311" s="100" t="n"/>
      <c r="T311" s="100" t="n"/>
      <c r="U311" s="100" t="n"/>
      <c r="V311" s="100" t="n"/>
      <c r="W311" s="100" t="n"/>
      <c r="X311" s="100" t="n"/>
      <c r="Y311" s="100" t="n"/>
      <c r="Z311" s="100" t="n"/>
      <c r="AA311" s="100" t="n"/>
      <c r="AB311" s="100" t="n"/>
      <c r="AC311" s="100" t="n"/>
      <c r="AD311" s="100" t="n"/>
      <c r="AE311" s="100" t="n"/>
      <c r="AF311" s="100" t="n"/>
      <c r="AG311" s="100" t="n"/>
      <c r="AH311" s="100" t="n"/>
      <c r="AI311" s="100" t="n"/>
      <c r="AJ311" s="100" t="n"/>
      <c r="AK311" s="100" t="n"/>
      <c r="AL311" s="100" t="n"/>
      <c r="AM311" s="100" t="n"/>
      <c r="AN311" s="100" t="n"/>
      <c r="AO311" s="100" t="n"/>
      <c r="AP311" s="100" t="n"/>
      <c r="AQ311" s="100" t="n"/>
      <c r="AR311" s="100" t="n"/>
    </row>
    <row r="314">
      <c r="A314" s="2">
        <f>IF($A307="","","   projections")</f>
        <v/>
      </c>
      <c r="B314" s="96">
        <f>IF($A307="",0,COUNT($E315:$AR315))</f>
        <v/>
      </c>
      <c r="C314" s="97">
        <f>IF($B314=0,0,MAX($E315:$AR315))</f>
        <v/>
      </c>
      <c r="D314" s="98">
        <f>BDS($A307,FLD_PROJ,"headers=y","startcol=1","endcol=3","dir=h")</f>
        <v/>
      </c>
      <c r="E314" s="99" t="n"/>
      <c r="F314" s="99" t="n"/>
      <c r="G314" s="99" t="n"/>
      <c r="H314" s="99" t="n"/>
      <c r="I314" s="99" t="n"/>
      <c r="J314" s="99" t="n"/>
      <c r="K314" s="99" t="n"/>
      <c r="L314" s="99" t="n"/>
      <c r="M314" s="99" t="n"/>
      <c r="N314" s="99" t="n"/>
      <c r="O314" s="99" t="n"/>
      <c r="P314" s="99" t="n"/>
      <c r="Q314" s="99" t="n"/>
      <c r="R314" s="99" t="n"/>
      <c r="S314" s="99" t="n"/>
      <c r="T314" s="99" t="n"/>
      <c r="U314" s="99" t="n"/>
      <c r="V314" s="99" t="n"/>
      <c r="W314" s="99" t="n"/>
      <c r="X314" s="99" t="n"/>
      <c r="Y314" s="99" t="n"/>
      <c r="Z314" s="99" t="n"/>
      <c r="AA314" s="99" t="n"/>
      <c r="AB314" s="99" t="n"/>
      <c r="AC314" s="99" t="n"/>
      <c r="AD314" s="99" t="n"/>
      <c r="AE314" s="99" t="n"/>
      <c r="AF314" s="99" t="n"/>
      <c r="AG314" s="99" t="n"/>
      <c r="AH314" s="99" t="n"/>
      <c r="AI314" s="99" t="n"/>
      <c r="AJ314" s="99" t="n"/>
      <c r="AK314" s="99" t="n"/>
      <c r="AL314" s="99" t="n"/>
      <c r="AM314" s="99" t="n"/>
      <c r="AN314" s="99" t="n"/>
      <c r="AO314" s="99" t="n"/>
      <c r="AP314" s="99" t="n"/>
      <c r="AQ314" s="99" t="n"/>
      <c r="AR314" s="99" t="n"/>
    </row>
    <row r="315">
      <c r="D315" s="99" t="n"/>
      <c r="E315" s="99" t="n"/>
      <c r="F315" s="99" t="n"/>
      <c r="G315" s="99" t="n"/>
      <c r="H315" s="99" t="n"/>
      <c r="I315" s="99" t="n"/>
      <c r="J315" s="99" t="n"/>
      <c r="K315" s="99" t="n"/>
      <c r="L315" s="99" t="n"/>
      <c r="M315" s="99" t="n"/>
      <c r="N315" s="99" t="n"/>
      <c r="O315" s="99" t="n"/>
      <c r="P315" s="99" t="n"/>
      <c r="Q315" s="99" t="n"/>
      <c r="R315" s="99" t="n"/>
      <c r="S315" s="99" t="n"/>
      <c r="T315" s="99" t="n"/>
      <c r="U315" s="99" t="n"/>
      <c r="V315" s="99" t="n"/>
      <c r="W315" s="99" t="n"/>
      <c r="X315" s="99" t="n"/>
      <c r="Y315" s="99" t="n"/>
      <c r="Z315" s="99" t="n"/>
      <c r="AA315" s="99" t="n"/>
      <c r="AB315" s="99" t="n"/>
      <c r="AC315" s="99" t="n"/>
      <c r="AD315" s="99" t="n"/>
      <c r="AE315" s="99" t="n"/>
      <c r="AF315" s="99" t="n"/>
      <c r="AG315" s="99" t="n"/>
      <c r="AH315" s="99" t="n"/>
      <c r="AI315" s="99" t="n"/>
      <c r="AJ315" s="99" t="n"/>
      <c r="AK315" s="99" t="n"/>
      <c r="AL315" s="99" t="n"/>
      <c r="AM315" s="99" t="n"/>
      <c r="AN315" s="99" t="n"/>
      <c r="AO315" s="99" t="n"/>
      <c r="AP315" s="99" t="n"/>
      <c r="AQ315" s="99" t="n"/>
      <c r="AR315" s="99" t="n"/>
    </row>
    <row r="316">
      <c r="D316" s="100" t="n"/>
      <c r="E316" s="100" t="n"/>
      <c r="F316" s="100" t="n"/>
      <c r="G316" s="100" t="n"/>
      <c r="H316" s="100" t="n"/>
      <c r="I316" s="100" t="n"/>
      <c r="J316" s="100" t="n"/>
      <c r="K316" s="100" t="n"/>
      <c r="L316" s="100" t="n"/>
      <c r="M316" s="100" t="n"/>
      <c r="N316" s="100" t="n"/>
      <c r="O316" s="100" t="n"/>
      <c r="P316" s="100" t="n"/>
      <c r="Q316" s="100" t="n"/>
      <c r="R316" s="100" t="n"/>
      <c r="S316" s="100" t="n"/>
      <c r="T316" s="100" t="n"/>
      <c r="U316" s="100" t="n"/>
      <c r="V316" s="100" t="n"/>
      <c r="W316" s="100" t="n"/>
      <c r="X316" s="100" t="n"/>
      <c r="Y316" s="100" t="n"/>
      <c r="Z316" s="100" t="n"/>
      <c r="AA316" s="100" t="n"/>
      <c r="AB316" s="100" t="n"/>
      <c r="AC316" s="100" t="n"/>
      <c r="AD316" s="100" t="n"/>
      <c r="AE316" s="100" t="n"/>
      <c r="AF316" s="100" t="n"/>
      <c r="AG316" s="100" t="n"/>
      <c r="AH316" s="100" t="n"/>
      <c r="AI316" s="100" t="n"/>
      <c r="AJ316" s="100" t="n"/>
      <c r="AK316" s="100" t="n"/>
      <c r="AL316" s="100" t="n"/>
      <c r="AM316" s="100" t="n"/>
      <c r="AN316" s="100" t="n"/>
      <c r="AO316" s="100" t="n"/>
      <c r="AP316" s="100" t="n"/>
      <c r="AQ316" s="100" t="n"/>
      <c r="AR316" s="100" t="n"/>
    </row>
    <row r="318">
      <c r="A318" s="6">
        <f>IF(HSI!$C$35="","",HSI!$C$35)</f>
        <v/>
      </c>
      <c r="B318" s="96">
        <f>IF($A318="",0,COUNT($E319:$AR319))</f>
        <v/>
      </c>
      <c r="C318" s="97">
        <f>IF($B318=0,0,MAX($E319:$AR319))</f>
        <v/>
      </c>
      <c r="D318" s="98">
        <f>BDS($A318,FLD_HIST,"headers=y","startcol=1","endcol=7","dir=h","DVD_START_DT",HIST_FROM,"DVD_END_DT",HIST_TO)</f>
        <v/>
      </c>
      <c r="E318" s="99" t="n"/>
      <c r="F318" s="99" t="n"/>
      <c r="G318" s="99" t="n"/>
      <c r="H318" s="99" t="n"/>
      <c r="I318" s="99" t="n"/>
      <c r="J318" s="99" t="n"/>
      <c r="K318" s="99" t="n"/>
      <c r="L318" s="99" t="n"/>
      <c r="M318" s="99" t="n"/>
      <c r="N318" s="99" t="n"/>
      <c r="O318" s="99" t="n"/>
      <c r="P318" s="99" t="n"/>
      <c r="Q318" s="99" t="n"/>
      <c r="R318" s="99" t="n"/>
      <c r="S318" s="99" t="n"/>
      <c r="T318" s="99" t="n"/>
      <c r="U318" s="99" t="n"/>
      <c r="V318" s="99" t="n"/>
      <c r="W318" s="99" t="n"/>
      <c r="X318" s="99" t="n"/>
      <c r="Y318" s="99" t="n"/>
      <c r="Z318" s="99" t="n"/>
      <c r="AA318" s="99" t="n"/>
      <c r="AB318" s="99" t="n"/>
      <c r="AC318" s="99" t="n"/>
      <c r="AD318" s="99" t="n"/>
      <c r="AE318" s="99" t="n"/>
      <c r="AF318" s="99" t="n"/>
      <c r="AG318" s="99" t="n"/>
      <c r="AH318" s="99" t="n"/>
      <c r="AI318" s="99" t="n"/>
      <c r="AJ318" s="99" t="n"/>
      <c r="AK318" s="99" t="n"/>
      <c r="AL318" s="99" t="n"/>
      <c r="AM318" s="99" t="n"/>
      <c r="AN318" s="99" t="n"/>
      <c r="AO318" s="99" t="n"/>
      <c r="AP318" s="99" t="n"/>
      <c r="AQ318" s="99" t="n"/>
      <c r="AR318" s="99" t="n"/>
    </row>
    <row r="319">
      <c r="D319" s="99" t="n"/>
      <c r="E319" s="99" t="n"/>
      <c r="F319" s="99" t="n"/>
      <c r="G319" s="99" t="n"/>
      <c r="H319" s="99" t="n"/>
      <c r="I319" s="99" t="n"/>
      <c r="J319" s="99" t="n"/>
      <c r="K319" s="99" t="n"/>
      <c r="L319" s="99" t="n"/>
      <c r="M319" s="99" t="n"/>
      <c r="N319" s="99" t="n"/>
      <c r="O319" s="99" t="n"/>
      <c r="P319" s="99" t="n"/>
      <c r="Q319" s="99" t="n"/>
      <c r="R319" s="99" t="n"/>
      <c r="S319" s="99" t="n"/>
      <c r="T319" s="99" t="n"/>
      <c r="U319" s="99" t="n"/>
      <c r="V319" s="99" t="n"/>
      <c r="W319" s="99" t="n"/>
      <c r="X319" s="99" t="n"/>
      <c r="Y319" s="99" t="n"/>
      <c r="Z319" s="99" t="n"/>
      <c r="AA319" s="99" t="n"/>
      <c r="AB319" s="99" t="n"/>
      <c r="AC319" s="99" t="n"/>
      <c r="AD319" s="99" t="n"/>
      <c r="AE319" s="99" t="n"/>
      <c r="AF319" s="99" t="n"/>
      <c r="AG319" s="99" t="n"/>
      <c r="AH319" s="99" t="n"/>
      <c r="AI319" s="99" t="n"/>
      <c r="AJ319" s="99" t="n"/>
      <c r="AK319" s="99" t="n"/>
      <c r="AL319" s="99" t="n"/>
      <c r="AM319" s="99" t="n"/>
      <c r="AN319" s="99" t="n"/>
      <c r="AO319" s="99" t="n"/>
      <c r="AP319" s="99" t="n"/>
      <c r="AQ319" s="99" t="n"/>
      <c r="AR319" s="99" t="n"/>
    </row>
    <row r="320">
      <c r="D320" s="99" t="n"/>
      <c r="E320" s="99" t="n"/>
      <c r="F320" s="99" t="n"/>
      <c r="G320" s="99" t="n"/>
      <c r="H320" s="99" t="n"/>
      <c r="I320" s="99" t="n"/>
      <c r="J320" s="99" t="n"/>
      <c r="K320" s="99" t="n"/>
      <c r="L320" s="99" t="n"/>
      <c r="M320" s="99" t="n"/>
      <c r="N320" s="99" t="n"/>
      <c r="O320" s="99" t="n"/>
      <c r="P320" s="99" t="n"/>
      <c r="Q320" s="99" t="n"/>
      <c r="R320" s="99" t="n"/>
      <c r="S320" s="99" t="n"/>
      <c r="T320" s="99" t="n"/>
      <c r="U320" s="99" t="n"/>
      <c r="V320" s="99" t="n"/>
      <c r="W320" s="99" t="n"/>
      <c r="X320" s="99" t="n"/>
      <c r="Y320" s="99" t="n"/>
      <c r="Z320" s="99" t="n"/>
      <c r="AA320" s="99" t="n"/>
      <c r="AB320" s="99" t="n"/>
      <c r="AC320" s="99" t="n"/>
      <c r="AD320" s="99" t="n"/>
      <c r="AE320" s="99" t="n"/>
      <c r="AF320" s="99" t="n"/>
      <c r="AG320" s="99" t="n"/>
      <c r="AH320" s="99" t="n"/>
      <c r="AI320" s="99" t="n"/>
      <c r="AJ320" s="99" t="n"/>
      <c r="AK320" s="99" t="n"/>
      <c r="AL320" s="99" t="n"/>
      <c r="AM320" s="99" t="n"/>
      <c r="AN320" s="99" t="n"/>
      <c r="AO320" s="99" t="n"/>
      <c r="AP320" s="99" t="n"/>
      <c r="AQ320" s="99" t="n"/>
      <c r="AR320" s="99" t="n"/>
    </row>
    <row r="321">
      <c r="D321" s="99" t="n"/>
      <c r="E321" s="99" t="n"/>
      <c r="F321" s="99" t="n"/>
      <c r="G321" s="99" t="n"/>
      <c r="H321" s="99" t="n"/>
      <c r="I321" s="99" t="n"/>
      <c r="J321" s="99" t="n"/>
      <c r="K321" s="99" t="n"/>
      <c r="L321" s="99" t="n"/>
      <c r="M321" s="99" t="n"/>
      <c r="N321" s="99" t="n"/>
      <c r="O321" s="99" t="n"/>
      <c r="P321" s="99" t="n"/>
      <c r="Q321" s="99" t="n"/>
      <c r="R321" s="99" t="n"/>
      <c r="S321" s="99" t="n"/>
      <c r="T321" s="99" t="n"/>
      <c r="U321" s="99" t="n"/>
      <c r="V321" s="99" t="n"/>
      <c r="W321" s="99" t="n"/>
      <c r="X321" s="99" t="n"/>
      <c r="Y321" s="99" t="n"/>
      <c r="Z321" s="99" t="n"/>
      <c r="AA321" s="99" t="n"/>
      <c r="AB321" s="99" t="n"/>
      <c r="AC321" s="99" t="n"/>
      <c r="AD321" s="99" t="n"/>
      <c r="AE321" s="99" t="n"/>
      <c r="AF321" s="99" t="n"/>
      <c r="AG321" s="99" t="n"/>
      <c r="AH321" s="99" t="n"/>
      <c r="AI321" s="99" t="n"/>
      <c r="AJ321" s="99" t="n"/>
      <c r="AK321" s="99" t="n"/>
      <c r="AL321" s="99" t="n"/>
      <c r="AM321" s="99" t="n"/>
      <c r="AN321" s="99" t="n"/>
      <c r="AO321" s="99" t="n"/>
      <c r="AP321" s="99" t="n"/>
      <c r="AQ321" s="99" t="n"/>
      <c r="AR321" s="99" t="n"/>
    </row>
    <row r="322">
      <c r="D322" s="100" t="n"/>
      <c r="E322" s="100" t="n"/>
      <c r="F322" s="100" t="n"/>
      <c r="G322" s="100" t="n"/>
      <c r="H322" s="100" t="n"/>
      <c r="I322" s="100" t="n"/>
      <c r="J322" s="100" t="n"/>
      <c r="K322" s="100" t="n"/>
      <c r="L322" s="100" t="n"/>
      <c r="M322" s="100" t="n"/>
      <c r="N322" s="100" t="n"/>
      <c r="O322" s="100" t="n"/>
      <c r="P322" s="100" t="n"/>
      <c r="Q322" s="100" t="n"/>
      <c r="R322" s="100" t="n"/>
      <c r="S322" s="100" t="n"/>
      <c r="T322" s="100" t="n"/>
      <c r="U322" s="100" t="n"/>
      <c r="V322" s="100" t="n"/>
      <c r="W322" s="100" t="n"/>
      <c r="X322" s="100" t="n"/>
      <c r="Y322" s="100" t="n"/>
      <c r="Z322" s="100" t="n"/>
      <c r="AA322" s="100" t="n"/>
      <c r="AB322" s="100" t="n"/>
      <c r="AC322" s="100" t="n"/>
      <c r="AD322" s="100" t="n"/>
      <c r="AE322" s="100" t="n"/>
      <c r="AF322" s="100" t="n"/>
      <c r="AG322" s="100" t="n"/>
      <c r="AH322" s="100" t="n"/>
      <c r="AI322" s="100" t="n"/>
      <c r="AJ322" s="100" t="n"/>
      <c r="AK322" s="100" t="n"/>
      <c r="AL322" s="100" t="n"/>
      <c r="AM322" s="100" t="n"/>
      <c r="AN322" s="100" t="n"/>
      <c r="AO322" s="100" t="n"/>
      <c r="AP322" s="100" t="n"/>
      <c r="AQ322" s="100" t="n"/>
      <c r="AR322" s="100" t="n"/>
    </row>
    <row r="325">
      <c r="A325" s="2">
        <f>IF($A318="","","   projections")</f>
        <v/>
      </c>
      <c r="B325" s="96">
        <f>IF($A318="",0,COUNT($E326:$AR326))</f>
        <v/>
      </c>
      <c r="C325" s="97">
        <f>IF($B325=0,0,MAX($E326:$AR326))</f>
        <v/>
      </c>
      <c r="D325" s="98">
        <f>BDS($A318,FLD_PROJ,"headers=y","startcol=1","endcol=3","dir=h")</f>
        <v/>
      </c>
      <c r="E325" s="99" t="n"/>
      <c r="F325" s="99" t="n"/>
      <c r="G325" s="99" t="n"/>
      <c r="H325" s="99" t="n"/>
      <c r="I325" s="99" t="n"/>
      <c r="J325" s="99" t="n"/>
      <c r="K325" s="99" t="n"/>
      <c r="L325" s="99" t="n"/>
      <c r="M325" s="99" t="n"/>
      <c r="N325" s="99" t="n"/>
      <c r="O325" s="99" t="n"/>
      <c r="P325" s="99" t="n"/>
      <c r="Q325" s="99" t="n"/>
      <c r="R325" s="99" t="n"/>
      <c r="S325" s="99" t="n"/>
      <c r="T325" s="99" t="n"/>
      <c r="U325" s="99" t="n"/>
      <c r="V325" s="99" t="n"/>
      <c r="W325" s="99" t="n"/>
      <c r="X325" s="99" t="n"/>
      <c r="Y325" s="99" t="n"/>
      <c r="Z325" s="99" t="n"/>
      <c r="AA325" s="99" t="n"/>
      <c r="AB325" s="99" t="n"/>
      <c r="AC325" s="99" t="n"/>
      <c r="AD325" s="99" t="n"/>
      <c r="AE325" s="99" t="n"/>
      <c r="AF325" s="99" t="n"/>
      <c r="AG325" s="99" t="n"/>
      <c r="AH325" s="99" t="n"/>
      <c r="AI325" s="99" t="n"/>
      <c r="AJ325" s="99" t="n"/>
      <c r="AK325" s="99" t="n"/>
      <c r="AL325" s="99" t="n"/>
      <c r="AM325" s="99" t="n"/>
      <c r="AN325" s="99" t="n"/>
      <c r="AO325" s="99" t="n"/>
      <c r="AP325" s="99" t="n"/>
      <c r="AQ325" s="99" t="n"/>
      <c r="AR325" s="99" t="n"/>
    </row>
    <row r="326">
      <c r="D326" s="99" t="n"/>
      <c r="E326" s="99" t="n"/>
      <c r="F326" s="99" t="n"/>
      <c r="G326" s="99" t="n"/>
      <c r="H326" s="99" t="n"/>
      <c r="I326" s="99" t="n"/>
      <c r="J326" s="99" t="n"/>
      <c r="K326" s="99" t="n"/>
      <c r="L326" s="99" t="n"/>
      <c r="M326" s="99" t="n"/>
      <c r="N326" s="99" t="n"/>
      <c r="O326" s="99" t="n"/>
      <c r="P326" s="99" t="n"/>
      <c r="Q326" s="99" t="n"/>
      <c r="R326" s="99" t="n"/>
      <c r="S326" s="99" t="n"/>
      <c r="T326" s="99" t="n"/>
      <c r="U326" s="99" t="n"/>
      <c r="V326" s="99" t="n"/>
      <c r="W326" s="99" t="n"/>
      <c r="X326" s="99" t="n"/>
      <c r="Y326" s="99" t="n"/>
      <c r="Z326" s="99" t="n"/>
      <c r="AA326" s="99" t="n"/>
      <c r="AB326" s="99" t="n"/>
      <c r="AC326" s="99" t="n"/>
      <c r="AD326" s="99" t="n"/>
      <c r="AE326" s="99" t="n"/>
      <c r="AF326" s="99" t="n"/>
      <c r="AG326" s="99" t="n"/>
      <c r="AH326" s="99" t="n"/>
      <c r="AI326" s="99" t="n"/>
      <c r="AJ326" s="99" t="n"/>
      <c r="AK326" s="99" t="n"/>
      <c r="AL326" s="99" t="n"/>
      <c r="AM326" s="99" t="n"/>
      <c r="AN326" s="99" t="n"/>
      <c r="AO326" s="99" t="n"/>
      <c r="AP326" s="99" t="n"/>
      <c r="AQ326" s="99" t="n"/>
      <c r="AR326" s="99" t="n"/>
    </row>
    <row r="327">
      <c r="D327" s="100" t="n"/>
      <c r="E327" s="100" t="n"/>
      <c r="F327" s="100" t="n"/>
      <c r="G327" s="100" t="n"/>
      <c r="H327" s="100" t="n"/>
      <c r="I327" s="100" t="n"/>
      <c r="J327" s="100" t="n"/>
      <c r="K327" s="100" t="n"/>
      <c r="L327" s="100" t="n"/>
      <c r="M327" s="100" t="n"/>
      <c r="N327" s="100" t="n"/>
      <c r="O327" s="100" t="n"/>
      <c r="P327" s="100" t="n"/>
      <c r="Q327" s="100" t="n"/>
      <c r="R327" s="100" t="n"/>
      <c r="S327" s="100" t="n"/>
      <c r="T327" s="100" t="n"/>
      <c r="U327" s="100" t="n"/>
      <c r="V327" s="100" t="n"/>
      <c r="W327" s="100" t="n"/>
      <c r="X327" s="100" t="n"/>
      <c r="Y327" s="100" t="n"/>
      <c r="Z327" s="100" t="n"/>
      <c r="AA327" s="100" t="n"/>
      <c r="AB327" s="100" t="n"/>
      <c r="AC327" s="100" t="n"/>
      <c r="AD327" s="100" t="n"/>
      <c r="AE327" s="100" t="n"/>
      <c r="AF327" s="100" t="n"/>
      <c r="AG327" s="100" t="n"/>
      <c r="AH327" s="100" t="n"/>
      <c r="AI327" s="100" t="n"/>
      <c r="AJ327" s="100" t="n"/>
      <c r="AK327" s="100" t="n"/>
      <c r="AL327" s="100" t="n"/>
      <c r="AM327" s="100" t="n"/>
      <c r="AN327" s="100" t="n"/>
      <c r="AO327" s="100" t="n"/>
      <c r="AP327" s="100" t="n"/>
      <c r="AQ327" s="100" t="n"/>
      <c r="AR327" s="100" t="n"/>
    </row>
    <row r="329">
      <c r="A329" s="6">
        <f>IF(HSI!$C$36="","",HSI!$C$36)</f>
        <v/>
      </c>
      <c r="B329" s="96">
        <f>IF($A329="",0,COUNT($E330:$AR330))</f>
        <v/>
      </c>
      <c r="C329" s="97">
        <f>IF($B329=0,0,MAX($E330:$AR330))</f>
        <v/>
      </c>
      <c r="D329" s="98">
        <f>BDS($A329,FLD_HIST,"headers=y","startcol=1","endcol=7","dir=h","DVD_START_DT",HIST_FROM,"DVD_END_DT",HIST_TO)</f>
        <v/>
      </c>
      <c r="E329" s="99" t="n"/>
      <c r="F329" s="99" t="n"/>
      <c r="G329" s="99" t="n"/>
      <c r="H329" s="99" t="n"/>
      <c r="I329" s="99" t="n"/>
      <c r="J329" s="99" t="n"/>
      <c r="K329" s="99" t="n"/>
      <c r="L329" s="99" t="n"/>
      <c r="M329" s="99" t="n"/>
      <c r="N329" s="99" t="n"/>
      <c r="O329" s="99" t="n"/>
      <c r="P329" s="99" t="n"/>
      <c r="Q329" s="99" t="n"/>
      <c r="R329" s="99" t="n"/>
      <c r="S329" s="99" t="n"/>
      <c r="T329" s="99" t="n"/>
      <c r="U329" s="99" t="n"/>
      <c r="V329" s="99" t="n"/>
      <c r="W329" s="99" t="n"/>
      <c r="X329" s="99" t="n"/>
      <c r="Y329" s="99" t="n"/>
      <c r="Z329" s="99" t="n"/>
      <c r="AA329" s="99" t="n"/>
      <c r="AB329" s="99" t="n"/>
      <c r="AC329" s="99" t="n"/>
      <c r="AD329" s="99" t="n"/>
      <c r="AE329" s="99" t="n"/>
      <c r="AF329" s="99" t="n"/>
      <c r="AG329" s="99" t="n"/>
      <c r="AH329" s="99" t="n"/>
      <c r="AI329" s="99" t="n"/>
      <c r="AJ329" s="99" t="n"/>
      <c r="AK329" s="99" t="n"/>
      <c r="AL329" s="99" t="n"/>
      <c r="AM329" s="99" t="n"/>
      <c r="AN329" s="99" t="n"/>
      <c r="AO329" s="99" t="n"/>
      <c r="AP329" s="99" t="n"/>
      <c r="AQ329" s="99" t="n"/>
      <c r="AR329" s="99" t="n"/>
    </row>
    <row r="330">
      <c r="D330" s="99" t="n"/>
      <c r="E330" s="99" t="n"/>
      <c r="F330" s="99" t="n"/>
      <c r="G330" s="99" t="n"/>
      <c r="H330" s="99" t="n"/>
      <c r="I330" s="99" t="n"/>
      <c r="J330" s="99" t="n"/>
      <c r="K330" s="99" t="n"/>
      <c r="L330" s="99" t="n"/>
      <c r="M330" s="99" t="n"/>
      <c r="N330" s="99" t="n"/>
      <c r="O330" s="99" t="n"/>
      <c r="P330" s="99" t="n"/>
      <c r="Q330" s="99" t="n"/>
      <c r="R330" s="99" t="n"/>
      <c r="S330" s="99" t="n"/>
      <c r="T330" s="99" t="n"/>
      <c r="U330" s="99" t="n"/>
      <c r="V330" s="99" t="n"/>
      <c r="W330" s="99" t="n"/>
      <c r="X330" s="99" t="n"/>
      <c r="Y330" s="99" t="n"/>
      <c r="Z330" s="99" t="n"/>
      <c r="AA330" s="99" t="n"/>
      <c r="AB330" s="99" t="n"/>
      <c r="AC330" s="99" t="n"/>
      <c r="AD330" s="99" t="n"/>
      <c r="AE330" s="99" t="n"/>
      <c r="AF330" s="99" t="n"/>
      <c r="AG330" s="99" t="n"/>
      <c r="AH330" s="99" t="n"/>
      <c r="AI330" s="99" t="n"/>
      <c r="AJ330" s="99" t="n"/>
      <c r="AK330" s="99" t="n"/>
      <c r="AL330" s="99" t="n"/>
      <c r="AM330" s="99" t="n"/>
      <c r="AN330" s="99" t="n"/>
      <c r="AO330" s="99" t="n"/>
      <c r="AP330" s="99" t="n"/>
      <c r="AQ330" s="99" t="n"/>
      <c r="AR330" s="99" t="n"/>
    </row>
    <row r="331">
      <c r="D331" s="99" t="n"/>
      <c r="E331" s="99" t="n"/>
      <c r="F331" s="99" t="n"/>
      <c r="G331" s="99" t="n"/>
      <c r="H331" s="99" t="n"/>
      <c r="I331" s="99" t="n"/>
      <c r="J331" s="99" t="n"/>
      <c r="K331" s="99" t="n"/>
      <c r="L331" s="99" t="n"/>
      <c r="M331" s="99" t="n"/>
      <c r="N331" s="99" t="n"/>
      <c r="O331" s="99" t="n"/>
      <c r="P331" s="99" t="n"/>
      <c r="Q331" s="99" t="n"/>
      <c r="R331" s="99" t="n"/>
      <c r="S331" s="99" t="n"/>
      <c r="T331" s="99" t="n"/>
      <c r="U331" s="99" t="n"/>
      <c r="V331" s="99" t="n"/>
      <c r="W331" s="99" t="n"/>
      <c r="X331" s="99" t="n"/>
      <c r="Y331" s="99" t="n"/>
      <c r="Z331" s="99" t="n"/>
      <c r="AA331" s="99" t="n"/>
      <c r="AB331" s="99" t="n"/>
      <c r="AC331" s="99" t="n"/>
      <c r="AD331" s="99" t="n"/>
      <c r="AE331" s="99" t="n"/>
      <c r="AF331" s="99" t="n"/>
      <c r="AG331" s="99" t="n"/>
      <c r="AH331" s="99" t="n"/>
      <c r="AI331" s="99" t="n"/>
      <c r="AJ331" s="99" t="n"/>
      <c r="AK331" s="99" t="n"/>
      <c r="AL331" s="99" t="n"/>
      <c r="AM331" s="99" t="n"/>
      <c r="AN331" s="99" t="n"/>
      <c r="AO331" s="99" t="n"/>
      <c r="AP331" s="99" t="n"/>
      <c r="AQ331" s="99" t="n"/>
      <c r="AR331" s="99" t="n"/>
    </row>
    <row r="332">
      <c r="D332" s="99" t="n"/>
      <c r="E332" s="99" t="n"/>
      <c r="F332" s="99" t="n"/>
      <c r="G332" s="99" t="n"/>
      <c r="H332" s="99" t="n"/>
      <c r="I332" s="99" t="n"/>
      <c r="J332" s="99" t="n"/>
      <c r="K332" s="99" t="n"/>
      <c r="L332" s="99" t="n"/>
      <c r="M332" s="99" t="n"/>
      <c r="N332" s="99" t="n"/>
      <c r="O332" s="99" t="n"/>
      <c r="P332" s="99" t="n"/>
      <c r="Q332" s="99" t="n"/>
      <c r="R332" s="99" t="n"/>
      <c r="S332" s="99" t="n"/>
      <c r="T332" s="99" t="n"/>
      <c r="U332" s="99" t="n"/>
      <c r="V332" s="99" t="n"/>
      <c r="W332" s="99" t="n"/>
      <c r="X332" s="99" t="n"/>
      <c r="Y332" s="99" t="n"/>
      <c r="Z332" s="99" t="n"/>
      <c r="AA332" s="99" t="n"/>
      <c r="AB332" s="99" t="n"/>
      <c r="AC332" s="99" t="n"/>
      <c r="AD332" s="99" t="n"/>
      <c r="AE332" s="99" t="n"/>
      <c r="AF332" s="99" t="n"/>
      <c r="AG332" s="99" t="n"/>
      <c r="AH332" s="99" t="n"/>
      <c r="AI332" s="99" t="n"/>
      <c r="AJ332" s="99" t="n"/>
      <c r="AK332" s="99" t="n"/>
      <c r="AL332" s="99" t="n"/>
      <c r="AM332" s="99" t="n"/>
      <c r="AN332" s="99" t="n"/>
      <c r="AO332" s="99" t="n"/>
      <c r="AP332" s="99" t="n"/>
      <c r="AQ332" s="99" t="n"/>
      <c r="AR332" s="99" t="n"/>
    </row>
    <row r="333">
      <c r="D333" s="100" t="n"/>
      <c r="E333" s="100" t="n"/>
      <c r="F333" s="100" t="n"/>
      <c r="G333" s="100" t="n"/>
      <c r="H333" s="100" t="n"/>
      <c r="I333" s="100" t="n"/>
      <c r="J333" s="100" t="n"/>
      <c r="K333" s="100" t="n"/>
      <c r="L333" s="100" t="n"/>
      <c r="M333" s="100" t="n"/>
      <c r="N333" s="100" t="n"/>
      <c r="O333" s="100" t="n"/>
      <c r="P333" s="100" t="n"/>
      <c r="Q333" s="100" t="n"/>
      <c r="R333" s="100" t="n"/>
      <c r="S333" s="100" t="n"/>
      <c r="T333" s="100" t="n"/>
      <c r="U333" s="100" t="n"/>
      <c r="V333" s="100" t="n"/>
      <c r="W333" s="100" t="n"/>
      <c r="X333" s="100" t="n"/>
      <c r="Y333" s="100" t="n"/>
      <c r="Z333" s="100" t="n"/>
      <c r="AA333" s="100" t="n"/>
      <c r="AB333" s="100" t="n"/>
      <c r="AC333" s="100" t="n"/>
      <c r="AD333" s="100" t="n"/>
      <c r="AE333" s="100" t="n"/>
      <c r="AF333" s="100" t="n"/>
      <c r="AG333" s="100" t="n"/>
      <c r="AH333" s="100" t="n"/>
      <c r="AI333" s="100" t="n"/>
      <c r="AJ333" s="100" t="n"/>
      <c r="AK333" s="100" t="n"/>
      <c r="AL333" s="100" t="n"/>
      <c r="AM333" s="100" t="n"/>
      <c r="AN333" s="100" t="n"/>
      <c r="AO333" s="100" t="n"/>
      <c r="AP333" s="100" t="n"/>
      <c r="AQ333" s="100" t="n"/>
      <c r="AR333" s="100" t="n"/>
    </row>
    <row r="336">
      <c r="A336" s="2">
        <f>IF($A329="","","   projections")</f>
        <v/>
      </c>
      <c r="B336" s="96">
        <f>IF($A329="",0,COUNT($E337:$AR337))</f>
        <v/>
      </c>
      <c r="C336" s="97">
        <f>IF($B336=0,0,MAX($E337:$AR337))</f>
        <v/>
      </c>
      <c r="D336" s="98">
        <f>BDS($A329,FLD_PROJ,"headers=y","startcol=1","endcol=3","dir=h")</f>
        <v/>
      </c>
      <c r="E336" s="99" t="n"/>
      <c r="F336" s="99" t="n"/>
      <c r="G336" s="99" t="n"/>
      <c r="H336" s="99" t="n"/>
      <c r="I336" s="99" t="n"/>
      <c r="J336" s="99" t="n"/>
      <c r="K336" s="99" t="n"/>
      <c r="L336" s="99" t="n"/>
      <c r="M336" s="99" t="n"/>
      <c r="N336" s="99" t="n"/>
      <c r="O336" s="99" t="n"/>
      <c r="P336" s="99" t="n"/>
      <c r="Q336" s="99" t="n"/>
      <c r="R336" s="99" t="n"/>
      <c r="S336" s="99" t="n"/>
      <c r="T336" s="99" t="n"/>
      <c r="U336" s="99" t="n"/>
      <c r="V336" s="99" t="n"/>
      <c r="W336" s="99" t="n"/>
      <c r="X336" s="99" t="n"/>
      <c r="Y336" s="99" t="n"/>
      <c r="Z336" s="99" t="n"/>
      <c r="AA336" s="99" t="n"/>
      <c r="AB336" s="99" t="n"/>
      <c r="AC336" s="99" t="n"/>
      <c r="AD336" s="99" t="n"/>
      <c r="AE336" s="99" t="n"/>
      <c r="AF336" s="99" t="n"/>
      <c r="AG336" s="99" t="n"/>
      <c r="AH336" s="99" t="n"/>
      <c r="AI336" s="99" t="n"/>
      <c r="AJ336" s="99" t="n"/>
      <c r="AK336" s="99" t="n"/>
      <c r="AL336" s="99" t="n"/>
      <c r="AM336" s="99" t="n"/>
      <c r="AN336" s="99" t="n"/>
      <c r="AO336" s="99" t="n"/>
      <c r="AP336" s="99" t="n"/>
      <c r="AQ336" s="99" t="n"/>
      <c r="AR336" s="99" t="n"/>
    </row>
    <row r="337">
      <c r="D337" s="99" t="n"/>
      <c r="E337" s="99" t="n"/>
      <c r="F337" s="99" t="n"/>
      <c r="G337" s="99" t="n"/>
      <c r="H337" s="99" t="n"/>
      <c r="I337" s="99" t="n"/>
      <c r="J337" s="99" t="n"/>
      <c r="K337" s="99" t="n"/>
      <c r="L337" s="99" t="n"/>
      <c r="M337" s="99" t="n"/>
      <c r="N337" s="99" t="n"/>
      <c r="O337" s="99" t="n"/>
      <c r="P337" s="99" t="n"/>
      <c r="Q337" s="99" t="n"/>
      <c r="R337" s="99" t="n"/>
      <c r="S337" s="99" t="n"/>
      <c r="T337" s="99" t="n"/>
      <c r="U337" s="99" t="n"/>
      <c r="V337" s="99" t="n"/>
      <c r="W337" s="99" t="n"/>
      <c r="X337" s="99" t="n"/>
      <c r="Y337" s="99" t="n"/>
      <c r="Z337" s="99" t="n"/>
      <c r="AA337" s="99" t="n"/>
      <c r="AB337" s="99" t="n"/>
      <c r="AC337" s="99" t="n"/>
      <c r="AD337" s="99" t="n"/>
      <c r="AE337" s="99" t="n"/>
      <c r="AF337" s="99" t="n"/>
      <c r="AG337" s="99" t="n"/>
      <c r="AH337" s="99" t="n"/>
      <c r="AI337" s="99" t="n"/>
      <c r="AJ337" s="99" t="n"/>
      <c r="AK337" s="99" t="n"/>
      <c r="AL337" s="99" t="n"/>
      <c r="AM337" s="99" t="n"/>
      <c r="AN337" s="99" t="n"/>
      <c r="AO337" s="99" t="n"/>
      <c r="AP337" s="99" t="n"/>
      <c r="AQ337" s="99" t="n"/>
      <c r="AR337" s="99" t="n"/>
    </row>
    <row r="338">
      <c r="D338" s="100" t="n"/>
      <c r="E338" s="100" t="n"/>
      <c r="F338" s="100" t="n"/>
      <c r="G338" s="100" t="n"/>
      <c r="H338" s="100" t="n"/>
      <c r="I338" s="100" t="n"/>
      <c r="J338" s="100" t="n"/>
      <c r="K338" s="100" t="n"/>
      <c r="L338" s="100" t="n"/>
      <c r="M338" s="100" t="n"/>
      <c r="N338" s="100" t="n"/>
      <c r="O338" s="100" t="n"/>
      <c r="P338" s="100" t="n"/>
      <c r="Q338" s="100" t="n"/>
      <c r="R338" s="100" t="n"/>
      <c r="S338" s="100" t="n"/>
      <c r="T338" s="100" t="n"/>
      <c r="U338" s="100" t="n"/>
      <c r="V338" s="100" t="n"/>
      <c r="W338" s="100" t="n"/>
      <c r="X338" s="100" t="n"/>
      <c r="Y338" s="100" t="n"/>
      <c r="Z338" s="100" t="n"/>
      <c r="AA338" s="100" t="n"/>
      <c r="AB338" s="100" t="n"/>
      <c r="AC338" s="100" t="n"/>
      <c r="AD338" s="100" t="n"/>
      <c r="AE338" s="100" t="n"/>
      <c r="AF338" s="100" t="n"/>
      <c r="AG338" s="100" t="n"/>
      <c r="AH338" s="100" t="n"/>
      <c r="AI338" s="100" t="n"/>
      <c r="AJ338" s="100" t="n"/>
      <c r="AK338" s="100" t="n"/>
      <c r="AL338" s="100" t="n"/>
      <c r="AM338" s="100" t="n"/>
      <c r="AN338" s="100" t="n"/>
      <c r="AO338" s="100" t="n"/>
      <c r="AP338" s="100" t="n"/>
      <c r="AQ338" s="100" t="n"/>
      <c r="AR338" s="100" t="n"/>
    </row>
    <row r="340">
      <c r="A340" s="6">
        <f>IF(HSI!$C$37="","",HSI!$C$37)</f>
        <v/>
      </c>
      <c r="B340" s="96">
        <f>IF($A340="",0,COUNT($E341:$AR341))</f>
        <v/>
      </c>
      <c r="C340" s="97">
        <f>IF($B340=0,0,MAX($E341:$AR341))</f>
        <v/>
      </c>
      <c r="D340" s="98">
        <f>BDS($A340,FLD_HIST,"headers=y","startcol=1","endcol=7","dir=h","DVD_START_DT",HIST_FROM,"DVD_END_DT",HIST_TO)</f>
        <v/>
      </c>
      <c r="E340" s="99" t="n"/>
      <c r="F340" s="99" t="n"/>
      <c r="G340" s="99" t="n"/>
      <c r="H340" s="99" t="n"/>
      <c r="I340" s="99" t="n"/>
      <c r="J340" s="99" t="n"/>
      <c r="K340" s="99" t="n"/>
      <c r="L340" s="99" t="n"/>
      <c r="M340" s="99" t="n"/>
      <c r="N340" s="99" t="n"/>
      <c r="O340" s="99" t="n"/>
      <c r="P340" s="99" t="n"/>
      <c r="Q340" s="99" t="n"/>
      <c r="R340" s="99" t="n"/>
      <c r="S340" s="99" t="n"/>
      <c r="T340" s="99" t="n"/>
      <c r="U340" s="99" t="n"/>
      <c r="V340" s="99" t="n"/>
      <c r="W340" s="99" t="n"/>
      <c r="X340" s="99" t="n"/>
      <c r="Y340" s="99" t="n"/>
      <c r="Z340" s="99" t="n"/>
      <c r="AA340" s="99" t="n"/>
      <c r="AB340" s="99" t="n"/>
      <c r="AC340" s="99" t="n"/>
      <c r="AD340" s="99" t="n"/>
      <c r="AE340" s="99" t="n"/>
      <c r="AF340" s="99" t="n"/>
      <c r="AG340" s="99" t="n"/>
      <c r="AH340" s="99" t="n"/>
      <c r="AI340" s="99" t="n"/>
      <c r="AJ340" s="99" t="n"/>
      <c r="AK340" s="99" t="n"/>
      <c r="AL340" s="99" t="n"/>
      <c r="AM340" s="99" t="n"/>
      <c r="AN340" s="99" t="n"/>
      <c r="AO340" s="99" t="n"/>
      <c r="AP340" s="99" t="n"/>
      <c r="AQ340" s="99" t="n"/>
      <c r="AR340" s="99" t="n"/>
    </row>
    <row r="341">
      <c r="D341" s="99" t="n"/>
      <c r="E341" s="99" t="n"/>
      <c r="F341" s="99" t="n"/>
      <c r="G341" s="99" t="n"/>
      <c r="H341" s="99" t="n"/>
      <c r="I341" s="99" t="n"/>
      <c r="J341" s="99" t="n"/>
      <c r="K341" s="99" t="n"/>
      <c r="L341" s="99" t="n"/>
      <c r="M341" s="99" t="n"/>
      <c r="N341" s="99" t="n"/>
      <c r="O341" s="99" t="n"/>
      <c r="P341" s="99" t="n"/>
      <c r="Q341" s="99" t="n"/>
      <c r="R341" s="99" t="n"/>
      <c r="S341" s="99" t="n"/>
      <c r="T341" s="99" t="n"/>
      <c r="U341" s="99" t="n"/>
      <c r="V341" s="99" t="n"/>
      <c r="W341" s="99" t="n"/>
      <c r="X341" s="99" t="n"/>
      <c r="Y341" s="99" t="n"/>
      <c r="Z341" s="99" t="n"/>
      <c r="AA341" s="99" t="n"/>
      <c r="AB341" s="99" t="n"/>
      <c r="AC341" s="99" t="n"/>
      <c r="AD341" s="99" t="n"/>
      <c r="AE341" s="99" t="n"/>
      <c r="AF341" s="99" t="n"/>
      <c r="AG341" s="99" t="n"/>
      <c r="AH341" s="99" t="n"/>
      <c r="AI341" s="99" t="n"/>
      <c r="AJ341" s="99" t="n"/>
      <c r="AK341" s="99" t="n"/>
      <c r="AL341" s="99" t="n"/>
      <c r="AM341" s="99" t="n"/>
      <c r="AN341" s="99" t="n"/>
      <c r="AO341" s="99" t="n"/>
      <c r="AP341" s="99" t="n"/>
      <c r="AQ341" s="99" t="n"/>
      <c r="AR341" s="99" t="n"/>
    </row>
    <row r="342">
      <c r="D342" s="99" t="n"/>
      <c r="E342" s="99" t="n"/>
      <c r="F342" s="99" t="n"/>
      <c r="G342" s="99" t="n"/>
      <c r="H342" s="99" t="n"/>
      <c r="I342" s="99" t="n"/>
      <c r="J342" s="99" t="n"/>
      <c r="K342" s="99" t="n"/>
      <c r="L342" s="99" t="n"/>
      <c r="M342" s="99" t="n"/>
      <c r="N342" s="99" t="n"/>
      <c r="O342" s="99" t="n"/>
      <c r="P342" s="99" t="n"/>
      <c r="Q342" s="99" t="n"/>
      <c r="R342" s="99" t="n"/>
      <c r="S342" s="99" t="n"/>
      <c r="T342" s="99" t="n"/>
      <c r="U342" s="99" t="n"/>
      <c r="V342" s="99" t="n"/>
      <c r="W342" s="99" t="n"/>
      <c r="X342" s="99" t="n"/>
      <c r="Y342" s="99" t="n"/>
      <c r="Z342" s="99" t="n"/>
      <c r="AA342" s="99" t="n"/>
      <c r="AB342" s="99" t="n"/>
      <c r="AC342" s="99" t="n"/>
      <c r="AD342" s="99" t="n"/>
      <c r="AE342" s="99" t="n"/>
      <c r="AF342" s="99" t="n"/>
      <c r="AG342" s="99" t="n"/>
      <c r="AH342" s="99" t="n"/>
      <c r="AI342" s="99" t="n"/>
      <c r="AJ342" s="99" t="n"/>
      <c r="AK342" s="99" t="n"/>
      <c r="AL342" s="99" t="n"/>
      <c r="AM342" s="99" t="n"/>
      <c r="AN342" s="99" t="n"/>
      <c r="AO342" s="99" t="n"/>
      <c r="AP342" s="99" t="n"/>
      <c r="AQ342" s="99" t="n"/>
      <c r="AR342" s="99" t="n"/>
    </row>
    <row r="343">
      <c r="D343" s="99" t="n"/>
      <c r="E343" s="99" t="n"/>
      <c r="F343" s="99" t="n"/>
      <c r="G343" s="99" t="n"/>
      <c r="H343" s="99" t="n"/>
      <c r="I343" s="99" t="n"/>
      <c r="J343" s="99" t="n"/>
      <c r="K343" s="99" t="n"/>
      <c r="L343" s="99" t="n"/>
      <c r="M343" s="99" t="n"/>
      <c r="N343" s="99" t="n"/>
      <c r="O343" s="99" t="n"/>
      <c r="P343" s="99" t="n"/>
      <c r="Q343" s="99" t="n"/>
      <c r="R343" s="99" t="n"/>
      <c r="S343" s="99" t="n"/>
      <c r="T343" s="99" t="n"/>
      <c r="U343" s="99" t="n"/>
      <c r="V343" s="99" t="n"/>
      <c r="W343" s="99" t="n"/>
      <c r="X343" s="99" t="n"/>
      <c r="Y343" s="99" t="n"/>
      <c r="Z343" s="99" t="n"/>
      <c r="AA343" s="99" t="n"/>
      <c r="AB343" s="99" t="n"/>
      <c r="AC343" s="99" t="n"/>
      <c r="AD343" s="99" t="n"/>
      <c r="AE343" s="99" t="n"/>
      <c r="AF343" s="99" t="n"/>
      <c r="AG343" s="99" t="n"/>
      <c r="AH343" s="99" t="n"/>
      <c r="AI343" s="99" t="n"/>
      <c r="AJ343" s="99" t="n"/>
      <c r="AK343" s="99" t="n"/>
      <c r="AL343" s="99" t="n"/>
      <c r="AM343" s="99" t="n"/>
      <c r="AN343" s="99" t="n"/>
      <c r="AO343" s="99" t="n"/>
      <c r="AP343" s="99" t="n"/>
      <c r="AQ343" s="99" t="n"/>
      <c r="AR343" s="99" t="n"/>
    </row>
    <row r="344">
      <c r="D344" s="100" t="n"/>
      <c r="E344" s="100" t="n"/>
      <c r="F344" s="100" t="n"/>
      <c r="G344" s="100" t="n"/>
      <c r="H344" s="100" t="n"/>
      <c r="I344" s="100" t="n"/>
      <c r="J344" s="100" t="n"/>
      <c r="K344" s="100" t="n"/>
      <c r="L344" s="100" t="n"/>
      <c r="M344" s="100" t="n"/>
      <c r="N344" s="100" t="n"/>
      <c r="O344" s="100" t="n"/>
      <c r="P344" s="100" t="n"/>
      <c r="Q344" s="100" t="n"/>
      <c r="R344" s="100" t="n"/>
      <c r="S344" s="100" t="n"/>
      <c r="T344" s="100" t="n"/>
      <c r="U344" s="100" t="n"/>
      <c r="V344" s="100" t="n"/>
      <c r="W344" s="100" t="n"/>
      <c r="X344" s="100" t="n"/>
      <c r="Y344" s="100" t="n"/>
      <c r="Z344" s="100" t="n"/>
      <c r="AA344" s="100" t="n"/>
      <c r="AB344" s="100" t="n"/>
      <c r="AC344" s="100" t="n"/>
      <c r="AD344" s="100" t="n"/>
      <c r="AE344" s="100" t="n"/>
      <c r="AF344" s="100" t="n"/>
      <c r="AG344" s="100" t="n"/>
      <c r="AH344" s="100" t="n"/>
      <c r="AI344" s="100" t="n"/>
      <c r="AJ344" s="100" t="n"/>
      <c r="AK344" s="100" t="n"/>
      <c r="AL344" s="100" t="n"/>
      <c r="AM344" s="100" t="n"/>
      <c r="AN344" s="100" t="n"/>
      <c r="AO344" s="100" t="n"/>
      <c r="AP344" s="100" t="n"/>
      <c r="AQ344" s="100" t="n"/>
      <c r="AR344" s="100" t="n"/>
    </row>
    <row r="347">
      <c r="A347" s="2">
        <f>IF($A340="","","   projections")</f>
        <v/>
      </c>
      <c r="B347" s="96">
        <f>IF($A340="",0,COUNT($E348:$AR348))</f>
        <v/>
      </c>
      <c r="C347" s="97">
        <f>IF($B347=0,0,MAX($E348:$AR348))</f>
        <v/>
      </c>
      <c r="D347" s="98">
        <f>BDS($A340,FLD_PROJ,"headers=y","startcol=1","endcol=3","dir=h")</f>
        <v/>
      </c>
      <c r="E347" s="99" t="n"/>
      <c r="F347" s="99" t="n"/>
      <c r="G347" s="99" t="n"/>
      <c r="H347" s="99" t="n"/>
      <c r="I347" s="99" t="n"/>
      <c r="J347" s="99" t="n"/>
      <c r="K347" s="99" t="n"/>
      <c r="L347" s="99" t="n"/>
      <c r="M347" s="99" t="n"/>
      <c r="N347" s="99" t="n"/>
      <c r="O347" s="99" t="n"/>
      <c r="P347" s="99" t="n"/>
      <c r="Q347" s="99" t="n"/>
      <c r="R347" s="99" t="n"/>
      <c r="S347" s="99" t="n"/>
      <c r="T347" s="99" t="n"/>
      <c r="U347" s="99" t="n"/>
      <c r="V347" s="99" t="n"/>
      <c r="W347" s="99" t="n"/>
      <c r="X347" s="99" t="n"/>
      <c r="Y347" s="99" t="n"/>
      <c r="Z347" s="99" t="n"/>
      <c r="AA347" s="99" t="n"/>
      <c r="AB347" s="99" t="n"/>
      <c r="AC347" s="99" t="n"/>
      <c r="AD347" s="99" t="n"/>
      <c r="AE347" s="99" t="n"/>
      <c r="AF347" s="99" t="n"/>
      <c r="AG347" s="99" t="n"/>
      <c r="AH347" s="99" t="n"/>
      <c r="AI347" s="99" t="n"/>
      <c r="AJ347" s="99" t="n"/>
      <c r="AK347" s="99" t="n"/>
      <c r="AL347" s="99" t="n"/>
      <c r="AM347" s="99" t="n"/>
      <c r="AN347" s="99" t="n"/>
      <c r="AO347" s="99" t="n"/>
      <c r="AP347" s="99" t="n"/>
      <c r="AQ347" s="99" t="n"/>
      <c r="AR347" s="99" t="n"/>
    </row>
    <row r="348">
      <c r="D348" s="99" t="n"/>
      <c r="E348" s="99" t="n"/>
      <c r="F348" s="99" t="n"/>
      <c r="G348" s="99" t="n"/>
      <c r="H348" s="99" t="n"/>
      <c r="I348" s="99" t="n"/>
      <c r="J348" s="99" t="n"/>
      <c r="K348" s="99" t="n"/>
      <c r="L348" s="99" t="n"/>
      <c r="M348" s="99" t="n"/>
      <c r="N348" s="99" t="n"/>
      <c r="O348" s="99" t="n"/>
      <c r="P348" s="99" t="n"/>
      <c r="Q348" s="99" t="n"/>
      <c r="R348" s="99" t="n"/>
      <c r="S348" s="99" t="n"/>
      <c r="T348" s="99" t="n"/>
      <c r="U348" s="99" t="n"/>
      <c r="V348" s="99" t="n"/>
      <c r="W348" s="99" t="n"/>
      <c r="X348" s="99" t="n"/>
      <c r="Y348" s="99" t="n"/>
      <c r="Z348" s="99" t="n"/>
      <c r="AA348" s="99" t="n"/>
      <c r="AB348" s="99" t="n"/>
      <c r="AC348" s="99" t="n"/>
      <c r="AD348" s="99" t="n"/>
      <c r="AE348" s="99" t="n"/>
      <c r="AF348" s="99" t="n"/>
      <c r="AG348" s="99" t="n"/>
      <c r="AH348" s="99" t="n"/>
      <c r="AI348" s="99" t="n"/>
      <c r="AJ348" s="99" t="n"/>
      <c r="AK348" s="99" t="n"/>
      <c r="AL348" s="99" t="n"/>
      <c r="AM348" s="99" t="n"/>
      <c r="AN348" s="99" t="n"/>
      <c r="AO348" s="99" t="n"/>
      <c r="AP348" s="99" t="n"/>
      <c r="AQ348" s="99" t="n"/>
      <c r="AR348" s="99" t="n"/>
    </row>
    <row r="349">
      <c r="D349" s="100" t="n"/>
      <c r="E349" s="100" t="n"/>
      <c r="F349" s="100" t="n"/>
      <c r="G349" s="100" t="n"/>
      <c r="H349" s="100" t="n"/>
      <c r="I349" s="100" t="n"/>
      <c r="J349" s="100" t="n"/>
      <c r="K349" s="100" t="n"/>
      <c r="L349" s="100" t="n"/>
      <c r="M349" s="100" t="n"/>
      <c r="N349" s="100" t="n"/>
      <c r="O349" s="100" t="n"/>
      <c r="P349" s="100" t="n"/>
      <c r="Q349" s="100" t="n"/>
      <c r="R349" s="100" t="n"/>
      <c r="S349" s="100" t="n"/>
      <c r="T349" s="100" t="n"/>
      <c r="U349" s="100" t="n"/>
      <c r="V349" s="100" t="n"/>
      <c r="W349" s="100" t="n"/>
      <c r="X349" s="100" t="n"/>
      <c r="Y349" s="100" t="n"/>
      <c r="Z349" s="100" t="n"/>
      <c r="AA349" s="100" t="n"/>
      <c r="AB349" s="100" t="n"/>
      <c r="AC349" s="100" t="n"/>
      <c r="AD349" s="100" t="n"/>
      <c r="AE349" s="100" t="n"/>
      <c r="AF349" s="100" t="n"/>
      <c r="AG349" s="100" t="n"/>
      <c r="AH349" s="100" t="n"/>
      <c r="AI349" s="100" t="n"/>
      <c r="AJ349" s="100" t="n"/>
      <c r="AK349" s="100" t="n"/>
      <c r="AL349" s="100" t="n"/>
      <c r="AM349" s="100" t="n"/>
      <c r="AN349" s="100" t="n"/>
      <c r="AO349" s="100" t="n"/>
      <c r="AP349" s="100" t="n"/>
      <c r="AQ349" s="100" t="n"/>
      <c r="AR349" s="100" t="n"/>
    </row>
    <row r="351">
      <c r="A351" s="6">
        <f>IF(HSI!$C$38="","",HSI!$C$38)</f>
        <v/>
      </c>
      <c r="B351" s="96">
        <f>IF($A351="",0,COUNT($E352:$AR352))</f>
        <v/>
      </c>
      <c r="C351" s="97">
        <f>IF($B351=0,0,MAX($E352:$AR352))</f>
        <v/>
      </c>
      <c r="D351" s="98">
        <f>BDS($A351,FLD_HIST,"headers=y","startcol=1","endcol=7","dir=h","DVD_START_DT",HIST_FROM,"DVD_END_DT",HIST_TO)</f>
        <v/>
      </c>
      <c r="E351" s="99" t="n"/>
      <c r="F351" s="99" t="n"/>
      <c r="G351" s="99" t="n"/>
      <c r="H351" s="99" t="n"/>
      <c r="I351" s="99" t="n"/>
      <c r="J351" s="99" t="n"/>
      <c r="K351" s="99" t="n"/>
      <c r="L351" s="99" t="n"/>
      <c r="M351" s="99" t="n"/>
      <c r="N351" s="99" t="n"/>
      <c r="O351" s="99" t="n"/>
      <c r="P351" s="99" t="n"/>
      <c r="Q351" s="99" t="n"/>
      <c r="R351" s="99" t="n"/>
      <c r="S351" s="99" t="n"/>
      <c r="T351" s="99" t="n"/>
      <c r="U351" s="99" t="n"/>
      <c r="V351" s="99" t="n"/>
      <c r="W351" s="99" t="n"/>
      <c r="X351" s="99" t="n"/>
      <c r="Y351" s="99" t="n"/>
      <c r="Z351" s="99" t="n"/>
      <c r="AA351" s="99" t="n"/>
      <c r="AB351" s="99" t="n"/>
      <c r="AC351" s="99" t="n"/>
      <c r="AD351" s="99" t="n"/>
      <c r="AE351" s="99" t="n"/>
      <c r="AF351" s="99" t="n"/>
      <c r="AG351" s="99" t="n"/>
      <c r="AH351" s="99" t="n"/>
      <c r="AI351" s="99" t="n"/>
      <c r="AJ351" s="99" t="n"/>
      <c r="AK351" s="99" t="n"/>
      <c r="AL351" s="99" t="n"/>
      <c r="AM351" s="99" t="n"/>
      <c r="AN351" s="99" t="n"/>
      <c r="AO351" s="99" t="n"/>
      <c r="AP351" s="99" t="n"/>
      <c r="AQ351" s="99" t="n"/>
      <c r="AR351" s="99" t="n"/>
    </row>
    <row r="352">
      <c r="D352" s="99" t="n"/>
      <c r="E352" s="99" t="n"/>
      <c r="F352" s="99" t="n"/>
      <c r="G352" s="99" t="n"/>
      <c r="H352" s="99" t="n"/>
      <c r="I352" s="99" t="n"/>
      <c r="J352" s="99" t="n"/>
      <c r="K352" s="99" t="n"/>
      <c r="L352" s="99" t="n"/>
      <c r="M352" s="99" t="n"/>
      <c r="N352" s="99" t="n"/>
      <c r="O352" s="99" t="n"/>
      <c r="P352" s="99" t="n"/>
      <c r="Q352" s="99" t="n"/>
      <c r="R352" s="99" t="n"/>
      <c r="S352" s="99" t="n"/>
      <c r="T352" s="99" t="n"/>
      <c r="U352" s="99" t="n"/>
      <c r="V352" s="99" t="n"/>
      <c r="W352" s="99" t="n"/>
      <c r="X352" s="99" t="n"/>
      <c r="Y352" s="99" t="n"/>
      <c r="Z352" s="99" t="n"/>
      <c r="AA352" s="99" t="n"/>
      <c r="AB352" s="99" t="n"/>
      <c r="AC352" s="99" t="n"/>
      <c r="AD352" s="99" t="n"/>
      <c r="AE352" s="99" t="n"/>
      <c r="AF352" s="99" t="n"/>
      <c r="AG352" s="99" t="n"/>
      <c r="AH352" s="99" t="n"/>
      <c r="AI352" s="99" t="n"/>
      <c r="AJ352" s="99" t="n"/>
      <c r="AK352" s="99" t="n"/>
      <c r="AL352" s="99" t="n"/>
      <c r="AM352" s="99" t="n"/>
      <c r="AN352" s="99" t="n"/>
      <c r="AO352" s="99" t="n"/>
      <c r="AP352" s="99" t="n"/>
      <c r="AQ352" s="99" t="n"/>
      <c r="AR352" s="99" t="n"/>
    </row>
    <row r="353">
      <c r="D353" s="99" t="n"/>
      <c r="E353" s="99" t="n"/>
      <c r="F353" s="99" t="n"/>
      <c r="G353" s="99" t="n"/>
      <c r="H353" s="99" t="n"/>
      <c r="I353" s="99" t="n"/>
      <c r="J353" s="99" t="n"/>
      <c r="K353" s="99" t="n"/>
      <c r="L353" s="99" t="n"/>
      <c r="M353" s="99" t="n"/>
      <c r="N353" s="99" t="n"/>
      <c r="O353" s="99" t="n"/>
      <c r="P353" s="99" t="n"/>
      <c r="Q353" s="99" t="n"/>
      <c r="R353" s="99" t="n"/>
      <c r="S353" s="99" t="n"/>
      <c r="T353" s="99" t="n"/>
      <c r="U353" s="99" t="n"/>
      <c r="V353" s="99" t="n"/>
      <c r="W353" s="99" t="n"/>
      <c r="X353" s="99" t="n"/>
      <c r="Y353" s="99" t="n"/>
      <c r="Z353" s="99" t="n"/>
      <c r="AA353" s="99" t="n"/>
      <c r="AB353" s="99" t="n"/>
      <c r="AC353" s="99" t="n"/>
      <c r="AD353" s="99" t="n"/>
      <c r="AE353" s="99" t="n"/>
      <c r="AF353" s="99" t="n"/>
      <c r="AG353" s="99" t="n"/>
      <c r="AH353" s="99" t="n"/>
      <c r="AI353" s="99" t="n"/>
      <c r="AJ353" s="99" t="n"/>
      <c r="AK353" s="99" t="n"/>
      <c r="AL353" s="99" t="n"/>
      <c r="AM353" s="99" t="n"/>
      <c r="AN353" s="99" t="n"/>
      <c r="AO353" s="99" t="n"/>
      <c r="AP353" s="99" t="n"/>
      <c r="AQ353" s="99" t="n"/>
      <c r="AR353" s="99" t="n"/>
    </row>
    <row r="354">
      <c r="D354" s="99" t="n"/>
      <c r="E354" s="99" t="n"/>
      <c r="F354" s="99" t="n"/>
      <c r="G354" s="99" t="n"/>
      <c r="H354" s="99" t="n"/>
      <c r="I354" s="99" t="n"/>
      <c r="J354" s="99" t="n"/>
      <c r="K354" s="99" t="n"/>
      <c r="L354" s="99" t="n"/>
      <c r="M354" s="99" t="n"/>
      <c r="N354" s="99" t="n"/>
      <c r="O354" s="99" t="n"/>
      <c r="P354" s="99" t="n"/>
      <c r="Q354" s="99" t="n"/>
      <c r="R354" s="99" t="n"/>
      <c r="S354" s="99" t="n"/>
      <c r="T354" s="99" t="n"/>
      <c r="U354" s="99" t="n"/>
      <c r="V354" s="99" t="n"/>
      <c r="W354" s="99" t="n"/>
      <c r="X354" s="99" t="n"/>
      <c r="Y354" s="99" t="n"/>
      <c r="Z354" s="99" t="n"/>
      <c r="AA354" s="99" t="n"/>
      <c r="AB354" s="99" t="n"/>
      <c r="AC354" s="99" t="n"/>
      <c r="AD354" s="99" t="n"/>
      <c r="AE354" s="99" t="n"/>
      <c r="AF354" s="99" t="n"/>
      <c r="AG354" s="99" t="n"/>
      <c r="AH354" s="99" t="n"/>
      <c r="AI354" s="99" t="n"/>
      <c r="AJ354" s="99" t="n"/>
      <c r="AK354" s="99" t="n"/>
      <c r="AL354" s="99" t="n"/>
      <c r="AM354" s="99" t="n"/>
      <c r="AN354" s="99" t="n"/>
      <c r="AO354" s="99" t="n"/>
      <c r="AP354" s="99" t="n"/>
      <c r="AQ354" s="99" t="n"/>
      <c r="AR354" s="99" t="n"/>
    </row>
    <row r="355">
      <c r="D355" s="100" t="n"/>
      <c r="E355" s="100" t="n"/>
      <c r="F355" s="100" t="n"/>
      <c r="G355" s="100" t="n"/>
      <c r="H355" s="100" t="n"/>
      <c r="I355" s="100" t="n"/>
      <c r="J355" s="100" t="n"/>
      <c r="K355" s="100" t="n"/>
      <c r="L355" s="100" t="n"/>
      <c r="M355" s="100" t="n"/>
      <c r="N355" s="100" t="n"/>
      <c r="O355" s="100" t="n"/>
      <c r="P355" s="100" t="n"/>
      <c r="Q355" s="100" t="n"/>
      <c r="R355" s="100" t="n"/>
      <c r="S355" s="100" t="n"/>
      <c r="T355" s="100" t="n"/>
      <c r="U355" s="100" t="n"/>
      <c r="V355" s="100" t="n"/>
      <c r="W355" s="100" t="n"/>
      <c r="X355" s="100" t="n"/>
      <c r="Y355" s="100" t="n"/>
      <c r="Z355" s="100" t="n"/>
      <c r="AA355" s="100" t="n"/>
      <c r="AB355" s="100" t="n"/>
      <c r="AC355" s="100" t="n"/>
      <c r="AD355" s="100" t="n"/>
      <c r="AE355" s="100" t="n"/>
      <c r="AF355" s="100" t="n"/>
      <c r="AG355" s="100" t="n"/>
      <c r="AH355" s="100" t="n"/>
      <c r="AI355" s="100" t="n"/>
      <c r="AJ355" s="100" t="n"/>
      <c r="AK355" s="100" t="n"/>
      <c r="AL355" s="100" t="n"/>
      <c r="AM355" s="100" t="n"/>
      <c r="AN355" s="100" t="n"/>
      <c r="AO355" s="100" t="n"/>
      <c r="AP355" s="100" t="n"/>
      <c r="AQ355" s="100" t="n"/>
      <c r="AR355" s="100" t="n"/>
    </row>
    <row r="358">
      <c r="A358" s="2">
        <f>IF($A351="","","   projections")</f>
        <v/>
      </c>
      <c r="B358" s="96">
        <f>IF($A351="",0,COUNT($E359:$AR359))</f>
        <v/>
      </c>
      <c r="C358" s="97">
        <f>IF($B358=0,0,MAX($E359:$AR359))</f>
        <v/>
      </c>
      <c r="D358" s="98">
        <f>BDS($A351,FLD_PROJ,"headers=y","startcol=1","endcol=3","dir=h")</f>
        <v/>
      </c>
      <c r="E358" s="99" t="n"/>
      <c r="F358" s="99" t="n"/>
      <c r="G358" s="99" t="n"/>
      <c r="H358" s="99" t="n"/>
      <c r="I358" s="99" t="n"/>
      <c r="J358" s="99" t="n"/>
      <c r="K358" s="99" t="n"/>
      <c r="L358" s="99" t="n"/>
      <c r="M358" s="99" t="n"/>
      <c r="N358" s="99" t="n"/>
      <c r="O358" s="99" t="n"/>
      <c r="P358" s="99" t="n"/>
      <c r="Q358" s="99" t="n"/>
      <c r="R358" s="99" t="n"/>
      <c r="S358" s="99" t="n"/>
      <c r="T358" s="99" t="n"/>
      <c r="U358" s="99" t="n"/>
      <c r="V358" s="99" t="n"/>
      <c r="W358" s="99" t="n"/>
      <c r="X358" s="99" t="n"/>
      <c r="Y358" s="99" t="n"/>
      <c r="Z358" s="99" t="n"/>
      <c r="AA358" s="99" t="n"/>
      <c r="AB358" s="99" t="n"/>
      <c r="AC358" s="99" t="n"/>
      <c r="AD358" s="99" t="n"/>
      <c r="AE358" s="99" t="n"/>
      <c r="AF358" s="99" t="n"/>
      <c r="AG358" s="99" t="n"/>
      <c r="AH358" s="99" t="n"/>
      <c r="AI358" s="99" t="n"/>
      <c r="AJ358" s="99" t="n"/>
      <c r="AK358" s="99" t="n"/>
      <c r="AL358" s="99" t="n"/>
      <c r="AM358" s="99" t="n"/>
      <c r="AN358" s="99" t="n"/>
      <c r="AO358" s="99" t="n"/>
      <c r="AP358" s="99" t="n"/>
      <c r="AQ358" s="99" t="n"/>
      <c r="AR358" s="99" t="n"/>
    </row>
    <row r="359">
      <c r="D359" s="99" t="n"/>
      <c r="E359" s="99" t="n"/>
      <c r="F359" s="99" t="n"/>
      <c r="G359" s="99" t="n"/>
      <c r="H359" s="99" t="n"/>
      <c r="I359" s="99" t="n"/>
      <c r="J359" s="99" t="n"/>
      <c r="K359" s="99" t="n"/>
      <c r="L359" s="99" t="n"/>
      <c r="M359" s="99" t="n"/>
      <c r="N359" s="99" t="n"/>
      <c r="O359" s="99" t="n"/>
      <c r="P359" s="99" t="n"/>
      <c r="Q359" s="99" t="n"/>
      <c r="R359" s="99" t="n"/>
      <c r="S359" s="99" t="n"/>
      <c r="T359" s="99" t="n"/>
      <c r="U359" s="99" t="n"/>
      <c r="V359" s="99" t="n"/>
      <c r="W359" s="99" t="n"/>
      <c r="X359" s="99" t="n"/>
      <c r="Y359" s="99" t="n"/>
      <c r="Z359" s="99" t="n"/>
      <c r="AA359" s="99" t="n"/>
      <c r="AB359" s="99" t="n"/>
      <c r="AC359" s="99" t="n"/>
      <c r="AD359" s="99" t="n"/>
      <c r="AE359" s="99" t="n"/>
      <c r="AF359" s="99" t="n"/>
      <c r="AG359" s="99" t="n"/>
      <c r="AH359" s="99" t="n"/>
      <c r="AI359" s="99" t="n"/>
      <c r="AJ359" s="99" t="n"/>
      <c r="AK359" s="99" t="n"/>
      <c r="AL359" s="99" t="n"/>
      <c r="AM359" s="99" t="n"/>
      <c r="AN359" s="99" t="n"/>
      <c r="AO359" s="99" t="n"/>
      <c r="AP359" s="99" t="n"/>
      <c r="AQ359" s="99" t="n"/>
      <c r="AR359" s="99" t="n"/>
    </row>
    <row r="360">
      <c r="D360" s="100" t="n"/>
      <c r="E360" s="100" t="n"/>
      <c r="F360" s="100" t="n"/>
      <c r="G360" s="100" t="n"/>
      <c r="H360" s="100" t="n"/>
      <c r="I360" s="100" t="n"/>
      <c r="J360" s="100" t="n"/>
      <c r="K360" s="100" t="n"/>
      <c r="L360" s="100" t="n"/>
      <c r="M360" s="100" t="n"/>
      <c r="N360" s="100" t="n"/>
      <c r="O360" s="100" t="n"/>
      <c r="P360" s="100" t="n"/>
      <c r="Q360" s="100" t="n"/>
      <c r="R360" s="100" t="n"/>
      <c r="S360" s="100" t="n"/>
      <c r="T360" s="100" t="n"/>
      <c r="U360" s="100" t="n"/>
      <c r="V360" s="100" t="n"/>
      <c r="W360" s="100" t="n"/>
      <c r="X360" s="100" t="n"/>
      <c r="Y360" s="100" t="n"/>
      <c r="Z360" s="100" t="n"/>
      <c r="AA360" s="100" t="n"/>
      <c r="AB360" s="100" t="n"/>
      <c r="AC360" s="100" t="n"/>
      <c r="AD360" s="100" t="n"/>
      <c r="AE360" s="100" t="n"/>
      <c r="AF360" s="100" t="n"/>
      <c r="AG360" s="100" t="n"/>
      <c r="AH360" s="100" t="n"/>
      <c r="AI360" s="100" t="n"/>
      <c r="AJ360" s="100" t="n"/>
      <c r="AK360" s="100" t="n"/>
      <c r="AL360" s="100" t="n"/>
      <c r="AM360" s="100" t="n"/>
      <c r="AN360" s="100" t="n"/>
      <c r="AO360" s="100" t="n"/>
      <c r="AP360" s="100" t="n"/>
      <c r="AQ360" s="100" t="n"/>
      <c r="AR360" s="100" t="n"/>
    </row>
    <row r="362">
      <c r="A362" s="6">
        <f>IF(HSI!$C$39="","",HSI!$C$39)</f>
        <v/>
      </c>
      <c r="B362" s="96">
        <f>IF($A362="",0,COUNT($E363:$AR363))</f>
        <v/>
      </c>
      <c r="C362" s="97">
        <f>IF($B362=0,0,MAX($E363:$AR363))</f>
        <v/>
      </c>
      <c r="D362" s="98">
        <f>BDS($A362,FLD_HIST,"headers=y","startcol=1","endcol=7","dir=h","DVD_START_DT",HIST_FROM,"DVD_END_DT",HIST_TO)</f>
        <v/>
      </c>
      <c r="E362" s="99" t="n"/>
      <c r="F362" s="99" t="n"/>
      <c r="G362" s="99" t="n"/>
      <c r="H362" s="99" t="n"/>
      <c r="I362" s="99" t="n"/>
      <c r="J362" s="99" t="n"/>
      <c r="K362" s="99" t="n"/>
      <c r="L362" s="99" t="n"/>
      <c r="M362" s="99" t="n"/>
      <c r="N362" s="99" t="n"/>
      <c r="O362" s="99" t="n"/>
      <c r="P362" s="99" t="n"/>
      <c r="Q362" s="99" t="n"/>
      <c r="R362" s="99" t="n"/>
      <c r="S362" s="99" t="n"/>
      <c r="T362" s="99" t="n"/>
      <c r="U362" s="99" t="n"/>
      <c r="V362" s="99" t="n"/>
      <c r="W362" s="99" t="n"/>
      <c r="X362" s="99" t="n"/>
      <c r="Y362" s="99" t="n"/>
      <c r="Z362" s="99" t="n"/>
      <c r="AA362" s="99" t="n"/>
      <c r="AB362" s="99" t="n"/>
      <c r="AC362" s="99" t="n"/>
      <c r="AD362" s="99" t="n"/>
      <c r="AE362" s="99" t="n"/>
      <c r="AF362" s="99" t="n"/>
      <c r="AG362" s="99" t="n"/>
      <c r="AH362" s="99" t="n"/>
      <c r="AI362" s="99" t="n"/>
      <c r="AJ362" s="99" t="n"/>
      <c r="AK362" s="99" t="n"/>
      <c r="AL362" s="99" t="n"/>
      <c r="AM362" s="99" t="n"/>
      <c r="AN362" s="99" t="n"/>
      <c r="AO362" s="99" t="n"/>
      <c r="AP362" s="99" t="n"/>
      <c r="AQ362" s="99" t="n"/>
      <c r="AR362" s="99" t="n"/>
    </row>
    <row r="363">
      <c r="D363" s="99" t="n"/>
      <c r="E363" s="99" t="n"/>
      <c r="F363" s="99" t="n"/>
      <c r="G363" s="99" t="n"/>
      <c r="H363" s="99" t="n"/>
      <c r="I363" s="99" t="n"/>
      <c r="J363" s="99" t="n"/>
      <c r="K363" s="99" t="n"/>
      <c r="L363" s="99" t="n"/>
      <c r="M363" s="99" t="n"/>
      <c r="N363" s="99" t="n"/>
      <c r="O363" s="99" t="n"/>
      <c r="P363" s="99" t="n"/>
      <c r="Q363" s="99" t="n"/>
      <c r="R363" s="99" t="n"/>
      <c r="S363" s="99" t="n"/>
      <c r="T363" s="99" t="n"/>
      <c r="U363" s="99" t="n"/>
      <c r="V363" s="99" t="n"/>
      <c r="W363" s="99" t="n"/>
      <c r="X363" s="99" t="n"/>
      <c r="Y363" s="99" t="n"/>
      <c r="Z363" s="99" t="n"/>
      <c r="AA363" s="99" t="n"/>
      <c r="AB363" s="99" t="n"/>
      <c r="AC363" s="99" t="n"/>
      <c r="AD363" s="99" t="n"/>
      <c r="AE363" s="99" t="n"/>
      <c r="AF363" s="99" t="n"/>
      <c r="AG363" s="99" t="n"/>
      <c r="AH363" s="99" t="n"/>
      <c r="AI363" s="99" t="n"/>
      <c r="AJ363" s="99" t="n"/>
      <c r="AK363" s="99" t="n"/>
      <c r="AL363" s="99" t="n"/>
      <c r="AM363" s="99" t="n"/>
      <c r="AN363" s="99" t="n"/>
      <c r="AO363" s="99" t="n"/>
      <c r="AP363" s="99" t="n"/>
      <c r="AQ363" s="99" t="n"/>
      <c r="AR363" s="99" t="n"/>
    </row>
    <row r="364">
      <c r="D364" s="99" t="n"/>
      <c r="E364" s="99" t="n"/>
      <c r="F364" s="99" t="n"/>
      <c r="G364" s="99" t="n"/>
      <c r="H364" s="99" t="n"/>
      <c r="I364" s="99" t="n"/>
      <c r="J364" s="99" t="n"/>
      <c r="K364" s="99" t="n"/>
      <c r="L364" s="99" t="n"/>
      <c r="M364" s="99" t="n"/>
      <c r="N364" s="99" t="n"/>
      <c r="O364" s="99" t="n"/>
      <c r="P364" s="99" t="n"/>
      <c r="Q364" s="99" t="n"/>
      <c r="R364" s="99" t="n"/>
      <c r="S364" s="99" t="n"/>
      <c r="T364" s="99" t="n"/>
      <c r="U364" s="99" t="n"/>
      <c r="V364" s="99" t="n"/>
      <c r="W364" s="99" t="n"/>
      <c r="X364" s="99" t="n"/>
      <c r="Y364" s="99" t="n"/>
      <c r="Z364" s="99" t="n"/>
      <c r="AA364" s="99" t="n"/>
      <c r="AB364" s="99" t="n"/>
      <c r="AC364" s="99" t="n"/>
      <c r="AD364" s="99" t="n"/>
      <c r="AE364" s="99" t="n"/>
      <c r="AF364" s="99" t="n"/>
      <c r="AG364" s="99" t="n"/>
      <c r="AH364" s="99" t="n"/>
      <c r="AI364" s="99" t="n"/>
      <c r="AJ364" s="99" t="n"/>
      <c r="AK364" s="99" t="n"/>
      <c r="AL364" s="99" t="n"/>
      <c r="AM364" s="99" t="n"/>
      <c r="AN364" s="99" t="n"/>
      <c r="AO364" s="99" t="n"/>
      <c r="AP364" s="99" t="n"/>
      <c r="AQ364" s="99" t="n"/>
      <c r="AR364" s="99" t="n"/>
    </row>
    <row r="365">
      <c r="D365" s="99" t="n"/>
      <c r="E365" s="99" t="n"/>
      <c r="F365" s="99" t="n"/>
      <c r="G365" s="99" t="n"/>
      <c r="H365" s="99" t="n"/>
      <c r="I365" s="99" t="n"/>
      <c r="J365" s="99" t="n"/>
      <c r="K365" s="99" t="n"/>
      <c r="L365" s="99" t="n"/>
      <c r="M365" s="99" t="n"/>
      <c r="N365" s="99" t="n"/>
      <c r="O365" s="99" t="n"/>
      <c r="P365" s="99" t="n"/>
      <c r="Q365" s="99" t="n"/>
      <c r="R365" s="99" t="n"/>
      <c r="S365" s="99" t="n"/>
      <c r="T365" s="99" t="n"/>
      <c r="U365" s="99" t="n"/>
      <c r="V365" s="99" t="n"/>
      <c r="W365" s="99" t="n"/>
      <c r="X365" s="99" t="n"/>
      <c r="Y365" s="99" t="n"/>
      <c r="Z365" s="99" t="n"/>
      <c r="AA365" s="99" t="n"/>
      <c r="AB365" s="99" t="n"/>
      <c r="AC365" s="99" t="n"/>
      <c r="AD365" s="99" t="n"/>
      <c r="AE365" s="99" t="n"/>
      <c r="AF365" s="99" t="n"/>
      <c r="AG365" s="99" t="n"/>
      <c r="AH365" s="99" t="n"/>
      <c r="AI365" s="99" t="n"/>
      <c r="AJ365" s="99" t="n"/>
      <c r="AK365" s="99" t="n"/>
      <c r="AL365" s="99" t="n"/>
      <c r="AM365" s="99" t="n"/>
      <c r="AN365" s="99" t="n"/>
      <c r="AO365" s="99" t="n"/>
      <c r="AP365" s="99" t="n"/>
      <c r="AQ365" s="99" t="n"/>
      <c r="AR365" s="99" t="n"/>
    </row>
    <row r="366">
      <c r="D366" s="100" t="n"/>
      <c r="E366" s="100" t="n"/>
      <c r="F366" s="100" t="n"/>
      <c r="G366" s="100" t="n"/>
      <c r="H366" s="100" t="n"/>
      <c r="I366" s="100" t="n"/>
      <c r="J366" s="100" t="n"/>
      <c r="K366" s="100" t="n"/>
      <c r="L366" s="100" t="n"/>
      <c r="M366" s="100" t="n"/>
      <c r="N366" s="100" t="n"/>
      <c r="O366" s="100" t="n"/>
      <c r="P366" s="100" t="n"/>
      <c r="Q366" s="100" t="n"/>
      <c r="R366" s="100" t="n"/>
      <c r="S366" s="100" t="n"/>
      <c r="T366" s="100" t="n"/>
      <c r="U366" s="100" t="n"/>
      <c r="V366" s="100" t="n"/>
      <c r="W366" s="100" t="n"/>
      <c r="X366" s="100" t="n"/>
      <c r="Y366" s="100" t="n"/>
      <c r="Z366" s="100" t="n"/>
      <c r="AA366" s="100" t="n"/>
      <c r="AB366" s="100" t="n"/>
      <c r="AC366" s="100" t="n"/>
      <c r="AD366" s="100" t="n"/>
      <c r="AE366" s="100" t="n"/>
      <c r="AF366" s="100" t="n"/>
      <c r="AG366" s="100" t="n"/>
      <c r="AH366" s="100" t="n"/>
      <c r="AI366" s="100" t="n"/>
      <c r="AJ366" s="100" t="n"/>
      <c r="AK366" s="100" t="n"/>
      <c r="AL366" s="100" t="n"/>
      <c r="AM366" s="100" t="n"/>
      <c r="AN366" s="100" t="n"/>
      <c r="AO366" s="100" t="n"/>
      <c r="AP366" s="100" t="n"/>
      <c r="AQ366" s="100" t="n"/>
      <c r="AR366" s="100" t="n"/>
    </row>
    <row r="369">
      <c r="A369" s="2">
        <f>IF($A362="","","   projections")</f>
        <v/>
      </c>
      <c r="B369" s="96">
        <f>IF($A362="",0,COUNT($E370:$AR370))</f>
        <v/>
      </c>
      <c r="C369" s="97">
        <f>IF($B369=0,0,MAX($E370:$AR370))</f>
        <v/>
      </c>
      <c r="D369" s="98">
        <f>BDS($A362,FLD_PROJ,"headers=y","startcol=1","endcol=3","dir=h")</f>
        <v/>
      </c>
      <c r="E369" s="99" t="n"/>
      <c r="F369" s="99" t="n"/>
      <c r="G369" s="99" t="n"/>
      <c r="H369" s="99" t="n"/>
      <c r="I369" s="99" t="n"/>
      <c r="J369" s="99" t="n"/>
      <c r="K369" s="99" t="n"/>
      <c r="L369" s="99" t="n"/>
      <c r="M369" s="99" t="n"/>
      <c r="N369" s="99" t="n"/>
      <c r="O369" s="99" t="n"/>
      <c r="P369" s="99" t="n"/>
      <c r="Q369" s="99" t="n"/>
      <c r="R369" s="99" t="n"/>
      <c r="S369" s="99" t="n"/>
      <c r="T369" s="99" t="n"/>
      <c r="U369" s="99" t="n"/>
      <c r="V369" s="99" t="n"/>
      <c r="W369" s="99" t="n"/>
      <c r="X369" s="99" t="n"/>
      <c r="Y369" s="99" t="n"/>
      <c r="Z369" s="99" t="n"/>
      <c r="AA369" s="99" t="n"/>
      <c r="AB369" s="99" t="n"/>
      <c r="AC369" s="99" t="n"/>
      <c r="AD369" s="99" t="n"/>
      <c r="AE369" s="99" t="n"/>
      <c r="AF369" s="99" t="n"/>
      <c r="AG369" s="99" t="n"/>
      <c r="AH369" s="99" t="n"/>
      <c r="AI369" s="99" t="n"/>
      <c r="AJ369" s="99" t="n"/>
      <c r="AK369" s="99" t="n"/>
      <c r="AL369" s="99" t="n"/>
      <c r="AM369" s="99" t="n"/>
      <c r="AN369" s="99" t="n"/>
      <c r="AO369" s="99" t="n"/>
      <c r="AP369" s="99" t="n"/>
      <c r="AQ369" s="99" t="n"/>
      <c r="AR369" s="99" t="n"/>
    </row>
    <row r="370">
      <c r="D370" s="99" t="n"/>
      <c r="E370" s="99" t="n"/>
      <c r="F370" s="99" t="n"/>
      <c r="G370" s="99" t="n"/>
      <c r="H370" s="99" t="n"/>
      <c r="I370" s="99" t="n"/>
      <c r="J370" s="99" t="n"/>
      <c r="K370" s="99" t="n"/>
      <c r="L370" s="99" t="n"/>
      <c r="M370" s="99" t="n"/>
      <c r="N370" s="99" t="n"/>
      <c r="O370" s="99" t="n"/>
      <c r="P370" s="99" t="n"/>
      <c r="Q370" s="99" t="n"/>
      <c r="R370" s="99" t="n"/>
      <c r="S370" s="99" t="n"/>
      <c r="T370" s="99" t="n"/>
      <c r="U370" s="99" t="n"/>
      <c r="V370" s="99" t="n"/>
      <c r="W370" s="99" t="n"/>
      <c r="X370" s="99" t="n"/>
      <c r="Y370" s="99" t="n"/>
      <c r="Z370" s="99" t="n"/>
      <c r="AA370" s="99" t="n"/>
      <c r="AB370" s="99" t="n"/>
      <c r="AC370" s="99" t="n"/>
      <c r="AD370" s="99" t="n"/>
      <c r="AE370" s="99" t="n"/>
      <c r="AF370" s="99" t="n"/>
      <c r="AG370" s="99" t="n"/>
      <c r="AH370" s="99" t="n"/>
      <c r="AI370" s="99" t="n"/>
      <c r="AJ370" s="99" t="n"/>
      <c r="AK370" s="99" t="n"/>
      <c r="AL370" s="99" t="n"/>
      <c r="AM370" s="99" t="n"/>
      <c r="AN370" s="99" t="n"/>
      <c r="AO370" s="99" t="n"/>
      <c r="AP370" s="99" t="n"/>
      <c r="AQ370" s="99" t="n"/>
      <c r="AR370" s="99" t="n"/>
    </row>
    <row r="371">
      <c r="D371" s="100" t="n"/>
      <c r="E371" s="100" t="n"/>
      <c r="F371" s="100" t="n"/>
      <c r="G371" s="100" t="n"/>
      <c r="H371" s="100" t="n"/>
      <c r="I371" s="100" t="n"/>
      <c r="J371" s="100" t="n"/>
      <c r="K371" s="100" t="n"/>
      <c r="L371" s="100" t="n"/>
      <c r="M371" s="100" t="n"/>
      <c r="N371" s="100" t="n"/>
      <c r="O371" s="100" t="n"/>
      <c r="P371" s="100" t="n"/>
      <c r="Q371" s="100" t="n"/>
      <c r="R371" s="100" t="n"/>
      <c r="S371" s="100" t="n"/>
      <c r="T371" s="100" t="n"/>
      <c r="U371" s="100" t="n"/>
      <c r="V371" s="100" t="n"/>
      <c r="W371" s="100" t="n"/>
      <c r="X371" s="100" t="n"/>
      <c r="Y371" s="100" t="n"/>
      <c r="Z371" s="100" t="n"/>
      <c r="AA371" s="100" t="n"/>
      <c r="AB371" s="100" t="n"/>
      <c r="AC371" s="100" t="n"/>
      <c r="AD371" s="100" t="n"/>
      <c r="AE371" s="100" t="n"/>
      <c r="AF371" s="100" t="n"/>
      <c r="AG371" s="100" t="n"/>
      <c r="AH371" s="100" t="n"/>
      <c r="AI371" s="100" t="n"/>
      <c r="AJ371" s="100" t="n"/>
      <c r="AK371" s="100" t="n"/>
      <c r="AL371" s="100" t="n"/>
      <c r="AM371" s="100" t="n"/>
      <c r="AN371" s="100" t="n"/>
      <c r="AO371" s="100" t="n"/>
      <c r="AP371" s="100" t="n"/>
      <c r="AQ371" s="100" t="n"/>
      <c r="AR371" s="100" t="n"/>
    </row>
    <row r="373">
      <c r="A373" s="6">
        <f>IF(HSI!$C$40="","",HSI!$C$40)</f>
        <v/>
      </c>
      <c r="B373" s="96">
        <f>IF($A373="",0,COUNT($E374:$AR374))</f>
        <v/>
      </c>
      <c r="C373" s="97">
        <f>IF($B373=0,0,MAX($E374:$AR374))</f>
        <v/>
      </c>
      <c r="D373" s="98">
        <f>BDS($A373,FLD_HIST,"headers=y","startcol=1","endcol=7","dir=h","DVD_START_DT",HIST_FROM,"DVD_END_DT",HIST_TO)</f>
        <v/>
      </c>
      <c r="E373" s="99" t="n"/>
      <c r="F373" s="99" t="n"/>
      <c r="G373" s="99" t="n"/>
      <c r="H373" s="99" t="n"/>
      <c r="I373" s="99" t="n"/>
      <c r="J373" s="99" t="n"/>
      <c r="K373" s="99" t="n"/>
      <c r="L373" s="99" t="n"/>
      <c r="M373" s="99" t="n"/>
      <c r="N373" s="99" t="n"/>
      <c r="O373" s="99" t="n"/>
      <c r="P373" s="99" t="n"/>
      <c r="Q373" s="99" t="n"/>
      <c r="R373" s="99" t="n"/>
      <c r="S373" s="99" t="n"/>
      <c r="T373" s="99" t="n"/>
      <c r="U373" s="99" t="n"/>
      <c r="V373" s="99" t="n"/>
      <c r="W373" s="99" t="n"/>
      <c r="X373" s="99" t="n"/>
      <c r="Y373" s="99" t="n"/>
      <c r="Z373" s="99" t="n"/>
      <c r="AA373" s="99" t="n"/>
      <c r="AB373" s="99" t="n"/>
      <c r="AC373" s="99" t="n"/>
      <c r="AD373" s="99" t="n"/>
      <c r="AE373" s="99" t="n"/>
      <c r="AF373" s="99" t="n"/>
      <c r="AG373" s="99" t="n"/>
      <c r="AH373" s="99" t="n"/>
      <c r="AI373" s="99" t="n"/>
      <c r="AJ373" s="99" t="n"/>
      <c r="AK373" s="99" t="n"/>
      <c r="AL373" s="99" t="n"/>
      <c r="AM373" s="99" t="n"/>
      <c r="AN373" s="99" t="n"/>
      <c r="AO373" s="99" t="n"/>
      <c r="AP373" s="99" t="n"/>
      <c r="AQ373" s="99" t="n"/>
      <c r="AR373" s="99" t="n"/>
    </row>
    <row r="374">
      <c r="D374" s="99" t="n"/>
      <c r="E374" s="99" t="n"/>
      <c r="F374" s="99" t="n"/>
      <c r="G374" s="99" t="n"/>
      <c r="H374" s="99" t="n"/>
      <c r="I374" s="99" t="n"/>
      <c r="J374" s="99" t="n"/>
      <c r="K374" s="99" t="n"/>
      <c r="L374" s="99" t="n"/>
      <c r="M374" s="99" t="n"/>
      <c r="N374" s="99" t="n"/>
      <c r="O374" s="99" t="n"/>
      <c r="P374" s="99" t="n"/>
      <c r="Q374" s="99" t="n"/>
      <c r="R374" s="99" t="n"/>
      <c r="S374" s="99" t="n"/>
      <c r="T374" s="99" t="n"/>
      <c r="U374" s="99" t="n"/>
      <c r="V374" s="99" t="n"/>
      <c r="W374" s="99" t="n"/>
      <c r="X374" s="99" t="n"/>
      <c r="Y374" s="99" t="n"/>
      <c r="Z374" s="99" t="n"/>
      <c r="AA374" s="99" t="n"/>
      <c r="AB374" s="99" t="n"/>
      <c r="AC374" s="99" t="n"/>
      <c r="AD374" s="99" t="n"/>
      <c r="AE374" s="99" t="n"/>
      <c r="AF374" s="99" t="n"/>
      <c r="AG374" s="99" t="n"/>
      <c r="AH374" s="99" t="n"/>
      <c r="AI374" s="99" t="n"/>
      <c r="AJ374" s="99" t="n"/>
      <c r="AK374" s="99" t="n"/>
      <c r="AL374" s="99" t="n"/>
      <c r="AM374" s="99" t="n"/>
      <c r="AN374" s="99" t="n"/>
      <c r="AO374" s="99" t="n"/>
      <c r="AP374" s="99" t="n"/>
      <c r="AQ374" s="99" t="n"/>
      <c r="AR374" s="99" t="n"/>
    </row>
    <row r="375">
      <c r="D375" s="99" t="n"/>
      <c r="E375" s="99" t="n"/>
      <c r="F375" s="99" t="n"/>
      <c r="G375" s="99" t="n"/>
      <c r="H375" s="99" t="n"/>
      <c r="I375" s="99" t="n"/>
      <c r="J375" s="99" t="n"/>
      <c r="K375" s="99" t="n"/>
      <c r="L375" s="99" t="n"/>
      <c r="M375" s="99" t="n"/>
      <c r="N375" s="99" t="n"/>
      <c r="O375" s="99" t="n"/>
      <c r="P375" s="99" t="n"/>
      <c r="Q375" s="99" t="n"/>
      <c r="R375" s="99" t="n"/>
      <c r="S375" s="99" t="n"/>
      <c r="T375" s="99" t="n"/>
      <c r="U375" s="99" t="n"/>
      <c r="V375" s="99" t="n"/>
      <c r="W375" s="99" t="n"/>
      <c r="X375" s="99" t="n"/>
      <c r="Y375" s="99" t="n"/>
      <c r="Z375" s="99" t="n"/>
      <c r="AA375" s="99" t="n"/>
      <c r="AB375" s="99" t="n"/>
      <c r="AC375" s="99" t="n"/>
      <c r="AD375" s="99" t="n"/>
      <c r="AE375" s="99" t="n"/>
      <c r="AF375" s="99" t="n"/>
      <c r="AG375" s="99" t="n"/>
      <c r="AH375" s="99" t="n"/>
      <c r="AI375" s="99" t="n"/>
      <c r="AJ375" s="99" t="n"/>
      <c r="AK375" s="99" t="n"/>
      <c r="AL375" s="99" t="n"/>
      <c r="AM375" s="99" t="n"/>
      <c r="AN375" s="99" t="n"/>
      <c r="AO375" s="99" t="n"/>
      <c r="AP375" s="99" t="n"/>
      <c r="AQ375" s="99" t="n"/>
      <c r="AR375" s="99" t="n"/>
    </row>
    <row r="376">
      <c r="D376" s="99" t="n"/>
      <c r="E376" s="99" t="n"/>
      <c r="F376" s="99" t="n"/>
      <c r="G376" s="99" t="n"/>
      <c r="H376" s="99" t="n"/>
      <c r="I376" s="99" t="n"/>
      <c r="J376" s="99" t="n"/>
      <c r="K376" s="99" t="n"/>
      <c r="L376" s="99" t="n"/>
      <c r="M376" s="99" t="n"/>
      <c r="N376" s="99" t="n"/>
      <c r="O376" s="99" t="n"/>
      <c r="P376" s="99" t="n"/>
      <c r="Q376" s="99" t="n"/>
      <c r="R376" s="99" t="n"/>
      <c r="S376" s="99" t="n"/>
      <c r="T376" s="99" t="n"/>
      <c r="U376" s="99" t="n"/>
      <c r="V376" s="99" t="n"/>
      <c r="W376" s="99" t="n"/>
      <c r="X376" s="99" t="n"/>
      <c r="Y376" s="99" t="n"/>
      <c r="Z376" s="99" t="n"/>
      <c r="AA376" s="99" t="n"/>
      <c r="AB376" s="99" t="n"/>
      <c r="AC376" s="99" t="n"/>
      <c r="AD376" s="99" t="n"/>
      <c r="AE376" s="99" t="n"/>
      <c r="AF376" s="99" t="n"/>
      <c r="AG376" s="99" t="n"/>
      <c r="AH376" s="99" t="n"/>
      <c r="AI376" s="99" t="n"/>
      <c r="AJ376" s="99" t="n"/>
      <c r="AK376" s="99" t="n"/>
      <c r="AL376" s="99" t="n"/>
      <c r="AM376" s="99" t="n"/>
      <c r="AN376" s="99" t="n"/>
      <c r="AO376" s="99" t="n"/>
      <c r="AP376" s="99" t="n"/>
      <c r="AQ376" s="99" t="n"/>
      <c r="AR376" s="99" t="n"/>
    </row>
    <row r="377">
      <c r="D377" s="100" t="n"/>
      <c r="E377" s="100" t="n"/>
      <c r="F377" s="100" t="n"/>
      <c r="G377" s="100" t="n"/>
      <c r="H377" s="100" t="n"/>
      <c r="I377" s="100" t="n"/>
      <c r="J377" s="100" t="n"/>
      <c r="K377" s="100" t="n"/>
      <c r="L377" s="100" t="n"/>
      <c r="M377" s="100" t="n"/>
      <c r="N377" s="100" t="n"/>
      <c r="O377" s="100" t="n"/>
      <c r="P377" s="100" t="n"/>
      <c r="Q377" s="100" t="n"/>
      <c r="R377" s="100" t="n"/>
      <c r="S377" s="100" t="n"/>
      <c r="T377" s="100" t="n"/>
      <c r="U377" s="100" t="n"/>
      <c r="V377" s="100" t="n"/>
      <c r="W377" s="100" t="n"/>
      <c r="X377" s="100" t="n"/>
      <c r="Y377" s="100" t="n"/>
      <c r="Z377" s="100" t="n"/>
      <c r="AA377" s="100" t="n"/>
      <c r="AB377" s="100" t="n"/>
      <c r="AC377" s="100" t="n"/>
      <c r="AD377" s="100" t="n"/>
      <c r="AE377" s="100" t="n"/>
      <c r="AF377" s="100" t="n"/>
      <c r="AG377" s="100" t="n"/>
      <c r="AH377" s="100" t="n"/>
      <c r="AI377" s="100" t="n"/>
      <c r="AJ377" s="100" t="n"/>
      <c r="AK377" s="100" t="n"/>
      <c r="AL377" s="100" t="n"/>
      <c r="AM377" s="100" t="n"/>
      <c r="AN377" s="100" t="n"/>
      <c r="AO377" s="100" t="n"/>
      <c r="AP377" s="100" t="n"/>
      <c r="AQ377" s="100" t="n"/>
      <c r="AR377" s="100" t="n"/>
    </row>
    <row r="380">
      <c r="A380" s="2">
        <f>IF($A373="","","   projections")</f>
        <v/>
      </c>
      <c r="B380" s="96">
        <f>IF($A373="",0,COUNT($E381:$AR381))</f>
        <v/>
      </c>
      <c r="C380" s="97">
        <f>IF($B380=0,0,MAX($E381:$AR381))</f>
        <v/>
      </c>
      <c r="D380" s="98">
        <f>BDS($A373,FLD_PROJ,"headers=y","startcol=1","endcol=3","dir=h")</f>
        <v/>
      </c>
      <c r="E380" s="99" t="n"/>
      <c r="F380" s="99" t="n"/>
      <c r="G380" s="99" t="n"/>
      <c r="H380" s="99" t="n"/>
      <c r="I380" s="99" t="n"/>
      <c r="J380" s="99" t="n"/>
      <c r="K380" s="99" t="n"/>
      <c r="L380" s="99" t="n"/>
      <c r="M380" s="99" t="n"/>
      <c r="N380" s="99" t="n"/>
      <c r="O380" s="99" t="n"/>
      <c r="P380" s="99" t="n"/>
      <c r="Q380" s="99" t="n"/>
      <c r="R380" s="99" t="n"/>
      <c r="S380" s="99" t="n"/>
      <c r="T380" s="99" t="n"/>
      <c r="U380" s="99" t="n"/>
      <c r="V380" s="99" t="n"/>
      <c r="W380" s="99" t="n"/>
      <c r="X380" s="99" t="n"/>
      <c r="Y380" s="99" t="n"/>
      <c r="Z380" s="99" t="n"/>
      <c r="AA380" s="99" t="n"/>
      <c r="AB380" s="99" t="n"/>
      <c r="AC380" s="99" t="n"/>
      <c r="AD380" s="99" t="n"/>
      <c r="AE380" s="99" t="n"/>
      <c r="AF380" s="99" t="n"/>
      <c r="AG380" s="99" t="n"/>
      <c r="AH380" s="99" t="n"/>
      <c r="AI380" s="99" t="n"/>
      <c r="AJ380" s="99" t="n"/>
      <c r="AK380" s="99" t="n"/>
      <c r="AL380" s="99" t="n"/>
      <c r="AM380" s="99" t="n"/>
      <c r="AN380" s="99" t="n"/>
      <c r="AO380" s="99" t="n"/>
      <c r="AP380" s="99" t="n"/>
      <c r="AQ380" s="99" t="n"/>
      <c r="AR380" s="99" t="n"/>
    </row>
    <row r="381">
      <c r="D381" s="99" t="n"/>
      <c r="E381" s="99" t="n"/>
      <c r="F381" s="99" t="n"/>
      <c r="G381" s="99" t="n"/>
      <c r="H381" s="99" t="n"/>
      <c r="I381" s="99" t="n"/>
      <c r="J381" s="99" t="n"/>
      <c r="K381" s="99" t="n"/>
      <c r="L381" s="99" t="n"/>
      <c r="M381" s="99" t="n"/>
      <c r="N381" s="99" t="n"/>
      <c r="O381" s="99" t="n"/>
      <c r="P381" s="99" t="n"/>
      <c r="Q381" s="99" t="n"/>
      <c r="R381" s="99" t="n"/>
      <c r="S381" s="99" t="n"/>
      <c r="T381" s="99" t="n"/>
      <c r="U381" s="99" t="n"/>
      <c r="V381" s="99" t="n"/>
      <c r="W381" s="99" t="n"/>
      <c r="X381" s="99" t="n"/>
      <c r="Y381" s="99" t="n"/>
      <c r="Z381" s="99" t="n"/>
      <c r="AA381" s="99" t="n"/>
      <c r="AB381" s="99" t="n"/>
      <c r="AC381" s="99" t="n"/>
      <c r="AD381" s="99" t="n"/>
      <c r="AE381" s="99" t="n"/>
      <c r="AF381" s="99" t="n"/>
      <c r="AG381" s="99" t="n"/>
      <c r="AH381" s="99" t="n"/>
      <c r="AI381" s="99" t="n"/>
      <c r="AJ381" s="99" t="n"/>
      <c r="AK381" s="99" t="n"/>
      <c r="AL381" s="99" t="n"/>
      <c r="AM381" s="99" t="n"/>
      <c r="AN381" s="99" t="n"/>
      <c r="AO381" s="99" t="n"/>
      <c r="AP381" s="99" t="n"/>
      <c r="AQ381" s="99" t="n"/>
      <c r="AR381" s="99" t="n"/>
    </row>
    <row r="382">
      <c r="D382" s="100" t="n"/>
      <c r="E382" s="100" t="n"/>
      <c r="F382" s="100" t="n"/>
      <c r="G382" s="100" t="n"/>
      <c r="H382" s="100" t="n"/>
      <c r="I382" s="100" t="n"/>
      <c r="J382" s="100" t="n"/>
      <c r="K382" s="100" t="n"/>
      <c r="L382" s="100" t="n"/>
      <c r="M382" s="100" t="n"/>
      <c r="N382" s="100" t="n"/>
      <c r="O382" s="100" t="n"/>
      <c r="P382" s="100" t="n"/>
      <c r="Q382" s="100" t="n"/>
      <c r="R382" s="100" t="n"/>
      <c r="S382" s="100" t="n"/>
      <c r="T382" s="100" t="n"/>
      <c r="U382" s="100" t="n"/>
      <c r="V382" s="100" t="n"/>
      <c r="W382" s="100" t="n"/>
      <c r="X382" s="100" t="n"/>
      <c r="Y382" s="100" t="n"/>
      <c r="Z382" s="100" t="n"/>
      <c r="AA382" s="100" t="n"/>
      <c r="AB382" s="100" t="n"/>
      <c r="AC382" s="100" t="n"/>
      <c r="AD382" s="100" t="n"/>
      <c r="AE382" s="100" t="n"/>
      <c r="AF382" s="100" t="n"/>
      <c r="AG382" s="100" t="n"/>
      <c r="AH382" s="100" t="n"/>
      <c r="AI382" s="100" t="n"/>
      <c r="AJ382" s="100" t="n"/>
      <c r="AK382" s="100" t="n"/>
      <c r="AL382" s="100" t="n"/>
      <c r="AM382" s="100" t="n"/>
      <c r="AN382" s="100" t="n"/>
      <c r="AO382" s="100" t="n"/>
      <c r="AP382" s="100" t="n"/>
      <c r="AQ382" s="100" t="n"/>
      <c r="AR382" s="100" t="n"/>
    </row>
    <row r="384">
      <c r="A384" s="6">
        <f>IF(HSI!$C$41="","",HSI!$C$41)</f>
        <v/>
      </c>
      <c r="B384" s="96">
        <f>IF($A384="",0,COUNT($E385:$AR385))</f>
        <v/>
      </c>
      <c r="C384" s="97">
        <f>IF($B384=0,0,MAX($E385:$AR385))</f>
        <v/>
      </c>
      <c r="D384" s="98">
        <f>BDS($A384,FLD_HIST,"headers=y","startcol=1","endcol=7","dir=h","DVD_START_DT",HIST_FROM,"DVD_END_DT",HIST_TO)</f>
        <v/>
      </c>
      <c r="E384" s="99" t="n"/>
      <c r="F384" s="99" t="n"/>
      <c r="G384" s="99" t="n"/>
      <c r="H384" s="99" t="n"/>
      <c r="I384" s="99" t="n"/>
      <c r="J384" s="99" t="n"/>
      <c r="K384" s="99" t="n"/>
      <c r="L384" s="99" t="n"/>
      <c r="M384" s="99" t="n"/>
      <c r="N384" s="99" t="n"/>
      <c r="O384" s="99" t="n"/>
      <c r="P384" s="99" t="n"/>
      <c r="Q384" s="99" t="n"/>
      <c r="R384" s="99" t="n"/>
      <c r="S384" s="99" t="n"/>
      <c r="T384" s="99" t="n"/>
      <c r="U384" s="99" t="n"/>
      <c r="V384" s="99" t="n"/>
      <c r="W384" s="99" t="n"/>
      <c r="X384" s="99" t="n"/>
      <c r="Y384" s="99" t="n"/>
      <c r="Z384" s="99" t="n"/>
      <c r="AA384" s="99" t="n"/>
      <c r="AB384" s="99" t="n"/>
      <c r="AC384" s="99" t="n"/>
      <c r="AD384" s="99" t="n"/>
      <c r="AE384" s="99" t="n"/>
      <c r="AF384" s="99" t="n"/>
      <c r="AG384" s="99" t="n"/>
      <c r="AH384" s="99" t="n"/>
      <c r="AI384" s="99" t="n"/>
      <c r="AJ384" s="99" t="n"/>
      <c r="AK384" s="99" t="n"/>
      <c r="AL384" s="99" t="n"/>
      <c r="AM384" s="99" t="n"/>
      <c r="AN384" s="99" t="n"/>
      <c r="AO384" s="99" t="n"/>
      <c r="AP384" s="99" t="n"/>
      <c r="AQ384" s="99" t="n"/>
      <c r="AR384" s="99" t="n"/>
    </row>
    <row r="385">
      <c r="D385" s="99" t="n"/>
      <c r="E385" s="99" t="n"/>
      <c r="F385" s="99" t="n"/>
      <c r="G385" s="99" t="n"/>
      <c r="H385" s="99" t="n"/>
      <c r="I385" s="99" t="n"/>
      <c r="J385" s="99" t="n"/>
      <c r="K385" s="99" t="n"/>
      <c r="L385" s="99" t="n"/>
      <c r="M385" s="99" t="n"/>
      <c r="N385" s="99" t="n"/>
      <c r="O385" s="99" t="n"/>
      <c r="P385" s="99" t="n"/>
      <c r="Q385" s="99" t="n"/>
      <c r="R385" s="99" t="n"/>
      <c r="S385" s="99" t="n"/>
      <c r="T385" s="99" t="n"/>
      <c r="U385" s="99" t="n"/>
      <c r="V385" s="99" t="n"/>
      <c r="W385" s="99" t="n"/>
      <c r="X385" s="99" t="n"/>
      <c r="Y385" s="99" t="n"/>
      <c r="Z385" s="99" t="n"/>
      <c r="AA385" s="99" t="n"/>
      <c r="AB385" s="99" t="n"/>
      <c r="AC385" s="99" t="n"/>
      <c r="AD385" s="99" t="n"/>
      <c r="AE385" s="99" t="n"/>
      <c r="AF385" s="99" t="n"/>
      <c r="AG385" s="99" t="n"/>
      <c r="AH385" s="99" t="n"/>
      <c r="AI385" s="99" t="n"/>
      <c r="AJ385" s="99" t="n"/>
      <c r="AK385" s="99" t="n"/>
      <c r="AL385" s="99" t="n"/>
      <c r="AM385" s="99" t="n"/>
      <c r="AN385" s="99" t="n"/>
      <c r="AO385" s="99" t="n"/>
      <c r="AP385" s="99" t="n"/>
      <c r="AQ385" s="99" t="n"/>
      <c r="AR385" s="99" t="n"/>
    </row>
    <row r="386">
      <c r="D386" s="99" t="n"/>
      <c r="E386" s="99" t="n"/>
      <c r="F386" s="99" t="n"/>
      <c r="G386" s="99" t="n"/>
      <c r="H386" s="99" t="n"/>
      <c r="I386" s="99" t="n"/>
      <c r="J386" s="99" t="n"/>
      <c r="K386" s="99" t="n"/>
      <c r="L386" s="99" t="n"/>
      <c r="M386" s="99" t="n"/>
      <c r="N386" s="99" t="n"/>
      <c r="O386" s="99" t="n"/>
      <c r="P386" s="99" t="n"/>
      <c r="Q386" s="99" t="n"/>
      <c r="R386" s="99" t="n"/>
      <c r="S386" s="99" t="n"/>
      <c r="T386" s="99" t="n"/>
      <c r="U386" s="99" t="n"/>
      <c r="V386" s="99" t="n"/>
      <c r="W386" s="99" t="n"/>
      <c r="X386" s="99" t="n"/>
      <c r="Y386" s="99" t="n"/>
      <c r="Z386" s="99" t="n"/>
      <c r="AA386" s="99" t="n"/>
      <c r="AB386" s="99" t="n"/>
      <c r="AC386" s="99" t="n"/>
      <c r="AD386" s="99" t="n"/>
      <c r="AE386" s="99" t="n"/>
      <c r="AF386" s="99" t="n"/>
      <c r="AG386" s="99" t="n"/>
      <c r="AH386" s="99" t="n"/>
      <c r="AI386" s="99" t="n"/>
      <c r="AJ386" s="99" t="n"/>
      <c r="AK386" s="99" t="n"/>
      <c r="AL386" s="99" t="n"/>
      <c r="AM386" s="99" t="n"/>
      <c r="AN386" s="99" t="n"/>
      <c r="AO386" s="99" t="n"/>
      <c r="AP386" s="99" t="n"/>
      <c r="AQ386" s="99" t="n"/>
      <c r="AR386" s="99" t="n"/>
    </row>
    <row r="387">
      <c r="D387" s="99" t="n"/>
      <c r="E387" s="99" t="n"/>
      <c r="F387" s="99" t="n"/>
      <c r="G387" s="99" t="n"/>
      <c r="H387" s="99" t="n"/>
      <c r="I387" s="99" t="n"/>
      <c r="J387" s="99" t="n"/>
      <c r="K387" s="99" t="n"/>
      <c r="L387" s="99" t="n"/>
      <c r="M387" s="99" t="n"/>
      <c r="N387" s="99" t="n"/>
      <c r="O387" s="99" t="n"/>
      <c r="P387" s="99" t="n"/>
      <c r="Q387" s="99" t="n"/>
      <c r="R387" s="99" t="n"/>
      <c r="S387" s="99" t="n"/>
      <c r="T387" s="99" t="n"/>
      <c r="U387" s="99" t="n"/>
      <c r="V387" s="99" t="n"/>
      <c r="W387" s="99" t="n"/>
      <c r="X387" s="99" t="n"/>
      <c r="Y387" s="99" t="n"/>
      <c r="Z387" s="99" t="n"/>
      <c r="AA387" s="99" t="n"/>
      <c r="AB387" s="99" t="n"/>
      <c r="AC387" s="99" t="n"/>
      <c r="AD387" s="99" t="n"/>
      <c r="AE387" s="99" t="n"/>
      <c r="AF387" s="99" t="n"/>
      <c r="AG387" s="99" t="n"/>
      <c r="AH387" s="99" t="n"/>
      <c r="AI387" s="99" t="n"/>
      <c r="AJ387" s="99" t="n"/>
      <c r="AK387" s="99" t="n"/>
      <c r="AL387" s="99" t="n"/>
      <c r="AM387" s="99" t="n"/>
      <c r="AN387" s="99" t="n"/>
      <c r="AO387" s="99" t="n"/>
      <c r="AP387" s="99" t="n"/>
      <c r="AQ387" s="99" t="n"/>
      <c r="AR387" s="99" t="n"/>
    </row>
    <row r="388">
      <c r="D388" s="100" t="n"/>
      <c r="E388" s="100" t="n"/>
      <c r="F388" s="100" t="n"/>
      <c r="G388" s="100" t="n"/>
      <c r="H388" s="100" t="n"/>
      <c r="I388" s="100" t="n"/>
      <c r="J388" s="100" t="n"/>
      <c r="K388" s="100" t="n"/>
      <c r="L388" s="100" t="n"/>
      <c r="M388" s="100" t="n"/>
      <c r="N388" s="100" t="n"/>
      <c r="O388" s="100" t="n"/>
      <c r="P388" s="100" t="n"/>
      <c r="Q388" s="100" t="n"/>
      <c r="R388" s="100" t="n"/>
      <c r="S388" s="100" t="n"/>
      <c r="T388" s="100" t="n"/>
      <c r="U388" s="100" t="n"/>
      <c r="V388" s="100" t="n"/>
      <c r="W388" s="100" t="n"/>
      <c r="X388" s="100" t="n"/>
      <c r="Y388" s="100" t="n"/>
      <c r="Z388" s="100" t="n"/>
      <c r="AA388" s="100" t="n"/>
      <c r="AB388" s="100" t="n"/>
      <c r="AC388" s="100" t="n"/>
      <c r="AD388" s="100" t="n"/>
      <c r="AE388" s="100" t="n"/>
      <c r="AF388" s="100" t="n"/>
      <c r="AG388" s="100" t="n"/>
      <c r="AH388" s="100" t="n"/>
      <c r="AI388" s="100" t="n"/>
      <c r="AJ388" s="100" t="n"/>
      <c r="AK388" s="100" t="n"/>
      <c r="AL388" s="100" t="n"/>
      <c r="AM388" s="100" t="n"/>
      <c r="AN388" s="100" t="n"/>
      <c r="AO388" s="100" t="n"/>
      <c r="AP388" s="100" t="n"/>
      <c r="AQ388" s="100" t="n"/>
      <c r="AR388" s="100" t="n"/>
    </row>
    <row r="391">
      <c r="A391" s="2">
        <f>IF($A384="","","   projections")</f>
        <v/>
      </c>
      <c r="B391" s="96">
        <f>IF($A384="",0,COUNT($E392:$AR392))</f>
        <v/>
      </c>
      <c r="C391" s="97">
        <f>IF($B391=0,0,MAX($E392:$AR392))</f>
        <v/>
      </c>
      <c r="D391" s="98">
        <f>BDS($A384,FLD_PROJ,"headers=y","startcol=1","endcol=3","dir=h")</f>
        <v/>
      </c>
      <c r="E391" s="99" t="n"/>
      <c r="F391" s="99" t="n"/>
      <c r="G391" s="99" t="n"/>
      <c r="H391" s="99" t="n"/>
      <c r="I391" s="99" t="n"/>
      <c r="J391" s="99" t="n"/>
      <c r="K391" s="99" t="n"/>
      <c r="L391" s="99" t="n"/>
      <c r="M391" s="99" t="n"/>
      <c r="N391" s="99" t="n"/>
      <c r="O391" s="99" t="n"/>
      <c r="P391" s="99" t="n"/>
      <c r="Q391" s="99" t="n"/>
      <c r="R391" s="99" t="n"/>
      <c r="S391" s="99" t="n"/>
      <c r="T391" s="99" t="n"/>
      <c r="U391" s="99" t="n"/>
      <c r="V391" s="99" t="n"/>
      <c r="W391" s="99" t="n"/>
      <c r="X391" s="99" t="n"/>
      <c r="Y391" s="99" t="n"/>
      <c r="Z391" s="99" t="n"/>
      <c r="AA391" s="99" t="n"/>
      <c r="AB391" s="99" t="n"/>
      <c r="AC391" s="99" t="n"/>
      <c r="AD391" s="99" t="n"/>
      <c r="AE391" s="99" t="n"/>
      <c r="AF391" s="99" t="n"/>
      <c r="AG391" s="99" t="n"/>
      <c r="AH391" s="99" t="n"/>
      <c r="AI391" s="99" t="n"/>
      <c r="AJ391" s="99" t="n"/>
      <c r="AK391" s="99" t="n"/>
      <c r="AL391" s="99" t="n"/>
      <c r="AM391" s="99" t="n"/>
      <c r="AN391" s="99" t="n"/>
      <c r="AO391" s="99" t="n"/>
      <c r="AP391" s="99" t="n"/>
      <c r="AQ391" s="99" t="n"/>
      <c r="AR391" s="99" t="n"/>
    </row>
    <row r="392">
      <c r="D392" s="99" t="n"/>
      <c r="E392" s="99" t="n"/>
      <c r="F392" s="99" t="n"/>
      <c r="G392" s="99" t="n"/>
      <c r="H392" s="99" t="n"/>
      <c r="I392" s="99" t="n"/>
      <c r="J392" s="99" t="n"/>
      <c r="K392" s="99" t="n"/>
      <c r="L392" s="99" t="n"/>
      <c r="M392" s="99" t="n"/>
      <c r="N392" s="99" t="n"/>
      <c r="O392" s="99" t="n"/>
      <c r="P392" s="99" t="n"/>
      <c r="Q392" s="99" t="n"/>
      <c r="R392" s="99" t="n"/>
      <c r="S392" s="99" t="n"/>
      <c r="T392" s="99" t="n"/>
      <c r="U392" s="99" t="n"/>
      <c r="V392" s="99" t="n"/>
      <c r="W392" s="99" t="n"/>
      <c r="X392" s="99" t="n"/>
      <c r="Y392" s="99" t="n"/>
      <c r="Z392" s="99" t="n"/>
      <c r="AA392" s="99" t="n"/>
      <c r="AB392" s="99" t="n"/>
      <c r="AC392" s="99" t="n"/>
      <c r="AD392" s="99" t="n"/>
      <c r="AE392" s="99" t="n"/>
      <c r="AF392" s="99" t="n"/>
      <c r="AG392" s="99" t="n"/>
      <c r="AH392" s="99" t="n"/>
      <c r="AI392" s="99" t="n"/>
      <c r="AJ392" s="99" t="n"/>
      <c r="AK392" s="99" t="n"/>
      <c r="AL392" s="99" t="n"/>
      <c r="AM392" s="99" t="n"/>
      <c r="AN392" s="99" t="n"/>
      <c r="AO392" s="99" t="n"/>
      <c r="AP392" s="99" t="n"/>
      <c r="AQ392" s="99" t="n"/>
      <c r="AR392" s="99" t="n"/>
    </row>
    <row r="393">
      <c r="D393" s="100" t="n"/>
      <c r="E393" s="100" t="n"/>
      <c r="F393" s="100" t="n"/>
      <c r="G393" s="100" t="n"/>
      <c r="H393" s="100" t="n"/>
      <c r="I393" s="100" t="n"/>
      <c r="J393" s="100" t="n"/>
      <c r="K393" s="100" t="n"/>
      <c r="L393" s="100" t="n"/>
      <c r="M393" s="100" t="n"/>
      <c r="N393" s="100" t="n"/>
      <c r="O393" s="100" t="n"/>
      <c r="P393" s="100" t="n"/>
      <c r="Q393" s="100" t="n"/>
      <c r="R393" s="100" t="n"/>
      <c r="S393" s="100" t="n"/>
      <c r="T393" s="100" t="n"/>
      <c r="U393" s="100" t="n"/>
      <c r="V393" s="100" t="n"/>
      <c r="W393" s="100" t="n"/>
      <c r="X393" s="100" t="n"/>
      <c r="Y393" s="100" t="n"/>
      <c r="Z393" s="100" t="n"/>
      <c r="AA393" s="100" t="n"/>
      <c r="AB393" s="100" t="n"/>
      <c r="AC393" s="100" t="n"/>
      <c r="AD393" s="100" t="n"/>
      <c r="AE393" s="100" t="n"/>
      <c r="AF393" s="100" t="n"/>
      <c r="AG393" s="100" t="n"/>
      <c r="AH393" s="100" t="n"/>
      <c r="AI393" s="100" t="n"/>
      <c r="AJ393" s="100" t="n"/>
      <c r="AK393" s="100" t="n"/>
      <c r="AL393" s="100" t="n"/>
      <c r="AM393" s="100" t="n"/>
      <c r="AN393" s="100" t="n"/>
      <c r="AO393" s="100" t="n"/>
      <c r="AP393" s="100" t="n"/>
      <c r="AQ393" s="100" t="n"/>
      <c r="AR393" s="100" t="n"/>
    </row>
    <row r="395">
      <c r="A395" s="6">
        <f>IF(HSI!$C$42="","",HSI!$C$42)</f>
        <v/>
      </c>
      <c r="B395" s="96">
        <f>IF($A395="",0,COUNT($E396:$AR396))</f>
        <v/>
      </c>
      <c r="C395" s="97">
        <f>IF($B395=0,0,MAX($E396:$AR396))</f>
        <v/>
      </c>
      <c r="D395" s="98">
        <f>BDS($A395,FLD_HIST,"headers=y","startcol=1","endcol=7","dir=h","DVD_START_DT",HIST_FROM,"DVD_END_DT",HIST_TO)</f>
        <v/>
      </c>
      <c r="E395" s="99" t="n"/>
      <c r="F395" s="99" t="n"/>
      <c r="G395" s="99" t="n"/>
      <c r="H395" s="99" t="n"/>
      <c r="I395" s="99" t="n"/>
      <c r="J395" s="99" t="n"/>
      <c r="K395" s="99" t="n"/>
      <c r="L395" s="99" t="n"/>
      <c r="M395" s="99" t="n"/>
      <c r="N395" s="99" t="n"/>
      <c r="O395" s="99" t="n"/>
      <c r="P395" s="99" t="n"/>
      <c r="Q395" s="99" t="n"/>
      <c r="R395" s="99" t="n"/>
      <c r="S395" s="99" t="n"/>
      <c r="T395" s="99" t="n"/>
      <c r="U395" s="99" t="n"/>
      <c r="V395" s="99" t="n"/>
      <c r="W395" s="99" t="n"/>
      <c r="X395" s="99" t="n"/>
      <c r="Y395" s="99" t="n"/>
      <c r="Z395" s="99" t="n"/>
      <c r="AA395" s="99" t="n"/>
      <c r="AB395" s="99" t="n"/>
      <c r="AC395" s="99" t="n"/>
      <c r="AD395" s="99" t="n"/>
      <c r="AE395" s="99" t="n"/>
      <c r="AF395" s="99" t="n"/>
      <c r="AG395" s="99" t="n"/>
      <c r="AH395" s="99" t="n"/>
      <c r="AI395" s="99" t="n"/>
      <c r="AJ395" s="99" t="n"/>
      <c r="AK395" s="99" t="n"/>
      <c r="AL395" s="99" t="n"/>
      <c r="AM395" s="99" t="n"/>
      <c r="AN395" s="99" t="n"/>
      <c r="AO395" s="99" t="n"/>
      <c r="AP395" s="99" t="n"/>
      <c r="AQ395" s="99" t="n"/>
      <c r="AR395" s="99" t="n"/>
    </row>
    <row r="396">
      <c r="D396" s="99" t="n"/>
      <c r="E396" s="99" t="n"/>
      <c r="F396" s="99" t="n"/>
      <c r="G396" s="99" t="n"/>
      <c r="H396" s="99" t="n"/>
      <c r="I396" s="99" t="n"/>
      <c r="J396" s="99" t="n"/>
      <c r="K396" s="99" t="n"/>
      <c r="L396" s="99" t="n"/>
      <c r="M396" s="99" t="n"/>
      <c r="N396" s="99" t="n"/>
      <c r="O396" s="99" t="n"/>
      <c r="P396" s="99" t="n"/>
      <c r="Q396" s="99" t="n"/>
      <c r="R396" s="99" t="n"/>
      <c r="S396" s="99" t="n"/>
      <c r="T396" s="99" t="n"/>
      <c r="U396" s="99" t="n"/>
      <c r="V396" s="99" t="n"/>
      <c r="W396" s="99" t="n"/>
      <c r="X396" s="99" t="n"/>
      <c r="Y396" s="99" t="n"/>
      <c r="Z396" s="99" t="n"/>
      <c r="AA396" s="99" t="n"/>
      <c r="AB396" s="99" t="n"/>
      <c r="AC396" s="99" t="n"/>
      <c r="AD396" s="99" t="n"/>
      <c r="AE396" s="99" t="n"/>
      <c r="AF396" s="99" t="n"/>
      <c r="AG396" s="99" t="n"/>
      <c r="AH396" s="99" t="n"/>
      <c r="AI396" s="99" t="n"/>
      <c r="AJ396" s="99" t="n"/>
      <c r="AK396" s="99" t="n"/>
      <c r="AL396" s="99" t="n"/>
      <c r="AM396" s="99" t="n"/>
      <c r="AN396" s="99" t="n"/>
      <c r="AO396" s="99" t="n"/>
      <c r="AP396" s="99" t="n"/>
      <c r="AQ396" s="99" t="n"/>
      <c r="AR396" s="99" t="n"/>
    </row>
    <row r="397">
      <c r="D397" s="99" t="n"/>
      <c r="E397" s="99" t="n"/>
      <c r="F397" s="99" t="n"/>
      <c r="G397" s="99" t="n"/>
      <c r="H397" s="99" t="n"/>
      <c r="I397" s="99" t="n"/>
      <c r="J397" s="99" t="n"/>
      <c r="K397" s="99" t="n"/>
      <c r="L397" s="99" t="n"/>
      <c r="M397" s="99" t="n"/>
      <c r="N397" s="99" t="n"/>
      <c r="O397" s="99" t="n"/>
      <c r="P397" s="99" t="n"/>
      <c r="Q397" s="99" t="n"/>
      <c r="R397" s="99" t="n"/>
      <c r="S397" s="99" t="n"/>
      <c r="T397" s="99" t="n"/>
      <c r="U397" s="99" t="n"/>
      <c r="V397" s="99" t="n"/>
      <c r="W397" s="99" t="n"/>
      <c r="X397" s="99" t="n"/>
      <c r="Y397" s="99" t="n"/>
      <c r="Z397" s="99" t="n"/>
      <c r="AA397" s="99" t="n"/>
      <c r="AB397" s="99" t="n"/>
      <c r="AC397" s="99" t="n"/>
      <c r="AD397" s="99" t="n"/>
      <c r="AE397" s="99" t="n"/>
      <c r="AF397" s="99" t="n"/>
      <c r="AG397" s="99" t="n"/>
      <c r="AH397" s="99" t="n"/>
      <c r="AI397" s="99" t="n"/>
      <c r="AJ397" s="99" t="n"/>
      <c r="AK397" s="99" t="n"/>
      <c r="AL397" s="99" t="n"/>
      <c r="AM397" s="99" t="n"/>
      <c r="AN397" s="99" t="n"/>
      <c r="AO397" s="99" t="n"/>
      <c r="AP397" s="99" t="n"/>
      <c r="AQ397" s="99" t="n"/>
      <c r="AR397" s="99" t="n"/>
    </row>
    <row r="398">
      <c r="D398" s="99" t="n"/>
      <c r="E398" s="99" t="n"/>
      <c r="F398" s="99" t="n"/>
      <c r="G398" s="99" t="n"/>
      <c r="H398" s="99" t="n"/>
      <c r="I398" s="99" t="n"/>
      <c r="J398" s="99" t="n"/>
      <c r="K398" s="99" t="n"/>
      <c r="L398" s="99" t="n"/>
      <c r="M398" s="99" t="n"/>
      <c r="N398" s="99" t="n"/>
      <c r="O398" s="99" t="n"/>
      <c r="P398" s="99" t="n"/>
      <c r="Q398" s="99" t="n"/>
      <c r="R398" s="99" t="n"/>
      <c r="S398" s="99" t="n"/>
      <c r="T398" s="99" t="n"/>
      <c r="U398" s="99" t="n"/>
      <c r="V398" s="99" t="n"/>
      <c r="W398" s="99" t="n"/>
      <c r="X398" s="99" t="n"/>
      <c r="Y398" s="99" t="n"/>
      <c r="Z398" s="99" t="n"/>
      <c r="AA398" s="99" t="n"/>
      <c r="AB398" s="99" t="n"/>
      <c r="AC398" s="99" t="n"/>
      <c r="AD398" s="99" t="n"/>
      <c r="AE398" s="99" t="n"/>
      <c r="AF398" s="99" t="n"/>
      <c r="AG398" s="99" t="n"/>
      <c r="AH398" s="99" t="n"/>
      <c r="AI398" s="99" t="n"/>
      <c r="AJ398" s="99" t="n"/>
      <c r="AK398" s="99" t="n"/>
      <c r="AL398" s="99" t="n"/>
      <c r="AM398" s="99" t="n"/>
      <c r="AN398" s="99" t="n"/>
      <c r="AO398" s="99" t="n"/>
      <c r="AP398" s="99" t="n"/>
      <c r="AQ398" s="99" t="n"/>
      <c r="AR398" s="99" t="n"/>
    </row>
    <row r="399">
      <c r="D399" s="100" t="n"/>
      <c r="E399" s="100" t="n"/>
      <c r="F399" s="100" t="n"/>
      <c r="G399" s="100" t="n"/>
      <c r="H399" s="100" t="n"/>
      <c r="I399" s="100" t="n"/>
      <c r="J399" s="100" t="n"/>
      <c r="K399" s="100" t="n"/>
      <c r="L399" s="100" t="n"/>
      <c r="M399" s="100" t="n"/>
      <c r="N399" s="100" t="n"/>
      <c r="O399" s="100" t="n"/>
      <c r="P399" s="100" t="n"/>
      <c r="Q399" s="100" t="n"/>
      <c r="R399" s="100" t="n"/>
      <c r="S399" s="100" t="n"/>
      <c r="T399" s="100" t="n"/>
      <c r="U399" s="100" t="n"/>
      <c r="V399" s="100" t="n"/>
      <c r="W399" s="100" t="n"/>
      <c r="X399" s="100" t="n"/>
      <c r="Y399" s="100" t="n"/>
      <c r="Z399" s="100" t="n"/>
      <c r="AA399" s="100" t="n"/>
      <c r="AB399" s="100" t="n"/>
      <c r="AC399" s="100" t="n"/>
      <c r="AD399" s="100" t="n"/>
      <c r="AE399" s="100" t="n"/>
      <c r="AF399" s="100" t="n"/>
      <c r="AG399" s="100" t="n"/>
      <c r="AH399" s="100" t="n"/>
      <c r="AI399" s="100" t="n"/>
      <c r="AJ399" s="100" t="n"/>
      <c r="AK399" s="100" t="n"/>
      <c r="AL399" s="100" t="n"/>
      <c r="AM399" s="100" t="n"/>
      <c r="AN399" s="100" t="n"/>
      <c r="AO399" s="100" t="n"/>
      <c r="AP399" s="100" t="n"/>
      <c r="AQ399" s="100" t="n"/>
      <c r="AR399" s="100" t="n"/>
    </row>
    <row r="402">
      <c r="A402" s="2">
        <f>IF($A395="","","   projections")</f>
        <v/>
      </c>
      <c r="B402" s="96">
        <f>IF($A395="",0,COUNT($E403:$AR403))</f>
        <v/>
      </c>
      <c r="C402" s="97">
        <f>IF($B402=0,0,MAX($E403:$AR403))</f>
        <v/>
      </c>
      <c r="D402" s="98">
        <f>BDS($A395,FLD_PROJ,"headers=y","startcol=1","endcol=3","dir=h")</f>
        <v/>
      </c>
      <c r="E402" s="99" t="n"/>
      <c r="F402" s="99" t="n"/>
      <c r="G402" s="99" t="n"/>
      <c r="H402" s="99" t="n"/>
      <c r="I402" s="99" t="n"/>
      <c r="J402" s="99" t="n"/>
      <c r="K402" s="99" t="n"/>
      <c r="L402" s="99" t="n"/>
      <c r="M402" s="99" t="n"/>
      <c r="N402" s="99" t="n"/>
      <c r="O402" s="99" t="n"/>
      <c r="P402" s="99" t="n"/>
      <c r="Q402" s="99" t="n"/>
      <c r="R402" s="99" t="n"/>
      <c r="S402" s="99" t="n"/>
      <c r="T402" s="99" t="n"/>
      <c r="U402" s="99" t="n"/>
      <c r="V402" s="99" t="n"/>
      <c r="W402" s="99" t="n"/>
      <c r="X402" s="99" t="n"/>
      <c r="Y402" s="99" t="n"/>
      <c r="Z402" s="99" t="n"/>
      <c r="AA402" s="99" t="n"/>
      <c r="AB402" s="99" t="n"/>
      <c r="AC402" s="99" t="n"/>
      <c r="AD402" s="99" t="n"/>
      <c r="AE402" s="99" t="n"/>
      <c r="AF402" s="99" t="n"/>
      <c r="AG402" s="99" t="n"/>
      <c r="AH402" s="99" t="n"/>
      <c r="AI402" s="99" t="n"/>
      <c r="AJ402" s="99" t="n"/>
      <c r="AK402" s="99" t="n"/>
      <c r="AL402" s="99" t="n"/>
      <c r="AM402" s="99" t="n"/>
      <c r="AN402" s="99" t="n"/>
      <c r="AO402" s="99" t="n"/>
      <c r="AP402" s="99" t="n"/>
      <c r="AQ402" s="99" t="n"/>
      <c r="AR402" s="99" t="n"/>
    </row>
    <row r="403">
      <c r="D403" s="99" t="n"/>
      <c r="E403" s="99" t="n"/>
      <c r="F403" s="99" t="n"/>
      <c r="G403" s="99" t="n"/>
      <c r="H403" s="99" t="n"/>
      <c r="I403" s="99" t="n"/>
      <c r="J403" s="99" t="n"/>
      <c r="K403" s="99" t="n"/>
      <c r="L403" s="99" t="n"/>
      <c r="M403" s="99" t="n"/>
      <c r="N403" s="99" t="n"/>
      <c r="O403" s="99" t="n"/>
      <c r="P403" s="99" t="n"/>
      <c r="Q403" s="99" t="n"/>
      <c r="R403" s="99" t="n"/>
      <c r="S403" s="99" t="n"/>
      <c r="T403" s="99" t="n"/>
      <c r="U403" s="99" t="n"/>
      <c r="V403" s="99" t="n"/>
      <c r="W403" s="99" t="n"/>
      <c r="X403" s="99" t="n"/>
      <c r="Y403" s="99" t="n"/>
      <c r="Z403" s="99" t="n"/>
      <c r="AA403" s="99" t="n"/>
      <c r="AB403" s="99" t="n"/>
      <c r="AC403" s="99" t="n"/>
      <c r="AD403" s="99" t="n"/>
      <c r="AE403" s="99" t="n"/>
      <c r="AF403" s="99" t="n"/>
      <c r="AG403" s="99" t="n"/>
      <c r="AH403" s="99" t="n"/>
      <c r="AI403" s="99" t="n"/>
      <c r="AJ403" s="99" t="n"/>
      <c r="AK403" s="99" t="n"/>
      <c r="AL403" s="99" t="n"/>
      <c r="AM403" s="99" t="n"/>
      <c r="AN403" s="99" t="n"/>
      <c r="AO403" s="99" t="n"/>
      <c r="AP403" s="99" t="n"/>
      <c r="AQ403" s="99" t="n"/>
      <c r="AR403" s="99" t="n"/>
    </row>
    <row r="404">
      <c r="D404" s="100" t="n"/>
      <c r="E404" s="100" t="n"/>
      <c r="F404" s="100" t="n"/>
      <c r="G404" s="100" t="n"/>
      <c r="H404" s="100" t="n"/>
      <c r="I404" s="100" t="n"/>
      <c r="J404" s="100" t="n"/>
      <c r="K404" s="100" t="n"/>
      <c r="L404" s="100" t="n"/>
      <c r="M404" s="100" t="n"/>
      <c r="N404" s="100" t="n"/>
      <c r="O404" s="100" t="n"/>
      <c r="P404" s="100" t="n"/>
      <c r="Q404" s="100" t="n"/>
      <c r="R404" s="100" t="n"/>
      <c r="S404" s="100" t="n"/>
      <c r="T404" s="100" t="n"/>
      <c r="U404" s="100" t="n"/>
      <c r="V404" s="100" t="n"/>
      <c r="W404" s="100" t="n"/>
      <c r="X404" s="100" t="n"/>
      <c r="Y404" s="100" t="n"/>
      <c r="Z404" s="100" t="n"/>
      <c r="AA404" s="100" t="n"/>
      <c r="AB404" s="100" t="n"/>
      <c r="AC404" s="100" t="n"/>
      <c r="AD404" s="100" t="n"/>
      <c r="AE404" s="100" t="n"/>
      <c r="AF404" s="100" t="n"/>
      <c r="AG404" s="100" t="n"/>
      <c r="AH404" s="100" t="n"/>
      <c r="AI404" s="100" t="n"/>
      <c r="AJ404" s="100" t="n"/>
      <c r="AK404" s="100" t="n"/>
      <c r="AL404" s="100" t="n"/>
      <c r="AM404" s="100" t="n"/>
      <c r="AN404" s="100" t="n"/>
      <c r="AO404" s="100" t="n"/>
      <c r="AP404" s="100" t="n"/>
      <c r="AQ404" s="100" t="n"/>
      <c r="AR404" s="100" t="n"/>
    </row>
    <row r="406">
      <c r="A406" s="6">
        <f>IF(HSI!$C$43="","",HSI!$C$43)</f>
        <v/>
      </c>
      <c r="B406" s="96">
        <f>IF($A406="",0,COUNT($E407:$AR407))</f>
        <v/>
      </c>
      <c r="C406" s="97">
        <f>IF($B406=0,0,MAX($E407:$AR407))</f>
        <v/>
      </c>
      <c r="D406" s="98">
        <f>BDS($A406,FLD_HIST,"headers=y","startcol=1","endcol=7","dir=h","DVD_START_DT",HIST_FROM,"DVD_END_DT",HIST_TO)</f>
        <v/>
      </c>
      <c r="E406" s="99" t="n"/>
      <c r="F406" s="99" t="n"/>
      <c r="G406" s="99" t="n"/>
      <c r="H406" s="99" t="n"/>
      <c r="I406" s="99" t="n"/>
      <c r="J406" s="99" t="n"/>
      <c r="K406" s="99" t="n"/>
      <c r="L406" s="99" t="n"/>
      <c r="M406" s="99" t="n"/>
      <c r="N406" s="99" t="n"/>
      <c r="O406" s="99" t="n"/>
      <c r="P406" s="99" t="n"/>
      <c r="Q406" s="99" t="n"/>
      <c r="R406" s="99" t="n"/>
      <c r="S406" s="99" t="n"/>
      <c r="T406" s="99" t="n"/>
      <c r="U406" s="99" t="n"/>
      <c r="V406" s="99" t="n"/>
      <c r="W406" s="99" t="n"/>
      <c r="X406" s="99" t="n"/>
      <c r="Y406" s="99" t="n"/>
      <c r="Z406" s="99" t="n"/>
      <c r="AA406" s="99" t="n"/>
      <c r="AB406" s="99" t="n"/>
      <c r="AC406" s="99" t="n"/>
      <c r="AD406" s="99" t="n"/>
      <c r="AE406" s="99" t="n"/>
      <c r="AF406" s="99" t="n"/>
      <c r="AG406" s="99" t="n"/>
      <c r="AH406" s="99" t="n"/>
      <c r="AI406" s="99" t="n"/>
      <c r="AJ406" s="99" t="n"/>
      <c r="AK406" s="99" t="n"/>
      <c r="AL406" s="99" t="n"/>
      <c r="AM406" s="99" t="n"/>
      <c r="AN406" s="99" t="n"/>
      <c r="AO406" s="99" t="n"/>
      <c r="AP406" s="99" t="n"/>
      <c r="AQ406" s="99" t="n"/>
      <c r="AR406" s="99" t="n"/>
    </row>
    <row r="407">
      <c r="D407" s="99" t="n"/>
      <c r="E407" s="99" t="n"/>
      <c r="F407" s="99" t="n"/>
      <c r="G407" s="99" t="n"/>
      <c r="H407" s="99" t="n"/>
      <c r="I407" s="99" t="n"/>
      <c r="J407" s="99" t="n"/>
      <c r="K407" s="99" t="n"/>
      <c r="L407" s="99" t="n"/>
      <c r="M407" s="99" t="n"/>
      <c r="N407" s="99" t="n"/>
      <c r="O407" s="99" t="n"/>
      <c r="P407" s="99" t="n"/>
      <c r="Q407" s="99" t="n"/>
      <c r="R407" s="99" t="n"/>
      <c r="S407" s="99" t="n"/>
      <c r="T407" s="99" t="n"/>
      <c r="U407" s="99" t="n"/>
      <c r="V407" s="99" t="n"/>
      <c r="W407" s="99" t="n"/>
      <c r="X407" s="99" t="n"/>
      <c r="Y407" s="99" t="n"/>
      <c r="Z407" s="99" t="n"/>
      <c r="AA407" s="99" t="n"/>
      <c r="AB407" s="99" t="n"/>
      <c r="AC407" s="99" t="n"/>
      <c r="AD407" s="99" t="n"/>
      <c r="AE407" s="99" t="n"/>
      <c r="AF407" s="99" t="n"/>
      <c r="AG407" s="99" t="n"/>
      <c r="AH407" s="99" t="n"/>
      <c r="AI407" s="99" t="n"/>
      <c r="AJ407" s="99" t="n"/>
      <c r="AK407" s="99" t="n"/>
      <c r="AL407" s="99" t="n"/>
      <c r="AM407" s="99" t="n"/>
      <c r="AN407" s="99" t="n"/>
      <c r="AO407" s="99" t="n"/>
      <c r="AP407" s="99" t="n"/>
      <c r="AQ407" s="99" t="n"/>
      <c r="AR407" s="99" t="n"/>
    </row>
    <row r="408">
      <c r="D408" s="99" t="n"/>
      <c r="E408" s="99" t="n"/>
      <c r="F408" s="99" t="n"/>
      <c r="G408" s="99" t="n"/>
      <c r="H408" s="99" t="n"/>
      <c r="I408" s="99" t="n"/>
      <c r="J408" s="99" t="n"/>
      <c r="K408" s="99" t="n"/>
      <c r="L408" s="99" t="n"/>
      <c r="M408" s="99" t="n"/>
      <c r="N408" s="99" t="n"/>
      <c r="O408" s="99" t="n"/>
      <c r="P408" s="99" t="n"/>
      <c r="Q408" s="99" t="n"/>
      <c r="R408" s="99" t="n"/>
      <c r="S408" s="99" t="n"/>
      <c r="T408" s="99" t="n"/>
      <c r="U408" s="99" t="n"/>
      <c r="V408" s="99" t="n"/>
      <c r="W408" s="99" t="n"/>
      <c r="X408" s="99" t="n"/>
      <c r="Y408" s="99" t="n"/>
      <c r="Z408" s="99" t="n"/>
      <c r="AA408" s="99" t="n"/>
      <c r="AB408" s="99" t="n"/>
      <c r="AC408" s="99" t="n"/>
      <c r="AD408" s="99" t="n"/>
      <c r="AE408" s="99" t="n"/>
      <c r="AF408" s="99" t="n"/>
      <c r="AG408" s="99" t="n"/>
      <c r="AH408" s="99" t="n"/>
      <c r="AI408" s="99" t="n"/>
      <c r="AJ408" s="99" t="n"/>
      <c r="AK408" s="99" t="n"/>
      <c r="AL408" s="99" t="n"/>
      <c r="AM408" s="99" t="n"/>
      <c r="AN408" s="99" t="n"/>
      <c r="AO408" s="99" t="n"/>
      <c r="AP408" s="99" t="n"/>
      <c r="AQ408" s="99" t="n"/>
      <c r="AR408" s="99" t="n"/>
    </row>
    <row r="409">
      <c r="D409" s="99" t="n"/>
      <c r="E409" s="99" t="n"/>
      <c r="F409" s="99" t="n"/>
      <c r="G409" s="99" t="n"/>
      <c r="H409" s="99" t="n"/>
      <c r="I409" s="99" t="n"/>
      <c r="J409" s="99" t="n"/>
      <c r="K409" s="99" t="n"/>
      <c r="L409" s="99" t="n"/>
      <c r="M409" s="99" t="n"/>
      <c r="N409" s="99" t="n"/>
      <c r="O409" s="99" t="n"/>
      <c r="P409" s="99" t="n"/>
      <c r="Q409" s="99" t="n"/>
      <c r="R409" s="99" t="n"/>
      <c r="S409" s="99" t="n"/>
      <c r="T409" s="99" t="n"/>
      <c r="U409" s="99" t="n"/>
      <c r="V409" s="99" t="n"/>
      <c r="W409" s="99" t="n"/>
      <c r="X409" s="99" t="n"/>
      <c r="Y409" s="99" t="n"/>
      <c r="Z409" s="99" t="n"/>
      <c r="AA409" s="99" t="n"/>
      <c r="AB409" s="99" t="n"/>
      <c r="AC409" s="99" t="n"/>
      <c r="AD409" s="99" t="n"/>
      <c r="AE409" s="99" t="n"/>
      <c r="AF409" s="99" t="n"/>
      <c r="AG409" s="99" t="n"/>
      <c r="AH409" s="99" t="n"/>
      <c r="AI409" s="99" t="n"/>
      <c r="AJ409" s="99" t="n"/>
      <c r="AK409" s="99" t="n"/>
      <c r="AL409" s="99" t="n"/>
      <c r="AM409" s="99" t="n"/>
      <c r="AN409" s="99" t="n"/>
      <c r="AO409" s="99" t="n"/>
      <c r="AP409" s="99" t="n"/>
      <c r="AQ409" s="99" t="n"/>
      <c r="AR409" s="99" t="n"/>
    </row>
    <row r="410">
      <c r="D410" s="100" t="n"/>
      <c r="E410" s="100" t="n"/>
      <c r="F410" s="100" t="n"/>
      <c r="G410" s="100" t="n"/>
      <c r="H410" s="100" t="n"/>
      <c r="I410" s="100" t="n"/>
      <c r="J410" s="100" t="n"/>
      <c r="K410" s="100" t="n"/>
      <c r="L410" s="100" t="n"/>
      <c r="M410" s="100" t="n"/>
      <c r="N410" s="100" t="n"/>
      <c r="O410" s="100" t="n"/>
      <c r="P410" s="100" t="n"/>
      <c r="Q410" s="100" t="n"/>
      <c r="R410" s="100" t="n"/>
      <c r="S410" s="100" t="n"/>
      <c r="T410" s="100" t="n"/>
      <c r="U410" s="100" t="n"/>
      <c r="V410" s="100" t="n"/>
      <c r="W410" s="100" t="n"/>
      <c r="X410" s="100" t="n"/>
      <c r="Y410" s="100" t="n"/>
      <c r="Z410" s="100" t="n"/>
      <c r="AA410" s="100" t="n"/>
      <c r="AB410" s="100" t="n"/>
      <c r="AC410" s="100" t="n"/>
      <c r="AD410" s="100" t="n"/>
      <c r="AE410" s="100" t="n"/>
      <c r="AF410" s="100" t="n"/>
      <c r="AG410" s="100" t="n"/>
      <c r="AH410" s="100" t="n"/>
      <c r="AI410" s="100" t="n"/>
      <c r="AJ410" s="100" t="n"/>
      <c r="AK410" s="100" t="n"/>
      <c r="AL410" s="100" t="n"/>
      <c r="AM410" s="100" t="n"/>
      <c r="AN410" s="100" t="n"/>
      <c r="AO410" s="100" t="n"/>
      <c r="AP410" s="100" t="n"/>
      <c r="AQ410" s="100" t="n"/>
      <c r="AR410" s="100" t="n"/>
    </row>
    <row r="413">
      <c r="A413" s="2">
        <f>IF($A406="","","   projections")</f>
        <v/>
      </c>
      <c r="B413" s="96">
        <f>IF($A406="",0,COUNT($E414:$AR414))</f>
        <v/>
      </c>
      <c r="C413" s="97">
        <f>IF($B413=0,0,MAX($E414:$AR414))</f>
        <v/>
      </c>
      <c r="D413" s="98">
        <f>BDS($A406,FLD_PROJ,"headers=y","startcol=1","endcol=3","dir=h")</f>
        <v/>
      </c>
      <c r="E413" s="99" t="n"/>
      <c r="F413" s="99" t="n"/>
      <c r="G413" s="99" t="n"/>
      <c r="H413" s="99" t="n"/>
      <c r="I413" s="99" t="n"/>
      <c r="J413" s="99" t="n"/>
      <c r="K413" s="99" t="n"/>
      <c r="L413" s="99" t="n"/>
      <c r="M413" s="99" t="n"/>
      <c r="N413" s="99" t="n"/>
      <c r="O413" s="99" t="n"/>
      <c r="P413" s="99" t="n"/>
      <c r="Q413" s="99" t="n"/>
      <c r="R413" s="99" t="n"/>
      <c r="S413" s="99" t="n"/>
      <c r="T413" s="99" t="n"/>
      <c r="U413" s="99" t="n"/>
      <c r="V413" s="99" t="n"/>
      <c r="W413" s="99" t="n"/>
      <c r="X413" s="99" t="n"/>
      <c r="Y413" s="99" t="n"/>
      <c r="Z413" s="99" t="n"/>
      <c r="AA413" s="99" t="n"/>
      <c r="AB413" s="99" t="n"/>
      <c r="AC413" s="99" t="n"/>
      <c r="AD413" s="99" t="n"/>
      <c r="AE413" s="99" t="n"/>
      <c r="AF413" s="99" t="n"/>
      <c r="AG413" s="99" t="n"/>
      <c r="AH413" s="99" t="n"/>
      <c r="AI413" s="99" t="n"/>
      <c r="AJ413" s="99" t="n"/>
      <c r="AK413" s="99" t="n"/>
      <c r="AL413" s="99" t="n"/>
      <c r="AM413" s="99" t="n"/>
      <c r="AN413" s="99" t="n"/>
      <c r="AO413" s="99" t="n"/>
      <c r="AP413" s="99" t="n"/>
      <c r="AQ413" s="99" t="n"/>
      <c r="AR413" s="99" t="n"/>
    </row>
    <row r="414">
      <c r="D414" s="99" t="n"/>
      <c r="E414" s="99" t="n"/>
      <c r="F414" s="99" t="n"/>
      <c r="G414" s="99" t="n"/>
      <c r="H414" s="99" t="n"/>
      <c r="I414" s="99" t="n"/>
      <c r="J414" s="99" t="n"/>
      <c r="K414" s="99" t="n"/>
      <c r="L414" s="99" t="n"/>
      <c r="M414" s="99" t="n"/>
      <c r="N414" s="99" t="n"/>
      <c r="O414" s="99" t="n"/>
      <c r="P414" s="99" t="n"/>
      <c r="Q414" s="99" t="n"/>
      <c r="R414" s="99" t="n"/>
      <c r="S414" s="99" t="n"/>
      <c r="T414" s="99" t="n"/>
      <c r="U414" s="99" t="n"/>
      <c r="V414" s="99" t="n"/>
      <c r="W414" s="99" t="n"/>
      <c r="X414" s="99" t="n"/>
      <c r="Y414" s="99" t="n"/>
      <c r="Z414" s="99" t="n"/>
      <c r="AA414" s="99" t="n"/>
      <c r="AB414" s="99" t="n"/>
      <c r="AC414" s="99" t="n"/>
      <c r="AD414" s="99" t="n"/>
      <c r="AE414" s="99" t="n"/>
      <c r="AF414" s="99" t="n"/>
      <c r="AG414" s="99" t="n"/>
      <c r="AH414" s="99" t="n"/>
      <c r="AI414" s="99" t="n"/>
      <c r="AJ414" s="99" t="n"/>
      <c r="AK414" s="99" t="n"/>
      <c r="AL414" s="99" t="n"/>
      <c r="AM414" s="99" t="n"/>
      <c r="AN414" s="99" t="n"/>
      <c r="AO414" s="99" t="n"/>
      <c r="AP414" s="99" t="n"/>
      <c r="AQ414" s="99" t="n"/>
      <c r="AR414" s="99" t="n"/>
    </row>
    <row r="415">
      <c r="D415" s="100" t="n"/>
      <c r="E415" s="100" t="n"/>
      <c r="F415" s="100" t="n"/>
      <c r="G415" s="100" t="n"/>
      <c r="H415" s="100" t="n"/>
      <c r="I415" s="100" t="n"/>
      <c r="J415" s="100" t="n"/>
      <c r="K415" s="100" t="n"/>
      <c r="L415" s="100" t="n"/>
      <c r="M415" s="100" t="n"/>
      <c r="N415" s="100" t="n"/>
      <c r="O415" s="100" t="n"/>
      <c r="P415" s="100" t="n"/>
      <c r="Q415" s="100" t="n"/>
      <c r="R415" s="100" t="n"/>
      <c r="S415" s="100" t="n"/>
      <c r="T415" s="100" t="n"/>
      <c r="U415" s="100" t="n"/>
      <c r="V415" s="100" t="n"/>
      <c r="W415" s="100" t="n"/>
      <c r="X415" s="100" t="n"/>
      <c r="Y415" s="100" t="n"/>
      <c r="Z415" s="100" t="n"/>
      <c r="AA415" s="100" t="n"/>
      <c r="AB415" s="100" t="n"/>
      <c r="AC415" s="100" t="n"/>
      <c r="AD415" s="100" t="n"/>
      <c r="AE415" s="100" t="n"/>
      <c r="AF415" s="100" t="n"/>
      <c r="AG415" s="100" t="n"/>
      <c r="AH415" s="100" t="n"/>
      <c r="AI415" s="100" t="n"/>
      <c r="AJ415" s="100" t="n"/>
      <c r="AK415" s="100" t="n"/>
      <c r="AL415" s="100" t="n"/>
      <c r="AM415" s="100" t="n"/>
      <c r="AN415" s="100" t="n"/>
      <c r="AO415" s="100" t="n"/>
      <c r="AP415" s="100" t="n"/>
      <c r="AQ415" s="100" t="n"/>
      <c r="AR415" s="100" t="n"/>
    </row>
    <row r="417">
      <c r="A417" s="6">
        <f>IF(HSI!$C$44="","",HSI!$C$44)</f>
        <v/>
      </c>
      <c r="B417" s="96">
        <f>IF($A417="",0,COUNT($E418:$AR418))</f>
        <v/>
      </c>
      <c r="C417" s="97">
        <f>IF($B417=0,0,MAX($E418:$AR418))</f>
        <v/>
      </c>
      <c r="D417" s="98">
        <f>BDS($A417,FLD_HIST,"headers=y","startcol=1","endcol=7","dir=h","DVD_START_DT",HIST_FROM,"DVD_END_DT",HIST_TO)</f>
        <v/>
      </c>
      <c r="E417" s="99" t="n"/>
      <c r="F417" s="99" t="n"/>
      <c r="G417" s="99" t="n"/>
      <c r="H417" s="99" t="n"/>
      <c r="I417" s="99" t="n"/>
      <c r="J417" s="99" t="n"/>
      <c r="K417" s="99" t="n"/>
      <c r="L417" s="99" t="n"/>
      <c r="M417" s="99" t="n"/>
      <c r="N417" s="99" t="n"/>
      <c r="O417" s="99" t="n"/>
      <c r="P417" s="99" t="n"/>
      <c r="Q417" s="99" t="n"/>
      <c r="R417" s="99" t="n"/>
      <c r="S417" s="99" t="n"/>
      <c r="T417" s="99" t="n"/>
      <c r="U417" s="99" t="n"/>
      <c r="V417" s="99" t="n"/>
      <c r="W417" s="99" t="n"/>
      <c r="X417" s="99" t="n"/>
      <c r="Y417" s="99" t="n"/>
      <c r="Z417" s="99" t="n"/>
      <c r="AA417" s="99" t="n"/>
      <c r="AB417" s="99" t="n"/>
      <c r="AC417" s="99" t="n"/>
      <c r="AD417" s="99" t="n"/>
      <c r="AE417" s="99" t="n"/>
      <c r="AF417" s="99" t="n"/>
      <c r="AG417" s="99" t="n"/>
      <c r="AH417" s="99" t="n"/>
      <c r="AI417" s="99" t="n"/>
      <c r="AJ417" s="99" t="n"/>
      <c r="AK417" s="99" t="n"/>
      <c r="AL417" s="99" t="n"/>
      <c r="AM417" s="99" t="n"/>
      <c r="AN417" s="99" t="n"/>
      <c r="AO417" s="99" t="n"/>
      <c r="AP417" s="99" t="n"/>
      <c r="AQ417" s="99" t="n"/>
      <c r="AR417" s="99" t="n"/>
    </row>
    <row r="418">
      <c r="D418" s="99" t="n"/>
      <c r="E418" s="99" t="n"/>
      <c r="F418" s="99" t="n"/>
      <c r="G418" s="99" t="n"/>
      <c r="H418" s="99" t="n"/>
      <c r="I418" s="99" t="n"/>
      <c r="J418" s="99" t="n"/>
      <c r="K418" s="99" t="n"/>
      <c r="L418" s="99" t="n"/>
      <c r="M418" s="99" t="n"/>
      <c r="N418" s="99" t="n"/>
      <c r="O418" s="99" t="n"/>
      <c r="P418" s="99" t="n"/>
      <c r="Q418" s="99" t="n"/>
      <c r="R418" s="99" t="n"/>
      <c r="S418" s="99" t="n"/>
      <c r="T418" s="99" t="n"/>
      <c r="U418" s="99" t="n"/>
      <c r="V418" s="99" t="n"/>
      <c r="W418" s="99" t="n"/>
      <c r="X418" s="99" t="n"/>
      <c r="Y418" s="99" t="n"/>
      <c r="Z418" s="99" t="n"/>
      <c r="AA418" s="99" t="n"/>
      <c r="AB418" s="99" t="n"/>
      <c r="AC418" s="99" t="n"/>
      <c r="AD418" s="99" t="n"/>
      <c r="AE418" s="99" t="n"/>
      <c r="AF418" s="99" t="n"/>
      <c r="AG418" s="99" t="n"/>
      <c r="AH418" s="99" t="n"/>
      <c r="AI418" s="99" t="n"/>
      <c r="AJ418" s="99" t="n"/>
      <c r="AK418" s="99" t="n"/>
      <c r="AL418" s="99" t="n"/>
      <c r="AM418" s="99" t="n"/>
      <c r="AN418" s="99" t="n"/>
      <c r="AO418" s="99" t="n"/>
      <c r="AP418" s="99" t="n"/>
      <c r="AQ418" s="99" t="n"/>
      <c r="AR418" s="99" t="n"/>
    </row>
    <row r="419">
      <c r="D419" s="99" t="n"/>
      <c r="E419" s="99" t="n"/>
      <c r="F419" s="99" t="n"/>
      <c r="G419" s="99" t="n"/>
      <c r="H419" s="99" t="n"/>
      <c r="I419" s="99" t="n"/>
      <c r="J419" s="99" t="n"/>
      <c r="K419" s="99" t="n"/>
      <c r="L419" s="99" t="n"/>
      <c r="M419" s="99" t="n"/>
      <c r="N419" s="99" t="n"/>
      <c r="O419" s="99" t="n"/>
      <c r="P419" s="99" t="n"/>
      <c r="Q419" s="99" t="n"/>
      <c r="R419" s="99" t="n"/>
      <c r="S419" s="99" t="n"/>
      <c r="T419" s="99" t="n"/>
      <c r="U419" s="99" t="n"/>
      <c r="V419" s="99" t="n"/>
      <c r="W419" s="99" t="n"/>
      <c r="X419" s="99" t="n"/>
      <c r="Y419" s="99" t="n"/>
      <c r="Z419" s="99" t="n"/>
      <c r="AA419" s="99" t="n"/>
      <c r="AB419" s="99" t="n"/>
      <c r="AC419" s="99" t="n"/>
      <c r="AD419" s="99" t="n"/>
      <c r="AE419" s="99" t="n"/>
      <c r="AF419" s="99" t="n"/>
      <c r="AG419" s="99" t="n"/>
      <c r="AH419" s="99" t="n"/>
      <c r="AI419" s="99" t="n"/>
      <c r="AJ419" s="99" t="n"/>
      <c r="AK419" s="99" t="n"/>
      <c r="AL419" s="99" t="n"/>
      <c r="AM419" s="99" t="n"/>
      <c r="AN419" s="99" t="n"/>
      <c r="AO419" s="99" t="n"/>
      <c r="AP419" s="99" t="n"/>
      <c r="AQ419" s="99" t="n"/>
      <c r="AR419" s="99" t="n"/>
    </row>
    <row r="420">
      <c r="D420" s="99" t="n"/>
      <c r="E420" s="99" t="n"/>
      <c r="F420" s="99" t="n"/>
      <c r="G420" s="99" t="n"/>
      <c r="H420" s="99" t="n"/>
      <c r="I420" s="99" t="n"/>
      <c r="J420" s="99" t="n"/>
      <c r="K420" s="99" t="n"/>
      <c r="L420" s="99" t="n"/>
      <c r="M420" s="99" t="n"/>
      <c r="N420" s="99" t="n"/>
      <c r="O420" s="99" t="n"/>
      <c r="P420" s="99" t="n"/>
      <c r="Q420" s="99" t="n"/>
      <c r="R420" s="99" t="n"/>
      <c r="S420" s="99" t="n"/>
      <c r="T420" s="99" t="n"/>
      <c r="U420" s="99" t="n"/>
      <c r="V420" s="99" t="n"/>
      <c r="W420" s="99" t="n"/>
      <c r="X420" s="99" t="n"/>
      <c r="Y420" s="99" t="n"/>
      <c r="Z420" s="99" t="n"/>
      <c r="AA420" s="99" t="n"/>
      <c r="AB420" s="99" t="n"/>
      <c r="AC420" s="99" t="n"/>
      <c r="AD420" s="99" t="n"/>
      <c r="AE420" s="99" t="n"/>
      <c r="AF420" s="99" t="n"/>
      <c r="AG420" s="99" t="n"/>
      <c r="AH420" s="99" t="n"/>
      <c r="AI420" s="99" t="n"/>
      <c r="AJ420" s="99" t="n"/>
      <c r="AK420" s="99" t="n"/>
      <c r="AL420" s="99" t="n"/>
      <c r="AM420" s="99" t="n"/>
      <c r="AN420" s="99" t="n"/>
      <c r="AO420" s="99" t="n"/>
      <c r="AP420" s="99" t="n"/>
      <c r="AQ420" s="99" t="n"/>
      <c r="AR420" s="99" t="n"/>
    </row>
    <row r="421">
      <c r="D421" s="100" t="n"/>
      <c r="E421" s="100" t="n"/>
      <c r="F421" s="100" t="n"/>
      <c r="G421" s="100" t="n"/>
      <c r="H421" s="100" t="n"/>
      <c r="I421" s="100" t="n"/>
      <c r="J421" s="100" t="n"/>
      <c r="K421" s="100" t="n"/>
      <c r="L421" s="100" t="n"/>
      <c r="M421" s="100" t="n"/>
      <c r="N421" s="100" t="n"/>
      <c r="O421" s="100" t="n"/>
      <c r="P421" s="100" t="n"/>
      <c r="Q421" s="100" t="n"/>
      <c r="R421" s="100" t="n"/>
      <c r="S421" s="100" t="n"/>
      <c r="T421" s="100" t="n"/>
      <c r="U421" s="100" t="n"/>
      <c r="V421" s="100" t="n"/>
      <c r="W421" s="100" t="n"/>
      <c r="X421" s="100" t="n"/>
      <c r="Y421" s="100" t="n"/>
      <c r="Z421" s="100" t="n"/>
      <c r="AA421" s="100" t="n"/>
      <c r="AB421" s="100" t="n"/>
      <c r="AC421" s="100" t="n"/>
      <c r="AD421" s="100" t="n"/>
      <c r="AE421" s="100" t="n"/>
      <c r="AF421" s="100" t="n"/>
      <c r="AG421" s="100" t="n"/>
      <c r="AH421" s="100" t="n"/>
      <c r="AI421" s="100" t="n"/>
      <c r="AJ421" s="100" t="n"/>
      <c r="AK421" s="100" t="n"/>
      <c r="AL421" s="100" t="n"/>
      <c r="AM421" s="100" t="n"/>
      <c r="AN421" s="100" t="n"/>
      <c r="AO421" s="100" t="n"/>
      <c r="AP421" s="100" t="n"/>
      <c r="AQ421" s="100" t="n"/>
      <c r="AR421" s="100" t="n"/>
    </row>
    <row r="424">
      <c r="A424" s="2">
        <f>IF($A417="","","   projections")</f>
        <v/>
      </c>
      <c r="B424" s="96">
        <f>IF($A417="",0,COUNT($E425:$AR425))</f>
        <v/>
      </c>
      <c r="C424" s="97">
        <f>IF($B424=0,0,MAX($E425:$AR425))</f>
        <v/>
      </c>
      <c r="D424" s="98">
        <f>BDS($A417,FLD_PROJ,"headers=y","startcol=1","endcol=3","dir=h")</f>
        <v/>
      </c>
      <c r="E424" s="99" t="n"/>
      <c r="F424" s="99" t="n"/>
      <c r="G424" s="99" t="n"/>
      <c r="H424" s="99" t="n"/>
      <c r="I424" s="99" t="n"/>
      <c r="J424" s="99" t="n"/>
      <c r="K424" s="99" t="n"/>
      <c r="L424" s="99" t="n"/>
      <c r="M424" s="99" t="n"/>
      <c r="N424" s="99" t="n"/>
      <c r="O424" s="99" t="n"/>
      <c r="P424" s="99" t="n"/>
      <c r="Q424" s="99" t="n"/>
      <c r="R424" s="99" t="n"/>
      <c r="S424" s="99" t="n"/>
      <c r="T424" s="99" t="n"/>
      <c r="U424" s="99" t="n"/>
      <c r="V424" s="99" t="n"/>
      <c r="W424" s="99" t="n"/>
      <c r="X424" s="99" t="n"/>
      <c r="Y424" s="99" t="n"/>
      <c r="Z424" s="99" t="n"/>
      <c r="AA424" s="99" t="n"/>
      <c r="AB424" s="99" t="n"/>
      <c r="AC424" s="99" t="n"/>
      <c r="AD424" s="99" t="n"/>
      <c r="AE424" s="99" t="n"/>
      <c r="AF424" s="99" t="n"/>
      <c r="AG424" s="99" t="n"/>
      <c r="AH424" s="99" t="n"/>
      <c r="AI424" s="99" t="n"/>
      <c r="AJ424" s="99" t="n"/>
      <c r="AK424" s="99" t="n"/>
      <c r="AL424" s="99" t="n"/>
      <c r="AM424" s="99" t="n"/>
      <c r="AN424" s="99" t="n"/>
      <c r="AO424" s="99" t="n"/>
      <c r="AP424" s="99" t="n"/>
      <c r="AQ424" s="99" t="n"/>
      <c r="AR424" s="99" t="n"/>
    </row>
    <row r="425">
      <c r="D425" s="99" t="n"/>
      <c r="E425" s="99" t="n"/>
      <c r="F425" s="99" t="n"/>
      <c r="G425" s="99" t="n"/>
      <c r="H425" s="99" t="n"/>
      <c r="I425" s="99" t="n"/>
      <c r="J425" s="99" t="n"/>
      <c r="K425" s="99" t="n"/>
      <c r="L425" s="99" t="n"/>
      <c r="M425" s="99" t="n"/>
      <c r="N425" s="99" t="n"/>
      <c r="O425" s="99" t="n"/>
      <c r="P425" s="99" t="n"/>
      <c r="Q425" s="99" t="n"/>
      <c r="R425" s="99" t="n"/>
      <c r="S425" s="99" t="n"/>
      <c r="T425" s="99" t="n"/>
      <c r="U425" s="99" t="n"/>
      <c r="V425" s="99" t="n"/>
      <c r="W425" s="99" t="n"/>
      <c r="X425" s="99" t="n"/>
      <c r="Y425" s="99" t="n"/>
      <c r="Z425" s="99" t="n"/>
      <c r="AA425" s="99" t="n"/>
      <c r="AB425" s="99" t="n"/>
      <c r="AC425" s="99" t="n"/>
      <c r="AD425" s="99" t="n"/>
      <c r="AE425" s="99" t="n"/>
      <c r="AF425" s="99" t="n"/>
      <c r="AG425" s="99" t="n"/>
      <c r="AH425" s="99" t="n"/>
      <c r="AI425" s="99" t="n"/>
      <c r="AJ425" s="99" t="n"/>
      <c r="AK425" s="99" t="n"/>
      <c r="AL425" s="99" t="n"/>
      <c r="AM425" s="99" t="n"/>
      <c r="AN425" s="99" t="n"/>
      <c r="AO425" s="99" t="n"/>
      <c r="AP425" s="99" t="n"/>
      <c r="AQ425" s="99" t="n"/>
      <c r="AR425" s="99" t="n"/>
    </row>
    <row r="426">
      <c r="D426" s="100" t="n"/>
      <c r="E426" s="100" t="n"/>
      <c r="F426" s="100" t="n"/>
      <c r="G426" s="100" t="n"/>
      <c r="H426" s="100" t="n"/>
      <c r="I426" s="100" t="n"/>
      <c r="J426" s="100" t="n"/>
      <c r="K426" s="100" t="n"/>
      <c r="L426" s="100" t="n"/>
      <c r="M426" s="100" t="n"/>
      <c r="N426" s="100" t="n"/>
      <c r="O426" s="100" t="n"/>
      <c r="P426" s="100" t="n"/>
      <c r="Q426" s="100" t="n"/>
      <c r="R426" s="100" t="n"/>
      <c r="S426" s="100" t="n"/>
      <c r="T426" s="100" t="n"/>
      <c r="U426" s="100" t="n"/>
      <c r="V426" s="100" t="n"/>
      <c r="W426" s="100" t="n"/>
      <c r="X426" s="100" t="n"/>
      <c r="Y426" s="100" t="n"/>
      <c r="Z426" s="100" t="n"/>
      <c r="AA426" s="100" t="n"/>
      <c r="AB426" s="100" t="n"/>
      <c r="AC426" s="100" t="n"/>
      <c r="AD426" s="100" t="n"/>
      <c r="AE426" s="100" t="n"/>
      <c r="AF426" s="100" t="n"/>
      <c r="AG426" s="100" t="n"/>
      <c r="AH426" s="100" t="n"/>
      <c r="AI426" s="100" t="n"/>
      <c r="AJ426" s="100" t="n"/>
      <c r="AK426" s="100" t="n"/>
      <c r="AL426" s="100" t="n"/>
      <c r="AM426" s="100" t="n"/>
      <c r="AN426" s="100" t="n"/>
      <c r="AO426" s="100" t="n"/>
      <c r="AP426" s="100" t="n"/>
      <c r="AQ426" s="100" t="n"/>
      <c r="AR426" s="100" t="n"/>
    </row>
    <row r="428">
      <c r="A428" s="6">
        <f>IF(HSI!$C$45="","",HSI!$C$45)</f>
        <v/>
      </c>
      <c r="B428" s="96">
        <f>IF($A428="",0,COUNT($E429:$AR429))</f>
        <v/>
      </c>
      <c r="C428" s="97">
        <f>IF($B428=0,0,MAX($E429:$AR429))</f>
        <v/>
      </c>
      <c r="D428" s="98">
        <f>BDS($A428,FLD_HIST,"headers=y","startcol=1","endcol=7","dir=h","DVD_START_DT",HIST_FROM,"DVD_END_DT",HIST_TO)</f>
        <v/>
      </c>
      <c r="E428" s="99" t="n"/>
      <c r="F428" s="99" t="n"/>
      <c r="G428" s="99" t="n"/>
      <c r="H428" s="99" t="n"/>
      <c r="I428" s="99" t="n"/>
      <c r="J428" s="99" t="n"/>
      <c r="K428" s="99" t="n"/>
      <c r="L428" s="99" t="n"/>
      <c r="M428" s="99" t="n"/>
      <c r="N428" s="99" t="n"/>
      <c r="O428" s="99" t="n"/>
      <c r="P428" s="99" t="n"/>
      <c r="Q428" s="99" t="n"/>
      <c r="R428" s="99" t="n"/>
      <c r="S428" s="99" t="n"/>
      <c r="T428" s="99" t="n"/>
      <c r="U428" s="99" t="n"/>
      <c r="V428" s="99" t="n"/>
      <c r="W428" s="99" t="n"/>
      <c r="X428" s="99" t="n"/>
      <c r="Y428" s="99" t="n"/>
      <c r="Z428" s="99" t="n"/>
      <c r="AA428" s="99" t="n"/>
      <c r="AB428" s="99" t="n"/>
      <c r="AC428" s="99" t="n"/>
      <c r="AD428" s="99" t="n"/>
      <c r="AE428" s="99" t="n"/>
      <c r="AF428" s="99" t="n"/>
      <c r="AG428" s="99" t="n"/>
      <c r="AH428" s="99" t="n"/>
      <c r="AI428" s="99" t="n"/>
      <c r="AJ428" s="99" t="n"/>
      <c r="AK428" s="99" t="n"/>
      <c r="AL428" s="99" t="n"/>
      <c r="AM428" s="99" t="n"/>
      <c r="AN428" s="99" t="n"/>
      <c r="AO428" s="99" t="n"/>
      <c r="AP428" s="99" t="n"/>
      <c r="AQ428" s="99" t="n"/>
      <c r="AR428" s="99" t="n"/>
    </row>
    <row r="429">
      <c r="D429" s="99" t="n"/>
      <c r="E429" s="99" t="n"/>
      <c r="F429" s="99" t="n"/>
      <c r="G429" s="99" t="n"/>
      <c r="H429" s="99" t="n"/>
      <c r="I429" s="99" t="n"/>
      <c r="J429" s="99" t="n"/>
      <c r="K429" s="99" t="n"/>
      <c r="L429" s="99" t="n"/>
      <c r="M429" s="99" t="n"/>
      <c r="N429" s="99" t="n"/>
      <c r="O429" s="99" t="n"/>
      <c r="P429" s="99" t="n"/>
      <c r="Q429" s="99" t="n"/>
      <c r="R429" s="99" t="n"/>
      <c r="S429" s="99" t="n"/>
      <c r="T429" s="99" t="n"/>
      <c r="U429" s="99" t="n"/>
      <c r="V429" s="99" t="n"/>
      <c r="W429" s="99" t="n"/>
      <c r="X429" s="99" t="n"/>
      <c r="Y429" s="99" t="n"/>
      <c r="Z429" s="99" t="n"/>
      <c r="AA429" s="99" t="n"/>
      <c r="AB429" s="99" t="n"/>
      <c r="AC429" s="99" t="n"/>
      <c r="AD429" s="99" t="n"/>
      <c r="AE429" s="99" t="n"/>
      <c r="AF429" s="99" t="n"/>
      <c r="AG429" s="99" t="n"/>
      <c r="AH429" s="99" t="n"/>
      <c r="AI429" s="99" t="n"/>
      <c r="AJ429" s="99" t="n"/>
      <c r="AK429" s="99" t="n"/>
      <c r="AL429" s="99" t="n"/>
      <c r="AM429" s="99" t="n"/>
      <c r="AN429" s="99" t="n"/>
      <c r="AO429" s="99" t="n"/>
      <c r="AP429" s="99" t="n"/>
      <c r="AQ429" s="99" t="n"/>
      <c r="AR429" s="99" t="n"/>
    </row>
    <row r="430">
      <c r="D430" s="99" t="n"/>
      <c r="E430" s="99" t="n"/>
      <c r="F430" s="99" t="n"/>
      <c r="G430" s="99" t="n"/>
      <c r="H430" s="99" t="n"/>
      <c r="I430" s="99" t="n"/>
      <c r="J430" s="99" t="n"/>
      <c r="K430" s="99" t="n"/>
      <c r="L430" s="99" t="n"/>
      <c r="M430" s="99" t="n"/>
      <c r="N430" s="99" t="n"/>
      <c r="O430" s="99" t="n"/>
      <c r="P430" s="99" t="n"/>
      <c r="Q430" s="99" t="n"/>
      <c r="R430" s="99" t="n"/>
      <c r="S430" s="99" t="n"/>
      <c r="T430" s="99" t="n"/>
      <c r="U430" s="99" t="n"/>
      <c r="V430" s="99" t="n"/>
      <c r="W430" s="99" t="n"/>
      <c r="X430" s="99" t="n"/>
      <c r="Y430" s="99" t="n"/>
      <c r="Z430" s="99" t="n"/>
      <c r="AA430" s="99" t="n"/>
      <c r="AB430" s="99" t="n"/>
      <c r="AC430" s="99" t="n"/>
      <c r="AD430" s="99" t="n"/>
      <c r="AE430" s="99" t="n"/>
      <c r="AF430" s="99" t="n"/>
      <c r="AG430" s="99" t="n"/>
      <c r="AH430" s="99" t="n"/>
      <c r="AI430" s="99" t="n"/>
      <c r="AJ430" s="99" t="n"/>
      <c r="AK430" s="99" t="n"/>
      <c r="AL430" s="99" t="n"/>
      <c r="AM430" s="99" t="n"/>
      <c r="AN430" s="99" t="n"/>
      <c r="AO430" s="99" t="n"/>
      <c r="AP430" s="99" t="n"/>
      <c r="AQ430" s="99" t="n"/>
      <c r="AR430" s="99" t="n"/>
    </row>
    <row r="431">
      <c r="D431" s="99" t="n"/>
      <c r="E431" s="99" t="n"/>
      <c r="F431" s="99" t="n"/>
      <c r="G431" s="99" t="n"/>
      <c r="H431" s="99" t="n"/>
      <c r="I431" s="99" t="n"/>
      <c r="J431" s="99" t="n"/>
      <c r="K431" s="99" t="n"/>
      <c r="L431" s="99" t="n"/>
      <c r="M431" s="99" t="n"/>
      <c r="N431" s="99" t="n"/>
      <c r="O431" s="99" t="n"/>
      <c r="P431" s="99" t="n"/>
      <c r="Q431" s="99" t="n"/>
      <c r="R431" s="99" t="n"/>
      <c r="S431" s="99" t="n"/>
      <c r="T431" s="99" t="n"/>
      <c r="U431" s="99" t="n"/>
      <c r="V431" s="99" t="n"/>
      <c r="W431" s="99" t="n"/>
      <c r="X431" s="99" t="n"/>
      <c r="Y431" s="99" t="n"/>
      <c r="Z431" s="99" t="n"/>
      <c r="AA431" s="99" t="n"/>
      <c r="AB431" s="99" t="n"/>
      <c r="AC431" s="99" t="n"/>
      <c r="AD431" s="99" t="n"/>
      <c r="AE431" s="99" t="n"/>
      <c r="AF431" s="99" t="n"/>
      <c r="AG431" s="99" t="n"/>
      <c r="AH431" s="99" t="n"/>
      <c r="AI431" s="99" t="n"/>
      <c r="AJ431" s="99" t="n"/>
      <c r="AK431" s="99" t="n"/>
      <c r="AL431" s="99" t="n"/>
      <c r="AM431" s="99" t="n"/>
      <c r="AN431" s="99" t="n"/>
      <c r="AO431" s="99" t="n"/>
      <c r="AP431" s="99" t="n"/>
      <c r="AQ431" s="99" t="n"/>
      <c r="AR431" s="99" t="n"/>
    </row>
    <row r="432">
      <c r="D432" s="100" t="n"/>
      <c r="E432" s="100" t="n"/>
      <c r="F432" s="100" t="n"/>
      <c r="G432" s="100" t="n"/>
      <c r="H432" s="100" t="n"/>
      <c r="I432" s="100" t="n"/>
      <c r="J432" s="100" t="n"/>
      <c r="K432" s="100" t="n"/>
      <c r="L432" s="100" t="n"/>
      <c r="M432" s="100" t="n"/>
      <c r="N432" s="100" t="n"/>
      <c r="O432" s="100" t="n"/>
      <c r="P432" s="100" t="n"/>
      <c r="Q432" s="100" t="n"/>
      <c r="R432" s="100" t="n"/>
      <c r="S432" s="100" t="n"/>
      <c r="T432" s="100" t="n"/>
      <c r="U432" s="100" t="n"/>
      <c r="V432" s="100" t="n"/>
      <c r="W432" s="100" t="n"/>
      <c r="X432" s="100" t="n"/>
      <c r="Y432" s="100" t="n"/>
      <c r="Z432" s="100" t="n"/>
      <c r="AA432" s="100" t="n"/>
      <c r="AB432" s="100" t="n"/>
      <c r="AC432" s="100" t="n"/>
      <c r="AD432" s="100" t="n"/>
      <c r="AE432" s="100" t="n"/>
      <c r="AF432" s="100" t="n"/>
      <c r="AG432" s="100" t="n"/>
      <c r="AH432" s="100" t="n"/>
      <c r="AI432" s="100" t="n"/>
      <c r="AJ432" s="100" t="n"/>
      <c r="AK432" s="100" t="n"/>
      <c r="AL432" s="100" t="n"/>
      <c r="AM432" s="100" t="n"/>
      <c r="AN432" s="100" t="n"/>
      <c r="AO432" s="100" t="n"/>
      <c r="AP432" s="100" t="n"/>
      <c r="AQ432" s="100" t="n"/>
      <c r="AR432" s="100" t="n"/>
    </row>
    <row r="435">
      <c r="A435" s="2">
        <f>IF($A428="","","   projections")</f>
        <v/>
      </c>
      <c r="B435" s="96">
        <f>IF($A428="",0,COUNT($E436:$AR436))</f>
        <v/>
      </c>
      <c r="C435" s="97">
        <f>IF($B435=0,0,MAX($E436:$AR436))</f>
        <v/>
      </c>
      <c r="D435" s="98">
        <f>BDS($A428,FLD_PROJ,"headers=y","startcol=1","endcol=3","dir=h")</f>
        <v/>
      </c>
      <c r="E435" s="99" t="n"/>
      <c r="F435" s="99" t="n"/>
      <c r="G435" s="99" t="n"/>
      <c r="H435" s="99" t="n"/>
      <c r="I435" s="99" t="n"/>
      <c r="J435" s="99" t="n"/>
      <c r="K435" s="99" t="n"/>
      <c r="L435" s="99" t="n"/>
      <c r="M435" s="99" t="n"/>
      <c r="N435" s="99" t="n"/>
      <c r="O435" s="99" t="n"/>
      <c r="P435" s="99" t="n"/>
      <c r="Q435" s="99" t="n"/>
      <c r="R435" s="99" t="n"/>
      <c r="S435" s="99" t="n"/>
      <c r="T435" s="99" t="n"/>
      <c r="U435" s="99" t="n"/>
      <c r="V435" s="99" t="n"/>
      <c r="W435" s="99" t="n"/>
      <c r="X435" s="99" t="n"/>
      <c r="Y435" s="99" t="n"/>
      <c r="Z435" s="99" t="n"/>
      <c r="AA435" s="99" t="n"/>
      <c r="AB435" s="99" t="n"/>
      <c r="AC435" s="99" t="n"/>
      <c r="AD435" s="99" t="n"/>
      <c r="AE435" s="99" t="n"/>
      <c r="AF435" s="99" t="n"/>
      <c r="AG435" s="99" t="n"/>
      <c r="AH435" s="99" t="n"/>
      <c r="AI435" s="99" t="n"/>
      <c r="AJ435" s="99" t="n"/>
      <c r="AK435" s="99" t="n"/>
      <c r="AL435" s="99" t="n"/>
      <c r="AM435" s="99" t="n"/>
      <c r="AN435" s="99" t="n"/>
      <c r="AO435" s="99" t="n"/>
      <c r="AP435" s="99" t="n"/>
      <c r="AQ435" s="99" t="n"/>
      <c r="AR435" s="99" t="n"/>
    </row>
    <row r="436">
      <c r="D436" s="99" t="n"/>
      <c r="E436" s="99" t="n"/>
      <c r="F436" s="99" t="n"/>
      <c r="G436" s="99" t="n"/>
      <c r="H436" s="99" t="n"/>
      <c r="I436" s="99" t="n"/>
      <c r="J436" s="99" t="n"/>
      <c r="K436" s="99" t="n"/>
      <c r="L436" s="99" t="n"/>
      <c r="M436" s="99" t="n"/>
      <c r="N436" s="99" t="n"/>
      <c r="O436" s="99" t="n"/>
      <c r="P436" s="99" t="n"/>
      <c r="Q436" s="99" t="n"/>
      <c r="R436" s="99" t="n"/>
      <c r="S436" s="99" t="n"/>
      <c r="T436" s="99" t="n"/>
      <c r="U436" s="99" t="n"/>
      <c r="V436" s="99" t="n"/>
      <c r="W436" s="99" t="n"/>
      <c r="X436" s="99" t="n"/>
      <c r="Y436" s="99" t="n"/>
      <c r="Z436" s="99" t="n"/>
      <c r="AA436" s="99" t="n"/>
      <c r="AB436" s="99" t="n"/>
      <c r="AC436" s="99" t="n"/>
      <c r="AD436" s="99" t="n"/>
      <c r="AE436" s="99" t="n"/>
      <c r="AF436" s="99" t="n"/>
      <c r="AG436" s="99" t="n"/>
      <c r="AH436" s="99" t="n"/>
      <c r="AI436" s="99" t="n"/>
      <c r="AJ436" s="99" t="n"/>
      <c r="AK436" s="99" t="n"/>
      <c r="AL436" s="99" t="n"/>
      <c r="AM436" s="99" t="n"/>
      <c r="AN436" s="99" t="n"/>
      <c r="AO436" s="99" t="n"/>
      <c r="AP436" s="99" t="n"/>
      <c r="AQ436" s="99" t="n"/>
      <c r="AR436" s="99" t="n"/>
    </row>
    <row r="437">
      <c r="D437" s="100" t="n"/>
      <c r="E437" s="100" t="n"/>
      <c r="F437" s="100" t="n"/>
      <c r="G437" s="100" t="n"/>
      <c r="H437" s="100" t="n"/>
      <c r="I437" s="100" t="n"/>
      <c r="J437" s="100" t="n"/>
      <c r="K437" s="100" t="n"/>
      <c r="L437" s="100" t="n"/>
      <c r="M437" s="100" t="n"/>
      <c r="N437" s="100" t="n"/>
      <c r="O437" s="100" t="n"/>
      <c r="P437" s="100" t="n"/>
      <c r="Q437" s="100" t="n"/>
      <c r="R437" s="100" t="n"/>
      <c r="S437" s="100" t="n"/>
      <c r="T437" s="100" t="n"/>
      <c r="U437" s="100" t="n"/>
      <c r="V437" s="100" t="n"/>
      <c r="W437" s="100" t="n"/>
      <c r="X437" s="100" t="n"/>
      <c r="Y437" s="100" t="n"/>
      <c r="Z437" s="100" t="n"/>
      <c r="AA437" s="100" t="n"/>
      <c r="AB437" s="100" t="n"/>
      <c r="AC437" s="100" t="n"/>
      <c r="AD437" s="100" t="n"/>
      <c r="AE437" s="100" t="n"/>
      <c r="AF437" s="100" t="n"/>
      <c r="AG437" s="100" t="n"/>
      <c r="AH437" s="100" t="n"/>
      <c r="AI437" s="100" t="n"/>
      <c r="AJ437" s="100" t="n"/>
      <c r="AK437" s="100" t="n"/>
      <c r="AL437" s="100" t="n"/>
      <c r="AM437" s="100" t="n"/>
      <c r="AN437" s="100" t="n"/>
      <c r="AO437" s="100" t="n"/>
      <c r="AP437" s="100" t="n"/>
      <c r="AQ437" s="100" t="n"/>
      <c r="AR437" s="100" t="n"/>
    </row>
    <row r="439">
      <c r="A439" s="6">
        <f>IF(HSI!$C$46="","",HSI!$C$46)</f>
        <v/>
      </c>
      <c r="B439" s="96">
        <f>IF($A439="",0,COUNT($E440:$AR440))</f>
        <v/>
      </c>
      <c r="C439" s="97">
        <f>IF($B439=0,0,MAX($E440:$AR440))</f>
        <v/>
      </c>
      <c r="D439" s="98">
        <f>BDS($A439,FLD_HIST,"headers=y","startcol=1","endcol=7","dir=h","DVD_START_DT",HIST_FROM,"DVD_END_DT",HIST_TO)</f>
        <v/>
      </c>
      <c r="E439" s="99" t="n"/>
      <c r="F439" s="99" t="n"/>
      <c r="G439" s="99" t="n"/>
      <c r="H439" s="99" t="n"/>
      <c r="I439" s="99" t="n"/>
      <c r="J439" s="99" t="n"/>
      <c r="K439" s="99" t="n"/>
      <c r="L439" s="99" t="n"/>
      <c r="M439" s="99" t="n"/>
      <c r="N439" s="99" t="n"/>
      <c r="O439" s="99" t="n"/>
      <c r="P439" s="99" t="n"/>
      <c r="Q439" s="99" t="n"/>
      <c r="R439" s="99" t="n"/>
      <c r="S439" s="99" t="n"/>
      <c r="T439" s="99" t="n"/>
      <c r="U439" s="99" t="n"/>
      <c r="V439" s="99" t="n"/>
      <c r="W439" s="99" t="n"/>
      <c r="X439" s="99" t="n"/>
      <c r="Y439" s="99" t="n"/>
      <c r="Z439" s="99" t="n"/>
      <c r="AA439" s="99" t="n"/>
      <c r="AB439" s="99" t="n"/>
      <c r="AC439" s="99" t="n"/>
      <c r="AD439" s="99" t="n"/>
      <c r="AE439" s="99" t="n"/>
      <c r="AF439" s="99" t="n"/>
      <c r="AG439" s="99" t="n"/>
      <c r="AH439" s="99" t="n"/>
      <c r="AI439" s="99" t="n"/>
      <c r="AJ439" s="99" t="n"/>
      <c r="AK439" s="99" t="n"/>
      <c r="AL439" s="99" t="n"/>
      <c r="AM439" s="99" t="n"/>
      <c r="AN439" s="99" t="n"/>
      <c r="AO439" s="99" t="n"/>
      <c r="AP439" s="99" t="n"/>
      <c r="AQ439" s="99" t="n"/>
      <c r="AR439" s="99" t="n"/>
    </row>
    <row r="440">
      <c r="D440" s="99" t="n"/>
      <c r="E440" s="99" t="n"/>
      <c r="F440" s="99" t="n"/>
      <c r="G440" s="99" t="n"/>
      <c r="H440" s="99" t="n"/>
      <c r="I440" s="99" t="n"/>
      <c r="J440" s="99" t="n"/>
      <c r="K440" s="99" t="n"/>
      <c r="L440" s="99" t="n"/>
      <c r="M440" s="99" t="n"/>
      <c r="N440" s="99" t="n"/>
      <c r="O440" s="99" t="n"/>
      <c r="P440" s="99" t="n"/>
      <c r="Q440" s="99" t="n"/>
      <c r="R440" s="99" t="n"/>
      <c r="S440" s="99" t="n"/>
      <c r="T440" s="99" t="n"/>
      <c r="U440" s="99" t="n"/>
      <c r="V440" s="99" t="n"/>
      <c r="W440" s="99" t="n"/>
      <c r="X440" s="99" t="n"/>
      <c r="Y440" s="99" t="n"/>
      <c r="Z440" s="99" t="n"/>
      <c r="AA440" s="99" t="n"/>
      <c r="AB440" s="99" t="n"/>
      <c r="AC440" s="99" t="n"/>
      <c r="AD440" s="99" t="n"/>
      <c r="AE440" s="99" t="n"/>
      <c r="AF440" s="99" t="n"/>
      <c r="AG440" s="99" t="n"/>
      <c r="AH440" s="99" t="n"/>
      <c r="AI440" s="99" t="n"/>
      <c r="AJ440" s="99" t="n"/>
      <c r="AK440" s="99" t="n"/>
      <c r="AL440" s="99" t="n"/>
      <c r="AM440" s="99" t="n"/>
      <c r="AN440" s="99" t="n"/>
      <c r="AO440" s="99" t="n"/>
      <c r="AP440" s="99" t="n"/>
      <c r="AQ440" s="99" t="n"/>
      <c r="AR440" s="99" t="n"/>
    </row>
    <row r="441">
      <c r="D441" s="99" t="n"/>
      <c r="E441" s="99" t="n"/>
      <c r="F441" s="99" t="n"/>
      <c r="G441" s="99" t="n"/>
      <c r="H441" s="99" t="n"/>
      <c r="I441" s="99" t="n"/>
      <c r="J441" s="99" t="n"/>
      <c r="K441" s="99" t="n"/>
      <c r="L441" s="99" t="n"/>
      <c r="M441" s="99" t="n"/>
      <c r="N441" s="99" t="n"/>
      <c r="O441" s="99" t="n"/>
      <c r="P441" s="99" t="n"/>
      <c r="Q441" s="99" t="n"/>
      <c r="R441" s="99" t="n"/>
      <c r="S441" s="99" t="n"/>
      <c r="T441" s="99" t="n"/>
      <c r="U441" s="99" t="n"/>
      <c r="V441" s="99" t="n"/>
      <c r="W441" s="99" t="n"/>
      <c r="X441" s="99" t="n"/>
      <c r="Y441" s="99" t="n"/>
      <c r="Z441" s="99" t="n"/>
      <c r="AA441" s="99" t="n"/>
      <c r="AB441" s="99" t="n"/>
      <c r="AC441" s="99" t="n"/>
      <c r="AD441" s="99" t="n"/>
      <c r="AE441" s="99" t="n"/>
      <c r="AF441" s="99" t="n"/>
      <c r="AG441" s="99" t="n"/>
      <c r="AH441" s="99" t="n"/>
      <c r="AI441" s="99" t="n"/>
      <c r="AJ441" s="99" t="n"/>
      <c r="AK441" s="99" t="n"/>
      <c r="AL441" s="99" t="n"/>
      <c r="AM441" s="99" t="n"/>
      <c r="AN441" s="99" t="n"/>
      <c r="AO441" s="99" t="n"/>
      <c r="AP441" s="99" t="n"/>
      <c r="AQ441" s="99" t="n"/>
      <c r="AR441" s="99" t="n"/>
    </row>
    <row r="442">
      <c r="D442" s="99" t="n"/>
      <c r="E442" s="99" t="n"/>
      <c r="F442" s="99" t="n"/>
      <c r="G442" s="99" t="n"/>
      <c r="H442" s="99" t="n"/>
      <c r="I442" s="99" t="n"/>
      <c r="J442" s="99" t="n"/>
      <c r="K442" s="99" t="n"/>
      <c r="L442" s="99" t="n"/>
      <c r="M442" s="99" t="n"/>
      <c r="N442" s="99" t="n"/>
      <c r="O442" s="99" t="n"/>
      <c r="P442" s="99" t="n"/>
      <c r="Q442" s="99" t="n"/>
      <c r="R442" s="99" t="n"/>
      <c r="S442" s="99" t="n"/>
      <c r="T442" s="99" t="n"/>
      <c r="U442" s="99" t="n"/>
      <c r="V442" s="99" t="n"/>
      <c r="W442" s="99" t="n"/>
      <c r="X442" s="99" t="n"/>
      <c r="Y442" s="99" t="n"/>
      <c r="Z442" s="99" t="n"/>
      <c r="AA442" s="99" t="n"/>
      <c r="AB442" s="99" t="n"/>
      <c r="AC442" s="99" t="n"/>
      <c r="AD442" s="99" t="n"/>
      <c r="AE442" s="99" t="n"/>
      <c r="AF442" s="99" t="n"/>
      <c r="AG442" s="99" t="n"/>
      <c r="AH442" s="99" t="n"/>
      <c r="AI442" s="99" t="n"/>
      <c r="AJ442" s="99" t="n"/>
      <c r="AK442" s="99" t="n"/>
      <c r="AL442" s="99" t="n"/>
      <c r="AM442" s="99" t="n"/>
      <c r="AN442" s="99" t="n"/>
      <c r="AO442" s="99" t="n"/>
      <c r="AP442" s="99" t="n"/>
      <c r="AQ442" s="99" t="n"/>
      <c r="AR442" s="99" t="n"/>
    </row>
    <row r="443">
      <c r="D443" s="100" t="n"/>
      <c r="E443" s="100" t="n"/>
      <c r="F443" s="100" t="n"/>
      <c r="G443" s="100" t="n"/>
      <c r="H443" s="100" t="n"/>
      <c r="I443" s="100" t="n"/>
      <c r="J443" s="100" t="n"/>
      <c r="K443" s="100" t="n"/>
      <c r="L443" s="100" t="n"/>
      <c r="M443" s="100" t="n"/>
      <c r="N443" s="100" t="n"/>
      <c r="O443" s="100" t="n"/>
      <c r="P443" s="100" t="n"/>
      <c r="Q443" s="100" t="n"/>
      <c r="R443" s="100" t="n"/>
      <c r="S443" s="100" t="n"/>
      <c r="T443" s="100" t="n"/>
      <c r="U443" s="100" t="n"/>
      <c r="V443" s="100" t="n"/>
      <c r="W443" s="100" t="n"/>
      <c r="X443" s="100" t="n"/>
      <c r="Y443" s="100" t="n"/>
      <c r="Z443" s="100" t="n"/>
      <c r="AA443" s="100" t="n"/>
      <c r="AB443" s="100" t="n"/>
      <c r="AC443" s="100" t="n"/>
      <c r="AD443" s="100" t="n"/>
      <c r="AE443" s="100" t="n"/>
      <c r="AF443" s="100" t="n"/>
      <c r="AG443" s="100" t="n"/>
      <c r="AH443" s="100" t="n"/>
      <c r="AI443" s="100" t="n"/>
      <c r="AJ443" s="100" t="n"/>
      <c r="AK443" s="100" t="n"/>
      <c r="AL443" s="100" t="n"/>
      <c r="AM443" s="100" t="n"/>
      <c r="AN443" s="100" t="n"/>
      <c r="AO443" s="100" t="n"/>
      <c r="AP443" s="100" t="n"/>
      <c r="AQ443" s="100" t="n"/>
      <c r="AR443" s="100" t="n"/>
    </row>
    <row r="446">
      <c r="A446" s="2">
        <f>IF($A439="","","   projections")</f>
        <v/>
      </c>
      <c r="B446" s="96">
        <f>IF($A439="",0,COUNT($E447:$AR447))</f>
        <v/>
      </c>
      <c r="C446" s="97">
        <f>IF($B446=0,0,MAX($E447:$AR447))</f>
        <v/>
      </c>
      <c r="D446" s="98">
        <f>BDS($A439,FLD_PROJ,"headers=y","startcol=1","endcol=3","dir=h")</f>
        <v/>
      </c>
      <c r="E446" s="99" t="n"/>
      <c r="F446" s="99" t="n"/>
      <c r="G446" s="99" t="n"/>
      <c r="H446" s="99" t="n"/>
      <c r="I446" s="99" t="n"/>
      <c r="J446" s="99" t="n"/>
      <c r="K446" s="99" t="n"/>
      <c r="L446" s="99" t="n"/>
      <c r="M446" s="99" t="n"/>
      <c r="N446" s="99" t="n"/>
      <c r="O446" s="99" t="n"/>
      <c r="P446" s="99" t="n"/>
      <c r="Q446" s="99" t="n"/>
      <c r="R446" s="99" t="n"/>
      <c r="S446" s="99" t="n"/>
      <c r="T446" s="99" t="n"/>
      <c r="U446" s="99" t="n"/>
      <c r="V446" s="99" t="n"/>
      <c r="W446" s="99" t="n"/>
      <c r="X446" s="99" t="n"/>
      <c r="Y446" s="99" t="n"/>
      <c r="Z446" s="99" t="n"/>
      <c r="AA446" s="99" t="n"/>
      <c r="AB446" s="99" t="n"/>
      <c r="AC446" s="99" t="n"/>
      <c r="AD446" s="99" t="n"/>
      <c r="AE446" s="99" t="n"/>
      <c r="AF446" s="99" t="n"/>
      <c r="AG446" s="99" t="n"/>
      <c r="AH446" s="99" t="n"/>
      <c r="AI446" s="99" t="n"/>
      <c r="AJ446" s="99" t="n"/>
      <c r="AK446" s="99" t="n"/>
      <c r="AL446" s="99" t="n"/>
      <c r="AM446" s="99" t="n"/>
      <c r="AN446" s="99" t="n"/>
      <c r="AO446" s="99" t="n"/>
      <c r="AP446" s="99" t="n"/>
      <c r="AQ446" s="99" t="n"/>
      <c r="AR446" s="99" t="n"/>
    </row>
    <row r="447">
      <c r="D447" s="99" t="n"/>
      <c r="E447" s="99" t="n"/>
      <c r="F447" s="99" t="n"/>
      <c r="G447" s="99" t="n"/>
      <c r="H447" s="99" t="n"/>
      <c r="I447" s="99" t="n"/>
      <c r="J447" s="99" t="n"/>
      <c r="K447" s="99" t="n"/>
      <c r="L447" s="99" t="n"/>
      <c r="M447" s="99" t="n"/>
      <c r="N447" s="99" t="n"/>
      <c r="O447" s="99" t="n"/>
      <c r="P447" s="99" t="n"/>
      <c r="Q447" s="99" t="n"/>
      <c r="R447" s="99" t="n"/>
      <c r="S447" s="99" t="n"/>
      <c r="T447" s="99" t="n"/>
      <c r="U447" s="99" t="n"/>
      <c r="V447" s="99" t="n"/>
      <c r="W447" s="99" t="n"/>
      <c r="X447" s="99" t="n"/>
      <c r="Y447" s="99" t="n"/>
      <c r="Z447" s="99" t="n"/>
      <c r="AA447" s="99" t="n"/>
      <c r="AB447" s="99" t="n"/>
      <c r="AC447" s="99" t="n"/>
      <c r="AD447" s="99" t="n"/>
      <c r="AE447" s="99" t="n"/>
      <c r="AF447" s="99" t="n"/>
      <c r="AG447" s="99" t="n"/>
      <c r="AH447" s="99" t="n"/>
      <c r="AI447" s="99" t="n"/>
      <c r="AJ447" s="99" t="n"/>
      <c r="AK447" s="99" t="n"/>
      <c r="AL447" s="99" t="n"/>
      <c r="AM447" s="99" t="n"/>
      <c r="AN447" s="99" t="n"/>
      <c r="AO447" s="99" t="n"/>
      <c r="AP447" s="99" t="n"/>
      <c r="AQ447" s="99" t="n"/>
      <c r="AR447" s="99" t="n"/>
    </row>
    <row r="448">
      <c r="D448" s="100" t="n"/>
      <c r="E448" s="100" t="n"/>
      <c r="F448" s="100" t="n"/>
      <c r="G448" s="100" t="n"/>
      <c r="H448" s="100" t="n"/>
      <c r="I448" s="100" t="n"/>
      <c r="J448" s="100" t="n"/>
      <c r="K448" s="100" t="n"/>
      <c r="L448" s="100" t="n"/>
      <c r="M448" s="100" t="n"/>
      <c r="N448" s="100" t="n"/>
      <c r="O448" s="100" t="n"/>
      <c r="P448" s="100" t="n"/>
      <c r="Q448" s="100" t="n"/>
      <c r="R448" s="100" t="n"/>
      <c r="S448" s="100" t="n"/>
      <c r="T448" s="100" t="n"/>
      <c r="U448" s="100" t="n"/>
      <c r="V448" s="100" t="n"/>
      <c r="W448" s="100" t="n"/>
      <c r="X448" s="100" t="n"/>
      <c r="Y448" s="100" t="n"/>
      <c r="Z448" s="100" t="n"/>
      <c r="AA448" s="100" t="n"/>
      <c r="AB448" s="100" t="n"/>
      <c r="AC448" s="100" t="n"/>
      <c r="AD448" s="100" t="n"/>
      <c r="AE448" s="100" t="n"/>
      <c r="AF448" s="100" t="n"/>
      <c r="AG448" s="100" t="n"/>
      <c r="AH448" s="100" t="n"/>
      <c r="AI448" s="100" t="n"/>
      <c r="AJ448" s="100" t="n"/>
      <c r="AK448" s="100" t="n"/>
      <c r="AL448" s="100" t="n"/>
      <c r="AM448" s="100" t="n"/>
      <c r="AN448" s="100" t="n"/>
      <c r="AO448" s="100" t="n"/>
      <c r="AP448" s="100" t="n"/>
      <c r="AQ448" s="100" t="n"/>
      <c r="AR448" s="100" t="n"/>
    </row>
    <row r="450">
      <c r="A450" s="6">
        <f>IF(HSI!$C$47="","",HSI!$C$47)</f>
        <v/>
      </c>
      <c r="B450" s="96">
        <f>IF($A450="",0,COUNT($E451:$AR451))</f>
        <v/>
      </c>
      <c r="C450" s="97">
        <f>IF($B450=0,0,MAX($E451:$AR451))</f>
        <v/>
      </c>
      <c r="D450" s="98">
        <f>BDS($A450,FLD_HIST,"headers=y","startcol=1","endcol=7","dir=h","DVD_START_DT",HIST_FROM,"DVD_END_DT",HIST_TO)</f>
        <v/>
      </c>
      <c r="E450" s="99" t="n"/>
      <c r="F450" s="99" t="n"/>
      <c r="G450" s="99" t="n"/>
      <c r="H450" s="99" t="n"/>
      <c r="I450" s="99" t="n"/>
      <c r="J450" s="99" t="n"/>
      <c r="K450" s="99" t="n"/>
      <c r="L450" s="99" t="n"/>
      <c r="M450" s="99" t="n"/>
      <c r="N450" s="99" t="n"/>
      <c r="O450" s="99" t="n"/>
      <c r="P450" s="99" t="n"/>
      <c r="Q450" s="99" t="n"/>
      <c r="R450" s="99" t="n"/>
      <c r="S450" s="99" t="n"/>
      <c r="T450" s="99" t="n"/>
      <c r="U450" s="99" t="n"/>
      <c r="V450" s="99" t="n"/>
      <c r="W450" s="99" t="n"/>
      <c r="X450" s="99" t="n"/>
      <c r="Y450" s="99" t="n"/>
      <c r="Z450" s="99" t="n"/>
      <c r="AA450" s="99" t="n"/>
      <c r="AB450" s="99" t="n"/>
      <c r="AC450" s="99" t="n"/>
      <c r="AD450" s="99" t="n"/>
      <c r="AE450" s="99" t="n"/>
      <c r="AF450" s="99" t="n"/>
      <c r="AG450" s="99" t="n"/>
      <c r="AH450" s="99" t="n"/>
      <c r="AI450" s="99" t="n"/>
      <c r="AJ450" s="99" t="n"/>
      <c r="AK450" s="99" t="n"/>
      <c r="AL450" s="99" t="n"/>
      <c r="AM450" s="99" t="n"/>
      <c r="AN450" s="99" t="n"/>
      <c r="AO450" s="99" t="n"/>
      <c r="AP450" s="99" t="n"/>
      <c r="AQ450" s="99" t="n"/>
      <c r="AR450" s="99" t="n"/>
    </row>
    <row r="451">
      <c r="D451" s="99" t="n"/>
      <c r="E451" s="99" t="n"/>
      <c r="F451" s="99" t="n"/>
      <c r="G451" s="99" t="n"/>
      <c r="H451" s="99" t="n"/>
      <c r="I451" s="99" t="n"/>
      <c r="J451" s="99" t="n"/>
      <c r="K451" s="99" t="n"/>
      <c r="L451" s="99" t="n"/>
      <c r="M451" s="99" t="n"/>
      <c r="N451" s="99" t="n"/>
      <c r="O451" s="99" t="n"/>
      <c r="P451" s="99" t="n"/>
      <c r="Q451" s="99" t="n"/>
      <c r="R451" s="99" t="n"/>
      <c r="S451" s="99" t="n"/>
      <c r="T451" s="99" t="n"/>
      <c r="U451" s="99" t="n"/>
      <c r="V451" s="99" t="n"/>
      <c r="W451" s="99" t="n"/>
      <c r="X451" s="99" t="n"/>
      <c r="Y451" s="99" t="n"/>
      <c r="Z451" s="99" t="n"/>
      <c r="AA451" s="99" t="n"/>
      <c r="AB451" s="99" t="n"/>
      <c r="AC451" s="99" t="n"/>
      <c r="AD451" s="99" t="n"/>
      <c r="AE451" s="99" t="n"/>
      <c r="AF451" s="99" t="n"/>
      <c r="AG451" s="99" t="n"/>
      <c r="AH451" s="99" t="n"/>
      <c r="AI451" s="99" t="n"/>
      <c r="AJ451" s="99" t="n"/>
      <c r="AK451" s="99" t="n"/>
      <c r="AL451" s="99" t="n"/>
      <c r="AM451" s="99" t="n"/>
      <c r="AN451" s="99" t="n"/>
      <c r="AO451" s="99" t="n"/>
      <c r="AP451" s="99" t="n"/>
      <c r="AQ451" s="99" t="n"/>
      <c r="AR451" s="99" t="n"/>
    </row>
    <row r="452">
      <c r="D452" s="99" t="n"/>
      <c r="E452" s="99" t="n"/>
      <c r="F452" s="99" t="n"/>
      <c r="G452" s="99" t="n"/>
      <c r="H452" s="99" t="n"/>
      <c r="I452" s="99" t="n"/>
      <c r="J452" s="99" t="n"/>
      <c r="K452" s="99" t="n"/>
      <c r="L452" s="99" t="n"/>
      <c r="M452" s="99" t="n"/>
      <c r="N452" s="99" t="n"/>
      <c r="O452" s="99" t="n"/>
      <c r="P452" s="99" t="n"/>
      <c r="Q452" s="99" t="n"/>
      <c r="R452" s="99" t="n"/>
      <c r="S452" s="99" t="n"/>
      <c r="T452" s="99" t="n"/>
      <c r="U452" s="99" t="n"/>
      <c r="V452" s="99" t="n"/>
      <c r="W452" s="99" t="n"/>
      <c r="X452" s="99" t="n"/>
      <c r="Y452" s="99" t="n"/>
      <c r="Z452" s="99" t="n"/>
      <c r="AA452" s="99" t="n"/>
      <c r="AB452" s="99" t="n"/>
      <c r="AC452" s="99" t="n"/>
      <c r="AD452" s="99" t="n"/>
      <c r="AE452" s="99" t="n"/>
      <c r="AF452" s="99" t="n"/>
      <c r="AG452" s="99" t="n"/>
      <c r="AH452" s="99" t="n"/>
      <c r="AI452" s="99" t="n"/>
      <c r="AJ452" s="99" t="n"/>
      <c r="AK452" s="99" t="n"/>
      <c r="AL452" s="99" t="n"/>
      <c r="AM452" s="99" t="n"/>
      <c r="AN452" s="99" t="n"/>
      <c r="AO452" s="99" t="n"/>
      <c r="AP452" s="99" t="n"/>
      <c r="AQ452" s="99" t="n"/>
      <c r="AR452" s="99" t="n"/>
    </row>
    <row r="453">
      <c r="D453" s="99" t="n"/>
      <c r="E453" s="99" t="n"/>
      <c r="F453" s="99" t="n"/>
      <c r="G453" s="99" t="n"/>
      <c r="H453" s="99" t="n"/>
      <c r="I453" s="99" t="n"/>
      <c r="J453" s="99" t="n"/>
      <c r="K453" s="99" t="n"/>
      <c r="L453" s="99" t="n"/>
      <c r="M453" s="99" t="n"/>
      <c r="N453" s="99" t="n"/>
      <c r="O453" s="99" t="n"/>
      <c r="P453" s="99" t="n"/>
      <c r="Q453" s="99" t="n"/>
      <c r="R453" s="99" t="n"/>
      <c r="S453" s="99" t="n"/>
      <c r="T453" s="99" t="n"/>
      <c r="U453" s="99" t="n"/>
      <c r="V453" s="99" t="n"/>
      <c r="W453" s="99" t="n"/>
      <c r="X453" s="99" t="n"/>
      <c r="Y453" s="99" t="n"/>
      <c r="Z453" s="99" t="n"/>
      <c r="AA453" s="99" t="n"/>
      <c r="AB453" s="99" t="n"/>
      <c r="AC453" s="99" t="n"/>
      <c r="AD453" s="99" t="n"/>
      <c r="AE453" s="99" t="n"/>
      <c r="AF453" s="99" t="n"/>
      <c r="AG453" s="99" t="n"/>
      <c r="AH453" s="99" t="n"/>
      <c r="AI453" s="99" t="n"/>
      <c r="AJ453" s="99" t="n"/>
      <c r="AK453" s="99" t="n"/>
      <c r="AL453" s="99" t="n"/>
      <c r="AM453" s="99" t="n"/>
      <c r="AN453" s="99" t="n"/>
      <c r="AO453" s="99" t="n"/>
      <c r="AP453" s="99" t="n"/>
      <c r="AQ453" s="99" t="n"/>
      <c r="AR453" s="99" t="n"/>
    </row>
    <row r="454">
      <c r="D454" s="100" t="n"/>
      <c r="E454" s="100" t="n"/>
      <c r="F454" s="100" t="n"/>
      <c r="G454" s="100" t="n"/>
      <c r="H454" s="100" t="n"/>
      <c r="I454" s="100" t="n"/>
      <c r="J454" s="100" t="n"/>
      <c r="K454" s="100" t="n"/>
      <c r="L454" s="100" t="n"/>
      <c r="M454" s="100" t="n"/>
      <c r="N454" s="100" t="n"/>
      <c r="O454" s="100" t="n"/>
      <c r="P454" s="100" t="n"/>
      <c r="Q454" s="100" t="n"/>
      <c r="R454" s="100" t="n"/>
      <c r="S454" s="100" t="n"/>
      <c r="T454" s="100" t="n"/>
      <c r="U454" s="100" t="n"/>
      <c r="V454" s="100" t="n"/>
      <c r="W454" s="100" t="n"/>
      <c r="X454" s="100" t="n"/>
      <c r="Y454" s="100" t="n"/>
      <c r="Z454" s="100" t="n"/>
      <c r="AA454" s="100" t="n"/>
      <c r="AB454" s="100" t="n"/>
      <c r="AC454" s="100" t="n"/>
      <c r="AD454" s="100" t="n"/>
      <c r="AE454" s="100" t="n"/>
      <c r="AF454" s="100" t="n"/>
      <c r="AG454" s="100" t="n"/>
      <c r="AH454" s="100" t="n"/>
      <c r="AI454" s="100" t="n"/>
      <c r="AJ454" s="100" t="n"/>
      <c r="AK454" s="100" t="n"/>
      <c r="AL454" s="100" t="n"/>
      <c r="AM454" s="100" t="n"/>
      <c r="AN454" s="100" t="n"/>
      <c r="AO454" s="100" t="n"/>
      <c r="AP454" s="100" t="n"/>
      <c r="AQ454" s="100" t="n"/>
      <c r="AR454" s="100" t="n"/>
    </row>
    <row r="457">
      <c r="A457" s="2">
        <f>IF($A450="","","   projections")</f>
        <v/>
      </c>
      <c r="B457" s="96">
        <f>IF($A450="",0,COUNT($E458:$AR458))</f>
        <v/>
      </c>
      <c r="C457" s="97">
        <f>IF($B457=0,0,MAX($E458:$AR458))</f>
        <v/>
      </c>
      <c r="D457" s="98">
        <f>BDS($A450,FLD_PROJ,"headers=y","startcol=1","endcol=3","dir=h")</f>
        <v/>
      </c>
      <c r="E457" s="99" t="n"/>
      <c r="F457" s="99" t="n"/>
      <c r="G457" s="99" t="n"/>
      <c r="H457" s="99" t="n"/>
      <c r="I457" s="99" t="n"/>
      <c r="J457" s="99" t="n"/>
      <c r="K457" s="99" t="n"/>
      <c r="L457" s="99" t="n"/>
      <c r="M457" s="99" t="n"/>
      <c r="N457" s="99" t="n"/>
      <c r="O457" s="99" t="n"/>
      <c r="P457" s="99" t="n"/>
      <c r="Q457" s="99" t="n"/>
      <c r="R457" s="99" t="n"/>
      <c r="S457" s="99" t="n"/>
      <c r="T457" s="99" t="n"/>
      <c r="U457" s="99" t="n"/>
      <c r="V457" s="99" t="n"/>
      <c r="W457" s="99" t="n"/>
      <c r="X457" s="99" t="n"/>
      <c r="Y457" s="99" t="n"/>
      <c r="Z457" s="99" t="n"/>
      <c r="AA457" s="99" t="n"/>
      <c r="AB457" s="99" t="n"/>
      <c r="AC457" s="99" t="n"/>
      <c r="AD457" s="99" t="n"/>
      <c r="AE457" s="99" t="n"/>
      <c r="AF457" s="99" t="n"/>
      <c r="AG457" s="99" t="n"/>
      <c r="AH457" s="99" t="n"/>
      <c r="AI457" s="99" t="n"/>
      <c r="AJ457" s="99" t="n"/>
      <c r="AK457" s="99" t="n"/>
      <c r="AL457" s="99" t="n"/>
      <c r="AM457" s="99" t="n"/>
      <c r="AN457" s="99" t="n"/>
      <c r="AO457" s="99" t="n"/>
      <c r="AP457" s="99" t="n"/>
      <c r="AQ457" s="99" t="n"/>
      <c r="AR457" s="99" t="n"/>
    </row>
    <row r="458">
      <c r="D458" s="99" t="n"/>
      <c r="E458" s="99" t="n"/>
      <c r="F458" s="99" t="n"/>
      <c r="G458" s="99" t="n"/>
      <c r="H458" s="99" t="n"/>
      <c r="I458" s="99" t="n"/>
      <c r="J458" s="99" t="n"/>
      <c r="K458" s="99" t="n"/>
      <c r="L458" s="99" t="n"/>
      <c r="M458" s="99" t="n"/>
      <c r="N458" s="99" t="n"/>
      <c r="O458" s="99" t="n"/>
      <c r="P458" s="99" t="n"/>
      <c r="Q458" s="99" t="n"/>
      <c r="R458" s="99" t="n"/>
      <c r="S458" s="99" t="n"/>
      <c r="T458" s="99" t="n"/>
      <c r="U458" s="99" t="n"/>
      <c r="V458" s="99" t="n"/>
      <c r="W458" s="99" t="n"/>
      <c r="X458" s="99" t="n"/>
      <c r="Y458" s="99" t="n"/>
      <c r="Z458" s="99" t="n"/>
      <c r="AA458" s="99" t="n"/>
      <c r="AB458" s="99" t="n"/>
      <c r="AC458" s="99" t="n"/>
      <c r="AD458" s="99" t="n"/>
      <c r="AE458" s="99" t="n"/>
      <c r="AF458" s="99" t="n"/>
      <c r="AG458" s="99" t="n"/>
      <c r="AH458" s="99" t="n"/>
      <c r="AI458" s="99" t="n"/>
      <c r="AJ458" s="99" t="n"/>
      <c r="AK458" s="99" t="n"/>
      <c r="AL458" s="99" t="n"/>
      <c r="AM458" s="99" t="n"/>
      <c r="AN458" s="99" t="n"/>
      <c r="AO458" s="99" t="n"/>
      <c r="AP458" s="99" t="n"/>
      <c r="AQ458" s="99" t="n"/>
      <c r="AR458" s="99" t="n"/>
    </row>
    <row r="459">
      <c r="D459" s="100" t="n"/>
      <c r="E459" s="100" t="n"/>
      <c r="F459" s="100" t="n"/>
      <c r="G459" s="100" t="n"/>
      <c r="H459" s="100" t="n"/>
      <c r="I459" s="100" t="n"/>
      <c r="J459" s="100" t="n"/>
      <c r="K459" s="100" t="n"/>
      <c r="L459" s="100" t="n"/>
      <c r="M459" s="100" t="n"/>
      <c r="N459" s="100" t="n"/>
      <c r="O459" s="100" t="n"/>
      <c r="P459" s="100" t="n"/>
      <c r="Q459" s="100" t="n"/>
      <c r="R459" s="100" t="n"/>
      <c r="S459" s="100" t="n"/>
      <c r="T459" s="100" t="n"/>
      <c r="U459" s="100" t="n"/>
      <c r="V459" s="100" t="n"/>
      <c r="W459" s="100" t="n"/>
      <c r="X459" s="100" t="n"/>
      <c r="Y459" s="100" t="n"/>
      <c r="Z459" s="100" t="n"/>
      <c r="AA459" s="100" t="n"/>
      <c r="AB459" s="100" t="n"/>
      <c r="AC459" s="100" t="n"/>
      <c r="AD459" s="100" t="n"/>
      <c r="AE459" s="100" t="n"/>
      <c r="AF459" s="100" t="n"/>
      <c r="AG459" s="100" t="n"/>
      <c r="AH459" s="100" t="n"/>
      <c r="AI459" s="100" t="n"/>
      <c r="AJ459" s="100" t="n"/>
      <c r="AK459" s="100" t="n"/>
      <c r="AL459" s="100" t="n"/>
      <c r="AM459" s="100" t="n"/>
      <c r="AN459" s="100" t="n"/>
      <c r="AO459" s="100" t="n"/>
      <c r="AP459" s="100" t="n"/>
      <c r="AQ459" s="100" t="n"/>
      <c r="AR459" s="100" t="n"/>
    </row>
    <row r="461">
      <c r="A461" s="6">
        <f>IF(HSI!$C$48="","",HSI!$C$48)</f>
        <v/>
      </c>
      <c r="B461" s="96">
        <f>IF($A461="",0,COUNT($E462:$AR462))</f>
        <v/>
      </c>
      <c r="C461" s="97">
        <f>IF($B461=0,0,MAX($E462:$AR462))</f>
        <v/>
      </c>
      <c r="D461" s="98">
        <f>BDS($A461,FLD_HIST,"headers=y","startcol=1","endcol=7","dir=h","DVD_START_DT",HIST_FROM,"DVD_END_DT",HIST_TO)</f>
        <v/>
      </c>
      <c r="E461" s="99" t="n"/>
      <c r="F461" s="99" t="n"/>
      <c r="G461" s="99" t="n"/>
      <c r="H461" s="99" t="n"/>
      <c r="I461" s="99" t="n"/>
      <c r="J461" s="99" t="n"/>
      <c r="K461" s="99" t="n"/>
      <c r="L461" s="99" t="n"/>
      <c r="M461" s="99" t="n"/>
      <c r="N461" s="99" t="n"/>
      <c r="O461" s="99" t="n"/>
      <c r="P461" s="99" t="n"/>
      <c r="Q461" s="99" t="n"/>
      <c r="R461" s="99" t="n"/>
      <c r="S461" s="99" t="n"/>
      <c r="T461" s="99" t="n"/>
      <c r="U461" s="99" t="n"/>
      <c r="V461" s="99" t="n"/>
      <c r="W461" s="99" t="n"/>
      <c r="X461" s="99" t="n"/>
      <c r="Y461" s="99" t="n"/>
      <c r="Z461" s="99" t="n"/>
      <c r="AA461" s="99" t="n"/>
      <c r="AB461" s="99" t="n"/>
      <c r="AC461" s="99" t="n"/>
      <c r="AD461" s="99" t="n"/>
      <c r="AE461" s="99" t="n"/>
      <c r="AF461" s="99" t="n"/>
      <c r="AG461" s="99" t="n"/>
      <c r="AH461" s="99" t="n"/>
      <c r="AI461" s="99" t="n"/>
      <c r="AJ461" s="99" t="n"/>
      <c r="AK461" s="99" t="n"/>
      <c r="AL461" s="99" t="n"/>
      <c r="AM461" s="99" t="n"/>
      <c r="AN461" s="99" t="n"/>
      <c r="AO461" s="99" t="n"/>
      <c r="AP461" s="99" t="n"/>
      <c r="AQ461" s="99" t="n"/>
      <c r="AR461" s="99" t="n"/>
    </row>
    <row r="462">
      <c r="D462" s="99" t="n"/>
      <c r="E462" s="99" t="n"/>
      <c r="F462" s="99" t="n"/>
      <c r="G462" s="99" t="n"/>
      <c r="H462" s="99" t="n"/>
      <c r="I462" s="99" t="n"/>
      <c r="J462" s="99" t="n"/>
      <c r="K462" s="99" t="n"/>
      <c r="L462" s="99" t="n"/>
      <c r="M462" s="99" t="n"/>
      <c r="N462" s="99" t="n"/>
      <c r="O462" s="99" t="n"/>
      <c r="P462" s="99" t="n"/>
      <c r="Q462" s="99" t="n"/>
      <c r="R462" s="99" t="n"/>
      <c r="S462" s="99" t="n"/>
      <c r="T462" s="99" t="n"/>
      <c r="U462" s="99" t="n"/>
      <c r="V462" s="99" t="n"/>
      <c r="W462" s="99" t="n"/>
      <c r="X462" s="99" t="n"/>
      <c r="Y462" s="99" t="n"/>
      <c r="Z462" s="99" t="n"/>
      <c r="AA462" s="99" t="n"/>
      <c r="AB462" s="99" t="n"/>
      <c r="AC462" s="99" t="n"/>
      <c r="AD462" s="99" t="n"/>
      <c r="AE462" s="99" t="n"/>
      <c r="AF462" s="99" t="n"/>
      <c r="AG462" s="99" t="n"/>
      <c r="AH462" s="99" t="n"/>
      <c r="AI462" s="99" t="n"/>
      <c r="AJ462" s="99" t="n"/>
      <c r="AK462" s="99" t="n"/>
      <c r="AL462" s="99" t="n"/>
      <c r="AM462" s="99" t="n"/>
      <c r="AN462" s="99" t="n"/>
      <c r="AO462" s="99" t="n"/>
      <c r="AP462" s="99" t="n"/>
      <c r="AQ462" s="99" t="n"/>
      <c r="AR462" s="99" t="n"/>
    </row>
    <row r="463">
      <c r="D463" s="99" t="n"/>
      <c r="E463" s="99" t="n"/>
      <c r="F463" s="99" t="n"/>
      <c r="G463" s="99" t="n"/>
      <c r="H463" s="99" t="n"/>
      <c r="I463" s="99" t="n"/>
      <c r="J463" s="99" t="n"/>
      <c r="K463" s="99" t="n"/>
      <c r="L463" s="99" t="n"/>
      <c r="M463" s="99" t="n"/>
      <c r="N463" s="99" t="n"/>
      <c r="O463" s="99" t="n"/>
      <c r="P463" s="99" t="n"/>
      <c r="Q463" s="99" t="n"/>
      <c r="R463" s="99" t="n"/>
      <c r="S463" s="99" t="n"/>
      <c r="T463" s="99" t="n"/>
      <c r="U463" s="99" t="n"/>
      <c r="V463" s="99" t="n"/>
      <c r="W463" s="99" t="n"/>
      <c r="X463" s="99" t="n"/>
      <c r="Y463" s="99" t="n"/>
      <c r="Z463" s="99" t="n"/>
      <c r="AA463" s="99" t="n"/>
      <c r="AB463" s="99" t="n"/>
      <c r="AC463" s="99" t="n"/>
      <c r="AD463" s="99" t="n"/>
      <c r="AE463" s="99" t="n"/>
      <c r="AF463" s="99" t="n"/>
      <c r="AG463" s="99" t="n"/>
      <c r="AH463" s="99" t="n"/>
      <c r="AI463" s="99" t="n"/>
      <c r="AJ463" s="99" t="n"/>
      <c r="AK463" s="99" t="n"/>
      <c r="AL463" s="99" t="n"/>
      <c r="AM463" s="99" t="n"/>
      <c r="AN463" s="99" t="n"/>
      <c r="AO463" s="99" t="n"/>
      <c r="AP463" s="99" t="n"/>
      <c r="AQ463" s="99" t="n"/>
      <c r="AR463" s="99" t="n"/>
    </row>
    <row r="464">
      <c r="D464" s="99" t="n"/>
      <c r="E464" s="99" t="n"/>
      <c r="F464" s="99" t="n"/>
      <c r="G464" s="99" t="n"/>
      <c r="H464" s="99" t="n"/>
      <c r="I464" s="99" t="n"/>
      <c r="J464" s="99" t="n"/>
      <c r="K464" s="99" t="n"/>
      <c r="L464" s="99" t="n"/>
      <c r="M464" s="99" t="n"/>
      <c r="N464" s="99" t="n"/>
      <c r="O464" s="99" t="n"/>
      <c r="P464" s="99" t="n"/>
      <c r="Q464" s="99" t="n"/>
      <c r="R464" s="99" t="n"/>
      <c r="S464" s="99" t="n"/>
      <c r="T464" s="99" t="n"/>
      <c r="U464" s="99" t="n"/>
      <c r="V464" s="99" t="n"/>
      <c r="W464" s="99" t="n"/>
      <c r="X464" s="99" t="n"/>
      <c r="Y464" s="99" t="n"/>
      <c r="Z464" s="99" t="n"/>
      <c r="AA464" s="99" t="n"/>
      <c r="AB464" s="99" t="n"/>
      <c r="AC464" s="99" t="n"/>
      <c r="AD464" s="99" t="n"/>
      <c r="AE464" s="99" t="n"/>
      <c r="AF464" s="99" t="n"/>
      <c r="AG464" s="99" t="n"/>
      <c r="AH464" s="99" t="n"/>
      <c r="AI464" s="99" t="n"/>
      <c r="AJ464" s="99" t="n"/>
      <c r="AK464" s="99" t="n"/>
      <c r="AL464" s="99" t="n"/>
      <c r="AM464" s="99" t="n"/>
      <c r="AN464" s="99" t="n"/>
      <c r="AO464" s="99" t="n"/>
      <c r="AP464" s="99" t="n"/>
      <c r="AQ464" s="99" t="n"/>
      <c r="AR464" s="99" t="n"/>
    </row>
    <row r="465">
      <c r="D465" s="100" t="n"/>
      <c r="E465" s="100" t="n"/>
      <c r="F465" s="100" t="n"/>
      <c r="G465" s="100" t="n"/>
      <c r="H465" s="100" t="n"/>
      <c r="I465" s="100" t="n"/>
      <c r="J465" s="100" t="n"/>
      <c r="K465" s="100" t="n"/>
      <c r="L465" s="100" t="n"/>
      <c r="M465" s="100" t="n"/>
      <c r="N465" s="100" t="n"/>
      <c r="O465" s="100" t="n"/>
      <c r="P465" s="100" t="n"/>
      <c r="Q465" s="100" t="n"/>
      <c r="R465" s="100" t="n"/>
      <c r="S465" s="100" t="n"/>
      <c r="T465" s="100" t="n"/>
      <c r="U465" s="100" t="n"/>
      <c r="V465" s="100" t="n"/>
      <c r="W465" s="100" t="n"/>
      <c r="X465" s="100" t="n"/>
      <c r="Y465" s="100" t="n"/>
      <c r="Z465" s="100" t="n"/>
      <c r="AA465" s="100" t="n"/>
      <c r="AB465" s="100" t="n"/>
      <c r="AC465" s="100" t="n"/>
      <c r="AD465" s="100" t="n"/>
      <c r="AE465" s="100" t="n"/>
      <c r="AF465" s="100" t="n"/>
      <c r="AG465" s="100" t="n"/>
      <c r="AH465" s="100" t="n"/>
      <c r="AI465" s="100" t="n"/>
      <c r="AJ465" s="100" t="n"/>
      <c r="AK465" s="100" t="n"/>
      <c r="AL465" s="100" t="n"/>
      <c r="AM465" s="100" t="n"/>
      <c r="AN465" s="100" t="n"/>
      <c r="AO465" s="100" t="n"/>
      <c r="AP465" s="100" t="n"/>
      <c r="AQ465" s="100" t="n"/>
      <c r="AR465" s="100" t="n"/>
    </row>
    <row r="468">
      <c r="A468" s="2">
        <f>IF($A461="","","   projections")</f>
        <v/>
      </c>
      <c r="B468" s="96">
        <f>IF($A461="",0,COUNT($E469:$AR469))</f>
        <v/>
      </c>
      <c r="C468" s="97">
        <f>IF($B468=0,0,MAX($E469:$AR469))</f>
        <v/>
      </c>
      <c r="D468" s="98">
        <f>BDS($A461,FLD_PROJ,"headers=y","startcol=1","endcol=3","dir=h")</f>
        <v/>
      </c>
      <c r="E468" s="99" t="n"/>
      <c r="F468" s="99" t="n"/>
      <c r="G468" s="99" t="n"/>
      <c r="H468" s="99" t="n"/>
      <c r="I468" s="99" t="n"/>
      <c r="J468" s="99" t="n"/>
      <c r="K468" s="99" t="n"/>
      <c r="L468" s="99" t="n"/>
      <c r="M468" s="99" t="n"/>
      <c r="N468" s="99" t="n"/>
      <c r="O468" s="99" t="n"/>
      <c r="P468" s="99" t="n"/>
      <c r="Q468" s="99" t="n"/>
      <c r="R468" s="99" t="n"/>
      <c r="S468" s="99" t="n"/>
      <c r="T468" s="99" t="n"/>
      <c r="U468" s="99" t="n"/>
      <c r="V468" s="99" t="n"/>
      <c r="W468" s="99" t="n"/>
      <c r="X468" s="99" t="n"/>
      <c r="Y468" s="99" t="n"/>
      <c r="Z468" s="99" t="n"/>
      <c r="AA468" s="99" t="n"/>
      <c r="AB468" s="99" t="n"/>
      <c r="AC468" s="99" t="n"/>
      <c r="AD468" s="99" t="n"/>
      <c r="AE468" s="99" t="n"/>
      <c r="AF468" s="99" t="n"/>
      <c r="AG468" s="99" t="n"/>
      <c r="AH468" s="99" t="n"/>
      <c r="AI468" s="99" t="n"/>
      <c r="AJ468" s="99" t="n"/>
      <c r="AK468" s="99" t="n"/>
      <c r="AL468" s="99" t="n"/>
      <c r="AM468" s="99" t="n"/>
      <c r="AN468" s="99" t="n"/>
      <c r="AO468" s="99" t="n"/>
      <c r="AP468" s="99" t="n"/>
      <c r="AQ468" s="99" t="n"/>
      <c r="AR468" s="99" t="n"/>
    </row>
    <row r="469">
      <c r="D469" s="99" t="n"/>
      <c r="E469" s="99" t="n"/>
      <c r="F469" s="99" t="n"/>
      <c r="G469" s="99" t="n"/>
      <c r="H469" s="99" t="n"/>
      <c r="I469" s="99" t="n"/>
      <c r="J469" s="99" t="n"/>
      <c r="K469" s="99" t="n"/>
      <c r="L469" s="99" t="n"/>
      <c r="M469" s="99" t="n"/>
      <c r="N469" s="99" t="n"/>
      <c r="O469" s="99" t="n"/>
      <c r="P469" s="99" t="n"/>
      <c r="Q469" s="99" t="n"/>
      <c r="R469" s="99" t="n"/>
      <c r="S469" s="99" t="n"/>
      <c r="T469" s="99" t="n"/>
      <c r="U469" s="99" t="n"/>
      <c r="V469" s="99" t="n"/>
      <c r="W469" s="99" t="n"/>
      <c r="X469" s="99" t="n"/>
      <c r="Y469" s="99" t="n"/>
      <c r="Z469" s="99" t="n"/>
      <c r="AA469" s="99" t="n"/>
      <c r="AB469" s="99" t="n"/>
      <c r="AC469" s="99" t="n"/>
      <c r="AD469" s="99" t="n"/>
      <c r="AE469" s="99" t="n"/>
      <c r="AF469" s="99" t="n"/>
      <c r="AG469" s="99" t="n"/>
      <c r="AH469" s="99" t="n"/>
      <c r="AI469" s="99" t="n"/>
      <c r="AJ469" s="99" t="n"/>
      <c r="AK469" s="99" t="n"/>
      <c r="AL469" s="99" t="n"/>
      <c r="AM469" s="99" t="n"/>
      <c r="AN469" s="99" t="n"/>
      <c r="AO469" s="99" t="n"/>
      <c r="AP469" s="99" t="n"/>
      <c r="AQ469" s="99" t="n"/>
      <c r="AR469" s="99" t="n"/>
    </row>
    <row r="470">
      <c r="D470" s="100" t="n"/>
      <c r="E470" s="100" t="n"/>
      <c r="F470" s="100" t="n"/>
      <c r="G470" s="100" t="n"/>
      <c r="H470" s="100" t="n"/>
      <c r="I470" s="100" t="n"/>
      <c r="J470" s="100" t="n"/>
      <c r="K470" s="100" t="n"/>
      <c r="L470" s="100" t="n"/>
      <c r="M470" s="100" t="n"/>
      <c r="N470" s="100" t="n"/>
      <c r="O470" s="100" t="n"/>
      <c r="P470" s="100" t="n"/>
      <c r="Q470" s="100" t="n"/>
      <c r="R470" s="100" t="n"/>
      <c r="S470" s="100" t="n"/>
      <c r="T470" s="100" t="n"/>
      <c r="U470" s="100" t="n"/>
      <c r="V470" s="100" t="n"/>
      <c r="W470" s="100" t="n"/>
      <c r="X470" s="100" t="n"/>
      <c r="Y470" s="100" t="n"/>
      <c r="Z470" s="100" t="n"/>
      <c r="AA470" s="100" t="n"/>
      <c r="AB470" s="100" t="n"/>
      <c r="AC470" s="100" t="n"/>
      <c r="AD470" s="100" t="n"/>
      <c r="AE470" s="100" t="n"/>
      <c r="AF470" s="100" t="n"/>
      <c r="AG470" s="100" t="n"/>
      <c r="AH470" s="100" t="n"/>
      <c r="AI470" s="100" t="n"/>
      <c r="AJ470" s="100" t="n"/>
      <c r="AK470" s="100" t="n"/>
      <c r="AL470" s="100" t="n"/>
      <c r="AM470" s="100" t="n"/>
      <c r="AN470" s="100" t="n"/>
      <c r="AO470" s="100" t="n"/>
      <c r="AP470" s="100" t="n"/>
      <c r="AQ470" s="100" t="n"/>
      <c r="AR470" s="100" t="n"/>
    </row>
    <row r="472">
      <c r="A472" s="6">
        <f>IF(HSI!$C$49="","",HSI!$C$49)</f>
        <v/>
      </c>
      <c r="B472" s="96">
        <f>IF($A472="",0,COUNT($E473:$AR473))</f>
        <v/>
      </c>
      <c r="C472" s="97">
        <f>IF($B472=0,0,MAX($E473:$AR473))</f>
        <v/>
      </c>
      <c r="D472" s="98">
        <f>BDS($A472,FLD_HIST,"headers=y","startcol=1","endcol=7","dir=h","DVD_START_DT",HIST_FROM,"DVD_END_DT",HIST_TO)</f>
        <v/>
      </c>
      <c r="E472" s="99" t="n"/>
      <c r="F472" s="99" t="n"/>
      <c r="G472" s="99" t="n"/>
      <c r="H472" s="99" t="n"/>
      <c r="I472" s="99" t="n"/>
      <c r="J472" s="99" t="n"/>
      <c r="K472" s="99" t="n"/>
      <c r="L472" s="99" t="n"/>
      <c r="M472" s="99" t="n"/>
      <c r="N472" s="99" t="n"/>
      <c r="O472" s="99" t="n"/>
      <c r="P472" s="99" t="n"/>
      <c r="Q472" s="99" t="n"/>
      <c r="R472" s="99" t="n"/>
      <c r="S472" s="99" t="n"/>
      <c r="T472" s="99" t="n"/>
      <c r="U472" s="99" t="n"/>
      <c r="V472" s="99" t="n"/>
      <c r="W472" s="99" t="n"/>
      <c r="X472" s="99" t="n"/>
      <c r="Y472" s="99" t="n"/>
      <c r="Z472" s="99" t="n"/>
      <c r="AA472" s="99" t="n"/>
      <c r="AB472" s="99" t="n"/>
      <c r="AC472" s="99" t="n"/>
      <c r="AD472" s="99" t="n"/>
      <c r="AE472" s="99" t="n"/>
      <c r="AF472" s="99" t="n"/>
      <c r="AG472" s="99" t="n"/>
      <c r="AH472" s="99" t="n"/>
      <c r="AI472" s="99" t="n"/>
      <c r="AJ472" s="99" t="n"/>
      <c r="AK472" s="99" t="n"/>
      <c r="AL472" s="99" t="n"/>
      <c r="AM472" s="99" t="n"/>
      <c r="AN472" s="99" t="n"/>
      <c r="AO472" s="99" t="n"/>
      <c r="AP472" s="99" t="n"/>
      <c r="AQ472" s="99" t="n"/>
      <c r="AR472" s="99" t="n"/>
    </row>
    <row r="473">
      <c r="D473" s="99" t="n"/>
      <c r="E473" s="99" t="n"/>
      <c r="F473" s="99" t="n"/>
      <c r="G473" s="99" t="n"/>
      <c r="H473" s="99" t="n"/>
      <c r="I473" s="99" t="n"/>
      <c r="J473" s="99" t="n"/>
      <c r="K473" s="99" t="n"/>
      <c r="L473" s="99" t="n"/>
      <c r="M473" s="99" t="n"/>
      <c r="N473" s="99" t="n"/>
      <c r="O473" s="99" t="n"/>
      <c r="P473" s="99" t="n"/>
      <c r="Q473" s="99" t="n"/>
      <c r="R473" s="99" t="n"/>
      <c r="S473" s="99" t="n"/>
      <c r="T473" s="99" t="n"/>
      <c r="U473" s="99" t="n"/>
      <c r="V473" s="99" t="n"/>
      <c r="W473" s="99" t="n"/>
      <c r="X473" s="99" t="n"/>
      <c r="Y473" s="99" t="n"/>
      <c r="Z473" s="99" t="n"/>
      <c r="AA473" s="99" t="n"/>
      <c r="AB473" s="99" t="n"/>
      <c r="AC473" s="99" t="n"/>
      <c r="AD473" s="99" t="n"/>
      <c r="AE473" s="99" t="n"/>
      <c r="AF473" s="99" t="n"/>
      <c r="AG473" s="99" t="n"/>
      <c r="AH473" s="99" t="n"/>
      <c r="AI473" s="99" t="n"/>
      <c r="AJ473" s="99" t="n"/>
      <c r="AK473" s="99" t="n"/>
      <c r="AL473" s="99" t="n"/>
      <c r="AM473" s="99" t="n"/>
      <c r="AN473" s="99" t="n"/>
      <c r="AO473" s="99" t="n"/>
      <c r="AP473" s="99" t="n"/>
      <c r="AQ473" s="99" t="n"/>
      <c r="AR473" s="99" t="n"/>
    </row>
    <row r="474">
      <c r="D474" s="99" t="n"/>
      <c r="E474" s="99" t="n"/>
      <c r="F474" s="99" t="n"/>
      <c r="G474" s="99" t="n"/>
      <c r="H474" s="99" t="n"/>
      <c r="I474" s="99" t="n"/>
      <c r="J474" s="99" t="n"/>
      <c r="K474" s="99" t="n"/>
      <c r="L474" s="99" t="n"/>
      <c r="M474" s="99" t="n"/>
      <c r="N474" s="99" t="n"/>
      <c r="O474" s="99" t="n"/>
      <c r="P474" s="99" t="n"/>
      <c r="Q474" s="99" t="n"/>
      <c r="R474" s="99" t="n"/>
      <c r="S474" s="99" t="n"/>
      <c r="T474" s="99" t="n"/>
      <c r="U474" s="99" t="n"/>
      <c r="V474" s="99" t="n"/>
      <c r="W474" s="99" t="n"/>
      <c r="X474" s="99" t="n"/>
      <c r="Y474" s="99" t="n"/>
      <c r="Z474" s="99" t="n"/>
      <c r="AA474" s="99" t="n"/>
      <c r="AB474" s="99" t="n"/>
      <c r="AC474" s="99" t="n"/>
      <c r="AD474" s="99" t="n"/>
      <c r="AE474" s="99" t="n"/>
      <c r="AF474" s="99" t="n"/>
      <c r="AG474" s="99" t="n"/>
      <c r="AH474" s="99" t="n"/>
      <c r="AI474" s="99" t="n"/>
      <c r="AJ474" s="99" t="n"/>
      <c r="AK474" s="99" t="n"/>
      <c r="AL474" s="99" t="n"/>
      <c r="AM474" s="99" t="n"/>
      <c r="AN474" s="99" t="n"/>
      <c r="AO474" s="99" t="n"/>
      <c r="AP474" s="99" t="n"/>
      <c r="AQ474" s="99" t="n"/>
      <c r="AR474" s="99" t="n"/>
    </row>
    <row r="475">
      <c r="D475" s="99" t="n"/>
      <c r="E475" s="99" t="n"/>
      <c r="F475" s="99" t="n"/>
      <c r="G475" s="99" t="n"/>
      <c r="H475" s="99" t="n"/>
      <c r="I475" s="99" t="n"/>
      <c r="J475" s="99" t="n"/>
      <c r="K475" s="99" t="n"/>
      <c r="L475" s="99" t="n"/>
      <c r="M475" s="99" t="n"/>
      <c r="N475" s="99" t="n"/>
      <c r="O475" s="99" t="n"/>
      <c r="P475" s="99" t="n"/>
      <c r="Q475" s="99" t="n"/>
      <c r="R475" s="99" t="n"/>
      <c r="S475" s="99" t="n"/>
      <c r="T475" s="99" t="n"/>
      <c r="U475" s="99" t="n"/>
      <c r="V475" s="99" t="n"/>
      <c r="W475" s="99" t="n"/>
      <c r="X475" s="99" t="n"/>
      <c r="Y475" s="99" t="n"/>
      <c r="Z475" s="99" t="n"/>
      <c r="AA475" s="99" t="n"/>
      <c r="AB475" s="99" t="n"/>
      <c r="AC475" s="99" t="n"/>
      <c r="AD475" s="99" t="n"/>
      <c r="AE475" s="99" t="n"/>
      <c r="AF475" s="99" t="n"/>
      <c r="AG475" s="99" t="n"/>
      <c r="AH475" s="99" t="n"/>
      <c r="AI475" s="99" t="n"/>
      <c r="AJ475" s="99" t="n"/>
      <c r="AK475" s="99" t="n"/>
      <c r="AL475" s="99" t="n"/>
      <c r="AM475" s="99" t="n"/>
      <c r="AN475" s="99" t="n"/>
      <c r="AO475" s="99" t="n"/>
      <c r="AP475" s="99" t="n"/>
      <c r="AQ475" s="99" t="n"/>
      <c r="AR475" s="99" t="n"/>
    </row>
    <row r="476">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100" t="n"/>
      <c r="AG476" s="100" t="n"/>
      <c r="AH476" s="100" t="n"/>
      <c r="AI476" s="100" t="n"/>
      <c r="AJ476" s="100" t="n"/>
      <c r="AK476" s="100" t="n"/>
      <c r="AL476" s="100" t="n"/>
      <c r="AM476" s="100" t="n"/>
      <c r="AN476" s="100" t="n"/>
      <c r="AO476" s="100" t="n"/>
      <c r="AP476" s="100" t="n"/>
      <c r="AQ476" s="100" t="n"/>
      <c r="AR476" s="100" t="n"/>
    </row>
    <row r="479">
      <c r="A479" s="2">
        <f>IF($A472="","","   projections")</f>
        <v/>
      </c>
      <c r="B479" s="96">
        <f>IF($A472="",0,COUNT($E480:$AR480))</f>
        <v/>
      </c>
      <c r="C479" s="97">
        <f>IF($B479=0,0,MAX($E480:$AR480))</f>
        <v/>
      </c>
      <c r="D479" s="98">
        <f>BDS($A472,FLD_PROJ,"headers=y","startcol=1","endcol=3","dir=h")</f>
        <v/>
      </c>
      <c r="E479" s="99" t="n"/>
      <c r="F479" s="99" t="n"/>
      <c r="G479" s="99" t="n"/>
      <c r="H479" s="99" t="n"/>
      <c r="I479" s="99" t="n"/>
      <c r="J479" s="99" t="n"/>
      <c r="K479" s="99" t="n"/>
      <c r="L479" s="99" t="n"/>
      <c r="M479" s="99" t="n"/>
      <c r="N479" s="99" t="n"/>
      <c r="O479" s="99" t="n"/>
      <c r="P479" s="99" t="n"/>
      <c r="Q479" s="99" t="n"/>
      <c r="R479" s="99" t="n"/>
      <c r="S479" s="99" t="n"/>
      <c r="T479" s="99" t="n"/>
      <c r="U479" s="99" t="n"/>
      <c r="V479" s="99" t="n"/>
      <c r="W479" s="99" t="n"/>
      <c r="X479" s="99" t="n"/>
      <c r="Y479" s="99" t="n"/>
      <c r="Z479" s="99" t="n"/>
      <c r="AA479" s="99" t="n"/>
      <c r="AB479" s="99" t="n"/>
      <c r="AC479" s="99" t="n"/>
      <c r="AD479" s="99" t="n"/>
      <c r="AE479" s="99" t="n"/>
      <c r="AF479" s="99" t="n"/>
      <c r="AG479" s="99" t="n"/>
      <c r="AH479" s="99" t="n"/>
      <c r="AI479" s="99" t="n"/>
      <c r="AJ479" s="99" t="n"/>
      <c r="AK479" s="99" t="n"/>
      <c r="AL479" s="99" t="n"/>
      <c r="AM479" s="99" t="n"/>
      <c r="AN479" s="99" t="n"/>
      <c r="AO479" s="99" t="n"/>
      <c r="AP479" s="99" t="n"/>
      <c r="AQ479" s="99" t="n"/>
      <c r="AR479" s="99" t="n"/>
    </row>
    <row r="480">
      <c r="D480" s="99" t="n"/>
      <c r="E480" s="99" t="n"/>
      <c r="F480" s="99" t="n"/>
      <c r="G480" s="99" t="n"/>
      <c r="H480" s="99" t="n"/>
      <c r="I480" s="99" t="n"/>
      <c r="J480" s="99" t="n"/>
      <c r="K480" s="99" t="n"/>
      <c r="L480" s="99" t="n"/>
      <c r="M480" s="99" t="n"/>
      <c r="N480" s="99" t="n"/>
      <c r="O480" s="99" t="n"/>
      <c r="P480" s="99" t="n"/>
      <c r="Q480" s="99" t="n"/>
      <c r="R480" s="99" t="n"/>
      <c r="S480" s="99" t="n"/>
      <c r="T480" s="99" t="n"/>
      <c r="U480" s="99" t="n"/>
      <c r="V480" s="99" t="n"/>
      <c r="W480" s="99" t="n"/>
      <c r="X480" s="99" t="n"/>
      <c r="Y480" s="99" t="n"/>
      <c r="Z480" s="99" t="n"/>
      <c r="AA480" s="99" t="n"/>
      <c r="AB480" s="99" t="n"/>
      <c r="AC480" s="99" t="n"/>
      <c r="AD480" s="99" t="n"/>
      <c r="AE480" s="99" t="n"/>
      <c r="AF480" s="99" t="n"/>
      <c r="AG480" s="99" t="n"/>
      <c r="AH480" s="99" t="n"/>
      <c r="AI480" s="99" t="n"/>
      <c r="AJ480" s="99" t="n"/>
      <c r="AK480" s="99" t="n"/>
      <c r="AL480" s="99" t="n"/>
      <c r="AM480" s="99" t="n"/>
      <c r="AN480" s="99" t="n"/>
      <c r="AO480" s="99" t="n"/>
      <c r="AP480" s="99" t="n"/>
      <c r="AQ480" s="99" t="n"/>
      <c r="AR480" s="99" t="n"/>
    </row>
    <row r="481">
      <c r="D481" s="100" t="n"/>
      <c r="E481" s="100" t="n"/>
      <c r="F481" s="100" t="n"/>
      <c r="G481" s="100" t="n"/>
      <c r="H481" s="100" t="n"/>
      <c r="I481" s="100" t="n"/>
      <c r="J481" s="100" t="n"/>
      <c r="K481" s="100" t="n"/>
      <c r="L481" s="100" t="n"/>
      <c r="M481" s="100" t="n"/>
      <c r="N481" s="100" t="n"/>
      <c r="O481" s="100" t="n"/>
      <c r="P481" s="100" t="n"/>
      <c r="Q481" s="100" t="n"/>
      <c r="R481" s="100" t="n"/>
      <c r="S481" s="100" t="n"/>
      <c r="T481" s="100" t="n"/>
      <c r="U481" s="100" t="n"/>
      <c r="V481" s="100" t="n"/>
      <c r="W481" s="100" t="n"/>
      <c r="X481" s="100" t="n"/>
      <c r="Y481" s="100" t="n"/>
      <c r="Z481" s="100" t="n"/>
      <c r="AA481" s="100" t="n"/>
      <c r="AB481" s="100" t="n"/>
      <c r="AC481" s="100" t="n"/>
      <c r="AD481" s="100" t="n"/>
      <c r="AE481" s="100" t="n"/>
      <c r="AF481" s="100" t="n"/>
      <c r="AG481" s="100" t="n"/>
      <c r="AH481" s="100" t="n"/>
      <c r="AI481" s="100" t="n"/>
      <c r="AJ481" s="100" t="n"/>
      <c r="AK481" s="100" t="n"/>
      <c r="AL481" s="100" t="n"/>
      <c r="AM481" s="100" t="n"/>
      <c r="AN481" s="100" t="n"/>
      <c r="AO481" s="100" t="n"/>
      <c r="AP481" s="100" t="n"/>
      <c r="AQ481" s="100" t="n"/>
      <c r="AR481" s="100" t="n"/>
    </row>
    <row r="483">
      <c r="A483" s="6">
        <f>IF(HSI!$C$50="","",HSI!$C$50)</f>
        <v/>
      </c>
      <c r="B483" s="96">
        <f>IF($A483="",0,COUNT($E484:$AR484))</f>
        <v/>
      </c>
      <c r="C483" s="97">
        <f>IF($B483=0,0,MAX($E484:$AR484))</f>
        <v/>
      </c>
      <c r="D483" s="98">
        <f>BDS($A483,FLD_HIST,"headers=y","startcol=1","endcol=7","dir=h","DVD_START_DT",HIST_FROM,"DVD_END_DT",HIST_TO)</f>
        <v/>
      </c>
      <c r="E483" s="99" t="n"/>
      <c r="F483" s="99" t="n"/>
      <c r="G483" s="99" t="n"/>
      <c r="H483" s="99" t="n"/>
      <c r="I483" s="99" t="n"/>
      <c r="J483" s="99" t="n"/>
      <c r="K483" s="99" t="n"/>
      <c r="L483" s="99" t="n"/>
      <c r="M483" s="99" t="n"/>
      <c r="N483" s="99" t="n"/>
      <c r="O483" s="99" t="n"/>
      <c r="P483" s="99" t="n"/>
      <c r="Q483" s="99" t="n"/>
      <c r="R483" s="99" t="n"/>
      <c r="S483" s="99" t="n"/>
      <c r="T483" s="99" t="n"/>
      <c r="U483" s="99" t="n"/>
      <c r="V483" s="99" t="n"/>
      <c r="W483" s="99" t="n"/>
      <c r="X483" s="99" t="n"/>
      <c r="Y483" s="99" t="n"/>
      <c r="Z483" s="99" t="n"/>
      <c r="AA483" s="99" t="n"/>
      <c r="AB483" s="99" t="n"/>
      <c r="AC483" s="99" t="n"/>
      <c r="AD483" s="99" t="n"/>
      <c r="AE483" s="99" t="n"/>
      <c r="AF483" s="99" t="n"/>
      <c r="AG483" s="99" t="n"/>
      <c r="AH483" s="99" t="n"/>
      <c r="AI483" s="99" t="n"/>
      <c r="AJ483" s="99" t="n"/>
      <c r="AK483" s="99" t="n"/>
      <c r="AL483" s="99" t="n"/>
      <c r="AM483" s="99" t="n"/>
      <c r="AN483" s="99" t="n"/>
      <c r="AO483" s="99" t="n"/>
      <c r="AP483" s="99" t="n"/>
      <c r="AQ483" s="99" t="n"/>
      <c r="AR483" s="99" t="n"/>
    </row>
    <row r="484">
      <c r="D484" s="99" t="n"/>
      <c r="E484" s="99" t="n"/>
      <c r="F484" s="99" t="n"/>
      <c r="G484" s="99" t="n"/>
      <c r="H484" s="99" t="n"/>
      <c r="I484" s="99" t="n"/>
      <c r="J484" s="99" t="n"/>
      <c r="K484" s="99" t="n"/>
      <c r="L484" s="99" t="n"/>
      <c r="M484" s="99" t="n"/>
      <c r="N484" s="99" t="n"/>
      <c r="O484" s="99" t="n"/>
      <c r="P484" s="99" t="n"/>
      <c r="Q484" s="99" t="n"/>
      <c r="R484" s="99" t="n"/>
      <c r="S484" s="99" t="n"/>
      <c r="T484" s="99" t="n"/>
      <c r="U484" s="99" t="n"/>
      <c r="V484" s="99" t="n"/>
      <c r="W484" s="99" t="n"/>
      <c r="X484" s="99" t="n"/>
      <c r="Y484" s="99" t="n"/>
      <c r="Z484" s="99" t="n"/>
      <c r="AA484" s="99" t="n"/>
      <c r="AB484" s="99" t="n"/>
      <c r="AC484" s="99" t="n"/>
      <c r="AD484" s="99" t="n"/>
      <c r="AE484" s="99" t="n"/>
      <c r="AF484" s="99" t="n"/>
      <c r="AG484" s="99" t="n"/>
      <c r="AH484" s="99" t="n"/>
      <c r="AI484" s="99" t="n"/>
      <c r="AJ484" s="99" t="n"/>
      <c r="AK484" s="99" t="n"/>
      <c r="AL484" s="99" t="n"/>
      <c r="AM484" s="99" t="n"/>
      <c r="AN484" s="99" t="n"/>
      <c r="AO484" s="99" t="n"/>
      <c r="AP484" s="99" t="n"/>
      <c r="AQ484" s="99" t="n"/>
      <c r="AR484" s="99" t="n"/>
    </row>
    <row r="485">
      <c r="D485" s="99" t="n"/>
      <c r="E485" s="99" t="n"/>
      <c r="F485" s="99" t="n"/>
      <c r="G485" s="99" t="n"/>
      <c r="H485" s="99" t="n"/>
      <c r="I485" s="99" t="n"/>
      <c r="J485" s="99" t="n"/>
      <c r="K485" s="99" t="n"/>
      <c r="L485" s="99" t="n"/>
      <c r="M485" s="99" t="n"/>
      <c r="N485" s="99" t="n"/>
      <c r="O485" s="99" t="n"/>
      <c r="P485" s="99" t="n"/>
      <c r="Q485" s="99" t="n"/>
      <c r="R485" s="99" t="n"/>
      <c r="S485" s="99" t="n"/>
      <c r="T485" s="99" t="n"/>
      <c r="U485" s="99" t="n"/>
      <c r="V485" s="99" t="n"/>
      <c r="W485" s="99" t="n"/>
      <c r="X485" s="99" t="n"/>
      <c r="Y485" s="99" t="n"/>
      <c r="Z485" s="99" t="n"/>
      <c r="AA485" s="99" t="n"/>
      <c r="AB485" s="99" t="n"/>
      <c r="AC485" s="99" t="n"/>
      <c r="AD485" s="99" t="n"/>
      <c r="AE485" s="99" t="n"/>
      <c r="AF485" s="99" t="n"/>
      <c r="AG485" s="99" t="n"/>
      <c r="AH485" s="99" t="n"/>
      <c r="AI485" s="99" t="n"/>
      <c r="AJ485" s="99" t="n"/>
      <c r="AK485" s="99" t="n"/>
      <c r="AL485" s="99" t="n"/>
      <c r="AM485" s="99" t="n"/>
      <c r="AN485" s="99" t="n"/>
      <c r="AO485" s="99" t="n"/>
      <c r="AP485" s="99" t="n"/>
      <c r="AQ485" s="99" t="n"/>
      <c r="AR485" s="99" t="n"/>
    </row>
    <row r="486">
      <c r="D486" s="99" t="n"/>
      <c r="E486" s="99" t="n"/>
      <c r="F486" s="99" t="n"/>
      <c r="G486" s="99" t="n"/>
      <c r="H486" s="99" t="n"/>
      <c r="I486" s="99" t="n"/>
      <c r="J486" s="99" t="n"/>
      <c r="K486" s="99" t="n"/>
      <c r="L486" s="99" t="n"/>
      <c r="M486" s="99" t="n"/>
      <c r="N486" s="99" t="n"/>
      <c r="O486" s="99" t="n"/>
      <c r="P486" s="99" t="n"/>
      <c r="Q486" s="99" t="n"/>
      <c r="R486" s="99" t="n"/>
      <c r="S486" s="99" t="n"/>
      <c r="T486" s="99" t="n"/>
      <c r="U486" s="99" t="n"/>
      <c r="V486" s="99" t="n"/>
      <c r="W486" s="99" t="n"/>
      <c r="X486" s="99" t="n"/>
      <c r="Y486" s="99" t="n"/>
      <c r="Z486" s="99" t="n"/>
      <c r="AA486" s="99" t="n"/>
      <c r="AB486" s="99" t="n"/>
      <c r="AC486" s="99" t="n"/>
      <c r="AD486" s="99" t="n"/>
      <c r="AE486" s="99" t="n"/>
      <c r="AF486" s="99" t="n"/>
      <c r="AG486" s="99" t="n"/>
      <c r="AH486" s="99" t="n"/>
      <c r="AI486" s="99" t="n"/>
      <c r="AJ486" s="99" t="n"/>
      <c r="AK486" s="99" t="n"/>
      <c r="AL486" s="99" t="n"/>
      <c r="AM486" s="99" t="n"/>
      <c r="AN486" s="99" t="n"/>
      <c r="AO486" s="99" t="n"/>
      <c r="AP486" s="99" t="n"/>
      <c r="AQ486" s="99" t="n"/>
      <c r="AR486" s="99" t="n"/>
    </row>
    <row r="487">
      <c r="D487" s="100" t="n"/>
      <c r="E487" s="100" t="n"/>
      <c r="F487" s="100" t="n"/>
      <c r="G487" s="100" t="n"/>
      <c r="H487" s="100" t="n"/>
      <c r="I487" s="100" t="n"/>
      <c r="J487" s="100" t="n"/>
      <c r="K487" s="100" t="n"/>
      <c r="L487" s="100" t="n"/>
      <c r="M487" s="100" t="n"/>
      <c r="N487" s="100" t="n"/>
      <c r="O487" s="100" t="n"/>
      <c r="P487" s="100" t="n"/>
      <c r="Q487" s="100" t="n"/>
      <c r="R487" s="100" t="n"/>
      <c r="S487" s="100" t="n"/>
      <c r="T487" s="100" t="n"/>
      <c r="U487" s="100" t="n"/>
      <c r="V487" s="100" t="n"/>
      <c r="W487" s="100" t="n"/>
      <c r="X487" s="100" t="n"/>
      <c r="Y487" s="100" t="n"/>
      <c r="Z487" s="100" t="n"/>
      <c r="AA487" s="100" t="n"/>
      <c r="AB487" s="100" t="n"/>
      <c r="AC487" s="100" t="n"/>
      <c r="AD487" s="100" t="n"/>
      <c r="AE487" s="100" t="n"/>
      <c r="AF487" s="100" t="n"/>
      <c r="AG487" s="100" t="n"/>
      <c r="AH487" s="100" t="n"/>
      <c r="AI487" s="100" t="n"/>
      <c r="AJ487" s="100" t="n"/>
      <c r="AK487" s="100" t="n"/>
      <c r="AL487" s="100" t="n"/>
      <c r="AM487" s="100" t="n"/>
      <c r="AN487" s="100" t="n"/>
      <c r="AO487" s="100" t="n"/>
      <c r="AP487" s="100" t="n"/>
      <c r="AQ487" s="100" t="n"/>
      <c r="AR487" s="100" t="n"/>
    </row>
    <row r="490">
      <c r="A490" s="2">
        <f>IF($A483="","","   projections")</f>
        <v/>
      </c>
      <c r="B490" s="96">
        <f>IF($A483="",0,COUNT($E491:$AR491))</f>
        <v/>
      </c>
      <c r="C490" s="97">
        <f>IF($B490=0,0,MAX($E491:$AR491))</f>
        <v/>
      </c>
      <c r="D490" s="98">
        <f>BDS($A483,FLD_PROJ,"headers=y","startcol=1","endcol=3","dir=h")</f>
        <v/>
      </c>
      <c r="E490" s="99" t="n"/>
      <c r="F490" s="99" t="n"/>
      <c r="G490" s="99" t="n"/>
      <c r="H490" s="99" t="n"/>
      <c r="I490" s="99" t="n"/>
      <c r="J490" s="99" t="n"/>
      <c r="K490" s="99" t="n"/>
      <c r="L490" s="99" t="n"/>
      <c r="M490" s="99" t="n"/>
      <c r="N490" s="99" t="n"/>
      <c r="O490" s="99" t="n"/>
      <c r="P490" s="99" t="n"/>
      <c r="Q490" s="99" t="n"/>
      <c r="R490" s="99" t="n"/>
      <c r="S490" s="99" t="n"/>
      <c r="T490" s="99" t="n"/>
      <c r="U490" s="99" t="n"/>
      <c r="V490" s="99" t="n"/>
      <c r="W490" s="99" t="n"/>
      <c r="X490" s="99" t="n"/>
      <c r="Y490" s="99" t="n"/>
      <c r="Z490" s="99" t="n"/>
      <c r="AA490" s="99" t="n"/>
      <c r="AB490" s="99" t="n"/>
      <c r="AC490" s="99" t="n"/>
      <c r="AD490" s="99" t="n"/>
      <c r="AE490" s="99" t="n"/>
      <c r="AF490" s="99" t="n"/>
      <c r="AG490" s="99" t="n"/>
      <c r="AH490" s="99" t="n"/>
      <c r="AI490" s="99" t="n"/>
      <c r="AJ490" s="99" t="n"/>
      <c r="AK490" s="99" t="n"/>
      <c r="AL490" s="99" t="n"/>
      <c r="AM490" s="99" t="n"/>
      <c r="AN490" s="99" t="n"/>
      <c r="AO490" s="99" t="n"/>
      <c r="AP490" s="99" t="n"/>
      <c r="AQ490" s="99" t="n"/>
      <c r="AR490" s="99" t="n"/>
    </row>
    <row r="491">
      <c r="D491" s="99" t="n"/>
      <c r="E491" s="99" t="n"/>
      <c r="F491" s="99" t="n"/>
      <c r="G491" s="99" t="n"/>
      <c r="H491" s="99" t="n"/>
      <c r="I491" s="99" t="n"/>
      <c r="J491" s="99" t="n"/>
      <c r="K491" s="99" t="n"/>
      <c r="L491" s="99" t="n"/>
      <c r="M491" s="99" t="n"/>
      <c r="N491" s="99" t="n"/>
      <c r="O491" s="99" t="n"/>
      <c r="P491" s="99" t="n"/>
      <c r="Q491" s="99" t="n"/>
      <c r="R491" s="99" t="n"/>
      <c r="S491" s="99" t="n"/>
      <c r="T491" s="99" t="n"/>
      <c r="U491" s="99" t="n"/>
      <c r="V491" s="99" t="n"/>
      <c r="W491" s="99" t="n"/>
      <c r="X491" s="99" t="n"/>
      <c r="Y491" s="99" t="n"/>
      <c r="Z491" s="99" t="n"/>
      <c r="AA491" s="99" t="n"/>
      <c r="AB491" s="99" t="n"/>
      <c r="AC491" s="99" t="n"/>
      <c r="AD491" s="99" t="n"/>
      <c r="AE491" s="99" t="n"/>
      <c r="AF491" s="99" t="n"/>
      <c r="AG491" s="99" t="n"/>
      <c r="AH491" s="99" t="n"/>
      <c r="AI491" s="99" t="n"/>
      <c r="AJ491" s="99" t="n"/>
      <c r="AK491" s="99" t="n"/>
      <c r="AL491" s="99" t="n"/>
      <c r="AM491" s="99" t="n"/>
      <c r="AN491" s="99" t="n"/>
      <c r="AO491" s="99" t="n"/>
      <c r="AP491" s="99" t="n"/>
      <c r="AQ491" s="99" t="n"/>
      <c r="AR491" s="99" t="n"/>
    </row>
    <row r="492">
      <c r="D492" s="100" t="n"/>
      <c r="E492" s="100" t="n"/>
      <c r="F492" s="100" t="n"/>
      <c r="G492" s="100" t="n"/>
      <c r="H492" s="100" t="n"/>
      <c r="I492" s="100" t="n"/>
      <c r="J492" s="100" t="n"/>
      <c r="K492" s="100" t="n"/>
      <c r="L492" s="100" t="n"/>
      <c r="M492" s="100" t="n"/>
      <c r="N492" s="100" t="n"/>
      <c r="O492" s="100" t="n"/>
      <c r="P492" s="100" t="n"/>
      <c r="Q492" s="100" t="n"/>
      <c r="R492" s="100" t="n"/>
      <c r="S492" s="100" t="n"/>
      <c r="T492" s="100" t="n"/>
      <c r="U492" s="100" t="n"/>
      <c r="V492" s="100" t="n"/>
      <c r="W492" s="100" t="n"/>
      <c r="X492" s="100" t="n"/>
      <c r="Y492" s="100" t="n"/>
      <c r="Z492" s="100" t="n"/>
      <c r="AA492" s="100" t="n"/>
      <c r="AB492" s="100" t="n"/>
      <c r="AC492" s="100" t="n"/>
      <c r="AD492" s="100" t="n"/>
      <c r="AE492" s="100" t="n"/>
      <c r="AF492" s="100" t="n"/>
      <c r="AG492" s="100" t="n"/>
      <c r="AH492" s="100" t="n"/>
      <c r="AI492" s="100" t="n"/>
      <c r="AJ492" s="100" t="n"/>
      <c r="AK492" s="100" t="n"/>
      <c r="AL492" s="100" t="n"/>
      <c r="AM492" s="100" t="n"/>
      <c r="AN492" s="100" t="n"/>
      <c r="AO492" s="100" t="n"/>
      <c r="AP492" s="100" t="n"/>
      <c r="AQ492" s="100" t="n"/>
      <c r="AR492" s="100" t="n"/>
    </row>
    <row r="494">
      <c r="A494" s="6">
        <f>IF(HSI!$C$51="","",HSI!$C$51)</f>
        <v/>
      </c>
      <c r="B494" s="96">
        <f>IF($A494="",0,COUNT($E495:$AR495))</f>
        <v/>
      </c>
      <c r="C494" s="97">
        <f>IF($B494=0,0,MAX($E495:$AR495))</f>
        <v/>
      </c>
      <c r="D494" s="98">
        <f>BDS($A494,FLD_HIST,"headers=y","startcol=1","endcol=7","dir=h","DVD_START_DT",HIST_FROM,"DVD_END_DT",HIST_TO)</f>
        <v/>
      </c>
      <c r="E494" s="99" t="n"/>
      <c r="F494" s="99" t="n"/>
      <c r="G494" s="99" t="n"/>
      <c r="H494" s="99" t="n"/>
      <c r="I494" s="99" t="n"/>
      <c r="J494" s="99" t="n"/>
      <c r="K494" s="99" t="n"/>
      <c r="L494" s="99" t="n"/>
      <c r="M494" s="99" t="n"/>
      <c r="N494" s="99" t="n"/>
      <c r="O494" s="99" t="n"/>
      <c r="P494" s="99" t="n"/>
      <c r="Q494" s="99" t="n"/>
      <c r="R494" s="99" t="n"/>
      <c r="S494" s="99" t="n"/>
      <c r="T494" s="99" t="n"/>
      <c r="U494" s="99" t="n"/>
      <c r="V494" s="99" t="n"/>
      <c r="W494" s="99" t="n"/>
      <c r="X494" s="99" t="n"/>
      <c r="Y494" s="99" t="n"/>
      <c r="Z494" s="99" t="n"/>
      <c r="AA494" s="99" t="n"/>
      <c r="AB494" s="99" t="n"/>
      <c r="AC494" s="99" t="n"/>
      <c r="AD494" s="99" t="n"/>
      <c r="AE494" s="99" t="n"/>
      <c r="AF494" s="99" t="n"/>
      <c r="AG494" s="99" t="n"/>
      <c r="AH494" s="99" t="n"/>
      <c r="AI494" s="99" t="n"/>
      <c r="AJ494" s="99" t="n"/>
      <c r="AK494" s="99" t="n"/>
      <c r="AL494" s="99" t="n"/>
      <c r="AM494" s="99" t="n"/>
      <c r="AN494" s="99" t="n"/>
      <c r="AO494" s="99" t="n"/>
      <c r="AP494" s="99" t="n"/>
      <c r="AQ494" s="99" t="n"/>
      <c r="AR494" s="99" t="n"/>
    </row>
    <row r="495">
      <c r="D495" s="99" t="n"/>
      <c r="E495" s="99" t="n"/>
      <c r="F495" s="99" t="n"/>
      <c r="G495" s="99" t="n"/>
      <c r="H495" s="99" t="n"/>
      <c r="I495" s="99" t="n"/>
      <c r="J495" s="99" t="n"/>
      <c r="K495" s="99" t="n"/>
      <c r="L495" s="99" t="n"/>
      <c r="M495" s="99" t="n"/>
      <c r="N495" s="99" t="n"/>
      <c r="O495" s="99" t="n"/>
      <c r="P495" s="99" t="n"/>
      <c r="Q495" s="99" t="n"/>
      <c r="R495" s="99" t="n"/>
      <c r="S495" s="99" t="n"/>
      <c r="T495" s="99" t="n"/>
      <c r="U495" s="99" t="n"/>
      <c r="V495" s="99" t="n"/>
      <c r="W495" s="99" t="n"/>
      <c r="X495" s="99" t="n"/>
      <c r="Y495" s="99" t="n"/>
      <c r="Z495" s="99" t="n"/>
      <c r="AA495" s="99" t="n"/>
      <c r="AB495" s="99" t="n"/>
      <c r="AC495" s="99" t="n"/>
      <c r="AD495" s="99" t="n"/>
      <c r="AE495" s="99" t="n"/>
      <c r="AF495" s="99" t="n"/>
      <c r="AG495" s="99" t="n"/>
      <c r="AH495" s="99" t="n"/>
      <c r="AI495" s="99" t="n"/>
      <c r="AJ495" s="99" t="n"/>
      <c r="AK495" s="99" t="n"/>
      <c r="AL495" s="99" t="n"/>
      <c r="AM495" s="99" t="n"/>
      <c r="AN495" s="99" t="n"/>
      <c r="AO495" s="99" t="n"/>
      <c r="AP495" s="99" t="n"/>
      <c r="AQ495" s="99" t="n"/>
      <c r="AR495" s="99" t="n"/>
    </row>
    <row r="496">
      <c r="D496" s="99" t="n"/>
      <c r="E496" s="99" t="n"/>
      <c r="F496" s="99" t="n"/>
      <c r="G496" s="99" t="n"/>
      <c r="H496" s="99" t="n"/>
      <c r="I496" s="99" t="n"/>
      <c r="J496" s="99" t="n"/>
      <c r="K496" s="99" t="n"/>
      <c r="L496" s="99" t="n"/>
      <c r="M496" s="99" t="n"/>
      <c r="N496" s="99" t="n"/>
      <c r="O496" s="99" t="n"/>
      <c r="P496" s="99" t="n"/>
      <c r="Q496" s="99" t="n"/>
      <c r="R496" s="99" t="n"/>
      <c r="S496" s="99" t="n"/>
      <c r="T496" s="99" t="n"/>
      <c r="U496" s="99" t="n"/>
      <c r="V496" s="99" t="n"/>
      <c r="W496" s="99" t="n"/>
      <c r="X496" s="99" t="n"/>
      <c r="Y496" s="99" t="n"/>
      <c r="Z496" s="99" t="n"/>
      <c r="AA496" s="99" t="n"/>
      <c r="AB496" s="99" t="n"/>
      <c r="AC496" s="99" t="n"/>
      <c r="AD496" s="99" t="n"/>
      <c r="AE496" s="99" t="n"/>
      <c r="AF496" s="99" t="n"/>
      <c r="AG496" s="99" t="n"/>
      <c r="AH496" s="99" t="n"/>
      <c r="AI496" s="99" t="n"/>
      <c r="AJ496" s="99" t="n"/>
      <c r="AK496" s="99" t="n"/>
      <c r="AL496" s="99" t="n"/>
      <c r="AM496" s="99" t="n"/>
      <c r="AN496" s="99" t="n"/>
      <c r="AO496" s="99" t="n"/>
      <c r="AP496" s="99" t="n"/>
      <c r="AQ496" s="99" t="n"/>
      <c r="AR496" s="99" t="n"/>
    </row>
    <row r="497">
      <c r="D497" s="99" t="n"/>
      <c r="E497" s="99" t="n"/>
      <c r="F497" s="99" t="n"/>
      <c r="G497" s="99" t="n"/>
      <c r="H497" s="99" t="n"/>
      <c r="I497" s="99" t="n"/>
      <c r="J497" s="99" t="n"/>
      <c r="K497" s="99" t="n"/>
      <c r="L497" s="99" t="n"/>
      <c r="M497" s="99" t="n"/>
      <c r="N497" s="99" t="n"/>
      <c r="O497" s="99" t="n"/>
      <c r="P497" s="99" t="n"/>
      <c r="Q497" s="99" t="n"/>
      <c r="R497" s="99" t="n"/>
      <c r="S497" s="99" t="n"/>
      <c r="T497" s="99" t="n"/>
      <c r="U497" s="99" t="n"/>
      <c r="V497" s="99" t="n"/>
      <c r="W497" s="99" t="n"/>
      <c r="X497" s="99" t="n"/>
      <c r="Y497" s="99" t="n"/>
      <c r="Z497" s="99" t="n"/>
      <c r="AA497" s="99" t="n"/>
      <c r="AB497" s="99" t="n"/>
      <c r="AC497" s="99" t="n"/>
      <c r="AD497" s="99" t="n"/>
      <c r="AE497" s="99" t="n"/>
      <c r="AF497" s="99" t="n"/>
      <c r="AG497" s="99" t="n"/>
      <c r="AH497" s="99" t="n"/>
      <c r="AI497" s="99" t="n"/>
      <c r="AJ497" s="99" t="n"/>
      <c r="AK497" s="99" t="n"/>
      <c r="AL497" s="99" t="n"/>
      <c r="AM497" s="99" t="n"/>
      <c r="AN497" s="99" t="n"/>
      <c r="AO497" s="99" t="n"/>
      <c r="AP497" s="99" t="n"/>
      <c r="AQ497" s="99" t="n"/>
      <c r="AR497" s="99" t="n"/>
    </row>
    <row r="498">
      <c r="D498" s="100" t="n"/>
      <c r="E498" s="100" t="n"/>
      <c r="F498" s="100" t="n"/>
      <c r="G498" s="100" t="n"/>
      <c r="H498" s="100" t="n"/>
      <c r="I498" s="100" t="n"/>
      <c r="J498" s="100" t="n"/>
      <c r="K498" s="100" t="n"/>
      <c r="L498" s="100" t="n"/>
      <c r="M498" s="100" t="n"/>
      <c r="N498" s="100" t="n"/>
      <c r="O498" s="100" t="n"/>
      <c r="P498" s="100" t="n"/>
      <c r="Q498" s="100" t="n"/>
      <c r="R498" s="100" t="n"/>
      <c r="S498" s="100" t="n"/>
      <c r="T498" s="100" t="n"/>
      <c r="U498" s="100" t="n"/>
      <c r="V498" s="100" t="n"/>
      <c r="W498" s="100" t="n"/>
      <c r="X498" s="100" t="n"/>
      <c r="Y498" s="100" t="n"/>
      <c r="Z498" s="100" t="n"/>
      <c r="AA498" s="100" t="n"/>
      <c r="AB498" s="100" t="n"/>
      <c r="AC498" s="100" t="n"/>
      <c r="AD498" s="100" t="n"/>
      <c r="AE498" s="100" t="n"/>
      <c r="AF498" s="100" t="n"/>
      <c r="AG498" s="100" t="n"/>
      <c r="AH498" s="100" t="n"/>
      <c r="AI498" s="100" t="n"/>
      <c r="AJ498" s="100" t="n"/>
      <c r="AK498" s="100" t="n"/>
      <c r="AL498" s="100" t="n"/>
      <c r="AM498" s="100" t="n"/>
      <c r="AN498" s="100" t="n"/>
      <c r="AO498" s="100" t="n"/>
      <c r="AP498" s="100" t="n"/>
      <c r="AQ498" s="100" t="n"/>
      <c r="AR498" s="100" t="n"/>
    </row>
    <row r="501">
      <c r="A501" s="2">
        <f>IF($A494="","","   projections")</f>
        <v/>
      </c>
      <c r="B501" s="96">
        <f>IF($A494="",0,COUNT($E502:$AR502))</f>
        <v/>
      </c>
      <c r="C501" s="97">
        <f>IF($B501=0,0,MAX($E502:$AR502))</f>
        <v/>
      </c>
      <c r="D501" s="98">
        <f>BDS($A494,FLD_PROJ,"headers=y","startcol=1","endcol=3","dir=h")</f>
        <v/>
      </c>
      <c r="E501" s="99" t="n"/>
      <c r="F501" s="99" t="n"/>
      <c r="G501" s="99" t="n"/>
      <c r="H501" s="99" t="n"/>
      <c r="I501" s="99" t="n"/>
      <c r="J501" s="99" t="n"/>
      <c r="K501" s="99" t="n"/>
      <c r="L501" s="99" t="n"/>
      <c r="M501" s="99" t="n"/>
      <c r="N501" s="99" t="n"/>
      <c r="O501" s="99" t="n"/>
      <c r="P501" s="99" t="n"/>
      <c r="Q501" s="99" t="n"/>
      <c r="R501" s="99" t="n"/>
      <c r="S501" s="99" t="n"/>
      <c r="T501" s="99" t="n"/>
      <c r="U501" s="99" t="n"/>
      <c r="V501" s="99" t="n"/>
      <c r="W501" s="99" t="n"/>
      <c r="X501" s="99" t="n"/>
      <c r="Y501" s="99" t="n"/>
      <c r="Z501" s="99" t="n"/>
      <c r="AA501" s="99" t="n"/>
      <c r="AB501" s="99" t="n"/>
      <c r="AC501" s="99" t="n"/>
      <c r="AD501" s="99" t="n"/>
      <c r="AE501" s="99" t="n"/>
      <c r="AF501" s="99" t="n"/>
      <c r="AG501" s="99" t="n"/>
      <c r="AH501" s="99" t="n"/>
      <c r="AI501" s="99" t="n"/>
      <c r="AJ501" s="99" t="n"/>
      <c r="AK501" s="99" t="n"/>
      <c r="AL501" s="99" t="n"/>
      <c r="AM501" s="99" t="n"/>
      <c r="AN501" s="99" t="n"/>
      <c r="AO501" s="99" t="n"/>
      <c r="AP501" s="99" t="n"/>
      <c r="AQ501" s="99" t="n"/>
      <c r="AR501" s="99" t="n"/>
    </row>
    <row r="502">
      <c r="D502" s="99" t="n"/>
      <c r="E502" s="99" t="n"/>
      <c r="F502" s="99" t="n"/>
      <c r="G502" s="99" t="n"/>
      <c r="H502" s="99" t="n"/>
      <c r="I502" s="99" t="n"/>
      <c r="J502" s="99" t="n"/>
      <c r="K502" s="99" t="n"/>
      <c r="L502" s="99" t="n"/>
      <c r="M502" s="99" t="n"/>
      <c r="N502" s="99" t="n"/>
      <c r="O502" s="99" t="n"/>
      <c r="P502" s="99" t="n"/>
      <c r="Q502" s="99" t="n"/>
      <c r="R502" s="99" t="n"/>
      <c r="S502" s="99" t="n"/>
      <c r="T502" s="99" t="n"/>
      <c r="U502" s="99" t="n"/>
      <c r="V502" s="99" t="n"/>
      <c r="W502" s="99" t="n"/>
      <c r="X502" s="99" t="n"/>
      <c r="Y502" s="99" t="n"/>
      <c r="Z502" s="99" t="n"/>
      <c r="AA502" s="99" t="n"/>
      <c r="AB502" s="99" t="n"/>
      <c r="AC502" s="99" t="n"/>
      <c r="AD502" s="99" t="n"/>
      <c r="AE502" s="99" t="n"/>
      <c r="AF502" s="99" t="n"/>
      <c r="AG502" s="99" t="n"/>
      <c r="AH502" s="99" t="n"/>
      <c r="AI502" s="99" t="n"/>
      <c r="AJ502" s="99" t="n"/>
      <c r="AK502" s="99" t="n"/>
      <c r="AL502" s="99" t="n"/>
      <c r="AM502" s="99" t="n"/>
      <c r="AN502" s="99" t="n"/>
      <c r="AO502" s="99" t="n"/>
      <c r="AP502" s="99" t="n"/>
      <c r="AQ502" s="99" t="n"/>
      <c r="AR502" s="99" t="n"/>
    </row>
    <row r="503">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100" t="n"/>
      <c r="AG503" s="100" t="n"/>
      <c r="AH503" s="100" t="n"/>
      <c r="AI503" s="100" t="n"/>
      <c r="AJ503" s="100" t="n"/>
      <c r="AK503" s="100" t="n"/>
      <c r="AL503" s="100" t="n"/>
      <c r="AM503" s="100" t="n"/>
      <c r="AN503" s="100" t="n"/>
      <c r="AO503" s="100" t="n"/>
      <c r="AP503" s="100" t="n"/>
      <c r="AQ503" s="100" t="n"/>
      <c r="AR503" s="100" t="n"/>
    </row>
    <row r="505">
      <c r="A505" s="6">
        <f>IF(HSI!$C$52="","",HSI!$C$52)</f>
        <v/>
      </c>
      <c r="B505" s="96">
        <f>IF($A505="",0,COUNT($E506:$AR506))</f>
        <v/>
      </c>
      <c r="C505" s="97">
        <f>IF($B505=0,0,MAX($E506:$AR506))</f>
        <v/>
      </c>
      <c r="D505" s="98">
        <f>BDS($A505,FLD_HIST,"headers=y","startcol=1","endcol=7","dir=h","DVD_START_DT",HIST_FROM,"DVD_END_DT",HIST_TO)</f>
        <v/>
      </c>
      <c r="E505" s="99" t="n"/>
      <c r="F505" s="99" t="n"/>
      <c r="G505" s="99" t="n"/>
      <c r="H505" s="99" t="n"/>
      <c r="I505" s="99" t="n"/>
      <c r="J505" s="99" t="n"/>
      <c r="K505" s="99" t="n"/>
      <c r="L505" s="99" t="n"/>
      <c r="M505" s="99" t="n"/>
      <c r="N505" s="99" t="n"/>
      <c r="O505" s="99" t="n"/>
      <c r="P505" s="99" t="n"/>
      <c r="Q505" s="99" t="n"/>
      <c r="R505" s="99" t="n"/>
      <c r="S505" s="99" t="n"/>
      <c r="T505" s="99" t="n"/>
      <c r="U505" s="99" t="n"/>
      <c r="V505" s="99" t="n"/>
      <c r="W505" s="99" t="n"/>
      <c r="X505" s="99" t="n"/>
      <c r="Y505" s="99" t="n"/>
      <c r="Z505" s="99" t="n"/>
      <c r="AA505" s="99" t="n"/>
      <c r="AB505" s="99" t="n"/>
      <c r="AC505" s="99" t="n"/>
      <c r="AD505" s="99" t="n"/>
      <c r="AE505" s="99" t="n"/>
      <c r="AF505" s="99" t="n"/>
      <c r="AG505" s="99" t="n"/>
      <c r="AH505" s="99" t="n"/>
      <c r="AI505" s="99" t="n"/>
      <c r="AJ505" s="99" t="n"/>
      <c r="AK505" s="99" t="n"/>
      <c r="AL505" s="99" t="n"/>
      <c r="AM505" s="99" t="n"/>
      <c r="AN505" s="99" t="n"/>
      <c r="AO505" s="99" t="n"/>
      <c r="AP505" s="99" t="n"/>
      <c r="AQ505" s="99" t="n"/>
      <c r="AR505" s="99" t="n"/>
    </row>
    <row r="506">
      <c r="D506" s="99" t="n"/>
      <c r="E506" s="99" t="n"/>
      <c r="F506" s="99" t="n"/>
      <c r="G506" s="99" t="n"/>
      <c r="H506" s="99" t="n"/>
      <c r="I506" s="99" t="n"/>
      <c r="J506" s="99" t="n"/>
      <c r="K506" s="99" t="n"/>
      <c r="L506" s="99" t="n"/>
      <c r="M506" s="99" t="n"/>
      <c r="N506" s="99" t="n"/>
      <c r="O506" s="99" t="n"/>
      <c r="P506" s="99" t="n"/>
      <c r="Q506" s="99" t="n"/>
      <c r="R506" s="99" t="n"/>
      <c r="S506" s="99" t="n"/>
      <c r="T506" s="99" t="n"/>
      <c r="U506" s="99" t="n"/>
      <c r="V506" s="99" t="n"/>
      <c r="W506" s="99" t="n"/>
      <c r="X506" s="99" t="n"/>
      <c r="Y506" s="99" t="n"/>
      <c r="Z506" s="99" t="n"/>
      <c r="AA506" s="99" t="n"/>
      <c r="AB506" s="99" t="n"/>
      <c r="AC506" s="99" t="n"/>
      <c r="AD506" s="99" t="n"/>
      <c r="AE506" s="99" t="n"/>
      <c r="AF506" s="99" t="n"/>
      <c r="AG506" s="99" t="n"/>
      <c r="AH506" s="99" t="n"/>
      <c r="AI506" s="99" t="n"/>
      <c r="AJ506" s="99" t="n"/>
      <c r="AK506" s="99" t="n"/>
      <c r="AL506" s="99" t="n"/>
      <c r="AM506" s="99" t="n"/>
      <c r="AN506" s="99" t="n"/>
      <c r="AO506" s="99" t="n"/>
      <c r="AP506" s="99" t="n"/>
      <c r="AQ506" s="99" t="n"/>
      <c r="AR506" s="99" t="n"/>
    </row>
    <row r="507">
      <c r="D507" s="99" t="n"/>
      <c r="E507" s="99" t="n"/>
      <c r="F507" s="99" t="n"/>
      <c r="G507" s="99" t="n"/>
      <c r="H507" s="99" t="n"/>
      <c r="I507" s="99" t="n"/>
      <c r="J507" s="99" t="n"/>
      <c r="K507" s="99" t="n"/>
      <c r="L507" s="99" t="n"/>
      <c r="M507" s="99" t="n"/>
      <c r="N507" s="99" t="n"/>
      <c r="O507" s="99" t="n"/>
      <c r="P507" s="99" t="n"/>
      <c r="Q507" s="99" t="n"/>
      <c r="R507" s="99" t="n"/>
      <c r="S507" s="99" t="n"/>
      <c r="T507" s="99" t="n"/>
      <c r="U507" s="99" t="n"/>
      <c r="V507" s="99" t="n"/>
      <c r="W507" s="99" t="n"/>
      <c r="X507" s="99" t="n"/>
      <c r="Y507" s="99" t="n"/>
      <c r="Z507" s="99" t="n"/>
      <c r="AA507" s="99" t="n"/>
      <c r="AB507" s="99" t="n"/>
      <c r="AC507" s="99" t="n"/>
      <c r="AD507" s="99" t="n"/>
      <c r="AE507" s="99" t="n"/>
      <c r="AF507" s="99" t="n"/>
      <c r="AG507" s="99" t="n"/>
      <c r="AH507" s="99" t="n"/>
      <c r="AI507" s="99" t="n"/>
      <c r="AJ507" s="99" t="n"/>
      <c r="AK507" s="99" t="n"/>
      <c r="AL507" s="99" t="n"/>
      <c r="AM507" s="99" t="n"/>
      <c r="AN507" s="99" t="n"/>
      <c r="AO507" s="99" t="n"/>
      <c r="AP507" s="99" t="n"/>
      <c r="AQ507" s="99" t="n"/>
      <c r="AR507" s="99" t="n"/>
    </row>
    <row r="508">
      <c r="D508" s="99" t="n"/>
      <c r="E508" s="99" t="n"/>
      <c r="F508" s="99" t="n"/>
      <c r="G508" s="99" t="n"/>
      <c r="H508" s="99" t="n"/>
      <c r="I508" s="99" t="n"/>
      <c r="J508" s="99" t="n"/>
      <c r="K508" s="99" t="n"/>
      <c r="L508" s="99" t="n"/>
      <c r="M508" s="99" t="n"/>
      <c r="N508" s="99" t="n"/>
      <c r="O508" s="99" t="n"/>
      <c r="P508" s="99" t="n"/>
      <c r="Q508" s="99" t="n"/>
      <c r="R508" s="99" t="n"/>
      <c r="S508" s="99" t="n"/>
      <c r="T508" s="99" t="n"/>
      <c r="U508" s="99" t="n"/>
      <c r="V508" s="99" t="n"/>
      <c r="W508" s="99" t="n"/>
      <c r="X508" s="99" t="n"/>
      <c r="Y508" s="99" t="n"/>
      <c r="Z508" s="99" t="n"/>
      <c r="AA508" s="99" t="n"/>
      <c r="AB508" s="99" t="n"/>
      <c r="AC508" s="99" t="n"/>
      <c r="AD508" s="99" t="n"/>
      <c r="AE508" s="99" t="n"/>
      <c r="AF508" s="99" t="n"/>
      <c r="AG508" s="99" t="n"/>
      <c r="AH508" s="99" t="n"/>
      <c r="AI508" s="99" t="n"/>
      <c r="AJ508" s="99" t="n"/>
      <c r="AK508" s="99" t="n"/>
      <c r="AL508" s="99" t="n"/>
      <c r="AM508" s="99" t="n"/>
      <c r="AN508" s="99" t="n"/>
      <c r="AO508" s="99" t="n"/>
      <c r="AP508" s="99" t="n"/>
      <c r="AQ508" s="99" t="n"/>
      <c r="AR508" s="99" t="n"/>
    </row>
    <row r="509">
      <c r="D509" s="100" t="n"/>
      <c r="E509" s="100" t="n"/>
      <c r="F509" s="100" t="n"/>
      <c r="G509" s="100" t="n"/>
      <c r="H509" s="100" t="n"/>
      <c r="I509" s="100" t="n"/>
      <c r="J509" s="100" t="n"/>
      <c r="K509" s="100" t="n"/>
      <c r="L509" s="100" t="n"/>
      <c r="M509" s="100" t="n"/>
      <c r="N509" s="100" t="n"/>
      <c r="O509" s="100" t="n"/>
      <c r="P509" s="100" t="n"/>
      <c r="Q509" s="100" t="n"/>
      <c r="R509" s="100" t="n"/>
      <c r="S509" s="100" t="n"/>
      <c r="T509" s="100" t="n"/>
      <c r="U509" s="100" t="n"/>
      <c r="V509" s="100" t="n"/>
      <c r="W509" s="100" t="n"/>
      <c r="X509" s="100" t="n"/>
      <c r="Y509" s="100" t="n"/>
      <c r="Z509" s="100" t="n"/>
      <c r="AA509" s="100" t="n"/>
      <c r="AB509" s="100" t="n"/>
      <c r="AC509" s="100" t="n"/>
      <c r="AD509" s="100" t="n"/>
      <c r="AE509" s="100" t="n"/>
      <c r="AF509" s="100" t="n"/>
      <c r="AG509" s="100" t="n"/>
      <c r="AH509" s="100" t="n"/>
      <c r="AI509" s="100" t="n"/>
      <c r="AJ509" s="100" t="n"/>
      <c r="AK509" s="100" t="n"/>
      <c r="AL509" s="100" t="n"/>
      <c r="AM509" s="100" t="n"/>
      <c r="AN509" s="100" t="n"/>
      <c r="AO509" s="100" t="n"/>
      <c r="AP509" s="100" t="n"/>
      <c r="AQ509" s="100" t="n"/>
      <c r="AR509" s="100" t="n"/>
    </row>
    <row r="512">
      <c r="A512" s="2">
        <f>IF($A505="","","   projections")</f>
        <v/>
      </c>
      <c r="B512" s="96">
        <f>IF($A505="",0,COUNT($E513:$AR513))</f>
        <v/>
      </c>
      <c r="C512" s="97">
        <f>IF($B512=0,0,MAX($E513:$AR513))</f>
        <v/>
      </c>
      <c r="D512" s="98">
        <f>BDS($A505,FLD_PROJ,"headers=y","startcol=1","endcol=3","dir=h")</f>
        <v/>
      </c>
      <c r="E512" s="99" t="n"/>
      <c r="F512" s="99" t="n"/>
      <c r="G512" s="99" t="n"/>
      <c r="H512" s="99" t="n"/>
      <c r="I512" s="99" t="n"/>
      <c r="J512" s="99" t="n"/>
      <c r="K512" s="99" t="n"/>
      <c r="L512" s="99" t="n"/>
      <c r="M512" s="99" t="n"/>
      <c r="N512" s="99" t="n"/>
      <c r="O512" s="99" t="n"/>
      <c r="P512" s="99" t="n"/>
      <c r="Q512" s="99" t="n"/>
      <c r="R512" s="99" t="n"/>
      <c r="S512" s="99" t="n"/>
      <c r="T512" s="99" t="n"/>
      <c r="U512" s="99" t="n"/>
      <c r="V512" s="99" t="n"/>
      <c r="W512" s="99" t="n"/>
      <c r="X512" s="99" t="n"/>
      <c r="Y512" s="99" t="n"/>
      <c r="Z512" s="99" t="n"/>
      <c r="AA512" s="99" t="n"/>
      <c r="AB512" s="99" t="n"/>
      <c r="AC512" s="99" t="n"/>
      <c r="AD512" s="99" t="n"/>
      <c r="AE512" s="99" t="n"/>
      <c r="AF512" s="99" t="n"/>
      <c r="AG512" s="99" t="n"/>
      <c r="AH512" s="99" t="n"/>
      <c r="AI512" s="99" t="n"/>
      <c r="AJ512" s="99" t="n"/>
      <c r="AK512" s="99" t="n"/>
      <c r="AL512" s="99" t="n"/>
      <c r="AM512" s="99" t="n"/>
      <c r="AN512" s="99" t="n"/>
      <c r="AO512" s="99" t="n"/>
      <c r="AP512" s="99" t="n"/>
      <c r="AQ512" s="99" t="n"/>
      <c r="AR512" s="99" t="n"/>
    </row>
    <row r="513">
      <c r="D513" s="99" t="n"/>
      <c r="E513" s="99" t="n"/>
      <c r="F513" s="99" t="n"/>
      <c r="G513" s="99" t="n"/>
      <c r="H513" s="99" t="n"/>
      <c r="I513" s="99" t="n"/>
      <c r="J513" s="99" t="n"/>
      <c r="K513" s="99" t="n"/>
      <c r="L513" s="99" t="n"/>
      <c r="M513" s="99" t="n"/>
      <c r="N513" s="99" t="n"/>
      <c r="O513" s="99" t="n"/>
      <c r="P513" s="99" t="n"/>
      <c r="Q513" s="99" t="n"/>
      <c r="R513" s="99" t="n"/>
      <c r="S513" s="99" t="n"/>
      <c r="T513" s="99" t="n"/>
      <c r="U513" s="99" t="n"/>
      <c r="V513" s="99" t="n"/>
      <c r="W513" s="99" t="n"/>
      <c r="X513" s="99" t="n"/>
      <c r="Y513" s="99" t="n"/>
      <c r="Z513" s="99" t="n"/>
      <c r="AA513" s="99" t="n"/>
      <c r="AB513" s="99" t="n"/>
      <c r="AC513" s="99" t="n"/>
      <c r="AD513" s="99" t="n"/>
      <c r="AE513" s="99" t="n"/>
      <c r="AF513" s="99" t="n"/>
      <c r="AG513" s="99" t="n"/>
      <c r="AH513" s="99" t="n"/>
      <c r="AI513" s="99" t="n"/>
      <c r="AJ513" s="99" t="n"/>
      <c r="AK513" s="99" t="n"/>
      <c r="AL513" s="99" t="n"/>
      <c r="AM513" s="99" t="n"/>
      <c r="AN513" s="99" t="n"/>
      <c r="AO513" s="99" t="n"/>
      <c r="AP513" s="99" t="n"/>
      <c r="AQ513" s="99" t="n"/>
      <c r="AR513" s="99" t="n"/>
    </row>
    <row r="514">
      <c r="D514" s="100" t="n"/>
      <c r="E514" s="100" t="n"/>
      <c r="F514" s="100" t="n"/>
      <c r="G514" s="100" t="n"/>
      <c r="H514" s="100" t="n"/>
      <c r="I514" s="100" t="n"/>
      <c r="J514" s="100" t="n"/>
      <c r="K514" s="100" t="n"/>
      <c r="L514" s="100" t="n"/>
      <c r="M514" s="100" t="n"/>
      <c r="N514" s="100" t="n"/>
      <c r="O514" s="100" t="n"/>
      <c r="P514" s="100" t="n"/>
      <c r="Q514" s="100" t="n"/>
      <c r="R514" s="100" t="n"/>
      <c r="S514" s="100" t="n"/>
      <c r="T514" s="100" t="n"/>
      <c r="U514" s="100" t="n"/>
      <c r="V514" s="100" t="n"/>
      <c r="W514" s="100" t="n"/>
      <c r="X514" s="100" t="n"/>
      <c r="Y514" s="100" t="n"/>
      <c r="Z514" s="100" t="n"/>
      <c r="AA514" s="100" t="n"/>
      <c r="AB514" s="100" t="n"/>
      <c r="AC514" s="100" t="n"/>
      <c r="AD514" s="100" t="n"/>
      <c r="AE514" s="100" t="n"/>
      <c r="AF514" s="100" t="n"/>
      <c r="AG514" s="100" t="n"/>
      <c r="AH514" s="100" t="n"/>
      <c r="AI514" s="100" t="n"/>
      <c r="AJ514" s="100" t="n"/>
      <c r="AK514" s="100" t="n"/>
      <c r="AL514" s="100" t="n"/>
      <c r="AM514" s="100" t="n"/>
      <c r="AN514" s="100" t="n"/>
      <c r="AO514" s="100" t="n"/>
      <c r="AP514" s="100" t="n"/>
      <c r="AQ514" s="100" t="n"/>
      <c r="AR514" s="100" t="n"/>
    </row>
    <row r="516">
      <c r="A516" s="6">
        <f>IF(HSI!$C$53="","",HSI!$C$53)</f>
        <v/>
      </c>
      <c r="B516" s="96">
        <f>IF($A516="",0,COUNT($E517:$AR517))</f>
        <v/>
      </c>
      <c r="C516" s="97">
        <f>IF($B516=0,0,MAX($E517:$AR517))</f>
        <v/>
      </c>
      <c r="D516" s="98">
        <f>BDS($A516,FLD_HIST,"headers=y","startcol=1","endcol=7","dir=h","DVD_START_DT",HIST_FROM,"DVD_END_DT",HIST_TO)</f>
        <v/>
      </c>
      <c r="E516" s="99" t="n"/>
      <c r="F516" s="99" t="n"/>
      <c r="G516" s="99" t="n"/>
      <c r="H516" s="99" t="n"/>
      <c r="I516" s="99" t="n"/>
      <c r="J516" s="99" t="n"/>
      <c r="K516" s="99" t="n"/>
      <c r="L516" s="99" t="n"/>
      <c r="M516" s="99" t="n"/>
      <c r="N516" s="99" t="n"/>
      <c r="O516" s="99" t="n"/>
      <c r="P516" s="99" t="n"/>
      <c r="Q516" s="99" t="n"/>
      <c r="R516" s="99" t="n"/>
      <c r="S516" s="99" t="n"/>
      <c r="T516" s="99" t="n"/>
      <c r="U516" s="99" t="n"/>
      <c r="V516" s="99" t="n"/>
      <c r="W516" s="99" t="n"/>
      <c r="X516" s="99" t="n"/>
      <c r="Y516" s="99" t="n"/>
      <c r="Z516" s="99" t="n"/>
      <c r="AA516" s="99" t="n"/>
      <c r="AB516" s="99" t="n"/>
      <c r="AC516" s="99" t="n"/>
      <c r="AD516" s="99" t="n"/>
      <c r="AE516" s="99" t="n"/>
      <c r="AF516" s="99" t="n"/>
      <c r="AG516" s="99" t="n"/>
      <c r="AH516" s="99" t="n"/>
      <c r="AI516" s="99" t="n"/>
      <c r="AJ516" s="99" t="n"/>
      <c r="AK516" s="99" t="n"/>
      <c r="AL516" s="99" t="n"/>
      <c r="AM516" s="99" t="n"/>
      <c r="AN516" s="99" t="n"/>
      <c r="AO516" s="99" t="n"/>
      <c r="AP516" s="99" t="n"/>
      <c r="AQ516" s="99" t="n"/>
      <c r="AR516" s="99" t="n"/>
    </row>
    <row r="517">
      <c r="D517" s="99" t="n"/>
      <c r="E517" s="99" t="n"/>
      <c r="F517" s="99" t="n"/>
      <c r="G517" s="99" t="n"/>
      <c r="H517" s="99" t="n"/>
      <c r="I517" s="99" t="n"/>
      <c r="J517" s="99" t="n"/>
      <c r="K517" s="99" t="n"/>
      <c r="L517" s="99" t="n"/>
      <c r="M517" s="99" t="n"/>
      <c r="N517" s="99" t="n"/>
      <c r="O517" s="99" t="n"/>
      <c r="P517" s="99" t="n"/>
      <c r="Q517" s="99" t="n"/>
      <c r="R517" s="99" t="n"/>
      <c r="S517" s="99" t="n"/>
      <c r="T517" s="99" t="n"/>
      <c r="U517" s="99" t="n"/>
      <c r="V517" s="99" t="n"/>
      <c r="W517" s="99" t="n"/>
      <c r="X517" s="99" t="n"/>
      <c r="Y517" s="99" t="n"/>
      <c r="Z517" s="99" t="n"/>
      <c r="AA517" s="99" t="n"/>
      <c r="AB517" s="99" t="n"/>
      <c r="AC517" s="99" t="n"/>
      <c r="AD517" s="99" t="n"/>
      <c r="AE517" s="99" t="n"/>
      <c r="AF517" s="99" t="n"/>
      <c r="AG517" s="99" t="n"/>
      <c r="AH517" s="99" t="n"/>
      <c r="AI517" s="99" t="n"/>
      <c r="AJ517" s="99" t="n"/>
      <c r="AK517" s="99" t="n"/>
      <c r="AL517" s="99" t="n"/>
      <c r="AM517" s="99" t="n"/>
      <c r="AN517" s="99" t="n"/>
      <c r="AO517" s="99" t="n"/>
      <c r="AP517" s="99" t="n"/>
      <c r="AQ517" s="99" t="n"/>
      <c r="AR517" s="99" t="n"/>
    </row>
    <row r="518">
      <c r="D518" s="99" t="n"/>
      <c r="E518" s="99" t="n"/>
      <c r="F518" s="99" t="n"/>
      <c r="G518" s="99" t="n"/>
      <c r="H518" s="99" t="n"/>
      <c r="I518" s="99" t="n"/>
      <c r="J518" s="99" t="n"/>
      <c r="K518" s="99" t="n"/>
      <c r="L518" s="99" t="n"/>
      <c r="M518" s="99" t="n"/>
      <c r="N518" s="99" t="n"/>
      <c r="O518" s="99" t="n"/>
      <c r="P518" s="99" t="n"/>
      <c r="Q518" s="99" t="n"/>
      <c r="R518" s="99" t="n"/>
      <c r="S518" s="99" t="n"/>
      <c r="T518" s="99" t="n"/>
      <c r="U518" s="99" t="n"/>
      <c r="V518" s="99" t="n"/>
      <c r="W518" s="99" t="n"/>
      <c r="X518" s="99" t="n"/>
      <c r="Y518" s="99" t="n"/>
      <c r="Z518" s="99" t="n"/>
      <c r="AA518" s="99" t="n"/>
      <c r="AB518" s="99" t="n"/>
      <c r="AC518" s="99" t="n"/>
      <c r="AD518" s="99" t="n"/>
      <c r="AE518" s="99" t="n"/>
      <c r="AF518" s="99" t="n"/>
      <c r="AG518" s="99" t="n"/>
      <c r="AH518" s="99" t="n"/>
      <c r="AI518" s="99" t="n"/>
      <c r="AJ518" s="99" t="n"/>
      <c r="AK518" s="99" t="n"/>
      <c r="AL518" s="99" t="n"/>
      <c r="AM518" s="99" t="n"/>
      <c r="AN518" s="99" t="n"/>
      <c r="AO518" s="99" t="n"/>
      <c r="AP518" s="99" t="n"/>
      <c r="AQ518" s="99" t="n"/>
      <c r="AR518" s="99" t="n"/>
    </row>
    <row r="519">
      <c r="D519" s="99" t="n"/>
      <c r="E519" s="99" t="n"/>
      <c r="F519" s="99" t="n"/>
      <c r="G519" s="99" t="n"/>
      <c r="H519" s="99" t="n"/>
      <c r="I519" s="99" t="n"/>
      <c r="J519" s="99" t="n"/>
      <c r="K519" s="99" t="n"/>
      <c r="L519" s="99" t="n"/>
      <c r="M519" s="99" t="n"/>
      <c r="N519" s="99" t="n"/>
      <c r="O519" s="99" t="n"/>
      <c r="P519" s="99" t="n"/>
      <c r="Q519" s="99" t="n"/>
      <c r="R519" s="99" t="n"/>
      <c r="S519" s="99" t="n"/>
      <c r="T519" s="99" t="n"/>
      <c r="U519" s="99" t="n"/>
      <c r="V519" s="99" t="n"/>
      <c r="W519" s="99" t="n"/>
      <c r="X519" s="99" t="n"/>
      <c r="Y519" s="99" t="n"/>
      <c r="Z519" s="99" t="n"/>
      <c r="AA519" s="99" t="n"/>
      <c r="AB519" s="99" t="n"/>
      <c r="AC519" s="99" t="n"/>
      <c r="AD519" s="99" t="n"/>
      <c r="AE519" s="99" t="n"/>
      <c r="AF519" s="99" t="n"/>
      <c r="AG519" s="99" t="n"/>
      <c r="AH519" s="99" t="n"/>
      <c r="AI519" s="99" t="n"/>
      <c r="AJ519" s="99" t="n"/>
      <c r="AK519" s="99" t="n"/>
      <c r="AL519" s="99" t="n"/>
      <c r="AM519" s="99" t="n"/>
      <c r="AN519" s="99" t="n"/>
      <c r="AO519" s="99" t="n"/>
      <c r="AP519" s="99" t="n"/>
      <c r="AQ519" s="99" t="n"/>
      <c r="AR519" s="99" t="n"/>
    </row>
    <row r="520">
      <c r="D520" s="100" t="n"/>
      <c r="E520" s="100" t="n"/>
      <c r="F520" s="100" t="n"/>
      <c r="G520" s="100" t="n"/>
      <c r="H520" s="100" t="n"/>
      <c r="I520" s="100" t="n"/>
      <c r="J520" s="100" t="n"/>
      <c r="K520" s="100" t="n"/>
      <c r="L520" s="100" t="n"/>
      <c r="M520" s="100" t="n"/>
      <c r="N520" s="100" t="n"/>
      <c r="O520" s="100" t="n"/>
      <c r="P520" s="100" t="n"/>
      <c r="Q520" s="100" t="n"/>
      <c r="R520" s="100" t="n"/>
      <c r="S520" s="100" t="n"/>
      <c r="T520" s="100" t="n"/>
      <c r="U520" s="100" t="n"/>
      <c r="V520" s="100" t="n"/>
      <c r="W520" s="100" t="n"/>
      <c r="X520" s="100" t="n"/>
      <c r="Y520" s="100" t="n"/>
      <c r="Z520" s="100" t="n"/>
      <c r="AA520" s="100" t="n"/>
      <c r="AB520" s="100" t="n"/>
      <c r="AC520" s="100" t="n"/>
      <c r="AD520" s="100" t="n"/>
      <c r="AE520" s="100" t="n"/>
      <c r="AF520" s="100" t="n"/>
      <c r="AG520" s="100" t="n"/>
      <c r="AH520" s="100" t="n"/>
      <c r="AI520" s="100" t="n"/>
      <c r="AJ520" s="100" t="n"/>
      <c r="AK520" s="100" t="n"/>
      <c r="AL520" s="100" t="n"/>
      <c r="AM520" s="100" t="n"/>
      <c r="AN520" s="100" t="n"/>
      <c r="AO520" s="100" t="n"/>
      <c r="AP520" s="100" t="n"/>
      <c r="AQ520" s="100" t="n"/>
      <c r="AR520" s="100" t="n"/>
    </row>
    <row r="523">
      <c r="A523" s="2">
        <f>IF($A516="","","   projections")</f>
        <v/>
      </c>
      <c r="B523" s="96">
        <f>IF($A516="",0,COUNT($E524:$AR524))</f>
        <v/>
      </c>
      <c r="C523" s="97">
        <f>IF($B523=0,0,MAX($E524:$AR524))</f>
        <v/>
      </c>
      <c r="D523" s="98">
        <f>BDS($A516,FLD_PROJ,"headers=y","startcol=1","endcol=3","dir=h")</f>
        <v/>
      </c>
      <c r="E523" s="99" t="n"/>
      <c r="F523" s="99" t="n"/>
      <c r="G523" s="99" t="n"/>
      <c r="H523" s="99" t="n"/>
      <c r="I523" s="99" t="n"/>
      <c r="J523" s="99" t="n"/>
      <c r="K523" s="99" t="n"/>
      <c r="L523" s="99" t="n"/>
      <c r="M523" s="99" t="n"/>
      <c r="N523" s="99" t="n"/>
      <c r="O523" s="99" t="n"/>
      <c r="P523" s="99" t="n"/>
      <c r="Q523" s="99" t="n"/>
      <c r="R523" s="99" t="n"/>
      <c r="S523" s="99" t="n"/>
      <c r="T523" s="99" t="n"/>
      <c r="U523" s="99" t="n"/>
      <c r="V523" s="99" t="n"/>
      <c r="W523" s="99" t="n"/>
      <c r="X523" s="99" t="n"/>
      <c r="Y523" s="99" t="n"/>
      <c r="Z523" s="99" t="n"/>
      <c r="AA523" s="99" t="n"/>
      <c r="AB523" s="99" t="n"/>
      <c r="AC523" s="99" t="n"/>
      <c r="AD523" s="99" t="n"/>
      <c r="AE523" s="99" t="n"/>
      <c r="AF523" s="99" t="n"/>
      <c r="AG523" s="99" t="n"/>
      <c r="AH523" s="99" t="n"/>
      <c r="AI523" s="99" t="n"/>
      <c r="AJ523" s="99" t="n"/>
      <c r="AK523" s="99" t="n"/>
      <c r="AL523" s="99" t="n"/>
      <c r="AM523" s="99" t="n"/>
      <c r="AN523" s="99" t="n"/>
      <c r="AO523" s="99" t="n"/>
      <c r="AP523" s="99" t="n"/>
      <c r="AQ523" s="99" t="n"/>
      <c r="AR523" s="99" t="n"/>
    </row>
    <row r="524">
      <c r="D524" s="99" t="n"/>
      <c r="E524" s="99" t="n"/>
      <c r="F524" s="99" t="n"/>
      <c r="G524" s="99" t="n"/>
      <c r="H524" s="99" t="n"/>
      <c r="I524" s="99" t="n"/>
      <c r="J524" s="99" t="n"/>
      <c r="K524" s="99" t="n"/>
      <c r="L524" s="99" t="n"/>
      <c r="M524" s="99" t="n"/>
      <c r="N524" s="99" t="n"/>
      <c r="O524" s="99" t="n"/>
      <c r="P524" s="99" t="n"/>
      <c r="Q524" s="99" t="n"/>
      <c r="R524" s="99" t="n"/>
      <c r="S524" s="99" t="n"/>
      <c r="T524" s="99" t="n"/>
      <c r="U524" s="99" t="n"/>
      <c r="V524" s="99" t="n"/>
      <c r="W524" s="99" t="n"/>
      <c r="X524" s="99" t="n"/>
      <c r="Y524" s="99" t="n"/>
      <c r="Z524" s="99" t="n"/>
      <c r="AA524" s="99" t="n"/>
      <c r="AB524" s="99" t="n"/>
      <c r="AC524" s="99" t="n"/>
      <c r="AD524" s="99" t="n"/>
      <c r="AE524" s="99" t="n"/>
      <c r="AF524" s="99" t="n"/>
      <c r="AG524" s="99" t="n"/>
      <c r="AH524" s="99" t="n"/>
      <c r="AI524" s="99" t="n"/>
      <c r="AJ524" s="99" t="n"/>
      <c r="AK524" s="99" t="n"/>
      <c r="AL524" s="99" t="n"/>
      <c r="AM524" s="99" t="n"/>
      <c r="AN524" s="99" t="n"/>
      <c r="AO524" s="99" t="n"/>
      <c r="AP524" s="99" t="n"/>
      <c r="AQ524" s="99" t="n"/>
      <c r="AR524" s="99" t="n"/>
    </row>
    <row r="525">
      <c r="D525" s="100" t="n"/>
      <c r="E525" s="100" t="n"/>
      <c r="F525" s="100" t="n"/>
      <c r="G525" s="100" t="n"/>
      <c r="H525" s="100" t="n"/>
      <c r="I525" s="100" t="n"/>
      <c r="J525" s="100" t="n"/>
      <c r="K525" s="100" t="n"/>
      <c r="L525" s="100" t="n"/>
      <c r="M525" s="100" t="n"/>
      <c r="N525" s="100" t="n"/>
      <c r="O525" s="100" t="n"/>
      <c r="P525" s="100" t="n"/>
      <c r="Q525" s="100" t="n"/>
      <c r="R525" s="100" t="n"/>
      <c r="S525" s="100" t="n"/>
      <c r="T525" s="100" t="n"/>
      <c r="U525" s="100" t="n"/>
      <c r="V525" s="100" t="n"/>
      <c r="W525" s="100" t="n"/>
      <c r="X525" s="100" t="n"/>
      <c r="Y525" s="100" t="n"/>
      <c r="Z525" s="100" t="n"/>
      <c r="AA525" s="100" t="n"/>
      <c r="AB525" s="100" t="n"/>
      <c r="AC525" s="100" t="n"/>
      <c r="AD525" s="100" t="n"/>
      <c r="AE525" s="100" t="n"/>
      <c r="AF525" s="100" t="n"/>
      <c r="AG525" s="100" t="n"/>
      <c r="AH525" s="100" t="n"/>
      <c r="AI525" s="100" t="n"/>
      <c r="AJ525" s="100" t="n"/>
      <c r="AK525" s="100" t="n"/>
      <c r="AL525" s="100" t="n"/>
      <c r="AM525" s="100" t="n"/>
      <c r="AN525" s="100" t="n"/>
      <c r="AO525" s="100" t="n"/>
      <c r="AP525" s="100" t="n"/>
      <c r="AQ525" s="100" t="n"/>
      <c r="AR525" s="100" t="n"/>
    </row>
    <row r="527">
      <c r="A527" s="6">
        <f>IF(HSI!$C$54="","",HSI!$C$54)</f>
        <v/>
      </c>
      <c r="B527" s="96">
        <f>IF($A527="",0,COUNT($E528:$AR528))</f>
        <v/>
      </c>
      <c r="C527" s="97">
        <f>IF($B527=0,0,MAX($E528:$AR528))</f>
        <v/>
      </c>
      <c r="D527" s="98">
        <f>BDS($A527,FLD_HIST,"headers=y","startcol=1","endcol=7","dir=h","DVD_START_DT",HIST_FROM,"DVD_END_DT",HIST_TO)</f>
        <v/>
      </c>
      <c r="E527" s="99" t="n"/>
      <c r="F527" s="99" t="n"/>
      <c r="G527" s="99" t="n"/>
      <c r="H527" s="99" t="n"/>
      <c r="I527" s="99" t="n"/>
      <c r="J527" s="99" t="n"/>
      <c r="K527" s="99" t="n"/>
      <c r="L527" s="99" t="n"/>
      <c r="M527" s="99" t="n"/>
      <c r="N527" s="99" t="n"/>
      <c r="O527" s="99" t="n"/>
      <c r="P527" s="99" t="n"/>
      <c r="Q527" s="99" t="n"/>
      <c r="R527" s="99" t="n"/>
      <c r="S527" s="99" t="n"/>
      <c r="T527" s="99" t="n"/>
      <c r="U527" s="99" t="n"/>
      <c r="V527" s="99" t="n"/>
      <c r="W527" s="99" t="n"/>
      <c r="X527" s="99" t="n"/>
      <c r="Y527" s="99" t="n"/>
      <c r="Z527" s="99" t="n"/>
      <c r="AA527" s="99" t="n"/>
      <c r="AB527" s="99" t="n"/>
      <c r="AC527" s="99" t="n"/>
      <c r="AD527" s="99" t="n"/>
      <c r="AE527" s="99" t="n"/>
      <c r="AF527" s="99" t="n"/>
      <c r="AG527" s="99" t="n"/>
      <c r="AH527" s="99" t="n"/>
      <c r="AI527" s="99" t="n"/>
      <c r="AJ527" s="99" t="n"/>
      <c r="AK527" s="99" t="n"/>
      <c r="AL527" s="99" t="n"/>
      <c r="AM527" s="99" t="n"/>
      <c r="AN527" s="99" t="n"/>
      <c r="AO527" s="99" t="n"/>
      <c r="AP527" s="99" t="n"/>
      <c r="AQ527" s="99" t="n"/>
      <c r="AR527" s="99" t="n"/>
    </row>
    <row r="528">
      <c r="D528" s="99" t="n"/>
      <c r="E528" s="99" t="n"/>
      <c r="F528" s="99" t="n"/>
      <c r="G528" s="99" t="n"/>
      <c r="H528" s="99" t="n"/>
      <c r="I528" s="99" t="n"/>
      <c r="J528" s="99" t="n"/>
      <c r="K528" s="99" t="n"/>
      <c r="L528" s="99" t="n"/>
      <c r="M528" s="99" t="n"/>
      <c r="N528" s="99" t="n"/>
      <c r="O528" s="99" t="n"/>
      <c r="P528" s="99" t="n"/>
      <c r="Q528" s="99" t="n"/>
      <c r="R528" s="99" t="n"/>
      <c r="S528" s="99" t="n"/>
      <c r="T528" s="99" t="n"/>
      <c r="U528" s="99" t="n"/>
      <c r="V528" s="99" t="n"/>
      <c r="W528" s="99" t="n"/>
      <c r="X528" s="99" t="n"/>
      <c r="Y528" s="99" t="n"/>
      <c r="Z528" s="99" t="n"/>
      <c r="AA528" s="99" t="n"/>
      <c r="AB528" s="99" t="n"/>
      <c r="AC528" s="99" t="n"/>
      <c r="AD528" s="99" t="n"/>
      <c r="AE528" s="99" t="n"/>
      <c r="AF528" s="99" t="n"/>
      <c r="AG528" s="99" t="n"/>
      <c r="AH528" s="99" t="n"/>
      <c r="AI528" s="99" t="n"/>
      <c r="AJ528" s="99" t="n"/>
      <c r="AK528" s="99" t="n"/>
      <c r="AL528" s="99" t="n"/>
      <c r="AM528" s="99" t="n"/>
      <c r="AN528" s="99" t="n"/>
      <c r="AO528" s="99" t="n"/>
      <c r="AP528" s="99" t="n"/>
      <c r="AQ528" s="99" t="n"/>
      <c r="AR528" s="99" t="n"/>
    </row>
    <row r="529">
      <c r="D529" s="99" t="n"/>
      <c r="E529" s="99" t="n"/>
      <c r="F529" s="99" t="n"/>
      <c r="G529" s="99" t="n"/>
      <c r="H529" s="99" t="n"/>
      <c r="I529" s="99" t="n"/>
      <c r="J529" s="99" t="n"/>
      <c r="K529" s="99" t="n"/>
      <c r="L529" s="99" t="n"/>
      <c r="M529" s="99" t="n"/>
      <c r="N529" s="99" t="n"/>
      <c r="O529" s="99" t="n"/>
      <c r="P529" s="99" t="n"/>
      <c r="Q529" s="99" t="n"/>
      <c r="R529" s="99" t="n"/>
      <c r="S529" s="99" t="n"/>
      <c r="T529" s="99" t="n"/>
      <c r="U529" s="99" t="n"/>
      <c r="V529" s="99" t="n"/>
      <c r="W529" s="99" t="n"/>
      <c r="X529" s="99" t="n"/>
      <c r="Y529" s="99" t="n"/>
      <c r="Z529" s="99" t="n"/>
      <c r="AA529" s="99" t="n"/>
      <c r="AB529" s="99" t="n"/>
      <c r="AC529" s="99" t="n"/>
      <c r="AD529" s="99" t="n"/>
      <c r="AE529" s="99" t="n"/>
      <c r="AF529" s="99" t="n"/>
      <c r="AG529" s="99" t="n"/>
      <c r="AH529" s="99" t="n"/>
      <c r="AI529" s="99" t="n"/>
      <c r="AJ529" s="99" t="n"/>
      <c r="AK529" s="99" t="n"/>
      <c r="AL529" s="99" t="n"/>
      <c r="AM529" s="99" t="n"/>
      <c r="AN529" s="99" t="n"/>
      <c r="AO529" s="99" t="n"/>
      <c r="AP529" s="99" t="n"/>
      <c r="AQ529" s="99" t="n"/>
      <c r="AR529" s="99" t="n"/>
    </row>
    <row r="530">
      <c r="D530" s="99" t="n"/>
      <c r="E530" s="99" t="n"/>
      <c r="F530" s="99" t="n"/>
      <c r="G530" s="99" t="n"/>
      <c r="H530" s="99" t="n"/>
      <c r="I530" s="99" t="n"/>
      <c r="J530" s="99" t="n"/>
      <c r="K530" s="99" t="n"/>
      <c r="L530" s="99" t="n"/>
      <c r="M530" s="99" t="n"/>
      <c r="N530" s="99" t="n"/>
      <c r="O530" s="99" t="n"/>
      <c r="P530" s="99" t="n"/>
      <c r="Q530" s="99" t="n"/>
      <c r="R530" s="99" t="n"/>
      <c r="S530" s="99" t="n"/>
      <c r="T530" s="99" t="n"/>
      <c r="U530" s="99" t="n"/>
      <c r="V530" s="99" t="n"/>
      <c r="W530" s="99" t="n"/>
      <c r="X530" s="99" t="n"/>
      <c r="Y530" s="99" t="n"/>
      <c r="Z530" s="99" t="n"/>
      <c r="AA530" s="99" t="n"/>
      <c r="AB530" s="99" t="n"/>
      <c r="AC530" s="99" t="n"/>
      <c r="AD530" s="99" t="n"/>
      <c r="AE530" s="99" t="n"/>
      <c r="AF530" s="99" t="n"/>
      <c r="AG530" s="99" t="n"/>
      <c r="AH530" s="99" t="n"/>
      <c r="AI530" s="99" t="n"/>
      <c r="AJ530" s="99" t="n"/>
      <c r="AK530" s="99" t="n"/>
      <c r="AL530" s="99" t="n"/>
      <c r="AM530" s="99" t="n"/>
      <c r="AN530" s="99" t="n"/>
      <c r="AO530" s="99" t="n"/>
      <c r="AP530" s="99" t="n"/>
      <c r="AQ530" s="99" t="n"/>
      <c r="AR530" s="99" t="n"/>
    </row>
    <row r="531">
      <c r="D531" s="100" t="n"/>
      <c r="E531" s="100" t="n"/>
      <c r="F531" s="100" t="n"/>
      <c r="G531" s="100" t="n"/>
      <c r="H531" s="100" t="n"/>
      <c r="I531" s="100" t="n"/>
      <c r="J531" s="100" t="n"/>
      <c r="K531" s="100" t="n"/>
      <c r="L531" s="100" t="n"/>
      <c r="M531" s="100" t="n"/>
      <c r="N531" s="100" t="n"/>
      <c r="O531" s="100" t="n"/>
      <c r="P531" s="100" t="n"/>
      <c r="Q531" s="100" t="n"/>
      <c r="R531" s="100" t="n"/>
      <c r="S531" s="100" t="n"/>
      <c r="T531" s="100" t="n"/>
      <c r="U531" s="100" t="n"/>
      <c r="V531" s="100" t="n"/>
      <c r="W531" s="100" t="n"/>
      <c r="X531" s="100" t="n"/>
      <c r="Y531" s="100" t="n"/>
      <c r="Z531" s="100" t="n"/>
      <c r="AA531" s="100" t="n"/>
      <c r="AB531" s="100" t="n"/>
      <c r="AC531" s="100" t="n"/>
      <c r="AD531" s="100" t="n"/>
      <c r="AE531" s="100" t="n"/>
      <c r="AF531" s="100" t="n"/>
      <c r="AG531" s="100" t="n"/>
      <c r="AH531" s="100" t="n"/>
      <c r="AI531" s="100" t="n"/>
      <c r="AJ531" s="100" t="n"/>
      <c r="AK531" s="100" t="n"/>
      <c r="AL531" s="100" t="n"/>
      <c r="AM531" s="100" t="n"/>
      <c r="AN531" s="100" t="n"/>
      <c r="AO531" s="100" t="n"/>
      <c r="AP531" s="100" t="n"/>
      <c r="AQ531" s="100" t="n"/>
      <c r="AR531" s="100" t="n"/>
    </row>
    <row r="534">
      <c r="A534" s="2">
        <f>IF($A527="","","   projections")</f>
        <v/>
      </c>
      <c r="B534" s="96">
        <f>IF($A527="",0,COUNT($E535:$AR535))</f>
        <v/>
      </c>
      <c r="C534" s="97">
        <f>IF($B534=0,0,MAX($E535:$AR535))</f>
        <v/>
      </c>
      <c r="D534" s="98">
        <f>BDS($A527,FLD_PROJ,"headers=y","startcol=1","endcol=3","dir=h")</f>
        <v/>
      </c>
      <c r="E534" s="99" t="n"/>
      <c r="F534" s="99" t="n"/>
      <c r="G534" s="99" t="n"/>
      <c r="H534" s="99" t="n"/>
      <c r="I534" s="99" t="n"/>
      <c r="J534" s="99" t="n"/>
      <c r="K534" s="99" t="n"/>
      <c r="L534" s="99" t="n"/>
      <c r="M534" s="99" t="n"/>
      <c r="N534" s="99" t="n"/>
      <c r="O534" s="99" t="n"/>
      <c r="P534" s="99" t="n"/>
      <c r="Q534" s="99" t="n"/>
      <c r="R534" s="99" t="n"/>
      <c r="S534" s="99" t="n"/>
      <c r="T534" s="99" t="n"/>
      <c r="U534" s="99" t="n"/>
      <c r="V534" s="99" t="n"/>
      <c r="W534" s="99" t="n"/>
      <c r="X534" s="99" t="n"/>
      <c r="Y534" s="99" t="n"/>
      <c r="Z534" s="99" t="n"/>
      <c r="AA534" s="99" t="n"/>
      <c r="AB534" s="99" t="n"/>
      <c r="AC534" s="99" t="n"/>
      <c r="AD534" s="99" t="n"/>
      <c r="AE534" s="99" t="n"/>
      <c r="AF534" s="99" t="n"/>
      <c r="AG534" s="99" t="n"/>
      <c r="AH534" s="99" t="n"/>
      <c r="AI534" s="99" t="n"/>
      <c r="AJ534" s="99" t="n"/>
      <c r="AK534" s="99" t="n"/>
      <c r="AL534" s="99" t="n"/>
      <c r="AM534" s="99" t="n"/>
      <c r="AN534" s="99" t="n"/>
      <c r="AO534" s="99" t="n"/>
      <c r="AP534" s="99" t="n"/>
      <c r="AQ534" s="99" t="n"/>
      <c r="AR534" s="99" t="n"/>
    </row>
    <row r="535">
      <c r="D535" s="99" t="n"/>
      <c r="E535" s="99" t="n"/>
      <c r="F535" s="99" t="n"/>
      <c r="G535" s="99" t="n"/>
      <c r="H535" s="99" t="n"/>
      <c r="I535" s="99" t="n"/>
      <c r="J535" s="99" t="n"/>
      <c r="K535" s="99" t="n"/>
      <c r="L535" s="99" t="n"/>
      <c r="M535" s="99" t="n"/>
      <c r="N535" s="99" t="n"/>
      <c r="O535" s="99" t="n"/>
      <c r="P535" s="99" t="n"/>
      <c r="Q535" s="99" t="n"/>
      <c r="R535" s="99" t="n"/>
      <c r="S535" s="99" t="n"/>
      <c r="T535" s="99" t="n"/>
      <c r="U535" s="99" t="n"/>
      <c r="V535" s="99" t="n"/>
      <c r="W535" s="99" t="n"/>
      <c r="X535" s="99" t="n"/>
      <c r="Y535" s="99" t="n"/>
      <c r="Z535" s="99" t="n"/>
      <c r="AA535" s="99" t="n"/>
      <c r="AB535" s="99" t="n"/>
      <c r="AC535" s="99" t="n"/>
      <c r="AD535" s="99" t="n"/>
      <c r="AE535" s="99" t="n"/>
      <c r="AF535" s="99" t="n"/>
      <c r="AG535" s="99" t="n"/>
      <c r="AH535" s="99" t="n"/>
      <c r="AI535" s="99" t="n"/>
      <c r="AJ535" s="99" t="n"/>
      <c r="AK535" s="99" t="n"/>
      <c r="AL535" s="99" t="n"/>
      <c r="AM535" s="99" t="n"/>
      <c r="AN535" s="99" t="n"/>
      <c r="AO535" s="99" t="n"/>
      <c r="AP535" s="99" t="n"/>
      <c r="AQ535" s="99" t="n"/>
      <c r="AR535" s="99" t="n"/>
    </row>
    <row r="536">
      <c r="D536" s="100" t="n"/>
      <c r="E536" s="100" t="n"/>
      <c r="F536" s="100" t="n"/>
      <c r="G536" s="100" t="n"/>
      <c r="H536" s="100" t="n"/>
      <c r="I536" s="100" t="n"/>
      <c r="J536" s="100" t="n"/>
      <c r="K536" s="100" t="n"/>
      <c r="L536" s="100" t="n"/>
      <c r="M536" s="100" t="n"/>
      <c r="N536" s="100" t="n"/>
      <c r="O536" s="100" t="n"/>
      <c r="P536" s="100" t="n"/>
      <c r="Q536" s="100" t="n"/>
      <c r="R536" s="100" t="n"/>
      <c r="S536" s="100" t="n"/>
      <c r="T536" s="100" t="n"/>
      <c r="U536" s="100" t="n"/>
      <c r="V536" s="100" t="n"/>
      <c r="W536" s="100" t="n"/>
      <c r="X536" s="100" t="n"/>
      <c r="Y536" s="100" t="n"/>
      <c r="Z536" s="100" t="n"/>
      <c r="AA536" s="100" t="n"/>
      <c r="AB536" s="100" t="n"/>
      <c r="AC536" s="100" t="n"/>
      <c r="AD536" s="100" t="n"/>
      <c r="AE536" s="100" t="n"/>
      <c r="AF536" s="100" t="n"/>
      <c r="AG536" s="100" t="n"/>
      <c r="AH536" s="100" t="n"/>
      <c r="AI536" s="100" t="n"/>
      <c r="AJ536" s="100" t="n"/>
      <c r="AK536" s="100" t="n"/>
      <c r="AL536" s="100" t="n"/>
      <c r="AM536" s="100" t="n"/>
      <c r="AN536" s="100" t="n"/>
      <c r="AO536" s="100" t="n"/>
      <c r="AP536" s="100" t="n"/>
      <c r="AQ536" s="100" t="n"/>
      <c r="AR536" s="100" t="n"/>
    </row>
    <row r="538">
      <c r="A538" s="6">
        <f>IF(HSI!$C$55="","",HSI!$C$55)</f>
        <v/>
      </c>
      <c r="B538" s="96">
        <f>IF($A538="",0,COUNT($E539:$AR539))</f>
        <v/>
      </c>
      <c r="C538" s="97">
        <f>IF($B538=0,0,MAX($E539:$AR539))</f>
        <v/>
      </c>
      <c r="D538" s="98">
        <f>BDS($A538,FLD_HIST,"headers=y","startcol=1","endcol=7","dir=h","DVD_START_DT",HIST_FROM,"DVD_END_DT",HIST_TO)</f>
        <v/>
      </c>
      <c r="E538" s="99" t="n"/>
      <c r="F538" s="99" t="n"/>
      <c r="G538" s="99" t="n"/>
      <c r="H538" s="99" t="n"/>
      <c r="I538" s="99" t="n"/>
      <c r="J538" s="99" t="n"/>
      <c r="K538" s="99" t="n"/>
      <c r="L538" s="99" t="n"/>
      <c r="M538" s="99" t="n"/>
      <c r="N538" s="99" t="n"/>
      <c r="O538" s="99" t="n"/>
      <c r="P538" s="99" t="n"/>
      <c r="Q538" s="99" t="n"/>
      <c r="R538" s="99" t="n"/>
      <c r="S538" s="99" t="n"/>
      <c r="T538" s="99" t="n"/>
      <c r="U538" s="99" t="n"/>
      <c r="V538" s="99" t="n"/>
      <c r="W538" s="99" t="n"/>
      <c r="X538" s="99" t="n"/>
      <c r="Y538" s="99" t="n"/>
      <c r="Z538" s="99" t="n"/>
      <c r="AA538" s="99" t="n"/>
      <c r="AB538" s="99" t="n"/>
      <c r="AC538" s="99" t="n"/>
      <c r="AD538" s="99" t="n"/>
      <c r="AE538" s="99" t="n"/>
      <c r="AF538" s="99" t="n"/>
      <c r="AG538" s="99" t="n"/>
      <c r="AH538" s="99" t="n"/>
      <c r="AI538" s="99" t="n"/>
      <c r="AJ538" s="99" t="n"/>
      <c r="AK538" s="99" t="n"/>
      <c r="AL538" s="99" t="n"/>
      <c r="AM538" s="99" t="n"/>
      <c r="AN538" s="99" t="n"/>
      <c r="AO538" s="99" t="n"/>
      <c r="AP538" s="99" t="n"/>
      <c r="AQ538" s="99" t="n"/>
      <c r="AR538" s="99" t="n"/>
    </row>
    <row r="539">
      <c r="D539" s="99" t="n"/>
      <c r="E539" s="99" t="n"/>
      <c r="F539" s="99" t="n"/>
      <c r="G539" s="99" t="n"/>
      <c r="H539" s="99" t="n"/>
      <c r="I539" s="99" t="n"/>
      <c r="J539" s="99" t="n"/>
      <c r="K539" s="99" t="n"/>
      <c r="L539" s="99" t="n"/>
      <c r="M539" s="99" t="n"/>
      <c r="N539" s="99" t="n"/>
      <c r="O539" s="99" t="n"/>
      <c r="P539" s="99" t="n"/>
      <c r="Q539" s="99" t="n"/>
      <c r="R539" s="99" t="n"/>
      <c r="S539" s="99" t="n"/>
      <c r="T539" s="99" t="n"/>
      <c r="U539" s="99" t="n"/>
      <c r="V539" s="99" t="n"/>
      <c r="W539" s="99" t="n"/>
      <c r="X539" s="99" t="n"/>
      <c r="Y539" s="99" t="n"/>
      <c r="Z539" s="99" t="n"/>
      <c r="AA539" s="99" t="n"/>
      <c r="AB539" s="99" t="n"/>
      <c r="AC539" s="99" t="n"/>
      <c r="AD539" s="99" t="n"/>
      <c r="AE539" s="99" t="n"/>
      <c r="AF539" s="99" t="n"/>
      <c r="AG539" s="99" t="n"/>
      <c r="AH539" s="99" t="n"/>
      <c r="AI539" s="99" t="n"/>
      <c r="AJ539" s="99" t="n"/>
      <c r="AK539" s="99" t="n"/>
      <c r="AL539" s="99" t="n"/>
      <c r="AM539" s="99" t="n"/>
      <c r="AN539" s="99" t="n"/>
      <c r="AO539" s="99" t="n"/>
      <c r="AP539" s="99" t="n"/>
      <c r="AQ539" s="99" t="n"/>
      <c r="AR539" s="99" t="n"/>
    </row>
    <row r="540">
      <c r="D540" s="99" t="n"/>
      <c r="E540" s="99" t="n"/>
      <c r="F540" s="99" t="n"/>
      <c r="G540" s="99" t="n"/>
      <c r="H540" s="99" t="n"/>
      <c r="I540" s="99" t="n"/>
      <c r="J540" s="99" t="n"/>
      <c r="K540" s="99" t="n"/>
      <c r="L540" s="99" t="n"/>
      <c r="M540" s="99" t="n"/>
      <c r="N540" s="99" t="n"/>
      <c r="O540" s="99" t="n"/>
      <c r="P540" s="99" t="n"/>
      <c r="Q540" s="99" t="n"/>
      <c r="R540" s="99" t="n"/>
      <c r="S540" s="99" t="n"/>
      <c r="T540" s="99" t="n"/>
      <c r="U540" s="99" t="n"/>
      <c r="V540" s="99" t="n"/>
      <c r="W540" s="99" t="n"/>
      <c r="X540" s="99" t="n"/>
      <c r="Y540" s="99" t="n"/>
      <c r="Z540" s="99" t="n"/>
      <c r="AA540" s="99" t="n"/>
      <c r="AB540" s="99" t="n"/>
      <c r="AC540" s="99" t="n"/>
      <c r="AD540" s="99" t="n"/>
      <c r="AE540" s="99" t="n"/>
      <c r="AF540" s="99" t="n"/>
      <c r="AG540" s="99" t="n"/>
      <c r="AH540" s="99" t="n"/>
      <c r="AI540" s="99" t="n"/>
      <c r="AJ540" s="99" t="n"/>
      <c r="AK540" s="99" t="n"/>
      <c r="AL540" s="99" t="n"/>
      <c r="AM540" s="99" t="n"/>
      <c r="AN540" s="99" t="n"/>
      <c r="AO540" s="99" t="n"/>
      <c r="AP540" s="99" t="n"/>
      <c r="AQ540" s="99" t="n"/>
      <c r="AR540" s="99" t="n"/>
    </row>
    <row r="541">
      <c r="D541" s="99" t="n"/>
      <c r="E541" s="99" t="n"/>
      <c r="F541" s="99" t="n"/>
      <c r="G541" s="99" t="n"/>
      <c r="H541" s="99" t="n"/>
      <c r="I541" s="99" t="n"/>
      <c r="J541" s="99" t="n"/>
      <c r="K541" s="99" t="n"/>
      <c r="L541" s="99" t="n"/>
      <c r="M541" s="99" t="n"/>
      <c r="N541" s="99" t="n"/>
      <c r="O541" s="99" t="n"/>
      <c r="P541" s="99" t="n"/>
      <c r="Q541" s="99" t="n"/>
      <c r="R541" s="99" t="n"/>
      <c r="S541" s="99" t="n"/>
      <c r="T541" s="99" t="n"/>
      <c r="U541" s="99" t="n"/>
      <c r="V541" s="99" t="n"/>
      <c r="W541" s="99" t="n"/>
      <c r="X541" s="99" t="n"/>
      <c r="Y541" s="99" t="n"/>
      <c r="Z541" s="99" t="n"/>
      <c r="AA541" s="99" t="n"/>
      <c r="AB541" s="99" t="n"/>
      <c r="AC541" s="99" t="n"/>
      <c r="AD541" s="99" t="n"/>
      <c r="AE541" s="99" t="n"/>
      <c r="AF541" s="99" t="n"/>
      <c r="AG541" s="99" t="n"/>
      <c r="AH541" s="99" t="n"/>
      <c r="AI541" s="99" t="n"/>
      <c r="AJ541" s="99" t="n"/>
      <c r="AK541" s="99" t="n"/>
      <c r="AL541" s="99" t="n"/>
      <c r="AM541" s="99" t="n"/>
      <c r="AN541" s="99" t="n"/>
      <c r="AO541" s="99" t="n"/>
      <c r="AP541" s="99" t="n"/>
      <c r="AQ541" s="99" t="n"/>
      <c r="AR541" s="99" t="n"/>
    </row>
    <row r="542">
      <c r="D542" s="100" t="n"/>
      <c r="E542" s="100" t="n"/>
      <c r="F542" s="100" t="n"/>
      <c r="G542" s="100" t="n"/>
      <c r="H542" s="100" t="n"/>
      <c r="I542" s="100" t="n"/>
      <c r="J542" s="100" t="n"/>
      <c r="K542" s="100" t="n"/>
      <c r="L542" s="100" t="n"/>
      <c r="M542" s="100" t="n"/>
      <c r="N542" s="100" t="n"/>
      <c r="O542" s="100" t="n"/>
      <c r="P542" s="100" t="n"/>
      <c r="Q542" s="100" t="n"/>
      <c r="R542" s="100" t="n"/>
      <c r="S542" s="100" t="n"/>
      <c r="T542" s="100" t="n"/>
      <c r="U542" s="100" t="n"/>
      <c r="V542" s="100" t="n"/>
      <c r="W542" s="100" t="n"/>
      <c r="X542" s="100" t="n"/>
      <c r="Y542" s="100" t="n"/>
      <c r="Z542" s="100" t="n"/>
      <c r="AA542" s="100" t="n"/>
      <c r="AB542" s="100" t="n"/>
      <c r="AC542" s="100" t="n"/>
      <c r="AD542" s="100" t="n"/>
      <c r="AE542" s="100" t="n"/>
      <c r="AF542" s="100" t="n"/>
      <c r="AG542" s="100" t="n"/>
      <c r="AH542" s="100" t="n"/>
      <c r="AI542" s="100" t="n"/>
      <c r="AJ542" s="100" t="n"/>
      <c r="AK542" s="100" t="n"/>
      <c r="AL542" s="100" t="n"/>
      <c r="AM542" s="100" t="n"/>
      <c r="AN542" s="100" t="n"/>
      <c r="AO542" s="100" t="n"/>
      <c r="AP542" s="100" t="n"/>
      <c r="AQ542" s="100" t="n"/>
      <c r="AR542" s="100" t="n"/>
    </row>
    <row r="545">
      <c r="A545" s="2">
        <f>IF($A538="","","   projections")</f>
        <v/>
      </c>
      <c r="B545" s="96">
        <f>IF($A538="",0,COUNT($E546:$AR546))</f>
        <v/>
      </c>
      <c r="C545" s="97">
        <f>IF($B545=0,0,MAX($E546:$AR546))</f>
        <v/>
      </c>
      <c r="D545" s="98">
        <f>BDS($A538,FLD_PROJ,"headers=y","startcol=1","endcol=3","dir=h")</f>
        <v/>
      </c>
      <c r="E545" s="99" t="n"/>
      <c r="F545" s="99" t="n"/>
      <c r="G545" s="99" t="n"/>
      <c r="H545" s="99" t="n"/>
      <c r="I545" s="99" t="n"/>
      <c r="J545" s="99" t="n"/>
      <c r="K545" s="99" t="n"/>
      <c r="L545" s="99" t="n"/>
      <c r="M545" s="99" t="n"/>
      <c r="N545" s="99" t="n"/>
      <c r="O545" s="99" t="n"/>
      <c r="P545" s="99" t="n"/>
      <c r="Q545" s="99" t="n"/>
      <c r="R545" s="99" t="n"/>
      <c r="S545" s="99" t="n"/>
      <c r="T545" s="99" t="n"/>
      <c r="U545" s="99" t="n"/>
      <c r="V545" s="99" t="n"/>
      <c r="W545" s="99" t="n"/>
      <c r="X545" s="99" t="n"/>
      <c r="Y545" s="99" t="n"/>
      <c r="Z545" s="99" t="n"/>
      <c r="AA545" s="99" t="n"/>
      <c r="AB545" s="99" t="n"/>
      <c r="AC545" s="99" t="n"/>
      <c r="AD545" s="99" t="n"/>
      <c r="AE545" s="99" t="n"/>
      <c r="AF545" s="99" t="n"/>
      <c r="AG545" s="99" t="n"/>
      <c r="AH545" s="99" t="n"/>
      <c r="AI545" s="99" t="n"/>
      <c r="AJ545" s="99" t="n"/>
      <c r="AK545" s="99" t="n"/>
      <c r="AL545" s="99" t="n"/>
      <c r="AM545" s="99" t="n"/>
      <c r="AN545" s="99" t="n"/>
      <c r="AO545" s="99" t="n"/>
      <c r="AP545" s="99" t="n"/>
      <c r="AQ545" s="99" t="n"/>
      <c r="AR545" s="99" t="n"/>
    </row>
    <row r="546">
      <c r="D546" s="99" t="n"/>
      <c r="E546" s="99" t="n"/>
      <c r="F546" s="99" t="n"/>
      <c r="G546" s="99" t="n"/>
      <c r="H546" s="99" t="n"/>
      <c r="I546" s="99" t="n"/>
      <c r="J546" s="99" t="n"/>
      <c r="K546" s="99" t="n"/>
      <c r="L546" s="99" t="n"/>
      <c r="M546" s="99" t="n"/>
      <c r="N546" s="99" t="n"/>
      <c r="O546" s="99" t="n"/>
      <c r="P546" s="99" t="n"/>
      <c r="Q546" s="99" t="n"/>
      <c r="R546" s="99" t="n"/>
      <c r="S546" s="99" t="n"/>
      <c r="T546" s="99" t="n"/>
      <c r="U546" s="99" t="n"/>
      <c r="V546" s="99" t="n"/>
      <c r="W546" s="99" t="n"/>
      <c r="X546" s="99" t="n"/>
      <c r="Y546" s="99" t="n"/>
      <c r="Z546" s="99" t="n"/>
      <c r="AA546" s="99" t="n"/>
      <c r="AB546" s="99" t="n"/>
      <c r="AC546" s="99" t="n"/>
      <c r="AD546" s="99" t="n"/>
      <c r="AE546" s="99" t="n"/>
      <c r="AF546" s="99" t="n"/>
      <c r="AG546" s="99" t="n"/>
      <c r="AH546" s="99" t="n"/>
      <c r="AI546" s="99" t="n"/>
      <c r="AJ546" s="99" t="n"/>
      <c r="AK546" s="99" t="n"/>
      <c r="AL546" s="99" t="n"/>
      <c r="AM546" s="99" t="n"/>
      <c r="AN546" s="99" t="n"/>
      <c r="AO546" s="99" t="n"/>
      <c r="AP546" s="99" t="n"/>
      <c r="AQ546" s="99" t="n"/>
      <c r="AR546" s="99" t="n"/>
    </row>
    <row r="547">
      <c r="D547" s="100" t="n"/>
      <c r="E547" s="100" t="n"/>
      <c r="F547" s="100" t="n"/>
      <c r="G547" s="100" t="n"/>
      <c r="H547" s="100" t="n"/>
      <c r="I547" s="100" t="n"/>
      <c r="J547" s="100" t="n"/>
      <c r="K547" s="100" t="n"/>
      <c r="L547" s="100" t="n"/>
      <c r="M547" s="100" t="n"/>
      <c r="N547" s="100" t="n"/>
      <c r="O547" s="100" t="n"/>
      <c r="P547" s="100" t="n"/>
      <c r="Q547" s="100" t="n"/>
      <c r="R547" s="100" t="n"/>
      <c r="S547" s="100" t="n"/>
      <c r="T547" s="100" t="n"/>
      <c r="U547" s="100" t="n"/>
      <c r="V547" s="100" t="n"/>
      <c r="W547" s="100" t="n"/>
      <c r="X547" s="100" t="n"/>
      <c r="Y547" s="100" t="n"/>
      <c r="Z547" s="100" t="n"/>
      <c r="AA547" s="100" t="n"/>
      <c r="AB547" s="100" t="n"/>
      <c r="AC547" s="100" t="n"/>
      <c r="AD547" s="100" t="n"/>
      <c r="AE547" s="100" t="n"/>
      <c r="AF547" s="100" t="n"/>
      <c r="AG547" s="100" t="n"/>
      <c r="AH547" s="100" t="n"/>
      <c r="AI547" s="100" t="n"/>
      <c r="AJ547" s="100" t="n"/>
      <c r="AK547" s="100" t="n"/>
      <c r="AL547" s="100" t="n"/>
      <c r="AM547" s="100" t="n"/>
      <c r="AN547" s="100" t="n"/>
      <c r="AO547" s="100" t="n"/>
      <c r="AP547" s="100" t="n"/>
      <c r="AQ547" s="100" t="n"/>
      <c r="AR547" s="100" t="n"/>
    </row>
    <row r="549">
      <c r="A549" s="6">
        <f>IF(HSI!$C$56="","",HSI!$C$56)</f>
        <v/>
      </c>
      <c r="B549" s="96">
        <f>IF($A549="",0,COUNT($E550:$AR550))</f>
        <v/>
      </c>
      <c r="C549" s="97">
        <f>IF($B549=0,0,MAX($E550:$AR550))</f>
        <v/>
      </c>
      <c r="D549" s="98">
        <f>BDS($A549,FLD_HIST,"headers=y","startcol=1","endcol=7","dir=h","DVD_START_DT",HIST_FROM,"DVD_END_DT",HIST_TO)</f>
        <v/>
      </c>
      <c r="E549" s="99" t="n"/>
      <c r="F549" s="99" t="n"/>
      <c r="G549" s="99" t="n"/>
      <c r="H549" s="99" t="n"/>
      <c r="I549" s="99" t="n"/>
      <c r="J549" s="99" t="n"/>
      <c r="K549" s="99" t="n"/>
      <c r="L549" s="99" t="n"/>
      <c r="M549" s="99" t="n"/>
      <c r="N549" s="99" t="n"/>
      <c r="O549" s="99" t="n"/>
      <c r="P549" s="99" t="n"/>
      <c r="Q549" s="99" t="n"/>
      <c r="R549" s="99" t="n"/>
      <c r="S549" s="99" t="n"/>
      <c r="T549" s="99" t="n"/>
      <c r="U549" s="99" t="n"/>
      <c r="V549" s="99" t="n"/>
      <c r="W549" s="99" t="n"/>
      <c r="X549" s="99" t="n"/>
      <c r="Y549" s="99" t="n"/>
      <c r="Z549" s="99" t="n"/>
      <c r="AA549" s="99" t="n"/>
      <c r="AB549" s="99" t="n"/>
      <c r="AC549" s="99" t="n"/>
      <c r="AD549" s="99" t="n"/>
      <c r="AE549" s="99" t="n"/>
      <c r="AF549" s="99" t="n"/>
      <c r="AG549" s="99" t="n"/>
      <c r="AH549" s="99" t="n"/>
      <c r="AI549" s="99" t="n"/>
      <c r="AJ549" s="99" t="n"/>
      <c r="AK549" s="99" t="n"/>
      <c r="AL549" s="99" t="n"/>
      <c r="AM549" s="99" t="n"/>
      <c r="AN549" s="99" t="n"/>
      <c r="AO549" s="99" t="n"/>
      <c r="AP549" s="99" t="n"/>
      <c r="AQ549" s="99" t="n"/>
      <c r="AR549" s="99" t="n"/>
    </row>
    <row r="550">
      <c r="D550" s="99" t="n"/>
      <c r="E550" s="99" t="n"/>
      <c r="F550" s="99" t="n"/>
      <c r="G550" s="99" t="n"/>
      <c r="H550" s="99" t="n"/>
      <c r="I550" s="99" t="n"/>
      <c r="J550" s="99" t="n"/>
      <c r="K550" s="99" t="n"/>
      <c r="L550" s="99" t="n"/>
      <c r="M550" s="99" t="n"/>
      <c r="N550" s="99" t="n"/>
      <c r="O550" s="99" t="n"/>
      <c r="P550" s="99" t="n"/>
      <c r="Q550" s="99" t="n"/>
      <c r="R550" s="99" t="n"/>
      <c r="S550" s="99" t="n"/>
      <c r="T550" s="99" t="n"/>
      <c r="U550" s="99" t="n"/>
      <c r="V550" s="99" t="n"/>
      <c r="W550" s="99" t="n"/>
      <c r="X550" s="99" t="n"/>
      <c r="Y550" s="99" t="n"/>
      <c r="Z550" s="99" t="n"/>
      <c r="AA550" s="99" t="n"/>
      <c r="AB550" s="99" t="n"/>
      <c r="AC550" s="99" t="n"/>
      <c r="AD550" s="99" t="n"/>
      <c r="AE550" s="99" t="n"/>
      <c r="AF550" s="99" t="n"/>
      <c r="AG550" s="99" t="n"/>
      <c r="AH550" s="99" t="n"/>
      <c r="AI550" s="99" t="n"/>
      <c r="AJ550" s="99" t="n"/>
      <c r="AK550" s="99" t="n"/>
      <c r="AL550" s="99" t="n"/>
      <c r="AM550" s="99" t="n"/>
      <c r="AN550" s="99" t="n"/>
      <c r="AO550" s="99" t="n"/>
      <c r="AP550" s="99" t="n"/>
      <c r="AQ550" s="99" t="n"/>
      <c r="AR550" s="99" t="n"/>
    </row>
    <row r="551">
      <c r="D551" s="99" t="n"/>
      <c r="E551" s="99" t="n"/>
      <c r="F551" s="99" t="n"/>
      <c r="G551" s="99" t="n"/>
      <c r="H551" s="99" t="n"/>
      <c r="I551" s="99" t="n"/>
      <c r="J551" s="99" t="n"/>
      <c r="K551" s="99" t="n"/>
      <c r="L551" s="99" t="n"/>
      <c r="M551" s="99" t="n"/>
      <c r="N551" s="99" t="n"/>
      <c r="O551" s="99" t="n"/>
      <c r="P551" s="99" t="n"/>
      <c r="Q551" s="99" t="n"/>
      <c r="R551" s="99" t="n"/>
      <c r="S551" s="99" t="n"/>
      <c r="T551" s="99" t="n"/>
      <c r="U551" s="99" t="n"/>
      <c r="V551" s="99" t="n"/>
      <c r="W551" s="99" t="n"/>
      <c r="X551" s="99" t="n"/>
      <c r="Y551" s="99" t="n"/>
      <c r="Z551" s="99" t="n"/>
      <c r="AA551" s="99" t="n"/>
      <c r="AB551" s="99" t="n"/>
      <c r="AC551" s="99" t="n"/>
      <c r="AD551" s="99" t="n"/>
      <c r="AE551" s="99" t="n"/>
      <c r="AF551" s="99" t="n"/>
      <c r="AG551" s="99" t="n"/>
      <c r="AH551" s="99" t="n"/>
      <c r="AI551" s="99" t="n"/>
      <c r="AJ551" s="99" t="n"/>
      <c r="AK551" s="99" t="n"/>
      <c r="AL551" s="99" t="n"/>
      <c r="AM551" s="99" t="n"/>
      <c r="AN551" s="99" t="n"/>
      <c r="AO551" s="99" t="n"/>
      <c r="AP551" s="99" t="n"/>
      <c r="AQ551" s="99" t="n"/>
      <c r="AR551" s="99" t="n"/>
    </row>
    <row r="552">
      <c r="D552" s="99" t="n"/>
      <c r="E552" s="99" t="n"/>
      <c r="F552" s="99" t="n"/>
      <c r="G552" s="99" t="n"/>
      <c r="H552" s="99" t="n"/>
      <c r="I552" s="99" t="n"/>
      <c r="J552" s="99" t="n"/>
      <c r="K552" s="99" t="n"/>
      <c r="L552" s="99" t="n"/>
      <c r="M552" s="99" t="n"/>
      <c r="N552" s="99" t="n"/>
      <c r="O552" s="99" t="n"/>
      <c r="P552" s="99" t="n"/>
      <c r="Q552" s="99" t="n"/>
      <c r="R552" s="99" t="n"/>
      <c r="S552" s="99" t="n"/>
      <c r="T552" s="99" t="n"/>
      <c r="U552" s="99" t="n"/>
      <c r="V552" s="99" t="n"/>
      <c r="W552" s="99" t="n"/>
      <c r="X552" s="99" t="n"/>
      <c r="Y552" s="99" t="n"/>
      <c r="Z552" s="99" t="n"/>
      <c r="AA552" s="99" t="n"/>
      <c r="AB552" s="99" t="n"/>
      <c r="AC552" s="99" t="n"/>
      <c r="AD552" s="99" t="n"/>
      <c r="AE552" s="99" t="n"/>
      <c r="AF552" s="99" t="n"/>
      <c r="AG552" s="99" t="n"/>
      <c r="AH552" s="99" t="n"/>
      <c r="AI552" s="99" t="n"/>
      <c r="AJ552" s="99" t="n"/>
      <c r="AK552" s="99" t="n"/>
      <c r="AL552" s="99" t="n"/>
      <c r="AM552" s="99" t="n"/>
      <c r="AN552" s="99" t="n"/>
      <c r="AO552" s="99" t="n"/>
      <c r="AP552" s="99" t="n"/>
      <c r="AQ552" s="99" t="n"/>
      <c r="AR552" s="99" t="n"/>
    </row>
    <row r="553">
      <c r="D553" s="100" t="n"/>
      <c r="E553" s="100" t="n"/>
      <c r="F553" s="100" t="n"/>
      <c r="G553" s="100" t="n"/>
      <c r="H553" s="100" t="n"/>
      <c r="I553" s="100" t="n"/>
      <c r="J553" s="100" t="n"/>
      <c r="K553" s="100" t="n"/>
      <c r="L553" s="100" t="n"/>
      <c r="M553" s="100" t="n"/>
      <c r="N553" s="100" t="n"/>
      <c r="O553" s="100" t="n"/>
      <c r="P553" s="100" t="n"/>
      <c r="Q553" s="100" t="n"/>
      <c r="R553" s="100" t="n"/>
      <c r="S553" s="100" t="n"/>
      <c r="T553" s="100" t="n"/>
      <c r="U553" s="100" t="n"/>
      <c r="V553" s="100" t="n"/>
      <c r="W553" s="100" t="n"/>
      <c r="X553" s="100" t="n"/>
      <c r="Y553" s="100" t="n"/>
      <c r="Z553" s="100" t="n"/>
      <c r="AA553" s="100" t="n"/>
      <c r="AB553" s="100" t="n"/>
      <c r="AC553" s="100" t="n"/>
      <c r="AD553" s="100" t="n"/>
      <c r="AE553" s="100" t="n"/>
      <c r="AF553" s="100" t="n"/>
      <c r="AG553" s="100" t="n"/>
      <c r="AH553" s="100" t="n"/>
      <c r="AI553" s="100" t="n"/>
      <c r="AJ553" s="100" t="n"/>
      <c r="AK553" s="100" t="n"/>
      <c r="AL553" s="100" t="n"/>
      <c r="AM553" s="100" t="n"/>
      <c r="AN553" s="100" t="n"/>
      <c r="AO553" s="100" t="n"/>
      <c r="AP553" s="100" t="n"/>
      <c r="AQ553" s="100" t="n"/>
      <c r="AR553" s="100" t="n"/>
    </row>
    <row r="556">
      <c r="A556" s="2">
        <f>IF($A549="","","   projections")</f>
        <v/>
      </c>
      <c r="B556" s="96">
        <f>IF($A549="",0,COUNT($E557:$AR557))</f>
        <v/>
      </c>
      <c r="C556" s="97">
        <f>IF($B556=0,0,MAX($E557:$AR557))</f>
        <v/>
      </c>
      <c r="D556" s="98">
        <f>BDS($A549,FLD_PROJ,"headers=y","startcol=1","endcol=3","dir=h")</f>
        <v/>
      </c>
      <c r="E556" s="99" t="n"/>
      <c r="F556" s="99" t="n"/>
      <c r="G556" s="99" t="n"/>
      <c r="H556" s="99" t="n"/>
      <c r="I556" s="99" t="n"/>
      <c r="J556" s="99" t="n"/>
      <c r="K556" s="99" t="n"/>
      <c r="L556" s="99" t="n"/>
      <c r="M556" s="99" t="n"/>
      <c r="N556" s="99" t="n"/>
      <c r="O556" s="99" t="n"/>
      <c r="P556" s="99" t="n"/>
      <c r="Q556" s="99" t="n"/>
      <c r="R556" s="99" t="n"/>
      <c r="S556" s="99" t="n"/>
      <c r="T556" s="99" t="n"/>
      <c r="U556" s="99" t="n"/>
      <c r="V556" s="99" t="n"/>
      <c r="W556" s="99" t="n"/>
      <c r="X556" s="99" t="n"/>
      <c r="Y556" s="99" t="n"/>
      <c r="Z556" s="99" t="n"/>
      <c r="AA556" s="99" t="n"/>
      <c r="AB556" s="99" t="n"/>
      <c r="AC556" s="99" t="n"/>
      <c r="AD556" s="99" t="n"/>
      <c r="AE556" s="99" t="n"/>
      <c r="AF556" s="99" t="n"/>
      <c r="AG556" s="99" t="n"/>
      <c r="AH556" s="99" t="n"/>
      <c r="AI556" s="99" t="n"/>
      <c r="AJ556" s="99" t="n"/>
      <c r="AK556" s="99" t="n"/>
      <c r="AL556" s="99" t="n"/>
      <c r="AM556" s="99" t="n"/>
      <c r="AN556" s="99" t="n"/>
      <c r="AO556" s="99" t="n"/>
      <c r="AP556" s="99" t="n"/>
      <c r="AQ556" s="99" t="n"/>
      <c r="AR556" s="99" t="n"/>
    </row>
    <row r="557">
      <c r="D557" s="99" t="n"/>
      <c r="E557" s="99" t="n"/>
      <c r="F557" s="99" t="n"/>
      <c r="G557" s="99" t="n"/>
      <c r="H557" s="99" t="n"/>
      <c r="I557" s="99" t="n"/>
      <c r="J557" s="99" t="n"/>
      <c r="K557" s="99" t="n"/>
      <c r="L557" s="99" t="n"/>
      <c r="M557" s="99" t="n"/>
      <c r="N557" s="99" t="n"/>
      <c r="O557" s="99" t="n"/>
      <c r="P557" s="99" t="n"/>
      <c r="Q557" s="99" t="n"/>
      <c r="R557" s="99" t="n"/>
      <c r="S557" s="99" t="n"/>
      <c r="T557" s="99" t="n"/>
      <c r="U557" s="99" t="n"/>
      <c r="V557" s="99" t="n"/>
      <c r="W557" s="99" t="n"/>
      <c r="X557" s="99" t="n"/>
      <c r="Y557" s="99" t="n"/>
      <c r="Z557" s="99" t="n"/>
      <c r="AA557" s="99" t="n"/>
      <c r="AB557" s="99" t="n"/>
      <c r="AC557" s="99" t="n"/>
      <c r="AD557" s="99" t="n"/>
      <c r="AE557" s="99" t="n"/>
      <c r="AF557" s="99" t="n"/>
      <c r="AG557" s="99" t="n"/>
      <c r="AH557" s="99" t="n"/>
      <c r="AI557" s="99" t="n"/>
      <c r="AJ557" s="99" t="n"/>
      <c r="AK557" s="99" t="n"/>
      <c r="AL557" s="99" t="n"/>
      <c r="AM557" s="99" t="n"/>
      <c r="AN557" s="99" t="n"/>
      <c r="AO557" s="99" t="n"/>
      <c r="AP557" s="99" t="n"/>
      <c r="AQ557" s="99" t="n"/>
      <c r="AR557" s="99" t="n"/>
    </row>
    <row r="558">
      <c r="D558" s="100" t="n"/>
      <c r="E558" s="100" t="n"/>
      <c r="F558" s="100" t="n"/>
      <c r="G558" s="100" t="n"/>
      <c r="H558" s="100" t="n"/>
      <c r="I558" s="100" t="n"/>
      <c r="J558" s="100" t="n"/>
      <c r="K558" s="100" t="n"/>
      <c r="L558" s="100" t="n"/>
      <c r="M558" s="100" t="n"/>
      <c r="N558" s="100" t="n"/>
      <c r="O558" s="100" t="n"/>
      <c r="P558" s="100" t="n"/>
      <c r="Q558" s="100" t="n"/>
      <c r="R558" s="100" t="n"/>
      <c r="S558" s="100" t="n"/>
      <c r="T558" s="100" t="n"/>
      <c r="U558" s="100" t="n"/>
      <c r="V558" s="100" t="n"/>
      <c r="W558" s="100" t="n"/>
      <c r="X558" s="100" t="n"/>
      <c r="Y558" s="100" t="n"/>
      <c r="Z558" s="100" t="n"/>
      <c r="AA558" s="100" t="n"/>
      <c r="AB558" s="100" t="n"/>
      <c r="AC558" s="100" t="n"/>
      <c r="AD558" s="100" t="n"/>
      <c r="AE558" s="100" t="n"/>
      <c r="AF558" s="100" t="n"/>
      <c r="AG558" s="100" t="n"/>
      <c r="AH558" s="100" t="n"/>
      <c r="AI558" s="100" t="n"/>
      <c r="AJ558" s="100" t="n"/>
      <c r="AK558" s="100" t="n"/>
      <c r="AL558" s="100" t="n"/>
      <c r="AM558" s="100" t="n"/>
      <c r="AN558" s="100" t="n"/>
      <c r="AO558" s="100" t="n"/>
      <c r="AP558" s="100" t="n"/>
      <c r="AQ558" s="100" t="n"/>
      <c r="AR558" s="100" t="n"/>
    </row>
    <row r="560">
      <c r="A560" s="6">
        <f>IF(HSI!$C$57="","",HSI!$C$57)</f>
        <v/>
      </c>
      <c r="B560" s="96">
        <f>IF($A560="",0,COUNT($E561:$AR561))</f>
        <v/>
      </c>
      <c r="C560" s="97">
        <f>IF($B560=0,0,MAX($E561:$AR561))</f>
        <v/>
      </c>
      <c r="D560" s="98">
        <f>BDS($A560,FLD_HIST,"headers=y","startcol=1","endcol=7","dir=h","DVD_START_DT",HIST_FROM,"DVD_END_DT",HIST_TO)</f>
        <v/>
      </c>
      <c r="E560" s="99" t="n"/>
      <c r="F560" s="99" t="n"/>
      <c r="G560" s="99" t="n"/>
      <c r="H560" s="99" t="n"/>
      <c r="I560" s="99" t="n"/>
      <c r="J560" s="99" t="n"/>
      <c r="K560" s="99" t="n"/>
      <c r="L560" s="99" t="n"/>
      <c r="M560" s="99" t="n"/>
      <c r="N560" s="99" t="n"/>
      <c r="O560" s="99" t="n"/>
      <c r="P560" s="99" t="n"/>
      <c r="Q560" s="99" t="n"/>
      <c r="R560" s="99" t="n"/>
      <c r="S560" s="99" t="n"/>
      <c r="T560" s="99" t="n"/>
      <c r="U560" s="99" t="n"/>
      <c r="V560" s="99" t="n"/>
      <c r="W560" s="99" t="n"/>
      <c r="X560" s="99" t="n"/>
      <c r="Y560" s="99" t="n"/>
      <c r="Z560" s="99" t="n"/>
      <c r="AA560" s="99" t="n"/>
      <c r="AB560" s="99" t="n"/>
      <c r="AC560" s="99" t="n"/>
      <c r="AD560" s="99" t="n"/>
      <c r="AE560" s="99" t="n"/>
      <c r="AF560" s="99" t="n"/>
      <c r="AG560" s="99" t="n"/>
      <c r="AH560" s="99" t="n"/>
      <c r="AI560" s="99" t="n"/>
      <c r="AJ560" s="99" t="n"/>
      <c r="AK560" s="99" t="n"/>
      <c r="AL560" s="99" t="n"/>
      <c r="AM560" s="99" t="n"/>
      <c r="AN560" s="99" t="n"/>
      <c r="AO560" s="99" t="n"/>
      <c r="AP560" s="99" t="n"/>
      <c r="AQ560" s="99" t="n"/>
      <c r="AR560" s="99" t="n"/>
    </row>
    <row r="561">
      <c r="D561" s="99" t="n"/>
      <c r="E561" s="99" t="n"/>
      <c r="F561" s="99" t="n"/>
      <c r="G561" s="99" t="n"/>
      <c r="H561" s="99" t="n"/>
      <c r="I561" s="99" t="n"/>
      <c r="J561" s="99" t="n"/>
      <c r="K561" s="99" t="n"/>
      <c r="L561" s="99" t="n"/>
      <c r="M561" s="99" t="n"/>
      <c r="N561" s="99" t="n"/>
      <c r="O561" s="99" t="n"/>
      <c r="P561" s="99" t="n"/>
      <c r="Q561" s="99" t="n"/>
      <c r="R561" s="99" t="n"/>
      <c r="S561" s="99" t="n"/>
      <c r="T561" s="99" t="n"/>
      <c r="U561" s="99" t="n"/>
      <c r="V561" s="99" t="n"/>
      <c r="W561" s="99" t="n"/>
      <c r="X561" s="99" t="n"/>
      <c r="Y561" s="99" t="n"/>
      <c r="Z561" s="99" t="n"/>
      <c r="AA561" s="99" t="n"/>
      <c r="AB561" s="99" t="n"/>
      <c r="AC561" s="99" t="n"/>
      <c r="AD561" s="99" t="n"/>
      <c r="AE561" s="99" t="n"/>
      <c r="AF561" s="99" t="n"/>
      <c r="AG561" s="99" t="n"/>
      <c r="AH561" s="99" t="n"/>
      <c r="AI561" s="99" t="n"/>
      <c r="AJ561" s="99" t="n"/>
      <c r="AK561" s="99" t="n"/>
      <c r="AL561" s="99" t="n"/>
      <c r="AM561" s="99" t="n"/>
      <c r="AN561" s="99" t="n"/>
      <c r="AO561" s="99" t="n"/>
      <c r="AP561" s="99" t="n"/>
      <c r="AQ561" s="99" t="n"/>
      <c r="AR561" s="99" t="n"/>
    </row>
    <row r="562">
      <c r="D562" s="99" t="n"/>
      <c r="E562" s="99" t="n"/>
      <c r="F562" s="99" t="n"/>
      <c r="G562" s="99" t="n"/>
      <c r="H562" s="99" t="n"/>
      <c r="I562" s="99" t="n"/>
      <c r="J562" s="99" t="n"/>
      <c r="K562" s="99" t="n"/>
      <c r="L562" s="99" t="n"/>
      <c r="M562" s="99" t="n"/>
      <c r="N562" s="99" t="n"/>
      <c r="O562" s="99" t="n"/>
      <c r="P562" s="99" t="n"/>
      <c r="Q562" s="99" t="n"/>
      <c r="R562" s="99" t="n"/>
      <c r="S562" s="99" t="n"/>
      <c r="T562" s="99" t="n"/>
      <c r="U562" s="99" t="n"/>
      <c r="V562" s="99" t="n"/>
      <c r="W562" s="99" t="n"/>
      <c r="X562" s="99" t="n"/>
      <c r="Y562" s="99" t="n"/>
      <c r="Z562" s="99" t="n"/>
      <c r="AA562" s="99" t="n"/>
      <c r="AB562" s="99" t="n"/>
      <c r="AC562" s="99" t="n"/>
      <c r="AD562" s="99" t="n"/>
      <c r="AE562" s="99" t="n"/>
      <c r="AF562" s="99" t="n"/>
      <c r="AG562" s="99" t="n"/>
      <c r="AH562" s="99" t="n"/>
      <c r="AI562" s="99" t="n"/>
      <c r="AJ562" s="99" t="n"/>
      <c r="AK562" s="99" t="n"/>
      <c r="AL562" s="99" t="n"/>
      <c r="AM562" s="99" t="n"/>
      <c r="AN562" s="99" t="n"/>
      <c r="AO562" s="99" t="n"/>
      <c r="AP562" s="99" t="n"/>
      <c r="AQ562" s="99" t="n"/>
      <c r="AR562" s="99" t="n"/>
    </row>
    <row r="563">
      <c r="D563" s="99" t="n"/>
      <c r="E563" s="99" t="n"/>
      <c r="F563" s="99" t="n"/>
      <c r="G563" s="99" t="n"/>
      <c r="H563" s="99" t="n"/>
      <c r="I563" s="99" t="n"/>
      <c r="J563" s="99" t="n"/>
      <c r="K563" s="99" t="n"/>
      <c r="L563" s="99" t="n"/>
      <c r="M563" s="99" t="n"/>
      <c r="N563" s="99" t="n"/>
      <c r="O563" s="99" t="n"/>
      <c r="P563" s="99" t="n"/>
      <c r="Q563" s="99" t="n"/>
      <c r="R563" s="99" t="n"/>
      <c r="S563" s="99" t="n"/>
      <c r="T563" s="99" t="n"/>
      <c r="U563" s="99" t="n"/>
      <c r="V563" s="99" t="n"/>
      <c r="W563" s="99" t="n"/>
      <c r="X563" s="99" t="n"/>
      <c r="Y563" s="99" t="n"/>
      <c r="Z563" s="99" t="n"/>
      <c r="AA563" s="99" t="n"/>
      <c r="AB563" s="99" t="n"/>
      <c r="AC563" s="99" t="n"/>
      <c r="AD563" s="99" t="n"/>
      <c r="AE563" s="99" t="n"/>
      <c r="AF563" s="99" t="n"/>
      <c r="AG563" s="99" t="n"/>
      <c r="AH563" s="99" t="n"/>
      <c r="AI563" s="99" t="n"/>
      <c r="AJ563" s="99" t="n"/>
      <c r="AK563" s="99" t="n"/>
      <c r="AL563" s="99" t="n"/>
      <c r="AM563" s="99" t="n"/>
      <c r="AN563" s="99" t="n"/>
      <c r="AO563" s="99" t="n"/>
      <c r="AP563" s="99" t="n"/>
      <c r="AQ563" s="99" t="n"/>
      <c r="AR563" s="99" t="n"/>
    </row>
    <row r="564">
      <c r="D564" s="100" t="n"/>
      <c r="E564" s="100" t="n"/>
      <c r="F564" s="100" t="n"/>
      <c r="G564" s="100" t="n"/>
      <c r="H564" s="100" t="n"/>
      <c r="I564" s="100" t="n"/>
      <c r="J564" s="100" t="n"/>
      <c r="K564" s="100" t="n"/>
      <c r="L564" s="100" t="n"/>
      <c r="M564" s="100" t="n"/>
      <c r="N564" s="100" t="n"/>
      <c r="O564" s="100" t="n"/>
      <c r="P564" s="100" t="n"/>
      <c r="Q564" s="100" t="n"/>
      <c r="R564" s="100" t="n"/>
      <c r="S564" s="100" t="n"/>
      <c r="T564" s="100" t="n"/>
      <c r="U564" s="100" t="n"/>
      <c r="V564" s="100" t="n"/>
      <c r="W564" s="100" t="n"/>
      <c r="X564" s="100" t="n"/>
      <c r="Y564" s="100" t="n"/>
      <c r="Z564" s="100" t="n"/>
      <c r="AA564" s="100" t="n"/>
      <c r="AB564" s="100" t="n"/>
      <c r="AC564" s="100" t="n"/>
      <c r="AD564" s="100" t="n"/>
      <c r="AE564" s="100" t="n"/>
      <c r="AF564" s="100" t="n"/>
      <c r="AG564" s="100" t="n"/>
      <c r="AH564" s="100" t="n"/>
      <c r="AI564" s="100" t="n"/>
      <c r="AJ564" s="100" t="n"/>
      <c r="AK564" s="100" t="n"/>
      <c r="AL564" s="100" t="n"/>
      <c r="AM564" s="100" t="n"/>
      <c r="AN564" s="100" t="n"/>
      <c r="AO564" s="100" t="n"/>
      <c r="AP564" s="100" t="n"/>
      <c r="AQ564" s="100" t="n"/>
      <c r="AR564" s="100" t="n"/>
    </row>
    <row r="567">
      <c r="A567" s="2">
        <f>IF($A560="","","   projections")</f>
        <v/>
      </c>
      <c r="B567" s="96">
        <f>IF($A560="",0,COUNT($E568:$AR568))</f>
        <v/>
      </c>
      <c r="C567" s="97">
        <f>IF($B567=0,0,MAX($E568:$AR568))</f>
        <v/>
      </c>
      <c r="D567" s="98">
        <f>BDS($A560,FLD_PROJ,"headers=y","startcol=1","endcol=3","dir=h")</f>
        <v/>
      </c>
      <c r="E567" s="99" t="n"/>
      <c r="F567" s="99" t="n"/>
      <c r="G567" s="99" t="n"/>
      <c r="H567" s="99" t="n"/>
      <c r="I567" s="99" t="n"/>
      <c r="J567" s="99" t="n"/>
      <c r="K567" s="99" t="n"/>
      <c r="L567" s="99" t="n"/>
      <c r="M567" s="99" t="n"/>
      <c r="N567" s="99" t="n"/>
      <c r="O567" s="99" t="n"/>
      <c r="P567" s="99" t="n"/>
      <c r="Q567" s="99" t="n"/>
      <c r="R567" s="99" t="n"/>
      <c r="S567" s="99" t="n"/>
      <c r="T567" s="99" t="n"/>
      <c r="U567" s="99" t="n"/>
      <c r="V567" s="99" t="n"/>
      <c r="W567" s="99" t="n"/>
      <c r="X567" s="99" t="n"/>
      <c r="Y567" s="99" t="n"/>
      <c r="Z567" s="99" t="n"/>
      <c r="AA567" s="99" t="n"/>
      <c r="AB567" s="99" t="n"/>
      <c r="AC567" s="99" t="n"/>
      <c r="AD567" s="99" t="n"/>
      <c r="AE567" s="99" t="n"/>
      <c r="AF567" s="99" t="n"/>
      <c r="AG567" s="99" t="n"/>
      <c r="AH567" s="99" t="n"/>
      <c r="AI567" s="99" t="n"/>
      <c r="AJ567" s="99" t="n"/>
      <c r="AK567" s="99" t="n"/>
      <c r="AL567" s="99" t="n"/>
      <c r="AM567" s="99" t="n"/>
      <c r="AN567" s="99" t="n"/>
      <c r="AO567" s="99" t="n"/>
      <c r="AP567" s="99" t="n"/>
      <c r="AQ567" s="99" t="n"/>
      <c r="AR567" s="99" t="n"/>
    </row>
    <row r="568">
      <c r="D568" s="99" t="n"/>
      <c r="E568" s="99" t="n"/>
      <c r="F568" s="99" t="n"/>
      <c r="G568" s="99" t="n"/>
      <c r="H568" s="99" t="n"/>
      <c r="I568" s="99" t="n"/>
      <c r="J568" s="99" t="n"/>
      <c r="K568" s="99" t="n"/>
      <c r="L568" s="99" t="n"/>
      <c r="M568" s="99" t="n"/>
      <c r="N568" s="99" t="n"/>
      <c r="O568" s="99" t="n"/>
      <c r="P568" s="99" t="n"/>
      <c r="Q568" s="99" t="n"/>
      <c r="R568" s="99" t="n"/>
      <c r="S568" s="99" t="n"/>
      <c r="T568" s="99" t="n"/>
      <c r="U568" s="99" t="n"/>
      <c r="V568" s="99" t="n"/>
      <c r="W568" s="99" t="n"/>
      <c r="X568" s="99" t="n"/>
      <c r="Y568" s="99" t="n"/>
      <c r="Z568" s="99" t="n"/>
      <c r="AA568" s="99" t="n"/>
      <c r="AB568" s="99" t="n"/>
      <c r="AC568" s="99" t="n"/>
      <c r="AD568" s="99" t="n"/>
      <c r="AE568" s="99" t="n"/>
      <c r="AF568" s="99" t="n"/>
      <c r="AG568" s="99" t="n"/>
      <c r="AH568" s="99" t="n"/>
      <c r="AI568" s="99" t="n"/>
      <c r="AJ568" s="99" t="n"/>
      <c r="AK568" s="99" t="n"/>
      <c r="AL568" s="99" t="n"/>
      <c r="AM568" s="99" t="n"/>
      <c r="AN568" s="99" t="n"/>
      <c r="AO568" s="99" t="n"/>
      <c r="AP568" s="99" t="n"/>
      <c r="AQ568" s="99" t="n"/>
      <c r="AR568" s="99" t="n"/>
    </row>
    <row r="569">
      <c r="D569" s="100" t="n"/>
      <c r="E569" s="100" t="n"/>
      <c r="F569" s="100" t="n"/>
      <c r="G569" s="100" t="n"/>
      <c r="H569" s="100" t="n"/>
      <c r="I569" s="100" t="n"/>
      <c r="J569" s="100" t="n"/>
      <c r="K569" s="100" t="n"/>
      <c r="L569" s="100" t="n"/>
      <c r="M569" s="100" t="n"/>
      <c r="N569" s="100" t="n"/>
      <c r="O569" s="100" t="n"/>
      <c r="P569" s="100" t="n"/>
      <c r="Q569" s="100" t="n"/>
      <c r="R569" s="100" t="n"/>
      <c r="S569" s="100" t="n"/>
      <c r="T569" s="100" t="n"/>
      <c r="U569" s="100" t="n"/>
      <c r="V569" s="100" t="n"/>
      <c r="W569" s="100" t="n"/>
      <c r="X569" s="100" t="n"/>
      <c r="Y569" s="100" t="n"/>
      <c r="Z569" s="100" t="n"/>
      <c r="AA569" s="100" t="n"/>
      <c r="AB569" s="100" t="n"/>
      <c r="AC569" s="100" t="n"/>
      <c r="AD569" s="100" t="n"/>
      <c r="AE569" s="100" t="n"/>
      <c r="AF569" s="100" t="n"/>
      <c r="AG569" s="100" t="n"/>
      <c r="AH569" s="100" t="n"/>
      <c r="AI569" s="100" t="n"/>
      <c r="AJ569" s="100" t="n"/>
      <c r="AK569" s="100" t="n"/>
      <c r="AL569" s="100" t="n"/>
      <c r="AM569" s="100" t="n"/>
      <c r="AN569" s="100" t="n"/>
      <c r="AO569" s="100" t="n"/>
      <c r="AP569" s="100" t="n"/>
      <c r="AQ569" s="100" t="n"/>
      <c r="AR569" s="100" t="n"/>
    </row>
    <row r="571">
      <c r="A571" s="6">
        <f>IF(HSI!$C$58="","",HSI!$C$58)</f>
        <v/>
      </c>
      <c r="B571" s="96">
        <f>IF($A571="",0,COUNT($E572:$AR572))</f>
        <v/>
      </c>
      <c r="C571" s="97">
        <f>IF($B571=0,0,MAX($E572:$AR572))</f>
        <v/>
      </c>
      <c r="D571" s="98">
        <f>BDS($A571,FLD_HIST,"headers=y","startcol=1","endcol=7","dir=h","DVD_START_DT",HIST_FROM,"DVD_END_DT",HIST_TO)</f>
        <v/>
      </c>
      <c r="E571" s="99" t="n"/>
      <c r="F571" s="99" t="n"/>
      <c r="G571" s="99" t="n"/>
      <c r="H571" s="99" t="n"/>
      <c r="I571" s="99" t="n"/>
      <c r="J571" s="99" t="n"/>
      <c r="K571" s="99" t="n"/>
      <c r="L571" s="99" t="n"/>
      <c r="M571" s="99" t="n"/>
      <c r="N571" s="99" t="n"/>
      <c r="O571" s="99" t="n"/>
      <c r="P571" s="99" t="n"/>
      <c r="Q571" s="99" t="n"/>
      <c r="R571" s="99" t="n"/>
      <c r="S571" s="99" t="n"/>
      <c r="T571" s="99" t="n"/>
      <c r="U571" s="99" t="n"/>
      <c r="V571" s="99" t="n"/>
      <c r="W571" s="99" t="n"/>
      <c r="X571" s="99" t="n"/>
      <c r="Y571" s="99" t="n"/>
      <c r="Z571" s="99" t="n"/>
      <c r="AA571" s="99" t="n"/>
      <c r="AB571" s="99" t="n"/>
      <c r="AC571" s="99" t="n"/>
      <c r="AD571" s="99" t="n"/>
      <c r="AE571" s="99" t="n"/>
      <c r="AF571" s="99" t="n"/>
      <c r="AG571" s="99" t="n"/>
      <c r="AH571" s="99" t="n"/>
      <c r="AI571" s="99" t="n"/>
      <c r="AJ571" s="99" t="n"/>
      <c r="AK571" s="99" t="n"/>
      <c r="AL571" s="99" t="n"/>
      <c r="AM571" s="99" t="n"/>
      <c r="AN571" s="99" t="n"/>
      <c r="AO571" s="99" t="n"/>
      <c r="AP571" s="99" t="n"/>
      <c r="AQ571" s="99" t="n"/>
      <c r="AR571" s="99" t="n"/>
    </row>
    <row r="572">
      <c r="D572" s="99" t="n"/>
      <c r="E572" s="99" t="n"/>
      <c r="F572" s="99" t="n"/>
      <c r="G572" s="99" t="n"/>
      <c r="H572" s="99" t="n"/>
      <c r="I572" s="99" t="n"/>
      <c r="J572" s="99" t="n"/>
      <c r="K572" s="99" t="n"/>
      <c r="L572" s="99" t="n"/>
      <c r="M572" s="99" t="n"/>
      <c r="N572" s="99" t="n"/>
      <c r="O572" s="99" t="n"/>
      <c r="P572" s="99" t="n"/>
      <c r="Q572" s="99" t="n"/>
      <c r="R572" s="99" t="n"/>
      <c r="S572" s="99" t="n"/>
      <c r="T572" s="99" t="n"/>
      <c r="U572" s="99" t="n"/>
      <c r="V572" s="99" t="n"/>
      <c r="W572" s="99" t="n"/>
      <c r="X572" s="99" t="n"/>
      <c r="Y572" s="99" t="n"/>
      <c r="Z572" s="99" t="n"/>
      <c r="AA572" s="99" t="n"/>
      <c r="AB572" s="99" t="n"/>
      <c r="AC572" s="99" t="n"/>
      <c r="AD572" s="99" t="n"/>
      <c r="AE572" s="99" t="n"/>
      <c r="AF572" s="99" t="n"/>
      <c r="AG572" s="99" t="n"/>
      <c r="AH572" s="99" t="n"/>
      <c r="AI572" s="99" t="n"/>
      <c r="AJ572" s="99" t="n"/>
      <c r="AK572" s="99" t="n"/>
      <c r="AL572" s="99" t="n"/>
      <c r="AM572" s="99" t="n"/>
      <c r="AN572" s="99" t="n"/>
      <c r="AO572" s="99" t="n"/>
      <c r="AP572" s="99" t="n"/>
      <c r="AQ572" s="99" t="n"/>
      <c r="AR572" s="99" t="n"/>
    </row>
    <row r="573">
      <c r="D573" s="99" t="n"/>
      <c r="E573" s="99" t="n"/>
      <c r="F573" s="99" t="n"/>
      <c r="G573" s="99" t="n"/>
      <c r="H573" s="99" t="n"/>
      <c r="I573" s="99" t="n"/>
      <c r="J573" s="99" t="n"/>
      <c r="K573" s="99" t="n"/>
      <c r="L573" s="99" t="n"/>
      <c r="M573" s="99" t="n"/>
      <c r="N573" s="99" t="n"/>
      <c r="O573" s="99" t="n"/>
      <c r="P573" s="99" t="n"/>
      <c r="Q573" s="99" t="n"/>
      <c r="R573" s="99" t="n"/>
      <c r="S573" s="99" t="n"/>
      <c r="T573" s="99" t="n"/>
      <c r="U573" s="99" t="n"/>
      <c r="V573" s="99" t="n"/>
      <c r="W573" s="99" t="n"/>
      <c r="X573" s="99" t="n"/>
      <c r="Y573" s="99" t="n"/>
      <c r="Z573" s="99" t="n"/>
      <c r="AA573" s="99" t="n"/>
      <c r="AB573" s="99" t="n"/>
      <c r="AC573" s="99" t="n"/>
      <c r="AD573" s="99" t="n"/>
      <c r="AE573" s="99" t="n"/>
      <c r="AF573" s="99" t="n"/>
      <c r="AG573" s="99" t="n"/>
      <c r="AH573" s="99" t="n"/>
      <c r="AI573" s="99" t="n"/>
      <c r="AJ573" s="99" t="n"/>
      <c r="AK573" s="99" t="n"/>
      <c r="AL573" s="99" t="n"/>
      <c r="AM573" s="99" t="n"/>
      <c r="AN573" s="99" t="n"/>
      <c r="AO573" s="99" t="n"/>
      <c r="AP573" s="99" t="n"/>
      <c r="AQ573" s="99" t="n"/>
      <c r="AR573" s="99" t="n"/>
    </row>
    <row r="574">
      <c r="D574" s="99" t="n"/>
      <c r="E574" s="99" t="n"/>
      <c r="F574" s="99" t="n"/>
      <c r="G574" s="99" t="n"/>
      <c r="H574" s="99" t="n"/>
      <c r="I574" s="99" t="n"/>
      <c r="J574" s="99" t="n"/>
      <c r="K574" s="99" t="n"/>
      <c r="L574" s="99" t="n"/>
      <c r="M574" s="99" t="n"/>
      <c r="N574" s="99" t="n"/>
      <c r="O574" s="99" t="n"/>
      <c r="P574" s="99" t="n"/>
      <c r="Q574" s="99" t="n"/>
      <c r="R574" s="99" t="n"/>
      <c r="S574" s="99" t="n"/>
      <c r="T574" s="99" t="n"/>
      <c r="U574" s="99" t="n"/>
      <c r="V574" s="99" t="n"/>
      <c r="W574" s="99" t="n"/>
      <c r="X574" s="99" t="n"/>
      <c r="Y574" s="99" t="n"/>
      <c r="Z574" s="99" t="n"/>
      <c r="AA574" s="99" t="n"/>
      <c r="AB574" s="99" t="n"/>
      <c r="AC574" s="99" t="n"/>
      <c r="AD574" s="99" t="n"/>
      <c r="AE574" s="99" t="n"/>
      <c r="AF574" s="99" t="n"/>
      <c r="AG574" s="99" t="n"/>
      <c r="AH574" s="99" t="n"/>
      <c r="AI574" s="99" t="n"/>
      <c r="AJ574" s="99" t="n"/>
      <c r="AK574" s="99" t="n"/>
      <c r="AL574" s="99" t="n"/>
      <c r="AM574" s="99" t="n"/>
      <c r="AN574" s="99" t="n"/>
      <c r="AO574" s="99" t="n"/>
      <c r="AP574" s="99" t="n"/>
      <c r="AQ574" s="99" t="n"/>
      <c r="AR574" s="99" t="n"/>
    </row>
    <row r="575">
      <c r="D575" s="100" t="n"/>
      <c r="E575" s="100" t="n"/>
      <c r="F575" s="100" t="n"/>
      <c r="G575" s="100" t="n"/>
      <c r="H575" s="100" t="n"/>
      <c r="I575" s="100" t="n"/>
      <c r="J575" s="100" t="n"/>
      <c r="K575" s="100" t="n"/>
      <c r="L575" s="100" t="n"/>
      <c r="M575" s="100" t="n"/>
      <c r="N575" s="100" t="n"/>
      <c r="O575" s="100" t="n"/>
      <c r="P575" s="100" t="n"/>
      <c r="Q575" s="100" t="n"/>
      <c r="R575" s="100" t="n"/>
      <c r="S575" s="100" t="n"/>
      <c r="T575" s="100" t="n"/>
      <c r="U575" s="100" t="n"/>
      <c r="V575" s="100" t="n"/>
      <c r="W575" s="100" t="n"/>
      <c r="X575" s="100" t="n"/>
      <c r="Y575" s="100" t="n"/>
      <c r="Z575" s="100" t="n"/>
      <c r="AA575" s="100" t="n"/>
      <c r="AB575" s="100" t="n"/>
      <c r="AC575" s="100" t="n"/>
      <c r="AD575" s="100" t="n"/>
      <c r="AE575" s="100" t="n"/>
      <c r="AF575" s="100" t="n"/>
      <c r="AG575" s="100" t="n"/>
      <c r="AH575" s="100" t="n"/>
      <c r="AI575" s="100" t="n"/>
      <c r="AJ575" s="100" t="n"/>
      <c r="AK575" s="100" t="n"/>
      <c r="AL575" s="100" t="n"/>
      <c r="AM575" s="100" t="n"/>
      <c r="AN575" s="100" t="n"/>
      <c r="AO575" s="100" t="n"/>
      <c r="AP575" s="100" t="n"/>
      <c r="AQ575" s="100" t="n"/>
      <c r="AR575" s="100" t="n"/>
    </row>
    <row r="578">
      <c r="A578" s="2">
        <f>IF($A571="","","   projections")</f>
        <v/>
      </c>
      <c r="B578" s="96">
        <f>IF($A571="",0,COUNT($E579:$AR579))</f>
        <v/>
      </c>
      <c r="C578" s="97">
        <f>IF($B578=0,0,MAX($E579:$AR579))</f>
        <v/>
      </c>
      <c r="D578" s="98">
        <f>BDS($A571,FLD_PROJ,"headers=y","startcol=1","endcol=3","dir=h")</f>
        <v/>
      </c>
      <c r="E578" s="99" t="n"/>
      <c r="F578" s="99" t="n"/>
      <c r="G578" s="99" t="n"/>
      <c r="H578" s="99" t="n"/>
      <c r="I578" s="99" t="n"/>
      <c r="J578" s="99" t="n"/>
      <c r="K578" s="99" t="n"/>
      <c r="L578" s="99" t="n"/>
      <c r="M578" s="99" t="n"/>
      <c r="N578" s="99" t="n"/>
      <c r="O578" s="99" t="n"/>
      <c r="P578" s="99" t="n"/>
      <c r="Q578" s="99" t="n"/>
      <c r="R578" s="99" t="n"/>
      <c r="S578" s="99" t="n"/>
      <c r="T578" s="99" t="n"/>
      <c r="U578" s="99" t="n"/>
      <c r="V578" s="99" t="n"/>
      <c r="W578" s="99" t="n"/>
      <c r="X578" s="99" t="n"/>
      <c r="Y578" s="99" t="n"/>
      <c r="Z578" s="99" t="n"/>
      <c r="AA578" s="99" t="n"/>
      <c r="AB578" s="99" t="n"/>
      <c r="AC578" s="99" t="n"/>
      <c r="AD578" s="99" t="n"/>
      <c r="AE578" s="99" t="n"/>
      <c r="AF578" s="99" t="n"/>
      <c r="AG578" s="99" t="n"/>
      <c r="AH578" s="99" t="n"/>
      <c r="AI578" s="99" t="n"/>
      <c r="AJ578" s="99" t="n"/>
      <c r="AK578" s="99" t="n"/>
      <c r="AL578" s="99" t="n"/>
      <c r="AM578" s="99" t="n"/>
      <c r="AN578" s="99" t="n"/>
      <c r="AO578" s="99" t="n"/>
      <c r="AP578" s="99" t="n"/>
      <c r="AQ578" s="99" t="n"/>
      <c r="AR578" s="99" t="n"/>
    </row>
    <row r="579">
      <c r="D579" s="99" t="n"/>
      <c r="E579" s="99" t="n"/>
      <c r="F579" s="99" t="n"/>
      <c r="G579" s="99" t="n"/>
      <c r="H579" s="99" t="n"/>
      <c r="I579" s="99" t="n"/>
      <c r="J579" s="99" t="n"/>
      <c r="K579" s="99" t="n"/>
      <c r="L579" s="99" t="n"/>
      <c r="M579" s="99" t="n"/>
      <c r="N579" s="99" t="n"/>
      <c r="O579" s="99" t="n"/>
      <c r="P579" s="99" t="n"/>
      <c r="Q579" s="99" t="n"/>
      <c r="R579" s="99" t="n"/>
      <c r="S579" s="99" t="n"/>
      <c r="T579" s="99" t="n"/>
      <c r="U579" s="99" t="n"/>
      <c r="V579" s="99" t="n"/>
      <c r="W579" s="99" t="n"/>
      <c r="X579" s="99" t="n"/>
      <c r="Y579" s="99" t="n"/>
      <c r="Z579" s="99" t="n"/>
      <c r="AA579" s="99" t="n"/>
      <c r="AB579" s="99" t="n"/>
      <c r="AC579" s="99" t="n"/>
      <c r="AD579" s="99" t="n"/>
      <c r="AE579" s="99" t="n"/>
      <c r="AF579" s="99" t="n"/>
      <c r="AG579" s="99" t="n"/>
      <c r="AH579" s="99" t="n"/>
      <c r="AI579" s="99" t="n"/>
      <c r="AJ579" s="99" t="n"/>
      <c r="AK579" s="99" t="n"/>
      <c r="AL579" s="99" t="n"/>
      <c r="AM579" s="99" t="n"/>
      <c r="AN579" s="99" t="n"/>
      <c r="AO579" s="99" t="n"/>
      <c r="AP579" s="99" t="n"/>
      <c r="AQ579" s="99" t="n"/>
      <c r="AR579" s="99" t="n"/>
    </row>
    <row r="580">
      <c r="D580" s="100" t="n"/>
      <c r="E580" s="100" t="n"/>
      <c r="F580" s="100" t="n"/>
      <c r="G580" s="100" t="n"/>
      <c r="H580" s="100" t="n"/>
      <c r="I580" s="100" t="n"/>
      <c r="J580" s="100" t="n"/>
      <c r="K580" s="100" t="n"/>
      <c r="L580" s="100" t="n"/>
      <c r="M580" s="100" t="n"/>
      <c r="N580" s="100" t="n"/>
      <c r="O580" s="100" t="n"/>
      <c r="P580" s="100" t="n"/>
      <c r="Q580" s="100" t="n"/>
      <c r="R580" s="100" t="n"/>
      <c r="S580" s="100" t="n"/>
      <c r="T580" s="100" t="n"/>
      <c r="U580" s="100" t="n"/>
      <c r="V580" s="100" t="n"/>
      <c r="W580" s="100" t="n"/>
      <c r="X580" s="100" t="n"/>
      <c r="Y580" s="100" t="n"/>
      <c r="Z580" s="100" t="n"/>
      <c r="AA580" s="100" t="n"/>
      <c r="AB580" s="100" t="n"/>
      <c r="AC580" s="100" t="n"/>
      <c r="AD580" s="100" t="n"/>
      <c r="AE580" s="100" t="n"/>
      <c r="AF580" s="100" t="n"/>
      <c r="AG580" s="100" t="n"/>
      <c r="AH580" s="100" t="n"/>
      <c r="AI580" s="100" t="n"/>
      <c r="AJ580" s="100" t="n"/>
      <c r="AK580" s="100" t="n"/>
      <c r="AL580" s="100" t="n"/>
      <c r="AM580" s="100" t="n"/>
      <c r="AN580" s="100" t="n"/>
      <c r="AO580" s="100" t="n"/>
      <c r="AP580" s="100" t="n"/>
      <c r="AQ580" s="100" t="n"/>
      <c r="AR580" s="100" t="n"/>
    </row>
    <row r="582">
      <c r="A582" s="6">
        <f>IF(HSI!$C$59="","",HSI!$C$59)</f>
        <v/>
      </c>
      <c r="B582" s="96">
        <f>IF($A582="",0,COUNT($E583:$AR583))</f>
        <v/>
      </c>
      <c r="C582" s="97">
        <f>IF($B582=0,0,MAX($E583:$AR583))</f>
        <v/>
      </c>
      <c r="D582" s="98">
        <f>BDS($A582,FLD_HIST,"headers=y","startcol=1","endcol=7","dir=h","DVD_START_DT",HIST_FROM,"DVD_END_DT",HIST_TO)</f>
        <v/>
      </c>
      <c r="E582" s="99" t="n"/>
      <c r="F582" s="99" t="n"/>
      <c r="G582" s="99" t="n"/>
      <c r="H582" s="99" t="n"/>
      <c r="I582" s="99" t="n"/>
      <c r="J582" s="99" t="n"/>
      <c r="K582" s="99" t="n"/>
      <c r="L582" s="99" t="n"/>
      <c r="M582" s="99" t="n"/>
      <c r="N582" s="99" t="n"/>
      <c r="O582" s="99" t="n"/>
      <c r="P582" s="99" t="n"/>
      <c r="Q582" s="99" t="n"/>
      <c r="R582" s="99" t="n"/>
      <c r="S582" s="99" t="n"/>
      <c r="T582" s="99" t="n"/>
      <c r="U582" s="99" t="n"/>
      <c r="V582" s="99" t="n"/>
      <c r="W582" s="99" t="n"/>
      <c r="X582" s="99" t="n"/>
      <c r="Y582" s="99" t="n"/>
      <c r="Z582" s="99" t="n"/>
      <c r="AA582" s="99" t="n"/>
      <c r="AB582" s="99" t="n"/>
      <c r="AC582" s="99" t="n"/>
      <c r="AD582" s="99" t="n"/>
      <c r="AE582" s="99" t="n"/>
      <c r="AF582" s="99" t="n"/>
      <c r="AG582" s="99" t="n"/>
      <c r="AH582" s="99" t="n"/>
      <c r="AI582" s="99" t="n"/>
      <c r="AJ582" s="99" t="n"/>
      <c r="AK582" s="99" t="n"/>
      <c r="AL582" s="99" t="n"/>
      <c r="AM582" s="99" t="n"/>
      <c r="AN582" s="99" t="n"/>
      <c r="AO582" s="99" t="n"/>
      <c r="AP582" s="99" t="n"/>
      <c r="AQ582" s="99" t="n"/>
      <c r="AR582" s="99" t="n"/>
    </row>
    <row r="583">
      <c r="D583" s="99" t="n"/>
      <c r="E583" s="99" t="n"/>
      <c r="F583" s="99" t="n"/>
      <c r="G583" s="99" t="n"/>
      <c r="H583" s="99" t="n"/>
      <c r="I583" s="99" t="n"/>
      <c r="J583" s="99" t="n"/>
      <c r="K583" s="99" t="n"/>
      <c r="L583" s="99" t="n"/>
      <c r="M583" s="99" t="n"/>
      <c r="N583" s="99" t="n"/>
      <c r="O583" s="99" t="n"/>
      <c r="P583" s="99" t="n"/>
      <c r="Q583" s="99" t="n"/>
      <c r="R583" s="99" t="n"/>
      <c r="S583" s="99" t="n"/>
      <c r="T583" s="99" t="n"/>
      <c r="U583" s="99" t="n"/>
      <c r="V583" s="99" t="n"/>
      <c r="W583" s="99" t="n"/>
      <c r="X583" s="99" t="n"/>
      <c r="Y583" s="99" t="n"/>
      <c r="Z583" s="99" t="n"/>
      <c r="AA583" s="99" t="n"/>
      <c r="AB583" s="99" t="n"/>
      <c r="AC583" s="99" t="n"/>
      <c r="AD583" s="99" t="n"/>
      <c r="AE583" s="99" t="n"/>
      <c r="AF583" s="99" t="n"/>
      <c r="AG583" s="99" t="n"/>
      <c r="AH583" s="99" t="n"/>
      <c r="AI583" s="99" t="n"/>
      <c r="AJ583" s="99" t="n"/>
      <c r="AK583" s="99" t="n"/>
      <c r="AL583" s="99" t="n"/>
      <c r="AM583" s="99" t="n"/>
      <c r="AN583" s="99" t="n"/>
      <c r="AO583" s="99" t="n"/>
      <c r="AP583" s="99" t="n"/>
      <c r="AQ583" s="99" t="n"/>
      <c r="AR583" s="99" t="n"/>
    </row>
    <row r="584">
      <c r="D584" s="99" t="n"/>
      <c r="E584" s="99" t="n"/>
      <c r="F584" s="99" t="n"/>
      <c r="G584" s="99" t="n"/>
      <c r="H584" s="99" t="n"/>
      <c r="I584" s="99" t="n"/>
      <c r="J584" s="99" t="n"/>
      <c r="K584" s="99" t="n"/>
      <c r="L584" s="99" t="n"/>
      <c r="M584" s="99" t="n"/>
      <c r="N584" s="99" t="n"/>
      <c r="O584" s="99" t="n"/>
      <c r="P584" s="99" t="n"/>
      <c r="Q584" s="99" t="n"/>
      <c r="R584" s="99" t="n"/>
      <c r="S584" s="99" t="n"/>
      <c r="T584" s="99" t="n"/>
      <c r="U584" s="99" t="n"/>
      <c r="V584" s="99" t="n"/>
      <c r="W584" s="99" t="n"/>
      <c r="X584" s="99" t="n"/>
      <c r="Y584" s="99" t="n"/>
      <c r="Z584" s="99" t="n"/>
      <c r="AA584" s="99" t="n"/>
      <c r="AB584" s="99" t="n"/>
      <c r="AC584" s="99" t="n"/>
      <c r="AD584" s="99" t="n"/>
      <c r="AE584" s="99" t="n"/>
      <c r="AF584" s="99" t="n"/>
      <c r="AG584" s="99" t="n"/>
      <c r="AH584" s="99" t="n"/>
      <c r="AI584" s="99" t="n"/>
      <c r="AJ584" s="99" t="n"/>
      <c r="AK584" s="99" t="n"/>
      <c r="AL584" s="99" t="n"/>
      <c r="AM584" s="99" t="n"/>
      <c r="AN584" s="99" t="n"/>
      <c r="AO584" s="99" t="n"/>
      <c r="AP584" s="99" t="n"/>
      <c r="AQ584" s="99" t="n"/>
      <c r="AR584" s="99" t="n"/>
    </row>
    <row r="585">
      <c r="D585" s="99" t="n"/>
      <c r="E585" s="99" t="n"/>
      <c r="F585" s="99" t="n"/>
      <c r="G585" s="99" t="n"/>
      <c r="H585" s="99" t="n"/>
      <c r="I585" s="99" t="n"/>
      <c r="J585" s="99" t="n"/>
      <c r="K585" s="99" t="n"/>
      <c r="L585" s="99" t="n"/>
      <c r="M585" s="99" t="n"/>
      <c r="N585" s="99" t="n"/>
      <c r="O585" s="99" t="n"/>
      <c r="P585" s="99" t="n"/>
      <c r="Q585" s="99" t="n"/>
      <c r="R585" s="99" t="n"/>
      <c r="S585" s="99" t="n"/>
      <c r="T585" s="99" t="n"/>
      <c r="U585" s="99" t="n"/>
      <c r="V585" s="99" t="n"/>
      <c r="W585" s="99" t="n"/>
      <c r="X585" s="99" t="n"/>
      <c r="Y585" s="99" t="n"/>
      <c r="Z585" s="99" t="n"/>
      <c r="AA585" s="99" t="n"/>
      <c r="AB585" s="99" t="n"/>
      <c r="AC585" s="99" t="n"/>
      <c r="AD585" s="99" t="n"/>
      <c r="AE585" s="99" t="n"/>
      <c r="AF585" s="99" t="n"/>
      <c r="AG585" s="99" t="n"/>
      <c r="AH585" s="99" t="n"/>
      <c r="AI585" s="99" t="n"/>
      <c r="AJ585" s="99" t="n"/>
      <c r="AK585" s="99" t="n"/>
      <c r="AL585" s="99" t="n"/>
      <c r="AM585" s="99" t="n"/>
      <c r="AN585" s="99" t="n"/>
      <c r="AO585" s="99" t="n"/>
      <c r="AP585" s="99" t="n"/>
      <c r="AQ585" s="99" t="n"/>
      <c r="AR585" s="99" t="n"/>
    </row>
    <row r="586">
      <c r="D586" s="100" t="n"/>
      <c r="E586" s="100" t="n"/>
      <c r="F586" s="100" t="n"/>
      <c r="G586" s="100" t="n"/>
      <c r="H586" s="100" t="n"/>
      <c r="I586" s="100" t="n"/>
      <c r="J586" s="100" t="n"/>
      <c r="K586" s="100" t="n"/>
      <c r="L586" s="100" t="n"/>
      <c r="M586" s="100" t="n"/>
      <c r="N586" s="100" t="n"/>
      <c r="O586" s="100" t="n"/>
      <c r="P586" s="100" t="n"/>
      <c r="Q586" s="100" t="n"/>
      <c r="R586" s="100" t="n"/>
      <c r="S586" s="100" t="n"/>
      <c r="T586" s="100" t="n"/>
      <c r="U586" s="100" t="n"/>
      <c r="V586" s="100" t="n"/>
      <c r="W586" s="100" t="n"/>
      <c r="X586" s="100" t="n"/>
      <c r="Y586" s="100" t="n"/>
      <c r="Z586" s="100" t="n"/>
      <c r="AA586" s="100" t="n"/>
      <c r="AB586" s="100" t="n"/>
      <c r="AC586" s="100" t="n"/>
      <c r="AD586" s="100" t="n"/>
      <c r="AE586" s="100" t="n"/>
      <c r="AF586" s="100" t="n"/>
      <c r="AG586" s="100" t="n"/>
      <c r="AH586" s="100" t="n"/>
      <c r="AI586" s="100" t="n"/>
      <c r="AJ586" s="100" t="n"/>
      <c r="AK586" s="100" t="n"/>
      <c r="AL586" s="100" t="n"/>
      <c r="AM586" s="100" t="n"/>
      <c r="AN586" s="100" t="n"/>
      <c r="AO586" s="100" t="n"/>
      <c r="AP586" s="100" t="n"/>
      <c r="AQ586" s="100" t="n"/>
      <c r="AR586" s="100" t="n"/>
    </row>
    <row r="589">
      <c r="A589" s="2">
        <f>IF($A582="","","   projections")</f>
        <v/>
      </c>
      <c r="B589" s="96">
        <f>IF($A582="",0,COUNT($E590:$AR590))</f>
        <v/>
      </c>
      <c r="C589" s="97">
        <f>IF($B589=0,0,MAX($E590:$AR590))</f>
        <v/>
      </c>
      <c r="D589" s="98">
        <f>BDS($A582,FLD_PROJ,"headers=y","startcol=1","endcol=3","dir=h")</f>
        <v/>
      </c>
      <c r="E589" s="99" t="n"/>
      <c r="F589" s="99" t="n"/>
      <c r="G589" s="99" t="n"/>
      <c r="H589" s="99" t="n"/>
      <c r="I589" s="99" t="n"/>
      <c r="J589" s="99" t="n"/>
      <c r="K589" s="99" t="n"/>
      <c r="L589" s="99" t="n"/>
      <c r="M589" s="99" t="n"/>
      <c r="N589" s="99" t="n"/>
      <c r="O589" s="99" t="n"/>
      <c r="P589" s="99" t="n"/>
      <c r="Q589" s="99" t="n"/>
      <c r="R589" s="99" t="n"/>
      <c r="S589" s="99" t="n"/>
      <c r="T589" s="99" t="n"/>
      <c r="U589" s="99" t="n"/>
      <c r="V589" s="99" t="n"/>
      <c r="W589" s="99" t="n"/>
      <c r="X589" s="99" t="n"/>
      <c r="Y589" s="99" t="n"/>
      <c r="Z589" s="99" t="n"/>
      <c r="AA589" s="99" t="n"/>
      <c r="AB589" s="99" t="n"/>
      <c r="AC589" s="99" t="n"/>
      <c r="AD589" s="99" t="n"/>
      <c r="AE589" s="99" t="n"/>
      <c r="AF589" s="99" t="n"/>
      <c r="AG589" s="99" t="n"/>
      <c r="AH589" s="99" t="n"/>
      <c r="AI589" s="99" t="n"/>
      <c r="AJ589" s="99" t="n"/>
      <c r="AK589" s="99" t="n"/>
      <c r="AL589" s="99" t="n"/>
      <c r="AM589" s="99" t="n"/>
      <c r="AN589" s="99" t="n"/>
      <c r="AO589" s="99" t="n"/>
      <c r="AP589" s="99" t="n"/>
      <c r="AQ589" s="99" t="n"/>
      <c r="AR589" s="99" t="n"/>
    </row>
    <row r="590">
      <c r="D590" s="99" t="n"/>
      <c r="E590" s="99" t="n"/>
      <c r="F590" s="99" t="n"/>
      <c r="G590" s="99" t="n"/>
      <c r="H590" s="99" t="n"/>
      <c r="I590" s="99" t="n"/>
      <c r="J590" s="99" t="n"/>
      <c r="K590" s="99" t="n"/>
      <c r="L590" s="99" t="n"/>
      <c r="M590" s="99" t="n"/>
      <c r="N590" s="99" t="n"/>
      <c r="O590" s="99" t="n"/>
      <c r="P590" s="99" t="n"/>
      <c r="Q590" s="99" t="n"/>
      <c r="R590" s="99" t="n"/>
      <c r="S590" s="99" t="n"/>
      <c r="T590" s="99" t="n"/>
      <c r="U590" s="99" t="n"/>
      <c r="V590" s="99" t="n"/>
      <c r="W590" s="99" t="n"/>
      <c r="X590" s="99" t="n"/>
      <c r="Y590" s="99" t="n"/>
      <c r="Z590" s="99" t="n"/>
      <c r="AA590" s="99" t="n"/>
      <c r="AB590" s="99" t="n"/>
      <c r="AC590" s="99" t="n"/>
      <c r="AD590" s="99" t="n"/>
      <c r="AE590" s="99" t="n"/>
      <c r="AF590" s="99" t="n"/>
      <c r="AG590" s="99" t="n"/>
      <c r="AH590" s="99" t="n"/>
      <c r="AI590" s="99" t="n"/>
      <c r="AJ590" s="99" t="n"/>
      <c r="AK590" s="99" t="n"/>
      <c r="AL590" s="99" t="n"/>
      <c r="AM590" s="99" t="n"/>
      <c r="AN590" s="99" t="n"/>
      <c r="AO590" s="99" t="n"/>
      <c r="AP590" s="99" t="n"/>
      <c r="AQ590" s="99" t="n"/>
      <c r="AR590" s="99" t="n"/>
    </row>
    <row r="591">
      <c r="D591" s="100" t="n"/>
      <c r="E591" s="100" t="n"/>
      <c r="F591" s="100" t="n"/>
      <c r="G591" s="100" t="n"/>
      <c r="H591" s="100" t="n"/>
      <c r="I591" s="100" t="n"/>
      <c r="J591" s="100" t="n"/>
      <c r="K591" s="100" t="n"/>
      <c r="L591" s="100" t="n"/>
      <c r="M591" s="100" t="n"/>
      <c r="N591" s="100" t="n"/>
      <c r="O591" s="100" t="n"/>
      <c r="P591" s="100" t="n"/>
      <c r="Q591" s="100" t="n"/>
      <c r="R591" s="100" t="n"/>
      <c r="S591" s="100" t="n"/>
      <c r="T591" s="100" t="n"/>
      <c r="U591" s="100" t="n"/>
      <c r="V591" s="100" t="n"/>
      <c r="W591" s="100" t="n"/>
      <c r="X591" s="100" t="n"/>
      <c r="Y591" s="100" t="n"/>
      <c r="Z591" s="100" t="n"/>
      <c r="AA591" s="100" t="n"/>
      <c r="AB591" s="100" t="n"/>
      <c r="AC591" s="100" t="n"/>
      <c r="AD591" s="100" t="n"/>
      <c r="AE591" s="100" t="n"/>
      <c r="AF591" s="100" t="n"/>
      <c r="AG591" s="100" t="n"/>
      <c r="AH591" s="100" t="n"/>
      <c r="AI591" s="100" t="n"/>
      <c r="AJ591" s="100" t="n"/>
      <c r="AK591" s="100" t="n"/>
      <c r="AL591" s="100" t="n"/>
      <c r="AM591" s="100" t="n"/>
      <c r="AN591" s="100" t="n"/>
      <c r="AO591" s="100" t="n"/>
      <c r="AP591" s="100" t="n"/>
      <c r="AQ591" s="100" t="n"/>
      <c r="AR591" s="100" t="n"/>
    </row>
    <row r="593">
      <c r="A593" s="6">
        <f>IF(HSI!$C$60="","",HSI!$C$60)</f>
        <v/>
      </c>
      <c r="B593" s="96">
        <f>IF($A593="",0,COUNT($E594:$AR594))</f>
        <v/>
      </c>
      <c r="C593" s="97">
        <f>IF($B593=0,0,MAX($E594:$AR594))</f>
        <v/>
      </c>
      <c r="D593" s="98">
        <f>BDS($A593,FLD_HIST,"headers=y","startcol=1","endcol=7","dir=h","DVD_START_DT",HIST_FROM,"DVD_END_DT",HIST_TO)</f>
        <v/>
      </c>
      <c r="E593" s="99" t="n"/>
      <c r="F593" s="99" t="n"/>
      <c r="G593" s="99" t="n"/>
      <c r="H593" s="99" t="n"/>
      <c r="I593" s="99" t="n"/>
      <c r="J593" s="99" t="n"/>
      <c r="K593" s="99" t="n"/>
      <c r="L593" s="99" t="n"/>
      <c r="M593" s="99" t="n"/>
      <c r="N593" s="99" t="n"/>
      <c r="O593" s="99" t="n"/>
      <c r="P593" s="99" t="n"/>
      <c r="Q593" s="99" t="n"/>
      <c r="R593" s="99" t="n"/>
      <c r="S593" s="99" t="n"/>
      <c r="T593" s="99" t="n"/>
      <c r="U593" s="99" t="n"/>
      <c r="V593" s="99" t="n"/>
      <c r="W593" s="99" t="n"/>
      <c r="X593" s="99" t="n"/>
      <c r="Y593" s="99" t="n"/>
      <c r="Z593" s="99" t="n"/>
      <c r="AA593" s="99" t="n"/>
      <c r="AB593" s="99" t="n"/>
      <c r="AC593" s="99" t="n"/>
      <c r="AD593" s="99" t="n"/>
      <c r="AE593" s="99" t="n"/>
      <c r="AF593" s="99" t="n"/>
      <c r="AG593" s="99" t="n"/>
      <c r="AH593" s="99" t="n"/>
      <c r="AI593" s="99" t="n"/>
      <c r="AJ593" s="99" t="n"/>
      <c r="AK593" s="99" t="n"/>
      <c r="AL593" s="99" t="n"/>
      <c r="AM593" s="99" t="n"/>
      <c r="AN593" s="99" t="n"/>
      <c r="AO593" s="99" t="n"/>
      <c r="AP593" s="99" t="n"/>
      <c r="AQ593" s="99" t="n"/>
      <c r="AR593" s="99" t="n"/>
    </row>
    <row r="594">
      <c r="D594" s="99" t="n"/>
      <c r="E594" s="99" t="n"/>
      <c r="F594" s="99" t="n"/>
      <c r="G594" s="99" t="n"/>
      <c r="H594" s="99" t="n"/>
      <c r="I594" s="99" t="n"/>
      <c r="J594" s="99" t="n"/>
      <c r="K594" s="99" t="n"/>
      <c r="L594" s="99" t="n"/>
      <c r="M594" s="99" t="n"/>
      <c r="N594" s="99" t="n"/>
      <c r="O594" s="99" t="n"/>
      <c r="P594" s="99" t="n"/>
      <c r="Q594" s="99" t="n"/>
      <c r="R594" s="99" t="n"/>
      <c r="S594" s="99" t="n"/>
      <c r="T594" s="99" t="n"/>
      <c r="U594" s="99" t="n"/>
      <c r="V594" s="99" t="n"/>
      <c r="W594" s="99" t="n"/>
      <c r="X594" s="99" t="n"/>
      <c r="Y594" s="99" t="n"/>
      <c r="Z594" s="99" t="n"/>
      <c r="AA594" s="99" t="n"/>
      <c r="AB594" s="99" t="n"/>
      <c r="AC594" s="99" t="n"/>
      <c r="AD594" s="99" t="n"/>
      <c r="AE594" s="99" t="n"/>
      <c r="AF594" s="99" t="n"/>
      <c r="AG594" s="99" t="n"/>
      <c r="AH594" s="99" t="n"/>
      <c r="AI594" s="99" t="n"/>
      <c r="AJ594" s="99" t="n"/>
      <c r="AK594" s="99" t="n"/>
      <c r="AL594" s="99" t="n"/>
      <c r="AM594" s="99" t="n"/>
      <c r="AN594" s="99" t="n"/>
      <c r="AO594" s="99" t="n"/>
      <c r="AP594" s="99" t="n"/>
      <c r="AQ594" s="99" t="n"/>
      <c r="AR594" s="99" t="n"/>
    </row>
    <row r="595">
      <c r="D595" s="99" t="n"/>
      <c r="E595" s="99" t="n"/>
      <c r="F595" s="99" t="n"/>
      <c r="G595" s="99" t="n"/>
      <c r="H595" s="99" t="n"/>
      <c r="I595" s="99" t="n"/>
      <c r="J595" s="99" t="n"/>
      <c r="K595" s="99" t="n"/>
      <c r="L595" s="99" t="n"/>
      <c r="M595" s="99" t="n"/>
      <c r="N595" s="99" t="n"/>
      <c r="O595" s="99" t="n"/>
      <c r="P595" s="99" t="n"/>
      <c r="Q595" s="99" t="n"/>
      <c r="R595" s="99" t="n"/>
      <c r="S595" s="99" t="n"/>
      <c r="T595" s="99" t="n"/>
      <c r="U595" s="99" t="n"/>
      <c r="V595" s="99" t="n"/>
      <c r="W595" s="99" t="n"/>
      <c r="X595" s="99" t="n"/>
      <c r="Y595" s="99" t="n"/>
      <c r="Z595" s="99" t="n"/>
      <c r="AA595" s="99" t="n"/>
      <c r="AB595" s="99" t="n"/>
      <c r="AC595" s="99" t="n"/>
      <c r="AD595" s="99" t="n"/>
      <c r="AE595" s="99" t="n"/>
      <c r="AF595" s="99" t="n"/>
      <c r="AG595" s="99" t="n"/>
      <c r="AH595" s="99" t="n"/>
      <c r="AI595" s="99" t="n"/>
      <c r="AJ595" s="99" t="n"/>
      <c r="AK595" s="99" t="n"/>
      <c r="AL595" s="99" t="n"/>
      <c r="AM595" s="99" t="n"/>
      <c r="AN595" s="99" t="n"/>
      <c r="AO595" s="99" t="n"/>
      <c r="AP595" s="99" t="n"/>
      <c r="AQ595" s="99" t="n"/>
      <c r="AR595" s="99" t="n"/>
    </row>
    <row r="596">
      <c r="D596" s="99" t="n"/>
      <c r="E596" s="99" t="n"/>
      <c r="F596" s="99" t="n"/>
      <c r="G596" s="99" t="n"/>
      <c r="H596" s="99" t="n"/>
      <c r="I596" s="99" t="n"/>
      <c r="J596" s="99" t="n"/>
      <c r="K596" s="99" t="n"/>
      <c r="L596" s="99" t="n"/>
      <c r="M596" s="99" t="n"/>
      <c r="N596" s="99" t="n"/>
      <c r="O596" s="99" t="n"/>
      <c r="P596" s="99" t="n"/>
      <c r="Q596" s="99" t="n"/>
      <c r="R596" s="99" t="n"/>
      <c r="S596" s="99" t="n"/>
      <c r="T596" s="99" t="n"/>
      <c r="U596" s="99" t="n"/>
      <c r="V596" s="99" t="n"/>
      <c r="W596" s="99" t="n"/>
      <c r="X596" s="99" t="n"/>
      <c r="Y596" s="99" t="n"/>
      <c r="Z596" s="99" t="n"/>
      <c r="AA596" s="99" t="n"/>
      <c r="AB596" s="99" t="n"/>
      <c r="AC596" s="99" t="n"/>
      <c r="AD596" s="99" t="n"/>
      <c r="AE596" s="99" t="n"/>
      <c r="AF596" s="99" t="n"/>
      <c r="AG596" s="99" t="n"/>
      <c r="AH596" s="99" t="n"/>
      <c r="AI596" s="99" t="n"/>
      <c r="AJ596" s="99" t="n"/>
      <c r="AK596" s="99" t="n"/>
      <c r="AL596" s="99" t="n"/>
      <c r="AM596" s="99" t="n"/>
      <c r="AN596" s="99" t="n"/>
      <c r="AO596" s="99" t="n"/>
      <c r="AP596" s="99" t="n"/>
      <c r="AQ596" s="99" t="n"/>
      <c r="AR596" s="99" t="n"/>
    </row>
    <row r="597">
      <c r="D597" s="100" t="n"/>
      <c r="E597" s="100" t="n"/>
      <c r="F597" s="100" t="n"/>
      <c r="G597" s="100" t="n"/>
      <c r="H597" s="100" t="n"/>
      <c r="I597" s="100" t="n"/>
      <c r="J597" s="100" t="n"/>
      <c r="K597" s="100" t="n"/>
      <c r="L597" s="100" t="n"/>
      <c r="M597" s="100" t="n"/>
      <c r="N597" s="100" t="n"/>
      <c r="O597" s="100" t="n"/>
      <c r="P597" s="100" t="n"/>
      <c r="Q597" s="100" t="n"/>
      <c r="R597" s="100" t="n"/>
      <c r="S597" s="100" t="n"/>
      <c r="T597" s="100" t="n"/>
      <c r="U597" s="100" t="n"/>
      <c r="V597" s="100" t="n"/>
      <c r="W597" s="100" t="n"/>
      <c r="X597" s="100" t="n"/>
      <c r="Y597" s="100" t="n"/>
      <c r="Z597" s="100" t="n"/>
      <c r="AA597" s="100" t="n"/>
      <c r="AB597" s="100" t="n"/>
      <c r="AC597" s="100" t="n"/>
      <c r="AD597" s="100" t="n"/>
      <c r="AE597" s="100" t="n"/>
      <c r="AF597" s="100" t="n"/>
      <c r="AG597" s="100" t="n"/>
      <c r="AH597" s="100" t="n"/>
      <c r="AI597" s="100" t="n"/>
      <c r="AJ597" s="100" t="n"/>
      <c r="AK597" s="100" t="n"/>
      <c r="AL597" s="100" t="n"/>
      <c r="AM597" s="100" t="n"/>
      <c r="AN597" s="100" t="n"/>
      <c r="AO597" s="100" t="n"/>
      <c r="AP597" s="100" t="n"/>
      <c r="AQ597" s="100" t="n"/>
      <c r="AR597" s="100" t="n"/>
    </row>
    <row r="600">
      <c r="A600" s="2">
        <f>IF($A593="","","   projections")</f>
        <v/>
      </c>
      <c r="B600" s="96">
        <f>IF($A593="",0,COUNT($E601:$AR601))</f>
        <v/>
      </c>
      <c r="C600" s="97">
        <f>IF($B600=0,0,MAX($E601:$AR601))</f>
        <v/>
      </c>
      <c r="D600" s="98">
        <f>BDS($A593,FLD_PROJ,"headers=y","startcol=1","endcol=3","dir=h")</f>
        <v/>
      </c>
      <c r="E600" s="99" t="n"/>
      <c r="F600" s="99" t="n"/>
      <c r="G600" s="99" t="n"/>
      <c r="H600" s="99" t="n"/>
      <c r="I600" s="99" t="n"/>
      <c r="J600" s="99" t="n"/>
      <c r="K600" s="99" t="n"/>
      <c r="L600" s="99" t="n"/>
      <c r="M600" s="99" t="n"/>
      <c r="N600" s="99" t="n"/>
      <c r="O600" s="99" t="n"/>
      <c r="P600" s="99" t="n"/>
      <c r="Q600" s="99" t="n"/>
      <c r="R600" s="99" t="n"/>
      <c r="S600" s="99" t="n"/>
      <c r="T600" s="99" t="n"/>
      <c r="U600" s="99" t="n"/>
      <c r="V600" s="99" t="n"/>
      <c r="W600" s="99" t="n"/>
      <c r="X600" s="99" t="n"/>
      <c r="Y600" s="99" t="n"/>
      <c r="Z600" s="99" t="n"/>
      <c r="AA600" s="99" t="n"/>
      <c r="AB600" s="99" t="n"/>
      <c r="AC600" s="99" t="n"/>
      <c r="AD600" s="99" t="n"/>
      <c r="AE600" s="99" t="n"/>
      <c r="AF600" s="99" t="n"/>
      <c r="AG600" s="99" t="n"/>
      <c r="AH600" s="99" t="n"/>
      <c r="AI600" s="99" t="n"/>
      <c r="AJ600" s="99" t="n"/>
      <c r="AK600" s="99" t="n"/>
      <c r="AL600" s="99" t="n"/>
      <c r="AM600" s="99" t="n"/>
      <c r="AN600" s="99" t="n"/>
      <c r="AO600" s="99" t="n"/>
      <c r="AP600" s="99" t="n"/>
      <c r="AQ600" s="99" t="n"/>
      <c r="AR600" s="99" t="n"/>
    </row>
    <row r="601">
      <c r="D601" s="99" t="n"/>
      <c r="E601" s="99" t="n"/>
      <c r="F601" s="99" t="n"/>
      <c r="G601" s="99" t="n"/>
      <c r="H601" s="99" t="n"/>
      <c r="I601" s="99" t="n"/>
      <c r="J601" s="99" t="n"/>
      <c r="K601" s="99" t="n"/>
      <c r="L601" s="99" t="n"/>
      <c r="M601" s="99" t="n"/>
      <c r="N601" s="99" t="n"/>
      <c r="O601" s="99" t="n"/>
      <c r="P601" s="99" t="n"/>
      <c r="Q601" s="99" t="n"/>
      <c r="R601" s="99" t="n"/>
      <c r="S601" s="99" t="n"/>
      <c r="T601" s="99" t="n"/>
      <c r="U601" s="99" t="n"/>
      <c r="V601" s="99" t="n"/>
      <c r="W601" s="99" t="n"/>
      <c r="X601" s="99" t="n"/>
      <c r="Y601" s="99" t="n"/>
      <c r="Z601" s="99" t="n"/>
      <c r="AA601" s="99" t="n"/>
      <c r="AB601" s="99" t="n"/>
      <c r="AC601" s="99" t="n"/>
      <c r="AD601" s="99" t="n"/>
      <c r="AE601" s="99" t="n"/>
      <c r="AF601" s="99" t="n"/>
      <c r="AG601" s="99" t="n"/>
      <c r="AH601" s="99" t="n"/>
      <c r="AI601" s="99" t="n"/>
      <c r="AJ601" s="99" t="n"/>
      <c r="AK601" s="99" t="n"/>
      <c r="AL601" s="99" t="n"/>
      <c r="AM601" s="99" t="n"/>
      <c r="AN601" s="99" t="n"/>
      <c r="AO601" s="99" t="n"/>
      <c r="AP601" s="99" t="n"/>
      <c r="AQ601" s="99" t="n"/>
      <c r="AR601" s="99" t="n"/>
    </row>
    <row r="602">
      <c r="D602" s="100" t="n"/>
      <c r="E602" s="100" t="n"/>
      <c r="F602" s="100" t="n"/>
      <c r="G602" s="100" t="n"/>
      <c r="H602" s="100" t="n"/>
      <c r="I602" s="100" t="n"/>
      <c r="J602" s="100" t="n"/>
      <c r="K602" s="100" t="n"/>
      <c r="L602" s="100" t="n"/>
      <c r="M602" s="100" t="n"/>
      <c r="N602" s="100" t="n"/>
      <c r="O602" s="100" t="n"/>
      <c r="P602" s="100" t="n"/>
      <c r="Q602" s="100" t="n"/>
      <c r="R602" s="100" t="n"/>
      <c r="S602" s="100" t="n"/>
      <c r="T602" s="100" t="n"/>
      <c r="U602" s="100" t="n"/>
      <c r="V602" s="100" t="n"/>
      <c r="W602" s="100" t="n"/>
      <c r="X602" s="100" t="n"/>
      <c r="Y602" s="100" t="n"/>
      <c r="Z602" s="100" t="n"/>
      <c r="AA602" s="100" t="n"/>
      <c r="AB602" s="100" t="n"/>
      <c r="AC602" s="100" t="n"/>
      <c r="AD602" s="100" t="n"/>
      <c r="AE602" s="100" t="n"/>
      <c r="AF602" s="100" t="n"/>
      <c r="AG602" s="100" t="n"/>
      <c r="AH602" s="100" t="n"/>
      <c r="AI602" s="100" t="n"/>
      <c r="AJ602" s="100" t="n"/>
      <c r="AK602" s="100" t="n"/>
      <c r="AL602" s="100" t="n"/>
      <c r="AM602" s="100" t="n"/>
      <c r="AN602" s="100" t="n"/>
      <c r="AO602" s="100" t="n"/>
      <c r="AP602" s="100" t="n"/>
      <c r="AQ602" s="100" t="n"/>
      <c r="AR602" s="100" t="n"/>
    </row>
    <row r="604">
      <c r="A604" s="6">
        <f>IF(HSI!$C$61="","",HSI!$C$61)</f>
        <v/>
      </c>
      <c r="B604" s="96">
        <f>IF($A604="",0,COUNT($E605:$AR605))</f>
        <v/>
      </c>
      <c r="C604" s="97">
        <f>IF($B604=0,0,MAX($E605:$AR605))</f>
        <v/>
      </c>
      <c r="D604" s="98">
        <f>BDS($A604,FLD_HIST,"headers=y","startcol=1","endcol=7","dir=h","DVD_START_DT",HIST_FROM,"DVD_END_DT",HIST_TO)</f>
        <v/>
      </c>
      <c r="E604" s="99" t="n"/>
      <c r="F604" s="99" t="n"/>
      <c r="G604" s="99" t="n"/>
      <c r="H604" s="99" t="n"/>
      <c r="I604" s="99" t="n"/>
      <c r="J604" s="99" t="n"/>
      <c r="K604" s="99" t="n"/>
      <c r="L604" s="99" t="n"/>
      <c r="M604" s="99" t="n"/>
      <c r="N604" s="99" t="n"/>
      <c r="O604" s="99" t="n"/>
      <c r="P604" s="99" t="n"/>
      <c r="Q604" s="99" t="n"/>
      <c r="R604" s="99" t="n"/>
      <c r="S604" s="99" t="n"/>
      <c r="T604" s="99" t="n"/>
      <c r="U604" s="99" t="n"/>
      <c r="V604" s="99" t="n"/>
      <c r="W604" s="99" t="n"/>
      <c r="X604" s="99" t="n"/>
      <c r="Y604" s="99" t="n"/>
      <c r="Z604" s="99" t="n"/>
      <c r="AA604" s="99" t="n"/>
      <c r="AB604" s="99" t="n"/>
      <c r="AC604" s="99" t="n"/>
      <c r="AD604" s="99" t="n"/>
      <c r="AE604" s="99" t="n"/>
      <c r="AF604" s="99" t="n"/>
      <c r="AG604" s="99" t="n"/>
      <c r="AH604" s="99" t="n"/>
      <c r="AI604" s="99" t="n"/>
      <c r="AJ604" s="99" t="n"/>
      <c r="AK604" s="99" t="n"/>
      <c r="AL604" s="99" t="n"/>
      <c r="AM604" s="99" t="n"/>
      <c r="AN604" s="99" t="n"/>
      <c r="AO604" s="99" t="n"/>
      <c r="AP604" s="99" t="n"/>
      <c r="AQ604" s="99" t="n"/>
      <c r="AR604" s="99" t="n"/>
    </row>
    <row r="605">
      <c r="D605" s="99" t="n"/>
      <c r="E605" s="99" t="n"/>
      <c r="F605" s="99" t="n"/>
      <c r="G605" s="99" t="n"/>
      <c r="H605" s="99" t="n"/>
      <c r="I605" s="99" t="n"/>
      <c r="J605" s="99" t="n"/>
      <c r="K605" s="99" t="n"/>
      <c r="L605" s="99" t="n"/>
      <c r="M605" s="99" t="n"/>
      <c r="N605" s="99" t="n"/>
      <c r="O605" s="99" t="n"/>
      <c r="P605" s="99" t="n"/>
      <c r="Q605" s="99" t="n"/>
      <c r="R605" s="99" t="n"/>
      <c r="S605" s="99" t="n"/>
      <c r="T605" s="99" t="n"/>
      <c r="U605" s="99" t="n"/>
      <c r="V605" s="99" t="n"/>
      <c r="W605" s="99" t="n"/>
      <c r="X605" s="99" t="n"/>
      <c r="Y605" s="99" t="n"/>
      <c r="Z605" s="99" t="n"/>
      <c r="AA605" s="99" t="n"/>
      <c r="AB605" s="99" t="n"/>
      <c r="AC605" s="99" t="n"/>
      <c r="AD605" s="99" t="n"/>
      <c r="AE605" s="99" t="n"/>
      <c r="AF605" s="99" t="n"/>
      <c r="AG605" s="99" t="n"/>
      <c r="AH605" s="99" t="n"/>
      <c r="AI605" s="99" t="n"/>
      <c r="AJ605" s="99" t="n"/>
      <c r="AK605" s="99" t="n"/>
      <c r="AL605" s="99" t="n"/>
      <c r="AM605" s="99" t="n"/>
      <c r="AN605" s="99" t="n"/>
      <c r="AO605" s="99" t="n"/>
      <c r="AP605" s="99" t="n"/>
      <c r="AQ605" s="99" t="n"/>
      <c r="AR605" s="99" t="n"/>
    </row>
    <row r="606">
      <c r="D606" s="99" t="n"/>
      <c r="E606" s="99" t="n"/>
      <c r="F606" s="99" t="n"/>
      <c r="G606" s="99" t="n"/>
      <c r="H606" s="99" t="n"/>
      <c r="I606" s="99" t="n"/>
      <c r="J606" s="99" t="n"/>
      <c r="K606" s="99" t="n"/>
      <c r="L606" s="99" t="n"/>
      <c r="M606" s="99" t="n"/>
      <c r="N606" s="99" t="n"/>
      <c r="O606" s="99" t="n"/>
      <c r="P606" s="99" t="n"/>
      <c r="Q606" s="99" t="n"/>
      <c r="R606" s="99" t="n"/>
      <c r="S606" s="99" t="n"/>
      <c r="T606" s="99" t="n"/>
      <c r="U606" s="99" t="n"/>
      <c r="V606" s="99" t="n"/>
      <c r="W606" s="99" t="n"/>
      <c r="X606" s="99" t="n"/>
      <c r="Y606" s="99" t="n"/>
      <c r="Z606" s="99" t="n"/>
      <c r="AA606" s="99" t="n"/>
      <c r="AB606" s="99" t="n"/>
      <c r="AC606" s="99" t="n"/>
      <c r="AD606" s="99" t="n"/>
      <c r="AE606" s="99" t="n"/>
      <c r="AF606" s="99" t="n"/>
      <c r="AG606" s="99" t="n"/>
      <c r="AH606" s="99" t="n"/>
      <c r="AI606" s="99" t="n"/>
      <c r="AJ606" s="99" t="n"/>
      <c r="AK606" s="99" t="n"/>
      <c r="AL606" s="99" t="n"/>
      <c r="AM606" s="99" t="n"/>
      <c r="AN606" s="99" t="n"/>
      <c r="AO606" s="99" t="n"/>
      <c r="AP606" s="99" t="n"/>
      <c r="AQ606" s="99" t="n"/>
      <c r="AR606" s="99" t="n"/>
    </row>
    <row r="607">
      <c r="D607" s="99" t="n"/>
      <c r="E607" s="99" t="n"/>
      <c r="F607" s="99" t="n"/>
      <c r="G607" s="99" t="n"/>
      <c r="H607" s="99" t="n"/>
      <c r="I607" s="99" t="n"/>
      <c r="J607" s="99" t="n"/>
      <c r="K607" s="99" t="n"/>
      <c r="L607" s="99" t="n"/>
      <c r="M607" s="99" t="n"/>
      <c r="N607" s="99" t="n"/>
      <c r="O607" s="99" t="n"/>
      <c r="P607" s="99" t="n"/>
      <c r="Q607" s="99" t="n"/>
      <c r="R607" s="99" t="n"/>
      <c r="S607" s="99" t="n"/>
      <c r="T607" s="99" t="n"/>
      <c r="U607" s="99" t="n"/>
      <c r="V607" s="99" t="n"/>
      <c r="W607" s="99" t="n"/>
      <c r="X607" s="99" t="n"/>
      <c r="Y607" s="99" t="n"/>
      <c r="Z607" s="99" t="n"/>
      <c r="AA607" s="99" t="n"/>
      <c r="AB607" s="99" t="n"/>
      <c r="AC607" s="99" t="n"/>
      <c r="AD607" s="99" t="n"/>
      <c r="AE607" s="99" t="n"/>
      <c r="AF607" s="99" t="n"/>
      <c r="AG607" s="99" t="n"/>
      <c r="AH607" s="99" t="n"/>
      <c r="AI607" s="99" t="n"/>
      <c r="AJ607" s="99" t="n"/>
      <c r="AK607" s="99" t="n"/>
      <c r="AL607" s="99" t="n"/>
      <c r="AM607" s="99" t="n"/>
      <c r="AN607" s="99" t="n"/>
      <c r="AO607" s="99" t="n"/>
      <c r="AP607" s="99" t="n"/>
      <c r="AQ607" s="99" t="n"/>
      <c r="AR607" s="99" t="n"/>
    </row>
    <row r="608">
      <c r="D608" s="100" t="n"/>
      <c r="E608" s="100" t="n"/>
      <c r="F608" s="100" t="n"/>
      <c r="G608" s="100" t="n"/>
      <c r="H608" s="100" t="n"/>
      <c r="I608" s="100" t="n"/>
      <c r="J608" s="100" t="n"/>
      <c r="K608" s="100" t="n"/>
      <c r="L608" s="100" t="n"/>
      <c r="M608" s="100" t="n"/>
      <c r="N608" s="100" t="n"/>
      <c r="O608" s="100" t="n"/>
      <c r="P608" s="100" t="n"/>
      <c r="Q608" s="100" t="n"/>
      <c r="R608" s="100" t="n"/>
      <c r="S608" s="100" t="n"/>
      <c r="T608" s="100" t="n"/>
      <c r="U608" s="100" t="n"/>
      <c r="V608" s="100" t="n"/>
      <c r="W608" s="100" t="n"/>
      <c r="X608" s="100" t="n"/>
      <c r="Y608" s="100" t="n"/>
      <c r="Z608" s="100" t="n"/>
      <c r="AA608" s="100" t="n"/>
      <c r="AB608" s="100" t="n"/>
      <c r="AC608" s="100" t="n"/>
      <c r="AD608" s="100" t="n"/>
      <c r="AE608" s="100" t="n"/>
      <c r="AF608" s="100" t="n"/>
      <c r="AG608" s="100" t="n"/>
      <c r="AH608" s="100" t="n"/>
      <c r="AI608" s="100" t="n"/>
      <c r="AJ608" s="100" t="n"/>
      <c r="AK608" s="100" t="n"/>
      <c r="AL608" s="100" t="n"/>
      <c r="AM608" s="100" t="n"/>
      <c r="AN608" s="100" t="n"/>
      <c r="AO608" s="100" t="n"/>
      <c r="AP608" s="100" t="n"/>
      <c r="AQ608" s="100" t="n"/>
      <c r="AR608" s="100" t="n"/>
    </row>
    <row r="611">
      <c r="A611" s="2">
        <f>IF($A604="","","   projections")</f>
        <v/>
      </c>
      <c r="B611" s="96">
        <f>IF($A604="",0,COUNT($E612:$AR612))</f>
        <v/>
      </c>
      <c r="C611" s="97">
        <f>IF($B611=0,0,MAX($E612:$AR612))</f>
        <v/>
      </c>
      <c r="D611" s="98">
        <f>BDS($A604,FLD_PROJ,"headers=y","startcol=1","endcol=3","dir=h")</f>
        <v/>
      </c>
      <c r="E611" s="99" t="n"/>
      <c r="F611" s="99" t="n"/>
      <c r="G611" s="99" t="n"/>
      <c r="H611" s="99" t="n"/>
      <c r="I611" s="99" t="n"/>
      <c r="J611" s="99" t="n"/>
      <c r="K611" s="99" t="n"/>
      <c r="L611" s="99" t="n"/>
      <c r="M611" s="99" t="n"/>
      <c r="N611" s="99" t="n"/>
      <c r="O611" s="99" t="n"/>
      <c r="P611" s="99" t="n"/>
      <c r="Q611" s="99" t="n"/>
      <c r="R611" s="99" t="n"/>
      <c r="S611" s="99" t="n"/>
      <c r="T611" s="99" t="n"/>
      <c r="U611" s="99" t="n"/>
      <c r="V611" s="99" t="n"/>
      <c r="W611" s="99" t="n"/>
      <c r="X611" s="99" t="n"/>
      <c r="Y611" s="99" t="n"/>
      <c r="Z611" s="99" t="n"/>
      <c r="AA611" s="99" t="n"/>
      <c r="AB611" s="99" t="n"/>
      <c r="AC611" s="99" t="n"/>
      <c r="AD611" s="99" t="n"/>
      <c r="AE611" s="99" t="n"/>
      <c r="AF611" s="99" t="n"/>
      <c r="AG611" s="99" t="n"/>
      <c r="AH611" s="99" t="n"/>
      <c r="AI611" s="99" t="n"/>
      <c r="AJ611" s="99" t="n"/>
      <c r="AK611" s="99" t="n"/>
      <c r="AL611" s="99" t="n"/>
      <c r="AM611" s="99" t="n"/>
      <c r="AN611" s="99" t="n"/>
      <c r="AO611" s="99" t="n"/>
      <c r="AP611" s="99" t="n"/>
      <c r="AQ611" s="99" t="n"/>
      <c r="AR611" s="99" t="n"/>
    </row>
    <row r="612">
      <c r="D612" s="99" t="n"/>
      <c r="E612" s="99" t="n"/>
      <c r="F612" s="99" t="n"/>
      <c r="G612" s="99" t="n"/>
      <c r="H612" s="99" t="n"/>
      <c r="I612" s="99" t="n"/>
      <c r="J612" s="99" t="n"/>
      <c r="K612" s="99" t="n"/>
      <c r="L612" s="99" t="n"/>
      <c r="M612" s="99" t="n"/>
      <c r="N612" s="99" t="n"/>
      <c r="O612" s="99" t="n"/>
      <c r="P612" s="99" t="n"/>
      <c r="Q612" s="99" t="n"/>
      <c r="R612" s="99" t="n"/>
      <c r="S612" s="99" t="n"/>
      <c r="T612" s="99" t="n"/>
      <c r="U612" s="99" t="n"/>
      <c r="V612" s="99" t="n"/>
      <c r="W612" s="99" t="n"/>
      <c r="X612" s="99" t="n"/>
      <c r="Y612" s="99" t="n"/>
      <c r="Z612" s="99" t="n"/>
      <c r="AA612" s="99" t="n"/>
      <c r="AB612" s="99" t="n"/>
      <c r="AC612" s="99" t="n"/>
      <c r="AD612" s="99" t="n"/>
      <c r="AE612" s="99" t="n"/>
      <c r="AF612" s="99" t="n"/>
      <c r="AG612" s="99" t="n"/>
      <c r="AH612" s="99" t="n"/>
      <c r="AI612" s="99" t="n"/>
      <c r="AJ612" s="99" t="n"/>
      <c r="AK612" s="99" t="n"/>
      <c r="AL612" s="99" t="n"/>
      <c r="AM612" s="99" t="n"/>
      <c r="AN612" s="99" t="n"/>
      <c r="AO612" s="99" t="n"/>
      <c r="AP612" s="99" t="n"/>
      <c r="AQ612" s="99" t="n"/>
      <c r="AR612" s="99" t="n"/>
    </row>
    <row r="613">
      <c r="D613" s="100" t="n"/>
      <c r="E613" s="100" t="n"/>
      <c r="F613" s="100" t="n"/>
      <c r="G613" s="100" t="n"/>
      <c r="H613" s="100" t="n"/>
      <c r="I613" s="100" t="n"/>
      <c r="J613" s="100" t="n"/>
      <c r="K613" s="100" t="n"/>
      <c r="L613" s="100" t="n"/>
      <c r="M613" s="100" t="n"/>
      <c r="N613" s="100" t="n"/>
      <c r="O613" s="100" t="n"/>
      <c r="P613" s="100" t="n"/>
      <c r="Q613" s="100" t="n"/>
      <c r="R613" s="100" t="n"/>
      <c r="S613" s="100" t="n"/>
      <c r="T613" s="100" t="n"/>
      <c r="U613" s="100" t="n"/>
      <c r="V613" s="100" t="n"/>
      <c r="W613" s="100" t="n"/>
      <c r="X613" s="100" t="n"/>
      <c r="Y613" s="100" t="n"/>
      <c r="Z613" s="100" t="n"/>
      <c r="AA613" s="100" t="n"/>
      <c r="AB613" s="100" t="n"/>
      <c r="AC613" s="100" t="n"/>
      <c r="AD613" s="100" t="n"/>
      <c r="AE613" s="100" t="n"/>
      <c r="AF613" s="100" t="n"/>
      <c r="AG613" s="100" t="n"/>
      <c r="AH613" s="100" t="n"/>
      <c r="AI613" s="100" t="n"/>
      <c r="AJ613" s="100" t="n"/>
      <c r="AK613" s="100" t="n"/>
      <c r="AL613" s="100" t="n"/>
      <c r="AM613" s="100" t="n"/>
      <c r="AN613" s="100" t="n"/>
      <c r="AO613" s="100" t="n"/>
      <c r="AP613" s="100" t="n"/>
      <c r="AQ613" s="100" t="n"/>
      <c r="AR613" s="100" t="n"/>
    </row>
    <row r="615">
      <c r="A615" s="6">
        <f>IF(HSI!$C$62="","",HSI!$C$62)</f>
        <v/>
      </c>
      <c r="B615" s="96">
        <f>IF($A615="",0,COUNT($E616:$AR616))</f>
        <v/>
      </c>
      <c r="C615" s="97">
        <f>IF($B615=0,0,MAX($E616:$AR616))</f>
        <v/>
      </c>
      <c r="D615" s="98">
        <f>BDS($A615,FLD_HIST,"headers=y","startcol=1","endcol=7","dir=h","DVD_START_DT",HIST_FROM,"DVD_END_DT",HIST_TO)</f>
        <v/>
      </c>
      <c r="E615" s="99" t="n"/>
      <c r="F615" s="99" t="n"/>
      <c r="G615" s="99" t="n"/>
      <c r="H615" s="99" t="n"/>
      <c r="I615" s="99" t="n"/>
      <c r="J615" s="99" t="n"/>
      <c r="K615" s="99" t="n"/>
      <c r="L615" s="99" t="n"/>
      <c r="M615" s="99" t="n"/>
      <c r="N615" s="99" t="n"/>
      <c r="O615" s="99" t="n"/>
      <c r="P615" s="99" t="n"/>
      <c r="Q615" s="99" t="n"/>
      <c r="R615" s="99" t="n"/>
      <c r="S615" s="99" t="n"/>
      <c r="T615" s="99" t="n"/>
      <c r="U615" s="99" t="n"/>
      <c r="V615" s="99" t="n"/>
      <c r="W615" s="99" t="n"/>
      <c r="X615" s="99" t="n"/>
      <c r="Y615" s="99" t="n"/>
      <c r="Z615" s="99" t="n"/>
      <c r="AA615" s="99" t="n"/>
      <c r="AB615" s="99" t="n"/>
      <c r="AC615" s="99" t="n"/>
      <c r="AD615" s="99" t="n"/>
      <c r="AE615" s="99" t="n"/>
      <c r="AF615" s="99" t="n"/>
      <c r="AG615" s="99" t="n"/>
      <c r="AH615" s="99" t="n"/>
      <c r="AI615" s="99" t="n"/>
      <c r="AJ615" s="99" t="n"/>
      <c r="AK615" s="99" t="n"/>
      <c r="AL615" s="99" t="n"/>
      <c r="AM615" s="99" t="n"/>
      <c r="AN615" s="99" t="n"/>
      <c r="AO615" s="99" t="n"/>
      <c r="AP615" s="99" t="n"/>
      <c r="AQ615" s="99" t="n"/>
      <c r="AR615" s="99" t="n"/>
    </row>
    <row r="616">
      <c r="D616" s="99" t="n"/>
      <c r="E616" s="99" t="n"/>
      <c r="F616" s="99" t="n"/>
      <c r="G616" s="99" t="n"/>
      <c r="H616" s="99" t="n"/>
      <c r="I616" s="99" t="n"/>
      <c r="J616" s="99" t="n"/>
      <c r="K616" s="99" t="n"/>
      <c r="L616" s="99" t="n"/>
      <c r="M616" s="99" t="n"/>
      <c r="N616" s="99" t="n"/>
      <c r="O616" s="99" t="n"/>
      <c r="P616" s="99" t="n"/>
      <c r="Q616" s="99" t="n"/>
      <c r="R616" s="99" t="n"/>
      <c r="S616" s="99" t="n"/>
      <c r="T616" s="99" t="n"/>
      <c r="U616" s="99" t="n"/>
      <c r="V616" s="99" t="n"/>
      <c r="W616" s="99" t="n"/>
      <c r="X616" s="99" t="n"/>
      <c r="Y616" s="99" t="n"/>
      <c r="Z616" s="99" t="n"/>
      <c r="AA616" s="99" t="n"/>
      <c r="AB616" s="99" t="n"/>
      <c r="AC616" s="99" t="n"/>
      <c r="AD616" s="99" t="n"/>
      <c r="AE616" s="99" t="n"/>
      <c r="AF616" s="99" t="n"/>
      <c r="AG616" s="99" t="n"/>
      <c r="AH616" s="99" t="n"/>
      <c r="AI616" s="99" t="n"/>
      <c r="AJ616" s="99" t="n"/>
      <c r="AK616" s="99" t="n"/>
      <c r="AL616" s="99" t="n"/>
      <c r="AM616" s="99" t="n"/>
      <c r="AN616" s="99" t="n"/>
      <c r="AO616" s="99" t="n"/>
      <c r="AP616" s="99" t="n"/>
      <c r="AQ616" s="99" t="n"/>
      <c r="AR616" s="99" t="n"/>
    </row>
    <row r="617">
      <c r="D617" s="99" t="n"/>
      <c r="E617" s="99" t="n"/>
      <c r="F617" s="99" t="n"/>
      <c r="G617" s="99" t="n"/>
      <c r="H617" s="99" t="n"/>
      <c r="I617" s="99" t="n"/>
      <c r="J617" s="99" t="n"/>
      <c r="K617" s="99" t="n"/>
      <c r="L617" s="99" t="n"/>
      <c r="M617" s="99" t="n"/>
      <c r="N617" s="99" t="n"/>
      <c r="O617" s="99" t="n"/>
      <c r="P617" s="99" t="n"/>
      <c r="Q617" s="99" t="n"/>
      <c r="R617" s="99" t="n"/>
      <c r="S617" s="99" t="n"/>
      <c r="T617" s="99" t="n"/>
      <c r="U617" s="99" t="n"/>
      <c r="V617" s="99" t="n"/>
      <c r="W617" s="99" t="n"/>
      <c r="X617" s="99" t="n"/>
      <c r="Y617" s="99" t="n"/>
      <c r="Z617" s="99" t="n"/>
      <c r="AA617" s="99" t="n"/>
      <c r="AB617" s="99" t="n"/>
      <c r="AC617" s="99" t="n"/>
      <c r="AD617" s="99" t="n"/>
      <c r="AE617" s="99" t="n"/>
      <c r="AF617" s="99" t="n"/>
      <c r="AG617" s="99" t="n"/>
      <c r="AH617" s="99" t="n"/>
      <c r="AI617" s="99" t="n"/>
      <c r="AJ617" s="99" t="n"/>
      <c r="AK617" s="99" t="n"/>
      <c r="AL617" s="99" t="n"/>
      <c r="AM617" s="99" t="n"/>
      <c r="AN617" s="99" t="n"/>
      <c r="AO617" s="99" t="n"/>
      <c r="AP617" s="99" t="n"/>
      <c r="AQ617" s="99" t="n"/>
      <c r="AR617" s="99" t="n"/>
    </row>
    <row r="618">
      <c r="D618" s="99" t="n"/>
      <c r="E618" s="99" t="n"/>
      <c r="F618" s="99" t="n"/>
      <c r="G618" s="99" t="n"/>
      <c r="H618" s="99" t="n"/>
      <c r="I618" s="99" t="n"/>
      <c r="J618" s="99" t="n"/>
      <c r="K618" s="99" t="n"/>
      <c r="L618" s="99" t="n"/>
      <c r="M618" s="99" t="n"/>
      <c r="N618" s="99" t="n"/>
      <c r="O618" s="99" t="n"/>
      <c r="P618" s="99" t="n"/>
      <c r="Q618" s="99" t="n"/>
      <c r="R618" s="99" t="n"/>
      <c r="S618" s="99" t="n"/>
      <c r="T618" s="99" t="n"/>
      <c r="U618" s="99" t="n"/>
      <c r="V618" s="99" t="n"/>
      <c r="W618" s="99" t="n"/>
      <c r="X618" s="99" t="n"/>
      <c r="Y618" s="99" t="n"/>
      <c r="Z618" s="99" t="n"/>
      <c r="AA618" s="99" t="n"/>
      <c r="AB618" s="99" t="n"/>
      <c r="AC618" s="99" t="n"/>
      <c r="AD618" s="99" t="n"/>
      <c r="AE618" s="99" t="n"/>
      <c r="AF618" s="99" t="n"/>
      <c r="AG618" s="99" t="n"/>
      <c r="AH618" s="99" t="n"/>
      <c r="AI618" s="99" t="n"/>
      <c r="AJ618" s="99" t="n"/>
      <c r="AK618" s="99" t="n"/>
      <c r="AL618" s="99" t="n"/>
      <c r="AM618" s="99" t="n"/>
      <c r="AN618" s="99" t="n"/>
      <c r="AO618" s="99" t="n"/>
      <c r="AP618" s="99" t="n"/>
      <c r="AQ618" s="99" t="n"/>
      <c r="AR618" s="99" t="n"/>
    </row>
    <row r="619">
      <c r="D619" s="100" t="n"/>
      <c r="E619" s="100" t="n"/>
      <c r="F619" s="100" t="n"/>
      <c r="G619" s="100" t="n"/>
      <c r="H619" s="100" t="n"/>
      <c r="I619" s="100" t="n"/>
      <c r="J619" s="100" t="n"/>
      <c r="K619" s="100" t="n"/>
      <c r="L619" s="100" t="n"/>
      <c r="M619" s="100" t="n"/>
      <c r="N619" s="100" t="n"/>
      <c r="O619" s="100" t="n"/>
      <c r="P619" s="100" t="n"/>
      <c r="Q619" s="100" t="n"/>
      <c r="R619" s="100" t="n"/>
      <c r="S619" s="100" t="n"/>
      <c r="T619" s="100" t="n"/>
      <c r="U619" s="100" t="n"/>
      <c r="V619" s="100" t="n"/>
      <c r="W619" s="100" t="n"/>
      <c r="X619" s="100" t="n"/>
      <c r="Y619" s="100" t="n"/>
      <c r="Z619" s="100" t="n"/>
      <c r="AA619" s="100" t="n"/>
      <c r="AB619" s="100" t="n"/>
      <c r="AC619" s="100" t="n"/>
      <c r="AD619" s="100" t="n"/>
      <c r="AE619" s="100" t="n"/>
      <c r="AF619" s="100" t="n"/>
      <c r="AG619" s="100" t="n"/>
      <c r="AH619" s="100" t="n"/>
      <c r="AI619" s="100" t="n"/>
      <c r="AJ619" s="100" t="n"/>
      <c r="AK619" s="100" t="n"/>
      <c r="AL619" s="100" t="n"/>
      <c r="AM619" s="100" t="n"/>
      <c r="AN619" s="100" t="n"/>
      <c r="AO619" s="100" t="n"/>
      <c r="AP619" s="100" t="n"/>
      <c r="AQ619" s="100" t="n"/>
      <c r="AR619" s="100" t="n"/>
    </row>
    <row r="622">
      <c r="A622" s="2">
        <f>IF($A615="","","   projections")</f>
        <v/>
      </c>
      <c r="B622" s="96">
        <f>IF($A615="",0,COUNT($E623:$AR623))</f>
        <v/>
      </c>
      <c r="C622" s="97">
        <f>IF($B622=0,0,MAX($E623:$AR623))</f>
        <v/>
      </c>
      <c r="D622" s="98">
        <f>BDS($A615,FLD_PROJ,"headers=y","startcol=1","endcol=3","dir=h")</f>
        <v/>
      </c>
      <c r="E622" s="99" t="n"/>
      <c r="F622" s="99" t="n"/>
      <c r="G622" s="99" t="n"/>
      <c r="H622" s="99" t="n"/>
      <c r="I622" s="99" t="n"/>
      <c r="J622" s="99" t="n"/>
      <c r="K622" s="99" t="n"/>
      <c r="L622" s="99" t="n"/>
      <c r="M622" s="99" t="n"/>
      <c r="N622" s="99" t="n"/>
      <c r="O622" s="99" t="n"/>
      <c r="P622" s="99" t="n"/>
      <c r="Q622" s="99" t="n"/>
      <c r="R622" s="99" t="n"/>
      <c r="S622" s="99" t="n"/>
      <c r="T622" s="99" t="n"/>
      <c r="U622" s="99" t="n"/>
      <c r="V622" s="99" t="n"/>
      <c r="W622" s="99" t="n"/>
      <c r="X622" s="99" t="n"/>
      <c r="Y622" s="99" t="n"/>
      <c r="Z622" s="99" t="n"/>
      <c r="AA622" s="99" t="n"/>
      <c r="AB622" s="99" t="n"/>
      <c r="AC622" s="99" t="n"/>
      <c r="AD622" s="99" t="n"/>
      <c r="AE622" s="99" t="n"/>
      <c r="AF622" s="99" t="n"/>
      <c r="AG622" s="99" t="n"/>
      <c r="AH622" s="99" t="n"/>
      <c r="AI622" s="99" t="n"/>
      <c r="AJ622" s="99" t="n"/>
      <c r="AK622" s="99" t="n"/>
      <c r="AL622" s="99" t="n"/>
      <c r="AM622" s="99" t="n"/>
      <c r="AN622" s="99" t="n"/>
      <c r="AO622" s="99" t="n"/>
      <c r="AP622" s="99" t="n"/>
      <c r="AQ622" s="99" t="n"/>
      <c r="AR622" s="99" t="n"/>
    </row>
    <row r="623">
      <c r="D623" s="99" t="n"/>
      <c r="E623" s="99" t="n"/>
      <c r="F623" s="99" t="n"/>
      <c r="G623" s="99" t="n"/>
      <c r="H623" s="99" t="n"/>
      <c r="I623" s="99" t="n"/>
      <c r="J623" s="99" t="n"/>
      <c r="K623" s="99" t="n"/>
      <c r="L623" s="99" t="n"/>
      <c r="M623" s="99" t="n"/>
      <c r="N623" s="99" t="n"/>
      <c r="O623" s="99" t="n"/>
      <c r="P623" s="99" t="n"/>
      <c r="Q623" s="99" t="n"/>
      <c r="R623" s="99" t="n"/>
      <c r="S623" s="99" t="n"/>
      <c r="T623" s="99" t="n"/>
      <c r="U623" s="99" t="n"/>
      <c r="V623" s="99" t="n"/>
      <c r="W623" s="99" t="n"/>
      <c r="X623" s="99" t="n"/>
      <c r="Y623" s="99" t="n"/>
      <c r="Z623" s="99" t="n"/>
      <c r="AA623" s="99" t="n"/>
      <c r="AB623" s="99" t="n"/>
      <c r="AC623" s="99" t="n"/>
      <c r="AD623" s="99" t="n"/>
      <c r="AE623" s="99" t="n"/>
      <c r="AF623" s="99" t="n"/>
      <c r="AG623" s="99" t="n"/>
      <c r="AH623" s="99" t="n"/>
      <c r="AI623" s="99" t="n"/>
      <c r="AJ623" s="99" t="n"/>
      <c r="AK623" s="99" t="n"/>
      <c r="AL623" s="99" t="n"/>
      <c r="AM623" s="99" t="n"/>
      <c r="AN623" s="99" t="n"/>
      <c r="AO623" s="99" t="n"/>
      <c r="AP623" s="99" t="n"/>
      <c r="AQ623" s="99" t="n"/>
      <c r="AR623" s="99" t="n"/>
    </row>
    <row r="624">
      <c r="D624" s="100" t="n"/>
      <c r="E624" s="100" t="n"/>
      <c r="F624" s="100" t="n"/>
      <c r="G624" s="100" t="n"/>
      <c r="H624" s="100" t="n"/>
      <c r="I624" s="100" t="n"/>
      <c r="J624" s="100" t="n"/>
      <c r="K624" s="100" t="n"/>
      <c r="L624" s="100" t="n"/>
      <c r="M624" s="100" t="n"/>
      <c r="N624" s="100" t="n"/>
      <c r="O624" s="100" t="n"/>
      <c r="P624" s="100" t="n"/>
      <c r="Q624" s="100" t="n"/>
      <c r="R624" s="100" t="n"/>
      <c r="S624" s="100" t="n"/>
      <c r="T624" s="100" t="n"/>
      <c r="U624" s="100" t="n"/>
      <c r="V624" s="100" t="n"/>
      <c r="W624" s="100" t="n"/>
      <c r="X624" s="100" t="n"/>
      <c r="Y624" s="100" t="n"/>
      <c r="Z624" s="100" t="n"/>
      <c r="AA624" s="100" t="n"/>
      <c r="AB624" s="100" t="n"/>
      <c r="AC624" s="100" t="n"/>
      <c r="AD624" s="100" t="n"/>
      <c r="AE624" s="100" t="n"/>
      <c r="AF624" s="100" t="n"/>
      <c r="AG624" s="100" t="n"/>
      <c r="AH624" s="100" t="n"/>
      <c r="AI624" s="100" t="n"/>
      <c r="AJ624" s="100" t="n"/>
      <c r="AK624" s="100" t="n"/>
      <c r="AL624" s="100" t="n"/>
      <c r="AM624" s="100" t="n"/>
      <c r="AN624" s="100" t="n"/>
      <c r="AO624" s="100" t="n"/>
      <c r="AP624" s="100" t="n"/>
      <c r="AQ624" s="100" t="n"/>
      <c r="AR624" s="100" t="n"/>
    </row>
    <row r="626">
      <c r="A626" s="6">
        <f>IF(HSI!$C$63="","",HSI!$C$63)</f>
        <v/>
      </c>
      <c r="B626" s="96">
        <f>IF($A626="",0,COUNT($E627:$AR627))</f>
        <v/>
      </c>
      <c r="C626" s="97">
        <f>IF($B626=0,0,MAX($E627:$AR627))</f>
        <v/>
      </c>
      <c r="D626" s="98">
        <f>BDS($A626,FLD_HIST,"headers=y","startcol=1","endcol=7","dir=h","DVD_START_DT",HIST_FROM,"DVD_END_DT",HIST_TO)</f>
        <v/>
      </c>
      <c r="E626" s="99" t="n"/>
      <c r="F626" s="99" t="n"/>
      <c r="G626" s="99" t="n"/>
      <c r="H626" s="99" t="n"/>
      <c r="I626" s="99" t="n"/>
      <c r="J626" s="99" t="n"/>
      <c r="K626" s="99" t="n"/>
      <c r="L626" s="99" t="n"/>
      <c r="M626" s="99" t="n"/>
      <c r="N626" s="99" t="n"/>
      <c r="O626" s="99" t="n"/>
      <c r="P626" s="99" t="n"/>
      <c r="Q626" s="99" t="n"/>
      <c r="R626" s="99" t="n"/>
      <c r="S626" s="99" t="n"/>
      <c r="T626" s="99" t="n"/>
      <c r="U626" s="99" t="n"/>
      <c r="V626" s="99" t="n"/>
      <c r="W626" s="99" t="n"/>
      <c r="X626" s="99" t="n"/>
      <c r="Y626" s="99" t="n"/>
      <c r="Z626" s="99" t="n"/>
      <c r="AA626" s="99" t="n"/>
      <c r="AB626" s="99" t="n"/>
      <c r="AC626" s="99" t="n"/>
      <c r="AD626" s="99" t="n"/>
      <c r="AE626" s="99" t="n"/>
      <c r="AF626" s="99" t="n"/>
      <c r="AG626" s="99" t="n"/>
      <c r="AH626" s="99" t="n"/>
      <c r="AI626" s="99" t="n"/>
      <c r="AJ626" s="99" t="n"/>
      <c r="AK626" s="99" t="n"/>
      <c r="AL626" s="99" t="n"/>
      <c r="AM626" s="99" t="n"/>
      <c r="AN626" s="99" t="n"/>
      <c r="AO626" s="99" t="n"/>
      <c r="AP626" s="99" t="n"/>
      <c r="AQ626" s="99" t="n"/>
      <c r="AR626" s="99" t="n"/>
    </row>
    <row r="627">
      <c r="D627" s="99" t="n"/>
      <c r="E627" s="99" t="n"/>
      <c r="F627" s="99" t="n"/>
      <c r="G627" s="99" t="n"/>
      <c r="H627" s="99" t="n"/>
      <c r="I627" s="99" t="n"/>
      <c r="J627" s="99" t="n"/>
      <c r="K627" s="99" t="n"/>
      <c r="L627" s="99" t="n"/>
      <c r="M627" s="99" t="n"/>
      <c r="N627" s="99" t="n"/>
      <c r="O627" s="99" t="n"/>
      <c r="P627" s="99" t="n"/>
      <c r="Q627" s="99" t="n"/>
      <c r="R627" s="99" t="n"/>
      <c r="S627" s="99" t="n"/>
      <c r="T627" s="99" t="n"/>
      <c r="U627" s="99" t="n"/>
      <c r="V627" s="99" t="n"/>
      <c r="W627" s="99" t="n"/>
      <c r="X627" s="99" t="n"/>
      <c r="Y627" s="99" t="n"/>
      <c r="Z627" s="99" t="n"/>
      <c r="AA627" s="99" t="n"/>
      <c r="AB627" s="99" t="n"/>
      <c r="AC627" s="99" t="n"/>
      <c r="AD627" s="99" t="n"/>
      <c r="AE627" s="99" t="n"/>
      <c r="AF627" s="99" t="n"/>
      <c r="AG627" s="99" t="n"/>
      <c r="AH627" s="99" t="n"/>
      <c r="AI627" s="99" t="n"/>
      <c r="AJ627" s="99" t="n"/>
      <c r="AK627" s="99" t="n"/>
      <c r="AL627" s="99" t="n"/>
      <c r="AM627" s="99" t="n"/>
      <c r="AN627" s="99" t="n"/>
      <c r="AO627" s="99" t="n"/>
      <c r="AP627" s="99" t="n"/>
      <c r="AQ627" s="99" t="n"/>
      <c r="AR627" s="99" t="n"/>
    </row>
    <row r="628">
      <c r="D628" s="99" t="n"/>
      <c r="E628" s="99" t="n"/>
      <c r="F628" s="99" t="n"/>
      <c r="G628" s="99" t="n"/>
      <c r="H628" s="99" t="n"/>
      <c r="I628" s="99" t="n"/>
      <c r="J628" s="99" t="n"/>
      <c r="K628" s="99" t="n"/>
      <c r="L628" s="99" t="n"/>
      <c r="M628" s="99" t="n"/>
      <c r="N628" s="99" t="n"/>
      <c r="O628" s="99" t="n"/>
      <c r="P628" s="99" t="n"/>
      <c r="Q628" s="99" t="n"/>
      <c r="R628" s="99" t="n"/>
      <c r="S628" s="99" t="n"/>
      <c r="T628" s="99" t="n"/>
      <c r="U628" s="99" t="n"/>
      <c r="V628" s="99" t="n"/>
      <c r="W628" s="99" t="n"/>
      <c r="X628" s="99" t="n"/>
      <c r="Y628" s="99" t="n"/>
      <c r="Z628" s="99" t="n"/>
      <c r="AA628" s="99" t="n"/>
      <c r="AB628" s="99" t="n"/>
      <c r="AC628" s="99" t="n"/>
      <c r="AD628" s="99" t="n"/>
      <c r="AE628" s="99" t="n"/>
      <c r="AF628" s="99" t="n"/>
      <c r="AG628" s="99" t="n"/>
      <c r="AH628" s="99" t="n"/>
      <c r="AI628" s="99" t="n"/>
      <c r="AJ628" s="99" t="n"/>
      <c r="AK628" s="99" t="n"/>
      <c r="AL628" s="99" t="n"/>
      <c r="AM628" s="99" t="n"/>
      <c r="AN628" s="99" t="n"/>
      <c r="AO628" s="99" t="n"/>
      <c r="AP628" s="99" t="n"/>
      <c r="AQ628" s="99" t="n"/>
      <c r="AR628" s="99" t="n"/>
    </row>
    <row r="629">
      <c r="D629" s="99" t="n"/>
      <c r="E629" s="99" t="n"/>
      <c r="F629" s="99" t="n"/>
      <c r="G629" s="99" t="n"/>
      <c r="H629" s="99" t="n"/>
      <c r="I629" s="99" t="n"/>
      <c r="J629" s="99" t="n"/>
      <c r="K629" s="99" t="n"/>
      <c r="L629" s="99" t="n"/>
      <c r="M629" s="99" t="n"/>
      <c r="N629" s="99" t="n"/>
      <c r="O629" s="99" t="n"/>
      <c r="P629" s="99" t="n"/>
      <c r="Q629" s="99" t="n"/>
      <c r="R629" s="99" t="n"/>
      <c r="S629" s="99" t="n"/>
      <c r="T629" s="99" t="n"/>
      <c r="U629" s="99" t="n"/>
      <c r="V629" s="99" t="n"/>
      <c r="W629" s="99" t="n"/>
      <c r="X629" s="99" t="n"/>
      <c r="Y629" s="99" t="n"/>
      <c r="Z629" s="99" t="n"/>
      <c r="AA629" s="99" t="n"/>
      <c r="AB629" s="99" t="n"/>
      <c r="AC629" s="99" t="n"/>
      <c r="AD629" s="99" t="n"/>
      <c r="AE629" s="99" t="n"/>
      <c r="AF629" s="99" t="n"/>
      <c r="AG629" s="99" t="n"/>
      <c r="AH629" s="99" t="n"/>
      <c r="AI629" s="99" t="n"/>
      <c r="AJ629" s="99" t="n"/>
      <c r="AK629" s="99" t="n"/>
      <c r="AL629" s="99" t="n"/>
      <c r="AM629" s="99" t="n"/>
      <c r="AN629" s="99" t="n"/>
      <c r="AO629" s="99" t="n"/>
      <c r="AP629" s="99" t="n"/>
      <c r="AQ629" s="99" t="n"/>
      <c r="AR629" s="99" t="n"/>
    </row>
    <row r="630">
      <c r="D630" s="100" t="n"/>
      <c r="E630" s="100" t="n"/>
      <c r="F630" s="100" t="n"/>
      <c r="G630" s="100" t="n"/>
      <c r="H630" s="100" t="n"/>
      <c r="I630" s="100" t="n"/>
      <c r="J630" s="100" t="n"/>
      <c r="K630" s="100" t="n"/>
      <c r="L630" s="100" t="n"/>
      <c r="M630" s="100" t="n"/>
      <c r="N630" s="100" t="n"/>
      <c r="O630" s="100" t="n"/>
      <c r="P630" s="100" t="n"/>
      <c r="Q630" s="100" t="n"/>
      <c r="R630" s="100" t="n"/>
      <c r="S630" s="100" t="n"/>
      <c r="T630" s="100" t="n"/>
      <c r="U630" s="100" t="n"/>
      <c r="V630" s="100" t="n"/>
      <c r="W630" s="100" t="n"/>
      <c r="X630" s="100" t="n"/>
      <c r="Y630" s="100" t="n"/>
      <c r="Z630" s="100" t="n"/>
      <c r="AA630" s="100" t="n"/>
      <c r="AB630" s="100" t="n"/>
      <c r="AC630" s="100" t="n"/>
      <c r="AD630" s="100" t="n"/>
      <c r="AE630" s="100" t="n"/>
      <c r="AF630" s="100" t="n"/>
      <c r="AG630" s="100" t="n"/>
      <c r="AH630" s="100" t="n"/>
      <c r="AI630" s="100" t="n"/>
      <c r="AJ630" s="100" t="n"/>
      <c r="AK630" s="100" t="n"/>
      <c r="AL630" s="100" t="n"/>
      <c r="AM630" s="100" t="n"/>
      <c r="AN630" s="100" t="n"/>
      <c r="AO630" s="100" t="n"/>
      <c r="AP630" s="100" t="n"/>
      <c r="AQ630" s="100" t="n"/>
      <c r="AR630" s="100" t="n"/>
    </row>
    <row r="633">
      <c r="A633" s="2">
        <f>IF($A626="","","   projections")</f>
        <v/>
      </c>
      <c r="B633" s="96">
        <f>IF($A626="",0,COUNT($E634:$AR634))</f>
        <v/>
      </c>
      <c r="C633" s="97">
        <f>IF($B633=0,0,MAX($E634:$AR634))</f>
        <v/>
      </c>
      <c r="D633" s="98">
        <f>BDS($A626,FLD_PROJ,"headers=y","startcol=1","endcol=3","dir=h")</f>
        <v/>
      </c>
      <c r="E633" s="99" t="n"/>
      <c r="F633" s="99" t="n"/>
      <c r="G633" s="99" t="n"/>
      <c r="H633" s="99" t="n"/>
      <c r="I633" s="99" t="n"/>
      <c r="J633" s="99" t="n"/>
      <c r="K633" s="99" t="n"/>
      <c r="L633" s="99" t="n"/>
      <c r="M633" s="99" t="n"/>
      <c r="N633" s="99" t="n"/>
      <c r="O633" s="99" t="n"/>
      <c r="P633" s="99" t="n"/>
      <c r="Q633" s="99" t="n"/>
      <c r="R633" s="99" t="n"/>
      <c r="S633" s="99" t="n"/>
      <c r="T633" s="99" t="n"/>
      <c r="U633" s="99" t="n"/>
      <c r="V633" s="99" t="n"/>
      <c r="W633" s="99" t="n"/>
      <c r="X633" s="99" t="n"/>
      <c r="Y633" s="99" t="n"/>
      <c r="Z633" s="99" t="n"/>
      <c r="AA633" s="99" t="n"/>
      <c r="AB633" s="99" t="n"/>
      <c r="AC633" s="99" t="n"/>
      <c r="AD633" s="99" t="n"/>
      <c r="AE633" s="99" t="n"/>
      <c r="AF633" s="99" t="n"/>
      <c r="AG633" s="99" t="n"/>
      <c r="AH633" s="99" t="n"/>
      <c r="AI633" s="99" t="n"/>
      <c r="AJ633" s="99" t="n"/>
      <c r="AK633" s="99" t="n"/>
      <c r="AL633" s="99" t="n"/>
      <c r="AM633" s="99" t="n"/>
      <c r="AN633" s="99" t="n"/>
      <c r="AO633" s="99" t="n"/>
      <c r="AP633" s="99" t="n"/>
      <c r="AQ633" s="99" t="n"/>
      <c r="AR633" s="99" t="n"/>
    </row>
    <row r="634">
      <c r="D634" s="99" t="n"/>
      <c r="E634" s="99" t="n"/>
      <c r="F634" s="99" t="n"/>
      <c r="G634" s="99" t="n"/>
      <c r="H634" s="99" t="n"/>
      <c r="I634" s="99" t="n"/>
      <c r="J634" s="99" t="n"/>
      <c r="K634" s="99" t="n"/>
      <c r="L634" s="99" t="n"/>
      <c r="M634" s="99" t="n"/>
      <c r="N634" s="99" t="n"/>
      <c r="O634" s="99" t="n"/>
      <c r="P634" s="99" t="n"/>
      <c r="Q634" s="99" t="n"/>
      <c r="R634" s="99" t="n"/>
      <c r="S634" s="99" t="n"/>
      <c r="T634" s="99" t="n"/>
      <c r="U634" s="99" t="n"/>
      <c r="V634" s="99" t="n"/>
      <c r="W634" s="99" t="n"/>
      <c r="X634" s="99" t="n"/>
      <c r="Y634" s="99" t="n"/>
      <c r="Z634" s="99" t="n"/>
      <c r="AA634" s="99" t="n"/>
      <c r="AB634" s="99" t="n"/>
      <c r="AC634" s="99" t="n"/>
      <c r="AD634" s="99" t="n"/>
      <c r="AE634" s="99" t="n"/>
      <c r="AF634" s="99" t="n"/>
      <c r="AG634" s="99" t="n"/>
      <c r="AH634" s="99" t="n"/>
      <c r="AI634" s="99" t="n"/>
      <c r="AJ634" s="99" t="n"/>
      <c r="AK634" s="99" t="n"/>
      <c r="AL634" s="99" t="n"/>
      <c r="AM634" s="99" t="n"/>
      <c r="AN634" s="99" t="n"/>
      <c r="AO634" s="99" t="n"/>
      <c r="AP634" s="99" t="n"/>
      <c r="AQ634" s="99" t="n"/>
      <c r="AR634" s="99" t="n"/>
    </row>
    <row r="635">
      <c r="D635" s="100" t="n"/>
      <c r="E635" s="100" t="n"/>
      <c r="F635" s="100" t="n"/>
      <c r="G635" s="100" t="n"/>
      <c r="H635" s="100" t="n"/>
      <c r="I635" s="100" t="n"/>
      <c r="J635" s="100" t="n"/>
      <c r="K635" s="100" t="n"/>
      <c r="L635" s="100" t="n"/>
      <c r="M635" s="100" t="n"/>
      <c r="N635" s="100" t="n"/>
      <c r="O635" s="100" t="n"/>
      <c r="P635" s="100" t="n"/>
      <c r="Q635" s="100" t="n"/>
      <c r="R635" s="100" t="n"/>
      <c r="S635" s="100" t="n"/>
      <c r="T635" s="100" t="n"/>
      <c r="U635" s="100" t="n"/>
      <c r="V635" s="100" t="n"/>
      <c r="W635" s="100" t="n"/>
      <c r="X635" s="100" t="n"/>
      <c r="Y635" s="100" t="n"/>
      <c r="Z635" s="100" t="n"/>
      <c r="AA635" s="100" t="n"/>
      <c r="AB635" s="100" t="n"/>
      <c r="AC635" s="100" t="n"/>
      <c r="AD635" s="100" t="n"/>
      <c r="AE635" s="100" t="n"/>
      <c r="AF635" s="100" t="n"/>
      <c r="AG635" s="100" t="n"/>
      <c r="AH635" s="100" t="n"/>
      <c r="AI635" s="100" t="n"/>
      <c r="AJ635" s="100" t="n"/>
      <c r="AK635" s="100" t="n"/>
      <c r="AL635" s="100" t="n"/>
      <c r="AM635" s="100" t="n"/>
      <c r="AN635" s="100" t="n"/>
      <c r="AO635" s="100" t="n"/>
      <c r="AP635" s="100" t="n"/>
      <c r="AQ635" s="100" t="n"/>
      <c r="AR635" s="100" t="n"/>
    </row>
    <row r="637">
      <c r="A637" s="6">
        <f>IF(HSI!$C$64="","",HSI!$C$64)</f>
        <v/>
      </c>
      <c r="B637" s="96">
        <f>IF($A637="",0,COUNT($E638:$AR638))</f>
        <v/>
      </c>
      <c r="C637" s="97">
        <f>IF($B637=0,0,MAX($E638:$AR638))</f>
        <v/>
      </c>
      <c r="D637" s="98">
        <f>BDS($A637,FLD_HIST,"headers=y","startcol=1","endcol=7","dir=h","DVD_START_DT",HIST_FROM,"DVD_END_DT",HIST_TO)</f>
        <v/>
      </c>
      <c r="E637" s="99" t="n"/>
      <c r="F637" s="99" t="n"/>
      <c r="G637" s="99" t="n"/>
      <c r="H637" s="99" t="n"/>
      <c r="I637" s="99" t="n"/>
      <c r="J637" s="99" t="n"/>
      <c r="K637" s="99" t="n"/>
      <c r="L637" s="99" t="n"/>
      <c r="M637" s="99" t="n"/>
      <c r="N637" s="99" t="n"/>
      <c r="O637" s="99" t="n"/>
      <c r="P637" s="99" t="n"/>
      <c r="Q637" s="99" t="n"/>
      <c r="R637" s="99" t="n"/>
      <c r="S637" s="99" t="n"/>
      <c r="T637" s="99" t="n"/>
      <c r="U637" s="99" t="n"/>
      <c r="V637" s="99" t="n"/>
      <c r="W637" s="99" t="n"/>
      <c r="X637" s="99" t="n"/>
      <c r="Y637" s="99" t="n"/>
      <c r="Z637" s="99" t="n"/>
      <c r="AA637" s="99" t="n"/>
      <c r="AB637" s="99" t="n"/>
      <c r="AC637" s="99" t="n"/>
      <c r="AD637" s="99" t="n"/>
      <c r="AE637" s="99" t="n"/>
      <c r="AF637" s="99" t="n"/>
      <c r="AG637" s="99" t="n"/>
      <c r="AH637" s="99" t="n"/>
      <c r="AI637" s="99" t="n"/>
      <c r="AJ637" s="99" t="n"/>
      <c r="AK637" s="99" t="n"/>
      <c r="AL637" s="99" t="n"/>
      <c r="AM637" s="99" t="n"/>
      <c r="AN637" s="99" t="n"/>
      <c r="AO637" s="99" t="n"/>
      <c r="AP637" s="99" t="n"/>
      <c r="AQ637" s="99" t="n"/>
      <c r="AR637" s="99" t="n"/>
    </row>
    <row r="638">
      <c r="D638" s="99" t="n"/>
      <c r="E638" s="99" t="n"/>
      <c r="F638" s="99" t="n"/>
      <c r="G638" s="99" t="n"/>
      <c r="H638" s="99" t="n"/>
      <c r="I638" s="99" t="n"/>
      <c r="J638" s="99" t="n"/>
      <c r="K638" s="99" t="n"/>
      <c r="L638" s="99" t="n"/>
      <c r="M638" s="99" t="n"/>
      <c r="N638" s="99" t="n"/>
      <c r="O638" s="99" t="n"/>
      <c r="P638" s="99" t="n"/>
      <c r="Q638" s="99" t="n"/>
      <c r="R638" s="99" t="n"/>
      <c r="S638" s="99" t="n"/>
      <c r="T638" s="99" t="n"/>
      <c r="U638" s="99" t="n"/>
      <c r="V638" s="99" t="n"/>
      <c r="W638" s="99" t="n"/>
      <c r="X638" s="99" t="n"/>
      <c r="Y638" s="99" t="n"/>
      <c r="Z638" s="99" t="n"/>
      <c r="AA638" s="99" t="n"/>
      <c r="AB638" s="99" t="n"/>
      <c r="AC638" s="99" t="n"/>
      <c r="AD638" s="99" t="n"/>
      <c r="AE638" s="99" t="n"/>
      <c r="AF638" s="99" t="n"/>
      <c r="AG638" s="99" t="n"/>
      <c r="AH638" s="99" t="n"/>
      <c r="AI638" s="99" t="n"/>
      <c r="AJ638" s="99" t="n"/>
      <c r="AK638" s="99" t="n"/>
      <c r="AL638" s="99" t="n"/>
      <c r="AM638" s="99" t="n"/>
      <c r="AN638" s="99" t="n"/>
      <c r="AO638" s="99" t="n"/>
      <c r="AP638" s="99" t="n"/>
      <c r="AQ638" s="99" t="n"/>
      <c r="AR638" s="99" t="n"/>
    </row>
    <row r="639">
      <c r="D639" s="99" t="n"/>
      <c r="E639" s="99" t="n"/>
      <c r="F639" s="99" t="n"/>
      <c r="G639" s="99" t="n"/>
      <c r="H639" s="99" t="n"/>
      <c r="I639" s="99" t="n"/>
      <c r="J639" s="99" t="n"/>
      <c r="K639" s="99" t="n"/>
      <c r="L639" s="99" t="n"/>
      <c r="M639" s="99" t="n"/>
      <c r="N639" s="99" t="n"/>
      <c r="O639" s="99" t="n"/>
      <c r="P639" s="99" t="n"/>
      <c r="Q639" s="99" t="n"/>
      <c r="R639" s="99" t="n"/>
      <c r="S639" s="99" t="n"/>
      <c r="T639" s="99" t="n"/>
      <c r="U639" s="99" t="n"/>
      <c r="V639" s="99" t="n"/>
      <c r="W639" s="99" t="n"/>
      <c r="X639" s="99" t="n"/>
      <c r="Y639" s="99" t="n"/>
      <c r="Z639" s="99" t="n"/>
      <c r="AA639" s="99" t="n"/>
      <c r="AB639" s="99" t="n"/>
      <c r="AC639" s="99" t="n"/>
      <c r="AD639" s="99" t="n"/>
      <c r="AE639" s="99" t="n"/>
      <c r="AF639" s="99" t="n"/>
      <c r="AG639" s="99" t="n"/>
      <c r="AH639" s="99" t="n"/>
      <c r="AI639" s="99" t="n"/>
      <c r="AJ639" s="99" t="n"/>
      <c r="AK639" s="99" t="n"/>
      <c r="AL639" s="99" t="n"/>
      <c r="AM639" s="99" t="n"/>
      <c r="AN639" s="99" t="n"/>
      <c r="AO639" s="99" t="n"/>
      <c r="AP639" s="99" t="n"/>
      <c r="AQ639" s="99" t="n"/>
      <c r="AR639" s="99" t="n"/>
    </row>
    <row r="640">
      <c r="D640" s="99" t="n"/>
      <c r="E640" s="99" t="n"/>
      <c r="F640" s="99" t="n"/>
      <c r="G640" s="99" t="n"/>
      <c r="H640" s="99" t="n"/>
      <c r="I640" s="99" t="n"/>
      <c r="J640" s="99" t="n"/>
      <c r="K640" s="99" t="n"/>
      <c r="L640" s="99" t="n"/>
      <c r="M640" s="99" t="n"/>
      <c r="N640" s="99" t="n"/>
      <c r="O640" s="99" t="n"/>
      <c r="P640" s="99" t="n"/>
      <c r="Q640" s="99" t="n"/>
      <c r="R640" s="99" t="n"/>
      <c r="S640" s="99" t="n"/>
      <c r="T640" s="99" t="n"/>
      <c r="U640" s="99" t="n"/>
      <c r="V640" s="99" t="n"/>
      <c r="W640" s="99" t="n"/>
      <c r="X640" s="99" t="n"/>
      <c r="Y640" s="99" t="n"/>
      <c r="Z640" s="99" t="n"/>
      <c r="AA640" s="99" t="n"/>
      <c r="AB640" s="99" t="n"/>
      <c r="AC640" s="99" t="n"/>
      <c r="AD640" s="99" t="n"/>
      <c r="AE640" s="99" t="n"/>
      <c r="AF640" s="99" t="n"/>
      <c r="AG640" s="99" t="n"/>
      <c r="AH640" s="99" t="n"/>
      <c r="AI640" s="99" t="n"/>
      <c r="AJ640" s="99" t="n"/>
      <c r="AK640" s="99" t="n"/>
      <c r="AL640" s="99" t="n"/>
      <c r="AM640" s="99" t="n"/>
      <c r="AN640" s="99" t="n"/>
      <c r="AO640" s="99" t="n"/>
      <c r="AP640" s="99" t="n"/>
      <c r="AQ640" s="99" t="n"/>
      <c r="AR640" s="99" t="n"/>
    </row>
    <row r="641">
      <c r="D641" s="100" t="n"/>
      <c r="E641" s="100" t="n"/>
      <c r="F641" s="100" t="n"/>
      <c r="G641" s="100" t="n"/>
      <c r="H641" s="100" t="n"/>
      <c r="I641" s="100" t="n"/>
      <c r="J641" s="100" t="n"/>
      <c r="K641" s="100" t="n"/>
      <c r="L641" s="100" t="n"/>
      <c r="M641" s="100" t="n"/>
      <c r="N641" s="100" t="n"/>
      <c r="O641" s="100" t="n"/>
      <c r="P641" s="100" t="n"/>
      <c r="Q641" s="100" t="n"/>
      <c r="R641" s="100" t="n"/>
      <c r="S641" s="100" t="n"/>
      <c r="T641" s="100" t="n"/>
      <c r="U641" s="100" t="n"/>
      <c r="V641" s="100" t="n"/>
      <c r="W641" s="100" t="n"/>
      <c r="X641" s="100" t="n"/>
      <c r="Y641" s="100" t="n"/>
      <c r="Z641" s="100" t="n"/>
      <c r="AA641" s="100" t="n"/>
      <c r="AB641" s="100" t="n"/>
      <c r="AC641" s="100" t="n"/>
      <c r="AD641" s="100" t="n"/>
      <c r="AE641" s="100" t="n"/>
      <c r="AF641" s="100" t="n"/>
      <c r="AG641" s="100" t="n"/>
      <c r="AH641" s="100" t="n"/>
      <c r="AI641" s="100" t="n"/>
      <c r="AJ641" s="100" t="n"/>
      <c r="AK641" s="100" t="n"/>
      <c r="AL641" s="100" t="n"/>
      <c r="AM641" s="100" t="n"/>
      <c r="AN641" s="100" t="n"/>
      <c r="AO641" s="100" t="n"/>
      <c r="AP641" s="100" t="n"/>
      <c r="AQ641" s="100" t="n"/>
      <c r="AR641" s="100" t="n"/>
    </row>
    <row r="644">
      <c r="A644" s="2">
        <f>IF($A637="","","   projections")</f>
        <v/>
      </c>
      <c r="B644" s="96">
        <f>IF($A637="",0,COUNT($E645:$AR645))</f>
        <v/>
      </c>
      <c r="C644" s="97">
        <f>IF($B644=0,0,MAX($E645:$AR645))</f>
        <v/>
      </c>
      <c r="D644" s="98">
        <f>BDS($A637,FLD_PROJ,"headers=y","startcol=1","endcol=3","dir=h")</f>
        <v/>
      </c>
      <c r="E644" s="99" t="n"/>
      <c r="F644" s="99" t="n"/>
      <c r="G644" s="99" t="n"/>
      <c r="H644" s="99" t="n"/>
      <c r="I644" s="99" t="n"/>
      <c r="J644" s="99" t="n"/>
      <c r="K644" s="99" t="n"/>
      <c r="L644" s="99" t="n"/>
      <c r="M644" s="99" t="n"/>
      <c r="N644" s="99" t="n"/>
      <c r="O644" s="99" t="n"/>
      <c r="P644" s="99" t="n"/>
      <c r="Q644" s="99" t="n"/>
      <c r="R644" s="99" t="n"/>
      <c r="S644" s="99" t="n"/>
      <c r="T644" s="99" t="n"/>
      <c r="U644" s="99" t="n"/>
      <c r="V644" s="99" t="n"/>
      <c r="W644" s="99" t="n"/>
      <c r="X644" s="99" t="n"/>
      <c r="Y644" s="99" t="n"/>
      <c r="Z644" s="99" t="n"/>
      <c r="AA644" s="99" t="n"/>
      <c r="AB644" s="99" t="n"/>
      <c r="AC644" s="99" t="n"/>
      <c r="AD644" s="99" t="n"/>
      <c r="AE644" s="99" t="n"/>
      <c r="AF644" s="99" t="n"/>
      <c r="AG644" s="99" t="n"/>
      <c r="AH644" s="99" t="n"/>
      <c r="AI644" s="99" t="n"/>
      <c r="AJ644" s="99" t="n"/>
      <c r="AK644" s="99" t="n"/>
      <c r="AL644" s="99" t="n"/>
      <c r="AM644" s="99" t="n"/>
      <c r="AN644" s="99" t="n"/>
      <c r="AO644" s="99" t="n"/>
      <c r="AP644" s="99" t="n"/>
      <c r="AQ644" s="99" t="n"/>
      <c r="AR644" s="99" t="n"/>
    </row>
    <row r="645">
      <c r="D645" s="99" t="n"/>
      <c r="E645" s="99" t="n"/>
      <c r="F645" s="99" t="n"/>
      <c r="G645" s="99" t="n"/>
      <c r="H645" s="99" t="n"/>
      <c r="I645" s="99" t="n"/>
      <c r="J645" s="99" t="n"/>
      <c r="K645" s="99" t="n"/>
      <c r="L645" s="99" t="n"/>
      <c r="M645" s="99" t="n"/>
      <c r="N645" s="99" t="n"/>
      <c r="O645" s="99" t="n"/>
      <c r="P645" s="99" t="n"/>
      <c r="Q645" s="99" t="n"/>
      <c r="R645" s="99" t="n"/>
      <c r="S645" s="99" t="n"/>
      <c r="T645" s="99" t="n"/>
      <c r="U645" s="99" t="n"/>
      <c r="V645" s="99" t="n"/>
      <c r="W645" s="99" t="n"/>
      <c r="X645" s="99" t="n"/>
      <c r="Y645" s="99" t="n"/>
      <c r="Z645" s="99" t="n"/>
      <c r="AA645" s="99" t="n"/>
      <c r="AB645" s="99" t="n"/>
      <c r="AC645" s="99" t="n"/>
      <c r="AD645" s="99" t="n"/>
      <c r="AE645" s="99" t="n"/>
      <c r="AF645" s="99" t="n"/>
      <c r="AG645" s="99" t="n"/>
      <c r="AH645" s="99" t="n"/>
      <c r="AI645" s="99" t="n"/>
      <c r="AJ645" s="99" t="n"/>
      <c r="AK645" s="99" t="n"/>
      <c r="AL645" s="99" t="n"/>
      <c r="AM645" s="99" t="n"/>
      <c r="AN645" s="99" t="n"/>
      <c r="AO645" s="99" t="n"/>
      <c r="AP645" s="99" t="n"/>
      <c r="AQ645" s="99" t="n"/>
      <c r="AR645" s="99" t="n"/>
    </row>
    <row r="646">
      <c r="D646" s="100" t="n"/>
      <c r="E646" s="100" t="n"/>
      <c r="F646" s="100" t="n"/>
      <c r="G646" s="100" t="n"/>
      <c r="H646" s="100" t="n"/>
      <c r="I646" s="100" t="n"/>
      <c r="J646" s="100" t="n"/>
      <c r="K646" s="100" t="n"/>
      <c r="L646" s="100" t="n"/>
      <c r="M646" s="100" t="n"/>
      <c r="N646" s="100" t="n"/>
      <c r="O646" s="100" t="n"/>
      <c r="P646" s="100" t="n"/>
      <c r="Q646" s="100" t="n"/>
      <c r="R646" s="100" t="n"/>
      <c r="S646" s="100" t="n"/>
      <c r="T646" s="100" t="n"/>
      <c r="U646" s="100" t="n"/>
      <c r="V646" s="100" t="n"/>
      <c r="W646" s="100" t="n"/>
      <c r="X646" s="100" t="n"/>
      <c r="Y646" s="100" t="n"/>
      <c r="Z646" s="100" t="n"/>
      <c r="AA646" s="100" t="n"/>
      <c r="AB646" s="100" t="n"/>
      <c r="AC646" s="100" t="n"/>
      <c r="AD646" s="100" t="n"/>
      <c r="AE646" s="100" t="n"/>
      <c r="AF646" s="100" t="n"/>
      <c r="AG646" s="100" t="n"/>
      <c r="AH646" s="100" t="n"/>
      <c r="AI646" s="100" t="n"/>
      <c r="AJ646" s="100" t="n"/>
      <c r="AK646" s="100" t="n"/>
      <c r="AL646" s="100" t="n"/>
      <c r="AM646" s="100" t="n"/>
      <c r="AN646" s="100" t="n"/>
      <c r="AO646" s="100" t="n"/>
      <c r="AP646" s="100" t="n"/>
      <c r="AQ646" s="100" t="n"/>
      <c r="AR646" s="100" t="n"/>
    </row>
    <row r="648">
      <c r="A648" s="6">
        <f>IF(HSI!$C$65="","",HSI!$C$65)</f>
        <v/>
      </c>
      <c r="B648" s="96">
        <f>IF($A648="",0,COUNT($E649:$AR649))</f>
        <v/>
      </c>
      <c r="C648" s="97">
        <f>IF($B648=0,0,MAX($E649:$AR649))</f>
        <v/>
      </c>
      <c r="D648" s="98">
        <f>BDS($A648,FLD_HIST,"headers=y","startcol=1","endcol=7","dir=h","DVD_START_DT",HIST_FROM,"DVD_END_DT",HIST_TO)</f>
        <v/>
      </c>
      <c r="E648" s="99" t="n"/>
      <c r="F648" s="99" t="n"/>
      <c r="G648" s="99" t="n"/>
      <c r="H648" s="99" t="n"/>
      <c r="I648" s="99" t="n"/>
      <c r="J648" s="99" t="n"/>
      <c r="K648" s="99" t="n"/>
      <c r="L648" s="99" t="n"/>
      <c r="M648" s="99" t="n"/>
      <c r="N648" s="99" t="n"/>
      <c r="O648" s="99" t="n"/>
      <c r="P648" s="99" t="n"/>
      <c r="Q648" s="99" t="n"/>
      <c r="R648" s="99" t="n"/>
      <c r="S648" s="99" t="n"/>
      <c r="T648" s="99" t="n"/>
      <c r="U648" s="99" t="n"/>
      <c r="V648" s="99" t="n"/>
      <c r="W648" s="99" t="n"/>
      <c r="X648" s="99" t="n"/>
      <c r="Y648" s="99" t="n"/>
      <c r="Z648" s="99" t="n"/>
      <c r="AA648" s="99" t="n"/>
      <c r="AB648" s="99" t="n"/>
      <c r="AC648" s="99" t="n"/>
      <c r="AD648" s="99" t="n"/>
      <c r="AE648" s="99" t="n"/>
      <c r="AF648" s="99" t="n"/>
      <c r="AG648" s="99" t="n"/>
      <c r="AH648" s="99" t="n"/>
      <c r="AI648" s="99" t="n"/>
      <c r="AJ648" s="99" t="n"/>
      <c r="AK648" s="99" t="n"/>
      <c r="AL648" s="99" t="n"/>
      <c r="AM648" s="99" t="n"/>
      <c r="AN648" s="99" t="n"/>
      <c r="AO648" s="99" t="n"/>
      <c r="AP648" s="99" t="n"/>
      <c r="AQ648" s="99" t="n"/>
      <c r="AR648" s="99" t="n"/>
    </row>
    <row r="649">
      <c r="D649" s="99" t="n"/>
      <c r="E649" s="99" t="n"/>
      <c r="F649" s="99" t="n"/>
      <c r="G649" s="99" t="n"/>
      <c r="H649" s="99" t="n"/>
      <c r="I649" s="99" t="n"/>
      <c r="J649" s="99" t="n"/>
      <c r="K649" s="99" t="n"/>
      <c r="L649" s="99" t="n"/>
      <c r="M649" s="99" t="n"/>
      <c r="N649" s="99" t="n"/>
      <c r="O649" s="99" t="n"/>
      <c r="P649" s="99" t="n"/>
      <c r="Q649" s="99" t="n"/>
      <c r="R649" s="99" t="n"/>
      <c r="S649" s="99" t="n"/>
      <c r="T649" s="99" t="n"/>
      <c r="U649" s="99" t="n"/>
      <c r="V649" s="99" t="n"/>
      <c r="W649" s="99" t="n"/>
      <c r="X649" s="99" t="n"/>
      <c r="Y649" s="99" t="n"/>
      <c r="Z649" s="99" t="n"/>
      <c r="AA649" s="99" t="n"/>
      <c r="AB649" s="99" t="n"/>
      <c r="AC649" s="99" t="n"/>
      <c r="AD649" s="99" t="n"/>
      <c r="AE649" s="99" t="n"/>
      <c r="AF649" s="99" t="n"/>
      <c r="AG649" s="99" t="n"/>
      <c r="AH649" s="99" t="n"/>
      <c r="AI649" s="99" t="n"/>
      <c r="AJ649" s="99" t="n"/>
      <c r="AK649" s="99" t="n"/>
      <c r="AL649" s="99" t="n"/>
      <c r="AM649" s="99" t="n"/>
      <c r="AN649" s="99" t="n"/>
      <c r="AO649" s="99" t="n"/>
      <c r="AP649" s="99" t="n"/>
      <c r="AQ649" s="99" t="n"/>
      <c r="AR649" s="99" t="n"/>
    </row>
    <row r="650">
      <c r="D650" s="99" t="n"/>
      <c r="E650" s="99" t="n"/>
      <c r="F650" s="99" t="n"/>
      <c r="G650" s="99" t="n"/>
      <c r="H650" s="99" t="n"/>
      <c r="I650" s="99" t="n"/>
      <c r="J650" s="99" t="n"/>
      <c r="K650" s="99" t="n"/>
      <c r="L650" s="99" t="n"/>
      <c r="M650" s="99" t="n"/>
      <c r="N650" s="99" t="n"/>
      <c r="O650" s="99" t="n"/>
      <c r="P650" s="99" t="n"/>
      <c r="Q650" s="99" t="n"/>
      <c r="R650" s="99" t="n"/>
      <c r="S650" s="99" t="n"/>
      <c r="T650" s="99" t="n"/>
      <c r="U650" s="99" t="n"/>
      <c r="V650" s="99" t="n"/>
      <c r="W650" s="99" t="n"/>
      <c r="X650" s="99" t="n"/>
      <c r="Y650" s="99" t="n"/>
      <c r="Z650" s="99" t="n"/>
      <c r="AA650" s="99" t="n"/>
      <c r="AB650" s="99" t="n"/>
      <c r="AC650" s="99" t="n"/>
      <c r="AD650" s="99" t="n"/>
      <c r="AE650" s="99" t="n"/>
      <c r="AF650" s="99" t="n"/>
      <c r="AG650" s="99" t="n"/>
      <c r="AH650" s="99" t="n"/>
      <c r="AI650" s="99" t="n"/>
      <c r="AJ650" s="99" t="n"/>
      <c r="AK650" s="99" t="n"/>
      <c r="AL650" s="99" t="n"/>
      <c r="AM650" s="99" t="n"/>
      <c r="AN650" s="99" t="n"/>
      <c r="AO650" s="99" t="n"/>
      <c r="AP650" s="99" t="n"/>
      <c r="AQ650" s="99" t="n"/>
      <c r="AR650" s="99" t="n"/>
    </row>
    <row r="651">
      <c r="D651" s="99" t="n"/>
      <c r="E651" s="99" t="n"/>
      <c r="F651" s="99" t="n"/>
      <c r="G651" s="99" t="n"/>
      <c r="H651" s="99" t="n"/>
      <c r="I651" s="99" t="n"/>
      <c r="J651" s="99" t="n"/>
      <c r="K651" s="99" t="n"/>
      <c r="L651" s="99" t="n"/>
      <c r="M651" s="99" t="n"/>
      <c r="N651" s="99" t="n"/>
      <c r="O651" s="99" t="n"/>
      <c r="P651" s="99" t="n"/>
      <c r="Q651" s="99" t="n"/>
      <c r="R651" s="99" t="n"/>
      <c r="S651" s="99" t="n"/>
      <c r="T651" s="99" t="n"/>
      <c r="U651" s="99" t="n"/>
      <c r="V651" s="99" t="n"/>
      <c r="W651" s="99" t="n"/>
      <c r="X651" s="99" t="n"/>
      <c r="Y651" s="99" t="n"/>
      <c r="Z651" s="99" t="n"/>
      <c r="AA651" s="99" t="n"/>
      <c r="AB651" s="99" t="n"/>
      <c r="AC651" s="99" t="n"/>
      <c r="AD651" s="99" t="n"/>
      <c r="AE651" s="99" t="n"/>
      <c r="AF651" s="99" t="n"/>
      <c r="AG651" s="99" t="n"/>
      <c r="AH651" s="99" t="n"/>
      <c r="AI651" s="99" t="n"/>
      <c r="AJ651" s="99" t="n"/>
      <c r="AK651" s="99" t="n"/>
      <c r="AL651" s="99" t="n"/>
      <c r="AM651" s="99" t="n"/>
      <c r="AN651" s="99" t="n"/>
      <c r="AO651" s="99" t="n"/>
      <c r="AP651" s="99" t="n"/>
      <c r="AQ651" s="99" t="n"/>
      <c r="AR651" s="99" t="n"/>
    </row>
    <row r="652">
      <c r="D652" s="100" t="n"/>
      <c r="E652" s="100" t="n"/>
      <c r="F652" s="100" t="n"/>
      <c r="G652" s="100" t="n"/>
      <c r="H652" s="100" t="n"/>
      <c r="I652" s="100" t="n"/>
      <c r="J652" s="100" t="n"/>
      <c r="K652" s="100" t="n"/>
      <c r="L652" s="100" t="n"/>
      <c r="M652" s="100" t="n"/>
      <c r="N652" s="100" t="n"/>
      <c r="O652" s="100" t="n"/>
      <c r="P652" s="100" t="n"/>
      <c r="Q652" s="100" t="n"/>
      <c r="R652" s="100" t="n"/>
      <c r="S652" s="100" t="n"/>
      <c r="T652" s="100" t="n"/>
      <c r="U652" s="100" t="n"/>
      <c r="V652" s="100" t="n"/>
      <c r="W652" s="100" t="n"/>
      <c r="X652" s="100" t="n"/>
      <c r="Y652" s="100" t="n"/>
      <c r="Z652" s="100" t="n"/>
      <c r="AA652" s="100" t="n"/>
      <c r="AB652" s="100" t="n"/>
      <c r="AC652" s="100" t="n"/>
      <c r="AD652" s="100" t="n"/>
      <c r="AE652" s="100" t="n"/>
      <c r="AF652" s="100" t="n"/>
      <c r="AG652" s="100" t="n"/>
      <c r="AH652" s="100" t="n"/>
      <c r="AI652" s="100" t="n"/>
      <c r="AJ652" s="100" t="n"/>
      <c r="AK652" s="100" t="n"/>
      <c r="AL652" s="100" t="n"/>
      <c r="AM652" s="100" t="n"/>
      <c r="AN652" s="100" t="n"/>
      <c r="AO652" s="100" t="n"/>
      <c r="AP652" s="100" t="n"/>
      <c r="AQ652" s="100" t="n"/>
      <c r="AR652" s="100" t="n"/>
    </row>
    <row r="655">
      <c r="A655" s="2">
        <f>IF($A648="","","   projections")</f>
        <v/>
      </c>
      <c r="B655" s="96">
        <f>IF($A648="",0,COUNT($E656:$AR656))</f>
        <v/>
      </c>
      <c r="C655" s="97">
        <f>IF($B655=0,0,MAX($E656:$AR656))</f>
        <v/>
      </c>
      <c r="D655" s="98">
        <f>BDS($A648,FLD_PROJ,"headers=y","startcol=1","endcol=3","dir=h")</f>
        <v/>
      </c>
      <c r="E655" s="99" t="n"/>
      <c r="F655" s="99" t="n"/>
      <c r="G655" s="99" t="n"/>
      <c r="H655" s="99" t="n"/>
      <c r="I655" s="99" t="n"/>
      <c r="J655" s="99" t="n"/>
      <c r="K655" s="99" t="n"/>
      <c r="L655" s="99" t="n"/>
      <c r="M655" s="99" t="n"/>
      <c r="N655" s="99" t="n"/>
      <c r="O655" s="99" t="n"/>
      <c r="P655" s="99" t="n"/>
      <c r="Q655" s="99" t="n"/>
      <c r="R655" s="99" t="n"/>
      <c r="S655" s="99" t="n"/>
      <c r="T655" s="99" t="n"/>
      <c r="U655" s="99" t="n"/>
      <c r="V655" s="99" t="n"/>
      <c r="W655" s="99" t="n"/>
      <c r="X655" s="99" t="n"/>
      <c r="Y655" s="99" t="n"/>
      <c r="Z655" s="99" t="n"/>
      <c r="AA655" s="99" t="n"/>
      <c r="AB655" s="99" t="n"/>
      <c r="AC655" s="99" t="n"/>
      <c r="AD655" s="99" t="n"/>
      <c r="AE655" s="99" t="n"/>
      <c r="AF655" s="99" t="n"/>
      <c r="AG655" s="99" t="n"/>
      <c r="AH655" s="99" t="n"/>
      <c r="AI655" s="99" t="n"/>
      <c r="AJ655" s="99" t="n"/>
      <c r="AK655" s="99" t="n"/>
      <c r="AL655" s="99" t="n"/>
      <c r="AM655" s="99" t="n"/>
      <c r="AN655" s="99" t="n"/>
      <c r="AO655" s="99" t="n"/>
      <c r="AP655" s="99" t="n"/>
      <c r="AQ655" s="99" t="n"/>
      <c r="AR655" s="99" t="n"/>
    </row>
    <row r="656">
      <c r="D656" s="99" t="n"/>
      <c r="E656" s="99" t="n"/>
      <c r="F656" s="99" t="n"/>
      <c r="G656" s="99" t="n"/>
      <c r="H656" s="99" t="n"/>
      <c r="I656" s="99" t="n"/>
      <c r="J656" s="99" t="n"/>
      <c r="K656" s="99" t="n"/>
      <c r="L656" s="99" t="n"/>
      <c r="M656" s="99" t="n"/>
      <c r="N656" s="99" t="n"/>
      <c r="O656" s="99" t="n"/>
      <c r="P656" s="99" t="n"/>
      <c r="Q656" s="99" t="n"/>
      <c r="R656" s="99" t="n"/>
      <c r="S656" s="99" t="n"/>
      <c r="T656" s="99" t="n"/>
      <c r="U656" s="99" t="n"/>
      <c r="V656" s="99" t="n"/>
      <c r="W656" s="99" t="n"/>
      <c r="X656" s="99" t="n"/>
      <c r="Y656" s="99" t="n"/>
      <c r="Z656" s="99" t="n"/>
      <c r="AA656" s="99" t="n"/>
      <c r="AB656" s="99" t="n"/>
      <c r="AC656" s="99" t="n"/>
      <c r="AD656" s="99" t="n"/>
      <c r="AE656" s="99" t="n"/>
      <c r="AF656" s="99" t="n"/>
      <c r="AG656" s="99" t="n"/>
      <c r="AH656" s="99" t="n"/>
      <c r="AI656" s="99" t="n"/>
      <c r="AJ656" s="99" t="n"/>
      <c r="AK656" s="99" t="n"/>
      <c r="AL656" s="99" t="n"/>
      <c r="AM656" s="99" t="n"/>
      <c r="AN656" s="99" t="n"/>
      <c r="AO656" s="99" t="n"/>
      <c r="AP656" s="99" t="n"/>
      <c r="AQ656" s="99" t="n"/>
      <c r="AR656" s="99" t="n"/>
    </row>
    <row r="657">
      <c r="D657" s="100" t="n"/>
      <c r="E657" s="100" t="n"/>
      <c r="F657" s="100" t="n"/>
      <c r="G657" s="100" t="n"/>
      <c r="H657" s="100" t="n"/>
      <c r="I657" s="100" t="n"/>
      <c r="J657" s="100" t="n"/>
      <c r="K657" s="100" t="n"/>
      <c r="L657" s="100" t="n"/>
      <c r="M657" s="100" t="n"/>
      <c r="N657" s="100" t="n"/>
      <c r="O657" s="100" t="n"/>
      <c r="P657" s="100" t="n"/>
      <c r="Q657" s="100" t="n"/>
      <c r="R657" s="100" t="n"/>
      <c r="S657" s="100" t="n"/>
      <c r="T657" s="100" t="n"/>
      <c r="U657" s="100" t="n"/>
      <c r="V657" s="100" t="n"/>
      <c r="W657" s="100" t="n"/>
      <c r="X657" s="100" t="n"/>
      <c r="Y657" s="100" t="n"/>
      <c r="Z657" s="100" t="n"/>
      <c r="AA657" s="100" t="n"/>
      <c r="AB657" s="100" t="n"/>
      <c r="AC657" s="100" t="n"/>
      <c r="AD657" s="100" t="n"/>
      <c r="AE657" s="100" t="n"/>
      <c r="AF657" s="100" t="n"/>
      <c r="AG657" s="100" t="n"/>
      <c r="AH657" s="100" t="n"/>
      <c r="AI657" s="100" t="n"/>
      <c r="AJ657" s="100" t="n"/>
      <c r="AK657" s="100" t="n"/>
      <c r="AL657" s="100" t="n"/>
      <c r="AM657" s="100" t="n"/>
      <c r="AN657" s="100" t="n"/>
      <c r="AO657" s="100" t="n"/>
      <c r="AP657" s="100" t="n"/>
      <c r="AQ657" s="100" t="n"/>
      <c r="AR657" s="100" t="n"/>
    </row>
    <row r="659">
      <c r="A659" s="6">
        <f>IF(HSI!$C$66="","",HSI!$C$66)</f>
        <v/>
      </c>
      <c r="B659" s="96">
        <f>IF($A659="",0,COUNT($E660:$AR660))</f>
        <v/>
      </c>
      <c r="C659" s="97">
        <f>IF($B659=0,0,MAX($E660:$AR660))</f>
        <v/>
      </c>
      <c r="D659" s="98">
        <f>BDS($A659,FLD_HIST,"headers=y","startcol=1","endcol=7","dir=h","DVD_START_DT",HIST_FROM,"DVD_END_DT",HIST_TO)</f>
        <v/>
      </c>
      <c r="E659" s="99" t="n"/>
      <c r="F659" s="99" t="n"/>
      <c r="G659" s="99" t="n"/>
      <c r="H659" s="99" t="n"/>
      <c r="I659" s="99" t="n"/>
      <c r="J659" s="99" t="n"/>
      <c r="K659" s="99" t="n"/>
      <c r="L659" s="99" t="n"/>
      <c r="M659" s="99" t="n"/>
      <c r="N659" s="99" t="n"/>
      <c r="O659" s="99" t="n"/>
      <c r="P659" s="99" t="n"/>
      <c r="Q659" s="99" t="n"/>
      <c r="R659" s="99" t="n"/>
      <c r="S659" s="99" t="n"/>
      <c r="T659" s="99" t="n"/>
      <c r="U659" s="99" t="n"/>
      <c r="V659" s="99" t="n"/>
      <c r="W659" s="99" t="n"/>
      <c r="X659" s="99" t="n"/>
      <c r="Y659" s="99" t="n"/>
      <c r="Z659" s="99" t="n"/>
      <c r="AA659" s="99" t="n"/>
      <c r="AB659" s="99" t="n"/>
      <c r="AC659" s="99" t="n"/>
      <c r="AD659" s="99" t="n"/>
      <c r="AE659" s="99" t="n"/>
      <c r="AF659" s="99" t="n"/>
      <c r="AG659" s="99" t="n"/>
      <c r="AH659" s="99" t="n"/>
      <c r="AI659" s="99" t="n"/>
      <c r="AJ659" s="99" t="n"/>
      <c r="AK659" s="99" t="n"/>
      <c r="AL659" s="99" t="n"/>
      <c r="AM659" s="99" t="n"/>
      <c r="AN659" s="99" t="n"/>
      <c r="AO659" s="99" t="n"/>
      <c r="AP659" s="99" t="n"/>
      <c r="AQ659" s="99" t="n"/>
      <c r="AR659" s="99" t="n"/>
    </row>
    <row r="660">
      <c r="D660" s="99" t="n"/>
      <c r="E660" s="99" t="n"/>
      <c r="F660" s="99" t="n"/>
      <c r="G660" s="99" t="n"/>
      <c r="H660" s="99" t="n"/>
      <c r="I660" s="99" t="n"/>
      <c r="J660" s="99" t="n"/>
      <c r="K660" s="99" t="n"/>
      <c r="L660" s="99" t="n"/>
      <c r="M660" s="99" t="n"/>
      <c r="N660" s="99" t="n"/>
      <c r="O660" s="99" t="n"/>
      <c r="P660" s="99" t="n"/>
      <c r="Q660" s="99" t="n"/>
      <c r="R660" s="99" t="n"/>
      <c r="S660" s="99" t="n"/>
      <c r="T660" s="99" t="n"/>
      <c r="U660" s="99" t="n"/>
      <c r="V660" s="99" t="n"/>
      <c r="W660" s="99" t="n"/>
      <c r="X660" s="99" t="n"/>
      <c r="Y660" s="99" t="n"/>
      <c r="Z660" s="99" t="n"/>
      <c r="AA660" s="99" t="n"/>
      <c r="AB660" s="99" t="n"/>
      <c r="AC660" s="99" t="n"/>
      <c r="AD660" s="99" t="n"/>
      <c r="AE660" s="99" t="n"/>
      <c r="AF660" s="99" t="n"/>
      <c r="AG660" s="99" t="n"/>
      <c r="AH660" s="99" t="n"/>
      <c r="AI660" s="99" t="n"/>
      <c r="AJ660" s="99" t="n"/>
      <c r="AK660" s="99" t="n"/>
      <c r="AL660" s="99" t="n"/>
      <c r="AM660" s="99" t="n"/>
      <c r="AN660" s="99" t="n"/>
      <c r="AO660" s="99" t="n"/>
      <c r="AP660" s="99" t="n"/>
      <c r="AQ660" s="99" t="n"/>
      <c r="AR660" s="99" t="n"/>
    </row>
    <row r="661">
      <c r="D661" s="99" t="n"/>
      <c r="E661" s="99" t="n"/>
      <c r="F661" s="99" t="n"/>
      <c r="G661" s="99" t="n"/>
      <c r="H661" s="99" t="n"/>
      <c r="I661" s="99" t="n"/>
      <c r="J661" s="99" t="n"/>
      <c r="K661" s="99" t="n"/>
      <c r="L661" s="99" t="n"/>
      <c r="M661" s="99" t="n"/>
      <c r="N661" s="99" t="n"/>
      <c r="O661" s="99" t="n"/>
      <c r="P661" s="99" t="n"/>
      <c r="Q661" s="99" t="n"/>
      <c r="R661" s="99" t="n"/>
      <c r="S661" s="99" t="n"/>
      <c r="T661" s="99" t="n"/>
      <c r="U661" s="99" t="n"/>
      <c r="V661" s="99" t="n"/>
      <c r="W661" s="99" t="n"/>
      <c r="X661" s="99" t="n"/>
      <c r="Y661" s="99" t="n"/>
      <c r="Z661" s="99" t="n"/>
      <c r="AA661" s="99" t="n"/>
      <c r="AB661" s="99" t="n"/>
      <c r="AC661" s="99" t="n"/>
      <c r="AD661" s="99" t="n"/>
      <c r="AE661" s="99" t="n"/>
      <c r="AF661" s="99" t="n"/>
      <c r="AG661" s="99" t="n"/>
      <c r="AH661" s="99" t="n"/>
      <c r="AI661" s="99" t="n"/>
      <c r="AJ661" s="99" t="n"/>
      <c r="AK661" s="99" t="n"/>
      <c r="AL661" s="99" t="n"/>
      <c r="AM661" s="99" t="n"/>
      <c r="AN661" s="99" t="n"/>
      <c r="AO661" s="99" t="n"/>
      <c r="AP661" s="99" t="n"/>
      <c r="AQ661" s="99" t="n"/>
      <c r="AR661" s="99" t="n"/>
    </row>
    <row r="662">
      <c r="D662" s="99" t="n"/>
      <c r="E662" s="99" t="n"/>
      <c r="F662" s="99" t="n"/>
      <c r="G662" s="99" t="n"/>
      <c r="H662" s="99" t="n"/>
      <c r="I662" s="99" t="n"/>
      <c r="J662" s="99" t="n"/>
      <c r="K662" s="99" t="n"/>
      <c r="L662" s="99" t="n"/>
      <c r="M662" s="99" t="n"/>
      <c r="N662" s="99" t="n"/>
      <c r="O662" s="99" t="n"/>
      <c r="P662" s="99" t="n"/>
      <c r="Q662" s="99" t="n"/>
      <c r="R662" s="99" t="n"/>
      <c r="S662" s="99" t="n"/>
      <c r="T662" s="99" t="n"/>
      <c r="U662" s="99" t="n"/>
      <c r="V662" s="99" t="n"/>
      <c r="W662" s="99" t="n"/>
      <c r="X662" s="99" t="n"/>
      <c r="Y662" s="99" t="n"/>
      <c r="Z662" s="99" t="n"/>
      <c r="AA662" s="99" t="n"/>
      <c r="AB662" s="99" t="n"/>
      <c r="AC662" s="99" t="n"/>
      <c r="AD662" s="99" t="n"/>
      <c r="AE662" s="99" t="n"/>
      <c r="AF662" s="99" t="n"/>
      <c r="AG662" s="99" t="n"/>
      <c r="AH662" s="99" t="n"/>
      <c r="AI662" s="99" t="n"/>
      <c r="AJ662" s="99" t="n"/>
      <c r="AK662" s="99" t="n"/>
      <c r="AL662" s="99" t="n"/>
      <c r="AM662" s="99" t="n"/>
      <c r="AN662" s="99" t="n"/>
      <c r="AO662" s="99" t="n"/>
      <c r="AP662" s="99" t="n"/>
      <c r="AQ662" s="99" t="n"/>
      <c r="AR662" s="99" t="n"/>
    </row>
    <row r="663">
      <c r="D663" s="100" t="n"/>
      <c r="E663" s="100" t="n"/>
      <c r="F663" s="100" t="n"/>
      <c r="G663" s="100" t="n"/>
      <c r="H663" s="100" t="n"/>
      <c r="I663" s="100" t="n"/>
      <c r="J663" s="100" t="n"/>
      <c r="K663" s="100" t="n"/>
      <c r="L663" s="100" t="n"/>
      <c r="M663" s="100" t="n"/>
      <c r="N663" s="100" t="n"/>
      <c r="O663" s="100" t="n"/>
      <c r="P663" s="100" t="n"/>
      <c r="Q663" s="100" t="n"/>
      <c r="R663" s="100" t="n"/>
      <c r="S663" s="100" t="n"/>
      <c r="T663" s="100" t="n"/>
      <c r="U663" s="100" t="n"/>
      <c r="V663" s="100" t="n"/>
      <c r="W663" s="100" t="n"/>
      <c r="X663" s="100" t="n"/>
      <c r="Y663" s="100" t="n"/>
      <c r="Z663" s="100" t="n"/>
      <c r="AA663" s="100" t="n"/>
      <c r="AB663" s="100" t="n"/>
      <c r="AC663" s="100" t="n"/>
      <c r="AD663" s="100" t="n"/>
      <c r="AE663" s="100" t="n"/>
      <c r="AF663" s="100" t="n"/>
      <c r="AG663" s="100" t="n"/>
      <c r="AH663" s="100" t="n"/>
      <c r="AI663" s="100" t="n"/>
      <c r="AJ663" s="100" t="n"/>
      <c r="AK663" s="100" t="n"/>
      <c r="AL663" s="100" t="n"/>
      <c r="AM663" s="100" t="n"/>
      <c r="AN663" s="100" t="n"/>
      <c r="AO663" s="100" t="n"/>
      <c r="AP663" s="100" t="n"/>
      <c r="AQ663" s="100" t="n"/>
      <c r="AR663" s="100" t="n"/>
    </row>
    <row r="666">
      <c r="A666" s="2">
        <f>IF($A659="","","   projections")</f>
        <v/>
      </c>
      <c r="B666" s="96">
        <f>IF($A659="",0,COUNT($E667:$AR667))</f>
        <v/>
      </c>
      <c r="C666" s="97">
        <f>IF($B666=0,0,MAX($E667:$AR667))</f>
        <v/>
      </c>
      <c r="D666" s="98">
        <f>BDS($A659,FLD_PROJ,"headers=y","startcol=1","endcol=3","dir=h")</f>
        <v/>
      </c>
      <c r="E666" s="99" t="n"/>
      <c r="F666" s="99" t="n"/>
      <c r="G666" s="99" t="n"/>
      <c r="H666" s="99" t="n"/>
      <c r="I666" s="99" t="n"/>
      <c r="J666" s="99" t="n"/>
      <c r="K666" s="99" t="n"/>
      <c r="L666" s="99" t="n"/>
      <c r="M666" s="99" t="n"/>
      <c r="N666" s="99" t="n"/>
      <c r="O666" s="99" t="n"/>
      <c r="P666" s="99" t="n"/>
      <c r="Q666" s="99" t="n"/>
      <c r="R666" s="99" t="n"/>
      <c r="S666" s="99" t="n"/>
      <c r="T666" s="99" t="n"/>
      <c r="U666" s="99" t="n"/>
      <c r="V666" s="99" t="n"/>
      <c r="W666" s="99" t="n"/>
      <c r="X666" s="99" t="n"/>
      <c r="Y666" s="99" t="n"/>
      <c r="Z666" s="99" t="n"/>
      <c r="AA666" s="99" t="n"/>
      <c r="AB666" s="99" t="n"/>
      <c r="AC666" s="99" t="n"/>
      <c r="AD666" s="99" t="n"/>
      <c r="AE666" s="99" t="n"/>
      <c r="AF666" s="99" t="n"/>
      <c r="AG666" s="99" t="n"/>
      <c r="AH666" s="99" t="n"/>
      <c r="AI666" s="99" t="n"/>
      <c r="AJ666" s="99" t="n"/>
      <c r="AK666" s="99" t="n"/>
      <c r="AL666" s="99" t="n"/>
      <c r="AM666" s="99" t="n"/>
      <c r="AN666" s="99" t="n"/>
      <c r="AO666" s="99" t="n"/>
      <c r="AP666" s="99" t="n"/>
      <c r="AQ666" s="99" t="n"/>
      <c r="AR666" s="99" t="n"/>
    </row>
    <row r="667">
      <c r="D667" s="99" t="n"/>
      <c r="E667" s="99" t="n"/>
      <c r="F667" s="99" t="n"/>
      <c r="G667" s="99" t="n"/>
      <c r="H667" s="99" t="n"/>
      <c r="I667" s="99" t="n"/>
      <c r="J667" s="99" t="n"/>
      <c r="K667" s="99" t="n"/>
      <c r="L667" s="99" t="n"/>
      <c r="M667" s="99" t="n"/>
      <c r="N667" s="99" t="n"/>
      <c r="O667" s="99" t="n"/>
      <c r="P667" s="99" t="n"/>
      <c r="Q667" s="99" t="n"/>
      <c r="R667" s="99" t="n"/>
      <c r="S667" s="99" t="n"/>
      <c r="T667" s="99" t="n"/>
      <c r="U667" s="99" t="n"/>
      <c r="V667" s="99" t="n"/>
      <c r="W667" s="99" t="n"/>
      <c r="X667" s="99" t="n"/>
      <c r="Y667" s="99" t="n"/>
      <c r="Z667" s="99" t="n"/>
      <c r="AA667" s="99" t="n"/>
      <c r="AB667" s="99" t="n"/>
      <c r="AC667" s="99" t="n"/>
      <c r="AD667" s="99" t="n"/>
      <c r="AE667" s="99" t="n"/>
      <c r="AF667" s="99" t="n"/>
      <c r="AG667" s="99" t="n"/>
      <c r="AH667" s="99" t="n"/>
      <c r="AI667" s="99" t="n"/>
      <c r="AJ667" s="99" t="n"/>
      <c r="AK667" s="99" t="n"/>
      <c r="AL667" s="99" t="n"/>
      <c r="AM667" s="99" t="n"/>
      <c r="AN667" s="99" t="n"/>
      <c r="AO667" s="99" t="n"/>
      <c r="AP667" s="99" t="n"/>
      <c r="AQ667" s="99" t="n"/>
      <c r="AR667" s="99" t="n"/>
    </row>
    <row r="668">
      <c r="D668" s="100" t="n"/>
      <c r="E668" s="100" t="n"/>
      <c r="F668" s="100" t="n"/>
      <c r="G668" s="100" t="n"/>
      <c r="H668" s="100" t="n"/>
      <c r="I668" s="100" t="n"/>
      <c r="J668" s="100" t="n"/>
      <c r="K668" s="100" t="n"/>
      <c r="L668" s="100" t="n"/>
      <c r="M668" s="100" t="n"/>
      <c r="N668" s="100" t="n"/>
      <c r="O668" s="100" t="n"/>
      <c r="P668" s="100" t="n"/>
      <c r="Q668" s="100" t="n"/>
      <c r="R668" s="100" t="n"/>
      <c r="S668" s="100" t="n"/>
      <c r="T668" s="100" t="n"/>
      <c r="U668" s="100" t="n"/>
      <c r="V668" s="100" t="n"/>
      <c r="W668" s="100" t="n"/>
      <c r="X668" s="100" t="n"/>
      <c r="Y668" s="100" t="n"/>
      <c r="Z668" s="100" t="n"/>
      <c r="AA668" s="100" t="n"/>
      <c r="AB668" s="100" t="n"/>
      <c r="AC668" s="100" t="n"/>
      <c r="AD668" s="100" t="n"/>
      <c r="AE668" s="100" t="n"/>
      <c r="AF668" s="100" t="n"/>
      <c r="AG668" s="100" t="n"/>
      <c r="AH668" s="100" t="n"/>
      <c r="AI668" s="100" t="n"/>
      <c r="AJ668" s="100" t="n"/>
      <c r="AK668" s="100" t="n"/>
      <c r="AL668" s="100" t="n"/>
      <c r="AM668" s="100" t="n"/>
      <c r="AN668" s="100" t="n"/>
      <c r="AO668" s="100" t="n"/>
      <c r="AP668" s="100" t="n"/>
      <c r="AQ668" s="100" t="n"/>
      <c r="AR668" s="100" t="n"/>
    </row>
    <row r="670">
      <c r="A670" s="6">
        <f>IF(HSI!$C$67="","",HSI!$C$67)</f>
        <v/>
      </c>
      <c r="B670" s="96">
        <f>IF($A670="",0,COUNT($E671:$AR671))</f>
        <v/>
      </c>
      <c r="C670" s="97">
        <f>IF($B670=0,0,MAX($E671:$AR671))</f>
        <v/>
      </c>
      <c r="D670" s="98">
        <f>BDS($A670,FLD_HIST,"headers=y","startcol=1","endcol=7","dir=h","DVD_START_DT",HIST_FROM,"DVD_END_DT",HIST_TO)</f>
        <v/>
      </c>
      <c r="E670" s="99" t="n"/>
      <c r="F670" s="99" t="n"/>
      <c r="G670" s="99" t="n"/>
      <c r="H670" s="99" t="n"/>
      <c r="I670" s="99" t="n"/>
      <c r="J670" s="99" t="n"/>
      <c r="K670" s="99" t="n"/>
      <c r="L670" s="99" t="n"/>
      <c r="M670" s="99" t="n"/>
      <c r="N670" s="99" t="n"/>
      <c r="O670" s="99" t="n"/>
      <c r="P670" s="99" t="n"/>
      <c r="Q670" s="99" t="n"/>
      <c r="R670" s="99" t="n"/>
      <c r="S670" s="99" t="n"/>
      <c r="T670" s="99" t="n"/>
      <c r="U670" s="99" t="n"/>
      <c r="V670" s="99" t="n"/>
      <c r="W670" s="99" t="n"/>
      <c r="X670" s="99" t="n"/>
      <c r="Y670" s="99" t="n"/>
      <c r="Z670" s="99" t="n"/>
      <c r="AA670" s="99" t="n"/>
      <c r="AB670" s="99" t="n"/>
      <c r="AC670" s="99" t="n"/>
      <c r="AD670" s="99" t="n"/>
      <c r="AE670" s="99" t="n"/>
      <c r="AF670" s="99" t="n"/>
      <c r="AG670" s="99" t="n"/>
      <c r="AH670" s="99" t="n"/>
      <c r="AI670" s="99" t="n"/>
      <c r="AJ670" s="99" t="n"/>
      <c r="AK670" s="99" t="n"/>
      <c r="AL670" s="99" t="n"/>
      <c r="AM670" s="99" t="n"/>
      <c r="AN670" s="99" t="n"/>
      <c r="AO670" s="99" t="n"/>
      <c r="AP670" s="99" t="n"/>
      <c r="AQ670" s="99" t="n"/>
      <c r="AR670" s="99" t="n"/>
    </row>
    <row r="671">
      <c r="D671" s="99" t="n"/>
      <c r="E671" s="99" t="n"/>
      <c r="F671" s="99" t="n"/>
      <c r="G671" s="99" t="n"/>
      <c r="H671" s="99" t="n"/>
      <c r="I671" s="99" t="n"/>
      <c r="J671" s="99" t="n"/>
      <c r="K671" s="99" t="n"/>
      <c r="L671" s="99" t="n"/>
      <c r="M671" s="99" t="n"/>
      <c r="N671" s="99" t="n"/>
      <c r="O671" s="99" t="n"/>
      <c r="P671" s="99" t="n"/>
      <c r="Q671" s="99" t="n"/>
      <c r="R671" s="99" t="n"/>
      <c r="S671" s="99" t="n"/>
      <c r="T671" s="99" t="n"/>
      <c r="U671" s="99" t="n"/>
      <c r="V671" s="99" t="n"/>
      <c r="W671" s="99" t="n"/>
      <c r="X671" s="99" t="n"/>
      <c r="Y671" s="99" t="n"/>
      <c r="Z671" s="99" t="n"/>
      <c r="AA671" s="99" t="n"/>
      <c r="AB671" s="99" t="n"/>
      <c r="AC671" s="99" t="n"/>
      <c r="AD671" s="99" t="n"/>
      <c r="AE671" s="99" t="n"/>
      <c r="AF671" s="99" t="n"/>
      <c r="AG671" s="99" t="n"/>
      <c r="AH671" s="99" t="n"/>
      <c r="AI671" s="99" t="n"/>
      <c r="AJ671" s="99" t="n"/>
      <c r="AK671" s="99" t="n"/>
      <c r="AL671" s="99" t="n"/>
      <c r="AM671" s="99" t="n"/>
      <c r="AN671" s="99" t="n"/>
      <c r="AO671" s="99" t="n"/>
      <c r="AP671" s="99" t="n"/>
      <c r="AQ671" s="99" t="n"/>
      <c r="AR671" s="99" t="n"/>
    </row>
    <row r="672">
      <c r="D672" s="99" t="n"/>
      <c r="E672" s="99" t="n"/>
      <c r="F672" s="99" t="n"/>
      <c r="G672" s="99" t="n"/>
      <c r="H672" s="99" t="n"/>
      <c r="I672" s="99" t="n"/>
      <c r="J672" s="99" t="n"/>
      <c r="K672" s="99" t="n"/>
      <c r="L672" s="99" t="n"/>
      <c r="M672" s="99" t="n"/>
      <c r="N672" s="99" t="n"/>
      <c r="O672" s="99" t="n"/>
      <c r="P672" s="99" t="n"/>
      <c r="Q672" s="99" t="n"/>
      <c r="R672" s="99" t="n"/>
      <c r="S672" s="99" t="n"/>
      <c r="T672" s="99" t="n"/>
      <c r="U672" s="99" t="n"/>
      <c r="V672" s="99" t="n"/>
      <c r="W672" s="99" t="n"/>
      <c r="X672" s="99" t="n"/>
      <c r="Y672" s="99" t="n"/>
      <c r="Z672" s="99" t="n"/>
      <c r="AA672" s="99" t="n"/>
      <c r="AB672" s="99" t="n"/>
      <c r="AC672" s="99" t="n"/>
      <c r="AD672" s="99" t="n"/>
      <c r="AE672" s="99" t="n"/>
      <c r="AF672" s="99" t="n"/>
      <c r="AG672" s="99" t="n"/>
      <c r="AH672" s="99" t="n"/>
      <c r="AI672" s="99" t="n"/>
      <c r="AJ672" s="99" t="n"/>
      <c r="AK672" s="99" t="n"/>
      <c r="AL672" s="99" t="n"/>
      <c r="AM672" s="99" t="n"/>
      <c r="AN672" s="99" t="n"/>
      <c r="AO672" s="99" t="n"/>
      <c r="AP672" s="99" t="n"/>
      <c r="AQ672" s="99" t="n"/>
      <c r="AR672" s="99" t="n"/>
    </row>
    <row r="673">
      <c r="D673" s="99" t="n"/>
      <c r="E673" s="99" t="n"/>
      <c r="F673" s="99" t="n"/>
      <c r="G673" s="99" t="n"/>
      <c r="H673" s="99" t="n"/>
      <c r="I673" s="99" t="n"/>
      <c r="J673" s="99" t="n"/>
      <c r="K673" s="99" t="n"/>
      <c r="L673" s="99" t="n"/>
      <c r="M673" s="99" t="n"/>
      <c r="N673" s="99" t="n"/>
      <c r="O673" s="99" t="n"/>
      <c r="P673" s="99" t="n"/>
      <c r="Q673" s="99" t="n"/>
      <c r="R673" s="99" t="n"/>
      <c r="S673" s="99" t="n"/>
      <c r="T673" s="99" t="n"/>
      <c r="U673" s="99" t="n"/>
      <c r="V673" s="99" t="n"/>
      <c r="W673" s="99" t="n"/>
      <c r="X673" s="99" t="n"/>
      <c r="Y673" s="99" t="n"/>
      <c r="Z673" s="99" t="n"/>
      <c r="AA673" s="99" t="n"/>
      <c r="AB673" s="99" t="n"/>
      <c r="AC673" s="99" t="n"/>
      <c r="AD673" s="99" t="n"/>
      <c r="AE673" s="99" t="n"/>
      <c r="AF673" s="99" t="n"/>
      <c r="AG673" s="99" t="n"/>
      <c r="AH673" s="99" t="n"/>
      <c r="AI673" s="99" t="n"/>
      <c r="AJ673" s="99" t="n"/>
      <c r="AK673" s="99" t="n"/>
      <c r="AL673" s="99" t="n"/>
      <c r="AM673" s="99" t="n"/>
      <c r="AN673" s="99" t="n"/>
      <c r="AO673" s="99" t="n"/>
      <c r="AP673" s="99" t="n"/>
      <c r="AQ673" s="99" t="n"/>
      <c r="AR673" s="99" t="n"/>
    </row>
    <row r="674">
      <c r="D674" s="100" t="n"/>
      <c r="E674" s="100" t="n"/>
      <c r="F674" s="100" t="n"/>
      <c r="G674" s="100" t="n"/>
      <c r="H674" s="100" t="n"/>
      <c r="I674" s="100" t="n"/>
      <c r="J674" s="100" t="n"/>
      <c r="K674" s="100" t="n"/>
      <c r="L674" s="100" t="n"/>
      <c r="M674" s="100" t="n"/>
      <c r="N674" s="100" t="n"/>
      <c r="O674" s="100" t="n"/>
      <c r="P674" s="100" t="n"/>
      <c r="Q674" s="100" t="n"/>
      <c r="R674" s="100" t="n"/>
      <c r="S674" s="100" t="n"/>
      <c r="T674" s="100" t="n"/>
      <c r="U674" s="100" t="n"/>
      <c r="V674" s="100" t="n"/>
      <c r="W674" s="100" t="n"/>
      <c r="X674" s="100" t="n"/>
      <c r="Y674" s="100" t="n"/>
      <c r="Z674" s="100" t="n"/>
      <c r="AA674" s="100" t="n"/>
      <c r="AB674" s="100" t="n"/>
      <c r="AC674" s="100" t="n"/>
      <c r="AD674" s="100" t="n"/>
      <c r="AE674" s="100" t="n"/>
      <c r="AF674" s="100" t="n"/>
      <c r="AG674" s="100" t="n"/>
      <c r="AH674" s="100" t="n"/>
      <c r="AI674" s="100" t="n"/>
      <c r="AJ674" s="100" t="n"/>
      <c r="AK674" s="100" t="n"/>
      <c r="AL674" s="100" t="n"/>
      <c r="AM674" s="100" t="n"/>
      <c r="AN674" s="100" t="n"/>
      <c r="AO674" s="100" t="n"/>
      <c r="AP674" s="100" t="n"/>
      <c r="AQ674" s="100" t="n"/>
      <c r="AR674" s="100" t="n"/>
    </row>
    <row r="677">
      <c r="A677" s="2">
        <f>IF($A670="","","   projections")</f>
        <v/>
      </c>
      <c r="B677" s="96">
        <f>IF($A670="",0,COUNT($E678:$AR678))</f>
        <v/>
      </c>
      <c r="C677" s="97">
        <f>IF($B677=0,0,MAX($E678:$AR678))</f>
        <v/>
      </c>
      <c r="D677" s="98">
        <f>BDS($A670,FLD_PROJ,"headers=y","startcol=1","endcol=3","dir=h")</f>
        <v/>
      </c>
      <c r="E677" s="99" t="n"/>
      <c r="F677" s="99" t="n"/>
      <c r="G677" s="99" t="n"/>
      <c r="H677" s="99" t="n"/>
      <c r="I677" s="99" t="n"/>
      <c r="J677" s="99" t="n"/>
      <c r="K677" s="99" t="n"/>
      <c r="L677" s="99" t="n"/>
      <c r="M677" s="99" t="n"/>
      <c r="N677" s="99" t="n"/>
      <c r="O677" s="99" t="n"/>
      <c r="P677" s="99" t="n"/>
      <c r="Q677" s="99" t="n"/>
      <c r="R677" s="99" t="n"/>
      <c r="S677" s="99" t="n"/>
      <c r="T677" s="99" t="n"/>
      <c r="U677" s="99" t="n"/>
      <c r="V677" s="99" t="n"/>
      <c r="W677" s="99" t="n"/>
      <c r="X677" s="99" t="n"/>
      <c r="Y677" s="99" t="n"/>
      <c r="Z677" s="99" t="n"/>
      <c r="AA677" s="99" t="n"/>
      <c r="AB677" s="99" t="n"/>
      <c r="AC677" s="99" t="n"/>
      <c r="AD677" s="99" t="n"/>
      <c r="AE677" s="99" t="n"/>
      <c r="AF677" s="99" t="n"/>
      <c r="AG677" s="99" t="n"/>
      <c r="AH677" s="99" t="n"/>
      <c r="AI677" s="99" t="n"/>
      <c r="AJ677" s="99" t="n"/>
      <c r="AK677" s="99" t="n"/>
      <c r="AL677" s="99" t="n"/>
      <c r="AM677" s="99" t="n"/>
      <c r="AN677" s="99" t="n"/>
      <c r="AO677" s="99" t="n"/>
      <c r="AP677" s="99" t="n"/>
      <c r="AQ677" s="99" t="n"/>
      <c r="AR677" s="99" t="n"/>
    </row>
    <row r="678">
      <c r="D678" s="99" t="n"/>
      <c r="E678" s="99" t="n"/>
      <c r="F678" s="99" t="n"/>
      <c r="G678" s="99" t="n"/>
      <c r="H678" s="99" t="n"/>
      <c r="I678" s="99" t="n"/>
      <c r="J678" s="99" t="n"/>
      <c r="K678" s="99" t="n"/>
      <c r="L678" s="99" t="n"/>
      <c r="M678" s="99" t="n"/>
      <c r="N678" s="99" t="n"/>
      <c r="O678" s="99" t="n"/>
      <c r="P678" s="99" t="n"/>
      <c r="Q678" s="99" t="n"/>
      <c r="R678" s="99" t="n"/>
      <c r="S678" s="99" t="n"/>
      <c r="T678" s="99" t="n"/>
      <c r="U678" s="99" t="n"/>
      <c r="V678" s="99" t="n"/>
      <c r="W678" s="99" t="n"/>
      <c r="X678" s="99" t="n"/>
      <c r="Y678" s="99" t="n"/>
      <c r="Z678" s="99" t="n"/>
      <c r="AA678" s="99" t="n"/>
      <c r="AB678" s="99" t="n"/>
      <c r="AC678" s="99" t="n"/>
      <c r="AD678" s="99" t="n"/>
      <c r="AE678" s="99" t="n"/>
      <c r="AF678" s="99" t="n"/>
      <c r="AG678" s="99" t="n"/>
      <c r="AH678" s="99" t="n"/>
      <c r="AI678" s="99" t="n"/>
      <c r="AJ678" s="99" t="n"/>
      <c r="AK678" s="99" t="n"/>
      <c r="AL678" s="99" t="n"/>
      <c r="AM678" s="99" t="n"/>
      <c r="AN678" s="99" t="n"/>
      <c r="AO678" s="99" t="n"/>
      <c r="AP678" s="99" t="n"/>
      <c r="AQ678" s="99" t="n"/>
      <c r="AR678" s="99" t="n"/>
    </row>
    <row r="679">
      <c r="D679" s="100" t="n"/>
      <c r="E679" s="100" t="n"/>
      <c r="F679" s="100" t="n"/>
      <c r="G679" s="100" t="n"/>
      <c r="H679" s="100" t="n"/>
      <c r="I679" s="100" t="n"/>
      <c r="J679" s="100" t="n"/>
      <c r="K679" s="100" t="n"/>
      <c r="L679" s="100" t="n"/>
      <c r="M679" s="100" t="n"/>
      <c r="N679" s="100" t="n"/>
      <c r="O679" s="100" t="n"/>
      <c r="P679" s="100" t="n"/>
      <c r="Q679" s="100" t="n"/>
      <c r="R679" s="100" t="n"/>
      <c r="S679" s="100" t="n"/>
      <c r="T679" s="100" t="n"/>
      <c r="U679" s="100" t="n"/>
      <c r="V679" s="100" t="n"/>
      <c r="W679" s="100" t="n"/>
      <c r="X679" s="100" t="n"/>
      <c r="Y679" s="100" t="n"/>
      <c r="Z679" s="100" t="n"/>
      <c r="AA679" s="100" t="n"/>
      <c r="AB679" s="100" t="n"/>
      <c r="AC679" s="100" t="n"/>
      <c r="AD679" s="100" t="n"/>
      <c r="AE679" s="100" t="n"/>
      <c r="AF679" s="100" t="n"/>
      <c r="AG679" s="100" t="n"/>
      <c r="AH679" s="100" t="n"/>
      <c r="AI679" s="100" t="n"/>
      <c r="AJ679" s="100" t="n"/>
      <c r="AK679" s="100" t="n"/>
      <c r="AL679" s="100" t="n"/>
      <c r="AM679" s="100" t="n"/>
      <c r="AN679" s="100" t="n"/>
      <c r="AO679" s="100" t="n"/>
      <c r="AP679" s="100" t="n"/>
      <c r="AQ679" s="100" t="n"/>
      <c r="AR679" s="100" t="n"/>
    </row>
    <row r="681">
      <c r="A681" s="6">
        <f>IF(HSI!$C$68="","",HSI!$C$68)</f>
        <v/>
      </c>
      <c r="B681" s="96">
        <f>IF($A681="",0,COUNT($E682:$AR682))</f>
        <v/>
      </c>
      <c r="C681" s="97">
        <f>IF($B681=0,0,MAX($E682:$AR682))</f>
        <v/>
      </c>
      <c r="D681" s="98">
        <f>BDS($A681,FLD_HIST,"headers=y","startcol=1","endcol=7","dir=h","DVD_START_DT",HIST_FROM,"DVD_END_DT",HIST_TO)</f>
        <v/>
      </c>
      <c r="E681" s="99" t="n"/>
      <c r="F681" s="99" t="n"/>
      <c r="G681" s="99" t="n"/>
      <c r="H681" s="99" t="n"/>
      <c r="I681" s="99" t="n"/>
      <c r="J681" s="99" t="n"/>
      <c r="K681" s="99" t="n"/>
      <c r="L681" s="99" t="n"/>
      <c r="M681" s="99" t="n"/>
      <c r="N681" s="99" t="n"/>
      <c r="O681" s="99" t="n"/>
      <c r="P681" s="99" t="n"/>
      <c r="Q681" s="99" t="n"/>
      <c r="R681" s="99" t="n"/>
      <c r="S681" s="99" t="n"/>
      <c r="T681" s="99" t="n"/>
      <c r="U681" s="99" t="n"/>
      <c r="V681" s="99" t="n"/>
      <c r="W681" s="99" t="n"/>
      <c r="X681" s="99" t="n"/>
      <c r="Y681" s="99" t="n"/>
      <c r="Z681" s="99" t="n"/>
      <c r="AA681" s="99" t="n"/>
      <c r="AB681" s="99" t="n"/>
      <c r="AC681" s="99" t="n"/>
      <c r="AD681" s="99" t="n"/>
      <c r="AE681" s="99" t="n"/>
      <c r="AF681" s="99" t="n"/>
      <c r="AG681" s="99" t="n"/>
      <c r="AH681" s="99" t="n"/>
      <c r="AI681" s="99" t="n"/>
      <c r="AJ681" s="99" t="n"/>
      <c r="AK681" s="99" t="n"/>
      <c r="AL681" s="99" t="n"/>
      <c r="AM681" s="99" t="n"/>
      <c r="AN681" s="99" t="n"/>
      <c r="AO681" s="99" t="n"/>
      <c r="AP681" s="99" t="n"/>
      <c r="AQ681" s="99" t="n"/>
      <c r="AR681" s="99" t="n"/>
    </row>
    <row r="682">
      <c r="D682" s="99" t="n"/>
      <c r="E682" s="99" t="n"/>
      <c r="F682" s="99" t="n"/>
      <c r="G682" s="99" t="n"/>
      <c r="H682" s="99" t="n"/>
      <c r="I682" s="99" t="n"/>
      <c r="J682" s="99" t="n"/>
      <c r="K682" s="99" t="n"/>
      <c r="L682" s="99" t="n"/>
      <c r="M682" s="99" t="n"/>
      <c r="N682" s="99" t="n"/>
      <c r="O682" s="99" t="n"/>
      <c r="P682" s="99" t="n"/>
      <c r="Q682" s="99" t="n"/>
      <c r="R682" s="99" t="n"/>
      <c r="S682" s="99" t="n"/>
      <c r="T682" s="99" t="n"/>
      <c r="U682" s="99" t="n"/>
      <c r="V682" s="99" t="n"/>
      <c r="W682" s="99" t="n"/>
      <c r="X682" s="99" t="n"/>
      <c r="Y682" s="99" t="n"/>
      <c r="Z682" s="99" t="n"/>
      <c r="AA682" s="99" t="n"/>
      <c r="AB682" s="99" t="n"/>
      <c r="AC682" s="99" t="n"/>
      <c r="AD682" s="99" t="n"/>
      <c r="AE682" s="99" t="n"/>
      <c r="AF682" s="99" t="n"/>
      <c r="AG682" s="99" t="n"/>
      <c r="AH682" s="99" t="n"/>
      <c r="AI682" s="99" t="n"/>
      <c r="AJ682" s="99" t="n"/>
      <c r="AK682" s="99" t="n"/>
      <c r="AL682" s="99" t="n"/>
      <c r="AM682" s="99" t="n"/>
      <c r="AN682" s="99" t="n"/>
      <c r="AO682" s="99" t="n"/>
      <c r="AP682" s="99" t="n"/>
      <c r="AQ682" s="99" t="n"/>
      <c r="AR682" s="99" t="n"/>
    </row>
    <row r="683">
      <c r="D683" s="99" t="n"/>
      <c r="E683" s="99" t="n"/>
      <c r="F683" s="99" t="n"/>
      <c r="G683" s="99" t="n"/>
      <c r="H683" s="99" t="n"/>
      <c r="I683" s="99" t="n"/>
      <c r="J683" s="99" t="n"/>
      <c r="K683" s="99" t="n"/>
      <c r="L683" s="99" t="n"/>
      <c r="M683" s="99" t="n"/>
      <c r="N683" s="99" t="n"/>
      <c r="O683" s="99" t="n"/>
      <c r="P683" s="99" t="n"/>
      <c r="Q683" s="99" t="n"/>
      <c r="R683" s="99" t="n"/>
      <c r="S683" s="99" t="n"/>
      <c r="T683" s="99" t="n"/>
      <c r="U683" s="99" t="n"/>
      <c r="V683" s="99" t="n"/>
      <c r="W683" s="99" t="n"/>
      <c r="X683" s="99" t="n"/>
      <c r="Y683" s="99" t="n"/>
      <c r="Z683" s="99" t="n"/>
      <c r="AA683" s="99" t="n"/>
      <c r="AB683" s="99" t="n"/>
      <c r="AC683" s="99" t="n"/>
      <c r="AD683" s="99" t="n"/>
      <c r="AE683" s="99" t="n"/>
      <c r="AF683" s="99" t="n"/>
      <c r="AG683" s="99" t="n"/>
      <c r="AH683" s="99" t="n"/>
      <c r="AI683" s="99" t="n"/>
      <c r="AJ683" s="99" t="n"/>
      <c r="AK683" s="99" t="n"/>
      <c r="AL683" s="99" t="n"/>
      <c r="AM683" s="99" t="n"/>
      <c r="AN683" s="99" t="n"/>
      <c r="AO683" s="99" t="n"/>
      <c r="AP683" s="99" t="n"/>
      <c r="AQ683" s="99" t="n"/>
      <c r="AR683" s="99" t="n"/>
    </row>
    <row r="684">
      <c r="D684" s="99" t="n"/>
      <c r="E684" s="99" t="n"/>
      <c r="F684" s="99" t="n"/>
      <c r="G684" s="99" t="n"/>
      <c r="H684" s="99" t="n"/>
      <c r="I684" s="99" t="n"/>
      <c r="J684" s="99" t="n"/>
      <c r="K684" s="99" t="n"/>
      <c r="L684" s="99" t="n"/>
      <c r="M684" s="99" t="n"/>
      <c r="N684" s="99" t="n"/>
      <c r="O684" s="99" t="n"/>
      <c r="P684" s="99" t="n"/>
      <c r="Q684" s="99" t="n"/>
      <c r="R684" s="99" t="n"/>
      <c r="S684" s="99" t="n"/>
      <c r="T684" s="99" t="n"/>
      <c r="U684" s="99" t="n"/>
      <c r="V684" s="99" t="n"/>
      <c r="W684" s="99" t="n"/>
      <c r="X684" s="99" t="n"/>
      <c r="Y684" s="99" t="n"/>
      <c r="Z684" s="99" t="n"/>
      <c r="AA684" s="99" t="n"/>
      <c r="AB684" s="99" t="n"/>
      <c r="AC684" s="99" t="n"/>
      <c r="AD684" s="99" t="n"/>
      <c r="AE684" s="99" t="n"/>
      <c r="AF684" s="99" t="n"/>
      <c r="AG684" s="99" t="n"/>
      <c r="AH684" s="99" t="n"/>
      <c r="AI684" s="99" t="n"/>
      <c r="AJ684" s="99" t="n"/>
      <c r="AK684" s="99" t="n"/>
      <c r="AL684" s="99" t="n"/>
      <c r="AM684" s="99" t="n"/>
      <c r="AN684" s="99" t="n"/>
      <c r="AO684" s="99" t="n"/>
      <c r="AP684" s="99" t="n"/>
      <c r="AQ684" s="99" t="n"/>
      <c r="AR684" s="99" t="n"/>
    </row>
    <row r="685">
      <c r="D685" s="100" t="n"/>
      <c r="E685" s="100" t="n"/>
      <c r="F685" s="100" t="n"/>
      <c r="G685" s="100" t="n"/>
      <c r="H685" s="100" t="n"/>
      <c r="I685" s="100" t="n"/>
      <c r="J685" s="100" t="n"/>
      <c r="K685" s="100" t="n"/>
      <c r="L685" s="100" t="n"/>
      <c r="M685" s="100" t="n"/>
      <c r="N685" s="100" t="n"/>
      <c r="O685" s="100" t="n"/>
      <c r="P685" s="100" t="n"/>
      <c r="Q685" s="100" t="n"/>
      <c r="R685" s="100" t="n"/>
      <c r="S685" s="100" t="n"/>
      <c r="T685" s="100" t="n"/>
      <c r="U685" s="100" t="n"/>
      <c r="V685" s="100" t="n"/>
      <c r="W685" s="100" t="n"/>
      <c r="X685" s="100" t="n"/>
      <c r="Y685" s="100" t="n"/>
      <c r="Z685" s="100" t="n"/>
      <c r="AA685" s="100" t="n"/>
      <c r="AB685" s="100" t="n"/>
      <c r="AC685" s="100" t="n"/>
      <c r="AD685" s="100" t="n"/>
      <c r="AE685" s="100" t="n"/>
      <c r="AF685" s="100" t="n"/>
      <c r="AG685" s="100" t="n"/>
      <c r="AH685" s="100" t="n"/>
      <c r="AI685" s="100" t="n"/>
      <c r="AJ685" s="100" t="n"/>
      <c r="AK685" s="100" t="n"/>
      <c r="AL685" s="100" t="n"/>
      <c r="AM685" s="100" t="n"/>
      <c r="AN685" s="100" t="n"/>
      <c r="AO685" s="100" t="n"/>
      <c r="AP685" s="100" t="n"/>
      <c r="AQ685" s="100" t="n"/>
      <c r="AR685" s="100" t="n"/>
    </row>
    <row r="688">
      <c r="A688" s="2">
        <f>IF($A681="","","   projections")</f>
        <v/>
      </c>
      <c r="B688" s="96">
        <f>IF($A681="",0,COUNT($E689:$AR689))</f>
        <v/>
      </c>
      <c r="C688" s="97">
        <f>IF($B688=0,0,MAX($E689:$AR689))</f>
        <v/>
      </c>
      <c r="D688" s="98">
        <f>BDS($A681,FLD_PROJ,"headers=y","startcol=1","endcol=3","dir=h")</f>
        <v/>
      </c>
      <c r="E688" s="99" t="n"/>
      <c r="F688" s="99" t="n"/>
      <c r="G688" s="99" t="n"/>
      <c r="H688" s="99" t="n"/>
      <c r="I688" s="99" t="n"/>
      <c r="J688" s="99" t="n"/>
      <c r="K688" s="99" t="n"/>
      <c r="L688" s="99" t="n"/>
      <c r="M688" s="99" t="n"/>
      <c r="N688" s="99" t="n"/>
      <c r="O688" s="99" t="n"/>
      <c r="P688" s="99" t="n"/>
      <c r="Q688" s="99" t="n"/>
      <c r="R688" s="99" t="n"/>
      <c r="S688" s="99" t="n"/>
      <c r="T688" s="99" t="n"/>
      <c r="U688" s="99" t="n"/>
      <c r="V688" s="99" t="n"/>
      <c r="W688" s="99" t="n"/>
      <c r="X688" s="99" t="n"/>
      <c r="Y688" s="99" t="n"/>
      <c r="Z688" s="99" t="n"/>
      <c r="AA688" s="99" t="n"/>
      <c r="AB688" s="99" t="n"/>
      <c r="AC688" s="99" t="n"/>
      <c r="AD688" s="99" t="n"/>
      <c r="AE688" s="99" t="n"/>
      <c r="AF688" s="99" t="n"/>
      <c r="AG688" s="99" t="n"/>
      <c r="AH688" s="99" t="n"/>
      <c r="AI688" s="99" t="n"/>
      <c r="AJ688" s="99" t="n"/>
      <c r="AK688" s="99" t="n"/>
      <c r="AL688" s="99" t="n"/>
      <c r="AM688" s="99" t="n"/>
      <c r="AN688" s="99" t="n"/>
      <c r="AO688" s="99" t="n"/>
      <c r="AP688" s="99" t="n"/>
      <c r="AQ688" s="99" t="n"/>
      <c r="AR688" s="99" t="n"/>
    </row>
    <row r="689">
      <c r="D689" s="99" t="n"/>
      <c r="E689" s="99" t="n"/>
      <c r="F689" s="99" t="n"/>
      <c r="G689" s="99" t="n"/>
      <c r="H689" s="99" t="n"/>
      <c r="I689" s="99" t="n"/>
      <c r="J689" s="99" t="n"/>
      <c r="K689" s="99" t="n"/>
      <c r="L689" s="99" t="n"/>
      <c r="M689" s="99" t="n"/>
      <c r="N689" s="99" t="n"/>
      <c r="O689" s="99" t="n"/>
      <c r="P689" s="99" t="n"/>
      <c r="Q689" s="99" t="n"/>
      <c r="R689" s="99" t="n"/>
      <c r="S689" s="99" t="n"/>
      <c r="T689" s="99" t="n"/>
      <c r="U689" s="99" t="n"/>
      <c r="V689" s="99" t="n"/>
      <c r="W689" s="99" t="n"/>
      <c r="X689" s="99" t="n"/>
      <c r="Y689" s="99" t="n"/>
      <c r="Z689" s="99" t="n"/>
      <c r="AA689" s="99" t="n"/>
      <c r="AB689" s="99" t="n"/>
      <c r="AC689" s="99" t="n"/>
      <c r="AD689" s="99" t="n"/>
      <c r="AE689" s="99" t="n"/>
      <c r="AF689" s="99" t="n"/>
      <c r="AG689" s="99" t="n"/>
      <c r="AH689" s="99" t="n"/>
      <c r="AI689" s="99" t="n"/>
      <c r="AJ689" s="99" t="n"/>
      <c r="AK689" s="99" t="n"/>
      <c r="AL689" s="99" t="n"/>
      <c r="AM689" s="99" t="n"/>
      <c r="AN689" s="99" t="n"/>
      <c r="AO689" s="99" t="n"/>
      <c r="AP689" s="99" t="n"/>
      <c r="AQ689" s="99" t="n"/>
      <c r="AR689" s="99" t="n"/>
    </row>
    <row r="690">
      <c r="D690" s="100" t="n"/>
      <c r="E690" s="100" t="n"/>
      <c r="F690" s="100" t="n"/>
      <c r="G690" s="100" t="n"/>
      <c r="H690" s="100" t="n"/>
      <c r="I690" s="100" t="n"/>
      <c r="J690" s="100" t="n"/>
      <c r="K690" s="100" t="n"/>
      <c r="L690" s="100" t="n"/>
      <c r="M690" s="100" t="n"/>
      <c r="N690" s="100" t="n"/>
      <c r="O690" s="100" t="n"/>
      <c r="P690" s="100" t="n"/>
      <c r="Q690" s="100" t="n"/>
      <c r="R690" s="100" t="n"/>
      <c r="S690" s="100" t="n"/>
      <c r="T690" s="100" t="n"/>
      <c r="U690" s="100" t="n"/>
      <c r="V690" s="100" t="n"/>
      <c r="W690" s="100" t="n"/>
      <c r="X690" s="100" t="n"/>
      <c r="Y690" s="100" t="n"/>
      <c r="Z690" s="100" t="n"/>
      <c r="AA690" s="100" t="n"/>
      <c r="AB690" s="100" t="n"/>
      <c r="AC690" s="100" t="n"/>
      <c r="AD690" s="100" t="n"/>
      <c r="AE690" s="100" t="n"/>
      <c r="AF690" s="100" t="n"/>
      <c r="AG690" s="100" t="n"/>
      <c r="AH690" s="100" t="n"/>
      <c r="AI690" s="100" t="n"/>
      <c r="AJ690" s="100" t="n"/>
      <c r="AK690" s="100" t="n"/>
      <c r="AL690" s="100" t="n"/>
      <c r="AM690" s="100" t="n"/>
      <c r="AN690" s="100" t="n"/>
      <c r="AO690" s="100" t="n"/>
      <c r="AP690" s="100" t="n"/>
      <c r="AQ690" s="100" t="n"/>
      <c r="AR690" s="100" t="n"/>
    </row>
    <row r="692">
      <c r="A692" s="6">
        <f>IF(HSI!$C$69="","",HSI!$C$69)</f>
        <v/>
      </c>
      <c r="B692" s="96">
        <f>IF($A692="",0,COUNT($E693:$AR693))</f>
        <v/>
      </c>
      <c r="C692" s="97">
        <f>IF($B692=0,0,MAX($E693:$AR693))</f>
        <v/>
      </c>
      <c r="D692" s="98">
        <f>BDS($A692,FLD_HIST,"headers=y","startcol=1","endcol=7","dir=h","DVD_START_DT",HIST_FROM,"DVD_END_DT",HIST_TO)</f>
        <v/>
      </c>
      <c r="E692" s="99" t="n"/>
      <c r="F692" s="99" t="n"/>
      <c r="G692" s="99" t="n"/>
      <c r="H692" s="99" t="n"/>
      <c r="I692" s="99" t="n"/>
      <c r="J692" s="99" t="n"/>
      <c r="K692" s="99" t="n"/>
      <c r="L692" s="99" t="n"/>
      <c r="M692" s="99" t="n"/>
      <c r="N692" s="99" t="n"/>
      <c r="O692" s="99" t="n"/>
      <c r="P692" s="99" t="n"/>
      <c r="Q692" s="99" t="n"/>
      <c r="R692" s="99" t="n"/>
      <c r="S692" s="99" t="n"/>
      <c r="T692" s="99" t="n"/>
      <c r="U692" s="99" t="n"/>
      <c r="V692" s="99" t="n"/>
      <c r="W692" s="99" t="n"/>
      <c r="X692" s="99" t="n"/>
      <c r="Y692" s="99" t="n"/>
      <c r="Z692" s="99" t="n"/>
      <c r="AA692" s="99" t="n"/>
      <c r="AB692" s="99" t="n"/>
      <c r="AC692" s="99" t="n"/>
      <c r="AD692" s="99" t="n"/>
      <c r="AE692" s="99" t="n"/>
      <c r="AF692" s="99" t="n"/>
      <c r="AG692" s="99" t="n"/>
      <c r="AH692" s="99" t="n"/>
      <c r="AI692" s="99" t="n"/>
      <c r="AJ692" s="99" t="n"/>
      <c r="AK692" s="99" t="n"/>
      <c r="AL692" s="99" t="n"/>
      <c r="AM692" s="99" t="n"/>
      <c r="AN692" s="99" t="n"/>
      <c r="AO692" s="99" t="n"/>
      <c r="AP692" s="99" t="n"/>
      <c r="AQ692" s="99" t="n"/>
      <c r="AR692" s="99" t="n"/>
    </row>
    <row r="693">
      <c r="D693" s="99" t="n"/>
      <c r="E693" s="99" t="n"/>
      <c r="F693" s="99" t="n"/>
      <c r="G693" s="99" t="n"/>
      <c r="H693" s="99" t="n"/>
      <c r="I693" s="99" t="n"/>
      <c r="J693" s="99" t="n"/>
      <c r="K693" s="99" t="n"/>
      <c r="L693" s="99" t="n"/>
      <c r="M693" s="99" t="n"/>
      <c r="N693" s="99" t="n"/>
      <c r="O693" s="99" t="n"/>
      <c r="P693" s="99" t="n"/>
      <c r="Q693" s="99" t="n"/>
      <c r="R693" s="99" t="n"/>
      <c r="S693" s="99" t="n"/>
      <c r="T693" s="99" t="n"/>
      <c r="U693" s="99" t="n"/>
      <c r="V693" s="99" t="n"/>
      <c r="W693" s="99" t="n"/>
      <c r="X693" s="99" t="n"/>
      <c r="Y693" s="99" t="n"/>
      <c r="Z693" s="99" t="n"/>
      <c r="AA693" s="99" t="n"/>
      <c r="AB693" s="99" t="n"/>
      <c r="AC693" s="99" t="n"/>
      <c r="AD693" s="99" t="n"/>
      <c r="AE693" s="99" t="n"/>
      <c r="AF693" s="99" t="n"/>
      <c r="AG693" s="99" t="n"/>
      <c r="AH693" s="99" t="n"/>
      <c r="AI693" s="99" t="n"/>
      <c r="AJ693" s="99" t="n"/>
      <c r="AK693" s="99" t="n"/>
      <c r="AL693" s="99" t="n"/>
      <c r="AM693" s="99" t="n"/>
      <c r="AN693" s="99" t="n"/>
      <c r="AO693" s="99" t="n"/>
      <c r="AP693" s="99" t="n"/>
      <c r="AQ693" s="99" t="n"/>
      <c r="AR693" s="99" t="n"/>
    </row>
    <row r="694">
      <c r="D694" s="99" t="n"/>
      <c r="E694" s="99" t="n"/>
      <c r="F694" s="99" t="n"/>
      <c r="G694" s="99" t="n"/>
      <c r="H694" s="99" t="n"/>
      <c r="I694" s="99" t="n"/>
      <c r="J694" s="99" t="n"/>
      <c r="K694" s="99" t="n"/>
      <c r="L694" s="99" t="n"/>
      <c r="M694" s="99" t="n"/>
      <c r="N694" s="99" t="n"/>
      <c r="O694" s="99" t="n"/>
      <c r="P694" s="99" t="n"/>
      <c r="Q694" s="99" t="n"/>
      <c r="R694" s="99" t="n"/>
      <c r="S694" s="99" t="n"/>
      <c r="T694" s="99" t="n"/>
      <c r="U694" s="99" t="n"/>
      <c r="V694" s="99" t="n"/>
      <c r="W694" s="99" t="n"/>
      <c r="X694" s="99" t="n"/>
      <c r="Y694" s="99" t="n"/>
      <c r="Z694" s="99" t="n"/>
      <c r="AA694" s="99" t="n"/>
      <c r="AB694" s="99" t="n"/>
      <c r="AC694" s="99" t="n"/>
      <c r="AD694" s="99" t="n"/>
      <c r="AE694" s="99" t="n"/>
      <c r="AF694" s="99" t="n"/>
      <c r="AG694" s="99" t="n"/>
      <c r="AH694" s="99" t="n"/>
      <c r="AI694" s="99" t="n"/>
      <c r="AJ694" s="99" t="n"/>
      <c r="AK694" s="99" t="n"/>
      <c r="AL694" s="99" t="n"/>
      <c r="AM694" s="99" t="n"/>
      <c r="AN694" s="99" t="n"/>
      <c r="AO694" s="99" t="n"/>
      <c r="AP694" s="99" t="n"/>
      <c r="AQ694" s="99" t="n"/>
      <c r="AR694" s="99" t="n"/>
    </row>
    <row r="695">
      <c r="D695" s="99" t="n"/>
      <c r="E695" s="99" t="n"/>
      <c r="F695" s="99" t="n"/>
      <c r="G695" s="99" t="n"/>
      <c r="H695" s="99" t="n"/>
      <c r="I695" s="99" t="n"/>
      <c r="J695" s="99" t="n"/>
      <c r="K695" s="99" t="n"/>
      <c r="L695" s="99" t="n"/>
      <c r="M695" s="99" t="n"/>
      <c r="N695" s="99" t="n"/>
      <c r="O695" s="99" t="n"/>
      <c r="P695" s="99" t="n"/>
      <c r="Q695" s="99" t="n"/>
      <c r="R695" s="99" t="n"/>
      <c r="S695" s="99" t="n"/>
      <c r="T695" s="99" t="n"/>
      <c r="U695" s="99" t="n"/>
      <c r="V695" s="99" t="n"/>
      <c r="W695" s="99" t="n"/>
      <c r="X695" s="99" t="n"/>
      <c r="Y695" s="99" t="n"/>
      <c r="Z695" s="99" t="n"/>
      <c r="AA695" s="99" t="n"/>
      <c r="AB695" s="99" t="n"/>
      <c r="AC695" s="99" t="n"/>
      <c r="AD695" s="99" t="n"/>
      <c r="AE695" s="99" t="n"/>
      <c r="AF695" s="99" t="n"/>
      <c r="AG695" s="99" t="n"/>
      <c r="AH695" s="99" t="n"/>
      <c r="AI695" s="99" t="n"/>
      <c r="AJ695" s="99" t="n"/>
      <c r="AK695" s="99" t="n"/>
      <c r="AL695" s="99" t="n"/>
      <c r="AM695" s="99" t="n"/>
      <c r="AN695" s="99" t="n"/>
      <c r="AO695" s="99" t="n"/>
      <c r="AP695" s="99" t="n"/>
      <c r="AQ695" s="99" t="n"/>
      <c r="AR695" s="99" t="n"/>
    </row>
    <row r="696">
      <c r="D696" s="100" t="n"/>
      <c r="E696" s="100" t="n"/>
      <c r="F696" s="100" t="n"/>
      <c r="G696" s="100" t="n"/>
      <c r="H696" s="100" t="n"/>
      <c r="I696" s="100" t="n"/>
      <c r="J696" s="100" t="n"/>
      <c r="K696" s="100" t="n"/>
      <c r="L696" s="100" t="n"/>
      <c r="M696" s="100" t="n"/>
      <c r="N696" s="100" t="n"/>
      <c r="O696" s="100" t="n"/>
      <c r="P696" s="100" t="n"/>
      <c r="Q696" s="100" t="n"/>
      <c r="R696" s="100" t="n"/>
      <c r="S696" s="100" t="n"/>
      <c r="T696" s="100" t="n"/>
      <c r="U696" s="100" t="n"/>
      <c r="V696" s="100" t="n"/>
      <c r="W696" s="100" t="n"/>
      <c r="X696" s="100" t="n"/>
      <c r="Y696" s="100" t="n"/>
      <c r="Z696" s="100" t="n"/>
      <c r="AA696" s="100" t="n"/>
      <c r="AB696" s="100" t="n"/>
      <c r="AC696" s="100" t="n"/>
      <c r="AD696" s="100" t="n"/>
      <c r="AE696" s="100" t="n"/>
      <c r="AF696" s="100" t="n"/>
      <c r="AG696" s="100" t="n"/>
      <c r="AH696" s="100" t="n"/>
      <c r="AI696" s="100" t="n"/>
      <c r="AJ696" s="100" t="n"/>
      <c r="AK696" s="100" t="n"/>
      <c r="AL696" s="100" t="n"/>
      <c r="AM696" s="100" t="n"/>
      <c r="AN696" s="100" t="n"/>
      <c r="AO696" s="100" t="n"/>
      <c r="AP696" s="100" t="n"/>
      <c r="AQ696" s="100" t="n"/>
      <c r="AR696" s="100" t="n"/>
    </row>
    <row r="699">
      <c r="A699" s="2">
        <f>IF($A692="","","   projections")</f>
        <v/>
      </c>
      <c r="B699" s="96">
        <f>IF($A692="",0,COUNT($E700:$AR700))</f>
        <v/>
      </c>
      <c r="C699" s="97">
        <f>IF($B699=0,0,MAX($E700:$AR700))</f>
        <v/>
      </c>
      <c r="D699" s="98">
        <f>BDS($A692,FLD_PROJ,"headers=y","startcol=1","endcol=3","dir=h")</f>
        <v/>
      </c>
      <c r="E699" s="99" t="n"/>
      <c r="F699" s="99" t="n"/>
      <c r="G699" s="99" t="n"/>
      <c r="H699" s="99" t="n"/>
      <c r="I699" s="99" t="n"/>
      <c r="J699" s="99" t="n"/>
      <c r="K699" s="99" t="n"/>
      <c r="L699" s="99" t="n"/>
      <c r="M699" s="99" t="n"/>
      <c r="N699" s="99" t="n"/>
      <c r="O699" s="99" t="n"/>
      <c r="P699" s="99" t="n"/>
      <c r="Q699" s="99" t="n"/>
      <c r="R699" s="99" t="n"/>
      <c r="S699" s="99" t="n"/>
      <c r="T699" s="99" t="n"/>
      <c r="U699" s="99" t="n"/>
      <c r="V699" s="99" t="n"/>
      <c r="W699" s="99" t="n"/>
      <c r="X699" s="99" t="n"/>
      <c r="Y699" s="99" t="n"/>
      <c r="Z699" s="99" t="n"/>
      <c r="AA699" s="99" t="n"/>
      <c r="AB699" s="99" t="n"/>
      <c r="AC699" s="99" t="n"/>
      <c r="AD699" s="99" t="n"/>
      <c r="AE699" s="99" t="n"/>
      <c r="AF699" s="99" t="n"/>
      <c r="AG699" s="99" t="n"/>
      <c r="AH699" s="99" t="n"/>
      <c r="AI699" s="99" t="n"/>
      <c r="AJ699" s="99" t="n"/>
      <c r="AK699" s="99" t="n"/>
      <c r="AL699" s="99" t="n"/>
      <c r="AM699" s="99" t="n"/>
      <c r="AN699" s="99" t="n"/>
      <c r="AO699" s="99" t="n"/>
      <c r="AP699" s="99" t="n"/>
      <c r="AQ699" s="99" t="n"/>
      <c r="AR699" s="99" t="n"/>
    </row>
    <row r="700">
      <c r="D700" s="99" t="n"/>
      <c r="E700" s="99" t="n"/>
      <c r="F700" s="99" t="n"/>
      <c r="G700" s="99" t="n"/>
      <c r="H700" s="99" t="n"/>
      <c r="I700" s="99" t="n"/>
      <c r="J700" s="99" t="n"/>
      <c r="K700" s="99" t="n"/>
      <c r="L700" s="99" t="n"/>
      <c r="M700" s="99" t="n"/>
      <c r="N700" s="99" t="n"/>
      <c r="O700" s="99" t="n"/>
      <c r="P700" s="99" t="n"/>
      <c r="Q700" s="99" t="n"/>
      <c r="R700" s="99" t="n"/>
      <c r="S700" s="99" t="n"/>
      <c r="T700" s="99" t="n"/>
      <c r="U700" s="99" t="n"/>
      <c r="V700" s="99" t="n"/>
      <c r="W700" s="99" t="n"/>
      <c r="X700" s="99" t="n"/>
      <c r="Y700" s="99" t="n"/>
      <c r="Z700" s="99" t="n"/>
      <c r="AA700" s="99" t="n"/>
      <c r="AB700" s="99" t="n"/>
      <c r="AC700" s="99" t="n"/>
      <c r="AD700" s="99" t="n"/>
      <c r="AE700" s="99" t="n"/>
      <c r="AF700" s="99" t="n"/>
      <c r="AG700" s="99" t="n"/>
      <c r="AH700" s="99" t="n"/>
      <c r="AI700" s="99" t="n"/>
      <c r="AJ700" s="99" t="n"/>
      <c r="AK700" s="99" t="n"/>
      <c r="AL700" s="99" t="n"/>
      <c r="AM700" s="99" t="n"/>
      <c r="AN700" s="99" t="n"/>
      <c r="AO700" s="99" t="n"/>
      <c r="AP700" s="99" t="n"/>
      <c r="AQ700" s="99" t="n"/>
      <c r="AR700" s="99" t="n"/>
    </row>
    <row r="701">
      <c r="D701" s="100" t="n"/>
      <c r="E701" s="100" t="n"/>
      <c r="F701" s="100" t="n"/>
      <c r="G701" s="100" t="n"/>
      <c r="H701" s="100" t="n"/>
      <c r="I701" s="100" t="n"/>
      <c r="J701" s="100" t="n"/>
      <c r="K701" s="100" t="n"/>
      <c r="L701" s="100" t="n"/>
      <c r="M701" s="100" t="n"/>
      <c r="N701" s="100" t="n"/>
      <c r="O701" s="100" t="n"/>
      <c r="P701" s="100" t="n"/>
      <c r="Q701" s="100" t="n"/>
      <c r="R701" s="100" t="n"/>
      <c r="S701" s="100" t="n"/>
      <c r="T701" s="100" t="n"/>
      <c r="U701" s="100" t="n"/>
      <c r="V701" s="100" t="n"/>
      <c r="W701" s="100" t="n"/>
      <c r="X701" s="100" t="n"/>
      <c r="Y701" s="100" t="n"/>
      <c r="Z701" s="100" t="n"/>
      <c r="AA701" s="100" t="n"/>
      <c r="AB701" s="100" t="n"/>
      <c r="AC701" s="100" t="n"/>
      <c r="AD701" s="100" t="n"/>
      <c r="AE701" s="100" t="n"/>
      <c r="AF701" s="100" t="n"/>
      <c r="AG701" s="100" t="n"/>
      <c r="AH701" s="100" t="n"/>
      <c r="AI701" s="100" t="n"/>
      <c r="AJ701" s="100" t="n"/>
      <c r="AK701" s="100" t="n"/>
      <c r="AL701" s="100" t="n"/>
      <c r="AM701" s="100" t="n"/>
      <c r="AN701" s="100" t="n"/>
      <c r="AO701" s="100" t="n"/>
      <c r="AP701" s="100" t="n"/>
      <c r="AQ701" s="100" t="n"/>
      <c r="AR701" s="100" t="n"/>
    </row>
    <row r="703">
      <c r="A703" s="6">
        <f>IF(HSI!$C$70="","",HSI!$C$70)</f>
        <v/>
      </c>
      <c r="B703" s="96">
        <f>IF($A703="",0,COUNT($E704:$AR704))</f>
        <v/>
      </c>
      <c r="C703" s="97">
        <f>IF($B703=0,0,MAX($E704:$AR704))</f>
        <v/>
      </c>
      <c r="D703" s="98">
        <f>BDS($A703,FLD_HIST,"headers=y","startcol=1","endcol=7","dir=h","DVD_START_DT",HIST_FROM,"DVD_END_DT",HIST_TO)</f>
        <v/>
      </c>
      <c r="E703" s="99" t="n"/>
      <c r="F703" s="99" t="n"/>
      <c r="G703" s="99" t="n"/>
      <c r="H703" s="99" t="n"/>
      <c r="I703" s="99" t="n"/>
      <c r="J703" s="99" t="n"/>
      <c r="K703" s="99" t="n"/>
      <c r="L703" s="99" t="n"/>
      <c r="M703" s="99" t="n"/>
      <c r="N703" s="99" t="n"/>
      <c r="O703" s="99" t="n"/>
      <c r="P703" s="99" t="n"/>
      <c r="Q703" s="99" t="n"/>
      <c r="R703" s="99" t="n"/>
      <c r="S703" s="99" t="n"/>
      <c r="T703" s="99" t="n"/>
      <c r="U703" s="99" t="n"/>
      <c r="V703" s="99" t="n"/>
      <c r="W703" s="99" t="n"/>
      <c r="X703" s="99" t="n"/>
      <c r="Y703" s="99" t="n"/>
      <c r="Z703" s="99" t="n"/>
      <c r="AA703" s="99" t="n"/>
      <c r="AB703" s="99" t="n"/>
      <c r="AC703" s="99" t="n"/>
      <c r="AD703" s="99" t="n"/>
      <c r="AE703" s="99" t="n"/>
      <c r="AF703" s="99" t="n"/>
      <c r="AG703" s="99" t="n"/>
      <c r="AH703" s="99" t="n"/>
      <c r="AI703" s="99" t="n"/>
      <c r="AJ703" s="99" t="n"/>
      <c r="AK703" s="99" t="n"/>
      <c r="AL703" s="99" t="n"/>
      <c r="AM703" s="99" t="n"/>
      <c r="AN703" s="99" t="n"/>
      <c r="AO703" s="99" t="n"/>
      <c r="AP703" s="99" t="n"/>
      <c r="AQ703" s="99" t="n"/>
      <c r="AR703" s="99" t="n"/>
    </row>
    <row r="704">
      <c r="D704" s="99" t="n"/>
      <c r="E704" s="99" t="n"/>
      <c r="F704" s="99" t="n"/>
      <c r="G704" s="99" t="n"/>
      <c r="H704" s="99" t="n"/>
      <c r="I704" s="99" t="n"/>
      <c r="J704" s="99" t="n"/>
      <c r="K704" s="99" t="n"/>
      <c r="L704" s="99" t="n"/>
      <c r="M704" s="99" t="n"/>
      <c r="N704" s="99" t="n"/>
      <c r="O704" s="99" t="n"/>
      <c r="P704" s="99" t="n"/>
      <c r="Q704" s="99" t="n"/>
      <c r="R704" s="99" t="n"/>
      <c r="S704" s="99" t="n"/>
      <c r="T704" s="99" t="n"/>
      <c r="U704" s="99" t="n"/>
      <c r="V704" s="99" t="n"/>
      <c r="W704" s="99" t="n"/>
      <c r="X704" s="99" t="n"/>
      <c r="Y704" s="99" t="n"/>
      <c r="Z704" s="99" t="n"/>
      <c r="AA704" s="99" t="n"/>
      <c r="AB704" s="99" t="n"/>
      <c r="AC704" s="99" t="n"/>
      <c r="AD704" s="99" t="n"/>
      <c r="AE704" s="99" t="n"/>
      <c r="AF704" s="99" t="n"/>
      <c r="AG704" s="99" t="n"/>
      <c r="AH704" s="99" t="n"/>
      <c r="AI704" s="99" t="n"/>
      <c r="AJ704" s="99" t="n"/>
      <c r="AK704" s="99" t="n"/>
      <c r="AL704" s="99" t="n"/>
      <c r="AM704" s="99" t="n"/>
      <c r="AN704" s="99" t="n"/>
      <c r="AO704" s="99" t="n"/>
      <c r="AP704" s="99" t="n"/>
      <c r="AQ704" s="99" t="n"/>
      <c r="AR704" s="99" t="n"/>
    </row>
    <row r="705">
      <c r="D705" s="99" t="n"/>
      <c r="E705" s="99" t="n"/>
      <c r="F705" s="99" t="n"/>
      <c r="G705" s="99" t="n"/>
      <c r="H705" s="99" t="n"/>
      <c r="I705" s="99" t="n"/>
      <c r="J705" s="99" t="n"/>
      <c r="K705" s="99" t="n"/>
      <c r="L705" s="99" t="n"/>
      <c r="M705" s="99" t="n"/>
      <c r="N705" s="99" t="n"/>
      <c r="O705" s="99" t="n"/>
      <c r="P705" s="99" t="n"/>
      <c r="Q705" s="99" t="n"/>
      <c r="R705" s="99" t="n"/>
      <c r="S705" s="99" t="n"/>
      <c r="T705" s="99" t="n"/>
      <c r="U705" s="99" t="n"/>
      <c r="V705" s="99" t="n"/>
      <c r="W705" s="99" t="n"/>
      <c r="X705" s="99" t="n"/>
      <c r="Y705" s="99" t="n"/>
      <c r="Z705" s="99" t="n"/>
      <c r="AA705" s="99" t="n"/>
      <c r="AB705" s="99" t="n"/>
      <c r="AC705" s="99" t="n"/>
      <c r="AD705" s="99" t="n"/>
      <c r="AE705" s="99" t="n"/>
      <c r="AF705" s="99" t="n"/>
      <c r="AG705" s="99" t="n"/>
      <c r="AH705" s="99" t="n"/>
      <c r="AI705" s="99" t="n"/>
      <c r="AJ705" s="99" t="n"/>
      <c r="AK705" s="99" t="n"/>
      <c r="AL705" s="99" t="n"/>
      <c r="AM705" s="99" t="n"/>
      <c r="AN705" s="99" t="n"/>
      <c r="AO705" s="99" t="n"/>
      <c r="AP705" s="99" t="n"/>
      <c r="AQ705" s="99" t="n"/>
      <c r="AR705" s="99" t="n"/>
    </row>
    <row r="706">
      <c r="D706" s="99" t="n"/>
      <c r="E706" s="99" t="n"/>
      <c r="F706" s="99" t="n"/>
      <c r="G706" s="99" t="n"/>
      <c r="H706" s="99" t="n"/>
      <c r="I706" s="99" t="n"/>
      <c r="J706" s="99" t="n"/>
      <c r="K706" s="99" t="n"/>
      <c r="L706" s="99" t="n"/>
      <c r="M706" s="99" t="n"/>
      <c r="N706" s="99" t="n"/>
      <c r="O706" s="99" t="n"/>
      <c r="P706" s="99" t="n"/>
      <c r="Q706" s="99" t="n"/>
      <c r="R706" s="99" t="n"/>
      <c r="S706" s="99" t="n"/>
      <c r="T706" s="99" t="n"/>
      <c r="U706" s="99" t="n"/>
      <c r="V706" s="99" t="n"/>
      <c r="W706" s="99" t="n"/>
      <c r="X706" s="99" t="n"/>
      <c r="Y706" s="99" t="n"/>
      <c r="Z706" s="99" t="n"/>
      <c r="AA706" s="99" t="n"/>
      <c r="AB706" s="99" t="n"/>
      <c r="AC706" s="99" t="n"/>
      <c r="AD706" s="99" t="n"/>
      <c r="AE706" s="99" t="n"/>
      <c r="AF706" s="99" t="n"/>
      <c r="AG706" s="99" t="n"/>
      <c r="AH706" s="99" t="n"/>
      <c r="AI706" s="99" t="n"/>
      <c r="AJ706" s="99" t="n"/>
      <c r="AK706" s="99" t="n"/>
      <c r="AL706" s="99" t="n"/>
      <c r="AM706" s="99" t="n"/>
      <c r="AN706" s="99" t="n"/>
      <c r="AO706" s="99" t="n"/>
      <c r="AP706" s="99" t="n"/>
      <c r="AQ706" s="99" t="n"/>
      <c r="AR706" s="99" t="n"/>
    </row>
    <row r="707">
      <c r="D707" s="100" t="n"/>
      <c r="E707" s="100" t="n"/>
      <c r="F707" s="100" t="n"/>
      <c r="G707" s="100" t="n"/>
      <c r="H707" s="100" t="n"/>
      <c r="I707" s="100" t="n"/>
      <c r="J707" s="100" t="n"/>
      <c r="K707" s="100" t="n"/>
      <c r="L707" s="100" t="n"/>
      <c r="M707" s="100" t="n"/>
      <c r="N707" s="100" t="n"/>
      <c r="O707" s="100" t="n"/>
      <c r="P707" s="100" t="n"/>
      <c r="Q707" s="100" t="n"/>
      <c r="R707" s="100" t="n"/>
      <c r="S707" s="100" t="n"/>
      <c r="T707" s="100" t="n"/>
      <c r="U707" s="100" t="n"/>
      <c r="V707" s="100" t="n"/>
      <c r="W707" s="100" t="n"/>
      <c r="X707" s="100" t="n"/>
      <c r="Y707" s="100" t="n"/>
      <c r="Z707" s="100" t="n"/>
      <c r="AA707" s="100" t="n"/>
      <c r="AB707" s="100" t="n"/>
      <c r="AC707" s="100" t="n"/>
      <c r="AD707" s="100" t="n"/>
      <c r="AE707" s="100" t="n"/>
      <c r="AF707" s="100" t="n"/>
      <c r="AG707" s="100" t="n"/>
      <c r="AH707" s="100" t="n"/>
      <c r="AI707" s="100" t="n"/>
      <c r="AJ707" s="100" t="n"/>
      <c r="AK707" s="100" t="n"/>
      <c r="AL707" s="100" t="n"/>
      <c r="AM707" s="100" t="n"/>
      <c r="AN707" s="100" t="n"/>
      <c r="AO707" s="100" t="n"/>
      <c r="AP707" s="100" t="n"/>
      <c r="AQ707" s="100" t="n"/>
      <c r="AR707" s="100" t="n"/>
    </row>
    <row r="710">
      <c r="A710" s="2">
        <f>IF($A703="","","   projections")</f>
        <v/>
      </c>
      <c r="B710" s="96">
        <f>IF($A703="",0,COUNT($E711:$AR711))</f>
        <v/>
      </c>
      <c r="C710" s="97">
        <f>IF($B710=0,0,MAX($E711:$AR711))</f>
        <v/>
      </c>
      <c r="D710" s="98">
        <f>BDS($A703,FLD_PROJ,"headers=y","startcol=1","endcol=3","dir=h")</f>
        <v/>
      </c>
      <c r="E710" s="99" t="n"/>
      <c r="F710" s="99" t="n"/>
      <c r="G710" s="99" t="n"/>
      <c r="H710" s="99" t="n"/>
      <c r="I710" s="99" t="n"/>
      <c r="J710" s="99" t="n"/>
      <c r="K710" s="99" t="n"/>
      <c r="L710" s="99" t="n"/>
      <c r="M710" s="99" t="n"/>
      <c r="N710" s="99" t="n"/>
      <c r="O710" s="99" t="n"/>
      <c r="P710" s="99" t="n"/>
      <c r="Q710" s="99" t="n"/>
      <c r="R710" s="99" t="n"/>
      <c r="S710" s="99" t="n"/>
      <c r="T710" s="99" t="n"/>
      <c r="U710" s="99" t="n"/>
      <c r="V710" s="99" t="n"/>
      <c r="W710" s="99" t="n"/>
      <c r="X710" s="99" t="n"/>
      <c r="Y710" s="99" t="n"/>
      <c r="Z710" s="99" t="n"/>
      <c r="AA710" s="99" t="n"/>
      <c r="AB710" s="99" t="n"/>
      <c r="AC710" s="99" t="n"/>
      <c r="AD710" s="99" t="n"/>
      <c r="AE710" s="99" t="n"/>
      <c r="AF710" s="99" t="n"/>
      <c r="AG710" s="99" t="n"/>
      <c r="AH710" s="99" t="n"/>
      <c r="AI710" s="99" t="n"/>
      <c r="AJ710" s="99" t="n"/>
      <c r="AK710" s="99" t="n"/>
      <c r="AL710" s="99" t="n"/>
      <c r="AM710" s="99" t="n"/>
      <c r="AN710" s="99" t="n"/>
      <c r="AO710" s="99" t="n"/>
      <c r="AP710" s="99" t="n"/>
      <c r="AQ710" s="99" t="n"/>
      <c r="AR710" s="99" t="n"/>
    </row>
    <row r="711">
      <c r="D711" s="99" t="n"/>
      <c r="E711" s="99" t="n"/>
      <c r="F711" s="99" t="n"/>
      <c r="G711" s="99" t="n"/>
      <c r="H711" s="99" t="n"/>
      <c r="I711" s="99" t="n"/>
      <c r="J711" s="99" t="n"/>
      <c r="K711" s="99" t="n"/>
      <c r="L711" s="99" t="n"/>
      <c r="M711" s="99" t="n"/>
      <c r="N711" s="99" t="n"/>
      <c r="O711" s="99" t="n"/>
      <c r="P711" s="99" t="n"/>
      <c r="Q711" s="99" t="n"/>
      <c r="R711" s="99" t="n"/>
      <c r="S711" s="99" t="n"/>
      <c r="T711" s="99" t="n"/>
      <c r="U711" s="99" t="n"/>
      <c r="V711" s="99" t="n"/>
      <c r="W711" s="99" t="n"/>
      <c r="X711" s="99" t="n"/>
      <c r="Y711" s="99" t="n"/>
      <c r="Z711" s="99" t="n"/>
      <c r="AA711" s="99" t="n"/>
      <c r="AB711" s="99" t="n"/>
      <c r="AC711" s="99" t="n"/>
      <c r="AD711" s="99" t="n"/>
      <c r="AE711" s="99" t="n"/>
      <c r="AF711" s="99" t="n"/>
      <c r="AG711" s="99" t="n"/>
      <c r="AH711" s="99" t="n"/>
      <c r="AI711" s="99" t="n"/>
      <c r="AJ711" s="99" t="n"/>
      <c r="AK711" s="99" t="n"/>
      <c r="AL711" s="99" t="n"/>
      <c r="AM711" s="99" t="n"/>
      <c r="AN711" s="99" t="n"/>
      <c r="AO711" s="99" t="n"/>
      <c r="AP711" s="99" t="n"/>
      <c r="AQ711" s="99" t="n"/>
      <c r="AR711" s="99" t="n"/>
    </row>
    <row r="712">
      <c r="D712" s="100" t="n"/>
      <c r="E712" s="100" t="n"/>
      <c r="F712" s="100" t="n"/>
      <c r="G712" s="100" t="n"/>
      <c r="H712" s="100" t="n"/>
      <c r="I712" s="100" t="n"/>
      <c r="J712" s="100" t="n"/>
      <c r="K712" s="100" t="n"/>
      <c r="L712" s="100" t="n"/>
      <c r="M712" s="100" t="n"/>
      <c r="N712" s="100" t="n"/>
      <c r="O712" s="100" t="n"/>
      <c r="P712" s="100" t="n"/>
      <c r="Q712" s="100" t="n"/>
      <c r="R712" s="100" t="n"/>
      <c r="S712" s="100" t="n"/>
      <c r="T712" s="100" t="n"/>
      <c r="U712" s="100" t="n"/>
      <c r="V712" s="100" t="n"/>
      <c r="W712" s="100" t="n"/>
      <c r="X712" s="100" t="n"/>
      <c r="Y712" s="100" t="n"/>
      <c r="Z712" s="100" t="n"/>
      <c r="AA712" s="100" t="n"/>
      <c r="AB712" s="100" t="n"/>
      <c r="AC712" s="100" t="n"/>
      <c r="AD712" s="100" t="n"/>
      <c r="AE712" s="100" t="n"/>
      <c r="AF712" s="100" t="n"/>
      <c r="AG712" s="100" t="n"/>
      <c r="AH712" s="100" t="n"/>
      <c r="AI712" s="100" t="n"/>
      <c r="AJ712" s="100" t="n"/>
      <c r="AK712" s="100" t="n"/>
      <c r="AL712" s="100" t="n"/>
      <c r="AM712" s="100" t="n"/>
      <c r="AN712" s="100" t="n"/>
      <c r="AO712" s="100" t="n"/>
      <c r="AP712" s="100" t="n"/>
      <c r="AQ712" s="100" t="n"/>
      <c r="AR712" s="100" t="n"/>
    </row>
    <row r="714">
      <c r="A714" s="6">
        <f>IF(HSI!$C$71="","",HSI!$C$71)</f>
        <v/>
      </c>
      <c r="B714" s="96">
        <f>IF($A714="",0,COUNT($E715:$AR715))</f>
        <v/>
      </c>
      <c r="C714" s="97">
        <f>IF($B714=0,0,MAX($E715:$AR715))</f>
        <v/>
      </c>
      <c r="D714" s="98">
        <f>BDS($A714,FLD_HIST,"headers=y","startcol=1","endcol=7","dir=h","DVD_START_DT",HIST_FROM,"DVD_END_DT",HIST_TO)</f>
        <v/>
      </c>
      <c r="E714" s="99" t="n"/>
      <c r="F714" s="99" t="n"/>
      <c r="G714" s="99" t="n"/>
      <c r="H714" s="99" t="n"/>
      <c r="I714" s="99" t="n"/>
      <c r="J714" s="99" t="n"/>
      <c r="K714" s="99" t="n"/>
      <c r="L714" s="99" t="n"/>
      <c r="M714" s="99" t="n"/>
      <c r="N714" s="99" t="n"/>
      <c r="O714" s="99" t="n"/>
      <c r="P714" s="99" t="n"/>
      <c r="Q714" s="99" t="n"/>
      <c r="R714" s="99" t="n"/>
      <c r="S714" s="99" t="n"/>
      <c r="T714" s="99" t="n"/>
      <c r="U714" s="99" t="n"/>
      <c r="V714" s="99" t="n"/>
      <c r="W714" s="99" t="n"/>
      <c r="X714" s="99" t="n"/>
      <c r="Y714" s="99" t="n"/>
      <c r="Z714" s="99" t="n"/>
      <c r="AA714" s="99" t="n"/>
      <c r="AB714" s="99" t="n"/>
      <c r="AC714" s="99" t="n"/>
      <c r="AD714" s="99" t="n"/>
      <c r="AE714" s="99" t="n"/>
      <c r="AF714" s="99" t="n"/>
      <c r="AG714" s="99" t="n"/>
      <c r="AH714" s="99" t="n"/>
      <c r="AI714" s="99" t="n"/>
      <c r="AJ714" s="99" t="n"/>
      <c r="AK714" s="99" t="n"/>
      <c r="AL714" s="99" t="n"/>
      <c r="AM714" s="99" t="n"/>
      <c r="AN714" s="99" t="n"/>
      <c r="AO714" s="99" t="n"/>
      <c r="AP714" s="99" t="n"/>
      <c r="AQ714" s="99" t="n"/>
      <c r="AR714" s="99" t="n"/>
    </row>
    <row r="715">
      <c r="D715" s="99" t="n"/>
      <c r="E715" s="99" t="n"/>
      <c r="F715" s="99" t="n"/>
      <c r="G715" s="99" t="n"/>
      <c r="H715" s="99" t="n"/>
      <c r="I715" s="99" t="n"/>
      <c r="J715" s="99" t="n"/>
      <c r="K715" s="99" t="n"/>
      <c r="L715" s="99" t="n"/>
      <c r="M715" s="99" t="n"/>
      <c r="N715" s="99" t="n"/>
      <c r="O715" s="99" t="n"/>
      <c r="P715" s="99" t="n"/>
      <c r="Q715" s="99" t="n"/>
      <c r="R715" s="99" t="n"/>
      <c r="S715" s="99" t="n"/>
      <c r="T715" s="99" t="n"/>
      <c r="U715" s="99" t="n"/>
      <c r="V715" s="99" t="n"/>
      <c r="W715" s="99" t="n"/>
      <c r="X715" s="99" t="n"/>
      <c r="Y715" s="99" t="n"/>
      <c r="Z715" s="99" t="n"/>
      <c r="AA715" s="99" t="n"/>
      <c r="AB715" s="99" t="n"/>
      <c r="AC715" s="99" t="n"/>
      <c r="AD715" s="99" t="n"/>
      <c r="AE715" s="99" t="n"/>
      <c r="AF715" s="99" t="n"/>
      <c r="AG715" s="99" t="n"/>
      <c r="AH715" s="99" t="n"/>
      <c r="AI715" s="99" t="n"/>
      <c r="AJ715" s="99" t="n"/>
      <c r="AK715" s="99" t="n"/>
      <c r="AL715" s="99" t="n"/>
      <c r="AM715" s="99" t="n"/>
      <c r="AN715" s="99" t="n"/>
      <c r="AO715" s="99" t="n"/>
      <c r="AP715" s="99" t="n"/>
      <c r="AQ715" s="99" t="n"/>
      <c r="AR715" s="99" t="n"/>
    </row>
    <row r="716">
      <c r="D716" s="99" t="n"/>
      <c r="E716" s="99" t="n"/>
      <c r="F716" s="99" t="n"/>
      <c r="G716" s="99" t="n"/>
      <c r="H716" s="99" t="n"/>
      <c r="I716" s="99" t="n"/>
      <c r="J716" s="99" t="n"/>
      <c r="K716" s="99" t="n"/>
      <c r="L716" s="99" t="n"/>
      <c r="M716" s="99" t="n"/>
      <c r="N716" s="99" t="n"/>
      <c r="O716" s="99" t="n"/>
      <c r="P716" s="99" t="n"/>
      <c r="Q716" s="99" t="n"/>
      <c r="R716" s="99" t="n"/>
      <c r="S716" s="99" t="n"/>
      <c r="T716" s="99" t="n"/>
      <c r="U716" s="99" t="n"/>
      <c r="V716" s="99" t="n"/>
      <c r="W716" s="99" t="n"/>
      <c r="X716" s="99" t="n"/>
      <c r="Y716" s="99" t="n"/>
      <c r="Z716" s="99" t="n"/>
      <c r="AA716" s="99" t="n"/>
      <c r="AB716" s="99" t="n"/>
      <c r="AC716" s="99" t="n"/>
      <c r="AD716" s="99" t="n"/>
      <c r="AE716" s="99" t="n"/>
      <c r="AF716" s="99" t="n"/>
      <c r="AG716" s="99" t="n"/>
      <c r="AH716" s="99" t="n"/>
      <c r="AI716" s="99" t="n"/>
      <c r="AJ716" s="99" t="n"/>
      <c r="AK716" s="99" t="n"/>
      <c r="AL716" s="99" t="n"/>
      <c r="AM716" s="99" t="n"/>
      <c r="AN716" s="99" t="n"/>
      <c r="AO716" s="99" t="n"/>
      <c r="AP716" s="99" t="n"/>
      <c r="AQ716" s="99" t="n"/>
      <c r="AR716" s="99" t="n"/>
    </row>
    <row r="717">
      <c r="D717" s="99" t="n"/>
      <c r="E717" s="99" t="n"/>
      <c r="F717" s="99" t="n"/>
      <c r="G717" s="99" t="n"/>
      <c r="H717" s="99" t="n"/>
      <c r="I717" s="99" t="n"/>
      <c r="J717" s="99" t="n"/>
      <c r="K717" s="99" t="n"/>
      <c r="L717" s="99" t="n"/>
      <c r="M717" s="99" t="n"/>
      <c r="N717" s="99" t="n"/>
      <c r="O717" s="99" t="n"/>
      <c r="P717" s="99" t="n"/>
      <c r="Q717" s="99" t="n"/>
      <c r="R717" s="99" t="n"/>
      <c r="S717" s="99" t="n"/>
      <c r="T717" s="99" t="n"/>
      <c r="U717" s="99" t="n"/>
      <c r="V717" s="99" t="n"/>
      <c r="W717" s="99" t="n"/>
      <c r="X717" s="99" t="n"/>
      <c r="Y717" s="99" t="n"/>
      <c r="Z717" s="99" t="n"/>
      <c r="AA717" s="99" t="n"/>
      <c r="AB717" s="99" t="n"/>
      <c r="AC717" s="99" t="n"/>
      <c r="AD717" s="99" t="n"/>
      <c r="AE717" s="99" t="n"/>
      <c r="AF717" s="99" t="n"/>
      <c r="AG717" s="99" t="n"/>
      <c r="AH717" s="99" t="n"/>
      <c r="AI717" s="99" t="n"/>
      <c r="AJ717" s="99" t="n"/>
      <c r="AK717" s="99" t="n"/>
      <c r="AL717" s="99" t="n"/>
      <c r="AM717" s="99" t="n"/>
      <c r="AN717" s="99" t="n"/>
      <c r="AO717" s="99" t="n"/>
      <c r="AP717" s="99" t="n"/>
      <c r="AQ717" s="99" t="n"/>
      <c r="AR717" s="99" t="n"/>
    </row>
    <row r="718">
      <c r="D718" s="100" t="n"/>
      <c r="E718" s="100" t="n"/>
      <c r="F718" s="100" t="n"/>
      <c r="G718" s="100" t="n"/>
      <c r="H718" s="100" t="n"/>
      <c r="I718" s="100" t="n"/>
      <c r="J718" s="100" t="n"/>
      <c r="K718" s="100" t="n"/>
      <c r="L718" s="100" t="n"/>
      <c r="M718" s="100" t="n"/>
      <c r="N718" s="100" t="n"/>
      <c r="O718" s="100" t="n"/>
      <c r="P718" s="100" t="n"/>
      <c r="Q718" s="100" t="n"/>
      <c r="R718" s="100" t="n"/>
      <c r="S718" s="100" t="n"/>
      <c r="T718" s="100" t="n"/>
      <c r="U718" s="100" t="n"/>
      <c r="V718" s="100" t="n"/>
      <c r="W718" s="100" t="n"/>
      <c r="X718" s="100" t="n"/>
      <c r="Y718" s="100" t="n"/>
      <c r="Z718" s="100" t="n"/>
      <c r="AA718" s="100" t="n"/>
      <c r="AB718" s="100" t="n"/>
      <c r="AC718" s="100" t="n"/>
      <c r="AD718" s="100" t="n"/>
      <c r="AE718" s="100" t="n"/>
      <c r="AF718" s="100" t="n"/>
      <c r="AG718" s="100" t="n"/>
      <c r="AH718" s="100" t="n"/>
      <c r="AI718" s="100" t="n"/>
      <c r="AJ718" s="100" t="n"/>
      <c r="AK718" s="100" t="n"/>
      <c r="AL718" s="100" t="n"/>
      <c r="AM718" s="100" t="n"/>
      <c r="AN718" s="100" t="n"/>
      <c r="AO718" s="100" t="n"/>
      <c r="AP718" s="100" t="n"/>
      <c r="AQ718" s="100" t="n"/>
      <c r="AR718" s="100" t="n"/>
    </row>
    <row r="721">
      <c r="A721" s="2">
        <f>IF($A714="","","   projections")</f>
        <v/>
      </c>
      <c r="B721" s="96">
        <f>IF($A714="",0,COUNT($E722:$AR722))</f>
        <v/>
      </c>
      <c r="C721" s="97">
        <f>IF($B721=0,0,MAX($E722:$AR722))</f>
        <v/>
      </c>
      <c r="D721" s="98">
        <f>BDS($A714,FLD_PROJ,"headers=y","startcol=1","endcol=3","dir=h")</f>
        <v/>
      </c>
      <c r="E721" s="99" t="n"/>
      <c r="F721" s="99" t="n"/>
      <c r="G721" s="99" t="n"/>
      <c r="H721" s="99" t="n"/>
      <c r="I721" s="99" t="n"/>
      <c r="J721" s="99" t="n"/>
      <c r="K721" s="99" t="n"/>
      <c r="L721" s="99" t="n"/>
      <c r="M721" s="99" t="n"/>
      <c r="N721" s="99" t="n"/>
      <c r="O721" s="99" t="n"/>
      <c r="P721" s="99" t="n"/>
      <c r="Q721" s="99" t="n"/>
      <c r="R721" s="99" t="n"/>
      <c r="S721" s="99" t="n"/>
      <c r="T721" s="99" t="n"/>
      <c r="U721" s="99" t="n"/>
      <c r="V721" s="99" t="n"/>
      <c r="W721" s="99" t="n"/>
      <c r="X721" s="99" t="n"/>
      <c r="Y721" s="99" t="n"/>
      <c r="Z721" s="99" t="n"/>
      <c r="AA721" s="99" t="n"/>
      <c r="AB721" s="99" t="n"/>
      <c r="AC721" s="99" t="n"/>
      <c r="AD721" s="99" t="n"/>
      <c r="AE721" s="99" t="n"/>
      <c r="AF721" s="99" t="n"/>
      <c r="AG721" s="99" t="n"/>
      <c r="AH721" s="99" t="n"/>
      <c r="AI721" s="99" t="n"/>
      <c r="AJ721" s="99" t="n"/>
      <c r="AK721" s="99" t="n"/>
      <c r="AL721" s="99" t="n"/>
      <c r="AM721" s="99" t="n"/>
      <c r="AN721" s="99" t="n"/>
      <c r="AO721" s="99" t="n"/>
      <c r="AP721" s="99" t="n"/>
      <c r="AQ721" s="99" t="n"/>
      <c r="AR721" s="99" t="n"/>
    </row>
    <row r="722">
      <c r="D722" s="99" t="n"/>
      <c r="E722" s="99" t="n"/>
      <c r="F722" s="99" t="n"/>
      <c r="G722" s="99" t="n"/>
      <c r="H722" s="99" t="n"/>
      <c r="I722" s="99" t="n"/>
      <c r="J722" s="99" t="n"/>
      <c r="K722" s="99" t="n"/>
      <c r="L722" s="99" t="n"/>
      <c r="M722" s="99" t="n"/>
      <c r="N722" s="99" t="n"/>
      <c r="O722" s="99" t="n"/>
      <c r="P722" s="99" t="n"/>
      <c r="Q722" s="99" t="n"/>
      <c r="R722" s="99" t="n"/>
      <c r="S722" s="99" t="n"/>
      <c r="T722" s="99" t="n"/>
      <c r="U722" s="99" t="n"/>
      <c r="V722" s="99" t="n"/>
      <c r="W722" s="99" t="n"/>
      <c r="X722" s="99" t="n"/>
      <c r="Y722" s="99" t="n"/>
      <c r="Z722" s="99" t="n"/>
      <c r="AA722" s="99" t="n"/>
      <c r="AB722" s="99" t="n"/>
      <c r="AC722" s="99" t="n"/>
      <c r="AD722" s="99" t="n"/>
      <c r="AE722" s="99" t="n"/>
      <c r="AF722" s="99" t="n"/>
      <c r="AG722" s="99" t="n"/>
      <c r="AH722" s="99" t="n"/>
      <c r="AI722" s="99" t="n"/>
      <c r="AJ722" s="99" t="n"/>
      <c r="AK722" s="99" t="n"/>
      <c r="AL722" s="99" t="n"/>
      <c r="AM722" s="99" t="n"/>
      <c r="AN722" s="99" t="n"/>
      <c r="AO722" s="99" t="n"/>
      <c r="AP722" s="99" t="n"/>
      <c r="AQ722" s="99" t="n"/>
      <c r="AR722" s="99" t="n"/>
    </row>
    <row r="723">
      <c r="D723" s="100" t="n"/>
      <c r="E723" s="100" t="n"/>
      <c r="F723" s="100" t="n"/>
      <c r="G723" s="100" t="n"/>
      <c r="H723" s="100" t="n"/>
      <c r="I723" s="100" t="n"/>
      <c r="J723" s="100" t="n"/>
      <c r="K723" s="100" t="n"/>
      <c r="L723" s="100" t="n"/>
      <c r="M723" s="100" t="n"/>
      <c r="N723" s="100" t="n"/>
      <c r="O723" s="100" t="n"/>
      <c r="P723" s="100" t="n"/>
      <c r="Q723" s="100" t="n"/>
      <c r="R723" s="100" t="n"/>
      <c r="S723" s="100" t="n"/>
      <c r="T723" s="100" t="n"/>
      <c r="U723" s="100" t="n"/>
      <c r="V723" s="100" t="n"/>
      <c r="W723" s="100" t="n"/>
      <c r="X723" s="100" t="n"/>
      <c r="Y723" s="100" t="n"/>
      <c r="Z723" s="100" t="n"/>
      <c r="AA723" s="100" t="n"/>
      <c r="AB723" s="100" t="n"/>
      <c r="AC723" s="100" t="n"/>
      <c r="AD723" s="100" t="n"/>
      <c r="AE723" s="100" t="n"/>
      <c r="AF723" s="100" t="n"/>
      <c r="AG723" s="100" t="n"/>
      <c r="AH723" s="100" t="n"/>
      <c r="AI723" s="100" t="n"/>
      <c r="AJ723" s="100" t="n"/>
      <c r="AK723" s="100" t="n"/>
      <c r="AL723" s="100" t="n"/>
      <c r="AM723" s="100" t="n"/>
      <c r="AN723" s="100" t="n"/>
      <c r="AO723" s="100" t="n"/>
      <c r="AP723" s="100" t="n"/>
      <c r="AQ723" s="100" t="n"/>
      <c r="AR723" s="100" t="n"/>
    </row>
    <row r="725">
      <c r="A725" s="6">
        <f>IF(HSI!$C$72="","",HSI!$C$72)</f>
        <v/>
      </c>
      <c r="B725" s="96">
        <f>IF($A725="",0,COUNT($E726:$AR726))</f>
        <v/>
      </c>
      <c r="C725" s="97">
        <f>IF($B725=0,0,MAX($E726:$AR726))</f>
        <v/>
      </c>
      <c r="D725" s="98">
        <f>BDS($A725,FLD_HIST,"headers=y","startcol=1","endcol=7","dir=h","DVD_START_DT",HIST_FROM,"DVD_END_DT",HIST_TO)</f>
        <v/>
      </c>
      <c r="E725" s="99" t="n"/>
      <c r="F725" s="99" t="n"/>
      <c r="G725" s="99" t="n"/>
      <c r="H725" s="99" t="n"/>
      <c r="I725" s="99" t="n"/>
      <c r="J725" s="99" t="n"/>
      <c r="K725" s="99" t="n"/>
      <c r="L725" s="99" t="n"/>
      <c r="M725" s="99" t="n"/>
      <c r="N725" s="99" t="n"/>
      <c r="O725" s="99" t="n"/>
      <c r="P725" s="99" t="n"/>
      <c r="Q725" s="99" t="n"/>
      <c r="R725" s="99" t="n"/>
      <c r="S725" s="99" t="n"/>
      <c r="T725" s="99" t="n"/>
      <c r="U725" s="99" t="n"/>
      <c r="V725" s="99" t="n"/>
      <c r="W725" s="99" t="n"/>
      <c r="X725" s="99" t="n"/>
      <c r="Y725" s="99" t="n"/>
      <c r="Z725" s="99" t="n"/>
      <c r="AA725" s="99" t="n"/>
      <c r="AB725" s="99" t="n"/>
      <c r="AC725" s="99" t="n"/>
      <c r="AD725" s="99" t="n"/>
      <c r="AE725" s="99" t="n"/>
      <c r="AF725" s="99" t="n"/>
      <c r="AG725" s="99" t="n"/>
      <c r="AH725" s="99" t="n"/>
      <c r="AI725" s="99" t="n"/>
      <c r="AJ725" s="99" t="n"/>
      <c r="AK725" s="99" t="n"/>
      <c r="AL725" s="99" t="n"/>
      <c r="AM725" s="99" t="n"/>
      <c r="AN725" s="99" t="n"/>
      <c r="AO725" s="99" t="n"/>
      <c r="AP725" s="99" t="n"/>
      <c r="AQ725" s="99" t="n"/>
      <c r="AR725" s="99" t="n"/>
    </row>
    <row r="726">
      <c r="D726" s="99" t="n"/>
      <c r="E726" s="99" t="n"/>
      <c r="F726" s="99" t="n"/>
      <c r="G726" s="99" t="n"/>
      <c r="H726" s="99" t="n"/>
      <c r="I726" s="99" t="n"/>
      <c r="J726" s="99" t="n"/>
      <c r="K726" s="99" t="n"/>
      <c r="L726" s="99" t="n"/>
      <c r="M726" s="99" t="n"/>
      <c r="N726" s="99" t="n"/>
      <c r="O726" s="99" t="n"/>
      <c r="P726" s="99" t="n"/>
      <c r="Q726" s="99" t="n"/>
      <c r="R726" s="99" t="n"/>
      <c r="S726" s="99" t="n"/>
      <c r="T726" s="99" t="n"/>
      <c r="U726" s="99" t="n"/>
      <c r="V726" s="99" t="n"/>
      <c r="W726" s="99" t="n"/>
      <c r="X726" s="99" t="n"/>
      <c r="Y726" s="99" t="n"/>
      <c r="Z726" s="99" t="n"/>
      <c r="AA726" s="99" t="n"/>
      <c r="AB726" s="99" t="n"/>
      <c r="AC726" s="99" t="n"/>
      <c r="AD726" s="99" t="n"/>
      <c r="AE726" s="99" t="n"/>
      <c r="AF726" s="99" t="n"/>
      <c r="AG726" s="99" t="n"/>
      <c r="AH726" s="99" t="n"/>
      <c r="AI726" s="99" t="n"/>
      <c r="AJ726" s="99" t="n"/>
      <c r="AK726" s="99" t="n"/>
      <c r="AL726" s="99" t="n"/>
      <c r="AM726" s="99" t="n"/>
      <c r="AN726" s="99" t="n"/>
      <c r="AO726" s="99" t="n"/>
      <c r="AP726" s="99" t="n"/>
      <c r="AQ726" s="99" t="n"/>
      <c r="AR726" s="99" t="n"/>
    </row>
    <row r="727">
      <c r="D727" s="99" t="n"/>
      <c r="E727" s="99" t="n"/>
      <c r="F727" s="99" t="n"/>
      <c r="G727" s="99" t="n"/>
      <c r="H727" s="99" t="n"/>
      <c r="I727" s="99" t="n"/>
      <c r="J727" s="99" t="n"/>
      <c r="K727" s="99" t="n"/>
      <c r="L727" s="99" t="n"/>
      <c r="M727" s="99" t="n"/>
      <c r="N727" s="99" t="n"/>
      <c r="O727" s="99" t="n"/>
      <c r="P727" s="99" t="n"/>
      <c r="Q727" s="99" t="n"/>
      <c r="R727" s="99" t="n"/>
      <c r="S727" s="99" t="n"/>
      <c r="T727" s="99" t="n"/>
      <c r="U727" s="99" t="n"/>
      <c r="V727" s="99" t="n"/>
      <c r="W727" s="99" t="n"/>
      <c r="X727" s="99" t="n"/>
      <c r="Y727" s="99" t="n"/>
      <c r="Z727" s="99" t="n"/>
      <c r="AA727" s="99" t="n"/>
      <c r="AB727" s="99" t="n"/>
      <c r="AC727" s="99" t="n"/>
      <c r="AD727" s="99" t="n"/>
      <c r="AE727" s="99" t="n"/>
      <c r="AF727" s="99" t="n"/>
      <c r="AG727" s="99" t="n"/>
      <c r="AH727" s="99" t="n"/>
      <c r="AI727" s="99" t="n"/>
      <c r="AJ727" s="99" t="n"/>
      <c r="AK727" s="99" t="n"/>
      <c r="AL727" s="99" t="n"/>
      <c r="AM727" s="99" t="n"/>
      <c r="AN727" s="99" t="n"/>
      <c r="AO727" s="99" t="n"/>
      <c r="AP727" s="99" t="n"/>
      <c r="AQ727" s="99" t="n"/>
      <c r="AR727" s="99" t="n"/>
    </row>
    <row r="728">
      <c r="D728" s="99" t="n"/>
      <c r="E728" s="99" t="n"/>
      <c r="F728" s="99" t="n"/>
      <c r="G728" s="99" t="n"/>
      <c r="H728" s="99" t="n"/>
      <c r="I728" s="99" t="n"/>
      <c r="J728" s="99" t="n"/>
      <c r="K728" s="99" t="n"/>
      <c r="L728" s="99" t="n"/>
      <c r="M728" s="99" t="n"/>
      <c r="N728" s="99" t="n"/>
      <c r="O728" s="99" t="n"/>
      <c r="P728" s="99" t="n"/>
      <c r="Q728" s="99" t="n"/>
      <c r="R728" s="99" t="n"/>
      <c r="S728" s="99" t="n"/>
      <c r="T728" s="99" t="n"/>
      <c r="U728" s="99" t="n"/>
      <c r="V728" s="99" t="n"/>
      <c r="W728" s="99" t="n"/>
      <c r="X728" s="99" t="n"/>
      <c r="Y728" s="99" t="n"/>
      <c r="Z728" s="99" t="n"/>
      <c r="AA728" s="99" t="n"/>
      <c r="AB728" s="99" t="n"/>
      <c r="AC728" s="99" t="n"/>
      <c r="AD728" s="99" t="n"/>
      <c r="AE728" s="99" t="n"/>
      <c r="AF728" s="99" t="n"/>
      <c r="AG728" s="99" t="n"/>
      <c r="AH728" s="99" t="n"/>
      <c r="AI728" s="99" t="n"/>
      <c r="AJ728" s="99" t="n"/>
      <c r="AK728" s="99" t="n"/>
      <c r="AL728" s="99" t="n"/>
      <c r="AM728" s="99" t="n"/>
      <c r="AN728" s="99" t="n"/>
      <c r="AO728" s="99" t="n"/>
      <c r="AP728" s="99" t="n"/>
      <c r="AQ728" s="99" t="n"/>
      <c r="AR728" s="99" t="n"/>
    </row>
    <row r="729">
      <c r="D729" s="100" t="n"/>
      <c r="E729" s="100" t="n"/>
      <c r="F729" s="100" t="n"/>
      <c r="G729" s="100" t="n"/>
      <c r="H729" s="100" t="n"/>
      <c r="I729" s="100" t="n"/>
      <c r="J729" s="100" t="n"/>
      <c r="K729" s="100" t="n"/>
      <c r="L729" s="100" t="n"/>
      <c r="M729" s="100" t="n"/>
      <c r="N729" s="100" t="n"/>
      <c r="O729" s="100" t="n"/>
      <c r="P729" s="100" t="n"/>
      <c r="Q729" s="100" t="n"/>
      <c r="R729" s="100" t="n"/>
      <c r="S729" s="100" t="n"/>
      <c r="T729" s="100" t="n"/>
      <c r="U729" s="100" t="n"/>
      <c r="V729" s="100" t="n"/>
      <c r="W729" s="100" t="n"/>
      <c r="X729" s="100" t="n"/>
      <c r="Y729" s="100" t="n"/>
      <c r="Z729" s="100" t="n"/>
      <c r="AA729" s="100" t="n"/>
      <c r="AB729" s="100" t="n"/>
      <c r="AC729" s="100" t="n"/>
      <c r="AD729" s="100" t="n"/>
      <c r="AE729" s="100" t="n"/>
      <c r="AF729" s="100" t="n"/>
      <c r="AG729" s="100" t="n"/>
      <c r="AH729" s="100" t="n"/>
      <c r="AI729" s="100" t="n"/>
      <c r="AJ729" s="100" t="n"/>
      <c r="AK729" s="100" t="n"/>
      <c r="AL729" s="100" t="n"/>
      <c r="AM729" s="100" t="n"/>
      <c r="AN729" s="100" t="n"/>
      <c r="AO729" s="100" t="n"/>
      <c r="AP729" s="100" t="n"/>
      <c r="AQ729" s="100" t="n"/>
      <c r="AR729" s="100" t="n"/>
    </row>
    <row r="732">
      <c r="A732" s="2">
        <f>IF($A725="","","   projections")</f>
        <v/>
      </c>
      <c r="B732" s="96">
        <f>IF($A725="",0,COUNT($E733:$AR733))</f>
        <v/>
      </c>
      <c r="C732" s="97">
        <f>IF($B732=0,0,MAX($E733:$AR733))</f>
        <v/>
      </c>
      <c r="D732" s="98">
        <f>BDS($A725,FLD_PROJ,"headers=y","startcol=1","endcol=3","dir=h")</f>
        <v/>
      </c>
      <c r="E732" s="99" t="n"/>
      <c r="F732" s="99" t="n"/>
      <c r="G732" s="99" t="n"/>
      <c r="H732" s="99" t="n"/>
      <c r="I732" s="99" t="n"/>
      <c r="J732" s="99" t="n"/>
      <c r="K732" s="99" t="n"/>
      <c r="L732" s="99" t="n"/>
      <c r="M732" s="99" t="n"/>
      <c r="N732" s="99" t="n"/>
      <c r="O732" s="99" t="n"/>
      <c r="P732" s="99" t="n"/>
      <c r="Q732" s="99" t="n"/>
      <c r="R732" s="99" t="n"/>
      <c r="S732" s="99" t="n"/>
      <c r="T732" s="99" t="n"/>
      <c r="U732" s="99" t="n"/>
      <c r="V732" s="99" t="n"/>
      <c r="W732" s="99" t="n"/>
      <c r="X732" s="99" t="n"/>
      <c r="Y732" s="99" t="n"/>
      <c r="Z732" s="99" t="n"/>
      <c r="AA732" s="99" t="n"/>
      <c r="AB732" s="99" t="n"/>
      <c r="AC732" s="99" t="n"/>
      <c r="AD732" s="99" t="n"/>
      <c r="AE732" s="99" t="n"/>
      <c r="AF732" s="99" t="n"/>
      <c r="AG732" s="99" t="n"/>
      <c r="AH732" s="99" t="n"/>
      <c r="AI732" s="99" t="n"/>
      <c r="AJ732" s="99" t="n"/>
      <c r="AK732" s="99" t="n"/>
      <c r="AL732" s="99" t="n"/>
      <c r="AM732" s="99" t="n"/>
      <c r="AN732" s="99" t="n"/>
      <c r="AO732" s="99" t="n"/>
      <c r="AP732" s="99" t="n"/>
      <c r="AQ732" s="99" t="n"/>
      <c r="AR732" s="99" t="n"/>
    </row>
    <row r="733">
      <c r="D733" s="99" t="n"/>
      <c r="E733" s="99" t="n"/>
      <c r="F733" s="99" t="n"/>
      <c r="G733" s="99" t="n"/>
      <c r="H733" s="99" t="n"/>
      <c r="I733" s="99" t="n"/>
      <c r="J733" s="99" t="n"/>
      <c r="K733" s="99" t="n"/>
      <c r="L733" s="99" t="n"/>
      <c r="M733" s="99" t="n"/>
      <c r="N733" s="99" t="n"/>
      <c r="O733" s="99" t="n"/>
      <c r="P733" s="99" t="n"/>
      <c r="Q733" s="99" t="n"/>
      <c r="R733" s="99" t="n"/>
      <c r="S733" s="99" t="n"/>
      <c r="T733" s="99" t="n"/>
      <c r="U733" s="99" t="n"/>
      <c r="V733" s="99" t="n"/>
      <c r="W733" s="99" t="n"/>
      <c r="X733" s="99" t="n"/>
      <c r="Y733" s="99" t="n"/>
      <c r="Z733" s="99" t="n"/>
      <c r="AA733" s="99" t="n"/>
      <c r="AB733" s="99" t="n"/>
      <c r="AC733" s="99" t="n"/>
      <c r="AD733" s="99" t="n"/>
      <c r="AE733" s="99" t="n"/>
      <c r="AF733" s="99" t="n"/>
      <c r="AG733" s="99" t="n"/>
      <c r="AH733" s="99" t="n"/>
      <c r="AI733" s="99" t="n"/>
      <c r="AJ733" s="99" t="n"/>
      <c r="AK733" s="99" t="n"/>
      <c r="AL733" s="99" t="n"/>
      <c r="AM733" s="99" t="n"/>
      <c r="AN733" s="99" t="n"/>
      <c r="AO733" s="99" t="n"/>
      <c r="AP733" s="99" t="n"/>
      <c r="AQ733" s="99" t="n"/>
      <c r="AR733" s="99" t="n"/>
    </row>
    <row r="734">
      <c r="D734" s="100" t="n"/>
      <c r="E734" s="100" t="n"/>
      <c r="F734" s="100" t="n"/>
      <c r="G734" s="100" t="n"/>
      <c r="H734" s="100" t="n"/>
      <c r="I734" s="100" t="n"/>
      <c r="J734" s="100" t="n"/>
      <c r="K734" s="100" t="n"/>
      <c r="L734" s="100" t="n"/>
      <c r="M734" s="100" t="n"/>
      <c r="N734" s="100" t="n"/>
      <c r="O734" s="100" t="n"/>
      <c r="P734" s="100" t="n"/>
      <c r="Q734" s="100" t="n"/>
      <c r="R734" s="100" t="n"/>
      <c r="S734" s="100" t="n"/>
      <c r="T734" s="100" t="n"/>
      <c r="U734" s="100" t="n"/>
      <c r="V734" s="100" t="n"/>
      <c r="W734" s="100" t="n"/>
      <c r="X734" s="100" t="n"/>
      <c r="Y734" s="100" t="n"/>
      <c r="Z734" s="100" t="n"/>
      <c r="AA734" s="100" t="n"/>
      <c r="AB734" s="100" t="n"/>
      <c r="AC734" s="100" t="n"/>
      <c r="AD734" s="100" t="n"/>
      <c r="AE734" s="100" t="n"/>
      <c r="AF734" s="100" t="n"/>
      <c r="AG734" s="100" t="n"/>
      <c r="AH734" s="100" t="n"/>
      <c r="AI734" s="100" t="n"/>
      <c r="AJ734" s="100" t="n"/>
      <c r="AK734" s="100" t="n"/>
      <c r="AL734" s="100" t="n"/>
      <c r="AM734" s="100" t="n"/>
      <c r="AN734" s="100" t="n"/>
      <c r="AO734" s="100" t="n"/>
      <c r="AP734" s="100" t="n"/>
      <c r="AQ734" s="100" t="n"/>
      <c r="AR734" s="100" t="n"/>
    </row>
    <row r="736">
      <c r="A736" s="6">
        <f>IF(HSI!$C$73="","",HSI!$C$73)</f>
        <v/>
      </c>
      <c r="B736" s="96">
        <f>IF($A736="",0,COUNT($E737:$AR737))</f>
        <v/>
      </c>
      <c r="C736" s="97">
        <f>IF($B736=0,0,MAX($E737:$AR737))</f>
        <v/>
      </c>
      <c r="D736" s="98">
        <f>BDS($A736,FLD_HIST,"headers=y","startcol=1","endcol=7","dir=h","DVD_START_DT",HIST_FROM,"DVD_END_DT",HIST_TO)</f>
        <v/>
      </c>
      <c r="E736" s="99" t="n"/>
      <c r="F736" s="99" t="n"/>
      <c r="G736" s="99" t="n"/>
      <c r="H736" s="99" t="n"/>
      <c r="I736" s="99" t="n"/>
      <c r="J736" s="99" t="n"/>
      <c r="K736" s="99" t="n"/>
      <c r="L736" s="99" t="n"/>
      <c r="M736" s="99" t="n"/>
      <c r="N736" s="99" t="n"/>
      <c r="O736" s="99" t="n"/>
      <c r="P736" s="99" t="n"/>
      <c r="Q736" s="99" t="n"/>
      <c r="R736" s="99" t="n"/>
      <c r="S736" s="99" t="n"/>
      <c r="T736" s="99" t="n"/>
      <c r="U736" s="99" t="n"/>
      <c r="V736" s="99" t="n"/>
      <c r="W736" s="99" t="n"/>
      <c r="X736" s="99" t="n"/>
      <c r="Y736" s="99" t="n"/>
      <c r="Z736" s="99" t="n"/>
      <c r="AA736" s="99" t="n"/>
      <c r="AB736" s="99" t="n"/>
      <c r="AC736" s="99" t="n"/>
      <c r="AD736" s="99" t="n"/>
      <c r="AE736" s="99" t="n"/>
      <c r="AF736" s="99" t="n"/>
      <c r="AG736" s="99" t="n"/>
      <c r="AH736" s="99" t="n"/>
      <c r="AI736" s="99" t="n"/>
      <c r="AJ736" s="99" t="n"/>
      <c r="AK736" s="99" t="n"/>
      <c r="AL736" s="99" t="n"/>
      <c r="AM736" s="99" t="n"/>
      <c r="AN736" s="99" t="n"/>
      <c r="AO736" s="99" t="n"/>
      <c r="AP736" s="99" t="n"/>
      <c r="AQ736" s="99" t="n"/>
      <c r="AR736" s="99" t="n"/>
    </row>
    <row r="737">
      <c r="D737" s="99" t="n"/>
      <c r="E737" s="99" t="n"/>
      <c r="F737" s="99" t="n"/>
      <c r="G737" s="99" t="n"/>
      <c r="H737" s="99" t="n"/>
      <c r="I737" s="99" t="n"/>
      <c r="J737" s="99" t="n"/>
      <c r="K737" s="99" t="n"/>
      <c r="L737" s="99" t="n"/>
      <c r="M737" s="99" t="n"/>
      <c r="N737" s="99" t="n"/>
      <c r="O737" s="99" t="n"/>
      <c r="P737" s="99" t="n"/>
      <c r="Q737" s="99" t="n"/>
      <c r="R737" s="99" t="n"/>
      <c r="S737" s="99" t="n"/>
      <c r="T737" s="99" t="n"/>
      <c r="U737" s="99" t="n"/>
      <c r="V737" s="99" t="n"/>
      <c r="W737" s="99" t="n"/>
      <c r="X737" s="99" t="n"/>
      <c r="Y737" s="99" t="n"/>
      <c r="Z737" s="99" t="n"/>
      <c r="AA737" s="99" t="n"/>
      <c r="AB737" s="99" t="n"/>
      <c r="AC737" s="99" t="n"/>
      <c r="AD737" s="99" t="n"/>
      <c r="AE737" s="99" t="n"/>
      <c r="AF737" s="99" t="n"/>
      <c r="AG737" s="99" t="n"/>
      <c r="AH737" s="99" t="n"/>
      <c r="AI737" s="99" t="n"/>
      <c r="AJ737" s="99" t="n"/>
      <c r="AK737" s="99" t="n"/>
      <c r="AL737" s="99" t="n"/>
      <c r="AM737" s="99" t="n"/>
      <c r="AN737" s="99" t="n"/>
      <c r="AO737" s="99" t="n"/>
      <c r="AP737" s="99" t="n"/>
      <c r="AQ737" s="99" t="n"/>
      <c r="AR737" s="99" t="n"/>
    </row>
    <row r="738">
      <c r="D738" s="99" t="n"/>
      <c r="E738" s="99" t="n"/>
      <c r="F738" s="99" t="n"/>
      <c r="G738" s="99" t="n"/>
      <c r="H738" s="99" t="n"/>
      <c r="I738" s="99" t="n"/>
      <c r="J738" s="99" t="n"/>
      <c r="K738" s="99" t="n"/>
      <c r="L738" s="99" t="n"/>
      <c r="M738" s="99" t="n"/>
      <c r="N738" s="99" t="n"/>
      <c r="O738" s="99" t="n"/>
      <c r="P738" s="99" t="n"/>
      <c r="Q738" s="99" t="n"/>
      <c r="R738" s="99" t="n"/>
      <c r="S738" s="99" t="n"/>
      <c r="T738" s="99" t="n"/>
      <c r="U738" s="99" t="n"/>
      <c r="V738" s="99" t="n"/>
      <c r="W738" s="99" t="n"/>
      <c r="X738" s="99" t="n"/>
      <c r="Y738" s="99" t="n"/>
      <c r="Z738" s="99" t="n"/>
      <c r="AA738" s="99" t="n"/>
      <c r="AB738" s="99" t="n"/>
      <c r="AC738" s="99" t="n"/>
      <c r="AD738" s="99" t="n"/>
      <c r="AE738" s="99" t="n"/>
      <c r="AF738" s="99" t="n"/>
      <c r="AG738" s="99" t="n"/>
      <c r="AH738" s="99" t="n"/>
      <c r="AI738" s="99" t="n"/>
      <c r="AJ738" s="99" t="n"/>
      <c r="AK738" s="99" t="n"/>
      <c r="AL738" s="99" t="n"/>
      <c r="AM738" s="99" t="n"/>
      <c r="AN738" s="99" t="n"/>
      <c r="AO738" s="99" t="n"/>
      <c r="AP738" s="99" t="n"/>
      <c r="AQ738" s="99" t="n"/>
      <c r="AR738" s="99" t="n"/>
    </row>
    <row r="739">
      <c r="D739" s="99" t="n"/>
      <c r="E739" s="99" t="n"/>
      <c r="F739" s="99" t="n"/>
      <c r="G739" s="99" t="n"/>
      <c r="H739" s="99" t="n"/>
      <c r="I739" s="99" t="n"/>
      <c r="J739" s="99" t="n"/>
      <c r="K739" s="99" t="n"/>
      <c r="L739" s="99" t="n"/>
      <c r="M739" s="99" t="n"/>
      <c r="N739" s="99" t="n"/>
      <c r="O739" s="99" t="n"/>
      <c r="P739" s="99" t="n"/>
      <c r="Q739" s="99" t="n"/>
      <c r="R739" s="99" t="n"/>
      <c r="S739" s="99" t="n"/>
      <c r="T739" s="99" t="n"/>
      <c r="U739" s="99" t="n"/>
      <c r="V739" s="99" t="n"/>
      <c r="W739" s="99" t="n"/>
      <c r="X739" s="99" t="n"/>
      <c r="Y739" s="99" t="n"/>
      <c r="Z739" s="99" t="n"/>
      <c r="AA739" s="99" t="n"/>
      <c r="AB739" s="99" t="n"/>
      <c r="AC739" s="99" t="n"/>
      <c r="AD739" s="99" t="n"/>
      <c r="AE739" s="99" t="n"/>
      <c r="AF739" s="99" t="n"/>
      <c r="AG739" s="99" t="n"/>
      <c r="AH739" s="99" t="n"/>
      <c r="AI739" s="99" t="n"/>
      <c r="AJ739" s="99" t="n"/>
      <c r="AK739" s="99" t="n"/>
      <c r="AL739" s="99" t="n"/>
      <c r="AM739" s="99" t="n"/>
      <c r="AN739" s="99" t="n"/>
      <c r="AO739" s="99" t="n"/>
      <c r="AP739" s="99" t="n"/>
      <c r="AQ739" s="99" t="n"/>
      <c r="AR739" s="99" t="n"/>
    </row>
    <row r="740">
      <c r="D740" s="100" t="n"/>
      <c r="E740" s="100" t="n"/>
      <c r="F740" s="100" t="n"/>
      <c r="G740" s="100" t="n"/>
      <c r="H740" s="100" t="n"/>
      <c r="I740" s="100" t="n"/>
      <c r="J740" s="100" t="n"/>
      <c r="K740" s="100" t="n"/>
      <c r="L740" s="100" t="n"/>
      <c r="M740" s="100" t="n"/>
      <c r="N740" s="100" t="n"/>
      <c r="O740" s="100" t="n"/>
      <c r="P740" s="100" t="n"/>
      <c r="Q740" s="100" t="n"/>
      <c r="R740" s="100" t="n"/>
      <c r="S740" s="100" t="n"/>
      <c r="T740" s="100" t="n"/>
      <c r="U740" s="100" t="n"/>
      <c r="V740" s="100" t="n"/>
      <c r="W740" s="100" t="n"/>
      <c r="X740" s="100" t="n"/>
      <c r="Y740" s="100" t="n"/>
      <c r="Z740" s="100" t="n"/>
      <c r="AA740" s="100" t="n"/>
      <c r="AB740" s="100" t="n"/>
      <c r="AC740" s="100" t="n"/>
      <c r="AD740" s="100" t="n"/>
      <c r="AE740" s="100" t="n"/>
      <c r="AF740" s="100" t="n"/>
      <c r="AG740" s="100" t="n"/>
      <c r="AH740" s="100" t="n"/>
      <c r="AI740" s="100" t="n"/>
      <c r="AJ740" s="100" t="n"/>
      <c r="AK740" s="100" t="n"/>
      <c r="AL740" s="100" t="n"/>
      <c r="AM740" s="100" t="n"/>
      <c r="AN740" s="100" t="n"/>
      <c r="AO740" s="100" t="n"/>
      <c r="AP740" s="100" t="n"/>
      <c r="AQ740" s="100" t="n"/>
      <c r="AR740" s="100" t="n"/>
    </row>
    <row r="743">
      <c r="A743" s="2">
        <f>IF($A736="","","   projections")</f>
        <v/>
      </c>
      <c r="B743" s="96">
        <f>IF($A736="",0,COUNT($E744:$AR744))</f>
        <v/>
      </c>
      <c r="C743" s="97">
        <f>IF($B743=0,0,MAX($E744:$AR744))</f>
        <v/>
      </c>
      <c r="D743" s="98">
        <f>BDS($A736,FLD_PROJ,"headers=y","startcol=1","endcol=3","dir=h")</f>
        <v/>
      </c>
      <c r="E743" s="99" t="n"/>
      <c r="F743" s="99" t="n"/>
      <c r="G743" s="99" t="n"/>
      <c r="H743" s="99" t="n"/>
      <c r="I743" s="99" t="n"/>
      <c r="J743" s="99" t="n"/>
      <c r="K743" s="99" t="n"/>
      <c r="L743" s="99" t="n"/>
      <c r="M743" s="99" t="n"/>
      <c r="N743" s="99" t="n"/>
      <c r="O743" s="99" t="n"/>
      <c r="P743" s="99" t="n"/>
      <c r="Q743" s="99" t="n"/>
      <c r="R743" s="99" t="n"/>
      <c r="S743" s="99" t="n"/>
      <c r="T743" s="99" t="n"/>
      <c r="U743" s="99" t="n"/>
      <c r="V743" s="99" t="n"/>
      <c r="W743" s="99" t="n"/>
      <c r="X743" s="99" t="n"/>
      <c r="Y743" s="99" t="n"/>
      <c r="Z743" s="99" t="n"/>
      <c r="AA743" s="99" t="n"/>
      <c r="AB743" s="99" t="n"/>
      <c r="AC743" s="99" t="n"/>
      <c r="AD743" s="99" t="n"/>
      <c r="AE743" s="99" t="n"/>
      <c r="AF743" s="99" t="n"/>
      <c r="AG743" s="99" t="n"/>
      <c r="AH743" s="99" t="n"/>
      <c r="AI743" s="99" t="n"/>
      <c r="AJ743" s="99" t="n"/>
      <c r="AK743" s="99" t="n"/>
      <c r="AL743" s="99" t="n"/>
      <c r="AM743" s="99" t="n"/>
      <c r="AN743" s="99" t="n"/>
      <c r="AO743" s="99" t="n"/>
      <c r="AP743" s="99" t="n"/>
      <c r="AQ743" s="99" t="n"/>
      <c r="AR743" s="99" t="n"/>
    </row>
    <row r="744">
      <c r="D744" s="99" t="n"/>
      <c r="E744" s="99" t="n"/>
      <c r="F744" s="99" t="n"/>
      <c r="G744" s="99" t="n"/>
      <c r="H744" s="99" t="n"/>
      <c r="I744" s="99" t="n"/>
      <c r="J744" s="99" t="n"/>
      <c r="K744" s="99" t="n"/>
      <c r="L744" s="99" t="n"/>
      <c r="M744" s="99" t="n"/>
      <c r="N744" s="99" t="n"/>
      <c r="O744" s="99" t="n"/>
      <c r="P744" s="99" t="n"/>
      <c r="Q744" s="99" t="n"/>
      <c r="R744" s="99" t="n"/>
      <c r="S744" s="99" t="n"/>
      <c r="T744" s="99" t="n"/>
      <c r="U744" s="99" t="n"/>
      <c r="V744" s="99" t="n"/>
      <c r="W744" s="99" t="n"/>
      <c r="X744" s="99" t="n"/>
      <c r="Y744" s="99" t="n"/>
      <c r="Z744" s="99" t="n"/>
      <c r="AA744" s="99" t="n"/>
      <c r="AB744" s="99" t="n"/>
      <c r="AC744" s="99" t="n"/>
      <c r="AD744" s="99" t="n"/>
      <c r="AE744" s="99" t="n"/>
      <c r="AF744" s="99" t="n"/>
      <c r="AG744" s="99" t="n"/>
      <c r="AH744" s="99" t="n"/>
      <c r="AI744" s="99" t="n"/>
      <c r="AJ744" s="99" t="n"/>
      <c r="AK744" s="99" t="n"/>
      <c r="AL744" s="99" t="n"/>
      <c r="AM744" s="99" t="n"/>
      <c r="AN744" s="99" t="n"/>
      <c r="AO744" s="99" t="n"/>
      <c r="AP744" s="99" t="n"/>
      <c r="AQ744" s="99" t="n"/>
      <c r="AR744" s="99" t="n"/>
    </row>
    <row r="745">
      <c r="D745" s="100" t="n"/>
      <c r="E745" s="100" t="n"/>
      <c r="F745" s="100" t="n"/>
      <c r="G745" s="100" t="n"/>
      <c r="H745" s="100" t="n"/>
      <c r="I745" s="100" t="n"/>
      <c r="J745" s="100" t="n"/>
      <c r="K745" s="100" t="n"/>
      <c r="L745" s="100" t="n"/>
      <c r="M745" s="100" t="n"/>
      <c r="N745" s="100" t="n"/>
      <c r="O745" s="100" t="n"/>
      <c r="P745" s="100" t="n"/>
      <c r="Q745" s="100" t="n"/>
      <c r="R745" s="100" t="n"/>
      <c r="S745" s="100" t="n"/>
      <c r="T745" s="100" t="n"/>
      <c r="U745" s="100" t="n"/>
      <c r="V745" s="100" t="n"/>
      <c r="W745" s="100" t="n"/>
      <c r="X745" s="100" t="n"/>
      <c r="Y745" s="100" t="n"/>
      <c r="Z745" s="100" t="n"/>
      <c r="AA745" s="100" t="n"/>
      <c r="AB745" s="100" t="n"/>
      <c r="AC745" s="100" t="n"/>
      <c r="AD745" s="100" t="n"/>
      <c r="AE745" s="100" t="n"/>
      <c r="AF745" s="100" t="n"/>
      <c r="AG745" s="100" t="n"/>
      <c r="AH745" s="100" t="n"/>
      <c r="AI745" s="100" t="n"/>
      <c r="AJ745" s="100" t="n"/>
      <c r="AK745" s="100" t="n"/>
      <c r="AL745" s="100" t="n"/>
      <c r="AM745" s="100" t="n"/>
      <c r="AN745" s="100" t="n"/>
      <c r="AO745" s="100" t="n"/>
      <c r="AP745" s="100" t="n"/>
      <c r="AQ745" s="100" t="n"/>
      <c r="AR745" s="100" t="n"/>
    </row>
    <row r="747">
      <c r="A747" s="6">
        <f>IF(HSI!$C$74="","",HSI!$C$74)</f>
        <v/>
      </c>
      <c r="B747" s="96">
        <f>IF($A747="",0,COUNT($E748:$AR748))</f>
        <v/>
      </c>
      <c r="C747" s="97">
        <f>IF($B747=0,0,MAX($E748:$AR748))</f>
        <v/>
      </c>
      <c r="D747" s="98">
        <f>BDS($A747,FLD_HIST,"headers=y","startcol=1","endcol=7","dir=h","DVD_START_DT",HIST_FROM,"DVD_END_DT",HIST_TO)</f>
        <v/>
      </c>
      <c r="E747" s="99" t="n"/>
      <c r="F747" s="99" t="n"/>
      <c r="G747" s="99" t="n"/>
      <c r="H747" s="99" t="n"/>
      <c r="I747" s="99" t="n"/>
      <c r="J747" s="99" t="n"/>
      <c r="K747" s="99" t="n"/>
      <c r="L747" s="99" t="n"/>
      <c r="M747" s="99" t="n"/>
      <c r="N747" s="99" t="n"/>
      <c r="O747" s="99" t="n"/>
      <c r="P747" s="99" t="n"/>
      <c r="Q747" s="99" t="n"/>
      <c r="R747" s="99" t="n"/>
      <c r="S747" s="99" t="n"/>
      <c r="T747" s="99" t="n"/>
      <c r="U747" s="99" t="n"/>
      <c r="V747" s="99" t="n"/>
      <c r="W747" s="99" t="n"/>
      <c r="X747" s="99" t="n"/>
      <c r="Y747" s="99" t="n"/>
      <c r="Z747" s="99" t="n"/>
      <c r="AA747" s="99" t="n"/>
      <c r="AB747" s="99" t="n"/>
      <c r="AC747" s="99" t="n"/>
      <c r="AD747" s="99" t="n"/>
      <c r="AE747" s="99" t="n"/>
      <c r="AF747" s="99" t="n"/>
      <c r="AG747" s="99" t="n"/>
      <c r="AH747" s="99" t="n"/>
      <c r="AI747" s="99" t="n"/>
      <c r="AJ747" s="99" t="n"/>
      <c r="AK747" s="99" t="n"/>
      <c r="AL747" s="99" t="n"/>
      <c r="AM747" s="99" t="n"/>
      <c r="AN747" s="99" t="n"/>
      <c r="AO747" s="99" t="n"/>
      <c r="AP747" s="99" t="n"/>
      <c r="AQ747" s="99" t="n"/>
      <c r="AR747" s="99" t="n"/>
    </row>
    <row r="748">
      <c r="D748" s="99" t="n"/>
      <c r="E748" s="99" t="n"/>
      <c r="F748" s="99" t="n"/>
      <c r="G748" s="99" t="n"/>
      <c r="H748" s="99" t="n"/>
      <c r="I748" s="99" t="n"/>
      <c r="J748" s="99" t="n"/>
      <c r="K748" s="99" t="n"/>
      <c r="L748" s="99" t="n"/>
      <c r="M748" s="99" t="n"/>
      <c r="N748" s="99" t="n"/>
      <c r="O748" s="99" t="n"/>
      <c r="P748" s="99" t="n"/>
      <c r="Q748" s="99" t="n"/>
      <c r="R748" s="99" t="n"/>
      <c r="S748" s="99" t="n"/>
      <c r="T748" s="99" t="n"/>
      <c r="U748" s="99" t="n"/>
      <c r="V748" s="99" t="n"/>
      <c r="W748" s="99" t="n"/>
      <c r="X748" s="99" t="n"/>
      <c r="Y748" s="99" t="n"/>
      <c r="Z748" s="99" t="n"/>
      <c r="AA748" s="99" t="n"/>
      <c r="AB748" s="99" t="n"/>
      <c r="AC748" s="99" t="n"/>
      <c r="AD748" s="99" t="n"/>
      <c r="AE748" s="99" t="n"/>
      <c r="AF748" s="99" t="n"/>
      <c r="AG748" s="99" t="n"/>
      <c r="AH748" s="99" t="n"/>
      <c r="AI748" s="99" t="n"/>
      <c r="AJ748" s="99" t="n"/>
      <c r="AK748" s="99" t="n"/>
      <c r="AL748" s="99" t="n"/>
      <c r="AM748" s="99" t="n"/>
      <c r="AN748" s="99" t="n"/>
      <c r="AO748" s="99" t="n"/>
      <c r="AP748" s="99" t="n"/>
      <c r="AQ748" s="99" t="n"/>
      <c r="AR748" s="99" t="n"/>
    </row>
    <row r="749">
      <c r="D749" s="99" t="n"/>
      <c r="E749" s="99" t="n"/>
      <c r="F749" s="99" t="n"/>
      <c r="G749" s="99" t="n"/>
      <c r="H749" s="99" t="n"/>
      <c r="I749" s="99" t="n"/>
      <c r="J749" s="99" t="n"/>
      <c r="K749" s="99" t="n"/>
      <c r="L749" s="99" t="n"/>
      <c r="M749" s="99" t="n"/>
      <c r="N749" s="99" t="n"/>
      <c r="O749" s="99" t="n"/>
      <c r="P749" s="99" t="n"/>
      <c r="Q749" s="99" t="n"/>
      <c r="R749" s="99" t="n"/>
      <c r="S749" s="99" t="n"/>
      <c r="T749" s="99" t="n"/>
      <c r="U749" s="99" t="n"/>
      <c r="V749" s="99" t="n"/>
      <c r="W749" s="99" t="n"/>
      <c r="X749" s="99" t="n"/>
      <c r="Y749" s="99" t="n"/>
      <c r="Z749" s="99" t="n"/>
      <c r="AA749" s="99" t="n"/>
      <c r="AB749" s="99" t="n"/>
      <c r="AC749" s="99" t="n"/>
      <c r="AD749" s="99" t="n"/>
      <c r="AE749" s="99" t="n"/>
      <c r="AF749" s="99" t="n"/>
      <c r="AG749" s="99" t="n"/>
      <c r="AH749" s="99" t="n"/>
      <c r="AI749" s="99" t="n"/>
      <c r="AJ749" s="99" t="n"/>
      <c r="AK749" s="99" t="n"/>
      <c r="AL749" s="99" t="n"/>
      <c r="AM749" s="99" t="n"/>
      <c r="AN749" s="99" t="n"/>
      <c r="AO749" s="99" t="n"/>
      <c r="AP749" s="99" t="n"/>
      <c r="AQ749" s="99" t="n"/>
      <c r="AR749" s="99" t="n"/>
    </row>
    <row r="750">
      <c r="D750" s="99" t="n"/>
      <c r="E750" s="99" t="n"/>
      <c r="F750" s="99" t="n"/>
      <c r="G750" s="99" t="n"/>
      <c r="H750" s="99" t="n"/>
      <c r="I750" s="99" t="n"/>
      <c r="J750" s="99" t="n"/>
      <c r="K750" s="99" t="n"/>
      <c r="L750" s="99" t="n"/>
      <c r="M750" s="99" t="n"/>
      <c r="N750" s="99" t="n"/>
      <c r="O750" s="99" t="n"/>
      <c r="P750" s="99" t="n"/>
      <c r="Q750" s="99" t="n"/>
      <c r="R750" s="99" t="n"/>
      <c r="S750" s="99" t="n"/>
      <c r="T750" s="99" t="n"/>
      <c r="U750" s="99" t="n"/>
      <c r="V750" s="99" t="n"/>
      <c r="W750" s="99" t="n"/>
      <c r="X750" s="99" t="n"/>
      <c r="Y750" s="99" t="n"/>
      <c r="Z750" s="99" t="n"/>
      <c r="AA750" s="99" t="n"/>
      <c r="AB750" s="99" t="n"/>
      <c r="AC750" s="99" t="n"/>
      <c r="AD750" s="99" t="n"/>
      <c r="AE750" s="99" t="n"/>
      <c r="AF750" s="99" t="n"/>
      <c r="AG750" s="99" t="n"/>
      <c r="AH750" s="99" t="n"/>
      <c r="AI750" s="99" t="n"/>
      <c r="AJ750" s="99" t="n"/>
      <c r="AK750" s="99" t="n"/>
      <c r="AL750" s="99" t="n"/>
      <c r="AM750" s="99" t="n"/>
      <c r="AN750" s="99" t="n"/>
      <c r="AO750" s="99" t="n"/>
      <c r="AP750" s="99" t="n"/>
      <c r="AQ750" s="99" t="n"/>
      <c r="AR750" s="99" t="n"/>
    </row>
    <row r="751">
      <c r="D751" s="100" t="n"/>
      <c r="E751" s="100" t="n"/>
      <c r="F751" s="100" t="n"/>
      <c r="G751" s="100" t="n"/>
      <c r="H751" s="100" t="n"/>
      <c r="I751" s="100" t="n"/>
      <c r="J751" s="100" t="n"/>
      <c r="K751" s="100" t="n"/>
      <c r="L751" s="100" t="n"/>
      <c r="M751" s="100" t="n"/>
      <c r="N751" s="100" t="n"/>
      <c r="O751" s="100" t="n"/>
      <c r="P751" s="100" t="n"/>
      <c r="Q751" s="100" t="n"/>
      <c r="R751" s="100" t="n"/>
      <c r="S751" s="100" t="n"/>
      <c r="T751" s="100" t="n"/>
      <c r="U751" s="100" t="n"/>
      <c r="V751" s="100" t="n"/>
      <c r="W751" s="100" t="n"/>
      <c r="X751" s="100" t="n"/>
      <c r="Y751" s="100" t="n"/>
      <c r="Z751" s="100" t="n"/>
      <c r="AA751" s="100" t="n"/>
      <c r="AB751" s="100" t="n"/>
      <c r="AC751" s="100" t="n"/>
      <c r="AD751" s="100" t="n"/>
      <c r="AE751" s="100" t="n"/>
      <c r="AF751" s="100" t="n"/>
      <c r="AG751" s="100" t="n"/>
      <c r="AH751" s="100" t="n"/>
      <c r="AI751" s="100" t="n"/>
      <c r="AJ751" s="100" t="n"/>
      <c r="AK751" s="100" t="n"/>
      <c r="AL751" s="100" t="n"/>
      <c r="AM751" s="100" t="n"/>
      <c r="AN751" s="100" t="n"/>
      <c r="AO751" s="100" t="n"/>
      <c r="AP751" s="100" t="n"/>
      <c r="AQ751" s="100" t="n"/>
      <c r="AR751" s="100" t="n"/>
    </row>
    <row r="754">
      <c r="A754" s="2">
        <f>IF($A747="","","   projections")</f>
        <v/>
      </c>
      <c r="B754" s="96">
        <f>IF($A747="",0,COUNT($E755:$AR755))</f>
        <v/>
      </c>
      <c r="C754" s="97">
        <f>IF($B754=0,0,MAX($E755:$AR755))</f>
        <v/>
      </c>
      <c r="D754" s="98">
        <f>BDS($A747,FLD_PROJ,"headers=y","startcol=1","endcol=3","dir=h")</f>
        <v/>
      </c>
      <c r="E754" s="99" t="n"/>
      <c r="F754" s="99" t="n"/>
      <c r="G754" s="99" t="n"/>
      <c r="H754" s="99" t="n"/>
      <c r="I754" s="99" t="n"/>
      <c r="J754" s="99" t="n"/>
      <c r="K754" s="99" t="n"/>
      <c r="L754" s="99" t="n"/>
      <c r="M754" s="99" t="n"/>
      <c r="N754" s="99" t="n"/>
      <c r="O754" s="99" t="n"/>
      <c r="P754" s="99" t="n"/>
      <c r="Q754" s="99" t="n"/>
      <c r="R754" s="99" t="n"/>
      <c r="S754" s="99" t="n"/>
      <c r="T754" s="99" t="n"/>
      <c r="U754" s="99" t="n"/>
      <c r="V754" s="99" t="n"/>
      <c r="W754" s="99" t="n"/>
      <c r="X754" s="99" t="n"/>
      <c r="Y754" s="99" t="n"/>
      <c r="Z754" s="99" t="n"/>
      <c r="AA754" s="99" t="n"/>
      <c r="AB754" s="99" t="n"/>
      <c r="AC754" s="99" t="n"/>
      <c r="AD754" s="99" t="n"/>
      <c r="AE754" s="99" t="n"/>
      <c r="AF754" s="99" t="n"/>
      <c r="AG754" s="99" t="n"/>
      <c r="AH754" s="99" t="n"/>
      <c r="AI754" s="99" t="n"/>
      <c r="AJ754" s="99" t="n"/>
      <c r="AK754" s="99" t="n"/>
      <c r="AL754" s="99" t="n"/>
      <c r="AM754" s="99" t="n"/>
      <c r="AN754" s="99" t="n"/>
      <c r="AO754" s="99" t="n"/>
      <c r="AP754" s="99" t="n"/>
      <c r="AQ754" s="99" t="n"/>
      <c r="AR754" s="99" t="n"/>
    </row>
    <row r="755">
      <c r="D755" s="99" t="n"/>
      <c r="E755" s="99" t="n"/>
      <c r="F755" s="99" t="n"/>
      <c r="G755" s="99" t="n"/>
      <c r="H755" s="99" t="n"/>
      <c r="I755" s="99" t="n"/>
      <c r="J755" s="99" t="n"/>
      <c r="K755" s="99" t="n"/>
      <c r="L755" s="99" t="n"/>
      <c r="M755" s="99" t="n"/>
      <c r="N755" s="99" t="n"/>
      <c r="O755" s="99" t="n"/>
      <c r="P755" s="99" t="n"/>
      <c r="Q755" s="99" t="n"/>
      <c r="R755" s="99" t="n"/>
      <c r="S755" s="99" t="n"/>
      <c r="T755" s="99" t="n"/>
      <c r="U755" s="99" t="n"/>
      <c r="V755" s="99" t="n"/>
      <c r="W755" s="99" t="n"/>
      <c r="X755" s="99" t="n"/>
      <c r="Y755" s="99" t="n"/>
      <c r="Z755" s="99" t="n"/>
      <c r="AA755" s="99" t="n"/>
      <c r="AB755" s="99" t="n"/>
      <c r="AC755" s="99" t="n"/>
      <c r="AD755" s="99" t="n"/>
      <c r="AE755" s="99" t="n"/>
      <c r="AF755" s="99" t="n"/>
      <c r="AG755" s="99" t="n"/>
      <c r="AH755" s="99" t="n"/>
      <c r="AI755" s="99" t="n"/>
      <c r="AJ755" s="99" t="n"/>
      <c r="AK755" s="99" t="n"/>
      <c r="AL755" s="99" t="n"/>
      <c r="AM755" s="99" t="n"/>
      <c r="AN755" s="99" t="n"/>
      <c r="AO755" s="99" t="n"/>
      <c r="AP755" s="99" t="n"/>
      <c r="AQ755" s="99" t="n"/>
      <c r="AR755" s="99" t="n"/>
    </row>
    <row r="756">
      <c r="D756" s="100" t="n"/>
      <c r="E756" s="100" t="n"/>
      <c r="F756" s="100" t="n"/>
      <c r="G756" s="100" t="n"/>
      <c r="H756" s="100" t="n"/>
      <c r="I756" s="100" t="n"/>
      <c r="J756" s="100" t="n"/>
      <c r="K756" s="100" t="n"/>
      <c r="L756" s="100" t="n"/>
      <c r="M756" s="100" t="n"/>
      <c r="N756" s="100" t="n"/>
      <c r="O756" s="100" t="n"/>
      <c r="P756" s="100" t="n"/>
      <c r="Q756" s="100" t="n"/>
      <c r="R756" s="100" t="n"/>
      <c r="S756" s="100" t="n"/>
      <c r="T756" s="100" t="n"/>
      <c r="U756" s="100" t="n"/>
      <c r="V756" s="100" t="n"/>
      <c r="W756" s="100" t="n"/>
      <c r="X756" s="100" t="n"/>
      <c r="Y756" s="100" t="n"/>
      <c r="Z756" s="100" t="n"/>
      <c r="AA756" s="100" t="n"/>
      <c r="AB756" s="100" t="n"/>
      <c r="AC756" s="100" t="n"/>
      <c r="AD756" s="100" t="n"/>
      <c r="AE756" s="100" t="n"/>
      <c r="AF756" s="100" t="n"/>
      <c r="AG756" s="100" t="n"/>
      <c r="AH756" s="100" t="n"/>
      <c r="AI756" s="100" t="n"/>
      <c r="AJ756" s="100" t="n"/>
      <c r="AK756" s="100" t="n"/>
      <c r="AL756" s="100" t="n"/>
      <c r="AM756" s="100" t="n"/>
      <c r="AN756" s="100" t="n"/>
      <c r="AO756" s="100" t="n"/>
      <c r="AP756" s="100" t="n"/>
      <c r="AQ756" s="100" t="n"/>
      <c r="AR756" s="100" t="n"/>
    </row>
    <row r="758">
      <c r="A758" s="6">
        <f>IF(HSI!$C$75="","",HSI!$C$75)</f>
        <v/>
      </c>
      <c r="B758" s="96">
        <f>IF($A758="",0,COUNT($E759:$AR759))</f>
        <v/>
      </c>
      <c r="C758" s="97">
        <f>IF($B758=0,0,MAX($E759:$AR759))</f>
        <v/>
      </c>
      <c r="D758" s="98">
        <f>BDS($A758,FLD_HIST,"headers=y","startcol=1","endcol=7","dir=h","DVD_START_DT",HIST_FROM,"DVD_END_DT",HIST_TO)</f>
        <v/>
      </c>
      <c r="E758" s="99" t="n"/>
      <c r="F758" s="99" t="n"/>
      <c r="G758" s="99" t="n"/>
      <c r="H758" s="99" t="n"/>
      <c r="I758" s="99" t="n"/>
      <c r="J758" s="99" t="n"/>
      <c r="K758" s="99" t="n"/>
      <c r="L758" s="99" t="n"/>
      <c r="M758" s="99" t="n"/>
      <c r="N758" s="99" t="n"/>
      <c r="O758" s="99" t="n"/>
      <c r="P758" s="99" t="n"/>
      <c r="Q758" s="99" t="n"/>
      <c r="R758" s="99" t="n"/>
      <c r="S758" s="99" t="n"/>
      <c r="T758" s="99" t="n"/>
      <c r="U758" s="99" t="n"/>
      <c r="V758" s="99" t="n"/>
      <c r="W758" s="99" t="n"/>
      <c r="X758" s="99" t="n"/>
      <c r="Y758" s="99" t="n"/>
      <c r="Z758" s="99" t="n"/>
      <c r="AA758" s="99" t="n"/>
      <c r="AB758" s="99" t="n"/>
      <c r="AC758" s="99" t="n"/>
      <c r="AD758" s="99" t="n"/>
      <c r="AE758" s="99" t="n"/>
      <c r="AF758" s="99" t="n"/>
      <c r="AG758" s="99" t="n"/>
      <c r="AH758" s="99" t="n"/>
      <c r="AI758" s="99" t="n"/>
      <c r="AJ758" s="99" t="n"/>
      <c r="AK758" s="99" t="n"/>
      <c r="AL758" s="99" t="n"/>
      <c r="AM758" s="99" t="n"/>
      <c r="AN758" s="99" t="n"/>
      <c r="AO758" s="99" t="n"/>
      <c r="AP758" s="99" t="n"/>
      <c r="AQ758" s="99" t="n"/>
      <c r="AR758" s="99" t="n"/>
    </row>
    <row r="759">
      <c r="D759" s="99" t="n"/>
      <c r="E759" s="99" t="n"/>
      <c r="F759" s="99" t="n"/>
      <c r="G759" s="99" t="n"/>
      <c r="H759" s="99" t="n"/>
      <c r="I759" s="99" t="n"/>
      <c r="J759" s="99" t="n"/>
      <c r="K759" s="99" t="n"/>
      <c r="L759" s="99" t="n"/>
      <c r="M759" s="99" t="n"/>
      <c r="N759" s="99" t="n"/>
      <c r="O759" s="99" t="n"/>
      <c r="P759" s="99" t="n"/>
      <c r="Q759" s="99" t="n"/>
      <c r="R759" s="99" t="n"/>
      <c r="S759" s="99" t="n"/>
      <c r="T759" s="99" t="n"/>
      <c r="U759" s="99" t="n"/>
      <c r="V759" s="99" t="n"/>
      <c r="W759" s="99" t="n"/>
      <c r="X759" s="99" t="n"/>
      <c r="Y759" s="99" t="n"/>
      <c r="Z759" s="99" t="n"/>
      <c r="AA759" s="99" t="n"/>
      <c r="AB759" s="99" t="n"/>
      <c r="AC759" s="99" t="n"/>
      <c r="AD759" s="99" t="n"/>
      <c r="AE759" s="99" t="n"/>
      <c r="AF759" s="99" t="n"/>
      <c r="AG759" s="99" t="n"/>
      <c r="AH759" s="99" t="n"/>
      <c r="AI759" s="99" t="n"/>
      <c r="AJ759" s="99" t="n"/>
      <c r="AK759" s="99" t="n"/>
      <c r="AL759" s="99" t="n"/>
      <c r="AM759" s="99" t="n"/>
      <c r="AN759" s="99" t="n"/>
      <c r="AO759" s="99" t="n"/>
      <c r="AP759" s="99" t="n"/>
      <c r="AQ759" s="99" t="n"/>
      <c r="AR759" s="99" t="n"/>
    </row>
    <row r="760">
      <c r="D760" s="99" t="n"/>
      <c r="E760" s="99" t="n"/>
      <c r="F760" s="99" t="n"/>
      <c r="G760" s="99" t="n"/>
      <c r="H760" s="99" t="n"/>
      <c r="I760" s="99" t="n"/>
      <c r="J760" s="99" t="n"/>
      <c r="K760" s="99" t="n"/>
      <c r="L760" s="99" t="n"/>
      <c r="M760" s="99" t="n"/>
      <c r="N760" s="99" t="n"/>
      <c r="O760" s="99" t="n"/>
      <c r="P760" s="99" t="n"/>
      <c r="Q760" s="99" t="n"/>
      <c r="R760" s="99" t="n"/>
      <c r="S760" s="99" t="n"/>
      <c r="T760" s="99" t="n"/>
      <c r="U760" s="99" t="n"/>
      <c r="V760" s="99" t="n"/>
      <c r="W760" s="99" t="n"/>
      <c r="X760" s="99" t="n"/>
      <c r="Y760" s="99" t="n"/>
      <c r="Z760" s="99" t="n"/>
      <c r="AA760" s="99" t="n"/>
      <c r="AB760" s="99" t="n"/>
      <c r="AC760" s="99" t="n"/>
      <c r="AD760" s="99" t="n"/>
      <c r="AE760" s="99" t="n"/>
      <c r="AF760" s="99" t="n"/>
      <c r="AG760" s="99" t="n"/>
      <c r="AH760" s="99" t="n"/>
      <c r="AI760" s="99" t="n"/>
      <c r="AJ760" s="99" t="n"/>
      <c r="AK760" s="99" t="n"/>
      <c r="AL760" s="99" t="n"/>
      <c r="AM760" s="99" t="n"/>
      <c r="AN760" s="99" t="n"/>
      <c r="AO760" s="99" t="n"/>
      <c r="AP760" s="99" t="n"/>
      <c r="AQ760" s="99" t="n"/>
      <c r="AR760" s="99" t="n"/>
    </row>
    <row r="761">
      <c r="D761" s="99" t="n"/>
      <c r="E761" s="99" t="n"/>
      <c r="F761" s="99" t="n"/>
      <c r="G761" s="99" t="n"/>
      <c r="H761" s="99" t="n"/>
      <c r="I761" s="99" t="n"/>
      <c r="J761" s="99" t="n"/>
      <c r="K761" s="99" t="n"/>
      <c r="L761" s="99" t="n"/>
      <c r="M761" s="99" t="n"/>
      <c r="N761" s="99" t="n"/>
      <c r="O761" s="99" t="n"/>
      <c r="P761" s="99" t="n"/>
      <c r="Q761" s="99" t="n"/>
      <c r="R761" s="99" t="n"/>
      <c r="S761" s="99" t="n"/>
      <c r="T761" s="99" t="n"/>
      <c r="U761" s="99" t="n"/>
      <c r="V761" s="99" t="n"/>
      <c r="W761" s="99" t="n"/>
      <c r="X761" s="99" t="n"/>
      <c r="Y761" s="99" t="n"/>
      <c r="Z761" s="99" t="n"/>
      <c r="AA761" s="99" t="n"/>
      <c r="AB761" s="99" t="n"/>
      <c r="AC761" s="99" t="n"/>
      <c r="AD761" s="99" t="n"/>
      <c r="AE761" s="99" t="n"/>
      <c r="AF761" s="99" t="n"/>
      <c r="AG761" s="99" t="n"/>
      <c r="AH761" s="99" t="n"/>
      <c r="AI761" s="99" t="n"/>
      <c r="AJ761" s="99" t="n"/>
      <c r="AK761" s="99" t="n"/>
      <c r="AL761" s="99" t="n"/>
      <c r="AM761" s="99" t="n"/>
      <c r="AN761" s="99" t="n"/>
      <c r="AO761" s="99" t="n"/>
      <c r="AP761" s="99" t="n"/>
      <c r="AQ761" s="99" t="n"/>
      <c r="AR761" s="99" t="n"/>
    </row>
    <row r="762">
      <c r="D762" s="100" t="n"/>
      <c r="E762" s="100" t="n"/>
      <c r="F762" s="100" t="n"/>
      <c r="G762" s="100" t="n"/>
      <c r="H762" s="100" t="n"/>
      <c r="I762" s="100" t="n"/>
      <c r="J762" s="100" t="n"/>
      <c r="K762" s="100" t="n"/>
      <c r="L762" s="100" t="n"/>
      <c r="M762" s="100" t="n"/>
      <c r="N762" s="100" t="n"/>
      <c r="O762" s="100" t="n"/>
      <c r="P762" s="100" t="n"/>
      <c r="Q762" s="100" t="n"/>
      <c r="R762" s="100" t="n"/>
      <c r="S762" s="100" t="n"/>
      <c r="T762" s="100" t="n"/>
      <c r="U762" s="100" t="n"/>
      <c r="V762" s="100" t="n"/>
      <c r="W762" s="100" t="n"/>
      <c r="X762" s="100" t="n"/>
      <c r="Y762" s="100" t="n"/>
      <c r="Z762" s="100" t="n"/>
      <c r="AA762" s="100" t="n"/>
      <c r="AB762" s="100" t="n"/>
      <c r="AC762" s="100" t="n"/>
      <c r="AD762" s="100" t="n"/>
      <c r="AE762" s="100" t="n"/>
      <c r="AF762" s="100" t="n"/>
      <c r="AG762" s="100" t="n"/>
      <c r="AH762" s="100" t="n"/>
      <c r="AI762" s="100" t="n"/>
      <c r="AJ762" s="100" t="n"/>
      <c r="AK762" s="100" t="n"/>
      <c r="AL762" s="100" t="n"/>
      <c r="AM762" s="100" t="n"/>
      <c r="AN762" s="100" t="n"/>
      <c r="AO762" s="100" t="n"/>
      <c r="AP762" s="100" t="n"/>
      <c r="AQ762" s="100" t="n"/>
      <c r="AR762" s="100" t="n"/>
    </row>
    <row r="765">
      <c r="A765" s="2">
        <f>IF($A758="","","   projections")</f>
        <v/>
      </c>
      <c r="B765" s="96">
        <f>IF($A758="",0,COUNT($E766:$AR766))</f>
        <v/>
      </c>
      <c r="C765" s="97">
        <f>IF($B765=0,0,MAX($E766:$AR766))</f>
        <v/>
      </c>
      <c r="D765" s="98">
        <f>BDS($A758,FLD_PROJ,"headers=y","startcol=1","endcol=3","dir=h")</f>
        <v/>
      </c>
      <c r="E765" s="99" t="n"/>
      <c r="F765" s="99" t="n"/>
      <c r="G765" s="99" t="n"/>
      <c r="H765" s="99" t="n"/>
      <c r="I765" s="99" t="n"/>
      <c r="J765" s="99" t="n"/>
      <c r="K765" s="99" t="n"/>
      <c r="L765" s="99" t="n"/>
      <c r="M765" s="99" t="n"/>
      <c r="N765" s="99" t="n"/>
      <c r="O765" s="99" t="n"/>
      <c r="P765" s="99" t="n"/>
      <c r="Q765" s="99" t="n"/>
      <c r="R765" s="99" t="n"/>
      <c r="S765" s="99" t="n"/>
      <c r="T765" s="99" t="n"/>
      <c r="U765" s="99" t="n"/>
      <c r="V765" s="99" t="n"/>
      <c r="W765" s="99" t="n"/>
      <c r="X765" s="99" t="n"/>
      <c r="Y765" s="99" t="n"/>
      <c r="Z765" s="99" t="n"/>
      <c r="AA765" s="99" t="n"/>
      <c r="AB765" s="99" t="n"/>
      <c r="AC765" s="99" t="n"/>
      <c r="AD765" s="99" t="n"/>
      <c r="AE765" s="99" t="n"/>
      <c r="AF765" s="99" t="n"/>
      <c r="AG765" s="99" t="n"/>
      <c r="AH765" s="99" t="n"/>
      <c r="AI765" s="99" t="n"/>
      <c r="AJ765" s="99" t="n"/>
      <c r="AK765" s="99" t="n"/>
      <c r="AL765" s="99" t="n"/>
      <c r="AM765" s="99" t="n"/>
      <c r="AN765" s="99" t="n"/>
      <c r="AO765" s="99" t="n"/>
      <c r="AP765" s="99" t="n"/>
      <c r="AQ765" s="99" t="n"/>
      <c r="AR765" s="99" t="n"/>
    </row>
    <row r="766">
      <c r="D766" s="99" t="n"/>
      <c r="E766" s="99" t="n"/>
      <c r="F766" s="99" t="n"/>
      <c r="G766" s="99" t="n"/>
      <c r="H766" s="99" t="n"/>
      <c r="I766" s="99" t="n"/>
      <c r="J766" s="99" t="n"/>
      <c r="K766" s="99" t="n"/>
      <c r="L766" s="99" t="n"/>
      <c r="M766" s="99" t="n"/>
      <c r="N766" s="99" t="n"/>
      <c r="O766" s="99" t="n"/>
      <c r="P766" s="99" t="n"/>
      <c r="Q766" s="99" t="n"/>
      <c r="R766" s="99" t="n"/>
      <c r="S766" s="99" t="n"/>
      <c r="T766" s="99" t="n"/>
      <c r="U766" s="99" t="n"/>
      <c r="V766" s="99" t="n"/>
      <c r="W766" s="99" t="n"/>
      <c r="X766" s="99" t="n"/>
      <c r="Y766" s="99" t="n"/>
      <c r="Z766" s="99" t="n"/>
      <c r="AA766" s="99" t="n"/>
      <c r="AB766" s="99" t="n"/>
      <c r="AC766" s="99" t="n"/>
      <c r="AD766" s="99" t="n"/>
      <c r="AE766" s="99" t="n"/>
      <c r="AF766" s="99" t="n"/>
      <c r="AG766" s="99" t="n"/>
      <c r="AH766" s="99" t="n"/>
      <c r="AI766" s="99" t="n"/>
      <c r="AJ766" s="99" t="n"/>
      <c r="AK766" s="99" t="n"/>
      <c r="AL766" s="99" t="n"/>
      <c r="AM766" s="99" t="n"/>
      <c r="AN766" s="99" t="n"/>
      <c r="AO766" s="99" t="n"/>
      <c r="AP766" s="99" t="n"/>
      <c r="AQ766" s="99" t="n"/>
      <c r="AR766" s="99" t="n"/>
    </row>
    <row r="767">
      <c r="D767" s="100" t="n"/>
      <c r="E767" s="100" t="n"/>
      <c r="F767" s="100" t="n"/>
      <c r="G767" s="100" t="n"/>
      <c r="H767" s="100" t="n"/>
      <c r="I767" s="100" t="n"/>
      <c r="J767" s="100" t="n"/>
      <c r="K767" s="100" t="n"/>
      <c r="L767" s="100" t="n"/>
      <c r="M767" s="100" t="n"/>
      <c r="N767" s="100" t="n"/>
      <c r="O767" s="100" t="n"/>
      <c r="P767" s="100" t="n"/>
      <c r="Q767" s="100" t="n"/>
      <c r="R767" s="100" t="n"/>
      <c r="S767" s="100" t="n"/>
      <c r="T767" s="100" t="n"/>
      <c r="U767" s="100" t="n"/>
      <c r="V767" s="100" t="n"/>
      <c r="W767" s="100" t="n"/>
      <c r="X767" s="100" t="n"/>
      <c r="Y767" s="100" t="n"/>
      <c r="Z767" s="100" t="n"/>
      <c r="AA767" s="100" t="n"/>
      <c r="AB767" s="100" t="n"/>
      <c r="AC767" s="100" t="n"/>
      <c r="AD767" s="100" t="n"/>
      <c r="AE767" s="100" t="n"/>
      <c r="AF767" s="100" t="n"/>
      <c r="AG767" s="100" t="n"/>
      <c r="AH767" s="100" t="n"/>
      <c r="AI767" s="100" t="n"/>
      <c r="AJ767" s="100" t="n"/>
      <c r="AK767" s="100" t="n"/>
      <c r="AL767" s="100" t="n"/>
      <c r="AM767" s="100" t="n"/>
      <c r="AN767" s="100" t="n"/>
      <c r="AO767" s="100" t="n"/>
      <c r="AP767" s="100" t="n"/>
      <c r="AQ767" s="100" t="n"/>
      <c r="AR767" s="100" t="n"/>
    </row>
    <row r="769">
      <c r="A769" s="6">
        <f>IF(HSI!$C$76="","",HSI!$C$76)</f>
        <v/>
      </c>
      <c r="B769" s="96">
        <f>IF($A769="",0,COUNT($E770:$AR770))</f>
        <v/>
      </c>
      <c r="C769" s="97">
        <f>IF($B769=0,0,MAX($E770:$AR770))</f>
        <v/>
      </c>
      <c r="D769" s="98">
        <f>BDS($A769,FLD_HIST,"headers=y","startcol=1","endcol=7","dir=h","DVD_START_DT",HIST_FROM,"DVD_END_DT",HIST_TO)</f>
        <v/>
      </c>
      <c r="E769" s="99" t="n"/>
      <c r="F769" s="99" t="n"/>
      <c r="G769" s="99" t="n"/>
      <c r="H769" s="99" t="n"/>
      <c r="I769" s="99" t="n"/>
      <c r="J769" s="99" t="n"/>
      <c r="K769" s="99" t="n"/>
      <c r="L769" s="99" t="n"/>
      <c r="M769" s="99" t="n"/>
      <c r="N769" s="99" t="n"/>
      <c r="O769" s="99" t="n"/>
      <c r="P769" s="99" t="n"/>
      <c r="Q769" s="99" t="n"/>
      <c r="R769" s="99" t="n"/>
      <c r="S769" s="99" t="n"/>
      <c r="T769" s="99" t="n"/>
      <c r="U769" s="99" t="n"/>
      <c r="V769" s="99" t="n"/>
      <c r="W769" s="99" t="n"/>
      <c r="X769" s="99" t="n"/>
      <c r="Y769" s="99" t="n"/>
      <c r="Z769" s="99" t="n"/>
      <c r="AA769" s="99" t="n"/>
      <c r="AB769" s="99" t="n"/>
      <c r="AC769" s="99" t="n"/>
      <c r="AD769" s="99" t="n"/>
      <c r="AE769" s="99" t="n"/>
      <c r="AF769" s="99" t="n"/>
      <c r="AG769" s="99" t="n"/>
      <c r="AH769" s="99" t="n"/>
      <c r="AI769" s="99" t="n"/>
      <c r="AJ769" s="99" t="n"/>
      <c r="AK769" s="99" t="n"/>
      <c r="AL769" s="99" t="n"/>
      <c r="AM769" s="99" t="n"/>
      <c r="AN769" s="99" t="n"/>
      <c r="AO769" s="99" t="n"/>
      <c r="AP769" s="99" t="n"/>
      <c r="AQ769" s="99" t="n"/>
      <c r="AR769" s="99" t="n"/>
    </row>
    <row r="770">
      <c r="D770" s="99" t="n"/>
      <c r="E770" s="99" t="n"/>
      <c r="F770" s="99" t="n"/>
      <c r="G770" s="99" t="n"/>
      <c r="H770" s="99" t="n"/>
      <c r="I770" s="99" t="n"/>
      <c r="J770" s="99" t="n"/>
      <c r="K770" s="99" t="n"/>
      <c r="L770" s="99" t="n"/>
      <c r="M770" s="99" t="n"/>
      <c r="N770" s="99" t="n"/>
      <c r="O770" s="99" t="n"/>
      <c r="P770" s="99" t="n"/>
      <c r="Q770" s="99" t="n"/>
      <c r="R770" s="99" t="n"/>
      <c r="S770" s="99" t="n"/>
      <c r="T770" s="99" t="n"/>
      <c r="U770" s="99" t="n"/>
      <c r="V770" s="99" t="n"/>
      <c r="W770" s="99" t="n"/>
      <c r="X770" s="99" t="n"/>
      <c r="Y770" s="99" t="n"/>
      <c r="Z770" s="99" t="n"/>
      <c r="AA770" s="99" t="n"/>
      <c r="AB770" s="99" t="n"/>
      <c r="AC770" s="99" t="n"/>
      <c r="AD770" s="99" t="n"/>
      <c r="AE770" s="99" t="n"/>
      <c r="AF770" s="99" t="n"/>
      <c r="AG770" s="99" t="n"/>
      <c r="AH770" s="99" t="n"/>
      <c r="AI770" s="99" t="n"/>
      <c r="AJ770" s="99" t="n"/>
      <c r="AK770" s="99" t="n"/>
      <c r="AL770" s="99" t="n"/>
      <c r="AM770" s="99" t="n"/>
      <c r="AN770" s="99" t="n"/>
      <c r="AO770" s="99" t="n"/>
      <c r="AP770" s="99" t="n"/>
      <c r="AQ770" s="99" t="n"/>
      <c r="AR770" s="99" t="n"/>
    </row>
    <row r="771">
      <c r="D771" s="99" t="n"/>
      <c r="E771" s="99" t="n"/>
      <c r="F771" s="99" t="n"/>
      <c r="G771" s="99" t="n"/>
      <c r="H771" s="99" t="n"/>
      <c r="I771" s="99" t="n"/>
      <c r="J771" s="99" t="n"/>
      <c r="K771" s="99" t="n"/>
      <c r="L771" s="99" t="n"/>
      <c r="M771" s="99" t="n"/>
      <c r="N771" s="99" t="n"/>
      <c r="O771" s="99" t="n"/>
      <c r="P771" s="99" t="n"/>
      <c r="Q771" s="99" t="n"/>
      <c r="R771" s="99" t="n"/>
      <c r="S771" s="99" t="n"/>
      <c r="T771" s="99" t="n"/>
      <c r="U771" s="99" t="n"/>
      <c r="V771" s="99" t="n"/>
      <c r="W771" s="99" t="n"/>
      <c r="X771" s="99" t="n"/>
      <c r="Y771" s="99" t="n"/>
      <c r="Z771" s="99" t="n"/>
      <c r="AA771" s="99" t="n"/>
      <c r="AB771" s="99" t="n"/>
      <c r="AC771" s="99" t="n"/>
      <c r="AD771" s="99" t="n"/>
      <c r="AE771" s="99" t="n"/>
      <c r="AF771" s="99" t="n"/>
      <c r="AG771" s="99" t="n"/>
      <c r="AH771" s="99" t="n"/>
      <c r="AI771" s="99" t="n"/>
      <c r="AJ771" s="99" t="n"/>
      <c r="AK771" s="99" t="n"/>
      <c r="AL771" s="99" t="n"/>
      <c r="AM771" s="99" t="n"/>
      <c r="AN771" s="99" t="n"/>
      <c r="AO771" s="99" t="n"/>
      <c r="AP771" s="99" t="n"/>
      <c r="AQ771" s="99" t="n"/>
      <c r="AR771" s="99" t="n"/>
    </row>
    <row r="772">
      <c r="D772" s="99" t="n"/>
      <c r="E772" s="99" t="n"/>
      <c r="F772" s="99" t="n"/>
      <c r="G772" s="99" t="n"/>
      <c r="H772" s="99" t="n"/>
      <c r="I772" s="99" t="n"/>
      <c r="J772" s="99" t="n"/>
      <c r="K772" s="99" t="n"/>
      <c r="L772" s="99" t="n"/>
      <c r="M772" s="99" t="n"/>
      <c r="N772" s="99" t="n"/>
      <c r="O772" s="99" t="n"/>
      <c r="P772" s="99" t="n"/>
      <c r="Q772" s="99" t="n"/>
      <c r="R772" s="99" t="n"/>
      <c r="S772" s="99" t="n"/>
      <c r="T772" s="99" t="n"/>
      <c r="U772" s="99" t="n"/>
      <c r="V772" s="99" t="n"/>
      <c r="W772" s="99" t="n"/>
      <c r="X772" s="99" t="n"/>
      <c r="Y772" s="99" t="n"/>
      <c r="Z772" s="99" t="n"/>
      <c r="AA772" s="99" t="n"/>
      <c r="AB772" s="99" t="n"/>
      <c r="AC772" s="99" t="n"/>
      <c r="AD772" s="99" t="n"/>
      <c r="AE772" s="99" t="n"/>
      <c r="AF772" s="99" t="n"/>
      <c r="AG772" s="99" t="n"/>
      <c r="AH772" s="99" t="n"/>
      <c r="AI772" s="99" t="n"/>
      <c r="AJ772" s="99" t="n"/>
      <c r="AK772" s="99" t="n"/>
      <c r="AL772" s="99" t="n"/>
      <c r="AM772" s="99" t="n"/>
      <c r="AN772" s="99" t="n"/>
      <c r="AO772" s="99" t="n"/>
      <c r="AP772" s="99" t="n"/>
      <c r="AQ772" s="99" t="n"/>
      <c r="AR772" s="99" t="n"/>
    </row>
    <row r="773">
      <c r="D773" s="100" t="n"/>
      <c r="E773" s="100" t="n"/>
      <c r="F773" s="100" t="n"/>
      <c r="G773" s="100" t="n"/>
      <c r="H773" s="100" t="n"/>
      <c r="I773" s="100" t="n"/>
      <c r="J773" s="100" t="n"/>
      <c r="K773" s="100" t="n"/>
      <c r="L773" s="100" t="n"/>
      <c r="M773" s="100" t="n"/>
      <c r="N773" s="100" t="n"/>
      <c r="O773" s="100" t="n"/>
      <c r="P773" s="100" t="n"/>
      <c r="Q773" s="100" t="n"/>
      <c r="R773" s="100" t="n"/>
      <c r="S773" s="100" t="n"/>
      <c r="T773" s="100" t="n"/>
      <c r="U773" s="100" t="n"/>
      <c r="V773" s="100" t="n"/>
      <c r="W773" s="100" t="n"/>
      <c r="X773" s="100" t="n"/>
      <c r="Y773" s="100" t="n"/>
      <c r="Z773" s="100" t="n"/>
      <c r="AA773" s="100" t="n"/>
      <c r="AB773" s="100" t="n"/>
      <c r="AC773" s="100" t="n"/>
      <c r="AD773" s="100" t="n"/>
      <c r="AE773" s="100" t="n"/>
      <c r="AF773" s="100" t="n"/>
      <c r="AG773" s="100" t="n"/>
      <c r="AH773" s="100" t="n"/>
      <c r="AI773" s="100" t="n"/>
      <c r="AJ773" s="100" t="n"/>
      <c r="AK773" s="100" t="n"/>
      <c r="AL773" s="100" t="n"/>
      <c r="AM773" s="100" t="n"/>
      <c r="AN773" s="100" t="n"/>
      <c r="AO773" s="100" t="n"/>
      <c r="AP773" s="100" t="n"/>
      <c r="AQ773" s="100" t="n"/>
      <c r="AR773" s="100" t="n"/>
    </row>
    <row r="776">
      <c r="A776" s="2">
        <f>IF($A769="","","   projections")</f>
        <v/>
      </c>
      <c r="B776" s="96">
        <f>IF($A769="",0,COUNT($E777:$AR777))</f>
        <v/>
      </c>
      <c r="C776" s="97">
        <f>IF($B776=0,0,MAX($E777:$AR777))</f>
        <v/>
      </c>
      <c r="D776" s="98">
        <f>BDS($A769,FLD_PROJ,"headers=y","startcol=1","endcol=3","dir=h")</f>
        <v/>
      </c>
      <c r="E776" s="99" t="n"/>
      <c r="F776" s="99" t="n"/>
      <c r="G776" s="99" t="n"/>
      <c r="H776" s="99" t="n"/>
      <c r="I776" s="99" t="n"/>
      <c r="J776" s="99" t="n"/>
      <c r="K776" s="99" t="n"/>
      <c r="L776" s="99" t="n"/>
      <c r="M776" s="99" t="n"/>
      <c r="N776" s="99" t="n"/>
      <c r="O776" s="99" t="n"/>
      <c r="P776" s="99" t="n"/>
      <c r="Q776" s="99" t="n"/>
      <c r="R776" s="99" t="n"/>
      <c r="S776" s="99" t="n"/>
      <c r="T776" s="99" t="n"/>
      <c r="U776" s="99" t="n"/>
      <c r="V776" s="99" t="n"/>
      <c r="W776" s="99" t="n"/>
      <c r="X776" s="99" t="n"/>
      <c r="Y776" s="99" t="n"/>
      <c r="Z776" s="99" t="n"/>
      <c r="AA776" s="99" t="n"/>
      <c r="AB776" s="99" t="n"/>
      <c r="AC776" s="99" t="n"/>
      <c r="AD776" s="99" t="n"/>
      <c r="AE776" s="99" t="n"/>
      <c r="AF776" s="99" t="n"/>
      <c r="AG776" s="99" t="n"/>
      <c r="AH776" s="99" t="n"/>
      <c r="AI776" s="99" t="n"/>
      <c r="AJ776" s="99" t="n"/>
      <c r="AK776" s="99" t="n"/>
      <c r="AL776" s="99" t="n"/>
      <c r="AM776" s="99" t="n"/>
      <c r="AN776" s="99" t="n"/>
      <c r="AO776" s="99" t="n"/>
      <c r="AP776" s="99" t="n"/>
      <c r="AQ776" s="99" t="n"/>
      <c r="AR776" s="99" t="n"/>
    </row>
    <row r="777">
      <c r="D777" s="99" t="n"/>
      <c r="E777" s="99" t="n"/>
      <c r="F777" s="99" t="n"/>
      <c r="G777" s="99" t="n"/>
      <c r="H777" s="99" t="n"/>
      <c r="I777" s="99" t="n"/>
      <c r="J777" s="99" t="n"/>
      <c r="K777" s="99" t="n"/>
      <c r="L777" s="99" t="n"/>
      <c r="M777" s="99" t="n"/>
      <c r="N777" s="99" t="n"/>
      <c r="O777" s="99" t="n"/>
      <c r="P777" s="99" t="n"/>
      <c r="Q777" s="99" t="n"/>
      <c r="R777" s="99" t="n"/>
      <c r="S777" s="99" t="n"/>
      <c r="T777" s="99" t="n"/>
      <c r="U777" s="99" t="n"/>
      <c r="V777" s="99" t="n"/>
      <c r="W777" s="99" t="n"/>
      <c r="X777" s="99" t="n"/>
      <c r="Y777" s="99" t="n"/>
      <c r="Z777" s="99" t="n"/>
      <c r="AA777" s="99" t="n"/>
      <c r="AB777" s="99" t="n"/>
      <c r="AC777" s="99" t="n"/>
      <c r="AD777" s="99" t="n"/>
      <c r="AE777" s="99" t="n"/>
      <c r="AF777" s="99" t="n"/>
      <c r="AG777" s="99" t="n"/>
      <c r="AH777" s="99" t="n"/>
      <c r="AI777" s="99" t="n"/>
      <c r="AJ777" s="99" t="n"/>
      <c r="AK777" s="99" t="n"/>
      <c r="AL777" s="99" t="n"/>
      <c r="AM777" s="99" t="n"/>
      <c r="AN777" s="99" t="n"/>
      <c r="AO777" s="99" t="n"/>
      <c r="AP777" s="99" t="n"/>
      <c r="AQ777" s="99" t="n"/>
      <c r="AR777" s="99" t="n"/>
    </row>
    <row r="778">
      <c r="D778" s="100" t="n"/>
      <c r="E778" s="100" t="n"/>
      <c r="F778" s="100" t="n"/>
      <c r="G778" s="100" t="n"/>
      <c r="H778" s="100" t="n"/>
      <c r="I778" s="100" t="n"/>
      <c r="J778" s="100" t="n"/>
      <c r="K778" s="100" t="n"/>
      <c r="L778" s="100" t="n"/>
      <c r="M778" s="100" t="n"/>
      <c r="N778" s="100" t="n"/>
      <c r="O778" s="100" t="n"/>
      <c r="P778" s="100" t="n"/>
      <c r="Q778" s="100" t="n"/>
      <c r="R778" s="100" t="n"/>
      <c r="S778" s="100" t="n"/>
      <c r="T778" s="100" t="n"/>
      <c r="U778" s="100" t="n"/>
      <c r="V778" s="100" t="n"/>
      <c r="W778" s="100" t="n"/>
      <c r="X778" s="100" t="n"/>
      <c r="Y778" s="100" t="n"/>
      <c r="Z778" s="100" t="n"/>
      <c r="AA778" s="100" t="n"/>
      <c r="AB778" s="100" t="n"/>
      <c r="AC778" s="100" t="n"/>
      <c r="AD778" s="100" t="n"/>
      <c r="AE778" s="100" t="n"/>
      <c r="AF778" s="100" t="n"/>
      <c r="AG778" s="100" t="n"/>
      <c r="AH778" s="100" t="n"/>
      <c r="AI778" s="100" t="n"/>
      <c r="AJ778" s="100" t="n"/>
      <c r="AK778" s="100" t="n"/>
      <c r="AL778" s="100" t="n"/>
      <c r="AM778" s="100" t="n"/>
      <c r="AN778" s="100" t="n"/>
      <c r="AO778" s="100" t="n"/>
      <c r="AP778" s="100" t="n"/>
      <c r="AQ778" s="100" t="n"/>
      <c r="AR778" s="100" t="n"/>
    </row>
    <row r="780">
      <c r="A780" s="6">
        <f>IF(HSI!$C$77="","",HSI!$C$77)</f>
        <v/>
      </c>
      <c r="B780" s="96">
        <f>IF($A780="",0,COUNT($E781:$AR781))</f>
        <v/>
      </c>
      <c r="C780" s="97">
        <f>IF($B780=0,0,MAX($E781:$AR781))</f>
        <v/>
      </c>
      <c r="D780" s="98">
        <f>BDS($A780,FLD_HIST,"headers=y","startcol=1","endcol=7","dir=h","DVD_START_DT",HIST_FROM,"DVD_END_DT",HIST_TO)</f>
        <v/>
      </c>
      <c r="E780" s="99" t="n"/>
      <c r="F780" s="99" t="n"/>
      <c r="G780" s="99" t="n"/>
      <c r="H780" s="99" t="n"/>
      <c r="I780" s="99" t="n"/>
      <c r="J780" s="99" t="n"/>
      <c r="K780" s="99" t="n"/>
      <c r="L780" s="99" t="n"/>
      <c r="M780" s="99" t="n"/>
      <c r="N780" s="99" t="n"/>
      <c r="O780" s="99" t="n"/>
      <c r="P780" s="99" t="n"/>
      <c r="Q780" s="99" t="n"/>
      <c r="R780" s="99" t="n"/>
      <c r="S780" s="99" t="n"/>
      <c r="T780" s="99" t="n"/>
      <c r="U780" s="99" t="n"/>
      <c r="V780" s="99" t="n"/>
      <c r="W780" s="99" t="n"/>
      <c r="X780" s="99" t="n"/>
      <c r="Y780" s="99" t="n"/>
      <c r="Z780" s="99" t="n"/>
      <c r="AA780" s="99" t="n"/>
      <c r="AB780" s="99" t="n"/>
      <c r="AC780" s="99" t="n"/>
      <c r="AD780" s="99" t="n"/>
      <c r="AE780" s="99" t="n"/>
      <c r="AF780" s="99" t="n"/>
      <c r="AG780" s="99" t="n"/>
      <c r="AH780" s="99" t="n"/>
      <c r="AI780" s="99" t="n"/>
      <c r="AJ780" s="99" t="n"/>
      <c r="AK780" s="99" t="n"/>
      <c r="AL780" s="99" t="n"/>
      <c r="AM780" s="99" t="n"/>
      <c r="AN780" s="99" t="n"/>
      <c r="AO780" s="99" t="n"/>
      <c r="AP780" s="99" t="n"/>
      <c r="AQ780" s="99" t="n"/>
      <c r="AR780" s="99" t="n"/>
    </row>
    <row r="781">
      <c r="D781" s="99" t="n"/>
      <c r="E781" s="99" t="n"/>
      <c r="F781" s="99" t="n"/>
      <c r="G781" s="99" t="n"/>
      <c r="H781" s="99" t="n"/>
      <c r="I781" s="99" t="n"/>
      <c r="J781" s="99" t="n"/>
      <c r="K781" s="99" t="n"/>
      <c r="L781" s="99" t="n"/>
      <c r="M781" s="99" t="n"/>
      <c r="N781" s="99" t="n"/>
      <c r="O781" s="99" t="n"/>
      <c r="P781" s="99" t="n"/>
      <c r="Q781" s="99" t="n"/>
      <c r="R781" s="99" t="n"/>
      <c r="S781" s="99" t="n"/>
      <c r="T781" s="99" t="n"/>
      <c r="U781" s="99" t="n"/>
      <c r="V781" s="99" t="n"/>
      <c r="W781" s="99" t="n"/>
      <c r="X781" s="99" t="n"/>
      <c r="Y781" s="99" t="n"/>
      <c r="Z781" s="99" t="n"/>
      <c r="AA781" s="99" t="n"/>
      <c r="AB781" s="99" t="n"/>
      <c r="AC781" s="99" t="n"/>
      <c r="AD781" s="99" t="n"/>
      <c r="AE781" s="99" t="n"/>
      <c r="AF781" s="99" t="n"/>
      <c r="AG781" s="99" t="n"/>
      <c r="AH781" s="99" t="n"/>
      <c r="AI781" s="99" t="n"/>
      <c r="AJ781" s="99" t="n"/>
      <c r="AK781" s="99" t="n"/>
      <c r="AL781" s="99" t="n"/>
      <c r="AM781" s="99" t="n"/>
      <c r="AN781" s="99" t="n"/>
      <c r="AO781" s="99" t="n"/>
      <c r="AP781" s="99" t="n"/>
      <c r="AQ781" s="99" t="n"/>
      <c r="AR781" s="99" t="n"/>
    </row>
    <row r="782">
      <c r="D782" s="99" t="n"/>
      <c r="E782" s="99" t="n"/>
      <c r="F782" s="99" t="n"/>
      <c r="G782" s="99" t="n"/>
      <c r="H782" s="99" t="n"/>
      <c r="I782" s="99" t="n"/>
      <c r="J782" s="99" t="n"/>
      <c r="K782" s="99" t="n"/>
      <c r="L782" s="99" t="n"/>
      <c r="M782" s="99" t="n"/>
      <c r="N782" s="99" t="n"/>
      <c r="O782" s="99" t="n"/>
      <c r="P782" s="99" t="n"/>
      <c r="Q782" s="99" t="n"/>
      <c r="R782" s="99" t="n"/>
      <c r="S782" s="99" t="n"/>
      <c r="T782" s="99" t="n"/>
      <c r="U782" s="99" t="n"/>
      <c r="V782" s="99" t="n"/>
      <c r="W782" s="99" t="n"/>
      <c r="X782" s="99" t="n"/>
      <c r="Y782" s="99" t="n"/>
      <c r="Z782" s="99" t="n"/>
      <c r="AA782" s="99" t="n"/>
      <c r="AB782" s="99" t="n"/>
      <c r="AC782" s="99" t="n"/>
      <c r="AD782" s="99" t="n"/>
      <c r="AE782" s="99" t="n"/>
      <c r="AF782" s="99" t="n"/>
      <c r="AG782" s="99" t="n"/>
      <c r="AH782" s="99" t="n"/>
      <c r="AI782" s="99" t="n"/>
      <c r="AJ782" s="99" t="n"/>
      <c r="AK782" s="99" t="n"/>
      <c r="AL782" s="99" t="n"/>
      <c r="AM782" s="99" t="n"/>
      <c r="AN782" s="99" t="n"/>
      <c r="AO782" s="99" t="n"/>
      <c r="AP782" s="99" t="n"/>
      <c r="AQ782" s="99" t="n"/>
      <c r="AR782" s="99" t="n"/>
    </row>
    <row r="783">
      <c r="D783" s="99" t="n"/>
      <c r="E783" s="99" t="n"/>
      <c r="F783" s="99" t="n"/>
      <c r="G783" s="99" t="n"/>
      <c r="H783" s="99" t="n"/>
      <c r="I783" s="99" t="n"/>
      <c r="J783" s="99" t="n"/>
      <c r="K783" s="99" t="n"/>
      <c r="L783" s="99" t="n"/>
      <c r="M783" s="99" t="n"/>
      <c r="N783" s="99" t="n"/>
      <c r="O783" s="99" t="n"/>
      <c r="P783" s="99" t="n"/>
      <c r="Q783" s="99" t="n"/>
      <c r="R783" s="99" t="n"/>
      <c r="S783" s="99" t="n"/>
      <c r="T783" s="99" t="n"/>
      <c r="U783" s="99" t="n"/>
      <c r="V783" s="99" t="n"/>
      <c r="W783" s="99" t="n"/>
      <c r="X783" s="99" t="n"/>
      <c r="Y783" s="99" t="n"/>
      <c r="Z783" s="99" t="n"/>
      <c r="AA783" s="99" t="n"/>
      <c r="AB783" s="99" t="n"/>
      <c r="AC783" s="99" t="n"/>
      <c r="AD783" s="99" t="n"/>
      <c r="AE783" s="99" t="n"/>
      <c r="AF783" s="99" t="n"/>
      <c r="AG783" s="99" t="n"/>
      <c r="AH783" s="99" t="n"/>
      <c r="AI783" s="99" t="n"/>
      <c r="AJ783" s="99" t="n"/>
      <c r="AK783" s="99" t="n"/>
      <c r="AL783" s="99" t="n"/>
      <c r="AM783" s="99" t="n"/>
      <c r="AN783" s="99" t="n"/>
      <c r="AO783" s="99" t="n"/>
      <c r="AP783" s="99" t="n"/>
      <c r="AQ783" s="99" t="n"/>
      <c r="AR783" s="99" t="n"/>
    </row>
    <row r="784">
      <c r="D784" s="100" t="n"/>
      <c r="E784" s="100" t="n"/>
      <c r="F784" s="100" t="n"/>
      <c r="G784" s="100" t="n"/>
      <c r="H784" s="100" t="n"/>
      <c r="I784" s="100" t="n"/>
      <c r="J784" s="100" t="n"/>
      <c r="K784" s="100" t="n"/>
      <c r="L784" s="100" t="n"/>
      <c r="M784" s="100" t="n"/>
      <c r="N784" s="100" t="n"/>
      <c r="O784" s="100" t="n"/>
      <c r="P784" s="100" t="n"/>
      <c r="Q784" s="100" t="n"/>
      <c r="R784" s="100" t="n"/>
      <c r="S784" s="100" t="n"/>
      <c r="T784" s="100" t="n"/>
      <c r="U784" s="100" t="n"/>
      <c r="V784" s="100" t="n"/>
      <c r="W784" s="100" t="n"/>
      <c r="X784" s="100" t="n"/>
      <c r="Y784" s="100" t="n"/>
      <c r="Z784" s="100" t="n"/>
      <c r="AA784" s="100" t="n"/>
      <c r="AB784" s="100" t="n"/>
      <c r="AC784" s="100" t="n"/>
      <c r="AD784" s="100" t="n"/>
      <c r="AE784" s="100" t="n"/>
      <c r="AF784" s="100" t="n"/>
      <c r="AG784" s="100" t="n"/>
      <c r="AH784" s="100" t="n"/>
      <c r="AI784" s="100" t="n"/>
      <c r="AJ784" s="100" t="n"/>
      <c r="AK784" s="100" t="n"/>
      <c r="AL784" s="100" t="n"/>
      <c r="AM784" s="100" t="n"/>
      <c r="AN784" s="100" t="n"/>
      <c r="AO784" s="100" t="n"/>
      <c r="AP784" s="100" t="n"/>
      <c r="AQ784" s="100" t="n"/>
      <c r="AR784" s="100" t="n"/>
    </row>
    <row r="787">
      <c r="A787" s="2">
        <f>IF($A780="","","   projections")</f>
        <v/>
      </c>
      <c r="B787" s="96">
        <f>IF($A780="",0,COUNT($E788:$AR788))</f>
        <v/>
      </c>
      <c r="C787" s="97">
        <f>IF($B787=0,0,MAX($E788:$AR788))</f>
        <v/>
      </c>
      <c r="D787" s="98">
        <f>BDS($A780,FLD_PROJ,"headers=y","startcol=1","endcol=3","dir=h")</f>
        <v/>
      </c>
      <c r="E787" s="99" t="n"/>
      <c r="F787" s="99" t="n"/>
      <c r="G787" s="99" t="n"/>
      <c r="H787" s="99" t="n"/>
      <c r="I787" s="99" t="n"/>
      <c r="J787" s="99" t="n"/>
      <c r="K787" s="99" t="n"/>
      <c r="L787" s="99" t="n"/>
      <c r="M787" s="99" t="n"/>
      <c r="N787" s="99" t="n"/>
      <c r="O787" s="99" t="n"/>
      <c r="P787" s="99" t="n"/>
      <c r="Q787" s="99" t="n"/>
      <c r="R787" s="99" t="n"/>
      <c r="S787" s="99" t="n"/>
      <c r="T787" s="99" t="n"/>
      <c r="U787" s="99" t="n"/>
      <c r="V787" s="99" t="n"/>
      <c r="W787" s="99" t="n"/>
      <c r="X787" s="99" t="n"/>
      <c r="Y787" s="99" t="n"/>
      <c r="Z787" s="99" t="n"/>
      <c r="AA787" s="99" t="n"/>
      <c r="AB787" s="99" t="n"/>
      <c r="AC787" s="99" t="n"/>
      <c r="AD787" s="99" t="n"/>
      <c r="AE787" s="99" t="n"/>
      <c r="AF787" s="99" t="n"/>
      <c r="AG787" s="99" t="n"/>
      <c r="AH787" s="99" t="n"/>
      <c r="AI787" s="99" t="n"/>
      <c r="AJ787" s="99" t="n"/>
      <c r="AK787" s="99" t="n"/>
      <c r="AL787" s="99" t="n"/>
      <c r="AM787" s="99" t="n"/>
      <c r="AN787" s="99" t="n"/>
      <c r="AO787" s="99" t="n"/>
      <c r="AP787" s="99" t="n"/>
      <c r="AQ787" s="99" t="n"/>
      <c r="AR787" s="99" t="n"/>
    </row>
    <row r="788">
      <c r="D788" s="99" t="n"/>
      <c r="E788" s="99" t="n"/>
      <c r="F788" s="99" t="n"/>
      <c r="G788" s="99" t="n"/>
      <c r="H788" s="99" t="n"/>
      <c r="I788" s="99" t="n"/>
      <c r="J788" s="99" t="n"/>
      <c r="K788" s="99" t="n"/>
      <c r="L788" s="99" t="n"/>
      <c r="M788" s="99" t="n"/>
      <c r="N788" s="99" t="n"/>
      <c r="O788" s="99" t="n"/>
      <c r="P788" s="99" t="n"/>
      <c r="Q788" s="99" t="n"/>
      <c r="R788" s="99" t="n"/>
      <c r="S788" s="99" t="n"/>
      <c r="T788" s="99" t="n"/>
      <c r="U788" s="99" t="n"/>
      <c r="V788" s="99" t="n"/>
      <c r="W788" s="99" t="n"/>
      <c r="X788" s="99" t="n"/>
      <c r="Y788" s="99" t="n"/>
      <c r="Z788" s="99" t="n"/>
      <c r="AA788" s="99" t="n"/>
      <c r="AB788" s="99" t="n"/>
      <c r="AC788" s="99" t="n"/>
      <c r="AD788" s="99" t="n"/>
      <c r="AE788" s="99" t="n"/>
      <c r="AF788" s="99" t="n"/>
      <c r="AG788" s="99" t="n"/>
      <c r="AH788" s="99" t="n"/>
      <c r="AI788" s="99" t="n"/>
      <c r="AJ788" s="99" t="n"/>
      <c r="AK788" s="99" t="n"/>
      <c r="AL788" s="99" t="n"/>
      <c r="AM788" s="99" t="n"/>
      <c r="AN788" s="99" t="n"/>
      <c r="AO788" s="99" t="n"/>
      <c r="AP788" s="99" t="n"/>
      <c r="AQ788" s="99" t="n"/>
      <c r="AR788" s="99" t="n"/>
    </row>
    <row r="789">
      <c r="D789" s="100" t="n"/>
      <c r="E789" s="100" t="n"/>
      <c r="F789" s="100" t="n"/>
      <c r="G789" s="100" t="n"/>
      <c r="H789" s="100" t="n"/>
      <c r="I789" s="100" t="n"/>
      <c r="J789" s="100" t="n"/>
      <c r="K789" s="100" t="n"/>
      <c r="L789" s="100" t="n"/>
      <c r="M789" s="100" t="n"/>
      <c r="N789" s="100" t="n"/>
      <c r="O789" s="100" t="n"/>
      <c r="P789" s="100" t="n"/>
      <c r="Q789" s="100" t="n"/>
      <c r="R789" s="100" t="n"/>
      <c r="S789" s="100" t="n"/>
      <c r="T789" s="100" t="n"/>
      <c r="U789" s="100" t="n"/>
      <c r="V789" s="100" t="n"/>
      <c r="W789" s="100" t="n"/>
      <c r="X789" s="100" t="n"/>
      <c r="Y789" s="100" t="n"/>
      <c r="Z789" s="100" t="n"/>
      <c r="AA789" s="100" t="n"/>
      <c r="AB789" s="100" t="n"/>
      <c r="AC789" s="100" t="n"/>
      <c r="AD789" s="100" t="n"/>
      <c r="AE789" s="100" t="n"/>
      <c r="AF789" s="100" t="n"/>
      <c r="AG789" s="100" t="n"/>
      <c r="AH789" s="100" t="n"/>
      <c r="AI789" s="100" t="n"/>
      <c r="AJ789" s="100" t="n"/>
      <c r="AK789" s="100" t="n"/>
      <c r="AL789" s="100" t="n"/>
      <c r="AM789" s="100" t="n"/>
      <c r="AN789" s="100" t="n"/>
      <c r="AO789" s="100" t="n"/>
      <c r="AP789" s="100" t="n"/>
      <c r="AQ789" s="100" t="n"/>
      <c r="AR789" s="100" t="n"/>
    </row>
    <row r="791">
      <c r="A791" s="6">
        <f>IF(HSI!$C$78="","",HSI!$C$78)</f>
        <v/>
      </c>
      <c r="B791" s="96">
        <f>IF($A791="",0,COUNT($E792:$AR792))</f>
        <v/>
      </c>
      <c r="C791" s="97">
        <f>IF($B791=0,0,MAX($E792:$AR792))</f>
        <v/>
      </c>
      <c r="D791" s="98">
        <f>BDS($A791,FLD_HIST,"headers=y","startcol=1","endcol=7","dir=h","DVD_START_DT",HIST_FROM,"DVD_END_DT",HIST_TO)</f>
        <v/>
      </c>
      <c r="E791" s="99" t="n"/>
      <c r="F791" s="99" t="n"/>
      <c r="G791" s="99" t="n"/>
      <c r="H791" s="99" t="n"/>
      <c r="I791" s="99" t="n"/>
      <c r="J791" s="99" t="n"/>
      <c r="K791" s="99" t="n"/>
      <c r="L791" s="99" t="n"/>
      <c r="M791" s="99" t="n"/>
      <c r="N791" s="99" t="n"/>
      <c r="O791" s="99" t="n"/>
      <c r="P791" s="99" t="n"/>
      <c r="Q791" s="99" t="n"/>
      <c r="R791" s="99" t="n"/>
      <c r="S791" s="99" t="n"/>
      <c r="T791" s="99" t="n"/>
      <c r="U791" s="99" t="n"/>
      <c r="V791" s="99" t="n"/>
      <c r="W791" s="99" t="n"/>
      <c r="X791" s="99" t="n"/>
      <c r="Y791" s="99" t="n"/>
      <c r="Z791" s="99" t="n"/>
      <c r="AA791" s="99" t="n"/>
      <c r="AB791" s="99" t="n"/>
      <c r="AC791" s="99" t="n"/>
      <c r="AD791" s="99" t="n"/>
      <c r="AE791" s="99" t="n"/>
      <c r="AF791" s="99" t="n"/>
      <c r="AG791" s="99" t="n"/>
      <c r="AH791" s="99" t="n"/>
      <c r="AI791" s="99" t="n"/>
      <c r="AJ791" s="99" t="n"/>
      <c r="AK791" s="99" t="n"/>
      <c r="AL791" s="99" t="n"/>
      <c r="AM791" s="99" t="n"/>
      <c r="AN791" s="99" t="n"/>
      <c r="AO791" s="99" t="n"/>
      <c r="AP791" s="99" t="n"/>
      <c r="AQ791" s="99" t="n"/>
      <c r="AR791" s="99" t="n"/>
    </row>
    <row r="792">
      <c r="D792" s="99" t="n"/>
      <c r="E792" s="99" t="n"/>
      <c r="F792" s="99" t="n"/>
      <c r="G792" s="99" t="n"/>
      <c r="H792" s="99" t="n"/>
      <c r="I792" s="99" t="n"/>
      <c r="J792" s="99" t="n"/>
      <c r="K792" s="99" t="n"/>
      <c r="L792" s="99" t="n"/>
      <c r="M792" s="99" t="n"/>
      <c r="N792" s="99" t="n"/>
      <c r="O792" s="99" t="n"/>
      <c r="P792" s="99" t="n"/>
      <c r="Q792" s="99" t="n"/>
      <c r="R792" s="99" t="n"/>
      <c r="S792" s="99" t="n"/>
      <c r="T792" s="99" t="n"/>
      <c r="U792" s="99" t="n"/>
      <c r="V792" s="99" t="n"/>
      <c r="W792" s="99" t="n"/>
      <c r="X792" s="99" t="n"/>
      <c r="Y792" s="99" t="n"/>
      <c r="Z792" s="99" t="n"/>
      <c r="AA792" s="99" t="n"/>
      <c r="AB792" s="99" t="n"/>
      <c r="AC792" s="99" t="n"/>
      <c r="AD792" s="99" t="n"/>
      <c r="AE792" s="99" t="n"/>
      <c r="AF792" s="99" t="n"/>
      <c r="AG792" s="99" t="n"/>
      <c r="AH792" s="99" t="n"/>
      <c r="AI792" s="99" t="n"/>
      <c r="AJ792" s="99" t="n"/>
      <c r="AK792" s="99" t="n"/>
      <c r="AL792" s="99" t="n"/>
      <c r="AM792" s="99" t="n"/>
      <c r="AN792" s="99" t="n"/>
      <c r="AO792" s="99" t="n"/>
      <c r="AP792" s="99" t="n"/>
      <c r="AQ792" s="99" t="n"/>
      <c r="AR792" s="99" t="n"/>
    </row>
    <row r="793">
      <c r="D793" s="99" t="n"/>
      <c r="E793" s="99" t="n"/>
      <c r="F793" s="99" t="n"/>
      <c r="G793" s="99" t="n"/>
      <c r="H793" s="99" t="n"/>
      <c r="I793" s="99" t="n"/>
      <c r="J793" s="99" t="n"/>
      <c r="K793" s="99" t="n"/>
      <c r="L793" s="99" t="n"/>
      <c r="M793" s="99" t="n"/>
      <c r="N793" s="99" t="n"/>
      <c r="O793" s="99" t="n"/>
      <c r="P793" s="99" t="n"/>
      <c r="Q793" s="99" t="n"/>
      <c r="R793" s="99" t="n"/>
      <c r="S793" s="99" t="n"/>
      <c r="T793" s="99" t="n"/>
      <c r="U793" s="99" t="n"/>
      <c r="V793" s="99" t="n"/>
      <c r="W793" s="99" t="n"/>
      <c r="X793" s="99" t="n"/>
      <c r="Y793" s="99" t="n"/>
      <c r="Z793" s="99" t="n"/>
      <c r="AA793" s="99" t="n"/>
      <c r="AB793" s="99" t="n"/>
      <c r="AC793" s="99" t="n"/>
      <c r="AD793" s="99" t="n"/>
      <c r="AE793" s="99" t="n"/>
      <c r="AF793" s="99" t="n"/>
      <c r="AG793" s="99" t="n"/>
      <c r="AH793" s="99" t="n"/>
      <c r="AI793" s="99" t="n"/>
      <c r="AJ793" s="99" t="n"/>
      <c r="AK793" s="99" t="n"/>
      <c r="AL793" s="99" t="n"/>
      <c r="AM793" s="99" t="n"/>
      <c r="AN793" s="99" t="n"/>
      <c r="AO793" s="99" t="n"/>
      <c r="AP793" s="99" t="n"/>
      <c r="AQ793" s="99" t="n"/>
      <c r="AR793" s="99" t="n"/>
    </row>
    <row r="794">
      <c r="D794" s="99" t="n"/>
      <c r="E794" s="99" t="n"/>
      <c r="F794" s="99" t="n"/>
      <c r="G794" s="99" t="n"/>
      <c r="H794" s="99" t="n"/>
      <c r="I794" s="99" t="n"/>
      <c r="J794" s="99" t="n"/>
      <c r="K794" s="99" t="n"/>
      <c r="L794" s="99" t="n"/>
      <c r="M794" s="99" t="n"/>
      <c r="N794" s="99" t="n"/>
      <c r="O794" s="99" t="n"/>
      <c r="P794" s="99" t="n"/>
      <c r="Q794" s="99" t="n"/>
      <c r="R794" s="99" t="n"/>
      <c r="S794" s="99" t="n"/>
      <c r="T794" s="99" t="n"/>
      <c r="U794" s="99" t="n"/>
      <c r="V794" s="99" t="n"/>
      <c r="W794" s="99" t="n"/>
      <c r="X794" s="99" t="n"/>
      <c r="Y794" s="99" t="n"/>
      <c r="Z794" s="99" t="n"/>
      <c r="AA794" s="99" t="n"/>
      <c r="AB794" s="99" t="n"/>
      <c r="AC794" s="99" t="n"/>
      <c r="AD794" s="99" t="n"/>
      <c r="AE794" s="99" t="n"/>
      <c r="AF794" s="99" t="n"/>
      <c r="AG794" s="99" t="n"/>
      <c r="AH794" s="99" t="n"/>
      <c r="AI794" s="99" t="n"/>
      <c r="AJ794" s="99" t="n"/>
      <c r="AK794" s="99" t="n"/>
      <c r="AL794" s="99" t="n"/>
      <c r="AM794" s="99" t="n"/>
      <c r="AN794" s="99" t="n"/>
      <c r="AO794" s="99" t="n"/>
      <c r="AP794" s="99" t="n"/>
      <c r="AQ794" s="99" t="n"/>
      <c r="AR794" s="99" t="n"/>
    </row>
    <row r="795">
      <c r="D795" s="100" t="n"/>
      <c r="E795" s="100" t="n"/>
      <c r="F795" s="100" t="n"/>
      <c r="G795" s="100" t="n"/>
      <c r="H795" s="100" t="n"/>
      <c r="I795" s="100" t="n"/>
      <c r="J795" s="100" t="n"/>
      <c r="K795" s="100" t="n"/>
      <c r="L795" s="100" t="n"/>
      <c r="M795" s="100" t="n"/>
      <c r="N795" s="100" t="n"/>
      <c r="O795" s="100" t="n"/>
      <c r="P795" s="100" t="n"/>
      <c r="Q795" s="100" t="n"/>
      <c r="R795" s="100" t="n"/>
      <c r="S795" s="100" t="n"/>
      <c r="T795" s="100" t="n"/>
      <c r="U795" s="100" t="n"/>
      <c r="V795" s="100" t="n"/>
      <c r="W795" s="100" t="n"/>
      <c r="X795" s="100" t="n"/>
      <c r="Y795" s="100" t="n"/>
      <c r="Z795" s="100" t="n"/>
      <c r="AA795" s="100" t="n"/>
      <c r="AB795" s="100" t="n"/>
      <c r="AC795" s="100" t="n"/>
      <c r="AD795" s="100" t="n"/>
      <c r="AE795" s="100" t="n"/>
      <c r="AF795" s="100" t="n"/>
      <c r="AG795" s="100" t="n"/>
      <c r="AH795" s="100" t="n"/>
      <c r="AI795" s="100" t="n"/>
      <c r="AJ795" s="100" t="n"/>
      <c r="AK795" s="100" t="n"/>
      <c r="AL795" s="100" t="n"/>
      <c r="AM795" s="100" t="n"/>
      <c r="AN795" s="100" t="n"/>
      <c r="AO795" s="100" t="n"/>
      <c r="AP795" s="100" t="n"/>
      <c r="AQ795" s="100" t="n"/>
      <c r="AR795" s="100" t="n"/>
    </row>
    <row r="798">
      <c r="A798" s="2">
        <f>IF($A791="","","   projections")</f>
        <v/>
      </c>
      <c r="B798" s="96">
        <f>IF($A791="",0,COUNT($E799:$AR799))</f>
        <v/>
      </c>
      <c r="C798" s="97">
        <f>IF($B798=0,0,MAX($E799:$AR799))</f>
        <v/>
      </c>
      <c r="D798" s="98">
        <f>BDS($A791,FLD_PROJ,"headers=y","startcol=1","endcol=3","dir=h")</f>
        <v/>
      </c>
      <c r="E798" s="99" t="n"/>
      <c r="F798" s="99" t="n"/>
      <c r="G798" s="99" t="n"/>
      <c r="H798" s="99" t="n"/>
      <c r="I798" s="99" t="n"/>
      <c r="J798" s="99" t="n"/>
      <c r="K798" s="99" t="n"/>
      <c r="L798" s="99" t="n"/>
      <c r="M798" s="99" t="n"/>
      <c r="N798" s="99" t="n"/>
      <c r="O798" s="99" t="n"/>
      <c r="P798" s="99" t="n"/>
      <c r="Q798" s="99" t="n"/>
      <c r="R798" s="99" t="n"/>
      <c r="S798" s="99" t="n"/>
      <c r="T798" s="99" t="n"/>
      <c r="U798" s="99" t="n"/>
      <c r="V798" s="99" t="n"/>
      <c r="W798" s="99" t="n"/>
      <c r="X798" s="99" t="n"/>
      <c r="Y798" s="99" t="n"/>
      <c r="Z798" s="99" t="n"/>
      <c r="AA798" s="99" t="n"/>
      <c r="AB798" s="99" t="n"/>
      <c r="AC798" s="99" t="n"/>
      <c r="AD798" s="99" t="n"/>
      <c r="AE798" s="99" t="n"/>
      <c r="AF798" s="99" t="n"/>
      <c r="AG798" s="99" t="n"/>
      <c r="AH798" s="99" t="n"/>
      <c r="AI798" s="99" t="n"/>
      <c r="AJ798" s="99" t="n"/>
      <c r="AK798" s="99" t="n"/>
      <c r="AL798" s="99" t="n"/>
      <c r="AM798" s="99" t="n"/>
      <c r="AN798" s="99" t="n"/>
      <c r="AO798" s="99" t="n"/>
      <c r="AP798" s="99" t="n"/>
      <c r="AQ798" s="99" t="n"/>
      <c r="AR798" s="99" t="n"/>
    </row>
    <row r="799">
      <c r="D799" s="99" t="n"/>
      <c r="E799" s="99" t="n"/>
      <c r="F799" s="99" t="n"/>
      <c r="G799" s="99" t="n"/>
      <c r="H799" s="99" t="n"/>
      <c r="I799" s="99" t="n"/>
      <c r="J799" s="99" t="n"/>
      <c r="K799" s="99" t="n"/>
      <c r="L799" s="99" t="n"/>
      <c r="M799" s="99" t="n"/>
      <c r="N799" s="99" t="n"/>
      <c r="O799" s="99" t="n"/>
      <c r="P799" s="99" t="n"/>
      <c r="Q799" s="99" t="n"/>
      <c r="R799" s="99" t="n"/>
      <c r="S799" s="99" t="n"/>
      <c r="T799" s="99" t="n"/>
      <c r="U799" s="99" t="n"/>
      <c r="V799" s="99" t="n"/>
      <c r="W799" s="99" t="n"/>
      <c r="X799" s="99" t="n"/>
      <c r="Y799" s="99" t="n"/>
      <c r="Z799" s="99" t="n"/>
      <c r="AA799" s="99" t="n"/>
      <c r="AB799" s="99" t="n"/>
      <c r="AC799" s="99" t="n"/>
      <c r="AD799" s="99" t="n"/>
      <c r="AE799" s="99" t="n"/>
      <c r="AF799" s="99" t="n"/>
      <c r="AG799" s="99" t="n"/>
      <c r="AH799" s="99" t="n"/>
      <c r="AI799" s="99" t="n"/>
      <c r="AJ799" s="99" t="n"/>
      <c r="AK799" s="99" t="n"/>
      <c r="AL799" s="99" t="n"/>
      <c r="AM799" s="99" t="n"/>
      <c r="AN799" s="99" t="n"/>
      <c r="AO799" s="99" t="n"/>
      <c r="AP799" s="99" t="n"/>
      <c r="AQ799" s="99" t="n"/>
      <c r="AR799" s="99" t="n"/>
    </row>
    <row r="800">
      <c r="D800" s="100" t="n"/>
      <c r="E800" s="100" t="n"/>
      <c r="F800" s="100" t="n"/>
      <c r="G800" s="100" t="n"/>
      <c r="H800" s="100" t="n"/>
      <c r="I800" s="100" t="n"/>
      <c r="J800" s="100" t="n"/>
      <c r="K800" s="100" t="n"/>
      <c r="L800" s="100" t="n"/>
      <c r="M800" s="100" t="n"/>
      <c r="N800" s="100" t="n"/>
      <c r="O800" s="100" t="n"/>
      <c r="P800" s="100" t="n"/>
      <c r="Q800" s="100" t="n"/>
      <c r="R800" s="100" t="n"/>
      <c r="S800" s="100" t="n"/>
      <c r="T800" s="100" t="n"/>
      <c r="U800" s="100" t="n"/>
      <c r="V800" s="100" t="n"/>
      <c r="W800" s="100" t="n"/>
      <c r="X800" s="100" t="n"/>
      <c r="Y800" s="100" t="n"/>
      <c r="Z800" s="100" t="n"/>
      <c r="AA800" s="100" t="n"/>
      <c r="AB800" s="100" t="n"/>
      <c r="AC800" s="100" t="n"/>
      <c r="AD800" s="100" t="n"/>
      <c r="AE800" s="100" t="n"/>
      <c r="AF800" s="100" t="n"/>
      <c r="AG800" s="100" t="n"/>
      <c r="AH800" s="100" t="n"/>
      <c r="AI800" s="100" t="n"/>
      <c r="AJ800" s="100" t="n"/>
      <c r="AK800" s="100" t="n"/>
      <c r="AL800" s="100" t="n"/>
      <c r="AM800" s="100" t="n"/>
      <c r="AN800" s="100" t="n"/>
      <c r="AO800" s="100" t="n"/>
      <c r="AP800" s="100" t="n"/>
      <c r="AQ800" s="100" t="n"/>
      <c r="AR800" s="100" t="n"/>
    </row>
    <row r="802">
      <c r="A802" s="6">
        <f>IF(HSI!$C$79="","",HSI!$C$79)</f>
        <v/>
      </c>
      <c r="B802" s="96">
        <f>IF($A802="",0,COUNT($E803:$AR803))</f>
        <v/>
      </c>
      <c r="C802" s="97">
        <f>IF($B802=0,0,MAX($E803:$AR803))</f>
        <v/>
      </c>
      <c r="D802" s="98">
        <f>BDS($A802,FLD_HIST,"headers=y","startcol=1","endcol=7","dir=h","DVD_START_DT",HIST_FROM,"DVD_END_DT",HIST_TO)</f>
        <v/>
      </c>
      <c r="E802" s="99" t="n"/>
      <c r="F802" s="99" t="n"/>
      <c r="G802" s="99" t="n"/>
      <c r="H802" s="99" t="n"/>
      <c r="I802" s="99" t="n"/>
      <c r="J802" s="99" t="n"/>
      <c r="K802" s="99" t="n"/>
      <c r="L802" s="99" t="n"/>
      <c r="M802" s="99" t="n"/>
      <c r="N802" s="99" t="n"/>
      <c r="O802" s="99" t="n"/>
      <c r="P802" s="99" t="n"/>
      <c r="Q802" s="99" t="n"/>
      <c r="R802" s="99" t="n"/>
      <c r="S802" s="99" t="n"/>
      <c r="T802" s="99" t="n"/>
      <c r="U802" s="99" t="n"/>
      <c r="V802" s="99" t="n"/>
      <c r="W802" s="99" t="n"/>
      <c r="X802" s="99" t="n"/>
      <c r="Y802" s="99" t="n"/>
      <c r="Z802" s="99" t="n"/>
      <c r="AA802" s="99" t="n"/>
      <c r="AB802" s="99" t="n"/>
      <c r="AC802" s="99" t="n"/>
      <c r="AD802" s="99" t="n"/>
      <c r="AE802" s="99" t="n"/>
      <c r="AF802" s="99" t="n"/>
      <c r="AG802" s="99" t="n"/>
      <c r="AH802" s="99" t="n"/>
      <c r="AI802" s="99" t="n"/>
      <c r="AJ802" s="99" t="n"/>
      <c r="AK802" s="99" t="n"/>
      <c r="AL802" s="99" t="n"/>
      <c r="AM802" s="99" t="n"/>
      <c r="AN802" s="99" t="n"/>
      <c r="AO802" s="99" t="n"/>
      <c r="AP802" s="99" t="n"/>
      <c r="AQ802" s="99" t="n"/>
      <c r="AR802" s="99" t="n"/>
    </row>
    <row r="803">
      <c r="D803" s="99" t="n"/>
      <c r="E803" s="99" t="n"/>
      <c r="F803" s="99" t="n"/>
      <c r="G803" s="99" t="n"/>
      <c r="H803" s="99" t="n"/>
      <c r="I803" s="99" t="n"/>
      <c r="J803" s="99" t="n"/>
      <c r="K803" s="99" t="n"/>
      <c r="L803" s="99" t="n"/>
      <c r="M803" s="99" t="n"/>
      <c r="N803" s="99" t="n"/>
      <c r="O803" s="99" t="n"/>
      <c r="P803" s="99" t="n"/>
      <c r="Q803" s="99" t="n"/>
      <c r="R803" s="99" t="n"/>
      <c r="S803" s="99" t="n"/>
      <c r="T803" s="99" t="n"/>
      <c r="U803" s="99" t="n"/>
      <c r="V803" s="99" t="n"/>
      <c r="W803" s="99" t="n"/>
      <c r="X803" s="99" t="n"/>
      <c r="Y803" s="99" t="n"/>
      <c r="Z803" s="99" t="n"/>
      <c r="AA803" s="99" t="n"/>
      <c r="AB803" s="99" t="n"/>
      <c r="AC803" s="99" t="n"/>
      <c r="AD803" s="99" t="n"/>
      <c r="AE803" s="99" t="n"/>
      <c r="AF803" s="99" t="n"/>
      <c r="AG803" s="99" t="n"/>
      <c r="AH803" s="99" t="n"/>
      <c r="AI803" s="99" t="n"/>
      <c r="AJ803" s="99" t="n"/>
      <c r="AK803" s="99" t="n"/>
      <c r="AL803" s="99" t="n"/>
      <c r="AM803" s="99" t="n"/>
      <c r="AN803" s="99" t="n"/>
      <c r="AO803" s="99" t="n"/>
      <c r="AP803" s="99" t="n"/>
      <c r="AQ803" s="99" t="n"/>
      <c r="AR803" s="99" t="n"/>
    </row>
    <row r="804">
      <c r="D804" s="99" t="n"/>
      <c r="E804" s="99" t="n"/>
      <c r="F804" s="99" t="n"/>
      <c r="G804" s="99" t="n"/>
      <c r="H804" s="99" t="n"/>
      <c r="I804" s="99" t="n"/>
      <c r="J804" s="99" t="n"/>
      <c r="K804" s="99" t="n"/>
      <c r="L804" s="99" t="n"/>
      <c r="M804" s="99" t="n"/>
      <c r="N804" s="99" t="n"/>
      <c r="O804" s="99" t="n"/>
      <c r="P804" s="99" t="n"/>
      <c r="Q804" s="99" t="n"/>
      <c r="R804" s="99" t="n"/>
      <c r="S804" s="99" t="n"/>
      <c r="T804" s="99" t="n"/>
      <c r="U804" s="99" t="n"/>
      <c r="V804" s="99" t="n"/>
      <c r="W804" s="99" t="n"/>
      <c r="X804" s="99" t="n"/>
      <c r="Y804" s="99" t="n"/>
      <c r="Z804" s="99" t="n"/>
      <c r="AA804" s="99" t="n"/>
      <c r="AB804" s="99" t="n"/>
      <c r="AC804" s="99" t="n"/>
      <c r="AD804" s="99" t="n"/>
      <c r="AE804" s="99" t="n"/>
      <c r="AF804" s="99" t="n"/>
      <c r="AG804" s="99" t="n"/>
      <c r="AH804" s="99" t="n"/>
      <c r="AI804" s="99" t="n"/>
      <c r="AJ804" s="99" t="n"/>
      <c r="AK804" s="99" t="n"/>
      <c r="AL804" s="99" t="n"/>
      <c r="AM804" s="99" t="n"/>
      <c r="AN804" s="99" t="n"/>
      <c r="AO804" s="99" t="n"/>
      <c r="AP804" s="99" t="n"/>
      <c r="AQ804" s="99" t="n"/>
      <c r="AR804" s="99" t="n"/>
    </row>
    <row r="805">
      <c r="D805" s="99" t="n"/>
      <c r="E805" s="99" t="n"/>
      <c r="F805" s="99" t="n"/>
      <c r="G805" s="99" t="n"/>
      <c r="H805" s="99" t="n"/>
      <c r="I805" s="99" t="n"/>
      <c r="J805" s="99" t="n"/>
      <c r="K805" s="99" t="n"/>
      <c r="L805" s="99" t="n"/>
      <c r="M805" s="99" t="n"/>
      <c r="N805" s="99" t="n"/>
      <c r="O805" s="99" t="n"/>
      <c r="P805" s="99" t="n"/>
      <c r="Q805" s="99" t="n"/>
      <c r="R805" s="99" t="n"/>
      <c r="S805" s="99" t="n"/>
      <c r="T805" s="99" t="n"/>
      <c r="U805" s="99" t="n"/>
      <c r="V805" s="99" t="n"/>
      <c r="W805" s="99" t="n"/>
      <c r="X805" s="99" t="n"/>
      <c r="Y805" s="99" t="n"/>
      <c r="Z805" s="99" t="n"/>
      <c r="AA805" s="99" t="n"/>
      <c r="AB805" s="99" t="n"/>
      <c r="AC805" s="99" t="n"/>
      <c r="AD805" s="99" t="n"/>
      <c r="AE805" s="99" t="n"/>
      <c r="AF805" s="99" t="n"/>
      <c r="AG805" s="99" t="n"/>
      <c r="AH805" s="99" t="n"/>
      <c r="AI805" s="99" t="n"/>
      <c r="AJ805" s="99" t="n"/>
      <c r="AK805" s="99" t="n"/>
      <c r="AL805" s="99" t="n"/>
      <c r="AM805" s="99" t="n"/>
      <c r="AN805" s="99" t="n"/>
      <c r="AO805" s="99" t="n"/>
      <c r="AP805" s="99" t="n"/>
      <c r="AQ805" s="99" t="n"/>
      <c r="AR805" s="99" t="n"/>
    </row>
    <row r="806">
      <c r="D806" s="100" t="n"/>
      <c r="E806" s="100" t="n"/>
      <c r="F806" s="100" t="n"/>
      <c r="G806" s="100" t="n"/>
      <c r="H806" s="100" t="n"/>
      <c r="I806" s="100" t="n"/>
      <c r="J806" s="100" t="n"/>
      <c r="K806" s="100" t="n"/>
      <c r="L806" s="100" t="n"/>
      <c r="M806" s="100" t="n"/>
      <c r="N806" s="100" t="n"/>
      <c r="O806" s="100" t="n"/>
      <c r="P806" s="100" t="n"/>
      <c r="Q806" s="100" t="n"/>
      <c r="R806" s="100" t="n"/>
      <c r="S806" s="100" t="n"/>
      <c r="T806" s="100" t="n"/>
      <c r="U806" s="100" t="n"/>
      <c r="V806" s="100" t="n"/>
      <c r="W806" s="100" t="n"/>
      <c r="X806" s="100" t="n"/>
      <c r="Y806" s="100" t="n"/>
      <c r="Z806" s="100" t="n"/>
      <c r="AA806" s="100" t="n"/>
      <c r="AB806" s="100" t="n"/>
      <c r="AC806" s="100" t="n"/>
      <c r="AD806" s="100" t="n"/>
      <c r="AE806" s="100" t="n"/>
      <c r="AF806" s="100" t="n"/>
      <c r="AG806" s="100" t="n"/>
      <c r="AH806" s="100" t="n"/>
      <c r="AI806" s="100" t="n"/>
      <c r="AJ806" s="100" t="n"/>
      <c r="AK806" s="100" t="n"/>
      <c r="AL806" s="100" t="n"/>
      <c r="AM806" s="100" t="n"/>
      <c r="AN806" s="100" t="n"/>
      <c r="AO806" s="100" t="n"/>
      <c r="AP806" s="100" t="n"/>
      <c r="AQ806" s="100" t="n"/>
      <c r="AR806" s="100" t="n"/>
    </row>
    <row r="809">
      <c r="A809" s="2">
        <f>IF($A802="","","   projections")</f>
        <v/>
      </c>
      <c r="B809" s="96">
        <f>IF($A802="",0,COUNT($E810:$AR810))</f>
        <v/>
      </c>
      <c r="C809" s="97">
        <f>IF($B809=0,0,MAX($E810:$AR810))</f>
        <v/>
      </c>
      <c r="D809" s="98">
        <f>BDS($A802,FLD_PROJ,"headers=y","startcol=1","endcol=3","dir=h")</f>
        <v/>
      </c>
      <c r="E809" s="99" t="n"/>
      <c r="F809" s="99" t="n"/>
      <c r="G809" s="99" t="n"/>
      <c r="H809" s="99" t="n"/>
      <c r="I809" s="99" t="n"/>
      <c r="J809" s="99" t="n"/>
      <c r="K809" s="99" t="n"/>
      <c r="L809" s="99" t="n"/>
      <c r="M809" s="99" t="n"/>
      <c r="N809" s="99" t="n"/>
      <c r="O809" s="99" t="n"/>
      <c r="P809" s="99" t="n"/>
      <c r="Q809" s="99" t="n"/>
      <c r="R809" s="99" t="n"/>
      <c r="S809" s="99" t="n"/>
      <c r="T809" s="99" t="n"/>
      <c r="U809" s="99" t="n"/>
      <c r="V809" s="99" t="n"/>
      <c r="W809" s="99" t="n"/>
      <c r="X809" s="99" t="n"/>
      <c r="Y809" s="99" t="n"/>
      <c r="Z809" s="99" t="n"/>
      <c r="AA809" s="99" t="n"/>
      <c r="AB809" s="99" t="n"/>
      <c r="AC809" s="99" t="n"/>
      <c r="AD809" s="99" t="n"/>
      <c r="AE809" s="99" t="n"/>
      <c r="AF809" s="99" t="n"/>
      <c r="AG809" s="99" t="n"/>
      <c r="AH809" s="99" t="n"/>
      <c r="AI809" s="99" t="n"/>
      <c r="AJ809" s="99" t="n"/>
      <c r="AK809" s="99" t="n"/>
      <c r="AL809" s="99" t="n"/>
      <c r="AM809" s="99" t="n"/>
      <c r="AN809" s="99" t="n"/>
      <c r="AO809" s="99" t="n"/>
      <c r="AP809" s="99" t="n"/>
      <c r="AQ809" s="99" t="n"/>
      <c r="AR809" s="99" t="n"/>
    </row>
    <row r="810">
      <c r="D810" s="99" t="n"/>
      <c r="E810" s="99" t="n"/>
      <c r="F810" s="99" t="n"/>
      <c r="G810" s="99" t="n"/>
      <c r="H810" s="99" t="n"/>
      <c r="I810" s="99" t="n"/>
      <c r="J810" s="99" t="n"/>
      <c r="K810" s="99" t="n"/>
      <c r="L810" s="99" t="n"/>
      <c r="M810" s="99" t="n"/>
      <c r="N810" s="99" t="n"/>
      <c r="O810" s="99" t="n"/>
      <c r="P810" s="99" t="n"/>
      <c r="Q810" s="99" t="n"/>
      <c r="R810" s="99" t="n"/>
      <c r="S810" s="99" t="n"/>
      <c r="T810" s="99" t="n"/>
      <c r="U810" s="99" t="n"/>
      <c r="V810" s="99" t="n"/>
      <c r="W810" s="99" t="n"/>
      <c r="X810" s="99" t="n"/>
      <c r="Y810" s="99" t="n"/>
      <c r="Z810" s="99" t="n"/>
      <c r="AA810" s="99" t="n"/>
      <c r="AB810" s="99" t="n"/>
      <c r="AC810" s="99" t="n"/>
      <c r="AD810" s="99" t="n"/>
      <c r="AE810" s="99" t="n"/>
      <c r="AF810" s="99" t="n"/>
      <c r="AG810" s="99" t="n"/>
      <c r="AH810" s="99" t="n"/>
      <c r="AI810" s="99" t="n"/>
      <c r="AJ810" s="99" t="n"/>
      <c r="AK810" s="99" t="n"/>
      <c r="AL810" s="99" t="n"/>
      <c r="AM810" s="99" t="n"/>
      <c r="AN810" s="99" t="n"/>
      <c r="AO810" s="99" t="n"/>
      <c r="AP810" s="99" t="n"/>
      <c r="AQ810" s="99" t="n"/>
      <c r="AR810" s="99" t="n"/>
    </row>
    <row r="811">
      <c r="D811" s="100" t="n"/>
      <c r="E811" s="100" t="n"/>
      <c r="F811" s="100" t="n"/>
      <c r="G811" s="100" t="n"/>
      <c r="H811" s="100" t="n"/>
      <c r="I811" s="100" t="n"/>
      <c r="J811" s="100" t="n"/>
      <c r="K811" s="100" t="n"/>
      <c r="L811" s="100" t="n"/>
      <c r="M811" s="100" t="n"/>
      <c r="N811" s="100" t="n"/>
      <c r="O811" s="100" t="n"/>
      <c r="P811" s="100" t="n"/>
      <c r="Q811" s="100" t="n"/>
      <c r="R811" s="100" t="n"/>
      <c r="S811" s="100" t="n"/>
      <c r="T811" s="100" t="n"/>
      <c r="U811" s="100" t="n"/>
      <c r="V811" s="100" t="n"/>
      <c r="W811" s="100" t="n"/>
      <c r="X811" s="100" t="n"/>
      <c r="Y811" s="100" t="n"/>
      <c r="Z811" s="100" t="n"/>
      <c r="AA811" s="100" t="n"/>
      <c r="AB811" s="100" t="n"/>
      <c r="AC811" s="100" t="n"/>
      <c r="AD811" s="100" t="n"/>
      <c r="AE811" s="100" t="n"/>
      <c r="AF811" s="100" t="n"/>
      <c r="AG811" s="100" t="n"/>
      <c r="AH811" s="100" t="n"/>
      <c r="AI811" s="100" t="n"/>
      <c r="AJ811" s="100" t="n"/>
      <c r="AK811" s="100" t="n"/>
      <c r="AL811" s="100" t="n"/>
      <c r="AM811" s="100" t="n"/>
      <c r="AN811" s="100" t="n"/>
      <c r="AO811" s="100" t="n"/>
      <c r="AP811" s="100" t="n"/>
      <c r="AQ811" s="100" t="n"/>
      <c r="AR811" s="100" t="n"/>
    </row>
    <row r="813">
      <c r="A813" s="6">
        <f>IF(HSI!$C$80="","",HSI!$C$80)</f>
        <v/>
      </c>
      <c r="B813" s="96">
        <f>IF($A813="",0,COUNT($E814:$AR814))</f>
        <v/>
      </c>
      <c r="C813" s="97">
        <f>IF($B813=0,0,MAX($E814:$AR814))</f>
        <v/>
      </c>
      <c r="D813" s="98">
        <f>BDS($A813,FLD_HIST,"headers=y","startcol=1","endcol=7","dir=h","DVD_START_DT",HIST_FROM,"DVD_END_DT",HIST_TO)</f>
        <v/>
      </c>
      <c r="E813" s="99" t="n"/>
      <c r="F813" s="99" t="n"/>
      <c r="G813" s="99" t="n"/>
      <c r="H813" s="99" t="n"/>
      <c r="I813" s="99" t="n"/>
      <c r="J813" s="99" t="n"/>
      <c r="K813" s="99" t="n"/>
      <c r="L813" s="99" t="n"/>
      <c r="M813" s="99" t="n"/>
      <c r="N813" s="99" t="n"/>
      <c r="O813" s="99" t="n"/>
      <c r="P813" s="99" t="n"/>
      <c r="Q813" s="99" t="n"/>
      <c r="R813" s="99" t="n"/>
      <c r="S813" s="99" t="n"/>
      <c r="T813" s="99" t="n"/>
      <c r="U813" s="99" t="n"/>
      <c r="V813" s="99" t="n"/>
      <c r="W813" s="99" t="n"/>
      <c r="X813" s="99" t="n"/>
      <c r="Y813" s="99" t="n"/>
      <c r="Z813" s="99" t="n"/>
      <c r="AA813" s="99" t="n"/>
      <c r="AB813" s="99" t="n"/>
      <c r="AC813" s="99" t="n"/>
      <c r="AD813" s="99" t="n"/>
      <c r="AE813" s="99" t="n"/>
      <c r="AF813" s="99" t="n"/>
      <c r="AG813" s="99" t="n"/>
      <c r="AH813" s="99" t="n"/>
      <c r="AI813" s="99" t="n"/>
      <c r="AJ813" s="99" t="n"/>
      <c r="AK813" s="99" t="n"/>
      <c r="AL813" s="99" t="n"/>
      <c r="AM813" s="99" t="n"/>
      <c r="AN813" s="99" t="n"/>
      <c r="AO813" s="99" t="n"/>
      <c r="AP813" s="99" t="n"/>
      <c r="AQ813" s="99" t="n"/>
      <c r="AR813" s="99" t="n"/>
    </row>
    <row r="814">
      <c r="D814" s="99" t="n"/>
      <c r="E814" s="99" t="n"/>
      <c r="F814" s="99" t="n"/>
      <c r="G814" s="99" t="n"/>
      <c r="H814" s="99" t="n"/>
      <c r="I814" s="99" t="n"/>
      <c r="J814" s="99" t="n"/>
      <c r="K814" s="99" t="n"/>
      <c r="L814" s="99" t="n"/>
      <c r="M814" s="99" t="n"/>
      <c r="N814" s="99" t="n"/>
      <c r="O814" s="99" t="n"/>
      <c r="P814" s="99" t="n"/>
      <c r="Q814" s="99" t="n"/>
      <c r="R814" s="99" t="n"/>
      <c r="S814" s="99" t="n"/>
      <c r="T814" s="99" t="n"/>
      <c r="U814" s="99" t="n"/>
      <c r="V814" s="99" t="n"/>
      <c r="W814" s="99" t="n"/>
      <c r="X814" s="99" t="n"/>
      <c r="Y814" s="99" t="n"/>
      <c r="Z814" s="99" t="n"/>
      <c r="AA814" s="99" t="n"/>
      <c r="AB814" s="99" t="n"/>
      <c r="AC814" s="99" t="n"/>
      <c r="AD814" s="99" t="n"/>
      <c r="AE814" s="99" t="n"/>
      <c r="AF814" s="99" t="n"/>
      <c r="AG814" s="99" t="n"/>
      <c r="AH814" s="99" t="n"/>
      <c r="AI814" s="99" t="n"/>
      <c r="AJ814" s="99" t="n"/>
      <c r="AK814" s="99" t="n"/>
      <c r="AL814" s="99" t="n"/>
      <c r="AM814" s="99" t="n"/>
      <c r="AN814" s="99" t="n"/>
      <c r="AO814" s="99" t="n"/>
      <c r="AP814" s="99" t="n"/>
      <c r="AQ814" s="99" t="n"/>
      <c r="AR814" s="99" t="n"/>
    </row>
    <row r="815">
      <c r="D815" s="99" t="n"/>
      <c r="E815" s="99" t="n"/>
      <c r="F815" s="99" t="n"/>
      <c r="G815" s="99" t="n"/>
      <c r="H815" s="99" t="n"/>
      <c r="I815" s="99" t="n"/>
      <c r="J815" s="99" t="n"/>
      <c r="K815" s="99" t="n"/>
      <c r="L815" s="99" t="n"/>
      <c r="M815" s="99" t="n"/>
      <c r="N815" s="99" t="n"/>
      <c r="O815" s="99" t="n"/>
      <c r="P815" s="99" t="n"/>
      <c r="Q815" s="99" t="n"/>
      <c r="R815" s="99" t="n"/>
      <c r="S815" s="99" t="n"/>
      <c r="T815" s="99" t="n"/>
      <c r="U815" s="99" t="n"/>
      <c r="V815" s="99" t="n"/>
      <c r="W815" s="99" t="n"/>
      <c r="X815" s="99" t="n"/>
      <c r="Y815" s="99" t="n"/>
      <c r="Z815" s="99" t="n"/>
      <c r="AA815" s="99" t="n"/>
      <c r="AB815" s="99" t="n"/>
      <c r="AC815" s="99" t="n"/>
      <c r="AD815" s="99" t="n"/>
      <c r="AE815" s="99" t="n"/>
      <c r="AF815" s="99" t="n"/>
      <c r="AG815" s="99" t="n"/>
      <c r="AH815" s="99" t="n"/>
      <c r="AI815" s="99" t="n"/>
      <c r="AJ815" s="99" t="n"/>
      <c r="AK815" s="99" t="n"/>
      <c r="AL815" s="99" t="n"/>
      <c r="AM815" s="99" t="n"/>
      <c r="AN815" s="99" t="n"/>
      <c r="AO815" s="99" t="n"/>
      <c r="AP815" s="99" t="n"/>
      <c r="AQ815" s="99" t="n"/>
      <c r="AR815" s="99" t="n"/>
    </row>
    <row r="816">
      <c r="D816" s="99" t="n"/>
      <c r="E816" s="99" t="n"/>
      <c r="F816" s="99" t="n"/>
      <c r="G816" s="99" t="n"/>
      <c r="H816" s="99" t="n"/>
      <c r="I816" s="99" t="n"/>
      <c r="J816" s="99" t="n"/>
      <c r="K816" s="99" t="n"/>
      <c r="L816" s="99" t="n"/>
      <c r="M816" s="99" t="n"/>
      <c r="N816" s="99" t="n"/>
      <c r="O816" s="99" t="n"/>
      <c r="P816" s="99" t="n"/>
      <c r="Q816" s="99" t="n"/>
      <c r="R816" s="99" t="n"/>
      <c r="S816" s="99" t="n"/>
      <c r="T816" s="99" t="n"/>
      <c r="U816" s="99" t="n"/>
      <c r="V816" s="99" t="n"/>
      <c r="W816" s="99" t="n"/>
      <c r="X816" s="99" t="n"/>
      <c r="Y816" s="99" t="n"/>
      <c r="Z816" s="99" t="n"/>
      <c r="AA816" s="99" t="n"/>
      <c r="AB816" s="99" t="n"/>
      <c r="AC816" s="99" t="n"/>
      <c r="AD816" s="99" t="n"/>
      <c r="AE816" s="99" t="n"/>
      <c r="AF816" s="99" t="n"/>
      <c r="AG816" s="99" t="n"/>
      <c r="AH816" s="99" t="n"/>
      <c r="AI816" s="99" t="n"/>
      <c r="AJ816" s="99" t="n"/>
      <c r="AK816" s="99" t="n"/>
      <c r="AL816" s="99" t="n"/>
      <c r="AM816" s="99" t="n"/>
      <c r="AN816" s="99" t="n"/>
      <c r="AO816" s="99" t="n"/>
      <c r="AP816" s="99" t="n"/>
      <c r="AQ816" s="99" t="n"/>
      <c r="AR816" s="99" t="n"/>
    </row>
    <row r="817">
      <c r="D817" s="100" t="n"/>
      <c r="E817" s="100" t="n"/>
      <c r="F817" s="100" t="n"/>
      <c r="G817" s="100" t="n"/>
      <c r="H817" s="100" t="n"/>
      <c r="I817" s="100" t="n"/>
      <c r="J817" s="100" t="n"/>
      <c r="K817" s="100" t="n"/>
      <c r="L817" s="100" t="n"/>
      <c r="M817" s="100" t="n"/>
      <c r="N817" s="100" t="n"/>
      <c r="O817" s="100" t="n"/>
      <c r="P817" s="100" t="n"/>
      <c r="Q817" s="100" t="n"/>
      <c r="R817" s="100" t="n"/>
      <c r="S817" s="100" t="n"/>
      <c r="T817" s="100" t="n"/>
      <c r="U817" s="100" t="n"/>
      <c r="V817" s="100" t="n"/>
      <c r="W817" s="100" t="n"/>
      <c r="X817" s="100" t="n"/>
      <c r="Y817" s="100" t="n"/>
      <c r="Z817" s="100" t="n"/>
      <c r="AA817" s="100" t="n"/>
      <c r="AB817" s="100" t="n"/>
      <c r="AC817" s="100" t="n"/>
      <c r="AD817" s="100" t="n"/>
      <c r="AE817" s="100" t="n"/>
      <c r="AF817" s="100" t="n"/>
      <c r="AG817" s="100" t="n"/>
      <c r="AH817" s="100" t="n"/>
      <c r="AI817" s="100" t="n"/>
      <c r="AJ817" s="100" t="n"/>
      <c r="AK817" s="100" t="n"/>
      <c r="AL817" s="100" t="n"/>
      <c r="AM817" s="100" t="n"/>
      <c r="AN817" s="100" t="n"/>
      <c r="AO817" s="100" t="n"/>
      <c r="AP817" s="100" t="n"/>
      <c r="AQ817" s="100" t="n"/>
      <c r="AR817" s="100" t="n"/>
    </row>
    <row r="820">
      <c r="A820" s="2">
        <f>IF($A813="","","   projections")</f>
        <v/>
      </c>
      <c r="B820" s="96">
        <f>IF($A813="",0,COUNT($E821:$AR821))</f>
        <v/>
      </c>
      <c r="C820" s="97">
        <f>IF($B820=0,0,MAX($E821:$AR821))</f>
        <v/>
      </c>
      <c r="D820" s="98">
        <f>BDS($A813,FLD_PROJ,"headers=y","startcol=1","endcol=3","dir=h")</f>
        <v/>
      </c>
      <c r="E820" s="99" t="n"/>
      <c r="F820" s="99" t="n"/>
      <c r="G820" s="99" t="n"/>
      <c r="H820" s="99" t="n"/>
      <c r="I820" s="99" t="n"/>
      <c r="J820" s="99" t="n"/>
      <c r="K820" s="99" t="n"/>
      <c r="L820" s="99" t="n"/>
      <c r="M820" s="99" t="n"/>
      <c r="N820" s="99" t="n"/>
      <c r="O820" s="99" t="n"/>
      <c r="P820" s="99" t="n"/>
      <c r="Q820" s="99" t="n"/>
      <c r="R820" s="99" t="n"/>
      <c r="S820" s="99" t="n"/>
      <c r="T820" s="99" t="n"/>
      <c r="U820" s="99" t="n"/>
      <c r="V820" s="99" t="n"/>
      <c r="W820" s="99" t="n"/>
      <c r="X820" s="99" t="n"/>
      <c r="Y820" s="99" t="n"/>
      <c r="Z820" s="99" t="n"/>
      <c r="AA820" s="99" t="n"/>
      <c r="AB820" s="99" t="n"/>
      <c r="AC820" s="99" t="n"/>
      <c r="AD820" s="99" t="n"/>
      <c r="AE820" s="99" t="n"/>
      <c r="AF820" s="99" t="n"/>
      <c r="AG820" s="99" t="n"/>
      <c r="AH820" s="99" t="n"/>
      <c r="AI820" s="99" t="n"/>
      <c r="AJ820" s="99" t="n"/>
      <c r="AK820" s="99" t="n"/>
      <c r="AL820" s="99" t="n"/>
      <c r="AM820" s="99" t="n"/>
      <c r="AN820" s="99" t="n"/>
      <c r="AO820" s="99" t="n"/>
      <c r="AP820" s="99" t="n"/>
      <c r="AQ820" s="99" t="n"/>
      <c r="AR820" s="99" t="n"/>
    </row>
    <row r="821">
      <c r="D821" s="99" t="n"/>
      <c r="E821" s="99" t="n"/>
      <c r="F821" s="99" t="n"/>
      <c r="G821" s="99" t="n"/>
      <c r="H821" s="99" t="n"/>
      <c r="I821" s="99" t="n"/>
      <c r="J821" s="99" t="n"/>
      <c r="K821" s="99" t="n"/>
      <c r="L821" s="99" t="n"/>
      <c r="M821" s="99" t="n"/>
      <c r="N821" s="99" t="n"/>
      <c r="O821" s="99" t="n"/>
      <c r="P821" s="99" t="n"/>
      <c r="Q821" s="99" t="n"/>
      <c r="R821" s="99" t="n"/>
      <c r="S821" s="99" t="n"/>
      <c r="T821" s="99" t="n"/>
      <c r="U821" s="99" t="n"/>
      <c r="V821" s="99" t="n"/>
      <c r="W821" s="99" t="n"/>
      <c r="X821" s="99" t="n"/>
      <c r="Y821" s="99" t="n"/>
      <c r="Z821" s="99" t="n"/>
      <c r="AA821" s="99" t="n"/>
      <c r="AB821" s="99" t="n"/>
      <c r="AC821" s="99" t="n"/>
      <c r="AD821" s="99" t="n"/>
      <c r="AE821" s="99" t="n"/>
      <c r="AF821" s="99" t="n"/>
      <c r="AG821" s="99" t="n"/>
      <c r="AH821" s="99" t="n"/>
      <c r="AI821" s="99" t="n"/>
      <c r="AJ821" s="99" t="n"/>
      <c r="AK821" s="99" t="n"/>
      <c r="AL821" s="99" t="n"/>
      <c r="AM821" s="99" t="n"/>
      <c r="AN821" s="99" t="n"/>
      <c r="AO821" s="99" t="n"/>
      <c r="AP821" s="99" t="n"/>
      <c r="AQ821" s="99" t="n"/>
      <c r="AR821" s="99" t="n"/>
    </row>
    <row r="822">
      <c r="D822" s="100" t="n"/>
      <c r="E822" s="100" t="n"/>
      <c r="F822" s="100" t="n"/>
      <c r="G822" s="100" t="n"/>
      <c r="H822" s="100" t="n"/>
      <c r="I822" s="100" t="n"/>
      <c r="J822" s="100" t="n"/>
      <c r="K822" s="100" t="n"/>
      <c r="L822" s="100" t="n"/>
      <c r="M822" s="100" t="n"/>
      <c r="N822" s="100" t="n"/>
      <c r="O822" s="100" t="n"/>
      <c r="P822" s="100" t="n"/>
      <c r="Q822" s="100" t="n"/>
      <c r="R822" s="100" t="n"/>
      <c r="S822" s="100" t="n"/>
      <c r="T822" s="100" t="n"/>
      <c r="U822" s="100" t="n"/>
      <c r="V822" s="100" t="n"/>
      <c r="W822" s="100" t="n"/>
      <c r="X822" s="100" t="n"/>
      <c r="Y822" s="100" t="n"/>
      <c r="Z822" s="100" t="n"/>
      <c r="AA822" s="100" t="n"/>
      <c r="AB822" s="100" t="n"/>
      <c r="AC822" s="100" t="n"/>
      <c r="AD822" s="100" t="n"/>
      <c r="AE822" s="100" t="n"/>
      <c r="AF822" s="100" t="n"/>
      <c r="AG822" s="100" t="n"/>
      <c r="AH822" s="100" t="n"/>
      <c r="AI822" s="100" t="n"/>
      <c r="AJ822" s="100" t="n"/>
      <c r="AK822" s="100" t="n"/>
      <c r="AL822" s="100" t="n"/>
      <c r="AM822" s="100" t="n"/>
      <c r="AN822" s="100" t="n"/>
      <c r="AO822" s="100" t="n"/>
      <c r="AP822" s="100" t="n"/>
      <c r="AQ822" s="100" t="n"/>
      <c r="AR822" s="100" t="n"/>
    </row>
    <row r="824">
      <c r="A824" s="6">
        <f>IF(HSI!$C$81="","",HSI!$C$81)</f>
        <v/>
      </c>
      <c r="B824" s="96">
        <f>IF($A824="",0,COUNT($E825:$AR825))</f>
        <v/>
      </c>
      <c r="C824" s="97">
        <f>IF($B824=0,0,MAX($E825:$AR825))</f>
        <v/>
      </c>
      <c r="D824" s="98">
        <f>BDS($A824,FLD_HIST,"headers=y","startcol=1","endcol=7","dir=h","DVD_START_DT",HIST_FROM,"DVD_END_DT",HIST_TO)</f>
        <v/>
      </c>
      <c r="E824" s="99" t="n"/>
      <c r="F824" s="99" t="n"/>
      <c r="G824" s="99" t="n"/>
      <c r="H824" s="99" t="n"/>
      <c r="I824" s="99" t="n"/>
      <c r="J824" s="99" t="n"/>
      <c r="K824" s="99" t="n"/>
      <c r="L824" s="99" t="n"/>
      <c r="M824" s="99" t="n"/>
      <c r="N824" s="99" t="n"/>
      <c r="O824" s="99" t="n"/>
      <c r="P824" s="99" t="n"/>
      <c r="Q824" s="99" t="n"/>
      <c r="R824" s="99" t="n"/>
      <c r="S824" s="99" t="n"/>
      <c r="T824" s="99" t="n"/>
      <c r="U824" s="99" t="n"/>
      <c r="V824" s="99" t="n"/>
      <c r="W824" s="99" t="n"/>
      <c r="X824" s="99" t="n"/>
      <c r="Y824" s="99" t="n"/>
      <c r="Z824" s="99" t="n"/>
      <c r="AA824" s="99" t="n"/>
      <c r="AB824" s="99" t="n"/>
      <c r="AC824" s="99" t="n"/>
      <c r="AD824" s="99" t="n"/>
      <c r="AE824" s="99" t="n"/>
      <c r="AF824" s="99" t="n"/>
      <c r="AG824" s="99" t="n"/>
      <c r="AH824" s="99" t="n"/>
      <c r="AI824" s="99" t="n"/>
      <c r="AJ824" s="99" t="n"/>
      <c r="AK824" s="99" t="n"/>
      <c r="AL824" s="99" t="n"/>
      <c r="AM824" s="99" t="n"/>
      <c r="AN824" s="99" t="n"/>
      <c r="AO824" s="99" t="n"/>
      <c r="AP824" s="99" t="n"/>
      <c r="AQ824" s="99" t="n"/>
      <c r="AR824" s="99" t="n"/>
    </row>
    <row r="825">
      <c r="D825" s="99" t="n"/>
      <c r="E825" s="99" t="n"/>
      <c r="F825" s="99" t="n"/>
      <c r="G825" s="99" t="n"/>
      <c r="H825" s="99" t="n"/>
      <c r="I825" s="99" t="n"/>
      <c r="J825" s="99" t="n"/>
      <c r="K825" s="99" t="n"/>
      <c r="L825" s="99" t="n"/>
      <c r="M825" s="99" t="n"/>
      <c r="N825" s="99" t="n"/>
      <c r="O825" s="99" t="n"/>
      <c r="P825" s="99" t="n"/>
      <c r="Q825" s="99" t="n"/>
      <c r="R825" s="99" t="n"/>
      <c r="S825" s="99" t="n"/>
      <c r="T825" s="99" t="n"/>
      <c r="U825" s="99" t="n"/>
      <c r="V825" s="99" t="n"/>
      <c r="W825" s="99" t="n"/>
      <c r="X825" s="99" t="n"/>
      <c r="Y825" s="99" t="n"/>
      <c r="Z825" s="99" t="n"/>
      <c r="AA825" s="99" t="n"/>
      <c r="AB825" s="99" t="n"/>
      <c r="AC825" s="99" t="n"/>
      <c r="AD825" s="99" t="n"/>
      <c r="AE825" s="99" t="n"/>
      <c r="AF825" s="99" t="n"/>
      <c r="AG825" s="99" t="n"/>
      <c r="AH825" s="99" t="n"/>
      <c r="AI825" s="99" t="n"/>
      <c r="AJ825" s="99" t="n"/>
      <c r="AK825" s="99" t="n"/>
      <c r="AL825" s="99" t="n"/>
      <c r="AM825" s="99" t="n"/>
      <c r="AN825" s="99" t="n"/>
      <c r="AO825" s="99" t="n"/>
      <c r="AP825" s="99" t="n"/>
      <c r="AQ825" s="99" t="n"/>
      <c r="AR825" s="99" t="n"/>
    </row>
    <row r="826">
      <c r="D826" s="99" t="n"/>
      <c r="E826" s="99" t="n"/>
      <c r="F826" s="99" t="n"/>
      <c r="G826" s="99" t="n"/>
      <c r="H826" s="99" t="n"/>
      <c r="I826" s="99" t="n"/>
      <c r="J826" s="99" t="n"/>
      <c r="K826" s="99" t="n"/>
      <c r="L826" s="99" t="n"/>
      <c r="M826" s="99" t="n"/>
      <c r="N826" s="99" t="n"/>
      <c r="O826" s="99" t="n"/>
      <c r="P826" s="99" t="n"/>
      <c r="Q826" s="99" t="n"/>
      <c r="R826" s="99" t="n"/>
      <c r="S826" s="99" t="n"/>
      <c r="T826" s="99" t="n"/>
      <c r="U826" s="99" t="n"/>
      <c r="V826" s="99" t="n"/>
      <c r="W826" s="99" t="n"/>
      <c r="X826" s="99" t="n"/>
      <c r="Y826" s="99" t="n"/>
      <c r="Z826" s="99" t="n"/>
      <c r="AA826" s="99" t="n"/>
      <c r="AB826" s="99" t="n"/>
      <c r="AC826" s="99" t="n"/>
      <c r="AD826" s="99" t="n"/>
      <c r="AE826" s="99" t="n"/>
      <c r="AF826" s="99" t="n"/>
      <c r="AG826" s="99" t="n"/>
      <c r="AH826" s="99" t="n"/>
      <c r="AI826" s="99" t="n"/>
      <c r="AJ826" s="99" t="n"/>
      <c r="AK826" s="99" t="n"/>
      <c r="AL826" s="99" t="n"/>
      <c r="AM826" s="99" t="n"/>
      <c r="AN826" s="99" t="n"/>
      <c r="AO826" s="99" t="n"/>
      <c r="AP826" s="99" t="n"/>
      <c r="AQ826" s="99" t="n"/>
      <c r="AR826" s="99" t="n"/>
    </row>
    <row r="827">
      <c r="D827" s="99" t="n"/>
      <c r="E827" s="99" t="n"/>
      <c r="F827" s="99" t="n"/>
      <c r="G827" s="99" t="n"/>
      <c r="H827" s="99" t="n"/>
      <c r="I827" s="99" t="n"/>
      <c r="J827" s="99" t="n"/>
      <c r="K827" s="99" t="n"/>
      <c r="L827" s="99" t="n"/>
      <c r="M827" s="99" t="n"/>
      <c r="N827" s="99" t="n"/>
      <c r="O827" s="99" t="n"/>
      <c r="P827" s="99" t="n"/>
      <c r="Q827" s="99" t="n"/>
      <c r="R827" s="99" t="n"/>
      <c r="S827" s="99" t="n"/>
      <c r="T827" s="99" t="n"/>
      <c r="U827" s="99" t="n"/>
      <c r="V827" s="99" t="n"/>
      <c r="W827" s="99" t="n"/>
      <c r="X827" s="99" t="n"/>
      <c r="Y827" s="99" t="n"/>
      <c r="Z827" s="99" t="n"/>
      <c r="AA827" s="99" t="n"/>
      <c r="AB827" s="99" t="n"/>
      <c r="AC827" s="99" t="n"/>
      <c r="AD827" s="99" t="n"/>
      <c r="AE827" s="99" t="n"/>
      <c r="AF827" s="99" t="n"/>
      <c r="AG827" s="99" t="n"/>
      <c r="AH827" s="99" t="n"/>
      <c r="AI827" s="99" t="n"/>
      <c r="AJ827" s="99" t="n"/>
      <c r="AK827" s="99" t="n"/>
      <c r="AL827" s="99" t="n"/>
      <c r="AM827" s="99" t="n"/>
      <c r="AN827" s="99" t="n"/>
      <c r="AO827" s="99" t="n"/>
      <c r="AP827" s="99" t="n"/>
      <c r="AQ827" s="99" t="n"/>
      <c r="AR827" s="99" t="n"/>
    </row>
    <row r="828">
      <c r="D828" s="100" t="n"/>
      <c r="E828" s="100" t="n"/>
      <c r="F828" s="100" t="n"/>
      <c r="G828" s="100" t="n"/>
      <c r="H828" s="100" t="n"/>
      <c r="I828" s="100" t="n"/>
      <c r="J828" s="100" t="n"/>
      <c r="K828" s="100" t="n"/>
      <c r="L828" s="100" t="n"/>
      <c r="M828" s="100" t="n"/>
      <c r="N828" s="100" t="n"/>
      <c r="O828" s="100" t="n"/>
      <c r="P828" s="100" t="n"/>
      <c r="Q828" s="100" t="n"/>
      <c r="R828" s="100" t="n"/>
      <c r="S828" s="100" t="n"/>
      <c r="T828" s="100" t="n"/>
      <c r="U828" s="100" t="n"/>
      <c r="V828" s="100" t="n"/>
      <c r="W828" s="100" t="n"/>
      <c r="X828" s="100" t="n"/>
      <c r="Y828" s="100" t="n"/>
      <c r="Z828" s="100" t="n"/>
      <c r="AA828" s="100" t="n"/>
      <c r="AB828" s="100" t="n"/>
      <c r="AC828" s="100" t="n"/>
      <c r="AD828" s="100" t="n"/>
      <c r="AE828" s="100" t="n"/>
      <c r="AF828" s="100" t="n"/>
      <c r="AG828" s="100" t="n"/>
      <c r="AH828" s="100" t="n"/>
      <c r="AI828" s="100" t="n"/>
      <c r="AJ828" s="100" t="n"/>
      <c r="AK828" s="100" t="n"/>
      <c r="AL828" s="100" t="n"/>
      <c r="AM828" s="100" t="n"/>
      <c r="AN828" s="100" t="n"/>
      <c r="AO828" s="100" t="n"/>
      <c r="AP828" s="100" t="n"/>
      <c r="AQ828" s="100" t="n"/>
      <c r="AR828" s="100" t="n"/>
    </row>
    <row r="831">
      <c r="A831" s="2">
        <f>IF($A824="","","   projections")</f>
        <v/>
      </c>
      <c r="B831" s="96">
        <f>IF($A824="",0,COUNT($E832:$AR832))</f>
        <v/>
      </c>
      <c r="C831" s="97">
        <f>IF($B831=0,0,MAX($E832:$AR832))</f>
        <v/>
      </c>
      <c r="D831" s="98">
        <f>BDS($A824,FLD_PROJ,"headers=y","startcol=1","endcol=3","dir=h")</f>
        <v/>
      </c>
      <c r="E831" s="99" t="n"/>
      <c r="F831" s="99" t="n"/>
      <c r="G831" s="99" t="n"/>
      <c r="H831" s="99" t="n"/>
      <c r="I831" s="99" t="n"/>
      <c r="J831" s="99" t="n"/>
      <c r="K831" s="99" t="n"/>
      <c r="L831" s="99" t="n"/>
      <c r="M831" s="99" t="n"/>
      <c r="N831" s="99" t="n"/>
      <c r="O831" s="99" t="n"/>
      <c r="P831" s="99" t="n"/>
      <c r="Q831" s="99" t="n"/>
      <c r="R831" s="99" t="n"/>
      <c r="S831" s="99" t="n"/>
      <c r="T831" s="99" t="n"/>
      <c r="U831" s="99" t="n"/>
      <c r="V831" s="99" t="n"/>
      <c r="W831" s="99" t="n"/>
      <c r="X831" s="99" t="n"/>
      <c r="Y831" s="99" t="n"/>
      <c r="Z831" s="99" t="n"/>
      <c r="AA831" s="99" t="n"/>
      <c r="AB831" s="99" t="n"/>
      <c r="AC831" s="99" t="n"/>
      <c r="AD831" s="99" t="n"/>
      <c r="AE831" s="99" t="n"/>
      <c r="AF831" s="99" t="n"/>
      <c r="AG831" s="99" t="n"/>
      <c r="AH831" s="99" t="n"/>
      <c r="AI831" s="99" t="n"/>
      <c r="AJ831" s="99" t="n"/>
      <c r="AK831" s="99" t="n"/>
      <c r="AL831" s="99" t="n"/>
      <c r="AM831" s="99" t="n"/>
      <c r="AN831" s="99" t="n"/>
      <c r="AO831" s="99" t="n"/>
      <c r="AP831" s="99" t="n"/>
      <c r="AQ831" s="99" t="n"/>
      <c r="AR831" s="99" t="n"/>
    </row>
    <row r="832">
      <c r="D832" s="99" t="n"/>
      <c r="E832" s="99" t="n"/>
      <c r="F832" s="99" t="n"/>
      <c r="G832" s="99" t="n"/>
      <c r="H832" s="99" t="n"/>
      <c r="I832" s="99" t="n"/>
      <c r="J832" s="99" t="n"/>
      <c r="K832" s="99" t="n"/>
      <c r="L832" s="99" t="n"/>
      <c r="M832" s="99" t="n"/>
      <c r="N832" s="99" t="n"/>
      <c r="O832" s="99" t="n"/>
      <c r="P832" s="99" t="n"/>
      <c r="Q832" s="99" t="n"/>
      <c r="R832" s="99" t="n"/>
      <c r="S832" s="99" t="n"/>
      <c r="T832" s="99" t="n"/>
      <c r="U832" s="99" t="n"/>
      <c r="V832" s="99" t="n"/>
      <c r="W832" s="99" t="n"/>
      <c r="X832" s="99" t="n"/>
      <c r="Y832" s="99" t="n"/>
      <c r="Z832" s="99" t="n"/>
      <c r="AA832" s="99" t="n"/>
      <c r="AB832" s="99" t="n"/>
      <c r="AC832" s="99" t="n"/>
      <c r="AD832" s="99" t="n"/>
      <c r="AE832" s="99" t="n"/>
      <c r="AF832" s="99" t="n"/>
      <c r="AG832" s="99" t="n"/>
      <c r="AH832" s="99" t="n"/>
      <c r="AI832" s="99" t="n"/>
      <c r="AJ832" s="99" t="n"/>
      <c r="AK832" s="99" t="n"/>
      <c r="AL832" s="99" t="n"/>
      <c r="AM832" s="99" t="n"/>
      <c r="AN832" s="99" t="n"/>
      <c r="AO832" s="99" t="n"/>
      <c r="AP832" s="99" t="n"/>
      <c r="AQ832" s="99" t="n"/>
      <c r="AR832" s="99" t="n"/>
    </row>
    <row r="833">
      <c r="D833" s="100" t="n"/>
      <c r="E833" s="100" t="n"/>
      <c r="F833" s="100" t="n"/>
      <c r="G833" s="100" t="n"/>
      <c r="H833" s="100" t="n"/>
      <c r="I833" s="100" t="n"/>
      <c r="J833" s="100" t="n"/>
      <c r="K833" s="100" t="n"/>
      <c r="L833" s="100" t="n"/>
      <c r="M833" s="100" t="n"/>
      <c r="N833" s="100" t="n"/>
      <c r="O833" s="100" t="n"/>
      <c r="P833" s="100" t="n"/>
      <c r="Q833" s="100" t="n"/>
      <c r="R833" s="100" t="n"/>
      <c r="S833" s="100" t="n"/>
      <c r="T833" s="100" t="n"/>
      <c r="U833" s="100" t="n"/>
      <c r="V833" s="100" t="n"/>
      <c r="W833" s="100" t="n"/>
      <c r="X833" s="100" t="n"/>
      <c r="Y833" s="100" t="n"/>
      <c r="Z833" s="100" t="n"/>
      <c r="AA833" s="100" t="n"/>
      <c r="AB833" s="100" t="n"/>
      <c r="AC833" s="100" t="n"/>
      <c r="AD833" s="100" t="n"/>
      <c r="AE833" s="100" t="n"/>
      <c r="AF833" s="100" t="n"/>
      <c r="AG833" s="100" t="n"/>
      <c r="AH833" s="100" t="n"/>
      <c r="AI833" s="100" t="n"/>
      <c r="AJ833" s="100" t="n"/>
      <c r="AK833" s="100" t="n"/>
      <c r="AL833" s="100" t="n"/>
      <c r="AM833" s="100" t="n"/>
      <c r="AN833" s="100" t="n"/>
      <c r="AO833" s="100" t="n"/>
      <c r="AP833" s="100" t="n"/>
      <c r="AQ833" s="100" t="n"/>
      <c r="AR833" s="100" t="n"/>
    </row>
    <row r="835">
      <c r="A835" s="6">
        <f>IF(HSI!$C$82="","",HSI!$C$82)</f>
        <v/>
      </c>
      <c r="B835" s="96">
        <f>IF($A835="",0,COUNT($E836:$AR836))</f>
        <v/>
      </c>
      <c r="C835" s="97">
        <f>IF($B835=0,0,MAX($E836:$AR836))</f>
        <v/>
      </c>
      <c r="D835" s="98">
        <f>BDS($A835,FLD_HIST,"headers=y","startcol=1","endcol=7","dir=h","DVD_START_DT",HIST_FROM,"DVD_END_DT",HIST_TO)</f>
        <v/>
      </c>
      <c r="E835" s="99" t="n"/>
      <c r="F835" s="99" t="n"/>
      <c r="G835" s="99" t="n"/>
      <c r="H835" s="99" t="n"/>
      <c r="I835" s="99" t="n"/>
      <c r="J835" s="99" t="n"/>
      <c r="K835" s="99" t="n"/>
      <c r="L835" s="99" t="n"/>
      <c r="M835" s="99" t="n"/>
      <c r="N835" s="99" t="n"/>
      <c r="O835" s="99" t="n"/>
      <c r="P835" s="99" t="n"/>
      <c r="Q835" s="99" t="n"/>
      <c r="R835" s="99" t="n"/>
      <c r="S835" s="99" t="n"/>
      <c r="T835" s="99" t="n"/>
      <c r="U835" s="99" t="n"/>
      <c r="V835" s="99" t="n"/>
      <c r="W835" s="99" t="n"/>
      <c r="X835" s="99" t="n"/>
      <c r="Y835" s="99" t="n"/>
      <c r="Z835" s="99" t="n"/>
      <c r="AA835" s="99" t="n"/>
      <c r="AB835" s="99" t="n"/>
      <c r="AC835" s="99" t="n"/>
      <c r="AD835" s="99" t="n"/>
      <c r="AE835" s="99" t="n"/>
      <c r="AF835" s="99" t="n"/>
      <c r="AG835" s="99" t="n"/>
      <c r="AH835" s="99" t="n"/>
      <c r="AI835" s="99" t="n"/>
      <c r="AJ835" s="99" t="n"/>
      <c r="AK835" s="99" t="n"/>
      <c r="AL835" s="99" t="n"/>
      <c r="AM835" s="99" t="n"/>
      <c r="AN835" s="99" t="n"/>
      <c r="AO835" s="99" t="n"/>
      <c r="AP835" s="99" t="n"/>
      <c r="AQ835" s="99" t="n"/>
      <c r="AR835" s="99" t="n"/>
    </row>
    <row r="836">
      <c r="D836" s="99" t="n"/>
      <c r="E836" s="99" t="n"/>
      <c r="F836" s="99" t="n"/>
      <c r="G836" s="99" t="n"/>
      <c r="H836" s="99" t="n"/>
      <c r="I836" s="99" t="n"/>
      <c r="J836" s="99" t="n"/>
      <c r="K836" s="99" t="n"/>
      <c r="L836" s="99" t="n"/>
      <c r="M836" s="99" t="n"/>
      <c r="N836" s="99" t="n"/>
      <c r="O836" s="99" t="n"/>
      <c r="P836" s="99" t="n"/>
      <c r="Q836" s="99" t="n"/>
      <c r="R836" s="99" t="n"/>
      <c r="S836" s="99" t="n"/>
      <c r="T836" s="99" t="n"/>
      <c r="U836" s="99" t="n"/>
      <c r="V836" s="99" t="n"/>
      <c r="W836" s="99" t="n"/>
      <c r="X836" s="99" t="n"/>
      <c r="Y836" s="99" t="n"/>
      <c r="Z836" s="99" t="n"/>
      <c r="AA836" s="99" t="n"/>
      <c r="AB836" s="99" t="n"/>
      <c r="AC836" s="99" t="n"/>
      <c r="AD836" s="99" t="n"/>
      <c r="AE836" s="99" t="n"/>
      <c r="AF836" s="99" t="n"/>
      <c r="AG836" s="99" t="n"/>
      <c r="AH836" s="99" t="n"/>
      <c r="AI836" s="99" t="n"/>
      <c r="AJ836" s="99" t="n"/>
      <c r="AK836" s="99" t="n"/>
      <c r="AL836" s="99" t="n"/>
      <c r="AM836" s="99" t="n"/>
      <c r="AN836" s="99" t="n"/>
      <c r="AO836" s="99" t="n"/>
      <c r="AP836" s="99" t="n"/>
      <c r="AQ836" s="99" t="n"/>
      <c r="AR836" s="99" t="n"/>
    </row>
    <row r="837">
      <c r="D837" s="99" t="n"/>
      <c r="E837" s="99" t="n"/>
      <c r="F837" s="99" t="n"/>
      <c r="G837" s="99" t="n"/>
      <c r="H837" s="99" t="n"/>
      <c r="I837" s="99" t="n"/>
      <c r="J837" s="99" t="n"/>
      <c r="K837" s="99" t="n"/>
      <c r="L837" s="99" t="n"/>
      <c r="M837" s="99" t="n"/>
      <c r="N837" s="99" t="n"/>
      <c r="O837" s="99" t="n"/>
      <c r="P837" s="99" t="n"/>
      <c r="Q837" s="99" t="n"/>
      <c r="R837" s="99" t="n"/>
      <c r="S837" s="99" t="n"/>
      <c r="T837" s="99" t="n"/>
      <c r="U837" s="99" t="n"/>
      <c r="V837" s="99" t="n"/>
      <c r="W837" s="99" t="n"/>
      <c r="X837" s="99" t="n"/>
      <c r="Y837" s="99" t="n"/>
      <c r="Z837" s="99" t="n"/>
      <c r="AA837" s="99" t="n"/>
      <c r="AB837" s="99" t="n"/>
      <c r="AC837" s="99" t="n"/>
      <c r="AD837" s="99" t="n"/>
      <c r="AE837" s="99" t="n"/>
      <c r="AF837" s="99" t="n"/>
      <c r="AG837" s="99" t="n"/>
      <c r="AH837" s="99" t="n"/>
      <c r="AI837" s="99" t="n"/>
      <c r="AJ837" s="99" t="n"/>
      <c r="AK837" s="99" t="n"/>
      <c r="AL837" s="99" t="n"/>
      <c r="AM837" s="99" t="n"/>
      <c r="AN837" s="99" t="n"/>
      <c r="AO837" s="99" t="n"/>
      <c r="AP837" s="99" t="n"/>
      <c r="AQ837" s="99" t="n"/>
      <c r="AR837" s="99" t="n"/>
    </row>
    <row r="838">
      <c r="D838" s="99" t="n"/>
      <c r="E838" s="99" t="n"/>
      <c r="F838" s="99" t="n"/>
      <c r="G838" s="99" t="n"/>
      <c r="H838" s="99" t="n"/>
      <c r="I838" s="99" t="n"/>
      <c r="J838" s="99" t="n"/>
      <c r="K838" s="99" t="n"/>
      <c r="L838" s="99" t="n"/>
      <c r="M838" s="99" t="n"/>
      <c r="N838" s="99" t="n"/>
      <c r="O838" s="99" t="n"/>
      <c r="P838" s="99" t="n"/>
      <c r="Q838" s="99" t="n"/>
      <c r="R838" s="99" t="n"/>
      <c r="S838" s="99" t="n"/>
      <c r="T838" s="99" t="n"/>
      <c r="U838" s="99" t="n"/>
      <c r="V838" s="99" t="n"/>
      <c r="W838" s="99" t="n"/>
      <c r="X838" s="99" t="n"/>
      <c r="Y838" s="99" t="n"/>
      <c r="Z838" s="99" t="n"/>
      <c r="AA838" s="99" t="n"/>
      <c r="AB838" s="99" t="n"/>
      <c r="AC838" s="99" t="n"/>
      <c r="AD838" s="99" t="n"/>
      <c r="AE838" s="99" t="n"/>
      <c r="AF838" s="99" t="n"/>
      <c r="AG838" s="99" t="n"/>
      <c r="AH838" s="99" t="n"/>
      <c r="AI838" s="99" t="n"/>
      <c r="AJ838" s="99" t="n"/>
      <c r="AK838" s="99" t="n"/>
      <c r="AL838" s="99" t="n"/>
      <c r="AM838" s="99" t="n"/>
      <c r="AN838" s="99" t="n"/>
      <c r="AO838" s="99" t="n"/>
      <c r="AP838" s="99" t="n"/>
      <c r="AQ838" s="99" t="n"/>
      <c r="AR838" s="99" t="n"/>
    </row>
    <row r="839">
      <c r="D839" s="100" t="n"/>
      <c r="E839" s="100" t="n"/>
      <c r="F839" s="100" t="n"/>
      <c r="G839" s="100" t="n"/>
      <c r="H839" s="100" t="n"/>
      <c r="I839" s="100" t="n"/>
      <c r="J839" s="100" t="n"/>
      <c r="K839" s="100" t="n"/>
      <c r="L839" s="100" t="n"/>
      <c r="M839" s="100" t="n"/>
      <c r="N839" s="100" t="n"/>
      <c r="O839" s="100" t="n"/>
      <c r="P839" s="100" t="n"/>
      <c r="Q839" s="100" t="n"/>
      <c r="R839" s="100" t="n"/>
      <c r="S839" s="100" t="n"/>
      <c r="T839" s="100" t="n"/>
      <c r="U839" s="100" t="n"/>
      <c r="V839" s="100" t="n"/>
      <c r="W839" s="100" t="n"/>
      <c r="X839" s="100" t="n"/>
      <c r="Y839" s="100" t="n"/>
      <c r="Z839" s="100" t="n"/>
      <c r="AA839" s="100" t="n"/>
      <c r="AB839" s="100" t="n"/>
      <c r="AC839" s="100" t="n"/>
      <c r="AD839" s="100" t="n"/>
      <c r="AE839" s="100" t="n"/>
      <c r="AF839" s="100" t="n"/>
      <c r="AG839" s="100" t="n"/>
      <c r="AH839" s="100" t="n"/>
      <c r="AI839" s="100" t="n"/>
      <c r="AJ839" s="100" t="n"/>
      <c r="AK839" s="100" t="n"/>
      <c r="AL839" s="100" t="n"/>
      <c r="AM839" s="100" t="n"/>
      <c r="AN839" s="100" t="n"/>
      <c r="AO839" s="100" t="n"/>
      <c r="AP839" s="100" t="n"/>
      <c r="AQ839" s="100" t="n"/>
      <c r="AR839" s="100" t="n"/>
    </row>
    <row r="842">
      <c r="A842" s="2">
        <f>IF($A835="","","   projections")</f>
        <v/>
      </c>
      <c r="B842" s="96">
        <f>IF($A835="",0,COUNT($E843:$AR843))</f>
        <v/>
      </c>
      <c r="C842" s="97">
        <f>IF($B842=0,0,MAX($E843:$AR843))</f>
        <v/>
      </c>
      <c r="D842" s="98">
        <f>BDS($A835,FLD_PROJ,"headers=y","startcol=1","endcol=3","dir=h")</f>
        <v/>
      </c>
      <c r="E842" s="99" t="n"/>
      <c r="F842" s="99" t="n"/>
      <c r="G842" s="99" t="n"/>
      <c r="H842" s="99" t="n"/>
      <c r="I842" s="99" t="n"/>
      <c r="J842" s="99" t="n"/>
      <c r="K842" s="99" t="n"/>
      <c r="L842" s="99" t="n"/>
      <c r="M842" s="99" t="n"/>
      <c r="N842" s="99" t="n"/>
      <c r="O842" s="99" t="n"/>
      <c r="P842" s="99" t="n"/>
      <c r="Q842" s="99" t="n"/>
      <c r="R842" s="99" t="n"/>
      <c r="S842" s="99" t="n"/>
      <c r="T842" s="99" t="n"/>
      <c r="U842" s="99" t="n"/>
      <c r="V842" s="99" t="n"/>
      <c r="W842" s="99" t="n"/>
      <c r="X842" s="99" t="n"/>
      <c r="Y842" s="99" t="n"/>
      <c r="Z842" s="99" t="n"/>
      <c r="AA842" s="99" t="n"/>
      <c r="AB842" s="99" t="n"/>
      <c r="AC842" s="99" t="n"/>
      <c r="AD842" s="99" t="n"/>
      <c r="AE842" s="99" t="n"/>
      <c r="AF842" s="99" t="n"/>
      <c r="AG842" s="99" t="n"/>
      <c r="AH842" s="99" t="n"/>
      <c r="AI842" s="99" t="n"/>
      <c r="AJ842" s="99" t="n"/>
      <c r="AK842" s="99" t="n"/>
      <c r="AL842" s="99" t="n"/>
      <c r="AM842" s="99" t="n"/>
      <c r="AN842" s="99" t="n"/>
      <c r="AO842" s="99" t="n"/>
      <c r="AP842" s="99" t="n"/>
      <c r="AQ842" s="99" t="n"/>
      <c r="AR842" s="99" t="n"/>
    </row>
    <row r="843">
      <c r="D843" s="99" t="n"/>
      <c r="E843" s="99" t="n"/>
      <c r="F843" s="99" t="n"/>
      <c r="G843" s="99" t="n"/>
      <c r="H843" s="99" t="n"/>
      <c r="I843" s="99" t="n"/>
      <c r="J843" s="99" t="n"/>
      <c r="K843" s="99" t="n"/>
      <c r="L843" s="99" t="n"/>
      <c r="M843" s="99" t="n"/>
      <c r="N843" s="99" t="n"/>
      <c r="O843" s="99" t="n"/>
      <c r="P843" s="99" t="n"/>
      <c r="Q843" s="99" t="n"/>
      <c r="R843" s="99" t="n"/>
      <c r="S843" s="99" t="n"/>
      <c r="T843" s="99" t="n"/>
      <c r="U843" s="99" t="n"/>
      <c r="V843" s="99" t="n"/>
      <c r="W843" s="99" t="n"/>
      <c r="X843" s="99" t="n"/>
      <c r="Y843" s="99" t="n"/>
      <c r="Z843" s="99" t="n"/>
      <c r="AA843" s="99" t="n"/>
      <c r="AB843" s="99" t="n"/>
      <c r="AC843" s="99" t="n"/>
      <c r="AD843" s="99" t="n"/>
      <c r="AE843" s="99" t="n"/>
      <c r="AF843" s="99" t="n"/>
      <c r="AG843" s="99" t="n"/>
      <c r="AH843" s="99" t="n"/>
      <c r="AI843" s="99" t="n"/>
      <c r="AJ843" s="99" t="n"/>
      <c r="AK843" s="99" t="n"/>
      <c r="AL843" s="99" t="n"/>
      <c r="AM843" s="99" t="n"/>
      <c r="AN843" s="99" t="n"/>
      <c r="AO843" s="99" t="n"/>
      <c r="AP843" s="99" t="n"/>
      <c r="AQ843" s="99" t="n"/>
      <c r="AR843" s="99" t="n"/>
    </row>
    <row r="844">
      <c r="D844" s="100" t="n"/>
      <c r="E844" s="100" t="n"/>
      <c r="F844" s="100" t="n"/>
      <c r="G844" s="100" t="n"/>
      <c r="H844" s="100" t="n"/>
      <c r="I844" s="100" t="n"/>
      <c r="J844" s="100" t="n"/>
      <c r="K844" s="100" t="n"/>
      <c r="L844" s="100" t="n"/>
      <c r="M844" s="100" t="n"/>
      <c r="N844" s="100" t="n"/>
      <c r="O844" s="100" t="n"/>
      <c r="P844" s="100" t="n"/>
      <c r="Q844" s="100" t="n"/>
      <c r="R844" s="100" t="n"/>
      <c r="S844" s="100" t="n"/>
      <c r="T844" s="100" t="n"/>
      <c r="U844" s="100" t="n"/>
      <c r="V844" s="100" t="n"/>
      <c r="W844" s="100" t="n"/>
      <c r="X844" s="100" t="n"/>
      <c r="Y844" s="100" t="n"/>
      <c r="Z844" s="100" t="n"/>
      <c r="AA844" s="100" t="n"/>
      <c r="AB844" s="100" t="n"/>
      <c r="AC844" s="100" t="n"/>
      <c r="AD844" s="100" t="n"/>
      <c r="AE844" s="100" t="n"/>
      <c r="AF844" s="100" t="n"/>
      <c r="AG844" s="100" t="n"/>
      <c r="AH844" s="100" t="n"/>
      <c r="AI844" s="100" t="n"/>
      <c r="AJ844" s="100" t="n"/>
      <c r="AK844" s="100" t="n"/>
      <c r="AL844" s="100" t="n"/>
      <c r="AM844" s="100" t="n"/>
      <c r="AN844" s="100" t="n"/>
      <c r="AO844" s="100" t="n"/>
      <c r="AP844" s="100" t="n"/>
      <c r="AQ844" s="100" t="n"/>
      <c r="AR844" s="100" t="n"/>
    </row>
    <row r="846">
      <c r="A846" s="6">
        <f>IF(HSI!$C$83="","",HSI!$C$83)</f>
        <v/>
      </c>
      <c r="B846" s="96">
        <f>IF($A846="",0,COUNT($E847:$AR847))</f>
        <v/>
      </c>
      <c r="C846" s="97">
        <f>IF($B846=0,0,MAX($E847:$AR847))</f>
        <v/>
      </c>
      <c r="D846" s="98">
        <f>BDS($A846,FLD_HIST,"headers=y","startcol=1","endcol=7","dir=h","DVD_START_DT",HIST_FROM,"DVD_END_DT",HIST_TO)</f>
        <v/>
      </c>
      <c r="E846" s="99" t="n"/>
      <c r="F846" s="99" t="n"/>
      <c r="G846" s="99" t="n"/>
      <c r="H846" s="99" t="n"/>
      <c r="I846" s="99" t="n"/>
      <c r="J846" s="99" t="n"/>
      <c r="K846" s="99" t="n"/>
      <c r="L846" s="99" t="n"/>
      <c r="M846" s="99" t="n"/>
      <c r="N846" s="99" t="n"/>
      <c r="O846" s="99" t="n"/>
      <c r="P846" s="99" t="n"/>
      <c r="Q846" s="99" t="n"/>
      <c r="R846" s="99" t="n"/>
      <c r="S846" s="99" t="n"/>
      <c r="T846" s="99" t="n"/>
      <c r="U846" s="99" t="n"/>
      <c r="V846" s="99" t="n"/>
      <c r="W846" s="99" t="n"/>
      <c r="X846" s="99" t="n"/>
      <c r="Y846" s="99" t="n"/>
      <c r="Z846" s="99" t="n"/>
      <c r="AA846" s="99" t="n"/>
      <c r="AB846" s="99" t="n"/>
      <c r="AC846" s="99" t="n"/>
      <c r="AD846" s="99" t="n"/>
      <c r="AE846" s="99" t="n"/>
      <c r="AF846" s="99" t="n"/>
      <c r="AG846" s="99" t="n"/>
      <c r="AH846" s="99" t="n"/>
      <c r="AI846" s="99" t="n"/>
      <c r="AJ846" s="99" t="n"/>
      <c r="AK846" s="99" t="n"/>
      <c r="AL846" s="99" t="n"/>
      <c r="AM846" s="99" t="n"/>
      <c r="AN846" s="99" t="n"/>
      <c r="AO846" s="99" t="n"/>
      <c r="AP846" s="99" t="n"/>
      <c r="AQ846" s="99" t="n"/>
      <c r="AR846" s="99" t="n"/>
    </row>
    <row r="847">
      <c r="D847" s="99" t="n"/>
      <c r="E847" s="99" t="n"/>
      <c r="F847" s="99" t="n"/>
      <c r="G847" s="99" t="n"/>
      <c r="H847" s="99" t="n"/>
      <c r="I847" s="99" t="n"/>
      <c r="J847" s="99" t="n"/>
      <c r="K847" s="99" t="n"/>
      <c r="L847" s="99" t="n"/>
      <c r="M847" s="99" t="n"/>
      <c r="N847" s="99" t="n"/>
      <c r="O847" s="99" t="n"/>
      <c r="P847" s="99" t="n"/>
      <c r="Q847" s="99" t="n"/>
      <c r="R847" s="99" t="n"/>
      <c r="S847" s="99" t="n"/>
      <c r="T847" s="99" t="n"/>
      <c r="U847" s="99" t="n"/>
      <c r="V847" s="99" t="n"/>
      <c r="W847" s="99" t="n"/>
      <c r="X847" s="99" t="n"/>
      <c r="Y847" s="99" t="n"/>
      <c r="Z847" s="99" t="n"/>
      <c r="AA847" s="99" t="n"/>
      <c r="AB847" s="99" t="n"/>
      <c r="AC847" s="99" t="n"/>
      <c r="AD847" s="99" t="n"/>
      <c r="AE847" s="99" t="n"/>
      <c r="AF847" s="99" t="n"/>
      <c r="AG847" s="99" t="n"/>
      <c r="AH847" s="99" t="n"/>
      <c r="AI847" s="99" t="n"/>
      <c r="AJ847" s="99" t="n"/>
      <c r="AK847" s="99" t="n"/>
      <c r="AL847" s="99" t="n"/>
      <c r="AM847" s="99" t="n"/>
      <c r="AN847" s="99" t="n"/>
      <c r="AO847" s="99" t="n"/>
      <c r="AP847" s="99" t="n"/>
      <c r="AQ847" s="99" t="n"/>
      <c r="AR847" s="99" t="n"/>
    </row>
    <row r="848">
      <c r="D848" s="99" t="n"/>
      <c r="E848" s="99" t="n"/>
      <c r="F848" s="99" t="n"/>
      <c r="G848" s="99" t="n"/>
      <c r="H848" s="99" t="n"/>
      <c r="I848" s="99" t="n"/>
      <c r="J848" s="99" t="n"/>
      <c r="K848" s="99" t="n"/>
      <c r="L848" s="99" t="n"/>
      <c r="M848" s="99" t="n"/>
      <c r="N848" s="99" t="n"/>
      <c r="O848" s="99" t="n"/>
      <c r="P848" s="99" t="n"/>
      <c r="Q848" s="99" t="n"/>
      <c r="R848" s="99" t="n"/>
      <c r="S848" s="99" t="n"/>
      <c r="T848" s="99" t="n"/>
      <c r="U848" s="99" t="n"/>
      <c r="V848" s="99" t="n"/>
      <c r="W848" s="99" t="n"/>
      <c r="X848" s="99" t="n"/>
      <c r="Y848" s="99" t="n"/>
      <c r="Z848" s="99" t="n"/>
      <c r="AA848" s="99" t="n"/>
      <c r="AB848" s="99" t="n"/>
      <c r="AC848" s="99" t="n"/>
      <c r="AD848" s="99" t="n"/>
      <c r="AE848" s="99" t="n"/>
      <c r="AF848" s="99" t="n"/>
      <c r="AG848" s="99" t="n"/>
      <c r="AH848" s="99" t="n"/>
      <c r="AI848" s="99" t="n"/>
      <c r="AJ848" s="99" t="n"/>
      <c r="AK848" s="99" t="n"/>
      <c r="AL848" s="99" t="n"/>
      <c r="AM848" s="99" t="n"/>
      <c r="AN848" s="99" t="n"/>
      <c r="AO848" s="99" t="n"/>
      <c r="AP848" s="99" t="n"/>
      <c r="AQ848" s="99" t="n"/>
      <c r="AR848" s="99" t="n"/>
    </row>
    <row r="849">
      <c r="D849" s="99" t="n"/>
      <c r="E849" s="99" t="n"/>
      <c r="F849" s="99" t="n"/>
      <c r="G849" s="99" t="n"/>
      <c r="H849" s="99" t="n"/>
      <c r="I849" s="99" t="n"/>
      <c r="J849" s="99" t="n"/>
      <c r="K849" s="99" t="n"/>
      <c r="L849" s="99" t="n"/>
      <c r="M849" s="99" t="n"/>
      <c r="N849" s="99" t="n"/>
      <c r="O849" s="99" t="n"/>
      <c r="P849" s="99" t="n"/>
      <c r="Q849" s="99" t="n"/>
      <c r="R849" s="99" t="n"/>
      <c r="S849" s="99" t="n"/>
      <c r="T849" s="99" t="n"/>
      <c r="U849" s="99" t="n"/>
      <c r="V849" s="99" t="n"/>
      <c r="W849" s="99" t="n"/>
      <c r="X849" s="99" t="n"/>
      <c r="Y849" s="99" t="n"/>
      <c r="Z849" s="99" t="n"/>
      <c r="AA849" s="99" t="n"/>
      <c r="AB849" s="99" t="n"/>
      <c r="AC849" s="99" t="n"/>
      <c r="AD849" s="99" t="n"/>
      <c r="AE849" s="99" t="n"/>
      <c r="AF849" s="99" t="n"/>
      <c r="AG849" s="99" t="n"/>
      <c r="AH849" s="99" t="n"/>
      <c r="AI849" s="99" t="n"/>
      <c r="AJ849" s="99" t="n"/>
      <c r="AK849" s="99" t="n"/>
      <c r="AL849" s="99" t="n"/>
      <c r="AM849" s="99" t="n"/>
      <c r="AN849" s="99" t="n"/>
      <c r="AO849" s="99" t="n"/>
      <c r="AP849" s="99" t="n"/>
      <c r="AQ849" s="99" t="n"/>
      <c r="AR849" s="99" t="n"/>
    </row>
    <row r="850">
      <c r="D850" s="100" t="n"/>
      <c r="E850" s="100" t="n"/>
      <c r="F850" s="100" t="n"/>
      <c r="G850" s="100" t="n"/>
      <c r="H850" s="100" t="n"/>
      <c r="I850" s="100" t="n"/>
      <c r="J850" s="100" t="n"/>
      <c r="K850" s="100" t="n"/>
      <c r="L850" s="100" t="n"/>
      <c r="M850" s="100" t="n"/>
      <c r="N850" s="100" t="n"/>
      <c r="O850" s="100" t="n"/>
      <c r="P850" s="100" t="n"/>
      <c r="Q850" s="100" t="n"/>
      <c r="R850" s="100" t="n"/>
      <c r="S850" s="100" t="n"/>
      <c r="T850" s="100" t="n"/>
      <c r="U850" s="100" t="n"/>
      <c r="V850" s="100" t="n"/>
      <c r="W850" s="100" t="n"/>
      <c r="X850" s="100" t="n"/>
      <c r="Y850" s="100" t="n"/>
      <c r="Z850" s="100" t="n"/>
      <c r="AA850" s="100" t="n"/>
      <c r="AB850" s="100" t="n"/>
      <c r="AC850" s="100" t="n"/>
      <c r="AD850" s="100" t="n"/>
      <c r="AE850" s="100" t="n"/>
      <c r="AF850" s="100" t="n"/>
      <c r="AG850" s="100" t="n"/>
      <c r="AH850" s="100" t="n"/>
      <c r="AI850" s="100" t="n"/>
      <c r="AJ850" s="100" t="n"/>
      <c r="AK850" s="100" t="n"/>
      <c r="AL850" s="100" t="n"/>
      <c r="AM850" s="100" t="n"/>
      <c r="AN850" s="100" t="n"/>
      <c r="AO850" s="100" t="n"/>
      <c r="AP850" s="100" t="n"/>
      <c r="AQ850" s="100" t="n"/>
      <c r="AR850" s="100" t="n"/>
    </row>
    <row r="853">
      <c r="A853" s="2">
        <f>IF($A846="","","   projections")</f>
        <v/>
      </c>
      <c r="B853" s="96">
        <f>IF($A846="",0,COUNT($E854:$AR854))</f>
        <v/>
      </c>
      <c r="C853" s="97">
        <f>IF($B853=0,0,MAX($E854:$AR854))</f>
        <v/>
      </c>
      <c r="D853" s="98">
        <f>BDS($A846,FLD_PROJ,"headers=y","startcol=1","endcol=3","dir=h")</f>
        <v/>
      </c>
      <c r="E853" s="99" t="n"/>
      <c r="F853" s="99" t="n"/>
      <c r="G853" s="99" t="n"/>
      <c r="H853" s="99" t="n"/>
      <c r="I853" s="99" t="n"/>
      <c r="J853" s="99" t="n"/>
      <c r="K853" s="99" t="n"/>
      <c r="L853" s="99" t="n"/>
      <c r="M853" s="99" t="n"/>
      <c r="N853" s="99" t="n"/>
      <c r="O853" s="99" t="n"/>
      <c r="P853" s="99" t="n"/>
      <c r="Q853" s="99" t="n"/>
      <c r="R853" s="99" t="n"/>
      <c r="S853" s="99" t="n"/>
      <c r="T853" s="99" t="n"/>
      <c r="U853" s="99" t="n"/>
      <c r="V853" s="99" t="n"/>
      <c r="W853" s="99" t="n"/>
      <c r="X853" s="99" t="n"/>
      <c r="Y853" s="99" t="n"/>
      <c r="Z853" s="99" t="n"/>
      <c r="AA853" s="99" t="n"/>
      <c r="AB853" s="99" t="n"/>
      <c r="AC853" s="99" t="n"/>
      <c r="AD853" s="99" t="n"/>
      <c r="AE853" s="99" t="n"/>
      <c r="AF853" s="99" t="n"/>
      <c r="AG853" s="99" t="n"/>
      <c r="AH853" s="99" t="n"/>
      <c r="AI853" s="99" t="n"/>
      <c r="AJ853" s="99" t="n"/>
      <c r="AK853" s="99" t="n"/>
      <c r="AL853" s="99" t="n"/>
      <c r="AM853" s="99" t="n"/>
      <c r="AN853" s="99" t="n"/>
      <c r="AO853" s="99" t="n"/>
      <c r="AP853" s="99" t="n"/>
      <c r="AQ853" s="99" t="n"/>
      <c r="AR853" s="99" t="n"/>
    </row>
    <row r="854">
      <c r="D854" s="99" t="n"/>
      <c r="E854" s="99" t="n"/>
      <c r="F854" s="99" t="n"/>
      <c r="G854" s="99" t="n"/>
      <c r="H854" s="99" t="n"/>
      <c r="I854" s="99" t="n"/>
      <c r="J854" s="99" t="n"/>
      <c r="K854" s="99" t="n"/>
      <c r="L854" s="99" t="n"/>
      <c r="M854" s="99" t="n"/>
      <c r="N854" s="99" t="n"/>
      <c r="O854" s="99" t="n"/>
      <c r="P854" s="99" t="n"/>
      <c r="Q854" s="99" t="n"/>
      <c r="R854" s="99" t="n"/>
      <c r="S854" s="99" t="n"/>
      <c r="T854" s="99" t="n"/>
      <c r="U854" s="99" t="n"/>
      <c r="V854" s="99" t="n"/>
      <c r="W854" s="99" t="n"/>
      <c r="X854" s="99" t="n"/>
      <c r="Y854" s="99" t="n"/>
      <c r="Z854" s="99" t="n"/>
      <c r="AA854" s="99" t="n"/>
      <c r="AB854" s="99" t="n"/>
      <c r="AC854" s="99" t="n"/>
      <c r="AD854" s="99" t="n"/>
      <c r="AE854" s="99" t="n"/>
      <c r="AF854" s="99" t="n"/>
      <c r="AG854" s="99" t="n"/>
      <c r="AH854" s="99" t="n"/>
      <c r="AI854" s="99" t="n"/>
      <c r="AJ854" s="99" t="n"/>
      <c r="AK854" s="99" t="n"/>
      <c r="AL854" s="99" t="n"/>
      <c r="AM854" s="99" t="n"/>
      <c r="AN854" s="99" t="n"/>
      <c r="AO854" s="99" t="n"/>
      <c r="AP854" s="99" t="n"/>
      <c r="AQ854" s="99" t="n"/>
      <c r="AR854" s="99" t="n"/>
    </row>
    <row r="855">
      <c r="D855" s="100" t="n"/>
      <c r="E855" s="100" t="n"/>
      <c r="F855" s="100" t="n"/>
      <c r="G855" s="100" t="n"/>
      <c r="H855" s="100" t="n"/>
      <c r="I855" s="100" t="n"/>
      <c r="J855" s="100" t="n"/>
      <c r="K855" s="100" t="n"/>
      <c r="L855" s="100" t="n"/>
      <c r="M855" s="100" t="n"/>
      <c r="N855" s="100" t="n"/>
      <c r="O855" s="100" t="n"/>
      <c r="P855" s="100" t="n"/>
      <c r="Q855" s="100" t="n"/>
      <c r="R855" s="100" t="n"/>
      <c r="S855" s="100" t="n"/>
      <c r="T855" s="100" t="n"/>
      <c r="U855" s="100" t="n"/>
      <c r="V855" s="100" t="n"/>
      <c r="W855" s="100" t="n"/>
      <c r="X855" s="100" t="n"/>
      <c r="Y855" s="100" t="n"/>
      <c r="Z855" s="100" t="n"/>
      <c r="AA855" s="100" t="n"/>
      <c r="AB855" s="100" t="n"/>
      <c r="AC855" s="100" t="n"/>
      <c r="AD855" s="100" t="n"/>
      <c r="AE855" s="100" t="n"/>
      <c r="AF855" s="100" t="n"/>
      <c r="AG855" s="100" t="n"/>
      <c r="AH855" s="100" t="n"/>
      <c r="AI855" s="100" t="n"/>
      <c r="AJ855" s="100" t="n"/>
      <c r="AK855" s="100" t="n"/>
      <c r="AL855" s="100" t="n"/>
      <c r="AM855" s="100" t="n"/>
      <c r="AN855" s="100" t="n"/>
      <c r="AO855" s="100" t="n"/>
      <c r="AP855" s="100" t="n"/>
      <c r="AQ855" s="100" t="n"/>
      <c r="AR855" s="100" t="n"/>
    </row>
    <row r="857">
      <c r="A857" s="6">
        <f>IF(HSI!$C$84="","",HSI!$C$84)</f>
        <v/>
      </c>
      <c r="B857" s="96">
        <f>IF($A857="",0,COUNT($E858:$AR858))</f>
        <v/>
      </c>
      <c r="C857" s="97">
        <f>IF($B857=0,0,MAX($E858:$AR858))</f>
        <v/>
      </c>
      <c r="D857" s="98">
        <f>BDS($A857,FLD_HIST,"headers=y","startcol=1","endcol=7","dir=h","DVD_START_DT",HIST_FROM,"DVD_END_DT",HIST_TO)</f>
        <v/>
      </c>
      <c r="E857" s="99" t="n"/>
      <c r="F857" s="99" t="n"/>
      <c r="G857" s="99" t="n"/>
      <c r="H857" s="99" t="n"/>
      <c r="I857" s="99" t="n"/>
      <c r="J857" s="99" t="n"/>
      <c r="K857" s="99" t="n"/>
      <c r="L857" s="99" t="n"/>
      <c r="M857" s="99" t="n"/>
      <c r="N857" s="99" t="n"/>
      <c r="O857" s="99" t="n"/>
      <c r="P857" s="99" t="n"/>
      <c r="Q857" s="99" t="n"/>
      <c r="R857" s="99" t="n"/>
      <c r="S857" s="99" t="n"/>
      <c r="T857" s="99" t="n"/>
      <c r="U857" s="99" t="n"/>
      <c r="V857" s="99" t="n"/>
      <c r="W857" s="99" t="n"/>
      <c r="X857" s="99" t="n"/>
      <c r="Y857" s="99" t="n"/>
      <c r="Z857" s="99" t="n"/>
      <c r="AA857" s="99" t="n"/>
      <c r="AB857" s="99" t="n"/>
      <c r="AC857" s="99" t="n"/>
      <c r="AD857" s="99" t="n"/>
      <c r="AE857" s="99" t="n"/>
      <c r="AF857" s="99" t="n"/>
      <c r="AG857" s="99" t="n"/>
      <c r="AH857" s="99" t="n"/>
      <c r="AI857" s="99" t="n"/>
      <c r="AJ857" s="99" t="n"/>
      <c r="AK857" s="99" t="n"/>
      <c r="AL857" s="99" t="n"/>
      <c r="AM857" s="99" t="n"/>
      <c r="AN857" s="99" t="n"/>
      <c r="AO857" s="99" t="n"/>
      <c r="AP857" s="99" t="n"/>
      <c r="AQ857" s="99" t="n"/>
      <c r="AR857" s="99" t="n"/>
    </row>
    <row r="858">
      <c r="D858" s="99" t="n"/>
      <c r="E858" s="99" t="n"/>
      <c r="F858" s="99" t="n"/>
      <c r="G858" s="99" t="n"/>
      <c r="H858" s="99" t="n"/>
      <c r="I858" s="99" t="n"/>
      <c r="J858" s="99" t="n"/>
      <c r="K858" s="99" t="n"/>
      <c r="L858" s="99" t="n"/>
      <c r="M858" s="99" t="n"/>
      <c r="N858" s="99" t="n"/>
      <c r="O858" s="99" t="n"/>
      <c r="P858" s="99" t="n"/>
      <c r="Q858" s="99" t="n"/>
      <c r="R858" s="99" t="n"/>
      <c r="S858" s="99" t="n"/>
      <c r="T858" s="99" t="n"/>
      <c r="U858" s="99" t="n"/>
      <c r="V858" s="99" t="n"/>
      <c r="W858" s="99" t="n"/>
      <c r="X858" s="99" t="n"/>
      <c r="Y858" s="99" t="n"/>
      <c r="Z858" s="99" t="n"/>
      <c r="AA858" s="99" t="n"/>
      <c r="AB858" s="99" t="n"/>
      <c r="AC858" s="99" t="n"/>
      <c r="AD858" s="99" t="n"/>
      <c r="AE858" s="99" t="n"/>
      <c r="AF858" s="99" t="n"/>
      <c r="AG858" s="99" t="n"/>
      <c r="AH858" s="99" t="n"/>
      <c r="AI858" s="99" t="n"/>
      <c r="AJ858" s="99" t="n"/>
      <c r="AK858" s="99" t="n"/>
      <c r="AL858" s="99" t="n"/>
      <c r="AM858" s="99" t="n"/>
      <c r="AN858" s="99" t="n"/>
      <c r="AO858" s="99" t="n"/>
      <c r="AP858" s="99" t="n"/>
      <c r="AQ858" s="99" t="n"/>
      <c r="AR858" s="99" t="n"/>
    </row>
    <row r="859">
      <c r="D859" s="99" t="n"/>
      <c r="E859" s="99" t="n"/>
      <c r="F859" s="99" t="n"/>
      <c r="G859" s="99" t="n"/>
      <c r="H859" s="99" t="n"/>
      <c r="I859" s="99" t="n"/>
      <c r="J859" s="99" t="n"/>
      <c r="K859" s="99" t="n"/>
      <c r="L859" s="99" t="n"/>
      <c r="M859" s="99" t="n"/>
      <c r="N859" s="99" t="n"/>
      <c r="O859" s="99" t="n"/>
      <c r="P859" s="99" t="n"/>
      <c r="Q859" s="99" t="n"/>
      <c r="R859" s="99" t="n"/>
      <c r="S859" s="99" t="n"/>
      <c r="T859" s="99" t="n"/>
      <c r="U859" s="99" t="n"/>
      <c r="V859" s="99" t="n"/>
      <c r="W859" s="99" t="n"/>
      <c r="X859" s="99" t="n"/>
      <c r="Y859" s="99" t="n"/>
      <c r="Z859" s="99" t="n"/>
      <c r="AA859" s="99" t="n"/>
      <c r="AB859" s="99" t="n"/>
      <c r="AC859" s="99" t="n"/>
      <c r="AD859" s="99" t="n"/>
      <c r="AE859" s="99" t="n"/>
      <c r="AF859" s="99" t="n"/>
      <c r="AG859" s="99" t="n"/>
      <c r="AH859" s="99" t="n"/>
      <c r="AI859" s="99" t="n"/>
      <c r="AJ859" s="99" t="n"/>
      <c r="AK859" s="99" t="n"/>
      <c r="AL859" s="99" t="n"/>
      <c r="AM859" s="99" t="n"/>
      <c r="AN859" s="99" t="n"/>
      <c r="AO859" s="99" t="n"/>
      <c r="AP859" s="99" t="n"/>
      <c r="AQ859" s="99" t="n"/>
      <c r="AR859" s="99" t="n"/>
    </row>
    <row r="860">
      <c r="D860" s="99" t="n"/>
      <c r="E860" s="99" t="n"/>
      <c r="F860" s="99" t="n"/>
      <c r="G860" s="99" t="n"/>
      <c r="H860" s="99" t="n"/>
      <c r="I860" s="99" t="n"/>
      <c r="J860" s="99" t="n"/>
      <c r="K860" s="99" t="n"/>
      <c r="L860" s="99" t="n"/>
      <c r="M860" s="99" t="n"/>
      <c r="N860" s="99" t="n"/>
      <c r="O860" s="99" t="n"/>
      <c r="P860" s="99" t="n"/>
      <c r="Q860" s="99" t="n"/>
      <c r="R860" s="99" t="n"/>
      <c r="S860" s="99" t="n"/>
      <c r="T860" s="99" t="n"/>
      <c r="U860" s="99" t="n"/>
      <c r="V860" s="99" t="n"/>
      <c r="W860" s="99" t="n"/>
      <c r="X860" s="99" t="n"/>
      <c r="Y860" s="99" t="n"/>
      <c r="Z860" s="99" t="n"/>
      <c r="AA860" s="99" t="n"/>
      <c r="AB860" s="99" t="n"/>
      <c r="AC860" s="99" t="n"/>
      <c r="AD860" s="99" t="n"/>
      <c r="AE860" s="99" t="n"/>
      <c r="AF860" s="99" t="n"/>
      <c r="AG860" s="99" t="n"/>
      <c r="AH860" s="99" t="n"/>
      <c r="AI860" s="99" t="n"/>
      <c r="AJ860" s="99" t="n"/>
      <c r="AK860" s="99" t="n"/>
      <c r="AL860" s="99" t="n"/>
      <c r="AM860" s="99" t="n"/>
      <c r="AN860" s="99" t="n"/>
      <c r="AO860" s="99" t="n"/>
      <c r="AP860" s="99" t="n"/>
      <c r="AQ860" s="99" t="n"/>
      <c r="AR860" s="99" t="n"/>
    </row>
    <row r="861">
      <c r="D861" s="100" t="n"/>
      <c r="E861" s="100" t="n"/>
      <c r="F861" s="100" t="n"/>
      <c r="G861" s="100" t="n"/>
      <c r="H861" s="100" t="n"/>
      <c r="I861" s="100" t="n"/>
      <c r="J861" s="100" t="n"/>
      <c r="K861" s="100" t="n"/>
      <c r="L861" s="100" t="n"/>
      <c r="M861" s="100" t="n"/>
      <c r="N861" s="100" t="n"/>
      <c r="O861" s="100" t="n"/>
      <c r="P861" s="100" t="n"/>
      <c r="Q861" s="100" t="n"/>
      <c r="R861" s="100" t="n"/>
      <c r="S861" s="100" t="n"/>
      <c r="T861" s="100" t="n"/>
      <c r="U861" s="100" t="n"/>
      <c r="V861" s="100" t="n"/>
      <c r="W861" s="100" t="n"/>
      <c r="X861" s="100" t="n"/>
      <c r="Y861" s="100" t="n"/>
      <c r="Z861" s="100" t="n"/>
      <c r="AA861" s="100" t="n"/>
      <c r="AB861" s="100" t="n"/>
      <c r="AC861" s="100" t="n"/>
      <c r="AD861" s="100" t="n"/>
      <c r="AE861" s="100" t="n"/>
      <c r="AF861" s="100" t="n"/>
      <c r="AG861" s="100" t="n"/>
      <c r="AH861" s="100" t="n"/>
      <c r="AI861" s="100" t="n"/>
      <c r="AJ861" s="100" t="n"/>
      <c r="AK861" s="100" t="n"/>
      <c r="AL861" s="100" t="n"/>
      <c r="AM861" s="100" t="n"/>
      <c r="AN861" s="100" t="n"/>
      <c r="AO861" s="100" t="n"/>
      <c r="AP861" s="100" t="n"/>
      <c r="AQ861" s="100" t="n"/>
      <c r="AR861" s="100" t="n"/>
    </row>
    <row r="864">
      <c r="A864" s="2">
        <f>IF($A857="","","   projections")</f>
        <v/>
      </c>
      <c r="B864" s="96">
        <f>IF($A857="",0,COUNT($E865:$AR865))</f>
        <v/>
      </c>
      <c r="C864" s="97">
        <f>IF($B864=0,0,MAX($E865:$AR865))</f>
        <v/>
      </c>
      <c r="D864" s="98">
        <f>BDS($A857,FLD_PROJ,"headers=y","startcol=1","endcol=3","dir=h")</f>
        <v/>
      </c>
      <c r="E864" s="99" t="n"/>
      <c r="F864" s="99" t="n"/>
      <c r="G864" s="99" t="n"/>
      <c r="H864" s="99" t="n"/>
      <c r="I864" s="99" t="n"/>
      <c r="J864" s="99" t="n"/>
      <c r="K864" s="99" t="n"/>
      <c r="L864" s="99" t="n"/>
      <c r="M864" s="99" t="n"/>
      <c r="N864" s="99" t="n"/>
      <c r="O864" s="99" t="n"/>
      <c r="P864" s="99" t="n"/>
      <c r="Q864" s="99" t="n"/>
      <c r="R864" s="99" t="n"/>
      <c r="S864" s="99" t="n"/>
      <c r="T864" s="99" t="n"/>
      <c r="U864" s="99" t="n"/>
      <c r="V864" s="99" t="n"/>
      <c r="W864" s="99" t="n"/>
      <c r="X864" s="99" t="n"/>
      <c r="Y864" s="99" t="n"/>
      <c r="Z864" s="99" t="n"/>
      <c r="AA864" s="99" t="n"/>
      <c r="AB864" s="99" t="n"/>
      <c r="AC864" s="99" t="n"/>
      <c r="AD864" s="99" t="n"/>
      <c r="AE864" s="99" t="n"/>
      <c r="AF864" s="99" t="n"/>
      <c r="AG864" s="99" t="n"/>
      <c r="AH864" s="99" t="n"/>
      <c r="AI864" s="99" t="n"/>
      <c r="AJ864" s="99" t="n"/>
      <c r="AK864" s="99" t="n"/>
      <c r="AL864" s="99" t="n"/>
      <c r="AM864" s="99" t="n"/>
      <c r="AN864" s="99" t="n"/>
      <c r="AO864" s="99" t="n"/>
      <c r="AP864" s="99" t="n"/>
      <c r="AQ864" s="99" t="n"/>
      <c r="AR864" s="99" t="n"/>
    </row>
    <row r="865">
      <c r="D865" s="99" t="n"/>
      <c r="E865" s="99" t="n"/>
      <c r="F865" s="99" t="n"/>
      <c r="G865" s="99" t="n"/>
      <c r="H865" s="99" t="n"/>
      <c r="I865" s="99" t="n"/>
      <c r="J865" s="99" t="n"/>
      <c r="K865" s="99" t="n"/>
      <c r="L865" s="99" t="n"/>
      <c r="M865" s="99" t="n"/>
      <c r="N865" s="99" t="n"/>
      <c r="O865" s="99" t="n"/>
      <c r="P865" s="99" t="n"/>
      <c r="Q865" s="99" t="n"/>
      <c r="R865" s="99" t="n"/>
      <c r="S865" s="99" t="n"/>
      <c r="T865" s="99" t="n"/>
      <c r="U865" s="99" t="n"/>
      <c r="V865" s="99" t="n"/>
      <c r="W865" s="99" t="n"/>
      <c r="X865" s="99" t="n"/>
      <c r="Y865" s="99" t="n"/>
      <c r="Z865" s="99" t="n"/>
      <c r="AA865" s="99" t="n"/>
      <c r="AB865" s="99" t="n"/>
      <c r="AC865" s="99" t="n"/>
      <c r="AD865" s="99" t="n"/>
      <c r="AE865" s="99" t="n"/>
      <c r="AF865" s="99" t="n"/>
      <c r="AG865" s="99" t="n"/>
      <c r="AH865" s="99" t="n"/>
      <c r="AI865" s="99" t="n"/>
      <c r="AJ865" s="99" t="n"/>
      <c r="AK865" s="99" t="n"/>
      <c r="AL865" s="99" t="n"/>
      <c r="AM865" s="99" t="n"/>
      <c r="AN865" s="99" t="n"/>
      <c r="AO865" s="99" t="n"/>
      <c r="AP865" s="99" t="n"/>
      <c r="AQ865" s="99" t="n"/>
      <c r="AR865" s="99" t="n"/>
    </row>
    <row r="866">
      <c r="D866" s="100" t="n"/>
      <c r="E866" s="100" t="n"/>
      <c r="F866" s="100" t="n"/>
      <c r="G866" s="100" t="n"/>
      <c r="H866" s="100" t="n"/>
      <c r="I866" s="100" t="n"/>
      <c r="J866" s="100" t="n"/>
      <c r="K866" s="100" t="n"/>
      <c r="L866" s="100" t="n"/>
      <c r="M866" s="100" t="n"/>
      <c r="N866" s="100" t="n"/>
      <c r="O866" s="100" t="n"/>
      <c r="P866" s="100" t="n"/>
      <c r="Q866" s="100" t="n"/>
      <c r="R866" s="100" t="n"/>
      <c r="S866" s="100" t="n"/>
      <c r="T866" s="100" t="n"/>
      <c r="U866" s="100" t="n"/>
      <c r="V866" s="100" t="n"/>
      <c r="W866" s="100" t="n"/>
      <c r="X866" s="100" t="n"/>
      <c r="Y866" s="100" t="n"/>
      <c r="Z866" s="100" t="n"/>
      <c r="AA866" s="100" t="n"/>
      <c r="AB866" s="100" t="n"/>
      <c r="AC866" s="100" t="n"/>
      <c r="AD866" s="100" t="n"/>
      <c r="AE866" s="100" t="n"/>
      <c r="AF866" s="100" t="n"/>
      <c r="AG866" s="100" t="n"/>
      <c r="AH866" s="100" t="n"/>
      <c r="AI866" s="100" t="n"/>
      <c r="AJ866" s="100" t="n"/>
      <c r="AK866" s="100" t="n"/>
      <c r="AL866" s="100" t="n"/>
      <c r="AM866" s="100" t="n"/>
      <c r="AN866" s="100" t="n"/>
      <c r="AO866" s="100" t="n"/>
      <c r="AP866" s="100" t="n"/>
      <c r="AQ866" s="100" t="n"/>
      <c r="AR866" s="100" t="n"/>
    </row>
    <row r="868">
      <c r="A868" s="6">
        <f>IF(HSI!$C$85="","",HSI!$C$85)</f>
        <v/>
      </c>
      <c r="B868" s="96">
        <f>IF($A868="",0,COUNT($E869:$AR869))</f>
        <v/>
      </c>
      <c r="C868" s="97">
        <f>IF($B868=0,0,MAX($E869:$AR869))</f>
        <v/>
      </c>
      <c r="D868" s="98">
        <f>BDS($A868,FLD_HIST,"headers=y","startcol=1","endcol=7","dir=h","DVD_START_DT",HIST_FROM,"DVD_END_DT",HIST_TO)</f>
        <v/>
      </c>
      <c r="E868" s="99" t="n"/>
      <c r="F868" s="99" t="n"/>
      <c r="G868" s="99" t="n"/>
      <c r="H868" s="99" t="n"/>
      <c r="I868" s="99" t="n"/>
      <c r="J868" s="99" t="n"/>
      <c r="K868" s="99" t="n"/>
      <c r="L868" s="99" t="n"/>
      <c r="M868" s="99" t="n"/>
      <c r="N868" s="99" t="n"/>
      <c r="O868" s="99" t="n"/>
      <c r="P868" s="99" t="n"/>
      <c r="Q868" s="99" t="n"/>
      <c r="R868" s="99" t="n"/>
      <c r="S868" s="99" t="n"/>
      <c r="T868" s="99" t="n"/>
      <c r="U868" s="99" t="n"/>
      <c r="V868" s="99" t="n"/>
      <c r="W868" s="99" t="n"/>
      <c r="X868" s="99" t="n"/>
      <c r="Y868" s="99" t="n"/>
      <c r="Z868" s="99" t="n"/>
      <c r="AA868" s="99" t="n"/>
      <c r="AB868" s="99" t="n"/>
      <c r="AC868" s="99" t="n"/>
      <c r="AD868" s="99" t="n"/>
      <c r="AE868" s="99" t="n"/>
      <c r="AF868" s="99" t="n"/>
      <c r="AG868" s="99" t="n"/>
      <c r="AH868" s="99" t="n"/>
      <c r="AI868" s="99" t="n"/>
      <c r="AJ868" s="99" t="n"/>
      <c r="AK868" s="99" t="n"/>
      <c r="AL868" s="99" t="n"/>
      <c r="AM868" s="99" t="n"/>
      <c r="AN868" s="99" t="n"/>
      <c r="AO868" s="99" t="n"/>
      <c r="AP868" s="99" t="n"/>
      <c r="AQ868" s="99" t="n"/>
      <c r="AR868" s="99" t="n"/>
    </row>
    <row r="869">
      <c r="D869" s="99" t="n"/>
      <c r="E869" s="99" t="n"/>
      <c r="F869" s="99" t="n"/>
      <c r="G869" s="99" t="n"/>
      <c r="H869" s="99" t="n"/>
      <c r="I869" s="99" t="n"/>
      <c r="J869" s="99" t="n"/>
      <c r="K869" s="99" t="n"/>
      <c r="L869" s="99" t="n"/>
      <c r="M869" s="99" t="n"/>
      <c r="N869" s="99" t="n"/>
      <c r="O869" s="99" t="n"/>
      <c r="P869" s="99" t="n"/>
      <c r="Q869" s="99" t="n"/>
      <c r="R869" s="99" t="n"/>
      <c r="S869" s="99" t="n"/>
      <c r="T869" s="99" t="n"/>
      <c r="U869" s="99" t="n"/>
      <c r="V869" s="99" t="n"/>
      <c r="W869" s="99" t="n"/>
      <c r="X869" s="99" t="n"/>
      <c r="Y869" s="99" t="n"/>
      <c r="Z869" s="99" t="n"/>
      <c r="AA869" s="99" t="n"/>
      <c r="AB869" s="99" t="n"/>
      <c r="AC869" s="99" t="n"/>
      <c r="AD869" s="99" t="n"/>
      <c r="AE869" s="99" t="n"/>
      <c r="AF869" s="99" t="n"/>
      <c r="AG869" s="99" t="n"/>
      <c r="AH869" s="99" t="n"/>
      <c r="AI869" s="99" t="n"/>
      <c r="AJ869" s="99" t="n"/>
      <c r="AK869" s="99" t="n"/>
      <c r="AL869" s="99" t="n"/>
      <c r="AM869" s="99" t="n"/>
      <c r="AN869" s="99" t="n"/>
      <c r="AO869" s="99" t="n"/>
      <c r="AP869" s="99" t="n"/>
      <c r="AQ869" s="99" t="n"/>
      <c r="AR869" s="99" t="n"/>
    </row>
    <row r="870">
      <c r="D870" s="99" t="n"/>
      <c r="E870" s="99" t="n"/>
      <c r="F870" s="99" t="n"/>
      <c r="G870" s="99" t="n"/>
      <c r="H870" s="99" t="n"/>
      <c r="I870" s="99" t="n"/>
      <c r="J870" s="99" t="n"/>
      <c r="K870" s="99" t="n"/>
      <c r="L870" s="99" t="n"/>
      <c r="M870" s="99" t="n"/>
      <c r="N870" s="99" t="n"/>
      <c r="O870" s="99" t="n"/>
      <c r="P870" s="99" t="n"/>
      <c r="Q870" s="99" t="n"/>
      <c r="R870" s="99" t="n"/>
      <c r="S870" s="99" t="n"/>
      <c r="T870" s="99" t="n"/>
      <c r="U870" s="99" t="n"/>
      <c r="V870" s="99" t="n"/>
      <c r="W870" s="99" t="n"/>
      <c r="X870" s="99" t="n"/>
      <c r="Y870" s="99" t="n"/>
      <c r="Z870" s="99" t="n"/>
      <c r="AA870" s="99" t="n"/>
      <c r="AB870" s="99" t="n"/>
      <c r="AC870" s="99" t="n"/>
      <c r="AD870" s="99" t="n"/>
      <c r="AE870" s="99" t="n"/>
      <c r="AF870" s="99" t="n"/>
      <c r="AG870" s="99" t="n"/>
      <c r="AH870" s="99" t="n"/>
      <c r="AI870" s="99" t="n"/>
      <c r="AJ870" s="99" t="n"/>
      <c r="AK870" s="99" t="n"/>
      <c r="AL870" s="99" t="n"/>
      <c r="AM870" s="99" t="n"/>
      <c r="AN870" s="99" t="n"/>
      <c r="AO870" s="99" t="n"/>
      <c r="AP870" s="99" t="n"/>
      <c r="AQ870" s="99" t="n"/>
      <c r="AR870" s="99" t="n"/>
    </row>
    <row r="871">
      <c r="D871" s="99" t="n"/>
      <c r="E871" s="99" t="n"/>
      <c r="F871" s="99" t="n"/>
      <c r="G871" s="99" t="n"/>
      <c r="H871" s="99" t="n"/>
      <c r="I871" s="99" t="n"/>
      <c r="J871" s="99" t="n"/>
      <c r="K871" s="99" t="n"/>
      <c r="L871" s="99" t="n"/>
      <c r="M871" s="99" t="n"/>
      <c r="N871" s="99" t="n"/>
      <c r="O871" s="99" t="n"/>
      <c r="P871" s="99" t="n"/>
      <c r="Q871" s="99" t="n"/>
      <c r="R871" s="99" t="n"/>
      <c r="S871" s="99" t="n"/>
      <c r="T871" s="99" t="n"/>
      <c r="U871" s="99" t="n"/>
      <c r="V871" s="99" t="n"/>
      <c r="W871" s="99" t="n"/>
      <c r="X871" s="99" t="n"/>
      <c r="Y871" s="99" t="n"/>
      <c r="Z871" s="99" t="n"/>
      <c r="AA871" s="99" t="n"/>
      <c r="AB871" s="99" t="n"/>
      <c r="AC871" s="99" t="n"/>
      <c r="AD871" s="99" t="n"/>
      <c r="AE871" s="99" t="n"/>
      <c r="AF871" s="99" t="n"/>
      <c r="AG871" s="99" t="n"/>
      <c r="AH871" s="99" t="n"/>
      <c r="AI871" s="99" t="n"/>
      <c r="AJ871" s="99" t="n"/>
      <c r="AK871" s="99" t="n"/>
      <c r="AL871" s="99" t="n"/>
      <c r="AM871" s="99" t="n"/>
      <c r="AN871" s="99" t="n"/>
      <c r="AO871" s="99" t="n"/>
      <c r="AP871" s="99" t="n"/>
      <c r="AQ871" s="99" t="n"/>
      <c r="AR871" s="99" t="n"/>
    </row>
    <row r="872">
      <c r="D872" s="100" t="n"/>
      <c r="E872" s="100" t="n"/>
      <c r="F872" s="100" t="n"/>
      <c r="G872" s="100" t="n"/>
      <c r="H872" s="100" t="n"/>
      <c r="I872" s="100" t="n"/>
      <c r="J872" s="100" t="n"/>
      <c r="K872" s="100" t="n"/>
      <c r="L872" s="100" t="n"/>
      <c r="M872" s="100" t="n"/>
      <c r="N872" s="100" t="n"/>
      <c r="O872" s="100" t="n"/>
      <c r="P872" s="100" t="n"/>
      <c r="Q872" s="100" t="n"/>
      <c r="R872" s="100" t="n"/>
      <c r="S872" s="100" t="n"/>
      <c r="T872" s="100" t="n"/>
      <c r="U872" s="100" t="n"/>
      <c r="V872" s="100" t="n"/>
      <c r="W872" s="100" t="n"/>
      <c r="X872" s="100" t="n"/>
      <c r="Y872" s="100" t="n"/>
      <c r="Z872" s="100" t="n"/>
      <c r="AA872" s="100" t="n"/>
      <c r="AB872" s="100" t="n"/>
      <c r="AC872" s="100" t="n"/>
      <c r="AD872" s="100" t="n"/>
      <c r="AE872" s="100" t="n"/>
      <c r="AF872" s="100" t="n"/>
      <c r="AG872" s="100" t="n"/>
      <c r="AH872" s="100" t="n"/>
      <c r="AI872" s="100" t="n"/>
      <c r="AJ872" s="100" t="n"/>
      <c r="AK872" s="100" t="n"/>
      <c r="AL872" s="100" t="n"/>
      <c r="AM872" s="100" t="n"/>
      <c r="AN872" s="100" t="n"/>
      <c r="AO872" s="100" t="n"/>
      <c r="AP872" s="100" t="n"/>
      <c r="AQ872" s="100" t="n"/>
      <c r="AR872" s="100" t="n"/>
    </row>
    <row r="875">
      <c r="A875" s="2">
        <f>IF($A868="","","   projections")</f>
        <v/>
      </c>
      <c r="B875" s="96">
        <f>IF($A868="",0,COUNT($E876:$AR876))</f>
        <v/>
      </c>
      <c r="C875" s="97">
        <f>IF($B875=0,0,MAX($E876:$AR876))</f>
        <v/>
      </c>
      <c r="D875" s="98">
        <f>BDS($A868,FLD_PROJ,"headers=y","startcol=1","endcol=3","dir=h")</f>
        <v/>
      </c>
      <c r="E875" s="99" t="n"/>
      <c r="F875" s="99" t="n"/>
      <c r="G875" s="99" t="n"/>
      <c r="H875" s="99" t="n"/>
      <c r="I875" s="99" t="n"/>
      <c r="J875" s="99" t="n"/>
      <c r="K875" s="99" t="n"/>
      <c r="L875" s="99" t="n"/>
      <c r="M875" s="99" t="n"/>
      <c r="N875" s="99" t="n"/>
      <c r="O875" s="99" t="n"/>
      <c r="P875" s="99" t="n"/>
      <c r="Q875" s="99" t="n"/>
      <c r="R875" s="99" t="n"/>
      <c r="S875" s="99" t="n"/>
      <c r="T875" s="99" t="n"/>
      <c r="U875" s="99" t="n"/>
      <c r="V875" s="99" t="n"/>
      <c r="W875" s="99" t="n"/>
      <c r="X875" s="99" t="n"/>
      <c r="Y875" s="99" t="n"/>
      <c r="Z875" s="99" t="n"/>
      <c r="AA875" s="99" t="n"/>
      <c r="AB875" s="99" t="n"/>
      <c r="AC875" s="99" t="n"/>
      <c r="AD875" s="99" t="n"/>
      <c r="AE875" s="99" t="n"/>
      <c r="AF875" s="99" t="n"/>
      <c r="AG875" s="99" t="n"/>
      <c r="AH875" s="99" t="n"/>
      <c r="AI875" s="99" t="n"/>
      <c r="AJ875" s="99" t="n"/>
      <c r="AK875" s="99" t="n"/>
      <c r="AL875" s="99" t="n"/>
      <c r="AM875" s="99" t="n"/>
      <c r="AN875" s="99" t="n"/>
      <c r="AO875" s="99" t="n"/>
      <c r="AP875" s="99" t="n"/>
      <c r="AQ875" s="99" t="n"/>
      <c r="AR875" s="99" t="n"/>
    </row>
    <row r="876">
      <c r="D876" s="99" t="n"/>
      <c r="E876" s="99" t="n"/>
      <c r="F876" s="99" t="n"/>
      <c r="G876" s="99" t="n"/>
      <c r="H876" s="99" t="n"/>
      <c r="I876" s="99" t="n"/>
      <c r="J876" s="99" t="n"/>
      <c r="K876" s="99" t="n"/>
      <c r="L876" s="99" t="n"/>
      <c r="M876" s="99" t="n"/>
      <c r="N876" s="99" t="n"/>
      <c r="O876" s="99" t="n"/>
      <c r="P876" s="99" t="n"/>
      <c r="Q876" s="99" t="n"/>
      <c r="R876" s="99" t="n"/>
      <c r="S876" s="99" t="n"/>
      <c r="T876" s="99" t="n"/>
      <c r="U876" s="99" t="n"/>
      <c r="V876" s="99" t="n"/>
      <c r="W876" s="99" t="n"/>
      <c r="X876" s="99" t="n"/>
      <c r="Y876" s="99" t="n"/>
      <c r="Z876" s="99" t="n"/>
      <c r="AA876" s="99" t="n"/>
      <c r="AB876" s="99" t="n"/>
      <c r="AC876" s="99" t="n"/>
      <c r="AD876" s="99" t="n"/>
      <c r="AE876" s="99" t="n"/>
      <c r="AF876" s="99" t="n"/>
      <c r="AG876" s="99" t="n"/>
      <c r="AH876" s="99" t="n"/>
      <c r="AI876" s="99" t="n"/>
      <c r="AJ876" s="99" t="n"/>
      <c r="AK876" s="99" t="n"/>
      <c r="AL876" s="99" t="n"/>
      <c r="AM876" s="99" t="n"/>
      <c r="AN876" s="99" t="n"/>
      <c r="AO876" s="99" t="n"/>
      <c r="AP876" s="99" t="n"/>
      <c r="AQ876" s="99" t="n"/>
      <c r="AR876" s="99" t="n"/>
    </row>
    <row r="877">
      <c r="D877" s="100" t="n"/>
      <c r="E877" s="100" t="n"/>
      <c r="F877" s="100" t="n"/>
      <c r="G877" s="100" t="n"/>
      <c r="H877" s="100" t="n"/>
      <c r="I877" s="100" t="n"/>
      <c r="J877" s="100" t="n"/>
      <c r="K877" s="100" t="n"/>
      <c r="L877" s="100" t="n"/>
      <c r="M877" s="100" t="n"/>
      <c r="N877" s="100" t="n"/>
      <c r="O877" s="100" t="n"/>
      <c r="P877" s="100" t="n"/>
      <c r="Q877" s="100" t="n"/>
      <c r="R877" s="100" t="n"/>
      <c r="S877" s="100" t="n"/>
      <c r="T877" s="100" t="n"/>
      <c r="U877" s="100" t="n"/>
      <c r="V877" s="100" t="n"/>
      <c r="W877" s="100" t="n"/>
      <c r="X877" s="100" t="n"/>
      <c r="Y877" s="100" t="n"/>
      <c r="Z877" s="100" t="n"/>
      <c r="AA877" s="100" t="n"/>
      <c r="AB877" s="100" t="n"/>
      <c r="AC877" s="100" t="n"/>
      <c r="AD877" s="100" t="n"/>
      <c r="AE877" s="100" t="n"/>
      <c r="AF877" s="100" t="n"/>
      <c r="AG877" s="100" t="n"/>
      <c r="AH877" s="100" t="n"/>
      <c r="AI877" s="100" t="n"/>
      <c r="AJ877" s="100" t="n"/>
      <c r="AK877" s="100" t="n"/>
      <c r="AL877" s="100" t="n"/>
      <c r="AM877" s="100" t="n"/>
      <c r="AN877" s="100" t="n"/>
      <c r="AO877" s="100" t="n"/>
      <c r="AP877" s="100" t="n"/>
      <c r="AQ877" s="100" t="n"/>
      <c r="AR877" s="100" t="n"/>
    </row>
    <row r="879">
      <c r="A879" s="6">
        <f>IF(HSI!$C$86="","",HSI!$C$86)</f>
        <v/>
      </c>
      <c r="B879" s="96">
        <f>IF($A879="",0,COUNT($E880:$AR880))</f>
        <v/>
      </c>
      <c r="C879" s="97">
        <f>IF($B879=0,0,MAX($E880:$AR880))</f>
        <v/>
      </c>
      <c r="D879" s="98">
        <f>BDS($A879,FLD_HIST,"headers=y","startcol=1","endcol=7","dir=h","DVD_START_DT",HIST_FROM,"DVD_END_DT",HIST_TO)</f>
        <v/>
      </c>
      <c r="E879" s="99" t="n"/>
      <c r="F879" s="99" t="n"/>
      <c r="G879" s="99" t="n"/>
      <c r="H879" s="99" t="n"/>
      <c r="I879" s="99" t="n"/>
      <c r="J879" s="99" t="n"/>
      <c r="K879" s="99" t="n"/>
      <c r="L879" s="99" t="n"/>
      <c r="M879" s="99" t="n"/>
      <c r="N879" s="99" t="n"/>
      <c r="O879" s="99" t="n"/>
      <c r="P879" s="99" t="n"/>
      <c r="Q879" s="99" t="n"/>
      <c r="R879" s="99" t="n"/>
      <c r="S879" s="99" t="n"/>
      <c r="T879" s="99" t="n"/>
      <c r="U879" s="99" t="n"/>
      <c r="V879" s="99" t="n"/>
      <c r="W879" s="99" t="n"/>
      <c r="X879" s="99" t="n"/>
      <c r="Y879" s="99" t="n"/>
      <c r="Z879" s="99" t="n"/>
      <c r="AA879" s="99" t="n"/>
      <c r="AB879" s="99" t="n"/>
      <c r="AC879" s="99" t="n"/>
      <c r="AD879" s="99" t="n"/>
      <c r="AE879" s="99" t="n"/>
      <c r="AF879" s="99" t="n"/>
      <c r="AG879" s="99" t="n"/>
      <c r="AH879" s="99" t="n"/>
      <c r="AI879" s="99" t="n"/>
      <c r="AJ879" s="99" t="n"/>
      <c r="AK879" s="99" t="n"/>
      <c r="AL879" s="99" t="n"/>
      <c r="AM879" s="99" t="n"/>
      <c r="AN879" s="99" t="n"/>
      <c r="AO879" s="99" t="n"/>
      <c r="AP879" s="99" t="n"/>
      <c r="AQ879" s="99" t="n"/>
      <c r="AR879" s="99" t="n"/>
    </row>
    <row r="880">
      <c r="D880" s="99" t="n"/>
      <c r="E880" s="99" t="n"/>
      <c r="F880" s="99" t="n"/>
      <c r="G880" s="99" t="n"/>
      <c r="H880" s="99" t="n"/>
      <c r="I880" s="99" t="n"/>
      <c r="J880" s="99" t="n"/>
      <c r="K880" s="99" t="n"/>
      <c r="L880" s="99" t="n"/>
      <c r="M880" s="99" t="n"/>
      <c r="N880" s="99" t="n"/>
      <c r="O880" s="99" t="n"/>
      <c r="P880" s="99" t="n"/>
      <c r="Q880" s="99" t="n"/>
      <c r="R880" s="99" t="n"/>
      <c r="S880" s="99" t="n"/>
      <c r="T880" s="99" t="n"/>
      <c r="U880" s="99" t="n"/>
      <c r="V880" s="99" t="n"/>
      <c r="W880" s="99" t="n"/>
      <c r="X880" s="99" t="n"/>
      <c r="Y880" s="99" t="n"/>
      <c r="Z880" s="99" t="n"/>
      <c r="AA880" s="99" t="n"/>
      <c r="AB880" s="99" t="n"/>
      <c r="AC880" s="99" t="n"/>
      <c r="AD880" s="99" t="n"/>
      <c r="AE880" s="99" t="n"/>
      <c r="AF880" s="99" t="n"/>
      <c r="AG880" s="99" t="n"/>
      <c r="AH880" s="99" t="n"/>
      <c r="AI880" s="99" t="n"/>
      <c r="AJ880" s="99" t="n"/>
      <c r="AK880" s="99" t="n"/>
      <c r="AL880" s="99" t="n"/>
      <c r="AM880" s="99" t="n"/>
      <c r="AN880" s="99" t="n"/>
      <c r="AO880" s="99" t="n"/>
      <c r="AP880" s="99" t="n"/>
      <c r="AQ880" s="99" t="n"/>
      <c r="AR880" s="99" t="n"/>
    </row>
    <row r="881">
      <c r="D881" s="99" t="n"/>
      <c r="E881" s="99" t="n"/>
      <c r="F881" s="99" t="n"/>
      <c r="G881" s="99" t="n"/>
      <c r="H881" s="99" t="n"/>
      <c r="I881" s="99" t="n"/>
      <c r="J881" s="99" t="n"/>
      <c r="K881" s="99" t="n"/>
      <c r="L881" s="99" t="n"/>
      <c r="M881" s="99" t="n"/>
      <c r="N881" s="99" t="n"/>
      <c r="O881" s="99" t="n"/>
      <c r="P881" s="99" t="n"/>
      <c r="Q881" s="99" t="n"/>
      <c r="R881" s="99" t="n"/>
      <c r="S881" s="99" t="n"/>
      <c r="T881" s="99" t="n"/>
      <c r="U881" s="99" t="n"/>
      <c r="V881" s="99" t="n"/>
      <c r="W881" s="99" t="n"/>
      <c r="X881" s="99" t="n"/>
      <c r="Y881" s="99" t="n"/>
      <c r="Z881" s="99" t="n"/>
      <c r="AA881" s="99" t="n"/>
      <c r="AB881" s="99" t="n"/>
      <c r="AC881" s="99" t="n"/>
      <c r="AD881" s="99" t="n"/>
      <c r="AE881" s="99" t="n"/>
      <c r="AF881" s="99" t="n"/>
      <c r="AG881" s="99" t="n"/>
      <c r="AH881" s="99" t="n"/>
      <c r="AI881" s="99" t="n"/>
      <c r="AJ881" s="99" t="n"/>
      <c r="AK881" s="99" t="n"/>
      <c r="AL881" s="99" t="n"/>
      <c r="AM881" s="99" t="n"/>
      <c r="AN881" s="99" t="n"/>
      <c r="AO881" s="99" t="n"/>
      <c r="AP881" s="99" t="n"/>
      <c r="AQ881" s="99" t="n"/>
      <c r="AR881" s="99" t="n"/>
    </row>
    <row r="882">
      <c r="D882" s="99" t="n"/>
      <c r="E882" s="99" t="n"/>
      <c r="F882" s="99" t="n"/>
      <c r="G882" s="99" t="n"/>
      <c r="H882" s="99" t="n"/>
      <c r="I882" s="99" t="n"/>
      <c r="J882" s="99" t="n"/>
      <c r="K882" s="99" t="n"/>
      <c r="L882" s="99" t="n"/>
      <c r="M882" s="99" t="n"/>
      <c r="N882" s="99" t="n"/>
      <c r="O882" s="99" t="n"/>
      <c r="P882" s="99" t="n"/>
      <c r="Q882" s="99" t="n"/>
      <c r="R882" s="99" t="n"/>
      <c r="S882" s="99" t="n"/>
      <c r="T882" s="99" t="n"/>
      <c r="U882" s="99" t="n"/>
      <c r="V882" s="99" t="n"/>
      <c r="W882" s="99" t="n"/>
      <c r="X882" s="99" t="n"/>
      <c r="Y882" s="99" t="n"/>
      <c r="Z882" s="99" t="n"/>
      <c r="AA882" s="99" t="n"/>
      <c r="AB882" s="99" t="n"/>
      <c r="AC882" s="99" t="n"/>
      <c r="AD882" s="99" t="n"/>
      <c r="AE882" s="99" t="n"/>
      <c r="AF882" s="99" t="n"/>
      <c r="AG882" s="99" t="n"/>
      <c r="AH882" s="99" t="n"/>
      <c r="AI882" s="99" t="n"/>
      <c r="AJ882" s="99" t="n"/>
      <c r="AK882" s="99" t="n"/>
      <c r="AL882" s="99" t="n"/>
      <c r="AM882" s="99" t="n"/>
      <c r="AN882" s="99" t="n"/>
      <c r="AO882" s="99" t="n"/>
      <c r="AP882" s="99" t="n"/>
      <c r="AQ882" s="99" t="n"/>
      <c r="AR882" s="99" t="n"/>
    </row>
    <row r="883">
      <c r="D883" s="100" t="n"/>
      <c r="E883" s="100" t="n"/>
      <c r="F883" s="100" t="n"/>
      <c r="G883" s="100" t="n"/>
      <c r="H883" s="100" t="n"/>
      <c r="I883" s="100" t="n"/>
      <c r="J883" s="100" t="n"/>
      <c r="K883" s="100" t="n"/>
      <c r="L883" s="100" t="n"/>
      <c r="M883" s="100" t="n"/>
      <c r="N883" s="100" t="n"/>
      <c r="O883" s="100" t="n"/>
      <c r="P883" s="100" t="n"/>
      <c r="Q883" s="100" t="n"/>
      <c r="R883" s="100" t="n"/>
      <c r="S883" s="100" t="n"/>
      <c r="T883" s="100" t="n"/>
      <c r="U883" s="100" t="n"/>
      <c r="V883" s="100" t="n"/>
      <c r="W883" s="100" t="n"/>
      <c r="X883" s="100" t="n"/>
      <c r="Y883" s="100" t="n"/>
      <c r="Z883" s="100" t="n"/>
      <c r="AA883" s="100" t="n"/>
      <c r="AB883" s="100" t="n"/>
      <c r="AC883" s="100" t="n"/>
      <c r="AD883" s="100" t="n"/>
      <c r="AE883" s="100" t="n"/>
      <c r="AF883" s="100" t="n"/>
      <c r="AG883" s="100" t="n"/>
      <c r="AH883" s="100" t="n"/>
      <c r="AI883" s="100" t="n"/>
      <c r="AJ883" s="100" t="n"/>
      <c r="AK883" s="100" t="n"/>
      <c r="AL883" s="100" t="n"/>
      <c r="AM883" s="100" t="n"/>
      <c r="AN883" s="100" t="n"/>
      <c r="AO883" s="100" t="n"/>
      <c r="AP883" s="100" t="n"/>
      <c r="AQ883" s="100" t="n"/>
      <c r="AR883" s="100" t="n"/>
    </row>
    <row r="886">
      <c r="A886" s="2">
        <f>IF($A879="","","   projections")</f>
        <v/>
      </c>
      <c r="B886" s="96">
        <f>IF($A879="",0,COUNT($E887:$AR887))</f>
        <v/>
      </c>
      <c r="C886" s="97">
        <f>IF($B886=0,0,MAX($E887:$AR887))</f>
        <v/>
      </c>
      <c r="D886" s="98">
        <f>BDS($A879,FLD_PROJ,"headers=y","startcol=1","endcol=3","dir=h")</f>
        <v/>
      </c>
      <c r="E886" s="99" t="n"/>
      <c r="F886" s="99" t="n"/>
      <c r="G886" s="99" t="n"/>
      <c r="H886" s="99" t="n"/>
      <c r="I886" s="99" t="n"/>
      <c r="J886" s="99" t="n"/>
      <c r="K886" s="99" t="n"/>
      <c r="L886" s="99" t="n"/>
      <c r="M886" s="99" t="n"/>
      <c r="N886" s="99" t="n"/>
      <c r="O886" s="99" t="n"/>
      <c r="P886" s="99" t="n"/>
      <c r="Q886" s="99" t="n"/>
      <c r="R886" s="99" t="n"/>
      <c r="S886" s="99" t="n"/>
      <c r="T886" s="99" t="n"/>
      <c r="U886" s="99" t="n"/>
      <c r="V886" s="99" t="n"/>
      <c r="W886" s="99" t="n"/>
      <c r="X886" s="99" t="n"/>
      <c r="Y886" s="99" t="n"/>
      <c r="Z886" s="99" t="n"/>
      <c r="AA886" s="99" t="n"/>
      <c r="AB886" s="99" t="n"/>
      <c r="AC886" s="99" t="n"/>
      <c r="AD886" s="99" t="n"/>
      <c r="AE886" s="99" t="n"/>
      <c r="AF886" s="99" t="n"/>
      <c r="AG886" s="99" t="n"/>
      <c r="AH886" s="99" t="n"/>
      <c r="AI886" s="99" t="n"/>
      <c r="AJ886" s="99" t="n"/>
      <c r="AK886" s="99" t="n"/>
      <c r="AL886" s="99" t="n"/>
      <c r="AM886" s="99" t="n"/>
      <c r="AN886" s="99" t="n"/>
      <c r="AO886" s="99" t="n"/>
      <c r="AP886" s="99" t="n"/>
      <c r="AQ886" s="99" t="n"/>
      <c r="AR886" s="99" t="n"/>
    </row>
    <row r="887">
      <c r="D887" s="99" t="n"/>
      <c r="E887" s="99" t="n"/>
      <c r="F887" s="99" t="n"/>
      <c r="G887" s="99" t="n"/>
      <c r="H887" s="99" t="n"/>
      <c r="I887" s="99" t="n"/>
      <c r="J887" s="99" t="n"/>
      <c r="K887" s="99" t="n"/>
      <c r="L887" s="99" t="n"/>
      <c r="M887" s="99" t="n"/>
      <c r="N887" s="99" t="n"/>
      <c r="O887" s="99" t="n"/>
      <c r="P887" s="99" t="n"/>
      <c r="Q887" s="99" t="n"/>
      <c r="R887" s="99" t="n"/>
      <c r="S887" s="99" t="n"/>
      <c r="T887" s="99" t="n"/>
      <c r="U887" s="99" t="n"/>
      <c r="V887" s="99" t="n"/>
      <c r="W887" s="99" t="n"/>
      <c r="X887" s="99" t="n"/>
      <c r="Y887" s="99" t="n"/>
      <c r="Z887" s="99" t="n"/>
      <c r="AA887" s="99" t="n"/>
      <c r="AB887" s="99" t="n"/>
      <c r="AC887" s="99" t="n"/>
      <c r="AD887" s="99" t="n"/>
      <c r="AE887" s="99" t="n"/>
      <c r="AF887" s="99" t="n"/>
      <c r="AG887" s="99" t="n"/>
      <c r="AH887" s="99" t="n"/>
      <c r="AI887" s="99" t="n"/>
      <c r="AJ887" s="99" t="n"/>
      <c r="AK887" s="99" t="n"/>
      <c r="AL887" s="99" t="n"/>
      <c r="AM887" s="99" t="n"/>
      <c r="AN887" s="99" t="n"/>
      <c r="AO887" s="99" t="n"/>
      <c r="AP887" s="99" t="n"/>
      <c r="AQ887" s="99" t="n"/>
      <c r="AR887" s="99" t="n"/>
    </row>
    <row r="888">
      <c r="D888" s="100" t="n"/>
      <c r="E888" s="100" t="n"/>
      <c r="F888" s="100" t="n"/>
      <c r="G888" s="100" t="n"/>
      <c r="H888" s="100" t="n"/>
      <c r="I888" s="100" t="n"/>
      <c r="J888" s="100" t="n"/>
      <c r="K888" s="100" t="n"/>
      <c r="L888" s="100" t="n"/>
      <c r="M888" s="100" t="n"/>
      <c r="N888" s="100" t="n"/>
      <c r="O888" s="100" t="n"/>
      <c r="P888" s="100" t="n"/>
      <c r="Q888" s="100" t="n"/>
      <c r="R888" s="100" t="n"/>
      <c r="S888" s="100" t="n"/>
      <c r="T888" s="100" t="n"/>
      <c r="U888" s="100" t="n"/>
      <c r="V888" s="100" t="n"/>
      <c r="W888" s="100" t="n"/>
      <c r="X888" s="100" t="n"/>
      <c r="Y888" s="100" t="n"/>
      <c r="Z888" s="100" t="n"/>
      <c r="AA888" s="100" t="n"/>
      <c r="AB888" s="100" t="n"/>
      <c r="AC888" s="100" t="n"/>
      <c r="AD888" s="100" t="n"/>
      <c r="AE888" s="100" t="n"/>
      <c r="AF888" s="100" t="n"/>
      <c r="AG888" s="100" t="n"/>
      <c r="AH888" s="100" t="n"/>
      <c r="AI888" s="100" t="n"/>
      <c r="AJ888" s="100" t="n"/>
      <c r="AK888" s="100" t="n"/>
      <c r="AL888" s="100" t="n"/>
      <c r="AM888" s="100" t="n"/>
      <c r="AN888" s="100" t="n"/>
      <c r="AO888" s="100" t="n"/>
      <c r="AP888" s="100" t="n"/>
      <c r="AQ888" s="100" t="n"/>
      <c r="AR888" s="100" t="n"/>
    </row>
    <row r="890">
      <c r="A890" s="6">
        <f>IF(HSI!$C$87="","",HSI!$C$87)</f>
        <v/>
      </c>
      <c r="B890" s="96">
        <f>IF($A890="",0,COUNT($E891:$AR891))</f>
        <v/>
      </c>
      <c r="C890" s="97">
        <f>IF($B890=0,0,MAX($E891:$AR891))</f>
        <v/>
      </c>
      <c r="D890" s="98">
        <f>BDS($A890,FLD_HIST,"headers=y","startcol=1","endcol=7","dir=h","DVD_START_DT",HIST_FROM,"DVD_END_DT",HIST_TO)</f>
        <v/>
      </c>
      <c r="E890" s="99" t="n"/>
      <c r="F890" s="99" t="n"/>
      <c r="G890" s="99" t="n"/>
      <c r="H890" s="99" t="n"/>
      <c r="I890" s="99" t="n"/>
      <c r="J890" s="99" t="n"/>
      <c r="K890" s="99" t="n"/>
      <c r="L890" s="99" t="n"/>
      <c r="M890" s="99" t="n"/>
      <c r="N890" s="99" t="n"/>
      <c r="O890" s="99" t="n"/>
      <c r="P890" s="99" t="n"/>
      <c r="Q890" s="99" t="n"/>
      <c r="R890" s="99" t="n"/>
      <c r="S890" s="99" t="n"/>
      <c r="T890" s="99" t="n"/>
      <c r="U890" s="99" t="n"/>
      <c r="V890" s="99" t="n"/>
      <c r="W890" s="99" t="n"/>
      <c r="X890" s="99" t="n"/>
      <c r="Y890" s="99" t="n"/>
      <c r="Z890" s="99" t="n"/>
      <c r="AA890" s="99" t="n"/>
      <c r="AB890" s="99" t="n"/>
      <c r="AC890" s="99" t="n"/>
      <c r="AD890" s="99" t="n"/>
      <c r="AE890" s="99" t="n"/>
      <c r="AF890" s="99" t="n"/>
      <c r="AG890" s="99" t="n"/>
      <c r="AH890" s="99" t="n"/>
      <c r="AI890" s="99" t="n"/>
      <c r="AJ890" s="99" t="n"/>
      <c r="AK890" s="99" t="n"/>
      <c r="AL890" s="99" t="n"/>
      <c r="AM890" s="99" t="n"/>
      <c r="AN890" s="99" t="n"/>
      <c r="AO890" s="99" t="n"/>
      <c r="AP890" s="99" t="n"/>
      <c r="AQ890" s="99" t="n"/>
      <c r="AR890" s="99" t="n"/>
    </row>
    <row r="891">
      <c r="D891" s="99" t="n"/>
      <c r="E891" s="99" t="n"/>
      <c r="F891" s="99" t="n"/>
      <c r="G891" s="99" t="n"/>
      <c r="H891" s="99" t="n"/>
      <c r="I891" s="99" t="n"/>
      <c r="J891" s="99" t="n"/>
      <c r="K891" s="99" t="n"/>
      <c r="L891" s="99" t="n"/>
      <c r="M891" s="99" t="n"/>
      <c r="N891" s="99" t="n"/>
      <c r="O891" s="99" t="n"/>
      <c r="P891" s="99" t="n"/>
      <c r="Q891" s="99" t="n"/>
      <c r="R891" s="99" t="n"/>
      <c r="S891" s="99" t="n"/>
      <c r="T891" s="99" t="n"/>
      <c r="U891" s="99" t="n"/>
      <c r="V891" s="99" t="n"/>
      <c r="W891" s="99" t="n"/>
      <c r="X891" s="99" t="n"/>
      <c r="Y891" s="99" t="n"/>
      <c r="Z891" s="99" t="n"/>
      <c r="AA891" s="99" t="n"/>
      <c r="AB891" s="99" t="n"/>
      <c r="AC891" s="99" t="n"/>
      <c r="AD891" s="99" t="n"/>
      <c r="AE891" s="99" t="n"/>
      <c r="AF891" s="99" t="n"/>
      <c r="AG891" s="99" t="n"/>
      <c r="AH891" s="99" t="n"/>
      <c r="AI891" s="99" t="n"/>
      <c r="AJ891" s="99" t="n"/>
      <c r="AK891" s="99" t="n"/>
      <c r="AL891" s="99" t="n"/>
      <c r="AM891" s="99" t="n"/>
      <c r="AN891" s="99" t="n"/>
      <c r="AO891" s="99" t="n"/>
      <c r="AP891" s="99" t="n"/>
      <c r="AQ891" s="99" t="n"/>
      <c r="AR891" s="99" t="n"/>
    </row>
    <row r="892">
      <c r="D892" s="99" t="n"/>
      <c r="E892" s="99" t="n"/>
      <c r="F892" s="99" t="n"/>
      <c r="G892" s="99" t="n"/>
      <c r="H892" s="99" t="n"/>
      <c r="I892" s="99" t="n"/>
      <c r="J892" s="99" t="n"/>
      <c r="K892" s="99" t="n"/>
      <c r="L892" s="99" t="n"/>
      <c r="M892" s="99" t="n"/>
      <c r="N892" s="99" t="n"/>
      <c r="O892" s="99" t="n"/>
      <c r="P892" s="99" t="n"/>
      <c r="Q892" s="99" t="n"/>
      <c r="R892" s="99" t="n"/>
      <c r="S892" s="99" t="n"/>
      <c r="T892" s="99" t="n"/>
      <c r="U892" s="99" t="n"/>
      <c r="V892" s="99" t="n"/>
      <c r="W892" s="99" t="n"/>
      <c r="X892" s="99" t="n"/>
      <c r="Y892" s="99" t="n"/>
      <c r="Z892" s="99" t="n"/>
      <c r="AA892" s="99" t="n"/>
      <c r="AB892" s="99" t="n"/>
      <c r="AC892" s="99" t="n"/>
      <c r="AD892" s="99" t="n"/>
      <c r="AE892" s="99" t="n"/>
      <c r="AF892" s="99" t="n"/>
      <c r="AG892" s="99" t="n"/>
      <c r="AH892" s="99" t="n"/>
      <c r="AI892" s="99" t="n"/>
      <c r="AJ892" s="99" t="n"/>
      <c r="AK892" s="99" t="n"/>
      <c r="AL892" s="99" t="n"/>
      <c r="AM892" s="99" t="n"/>
      <c r="AN892" s="99" t="n"/>
      <c r="AO892" s="99" t="n"/>
      <c r="AP892" s="99" t="n"/>
      <c r="AQ892" s="99" t="n"/>
      <c r="AR892" s="99" t="n"/>
    </row>
    <row r="893">
      <c r="D893" s="99" t="n"/>
      <c r="E893" s="99" t="n"/>
      <c r="F893" s="99" t="n"/>
      <c r="G893" s="99" t="n"/>
      <c r="H893" s="99" t="n"/>
      <c r="I893" s="99" t="n"/>
      <c r="J893" s="99" t="n"/>
      <c r="K893" s="99" t="n"/>
      <c r="L893" s="99" t="n"/>
      <c r="M893" s="99" t="n"/>
      <c r="N893" s="99" t="n"/>
      <c r="O893" s="99" t="n"/>
      <c r="P893" s="99" t="n"/>
      <c r="Q893" s="99" t="n"/>
      <c r="R893" s="99" t="n"/>
      <c r="S893" s="99" t="n"/>
      <c r="T893" s="99" t="n"/>
      <c r="U893" s="99" t="n"/>
      <c r="V893" s="99" t="n"/>
      <c r="W893" s="99" t="n"/>
      <c r="X893" s="99" t="n"/>
      <c r="Y893" s="99" t="n"/>
      <c r="Z893" s="99" t="n"/>
      <c r="AA893" s="99" t="n"/>
      <c r="AB893" s="99" t="n"/>
      <c r="AC893" s="99" t="n"/>
      <c r="AD893" s="99" t="n"/>
      <c r="AE893" s="99" t="n"/>
      <c r="AF893" s="99" t="n"/>
      <c r="AG893" s="99" t="n"/>
      <c r="AH893" s="99" t="n"/>
      <c r="AI893" s="99" t="n"/>
      <c r="AJ893" s="99" t="n"/>
      <c r="AK893" s="99" t="n"/>
      <c r="AL893" s="99" t="n"/>
      <c r="AM893" s="99" t="n"/>
      <c r="AN893" s="99" t="n"/>
      <c r="AO893" s="99" t="n"/>
      <c r="AP893" s="99" t="n"/>
      <c r="AQ893" s="99" t="n"/>
      <c r="AR893" s="99" t="n"/>
    </row>
    <row r="894">
      <c r="D894" s="100" t="n"/>
      <c r="E894" s="100" t="n"/>
      <c r="F894" s="100" t="n"/>
      <c r="G894" s="100" t="n"/>
      <c r="H894" s="100" t="n"/>
      <c r="I894" s="100" t="n"/>
      <c r="J894" s="100" t="n"/>
      <c r="K894" s="100" t="n"/>
      <c r="L894" s="100" t="n"/>
      <c r="M894" s="100" t="n"/>
      <c r="N894" s="100" t="n"/>
      <c r="O894" s="100" t="n"/>
      <c r="P894" s="100" t="n"/>
      <c r="Q894" s="100" t="n"/>
      <c r="R894" s="100" t="n"/>
      <c r="S894" s="100" t="n"/>
      <c r="T894" s="100" t="n"/>
      <c r="U894" s="100" t="n"/>
      <c r="V894" s="100" t="n"/>
      <c r="W894" s="100" t="n"/>
      <c r="X894" s="100" t="n"/>
      <c r="Y894" s="100" t="n"/>
      <c r="Z894" s="100" t="n"/>
      <c r="AA894" s="100" t="n"/>
      <c r="AB894" s="100" t="n"/>
      <c r="AC894" s="100" t="n"/>
      <c r="AD894" s="100" t="n"/>
      <c r="AE894" s="100" t="n"/>
      <c r="AF894" s="100" t="n"/>
      <c r="AG894" s="100" t="n"/>
      <c r="AH894" s="100" t="n"/>
      <c r="AI894" s="100" t="n"/>
      <c r="AJ894" s="100" t="n"/>
      <c r="AK894" s="100" t="n"/>
      <c r="AL894" s="100" t="n"/>
      <c r="AM894" s="100" t="n"/>
      <c r="AN894" s="100" t="n"/>
      <c r="AO894" s="100" t="n"/>
      <c r="AP894" s="100" t="n"/>
      <c r="AQ894" s="100" t="n"/>
      <c r="AR894" s="100" t="n"/>
    </row>
    <row r="897">
      <c r="A897" s="2">
        <f>IF($A890="","","   projections")</f>
        <v/>
      </c>
      <c r="B897" s="96">
        <f>IF($A890="",0,COUNT($E898:$AR898))</f>
        <v/>
      </c>
      <c r="C897" s="97">
        <f>IF($B897=0,0,MAX($E898:$AR898))</f>
        <v/>
      </c>
      <c r="D897" s="98">
        <f>BDS($A890,FLD_PROJ,"headers=y","startcol=1","endcol=3","dir=h")</f>
        <v/>
      </c>
      <c r="E897" s="99" t="n"/>
      <c r="F897" s="99" t="n"/>
      <c r="G897" s="99" t="n"/>
      <c r="H897" s="99" t="n"/>
      <c r="I897" s="99" t="n"/>
      <c r="J897" s="99" t="n"/>
      <c r="K897" s="99" t="n"/>
      <c r="L897" s="99" t="n"/>
      <c r="M897" s="99" t="n"/>
      <c r="N897" s="99" t="n"/>
      <c r="O897" s="99" t="n"/>
      <c r="P897" s="99" t="n"/>
      <c r="Q897" s="99" t="n"/>
      <c r="R897" s="99" t="n"/>
      <c r="S897" s="99" t="n"/>
      <c r="T897" s="99" t="n"/>
      <c r="U897" s="99" t="n"/>
      <c r="V897" s="99" t="n"/>
      <c r="W897" s="99" t="n"/>
      <c r="X897" s="99" t="n"/>
      <c r="Y897" s="99" t="n"/>
      <c r="Z897" s="99" t="n"/>
      <c r="AA897" s="99" t="n"/>
      <c r="AB897" s="99" t="n"/>
      <c r="AC897" s="99" t="n"/>
      <c r="AD897" s="99" t="n"/>
      <c r="AE897" s="99" t="n"/>
      <c r="AF897" s="99" t="n"/>
      <c r="AG897" s="99" t="n"/>
      <c r="AH897" s="99" t="n"/>
      <c r="AI897" s="99" t="n"/>
      <c r="AJ897" s="99" t="n"/>
      <c r="AK897" s="99" t="n"/>
      <c r="AL897" s="99" t="n"/>
      <c r="AM897" s="99" t="n"/>
      <c r="AN897" s="99" t="n"/>
      <c r="AO897" s="99" t="n"/>
      <c r="AP897" s="99" t="n"/>
      <c r="AQ897" s="99" t="n"/>
      <c r="AR897" s="99" t="n"/>
    </row>
    <row r="898">
      <c r="D898" s="99" t="n"/>
      <c r="E898" s="99" t="n"/>
      <c r="F898" s="99" t="n"/>
      <c r="G898" s="99" t="n"/>
      <c r="H898" s="99" t="n"/>
      <c r="I898" s="99" t="n"/>
      <c r="J898" s="99" t="n"/>
      <c r="K898" s="99" t="n"/>
      <c r="L898" s="99" t="n"/>
      <c r="M898" s="99" t="n"/>
      <c r="N898" s="99" t="n"/>
      <c r="O898" s="99" t="n"/>
      <c r="P898" s="99" t="n"/>
      <c r="Q898" s="99" t="n"/>
      <c r="R898" s="99" t="n"/>
      <c r="S898" s="99" t="n"/>
      <c r="T898" s="99" t="n"/>
      <c r="U898" s="99" t="n"/>
      <c r="V898" s="99" t="n"/>
      <c r="W898" s="99" t="n"/>
      <c r="X898" s="99" t="n"/>
      <c r="Y898" s="99" t="n"/>
      <c r="Z898" s="99" t="n"/>
      <c r="AA898" s="99" t="n"/>
      <c r="AB898" s="99" t="n"/>
      <c r="AC898" s="99" t="n"/>
      <c r="AD898" s="99" t="n"/>
      <c r="AE898" s="99" t="n"/>
      <c r="AF898" s="99" t="n"/>
      <c r="AG898" s="99" t="n"/>
      <c r="AH898" s="99" t="n"/>
      <c r="AI898" s="99" t="n"/>
      <c r="AJ898" s="99" t="n"/>
      <c r="AK898" s="99" t="n"/>
      <c r="AL898" s="99" t="n"/>
      <c r="AM898" s="99" t="n"/>
      <c r="AN898" s="99" t="n"/>
      <c r="AO898" s="99" t="n"/>
      <c r="AP898" s="99" t="n"/>
      <c r="AQ898" s="99" t="n"/>
      <c r="AR898" s="99" t="n"/>
    </row>
    <row r="899">
      <c r="D899" s="100" t="n"/>
      <c r="E899" s="100" t="n"/>
      <c r="F899" s="100" t="n"/>
      <c r="G899" s="100" t="n"/>
      <c r="H899" s="100" t="n"/>
      <c r="I899" s="100" t="n"/>
      <c r="J899" s="100" t="n"/>
      <c r="K899" s="100" t="n"/>
      <c r="L899" s="100" t="n"/>
      <c r="M899" s="100" t="n"/>
      <c r="N899" s="100" t="n"/>
      <c r="O899" s="100" t="n"/>
      <c r="P899" s="100" t="n"/>
      <c r="Q899" s="100" t="n"/>
      <c r="R899" s="100" t="n"/>
      <c r="S899" s="100" t="n"/>
      <c r="T899" s="100" t="n"/>
      <c r="U899" s="100" t="n"/>
      <c r="V899" s="100" t="n"/>
      <c r="W899" s="100" t="n"/>
      <c r="X899" s="100" t="n"/>
      <c r="Y899" s="100" t="n"/>
      <c r="Z899" s="100" t="n"/>
      <c r="AA899" s="100" t="n"/>
      <c r="AB899" s="100" t="n"/>
      <c r="AC899" s="100" t="n"/>
      <c r="AD899" s="100" t="n"/>
      <c r="AE899" s="100" t="n"/>
      <c r="AF899" s="100" t="n"/>
      <c r="AG899" s="100" t="n"/>
      <c r="AH899" s="100" t="n"/>
      <c r="AI899" s="100" t="n"/>
      <c r="AJ899" s="100" t="n"/>
      <c r="AK899" s="100" t="n"/>
      <c r="AL899" s="100" t="n"/>
      <c r="AM899" s="100" t="n"/>
      <c r="AN899" s="100" t="n"/>
      <c r="AO899" s="100" t="n"/>
      <c r="AP899" s="100" t="n"/>
      <c r="AQ899" s="100" t="n"/>
      <c r="AR899" s="100" t="n"/>
    </row>
    <row r="901">
      <c r="A901" s="6">
        <f>IF(HSI!$C$88="","",HSI!$C$88)</f>
        <v/>
      </c>
      <c r="B901" s="96">
        <f>IF($A901="",0,COUNT($E902:$AR902))</f>
        <v/>
      </c>
      <c r="C901" s="97">
        <f>IF($B901=0,0,MAX($E902:$AR902))</f>
        <v/>
      </c>
      <c r="D901" s="98">
        <f>BDS($A901,FLD_HIST,"headers=y","startcol=1","endcol=7","dir=h","DVD_START_DT",HIST_FROM,"DVD_END_DT",HIST_TO)</f>
        <v/>
      </c>
      <c r="E901" s="99" t="n"/>
      <c r="F901" s="99" t="n"/>
      <c r="G901" s="99" t="n"/>
      <c r="H901" s="99" t="n"/>
      <c r="I901" s="99" t="n"/>
      <c r="J901" s="99" t="n"/>
      <c r="K901" s="99" t="n"/>
      <c r="L901" s="99" t="n"/>
      <c r="M901" s="99" t="n"/>
      <c r="N901" s="99" t="n"/>
      <c r="O901" s="99" t="n"/>
      <c r="P901" s="99" t="n"/>
      <c r="Q901" s="99" t="n"/>
      <c r="R901" s="99" t="n"/>
      <c r="S901" s="99" t="n"/>
      <c r="T901" s="99" t="n"/>
      <c r="U901" s="99" t="n"/>
      <c r="V901" s="99" t="n"/>
      <c r="W901" s="99" t="n"/>
      <c r="X901" s="99" t="n"/>
      <c r="Y901" s="99" t="n"/>
      <c r="Z901" s="99" t="n"/>
      <c r="AA901" s="99" t="n"/>
      <c r="AB901" s="99" t="n"/>
      <c r="AC901" s="99" t="n"/>
      <c r="AD901" s="99" t="n"/>
      <c r="AE901" s="99" t="n"/>
      <c r="AF901" s="99" t="n"/>
      <c r="AG901" s="99" t="n"/>
      <c r="AH901" s="99" t="n"/>
      <c r="AI901" s="99" t="n"/>
      <c r="AJ901" s="99" t="n"/>
      <c r="AK901" s="99" t="n"/>
      <c r="AL901" s="99" t="n"/>
      <c r="AM901" s="99" t="n"/>
      <c r="AN901" s="99" t="n"/>
      <c r="AO901" s="99" t="n"/>
      <c r="AP901" s="99" t="n"/>
      <c r="AQ901" s="99" t="n"/>
      <c r="AR901" s="99" t="n"/>
    </row>
    <row r="902">
      <c r="D902" s="99" t="n"/>
      <c r="E902" s="99" t="n"/>
      <c r="F902" s="99" t="n"/>
      <c r="G902" s="99" t="n"/>
      <c r="H902" s="99" t="n"/>
      <c r="I902" s="99" t="n"/>
      <c r="J902" s="99" t="n"/>
      <c r="K902" s="99" t="n"/>
      <c r="L902" s="99" t="n"/>
      <c r="M902" s="99" t="n"/>
      <c r="N902" s="99" t="n"/>
      <c r="O902" s="99" t="n"/>
      <c r="P902" s="99" t="n"/>
      <c r="Q902" s="99" t="n"/>
      <c r="R902" s="99" t="n"/>
      <c r="S902" s="99" t="n"/>
      <c r="T902" s="99" t="n"/>
      <c r="U902" s="99" t="n"/>
      <c r="V902" s="99" t="n"/>
      <c r="W902" s="99" t="n"/>
      <c r="X902" s="99" t="n"/>
      <c r="Y902" s="99" t="n"/>
      <c r="Z902" s="99" t="n"/>
      <c r="AA902" s="99" t="n"/>
      <c r="AB902" s="99" t="n"/>
      <c r="AC902" s="99" t="n"/>
      <c r="AD902" s="99" t="n"/>
      <c r="AE902" s="99" t="n"/>
      <c r="AF902" s="99" t="n"/>
      <c r="AG902" s="99" t="n"/>
      <c r="AH902" s="99" t="n"/>
      <c r="AI902" s="99" t="n"/>
      <c r="AJ902" s="99" t="n"/>
      <c r="AK902" s="99" t="n"/>
      <c r="AL902" s="99" t="n"/>
      <c r="AM902" s="99" t="n"/>
      <c r="AN902" s="99" t="n"/>
      <c r="AO902" s="99" t="n"/>
      <c r="AP902" s="99" t="n"/>
      <c r="AQ902" s="99" t="n"/>
      <c r="AR902" s="99" t="n"/>
    </row>
    <row r="903">
      <c r="D903" s="99" t="n"/>
      <c r="E903" s="99" t="n"/>
      <c r="F903" s="99" t="n"/>
      <c r="G903" s="99" t="n"/>
      <c r="H903" s="99" t="n"/>
      <c r="I903" s="99" t="n"/>
      <c r="J903" s="99" t="n"/>
      <c r="K903" s="99" t="n"/>
      <c r="L903" s="99" t="n"/>
      <c r="M903" s="99" t="n"/>
      <c r="N903" s="99" t="n"/>
      <c r="O903" s="99" t="n"/>
      <c r="P903" s="99" t="n"/>
      <c r="Q903" s="99" t="n"/>
      <c r="R903" s="99" t="n"/>
      <c r="S903" s="99" t="n"/>
      <c r="T903" s="99" t="n"/>
      <c r="U903" s="99" t="n"/>
      <c r="V903" s="99" t="n"/>
      <c r="W903" s="99" t="n"/>
      <c r="X903" s="99" t="n"/>
      <c r="Y903" s="99" t="n"/>
      <c r="Z903" s="99" t="n"/>
      <c r="AA903" s="99" t="n"/>
      <c r="AB903" s="99" t="n"/>
      <c r="AC903" s="99" t="n"/>
      <c r="AD903" s="99" t="n"/>
      <c r="AE903" s="99" t="n"/>
      <c r="AF903" s="99" t="n"/>
      <c r="AG903" s="99" t="n"/>
      <c r="AH903" s="99" t="n"/>
      <c r="AI903" s="99" t="n"/>
      <c r="AJ903" s="99" t="n"/>
      <c r="AK903" s="99" t="n"/>
      <c r="AL903" s="99" t="n"/>
      <c r="AM903" s="99" t="n"/>
      <c r="AN903" s="99" t="n"/>
      <c r="AO903" s="99" t="n"/>
      <c r="AP903" s="99" t="n"/>
      <c r="AQ903" s="99" t="n"/>
      <c r="AR903" s="99" t="n"/>
    </row>
    <row r="904">
      <c r="D904" s="99" t="n"/>
      <c r="E904" s="99" t="n"/>
      <c r="F904" s="99" t="n"/>
      <c r="G904" s="99" t="n"/>
      <c r="H904" s="99" t="n"/>
      <c r="I904" s="99" t="n"/>
      <c r="J904" s="99" t="n"/>
      <c r="K904" s="99" t="n"/>
      <c r="L904" s="99" t="n"/>
      <c r="M904" s="99" t="n"/>
      <c r="N904" s="99" t="n"/>
      <c r="O904" s="99" t="n"/>
      <c r="P904" s="99" t="n"/>
      <c r="Q904" s="99" t="n"/>
      <c r="R904" s="99" t="n"/>
      <c r="S904" s="99" t="n"/>
      <c r="T904" s="99" t="n"/>
      <c r="U904" s="99" t="n"/>
      <c r="V904" s="99" t="n"/>
      <c r="W904" s="99" t="n"/>
      <c r="X904" s="99" t="n"/>
      <c r="Y904" s="99" t="n"/>
      <c r="Z904" s="99" t="n"/>
      <c r="AA904" s="99" t="n"/>
      <c r="AB904" s="99" t="n"/>
      <c r="AC904" s="99" t="n"/>
      <c r="AD904" s="99" t="n"/>
      <c r="AE904" s="99" t="n"/>
      <c r="AF904" s="99" t="n"/>
      <c r="AG904" s="99" t="n"/>
      <c r="AH904" s="99" t="n"/>
      <c r="AI904" s="99" t="n"/>
      <c r="AJ904" s="99" t="n"/>
      <c r="AK904" s="99" t="n"/>
      <c r="AL904" s="99" t="n"/>
      <c r="AM904" s="99" t="n"/>
      <c r="AN904" s="99" t="n"/>
      <c r="AO904" s="99" t="n"/>
      <c r="AP904" s="99" t="n"/>
      <c r="AQ904" s="99" t="n"/>
      <c r="AR904" s="99" t="n"/>
    </row>
    <row r="905">
      <c r="D905" s="100" t="n"/>
      <c r="E905" s="100" t="n"/>
      <c r="F905" s="100" t="n"/>
      <c r="G905" s="100" t="n"/>
      <c r="H905" s="100" t="n"/>
      <c r="I905" s="100" t="n"/>
      <c r="J905" s="100" t="n"/>
      <c r="K905" s="100" t="n"/>
      <c r="L905" s="100" t="n"/>
      <c r="M905" s="100" t="n"/>
      <c r="N905" s="100" t="n"/>
      <c r="O905" s="100" t="n"/>
      <c r="P905" s="100" t="n"/>
      <c r="Q905" s="100" t="n"/>
      <c r="R905" s="100" t="n"/>
      <c r="S905" s="100" t="n"/>
      <c r="T905" s="100" t="n"/>
      <c r="U905" s="100" t="n"/>
      <c r="V905" s="100" t="n"/>
      <c r="W905" s="100" t="n"/>
      <c r="X905" s="100" t="n"/>
      <c r="Y905" s="100" t="n"/>
      <c r="Z905" s="100" t="n"/>
      <c r="AA905" s="100" t="n"/>
      <c r="AB905" s="100" t="n"/>
      <c r="AC905" s="100" t="n"/>
      <c r="AD905" s="100" t="n"/>
      <c r="AE905" s="100" t="n"/>
      <c r="AF905" s="100" t="n"/>
      <c r="AG905" s="100" t="n"/>
      <c r="AH905" s="100" t="n"/>
      <c r="AI905" s="100" t="n"/>
      <c r="AJ905" s="100" t="n"/>
      <c r="AK905" s="100" t="n"/>
      <c r="AL905" s="100" t="n"/>
      <c r="AM905" s="100" t="n"/>
      <c r="AN905" s="100" t="n"/>
      <c r="AO905" s="100" t="n"/>
      <c r="AP905" s="100" t="n"/>
      <c r="AQ905" s="100" t="n"/>
      <c r="AR905" s="100" t="n"/>
    </row>
    <row r="908">
      <c r="A908" s="2">
        <f>IF($A901="","","   projections")</f>
        <v/>
      </c>
      <c r="B908" s="96">
        <f>IF($A901="",0,COUNT($E909:$AR909))</f>
        <v/>
      </c>
      <c r="C908" s="97">
        <f>IF($B908=0,0,MAX($E909:$AR909))</f>
        <v/>
      </c>
      <c r="D908" s="98">
        <f>BDS($A901,FLD_PROJ,"headers=y","startcol=1","endcol=3","dir=h")</f>
        <v/>
      </c>
      <c r="E908" s="99" t="n"/>
      <c r="F908" s="99" t="n"/>
      <c r="G908" s="99" t="n"/>
      <c r="H908" s="99" t="n"/>
      <c r="I908" s="99" t="n"/>
      <c r="J908" s="99" t="n"/>
      <c r="K908" s="99" t="n"/>
      <c r="L908" s="99" t="n"/>
      <c r="M908" s="99" t="n"/>
      <c r="N908" s="99" t="n"/>
      <c r="O908" s="99" t="n"/>
      <c r="P908" s="99" t="n"/>
      <c r="Q908" s="99" t="n"/>
      <c r="R908" s="99" t="n"/>
      <c r="S908" s="99" t="n"/>
      <c r="T908" s="99" t="n"/>
      <c r="U908" s="99" t="n"/>
      <c r="V908" s="99" t="n"/>
      <c r="W908" s="99" t="n"/>
      <c r="X908" s="99" t="n"/>
      <c r="Y908" s="99" t="n"/>
      <c r="Z908" s="99" t="n"/>
      <c r="AA908" s="99" t="n"/>
      <c r="AB908" s="99" t="n"/>
      <c r="AC908" s="99" t="n"/>
      <c r="AD908" s="99" t="n"/>
      <c r="AE908" s="99" t="n"/>
      <c r="AF908" s="99" t="n"/>
      <c r="AG908" s="99" t="n"/>
      <c r="AH908" s="99" t="n"/>
      <c r="AI908" s="99" t="n"/>
      <c r="AJ908" s="99" t="n"/>
      <c r="AK908" s="99" t="n"/>
      <c r="AL908" s="99" t="n"/>
      <c r="AM908" s="99" t="n"/>
      <c r="AN908" s="99" t="n"/>
      <c r="AO908" s="99" t="n"/>
      <c r="AP908" s="99" t="n"/>
      <c r="AQ908" s="99" t="n"/>
      <c r="AR908" s="99" t="n"/>
    </row>
    <row r="909">
      <c r="D909" s="99" t="n"/>
      <c r="E909" s="99" t="n"/>
      <c r="F909" s="99" t="n"/>
      <c r="G909" s="99" t="n"/>
      <c r="H909" s="99" t="n"/>
      <c r="I909" s="99" t="n"/>
      <c r="J909" s="99" t="n"/>
      <c r="K909" s="99" t="n"/>
      <c r="L909" s="99" t="n"/>
      <c r="M909" s="99" t="n"/>
      <c r="N909" s="99" t="n"/>
      <c r="O909" s="99" t="n"/>
      <c r="P909" s="99" t="n"/>
      <c r="Q909" s="99" t="n"/>
      <c r="R909" s="99" t="n"/>
      <c r="S909" s="99" t="n"/>
      <c r="T909" s="99" t="n"/>
      <c r="U909" s="99" t="n"/>
      <c r="V909" s="99" t="n"/>
      <c r="W909" s="99" t="n"/>
      <c r="X909" s="99" t="n"/>
      <c r="Y909" s="99" t="n"/>
      <c r="Z909" s="99" t="n"/>
      <c r="AA909" s="99" t="n"/>
      <c r="AB909" s="99" t="n"/>
      <c r="AC909" s="99" t="n"/>
      <c r="AD909" s="99" t="n"/>
      <c r="AE909" s="99" t="n"/>
      <c r="AF909" s="99" t="n"/>
      <c r="AG909" s="99" t="n"/>
      <c r="AH909" s="99" t="n"/>
      <c r="AI909" s="99" t="n"/>
      <c r="AJ909" s="99" t="n"/>
      <c r="AK909" s="99" t="n"/>
      <c r="AL909" s="99" t="n"/>
      <c r="AM909" s="99" t="n"/>
      <c r="AN909" s="99" t="n"/>
      <c r="AO909" s="99" t="n"/>
      <c r="AP909" s="99" t="n"/>
      <c r="AQ909" s="99" t="n"/>
      <c r="AR909" s="99" t="n"/>
    </row>
    <row r="910">
      <c r="D910" s="100" t="n"/>
      <c r="E910" s="100" t="n"/>
      <c r="F910" s="100" t="n"/>
      <c r="G910" s="100" t="n"/>
      <c r="H910" s="100" t="n"/>
      <c r="I910" s="100" t="n"/>
      <c r="J910" s="100" t="n"/>
      <c r="K910" s="100" t="n"/>
      <c r="L910" s="100" t="n"/>
      <c r="M910" s="100" t="n"/>
      <c r="N910" s="100" t="n"/>
      <c r="O910" s="100" t="n"/>
      <c r="P910" s="100" t="n"/>
      <c r="Q910" s="100" t="n"/>
      <c r="R910" s="100" t="n"/>
      <c r="S910" s="100" t="n"/>
      <c r="T910" s="100" t="n"/>
      <c r="U910" s="100" t="n"/>
      <c r="V910" s="100" t="n"/>
      <c r="W910" s="100" t="n"/>
      <c r="X910" s="100" t="n"/>
      <c r="Y910" s="100" t="n"/>
      <c r="Z910" s="100" t="n"/>
      <c r="AA910" s="100" t="n"/>
      <c r="AB910" s="100" t="n"/>
      <c r="AC910" s="100" t="n"/>
      <c r="AD910" s="100" t="n"/>
      <c r="AE910" s="100" t="n"/>
      <c r="AF910" s="100" t="n"/>
      <c r="AG910" s="100" t="n"/>
      <c r="AH910" s="100" t="n"/>
      <c r="AI910" s="100" t="n"/>
      <c r="AJ910" s="100" t="n"/>
      <c r="AK910" s="100" t="n"/>
      <c r="AL910" s="100" t="n"/>
      <c r="AM910" s="100" t="n"/>
      <c r="AN910" s="100" t="n"/>
      <c r="AO910" s="100" t="n"/>
      <c r="AP910" s="100" t="n"/>
      <c r="AQ910" s="100" t="n"/>
      <c r="AR910" s="100" t="n"/>
    </row>
    <row r="912">
      <c r="A912" s="6">
        <f>IF(HSI!$C$89="","",HSI!$C$89)</f>
        <v/>
      </c>
      <c r="B912" s="96">
        <f>IF($A912="",0,COUNT($E913:$AR913))</f>
        <v/>
      </c>
      <c r="C912" s="97">
        <f>IF($B912=0,0,MAX($E913:$AR913))</f>
        <v/>
      </c>
      <c r="D912" s="98">
        <f>BDS($A912,FLD_HIST,"headers=y","startcol=1","endcol=7","dir=h","DVD_START_DT",HIST_FROM,"DVD_END_DT",HIST_TO)</f>
        <v/>
      </c>
      <c r="E912" s="99" t="n"/>
      <c r="F912" s="99" t="n"/>
      <c r="G912" s="99" t="n"/>
      <c r="H912" s="99" t="n"/>
      <c r="I912" s="99" t="n"/>
      <c r="J912" s="99" t="n"/>
      <c r="K912" s="99" t="n"/>
      <c r="L912" s="99" t="n"/>
      <c r="M912" s="99" t="n"/>
      <c r="N912" s="99" t="n"/>
      <c r="O912" s="99" t="n"/>
      <c r="P912" s="99" t="n"/>
      <c r="Q912" s="99" t="n"/>
      <c r="R912" s="99" t="n"/>
      <c r="S912" s="99" t="n"/>
      <c r="T912" s="99" t="n"/>
      <c r="U912" s="99" t="n"/>
      <c r="V912" s="99" t="n"/>
      <c r="W912" s="99" t="n"/>
      <c r="X912" s="99" t="n"/>
      <c r="Y912" s="99" t="n"/>
      <c r="Z912" s="99" t="n"/>
      <c r="AA912" s="99" t="n"/>
      <c r="AB912" s="99" t="n"/>
      <c r="AC912" s="99" t="n"/>
      <c r="AD912" s="99" t="n"/>
      <c r="AE912" s="99" t="n"/>
      <c r="AF912" s="99" t="n"/>
      <c r="AG912" s="99" t="n"/>
      <c r="AH912" s="99" t="n"/>
      <c r="AI912" s="99" t="n"/>
      <c r="AJ912" s="99" t="n"/>
      <c r="AK912" s="99" t="n"/>
      <c r="AL912" s="99" t="n"/>
      <c r="AM912" s="99" t="n"/>
      <c r="AN912" s="99" t="n"/>
      <c r="AO912" s="99" t="n"/>
      <c r="AP912" s="99" t="n"/>
      <c r="AQ912" s="99" t="n"/>
      <c r="AR912" s="99" t="n"/>
    </row>
    <row r="913">
      <c r="D913" s="99" t="n"/>
      <c r="E913" s="99" t="n"/>
      <c r="F913" s="99" t="n"/>
      <c r="G913" s="99" t="n"/>
      <c r="H913" s="99" t="n"/>
      <c r="I913" s="99" t="n"/>
      <c r="J913" s="99" t="n"/>
      <c r="K913" s="99" t="n"/>
      <c r="L913" s="99" t="n"/>
      <c r="M913" s="99" t="n"/>
      <c r="N913" s="99" t="n"/>
      <c r="O913" s="99" t="n"/>
      <c r="P913" s="99" t="n"/>
      <c r="Q913" s="99" t="n"/>
      <c r="R913" s="99" t="n"/>
      <c r="S913" s="99" t="n"/>
      <c r="T913" s="99" t="n"/>
      <c r="U913" s="99" t="n"/>
      <c r="V913" s="99" t="n"/>
      <c r="W913" s="99" t="n"/>
      <c r="X913" s="99" t="n"/>
      <c r="Y913" s="99" t="n"/>
      <c r="Z913" s="99" t="n"/>
      <c r="AA913" s="99" t="n"/>
      <c r="AB913" s="99" t="n"/>
      <c r="AC913" s="99" t="n"/>
      <c r="AD913" s="99" t="n"/>
      <c r="AE913" s="99" t="n"/>
      <c r="AF913" s="99" t="n"/>
      <c r="AG913" s="99" t="n"/>
      <c r="AH913" s="99" t="n"/>
      <c r="AI913" s="99" t="n"/>
      <c r="AJ913" s="99" t="n"/>
      <c r="AK913" s="99" t="n"/>
      <c r="AL913" s="99" t="n"/>
      <c r="AM913" s="99" t="n"/>
      <c r="AN913" s="99" t="n"/>
      <c r="AO913" s="99" t="n"/>
      <c r="AP913" s="99" t="n"/>
      <c r="AQ913" s="99" t="n"/>
      <c r="AR913" s="99" t="n"/>
    </row>
    <row r="914">
      <c r="D914" s="99" t="n"/>
      <c r="E914" s="99" t="n"/>
      <c r="F914" s="99" t="n"/>
      <c r="G914" s="99" t="n"/>
      <c r="H914" s="99" t="n"/>
      <c r="I914" s="99" t="n"/>
      <c r="J914" s="99" t="n"/>
      <c r="K914" s="99" t="n"/>
      <c r="L914" s="99" t="n"/>
      <c r="M914" s="99" t="n"/>
      <c r="N914" s="99" t="n"/>
      <c r="O914" s="99" t="n"/>
      <c r="P914" s="99" t="n"/>
      <c r="Q914" s="99" t="n"/>
      <c r="R914" s="99" t="n"/>
      <c r="S914" s="99" t="n"/>
      <c r="T914" s="99" t="n"/>
      <c r="U914" s="99" t="n"/>
      <c r="V914" s="99" t="n"/>
      <c r="W914" s="99" t="n"/>
      <c r="X914" s="99" t="n"/>
      <c r="Y914" s="99" t="n"/>
      <c r="Z914" s="99" t="n"/>
      <c r="AA914" s="99" t="n"/>
      <c r="AB914" s="99" t="n"/>
      <c r="AC914" s="99" t="n"/>
      <c r="AD914" s="99" t="n"/>
      <c r="AE914" s="99" t="n"/>
      <c r="AF914" s="99" t="n"/>
      <c r="AG914" s="99" t="n"/>
      <c r="AH914" s="99" t="n"/>
      <c r="AI914" s="99" t="n"/>
      <c r="AJ914" s="99" t="n"/>
      <c r="AK914" s="99" t="n"/>
      <c r="AL914" s="99" t="n"/>
      <c r="AM914" s="99" t="n"/>
      <c r="AN914" s="99" t="n"/>
      <c r="AO914" s="99" t="n"/>
      <c r="AP914" s="99" t="n"/>
      <c r="AQ914" s="99" t="n"/>
      <c r="AR914" s="99" t="n"/>
    </row>
    <row r="915">
      <c r="D915" s="99" t="n"/>
      <c r="E915" s="99" t="n"/>
      <c r="F915" s="99" t="n"/>
      <c r="G915" s="99" t="n"/>
      <c r="H915" s="99" t="n"/>
      <c r="I915" s="99" t="n"/>
      <c r="J915" s="99" t="n"/>
      <c r="K915" s="99" t="n"/>
      <c r="L915" s="99" t="n"/>
      <c r="M915" s="99" t="n"/>
      <c r="N915" s="99" t="n"/>
      <c r="O915" s="99" t="n"/>
      <c r="P915" s="99" t="n"/>
      <c r="Q915" s="99" t="n"/>
      <c r="R915" s="99" t="n"/>
      <c r="S915" s="99" t="n"/>
      <c r="T915" s="99" t="n"/>
      <c r="U915" s="99" t="n"/>
      <c r="V915" s="99" t="n"/>
      <c r="W915" s="99" t="n"/>
      <c r="X915" s="99" t="n"/>
      <c r="Y915" s="99" t="n"/>
      <c r="Z915" s="99" t="n"/>
      <c r="AA915" s="99" t="n"/>
      <c r="AB915" s="99" t="n"/>
      <c r="AC915" s="99" t="n"/>
      <c r="AD915" s="99" t="n"/>
      <c r="AE915" s="99" t="n"/>
      <c r="AF915" s="99" t="n"/>
      <c r="AG915" s="99" t="n"/>
      <c r="AH915" s="99" t="n"/>
      <c r="AI915" s="99" t="n"/>
      <c r="AJ915" s="99" t="n"/>
      <c r="AK915" s="99" t="n"/>
      <c r="AL915" s="99" t="n"/>
      <c r="AM915" s="99" t="n"/>
      <c r="AN915" s="99" t="n"/>
      <c r="AO915" s="99" t="n"/>
      <c r="AP915" s="99" t="n"/>
      <c r="AQ915" s="99" t="n"/>
      <c r="AR915" s="99" t="n"/>
    </row>
    <row r="916">
      <c r="D916" s="100" t="n"/>
      <c r="E916" s="100" t="n"/>
      <c r="F916" s="100" t="n"/>
      <c r="G916" s="100" t="n"/>
      <c r="H916" s="100" t="n"/>
      <c r="I916" s="100" t="n"/>
      <c r="J916" s="100" t="n"/>
      <c r="K916" s="100" t="n"/>
      <c r="L916" s="100" t="n"/>
      <c r="M916" s="100" t="n"/>
      <c r="N916" s="100" t="n"/>
      <c r="O916" s="100" t="n"/>
      <c r="P916" s="100" t="n"/>
      <c r="Q916" s="100" t="n"/>
      <c r="R916" s="100" t="n"/>
      <c r="S916" s="100" t="n"/>
      <c r="T916" s="100" t="n"/>
      <c r="U916" s="100" t="n"/>
      <c r="V916" s="100" t="n"/>
      <c r="W916" s="100" t="n"/>
      <c r="X916" s="100" t="n"/>
      <c r="Y916" s="100" t="n"/>
      <c r="Z916" s="100" t="n"/>
      <c r="AA916" s="100" t="n"/>
      <c r="AB916" s="100" t="n"/>
      <c r="AC916" s="100" t="n"/>
      <c r="AD916" s="100" t="n"/>
      <c r="AE916" s="100" t="n"/>
      <c r="AF916" s="100" t="n"/>
      <c r="AG916" s="100" t="n"/>
      <c r="AH916" s="100" t="n"/>
      <c r="AI916" s="100" t="n"/>
      <c r="AJ916" s="100" t="n"/>
      <c r="AK916" s="100" t="n"/>
      <c r="AL916" s="100" t="n"/>
      <c r="AM916" s="100" t="n"/>
      <c r="AN916" s="100" t="n"/>
      <c r="AO916" s="100" t="n"/>
      <c r="AP916" s="100" t="n"/>
      <c r="AQ916" s="100" t="n"/>
      <c r="AR916" s="100" t="n"/>
    </row>
    <row r="919">
      <c r="A919" s="2">
        <f>IF($A912="","","   projections")</f>
        <v/>
      </c>
      <c r="B919" s="96">
        <f>IF($A912="",0,COUNT($E920:$AR920))</f>
        <v/>
      </c>
      <c r="C919" s="97">
        <f>IF($B919=0,0,MAX($E920:$AR920))</f>
        <v/>
      </c>
      <c r="D919" s="98">
        <f>BDS($A912,FLD_PROJ,"headers=y","startcol=1","endcol=3","dir=h")</f>
        <v/>
      </c>
      <c r="E919" s="99" t="n"/>
      <c r="F919" s="99" t="n"/>
      <c r="G919" s="99" t="n"/>
      <c r="H919" s="99" t="n"/>
      <c r="I919" s="99" t="n"/>
      <c r="J919" s="99" t="n"/>
      <c r="K919" s="99" t="n"/>
      <c r="L919" s="99" t="n"/>
      <c r="M919" s="99" t="n"/>
      <c r="N919" s="99" t="n"/>
      <c r="O919" s="99" t="n"/>
      <c r="P919" s="99" t="n"/>
      <c r="Q919" s="99" t="n"/>
      <c r="R919" s="99" t="n"/>
      <c r="S919" s="99" t="n"/>
      <c r="T919" s="99" t="n"/>
      <c r="U919" s="99" t="n"/>
      <c r="V919" s="99" t="n"/>
      <c r="W919" s="99" t="n"/>
      <c r="X919" s="99" t="n"/>
      <c r="Y919" s="99" t="n"/>
      <c r="Z919" s="99" t="n"/>
      <c r="AA919" s="99" t="n"/>
      <c r="AB919" s="99" t="n"/>
      <c r="AC919" s="99" t="n"/>
      <c r="AD919" s="99" t="n"/>
      <c r="AE919" s="99" t="n"/>
      <c r="AF919" s="99" t="n"/>
      <c r="AG919" s="99" t="n"/>
      <c r="AH919" s="99" t="n"/>
      <c r="AI919" s="99" t="n"/>
      <c r="AJ919" s="99" t="n"/>
      <c r="AK919" s="99" t="n"/>
      <c r="AL919" s="99" t="n"/>
      <c r="AM919" s="99" t="n"/>
      <c r="AN919" s="99" t="n"/>
      <c r="AO919" s="99" t="n"/>
      <c r="AP919" s="99" t="n"/>
      <c r="AQ919" s="99" t="n"/>
      <c r="AR919" s="99" t="n"/>
    </row>
    <row r="920">
      <c r="D920" s="99" t="n"/>
      <c r="E920" s="99" t="n"/>
      <c r="F920" s="99" t="n"/>
      <c r="G920" s="99" t="n"/>
      <c r="H920" s="99" t="n"/>
      <c r="I920" s="99" t="n"/>
      <c r="J920" s="99" t="n"/>
      <c r="K920" s="99" t="n"/>
      <c r="L920" s="99" t="n"/>
      <c r="M920" s="99" t="n"/>
      <c r="N920" s="99" t="n"/>
      <c r="O920" s="99" t="n"/>
      <c r="P920" s="99" t="n"/>
      <c r="Q920" s="99" t="n"/>
      <c r="R920" s="99" t="n"/>
      <c r="S920" s="99" t="n"/>
      <c r="T920" s="99" t="n"/>
      <c r="U920" s="99" t="n"/>
      <c r="V920" s="99" t="n"/>
      <c r="W920" s="99" t="n"/>
      <c r="X920" s="99" t="n"/>
      <c r="Y920" s="99" t="n"/>
      <c r="Z920" s="99" t="n"/>
      <c r="AA920" s="99" t="n"/>
      <c r="AB920" s="99" t="n"/>
      <c r="AC920" s="99" t="n"/>
      <c r="AD920" s="99" t="n"/>
      <c r="AE920" s="99" t="n"/>
      <c r="AF920" s="99" t="n"/>
      <c r="AG920" s="99" t="n"/>
      <c r="AH920" s="99" t="n"/>
      <c r="AI920" s="99" t="n"/>
      <c r="AJ920" s="99" t="n"/>
      <c r="AK920" s="99" t="n"/>
      <c r="AL920" s="99" t="n"/>
      <c r="AM920" s="99" t="n"/>
      <c r="AN920" s="99" t="n"/>
      <c r="AO920" s="99" t="n"/>
      <c r="AP920" s="99" t="n"/>
      <c r="AQ920" s="99" t="n"/>
      <c r="AR920" s="99" t="n"/>
    </row>
    <row r="921">
      <c r="D921" s="100" t="n"/>
      <c r="E921" s="100" t="n"/>
      <c r="F921" s="100" t="n"/>
      <c r="G921" s="100" t="n"/>
      <c r="H921" s="100" t="n"/>
      <c r="I921" s="100" t="n"/>
      <c r="J921" s="100" t="n"/>
      <c r="K921" s="100" t="n"/>
      <c r="L921" s="100" t="n"/>
      <c r="M921" s="100" t="n"/>
      <c r="N921" s="100" t="n"/>
      <c r="O921" s="100" t="n"/>
      <c r="P921" s="100" t="n"/>
      <c r="Q921" s="100" t="n"/>
      <c r="R921" s="100" t="n"/>
      <c r="S921" s="100" t="n"/>
      <c r="T921" s="100" t="n"/>
      <c r="U921" s="100" t="n"/>
      <c r="V921" s="100" t="n"/>
      <c r="W921" s="100" t="n"/>
      <c r="X921" s="100" t="n"/>
      <c r="Y921" s="100" t="n"/>
      <c r="Z921" s="100" t="n"/>
      <c r="AA921" s="100" t="n"/>
      <c r="AB921" s="100" t="n"/>
      <c r="AC921" s="100" t="n"/>
      <c r="AD921" s="100" t="n"/>
      <c r="AE921" s="100" t="n"/>
      <c r="AF921" s="100" t="n"/>
      <c r="AG921" s="100" t="n"/>
      <c r="AH921" s="100" t="n"/>
      <c r="AI921" s="100" t="n"/>
      <c r="AJ921" s="100" t="n"/>
      <c r="AK921" s="100" t="n"/>
      <c r="AL921" s="100" t="n"/>
      <c r="AM921" s="100" t="n"/>
      <c r="AN921" s="100" t="n"/>
      <c r="AO921" s="100" t="n"/>
      <c r="AP921" s="100" t="n"/>
      <c r="AQ921" s="100" t="n"/>
      <c r="AR921" s="100" t="n"/>
    </row>
    <row r="923">
      <c r="A923" s="6">
        <f>IF(HSI!$C$90="","",HSI!$C$90)</f>
        <v/>
      </c>
      <c r="B923" s="96">
        <f>IF($A923="",0,COUNT($E924:$AR924))</f>
        <v/>
      </c>
      <c r="C923" s="97">
        <f>IF($B923=0,0,MAX($E924:$AR924))</f>
        <v/>
      </c>
      <c r="D923" s="98">
        <f>BDS($A923,FLD_HIST,"headers=y","startcol=1","endcol=7","dir=h","DVD_START_DT",HIST_FROM,"DVD_END_DT",HIST_TO)</f>
        <v/>
      </c>
      <c r="E923" s="99" t="n"/>
      <c r="F923" s="99" t="n"/>
      <c r="G923" s="99" t="n"/>
      <c r="H923" s="99" t="n"/>
      <c r="I923" s="99" t="n"/>
      <c r="J923" s="99" t="n"/>
      <c r="K923" s="99" t="n"/>
      <c r="L923" s="99" t="n"/>
      <c r="M923" s="99" t="n"/>
      <c r="N923" s="99" t="n"/>
      <c r="O923" s="99" t="n"/>
      <c r="P923" s="99" t="n"/>
      <c r="Q923" s="99" t="n"/>
      <c r="R923" s="99" t="n"/>
      <c r="S923" s="99" t="n"/>
      <c r="T923" s="99" t="n"/>
      <c r="U923" s="99" t="n"/>
      <c r="V923" s="99" t="n"/>
      <c r="W923" s="99" t="n"/>
      <c r="X923" s="99" t="n"/>
      <c r="Y923" s="99" t="n"/>
      <c r="Z923" s="99" t="n"/>
      <c r="AA923" s="99" t="n"/>
      <c r="AB923" s="99" t="n"/>
      <c r="AC923" s="99" t="n"/>
      <c r="AD923" s="99" t="n"/>
      <c r="AE923" s="99" t="n"/>
      <c r="AF923" s="99" t="n"/>
      <c r="AG923" s="99" t="n"/>
      <c r="AH923" s="99" t="n"/>
      <c r="AI923" s="99" t="n"/>
      <c r="AJ923" s="99" t="n"/>
      <c r="AK923" s="99" t="n"/>
      <c r="AL923" s="99" t="n"/>
      <c r="AM923" s="99" t="n"/>
      <c r="AN923" s="99" t="n"/>
      <c r="AO923" s="99" t="n"/>
      <c r="AP923" s="99" t="n"/>
      <c r="AQ923" s="99" t="n"/>
      <c r="AR923" s="99" t="n"/>
    </row>
    <row r="924">
      <c r="D924" s="99" t="n"/>
      <c r="E924" s="99" t="n"/>
      <c r="F924" s="99" t="n"/>
      <c r="G924" s="99" t="n"/>
      <c r="H924" s="99" t="n"/>
      <c r="I924" s="99" t="n"/>
      <c r="J924" s="99" t="n"/>
      <c r="K924" s="99" t="n"/>
      <c r="L924" s="99" t="n"/>
      <c r="M924" s="99" t="n"/>
      <c r="N924" s="99" t="n"/>
      <c r="O924" s="99" t="n"/>
      <c r="P924" s="99" t="n"/>
      <c r="Q924" s="99" t="n"/>
      <c r="R924" s="99" t="n"/>
      <c r="S924" s="99" t="n"/>
      <c r="T924" s="99" t="n"/>
      <c r="U924" s="99" t="n"/>
      <c r="V924" s="99" t="n"/>
      <c r="W924" s="99" t="n"/>
      <c r="X924" s="99" t="n"/>
      <c r="Y924" s="99" t="n"/>
      <c r="Z924" s="99" t="n"/>
      <c r="AA924" s="99" t="n"/>
      <c r="AB924" s="99" t="n"/>
      <c r="AC924" s="99" t="n"/>
      <c r="AD924" s="99" t="n"/>
      <c r="AE924" s="99" t="n"/>
      <c r="AF924" s="99" t="n"/>
      <c r="AG924" s="99" t="n"/>
      <c r="AH924" s="99" t="n"/>
      <c r="AI924" s="99" t="n"/>
      <c r="AJ924" s="99" t="n"/>
      <c r="AK924" s="99" t="n"/>
      <c r="AL924" s="99" t="n"/>
      <c r="AM924" s="99" t="n"/>
      <c r="AN924" s="99" t="n"/>
      <c r="AO924" s="99" t="n"/>
      <c r="AP924" s="99" t="n"/>
      <c r="AQ924" s="99" t="n"/>
      <c r="AR924" s="99" t="n"/>
    </row>
    <row r="925">
      <c r="D925" s="99" t="n"/>
      <c r="E925" s="99" t="n"/>
      <c r="F925" s="99" t="n"/>
      <c r="G925" s="99" t="n"/>
      <c r="H925" s="99" t="n"/>
      <c r="I925" s="99" t="n"/>
      <c r="J925" s="99" t="n"/>
      <c r="K925" s="99" t="n"/>
      <c r="L925" s="99" t="n"/>
      <c r="M925" s="99" t="n"/>
      <c r="N925" s="99" t="n"/>
      <c r="O925" s="99" t="n"/>
      <c r="P925" s="99" t="n"/>
      <c r="Q925" s="99" t="n"/>
      <c r="R925" s="99" t="n"/>
      <c r="S925" s="99" t="n"/>
      <c r="T925" s="99" t="n"/>
      <c r="U925" s="99" t="n"/>
      <c r="V925" s="99" t="n"/>
      <c r="W925" s="99" t="n"/>
      <c r="X925" s="99" t="n"/>
      <c r="Y925" s="99" t="n"/>
      <c r="Z925" s="99" t="n"/>
      <c r="AA925" s="99" t="n"/>
      <c r="AB925" s="99" t="n"/>
      <c r="AC925" s="99" t="n"/>
      <c r="AD925" s="99" t="n"/>
      <c r="AE925" s="99" t="n"/>
      <c r="AF925" s="99" t="n"/>
      <c r="AG925" s="99" t="n"/>
      <c r="AH925" s="99" t="n"/>
      <c r="AI925" s="99" t="n"/>
      <c r="AJ925" s="99" t="n"/>
      <c r="AK925" s="99" t="n"/>
      <c r="AL925" s="99" t="n"/>
      <c r="AM925" s="99" t="n"/>
      <c r="AN925" s="99" t="n"/>
      <c r="AO925" s="99" t="n"/>
      <c r="AP925" s="99" t="n"/>
      <c r="AQ925" s="99" t="n"/>
      <c r="AR925" s="99" t="n"/>
    </row>
    <row r="926">
      <c r="D926" s="99" t="n"/>
      <c r="E926" s="99" t="n"/>
      <c r="F926" s="99" t="n"/>
      <c r="G926" s="99" t="n"/>
      <c r="H926" s="99" t="n"/>
      <c r="I926" s="99" t="n"/>
      <c r="J926" s="99" t="n"/>
      <c r="K926" s="99" t="n"/>
      <c r="L926" s="99" t="n"/>
      <c r="M926" s="99" t="n"/>
      <c r="N926" s="99" t="n"/>
      <c r="O926" s="99" t="n"/>
      <c r="P926" s="99" t="n"/>
      <c r="Q926" s="99" t="n"/>
      <c r="R926" s="99" t="n"/>
      <c r="S926" s="99" t="n"/>
      <c r="T926" s="99" t="n"/>
      <c r="U926" s="99" t="n"/>
      <c r="V926" s="99" t="n"/>
      <c r="W926" s="99" t="n"/>
      <c r="X926" s="99" t="n"/>
      <c r="Y926" s="99" t="n"/>
      <c r="Z926" s="99" t="n"/>
      <c r="AA926" s="99" t="n"/>
      <c r="AB926" s="99" t="n"/>
      <c r="AC926" s="99" t="n"/>
      <c r="AD926" s="99" t="n"/>
      <c r="AE926" s="99" t="n"/>
      <c r="AF926" s="99" t="n"/>
      <c r="AG926" s="99" t="n"/>
      <c r="AH926" s="99" t="n"/>
      <c r="AI926" s="99" t="n"/>
      <c r="AJ926" s="99" t="n"/>
      <c r="AK926" s="99" t="n"/>
      <c r="AL926" s="99" t="n"/>
      <c r="AM926" s="99" t="n"/>
      <c r="AN926" s="99" t="n"/>
      <c r="AO926" s="99" t="n"/>
      <c r="AP926" s="99" t="n"/>
      <c r="AQ926" s="99" t="n"/>
      <c r="AR926" s="99" t="n"/>
    </row>
    <row r="927">
      <c r="D927" s="100" t="n"/>
      <c r="E927" s="100" t="n"/>
      <c r="F927" s="100" t="n"/>
      <c r="G927" s="100" t="n"/>
      <c r="H927" s="100" t="n"/>
      <c r="I927" s="100" t="n"/>
      <c r="J927" s="100" t="n"/>
      <c r="K927" s="100" t="n"/>
      <c r="L927" s="100" t="n"/>
      <c r="M927" s="100" t="n"/>
      <c r="N927" s="100" t="n"/>
      <c r="O927" s="100" t="n"/>
      <c r="P927" s="100" t="n"/>
      <c r="Q927" s="100" t="n"/>
      <c r="R927" s="100" t="n"/>
      <c r="S927" s="100" t="n"/>
      <c r="T927" s="100" t="n"/>
      <c r="U927" s="100" t="n"/>
      <c r="V927" s="100" t="n"/>
      <c r="W927" s="100" t="n"/>
      <c r="X927" s="100" t="n"/>
      <c r="Y927" s="100" t="n"/>
      <c r="Z927" s="100" t="n"/>
      <c r="AA927" s="100" t="n"/>
      <c r="AB927" s="100" t="n"/>
      <c r="AC927" s="100" t="n"/>
      <c r="AD927" s="100" t="n"/>
      <c r="AE927" s="100" t="n"/>
      <c r="AF927" s="100" t="n"/>
      <c r="AG927" s="100" t="n"/>
      <c r="AH927" s="100" t="n"/>
      <c r="AI927" s="100" t="n"/>
      <c r="AJ927" s="100" t="n"/>
      <c r="AK927" s="100" t="n"/>
      <c r="AL927" s="100" t="n"/>
      <c r="AM927" s="100" t="n"/>
      <c r="AN927" s="100" t="n"/>
      <c r="AO927" s="100" t="n"/>
      <c r="AP927" s="100" t="n"/>
      <c r="AQ927" s="100" t="n"/>
      <c r="AR927" s="100" t="n"/>
    </row>
    <row r="930">
      <c r="A930" s="2">
        <f>IF($A923="","","   projections")</f>
        <v/>
      </c>
      <c r="B930" s="96">
        <f>IF($A923="",0,COUNT($E931:$AR931))</f>
        <v/>
      </c>
      <c r="C930" s="97">
        <f>IF($B930=0,0,MAX($E931:$AR931))</f>
        <v/>
      </c>
      <c r="D930" s="98">
        <f>BDS($A923,FLD_PROJ,"headers=y","startcol=1","endcol=3","dir=h")</f>
        <v/>
      </c>
      <c r="E930" s="99" t="n"/>
      <c r="F930" s="99" t="n"/>
      <c r="G930" s="99" t="n"/>
      <c r="H930" s="99" t="n"/>
      <c r="I930" s="99" t="n"/>
      <c r="J930" s="99" t="n"/>
      <c r="K930" s="99" t="n"/>
      <c r="L930" s="99" t="n"/>
      <c r="M930" s="99" t="n"/>
      <c r="N930" s="99" t="n"/>
      <c r="O930" s="99" t="n"/>
      <c r="P930" s="99" t="n"/>
      <c r="Q930" s="99" t="n"/>
      <c r="R930" s="99" t="n"/>
      <c r="S930" s="99" t="n"/>
      <c r="T930" s="99" t="n"/>
      <c r="U930" s="99" t="n"/>
      <c r="V930" s="99" t="n"/>
      <c r="W930" s="99" t="n"/>
      <c r="X930" s="99" t="n"/>
      <c r="Y930" s="99" t="n"/>
      <c r="Z930" s="99" t="n"/>
      <c r="AA930" s="99" t="n"/>
      <c r="AB930" s="99" t="n"/>
      <c r="AC930" s="99" t="n"/>
      <c r="AD930" s="99" t="n"/>
      <c r="AE930" s="99" t="n"/>
      <c r="AF930" s="99" t="n"/>
      <c r="AG930" s="99" t="n"/>
      <c r="AH930" s="99" t="n"/>
      <c r="AI930" s="99" t="n"/>
      <c r="AJ930" s="99" t="n"/>
      <c r="AK930" s="99" t="n"/>
      <c r="AL930" s="99" t="n"/>
      <c r="AM930" s="99" t="n"/>
      <c r="AN930" s="99" t="n"/>
      <c r="AO930" s="99" t="n"/>
      <c r="AP930" s="99" t="n"/>
      <c r="AQ930" s="99" t="n"/>
      <c r="AR930" s="99" t="n"/>
    </row>
    <row r="931">
      <c r="D931" s="99" t="n"/>
      <c r="E931" s="99" t="n"/>
      <c r="F931" s="99" t="n"/>
      <c r="G931" s="99" t="n"/>
      <c r="H931" s="99" t="n"/>
      <c r="I931" s="99" t="n"/>
      <c r="J931" s="99" t="n"/>
      <c r="K931" s="99" t="n"/>
      <c r="L931" s="99" t="n"/>
      <c r="M931" s="99" t="n"/>
      <c r="N931" s="99" t="n"/>
      <c r="O931" s="99" t="n"/>
      <c r="P931" s="99" t="n"/>
      <c r="Q931" s="99" t="n"/>
      <c r="R931" s="99" t="n"/>
      <c r="S931" s="99" t="n"/>
      <c r="T931" s="99" t="n"/>
      <c r="U931" s="99" t="n"/>
      <c r="V931" s="99" t="n"/>
      <c r="W931" s="99" t="n"/>
      <c r="X931" s="99" t="n"/>
      <c r="Y931" s="99" t="n"/>
      <c r="Z931" s="99" t="n"/>
      <c r="AA931" s="99" t="n"/>
      <c r="AB931" s="99" t="n"/>
      <c r="AC931" s="99" t="n"/>
      <c r="AD931" s="99" t="n"/>
      <c r="AE931" s="99" t="n"/>
      <c r="AF931" s="99" t="n"/>
      <c r="AG931" s="99" t="n"/>
      <c r="AH931" s="99" t="n"/>
      <c r="AI931" s="99" t="n"/>
      <c r="AJ931" s="99" t="n"/>
      <c r="AK931" s="99" t="n"/>
      <c r="AL931" s="99" t="n"/>
      <c r="AM931" s="99" t="n"/>
      <c r="AN931" s="99" t="n"/>
      <c r="AO931" s="99" t="n"/>
      <c r="AP931" s="99" t="n"/>
      <c r="AQ931" s="99" t="n"/>
      <c r="AR931" s="99" t="n"/>
    </row>
    <row r="932">
      <c r="D932" s="100" t="n"/>
      <c r="E932" s="100" t="n"/>
      <c r="F932" s="100" t="n"/>
      <c r="G932" s="100" t="n"/>
      <c r="H932" s="100" t="n"/>
      <c r="I932" s="100" t="n"/>
      <c r="J932" s="100" t="n"/>
      <c r="K932" s="100" t="n"/>
      <c r="L932" s="100" t="n"/>
      <c r="M932" s="100" t="n"/>
      <c r="N932" s="100" t="n"/>
      <c r="O932" s="100" t="n"/>
      <c r="P932" s="100" t="n"/>
      <c r="Q932" s="100" t="n"/>
      <c r="R932" s="100" t="n"/>
      <c r="S932" s="100" t="n"/>
      <c r="T932" s="100" t="n"/>
      <c r="U932" s="100" t="n"/>
      <c r="V932" s="100" t="n"/>
      <c r="W932" s="100" t="n"/>
      <c r="X932" s="100" t="n"/>
      <c r="Y932" s="100" t="n"/>
      <c r="Z932" s="100" t="n"/>
      <c r="AA932" s="100" t="n"/>
      <c r="AB932" s="100" t="n"/>
      <c r="AC932" s="100" t="n"/>
      <c r="AD932" s="100" t="n"/>
      <c r="AE932" s="100" t="n"/>
      <c r="AF932" s="100" t="n"/>
      <c r="AG932" s="100" t="n"/>
      <c r="AH932" s="100" t="n"/>
      <c r="AI932" s="100" t="n"/>
      <c r="AJ932" s="100" t="n"/>
      <c r="AK932" s="100" t="n"/>
      <c r="AL932" s="100" t="n"/>
      <c r="AM932" s="100" t="n"/>
      <c r="AN932" s="100" t="n"/>
      <c r="AO932" s="100" t="n"/>
      <c r="AP932" s="100" t="n"/>
      <c r="AQ932" s="100" t="n"/>
      <c r="AR932" s="100" t="n"/>
    </row>
    <row r="934">
      <c r="A934" s="6">
        <f>IF(HSI!$C$91="","",HSI!$C$91)</f>
        <v/>
      </c>
      <c r="B934" s="96">
        <f>IF($A934="",0,COUNT($E935:$AR935))</f>
        <v/>
      </c>
      <c r="C934" s="97">
        <f>IF($B934=0,0,MAX($E935:$AR935))</f>
        <v/>
      </c>
      <c r="D934" s="98">
        <f>BDS($A934,FLD_HIST,"headers=y","startcol=1","endcol=7","dir=h","DVD_START_DT",HIST_FROM,"DVD_END_DT",HIST_TO)</f>
        <v/>
      </c>
      <c r="E934" s="99" t="n"/>
      <c r="F934" s="99" t="n"/>
      <c r="G934" s="99" t="n"/>
      <c r="H934" s="99" t="n"/>
      <c r="I934" s="99" t="n"/>
      <c r="J934" s="99" t="n"/>
      <c r="K934" s="99" t="n"/>
      <c r="L934" s="99" t="n"/>
      <c r="M934" s="99" t="n"/>
      <c r="N934" s="99" t="n"/>
      <c r="O934" s="99" t="n"/>
      <c r="P934" s="99" t="n"/>
      <c r="Q934" s="99" t="n"/>
      <c r="R934" s="99" t="n"/>
      <c r="S934" s="99" t="n"/>
      <c r="T934" s="99" t="n"/>
      <c r="U934" s="99" t="n"/>
      <c r="V934" s="99" t="n"/>
      <c r="W934" s="99" t="n"/>
      <c r="X934" s="99" t="n"/>
      <c r="Y934" s="99" t="n"/>
      <c r="Z934" s="99" t="n"/>
      <c r="AA934" s="99" t="n"/>
      <c r="AB934" s="99" t="n"/>
      <c r="AC934" s="99" t="n"/>
      <c r="AD934" s="99" t="n"/>
      <c r="AE934" s="99" t="n"/>
      <c r="AF934" s="99" t="n"/>
      <c r="AG934" s="99" t="n"/>
      <c r="AH934" s="99" t="n"/>
      <c r="AI934" s="99" t="n"/>
      <c r="AJ934" s="99" t="n"/>
      <c r="AK934" s="99" t="n"/>
      <c r="AL934" s="99" t="n"/>
      <c r="AM934" s="99" t="n"/>
      <c r="AN934" s="99" t="n"/>
      <c r="AO934" s="99" t="n"/>
      <c r="AP934" s="99" t="n"/>
      <c r="AQ934" s="99" t="n"/>
      <c r="AR934" s="99" t="n"/>
    </row>
    <row r="935">
      <c r="D935" s="99" t="n"/>
      <c r="E935" s="99" t="n"/>
      <c r="F935" s="99" t="n"/>
      <c r="G935" s="99" t="n"/>
      <c r="H935" s="99" t="n"/>
      <c r="I935" s="99" t="n"/>
      <c r="J935" s="99" t="n"/>
      <c r="K935" s="99" t="n"/>
      <c r="L935" s="99" t="n"/>
      <c r="M935" s="99" t="n"/>
      <c r="N935" s="99" t="n"/>
      <c r="O935" s="99" t="n"/>
      <c r="P935" s="99" t="n"/>
      <c r="Q935" s="99" t="n"/>
      <c r="R935" s="99" t="n"/>
      <c r="S935" s="99" t="n"/>
      <c r="T935" s="99" t="n"/>
      <c r="U935" s="99" t="n"/>
      <c r="V935" s="99" t="n"/>
      <c r="W935" s="99" t="n"/>
      <c r="X935" s="99" t="n"/>
      <c r="Y935" s="99" t="n"/>
      <c r="Z935" s="99" t="n"/>
      <c r="AA935" s="99" t="n"/>
      <c r="AB935" s="99" t="n"/>
      <c r="AC935" s="99" t="n"/>
      <c r="AD935" s="99" t="n"/>
      <c r="AE935" s="99" t="n"/>
      <c r="AF935" s="99" t="n"/>
      <c r="AG935" s="99" t="n"/>
      <c r="AH935" s="99" t="n"/>
      <c r="AI935" s="99" t="n"/>
      <c r="AJ935" s="99" t="n"/>
      <c r="AK935" s="99" t="n"/>
      <c r="AL935" s="99" t="n"/>
      <c r="AM935" s="99" t="n"/>
      <c r="AN935" s="99" t="n"/>
      <c r="AO935" s="99" t="n"/>
      <c r="AP935" s="99" t="n"/>
      <c r="AQ935" s="99" t="n"/>
      <c r="AR935" s="99" t="n"/>
    </row>
    <row r="936">
      <c r="D936" s="99" t="n"/>
      <c r="E936" s="99" t="n"/>
      <c r="F936" s="99" t="n"/>
      <c r="G936" s="99" t="n"/>
      <c r="H936" s="99" t="n"/>
      <c r="I936" s="99" t="n"/>
      <c r="J936" s="99" t="n"/>
      <c r="K936" s="99" t="n"/>
      <c r="L936" s="99" t="n"/>
      <c r="M936" s="99" t="n"/>
      <c r="N936" s="99" t="n"/>
      <c r="O936" s="99" t="n"/>
      <c r="P936" s="99" t="n"/>
      <c r="Q936" s="99" t="n"/>
      <c r="R936" s="99" t="n"/>
      <c r="S936" s="99" t="n"/>
      <c r="T936" s="99" t="n"/>
      <c r="U936" s="99" t="n"/>
      <c r="V936" s="99" t="n"/>
      <c r="W936" s="99" t="n"/>
      <c r="X936" s="99" t="n"/>
      <c r="Y936" s="99" t="n"/>
      <c r="Z936" s="99" t="n"/>
      <c r="AA936" s="99" t="n"/>
      <c r="AB936" s="99" t="n"/>
      <c r="AC936" s="99" t="n"/>
      <c r="AD936" s="99" t="n"/>
      <c r="AE936" s="99" t="n"/>
      <c r="AF936" s="99" t="n"/>
      <c r="AG936" s="99" t="n"/>
      <c r="AH936" s="99" t="n"/>
      <c r="AI936" s="99" t="n"/>
      <c r="AJ936" s="99" t="n"/>
      <c r="AK936" s="99" t="n"/>
      <c r="AL936" s="99" t="n"/>
      <c r="AM936" s="99" t="n"/>
      <c r="AN936" s="99" t="n"/>
      <c r="AO936" s="99" t="n"/>
      <c r="AP936" s="99" t="n"/>
      <c r="AQ936" s="99" t="n"/>
      <c r="AR936" s="99" t="n"/>
    </row>
    <row r="937">
      <c r="D937" s="99" t="n"/>
      <c r="E937" s="99" t="n"/>
      <c r="F937" s="99" t="n"/>
      <c r="G937" s="99" t="n"/>
      <c r="H937" s="99" t="n"/>
      <c r="I937" s="99" t="n"/>
      <c r="J937" s="99" t="n"/>
      <c r="K937" s="99" t="n"/>
      <c r="L937" s="99" t="n"/>
      <c r="M937" s="99" t="n"/>
      <c r="N937" s="99" t="n"/>
      <c r="O937" s="99" t="n"/>
      <c r="P937" s="99" t="n"/>
      <c r="Q937" s="99" t="n"/>
      <c r="R937" s="99" t="n"/>
      <c r="S937" s="99" t="n"/>
      <c r="T937" s="99" t="n"/>
      <c r="U937" s="99" t="n"/>
      <c r="V937" s="99" t="n"/>
      <c r="W937" s="99" t="n"/>
      <c r="X937" s="99" t="n"/>
      <c r="Y937" s="99" t="n"/>
      <c r="Z937" s="99" t="n"/>
      <c r="AA937" s="99" t="n"/>
      <c r="AB937" s="99" t="n"/>
      <c r="AC937" s="99" t="n"/>
      <c r="AD937" s="99" t="n"/>
      <c r="AE937" s="99" t="n"/>
      <c r="AF937" s="99" t="n"/>
      <c r="AG937" s="99" t="n"/>
      <c r="AH937" s="99" t="n"/>
      <c r="AI937" s="99" t="n"/>
      <c r="AJ937" s="99" t="n"/>
      <c r="AK937" s="99" t="n"/>
      <c r="AL937" s="99" t="n"/>
      <c r="AM937" s="99" t="n"/>
      <c r="AN937" s="99" t="n"/>
      <c r="AO937" s="99" t="n"/>
      <c r="AP937" s="99" t="n"/>
      <c r="AQ937" s="99" t="n"/>
      <c r="AR937" s="99" t="n"/>
    </row>
    <row r="938">
      <c r="D938" s="100" t="n"/>
      <c r="E938" s="100" t="n"/>
      <c r="F938" s="100" t="n"/>
      <c r="G938" s="100" t="n"/>
      <c r="H938" s="100" t="n"/>
      <c r="I938" s="100" t="n"/>
      <c r="J938" s="100" t="n"/>
      <c r="K938" s="100" t="n"/>
      <c r="L938" s="100" t="n"/>
      <c r="M938" s="100" t="n"/>
      <c r="N938" s="100" t="n"/>
      <c r="O938" s="100" t="n"/>
      <c r="P938" s="100" t="n"/>
      <c r="Q938" s="100" t="n"/>
      <c r="R938" s="100" t="n"/>
      <c r="S938" s="100" t="n"/>
      <c r="T938" s="100" t="n"/>
      <c r="U938" s="100" t="n"/>
      <c r="V938" s="100" t="n"/>
      <c r="W938" s="100" t="n"/>
      <c r="X938" s="100" t="n"/>
      <c r="Y938" s="100" t="n"/>
      <c r="Z938" s="100" t="n"/>
      <c r="AA938" s="100" t="n"/>
      <c r="AB938" s="100" t="n"/>
      <c r="AC938" s="100" t="n"/>
      <c r="AD938" s="100" t="n"/>
      <c r="AE938" s="100" t="n"/>
      <c r="AF938" s="100" t="n"/>
      <c r="AG938" s="100" t="n"/>
      <c r="AH938" s="100" t="n"/>
      <c r="AI938" s="100" t="n"/>
      <c r="AJ938" s="100" t="n"/>
      <c r="AK938" s="100" t="n"/>
      <c r="AL938" s="100" t="n"/>
      <c r="AM938" s="100" t="n"/>
      <c r="AN938" s="100" t="n"/>
      <c r="AO938" s="100" t="n"/>
      <c r="AP938" s="100" t="n"/>
      <c r="AQ938" s="100" t="n"/>
      <c r="AR938" s="100" t="n"/>
    </row>
    <row r="941">
      <c r="A941" s="2">
        <f>IF($A934="","","   projections")</f>
        <v/>
      </c>
      <c r="B941" s="96">
        <f>IF($A934="",0,COUNT($E942:$AR942))</f>
        <v/>
      </c>
      <c r="C941" s="97">
        <f>IF($B941=0,0,MAX($E942:$AR942))</f>
        <v/>
      </c>
      <c r="D941" s="98">
        <f>BDS($A934,FLD_PROJ,"headers=y","startcol=1","endcol=3","dir=h")</f>
        <v/>
      </c>
      <c r="E941" s="99" t="n"/>
      <c r="F941" s="99" t="n"/>
      <c r="G941" s="99" t="n"/>
      <c r="H941" s="99" t="n"/>
      <c r="I941" s="99" t="n"/>
      <c r="J941" s="99" t="n"/>
      <c r="K941" s="99" t="n"/>
      <c r="L941" s="99" t="n"/>
      <c r="M941" s="99" t="n"/>
      <c r="N941" s="99" t="n"/>
      <c r="O941" s="99" t="n"/>
      <c r="P941" s="99" t="n"/>
      <c r="Q941" s="99" t="n"/>
      <c r="R941" s="99" t="n"/>
      <c r="S941" s="99" t="n"/>
      <c r="T941" s="99" t="n"/>
      <c r="U941" s="99" t="n"/>
      <c r="V941" s="99" t="n"/>
      <c r="W941" s="99" t="n"/>
      <c r="X941" s="99" t="n"/>
      <c r="Y941" s="99" t="n"/>
      <c r="Z941" s="99" t="n"/>
      <c r="AA941" s="99" t="n"/>
      <c r="AB941" s="99" t="n"/>
      <c r="AC941" s="99" t="n"/>
      <c r="AD941" s="99" t="n"/>
      <c r="AE941" s="99" t="n"/>
      <c r="AF941" s="99" t="n"/>
      <c r="AG941" s="99" t="n"/>
      <c r="AH941" s="99" t="n"/>
      <c r="AI941" s="99" t="n"/>
      <c r="AJ941" s="99" t="n"/>
      <c r="AK941" s="99" t="n"/>
      <c r="AL941" s="99" t="n"/>
      <c r="AM941" s="99" t="n"/>
      <c r="AN941" s="99" t="n"/>
      <c r="AO941" s="99" t="n"/>
      <c r="AP941" s="99" t="n"/>
      <c r="AQ941" s="99" t="n"/>
      <c r="AR941" s="99" t="n"/>
    </row>
    <row r="942">
      <c r="D942" s="99" t="n"/>
      <c r="E942" s="99" t="n"/>
      <c r="F942" s="99" t="n"/>
      <c r="G942" s="99" t="n"/>
      <c r="H942" s="99" t="n"/>
      <c r="I942" s="99" t="n"/>
      <c r="J942" s="99" t="n"/>
      <c r="K942" s="99" t="n"/>
      <c r="L942" s="99" t="n"/>
      <c r="M942" s="99" t="n"/>
      <c r="N942" s="99" t="n"/>
      <c r="O942" s="99" t="n"/>
      <c r="P942" s="99" t="n"/>
      <c r="Q942" s="99" t="n"/>
      <c r="R942" s="99" t="n"/>
      <c r="S942" s="99" t="n"/>
      <c r="T942" s="99" t="n"/>
      <c r="U942" s="99" t="n"/>
      <c r="V942" s="99" t="n"/>
      <c r="W942" s="99" t="n"/>
      <c r="X942" s="99" t="n"/>
      <c r="Y942" s="99" t="n"/>
      <c r="Z942" s="99" t="n"/>
      <c r="AA942" s="99" t="n"/>
      <c r="AB942" s="99" t="n"/>
      <c r="AC942" s="99" t="n"/>
      <c r="AD942" s="99" t="n"/>
      <c r="AE942" s="99" t="n"/>
      <c r="AF942" s="99" t="n"/>
      <c r="AG942" s="99" t="n"/>
      <c r="AH942" s="99" t="n"/>
      <c r="AI942" s="99" t="n"/>
      <c r="AJ942" s="99" t="n"/>
      <c r="AK942" s="99" t="n"/>
      <c r="AL942" s="99" t="n"/>
      <c r="AM942" s="99" t="n"/>
      <c r="AN942" s="99" t="n"/>
      <c r="AO942" s="99" t="n"/>
      <c r="AP942" s="99" t="n"/>
      <c r="AQ942" s="99" t="n"/>
      <c r="AR942" s="99" t="n"/>
    </row>
    <row r="943">
      <c r="D943" s="100" t="n"/>
      <c r="E943" s="100" t="n"/>
      <c r="F943" s="100" t="n"/>
      <c r="G943" s="100" t="n"/>
      <c r="H943" s="100" t="n"/>
      <c r="I943" s="100" t="n"/>
      <c r="J943" s="100" t="n"/>
      <c r="K943" s="100" t="n"/>
      <c r="L943" s="100" t="n"/>
      <c r="M943" s="100" t="n"/>
      <c r="N943" s="100" t="n"/>
      <c r="O943" s="100" t="n"/>
      <c r="P943" s="100" t="n"/>
      <c r="Q943" s="100" t="n"/>
      <c r="R943" s="100" t="n"/>
      <c r="S943" s="100" t="n"/>
      <c r="T943" s="100" t="n"/>
      <c r="U943" s="100" t="n"/>
      <c r="V943" s="100" t="n"/>
      <c r="W943" s="100" t="n"/>
      <c r="X943" s="100" t="n"/>
      <c r="Y943" s="100" t="n"/>
      <c r="Z943" s="100" t="n"/>
      <c r="AA943" s="100" t="n"/>
      <c r="AB943" s="100" t="n"/>
      <c r="AC943" s="100" t="n"/>
      <c r="AD943" s="100" t="n"/>
      <c r="AE943" s="100" t="n"/>
      <c r="AF943" s="100" t="n"/>
      <c r="AG943" s="100" t="n"/>
      <c r="AH943" s="100" t="n"/>
      <c r="AI943" s="100" t="n"/>
      <c r="AJ943" s="100" t="n"/>
      <c r="AK943" s="100" t="n"/>
      <c r="AL943" s="100" t="n"/>
      <c r="AM943" s="100" t="n"/>
      <c r="AN943" s="100" t="n"/>
      <c r="AO943" s="100" t="n"/>
      <c r="AP943" s="100" t="n"/>
      <c r="AQ943" s="100" t="n"/>
      <c r="AR943" s="100" t="n"/>
    </row>
    <row r="945">
      <c r="A945" s="6">
        <f>IF(HSI!$C$92="","",HSI!$C$92)</f>
        <v/>
      </c>
      <c r="B945" s="96">
        <f>IF($A945="",0,COUNT($E946:$AR946))</f>
        <v/>
      </c>
      <c r="C945" s="97">
        <f>IF($B945=0,0,MAX($E946:$AR946))</f>
        <v/>
      </c>
      <c r="D945" s="98">
        <f>BDS($A945,FLD_HIST,"headers=y","startcol=1","endcol=7","dir=h","DVD_START_DT",HIST_FROM,"DVD_END_DT",HIST_TO)</f>
        <v/>
      </c>
      <c r="E945" s="99" t="n"/>
      <c r="F945" s="99" t="n"/>
      <c r="G945" s="99" t="n"/>
      <c r="H945" s="99" t="n"/>
      <c r="I945" s="99" t="n"/>
      <c r="J945" s="99" t="n"/>
      <c r="K945" s="99" t="n"/>
      <c r="L945" s="99" t="n"/>
      <c r="M945" s="99" t="n"/>
      <c r="N945" s="99" t="n"/>
      <c r="O945" s="99" t="n"/>
      <c r="P945" s="99" t="n"/>
      <c r="Q945" s="99" t="n"/>
      <c r="R945" s="99" t="n"/>
      <c r="S945" s="99" t="n"/>
      <c r="T945" s="99" t="n"/>
      <c r="U945" s="99" t="n"/>
      <c r="V945" s="99" t="n"/>
      <c r="W945" s="99" t="n"/>
      <c r="X945" s="99" t="n"/>
      <c r="Y945" s="99" t="n"/>
      <c r="Z945" s="99" t="n"/>
      <c r="AA945" s="99" t="n"/>
      <c r="AB945" s="99" t="n"/>
      <c r="AC945" s="99" t="n"/>
      <c r="AD945" s="99" t="n"/>
      <c r="AE945" s="99" t="n"/>
      <c r="AF945" s="99" t="n"/>
      <c r="AG945" s="99" t="n"/>
      <c r="AH945" s="99" t="n"/>
      <c r="AI945" s="99" t="n"/>
      <c r="AJ945" s="99" t="n"/>
      <c r="AK945" s="99" t="n"/>
      <c r="AL945" s="99" t="n"/>
      <c r="AM945" s="99" t="n"/>
      <c r="AN945" s="99" t="n"/>
      <c r="AO945" s="99" t="n"/>
      <c r="AP945" s="99" t="n"/>
      <c r="AQ945" s="99" t="n"/>
      <c r="AR945" s="99" t="n"/>
    </row>
    <row r="946">
      <c r="D946" s="99" t="n"/>
      <c r="E946" s="99" t="n"/>
      <c r="F946" s="99" t="n"/>
      <c r="G946" s="99" t="n"/>
      <c r="H946" s="99" t="n"/>
      <c r="I946" s="99" t="n"/>
      <c r="J946" s="99" t="n"/>
      <c r="K946" s="99" t="n"/>
      <c r="L946" s="99" t="n"/>
      <c r="M946" s="99" t="n"/>
      <c r="N946" s="99" t="n"/>
      <c r="O946" s="99" t="n"/>
      <c r="P946" s="99" t="n"/>
      <c r="Q946" s="99" t="n"/>
      <c r="R946" s="99" t="n"/>
      <c r="S946" s="99" t="n"/>
      <c r="T946" s="99" t="n"/>
      <c r="U946" s="99" t="n"/>
      <c r="V946" s="99" t="n"/>
      <c r="W946" s="99" t="n"/>
      <c r="X946" s="99" t="n"/>
      <c r="Y946" s="99" t="n"/>
      <c r="Z946" s="99" t="n"/>
      <c r="AA946" s="99" t="n"/>
      <c r="AB946" s="99" t="n"/>
      <c r="AC946" s="99" t="n"/>
      <c r="AD946" s="99" t="n"/>
      <c r="AE946" s="99" t="n"/>
      <c r="AF946" s="99" t="n"/>
      <c r="AG946" s="99" t="n"/>
      <c r="AH946" s="99" t="n"/>
      <c r="AI946" s="99" t="n"/>
      <c r="AJ946" s="99" t="n"/>
      <c r="AK946" s="99" t="n"/>
      <c r="AL946" s="99" t="n"/>
      <c r="AM946" s="99" t="n"/>
      <c r="AN946" s="99" t="n"/>
      <c r="AO946" s="99" t="n"/>
      <c r="AP946" s="99" t="n"/>
      <c r="AQ946" s="99" t="n"/>
      <c r="AR946" s="99" t="n"/>
    </row>
    <row r="947">
      <c r="D947" s="99" t="n"/>
      <c r="E947" s="99" t="n"/>
      <c r="F947" s="99" t="n"/>
      <c r="G947" s="99" t="n"/>
      <c r="H947" s="99" t="n"/>
      <c r="I947" s="99" t="n"/>
      <c r="J947" s="99" t="n"/>
      <c r="K947" s="99" t="n"/>
      <c r="L947" s="99" t="n"/>
      <c r="M947" s="99" t="n"/>
      <c r="N947" s="99" t="n"/>
      <c r="O947" s="99" t="n"/>
      <c r="P947" s="99" t="n"/>
      <c r="Q947" s="99" t="n"/>
      <c r="R947" s="99" t="n"/>
      <c r="S947" s="99" t="n"/>
      <c r="T947" s="99" t="n"/>
      <c r="U947" s="99" t="n"/>
      <c r="V947" s="99" t="n"/>
      <c r="W947" s="99" t="n"/>
      <c r="X947" s="99" t="n"/>
      <c r="Y947" s="99" t="n"/>
      <c r="Z947" s="99" t="n"/>
      <c r="AA947" s="99" t="n"/>
      <c r="AB947" s="99" t="n"/>
      <c r="AC947" s="99" t="n"/>
      <c r="AD947" s="99" t="n"/>
      <c r="AE947" s="99" t="n"/>
      <c r="AF947" s="99" t="n"/>
      <c r="AG947" s="99" t="n"/>
      <c r="AH947" s="99" t="n"/>
      <c r="AI947" s="99" t="n"/>
      <c r="AJ947" s="99" t="n"/>
      <c r="AK947" s="99" t="n"/>
      <c r="AL947" s="99" t="n"/>
      <c r="AM947" s="99" t="n"/>
      <c r="AN947" s="99" t="n"/>
      <c r="AO947" s="99" t="n"/>
      <c r="AP947" s="99" t="n"/>
      <c r="AQ947" s="99" t="n"/>
      <c r="AR947" s="99" t="n"/>
    </row>
    <row r="948">
      <c r="D948" s="99" t="n"/>
      <c r="E948" s="99" t="n"/>
      <c r="F948" s="99" t="n"/>
      <c r="G948" s="99" t="n"/>
      <c r="H948" s="99" t="n"/>
      <c r="I948" s="99" t="n"/>
      <c r="J948" s="99" t="n"/>
      <c r="K948" s="99" t="n"/>
      <c r="L948" s="99" t="n"/>
      <c r="M948" s="99" t="n"/>
      <c r="N948" s="99" t="n"/>
      <c r="O948" s="99" t="n"/>
      <c r="P948" s="99" t="n"/>
      <c r="Q948" s="99" t="n"/>
      <c r="R948" s="99" t="n"/>
      <c r="S948" s="99" t="n"/>
      <c r="T948" s="99" t="n"/>
      <c r="U948" s="99" t="n"/>
      <c r="V948" s="99" t="n"/>
      <c r="W948" s="99" t="n"/>
      <c r="X948" s="99" t="n"/>
      <c r="Y948" s="99" t="n"/>
      <c r="Z948" s="99" t="n"/>
      <c r="AA948" s="99" t="n"/>
      <c r="AB948" s="99" t="n"/>
      <c r="AC948" s="99" t="n"/>
      <c r="AD948" s="99" t="n"/>
      <c r="AE948" s="99" t="n"/>
      <c r="AF948" s="99" t="n"/>
      <c r="AG948" s="99" t="n"/>
      <c r="AH948" s="99" t="n"/>
      <c r="AI948" s="99" t="n"/>
      <c r="AJ948" s="99" t="n"/>
      <c r="AK948" s="99" t="n"/>
      <c r="AL948" s="99" t="n"/>
      <c r="AM948" s="99" t="n"/>
      <c r="AN948" s="99" t="n"/>
      <c r="AO948" s="99" t="n"/>
      <c r="AP948" s="99" t="n"/>
      <c r="AQ948" s="99" t="n"/>
      <c r="AR948" s="99" t="n"/>
    </row>
    <row r="949">
      <c r="D949" s="100" t="n"/>
      <c r="E949" s="100" t="n"/>
      <c r="F949" s="100" t="n"/>
      <c r="G949" s="100" t="n"/>
      <c r="H949" s="100" t="n"/>
      <c r="I949" s="100" t="n"/>
      <c r="J949" s="100" t="n"/>
      <c r="K949" s="100" t="n"/>
      <c r="L949" s="100" t="n"/>
      <c r="M949" s="100" t="n"/>
      <c r="N949" s="100" t="n"/>
      <c r="O949" s="100" t="n"/>
      <c r="P949" s="100" t="n"/>
      <c r="Q949" s="100" t="n"/>
      <c r="R949" s="100" t="n"/>
      <c r="S949" s="100" t="n"/>
      <c r="T949" s="100" t="n"/>
      <c r="U949" s="100" t="n"/>
      <c r="V949" s="100" t="n"/>
      <c r="W949" s="100" t="n"/>
      <c r="X949" s="100" t="n"/>
      <c r="Y949" s="100" t="n"/>
      <c r="Z949" s="100" t="n"/>
      <c r="AA949" s="100" t="n"/>
      <c r="AB949" s="100" t="n"/>
      <c r="AC949" s="100" t="n"/>
      <c r="AD949" s="100" t="n"/>
      <c r="AE949" s="100" t="n"/>
      <c r="AF949" s="100" t="n"/>
      <c r="AG949" s="100" t="n"/>
      <c r="AH949" s="100" t="n"/>
      <c r="AI949" s="100" t="n"/>
      <c r="AJ949" s="100" t="n"/>
      <c r="AK949" s="100" t="n"/>
      <c r="AL949" s="100" t="n"/>
      <c r="AM949" s="100" t="n"/>
      <c r="AN949" s="100" t="n"/>
      <c r="AO949" s="100" t="n"/>
      <c r="AP949" s="100" t="n"/>
      <c r="AQ949" s="100" t="n"/>
      <c r="AR949" s="100" t="n"/>
    </row>
    <row r="952">
      <c r="A952" s="2">
        <f>IF($A945="","","   projections")</f>
        <v/>
      </c>
      <c r="B952" s="96">
        <f>IF($A945="",0,COUNT($E953:$AR953))</f>
        <v/>
      </c>
      <c r="C952" s="97">
        <f>IF($B952=0,0,MAX($E953:$AR953))</f>
        <v/>
      </c>
      <c r="D952" s="98">
        <f>BDS($A945,FLD_PROJ,"headers=y","startcol=1","endcol=3","dir=h")</f>
        <v/>
      </c>
      <c r="E952" s="99" t="n"/>
      <c r="F952" s="99" t="n"/>
      <c r="G952" s="99" t="n"/>
      <c r="H952" s="99" t="n"/>
      <c r="I952" s="99" t="n"/>
      <c r="J952" s="99" t="n"/>
      <c r="K952" s="99" t="n"/>
      <c r="L952" s="99" t="n"/>
      <c r="M952" s="99" t="n"/>
      <c r="N952" s="99" t="n"/>
      <c r="O952" s="99" t="n"/>
      <c r="P952" s="99" t="n"/>
      <c r="Q952" s="99" t="n"/>
      <c r="R952" s="99" t="n"/>
      <c r="S952" s="99" t="n"/>
      <c r="T952" s="99" t="n"/>
      <c r="U952" s="99" t="n"/>
      <c r="V952" s="99" t="n"/>
      <c r="W952" s="99" t="n"/>
      <c r="X952" s="99" t="n"/>
      <c r="Y952" s="99" t="n"/>
      <c r="Z952" s="99" t="n"/>
      <c r="AA952" s="99" t="n"/>
      <c r="AB952" s="99" t="n"/>
      <c r="AC952" s="99" t="n"/>
      <c r="AD952" s="99" t="n"/>
      <c r="AE952" s="99" t="n"/>
      <c r="AF952" s="99" t="n"/>
      <c r="AG952" s="99" t="n"/>
      <c r="AH952" s="99" t="n"/>
      <c r="AI952" s="99" t="n"/>
      <c r="AJ952" s="99" t="n"/>
      <c r="AK952" s="99" t="n"/>
      <c r="AL952" s="99" t="n"/>
      <c r="AM952" s="99" t="n"/>
      <c r="AN952" s="99" t="n"/>
      <c r="AO952" s="99" t="n"/>
      <c r="AP952" s="99" t="n"/>
      <c r="AQ952" s="99" t="n"/>
      <c r="AR952" s="99" t="n"/>
    </row>
    <row r="953">
      <c r="D953" s="99" t="n"/>
      <c r="E953" s="99" t="n"/>
      <c r="F953" s="99" t="n"/>
      <c r="G953" s="99" t="n"/>
      <c r="H953" s="99" t="n"/>
      <c r="I953" s="99" t="n"/>
      <c r="J953" s="99" t="n"/>
      <c r="K953" s="99" t="n"/>
      <c r="L953" s="99" t="n"/>
      <c r="M953" s="99" t="n"/>
      <c r="N953" s="99" t="n"/>
      <c r="O953" s="99" t="n"/>
      <c r="P953" s="99" t="n"/>
      <c r="Q953" s="99" t="n"/>
      <c r="R953" s="99" t="n"/>
      <c r="S953" s="99" t="n"/>
      <c r="T953" s="99" t="n"/>
      <c r="U953" s="99" t="n"/>
      <c r="V953" s="99" t="n"/>
      <c r="W953" s="99" t="n"/>
      <c r="X953" s="99" t="n"/>
      <c r="Y953" s="99" t="n"/>
      <c r="Z953" s="99" t="n"/>
      <c r="AA953" s="99" t="n"/>
      <c r="AB953" s="99" t="n"/>
      <c r="AC953" s="99" t="n"/>
      <c r="AD953" s="99" t="n"/>
      <c r="AE953" s="99" t="n"/>
      <c r="AF953" s="99" t="n"/>
      <c r="AG953" s="99" t="n"/>
      <c r="AH953" s="99" t="n"/>
      <c r="AI953" s="99" t="n"/>
      <c r="AJ953" s="99" t="n"/>
      <c r="AK953" s="99" t="n"/>
      <c r="AL953" s="99" t="n"/>
      <c r="AM953" s="99" t="n"/>
      <c r="AN953" s="99" t="n"/>
      <c r="AO953" s="99" t="n"/>
      <c r="AP953" s="99" t="n"/>
      <c r="AQ953" s="99" t="n"/>
      <c r="AR953" s="99" t="n"/>
    </row>
    <row r="954">
      <c r="D954" s="100" t="n"/>
      <c r="E954" s="100" t="n"/>
      <c r="F954" s="100" t="n"/>
      <c r="G954" s="100" t="n"/>
      <c r="H954" s="100" t="n"/>
      <c r="I954" s="100" t="n"/>
      <c r="J954" s="100" t="n"/>
      <c r="K954" s="100" t="n"/>
      <c r="L954" s="100" t="n"/>
      <c r="M954" s="100" t="n"/>
      <c r="N954" s="100" t="n"/>
      <c r="O954" s="100" t="n"/>
      <c r="P954" s="100" t="n"/>
      <c r="Q954" s="100" t="n"/>
      <c r="R954" s="100" t="n"/>
      <c r="S954" s="100" t="n"/>
      <c r="T954" s="100" t="n"/>
      <c r="U954" s="100" t="n"/>
      <c r="V954" s="100" t="n"/>
      <c r="W954" s="100" t="n"/>
      <c r="X954" s="100" t="n"/>
      <c r="Y954" s="100" t="n"/>
      <c r="Z954" s="100" t="n"/>
      <c r="AA954" s="100" t="n"/>
      <c r="AB954" s="100" t="n"/>
      <c r="AC954" s="100" t="n"/>
      <c r="AD954" s="100" t="n"/>
      <c r="AE954" s="100" t="n"/>
      <c r="AF954" s="100" t="n"/>
      <c r="AG954" s="100" t="n"/>
      <c r="AH954" s="100" t="n"/>
      <c r="AI954" s="100" t="n"/>
      <c r="AJ954" s="100" t="n"/>
      <c r="AK954" s="100" t="n"/>
      <c r="AL954" s="100" t="n"/>
      <c r="AM954" s="100" t="n"/>
      <c r="AN954" s="100" t="n"/>
      <c r="AO954" s="100" t="n"/>
      <c r="AP954" s="100" t="n"/>
      <c r="AQ954" s="100" t="n"/>
      <c r="AR954" s="100" t="n"/>
    </row>
    <row r="956">
      <c r="A956" s="6">
        <f>IF(HSI!$C$93="","",HSI!$C$93)</f>
        <v/>
      </c>
      <c r="B956" s="96">
        <f>IF($A956="",0,COUNT($E957:$AR957))</f>
        <v/>
      </c>
      <c r="C956" s="97">
        <f>IF($B956=0,0,MAX($E957:$AR957))</f>
        <v/>
      </c>
      <c r="D956" s="98">
        <f>BDS($A956,FLD_HIST,"headers=y","startcol=1","endcol=7","dir=h","DVD_START_DT",HIST_FROM,"DVD_END_DT",HIST_TO)</f>
        <v/>
      </c>
      <c r="E956" s="99" t="n"/>
      <c r="F956" s="99" t="n"/>
      <c r="G956" s="99" t="n"/>
      <c r="H956" s="99" t="n"/>
      <c r="I956" s="99" t="n"/>
      <c r="J956" s="99" t="n"/>
      <c r="K956" s="99" t="n"/>
      <c r="L956" s="99" t="n"/>
      <c r="M956" s="99" t="n"/>
      <c r="N956" s="99" t="n"/>
      <c r="O956" s="99" t="n"/>
      <c r="P956" s="99" t="n"/>
      <c r="Q956" s="99" t="n"/>
      <c r="R956" s="99" t="n"/>
      <c r="S956" s="99" t="n"/>
      <c r="T956" s="99" t="n"/>
      <c r="U956" s="99" t="n"/>
      <c r="V956" s="99" t="n"/>
      <c r="W956" s="99" t="n"/>
      <c r="X956" s="99" t="n"/>
      <c r="Y956" s="99" t="n"/>
      <c r="Z956" s="99" t="n"/>
      <c r="AA956" s="99" t="n"/>
      <c r="AB956" s="99" t="n"/>
      <c r="AC956" s="99" t="n"/>
      <c r="AD956" s="99" t="n"/>
      <c r="AE956" s="99" t="n"/>
      <c r="AF956" s="99" t="n"/>
      <c r="AG956" s="99" t="n"/>
      <c r="AH956" s="99" t="n"/>
      <c r="AI956" s="99" t="n"/>
      <c r="AJ956" s="99" t="n"/>
      <c r="AK956" s="99" t="n"/>
      <c r="AL956" s="99" t="n"/>
      <c r="AM956" s="99" t="n"/>
      <c r="AN956" s="99" t="n"/>
      <c r="AO956" s="99" t="n"/>
      <c r="AP956" s="99" t="n"/>
      <c r="AQ956" s="99" t="n"/>
      <c r="AR956" s="99" t="n"/>
    </row>
    <row r="957">
      <c r="D957" s="99" t="n"/>
      <c r="E957" s="99" t="n"/>
      <c r="F957" s="99" t="n"/>
      <c r="G957" s="99" t="n"/>
      <c r="H957" s="99" t="n"/>
      <c r="I957" s="99" t="n"/>
      <c r="J957" s="99" t="n"/>
      <c r="K957" s="99" t="n"/>
      <c r="L957" s="99" t="n"/>
      <c r="M957" s="99" t="n"/>
      <c r="N957" s="99" t="n"/>
      <c r="O957" s="99" t="n"/>
      <c r="P957" s="99" t="n"/>
      <c r="Q957" s="99" t="n"/>
      <c r="R957" s="99" t="n"/>
      <c r="S957" s="99" t="n"/>
      <c r="T957" s="99" t="n"/>
      <c r="U957" s="99" t="n"/>
      <c r="V957" s="99" t="n"/>
      <c r="W957" s="99" t="n"/>
      <c r="X957" s="99" t="n"/>
      <c r="Y957" s="99" t="n"/>
      <c r="Z957" s="99" t="n"/>
      <c r="AA957" s="99" t="n"/>
      <c r="AB957" s="99" t="n"/>
      <c r="AC957" s="99" t="n"/>
      <c r="AD957" s="99" t="n"/>
      <c r="AE957" s="99" t="n"/>
      <c r="AF957" s="99" t="n"/>
      <c r="AG957" s="99" t="n"/>
      <c r="AH957" s="99" t="n"/>
      <c r="AI957" s="99" t="n"/>
      <c r="AJ957" s="99" t="n"/>
      <c r="AK957" s="99" t="n"/>
      <c r="AL957" s="99" t="n"/>
      <c r="AM957" s="99" t="n"/>
      <c r="AN957" s="99" t="n"/>
      <c r="AO957" s="99" t="n"/>
      <c r="AP957" s="99" t="n"/>
      <c r="AQ957" s="99" t="n"/>
      <c r="AR957" s="99" t="n"/>
    </row>
    <row r="958">
      <c r="D958" s="99" t="n"/>
      <c r="E958" s="99" t="n"/>
      <c r="F958" s="99" t="n"/>
      <c r="G958" s="99" t="n"/>
      <c r="H958" s="99" t="n"/>
      <c r="I958" s="99" t="n"/>
      <c r="J958" s="99" t="n"/>
      <c r="K958" s="99" t="n"/>
      <c r="L958" s="99" t="n"/>
      <c r="M958" s="99" t="n"/>
      <c r="N958" s="99" t="n"/>
      <c r="O958" s="99" t="n"/>
      <c r="P958" s="99" t="n"/>
      <c r="Q958" s="99" t="n"/>
      <c r="R958" s="99" t="n"/>
      <c r="S958" s="99" t="n"/>
      <c r="T958" s="99" t="n"/>
      <c r="U958" s="99" t="n"/>
      <c r="V958" s="99" t="n"/>
      <c r="W958" s="99" t="n"/>
      <c r="X958" s="99" t="n"/>
      <c r="Y958" s="99" t="n"/>
      <c r="Z958" s="99" t="n"/>
      <c r="AA958" s="99" t="n"/>
      <c r="AB958" s="99" t="n"/>
      <c r="AC958" s="99" t="n"/>
      <c r="AD958" s="99" t="n"/>
      <c r="AE958" s="99" t="n"/>
      <c r="AF958" s="99" t="n"/>
      <c r="AG958" s="99" t="n"/>
      <c r="AH958" s="99" t="n"/>
      <c r="AI958" s="99" t="n"/>
      <c r="AJ958" s="99" t="n"/>
      <c r="AK958" s="99" t="n"/>
      <c r="AL958" s="99" t="n"/>
      <c r="AM958" s="99" t="n"/>
      <c r="AN958" s="99" t="n"/>
      <c r="AO958" s="99" t="n"/>
      <c r="AP958" s="99" t="n"/>
      <c r="AQ958" s="99" t="n"/>
      <c r="AR958" s="99" t="n"/>
    </row>
    <row r="959">
      <c r="D959" s="99" t="n"/>
      <c r="E959" s="99" t="n"/>
      <c r="F959" s="99" t="n"/>
      <c r="G959" s="99" t="n"/>
      <c r="H959" s="99" t="n"/>
      <c r="I959" s="99" t="n"/>
      <c r="J959" s="99" t="n"/>
      <c r="K959" s="99" t="n"/>
      <c r="L959" s="99" t="n"/>
      <c r="M959" s="99" t="n"/>
      <c r="N959" s="99" t="n"/>
      <c r="O959" s="99" t="n"/>
      <c r="P959" s="99" t="n"/>
      <c r="Q959" s="99" t="n"/>
      <c r="R959" s="99" t="n"/>
      <c r="S959" s="99" t="n"/>
      <c r="T959" s="99" t="n"/>
      <c r="U959" s="99" t="n"/>
      <c r="V959" s="99" t="n"/>
      <c r="W959" s="99" t="n"/>
      <c r="X959" s="99" t="n"/>
      <c r="Y959" s="99" t="n"/>
      <c r="Z959" s="99" t="n"/>
      <c r="AA959" s="99" t="n"/>
      <c r="AB959" s="99" t="n"/>
      <c r="AC959" s="99" t="n"/>
      <c r="AD959" s="99" t="n"/>
      <c r="AE959" s="99" t="n"/>
      <c r="AF959" s="99" t="n"/>
      <c r="AG959" s="99" t="n"/>
      <c r="AH959" s="99" t="n"/>
      <c r="AI959" s="99" t="n"/>
      <c r="AJ959" s="99" t="n"/>
      <c r="AK959" s="99" t="n"/>
      <c r="AL959" s="99" t="n"/>
      <c r="AM959" s="99" t="n"/>
      <c r="AN959" s="99" t="n"/>
      <c r="AO959" s="99" t="n"/>
      <c r="AP959" s="99" t="n"/>
      <c r="AQ959" s="99" t="n"/>
      <c r="AR959" s="99" t="n"/>
    </row>
    <row r="960">
      <c r="D960" s="100" t="n"/>
      <c r="E960" s="100" t="n"/>
      <c r="F960" s="100" t="n"/>
      <c r="G960" s="100" t="n"/>
      <c r="H960" s="100" t="n"/>
      <c r="I960" s="100" t="n"/>
      <c r="J960" s="100" t="n"/>
      <c r="K960" s="100" t="n"/>
      <c r="L960" s="100" t="n"/>
      <c r="M960" s="100" t="n"/>
      <c r="N960" s="100" t="n"/>
      <c r="O960" s="100" t="n"/>
      <c r="P960" s="100" t="n"/>
      <c r="Q960" s="100" t="n"/>
      <c r="R960" s="100" t="n"/>
      <c r="S960" s="100" t="n"/>
      <c r="T960" s="100" t="n"/>
      <c r="U960" s="100" t="n"/>
      <c r="V960" s="100" t="n"/>
      <c r="W960" s="100" t="n"/>
      <c r="X960" s="100" t="n"/>
      <c r="Y960" s="100" t="n"/>
      <c r="Z960" s="100" t="n"/>
      <c r="AA960" s="100" t="n"/>
      <c r="AB960" s="100" t="n"/>
      <c r="AC960" s="100" t="n"/>
      <c r="AD960" s="100" t="n"/>
      <c r="AE960" s="100" t="n"/>
      <c r="AF960" s="100" t="n"/>
      <c r="AG960" s="100" t="n"/>
      <c r="AH960" s="100" t="n"/>
      <c r="AI960" s="100" t="n"/>
      <c r="AJ960" s="100" t="n"/>
      <c r="AK960" s="100" t="n"/>
      <c r="AL960" s="100" t="n"/>
      <c r="AM960" s="100" t="n"/>
      <c r="AN960" s="100" t="n"/>
      <c r="AO960" s="100" t="n"/>
      <c r="AP960" s="100" t="n"/>
      <c r="AQ960" s="100" t="n"/>
      <c r="AR960" s="100" t="n"/>
    </row>
    <row r="963">
      <c r="A963" s="2">
        <f>IF($A956="","","   projections")</f>
        <v/>
      </c>
      <c r="B963" s="96">
        <f>IF($A956="",0,COUNT($E964:$AR964))</f>
        <v/>
      </c>
      <c r="C963" s="97">
        <f>IF($B963=0,0,MAX($E964:$AR964))</f>
        <v/>
      </c>
      <c r="D963" s="98">
        <f>BDS($A956,FLD_PROJ,"headers=y","startcol=1","endcol=3","dir=h")</f>
        <v/>
      </c>
      <c r="E963" s="99" t="n"/>
      <c r="F963" s="99" t="n"/>
      <c r="G963" s="99" t="n"/>
      <c r="H963" s="99" t="n"/>
      <c r="I963" s="99" t="n"/>
      <c r="J963" s="99" t="n"/>
      <c r="K963" s="99" t="n"/>
      <c r="L963" s="99" t="n"/>
      <c r="M963" s="99" t="n"/>
      <c r="N963" s="99" t="n"/>
      <c r="O963" s="99" t="n"/>
      <c r="P963" s="99" t="n"/>
      <c r="Q963" s="99" t="n"/>
      <c r="R963" s="99" t="n"/>
      <c r="S963" s="99" t="n"/>
      <c r="T963" s="99" t="n"/>
      <c r="U963" s="99" t="n"/>
      <c r="V963" s="99" t="n"/>
      <c r="W963" s="99" t="n"/>
      <c r="X963" s="99" t="n"/>
      <c r="Y963" s="99" t="n"/>
      <c r="Z963" s="99" t="n"/>
      <c r="AA963" s="99" t="n"/>
      <c r="AB963" s="99" t="n"/>
      <c r="AC963" s="99" t="n"/>
      <c r="AD963" s="99" t="n"/>
      <c r="AE963" s="99" t="n"/>
      <c r="AF963" s="99" t="n"/>
      <c r="AG963" s="99" t="n"/>
      <c r="AH963" s="99" t="n"/>
      <c r="AI963" s="99" t="n"/>
      <c r="AJ963" s="99" t="n"/>
      <c r="AK963" s="99" t="n"/>
      <c r="AL963" s="99" t="n"/>
      <c r="AM963" s="99" t="n"/>
      <c r="AN963" s="99" t="n"/>
      <c r="AO963" s="99" t="n"/>
      <c r="AP963" s="99" t="n"/>
      <c r="AQ963" s="99" t="n"/>
      <c r="AR963" s="99" t="n"/>
    </row>
    <row r="964">
      <c r="D964" s="99" t="n"/>
      <c r="E964" s="99" t="n"/>
      <c r="F964" s="99" t="n"/>
      <c r="G964" s="99" t="n"/>
      <c r="H964" s="99" t="n"/>
      <c r="I964" s="99" t="n"/>
      <c r="J964" s="99" t="n"/>
      <c r="K964" s="99" t="n"/>
      <c r="L964" s="99" t="n"/>
      <c r="M964" s="99" t="n"/>
      <c r="N964" s="99" t="n"/>
      <c r="O964" s="99" t="n"/>
      <c r="P964" s="99" t="n"/>
      <c r="Q964" s="99" t="n"/>
      <c r="R964" s="99" t="n"/>
      <c r="S964" s="99" t="n"/>
      <c r="T964" s="99" t="n"/>
      <c r="U964" s="99" t="n"/>
      <c r="V964" s="99" t="n"/>
      <c r="W964" s="99" t="n"/>
      <c r="X964" s="99" t="n"/>
      <c r="Y964" s="99" t="n"/>
      <c r="Z964" s="99" t="n"/>
      <c r="AA964" s="99" t="n"/>
      <c r="AB964" s="99" t="n"/>
      <c r="AC964" s="99" t="n"/>
      <c r="AD964" s="99" t="n"/>
      <c r="AE964" s="99" t="n"/>
      <c r="AF964" s="99" t="n"/>
      <c r="AG964" s="99" t="n"/>
      <c r="AH964" s="99" t="n"/>
      <c r="AI964" s="99" t="n"/>
      <c r="AJ964" s="99" t="n"/>
      <c r="AK964" s="99" t="n"/>
      <c r="AL964" s="99" t="n"/>
      <c r="AM964" s="99" t="n"/>
      <c r="AN964" s="99" t="n"/>
      <c r="AO964" s="99" t="n"/>
      <c r="AP964" s="99" t="n"/>
      <c r="AQ964" s="99" t="n"/>
      <c r="AR964" s="99" t="n"/>
    </row>
    <row r="965">
      <c r="D965" s="100" t="n"/>
      <c r="E965" s="100" t="n"/>
      <c r="F965" s="100" t="n"/>
      <c r="G965" s="100" t="n"/>
      <c r="H965" s="100" t="n"/>
      <c r="I965" s="100" t="n"/>
      <c r="J965" s="100" t="n"/>
      <c r="K965" s="100" t="n"/>
      <c r="L965" s="100" t="n"/>
      <c r="M965" s="100" t="n"/>
      <c r="N965" s="100" t="n"/>
      <c r="O965" s="100" t="n"/>
      <c r="P965" s="100" t="n"/>
      <c r="Q965" s="100" t="n"/>
      <c r="R965" s="100" t="n"/>
      <c r="S965" s="100" t="n"/>
      <c r="T965" s="100" t="n"/>
      <c r="U965" s="100" t="n"/>
      <c r="V965" s="100" t="n"/>
      <c r="W965" s="100" t="n"/>
      <c r="X965" s="100" t="n"/>
      <c r="Y965" s="100" t="n"/>
      <c r="Z965" s="100" t="n"/>
      <c r="AA965" s="100" t="n"/>
      <c r="AB965" s="100" t="n"/>
      <c r="AC965" s="100" t="n"/>
      <c r="AD965" s="100" t="n"/>
      <c r="AE965" s="100" t="n"/>
      <c r="AF965" s="100" t="n"/>
      <c r="AG965" s="100" t="n"/>
      <c r="AH965" s="100" t="n"/>
      <c r="AI965" s="100" t="n"/>
      <c r="AJ965" s="100" t="n"/>
      <c r="AK965" s="100" t="n"/>
      <c r="AL965" s="100" t="n"/>
      <c r="AM965" s="100" t="n"/>
      <c r="AN965" s="100" t="n"/>
      <c r="AO965" s="100" t="n"/>
      <c r="AP965" s="100" t="n"/>
      <c r="AQ965" s="100" t="n"/>
      <c r="AR965" s="100" t="n"/>
    </row>
    <row r="967">
      <c r="A967" s="6">
        <f>IF(HSI!$C$94="","",HSI!$C$94)</f>
        <v/>
      </c>
      <c r="B967" s="96">
        <f>IF($A967="",0,COUNT($E968:$AR968))</f>
        <v/>
      </c>
      <c r="C967" s="97">
        <f>IF($B967=0,0,MAX($E968:$AR968))</f>
        <v/>
      </c>
      <c r="D967" s="98">
        <f>BDS($A967,FLD_HIST,"headers=y","startcol=1","endcol=7","dir=h","DVD_START_DT",HIST_FROM,"DVD_END_DT",HIST_TO)</f>
        <v/>
      </c>
      <c r="E967" s="99" t="n"/>
      <c r="F967" s="99" t="n"/>
      <c r="G967" s="99" t="n"/>
      <c r="H967" s="99" t="n"/>
      <c r="I967" s="99" t="n"/>
      <c r="J967" s="99" t="n"/>
      <c r="K967" s="99" t="n"/>
      <c r="L967" s="99" t="n"/>
      <c r="M967" s="99" t="n"/>
      <c r="N967" s="99" t="n"/>
      <c r="O967" s="99" t="n"/>
      <c r="P967" s="99" t="n"/>
      <c r="Q967" s="99" t="n"/>
      <c r="R967" s="99" t="n"/>
      <c r="S967" s="99" t="n"/>
      <c r="T967" s="99" t="n"/>
      <c r="U967" s="99" t="n"/>
      <c r="V967" s="99" t="n"/>
      <c r="W967" s="99" t="n"/>
      <c r="X967" s="99" t="n"/>
      <c r="Y967" s="99" t="n"/>
      <c r="Z967" s="99" t="n"/>
      <c r="AA967" s="99" t="n"/>
      <c r="AB967" s="99" t="n"/>
      <c r="AC967" s="99" t="n"/>
      <c r="AD967" s="99" t="n"/>
      <c r="AE967" s="99" t="n"/>
      <c r="AF967" s="99" t="n"/>
      <c r="AG967" s="99" t="n"/>
      <c r="AH967" s="99" t="n"/>
      <c r="AI967" s="99" t="n"/>
      <c r="AJ967" s="99" t="n"/>
      <c r="AK967" s="99" t="n"/>
      <c r="AL967" s="99" t="n"/>
      <c r="AM967" s="99" t="n"/>
      <c r="AN967" s="99" t="n"/>
      <c r="AO967" s="99" t="n"/>
      <c r="AP967" s="99" t="n"/>
      <c r="AQ967" s="99" t="n"/>
      <c r="AR967" s="99" t="n"/>
    </row>
    <row r="968">
      <c r="D968" s="99" t="n"/>
      <c r="E968" s="99" t="n"/>
      <c r="F968" s="99" t="n"/>
      <c r="G968" s="99" t="n"/>
      <c r="H968" s="99" t="n"/>
      <c r="I968" s="99" t="n"/>
      <c r="J968" s="99" t="n"/>
      <c r="K968" s="99" t="n"/>
      <c r="L968" s="99" t="n"/>
      <c r="M968" s="99" t="n"/>
      <c r="N968" s="99" t="n"/>
      <c r="O968" s="99" t="n"/>
      <c r="P968" s="99" t="n"/>
      <c r="Q968" s="99" t="n"/>
      <c r="R968" s="99" t="n"/>
      <c r="S968" s="99" t="n"/>
      <c r="T968" s="99" t="n"/>
      <c r="U968" s="99" t="n"/>
      <c r="V968" s="99" t="n"/>
      <c r="W968" s="99" t="n"/>
      <c r="X968" s="99" t="n"/>
      <c r="Y968" s="99" t="n"/>
      <c r="Z968" s="99" t="n"/>
      <c r="AA968" s="99" t="n"/>
      <c r="AB968" s="99" t="n"/>
      <c r="AC968" s="99" t="n"/>
      <c r="AD968" s="99" t="n"/>
      <c r="AE968" s="99" t="n"/>
      <c r="AF968" s="99" t="n"/>
      <c r="AG968" s="99" t="n"/>
      <c r="AH968" s="99" t="n"/>
      <c r="AI968" s="99" t="n"/>
      <c r="AJ968" s="99" t="n"/>
      <c r="AK968" s="99" t="n"/>
      <c r="AL968" s="99" t="n"/>
      <c r="AM968" s="99" t="n"/>
      <c r="AN968" s="99" t="n"/>
      <c r="AO968" s="99" t="n"/>
      <c r="AP968" s="99" t="n"/>
      <c r="AQ968" s="99" t="n"/>
      <c r="AR968" s="99" t="n"/>
    </row>
    <row r="969">
      <c r="D969" s="99" t="n"/>
      <c r="E969" s="99" t="n"/>
      <c r="F969" s="99" t="n"/>
      <c r="G969" s="99" t="n"/>
      <c r="H969" s="99" t="n"/>
      <c r="I969" s="99" t="n"/>
      <c r="J969" s="99" t="n"/>
      <c r="K969" s="99" t="n"/>
      <c r="L969" s="99" t="n"/>
      <c r="M969" s="99" t="n"/>
      <c r="N969" s="99" t="n"/>
      <c r="O969" s="99" t="n"/>
      <c r="P969" s="99" t="n"/>
      <c r="Q969" s="99" t="n"/>
      <c r="R969" s="99" t="n"/>
      <c r="S969" s="99" t="n"/>
      <c r="T969" s="99" t="n"/>
      <c r="U969" s="99" t="n"/>
      <c r="V969" s="99" t="n"/>
      <c r="W969" s="99" t="n"/>
      <c r="X969" s="99" t="n"/>
      <c r="Y969" s="99" t="n"/>
      <c r="Z969" s="99" t="n"/>
      <c r="AA969" s="99" t="n"/>
      <c r="AB969" s="99" t="n"/>
      <c r="AC969" s="99" t="n"/>
      <c r="AD969" s="99" t="n"/>
      <c r="AE969" s="99" t="n"/>
      <c r="AF969" s="99" t="n"/>
      <c r="AG969" s="99" t="n"/>
      <c r="AH969" s="99" t="n"/>
      <c r="AI969" s="99" t="n"/>
      <c r="AJ969" s="99" t="n"/>
      <c r="AK969" s="99" t="n"/>
      <c r="AL969" s="99" t="n"/>
      <c r="AM969" s="99" t="n"/>
      <c r="AN969" s="99" t="n"/>
      <c r="AO969" s="99" t="n"/>
      <c r="AP969" s="99" t="n"/>
      <c r="AQ969" s="99" t="n"/>
      <c r="AR969" s="99" t="n"/>
    </row>
    <row r="970">
      <c r="D970" s="99" t="n"/>
      <c r="E970" s="99" t="n"/>
      <c r="F970" s="99" t="n"/>
      <c r="G970" s="99" t="n"/>
      <c r="H970" s="99" t="n"/>
      <c r="I970" s="99" t="n"/>
      <c r="J970" s="99" t="n"/>
      <c r="K970" s="99" t="n"/>
      <c r="L970" s="99" t="n"/>
      <c r="M970" s="99" t="n"/>
      <c r="N970" s="99" t="n"/>
      <c r="O970" s="99" t="n"/>
      <c r="P970" s="99" t="n"/>
      <c r="Q970" s="99" t="n"/>
      <c r="R970" s="99" t="n"/>
      <c r="S970" s="99" t="n"/>
      <c r="T970" s="99" t="n"/>
      <c r="U970" s="99" t="n"/>
      <c r="V970" s="99" t="n"/>
      <c r="W970" s="99" t="n"/>
      <c r="X970" s="99" t="n"/>
      <c r="Y970" s="99" t="n"/>
      <c r="Z970" s="99" t="n"/>
      <c r="AA970" s="99" t="n"/>
      <c r="AB970" s="99" t="n"/>
      <c r="AC970" s="99" t="n"/>
      <c r="AD970" s="99" t="n"/>
      <c r="AE970" s="99" t="n"/>
      <c r="AF970" s="99" t="n"/>
      <c r="AG970" s="99" t="n"/>
      <c r="AH970" s="99" t="n"/>
      <c r="AI970" s="99" t="n"/>
      <c r="AJ970" s="99" t="n"/>
      <c r="AK970" s="99" t="n"/>
      <c r="AL970" s="99" t="n"/>
      <c r="AM970" s="99" t="n"/>
      <c r="AN970" s="99" t="n"/>
      <c r="AO970" s="99" t="n"/>
      <c r="AP970" s="99" t="n"/>
      <c r="AQ970" s="99" t="n"/>
      <c r="AR970" s="99" t="n"/>
    </row>
    <row r="971">
      <c r="D971" s="100" t="n"/>
      <c r="E971" s="100" t="n"/>
      <c r="F971" s="100" t="n"/>
      <c r="G971" s="100" t="n"/>
      <c r="H971" s="100" t="n"/>
      <c r="I971" s="100" t="n"/>
      <c r="J971" s="100" t="n"/>
      <c r="K971" s="100" t="n"/>
      <c r="L971" s="100" t="n"/>
      <c r="M971" s="100" t="n"/>
      <c r="N971" s="100" t="n"/>
      <c r="O971" s="100" t="n"/>
      <c r="P971" s="100" t="n"/>
      <c r="Q971" s="100" t="n"/>
      <c r="R971" s="100" t="n"/>
      <c r="S971" s="100" t="n"/>
      <c r="T971" s="100" t="n"/>
      <c r="U971" s="100" t="n"/>
      <c r="V971" s="100" t="n"/>
      <c r="W971" s="100" t="n"/>
      <c r="X971" s="100" t="n"/>
      <c r="Y971" s="100" t="n"/>
      <c r="Z971" s="100" t="n"/>
      <c r="AA971" s="100" t="n"/>
      <c r="AB971" s="100" t="n"/>
      <c r="AC971" s="100" t="n"/>
      <c r="AD971" s="100" t="n"/>
      <c r="AE971" s="100" t="n"/>
      <c r="AF971" s="100" t="n"/>
      <c r="AG971" s="100" t="n"/>
      <c r="AH971" s="100" t="n"/>
      <c r="AI971" s="100" t="n"/>
      <c r="AJ971" s="100" t="n"/>
      <c r="AK971" s="100" t="n"/>
      <c r="AL971" s="100" t="n"/>
      <c r="AM971" s="100" t="n"/>
      <c r="AN971" s="100" t="n"/>
      <c r="AO971" s="100" t="n"/>
      <c r="AP971" s="100" t="n"/>
      <c r="AQ971" s="100" t="n"/>
      <c r="AR971" s="100" t="n"/>
    </row>
    <row r="974">
      <c r="A974" s="2">
        <f>IF($A967="","","   projections")</f>
        <v/>
      </c>
      <c r="B974" s="96">
        <f>IF($A967="",0,COUNT($E975:$AR975))</f>
        <v/>
      </c>
      <c r="C974" s="97">
        <f>IF($B974=0,0,MAX($E975:$AR975))</f>
        <v/>
      </c>
      <c r="D974" s="98">
        <f>BDS($A967,FLD_PROJ,"headers=y","startcol=1","endcol=3","dir=h")</f>
        <v/>
      </c>
      <c r="E974" s="99" t="n"/>
      <c r="F974" s="99" t="n"/>
      <c r="G974" s="99" t="n"/>
      <c r="H974" s="99" t="n"/>
      <c r="I974" s="99" t="n"/>
      <c r="J974" s="99" t="n"/>
      <c r="K974" s="99" t="n"/>
      <c r="L974" s="99" t="n"/>
      <c r="M974" s="99" t="n"/>
      <c r="N974" s="99" t="n"/>
      <c r="O974" s="99" t="n"/>
      <c r="P974" s="99" t="n"/>
      <c r="Q974" s="99" t="n"/>
      <c r="R974" s="99" t="n"/>
      <c r="S974" s="99" t="n"/>
      <c r="T974" s="99" t="n"/>
      <c r="U974" s="99" t="n"/>
      <c r="V974" s="99" t="n"/>
      <c r="W974" s="99" t="n"/>
      <c r="X974" s="99" t="n"/>
      <c r="Y974" s="99" t="n"/>
      <c r="Z974" s="99" t="n"/>
      <c r="AA974" s="99" t="n"/>
      <c r="AB974" s="99" t="n"/>
      <c r="AC974" s="99" t="n"/>
      <c r="AD974" s="99" t="n"/>
      <c r="AE974" s="99" t="n"/>
      <c r="AF974" s="99" t="n"/>
      <c r="AG974" s="99" t="n"/>
      <c r="AH974" s="99" t="n"/>
      <c r="AI974" s="99" t="n"/>
      <c r="AJ974" s="99" t="n"/>
      <c r="AK974" s="99" t="n"/>
      <c r="AL974" s="99" t="n"/>
      <c r="AM974" s="99" t="n"/>
      <c r="AN974" s="99" t="n"/>
      <c r="AO974" s="99" t="n"/>
      <c r="AP974" s="99" t="n"/>
      <c r="AQ974" s="99" t="n"/>
      <c r="AR974" s="99" t="n"/>
    </row>
    <row r="975">
      <c r="D975" s="99" t="n"/>
      <c r="E975" s="99" t="n"/>
      <c r="F975" s="99" t="n"/>
      <c r="G975" s="99" t="n"/>
      <c r="H975" s="99" t="n"/>
      <c r="I975" s="99" t="n"/>
      <c r="J975" s="99" t="n"/>
      <c r="K975" s="99" t="n"/>
      <c r="L975" s="99" t="n"/>
      <c r="M975" s="99" t="n"/>
      <c r="N975" s="99" t="n"/>
      <c r="O975" s="99" t="n"/>
      <c r="P975" s="99" t="n"/>
      <c r="Q975" s="99" t="n"/>
      <c r="R975" s="99" t="n"/>
      <c r="S975" s="99" t="n"/>
      <c r="T975" s="99" t="n"/>
      <c r="U975" s="99" t="n"/>
      <c r="V975" s="99" t="n"/>
      <c r="W975" s="99" t="n"/>
      <c r="X975" s="99" t="n"/>
      <c r="Y975" s="99" t="n"/>
      <c r="Z975" s="99" t="n"/>
      <c r="AA975" s="99" t="n"/>
      <c r="AB975" s="99" t="n"/>
      <c r="AC975" s="99" t="n"/>
      <c r="AD975" s="99" t="n"/>
      <c r="AE975" s="99" t="n"/>
      <c r="AF975" s="99" t="n"/>
      <c r="AG975" s="99" t="n"/>
      <c r="AH975" s="99" t="n"/>
      <c r="AI975" s="99" t="n"/>
      <c r="AJ975" s="99" t="n"/>
      <c r="AK975" s="99" t="n"/>
      <c r="AL975" s="99" t="n"/>
      <c r="AM975" s="99" t="n"/>
      <c r="AN975" s="99" t="n"/>
      <c r="AO975" s="99" t="n"/>
      <c r="AP975" s="99" t="n"/>
      <c r="AQ975" s="99" t="n"/>
      <c r="AR975" s="99" t="n"/>
    </row>
    <row r="976">
      <c r="D976" s="100" t="n"/>
      <c r="E976" s="100" t="n"/>
      <c r="F976" s="100" t="n"/>
      <c r="G976" s="100" t="n"/>
      <c r="H976" s="100" t="n"/>
      <c r="I976" s="100" t="n"/>
      <c r="J976" s="100" t="n"/>
      <c r="K976" s="100" t="n"/>
      <c r="L976" s="100" t="n"/>
      <c r="M976" s="100" t="n"/>
      <c r="N976" s="100" t="n"/>
      <c r="O976" s="100" t="n"/>
      <c r="P976" s="100" t="n"/>
      <c r="Q976" s="100" t="n"/>
      <c r="R976" s="100" t="n"/>
      <c r="S976" s="100" t="n"/>
      <c r="T976" s="100" t="n"/>
      <c r="U976" s="100" t="n"/>
      <c r="V976" s="100" t="n"/>
      <c r="W976" s="100" t="n"/>
      <c r="X976" s="100" t="n"/>
      <c r="Y976" s="100" t="n"/>
      <c r="Z976" s="100" t="n"/>
      <c r="AA976" s="100" t="n"/>
      <c r="AB976" s="100" t="n"/>
      <c r="AC976" s="100" t="n"/>
      <c r="AD976" s="100" t="n"/>
      <c r="AE976" s="100" t="n"/>
      <c r="AF976" s="100" t="n"/>
      <c r="AG976" s="100" t="n"/>
      <c r="AH976" s="100" t="n"/>
      <c r="AI976" s="100" t="n"/>
      <c r="AJ976" s="100" t="n"/>
      <c r="AK976" s="100" t="n"/>
      <c r="AL976" s="100" t="n"/>
      <c r="AM976" s="100" t="n"/>
      <c r="AN976" s="100" t="n"/>
      <c r="AO976" s="100" t="n"/>
      <c r="AP976" s="100" t="n"/>
      <c r="AQ976" s="100" t="n"/>
      <c r="AR976" s="100" t="n"/>
    </row>
    <row r="978">
      <c r="A978" s="6">
        <f>IF(HSI!$C$95="","",HSI!$C$95)</f>
        <v/>
      </c>
      <c r="B978" s="96">
        <f>IF($A978="",0,COUNT($E979:$AR979))</f>
        <v/>
      </c>
      <c r="C978" s="97">
        <f>IF($B978=0,0,MAX($E979:$AR979))</f>
        <v/>
      </c>
      <c r="D978" s="98">
        <f>BDS($A978,FLD_HIST,"headers=y","startcol=1","endcol=7","dir=h","DVD_START_DT",HIST_FROM,"DVD_END_DT",HIST_TO)</f>
        <v/>
      </c>
      <c r="E978" s="99" t="n"/>
      <c r="F978" s="99" t="n"/>
      <c r="G978" s="99" t="n"/>
      <c r="H978" s="99" t="n"/>
      <c r="I978" s="99" t="n"/>
      <c r="J978" s="99" t="n"/>
      <c r="K978" s="99" t="n"/>
      <c r="L978" s="99" t="n"/>
      <c r="M978" s="99" t="n"/>
      <c r="N978" s="99" t="n"/>
      <c r="O978" s="99" t="n"/>
      <c r="P978" s="99" t="n"/>
      <c r="Q978" s="99" t="n"/>
      <c r="R978" s="99" t="n"/>
      <c r="S978" s="99" t="n"/>
      <c r="T978" s="99" t="n"/>
      <c r="U978" s="99" t="n"/>
      <c r="V978" s="99" t="n"/>
      <c r="W978" s="99" t="n"/>
      <c r="X978" s="99" t="n"/>
      <c r="Y978" s="99" t="n"/>
      <c r="Z978" s="99" t="n"/>
      <c r="AA978" s="99" t="n"/>
      <c r="AB978" s="99" t="n"/>
      <c r="AC978" s="99" t="n"/>
      <c r="AD978" s="99" t="n"/>
      <c r="AE978" s="99" t="n"/>
      <c r="AF978" s="99" t="n"/>
      <c r="AG978" s="99" t="n"/>
      <c r="AH978" s="99" t="n"/>
      <c r="AI978" s="99" t="n"/>
      <c r="AJ978" s="99" t="n"/>
      <c r="AK978" s="99" t="n"/>
      <c r="AL978" s="99" t="n"/>
      <c r="AM978" s="99" t="n"/>
      <c r="AN978" s="99" t="n"/>
      <c r="AO978" s="99" t="n"/>
      <c r="AP978" s="99" t="n"/>
      <c r="AQ978" s="99" t="n"/>
      <c r="AR978" s="99" t="n"/>
    </row>
    <row r="979">
      <c r="D979" s="99" t="n"/>
      <c r="E979" s="99" t="n"/>
      <c r="F979" s="99" t="n"/>
      <c r="G979" s="99" t="n"/>
      <c r="H979" s="99" t="n"/>
      <c r="I979" s="99" t="n"/>
      <c r="J979" s="99" t="n"/>
      <c r="K979" s="99" t="n"/>
      <c r="L979" s="99" t="n"/>
      <c r="M979" s="99" t="n"/>
      <c r="N979" s="99" t="n"/>
      <c r="O979" s="99" t="n"/>
      <c r="P979" s="99" t="n"/>
      <c r="Q979" s="99" t="n"/>
      <c r="R979" s="99" t="n"/>
      <c r="S979" s="99" t="n"/>
      <c r="T979" s="99" t="n"/>
      <c r="U979" s="99" t="n"/>
      <c r="V979" s="99" t="n"/>
      <c r="W979" s="99" t="n"/>
      <c r="X979" s="99" t="n"/>
      <c r="Y979" s="99" t="n"/>
      <c r="Z979" s="99" t="n"/>
      <c r="AA979" s="99" t="n"/>
      <c r="AB979" s="99" t="n"/>
      <c r="AC979" s="99" t="n"/>
      <c r="AD979" s="99" t="n"/>
      <c r="AE979" s="99" t="n"/>
      <c r="AF979" s="99" t="n"/>
      <c r="AG979" s="99" t="n"/>
      <c r="AH979" s="99" t="n"/>
      <c r="AI979" s="99" t="n"/>
      <c r="AJ979" s="99" t="n"/>
      <c r="AK979" s="99" t="n"/>
      <c r="AL979" s="99" t="n"/>
      <c r="AM979" s="99" t="n"/>
      <c r="AN979" s="99" t="n"/>
      <c r="AO979" s="99" t="n"/>
      <c r="AP979" s="99" t="n"/>
      <c r="AQ979" s="99" t="n"/>
      <c r="AR979" s="99" t="n"/>
    </row>
    <row r="980">
      <c r="D980" s="99" t="n"/>
      <c r="E980" s="99" t="n"/>
      <c r="F980" s="99" t="n"/>
      <c r="G980" s="99" t="n"/>
      <c r="H980" s="99" t="n"/>
      <c r="I980" s="99" t="n"/>
      <c r="J980" s="99" t="n"/>
      <c r="K980" s="99" t="n"/>
      <c r="L980" s="99" t="n"/>
      <c r="M980" s="99" t="n"/>
      <c r="N980" s="99" t="n"/>
      <c r="O980" s="99" t="n"/>
      <c r="P980" s="99" t="n"/>
      <c r="Q980" s="99" t="n"/>
      <c r="R980" s="99" t="n"/>
      <c r="S980" s="99" t="n"/>
      <c r="T980" s="99" t="n"/>
      <c r="U980" s="99" t="n"/>
      <c r="V980" s="99" t="n"/>
      <c r="W980" s="99" t="n"/>
      <c r="X980" s="99" t="n"/>
      <c r="Y980" s="99" t="n"/>
      <c r="Z980" s="99" t="n"/>
      <c r="AA980" s="99" t="n"/>
      <c r="AB980" s="99" t="n"/>
      <c r="AC980" s="99" t="n"/>
      <c r="AD980" s="99" t="n"/>
      <c r="AE980" s="99" t="n"/>
      <c r="AF980" s="99" t="n"/>
      <c r="AG980" s="99" t="n"/>
      <c r="AH980" s="99" t="n"/>
      <c r="AI980" s="99" t="n"/>
      <c r="AJ980" s="99" t="n"/>
      <c r="AK980" s="99" t="n"/>
      <c r="AL980" s="99" t="n"/>
      <c r="AM980" s="99" t="n"/>
      <c r="AN980" s="99" t="n"/>
      <c r="AO980" s="99" t="n"/>
      <c r="AP980" s="99" t="n"/>
      <c r="AQ980" s="99" t="n"/>
      <c r="AR980" s="99" t="n"/>
    </row>
    <row r="981">
      <c r="D981" s="99" t="n"/>
      <c r="E981" s="99" t="n"/>
      <c r="F981" s="99" t="n"/>
      <c r="G981" s="99" t="n"/>
      <c r="H981" s="99" t="n"/>
      <c r="I981" s="99" t="n"/>
      <c r="J981" s="99" t="n"/>
      <c r="K981" s="99" t="n"/>
      <c r="L981" s="99" t="n"/>
      <c r="M981" s="99" t="n"/>
      <c r="N981" s="99" t="n"/>
      <c r="O981" s="99" t="n"/>
      <c r="P981" s="99" t="n"/>
      <c r="Q981" s="99" t="n"/>
      <c r="R981" s="99" t="n"/>
      <c r="S981" s="99" t="n"/>
      <c r="T981" s="99" t="n"/>
      <c r="U981" s="99" t="n"/>
      <c r="V981" s="99" t="n"/>
      <c r="W981" s="99" t="n"/>
      <c r="X981" s="99" t="n"/>
      <c r="Y981" s="99" t="n"/>
      <c r="Z981" s="99" t="n"/>
      <c r="AA981" s="99" t="n"/>
      <c r="AB981" s="99" t="n"/>
      <c r="AC981" s="99" t="n"/>
      <c r="AD981" s="99" t="n"/>
      <c r="AE981" s="99" t="n"/>
      <c r="AF981" s="99" t="n"/>
      <c r="AG981" s="99" t="n"/>
      <c r="AH981" s="99" t="n"/>
      <c r="AI981" s="99" t="n"/>
      <c r="AJ981" s="99" t="n"/>
      <c r="AK981" s="99" t="n"/>
      <c r="AL981" s="99" t="n"/>
      <c r="AM981" s="99" t="n"/>
      <c r="AN981" s="99" t="n"/>
      <c r="AO981" s="99" t="n"/>
      <c r="AP981" s="99" t="n"/>
      <c r="AQ981" s="99" t="n"/>
      <c r="AR981" s="99" t="n"/>
    </row>
    <row r="982">
      <c r="D982" s="100" t="n"/>
      <c r="E982" s="100" t="n"/>
      <c r="F982" s="100" t="n"/>
      <c r="G982" s="100" t="n"/>
      <c r="H982" s="100" t="n"/>
      <c r="I982" s="100" t="n"/>
      <c r="J982" s="100" t="n"/>
      <c r="K982" s="100" t="n"/>
      <c r="L982" s="100" t="n"/>
      <c r="M982" s="100" t="n"/>
      <c r="N982" s="100" t="n"/>
      <c r="O982" s="100" t="n"/>
      <c r="P982" s="100" t="n"/>
      <c r="Q982" s="100" t="n"/>
      <c r="R982" s="100" t="n"/>
      <c r="S982" s="100" t="n"/>
      <c r="T982" s="100" t="n"/>
      <c r="U982" s="100" t="n"/>
      <c r="V982" s="100" t="n"/>
      <c r="W982" s="100" t="n"/>
      <c r="X982" s="100" t="n"/>
      <c r="Y982" s="100" t="n"/>
      <c r="Z982" s="100" t="n"/>
      <c r="AA982" s="100" t="n"/>
      <c r="AB982" s="100" t="n"/>
      <c r="AC982" s="100" t="n"/>
      <c r="AD982" s="100" t="n"/>
      <c r="AE982" s="100" t="n"/>
      <c r="AF982" s="100" t="n"/>
      <c r="AG982" s="100" t="n"/>
      <c r="AH982" s="100" t="n"/>
      <c r="AI982" s="100" t="n"/>
      <c r="AJ982" s="100" t="n"/>
      <c r="AK982" s="100" t="n"/>
      <c r="AL982" s="100" t="n"/>
      <c r="AM982" s="100" t="n"/>
      <c r="AN982" s="100" t="n"/>
      <c r="AO982" s="100" t="n"/>
      <c r="AP982" s="100" t="n"/>
      <c r="AQ982" s="100" t="n"/>
      <c r="AR982" s="100" t="n"/>
    </row>
    <row r="985">
      <c r="A985" s="2">
        <f>IF($A978="","","   projections")</f>
        <v/>
      </c>
      <c r="B985" s="96">
        <f>IF($A978="",0,COUNT($E986:$AR986))</f>
        <v/>
      </c>
      <c r="C985" s="97">
        <f>IF($B985=0,0,MAX($E986:$AR986))</f>
        <v/>
      </c>
      <c r="D985" s="98">
        <f>BDS($A978,FLD_PROJ,"headers=y","startcol=1","endcol=3","dir=h")</f>
        <v/>
      </c>
      <c r="E985" s="99" t="n"/>
      <c r="F985" s="99" t="n"/>
      <c r="G985" s="99" t="n"/>
      <c r="H985" s="99" t="n"/>
      <c r="I985" s="99" t="n"/>
      <c r="J985" s="99" t="n"/>
      <c r="K985" s="99" t="n"/>
      <c r="L985" s="99" t="n"/>
      <c r="M985" s="99" t="n"/>
      <c r="N985" s="99" t="n"/>
      <c r="O985" s="99" t="n"/>
      <c r="P985" s="99" t="n"/>
      <c r="Q985" s="99" t="n"/>
      <c r="R985" s="99" t="n"/>
      <c r="S985" s="99" t="n"/>
      <c r="T985" s="99" t="n"/>
      <c r="U985" s="99" t="n"/>
      <c r="V985" s="99" t="n"/>
      <c r="W985" s="99" t="n"/>
      <c r="X985" s="99" t="n"/>
      <c r="Y985" s="99" t="n"/>
      <c r="Z985" s="99" t="n"/>
      <c r="AA985" s="99" t="n"/>
      <c r="AB985" s="99" t="n"/>
      <c r="AC985" s="99" t="n"/>
      <c r="AD985" s="99" t="n"/>
      <c r="AE985" s="99" t="n"/>
      <c r="AF985" s="99" t="n"/>
      <c r="AG985" s="99" t="n"/>
      <c r="AH985" s="99" t="n"/>
      <c r="AI985" s="99" t="n"/>
      <c r="AJ985" s="99" t="n"/>
      <c r="AK985" s="99" t="n"/>
      <c r="AL985" s="99" t="n"/>
      <c r="AM985" s="99" t="n"/>
      <c r="AN985" s="99" t="n"/>
      <c r="AO985" s="99" t="n"/>
      <c r="AP985" s="99" t="n"/>
      <c r="AQ985" s="99" t="n"/>
      <c r="AR985" s="99" t="n"/>
    </row>
    <row r="986">
      <c r="D986" s="99" t="n"/>
      <c r="E986" s="99" t="n"/>
      <c r="F986" s="99" t="n"/>
      <c r="G986" s="99" t="n"/>
      <c r="H986" s="99" t="n"/>
      <c r="I986" s="99" t="n"/>
      <c r="J986" s="99" t="n"/>
      <c r="K986" s="99" t="n"/>
      <c r="L986" s="99" t="n"/>
      <c r="M986" s="99" t="n"/>
      <c r="N986" s="99" t="n"/>
      <c r="O986" s="99" t="n"/>
      <c r="P986" s="99" t="n"/>
      <c r="Q986" s="99" t="n"/>
      <c r="R986" s="99" t="n"/>
      <c r="S986" s="99" t="n"/>
      <c r="T986" s="99" t="n"/>
      <c r="U986" s="99" t="n"/>
      <c r="V986" s="99" t="n"/>
      <c r="W986" s="99" t="n"/>
      <c r="X986" s="99" t="n"/>
      <c r="Y986" s="99" t="n"/>
      <c r="Z986" s="99" t="n"/>
      <c r="AA986" s="99" t="n"/>
      <c r="AB986" s="99" t="n"/>
      <c r="AC986" s="99" t="n"/>
      <c r="AD986" s="99" t="n"/>
      <c r="AE986" s="99" t="n"/>
      <c r="AF986" s="99" t="n"/>
      <c r="AG986" s="99" t="n"/>
      <c r="AH986" s="99" t="n"/>
      <c r="AI986" s="99" t="n"/>
      <c r="AJ986" s="99" t="n"/>
      <c r="AK986" s="99" t="n"/>
      <c r="AL986" s="99" t="n"/>
      <c r="AM986" s="99" t="n"/>
      <c r="AN986" s="99" t="n"/>
      <c r="AO986" s="99" t="n"/>
      <c r="AP986" s="99" t="n"/>
      <c r="AQ986" s="99" t="n"/>
      <c r="AR986" s="99" t="n"/>
    </row>
    <row r="987">
      <c r="D987" s="100" t="n"/>
      <c r="E987" s="100" t="n"/>
      <c r="F987" s="100" t="n"/>
      <c r="G987" s="100" t="n"/>
      <c r="H987" s="100" t="n"/>
      <c r="I987" s="100" t="n"/>
      <c r="J987" s="100" t="n"/>
      <c r="K987" s="100" t="n"/>
      <c r="L987" s="100" t="n"/>
      <c r="M987" s="100" t="n"/>
      <c r="N987" s="100" t="n"/>
      <c r="O987" s="100" t="n"/>
      <c r="P987" s="100" t="n"/>
      <c r="Q987" s="100" t="n"/>
      <c r="R987" s="100" t="n"/>
      <c r="S987" s="100" t="n"/>
      <c r="T987" s="100" t="n"/>
      <c r="U987" s="100" t="n"/>
      <c r="V987" s="100" t="n"/>
      <c r="W987" s="100" t="n"/>
      <c r="X987" s="100" t="n"/>
      <c r="Y987" s="100" t="n"/>
      <c r="Z987" s="100" t="n"/>
      <c r="AA987" s="100" t="n"/>
      <c r="AB987" s="100" t="n"/>
      <c r="AC987" s="100" t="n"/>
      <c r="AD987" s="100" t="n"/>
      <c r="AE987" s="100" t="n"/>
      <c r="AF987" s="100" t="n"/>
      <c r="AG987" s="100" t="n"/>
      <c r="AH987" s="100" t="n"/>
      <c r="AI987" s="100" t="n"/>
      <c r="AJ987" s="100" t="n"/>
      <c r="AK987" s="100" t="n"/>
      <c r="AL987" s="100" t="n"/>
      <c r="AM987" s="100" t="n"/>
      <c r="AN987" s="100" t="n"/>
      <c r="AO987" s="100" t="n"/>
      <c r="AP987" s="100" t="n"/>
      <c r="AQ987" s="100" t="n"/>
      <c r="AR987" s="100" t="n"/>
    </row>
    <row r="989">
      <c r="A989" s="6">
        <f>IF(HSI!$C$96="","",HSI!$C$96)</f>
        <v/>
      </c>
      <c r="B989" s="96">
        <f>IF($A989="",0,COUNT($E990:$AR990))</f>
        <v/>
      </c>
      <c r="C989" s="97">
        <f>IF($B989=0,0,MAX($E990:$AR990))</f>
        <v/>
      </c>
      <c r="D989" s="98">
        <f>BDS($A989,FLD_HIST,"headers=y","startcol=1","endcol=7","dir=h","DVD_START_DT",HIST_FROM,"DVD_END_DT",HIST_TO)</f>
        <v/>
      </c>
      <c r="E989" s="99" t="n"/>
      <c r="F989" s="99" t="n"/>
      <c r="G989" s="99" t="n"/>
      <c r="H989" s="99" t="n"/>
      <c r="I989" s="99" t="n"/>
      <c r="J989" s="99" t="n"/>
      <c r="K989" s="99" t="n"/>
      <c r="L989" s="99" t="n"/>
      <c r="M989" s="99" t="n"/>
      <c r="N989" s="99" t="n"/>
      <c r="O989" s="99" t="n"/>
      <c r="P989" s="99" t="n"/>
      <c r="Q989" s="99" t="n"/>
      <c r="R989" s="99" t="n"/>
      <c r="S989" s="99" t="n"/>
      <c r="T989" s="99" t="n"/>
      <c r="U989" s="99" t="n"/>
      <c r="V989" s="99" t="n"/>
      <c r="W989" s="99" t="n"/>
      <c r="X989" s="99" t="n"/>
      <c r="Y989" s="99" t="n"/>
      <c r="Z989" s="99" t="n"/>
      <c r="AA989" s="99" t="n"/>
      <c r="AB989" s="99" t="n"/>
      <c r="AC989" s="99" t="n"/>
      <c r="AD989" s="99" t="n"/>
      <c r="AE989" s="99" t="n"/>
      <c r="AF989" s="99" t="n"/>
      <c r="AG989" s="99" t="n"/>
      <c r="AH989" s="99" t="n"/>
      <c r="AI989" s="99" t="n"/>
      <c r="AJ989" s="99" t="n"/>
      <c r="AK989" s="99" t="n"/>
      <c r="AL989" s="99" t="n"/>
      <c r="AM989" s="99" t="n"/>
      <c r="AN989" s="99" t="n"/>
      <c r="AO989" s="99" t="n"/>
      <c r="AP989" s="99" t="n"/>
      <c r="AQ989" s="99" t="n"/>
      <c r="AR989" s="99" t="n"/>
    </row>
    <row r="990">
      <c r="D990" s="99" t="n"/>
      <c r="E990" s="99" t="n"/>
      <c r="F990" s="99" t="n"/>
      <c r="G990" s="99" t="n"/>
      <c r="H990" s="99" t="n"/>
      <c r="I990" s="99" t="n"/>
      <c r="J990" s="99" t="n"/>
      <c r="K990" s="99" t="n"/>
      <c r="L990" s="99" t="n"/>
      <c r="M990" s="99" t="n"/>
      <c r="N990" s="99" t="n"/>
      <c r="O990" s="99" t="n"/>
      <c r="P990" s="99" t="n"/>
      <c r="Q990" s="99" t="n"/>
      <c r="R990" s="99" t="n"/>
      <c r="S990" s="99" t="n"/>
      <c r="T990" s="99" t="n"/>
      <c r="U990" s="99" t="n"/>
      <c r="V990" s="99" t="n"/>
      <c r="W990" s="99" t="n"/>
      <c r="X990" s="99" t="n"/>
      <c r="Y990" s="99" t="n"/>
      <c r="Z990" s="99" t="n"/>
      <c r="AA990" s="99" t="n"/>
      <c r="AB990" s="99" t="n"/>
      <c r="AC990" s="99" t="n"/>
      <c r="AD990" s="99" t="n"/>
      <c r="AE990" s="99" t="n"/>
      <c r="AF990" s="99" t="n"/>
      <c r="AG990" s="99" t="n"/>
      <c r="AH990" s="99" t="n"/>
      <c r="AI990" s="99" t="n"/>
      <c r="AJ990" s="99" t="n"/>
      <c r="AK990" s="99" t="n"/>
      <c r="AL990" s="99" t="n"/>
      <c r="AM990" s="99" t="n"/>
      <c r="AN990" s="99" t="n"/>
      <c r="AO990" s="99" t="n"/>
      <c r="AP990" s="99" t="n"/>
      <c r="AQ990" s="99" t="n"/>
      <c r="AR990" s="99" t="n"/>
    </row>
    <row r="991">
      <c r="D991" s="99" t="n"/>
      <c r="E991" s="99" t="n"/>
      <c r="F991" s="99" t="n"/>
      <c r="G991" s="99" t="n"/>
      <c r="H991" s="99" t="n"/>
      <c r="I991" s="99" t="n"/>
      <c r="J991" s="99" t="n"/>
      <c r="K991" s="99" t="n"/>
      <c r="L991" s="99" t="n"/>
      <c r="M991" s="99" t="n"/>
      <c r="N991" s="99" t="n"/>
      <c r="O991" s="99" t="n"/>
      <c r="P991" s="99" t="n"/>
      <c r="Q991" s="99" t="n"/>
      <c r="R991" s="99" t="n"/>
      <c r="S991" s="99" t="n"/>
      <c r="T991" s="99" t="n"/>
      <c r="U991" s="99" t="n"/>
      <c r="V991" s="99" t="n"/>
      <c r="W991" s="99" t="n"/>
      <c r="X991" s="99" t="n"/>
      <c r="Y991" s="99" t="n"/>
      <c r="Z991" s="99" t="n"/>
      <c r="AA991" s="99" t="n"/>
      <c r="AB991" s="99" t="n"/>
      <c r="AC991" s="99" t="n"/>
      <c r="AD991" s="99" t="n"/>
      <c r="AE991" s="99" t="n"/>
      <c r="AF991" s="99" t="n"/>
      <c r="AG991" s="99" t="n"/>
      <c r="AH991" s="99" t="n"/>
      <c r="AI991" s="99" t="n"/>
      <c r="AJ991" s="99" t="n"/>
      <c r="AK991" s="99" t="n"/>
      <c r="AL991" s="99" t="n"/>
      <c r="AM991" s="99" t="n"/>
      <c r="AN991" s="99" t="n"/>
      <c r="AO991" s="99" t="n"/>
      <c r="AP991" s="99" t="n"/>
      <c r="AQ991" s="99" t="n"/>
      <c r="AR991" s="99" t="n"/>
    </row>
    <row r="992">
      <c r="D992" s="99" t="n"/>
      <c r="E992" s="99" t="n"/>
      <c r="F992" s="99" t="n"/>
      <c r="G992" s="99" t="n"/>
      <c r="H992" s="99" t="n"/>
      <c r="I992" s="99" t="n"/>
      <c r="J992" s="99" t="n"/>
      <c r="K992" s="99" t="n"/>
      <c r="L992" s="99" t="n"/>
      <c r="M992" s="99" t="n"/>
      <c r="N992" s="99" t="n"/>
      <c r="O992" s="99" t="n"/>
      <c r="P992" s="99" t="n"/>
      <c r="Q992" s="99" t="n"/>
      <c r="R992" s="99" t="n"/>
      <c r="S992" s="99" t="n"/>
      <c r="T992" s="99" t="n"/>
      <c r="U992" s="99" t="n"/>
      <c r="V992" s="99" t="n"/>
      <c r="W992" s="99" t="n"/>
      <c r="X992" s="99" t="n"/>
      <c r="Y992" s="99" t="n"/>
      <c r="Z992" s="99" t="n"/>
      <c r="AA992" s="99" t="n"/>
      <c r="AB992" s="99" t="n"/>
      <c r="AC992" s="99" t="n"/>
      <c r="AD992" s="99" t="n"/>
      <c r="AE992" s="99" t="n"/>
      <c r="AF992" s="99" t="n"/>
      <c r="AG992" s="99" t="n"/>
      <c r="AH992" s="99" t="n"/>
      <c r="AI992" s="99" t="n"/>
      <c r="AJ992" s="99" t="n"/>
      <c r="AK992" s="99" t="n"/>
      <c r="AL992" s="99" t="n"/>
      <c r="AM992" s="99" t="n"/>
      <c r="AN992" s="99" t="n"/>
      <c r="AO992" s="99" t="n"/>
      <c r="AP992" s="99" t="n"/>
      <c r="AQ992" s="99" t="n"/>
      <c r="AR992" s="99" t="n"/>
    </row>
    <row r="993">
      <c r="D993" s="100" t="n"/>
      <c r="E993" s="100" t="n"/>
      <c r="F993" s="100" t="n"/>
      <c r="G993" s="100" t="n"/>
      <c r="H993" s="100" t="n"/>
      <c r="I993" s="100" t="n"/>
      <c r="J993" s="100" t="n"/>
      <c r="K993" s="100" t="n"/>
      <c r="L993" s="100" t="n"/>
      <c r="M993" s="100" t="n"/>
      <c r="N993" s="100" t="n"/>
      <c r="O993" s="100" t="n"/>
      <c r="P993" s="100" t="n"/>
      <c r="Q993" s="100" t="n"/>
      <c r="R993" s="100" t="n"/>
      <c r="S993" s="100" t="n"/>
      <c r="T993" s="100" t="n"/>
      <c r="U993" s="100" t="n"/>
      <c r="V993" s="100" t="n"/>
      <c r="W993" s="100" t="n"/>
      <c r="X993" s="100" t="n"/>
      <c r="Y993" s="100" t="n"/>
      <c r="Z993" s="100" t="n"/>
      <c r="AA993" s="100" t="n"/>
      <c r="AB993" s="100" t="n"/>
      <c r="AC993" s="100" t="n"/>
      <c r="AD993" s="100" t="n"/>
      <c r="AE993" s="100" t="n"/>
      <c r="AF993" s="100" t="n"/>
      <c r="AG993" s="100" t="n"/>
      <c r="AH993" s="100" t="n"/>
      <c r="AI993" s="100" t="n"/>
      <c r="AJ993" s="100" t="n"/>
      <c r="AK993" s="100" t="n"/>
      <c r="AL993" s="100" t="n"/>
      <c r="AM993" s="100" t="n"/>
      <c r="AN993" s="100" t="n"/>
      <c r="AO993" s="100" t="n"/>
      <c r="AP993" s="100" t="n"/>
      <c r="AQ993" s="100" t="n"/>
      <c r="AR993" s="100" t="n"/>
    </row>
    <row r="996">
      <c r="A996" s="2">
        <f>IF($A989="","","   projections")</f>
        <v/>
      </c>
      <c r="B996" s="96">
        <f>IF($A989="",0,COUNT($E997:$AR997))</f>
        <v/>
      </c>
      <c r="C996" s="97">
        <f>IF($B996=0,0,MAX($E997:$AR997))</f>
        <v/>
      </c>
      <c r="D996" s="98">
        <f>BDS($A989,FLD_PROJ,"headers=y","startcol=1","endcol=3","dir=h")</f>
        <v/>
      </c>
      <c r="E996" s="99" t="n"/>
      <c r="F996" s="99" t="n"/>
      <c r="G996" s="99" t="n"/>
      <c r="H996" s="99" t="n"/>
      <c r="I996" s="99" t="n"/>
      <c r="J996" s="99" t="n"/>
      <c r="K996" s="99" t="n"/>
      <c r="L996" s="99" t="n"/>
      <c r="M996" s="99" t="n"/>
      <c r="N996" s="99" t="n"/>
      <c r="O996" s="99" t="n"/>
      <c r="P996" s="99" t="n"/>
      <c r="Q996" s="99" t="n"/>
      <c r="R996" s="99" t="n"/>
      <c r="S996" s="99" t="n"/>
      <c r="T996" s="99" t="n"/>
      <c r="U996" s="99" t="n"/>
      <c r="V996" s="99" t="n"/>
      <c r="W996" s="99" t="n"/>
      <c r="X996" s="99" t="n"/>
      <c r="Y996" s="99" t="n"/>
      <c r="Z996" s="99" t="n"/>
      <c r="AA996" s="99" t="n"/>
      <c r="AB996" s="99" t="n"/>
      <c r="AC996" s="99" t="n"/>
      <c r="AD996" s="99" t="n"/>
      <c r="AE996" s="99" t="n"/>
      <c r="AF996" s="99" t="n"/>
      <c r="AG996" s="99" t="n"/>
      <c r="AH996" s="99" t="n"/>
      <c r="AI996" s="99" t="n"/>
      <c r="AJ996" s="99" t="n"/>
      <c r="AK996" s="99" t="n"/>
      <c r="AL996" s="99" t="n"/>
      <c r="AM996" s="99" t="n"/>
      <c r="AN996" s="99" t="n"/>
      <c r="AO996" s="99" t="n"/>
      <c r="AP996" s="99" t="n"/>
      <c r="AQ996" s="99" t="n"/>
      <c r="AR996" s="99" t="n"/>
    </row>
    <row r="997">
      <c r="D997" s="99" t="n"/>
      <c r="E997" s="99" t="n"/>
      <c r="F997" s="99" t="n"/>
      <c r="G997" s="99" t="n"/>
      <c r="H997" s="99" t="n"/>
      <c r="I997" s="99" t="n"/>
      <c r="J997" s="99" t="n"/>
      <c r="K997" s="99" t="n"/>
      <c r="L997" s="99" t="n"/>
      <c r="M997" s="99" t="n"/>
      <c r="N997" s="99" t="n"/>
      <c r="O997" s="99" t="n"/>
      <c r="P997" s="99" t="n"/>
      <c r="Q997" s="99" t="n"/>
      <c r="R997" s="99" t="n"/>
      <c r="S997" s="99" t="n"/>
      <c r="T997" s="99" t="n"/>
      <c r="U997" s="99" t="n"/>
      <c r="V997" s="99" t="n"/>
      <c r="W997" s="99" t="n"/>
      <c r="X997" s="99" t="n"/>
      <c r="Y997" s="99" t="n"/>
      <c r="Z997" s="99" t="n"/>
      <c r="AA997" s="99" t="n"/>
      <c r="AB997" s="99" t="n"/>
      <c r="AC997" s="99" t="n"/>
      <c r="AD997" s="99" t="n"/>
      <c r="AE997" s="99" t="n"/>
      <c r="AF997" s="99" t="n"/>
      <c r="AG997" s="99" t="n"/>
      <c r="AH997" s="99" t="n"/>
      <c r="AI997" s="99" t="n"/>
      <c r="AJ997" s="99" t="n"/>
      <c r="AK997" s="99" t="n"/>
      <c r="AL997" s="99" t="n"/>
      <c r="AM997" s="99" t="n"/>
      <c r="AN997" s="99" t="n"/>
      <c r="AO997" s="99" t="n"/>
      <c r="AP997" s="99" t="n"/>
      <c r="AQ997" s="99" t="n"/>
      <c r="AR997" s="99" t="n"/>
    </row>
    <row r="998">
      <c r="D998" s="100" t="n"/>
      <c r="E998" s="100" t="n"/>
      <c r="F998" s="100" t="n"/>
      <c r="G998" s="100" t="n"/>
      <c r="H998" s="100" t="n"/>
      <c r="I998" s="100" t="n"/>
      <c r="J998" s="100" t="n"/>
      <c r="K998" s="100" t="n"/>
      <c r="L998" s="100" t="n"/>
      <c r="M998" s="100" t="n"/>
      <c r="N998" s="100" t="n"/>
      <c r="O998" s="100" t="n"/>
      <c r="P998" s="100" t="n"/>
      <c r="Q998" s="100" t="n"/>
      <c r="R998" s="100" t="n"/>
      <c r="S998" s="100" t="n"/>
      <c r="T998" s="100" t="n"/>
      <c r="U998" s="100" t="n"/>
      <c r="V998" s="100" t="n"/>
      <c r="W998" s="100" t="n"/>
      <c r="X998" s="100" t="n"/>
      <c r="Y998" s="100" t="n"/>
      <c r="Z998" s="100" t="n"/>
      <c r="AA998" s="100" t="n"/>
      <c r="AB998" s="100" t="n"/>
      <c r="AC998" s="100" t="n"/>
      <c r="AD998" s="100" t="n"/>
      <c r="AE998" s="100" t="n"/>
      <c r="AF998" s="100" t="n"/>
      <c r="AG998" s="100" t="n"/>
      <c r="AH998" s="100" t="n"/>
      <c r="AI998" s="100" t="n"/>
      <c r="AJ998" s="100" t="n"/>
      <c r="AK998" s="100" t="n"/>
      <c r="AL998" s="100" t="n"/>
      <c r="AM998" s="100" t="n"/>
      <c r="AN998" s="100" t="n"/>
      <c r="AO998" s="100" t="n"/>
      <c r="AP998" s="100" t="n"/>
      <c r="AQ998" s="100" t="n"/>
      <c r="AR998" s="100" t="n"/>
    </row>
    <row r="1000">
      <c r="A1000" s="6">
        <f>IF(HSI!$C$97="","",HSI!$C$97)</f>
        <v/>
      </c>
      <c r="B1000" s="96">
        <f>IF($A1000="",0,COUNT($E1001:$AR1001))</f>
        <v/>
      </c>
      <c r="C1000" s="97">
        <f>IF($B1000=0,0,MAX($E1001:$AR1001))</f>
        <v/>
      </c>
      <c r="D1000" s="98">
        <f>BDS($A1000,FLD_HIST,"headers=y","startcol=1","endcol=7","dir=h","DVD_START_DT",HIST_FROM,"DVD_END_DT",HIST_TO)</f>
        <v/>
      </c>
      <c r="E1000" s="99" t="n"/>
      <c r="F1000" s="99" t="n"/>
      <c r="G1000" s="99" t="n"/>
      <c r="H1000" s="99" t="n"/>
      <c r="I1000" s="99" t="n"/>
      <c r="J1000" s="99" t="n"/>
      <c r="K1000" s="99" t="n"/>
      <c r="L1000" s="99" t="n"/>
      <c r="M1000" s="99" t="n"/>
      <c r="N1000" s="99" t="n"/>
      <c r="O1000" s="99" t="n"/>
      <c r="P1000" s="99" t="n"/>
      <c r="Q1000" s="99" t="n"/>
      <c r="R1000" s="99" t="n"/>
      <c r="S1000" s="99" t="n"/>
      <c r="T1000" s="99" t="n"/>
      <c r="U1000" s="99" t="n"/>
      <c r="V1000" s="99" t="n"/>
      <c r="W1000" s="99" t="n"/>
      <c r="X1000" s="99" t="n"/>
      <c r="Y1000" s="99" t="n"/>
      <c r="Z1000" s="99" t="n"/>
      <c r="AA1000" s="99" t="n"/>
      <c r="AB1000" s="99" t="n"/>
      <c r="AC1000" s="99" t="n"/>
      <c r="AD1000" s="99" t="n"/>
      <c r="AE1000" s="99" t="n"/>
      <c r="AF1000" s="99" t="n"/>
      <c r="AG1000" s="99" t="n"/>
      <c r="AH1000" s="99" t="n"/>
      <c r="AI1000" s="99" t="n"/>
      <c r="AJ1000" s="99" t="n"/>
      <c r="AK1000" s="99" t="n"/>
      <c r="AL1000" s="99" t="n"/>
      <c r="AM1000" s="99" t="n"/>
      <c r="AN1000" s="99" t="n"/>
      <c r="AO1000" s="99" t="n"/>
      <c r="AP1000" s="99" t="n"/>
      <c r="AQ1000" s="99" t="n"/>
      <c r="AR1000" s="99" t="n"/>
    </row>
    <row r="1001">
      <c r="D1001" s="99" t="n"/>
      <c r="E1001" s="99" t="n"/>
      <c r="F1001" s="99" t="n"/>
      <c r="G1001" s="99" t="n"/>
      <c r="H1001" s="99" t="n"/>
      <c r="I1001" s="99" t="n"/>
      <c r="J1001" s="99" t="n"/>
      <c r="K1001" s="99" t="n"/>
      <c r="L1001" s="99" t="n"/>
      <c r="M1001" s="99" t="n"/>
      <c r="N1001" s="99" t="n"/>
      <c r="O1001" s="99" t="n"/>
      <c r="P1001" s="99" t="n"/>
      <c r="Q1001" s="99" t="n"/>
      <c r="R1001" s="99" t="n"/>
      <c r="S1001" s="99" t="n"/>
      <c r="T1001" s="99" t="n"/>
      <c r="U1001" s="99" t="n"/>
      <c r="V1001" s="99" t="n"/>
      <c r="W1001" s="99" t="n"/>
      <c r="X1001" s="99" t="n"/>
      <c r="Y1001" s="99" t="n"/>
      <c r="Z1001" s="99" t="n"/>
      <c r="AA1001" s="99" t="n"/>
      <c r="AB1001" s="99" t="n"/>
      <c r="AC1001" s="99" t="n"/>
      <c r="AD1001" s="99" t="n"/>
      <c r="AE1001" s="99" t="n"/>
      <c r="AF1001" s="99" t="n"/>
      <c r="AG1001" s="99" t="n"/>
      <c r="AH1001" s="99" t="n"/>
      <c r="AI1001" s="99" t="n"/>
      <c r="AJ1001" s="99" t="n"/>
      <c r="AK1001" s="99" t="n"/>
      <c r="AL1001" s="99" t="n"/>
      <c r="AM1001" s="99" t="n"/>
      <c r="AN1001" s="99" t="n"/>
      <c r="AO1001" s="99" t="n"/>
      <c r="AP1001" s="99" t="n"/>
      <c r="AQ1001" s="99" t="n"/>
      <c r="AR1001" s="99" t="n"/>
    </row>
    <row r="1002">
      <c r="D1002" s="99" t="n"/>
      <c r="E1002" s="99" t="n"/>
      <c r="F1002" s="99" t="n"/>
      <c r="G1002" s="99" t="n"/>
      <c r="H1002" s="99" t="n"/>
      <c r="I1002" s="99" t="n"/>
      <c r="J1002" s="99" t="n"/>
      <c r="K1002" s="99" t="n"/>
      <c r="L1002" s="99" t="n"/>
      <c r="M1002" s="99" t="n"/>
      <c r="N1002" s="99" t="n"/>
      <c r="O1002" s="99" t="n"/>
      <c r="P1002" s="99" t="n"/>
      <c r="Q1002" s="99" t="n"/>
      <c r="R1002" s="99" t="n"/>
      <c r="S1002" s="99" t="n"/>
      <c r="T1002" s="99" t="n"/>
      <c r="U1002" s="99" t="n"/>
      <c r="V1002" s="99" t="n"/>
      <c r="W1002" s="99" t="n"/>
      <c r="X1002" s="99" t="n"/>
      <c r="Y1002" s="99" t="n"/>
      <c r="Z1002" s="99" t="n"/>
      <c r="AA1002" s="99" t="n"/>
      <c r="AB1002" s="99" t="n"/>
      <c r="AC1002" s="99" t="n"/>
      <c r="AD1002" s="99" t="n"/>
      <c r="AE1002" s="99" t="n"/>
      <c r="AF1002" s="99" t="n"/>
      <c r="AG1002" s="99" t="n"/>
      <c r="AH1002" s="99" t="n"/>
      <c r="AI1002" s="99" t="n"/>
      <c r="AJ1002" s="99" t="n"/>
      <c r="AK1002" s="99" t="n"/>
      <c r="AL1002" s="99" t="n"/>
      <c r="AM1002" s="99" t="n"/>
      <c r="AN1002" s="99" t="n"/>
      <c r="AO1002" s="99" t="n"/>
      <c r="AP1002" s="99" t="n"/>
      <c r="AQ1002" s="99" t="n"/>
      <c r="AR1002" s="99" t="n"/>
    </row>
    <row r="1003">
      <c r="D1003" s="99" t="n"/>
      <c r="E1003" s="99" t="n"/>
      <c r="F1003" s="99" t="n"/>
      <c r="G1003" s="99" t="n"/>
      <c r="H1003" s="99" t="n"/>
      <c r="I1003" s="99" t="n"/>
      <c r="J1003" s="99" t="n"/>
      <c r="K1003" s="99" t="n"/>
      <c r="L1003" s="99" t="n"/>
      <c r="M1003" s="99" t="n"/>
      <c r="N1003" s="99" t="n"/>
      <c r="O1003" s="99" t="n"/>
      <c r="P1003" s="99" t="n"/>
      <c r="Q1003" s="99" t="n"/>
      <c r="R1003" s="99" t="n"/>
      <c r="S1003" s="99" t="n"/>
      <c r="T1003" s="99" t="n"/>
      <c r="U1003" s="99" t="n"/>
      <c r="V1003" s="99" t="n"/>
      <c r="W1003" s="99" t="n"/>
      <c r="X1003" s="99" t="n"/>
      <c r="Y1003" s="99" t="n"/>
      <c r="Z1003" s="99" t="n"/>
      <c r="AA1003" s="99" t="n"/>
      <c r="AB1003" s="99" t="n"/>
      <c r="AC1003" s="99" t="n"/>
      <c r="AD1003" s="99" t="n"/>
      <c r="AE1003" s="99" t="n"/>
      <c r="AF1003" s="99" t="n"/>
      <c r="AG1003" s="99" t="n"/>
      <c r="AH1003" s="99" t="n"/>
      <c r="AI1003" s="99" t="n"/>
      <c r="AJ1003" s="99" t="n"/>
      <c r="AK1003" s="99" t="n"/>
      <c r="AL1003" s="99" t="n"/>
      <c r="AM1003" s="99" t="n"/>
      <c r="AN1003" s="99" t="n"/>
      <c r="AO1003" s="99" t="n"/>
      <c r="AP1003" s="99" t="n"/>
      <c r="AQ1003" s="99" t="n"/>
      <c r="AR1003" s="99" t="n"/>
    </row>
    <row r="1004">
      <c r="D1004" s="100" t="n"/>
      <c r="E1004" s="100" t="n"/>
      <c r="F1004" s="100" t="n"/>
      <c r="G1004" s="100" t="n"/>
      <c r="H1004" s="100" t="n"/>
      <c r="I1004" s="100" t="n"/>
      <c r="J1004" s="100" t="n"/>
      <c r="K1004" s="100" t="n"/>
      <c r="L1004" s="100" t="n"/>
      <c r="M1004" s="100" t="n"/>
      <c r="N1004" s="100" t="n"/>
      <c r="O1004" s="100" t="n"/>
      <c r="P1004" s="100" t="n"/>
      <c r="Q1004" s="100" t="n"/>
      <c r="R1004" s="100" t="n"/>
      <c r="S1004" s="100" t="n"/>
      <c r="T1004" s="100" t="n"/>
      <c r="U1004" s="100" t="n"/>
      <c r="V1004" s="100" t="n"/>
      <c r="W1004" s="100" t="n"/>
      <c r="X1004" s="100" t="n"/>
      <c r="Y1004" s="100" t="n"/>
      <c r="Z1004" s="100" t="n"/>
      <c r="AA1004" s="100" t="n"/>
      <c r="AB1004" s="100" t="n"/>
      <c r="AC1004" s="100" t="n"/>
      <c r="AD1004" s="100" t="n"/>
      <c r="AE1004" s="100" t="n"/>
      <c r="AF1004" s="100" t="n"/>
      <c r="AG1004" s="100" t="n"/>
      <c r="AH1004" s="100" t="n"/>
      <c r="AI1004" s="100" t="n"/>
      <c r="AJ1004" s="100" t="n"/>
      <c r="AK1004" s="100" t="n"/>
      <c r="AL1004" s="100" t="n"/>
      <c r="AM1004" s="100" t="n"/>
      <c r="AN1004" s="100" t="n"/>
      <c r="AO1004" s="100" t="n"/>
      <c r="AP1004" s="100" t="n"/>
      <c r="AQ1004" s="100" t="n"/>
      <c r="AR1004" s="100" t="n"/>
    </row>
    <row r="1007">
      <c r="A1007" s="2">
        <f>IF($A1000="","","   projections")</f>
        <v/>
      </c>
      <c r="B1007" s="96">
        <f>IF($A1000="",0,COUNT($E1008:$AR1008))</f>
        <v/>
      </c>
      <c r="C1007" s="97">
        <f>IF($B1007=0,0,MAX($E1008:$AR1008))</f>
        <v/>
      </c>
      <c r="D1007" s="98">
        <f>BDS($A1000,FLD_PROJ,"headers=y","startcol=1","endcol=3","dir=h")</f>
        <v/>
      </c>
      <c r="E1007" s="99" t="n"/>
      <c r="F1007" s="99" t="n"/>
      <c r="G1007" s="99" t="n"/>
      <c r="H1007" s="99" t="n"/>
      <c r="I1007" s="99" t="n"/>
      <c r="J1007" s="99" t="n"/>
      <c r="K1007" s="99" t="n"/>
      <c r="L1007" s="99" t="n"/>
      <c r="M1007" s="99" t="n"/>
      <c r="N1007" s="99" t="n"/>
      <c r="O1007" s="99" t="n"/>
      <c r="P1007" s="99" t="n"/>
      <c r="Q1007" s="99" t="n"/>
      <c r="R1007" s="99" t="n"/>
      <c r="S1007" s="99" t="n"/>
      <c r="T1007" s="99" t="n"/>
      <c r="U1007" s="99" t="n"/>
      <c r="V1007" s="99" t="n"/>
      <c r="W1007" s="99" t="n"/>
      <c r="X1007" s="99" t="n"/>
      <c r="Y1007" s="99" t="n"/>
      <c r="Z1007" s="99" t="n"/>
      <c r="AA1007" s="99" t="n"/>
      <c r="AB1007" s="99" t="n"/>
      <c r="AC1007" s="99" t="n"/>
      <c r="AD1007" s="99" t="n"/>
      <c r="AE1007" s="99" t="n"/>
      <c r="AF1007" s="99" t="n"/>
      <c r="AG1007" s="99" t="n"/>
      <c r="AH1007" s="99" t="n"/>
      <c r="AI1007" s="99" t="n"/>
      <c r="AJ1007" s="99" t="n"/>
      <c r="AK1007" s="99" t="n"/>
      <c r="AL1007" s="99" t="n"/>
      <c r="AM1007" s="99" t="n"/>
      <c r="AN1007" s="99" t="n"/>
      <c r="AO1007" s="99" t="n"/>
      <c r="AP1007" s="99" t="n"/>
      <c r="AQ1007" s="99" t="n"/>
      <c r="AR1007" s="99" t="n"/>
    </row>
    <row r="1008">
      <c r="D1008" s="99" t="n"/>
      <c r="E1008" s="99" t="n"/>
      <c r="F1008" s="99" t="n"/>
      <c r="G1008" s="99" t="n"/>
      <c r="H1008" s="99" t="n"/>
      <c r="I1008" s="99" t="n"/>
      <c r="J1008" s="99" t="n"/>
      <c r="K1008" s="99" t="n"/>
      <c r="L1008" s="99" t="n"/>
      <c r="M1008" s="99" t="n"/>
      <c r="N1008" s="99" t="n"/>
      <c r="O1008" s="99" t="n"/>
      <c r="P1008" s="99" t="n"/>
      <c r="Q1008" s="99" t="n"/>
      <c r="R1008" s="99" t="n"/>
      <c r="S1008" s="99" t="n"/>
      <c r="T1008" s="99" t="n"/>
      <c r="U1008" s="99" t="n"/>
      <c r="V1008" s="99" t="n"/>
      <c r="W1008" s="99" t="n"/>
      <c r="X1008" s="99" t="n"/>
      <c r="Y1008" s="99" t="n"/>
      <c r="Z1008" s="99" t="n"/>
      <c r="AA1008" s="99" t="n"/>
      <c r="AB1008" s="99" t="n"/>
      <c r="AC1008" s="99" t="n"/>
      <c r="AD1008" s="99" t="n"/>
      <c r="AE1008" s="99" t="n"/>
      <c r="AF1008" s="99" t="n"/>
      <c r="AG1008" s="99" t="n"/>
      <c r="AH1008" s="99" t="n"/>
      <c r="AI1008" s="99" t="n"/>
      <c r="AJ1008" s="99" t="n"/>
      <c r="AK1008" s="99" t="n"/>
      <c r="AL1008" s="99" t="n"/>
      <c r="AM1008" s="99" t="n"/>
      <c r="AN1008" s="99" t="n"/>
      <c r="AO1008" s="99" t="n"/>
      <c r="AP1008" s="99" t="n"/>
      <c r="AQ1008" s="99" t="n"/>
      <c r="AR1008" s="99" t="n"/>
    </row>
    <row r="1009">
      <c r="D1009" s="100" t="n"/>
      <c r="E1009" s="100" t="n"/>
      <c r="F1009" s="100" t="n"/>
      <c r="G1009" s="100" t="n"/>
      <c r="H1009" s="100" t="n"/>
      <c r="I1009" s="100" t="n"/>
      <c r="J1009" s="100" t="n"/>
      <c r="K1009" s="100" t="n"/>
      <c r="L1009" s="100" t="n"/>
      <c r="M1009" s="100" t="n"/>
      <c r="N1009" s="100" t="n"/>
      <c r="O1009" s="100" t="n"/>
      <c r="P1009" s="100" t="n"/>
      <c r="Q1009" s="100" t="n"/>
      <c r="R1009" s="100" t="n"/>
      <c r="S1009" s="100" t="n"/>
      <c r="T1009" s="100" t="n"/>
      <c r="U1009" s="100" t="n"/>
      <c r="V1009" s="100" t="n"/>
      <c r="W1009" s="100" t="n"/>
      <c r="X1009" s="100" t="n"/>
      <c r="Y1009" s="100" t="n"/>
      <c r="Z1009" s="100" t="n"/>
      <c r="AA1009" s="100" t="n"/>
      <c r="AB1009" s="100" t="n"/>
      <c r="AC1009" s="100" t="n"/>
      <c r="AD1009" s="100" t="n"/>
      <c r="AE1009" s="100" t="n"/>
      <c r="AF1009" s="100" t="n"/>
      <c r="AG1009" s="100" t="n"/>
      <c r="AH1009" s="100" t="n"/>
      <c r="AI1009" s="100" t="n"/>
      <c r="AJ1009" s="100" t="n"/>
      <c r="AK1009" s="100" t="n"/>
      <c r="AL1009" s="100" t="n"/>
      <c r="AM1009" s="100" t="n"/>
      <c r="AN1009" s="100" t="n"/>
      <c r="AO1009" s="100" t="n"/>
      <c r="AP1009" s="100" t="n"/>
      <c r="AQ1009" s="100" t="n"/>
      <c r="AR1009" s="100" t="n"/>
    </row>
    <row r="1011">
      <c r="A1011" s="6">
        <f>IF(HSI!$C$98="","",HSI!$C$98)</f>
        <v/>
      </c>
      <c r="B1011" s="96">
        <f>IF($A1011="",0,COUNT($E1012:$AR1012))</f>
        <v/>
      </c>
      <c r="C1011" s="97">
        <f>IF($B1011=0,0,MAX($E1012:$AR1012))</f>
        <v/>
      </c>
      <c r="D1011" s="98">
        <f>BDS($A1011,FLD_HIST,"headers=y","startcol=1","endcol=7","dir=h","DVD_START_DT",HIST_FROM,"DVD_END_DT",HIST_TO)</f>
        <v/>
      </c>
      <c r="E1011" s="99" t="n"/>
      <c r="F1011" s="99" t="n"/>
      <c r="G1011" s="99" t="n"/>
      <c r="H1011" s="99" t="n"/>
      <c r="I1011" s="99" t="n"/>
      <c r="J1011" s="99" t="n"/>
      <c r="K1011" s="99" t="n"/>
      <c r="L1011" s="99" t="n"/>
      <c r="M1011" s="99" t="n"/>
      <c r="N1011" s="99" t="n"/>
      <c r="O1011" s="99" t="n"/>
      <c r="P1011" s="99" t="n"/>
      <c r="Q1011" s="99" t="n"/>
      <c r="R1011" s="99" t="n"/>
      <c r="S1011" s="99" t="n"/>
      <c r="T1011" s="99" t="n"/>
      <c r="U1011" s="99" t="n"/>
      <c r="V1011" s="99" t="n"/>
      <c r="W1011" s="99" t="n"/>
      <c r="X1011" s="99" t="n"/>
      <c r="Y1011" s="99" t="n"/>
      <c r="Z1011" s="99" t="n"/>
      <c r="AA1011" s="99" t="n"/>
      <c r="AB1011" s="99" t="n"/>
      <c r="AC1011" s="99" t="n"/>
      <c r="AD1011" s="99" t="n"/>
      <c r="AE1011" s="99" t="n"/>
      <c r="AF1011" s="99" t="n"/>
      <c r="AG1011" s="99" t="n"/>
      <c r="AH1011" s="99" t="n"/>
      <c r="AI1011" s="99" t="n"/>
      <c r="AJ1011" s="99" t="n"/>
      <c r="AK1011" s="99" t="n"/>
      <c r="AL1011" s="99" t="n"/>
      <c r="AM1011" s="99" t="n"/>
      <c r="AN1011" s="99" t="n"/>
      <c r="AO1011" s="99" t="n"/>
      <c r="AP1011" s="99" t="n"/>
      <c r="AQ1011" s="99" t="n"/>
      <c r="AR1011" s="99" t="n"/>
    </row>
    <row r="1012">
      <c r="D1012" s="99" t="n"/>
      <c r="E1012" s="99" t="n"/>
      <c r="F1012" s="99" t="n"/>
      <c r="G1012" s="99" t="n"/>
      <c r="H1012" s="99" t="n"/>
      <c r="I1012" s="99" t="n"/>
      <c r="J1012" s="99" t="n"/>
      <c r="K1012" s="99" t="n"/>
      <c r="L1012" s="99" t="n"/>
      <c r="M1012" s="99" t="n"/>
      <c r="N1012" s="99" t="n"/>
      <c r="O1012" s="99" t="n"/>
      <c r="P1012" s="99" t="n"/>
      <c r="Q1012" s="99" t="n"/>
      <c r="R1012" s="99" t="n"/>
      <c r="S1012" s="99" t="n"/>
      <c r="T1012" s="99" t="n"/>
      <c r="U1012" s="99" t="n"/>
      <c r="V1012" s="99" t="n"/>
      <c r="W1012" s="99" t="n"/>
      <c r="X1012" s="99" t="n"/>
      <c r="Y1012" s="99" t="n"/>
      <c r="Z1012" s="99" t="n"/>
      <c r="AA1012" s="99" t="n"/>
      <c r="AB1012" s="99" t="n"/>
      <c r="AC1012" s="99" t="n"/>
      <c r="AD1012" s="99" t="n"/>
      <c r="AE1012" s="99" t="n"/>
      <c r="AF1012" s="99" t="n"/>
      <c r="AG1012" s="99" t="n"/>
      <c r="AH1012" s="99" t="n"/>
      <c r="AI1012" s="99" t="n"/>
      <c r="AJ1012" s="99" t="n"/>
      <c r="AK1012" s="99" t="n"/>
      <c r="AL1012" s="99" t="n"/>
      <c r="AM1012" s="99" t="n"/>
      <c r="AN1012" s="99" t="n"/>
      <c r="AO1012" s="99" t="n"/>
      <c r="AP1012" s="99" t="n"/>
      <c r="AQ1012" s="99" t="n"/>
      <c r="AR1012" s="99" t="n"/>
    </row>
    <row r="1013">
      <c r="D1013" s="99" t="n"/>
      <c r="E1013" s="99" t="n"/>
      <c r="F1013" s="99" t="n"/>
      <c r="G1013" s="99" t="n"/>
      <c r="H1013" s="99" t="n"/>
      <c r="I1013" s="99" t="n"/>
      <c r="J1013" s="99" t="n"/>
      <c r="K1013" s="99" t="n"/>
      <c r="L1013" s="99" t="n"/>
      <c r="M1013" s="99" t="n"/>
      <c r="N1013" s="99" t="n"/>
      <c r="O1013" s="99" t="n"/>
      <c r="P1013" s="99" t="n"/>
      <c r="Q1013" s="99" t="n"/>
      <c r="R1013" s="99" t="n"/>
      <c r="S1013" s="99" t="n"/>
      <c r="T1013" s="99" t="n"/>
      <c r="U1013" s="99" t="n"/>
      <c r="V1013" s="99" t="n"/>
      <c r="W1013" s="99" t="n"/>
      <c r="X1013" s="99" t="n"/>
      <c r="Y1013" s="99" t="n"/>
      <c r="Z1013" s="99" t="n"/>
      <c r="AA1013" s="99" t="n"/>
      <c r="AB1013" s="99" t="n"/>
      <c r="AC1013" s="99" t="n"/>
      <c r="AD1013" s="99" t="n"/>
      <c r="AE1013" s="99" t="n"/>
      <c r="AF1013" s="99" t="n"/>
      <c r="AG1013" s="99" t="n"/>
      <c r="AH1013" s="99" t="n"/>
      <c r="AI1013" s="99" t="n"/>
      <c r="AJ1013" s="99" t="n"/>
      <c r="AK1013" s="99" t="n"/>
      <c r="AL1013" s="99" t="n"/>
      <c r="AM1013" s="99" t="n"/>
      <c r="AN1013" s="99" t="n"/>
      <c r="AO1013" s="99" t="n"/>
      <c r="AP1013" s="99" t="n"/>
      <c r="AQ1013" s="99" t="n"/>
      <c r="AR1013" s="99" t="n"/>
    </row>
    <row r="1014">
      <c r="D1014" s="99" t="n"/>
      <c r="E1014" s="99" t="n"/>
      <c r="F1014" s="99" t="n"/>
      <c r="G1014" s="99" t="n"/>
      <c r="H1014" s="99" t="n"/>
      <c r="I1014" s="99" t="n"/>
      <c r="J1014" s="99" t="n"/>
      <c r="K1014" s="99" t="n"/>
      <c r="L1014" s="99" t="n"/>
      <c r="M1014" s="99" t="n"/>
      <c r="N1014" s="99" t="n"/>
      <c r="O1014" s="99" t="n"/>
      <c r="P1014" s="99" t="n"/>
      <c r="Q1014" s="99" t="n"/>
      <c r="R1014" s="99" t="n"/>
      <c r="S1014" s="99" t="n"/>
      <c r="T1014" s="99" t="n"/>
      <c r="U1014" s="99" t="n"/>
      <c r="V1014" s="99" t="n"/>
      <c r="W1014" s="99" t="n"/>
      <c r="X1014" s="99" t="n"/>
      <c r="Y1014" s="99" t="n"/>
      <c r="Z1014" s="99" t="n"/>
      <c r="AA1014" s="99" t="n"/>
      <c r="AB1014" s="99" t="n"/>
      <c r="AC1014" s="99" t="n"/>
      <c r="AD1014" s="99" t="n"/>
      <c r="AE1014" s="99" t="n"/>
      <c r="AF1014" s="99" t="n"/>
      <c r="AG1014" s="99" t="n"/>
      <c r="AH1014" s="99" t="n"/>
      <c r="AI1014" s="99" t="n"/>
      <c r="AJ1014" s="99" t="n"/>
      <c r="AK1014" s="99" t="n"/>
      <c r="AL1014" s="99" t="n"/>
      <c r="AM1014" s="99" t="n"/>
      <c r="AN1014" s="99" t="n"/>
      <c r="AO1014" s="99" t="n"/>
      <c r="AP1014" s="99" t="n"/>
      <c r="AQ1014" s="99" t="n"/>
      <c r="AR1014" s="99" t="n"/>
    </row>
    <row r="1015">
      <c r="D1015" s="100" t="n"/>
      <c r="E1015" s="100" t="n"/>
      <c r="F1015" s="100" t="n"/>
      <c r="G1015" s="100" t="n"/>
      <c r="H1015" s="100" t="n"/>
      <c r="I1015" s="100" t="n"/>
      <c r="J1015" s="100" t="n"/>
      <c r="K1015" s="100" t="n"/>
      <c r="L1015" s="100" t="n"/>
      <c r="M1015" s="100" t="n"/>
      <c r="N1015" s="100" t="n"/>
      <c r="O1015" s="100" t="n"/>
      <c r="P1015" s="100" t="n"/>
      <c r="Q1015" s="100" t="n"/>
      <c r="R1015" s="100" t="n"/>
      <c r="S1015" s="100" t="n"/>
      <c r="T1015" s="100" t="n"/>
      <c r="U1015" s="100" t="n"/>
      <c r="V1015" s="100" t="n"/>
      <c r="W1015" s="100" t="n"/>
      <c r="X1015" s="100" t="n"/>
      <c r="Y1015" s="100" t="n"/>
      <c r="Z1015" s="100" t="n"/>
      <c r="AA1015" s="100" t="n"/>
      <c r="AB1015" s="100" t="n"/>
      <c r="AC1015" s="100" t="n"/>
      <c r="AD1015" s="100" t="n"/>
      <c r="AE1015" s="100" t="n"/>
      <c r="AF1015" s="100" t="n"/>
      <c r="AG1015" s="100" t="n"/>
      <c r="AH1015" s="100" t="n"/>
      <c r="AI1015" s="100" t="n"/>
      <c r="AJ1015" s="100" t="n"/>
      <c r="AK1015" s="100" t="n"/>
      <c r="AL1015" s="100" t="n"/>
      <c r="AM1015" s="100" t="n"/>
      <c r="AN1015" s="100" t="n"/>
      <c r="AO1015" s="100" t="n"/>
      <c r="AP1015" s="100" t="n"/>
      <c r="AQ1015" s="100" t="n"/>
      <c r="AR1015" s="100" t="n"/>
    </row>
    <row r="1018">
      <c r="A1018" s="2">
        <f>IF($A1011="","","   projections")</f>
        <v/>
      </c>
      <c r="B1018" s="96">
        <f>IF($A1011="",0,COUNT($E1019:$AR1019))</f>
        <v/>
      </c>
      <c r="C1018" s="97">
        <f>IF($B1018=0,0,MAX($E1019:$AR1019))</f>
        <v/>
      </c>
      <c r="D1018" s="98">
        <f>BDS($A1011,FLD_PROJ,"headers=y","startcol=1","endcol=3","dir=h")</f>
        <v/>
      </c>
      <c r="E1018" s="99" t="n"/>
      <c r="F1018" s="99" t="n"/>
      <c r="G1018" s="99" t="n"/>
      <c r="H1018" s="99" t="n"/>
      <c r="I1018" s="99" t="n"/>
      <c r="J1018" s="99" t="n"/>
      <c r="K1018" s="99" t="n"/>
      <c r="L1018" s="99" t="n"/>
      <c r="M1018" s="99" t="n"/>
      <c r="N1018" s="99" t="n"/>
      <c r="O1018" s="99" t="n"/>
      <c r="P1018" s="99" t="n"/>
      <c r="Q1018" s="99" t="n"/>
      <c r="R1018" s="99" t="n"/>
      <c r="S1018" s="99" t="n"/>
      <c r="T1018" s="99" t="n"/>
      <c r="U1018" s="99" t="n"/>
      <c r="V1018" s="99" t="n"/>
      <c r="W1018" s="99" t="n"/>
      <c r="X1018" s="99" t="n"/>
      <c r="Y1018" s="99" t="n"/>
      <c r="Z1018" s="99" t="n"/>
      <c r="AA1018" s="99" t="n"/>
      <c r="AB1018" s="99" t="n"/>
      <c r="AC1018" s="99" t="n"/>
      <c r="AD1018" s="99" t="n"/>
      <c r="AE1018" s="99" t="n"/>
      <c r="AF1018" s="99" t="n"/>
      <c r="AG1018" s="99" t="n"/>
      <c r="AH1018" s="99" t="n"/>
      <c r="AI1018" s="99" t="n"/>
      <c r="AJ1018" s="99" t="n"/>
      <c r="AK1018" s="99" t="n"/>
      <c r="AL1018" s="99" t="n"/>
      <c r="AM1018" s="99" t="n"/>
      <c r="AN1018" s="99" t="n"/>
      <c r="AO1018" s="99" t="n"/>
      <c r="AP1018" s="99" t="n"/>
      <c r="AQ1018" s="99" t="n"/>
      <c r="AR1018" s="99" t="n"/>
    </row>
    <row r="1019">
      <c r="D1019" s="99" t="n"/>
      <c r="E1019" s="99" t="n"/>
      <c r="F1019" s="99" t="n"/>
      <c r="G1019" s="99" t="n"/>
      <c r="H1019" s="99" t="n"/>
      <c r="I1019" s="99" t="n"/>
      <c r="J1019" s="99" t="n"/>
      <c r="K1019" s="99" t="n"/>
      <c r="L1019" s="99" t="n"/>
      <c r="M1019" s="99" t="n"/>
      <c r="N1019" s="99" t="n"/>
      <c r="O1019" s="99" t="n"/>
      <c r="P1019" s="99" t="n"/>
      <c r="Q1019" s="99" t="n"/>
      <c r="R1019" s="99" t="n"/>
      <c r="S1019" s="99" t="n"/>
      <c r="T1019" s="99" t="n"/>
      <c r="U1019" s="99" t="n"/>
      <c r="V1019" s="99" t="n"/>
      <c r="W1019" s="99" t="n"/>
      <c r="X1019" s="99" t="n"/>
      <c r="Y1019" s="99" t="n"/>
      <c r="Z1019" s="99" t="n"/>
      <c r="AA1019" s="99" t="n"/>
      <c r="AB1019" s="99" t="n"/>
      <c r="AC1019" s="99" t="n"/>
      <c r="AD1019" s="99" t="n"/>
      <c r="AE1019" s="99" t="n"/>
      <c r="AF1019" s="99" t="n"/>
      <c r="AG1019" s="99" t="n"/>
      <c r="AH1019" s="99" t="n"/>
      <c r="AI1019" s="99" t="n"/>
      <c r="AJ1019" s="99" t="n"/>
      <c r="AK1019" s="99" t="n"/>
      <c r="AL1019" s="99" t="n"/>
      <c r="AM1019" s="99" t="n"/>
      <c r="AN1019" s="99" t="n"/>
      <c r="AO1019" s="99" t="n"/>
      <c r="AP1019" s="99" t="n"/>
      <c r="AQ1019" s="99" t="n"/>
      <c r="AR1019" s="99" t="n"/>
    </row>
    <row r="1020">
      <c r="D1020" s="100" t="n"/>
      <c r="E1020" s="100" t="n"/>
      <c r="F1020" s="100" t="n"/>
      <c r="G1020" s="100" t="n"/>
      <c r="H1020" s="100" t="n"/>
      <c r="I1020" s="100" t="n"/>
      <c r="J1020" s="100" t="n"/>
      <c r="K1020" s="100" t="n"/>
      <c r="L1020" s="100" t="n"/>
      <c r="M1020" s="100" t="n"/>
      <c r="N1020" s="100" t="n"/>
      <c r="O1020" s="100" t="n"/>
      <c r="P1020" s="100" t="n"/>
      <c r="Q1020" s="100" t="n"/>
      <c r="R1020" s="100" t="n"/>
      <c r="S1020" s="100" t="n"/>
      <c r="T1020" s="100" t="n"/>
      <c r="U1020" s="100" t="n"/>
      <c r="V1020" s="100" t="n"/>
      <c r="W1020" s="100" t="n"/>
      <c r="X1020" s="100" t="n"/>
      <c r="Y1020" s="100" t="n"/>
      <c r="Z1020" s="100" t="n"/>
      <c r="AA1020" s="100" t="n"/>
      <c r="AB1020" s="100" t="n"/>
      <c r="AC1020" s="100" t="n"/>
      <c r="AD1020" s="100" t="n"/>
      <c r="AE1020" s="100" t="n"/>
      <c r="AF1020" s="100" t="n"/>
      <c r="AG1020" s="100" t="n"/>
      <c r="AH1020" s="100" t="n"/>
      <c r="AI1020" s="100" t="n"/>
      <c r="AJ1020" s="100" t="n"/>
      <c r="AK1020" s="100" t="n"/>
      <c r="AL1020" s="100" t="n"/>
      <c r="AM1020" s="100" t="n"/>
      <c r="AN1020" s="100" t="n"/>
      <c r="AO1020" s="100" t="n"/>
      <c r="AP1020" s="100" t="n"/>
      <c r="AQ1020" s="100" t="n"/>
      <c r="AR1020" s="100" t="n"/>
    </row>
    <row r="1022">
      <c r="A1022" s="6">
        <f>IF(HSI!$C$99="","",HSI!$C$99)</f>
        <v/>
      </c>
      <c r="B1022" s="96">
        <f>IF($A1022="",0,COUNT($E1023:$AR1023))</f>
        <v/>
      </c>
      <c r="C1022" s="97">
        <f>IF($B1022=0,0,MAX($E1023:$AR1023))</f>
        <v/>
      </c>
      <c r="D1022" s="98">
        <f>BDS($A1022,FLD_HIST,"headers=y","startcol=1","endcol=7","dir=h","DVD_START_DT",HIST_FROM,"DVD_END_DT",HIST_TO)</f>
        <v/>
      </c>
      <c r="E1022" s="99" t="n"/>
      <c r="F1022" s="99" t="n"/>
      <c r="G1022" s="99" t="n"/>
      <c r="H1022" s="99" t="n"/>
      <c r="I1022" s="99" t="n"/>
      <c r="J1022" s="99" t="n"/>
      <c r="K1022" s="99" t="n"/>
      <c r="L1022" s="99" t="n"/>
      <c r="M1022" s="99" t="n"/>
      <c r="N1022" s="99" t="n"/>
      <c r="O1022" s="99" t="n"/>
      <c r="P1022" s="99" t="n"/>
      <c r="Q1022" s="99" t="n"/>
      <c r="R1022" s="99" t="n"/>
      <c r="S1022" s="99" t="n"/>
      <c r="T1022" s="99" t="n"/>
      <c r="U1022" s="99" t="n"/>
      <c r="V1022" s="99" t="n"/>
      <c r="W1022" s="99" t="n"/>
      <c r="X1022" s="99" t="n"/>
      <c r="Y1022" s="99" t="n"/>
      <c r="Z1022" s="99" t="n"/>
      <c r="AA1022" s="99" t="n"/>
      <c r="AB1022" s="99" t="n"/>
      <c r="AC1022" s="99" t="n"/>
      <c r="AD1022" s="99" t="n"/>
      <c r="AE1022" s="99" t="n"/>
      <c r="AF1022" s="99" t="n"/>
      <c r="AG1022" s="99" t="n"/>
      <c r="AH1022" s="99" t="n"/>
      <c r="AI1022" s="99" t="n"/>
      <c r="AJ1022" s="99" t="n"/>
      <c r="AK1022" s="99" t="n"/>
      <c r="AL1022" s="99" t="n"/>
      <c r="AM1022" s="99" t="n"/>
      <c r="AN1022" s="99" t="n"/>
      <c r="AO1022" s="99" t="n"/>
      <c r="AP1022" s="99" t="n"/>
      <c r="AQ1022" s="99" t="n"/>
      <c r="AR1022" s="99" t="n"/>
    </row>
    <row r="1023">
      <c r="D1023" s="99" t="n"/>
      <c r="E1023" s="99" t="n"/>
      <c r="F1023" s="99" t="n"/>
      <c r="G1023" s="99" t="n"/>
      <c r="H1023" s="99" t="n"/>
      <c r="I1023" s="99" t="n"/>
      <c r="J1023" s="99" t="n"/>
      <c r="K1023" s="99" t="n"/>
      <c r="L1023" s="99" t="n"/>
      <c r="M1023" s="99" t="n"/>
      <c r="N1023" s="99" t="n"/>
      <c r="O1023" s="99" t="n"/>
      <c r="P1023" s="99" t="n"/>
      <c r="Q1023" s="99" t="n"/>
      <c r="R1023" s="99" t="n"/>
      <c r="S1023" s="99" t="n"/>
      <c r="T1023" s="99" t="n"/>
      <c r="U1023" s="99" t="n"/>
      <c r="V1023" s="99" t="n"/>
      <c r="W1023" s="99" t="n"/>
      <c r="X1023" s="99" t="n"/>
      <c r="Y1023" s="99" t="n"/>
      <c r="Z1023" s="99" t="n"/>
      <c r="AA1023" s="99" t="n"/>
      <c r="AB1023" s="99" t="n"/>
      <c r="AC1023" s="99" t="n"/>
      <c r="AD1023" s="99" t="n"/>
      <c r="AE1023" s="99" t="n"/>
      <c r="AF1023" s="99" t="n"/>
      <c r="AG1023" s="99" t="n"/>
      <c r="AH1023" s="99" t="n"/>
      <c r="AI1023" s="99" t="n"/>
      <c r="AJ1023" s="99" t="n"/>
      <c r="AK1023" s="99" t="n"/>
      <c r="AL1023" s="99" t="n"/>
      <c r="AM1023" s="99" t="n"/>
      <c r="AN1023" s="99" t="n"/>
      <c r="AO1023" s="99" t="n"/>
      <c r="AP1023" s="99" t="n"/>
      <c r="AQ1023" s="99" t="n"/>
      <c r="AR1023" s="99" t="n"/>
    </row>
    <row r="1024">
      <c r="D1024" s="99" t="n"/>
      <c r="E1024" s="99" t="n"/>
      <c r="F1024" s="99" t="n"/>
      <c r="G1024" s="99" t="n"/>
      <c r="H1024" s="99" t="n"/>
      <c r="I1024" s="99" t="n"/>
      <c r="J1024" s="99" t="n"/>
      <c r="K1024" s="99" t="n"/>
      <c r="L1024" s="99" t="n"/>
      <c r="M1024" s="99" t="n"/>
      <c r="N1024" s="99" t="n"/>
      <c r="O1024" s="99" t="n"/>
      <c r="P1024" s="99" t="n"/>
      <c r="Q1024" s="99" t="n"/>
      <c r="R1024" s="99" t="n"/>
      <c r="S1024" s="99" t="n"/>
      <c r="T1024" s="99" t="n"/>
      <c r="U1024" s="99" t="n"/>
      <c r="V1024" s="99" t="n"/>
      <c r="W1024" s="99" t="n"/>
      <c r="X1024" s="99" t="n"/>
      <c r="Y1024" s="99" t="n"/>
      <c r="Z1024" s="99" t="n"/>
      <c r="AA1024" s="99" t="n"/>
      <c r="AB1024" s="99" t="n"/>
      <c r="AC1024" s="99" t="n"/>
      <c r="AD1024" s="99" t="n"/>
      <c r="AE1024" s="99" t="n"/>
      <c r="AF1024" s="99" t="n"/>
      <c r="AG1024" s="99" t="n"/>
      <c r="AH1024" s="99" t="n"/>
      <c r="AI1024" s="99" t="n"/>
      <c r="AJ1024" s="99" t="n"/>
      <c r="AK1024" s="99" t="n"/>
      <c r="AL1024" s="99" t="n"/>
      <c r="AM1024" s="99" t="n"/>
      <c r="AN1024" s="99" t="n"/>
      <c r="AO1024" s="99" t="n"/>
      <c r="AP1024" s="99" t="n"/>
      <c r="AQ1024" s="99" t="n"/>
      <c r="AR1024" s="99" t="n"/>
    </row>
    <row r="1025">
      <c r="D1025" s="99" t="n"/>
      <c r="E1025" s="99" t="n"/>
      <c r="F1025" s="99" t="n"/>
      <c r="G1025" s="99" t="n"/>
      <c r="H1025" s="99" t="n"/>
      <c r="I1025" s="99" t="n"/>
      <c r="J1025" s="99" t="n"/>
      <c r="K1025" s="99" t="n"/>
      <c r="L1025" s="99" t="n"/>
      <c r="M1025" s="99" t="n"/>
      <c r="N1025" s="99" t="n"/>
      <c r="O1025" s="99" t="n"/>
      <c r="P1025" s="99" t="n"/>
      <c r="Q1025" s="99" t="n"/>
      <c r="R1025" s="99" t="n"/>
      <c r="S1025" s="99" t="n"/>
      <c r="T1025" s="99" t="n"/>
      <c r="U1025" s="99" t="n"/>
      <c r="V1025" s="99" t="n"/>
      <c r="W1025" s="99" t="n"/>
      <c r="X1025" s="99" t="n"/>
      <c r="Y1025" s="99" t="n"/>
      <c r="Z1025" s="99" t="n"/>
      <c r="AA1025" s="99" t="n"/>
      <c r="AB1025" s="99" t="n"/>
      <c r="AC1025" s="99" t="n"/>
      <c r="AD1025" s="99" t="n"/>
      <c r="AE1025" s="99" t="n"/>
      <c r="AF1025" s="99" t="n"/>
      <c r="AG1025" s="99" t="n"/>
      <c r="AH1025" s="99" t="n"/>
      <c r="AI1025" s="99" t="n"/>
      <c r="AJ1025" s="99" t="n"/>
      <c r="AK1025" s="99" t="n"/>
      <c r="AL1025" s="99" t="n"/>
      <c r="AM1025" s="99" t="n"/>
      <c r="AN1025" s="99" t="n"/>
      <c r="AO1025" s="99" t="n"/>
      <c r="AP1025" s="99" t="n"/>
      <c r="AQ1025" s="99" t="n"/>
      <c r="AR1025" s="99" t="n"/>
    </row>
    <row r="1026">
      <c r="D1026" s="100" t="n"/>
      <c r="E1026" s="100" t="n"/>
      <c r="F1026" s="100" t="n"/>
      <c r="G1026" s="100" t="n"/>
      <c r="H1026" s="100" t="n"/>
      <c r="I1026" s="100" t="n"/>
      <c r="J1026" s="100" t="n"/>
      <c r="K1026" s="100" t="n"/>
      <c r="L1026" s="100" t="n"/>
      <c r="M1026" s="100" t="n"/>
      <c r="N1026" s="100" t="n"/>
      <c r="O1026" s="100" t="n"/>
      <c r="P1026" s="100" t="n"/>
      <c r="Q1026" s="100" t="n"/>
      <c r="R1026" s="100" t="n"/>
      <c r="S1026" s="100" t="n"/>
      <c r="T1026" s="100" t="n"/>
      <c r="U1026" s="100" t="n"/>
      <c r="V1026" s="100" t="n"/>
      <c r="W1026" s="100" t="n"/>
      <c r="X1026" s="100" t="n"/>
      <c r="Y1026" s="100" t="n"/>
      <c r="Z1026" s="100" t="n"/>
      <c r="AA1026" s="100" t="n"/>
      <c r="AB1026" s="100" t="n"/>
      <c r="AC1026" s="100" t="n"/>
      <c r="AD1026" s="100" t="n"/>
      <c r="AE1026" s="100" t="n"/>
      <c r="AF1026" s="100" t="n"/>
      <c r="AG1026" s="100" t="n"/>
      <c r="AH1026" s="100" t="n"/>
      <c r="AI1026" s="100" t="n"/>
      <c r="AJ1026" s="100" t="n"/>
      <c r="AK1026" s="100" t="n"/>
      <c r="AL1026" s="100" t="n"/>
      <c r="AM1026" s="100" t="n"/>
      <c r="AN1026" s="100" t="n"/>
      <c r="AO1026" s="100" t="n"/>
      <c r="AP1026" s="100" t="n"/>
      <c r="AQ1026" s="100" t="n"/>
      <c r="AR1026" s="100" t="n"/>
    </row>
    <row r="1029">
      <c r="A1029" s="2">
        <f>IF($A1022="","","   projections")</f>
        <v/>
      </c>
      <c r="B1029" s="96">
        <f>IF($A1022="",0,COUNT($E1030:$AR1030))</f>
        <v/>
      </c>
      <c r="C1029" s="97">
        <f>IF($B1029=0,0,MAX($E1030:$AR1030))</f>
        <v/>
      </c>
      <c r="D1029" s="98">
        <f>BDS($A1022,FLD_PROJ,"headers=y","startcol=1","endcol=3","dir=h")</f>
        <v/>
      </c>
      <c r="E1029" s="99" t="n"/>
      <c r="F1029" s="99" t="n"/>
      <c r="G1029" s="99" t="n"/>
      <c r="H1029" s="99" t="n"/>
      <c r="I1029" s="99" t="n"/>
      <c r="J1029" s="99" t="n"/>
      <c r="K1029" s="99" t="n"/>
      <c r="L1029" s="99" t="n"/>
      <c r="M1029" s="99" t="n"/>
      <c r="N1029" s="99" t="n"/>
      <c r="O1029" s="99" t="n"/>
      <c r="P1029" s="99" t="n"/>
      <c r="Q1029" s="99" t="n"/>
      <c r="R1029" s="99" t="n"/>
      <c r="S1029" s="99" t="n"/>
      <c r="T1029" s="99" t="n"/>
      <c r="U1029" s="99" t="n"/>
      <c r="V1029" s="99" t="n"/>
      <c r="W1029" s="99" t="n"/>
      <c r="X1029" s="99" t="n"/>
      <c r="Y1029" s="99" t="n"/>
      <c r="Z1029" s="99" t="n"/>
      <c r="AA1029" s="99" t="n"/>
      <c r="AB1029" s="99" t="n"/>
      <c r="AC1029" s="99" t="n"/>
      <c r="AD1029" s="99" t="n"/>
      <c r="AE1029" s="99" t="n"/>
      <c r="AF1029" s="99" t="n"/>
      <c r="AG1029" s="99" t="n"/>
      <c r="AH1029" s="99" t="n"/>
      <c r="AI1029" s="99" t="n"/>
      <c r="AJ1029" s="99" t="n"/>
      <c r="AK1029" s="99" t="n"/>
      <c r="AL1029" s="99" t="n"/>
      <c r="AM1029" s="99" t="n"/>
      <c r="AN1029" s="99" t="n"/>
      <c r="AO1029" s="99" t="n"/>
      <c r="AP1029" s="99" t="n"/>
      <c r="AQ1029" s="99" t="n"/>
      <c r="AR1029" s="99" t="n"/>
    </row>
    <row r="1030">
      <c r="D1030" s="99" t="n"/>
      <c r="E1030" s="99" t="n"/>
      <c r="F1030" s="99" t="n"/>
      <c r="G1030" s="99" t="n"/>
      <c r="H1030" s="99" t="n"/>
      <c r="I1030" s="99" t="n"/>
      <c r="J1030" s="99" t="n"/>
      <c r="K1030" s="99" t="n"/>
      <c r="L1030" s="99" t="n"/>
      <c r="M1030" s="99" t="n"/>
      <c r="N1030" s="99" t="n"/>
      <c r="O1030" s="99" t="n"/>
      <c r="P1030" s="99" t="n"/>
      <c r="Q1030" s="99" t="n"/>
      <c r="R1030" s="99" t="n"/>
      <c r="S1030" s="99" t="n"/>
      <c r="T1030" s="99" t="n"/>
      <c r="U1030" s="99" t="n"/>
      <c r="V1030" s="99" t="n"/>
      <c r="W1030" s="99" t="n"/>
      <c r="X1030" s="99" t="n"/>
      <c r="Y1030" s="99" t="n"/>
      <c r="Z1030" s="99" t="n"/>
      <c r="AA1030" s="99" t="n"/>
      <c r="AB1030" s="99" t="n"/>
      <c r="AC1030" s="99" t="n"/>
      <c r="AD1030" s="99" t="n"/>
      <c r="AE1030" s="99" t="n"/>
      <c r="AF1030" s="99" t="n"/>
      <c r="AG1030" s="99" t="n"/>
      <c r="AH1030" s="99" t="n"/>
      <c r="AI1030" s="99" t="n"/>
      <c r="AJ1030" s="99" t="n"/>
      <c r="AK1030" s="99" t="n"/>
      <c r="AL1030" s="99" t="n"/>
      <c r="AM1030" s="99" t="n"/>
      <c r="AN1030" s="99" t="n"/>
      <c r="AO1030" s="99" t="n"/>
      <c r="AP1030" s="99" t="n"/>
      <c r="AQ1030" s="99" t="n"/>
      <c r="AR1030" s="99" t="n"/>
    </row>
    <row r="1031">
      <c r="D1031" s="100" t="n"/>
      <c r="E1031" s="100" t="n"/>
      <c r="F1031" s="100" t="n"/>
      <c r="G1031" s="100" t="n"/>
      <c r="H1031" s="100" t="n"/>
      <c r="I1031" s="100" t="n"/>
      <c r="J1031" s="100" t="n"/>
      <c r="K1031" s="100" t="n"/>
      <c r="L1031" s="100" t="n"/>
      <c r="M1031" s="100" t="n"/>
      <c r="N1031" s="100" t="n"/>
      <c r="O1031" s="100" t="n"/>
      <c r="P1031" s="100" t="n"/>
      <c r="Q1031" s="100" t="n"/>
      <c r="R1031" s="100" t="n"/>
      <c r="S1031" s="100" t="n"/>
      <c r="T1031" s="100" t="n"/>
      <c r="U1031" s="100" t="n"/>
      <c r="V1031" s="100" t="n"/>
      <c r="W1031" s="100" t="n"/>
      <c r="X1031" s="100" t="n"/>
      <c r="Y1031" s="100" t="n"/>
      <c r="Z1031" s="100" t="n"/>
      <c r="AA1031" s="100" t="n"/>
      <c r="AB1031" s="100" t="n"/>
      <c r="AC1031" s="100" t="n"/>
      <c r="AD1031" s="100" t="n"/>
      <c r="AE1031" s="100" t="n"/>
      <c r="AF1031" s="100" t="n"/>
      <c r="AG1031" s="100" t="n"/>
      <c r="AH1031" s="100" t="n"/>
      <c r="AI1031" s="100" t="n"/>
      <c r="AJ1031" s="100" t="n"/>
      <c r="AK1031" s="100" t="n"/>
      <c r="AL1031" s="100" t="n"/>
      <c r="AM1031" s="100" t="n"/>
      <c r="AN1031" s="100" t="n"/>
      <c r="AO1031" s="100" t="n"/>
      <c r="AP1031" s="100" t="n"/>
      <c r="AQ1031" s="100" t="n"/>
      <c r="AR1031" s="100" t="n"/>
    </row>
    <row r="1033">
      <c r="A1033" s="6">
        <f>IF(HSI!$C$100="","",HSI!$C$100)</f>
        <v/>
      </c>
      <c r="B1033" s="96">
        <f>IF($A1033="",0,COUNT($E1034:$AR1034))</f>
        <v/>
      </c>
      <c r="C1033" s="97">
        <f>IF($B1033=0,0,MAX($E1034:$AR1034))</f>
        <v/>
      </c>
      <c r="D1033" s="98">
        <f>BDS($A1033,FLD_HIST,"headers=y","startcol=1","endcol=7","dir=h","DVD_START_DT",HIST_FROM,"DVD_END_DT",HIST_TO)</f>
        <v/>
      </c>
      <c r="E1033" s="99" t="n"/>
      <c r="F1033" s="99" t="n"/>
      <c r="G1033" s="99" t="n"/>
      <c r="H1033" s="99" t="n"/>
      <c r="I1033" s="99" t="n"/>
      <c r="J1033" s="99" t="n"/>
      <c r="K1033" s="99" t="n"/>
      <c r="L1033" s="99" t="n"/>
      <c r="M1033" s="99" t="n"/>
      <c r="N1033" s="99" t="n"/>
      <c r="O1033" s="99" t="n"/>
      <c r="P1033" s="99" t="n"/>
      <c r="Q1033" s="99" t="n"/>
      <c r="R1033" s="99" t="n"/>
      <c r="S1033" s="99" t="n"/>
      <c r="T1033" s="99" t="n"/>
      <c r="U1033" s="99" t="n"/>
      <c r="V1033" s="99" t="n"/>
      <c r="W1033" s="99" t="n"/>
      <c r="X1033" s="99" t="n"/>
      <c r="Y1033" s="99" t="n"/>
      <c r="Z1033" s="99" t="n"/>
      <c r="AA1033" s="99" t="n"/>
      <c r="AB1033" s="99" t="n"/>
      <c r="AC1033" s="99" t="n"/>
      <c r="AD1033" s="99" t="n"/>
      <c r="AE1033" s="99" t="n"/>
      <c r="AF1033" s="99" t="n"/>
      <c r="AG1033" s="99" t="n"/>
      <c r="AH1033" s="99" t="n"/>
      <c r="AI1033" s="99" t="n"/>
      <c r="AJ1033" s="99" t="n"/>
      <c r="AK1033" s="99" t="n"/>
      <c r="AL1033" s="99" t="n"/>
      <c r="AM1033" s="99" t="n"/>
      <c r="AN1033" s="99" t="n"/>
      <c r="AO1033" s="99" t="n"/>
      <c r="AP1033" s="99" t="n"/>
      <c r="AQ1033" s="99" t="n"/>
      <c r="AR1033" s="99" t="n"/>
    </row>
    <row r="1034">
      <c r="D1034" s="99" t="n"/>
      <c r="E1034" s="99" t="n"/>
      <c r="F1034" s="99" t="n"/>
      <c r="G1034" s="99" t="n"/>
      <c r="H1034" s="99" t="n"/>
      <c r="I1034" s="99" t="n"/>
      <c r="J1034" s="99" t="n"/>
      <c r="K1034" s="99" t="n"/>
      <c r="L1034" s="99" t="n"/>
      <c r="M1034" s="99" t="n"/>
      <c r="N1034" s="99" t="n"/>
      <c r="O1034" s="99" t="n"/>
      <c r="P1034" s="99" t="n"/>
      <c r="Q1034" s="99" t="n"/>
      <c r="R1034" s="99" t="n"/>
      <c r="S1034" s="99" t="n"/>
      <c r="T1034" s="99" t="n"/>
      <c r="U1034" s="99" t="n"/>
      <c r="V1034" s="99" t="n"/>
      <c r="W1034" s="99" t="n"/>
      <c r="X1034" s="99" t="n"/>
      <c r="Y1034" s="99" t="n"/>
      <c r="Z1034" s="99" t="n"/>
      <c r="AA1034" s="99" t="n"/>
      <c r="AB1034" s="99" t="n"/>
      <c r="AC1034" s="99" t="n"/>
      <c r="AD1034" s="99" t="n"/>
      <c r="AE1034" s="99" t="n"/>
      <c r="AF1034" s="99" t="n"/>
      <c r="AG1034" s="99" t="n"/>
      <c r="AH1034" s="99" t="n"/>
      <c r="AI1034" s="99" t="n"/>
      <c r="AJ1034" s="99" t="n"/>
      <c r="AK1034" s="99" t="n"/>
      <c r="AL1034" s="99" t="n"/>
      <c r="AM1034" s="99" t="n"/>
      <c r="AN1034" s="99" t="n"/>
      <c r="AO1034" s="99" t="n"/>
      <c r="AP1034" s="99" t="n"/>
      <c r="AQ1034" s="99" t="n"/>
      <c r="AR1034" s="99" t="n"/>
    </row>
    <row r="1035">
      <c r="D1035" s="99" t="n"/>
      <c r="E1035" s="99" t="n"/>
      <c r="F1035" s="99" t="n"/>
      <c r="G1035" s="99" t="n"/>
      <c r="H1035" s="99" t="n"/>
      <c r="I1035" s="99" t="n"/>
      <c r="J1035" s="99" t="n"/>
      <c r="K1035" s="99" t="n"/>
      <c r="L1035" s="99" t="n"/>
      <c r="M1035" s="99" t="n"/>
      <c r="N1035" s="99" t="n"/>
      <c r="O1035" s="99" t="n"/>
      <c r="P1035" s="99" t="n"/>
      <c r="Q1035" s="99" t="n"/>
      <c r="R1035" s="99" t="n"/>
      <c r="S1035" s="99" t="n"/>
      <c r="T1035" s="99" t="n"/>
      <c r="U1035" s="99" t="n"/>
      <c r="V1035" s="99" t="n"/>
      <c r="W1035" s="99" t="n"/>
      <c r="X1035" s="99" t="n"/>
      <c r="Y1035" s="99" t="n"/>
      <c r="Z1035" s="99" t="n"/>
      <c r="AA1035" s="99" t="n"/>
      <c r="AB1035" s="99" t="n"/>
      <c r="AC1035" s="99" t="n"/>
      <c r="AD1035" s="99" t="n"/>
      <c r="AE1035" s="99" t="n"/>
      <c r="AF1035" s="99" t="n"/>
      <c r="AG1035" s="99" t="n"/>
      <c r="AH1035" s="99" t="n"/>
      <c r="AI1035" s="99" t="n"/>
      <c r="AJ1035" s="99" t="n"/>
      <c r="AK1035" s="99" t="n"/>
      <c r="AL1035" s="99" t="n"/>
      <c r="AM1035" s="99" t="n"/>
      <c r="AN1035" s="99" t="n"/>
      <c r="AO1035" s="99" t="n"/>
      <c r="AP1035" s="99" t="n"/>
      <c r="AQ1035" s="99" t="n"/>
      <c r="AR1035" s="99" t="n"/>
    </row>
    <row r="1036">
      <c r="D1036" s="99" t="n"/>
      <c r="E1036" s="99" t="n"/>
      <c r="F1036" s="99" t="n"/>
      <c r="G1036" s="99" t="n"/>
      <c r="H1036" s="99" t="n"/>
      <c r="I1036" s="99" t="n"/>
      <c r="J1036" s="99" t="n"/>
      <c r="K1036" s="99" t="n"/>
      <c r="L1036" s="99" t="n"/>
      <c r="M1036" s="99" t="n"/>
      <c r="N1036" s="99" t="n"/>
      <c r="O1036" s="99" t="n"/>
      <c r="P1036" s="99" t="n"/>
      <c r="Q1036" s="99" t="n"/>
      <c r="R1036" s="99" t="n"/>
      <c r="S1036" s="99" t="n"/>
      <c r="T1036" s="99" t="n"/>
      <c r="U1036" s="99" t="n"/>
      <c r="V1036" s="99" t="n"/>
      <c r="W1036" s="99" t="n"/>
      <c r="X1036" s="99" t="n"/>
      <c r="Y1036" s="99" t="n"/>
      <c r="Z1036" s="99" t="n"/>
      <c r="AA1036" s="99" t="n"/>
      <c r="AB1036" s="99" t="n"/>
      <c r="AC1036" s="99" t="n"/>
      <c r="AD1036" s="99" t="n"/>
      <c r="AE1036" s="99" t="n"/>
      <c r="AF1036" s="99" t="n"/>
      <c r="AG1036" s="99" t="n"/>
      <c r="AH1036" s="99" t="n"/>
      <c r="AI1036" s="99" t="n"/>
      <c r="AJ1036" s="99" t="n"/>
      <c r="AK1036" s="99" t="n"/>
      <c r="AL1036" s="99" t="n"/>
      <c r="AM1036" s="99" t="n"/>
      <c r="AN1036" s="99" t="n"/>
      <c r="AO1036" s="99" t="n"/>
      <c r="AP1036" s="99" t="n"/>
      <c r="AQ1036" s="99" t="n"/>
      <c r="AR1036" s="99" t="n"/>
    </row>
    <row r="1037">
      <c r="D1037" s="100" t="n"/>
      <c r="E1037" s="100" t="n"/>
      <c r="F1037" s="100" t="n"/>
      <c r="G1037" s="100" t="n"/>
      <c r="H1037" s="100" t="n"/>
      <c r="I1037" s="100" t="n"/>
      <c r="J1037" s="100" t="n"/>
      <c r="K1037" s="100" t="n"/>
      <c r="L1037" s="100" t="n"/>
      <c r="M1037" s="100" t="n"/>
      <c r="N1037" s="100" t="n"/>
      <c r="O1037" s="100" t="n"/>
      <c r="P1037" s="100" t="n"/>
      <c r="Q1037" s="100" t="n"/>
      <c r="R1037" s="100" t="n"/>
      <c r="S1037" s="100" t="n"/>
      <c r="T1037" s="100" t="n"/>
      <c r="U1037" s="100" t="n"/>
      <c r="V1037" s="100" t="n"/>
      <c r="W1037" s="100" t="n"/>
      <c r="X1037" s="100" t="n"/>
      <c r="Y1037" s="100" t="n"/>
      <c r="Z1037" s="100" t="n"/>
      <c r="AA1037" s="100" t="n"/>
      <c r="AB1037" s="100" t="n"/>
      <c r="AC1037" s="100" t="n"/>
      <c r="AD1037" s="100" t="n"/>
      <c r="AE1037" s="100" t="n"/>
      <c r="AF1037" s="100" t="n"/>
      <c r="AG1037" s="100" t="n"/>
      <c r="AH1037" s="100" t="n"/>
      <c r="AI1037" s="100" t="n"/>
      <c r="AJ1037" s="100" t="n"/>
      <c r="AK1037" s="100" t="n"/>
      <c r="AL1037" s="100" t="n"/>
      <c r="AM1037" s="100" t="n"/>
      <c r="AN1037" s="100" t="n"/>
      <c r="AO1037" s="100" t="n"/>
      <c r="AP1037" s="100" t="n"/>
      <c r="AQ1037" s="100" t="n"/>
      <c r="AR1037" s="100" t="n"/>
    </row>
    <row r="1040">
      <c r="A1040" s="2">
        <f>IF($A1033="","","   projections")</f>
        <v/>
      </c>
      <c r="B1040" s="96">
        <f>IF($A1033="",0,COUNT($E1041:$AR1041))</f>
        <v/>
      </c>
      <c r="C1040" s="97">
        <f>IF($B1040=0,0,MAX($E1041:$AR1041))</f>
        <v/>
      </c>
      <c r="D1040" s="98">
        <f>BDS($A1033,FLD_PROJ,"headers=y","startcol=1","endcol=3","dir=h")</f>
        <v/>
      </c>
      <c r="E1040" s="99" t="n"/>
      <c r="F1040" s="99" t="n"/>
      <c r="G1040" s="99" t="n"/>
      <c r="H1040" s="99" t="n"/>
      <c r="I1040" s="99" t="n"/>
      <c r="J1040" s="99" t="n"/>
      <c r="K1040" s="99" t="n"/>
      <c r="L1040" s="99" t="n"/>
      <c r="M1040" s="99" t="n"/>
      <c r="N1040" s="99" t="n"/>
      <c r="O1040" s="99" t="n"/>
      <c r="P1040" s="99" t="n"/>
      <c r="Q1040" s="99" t="n"/>
      <c r="R1040" s="99" t="n"/>
      <c r="S1040" s="99" t="n"/>
      <c r="T1040" s="99" t="n"/>
      <c r="U1040" s="99" t="n"/>
      <c r="V1040" s="99" t="n"/>
      <c r="W1040" s="99" t="n"/>
      <c r="X1040" s="99" t="n"/>
      <c r="Y1040" s="99" t="n"/>
      <c r="Z1040" s="99" t="n"/>
      <c r="AA1040" s="99" t="n"/>
      <c r="AB1040" s="99" t="n"/>
      <c r="AC1040" s="99" t="n"/>
      <c r="AD1040" s="99" t="n"/>
      <c r="AE1040" s="99" t="n"/>
      <c r="AF1040" s="99" t="n"/>
      <c r="AG1040" s="99" t="n"/>
      <c r="AH1040" s="99" t="n"/>
      <c r="AI1040" s="99" t="n"/>
      <c r="AJ1040" s="99" t="n"/>
      <c r="AK1040" s="99" t="n"/>
      <c r="AL1040" s="99" t="n"/>
      <c r="AM1040" s="99" t="n"/>
      <c r="AN1040" s="99" t="n"/>
      <c r="AO1040" s="99" t="n"/>
      <c r="AP1040" s="99" t="n"/>
      <c r="AQ1040" s="99" t="n"/>
      <c r="AR1040" s="99" t="n"/>
    </row>
    <row r="1041">
      <c r="D1041" s="99" t="n"/>
      <c r="E1041" s="99" t="n"/>
      <c r="F1041" s="99" t="n"/>
      <c r="G1041" s="99" t="n"/>
      <c r="H1041" s="99" t="n"/>
      <c r="I1041" s="99" t="n"/>
      <c r="J1041" s="99" t="n"/>
      <c r="K1041" s="99" t="n"/>
      <c r="L1041" s="99" t="n"/>
      <c r="M1041" s="99" t="n"/>
      <c r="N1041" s="99" t="n"/>
      <c r="O1041" s="99" t="n"/>
      <c r="P1041" s="99" t="n"/>
      <c r="Q1041" s="99" t="n"/>
      <c r="R1041" s="99" t="n"/>
      <c r="S1041" s="99" t="n"/>
      <c r="T1041" s="99" t="n"/>
      <c r="U1041" s="99" t="n"/>
      <c r="V1041" s="99" t="n"/>
      <c r="W1041" s="99" t="n"/>
      <c r="X1041" s="99" t="n"/>
      <c r="Y1041" s="99" t="n"/>
      <c r="Z1041" s="99" t="n"/>
      <c r="AA1041" s="99" t="n"/>
      <c r="AB1041" s="99" t="n"/>
      <c r="AC1041" s="99" t="n"/>
      <c r="AD1041" s="99" t="n"/>
      <c r="AE1041" s="99" t="n"/>
      <c r="AF1041" s="99" t="n"/>
      <c r="AG1041" s="99" t="n"/>
      <c r="AH1041" s="99" t="n"/>
      <c r="AI1041" s="99" t="n"/>
      <c r="AJ1041" s="99" t="n"/>
      <c r="AK1041" s="99" t="n"/>
      <c r="AL1041" s="99" t="n"/>
      <c r="AM1041" s="99" t="n"/>
      <c r="AN1041" s="99" t="n"/>
      <c r="AO1041" s="99" t="n"/>
      <c r="AP1041" s="99" t="n"/>
      <c r="AQ1041" s="99" t="n"/>
      <c r="AR1041" s="99" t="n"/>
    </row>
    <row r="1042">
      <c r="D1042" s="100" t="n"/>
      <c r="E1042" s="100" t="n"/>
      <c r="F1042" s="100" t="n"/>
      <c r="G1042" s="100" t="n"/>
      <c r="H1042" s="100" t="n"/>
      <c r="I1042" s="100" t="n"/>
      <c r="J1042" s="100" t="n"/>
      <c r="K1042" s="100" t="n"/>
      <c r="L1042" s="100" t="n"/>
      <c r="M1042" s="100" t="n"/>
      <c r="N1042" s="100" t="n"/>
      <c r="O1042" s="100" t="n"/>
      <c r="P1042" s="100" t="n"/>
      <c r="Q1042" s="100" t="n"/>
      <c r="R1042" s="100" t="n"/>
      <c r="S1042" s="100" t="n"/>
      <c r="T1042" s="100" t="n"/>
      <c r="U1042" s="100" t="n"/>
      <c r="V1042" s="100" t="n"/>
      <c r="W1042" s="100" t="n"/>
      <c r="X1042" s="100" t="n"/>
      <c r="Y1042" s="100" t="n"/>
      <c r="Z1042" s="100" t="n"/>
      <c r="AA1042" s="100" t="n"/>
      <c r="AB1042" s="100" t="n"/>
      <c r="AC1042" s="100" t="n"/>
      <c r="AD1042" s="100" t="n"/>
      <c r="AE1042" s="100" t="n"/>
      <c r="AF1042" s="100" t="n"/>
      <c r="AG1042" s="100" t="n"/>
      <c r="AH1042" s="100" t="n"/>
      <c r="AI1042" s="100" t="n"/>
      <c r="AJ1042" s="100" t="n"/>
      <c r="AK1042" s="100" t="n"/>
      <c r="AL1042" s="100" t="n"/>
      <c r="AM1042" s="100" t="n"/>
      <c r="AN1042" s="100" t="n"/>
      <c r="AO1042" s="100" t="n"/>
      <c r="AP1042" s="100" t="n"/>
      <c r="AQ1042" s="100" t="n"/>
      <c r="AR1042" s="100" t="n"/>
    </row>
    <row r="1044">
      <c r="A1044" s="6">
        <f>IF(HSI!$C$101="","",HSI!$C$101)</f>
        <v/>
      </c>
      <c r="B1044" s="96">
        <f>IF($A1044="",0,COUNT($E1045:$AR1045))</f>
        <v/>
      </c>
      <c r="C1044" s="97">
        <f>IF($B1044=0,0,MAX($E1045:$AR1045))</f>
        <v/>
      </c>
      <c r="D1044" s="98">
        <f>BDS($A1044,FLD_HIST,"headers=y","startcol=1","endcol=7","dir=h","DVD_START_DT",HIST_FROM,"DVD_END_DT",HIST_TO)</f>
        <v/>
      </c>
      <c r="E1044" s="99" t="n"/>
      <c r="F1044" s="99" t="n"/>
      <c r="G1044" s="99" t="n"/>
      <c r="H1044" s="99" t="n"/>
      <c r="I1044" s="99" t="n"/>
      <c r="J1044" s="99" t="n"/>
      <c r="K1044" s="99" t="n"/>
      <c r="L1044" s="99" t="n"/>
      <c r="M1044" s="99" t="n"/>
      <c r="N1044" s="99" t="n"/>
      <c r="O1044" s="99" t="n"/>
      <c r="P1044" s="99" t="n"/>
      <c r="Q1044" s="99" t="n"/>
      <c r="R1044" s="99" t="n"/>
      <c r="S1044" s="99" t="n"/>
      <c r="T1044" s="99" t="n"/>
      <c r="U1044" s="99" t="n"/>
      <c r="V1044" s="99" t="n"/>
      <c r="W1044" s="99" t="n"/>
      <c r="X1044" s="99" t="n"/>
      <c r="Y1044" s="99" t="n"/>
      <c r="Z1044" s="99" t="n"/>
      <c r="AA1044" s="99" t="n"/>
      <c r="AB1044" s="99" t="n"/>
      <c r="AC1044" s="99" t="n"/>
      <c r="AD1044" s="99" t="n"/>
      <c r="AE1044" s="99" t="n"/>
      <c r="AF1044" s="99" t="n"/>
      <c r="AG1044" s="99" t="n"/>
      <c r="AH1044" s="99" t="n"/>
      <c r="AI1044" s="99" t="n"/>
      <c r="AJ1044" s="99" t="n"/>
      <c r="AK1044" s="99" t="n"/>
      <c r="AL1044" s="99" t="n"/>
      <c r="AM1044" s="99" t="n"/>
      <c r="AN1044" s="99" t="n"/>
      <c r="AO1044" s="99" t="n"/>
      <c r="AP1044" s="99" t="n"/>
      <c r="AQ1044" s="99" t="n"/>
      <c r="AR1044" s="99" t="n"/>
    </row>
    <row r="1045">
      <c r="D1045" s="99" t="n"/>
      <c r="E1045" s="99" t="n"/>
      <c r="F1045" s="99" t="n"/>
      <c r="G1045" s="99" t="n"/>
      <c r="H1045" s="99" t="n"/>
      <c r="I1045" s="99" t="n"/>
      <c r="J1045" s="99" t="n"/>
      <c r="K1045" s="99" t="n"/>
      <c r="L1045" s="99" t="n"/>
      <c r="M1045" s="99" t="n"/>
      <c r="N1045" s="99" t="n"/>
      <c r="O1045" s="99" t="n"/>
      <c r="P1045" s="99" t="n"/>
      <c r="Q1045" s="99" t="n"/>
      <c r="R1045" s="99" t="n"/>
      <c r="S1045" s="99" t="n"/>
      <c r="T1045" s="99" t="n"/>
      <c r="U1045" s="99" t="n"/>
      <c r="V1045" s="99" t="n"/>
      <c r="W1045" s="99" t="n"/>
      <c r="X1045" s="99" t="n"/>
      <c r="Y1045" s="99" t="n"/>
      <c r="Z1045" s="99" t="n"/>
      <c r="AA1045" s="99" t="n"/>
      <c r="AB1045" s="99" t="n"/>
      <c r="AC1045" s="99" t="n"/>
      <c r="AD1045" s="99" t="n"/>
      <c r="AE1045" s="99" t="n"/>
      <c r="AF1045" s="99" t="n"/>
      <c r="AG1045" s="99" t="n"/>
      <c r="AH1045" s="99" t="n"/>
      <c r="AI1045" s="99" t="n"/>
      <c r="AJ1045" s="99" t="n"/>
      <c r="AK1045" s="99" t="n"/>
      <c r="AL1045" s="99" t="n"/>
      <c r="AM1045" s="99" t="n"/>
      <c r="AN1045" s="99" t="n"/>
      <c r="AO1045" s="99" t="n"/>
      <c r="AP1045" s="99" t="n"/>
      <c r="AQ1045" s="99" t="n"/>
      <c r="AR1045" s="99" t="n"/>
    </row>
    <row r="1046">
      <c r="D1046" s="99" t="n"/>
      <c r="E1046" s="99" t="n"/>
      <c r="F1046" s="99" t="n"/>
      <c r="G1046" s="99" t="n"/>
      <c r="H1046" s="99" t="n"/>
      <c r="I1046" s="99" t="n"/>
      <c r="J1046" s="99" t="n"/>
      <c r="K1046" s="99" t="n"/>
      <c r="L1046" s="99" t="n"/>
      <c r="M1046" s="99" t="n"/>
      <c r="N1046" s="99" t="n"/>
      <c r="O1046" s="99" t="n"/>
      <c r="P1046" s="99" t="n"/>
      <c r="Q1046" s="99" t="n"/>
      <c r="R1046" s="99" t="n"/>
      <c r="S1046" s="99" t="n"/>
      <c r="T1046" s="99" t="n"/>
      <c r="U1046" s="99" t="n"/>
      <c r="V1046" s="99" t="n"/>
      <c r="W1046" s="99" t="n"/>
      <c r="X1046" s="99" t="n"/>
      <c r="Y1046" s="99" t="n"/>
      <c r="Z1046" s="99" t="n"/>
      <c r="AA1046" s="99" t="n"/>
      <c r="AB1046" s="99" t="n"/>
      <c r="AC1046" s="99" t="n"/>
      <c r="AD1046" s="99" t="n"/>
      <c r="AE1046" s="99" t="n"/>
      <c r="AF1046" s="99" t="n"/>
      <c r="AG1046" s="99" t="n"/>
      <c r="AH1046" s="99" t="n"/>
      <c r="AI1046" s="99" t="n"/>
      <c r="AJ1046" s="99" t="n"/>
      <c r="AK1046" s="99" t="n"/>
      <c r="AL1046" s="99" t="n"/>
      <c r="AM1046" s="99" t="n"/>
      <c r="AN1046" s="99" t="n"/>
      <c r="AO1046" s="99" t="n"/>
      <c r="AP1046" s="99" t="n"/>
      <c r="AQ1046" s="99" t="n"/>
      <c r="AR1046" s="99" t="n"/>
    </row>
    <row r="1047">
      <c r="D1047" s="99" t="n"/>
      <c r="E1047" s="99" t="n"/>
      <c r="F1047" s="99" t="n"/>
      <c r="G1047" s="99" t="n"/>
      <c r="H1047" s="99" t="n"/>
      <c r="I1047" s="99" t="n"/>
      <c r="J1047" s="99" t="n"/>
      <c r="K1047" s="99" t="n"/>
      <c r="L1047" s="99" t="n"/>
      <c r="M1047" s="99" t="n"/>
      <c r="N1047" s="99" t="n"/>
      <c r="O1047" s="99" t="n"/>
      <c r="P1047" s="99" t="n"/>
      <c r="Q1047" s="99" t="n"/>
      <c r="R1047" s="99" t="n"/>
      <c r="S1047" s="99" t="n"/>
      <c r="T1047" s="99" t="n"/>
      <c r="U1047" s="99" t="n"/>
      <c r="V1047" s="99" t="n"/>
      <c r="W1047" s="99" t="n"/>
      <c r="X1047" s="99" t="n"/>
      <c r="Y1047" s="99" t="n"/>
      <c r="Z1047" s="99" t="n"/>
      <c r="AA1047" s="99" t="n"/>
      <c r="AB1047" s="99" t="n"/>
      <c r="AC1047" s="99" t="n"/>
      <c r="AD1047" s="99" t="n"/>
      <c r="AE1047" s="99" t="n"/>
      <c r="AF1047" s="99" t="n"/>
      <c r="AG1047" s="99" t="n"/>
      <c r="AH1047" s="99" t="n"/>
      <c r="AI1047" s="99" t="n"/>
      <c r="AJ1047" s="99" t="n"/>
      <c r="AK1047" s="99" t="n"/>
      <c r="AL1047" s="99" t="n"/>
      <c r="AM1047" s="99" t="n"/>
      <c r="AN1047" s="99" t="n"/>
      <c r="AO1047" s="99" t="n"/>
      <c r="AP1047" s="99" t="n"/>
      <c r="AQ1047" s="99" t="n"/>
      <c r="AR1047" s="99" t="n"/>
    </row>
    <row r="1048">
      <c r="D1048" s="100" t="n"/>
      <c r="E1048" s="100" t="n"/>
      <c r="F1048" s="100" t="n"/>
      <c r="G1048" s="100" t="n"/>
      <c r="H1048" s="100" t="n"/>
      <c r="I1048" s="100" t="n"/>
      <c r="J1048" s="100" t="n"/>
      <c r="K1048" s="100" t="n"/>
      <c r="L1048" s="100" t="n"/>
      <c r="M1048" s="100" t="n"/>
      <c r="N1048" s="100" t="n"/>
      <c r="O1048" s="100" t="n"/>
      <c r="P1048" s="100" t="n"/>
      <c r="Q1048" s="100" t="n"/>
      <c r="R1048" s="100" t="n"/>
      <c r="S1048" s="100" t="n"/>
      <c r="T1048" s="100" t="n"/>
      <c r="U1048" s="100" t="n"/>
      <c r="V1048" s="100" t="n"/>
      <c r="W1048" s="100" t="n"/>
      <c r="X1048" s="100" t="n"/>
      <c r="Y1048" s="100" t="n"/>
      <c r="Z1048" s="100" t="n"/>
      <c r="AA1048" s="100" t="n"/>
      <c r="AB1048" s="100" t="n"/>
      <c r="AC1048" s="100" t="n"/>
      <c r="AD1048" s="100" t="n"/>
      <c r="AE1048" s="100" t="n"/>
      <c r="AF1048" s="100" t="n"/>
      <c r="AG1048" s="100" t="n"/>
      <c r="AH1048" s="100" t="n"/>
      <c r="AI1048" s="100" t="n"/>
      <c r="AJ1048" s="100" t="n"/>
      <c r="AK1048" s="100" t="n"/>
      <c r="AL1048" s="100" t="n"/>
      <c r="AM1048" s="100" t="n"/>
      <c r="AN1048" s="100" t="n"/>
      <c r="AO1048" s="100" t="n"/>
      <c r="AP1048" s="100" t="n"/>
      <c r="AQ1048" s="100" t="n"/>
      <c r="AR1048" s="100" t="n"/>
    </row>
    <row r="1051">
      <c r="A1051" s="2">
        <f>IF($A1044="","","   projections")</f>
        <v/>
      </c>
      <c r="B1051" s="96">
        <f>IF($A1044="",0,COUNT($E1052:$AR1052))</f>
        <v/>
      </c>
      <c r="C1051" s="97">
        <f>IF($B1051=0,0,MAX($E1052:$AR1052))</f>
        <v/>
      </c>
      <c r="D1051" s="98">
        <f>BDS($A1044,FLD_PROJ,"headers=y","startcol=1","endcol=3","dir=h")</f>
        <v/>
      </c>
      <c r="E1051" s="99" t="n"/>
      <c r="F1051" s="99" t="n"/>
      <c r="G1051" s="99" t="n"/>
      <c r="H1051" s="99" t="n"/>
      <c r="I1051" s="99" t="n"/>
      <c r="J1051" s="99" t="n"/>
      <c r="K1051" s="99" t="n"/>
      <c r="L1051" s="99" t="n"/>
      <c r="M1051" s="99" t="n"/>
      <c r="N1051" s="99" t="n"/>
      <c r="O1051" s="99" t="n"/>
      <c r="P1051" s="99" t="n"/>
      <c r="Q1051" s="99" t="n"/>
      <c r="R1051" s="99" t="n"/>
      <c r="S1051" s="99" t="n"/>
      <c r="T1051" s="99" t="n"/>
      <c r="U1051" s="99" t="n"/>
      <c r="V1051" s="99" t="n"/>
      <c r="W1051" s="99" t="n"/>
      <c r="X1051" s="99" t="n"/>
      <c r="Y1051" s="99" t="n"/>
      <c r="Z1051" s="99" t="n"/>
      <c r="AA1051" s="99" t="n"/>
      <c r="AB1051" s="99" t="n"/>
      <c r="AC1051" s="99" t="n"/>
      <c r="AD1051" s="99" t="n"/>
      <c r="AE1051" s="99" t="n"/>
      <c r="AF1051" s="99" t="n"/>
      <c r="AG1051" s="99" t="n"/>
      <c r="AH1051" s="99" t="n"/>
      <c r="AI1051" s="99" t="n"/>
      <c r="AJ1051" s="99" t="n"/>
      <c r="AK1051" s="99" t="n"/>
      <c r="AL1051" s="99" t="n"/>
      <c r="AM1051" s="99" t="n"/>
      <c r="AN1051" s="99" t="n"/>
      <c r="AO1051" s="99" t="n"/>
      <c r="AP1051" s="99" t="n"/>
      <c r="AQ1051" s="99" t="n"/>
      <c r="AR1051" s="99" t="n"/>
    </row>
    <row r="1052">
      <c r="D1052" s="99" t="n"/>
      <c r="E1052" s="99" t="n"/>
      <c r="F1052" s="99" t="n"/>
      <c r="G1052" s="99" t="n"/>
      <c r="H1052" s="99" t="n"/>
      <c r="I1052" s="99" t="n"/>
      <c r="J1052" s="99" t="n"/>
      <c r="K1052" s="99" t="n"/>
      <c r="L1052" s="99" t="n"/>
      <c r="M1052" s="99" t="n"/>
      <c r="N1052" s="99" t="n"/>
      <c r="O1052" s="99" t="n"/>
      <c r="P1052" s="99" t="n"/>
      <c r="Q1052" s="99" t="n"/>
      <c r="R1052" s="99" t="n"/>
      <c r="S1052" s="99" t="n"/>
      <c r="T1052" s="99" t="n"/>
      <c r="U1052" s="99" t="n"/>
      <c r="V1052" s="99" t="n"/>
      <c r="W1052" s="99" t="n"/>
      <c r="X1052" s="99" t="n"/>
      <c r="Y1052" s="99" t="n"/>
      <c r="Z1052" s="99" t="n"/>
      <c r="AA1052" s="99" t="n"/>
      <c r="AB1052" s="99" t="n"/>
      <c r="AC1052" s="99" t="n"/>
      <c r="AD1052" s="99" t="n"/>
      <c r="AE1052" s="99" t="n"/>
      <c r="AF1052" s="99" t="n"/>
      <c r="AG1052" s="99" t="n"/>
      <c r="AH1052" s="99" t="n"/>
      <c r="AI1052" s="99" t="n"/>
      <c r="AJ1052" s="99" t="n"/>
      <c r="AK1052" s="99" t="n"/>
      <c r="AL1052" s="99" t="n"/>
      <c r="AM1052" s="99" t="n"/>
      <c r="AN1052" s="99" t="n"/>
      <c r="AO1052" s="99" t="n"/>
      <c r="AP1052" s="99" t="n"/>
      <c r="AQ1052" s="99" t="n"/>
      <c r="AR1052" s="99" t="n"/>
    </row>
    <row r="1053">
      <c r="D1053" s="100" t="n"/>
      <c r="E1053" s="100" t="n"/>
      <c r="F1053" s="100" t="n"/>
      <c r="G1053" s="100" t="n"/>
      <c r="H1053" s="100" t="n"/>
      <c r="I1053" s="100" t="n"/>
      <c r="J1053" s="100" t="n"/>
      <c r="K1053" s="100" t="n"/>
      <c r="L1053" s="100" t="n"/>
      <c r="M1053" s="100" t="n"/>
      <c r="N1053" s="100" t="n"/>
      <c r="O1053" s="100" t="n"/>
      <c r="P1053" s="100" t="n"/>
      <c r="Q1053" s="100" t="n"/>
      <c r="R1053" s="100" t="n"/>
      <c r="S1053" s="100" t="n"/>
      <c r="T1053" s="100" t="n"/>
      <c r="U1053" s="100" t="n"/>
      <c r="V1053" s="100" t="n"/>
      <c r="W1053" s="100" t="n"/>
      <c r="X1053" s="100" t="n"/>
      <c r="Y1053" s="100" t="n"/>
      <c r="Z1053" s="100" t="n"/>
      <c r="AA1053" s="100" t="n"/>
      <c r="AB1053" s="100" t="n"/>
      <c r="AC1053" s="100" t="n"/>
      <c r="AD1053" s="100" t="n"/>
      <c r="AE1053" s="100" t="n"/>
      <c r="AF1053" s="100" t="n"/>
      <c r="AG1053" s="100" t="n"/>
      <c r="AH1053" s="100" t="n"/>
      <c r="AI1053" s="100" t="n"/>
      <c r="AJ1053" s="100" t="n"/>
      <c r="AK1053" s="100" t="n"/>
      <c r="AL1053" s="100" t="n"/>
      <c r="AM1053" s="100" t="n"/>
      <c r="AN1053" s="100" t="n"/>
      <c r="AO1053" s="100" t="n"/>
      <c r="AP1053" s="100" t="n"/>
      <c r="AQ1053" s="100" t="n"/>
      <c r="AR1053" s="100" t="n"/>
    </row>
    <row r="1055">
      <c r="A1055" s="6">
        <f>IF(HSI!$C$102="","",HSI!$C$102)</f>
        <v/>
      </c>
      <c r="B1055" s="96">
        <f>IF($A1055="",0,COUNT($E1056:$AR1056))</f>
        <v/>
      </c>
      <c r="C1055" s="97">
        <f>IF($B1055=0,0,MAX($E1056:$AR1056))</f>
        <v/>
      </c>
      <c r="D1055" s="98">
        <f>BDS($A1055,FLD_HIST,"headers=y","startcol=1","endcol=7","dir=h","DVD_START_DT",HIST_FROM,"DVD_END_DT",HIST_TO)</f>
        <v/>
      </c>
      <c r="E1055" s="99" t="n"/>
      <c r="F1055" s="99" t="n"/>
      <c r="G1055" s="99" t="n"/>
      <c r="H1055" s="99" t="n"/>
      <c r="I1055" s="99" t="n"/>
      <c r="J1055" s="99" t="n"/>
      <c r="K1055" s="99" t="n"/>
      <c r="L1055" s="99" t="n"/>
      <c r="M1055" s="99" t="n"/>
      <c r="N1055" s="99" t="n"/>
      <c r="O1055" s="99" t="n"/>
      <c r="P1055" s="99" t="n"/>
      <c r="Q1055" s="99" t="n"/>
      <c r="R1055" s="99" t="n"/>
      <c r="S1055" s="99" t="n"/>
      <c r="T1055" s="99" t="n"/>
      <c r="U1055" s="99" t="n"/>
      <c r="V1055" s="99" t="n"/>
      <c r="W1055" s="99" t="n"/>
      <c r="X1055" s="99" t="n"/>
      <c r="Y1055" s="99" t="n"/>
      <c r="Z1055" s="99" t="n"/>
      <c r="AA1055" s="99" t="n"/>
      <c r="AB1055" s="99" t="n"/>
      <c r="AC1055" s="99" t="n"/>
      <c r="AD1055" s="99" t="n"/>
      <c r="AE1055" s="99" t="n"/>
      <c r="AF1055" s="99" t="n"/>
      <c r="AG1055" s="99" t="n"/>
      <c r="AH1055" s="99" t="n"/>
      <c r="AI1055" s="99" t="n"/>
      <c r="AJ1055" s="99" t="n"/>
      <c r="AK1055" s="99" t="n"/>
      <c r="AL1055" s="99" t="n"/>
      <c r="AM1055" s="99" t="n"/>
      <c r="AN1055" s="99" t="n"/>
      <c r="AO1055" s="99" t="n"/>
      <c r="AP1055" s="99" t="n"/>
      <c r="AQ1055" s="99" t="n"/>
      <c r="AR1055" s="99" t="n"/>
    </row>
    <row r="1056">
      <c r="D1056" s="99" t="n"/>
      <c r="E1056" s="99" t="n"/>
      <c r="F1056" s="99" t="n"/>
      <c r="G1056" s="99" t="n"/>
      <c r="H1056" s="99" t="n"/>
      <c r="I1056" s="99" t="n"/>
      <c r="J1056" s="99" t="n"/>
      <c r="K1056" s="99" t="n"/>
      <c r="L1056" s="99" t="n"/>
      <c r="M1056" s="99" t="n"/>
      <c r="N1056" s="99" t="n"/>
      <c r="O1056" s="99" t="n"/>
      <c r="P1056" s="99" t="n"/>
      <c r="Q1056" s="99" t="n"/>
      <c r="R1056" s="99" t="n"/>
      <c r="S1056" s="99" t="n"/>
      <c r="T1056" s="99" t="n"/>
      <c r="U1056" s="99" t="n"/>
      <c r="V1056" s="99" t="n"/>
      <c r="W1056" s="99" t="n"/>
      <c r="X1056" s="99" t="n"/>
      <c r="Y1056" s="99" t="n"/>
      <c r="Z1056" s="99" t="n"/>
      <c r="AA1056" s="99" t="n"/>
      <c r="AB1056" s="99" t="n"/>
      <c r="AC1056" s="99" t="n"/>
      <c r="AD1056" s="99" t="n"/>
      <c r="AE1056" s="99" t="n"/>
      <c r="AF1056" s="99" t="n"/>
      <c r="AG1056" s="99" t="n"/>
      <c r="AH1056" s="99" t="n"/>
      <c r="AI1056" s="99" t="n"/>
      <c r="AJ1056" s="99" t="n"/>
      <c r="AK1056" s="99" t="n"/>
      <c r="AL1056" s="99" t="n"/>
      <c r="AM1056" s="99" t="n"/>
      <c r="AN1056" s="99" t="n"/>
      <c r="AO1056" s="99" t="n"/>
      <c r="AP1056" s="99" t="n"/>
      <c r="AQ1056" s="99" t="n"/>
      <c r="AR1056" s="99" t="n"/>
    </row>
    <row r="1057">
      <c r="D1057" s="99" t="n"/>
      <c r="E1057" s="99" t="n"/>
      <c r="F1057" s="99" t="n"/>
      <c r="G1057" s="99" t="n"/>
      <c r="H1057" s="99" t="n"/>
      <c r="I1057" s="99" t="n"/>
      <c r="J1057" s="99" t="n"/>
      <c r="K1057" s="99" t="n"/>
      <c r="L1057" s="99" t="n"/>
      <c r="M1057" s="99" t="n"/>
      <c r="N1057" s="99" t="n"/>
      <c r="O1057" s="99" t="n"/>
      <c r="P1057" s="99" t="n"/>
      <c r="Q1057" s="99" t="n"/>
      <c r="R1057" s="99" t="n"/>
      <c r="S1057" s="99" t="n"/>
      <c r="T1057" s="99" t="n"/>
      <c r="U1057" s="99" t="n"/>
      <c r="V1057" s="99" t="n"/>
      <c r="W1057" s="99" t="n"/>
      <c r="X1057" s="99" t="n"/>
      <c r="Y1057" s="99" t="n"/>
      <c r="Z1057" s="99" t="n"/>
      <c r="AA1057" s="99" t="n"/>
      <c r="AB1057" s="99" t="n"/>
      <c r="AC1057" s="99" t="n"/>
      <c r="AD1057" s="99" t="n"/>
      <c r="AE1057" s="99" t="n"/>
      <c r="AF1057" s="99" t="n"/>
      <c r="AG1057" s="99" t="n"/>
      <c r="AH1057" s="99" t="n"/>
      <c r="AI1057" s="99" t="n"/>
      <c r="AJ1057" s="99" t="n"/>
      <c r="AK1057" s="99" t="n"/>
      <c r="AL1057" s="99" t="n"/>
      <c r="AM1057" s="99" t="n"/>
      <c r="AN1057" s="99" t="n"/>
      <c r="AO1057" s="99" t="n"/>
      <c r="AP1057" s="99" t="n"/>
      <c r="AQ1057" s="99" t="n"/>
      <c r="AR1057" s="99" t="n"/>
    </row>
    <row r="1058">
      <c r="D1058" s="99" t="n"/>
      <c r="E1058" s="99" t="n"/>
      <c r="F1058" s="99" t="n"/>
      <c r="G1058" s="99" t="n"/>
      <c r="H1058" s="99" t="n"/>
      <c r="I1058" s="99" t="n"/>
      <c r="J1058" s="99" t="n"/>
      <c r="K1058" s="99" t="n"/>
      <c r="L1058" s="99" t="n"/>
      <c r="M1058" s="99" t="n"/>
      <c r="N1058" s="99" t="n"/>
      <c r="O1058" s="99" t="n"/>
      <c r="P1058" s="99" t="n"/>
      <c r="Q1058" s="99" t="n"/>
      <c r="R1058" s="99" t="n"/>
      <c r="S1058" s="99" t="n"/>
      <c r="T1058" s="99" t="n"/>
      <c r="U1058" s="99" t="n"/>
      <c r="V1058" s="99" t="n"/>
      <c r="W1058" s="99" t="n"/>
      <c r="X1058" s="99" t="n"/>
      <c r="Y1058" s="99" t="n"/>
      <c r="Z1058" s="99" t="n"/>
      <c r="AA1058" s="99" t="n"/>
      <c r="AB1058" s="99" t="n"/>
      <c r="AC1058" s="99" t="n"/>
      <c r="AD1058" s="99" t="n"/>
      <c r="AE1058" s="99" t="n"/>
      <c r="AF1058" s="99" t="n"/>
      <c r="AG1058" s="99" t="n"/>
      <c r="AH1058" s="99" t="n"/>
      <c r="AI1058" s="99" t="n"/>
      <c r="AJ1058" s="99" t="n"/>
      <c r="AK1058" s="99" t="n"/>
      <c r="AL1058" s="99" t="n"/>
      <c r="AM1058" s="99" t="n"/>
      <c r="AN1058" s="99" t="n"/>
      <c r="AO1058" s="99" t="n"/>
      <c r="AP1058" s="99" t="n"/>
      <c r="AQ1058" s="99" t="n"/>
      <c r="AR1058" s="99" t="n"/>
    </row>
    <row r="1059">
      <c r="D1059" s="100" t="n"/>
      <c r="E1059" s="100" t="n"/>
      <c r="F1059" s="100" t="n"/>
      <c r="G1059" s="100" t="n"/>
      <c r="H1059" s="100" t="n"/>
      <c r="I1059" s="100" t="n"/>
      <c r="J1059" s="100" t="n"/>
      <c r="K1059" s="100" t="n"/>
      <c r="L1059" s="100" t="n"/>
      <c r="M1059" s="100" t="n"/>
      <c r="N1059" s="100" t="n"/>
      <c r="O1059" s="100" t="n"/>
      <c r="P1059" s="100" t="n"/>
      <c r="Q1059" s="100" t="n"/>
      <c r="R1059" s="100" t="n"/>
      <c r="S1059" s="100" t="n"/>
      <c r="T1059" s="100" t="n"/>
      <c r="U1059" s="100" t="n"/>
      <c r="V1059" s="100" t="n"/>
      <c r="W1059" s="100" t="n"/>
      <c r="X1059" s="100" t="n"/>
      <c r="Y1059" s="100" t="n"/>
      <c r="Z1059" s="100" t="n"/>
      <c r="AA1059" s="100" t="n"/>
      <c r="AB1059" s="100" t="n"/>
      <c r="AC1059" s="100" t="n"/>
      <c r="AD1059" s="100" t="n"/>
      <c r="AE1059" s="100" t="n"/>
      <c r="AF1059" s="100" t="n"/>
      <c r="AG1059" s="100" t="n"/>
      <c r="AH1059" s="100" t="n"/>
      <c r="AI1059" s="100" t="n"/>
      <c r="AJ1059" s="100" t="n"/>
      <c r="AK1059" s="100" t="n"/>
      <c r="AL1059" s="100" t="n"/>
      <c r="AM1059" s="100" t="n"/>
      <c r="AN1059" s="100" t="n"/>
      <c r="AO1059" s="100" t="n"/>
      <c r="AP1059" s="100" t="n"/>
      <c r="AQ1059" s="100" t="n"/>
      <c r="AR1059" s="100" t="n"/>
    </row>
    <row r="1062">
      <c r="A1062" s="2">
        <f>IF($A1055="","","   projections")</f>
        <v/>
      </c>
      <c r="B1062" s="96">
        <f>IF($A1055="",0,COUNT($E1063:$AR1063))</f>
        <v/>
      </c>
      <c r="C1062" s="97">
        <f>IF($B1062=0,0,MAX($E1063:$AR1063))</f>
        <v/>
      </c>
      <c r="D1062" s="98">
        <f>BDS($A1055,FLD_PROJ,"headers=y","startcol=1","endcol=3","dir=h")</f>
        <v/>
      </c>
      <c r="E1062" s="99" t="n"/>
      <c r="F1062" s="99" t="n"/>
      <c r="G1062" s="99" t="n"/>
      <c r="H1062" s="99" t="n"/>
      <c r="I1062" s="99" t="n"/>
      <c r="J1062" s="99" t="n"/>
      <c r="K1062" s="99" t="n"/>
      <c r="L1062" s="99" t="n"/>
      <c r="M1062" s="99" t="n"/>
      <c r="N1062" s="99" t="n"/>
      <c r="O1062" s="99" t="n"/>
      <c r="P1062" s="99" t="n"/>
      <c r="Q1062" s="99" t="n"/>
      <c r="R1062" s="99" t="n"/>
      <c r="S1062" s="99" t="n"/>
      <c r="T1062" s="99" t="n"/>
      <c r="U1062" s="99" t="n"/>
      <c r="V1062" s="99" t="n"/>
      <c r="W1062" s="99" t="n"/>
      <c r="X1062" s="99" t="n"/>
      <c r="Y1062" s="99" t="n"/>
      <c r="Z1062" s="99" t="n"/>
      <c r="AA1062" s="99" t="n"/>
      <c r="AB1062" s="99" t="n"/>
      <c r="AC1062" s="99" t="n"/>
      <c r="AD1062" s="99" t="n"/>
      <c r="AE1062" s="99" t="n"/>
      <c r="AF1062" s="99" t="n"/>
      <c r="AG1062" s="99" t="n"/>
      <c r="AH1062" s="99" t="n"/>
      <c r="AI1062" s="99" t="n"/>
      <c r="AJ1062" s="99" t="n"/>
      <c r="AK1062" s="99" t="n"/>
      <c r="AL1062" s="99" t="n"/>
      <c r="AM1062" s="99" t="n"/>
      <c r="AN1062" s="99" t="n"/>
      <c r="AO1062" s="99" t="n"/>
      <c r="AP1062" s="99" t="n"/>
      <c r="AQ1062" s="99" t="n"/>
      <c r="AR1062" s="99" t="n"/>
    </row>
    <row r="1063">
      <c r="D1063" s="99" t="n"/>
      <c r="E1063" s="99" t="n"/>
      <c r="F1063" s="99" t="n"/>
      <c r="G1063" s="99" t="n"/>
      <c r="H1063" s="99" t="n"/>
      <c r="I1063" s="99" t="n"/>
      <c r="J1063" s="99" t="n"/>
      <c r="K1063" s="99" t="n"/>
      <c r="L1063" s="99" t="n"/>
      <c r="M1063" s="99" t="n"/>
      <c r="N1063" s="99" t="n"/>
      <c r="O1063" s="99" t="n"/>
      <c r="P1063" s="99" t="n"/>
      <c r="Q1063" s="99" t="n"/>
      <c r="R1063" s="99" t="n"/>
      <c r="S1063" s="99" t="n"/>
      <c r="T1063" s="99" t="n"/>
      <c r="U1063" s="99" t="n"/>
      <c r="V1063" s="99" t="n"/>
      <c r="W1063" s="99" t="n"/>
      <c r="X1063" s="99" t="n"/>
      <c r="Y1063" s="99" t="n"/>
      <c r="Z1063" s="99" t="n"/>
      <c r="AA1063" s="99" t="n"/>
      <c r="AB1063" s="99" t="n"/>
      <c r="AC1063" s="99" t="n"/>
      <c r="AD1063" s="99" t="n"/>
      <c r="AE1063" s="99" t="n"/>
      <c r="AF1063" s="99" t="n"/>
      <c r="AG1063" s="99" t="n"/>
      <c r="AH1063" s="99" t="n"/>
      <c r="AI1063" s="99" t="n"/>
      <c r="AJ1063" s="99" t="n"/>
      <c r="AK1063" s="99" t="n"/>
      <c r="AL1063" s="99" t="n"/>
      <c r="AM1063" s="99" t="n"/>
      <c r="AN1063" s="99" t="n"/>
      <c r="AO1063" s="99" t="n"/>
      <c r="AP1063" s="99" t="n"/>
      <c r="AQ1063" s="99" t="n"/>
      <c r="AR1063" s="99" t="n"/>
    </row>
    <row r="1064">
      <c r="D1064" s="100" t="n"/>
      <c r="E1064" s="100" t="n"/>
      <c r="F1064" s="100" t="n"/>
      <c r="G1064" s="100" t="n"/>
      <c r="H1064" s="100" t="n"/>
      <c r="I1064" s="100" t="n"/>
      <c r="J1064" s="100" t="n"/>
      <c r="K1064" s="100" t="n"/>
      <c r="L1064" s="100" t="n"/>
      <c r="M1064" s="100" t="n"/>
      <c r="N1064" s="100" t="n"/>
      <c r="O1064" s="100" t="n"/>
      <c r="P1064" s="100" t="n"/>
      <c r="Q1064" s="100" t="n"/>
      <c r="R1064" s="100" t="n"/>
      <c r="S1064" s="100" t="n"/>
      <c r="T1064" s="100" t="n"/>
      <c r="U1064" s="100" t="n"/>
      <c r="V1064" s="100" t="n"/>
      <c r="W1064" s="100" t="n"/>
      <c r="X1064" s="100" t="n"/>
      <c r="Y1064" s="100" t="n"/>
      <c r="Z1064" s="100" t="n"/>
      <c r="AA1064" s="100" t="n"/>
      <c r="AB1064" s="100" t="n"/>
      <c r="AC1064" s="100" t="n"/>
      <c r="AD1064" s="100" t="n"/>
      <c r="AE1064" s="100" t="n"/>
      <c r="AF1064" s="100" t="n"/>
      <c r="AG1064" s="100" t="n"/>
      <c r="AH1064" s="100" t="n"/>
      <c r="AI1064" s="100" t="n"/>
      <c r="AJ1064" s="100" t="n"/>
      <c r="AK1064" s="100" t="n"/>
      <c r="AL1064" s="100" t="n"/>
      <c r="AM1064" s="100" t="n"/>
      <c r="AN1064" s="100" t="n"/>
      <c r="AO1064" s="100" t="n"/>
      <c r="AP1064" s="100" t="n"/>
      <c r="AQ1064" s="100" t="n"/>
      <c r="AR1064" s="100" t="n"/>
    </row>
    <row r="1066">
      <c r="A1066" s="6">
        <f>IF(HSI!$C$103="","",HSI!$C$103)</f>
        <v/>
      </c>
      <c r="B1066" s="96">
        <f>IF($A1066="",0,COUNT($E1067:$AR1067))</f>
        <v/>
      </c>
      <c r="C1066" s="97">
        <f>IF($B1066=0,0,MAX($E1067:$AR1067))</f>
        <v/>
      </c>
      <c r="D1066" s="98">
        <f>BDS($A1066,FLD_HIST,"headers=y","startcol=1","endcol=7","dir=h","DVD_START_DT",HIST_FROM,"DVD_END_DT",HIST_TO)</f>
        <v/>
      </c>
      <c r="E1066" s="99" t="n"/>
      <c r="F1066" s="99" t="n"/>
      <c r="G1066" s="99" t="n"/>
      <c r="H1066" s="99" t="n"/>
      <c r="I1066" s="99" t="n"/>
      <c r="J1066" s="99" t="n"/>
      <c r="K1066" s="99" t="n"/>
      <c r="L1066" s="99" t="n"/>
      <c r="M1066" s="99" t="n"/>
      <c r="N1066" s="99" t="n"/>
      <c r="O1066" s="99" t="n"/>
      <c r="P1066" s="99" t="n"/>
      <c r="Q1066" s="99" t="n"/>
      <c r="R1066" s="99" t="n"/>
      <c r="S1066" s="99" t="n"/>
      <c r="T1066" s="99" t="n"/>
      <c r="U1066" s="99" t="n"/>
      <c r="V1066" s="99" t="n"/>
      <c r="W1066" s="99" t="n"/>
      <c r="X1066" s="99" t="n"/>
      <c r="Y1066" s="99" t="n"/>
      <c r="Z1066" s="99" t="n"/>
      <c r="AA1066" s="99" t="n"/>
      <c r="AB1066" s="99" t="n"/>
      <c r="AC1066" s="99" t="n"/>
      <c r="AD1066" s="99" t="n"/>
      <c r="AE1066" s="99" t="n"/>
      <c r="AF1066" s="99" t="n"/>
      <c r="AG1066" s="99" t="n"/>
      <c r="AH1066" s="99" t="n"/>
      <c r="AI1066" s="99" t="n"/>
      <c r="AJ1066" s="99" t="n"/>
      <c r="AK1066" s="99" t="n"/>
      <c r="AL1066" s="99" t="n"/>
      <c r="AM1066" s="99" t="n"/>
      <c r="AN1066" s="99" t="n"/>
      <c r="AO1066" s="99" t="n"/>
      <c r="AP1066" s="99" t="n"/>
      <c r="AQ1066" s="99" t="n"/>
      <c r="AR1066" s="99" t="n"/>
    </row>
    <row r="1067">
      <c r="D1067" s="99" t="n"/>
      <c r="E1067" s="99" t="n"/>
      <c r="F1067" s="99" t="n"/>
      <c r="G1067" s="99" t="n"/>
      <c r="H1067" s="99" t="n"/>
      <c r="I1067" s="99" t="n"/>
      <c r="J1067" s="99" t="n"/>
      <c r="K1067" s="99" t="n"/>
      <c r="L1067" s="99" t="n"/>
      <c r="M1067" s="99" t="n"/>
      <c r="N1067" s="99" t="n"/>
      <c r="O1067" s="99" t="n"/>
      <c r="P1067" s="99" t="n"/>
      <c r="Q1067" s="99" t="n"/>
      <c r="R1067" s="99" t="n"/>
      <c r="S1067" s="99" t="n"/>
      <c r="T1067" s="99" t="n"/>
      <c r="U1067" s="99" t="n"/>
      <c r="V1067" s="99" t="n"/>
      <c r="W1067" s="99" t="n"/>
      <c r="X1067" s="99" t="n"/>
      <c r="Y1067" s="99" t="n"/>
      <c r="Z1067" s="99" t="n"/>
      <c r="AA1067" s="99" t="n"/>
      <c r="AB1067" s="99" t="n"/>
      <c r="AC1067" s="99" t="n"/>
      <c r="AD1067" s="99" t="n"/>
      <c r="AE1067" s="99" t="n"/>
      <c r="AF1067" s="99" t="n"/>
      <c r="AG1067" s="99" t="n"/>
      <c r="AH1067" s="99" t="n"/>
      <c r="AI1067" s="99" t="n"/>
      <c r="AJ1067" s="99" t="n"/>
      <c r="AK1067" s="99" t="n"/>
      <c r="AL1067" s="99" t="n"/>
      <c r="AM1067" s="99" t="n"/>
      <c r="AN1067" s="99" t="n"/>
      <c r="AO1067" s="99" t="n"/>
      <c r="AP1067" s="99" t="n"/>
      <c r="AQ1067" s="99" t="n"/>
      <c r="AR1067" s="99" t="n"/>
    </row>
    <row r="1068">
      <c r="D1068" s="99" t="n"/>
      <c r="E1068" s="99" t="n"/>
      <c r="F1068" s="99" t="n"/>
      <c r="G1068" s="99" t="n"/>
      <c r="H1068" s="99" t="n"/>
      <c r="I1068" s="99" t="n"/>
      <c r="J1068" s="99" t="n"/>
      <c r="K1068" s="99" t="n"/>
      <c r="L1068" s="99" t="n"/>
      <c r="M1068" s="99" t="n"/>
      <c r="N1068" s="99" t="n"/>
      <c r="O1068" s="99" t="n"/>
      <c r="P1068" s="99" t="n"/>
      <c r="Q1068" s="99" t="n"/>
      <c r="R1068" s="99" t="n"/>
      <c r="S1068" s="99" t="n"/>
      <c r="T1068" s="99" t="n"/>
      <c r="U1068" s="99" t="n"/>
      <c r="V1068" s="99" t="n"/>
      <c r="W1068" s="99" t="n"/>
      <c r="X1068" s="99" t="n"/>
      <c r="Y1068" s="99" t="n"/>
      <c r="Z1068" s="99" t="n"/>
      <c r="AA1068" s="99" t="n"/>
      <c r="AB1068" s="99" t="n"/>
      <c r="AC1068" s="99" t="n"/>
      <c r="AD1068" s="99" t="n"/>
      <c r="AE1068" s="99" t="n"/>
      <c r="AF1068" s="99" t="n"/>
      <c r="AG1068" s="99" t="n"/>
      <c r="AH1068" s="99" t="n"/>
      <c r="AI1068" s="99" t="n"/>
      <c r="AJ1068" s="99" t="n"/>
      <c r="AK1068" s="99" t="n"/>
      <c r="AL1068" s="99" t="n"/>
      <c r="AM1068" s="99" t="n"/>
      <c r="AN1068" s="99" t="n"/>
      <c r="AO1068" s="99" t="n"/>
      <c r="AP1068" s="99" t="n"/>
      <c r="AQ1068" s="99" t="n"/>
      <c r="AR1068" s="99" t="n"/>
    </row>
    <row r="1069">
      <c r="D1069" s="99" t="n"/>
      <c r="E1069" s="99" t="n"/>
      <c r="F1069" s="99" t="n"/>
      <c r="G1069" s="99" t="n"/>
      <c r="H1069" s="99" t="n"/>
      <c r="I1069" s="99" t="n"/>
      <c r="J1069" s="99" t="n"/>
      <c r="K1069" s="99" t="n"/>
      <c r="L1069" s="99" t="n"/>
      <c r="M1069" s="99" t="n"/>
      <c r="N1069" s="99" t="n"/>
      <c r="O1069" s="99" t="n"/>
      <c r="P1069" s="99" t="n"/>
      <c r="Q1069" s="99" t="n"/>
      <c r="R1069" s="99" t="n"/>
      <c r="S1069" s="99" t="n"/>
      <c r="T1069" s="99" t="n"/>
      <c r="U1069" s="99" t="n"/>
      <c r="V1069" s="99" t="n"/>
      <c r="W1069" s="99" t="n"/>
      <c r="X1069" s="99" t="n"/>
      <c r="Y1069" s="99" t="n"/>
      <c r="Z1069" s="99" t="n"/>
      <c r="AA1069" s="99" t="n"/>
      <c r="AB1069" s="99" t="n"/>
      <c r="AC1069" s="99" t="n"/>
      <c r="AD1069" s="99" t="n"/>
      <c r="AE1069" s="99" t="n"/>
      <c r="AF1069" s="99" t="n"/>
      <c r="AG1069" s="99" t="n"/>
      <c r="AH1069" s="99" t="n"/>
      <c r="AI1069" s="99" t="n"/>
      <c r="AJ1069" s="99" t="n"/>
      <c r="AK1069" s="99" t="n"/>
      <c r="AL1069" s="99" t="n"/>
      <c r="AM1069" s="99" t="n"/>
      <c r="AN1069" s="99" t="n"/>
      <c r="AO1069" s="99" t="n"/>
      <c r="AP1069" s="99" t="n"/>
      <c r="AQ1069" s="99" t="n"/>
      <c r="AR1069" s="99" t="n"/>
    </row>
    <row r="1070">
      <c r="D1070" s="100" t="n"/>
      <c r="E1070" s="100" t="n"/>
      <c r="F1070" s="100" t="n"/>
      <c r="G1070" s="100" t="n"/>
      <c r="H1070" s="100" t="n"/>
      <c r="I1070" s="100" t="n"/>
      <c r="J1070" s="100" t="n"/>
      <c r="K1070" s="100" t="n"/>
      <c r="L1070" s="100" t="n"/>
      <c r="M1070" s="100" t="n"/>
      <c r="N1070" s="100" t="n"/>
      <c r="O1070" s="100" t="n"/>
      <c r="P1070" s="100" t="n"/>
      <c r="Q1070" s="100" t="n"/>
      <c r="R1070" s="100" t="n"/>
      <c r="S1070" s="100" t="n"/>
      <c r="T1070" s="100" t="n"/>
      <c r="U1070" s="100" t="n"/>
      <c r="V1070" s="100" t="n"/>
      <c r="W1070" s="100" t="n"/>
      <c r="X1070" s="100" t="n"/>
      <c r="Y1070" s="100" t="n"/>
      <c r="Z1070" s="100" t="n"/>
      <c r="AA1070" s="100" t="n"/>
      <c r="AB1070" s="100" t="n"/>
      <c r="AC1070" s="100" t="n"/>
      <c r="AD1070" s="100" t="n"/>
      <c r="AE1070" s="100" t="n"/>
      <c r="AF1070" s="100" t="n"/>
      <c r="AG1070" s="100" t="n"/>
      <c r="AH1070" s="100" t="n"/>
      <c r="AI1070" s="100" t="n"/>
      <c r="AJ1070" s="100" t="n"/>
      <c r="AK1070" s="100" t="n"/>
      <c r="AL1070" s="100" t="n"/>
      <c r="AM1070" s="100" t="n"/>
      <c r="AN1070" s="100" t="n"/>
      <c r="AO1070" s="100" t="n"/>
      <c r="AP1070" s="100" t="n"/>
      <c r="AQ1070" s="100" t="n"/>
      <c r="AR1070" s="100" t="n"/>
    </row>
    <row r="1073">
      <c r="A1073" s="2">
        <f>IF($A1066="","","   projections")</f>
        <v/>
      </c>
      <c r="B1073" s="96">
        <f>IF($A1066="",0,COUNT($E1074:$AR1074))</f>
        <v/>
      </c>
      <c r="C1073" s="97">
        <f>IF($B1073=0,0,MAX($E1074:$AR1074))</f>
        <v/>
      </c>
      <c r="D1073" s="98">
        <f>BDS($A1066,FLD_PROJ,"headers=y","startcol=1","endcol=3","dir=h")</f>
        <v/>
      </c>
      <c r="E1073" s="99" t="n"/>
      <c r="F1073" s="99" t="n"/>
      <c r="G1073" s="99" t="n"/>
      <c r="H1073" s="99" t="n"/>
      <c r="I1073" s="99" t="n"/>
      <c r="J1073" s="99" t="n"/>
      <c r="K1073" s="99" t="n"/>
      <c r="L1073" s="99" t="n"/>
      <c r="M1073" s="99" t="n"/>
      <c r="N1073" s="99" t="n"/>
      <c r="O1073" s="99" t="n"/>
      <c r="P1073" s="99" t="n"/>
      <c r="Q1073" s="99" t="n"/>
      <c r="R1073" s="99" t="n"/>
      <c r="S1073" s="99" t="n"/>
      <c r="T1073" s="99" t="n"/>
      <c r="U1073" s="99" t="n"/>
      <c r="V1073" s="99" t="n"/>
      <c r="W1073" s="99" t="n"/>
      <c r="X1073" s="99" t="n"/>
      <c r="Y1073" s="99" t="n"/>
      <c r="Z1073" s="99" t="n"/>
      <c r="AA1073" s="99" t="n"/>
      <c r="AB1073" s="99" t="n"/>
      <c r="AC1073" s="99" t="n"/>
      <c r="AD1073" s="99" t="n"/>
      <c r="AE1073" s="99" t="n"/>
      <c r="AF1073" s="99" t="n"/>
      <c r="AG1073" s="99" t="n"/>
      <c r="AH1073" s="99" t="n"/>
      <c r="AI1073" s="99" t="n"/>
      <c r="AJ1073" s="99" t="n"/>
      <c r="AK1073" s="99" t="n"/>
      <c r="AL1073" s="99" t="n"/>
      <c r="AM1073" s="99" t="n"/>
      <c r="AN1073" s="99" t="n"/>
      <c r="AO1073" s="99" t="n"/>
      <c r="AP1073" s="99" t="n"/>
      <c r="AQ1073" s="99" t="n"/>
      <c r="AR1073" s="99" t="n"/>
    </row>
    <row r="1074">
      <c r="D1074" s="99" t="n"/>
      <c r="E1074" s="99" t="n"/>
      <c r="F1074" s="99" t="n"/>
      <c r="G1074" s="99" t="n"/>
      <c r="H1074" s="99" t="n"/>
      <c r="I1074" s="99" t="n"/>
      <c r="J1074" s="99" t="n"/>
      <c r="K1074" s="99" t="n"/>
      <c r="L1074" s="99" t="n"/>
      <c r="M1074" s="99" t="n"/>
      <c r="N1074" s="99" t="n"/>
      <c r="O1074" s="99" t="n"/>
      <c r="P1074" s="99" t="n"/>
      <c r="Q1074" s="99" t="n"/>
      <c r="R1074" s="99" t="n"/>
      <c r="S1074" s="99" t="n"/>
      <c r="T1074" s="99" t="n"/>
      <c r="U1074" s="99" t="n"/>
      <c r="V1074" s="99" t="n"/>
      <c r="W1074" s="99" t="n"/>
      <c r="X1074" s="99" t="n"/>
      <c r="Y1074" s="99" t="n"/>
      <c r="Z1074" s="99" t="n"/>
      <c r="AA1074" s="99" t="n"/>
      <c r="AB1074" s="99" t="n"/>
      <c r="AC1074" s="99" t="n"/>
      <c r="AD1074" s="99" t="n"/>
      <c r="AE1074" s="99" t="n"/>
      <c r="AF1074" s="99" t="n"/>
      <c r="AG1074" s="99" t="n"/>
      <c r="AH1074" s="99" t="n"/>
      <c r="AI1074" s="99" t="n"/>
      <c r="AJ1074" s="99" t="n"/>
      <c r="AK1074" s="99" t="n"/>
      <c r="AL1074" s="99" t="n"/>
      <c r="AM1074" s="99" t="n"/>
      <c r="AN1074" s="99" t="n"/>
      <c r="AO1074" s="99" t="n"/>
      <c r="AP1074" s="99" t="n"/>
      <c r="AQ1074" s="99" t="n"/>
      <c r="AR1074" s="99" t="n"/>
    </row>
    <row r="1075">
      <c r="D1075" s="100" t="n"/>
      <c r="E1075" s="100" t="n"/>
      <c r="F1075" s="100" t="n"/>
      <c r="G1075" s="100" t="n"/>
      <c r="H1075" s="100" t="n"/>
      <c r="I1075" s="100" t="n"/>
      <c r="J1075" s="100" t="n"/>
      <c r="K1075" s="100" t="n"/>
      <c r="L1075" s="100" t="n"/>
      <c r="M1075" s="100" t="n"/>
      <c r="N1075" s="100" t="n"/>
      <c r="O1075" s="100" t="n"/>
      <c r="P1075" s="100" t="n"/>
      <c r="Q1075" s="100" t="n"/>
      <c r="R1075" s="100" t="n"/>
      <c r="S1075" s="100" t="n"/>
      <c r="T1075" s="100" t="n"/>
      <c r="U1075" s="100" t="n"/>
      <c r="V1075" s="100" t="n"/>
      <c r="W1075" s="100" t="n"/>
      <c r="X1075" s="100" t="n"/>
      <c r="Y1075" s="100" t="n"/>
      <c r="Z1075" s="100" t="n"/>
      <c r="AA1075" s="100" t="n"/>
      <c r="AB1075" s="100" t="n"/>
      <c r="AC1075" s="100" t="n"/>
      <c r="AD1075" s="100" t="n"/>
      <c r="AE1075" s="100" t="n"/>
      <c r="AF1075" s="100" t="n"/>
      <c r="AG1075" s="100" t="n"/>
      <c r="AH1075" s="100" t="n"/>
      <c r="AI1075" s="100" t="n"/>
      <c r="AJ1075" s="100" t="n"/>
      <c r="AK1075" s="100" t="n"/>
      <c r="AL1075" s="100" t="n"/>
      <c r="AM1075" s="100" t="n"/>
      <c r="AN1075" s="100" t="n"/>
      <c r="AO1075" s="100" t="n"/>
      <c r="AP1075" s="100" t="n"/>
      <c r="AQ1075" s="100" t="n"/>
      <c r="AR1075" s="100" t="n"/>
    </row>
    <row r="1077">
      <c r="A1077" s="6">
        <f>IF(HSI!$C$104="","",HSI!$C$104)</f>
        <v/>
      </c>
      <c r="B1077" s="96">
        <f>IF($A1077="",0,COUNT($E1078:$AR1078))</f>
        <v/>
      </c>
      <c r="C1077" s="97">
        <f>IF($B1077=0,0,MAX($E1078:$AR1078))</f>
        <v/>
      </c>
      <c r="D1077" s="98">
        <f>BDS($A1077,FLD_HIST,"headers=y","startcol=1","endcol=7","dir=h","DVD_START_DT",HIST_FROM,"DVD_END_DT",HIST_TO)</f>
        <v/>
      </c>
      <c r="E1077" s="99" t="n"/>
      <c r="F1077" s="99" t="n"/>
      <c r="G1077" s="99" t="n"/>
      <c r="H1077" s="99" t="n"/>
      <c r="I1077" s="99" t="n"/>
      <c r="J1077" s="99" t="n"/>
      <c r="K1077" s="99" t="n"/>
      <c r="L1077" s="99" t="n"/>
      <c r="M1077" s="99" t="n"/>
      <c r="N1077" s="99" t="n"/>
      <c r="O1077" s="99" t="n"/>
      <c r="P1077" s="99" t="n"/>
      <c r="Q1077" s="99" t="n"/>
      <c r="R1077" s="99" t="n"/>
      <c r="S1077" s="99" t="n"/>
      <c r="T1077" s="99" t="n"/>
      <c r="U1077" s="99" t="n"/>
      <c r="V1077" s="99" t="n"/>
      <c r="W1077" s="99" t="n"/>
      <c r="X1077" s="99" t="n"/>
      <c r="Y1077" s="99" t="n"/>
      <c r="Z1077" s="99" t="n"/>
      <c r="AA1077" s="99" t="n"/>
      <c r="AB1077" s="99" t="n"/>
      <c r="AC1077" s="99" t="n"/>
      <c r="AD1077" s="99" t="n"/>
      <c r="AE1077" s="99" t="n"/>
      <c r="AF1077" s="99" t="n"/>
      <c r="AG1077" s="99" t="n"/>
      <c r="AH1077" s="99" t="n"/>
      <c r="AI1077" s="99" t="n"/>
      <c r="AJ1077" s="99" t="n"/>
      <c r="AK1077" s="99" t="n"/>
      <c r="AL1077" s="99" t="n"/>
      <c r="AM1077" s="99" t="n"/>
      <c r="AN1077" s="99" t="n"/>
      <c r="AO1077" s="99" t="n"/>
      <c r="AP1077" s="99" t="n"/>
      <c r="AQ1077" s="99" t="n"/>
      <c r="AR1077" s="99" t="n"/>
    </row>
    <row r="1078">
      <c r="D1078" s="99" t="n"/>
      <c r="E1078" s="99" t="n"/>
      <c r="F1078" s="99" t="n"/>
      <c r="G1078" s="99" t="n"/>
      <c r="H1078" s="99" t="n"/>
      <c r="I1078" s="99" t="n"/>
      <c r="J1078" s="99" t="n"/>
      <c r="K1078" s="99" t="n"/>
      <c r="L1078" s="99" t="n"/>
      <c r="M1078" s="99" t="n"/>
      <c r="N1078" s="99" t="n"/>
      <c r="O1078" s="99" t="n"/>
      <c r="P1078" s="99" t="n"/>
      <c r="Q1078" s="99" t="n"/>
      <c r="R1078" s="99" t="n"/>
      <c r="S1078" s="99" t="n"/>
      <c r="T1078" s="99" t="n"/>
      <c r="U1078" s="99" t="n"/>
      <c r="V1078" s="99" t="n"/>
      <c r="W1078" s="99" t="n"/>
      <c r="X1078" s="99" t="n"/>
      <c r="Y1078" s="99" t="n"/>
      <c r="Z1078" s="99" t="n"/>
      <c r="AA1078" s="99" t="n"/>
      <c r="AB1078" s="99" t="n"/>
      <c r="AC1078" s="99" t="n"/>
      <c r="AD1078" s="99" t="n"/>
      <c r="AE1078" s="99" t="n"/>
      <c r="AF1078" s="99" t="n"/>
      <c r="AG1078" s="99" t="n"/>
      <c r="AH1078" s="99" t="n"/>
      <c r="AI1078" s="99" t="n"/>
      <c r="AJ1078" s="99" t="n"/>
      <c r="AK1078" s="99" t="n"/>
      <c r="AL1078" s="99" t="n"/>
      <c r="AM1078" s="99" t="n"/>
      <c r="AN1078" s="99" t="n"/>
      <c r="AO1078" s="99" t="n"/>
      <c r="AP1078" s="99" t="n"/>
      <c r="AQ1078" s="99" t="n"/>
      <c r="AR1078" s="99" t="n"/>
    </row>
    <row r="1079">
      <c r="D1079" s="99" t="n"/>
      <c r="E1079" s="99" t="n"/>
      <c r="F1079" s="99" t="n"/>
      <c r="G1079" s="99" t="n"/>
      <c r="H1079" s="99" t="n"/>
      <c r="I1079" s="99" t="n"/>
      <c r="J1079" s="99" t="n"/>
      <c r="K1079" s="99" t="n"/>
      <c r="L1079" s="99" t="n"/>
      <c r="M1079" s="99" t="n"/>
      <c r="N1079" s="99" t="n"/>
      <c r="O1079" s="99" t="n"/>
      <c r="P1079" s="99" t="n"/>
      <c r="Q1079" s="99" t="n"/>
      <c r="R1079" s="99" t="n"/>
      <c r="S1079" s="99" t="n"/>
      <c r="T1079" s="99" t="n"/>
      <c r="U1079" s="99" t="n"/>
      <c r="V1079" s="99" t="n"/>
      <c r="W1079" s="99" t="n"/>
      <c r="X1079" s="99" t="n"/>
      <c r="Y1079" s="99" t="n"/>
      <c r="Z1079" s="99" t="n"/>
      <c r="AA1079" s="99" t="n"/>
      <c r="AB1079" s="99" t="n"/>
      <c r="AC1079" s="99" t="n"/>
      <c r="AD1079" s="99" t="n"/>
      <c r="AE1079" s="99" t="n"/>
      <c r="AF1079" s="99" t="n"/>
      <c r="AG1079" s="99" t="n"/>
      <c r="AH1079" s="99" t="n"/>
      <c r="AI1079" s="99" t="n"/>
      <c r="AJ1079" s="99" t="n"/>
      <c r="AK1079" s="99" t="n"/>
      <c r="AL1079" s="99" t="n"/>
      <c r="AM1079" s="99" t="n"/>
      <c r="AN1079" s="99" t="n"/>
      <c r="AO1079" s="99" t="n"/>
      <c r="AP1079" s="99" t="n"/>
      <c r="AQ1079" s="99" t="n"/>
      <c r="AR1079" s="99" t="n"/>
    </row>
    <row r="1080">
      <c r="D1080" s="99" t="n"/>
      <c r="E1080" s="99" t="n"/>
      <c r="F1080" s="99" t="n"/>
      <c r="G1080" s="99" t="n"/>
      <c r="H1080" s="99" t="n"/>
      <c r="I1080" s="99" t="n"/>
      <c r="J1080" s="99" t="n"/>
      <c r="K1080" s="99" t="n"/>
      <c r="L1080" s="99" t="n"/>
      <c r="M1080" s="99" t="n"/>
      <c r="N1080" s="99" t="n"/>
      <c r="O1080" s="99" t="n"/>
      <c r="P1080" s="99" t="n"/>
      <c r="Q1080" s="99" t="n"/>
      <c r="R1080" s="99" t="n"/>
      <c r="S1080" s="99" t="n"/>
      <c r="T1080" s="99" t="n"/>
      <c r="U1080" s="99" t="n"/>
      <c r="V1080" s="99" t="n"/>
      <c r="W1080" s="99" t="n"/>
      <c r="X1080" s="99" t="n"/>
      <c r="Y1080" s="99" t="n"/>
      <c r="Z1080" s="99" t="n"/>
      <c r="AA1080" s="99" t="n"/>
      <c r="AB1080" s="99" t="n"/>
      <c r="AC1080" s="99" t="n"/>
      <c r="AD1080" s="99" t="n"/>
      <c r="AE1080" s="99" t="n"/>
      <c r="AF1080" s="99" t="n"/>
      <c r="AG1080" s="99" t="n"/>
      <c r="AH1080" s="99" t="n"/>
      <c r="AI1080" s="99" t="n"/>
      <c r="AJ1080" s="99" t="n"/>
      <c r="AK1080" s="99" t="n"/>
      <c r="AL1080" s="99" t="n"/>
      <c r="AM1080" s="99" t="n"/>
      <c r="AN1080" s="99" t="n"/>
      <c r="AO1080" s="99" t="n"/>
      <c r="AP1080" s="99" t="n"/>
      <c r="AQ1080" s="99" t="n"/>
      <c r="AR1080" s="99" t="n"/>
    </row>
    <row r="1081">
      <c r="D1081" s="100" t="n"/>
      <c r="E1081" s="100" t="n"/>
      <c r="F1081" s="100" t="n"/>
      <c r="G1081" s="100" t="n"/>
      <c r="H1081" s="100" t="n"/>
      <c r="I1081" s="100" t="n"/>
      <c r="J1081" s="100" t="n"/>
      <c r="K1081" s="100" t="n"/>
      <c r="L1081" s="100" t="n"/>
      <c r="M1081" s="100" t="n"/>
      <c r="N1081" s="100" t="n"/>
      <c r="O1081" s="100" t="n"/>
      <c r="P1081" s="100" t="n"/>
      <c r="Q1081" s="100" t="n"/>
      <c r="R1081" s="100" t="n"/>
      <c r="S1081" s="100" t="n"/>
      <c r="T1081" s="100" t="n"/>
      <c r="U1081" s="100" t="n"/>
      <c r="V1081" s="100" t="n"/>
      <c r="W1081" s="100" t="n"/>
      <c r="X1081" s="100" t="n"/>
      <c r="Y1081" s="100" t="n"/>
      <c r="Z1081" s="100" t="n"/>
      <c r="AA1081" s="100" t="n"/>
      <c r="AB1081" s="100" t="n"/>
      <c r="AC1081" s="100" t="n"/>
      <c r="AD1081" s="100" t="n"/>
      <c r="AE1081" s="100" t="n"/>
      <c r="AF1081" s="100" t="n"/>
      <c r="AG1081" s="100" t="n"/>
      <c r="AH1081" s="100" t="n"/>
      <c r="AI1081" s="100" t="n"/>
      <c r="AJ1081" s="100" t="n"/>
      <c r="AK1081" s="100" t="n"/>
      <c r="AL1081" s="100" t="n"/>
      <c r="AM1081" s="100" t="n"/>
      <c r="AN1081" s="100" t="n"/>
      <c r="AO1081" s="100" t="n"/>
      <c r="AP1081" s="100" t="n"/>
      <c r="AQ1081" s="100" t="n"/>
      <c r="AR1081" s="100" t="n"/>
    </row>
    <row r="1084">
      <c r="A1084" s="2">
        <f>IF($A1077="","","   projections")</f>
        <v/>
      </c>
      <c r="B1084" s="96">
        <f>IF($A1077="",0,COUNT($E1085:$AR1085))</f>
        <v/>
      </c>
      <c r="C1084" s="97">
        <f>IF($B1084=0,0,MAX($E1085:$AR1085))</f>
        <v/>
      </c>
      <c r="D1084" s="98">
        <f>BDS($A1077,FLD_PROJ,"headers=y","startcol=1","endcol=3","dir=h")</f>
        <v/>
      </c>
      <c r="E1084" s="99" t="n"/>
      <c r="F1084" s="99" t="n"/>
      <c r="G1084" s="99" t="n"/>
      <c r="H1084" s="99" t="n"/>
      <c r="I1084" s="99" t="n"/>
      <c r="J1084" s="99" t="n"/>
      <c r="K1084" s="99" t="n"/>
      <c r="L1084" s="99" t="n"/>
      <c r="M1084" s="99" t="n"/>
      <c r="N1084" s="99" t="n"/>
      <c r="O1084" s="99" t="n"/>
      <c r="P1084" s="99" t="n"/>
      <c r="Q1084" s="99" t="n"/>
      <c r="R1084" s="99" t="n"/>
      <c r="S1084" s="99" t="n"/>
      <c r="T1084" s="99" t="n"/>
      <c r="U1084" s="99" t="n"/>
      <c r="V1084" s="99" t="n"/>
      <c r="W1084" s="99" t="n"/>
      <c r="X1084" s="99" t="n"/>
      <c r="Y1084" s="99" t="n"/>
      <c r="Z1084" s="99" t="n"/>
      <c r="AA1084" s="99" t="n"/>
      <c r="AB1084" s="99" t="n"/>
      <c r="AC1084" s="99" t="n"/>
      <c r="AD1084" s="99" t="n"/>
      <c r="AE1084" s="99" t="n"/>
      <c r="AF1084" s="99" t="n"/>
      <c r="AG1084" s="99" t="n"/>
      <c r="AH1084" s="99" t="n"/>
      <c r="AI1084" s="99" t="n"/>
      <c r="AJ1084" s="99" t="n"/>
      <c r="AK1084" s="99" t="n"/>
      <c r="AL1084" s="99" t="n"/>
      <c r="AM1084" s="99" t="n"/>
      <c r="AN1084" s="99" t="n"/>
      <c r="AO1084" s="99" t="n"/>
      <c r="AP1084" s="99" t="n"/>
      <c r="AQ1084" s="99" t="n"/>
      <c r="AR1084" s="99" t="n"/>
    </row>
    <row r="1085">
      <c r="D1085" s="99" t="n"/>
      <c r="E1085" s="99" t="n"/>
      <c r="F1085" s="99" t="n"/>
      <c r="G1085" s="99" t="n"/>
      <c r="H1085" s="99" t="n"/>
      <c r="I1085" s="99" t="n"/>
      <c r="J1085" s="99" t="n"/>
      <c r="K1085" s="99" t="n"/>
      <c r="L1085" s="99" t="n"/>
      <c r="M1085" s="99" t="n"/>
      <c r="N1085" s="99" t="n"/>
      <c r="O1085" s="99" t="n"/>
      <c r="P1085" s="99" t="n"/>
      <c r="Q1085" s="99" t="n"/>
      <c r="R1085" s="99" t="n"/>
      <c r="S1085" s="99" t="n"/>
      <c r="T1085" s="99" t="n"/>
      <c r="U1085" s="99" t="n"/>
      <c r="V1085" s="99" t="n"/>
      <c r="W1085" s="99" t="n"/>
      <c r="X1085" s="99" t="n"/>
      <c r="Y1085" s="99" t="n"/>
      <c r="Z1085" s="99" t="n"/>
      <c r="AA1085" s="99" t="n"/>
      <c r="AB1085" s="99" t="n"/>
      <c r="AC1085" s="99" t="n"/>
      <c r="AD1085" s="99" t="n"/>
      <c r="AE1085" s="99" t="n"/>
      <c r="AF1085" s="99" t="n"/>
      <c r="AG1085" s="99" t="n"/>
      <c r="AH1085" s="99" t="n"/>
      <c r="AI1085" s="99" t="n"/>
      <c r="AJ1085" s="99" t="n"/>
      <c r="AK1085" s="99" t="n"/>
      <c r="AL1085" s="99" t="n"/>
      <c r="AM1085" s="99" t="n"/>
      <c r="AN1085" s="99" t="n"/>
      <c r="AO1085" s="99" t="n"/>
      <c r="AP1085" s="99" t="n"/>
      <c r="AQ1085" s="99" t="n"/>
      <c r="AR1085" s="99" t="n"/>
    </row>
    <row r="1086">
      <c r="D1086" s="100" t="n"/>
      <c r="E1086" s="100" t="n"/>
      <c r="F1086" s="100" t="n"/>
      <c r="G1086" s="100" t="n"/>
      <c r="H1086" s="100" t="n"/>
      <c r="I1086" s="100" t="n"/>
      <c r="J1086" s="100" t="n"/>
      <c r="K1086" s="100" t="n"/>
      <c r="L1086" s="100" t="n"/>
      <c r="M1086" s="100" t="n"/>
      <c r="N1086" s="100" t="n"/>
      <c r="O1086" s="100" t="n"/>
      <c r="P1086" s="100" t="n"/>
      <c r="Q1086" s="100" t="n"/>
      <c r="R1086" s="100" t="n"/>
      <c r="S1086" s="100" t="n"/>
      <c r="T1086" s="100" t="n"/>
      <c r="U1086" s="100" t="n"/>
      <c r="V1086" s="100" t="n"/>
      <c r="W1086" s="100" t="n"/>
      <c r="X1086" s="100" t="n"/>
      <c r="Y1086" s="100" t="n"/>
      <c r="Z1086" s="100" t="n"/>
      <c r="AA1086" s="100" t="n"/>
      <c r="AB1086" s="100" t="n"/>
      <c r="AC1086" s="100" t="n"/>
      <c r="AD1086" s="100" t="n"/>
      <c r="AE1086" s="100" t="n"/>
      <c r="AF1086" s="100" t="n"/>
      <c r="AG1086" s="100" t="n"/>
      <c r="AH1086" s="100" t="n"/>
      <c r="AI1086" s="100" t="n"/>
      <c r="AJ1086" s="100" t="n"/>
      <c r="AK1086" s="100" t="n"/>
      <c r="AL1086" s="100" t="n"/>
      <c r="AM1086" s="100" t="n"/>
      <c r="AN1086" s="100" t="n"/>
      <c r="AO1086" s="100" t="n"/>
      <c r="AP1086" s="100" t="n"/>
      <c r="AQ1086" s="100" t="n"/>
      <c r="AR1086" s="100" t="n"/>
    </row>
    <row r="1088">
      <c r="A1088" s="6">
        <f>IF(HSI!$C$105="","",HSI!$C$105)</f>
        <v/>
      </c>
      <c r="B1088" s="96">
        <f>IF($A1088="",0,COUNT($E1089:$AR1089))</f>
        <v/>
      </c>
      <c r="C1088" s="97">
        <f>IF($B1088=0,0,MAX($E1089:$AR1089))</f>
        <v/>
      </c>
      <c r="D1088" s="98">
        <f>BDS($A1088,FLD_HIST,"headers=y","startcol=1","endcol=7","dir=h","DVD_START_DT",HIST_FROM,"DVD_END_DT",HIST_TO)</f>
        <v/>
      </c>
      <c r="E1088" s="99" t="n"/>
      <c r="F1088" s="99" t="n"/>
      <c r="G1088" s="99" t="n"/>
      <c r="H1088" s="99" t="n"/>
      <c r="I1088" s="99" t="n"/>
      <c r="J1088" s="99" t="n"/>
      <c r="K1088" s="99" t="n"/>
      <c r="L1088" s="99" t="n"/>
      <c r="M1088" s="99" t="n"/>
      <c r="N1088" s="99" t="n"/>
      <c r="O1088" s="99" t="n"/>
      <c r="P1088" s="99" t="n"/>
      <c r="Q1088" s="99" t="n"/>
      <c r="R1088" s="99" t="n"/>
      <c r="S1088" s="99" t="n"/>
      <c r="T1088" s="99" t="n"/>
      <c r="U1088" s="99" t="n"/>
      <c r="V1088" s="99" t="n"/>
      <c r="W1088" s="99" t="n"/>
      <c r="X1088" s="99" t="n"/>
      <c r="Y1088" s="99" t="n"/>
      <c r="Z1088" s="99" t="n"/>
      <c r="AA1088" s="99" t="n"/>
      <c r="AB1088" s="99" t="n"/>
      <c r="AC1088" s="99" t="n"/>
      <c r="AD1088" s="99" t="n"/>
      <c r="AE1088" s="99" t="n"/>
      <c r="AF1088" s="99" t="n"/>
      <c r="AG1088" s="99" t="n"/>
      <c r="AH1088" s="99" t="n"/>
      <c r="AI1088" s="99" t="n"/>
      <c r="AJ1088" s="99" t="n"/>
      <c r="AK1088" s="99" t="n"/>
      <c r="AL1088" s="99" t="n"/>
      <c r="AM1088" s="99" t="n"/>
      <c r="AN1088" s="99" t="n"/>
      <c r="AO1088" s="99" t="n"/>
      <c r="AP1088" s="99" t="n"/>
      <c r="AQ1088" s="99" t="n"/>
      <c r="AR1088" s="99" t="n"/>
    </row>
    <row r="1089">
      <c r="D1089" s="99" t="n"/>
      <c r="E1089" s="99" t="n"/>
      <c r="F1089" s="99" t="n"/>
      <c r="G1089" s="99" t="n"/>
      <c r="H1089" s="99" t="n"/>
      <c r="I1089" s="99" t="n"/>
      <c r="J1089" s="99" t="n"/>
      <c r="K1089" s="99" t="n"/>
      <c r="L1089" s="99" t="n"/>
      <c r="M1089" s="99" t="n"/>
      <c r="N1089" s="99" t="n"/>
      <c r="O1089" s="99" t="n"/>
      <c r="P1089" s="99" t="n"/>
      <c r="Q1089" s="99" t="n"/>
      <c r="R1089" s="99" t="n"/>
      <c r="S1089" s="99" t="n"/>
      <c r="T1089" s="99" t="n"/>
      <c r="U1089" s="99" t="n"/>
      <c r="V1089" s="99" t="n"/>
      <c r="W1089" s="99" t="n"/>
      <c r="X1089" s="99" t="n"/>
      <c r="Y1089" s="99" t="n"/>
      <c r="Z1089" s="99" t="n"/>
      <c r="AA1089" s="99" t="n"/>
      <c r="AB1089" s="99" t="n"/>
      <c r="AC1089" s="99" t="n"/>
      <c r="AD1089" s="99" t="n"/>
      <c r="AE1089" s="99" t="n"/>
      <c r="AF1089" s="99" t="n"/>
      <c r="AG1089" s="99" t="n"/>
      <c r="AH1089" s="99" t="n"/>
      <c r="AI1089" s="99" t="n"/>
      <c r="AJ1089" s="99" t="n"/>
      <c r="AK1089" s="99" t="n"/>
      <c r="AL1089" s="99" t="n"/>
      <c r="AM1089" s="99" t="n"/>
      <c r="AN1089" s="99" t="n"/>
      <c r="AO1089" s="99" t="n"/>
      <c r="AP1089" s="99" t="n"/>
      <c r="AQ1089" s="99" t="n"/>
      <c r="AR1089" s="99" t="n"/>
    </row>
    <row r="1090">
      <c r="D1090" s="99" t="n"/>
      <c r="E1090" s="99" t="n"/>
      <c r="F1090" s="99" t="n"/>
      <c r="G1090" s="99" t="n"/>
      <c r="H1090" s="99" t="n"/>
      <c r="I1090" s="99" t="n"/>
      <c r="J1090" s="99" t="n"/>
      <c r="K1090" s="99" t="n"/>
      <c r="L1090" s="99" t="n"/>
      <c r="M1090" s="99" t="n"/>
      <c r="N1090" s="99" t="n"/>
      <c r="O1090" s="99" t="n"/>
      <c r="P1090" s="99" t="n"/>
      <c r="Q1090" s="99" t="n"/>
      <c r="R1090" s="99" t="n"/>
      <c r="S1090" s="99" t="n"/>
      <c r="T1090" s="99" t="n"/>
      <c r="U1090" s="99" t="n"/>
      <c r="V1090" s="99" t="n"/>
      <c r="W1090" s="99" t="n"/>
      <c r="X1090" s="99" t="n"/>
      <c r="Y1090" s="99" t="n"/>
      <c r="Z1090" s="99" t="n"/>
      <c r="AA1090" s="99" t="n"/>
      <c r="AB1090" s="99" t="n"/>
      <c r="AC1090" s="99" t="n"/>
      <c r="AD1090" s="99" t="n"/>
      <c r="AE1090" s="99" t="n"/>
      <c r="AF1090" s="99" t="n"/>
      <c r="AG1090" s="99" t="n"/>
      <c r="AH1090" s="99" t="n"/>
      <c r="AI1090" s="99" t="n"/>
      <c r="AJ1090" s="99" t="n"/>
      <c r="AK1090" s="99" t="n"/>
      <c r="AL1090" s="99" t="n"/>
      <c r="AM1090" s="99" t="n"/>
      <c r="AN1090" s="99" t="n"/>
      <c r="AO1090" s="99" t="n"/>
      <c r="AP1090" s="99" t="n"/>
      <c r="AQ1090" s="99" t="n"/>
      <c r="AR1090" s="99" t="n"/>
    </row>
    <row r="1091">
      <c r="D1091" s="99" t="n"/>
      <c r="E1091" s="99" t="n"/>
      <c r="F1091" s="99" t="n"/>
      <c r="G1091" s="99" t="n"/>
      <c r="H1091" s="99" t="n"/>
      <c r="I1091" s="99" t="n"/>
      <c r="J1091" s="99" t="n"/>
      <c r="K1091" s="99" t="n"/>
      <c r="L1091" s="99" t="n"/>
      <c r="M1091" s="99" t="n"/>
      <c r="N1091" s="99" t="n"/>
      <c r="O1091" s="99" t="n"/>
      <c r="P1091" s="99" t="n"/>
      <c r="Q1091" s="99" t="n"/>
      <c r="R1091" s="99" t="n"/>
      <c r="S1091" s="99" t="n"/>
      <c r="T1091" s="99" t="n"/>
      <c r="U1091" s="99" t="n"/>
      <c r="V1091" s="99" t="n"/>
      <c r="W1091" s="99" t="n"/>
      <c r="X1091" s="99" t="n"/>
      <c r="Y1091" s="99" t="n"/>
      <c r="Z1091" s="99" t="n"/>
      <c r="AA1091" s="99" t="n"/>
      <c r="AB1091" s="99" t="n"/>
      <c r="AC1091" s="99" t="n"/>
      <c r="AD1091" s="99" t="n"/>
      <c r="AE1091" s="99" t="n"/>
      <c r="AF1091" s="99" t="n"/>
      <c r="AG1091" s="99" t="n"/>
      <c r="AH1091" s="99" t="n"/>
      <c r="AI1091" s="99" t="n"/>
      <c r="AJ1091" s="99" t="n"/>
      <c r="AK1091" s="99" t="n"/>
      <c r="AL1091" s="99" t="n"/>
      <c r="AM1091" s="99" t="n"/>
      <c r="AN1091" s="99" t="n"/>
      <c r="AO1091" s="99" t="n"/>
      <c r="AP1091" s="99" t="n"/>
      <c r="AQ1091" s="99" t="n"/>
      <c r="AR1091" s="99" t="n"/>
    </row>
    <row r="1092">
      <c r="D1092" s="100" t="n"/>
      <c r="E1092" s="100" t="n"/>
      <c r="F1092" s="100" t="n"/>
      <c r="G1092" s="100" t="n"/>
      <c r="H1092" s="100" t="n"/>
      <c r="I1092" s="100" t="n"/>
      <c r="J1092" s="100" t="n"/>
      <c r="K1092" s="100" t="n"/>
      <c r="L1092" s="100" t="n"/>
      <c r="M1092" s="100" t="n"/>
      <c r="N1092" s="100" t="n"/>
      <c r="O1092" s="100" t="n"/>
      <c r="P1092" s="100" t="n"/>
      <c r="Q1092" s="100" t="n"/>
      <c r="R1092" s="100" t="n"/>
      <c r="S1092" s="100" t="n"/>
      <c r="T1092" s="100" t="n"/>
      <c r="U1092" s="100" t="n"/>
      <c r="V1092" s="100" t="n"/>
      <c r="W1092" s="100" t="n"/>
      <c r="X1092" s="100" t="n"/>
      <c r="Y1092" s="100" t="n"/>
      <c r="Z1092" s="100" t="n"/>
      <c r="AA1092" s="100" t="n"/>
      <c r="AB1092" s="100" t="n"/>
      <c r="AC1092" s="100" t="n"/>
      <c r="AD1092" s="100" t="n"/>
      <c r="AE1092" s="100" t="n"/>
      <c r="AF1092" s="100" t="n"/>
      <c r="AG1092" s="100" t="n"/>
      <c r="AH1092" s="100" t="n"/>
      <c r="AI1092" s="100" t="n"/>
      <c r="AJ1092" s="100" t="n"/>
      <c r="AK1092" s="100" t="n"/>
      <c r="AL1092" s="100" t="n"/>
      <c r="AM1092" s="100" t="n"/>
      <c r="AN1092" s="100" t="n"/>
      <c r="AO1092" s="100" t="n"/>
      <c r="AP1092" s="100" t="n"/>
      <c r="AQ1092" s="100" t="n"/>
      <c r="AR1092" s="100" t="n"/>
    </row>
    <row r="1095">
      <c r="A1095" s="2">
        <f>IF($A1088="","","   projections")</f>
        <v/>
      </c>
      <c r="B1095" s="96">
        <f>IF($A1088="",0,COUNT($E1096:$AR1096))</f>
        <v/>
      </c>
      <c r="C1095" s="97">
        <f>IF($B1095=0,0,MAX($E1096:$AR1096))</f>
        <v/>
      </c>
      <c r="D1095" s="98">
        <f>BDS($A1088,FLD_PROJ,"headers=y","startcol=1","endcol=3","dir=h")</f>
        <v/>
      </c>
      <c r="E1095" s="99" t="n"/>
      <c r="F1095" s="99" t="n"/>
      <c r="G1095" s="99" t="n"/>
      <c r="H1095" s="99" t="n"/>
      <c r="I1095" s="99" t="n"/>
      <c r="J1095" s="99" t="n"/>
      <c r="K1095" s="99" t="n"/>
      <c r="L1095" s="99" t="n"/>
      <c r="M1095" s="99" t="n"/>
      <c r="N1095" s="99" t="n"/>
      <c r="O1095" s="99" t="n"/>
      <c r="P1095" s="99" t="n"/>
      <c r="Q1095" s="99" t="n"/>
      <c r="R1095" s="99" t="n"/>
      <c r="S1095" s="99" t="n"/>
      <c r="T1095" s="99" t="n"/>
      <c r="U1095" s="99" t="n"/>
      <c r="V1095" s="99" t="n"/>
      <c r="W1095" s="99" t="n"/>
      <c r="X1095" s="99" t="n"/>
      <c r="Y1095" s="99" t="n"/>
      <c r="Z1095" s="99" t="n"/>
      <c r="AA1095" s="99" t="n"/>
      <c r="AB1095" s="99" t="n"/>
      <c r="AC1095" s="99" t="n"/>
      <c r="AD1095" s="99" t="n"/>
      <c r="AE1095" s="99" t="n"/>
      <c r="AF1095" s="99" t="n"/>
      <c r="AG1095" s="99" t="n"/>
      <c r="AH1095" s="99" t="n"/>
      <c r="AI1095" s="99" t="n"/>
      <c r="AJ1095" s="99" t="n"/>
      <c r="AK1095" s="99" t="n"/>
      <c r="AL1095" s="99" t="n"/>
      <c r="AM1095" s="99" t="n"/>
      <c r="AN1095" s="99" t="n"/>
      <c r="AO1095" s="99" t="n"/>
      <c r="AP1095" s="99" t="n"/>
      <c r="AQ1095" s="99" t="n"/>
      <c r="AR1095" s="99" t="n"/>
    </row>
    <row r="1096">
      <c r="D1096" s="99" t="n"/>
      <c r="E1096" s="99" t="n"/>
      <c r="F1096" s="99" t="n"/>
      <c r="G1096" s="99" t="n"/>
      <c r="H1096" s="99" t="n"/>
      <c r="I1096" s="99" t="n"/>
      <c r="J1096" s="99" t="n"/>
      <c r="K1096" s="99" t="n"/>
      <c r="L1096" s="99" t="n"/>
      <c r="M1096" s="99" t="n"/>
      <c r="N1096" s="99" t="n"/>
      <c r="O1096" s="99" t="n"/>
      <c r="P1096" s="99" t="n"/>
      <c r="Q1096" s="99" t="n"/>
      <c r="R1096" s="99" t="n"/>
      <c r="S1096" s="99" t="n"/>
      <c r="T1096" s="99" t="n"/>
      <c r="U1096" s="99" t="n"/>
      <c r="V1096" s="99" t="n"/>
      <c r="W1096" s="99" t="n"/>
      <c r="X1096" s="99" t="n"/>
      <c r="Y1096" s="99" t="n"/>
      <c r="Z1096" s="99" t="n"/>
      <c r="AA1096" s="99" t="n"/>
      <c r="AB1096" s="99" t="n"/>
      <c r="AC1096" s="99" t="n"/>
      <c r="AD1096" s="99" t="n"/>
      <c r="AE1096" s="99" t="n"/>
      <c r="AF1096" s="99" t="n"/>
      <c r="AG1096" s="99" t="n"/>
      <c r="AH1096" s="99" t="n"/>
      <c r="AI1096" s="99" t="n"/>
      <c r="AJ1096" s="99" t="n"/>
      <c r="AK1096" s="99" t="n"/>
      <c r="AL1096" s="99" t="n"/>
      <c r="AM1096" s="99" t="n"/>
      <c r="AN1096" s="99" t="n"/>
      <c r="AO1096" s="99" t="n"/>
      <c r="AP1096" s="99" t="n"/>
      <c r="AQ1096" s="99" t="n"/>
      <c r="AR1096" s="99" t="n"/>
    </row>
    <row r="1097">
      <c r="D1097" s="100" t="n"/>
      <c r="E1097" s="100" t="n"/>
      <c r="F1097" s="100" t="n"/>
      <c r="G1097" s="100" t="n"/>
      <c r="H1097" s="100" t="n"/>
      <c r="I1097" s="100" t="n"/>
      <c r="J1097" s="100" t="n"/>
      <c r="K1097" s="100" t="n"/>
      <c r="L1097" s="100" t="n"/>
      <c r="M1097" s="100" t="n"/>
      <c r="N1097" s="100" t="n"/>
      <c r="O1097" s="100" t="n"/>
      <c r="P1097" s="100" t="n"/>
      <c r="Q1097" s="100" t="n"/>
      <c r="R1097" s="100" t="n"/>
      <c r="S1097" s="100" t="n"/>
      <c r="T1097" s="100" t="n"/>
      <c r="U1097" s="100" t="n"/>
      <c r="V1097" s="100" t="n"/>
      <c r="W1097" s="100" t="n"/>
      <c r="X1097" s="100" t="n"/>
      <c r="Y1097" s="100" t="n"/>
      <c r="Z1097" s="100" t="n"/>
      <c r="AA1097" s="100" t="n"/>
      <c r="AB1097" s="100" t="n"/>
      <c r="AC1097" s="100" t="n"/>
      <c r="AD1097" s="100" t="n"/>
      <c r="AE1097" s="100" t="n"/>
      <c r="AF1097" s="100" t="n"/>
      <c r="AG1097" s="100" t="n"/>
      <c r="AH1097" s="100" t="n"/>
      <c r="AI1097" s="100" t="n"/>
      <c r="AJ1097" s="100" t="n"/>
      <c r="AK1097" s="100" t="n"/>
      <c r="AL1097" s="100" t="n"/>
      <c r="AM1097" s="100" t="n"/>
      <c r="AN1097" s="100" t="n"/>
      <c r="AO1097" s="100" t="n"/>
      <c r="AP1097" s="100" t="n"/>
      <c r="AQ1097" s="100" t="n"/>
      <c r="AR1097" s="100" t="n"/>
    </row>
    <row r="1099">
      <c r="A1099" s="6">
        <f>IF(HSI!$C$106="","",HSI!$C$106)</f>
        <v/>
      </c>
      <c r="B1099" s="96">
        <f>IF($A1099="",0,COUNT($E1100:$AR1100))</f>
        <v/>
      </c>
      <c r="C1099" s="97">
        <f>IF($B1099=0,0,MAX($E1100:$AR1100))</f>
        <v/>
      </c>
      <c r="D1099" s="98">
        <f>BDS($A1099,FLD_HIST,"headers=y","startcol=1","endcol=7","dir=h","DVD_START_DT",HIST_FROM,"DVD_END_DT",HIST_TO)</f>
        <v/>
      </c>
      <c r="E1099" s="99" t="n"/>
      <c r="F1099" s="99" t="n"/>
      <c r="G1099" s="99" t="n"/>
      <c r="H1099" s="99" t="n"/>
      <c r="I1099" s="99" t="n"/>
      <c r="J1099" s="99" t="n"/>
      <c r="K1099" s="99" t="n"/>
      <c r="L1099" s="99" t="n"/>
      <c r="M1099" s="99" t="n"/>
      <c r="N1099" s="99" t="n"/>
      <c r="O1099" s="99" t="n"/>
      <c r="P1099" s="99" t="n"/>
      <c r="Q1099" s="99" t="n"/>
      <c r="R1099" s="99" t="n"/>
      <c r="S1099" s="99" t="n"/>
      <c r="T1099" s="99" t="n"/>
      <c r="U1099" s="99" t="n"/>
      <c r="V1099" s="99" t="n"/>
      <c r="W1099" s="99" t="n"/>
      <c r="X1099" s="99" t="n"/>
      <c r="Y1099" s="99" t="n"/>
      <c r="Z1099" s="99" t="n"/>
      <c r="AA1099" s="99" t="n"/>
      <c r="AB1099" s="99" t="n"/>
      <c r="AC1099" s="99" t="n"/>
      <c r="AD1099" s="99" t="n"/>
      <c r="AE1099" s="99" t="n"/>
      <c r="AF1099" s="99" t="n"/>
      <c r="AG1099" s="99" t="n"/>
      <c r="AH1099" s="99" t="n"/>
      <c r="AI1099" s="99" t="n"/>
      <c r="AJ1099" s="99" t="n"/>
      <c r="AK1099" s="99" t="n"/>
      <c r="AL1099" s="99" t="n"/>
      <c r="AM1099" s="99" t="n"/>
      <c r="AN1099" s="99" t="n"/>
      <c r="AO1099" s="99" t="n"/>
      <c r="AP1099" s="99" t="n"/>
      <c r="AQ1099" s="99" t="n"/>
      <c r="AR1099" s="99" t="n"/>
    </row>
    <row r="1100">
      <c r="D1100" s="99" t="n"/>
      <c r="E1100" s="99" t="n"/>
      <c r="F1100" s="99" t="n"/>
      <c r="G1100" s="99" t="n"/>
      <c r="H1100" s="99" t="n"/>
      <c r="I1100" s="99" t="n"/>
      <c r="J1100" s="99" t="n"/>
      <c r="K1100" s="99" t="n"/>
      <c r="L1100" s="99" t="n"/>
      <c r="M1100" s="99" t="n"/>
      <c r="N1100" s="99" t="n"/>
      <c r="O1100" s="99" t="n"/>
      <c r="P1100" s="99" t="n"/>
      <c r="Q1100" s="99" t="n"/>
      <c r="R1100" s="99" t="n"/>
      <c r="S1100" s="99" t="n"/>
      <c r="T1100" s="99" t="n"/>
      <c r="U1100" s="99" t="n"/>
      <c r="V1100" s="99" t="n"/>
      <c r="W1100" s="99" t="n"/>
      <c r="X1100" s="99" t="n"/>
      <c r="Y1100" s="99" t="n"/>
      <c r="Z1100" s="99" t="n"/>
      <c r="AA1100" s="99" t="n"/>
      <c r="AB1100" s="99" t="n"/>
      <c r="AC1100" s="99" t="n"/>
      <c r="AD1100" s="99" t="n"/>
      <c r="AE1100" s="99" t="n"/>
      <c r="AF1100" s="99" t="n"/>
      <c r="AG1100" s="99" t="n"/>
      <c r="AH1100" s="99" t="n"/>
      <c r="AI1100" s="99" t="n"/>
      <c r="AJ1100" s="99" t="n"/>
      <c r="AK1100" s="99" t="n"/>
      <c r="AL1100" s="99" t="n"/>
      <c r="AM1100" s="99" t="n"/>
      <c r="AN1100" s="99" t="n"/>
      <c r="AO1100" s="99" t="n"/>
      <c r="AP1100" s="99" t="n"/>
      <c r="AQ1100" s="99" t="n"/>
      <c r="AR1100" s="99" t="n"/>
    </row>
    <row r="1101">
      <c r="D1101" s="99" t="n"/>
      <c r="E1101" s="99" t="n"/>
      <c r="F1101" s="99" t="n"/>
      <c r="G1101" s="99" t="n"/>
      <c r="H1101" s="99" t="n"/>
      <c r="I1101" s="99" t="n"/>
      <c r="J1101" s="99" t="n"/>
      <c r="K1101" s="99" t="n"/>
      <c r="L1101" s="99" t="n"/>
      <c r="M1101" s="99" t="n"/>
      <c r="N1101" s="99" t="n"/>
      <c r="O1101" s="99" t="n"/>
      <c r="P1101" s="99" t="n"/>
      <c r="Q1101" s="99" t="n"/>
      <c r="R1101" s="99" t="n"/>
      <c r="S1101" s="99" t="n"/>
      <c r="T1101" s="99" t="n"/>
      <c r="U1101" s="99" t="n"/>
      <c r="V1101" s="99" t="n"/>
      <c r="W1101" s="99" t="n"/>
      <c r="X1101" s="99" t="n"/>
      <c r="Y1101" s="99" t="n"/>
      <c r="Z1101" s="99" t="n"/>
      <c r="AA1101" s="99" t="n"/>
      <c r="AB1101" s="99" t="n"/>
      <c r="AC1101" s="99" t="n"/>
      <c r="AD1101" s="99" t="n"/>
      <c r="AE1101" s="99" t="n"/>
      <c r="AF1101" s="99" t="n"/>
      <c r="AG1101" s="99" t="n"/>
      <c r="AH1101" s="99" t="n"/>
      <c r="AI1101" s="99" t="n"/>
      <c r="AJ1101" s="99" t="n"/>
      <c r="AK1101" s="99" t="n"/>
      <c r="AL1101" s="99" t="n"/>
      <c r="AM1101" s="99" t="n"/>
      <c r="AN1101" s="99" t="n"/>
      <c r="AO1101" s="99" t="n"/>
      <c r="AP1101" s="99" t="n"/>
      <c r="AQ1101" s="99" t="n"/>
      <c r="AR1101" s="99" t="n"/>
    </row>
    <row r="1102">
      <c r="D1102" s="99" t="n"/>
      <c r="E1102" s="99" t="n"/>
      <c r="F1102" s="99" t="n"/>
      <c r="G1102" s="99" t="n"/>
      <c r="H1102" s="99" t="n"/>
      <c r="I1102" s="99" t="n"/>
      <c r="J1102" s="99" t="n"/>
      <c r="K1102" s="99" t="n"/>
      <c r="L1102" s="99" t="n"/>
      <c r="M1102" s="99" t="n"/>
      <c r="N1102" s="99" t="n"/>
      <c r="O1102" s="99" t="n"/>
      <c r="P1102" s="99" t="n"/>
      <c r="Q1102" s="99" t="n"/>
      <c r="R1102" s="99" t="n"/>
      <c r="S1102" s="99" t="n"/>
      <c r="T1102" s="99" t="n"/>
      <c r="U1102" s="99" t="n"/>
      <c r="V1102" s="99" t="n"/>
      <c r="W1102" s="99" t="n"/>
      <c r="X1102" s="99" t="n"/>
      <c r="Y1102" s="99" t="n"/>
      <c r="Z1102" s="99" t="n"/>
      <c r="AA1102" s="99" t="n"/>
      <c r="AB1102" s="99" t="n"/>
      <c r="AC1102" s="99" t="n"/>
      <c r="AD1102" s="99" t="n"/>
      <c r="AE1102" s="99" t="n"/>
      <c r="AF1102" s="99" t="n"/>
      <c r="AG1102" s="99" t="n"/>
      <c r="AH1102" s="99" t="n"/>
      <c r="AI1102" s="99" t="n"/>
      <c r="AJ1102" s="99" t="n"/>
      <c r="AK1102" s="99" t="n"/>
      <c r="AL1102" s="99" t="n"/>
      <c r="AM1102" s="99" t="n"/>
      <c r="AN1102" s="99" t="n"/>
      <c r="AO1102" s="99" t="n"/>
      <c r="AP1102" s="99" t="n"/>
      <c r="AQ1102" s="99" t="n"/>
      <c r="AR1102" s="99" t="n"/>
    </row>
    <row r="1103">
      <c r="D1103" s="100" t="n"/>
      <c r="E1103" s="100" t="n"/>
      <c r="F1103" s="100" t="n"/>
      <c r="G1103" s="100" t="n"/>
      <c r="H1103" s="100" t="n"/>
      <c r="I1103" s="100" t="n"/>
      <c r="J1103" s="100" t="n"/>
      <c r="K1103" s="100" t="n"/>
      <c r="L1103" s="100" t="n"/>
      <c r="M1103" s="100" t="n"/>
      <c r="N1103" s="100" t="n"/>
      <c r="O1103" s="100" t="n"/>
      <c r="P1103" s="100" t="n"/>
      <c r="Q1103" s="100" t="n"/>
      <c r="R1103" s="100" t="n"/>
      <c r="S1103" s="100" t="n"/>
      <c r="T1103" s="100" t="n"/>
      <c r="U1103" s="100" t="n"/>
      <c r="V1103" s="100" t="n"/>
      <c r="W1103" s="100" t="n"/>
      <c r="X1103" s="100" t="n"/>
      <c r="Y1103" s="100" t="n"/>
      <c r="Z1103" s="100" t="n"/>
      <c r="AA1103" s="100" t="n"/>
      <c r="AB1103" s="100" t="n"/>
      <c r="AC1103" s="100" t="n"/>
      <c r="AD1103" s="100" t="n"/>
      <c r="AE1103" s="100" t="n"/>
      <c r="AF1103" s="100" t="n"/>
      <c r="AG1103" s="100" t="n"/>
      <c r="AH1103" s="100" t="n"/>
      <c r="AI1103" s="100" t="n"/>
      <c r="AJ1103" s="100" t="n"/>
      <c r="AK1103" s="100" t="n"/>
      <c r="AL1103" s="100" t="n"/>
      <c r="AM1103" s="100" t="n"/>
      <c r="AN1103" s="100" t="n"/>
      <c r="AO1103" s="100" t="n"/>
      <c r="AP1103" s="100" t="n"/>
      <c r="AQ1103" s="100" t="n"/>
      <c r="AR1103" s="100" t="n"/>
    </row>
    <row r="1106">
      <c r="A1106" s="2">
        <f>IF($A1099="","","   projections")</f>
        <v/>
      </c>
      <c r="B1106" s="96">
        <f>IF($A1099="",0,COUNT($E1107:$AR1107))</f>
        <v/>
      </c>
      <c r="C1106" s="97">
        <f>IF($B1106=0,0,MAX($E1107:$AR1107))</f>
        <v/>
      </c>
      <c r="D1106" s="98">
        <f>BDS($A1099,FLD_PROJ,"headers=y","startcol=1","endcol=3","dir=h")</f>
        <v/>
      </c>
      <c r="E1106" s="99" t="n"/>
      <c r="F1106" s="99" t="n"/>
      <c r="G1106" s="99" t="n"/>
      <c r="H1106" s="99" t="n"/>
      <c r="I1106" s="99" t="n"/>
      <c r="J1106" s="99" t="n"/>
      <c r="K1106" s="99" t="n"/>
      <c r="L1106" s="99" t="n"/>
      <c r="M1106" s="99" t="n"/>
      <c r="N1106" s="99" t="n"/>
      <c r="O1106" s="99" t="n"/>
      <c r="P1106" s="99" t="n"/>
      <c r="Q1106" s="99" t="n"/>
      <c r="R1106" s="99" t="n"/>
      <c r="S1106" s="99" t="n"/>
      <c r="T1106" s="99" t="n"/>
      <c r="U1106" s="99" t="n"/>
      <c r="V1106" s="99" t="n"/>
      <c r="W1106" s="99" t="n"/>
      <c r="X1106" s="99" t="n"/>
      <c r="Y1106" s="99" t="n"/>
      <c r="Z1106" s="99" t="n"/>
      <c r="AA1106" s="99" t="n"/>
      <c r="AB1106" s="99" t="n"/>
      <c r="AC1106" s="99" t="n"/>
      <c r="AD1106" s="99" t="n"/>
      <c r="AE1106" s="99" t="n"/>
      <c r="AF1106" s="99" t="n"/>
      <c r="AG1106" s="99" t="n"/>
      <c r="AH1106" s="99" t="n"/>
      <c r="AI1106" s="99" t="n"/>
      <c r="AJ1106" s="99" t="n"/>
      <c r="AK1106" s="99" t="n"/>
      <c r="AL1106" s="99" t="n"/>
      <c r="AM1106" s="99" t="n"/>
      <c r="AN1106" s="99" t="n"/>
      <c r="AO1106" s="99" t="n"/>
      <c r="AP1106" s="99" t="n"/>
      <c r="AQ1106" s="99" t="n"/>
      <c r="AR1106" s="99" t="n"/>
    </row>
    <row r="1107">
      <c r="D1107" s="99" t="n"/>
      <c r="E1107" s="99" t="n"/>
      <c r="F1107" s="99" t="n"/>
      <c r="G1107" s="99" t="n"/>
      <c r="H1107" s="99" t="n"/>
      <c r="I1107" s="99" t="n"/>
      <c r="J1107" s="99" t="n"/>
      <c r="K1107" s="99" t="n"/>
      <c r="L1107" s="99" t="n"/>
      <c r="M1107" s="99" t="n"/>
      <c r="N1107" s="99" t="n"/>
      <c r="O1107" s="99" t="n"/>
      <c r="P1107" s="99" t="n"/>
      <c r="Q1107" s="99" t="n"/>
      <c r="R1107" s="99" t="n"/>
      <c r="S1107" s="99" t="n"/>
      <c r="T1107" s="99" t="n"/>
      <c r="U1107" s="99" t="n"/>
      <c r="V1107" s="99" t="n"/>
      <c r="W1107" s="99" t="n"/>
      <c r="X1107" s="99" t="n"/>
      <c r="Y1107" s="99" t="n"/>
      <c r="Z1107" s="99" t="n"/>
      <c r="AA1107" s="99" t="n"/>
      <c r="AB1107" s="99" t="n"/>
      <c r="AC1107" s="99" t="n"/>
      <c r="AD1107" s="99" t="n"/>
      <c r="AE1107" s="99" t="n"/>
      <c r="AF1107" s="99" t="n"/>
      <c r="AG1107" s="99" t="n"/>
      <c r="AH1107" s="99" t="n"/>
      <c r="AI1107" s="99" t="n"/>
      <c r="AJ1107" s="99" t="n"/>
      <c r="AK1107" s="99" t="n"/>
      <c r="AL1107" s="99" t="n"/>
      <c r="AM1107" s="99" t="n"/>
      <c r="AN1107" s="99" t="n"/>
      <c r="AO1107" s="99" t="n"/>
      <c r="AP1107" s="99" t="n"/>
      <c r="AQ1107" s="99" t="n"/>
      <c r="AR1107" s="99" t="n"/>
    </row>
    <row r="1108">
      <c r="D1108" s="100" t="n"/>
      <c r="E1108" s="100" t="n"/>
      <c r="F1108" s="100" t="n"/>
      <c r="G1108" s="100" t="n"/>
      <c r="H1108" s="100" t="n"/>
      <c r="I1108" s="100" t="n"/>
      <c r="J1108" s="100" t="n"/>
      <c r="K1108" s="100" t="n"/>
      <c r="L1108" s="100" t="n"/>
      <c r="M1108" s="100" t="n"/>
      <c r="N1108" s="100" t="n"/>
      <c r="O1108" s="100" t="n"/>
      <c r="P1108" s="100" t="n"/>
      <c r="Q1108" s="100" t="n"/>
      <c r="R1108" s="100" t="n"/>
      <c r="S1108" s="100" t="n"/>
      <c r="T1108" s="100" t="n"/>
      <c r="U1108" s="100" t="n"/>
      <c r="V1108" s="100" t="n"/>
      <c r="W1108" s="100" t="n"/>
      <c r="X1108" s="100" t="n"/>
      <c r="Y1108" s="100" t="n"/>
      <c r="Z1108" s="100" t="n"/>
      <c r="AA1108" s="100" t="n"/>
      <c r="AB1108" s="100" t="n"/>
      <c r="AC1108" s="100" t="n"/>
      <c r="AD1108" s="100" t="n"/>
      <c r="AE1108" s="100" t="n"/>
      <c r="AF1108" s="100" t="n"/>
      <c r="AG1108" s="100" t="n"/>
      <c r="AH1108" s="100" t="n"/>
      <c r="AI1108" s="100" t="n"/>
      <c r="AJ1108" s="100" t="n"/>
      <c r="AK1108" s="100" t="n"/>
      <c r="AL1108" s="100" t="n"/>
      <c r="AM1108" s="100" t="n"/>
      <c r="AN1108" s="100" t="n"/>
      <c r="AO1108" s="100" t="n"/>
      <c r="AP1108" s="100" t="n"/>
      <c r="AQ1108" s="100" t="n"/>
      <c r="AR1108" s="100" t="n"/>
    </row>
    <row r="1112">
      <c r="A1112" s="3" t="inlineStr">
        <is>
          <t>Hang Seng TECH Index (HSTECH)</t>
        </is>
      </c>
      <c r="B1112" s="4" t="n"/>
      <c r="C1112" s="4" t="n"/>
      <c r="D1112" s="4" t="n"/>
      <c r="F1112" s="2">
        <f>SUMPRODUCT($B$1115:$B$1554)&amp;" events read   |   "&amp;COUNTA($AS$1115:$CF$1554)&amp;" beyond the window (must be 0)"</f>
        <v/>
      </c>
    </row>
    <row r="1113">
      <c r="A1113" s="19" t="inlineStr">
        <is>
          <t>Ticker</t>
        </is>
      </c>
      <c r="B1113" s="19" t="inlineStr">
        <is>
          <t>Events</t>
        </is>
      </c>
      <c r="C1113" s="19" t="inlineStr">
        <is>
          <t>Last ex</t>
        </is>
      </c>
      <c r="D1113" s="19" t="inlineStr">
        <is>
          <t>Bloomberg spill -&gt;</t>
        </is>
      </c>
    </row>
    <row r="1115">
      <c r="A1115" s="6">
        <f>IF(HSTECH!$C$7="","",HSTECH!$C$7)</f>
        <v/>
      </c>
      <c r="B1115" s="96">
        <f>IF($A1115="",0,COUNT($E1116:$AR1116))</f>
        <v/>
      </c>
      <c r="C1115" s="97">
        <f>IF($B1115=0,0,MAX($E1116:$AR1116))</f>
        <v/>
      </c>
      <c r="D1115" s="98">
        <f>BDS($A1115,FLD_HIST,"headers=y","startcol=1","endcol=7","dir=h","DVD_START_DT",HIST_FROM,"DVD_END_DT",HIST_TO)</f>
        <v/>
      </c>
      <c r="E1115" s="99" t="n"/>
      <c r="F1115" s="99" t="n"/>
      <c r="G1115" s="99" t="n"/>
      <c r="H1115" s="99" t="n"/>
      <c r="I1115" s="99" t="n"/>
      <c r="J1115" s="99" t="n"/>
      <c r="K1115" s="99" t="n"/>
      <c r="L1115" s="99" t="n"/>
      <c r="M1115" s="99" t="n"/>
      <c r="N1115" s="99" t="n"/>
      <c r="O1115" s="99" t="n"/>
      <c r="P1115" s="99" t="n"/>
      <c r="Q1115" s="99" t="n"/>
      <c r="R1115" s="99" t="n"/>
      <c r="S1115" s="99" t="n"/>
      <c r="T1115" s="99" t="n"/>
      <c r="U1115" s="99" t="n"/>
      <c r="V1115" s="99" t="n"/>
      <c r="W1115" s="99" t="n"/>
      <c r="X1115" s="99" t="n"/>
      <c r="Y1115" s="99" t="n"/>
      <c r="Z1115" s="99" t="n"/>
      <c r="AA1115" s="99" t="n"/>
      <c r="AB1115" s="99" t="n"/>
      <c r="AC1115" s="99" t="n"/>
      <c r="AD1115" s="99" t="n"/>
      <c r="AE1115" s="99" t="n"/>
      <c r="AF1115" s="99" t="n"/>
      <c r="AG1115" s="99" t="n"/>
      <c r="AH1115" s="99" t="n"/>
      <c r="AI1115" s="99" t="n"/>
      <c r="AJ1115" s="99" t="n"/>
      <c r="AK1115" s="99" t="n"/>
      <c r="AL1115" s="99" t="n"/>
      <c r="AM1115" s="99" t="n"/>
      <c r="AN1115" s="99" t="n"/>
      <c r="AO1115" s="99" t="n"/>
      <c r="AP1115" s="99" t="n"/>
      <c r="AQ1115" s="99" t="n"/>
      <c r="AR1115" s="99" t="n"/>
    </row>
    <row r="1116">
      <c r="D1116" s="99" t="n"/>
      <c r="E1116" s="99" t="n"/>
      <c r="F1116" s="99" t="n"/>
      <c r="G1116" s="99" t="n"/>
      <c r="H1116" s="99" t="n"/>
      <c r="I1116" s="99" t="n"/>
      <c r="J1116" s="99" t="n"/>
      <c r="K1116" s="99" t="n"/>
      <c r="L1116" s="99" t="n"/>
      <c r="M1116" s="99" t="n"/>
      <c r="N1116" s="99" t="n"/>
      <c r="O1116" s="99" t="n"/>
      <c r="P1116" s="99" t="n"/>
      <c r="Q1116" s="99" t="n"/>
      <c r="R1116" s="99" t="n"/>
      <c r="S1116" s="99" t="n"/>
      <c r="T1116" s="99" t="n"/>
      <c r="U1116" s="99" t="n"/>
      <c r="V1116" s="99" t="n"/>
      <c r="W1116" s="99" t="n"/>
      <c r="X1116" s="99" t="n"/>
      <c r="Y1116" s="99" t="n"/>
      <c r="Z1116" s="99" t="n"/>
      <c r="AA1116" s="99" t="n"/>
      <c r="AB1116" s="99" t="n"/>
      <c r="AC1116" s="99" t="n"/>
      <c r="AD1116" s="99" t="n"/>
      <c r="AE1116" s="99" t="n"/>
      <c r="AF1116" s="99" t="n"/>
      <c r="AG1116" s="99" t="n"/>
      <c r="AH1116" s="99" t="n"/>
      <c r="AI1116" s="99" t="n"/>
      <c r="AJ1116" s="99" t="n"/>
      <c r="AK1116" s="99" t="n"/>
      <c r="AL1116" s="99" t="n"/>
      <c r="AM1116" s="99" t="n"/>
      <c r="AN1116" s="99" t="n"/>
      <c r="AO1116" s="99" t="n"/>
      <c r="AP1116" s="99" t="n"/>
      <c r="AQ1116" s="99" t="n"/>
      <c r="AR1116" s="99" t="n"/>
    </row>
    <row r="1117">
      <c r="D1117" s="99" t="n"/>
      <c r="E1117" s="99" t="n"/>
      <c r="F1117" s="99" t="n"/>
      <c r="G1117" s="99" t="n"/>
      <c r="H1117" s="99" t="n"/>
      <c r="I1117" s="99" t="n"/>
      <c r="J1117" s="99" t="n"/>
      <c r="K1117" s="99" t="n"/>
      <c r="L1117" s="99" t="n"/>
      <c r="M1117" s="99" t="n"/>
      <c r="N1117" s="99" t="n"/>
      <c r="O1117" s="99" t="n"/>
      <c r="P1117" s="99" t="n"/>
      <c r="Q1117" s="99" t="n"/>
      <c r="R1117" s="99" t="n"/>
      <c r="S1117" s="99" t="n"/>
      <c r="T1117" s="99" t="n"/>
      <c r="U1117" s="99" t="n"/>
      <c r="V1117" s="99" t="n"/>
      <c r="W1117" s="99" t="n"/>
      <c r="X1117" s="99" t="n"/>
      <c r="Y1117" s="99" t="n"/>
      <c r="Z1117" s="99" t="n"/>
      <c r="AA1117" s="99" t="n"/>
      <c r="AB1117" s="99" t="n"/>
      <c r="AC1117" s="99" t="n"/>
      <c r="AD1117" s="99" t="n"/>
      <c r="AE1117" s="99" t="n"/>
      <c r="AF1117" s="99" t="n"/>
      <c r="AG1117" s="99" t="n"/>
      <c r="AH1117" s="99" t="n"/>
      <c r="AI1117" s="99" t="n"/>
      <c r="AJ1117" s="99" t="n"/>
      <c r="AK1117" s="99" t="n"/>
      <c r="AL1117" s="99" t="n"/>
      <c r="AM1117" s="99" t="n"/>
      <c r="AN1117" s="99" t="n"/>
      <c r="AO1117" s="99" t="n"/>
      <c r="AP1117" s="99" t="n"/>
      <c r="AQ1117" s="99" t="n"/>
      <c r="AR1117" s="99" t="n"/>
    </row>
    <row r="1118">
      <c r="D1118" s="99" t="n"/>
      <c r="E1118" s="99" t="n"/>
      <c r="F1118" s="99" t="n"/>
      <c r="G1118" s="99" t="n"/>
      <c r="H1118" s="99" t="n"/>
      <c r="I1118" s="99" t="n"/>
      <c r="J1118" s="99" t="n"/>
      <c r="K1118" s="99" t="n"/>
      <c r="L1118" s="99" t="n"/>
      <c r="M1118" s="99" t="n"/>
      <c r="N1118" s="99" t="n"/>
      <c r="O1118" s="99" t="n"/>
      <c r="P1118" s="99" t="n"/>
      <c r="Q1118" s="99" t="n"/>
      <c r="R1118" s="99" t="n"/>
      <c r="S1118" s="99" t="n"/>
      <c r="T1118" s="99" t="n"/>
      <c r="U1118" s="99" t="n"/>
      <c r="V1118" s="99" t="n"/>
      <c r="W1118" s="99" t="n"/>
      <c r="X1118" s="99" t="n"/>
      <c r="Y1118" s="99" t="n"/>
      <c r="Z1118" s="99" t="n"/>
      <c r="AA1118" s="99" t="n"/>
      <c r="AB1118" s="99" t="n"/>
      <c r="AC1118" s="99" t="n"/>
      <c r="AD1118" s="99" t="n"/>
      <c r="AE1118" s="99" t="n"/>
      <c r="AF1118" s="99" t="n"/>
      <c r="AG1118" s="99" t="n"/>
      <c r="AH1118" s="99" t="n"/>
      <c r="AI1118" s="99" t="n"/>
      <c r="AJ1118" s="99" t="n"/>
      <c r="AK1118" s="99" t="n"/>
      <c r="AL1118" s="99" t="n"/>
      <c r="AM1118" s="99" t="n"/>
      <c r="AN1118" s="99" t="n"/>
      <c r="AO1118" s="99" t="n"/>
      <c r="AP1118" s="99" t="n"/>
      <c r="AQ1118" s="99" t="n"/>
      <c r="AR1118" s="99" t="n"/>
    </row>
    <row r="1119">
      <c r="D1119" s="100" t="n"/>
      <c r="E1119" s="100" t="n"/>
      <c r="F1119" s="100" t="n"/>
      <c r="G1119" s="100" t="n"/>
      <c r="H1119" s="100" t="n"/>
      <c r="I1119" s="100" t="n"/>
      <c r="J1119" s="100" t="n"/>
      <c r="K1119" s="100" t="n"/>
      <c r="L1119" s="100" t="n"/>
      <c r="M1119" s="100" t="n"/>
      <c r="N1119" s="100" t="n"/>
      <c r="O1119" s="100" t="n"/>
      <c r="P1119" s="100" t="n"/>
      <c r="Q1119" s="100" t="n"/>
      <c r="R1119" s="100" t="n"/>
      <c r="S1119" s="100" t="n"/>
      <c r="T1119" s="100" t="n"/>
      <c r="U1119" s="100" t="n"/>
      <c r="V1119" s="100" t="n"/>
      <c r="W1119" s="100" t="n"/>
      <c r="X1119" s="100" t="n"/>
      <c r="Y1119" s="100" t="n"/>
      <c r="Z1119" s="100" t="n"/>
      <c r="AA1119" s="100" t="n"/>
      <c r="AB1119" s="100" t="n"/>
      <c r="AC1119" s="100" t="n"/>
      <c r="AD1119" s="100" t="n"/>
      <c r="AE1119" s="100" t="n"/>
      <c r="AF1119" s="100" t="n"/>
      <c r="AG1119" s="100" t="n"/>
      <c r="AH1119" s="100" t="n"/>
      <c r="AI1119" s="100" t="n"/>
      <c r="AJ1119" s="100" t="n"/>
      <c r="AK1119" s="100" t="n"/>
      <c r="AL1119" s="100" t="n"/>
      <c r="AM1119" s="100" t="n"/>
      <c r="AN1119" s="100" t="n"/>
      <c r="AO1119" s="100" t="n"/>
      <c r="AP1119" s="100" t="n"/>
      <c r="AQ1119" s="100" t="n"/>
      <c r="AR1119" s="100" t="n"/>
    </row>
    <row r="1122">
      <c r="A1122" s="2">
        <f>IF($A1115="","","   projections")</f>
        <v/>
      </c>
      <c r="B1122" s="96">
        <f>IF($A1115="",0,COUNT($E1123:$AR1123))</f>
        <v/>
      </c>
      <c r="C1122" s="97">
        <f>IF($B1122=0,0,MAX($E1123:$AR1123))</f>
        <v/>
      </c>
      <c r="D1122" s="98">
        <f>BDS($A1115,FLD_PROJ,"headers=y","startcol=1","endcol=3","dir=h")</f>
        <v/>
      </c>
      <c r="E1122" s="99" t="n"/>
      <c r="F1122" s="99" t="n"/>
      <c r="G1122" s="99" t="n"/>
      <c r="H1122" s="99" t="n"/>
      <c r="I1122" s="99" t="n"/>
      <c r="J1122" s="99" t="n"/>
      <c r="K1122" s="99" t="n"/>
      <c r="L1122" s="99" t="n"/>
      <c r="M1122" s="99" t="n"/>
      <c r="N1122" s="99" t="n"/>
      <c r="O1122" s="99" t="n"/>
      <c r="P1122" s="99" t="n"/>
      <c r="Q1122" s="99" t="n"/>
      <c r="R1122" s="99" t="n"/>
      <c r="S1122" s="99" t="n"/>
      <c r="T1122" s="99" t="n"/>
      <c r="U1122" s="99" t="n"/>
      <c r="V1122" s="99" t="n"/>
      <c r="W1122" s="99" t="n"/>
      <c r="X1122" s="99" t="n"/>
      <c r="Y1122" s="99" t="n"/>
      <c r="Z1122" s="99" t="n"/>
      <c r="AA1122" s="99" t="n"/>
      <c r="AB1122" s="99" t="n"/>
      <c r="AC1122" s="99" t="n"/>
      <c r="AD1122" s="99" t="n"/>
      <c r="AE1122" s="99" t="n"/>
      <c r="AF1122" s="99" t="n"/>
      <c r="AG1122" s="99" t="n"/>
      <c r="AH1122" s="99" t="n"/>
      <c r="AI1122" s="99" t="n"/>
      <c r="AJ1122" s="99" t="n"/>
      <c r="AK1122" s="99" t="n"/>
      <c r="AL1122" s="99" t="n"/>
      <c r="AM1122" s="99" t="n"/>
      <c r="AN1122" s="99" t="n"/>
      <c r="AO1122" s="99" t="n"/>
      <c r="AP1122" s="99" t="n"/>
      <c r="AQ1122" s="99" t="n"/>
      <c r="AR1122" s="99" t="n"/>
    </row>
    <row r="1123">
      <c r="D1123" s="99" t="n"/>
      <c r="E1123" s="99" t="n"/>
      <c r="F1123" s="99" t="n"/>
      <c r="G1123" s="99" t="n"/>
      <c r="H1123" s="99" t="n"/>
      <c r="I1123" s="99" t="n"/>
      <c r="J1123" s="99" t="n"/>
      <c r="K1123" s="99" t="n"/>
      <c r="L1123" s="99" t="n"/>
      <c r="M1123" s="99" t="n"/>
      <c r="N1123" s="99" t="n"/>
      <c r="O1123" s="99" t="n"/>
      <c r="P1123" s="99" t="n"/>
      <c r="Q1123" s="99" t="n"/>
      <c r="R1123" s="99" t="n"/>
      <c r="S1123" s="99" t="n"/>
      <c r="T1123" s="99" t="n"/>
      <c r="U1123" s="99" t="n"/>
      <c r="V1123" s="99" t="n"/>
      <c r="W1123" s="99" t="n"/>
      <c r="X1123" s="99" t="n"/>
      <c r="Y1123" s="99" t="n"/>
      <c r="Z1123" s="99" t="n"/>
      <c r="AA1123" s="99" t="n"/>
      <c r="AB1123" s="99" t="n"/>
      <c r="AC1123" s="99" t="n"/>
      <c r="AD1123" s="99" t="n"/>
      <c r="AE1123" s="99" t="n"/>
      <c r="AF1123" s="99" t="n"/>
      <c r="AG1123" s="99" t="n"/>
      <c r="AH1123" s="99" t="n"/>
      <c r="AI1123" s="99" t="n"/>
      <c r="AJ1123" s="99" t="n"/>
      <c r="AK1123" s="99" t="n"/>
      <c r="AL1123" s="99" t="n"/>
      <c r="AM1123" s="99" t="n"/>
      <c r="AN1123" s="99" t="n"/>
      <c r="AO1123" s="99" t="n"/>
      <c r="AP1123" s="99" t="n"/>
      <c r="AQ1123" s="99" t="n"/>
      <c r="AR1123" s="99" t="n"/>
    </row>
    <row r="1124">
      <c r="D1124" s="100" t="n"/>
      <c r="E1124" s="100" t="n"/>
      <c r="F1124" s="100" t="n"/>
      <c r="G1124" s="100" t="n"/>
      <c r="H1124" s="100" t="n"/>
      <c r="I1124" s="100" t="n"/>
      <c r="J1124" s="100" t="n"/>
      <c r="K1124" s="100" t="n"/>
      <c r="L1124" s="100" t="n"/>
      <c r="M1124" s="100" t="n"/>
      <c r="N1124" s="100" t="n"/>
      <c r="O1124" s="100" t="n"/>
      <c r="P1124" s="100" t="n"/>
      <c r="Q1124" s="100" t="n"/>
      <c r="R1124" s="100" t="n"/>
      <c r="S1124" s="100" t="n"/>
      <c r="T1124" s="100" t="n"/>
      <c r="U1124" s="100" t="n"/>
      <c r="V1124" s="100" t="n"/>
      <c r="W1124" s="100" t="n"/>
      <c r="X1124" s="100" t="n"/>
      <c r="Y1124" s="100" t="n"/>
      <c r="Z1124" s="100" t="n"/>
      <c r="AA1124" s="100" t="n"/>
      <c r="AB1124" s="100" t="n"/>
      <c r="AC1124" s="100" t="n"/>
      <c r="AD1124" s="100" t="n"/>
      <c r="AE1124" s="100" t="n"/>
      <c r="AF1124" s="100" t="n"/>
      <c r="AG1124" s="100" t="n"/>
      <c r="AH1124" s="100" t="n"/>
      <c r="AI1124" s="100" t="n"/>
      <c r="AJ1124" s="100" t="n"/>
      <c r="AK1124" s="100" t="n"/>
      <c r="AL1124" s="100" t="n"/>
      <c r="AM1124" s="100" t="n"/>
      <c r="AN1124" s="100" t="n"/>
      <c r="AO1124" s="100" t="n"/>
      <c r="AP1124" s="100" t="n"/>
      <c r="AQ1124" s="100" t="n"/>
      <c r="AR1124" s="100" t="n"/>
    </row>
    <row r="1126">
      <c r="A1126" s="6">
        <f>IF(HSTECH!$C$8="","",HSTECH!$C$8)</f>
        <v/>
      </c>
      <c r="B1126" s="96">
        <f>IF($A1126="",0,COUNT($E1127:$AR1127))</f>
        <v/>
      </c>
      <c r="C1126" s="97">
        <f>IF($B1126=0,0,MAX($E1127:$AR1127))</f>
        <v/>
      </c>
      <c r="D1126" s="98">
        <f>BDS($A1126,FLD_HIST,"headers=y","startcol=1","endcol=7","dir=h","DVD_START_DT",HIST_FROM,"DVD_END_DT",HIST_TO)</f>
        <v/>
      </c>
      <c r="E1126" s="99" t="n"/>
      <c r="F1126" s="99" t="n"/>
      <c r="G1126" s="99" t="n"/>
      <c r="H1126" s="99" t="n"/>
      <c r="I1126" s="99" t="n"/>
      <c r="J1126" s="99" t="n"/>
      <c r="K1126" s="99" t="n"/>
      <c r="L1126" s="99" t="n"/>
      <c r="M1126" s="99" t="n"/>
      <c r="N1126" s="99" t="n"/>
      <c r="O1126" s="99" t="n"/>
      <c r="P1126" s="99" t="n"/>
      <c r="Q1126" s="99" t="n"/>
      <c r="R1126" s="99" t="n"/>
      <c r="S1126" s="99" t="n"/>
      <c r="T1126" s="99" t="n"/>
      <c r="U1126" s="99" t="n"/>
      <c r="V1126" s="99" t="n"/>
      <c r="W1126" s="99" t="n"/>
      <c r="X1126" s="99" t="n"/>
      <c r="Y1126" s="99" t="n"/>
      <c r="Z1126" s="99" t="n"/>
      <c r="AA1126" s="99" t="n"/>
      <c r="AB1126" s="99" t="n"/>
      <c r="AC1126" s="99" t="n"/>
      <c r="AD1126" s="99" t="n"/>
      <c r="AE1126" s="99" t="n"/>
      <c r="AF1126" s="99" t="n"/>
      <c r="AG1126" s="99" t="n"/>
      <c r="AH1126" s="99" t="n"/>
      <c r="AI1126" s="99" t="n"/>
      <c r="AJ1126" s="99" t="n"/>
      <c r="AK1126" s="99" t="n"/>
      <c r="AL1126" s="99" t="n"/>
      <c r="AM1126" s="99" t="n"/>
      <c r="AN1126" s="99" t="n"/>
      <c r="AO1126" s="99" t="n"/>
      <c r="AP1126" s="99" t="n"/>
      <c r="AQ1126" s="99" t="n"/>
      <c r="AR1126" s="99" t="n"/>
    </row>
    <row r="1127">
      <c r="D1127" s="99" t="n"/>
      <c r="E1127" s="99" t="n"/>
      <c r="F1127" s="99" t="n"/>
      <c r="G1127" s="99" t="n"/>
      <c r="H1127" s="99" t="n"/>
      <c r="I1127" s="99" t="n"/>
      <c r="J1127" s="99" t="n"/>
      <c r="K1127" s="99" t="n"/>
      <c r="L1127" s="99" t="n"/>
      <c r="M1127" s="99" t="n"/>
      <c r="N1127" s="99" t="n"/>
      <c r="O1127" s="99" t="n"/>
      <c r="P1127" s="99" t="n"/>
      <c r="Q1127" s="99" t="n"/>
      <c r="R1127" s="99" t="n"/>
      <c r="S1127" s="99" t="n"/>
      <c r="T1127" s="99" t="n"/>
      <c r="U1127" s="99" t="n"/>
      <c r="V1127" s="99" t="n"/>
      <c r="W1127" s="99" t="n"/>
      <c r="X1127" s="99" t="n"/>
      <c r="Y1127" s="99" t="n"/>
      <c r="Z1127" s="99" t="n"/>
      <c r="AA1127" s="99" t="n"/>
      <c r="AB1127" s="99" t="n"/>
      <c r="AC1127" s="99" t="n"/>
      <c r="AD1127" s="99" t="n"/>
      <c r="AE1127" s="99" t="n"/>
      <c r="AF1127" s="99" t="n"/>
      <c r="AG1127" s="99" t="n"/>
      <c r="AH1127" s="99" t="n"/>
      <c r="AI1127" s="99" t="n"/>
      <c r="AJ1127" s="99" t="n"/>
      <c r="AK1127" s="99" t="n"/>
      <c r="AL1127" s="99" t="n"/>
      <c r="AM1127" s="99" t="n"/>
      <c r="AN1127" s="99" t="n"/>
      <c r="AO1127" s="99" t="n"/>
      <c r="AP1127" s="99" t="n"/>
      <c r="AQ1127" s="99" t="n"/>
      <c r="AR1127" s="99" t="n"/>
    </row>
    <row r="1128">
      <c r="D1128" s="99" t="n"/>
      <c r="E1128" s="99" t="n"/>
      <c r="F1128" s="99" t="n"/>
      <c r="G1128" s="99" t="n"/>
      <c r="H1128" s="99" t="n"/>
      <c r="I1128" s="99" t="n"/>
      <c r="J1128" s="99" t="n"/>
      <c r="K1128" s="99" t="n"/>
      <c r="L1128" s="99" t="n"/>
      <c r="M1128" s="99" t="n"/>
      <c r="N1128" s="99" t="n"/>
      <c r="O1128" s="99" t="n"/>
      <c r="P1128" s="99" t="n"/>
      <c r="Q1128" s="99" t="n"/>
      <c r="R1128" s="99" t="n"/>
      <c r="S1128" s="99" t="n"/>
      <c r="T1128" s="99" t="n"/>
      <c r="U1128" s="99" t="n"/>
      <c r="V1128" s="99" t="n"/>
      <c r="W1128" s="99" t="n"/>
      <c r="X1128" s="99" t="n"/>
      <c r="Y1128" s="99" t="n"/>
      <c r="Z1128" s="99" t="n"/>
      <c r="AA1128" s="99" t="n"/>
      <c r="AB1128" s="99" t="n"/>
      <c r="AC1128" s="99" t="n"/>
      <c r="AD1128" s="99" t="n"/>
      <c r="AE1128" s="99" t="n"/>
      <c r="AF1128" s="99" t="n"/>
      <c r="AG1128" s="99" t="n"/>
      <c r="AH1128" s="99" t="n"/>
      <c r="AI1128" s="99" t="n"/>
      <c r="AJ1128" s="99" t="n"/>
      <c r="AK1128" s="99" t="n"/>
      <c r="AL1128" s="99" t="n"/>
      <c r="AM1128" s="99" t="n"/>
      <c r="AN1128" s="99" t="n"/>
      <c r="AO1128" s="99" t="n"/>
      <c r="AP1128" s="99" t="n"/>
      <c r="AQ1128" s="99" t="n"/>
      <c r="AR1128" s="99" t="n"/>
    </row>
    <row r="1129">
      <c r="D1129" s="99" t="n"/>
      <c r="E1129" s="99" t="n"/>
      <c r="F1129" s="99" t="n"/>
      <c r="G1129" s="99" t="n"/>
      <c r="H1129" s="99" t="n"/>
      <c r="I1129" s="99" t="n"/>
      <c r="J1129" s="99" t="n"/>
      <c r="K1129" s="99" t="n"/>
      <c r="L1129" s="99" t="n"/>
      <c r="M1129" s="99" t="n"/>
      <c r="N1129" s="99" t="n"/>
      <c r="O1129" s="99" t="n"/>
      <c r="P1129" s="99" t="n"/>
      <c r="Q1129" s="99" t="n"/>
      <c r="R1129" s="99" t="n"/>
      <c r="S1129" s="99" t="n"/>
      <c r="T1129" s="99" t="n"/>
      <c r="U1129" s="99" t="n"/>
      <c r="V1129" s="99" t="n"/>
      <c r="W1129" s="99" t="n"/>
      <c r="X1129" s="99" t="n"/>
      <c r="Y1129" s="99" t="n"/>
      <c r="Z1129" s="99" t="n"/>
      <c r="AA1129" s="99" t="n"/>
      <c r="AB1129" s="99" t="n"/>
      <c r="AC1129" s="99" t="n"/>
      <c r="AD1129" s="99" t="n"/>
      <c r="AE1129" s="99" t="n"/>
      <c r="AF1129" s="99" t="n"/>
      <c r="AG1129" s="99" t="n"/>
      <c r="AH1129" s="99" t="n"/>
      <c r="AI1129" s="99" t="n"/>
      <c r="AJ1129" s="99" t="n"/>
      <c r="AK1129" s="99" t="n"/>
      <c r="AL1129" s="99" t="n"/>
      <c r="AM1129" s="99" t="n"/>
      <c r="AN1129" s="99" t="n"/>
      <c r="AO1129" s="99" t="n"/>
      <c r="AP1129" s="99" t="n"/>
      <c r="AQ1129" s="99" t="n"/>
      <c r="AR1129" s="99" t="n"/>
    </row>
    <row r="1130">
      <c r="D1130" s="100" t="n"/>
      <c r="E1130" s="100" t="n"/>
      <c r="F1130" s="100" t="n"/>
      <c r="G1130" s="100" t="n"/>
      <c r="H1130" s="100" t="n"/>
      <c r="I1130" s="100" t="n"/>
      <c r="J1130" s="100" t="n"/>
      <c r="K1130" s="100" t="n"/>
      <c r="L1130" s="100" t="n"/>
      <c r="M1130" s="100" t="n"/>
      <c r="N1130" s="100" t="n"/>
      <c r="O1130" s="100" t="n"/>
      <c r="P1130" s="100" t="n"/>
      <c r="Q1130" s="100" t="n"/>
      <c r="R1130" s="100" t="n"/>
      <c r="S1130" s="100" t="n"/>
      <c r="T1130" s="100" t="n"/>
      <c r="U1130" s="100" t="n"/>
      <c r="V1130" s="100" t="n"/>
      <c r="W1130" s="100" t="n"/>
      <c r="X1130" s="100" t="n"/>
      <c r="Y1130" s="100" t="n"/>
      <c r="Z1130" s="100" t="n"/>
      <c r="AA1130" s="100" t="n"/>
      <c r="AB1130" s="100" t="n"/>
      <c r="AC1130" s="100" t="n"/>
      <c r="AD1130" s="100" t="n"/>
      <c r="AE1130" s="100" t="n"/>
      <c r="AF1130" s="100" t="n"/>
      <c r="AG1130" s="100" t="n"/>
      <c r="AH1130" s="100" t="n"/>
      <c r="AI1130" s="100" t="n"/>
      <c r="AJ1130" s="100" t="n"/>
      <c r="AK1130" s="100" t="n"/>
      <c r="AL1130" s="100" t="n"/>
      <c r="AM1130" s="100" t="n"/>
      <c r="AN1130" s="100" t="n"/>
      <c r="AO1130" s="100" t="n"/>
      <c r="AP1130" s="100" t="n"/>
      <c r="AQ1130" s="100" t="n"/>
      <c r="AR1130" s="100" t="n"/>
    </row>
    <row r="1133">
      <c r="A1133" s="2">
        <f>IF($A1126="","","   projections")</f>
        <v/>
      </c>
      <c r="B1133" s="96">
        <f>IF($A1126="",0,COUNT($E1134:$AR1134))</f>
        <v/>
      </c>
      <c r="C1133" s="97">
        <f>IF($B1133=0,0,MAX($E1134:$AR1134))</f>
        <v/>
      </c>
      <c r="D1133" s="98">
        <f>BDS($A1126,FLD_PROJ,"headers=y","startcol=1","endcol=3","dir=h")</f>
        <v/>
      </c>
      <c r="E1133" s="99" t="n"/>
      <c r="F1133" s="99" t="n"/>
      <c r="G1133" s="99" t="n"/>
      <c r="H1133" s="99" t="n"/>
      <c r="I1133" s="99" t="n"/>
      <c r="J1133" s="99" t="n"/>
      <c r="K1133" s="99" t="n"/>
      <c r="L1133" s="99" t="n"/>
      <c r="M1133" s="99" t="n"/>
      <c r="N1133" s="99" t="n"/>
      <c r="O1133" s="99" t="n"/>
      <c r="P1133" s="99" t="n"/>
      <c r="Q1133" s="99" t="n"/>
      <c r="R1133" s="99" t="n"/>
      <c r="S1133" s="99" t="n"/>
      <c r="T1133" s="99" t="n"/>
      <c r="U1133" s="99" t="n"/>
      <c r="V1133" s="99" t="n"/>
      <c r="W1133" s="99" t="n"/>
      <c r="X1133" s="99" t="n"/>
      <c r="Y1133" s="99" t="n"/>
      <c r="Z1133" s="99" t="n"/>
      <c r="AA1133" s="99" t="n"/>
      <c r="AB1133" s="99" t="n"/>
      <c r="AC1133" s="99" t="n"/>
      <c r="AD1133" s="99" t="n"/>
      <c r="AE1133" s="99" t="n"/>
      <c r="AF1133" s="99" t="n"/>
      <c r="AG1133" s="99" t="n"/>
      <c r="AH1133" s="99" t="n"/>
      <c r="AI1133" s="99" t="n"/>
      <c r="AJ1133" s="99" t="n"/>
      <c r="AK1133" s="99" t="n"/>
      <c r="AL1133" s="99" t="n"/>
      <c r="AM1133" s="99" t="n"/>
      <c r="AN1133" s="99" t="n"/>
      <c r="AO1133" s="99" t="n"/>
      <c r="AP1133" s="99" t="n"/>
      <c r="AQ1133" s="99" t="n"/>
      <c r="AR1133" s="99" t="n"/>
    </row>
    <row r="1134">
      <c r="D1134" s="99" t="n"/>
      <c r="E1134" s="99" t="n"/>
      <c r="F1134" s="99" t="n"/>
      <c r="G1134" s="99" t="n"/>
      <c r="H1134" s="99" t="n"/>
      <c r="I1134" s="99" t="n"/>
      <c r="J1134" s="99" t="n"/>
      <c r="K1134" s="99" t="n"/>
      <c r="L1134" s="99" t="n"/>
      <c r="M1134" s="99" t="n"/>
      <c r="N1134" s="99" t="n"/>
      <c r="O1134" s="99" t="n"/>
      <c r="P1134" s="99" t="n"/>
      <c r="Q1134" s="99" t="n"/>
      <c r="R1134" s="99" t="n"/>
      <c r="S1134" s="99" t="n"/>
      <c r="T1134" s="99" t="n"/>
      <c r="U1134" s="99" t="n"/>
      <c r="V1134" s="99" t="n"/>
      <c r="W1134" s="99" t="n"/>
      <c r="X1134" s="99" t="n"/>
      <c r="Y1134" s="99" t="n"/>
      <c r="Z1134" s="99" t="n"/>
      <c r="AA1134" s="99" t="n"/>
      <c r="AB1134" s="99" t="n"/>
      <c r="AC1134" s="99" t="n"/>
      <c r="AD1134" s="99" t="n"/>
      <c r="AE1134" s="99" t="n"/>
      <c r="AF1134" s="99" t="n"/>
      <c r="AG1134" s="99" t="n"/>
      <c r="AH1134" s="99" t="n"/>
      <c r="AI1134" s="99" t="n"/>
      <c r="AJ1134" s="99" t="n"/>
      <c r="AK1134" s="99" t="n"/>
      <c r="AL1134" s="99" t="n"/>
      <c r="AM1134" s="99" t="n"/>
      <c r="AN1134" s="99" t="n"/>
      <c r="AO1134" s="99" t="n"/>
      <c r="AP1134" s="99" t="n"/>
      <c r="AQ1134" s="99" t="n"/>
      <c r="AR1134" s="99" t="n"/>
    </row>
    <row r="1135">
      <c r="D1135" s="100" t="n"/>
      <c r="E1135" s="100" t="n"/>
      <c r="F1135" s="100" t="n"/>
      <c r="G1135" s="100" t="n"/>
      <c r="H1135" s="100" t="n"/>
      <c r="I1135" s="100" t="n"/>
      <c r="J1135" s="100" t="n"/>
      <c r="K1135" s="100" t="n"/>
      <c r="L1135" s="100" t="n"/>
      <c r="M1135" s="100" t="n"/>
      <c r="N1135" s="100" t="n"/>
      <c r="O1135" s="100" t="n"/>
      <c r="P1135" s="100" t="n"/>
      <c r="Q1135" s="100" t="n"/>
      <c r="R1135" s="100" t="n"/>
      <c r="S1135" s="100" t="n"/>
      <c r="T1135" s="100" t="n"/>
      <c r="U1135" s="100" t="n"/>
      <c r="V1135" s="100" t="n"/>
      <c r="W1135" s="100" t="n"/>
      <c r="X1135" s="100" t="n"/>
      <c r="Y1135" s="100" t="n"/>
      <c r="Z1135" s="100" t="n"/>
      <c r="AA1135" s="100" t="n"/>
      <c r="AB1135" s="100" t="n"/>
      <c r="AC1135" s="100" t="n"/>
      <c r="AD1135" s="100" t="n"/>
      <c r="AE1135" s="100" t="n"/>
      <c r="AF1135" s="100" t="n"/>
      <c r="AG1135" s="100" t="n"/>
      <c r="AH1135" s="100" t="n"/>
      <c r="AI1135" s="100" t="n"/>
      <c r="AJ1135" s="100" t="n"/>
      <c r="AK1135" s="100" t="n"/>
      <c r="AL1135" s="100" t="n"/>
      <c r="AM1135" s="100" t="n"/>
      <c r="AN1135" s="100" t="n"/>
      <c r="AO1135" s="100" t="n"/>
      <c r="AP1135" s="100" t="n"/>
      <c r="AQ1135" s="100" t="n"/>
      <c r="AR1135" s="100" t="n"/>
    </row>
    <row r="1137">
      <c r="A1137" s="6">
        <f>IF(HSTECH!$C$9="","",HSTECH!$C$9)</f>
        <v/>
      </c>
      <c r="B1137" s="96">
        <f>IF($A1137="",0,COUNT($E1138:$AR1138))</f>
        <v/>
      </c>
      <c r="C1137" s="97">
        <f>IF($B1137=0,0,MAX($E1138:$AR1138))</f>
        <v/>
      </c>
      <c r="D1137" s="98">
        <f>BDS($A1137,FLD_HIST,"headers=y","startcol=1","endcol=7","dir=h","DVD_START_DT",HIST_FROM,"DVD_END_DT",HIST_TO)</f>
        <v/>
      </c>
      <c r="E1137" s="99" t="n"/>
      <c r="F1137" s="99" t="n"/>
      <c r="G1137" s="99" t="n"/>
      <c r="H1137" s="99" t="n"/>
      <c r="I1137" s="99" t="n"/>
      <c r="J1137" s="99" t="n"/>
      <c r="K1137" s="99" t="n"/>
      <c r="L1137" s="99" t="n"/>
      <c r="M1137" s="99" t="n"/>
      <c r="N1137" s="99" t="n"/>
      <c r="O1137" s="99" t="n"/>
      <c r="P1137" s="99" t="n"/>
      <c r="Q1137" s="99" t="n"/>
      <c r="R1137" s="99" t="n"/>
      <c r="S1137" s="99" t="n"/>
      <c r="T1137" s="99" t="n"/>
      <c r="U1137" s="99" t="n"/>
      <c r="V1137" s="99" t="n"/>
      <c r="W1137" s="99" t="n"/>
      <c r="X1137" s="99" t="n"/>
      <c r="Y1137" s="99" t="n"/>
      <c r="Z1137" s="99" t="n"/>
      <c r="AA1137" s="99" t="n"/>
      <c r="AB1137" s="99" t="n"/>
      <c r="AC1137" s="99" t="n"/>
      <c r="AD1137" s="99" t="n"/>
      <c r="AE1137" s="99" t="n"/>
      <c r="AF1137" s="99" t="n"/>
      <c r="AG1137" s="99" t="n"/>
      <c r="AH1137" s="99" t="n"/>
      <c r="AI1137" s="99" t="n"/>
      <c r="AJ1137" s="99" t="n"/>
      <c r="AK1137" s="99" t="n"/>
      <c r="AL1137" s="99" t="n"/>
      <c r="AM1137" s="99" t="n"/>
      <c r="AN1137" s="99" t="n"/>
      <c r="AO1137" s="99" t="n"/>
      <c r="AP1137" s="99" t="n"/>
      <c r="AQ1137" s="99" t="n"/>
      <c r="AR1137" s="99" t="n"/>
    </row>
    <row r="1138">
      <c r="D1138" s="99" t="n"/>
      <c r="E1138" s="99" t="n"/>
      <c r="F1138" s="99" t="n"/>
      <c r="G1138" s="99" t="n"/>
      <c r="H1138" s="99" t="n"/>
      <c r="I1138" s="99" t="n"/>
      <c r="J1138" s="99" t="n"/>
      <c r="K1138" s="99" t="n"/>
      <c r="L1138" s="99" t="n"/>
      <c r="M1138" s="99" t="n"/>
      <c r="N1138" s="99" t="n"/>
      <c r="O1138" s="99" t="n"/>
      <c r="P1138" s="99" t="n"/>
      <c r="Q1138" s="99" t="n"/>
      <c r="R1138" s="99" t="n"/>
      <c r="S1138" s="99" t="n"/>
      <c r="T1138" s="99" t="n"/>
      <c r="U1138" s="99" t="n"/>
      <c r="V1138" s="99" t="n"/>
      <c r="W1138" s="99" t="n"/>
      <c r="X1138" s="99" t="n"/>
      <c r="Y1138" s="99" t="n"/>
      <c r="Z1138" s="99" t="n"/>
      <c r="AA1138" s="99" t="n"/>
      <c r="AB1138" s="99" t="n"/>
      <c r="AC1138" s="99" t="n"/>
      <c r="AD1138" s="99" t="n"/>
      <c r="AE1138" s="99" t="n"/>
      <c r="AF1138" s="99" t="n"/>
      <c r="AG1138" s="99" t="n"/>
      <c r="AH1138" s="99" t="n"/>
      <c r="AI1138" s="99" t="n"/>
      <c r="AJ1138" s="99" t="n"/>
      <c r="AK1138" s="99" t="n"/>
      <c r="AL1138" s="99" t="n"/>
      <c r="AM1138" s="99" t="n"/>
      <c r="AN1138" s="99" t="n"/>
      <c r="AO1138" s="99" t="n"/>
      <c r="AP1138" s="99" t="n"/>
      <c r="AQ1138" s="99" t="n"/>
      <c r="AR1138" s="99" t="n"/>
    </row>
    <row r="1139">
      <c r="D1139" s="99" t="n"/>
      <c r="E1139" s="99" t="n"/>
      <c r="F1139" s="99" t="n"/>
      <c r="G1139" s="99" t="n"/>
      <c r="H1139" s="99" t="n"/>
      <c r="I1139" s="99" t="n"/>
      <c r="J1139" s="99" t="n"/>
      <c r="K1139" s="99" t="n"/>
      <c r="L1139" s="99" t="n"/>
      <c r="M1139" s="99" t="n"/>
      <c r="N1139" s="99" t="n"/>
      <c r="O1139" s="99" t="n"/>
      <c r="P1139" s="99" t="n"/>
      <c r="Q1139" s="99" t="n"/>
      <c r="R1139" s="99" t="n"/>
      <c r="S1139" s="99" t="n"/>
      <c r="T1139" s="99" t="n"/>
      <c r="U1139" s="99" t="n"/>
      <c r="V1139" s="99" t="n"/>
      <c r="W1139" s="99" t="n"/>
      <c r="X1139" s="99" t="n"/>
      <c r="Y1139" s="99" t="n"/>
      <c r="Z1139" s="99" t="n"/>
      <c r="AA1139" s="99" t="n"/>
      <c r="AB1139" s="99" t="n"/>
      <c r="AC1139" s="99" t="n"/>
      <c r="AD1139" s="99" t="n"/>
      <c r="AE1139" s="99" t="n"/>
      <c r="AF1139" s="99" t="n"/>
      <c r="AG1139" s="99" t="n"/>
      <c r="AH1139" s="99" t="n"/>
      <c r="AI1139" s="99" t="n"/>
      <c r="AJ1139" s="99" t="n"/>
      <c r="AK1139" s="99" t="n"/>
      <c r="AL1139" s="99" t="n"/>
      <c r="AM1139" s="99" t="n"/>
      <c r="AN1139" s="99" t="n"/>
      <c r="AO1139" s="99" t="n"/>
      <c r="AP1139" s="99" t="n"/>
      <c r="AQ1139" s="99" t="n"/>
      <c r="AR1139" s="99" t="n"/>
    </row>
    <row r="1140">
      <c r="D1140" s="99" t="n"/>
      <c r="E1140" s="99" t="n"/>
      <c r="F1140" s="99" t="n"/>
      <c r="G1140" s="99" t="n"/>
      <c r="H1140" s="99" t="n"/>
      <c r="I1140" s="99" t="n"/>
      <c r="J1140" s="99" t="n"/>
      <c r="K1140" s="99" t="n"/>
      <c r="L1140" s="99" t="n"/>
      <c r="M1140" s="99" t="n"/>
      <c r="N1140" s="99" t="n"/>
      <c r="O1140" s="99" t="n"/>
      <c r="P1140" s="99" t="n"/>
      <c r="Q1140" s="99" t="n"/>
      <c r="R1140" s="99" t="n"/>
      <c r="S1140" s="99" t="n"/>
      <c r="T1140" s="99" t="n"/>
      <c r="U1140" s="99" t="n"/>
      <c r="V1140" s="99" t="n"/>
      <c r="W1140" s="99" t="n"/>
      <c r="X1140" s="99" t="n"/>
      <c r="Y1140" s="99" t="n"/>
      <c r="Z1140" s="99" t="n"/>
      <c r="AA1140" s="99" t="n"/>
      <c r="AB1140" s="99" t="n"/>
      <c r="AC1140" s="99" t="n"/>
      <c r="AD1140" s="99" t="n"/>
      <c r="AE1140" s="99" t="n"/>
      <c r="AF1140" s="99" t="n"/>
      <c r="AG1140" s="99" t="n"/>
      <c r="AH1140" s="99" t="n"/>
      <c r="AI1140" s="99" t="n"/>
      <c r="AJ1140" s="99" t="n"/>
      <c r="AK1140" s="99" t="n"/>
      <c r="AL1140" s="99" t="n"/>
      <c r="AM1140" s="99" t="n"/>
      <c r="AN1140" s="99" t="n"/>
      <c r="AO1140" s="99" t="n"/>
      <c r="AP1140" s="99" t="n"/>
      <c r="AQ1140" s="99" t="n"/>
      <c r="AR1140" s="99" t="n"/>
    </row>
    <row r="1141">
      <c r="D1141" s="100" t="n"/>
      <c r="E1141" s="100" t="n"/>
      <c r="F1141" s="100" t="n"/>
      <c r="G1141" s="100" t="n"/>
      <c r="H1141" s="100" t="n"/>
      <c r="I1141" s="100" t="n"/>
      <c r="J1141" s="100" t="n"/>
      <c r="K1141" s="100" t="n"/>
      <c r="L1141" s="100" t="n"/>
      <c r="M1141" s="100" t="n"/>
      <c r="N1141" s="100" t="n"/>
      <c r="O1141" s="100" t="n"/>
      <c r="P1141" s="100" t="n"/>
      <c r="Q1141" s="100" t="n"/>
      <c r="R1141" s="100" t="n"/>
      <c r="S1141" s="100" t="n"/>
      <c r="T1141" s="100" t="n"/>
      <c r="U1141" s="100" t="n"/>
      <c r="V1141" s="100" t="n"/>
      <c r="W1141" s="100" t="n"/>
      <c r="X1141" s="100" t="n"/>
      <c r="Y1141" s="100" t="n"/>
      <c r="Z1141" s="100" t="n"/>
      <c r="AA1141" s="100" t="n"/>
      <c r="AB1141" s="100" t="n"/>
      <c r="AC1141" s="100" t="n"/>
      <c r="AD1141" s="100" t="n"/>
      <c r="AE1141" s="100" t="n"/>
      <c r="AF1141" s="100" t="n"/>
      <c r="AG1141" s="100" t="n"/>
      <c r="AH1141" s="100" t="n"/>
      <c r="AI1141" s="100" t="n"/>
      <c r="AJ1141" s="100" t="n"/>
      <c r="AK1141" s="100" t="n"/>
      <c r="AL1141" s="100" t="n"/>
      <c r="AM1141" s="100" t="n"/>
      <c r="AN1141" s="100" t="n"/>
      <c r="AO1141" s="100" t="n"/>
      <c r="AP1141" s="100" t="n"/>
      <c r="AQ1141" s="100" t="n"/>
      <c r="AR1141" s="100" t="n"/>
    </row>
    <row r="1144">
      <c r="A1144" s="2">
        <f>IF($A1137="","","   projections")</f>
        <v/>
      </c>
      <c r="B1144" s="96">
        <f>IF($A1137="",0,COUNT($E1145:$AR1145))</f>
        <v/>
      </c>
      <c r="C1144" s="97">
        <f>IF($B1144=0,0,MAX($E1145:$AR1145))</f>
        <v/>
      </c>
      <c r="D1144" s="98">
        <f>BDS($A1137,FLD_PROJ,"headers=y","startcol=1","endcol=3","dir=h")</f>
        <v/>
      </c>
      <c r="E1144" s="99" t="n"/>
      <c r="F1144" s="99" t="n"/>
      <c r="G1144" s="99" t="n"/>
      <c r="H1144" s="99" t="n"/>
      <c r="I1144" s="99" t="n"/>
      <c r="J1144" s="99" t="n"/>
      <c r="K1144" s="99" t="n"/>
      <c r="L1144" s="99" t="n"/>
      <c r="M1144" s="99" t="n"/>
      <c r="N1144" s="99" t="n"/>
      <c r="O1144" s="99" t="n"/>
      <c r="P1144" s="99" t="n"/>
      <c r="Q1144" s="99" t="n"/>
      <c r="R1144" s="99" t="n"/>
      <c r="S1144" s="99" t="n"/>
      <c r="T1144" s="99" t="n"/>
      <c r="U1144" s="99" t="n"/>
      <c r="V1144" s="99" t="n"/>
      <c r="W1144" s="99" t="n"/>
      <c r="X1144" s="99" t="n"/>
      <c r="Y1144" s="99" t="n"/>
      <c r="Z1144" s="99" t="n"/>
      <c r="AA1144" s="99" t="n"/>
      <c r="AB1144" s="99" t="n"/>
      <c r="AC1144" s="99" t="n"/>
      <c r="AD1144" s="99" t="n"/>
      <c r="AE1144" s="99" t="n"/>
      <c r="AF1144" s="99" t="n"/>
      <c r="AG1144" s="99" t="n"/>
      <c r="AH1144" s="99" t="n"/>
      <c r="AI1144" s="99" t="n"/>
      <c r="AJ1144" s="99" t="n"/>
      <c r="AK1144" s="99" t="n"/>
      <c r="AL1144" s="99" t="n"/>
      <c r="AM1144" s="99" t="n"/>
      <c r="AN1144" s="99" t="n"/>
      <c r="AO1144" s="99" t="n"/>
      <c r="AP1144" s="99" t="n"/>
      <c r="AQ1144" s="99" t="n"/>
      <c r="AR1144" s="99" t="n"/>
    </row>
    <row r="1145">
      <c r="D1145" s="99" t="n"/>
      <c r="E1145" s="99" t="n"/>
      <c r="F1145" s="99" t="n"/>
      <c r="G1145" s="99" t="n"/>
      <c r="H1145" s="99" t="n"/>
      <c r="I1145" s="99" t="n"/>
      <c r="J1145" s="99" t="n"/>
      <c r="K1145" s="99" t="n"/>
      <c r="L1145" s="99" t="n"/>
      <c r="M1145" s="99" t="n"/>
      <c r="N1145" s="99" t="n"/>
      <c r="O1145" s="99" t="n"/>
      <c r="P1145" s="99" t="n"/>
      <c r="Q1145" s="99" t="n"/>
      <c r="R1145" s="99" t="n"/>
      <c r="S1145" s="99" t="n"/>
      <c r="T1145" s="99" t="n"/>
      <c r="U1145" s="99" t="n"/>
      <c r="V1145" s="99" t="n"/>
      <c r="W1145" s="99" t="n"/>
      <c r="X1145" s="99" t="n"/>
      <c r="Y1145" s="99" t="n"/>
      <c r="Z1145" s="99" t="n"/>
      <c r="AA1145" s="99" t="n"/>
      <c r="AB1145" s="99" t="n"/>
      <c r="AC1145" s="99" t="n"/>
      <c r="AD1145" s="99" t="n"/>
      <c r="AE1145" s="99" t="n"/>
      <c r="AF1145" s="99" t="n"/>
      <c r="AG1145" s="99" t="n"/>
      <c r="AH1145" s="99" t="n"/>
      <c r="AI1145" s="99" t="n"/>
      <c r="AJ1145" s="99" t="n"/>
      <c r="AK1145" s="99" t="n"/>
      <c r="AL1145" s="99" t="n"/>
      <c r="AM1145" s="99" t="n"/>
      <c r="AN1145" s="99" t="n"/>
      <c r="AO1145" s="99" t="n"/>
      <c r="AP1145" s="99" t="n"/>
      <c r="AQ1145" s="99" t="n"/>
      <c r="AR1145" s="99" t="n"/>
    </row>
    <row r="1146">
      <c r="D1146" s="100" t="n"/>
      <c r="E1146" s="100" t="n"/>
      <c r="F1146" s="100" t="n"/>
      <c r="G1146" s="100" t="n"/>
      <c r="H1146" s="100" t="n"/>
      <c r="I1146" s="100" t="n"/>
      <c r="J1146" s="100" t="n"/>
      <c r="K1146" s="100" t="n"/>
      <c r="L1146" s="100" t="n"/>
      <c r="M1146" s="100" t="n"/>
      <c r="N1146" s="100" t="n"/>
      <c r="O1146" s="100" t="n"/>
      <c r="P1146" s="100" t="n"/>
      <c r="Q1146" s="100" t="n"/>
      <c r="R1146" s="100" t="n"/>
      <c r="S1146" s="100" t="n"/>
      <c r="T1146" s="100" t="n"/>
      <c r="U1146" s="100" t="n"/>
      <c r="V1146" s="100" t="n"/>
      <c r="W1146" s="100" t="n"/>
      <c r="X1146" s="100" t="n"/>
      <c r="Y1146" s="100" t="n"/>
      <c r="Z1146" s="100" t="n"/>
      <c r="AA1146" s="100" t="n"/>
      <c r="AB1146" s="100" t="n"/>
      <c r="AC1146" s="100" t="n"/>
      <c r="AD1146" s="100" t="n"/>
      <c r="AE1146" s="100" t="n"/>
      <c r="AF1146" s="100" t="n"/>
      <c r="AG1146" s="100" t="n"/>
      <c r="AH1146" s="100" t="n"/>
      <c r="AI1146" s="100" t="n"/>
      <c r="AJ1146" s="100" t="n"/>
      <c r="AK1146" s="100" t="n"/>
      <c r="AL1146" s="100" t="n"/>
      <c r="AM1146" s="100" t="n"/>
      <c r="AN1146" s="100" t="n"/>
      <c r="AO1146" s="100" t="n"/>
      <c r="AP1146" s="100" t="n"/>
      <c r="AQ1146" s="100" t="n"/>
      <c r="AR1146" s="100" t="n"/>
    </row>
    <row r="1148">
      <c r="A1148" s="6">
        <f>IF(HSTECH!$C$10="","",HSTECH!$C$10)</f>
        <v/>
      </c>
      <c r="B1148" s="96">
        <f>IF($A1148="",0,COUNT($E1149:$AR1149))</f>
        <v/>
      </c>
      <c r="C1148" s="97">
        <f>IF($B1148=0,0,MAX($E1149:$AR1149))</f>
        <v/>
      </c>
      <c r="D1148" s="98">
        <f>BDS($A1148,FLD_HIST,"headers=y","startcol=1","endcol=7","dir=h","DVD_START_DT",HIST_FROM,"DVD_END_DT",HIST_TO)</f>
        <v/>
      </c>
      <c r="E1148" s="99" t="n"/>
      <c r="F1148" s="99" t="n"/>
      <c r="G1148" s="99" t="n"/>
      <c r="H1148" s="99" t="n"/>
      <c r="I1148" s="99" t="n"/>
      <c r="J1148" s="99" t="n"/>
      <c r="K1148" s="99" t="n"/>
      <c r="L1148" s="99" t="n"/>
      <c r="M1148" s="99" t="n"/>
      <c r="N1148" s="99" t="n"/>
      <c r="O1148" s="99" t="n"/>
      <c r="P1148" s="99" t="n"/>
      <c r="Q1148" s="99" t="n"/>
      <c r="R1148" s="99" t="n"/>
      <c r="S1148" s="99" t="n"/>
      <c r="T1148" s="99" t="n"/>
      <c r="U1148" s="99" t="n"/>
      <c r="V1148" s="99" t="n"/>
      <c r="W1148" s="99" t="n"/>
      <c r="X1148" s="99" t="n"/>
      <c r="Y1148" s="99" t="n"/>
      <c r="Z1148" s="99" t="n"/>
      <c r="AA1148" s="99" t="n"/>
      <c r="AB1148" s="99" t="n"/>
      <c r="AC1148" s="99" t="n"/>
      <c r="AD1148" s="99" t="n"/>
      <c r="AE1148" s="99" t="n"/>
      <c r="AF1148" s="99" t="n"/>
      <c r="AG1148" s="99" t="n"/>
      <c r="AH1148" s="99" t="n"/>
      <c r="AI1148" s="99" t="n"/>
      <c r="AJ1148" s="99" t="n"/>
      <c r="AK1148" s="99" t="n"/>
      <c r="AL1148" s="99" t="n"/>
      <c r="AM1148" s="99" t="n"/>
      <c r="AN1148" s="99" t="n"/>
      <c r="AO1148" s="99" t="n"/>
      <c r="AP1148" s="99" t="n"/>
      <c r="AQ1148" s="99" t="n"/>
      <c r="AR1148" s="99" t="n"/>
    </row>
    <row r="1149">
      <c r="D1149" s="99" t="n"/>
      <c r="E1149" s="99" t="n"/>
      <c r="F1149" s="99" t="n"/>
      <c r="G1149" s="99" t="n"/>
      <c r="H1149" s="99" t="n"/>
      <c r="I1149" s="99" t="n"/>
      <c r="J1149" s="99" t="n"/>
      <c r="K1149" s="99" t="n"/>
      <c r="L1149" s="99" t="n"/>
      <c r="M1149" s="99" t="n"/>
      <c r="N1149" s="99" t="n"/>
      <c r="O1149" s="99" t="n"/>
      <c r="P1149" s="99" t="n"/>
      <c r="Q1149" s="99" t="n"/>
      <c r="R1149" s="99" t="n"/>
      <c r="S1149" s="99" t="n"/>
      <c r="T1149" s="99" t="n"/>
      <c r="U1149" s="99" t="n"/>
      <c r="V1149" s="99" t="n"/>
      <c r="W1149" s="99" t="n"/>
      <c r="X1149" s="99" t="n"/>
      <c r="Y1149" s="99" t="n"/>
      <c r="Z1149" s="99" t="n"/>
      <c r="AA1149" s="99" t="n"/>
      <c r="AB1149" s="99" t="n"/>
      <c r="AC1149" s="99" t="n"/>
      <c r="AD1149" s="99" t="n"/>
      <c r="AE1149" s="99" t="n"/>
      <c r="AF1149" s="99" t="n"/>
      <c r="AG1149" s="99" t="n"/>
      <c r="AH1149" s="99" t="n"/>
      <c r="AI1149" s="99" t="n"/>
      <c r="AJ1149" s="99" t="n"/>
      <c r="AK1149" s="99" t="n"/>
      <c r="AL1149" s="99" t="n"/>
      <c r="AM1149" s="99" t="n"/>
      <c r="AN1149" s="99" t="n"/>
      <c r="AO1149" s="99" t="n"/>
      <c r="AP1149" s="99" t="n"/>
      <c r="AQ1149" s="99" t="n"/>
      <c r="AR1149" s="99" t="n"/>
    </row>
    <row r="1150">
      <c r="D1150" s="99" t="n"/>
      <c r="E1150" s="99" t="n"/>
      <c r="F1150" s="99" t="n"/>
      <c r="G1150" s="99" t="n"/>
      <c r="H1150" s="99" t="n"/>
      <c r="I1150" s="99" t="n"/>
      <c r="J1150" s="99" t="n"/>
      <c r="K1150" s="99" t="n"/>
      <c r="L1150" s="99" t="n"/>
      <c r="M1150" s="99" t="n"/>
      <c r="N1150" s="99" t="n"/>
      <c r="O1150" s="99" t="n"/>
      <c r="P1150" s="99" t="n"/>
      <c r="Q1150" s="99" t="n"/>
      <c r="R1150" s="99" t="n"/>
      <c r="S1150" s="99" t="n"/>
      <c r="T1150" s="99" t="n"/>
      <c r="U1150" s="99" t="n"/>
      <c r="V1150" s="99" t="n"/>
      <c r="W1150" s="99" t="n"/>
      <c r="X1150" s="99" t="n"/>
      <c r="Y1150" s="99" t="n"/>
      <c r="Z1150" s="99" t="n"/>
      <c r="AA1150" s="99" t="n"/>
      <c r="AB1150" s="99" t="n"/>
      <c r="AC1150" s="99" t="n"/>
      <c r="AD1150" s="99" t="n"/>
      <c r="AE1150" s="99" t="n"/>
      <c r="AF1150" s="99" t="n"/>
      <c r="AG1150" s="99" t="n"/>
      <c r="AH1150" s="99" t="n"/>
      <c r="AI1150" s="99" t="n"/>
      <c r="AJ1150" s="99" t="n"/>
      <c r="AK1150" s="99" t="n"/>
      <c r="AL1150" s="99" t="n"/>
      <c r="AM1150" s="99" t="n"/>
      <c r="AN1150" s="99" t="n"/>
      <c r="AO1150" s="99" t="n"/>
      <c r="AP1150" s="99" t="n"/>
      <c r="AQ1150" s="99" t="n"/>
      <c r="AR1150" s="99" t="n"/>
    </row>
    <row r="1151">
      <c r="D1151" s="99" t="n"/>
      <c r="E1151" s="99" t="n"/>
      <c r="F1151" s="99" t="n"/>
      <c r="G1151" s="99" t="n"/>
      <c r="H1151" s="99" t="n"/>
      <c r="I1151" s="99" t="n"/>
      <c r="J1151" s="99" t="n"/>
      <c r="K1151" s="99" t="n"/>
      <c r="L1151" s="99" t="n"/>
      <c r="M1151" s="99" t="n"/>
      <c r="N1151" s="99" t="n"/>
      <c r="O1151" s="99" t="n"/>
      <c r="P1151" s="99" t="n"/>
      <c r="Q1151" s="99" t="n"/>
      <c r="R1151" s="99" t="n"/>
      <c r="S1151" s="99" t="n"/>
      <c r="T1151" s="99" t="n"/>
      <c r="U1151" s="99" t="n"/>
      <c r="V1151" s="99" t="n"/>
      <c r="W1151" s="99" t="n"/>
      <c r="X1151" s="99" t="n"/>
      <c r="Y1151" s="99" t="n"/>
      <c r="Z1151" s="99" t="n"/>
      <c r="AA1151" s="99" t="n"/>
      <c r="AB1151" s="99" t="n"/>
      <c r="AC1151" s="99" t="n"/>
      <c r="AD1151" s="99" t="n"/>
      <c r="AE1151" s="99" t="n"/>
      <c r="AF1151" s="99" t="n"/>
      <c r="AG1151" s="99" t="n"/>
      <c r="AH1151" s="99" t="n"/>
      <c r="AI1151" s="99" t="n"/>
      <c r="AJ1151" s="99" t="n"/>
      <c r="AK1151" s="99" t="n"/>
      <c r="AL1151" s="99" t="n"/>
      <c r="AM1151" s="99" t="n"/>
      <c r="AN1151" s="99" t="n"/>
      <c r="AO1151" s="99" t="n"/>
      <c r="AP1151" s="99" t="n"/>
      <c r="AQ1151" s="99" t="n"/>
      <c r="AR1151" s="99" t="n"/>
    </row>
    <row r="1152">
      <c r="D1152" s="100" t="n"/>
      <c r="E1152" s="100" t="n"/>
      <c r="F1152" s="100" t="n"/>
      <c r="G1152" s="100" t="n"/>
      <c r="H1152" s="100" t="n"/>
      <c r="I1152" s="100" t="n"/>
      <c r="J1152" s="100" t="n"/>
      <c r="K1152" s="100" t="n"/>
      <c r="L1152" s="100" t="n"/>
      <c r="M1152" s="100" t="n"/>
      <c r="N1152" s="100" t="n"/>
      <c r="O1152" s="100" t="n"/>
      <c r="P1152" s="100" t="n"/>
      <c r="Q1152" s="100" t="n"/>
      <c r="R1152" s="100" t="n"/>
      <c r="S1152" s="100" t="n"/>
      <c r="T1152" s="100" t="n"/>
      <c r="U1152" s="100" t="n"/>
      <c r="V1152" s="100" t="n"/>
      <c r="W1152" s="100" t="n"/>
      <c r="X1152" s="100" t="n"/>
      <c r="Y1152" s="100" t="n"/>
      <c r="Z1152" s="100" t="n"/>
      <c r="AA1152" s="100" t="n"/>
      <c r="AB1152" s="100" t="n"/>
      <c r="AC1152" s="100" t="n"/>
      <c r="AD1152" s="100" t="n"/>
      <c r="AE1152" s="100" t="n"/>
      <c r="AF1152" s="100" t="n"/>
      <c r="AG1152" s="100" t="n"/>
      <c r="AH1152" s="100" t="n"/>
      <c r="AI1152" s="100" t="n"/>
      <c r="AJ1152" s="100" t="n"/>
      <c r="AK1152" s="100" t="n"/>
      <c r="AL1152" s="100" t="n"/>
      <c r="AM1152" s="100" t="n"/>
      <c r="AN1152" s="100" t="n"/>
      <c r="AO1152" s="100" t="n"/>
      <c r="AP1152" s="100" t="n"/>
      <c r="AQ1152" s="100" t="n"/>
      <c r="AR1152" s="100" t="n"/>
    </row>
    <row r="1155">
      <c r="A1155" s="2">
        <f>IF($A1148="","","   projections")</f>
        <v/>
      </c>
      <c r="B1155" s="96">
        <f>IF($A1148="",0,COUNT($E1156:$AR1156))</f>
        <v/>
      </c>
      <c r="C1155" s="97">
        <f>IF($B1155=0,0,MAX($E1156:$AR1156))</f>
        <v/>
      </c>
      <c r="D1155" s="98">
        <f>BDS($A1148,FLD_PROJ,"headers=y","startcol=1","endcol=3","dir=h")</f>
        <v/>
      </c>
      <c r="E1155" s="99" t="n"/>
      <c r="F1155" s="99" t="n"/>
      <c r="G1155" s="99" t="n"/>
      <c r="H1155" s="99" t="n"/>
      <c r="I1155" s="99" t="n"/>
      <c r="J1155" s="99" t="n"/>
      <c r="K1155" s="99" t="n"/>
      <c r="L1155" s="99" t="n"/>
      <c r="M1155" s="99" t="n"/>
      <c r="N1155" s="99" t="n"/>
      <c r="O1155" s="99" t="n"/>
      <c r="P1155" s="99" t="n"/>
      <c r="Q1155" s="99" t="n"/>
      <c r="R1155" s="99" t="n"/>
      <c r="S1155" s="99" t="n"/>
      <c r="T1155" s="99" t="n"/>
      <c r="U1155" s="99" t="n"/>
      <c r="V1155" s="99" t="n"/>
      <c r="W1155" s="99" t="n"/>
      <c r="X1155" s="99" t="n"/>
      <c r="Y1155" s="99" t="n"/>
      <c r="Z1155" s="99" t="n"/>
      <c r="AA1155" s="99" t="n"/>
      <c r="AB1155" s="99" t="n"/>
      <c r="AC1155" s="99" t="n"/>
      <c r="AD1155" s="99" t="n"/>
      <c r="AE1155" s="99" t="n"/>
      <c r="AF1155" s="99" t="n"/>
      <c r="AG1155" s="99" t="n"/>
      <c r="AH1155" s="99" t="n"/>
      <c r="AI1155" s="99" t="n"/>
      <c r="AJ1155" s="99" t="n"/>
      <c r="AK1155" s="99" t="n"/>
      <c r="AL1155" s="99" t="n"/>
      <c r="AM1155" s="99" t="n"/>
      <c r="AN1155" s="99" t="n"/>
      <c r="AO1155" s="99" t="n"/>
      <c r="AP1155" s="99" t="n"/>
      <c r="AQ1155" s="99" t="n"/>
      <c r="AR1155" s="99" t="n"/>
    </row>
    <row r="1156">
      <c r="D1156" s="99" t="n"/>
      <c r="E1156" s="99" t="n"/>
      <c r="F1156" s="99" t="n"/>
      <c r="G1156" s="99" t="n"/>
      <c r="H1156" s="99" t="n"/>
      <c r="I1156" s="99" t="n"/>
      <c r="J1156" s="99" t="n"/>
      <c r="K1156" s="99" t="n"/>
      <c r="L1156" s="99" t="n"/>
      <c r="M1156" s="99" t="n"/>
      <c r="N1156" s="99" t="n"/>
      <c r="O1156" s="99" t="n"/>
      <c r="P1156" s="99" t="n"/>
      <c r="Q1156" s="99" t="n"/>
      <c r="R1156" s="99" t="n"/>
      <c r="S1156" s="99" t="n"/>
      <c r="T1156" s="99" t="n"/>
      <c r="U1156" s="99" t="n"/>
      <c r="V1156" s="99" t="n"/>
      <c r="W1156" s="99" t="n"/>
      <c r="X1156" s="99" t="n"/>
      <c r="Y1156" s="99" t="n"/>
      <c r="Z1156" s="99" t="n"/>
      <c r="AA1156" s="99" t="n"/>
      <c r="AB1156" s="99" t="n"/>
      <c r="AC1156" s="99" t="n"/>
      <c r="AD1156" s="99" t="n"/>
      <c r="AE1156" s="99" t="n"/>
      <c r="AF1156" s="99" t="n"/>
      <c r="AG1156" s="99" t="n"/>
      <c r="AH1156" s="99" t="n"/>
      <c r="AI1156" s="99" t="n"/>
      <c r="AJ1156" s="99" t="n"/>
      <c r="AK1156" s="99" t="n"/>
      <c r="AL1156" s="99" t="n"/>
      <c r="AM1156" s="99" t="n"/>
      <c r="AN1156" s="99" t="n"/>
      <c r="AO1156" s="99" t="n"/>
      <c r="AP1156" s="99" t="n"/>
      <c r="AQ1156" s="99" t="n"/>
      <c r="AR1156" s="99" t="n"/>
    </row>
    <row r="1157">
      <c r="D1157" s="100" t="n"/>
      <c r="E1157" s="100" t="n"/>
      <c r="F1157" s="100" t="n"/>
      <c r="G1157" s="100" t="n"/>
      <c r="H1157" s="100" t="n"/>
      <c r="I1157" s="100" t="n"/>
      <c r="J1157" s="100" t="n"/>
      <c r="K1157" s="100" t="n"/>
      <c r="L1157" s="100" t="n"/>
      <c r="M1157" s="100" t="n"/>
      <c r="N1157" s="100" t="n"/>
      <c r="O1157" s="100" t="n"/>
      <c r="P1157" s="100" t="n"/>
      <c r="Q1157" s="100" t="n"/>
      <c r="R1157" s="100" t="n"/>
      <c r="S1157" s="100" t="n"/>
      <c r="T1157" s="100" t="n"/>
      <c r="U1157" s="100" t="n"/>
      <c r="V1157" s="100" t="n"/>
      <c r="W1157" s="100" t="n"/>
      <c r="X1157" s="100" t="n"/>
      <c r="Y1157" s="100" t="n"/>
      <c r="Z1157" s="100" t="n"/>
      <c r="AA1157" s="100" t="n"/>
      <c r="AB1157" s="100" t="n"/>
      <c r="AC1157" s="100" t="n"/>
      <c r="AD1157" s="100" t="n"/>
      <c r="AE1157" s="100" t="n"/>
      <c r="AF1157" s="100" t="n"/>
      <c r="AG1157" s="100" t="n"/>
      <c r="AH1157" s="100" t="n"/>
      <c r="AI1157" s="100" t="n"/>
      <c r="AJ1157" s="100" t="n"/>
      <c r="AK1157" s="100" t="n"/>
      <c r="AL1157" s="100" t="n"/>
      <c r="AM1157" s="100" t="n"/>
      <c r="AN1157" s="100" t="n"/>
      <c r="AO1157" s="100" t="n"/>
      <c r="AP1157" s="100" t="n"/>
      <c r="AQ1157" s="100" t="n"/>
      <c r="AR1157" s="100" t="n"/>
    </row>
    <row r="1159">
      <c r="A1159" s="6">
        <f>IF(HSTECH!$C$11="","",HSTECH!$C$11)</f>
        <v/>
      </c>
      <c r="B1159" s="96">
        <f>IF($A1159="",0,COUNT($E1160:$AR1160))</f>
        <v/>
      </c>
      <c r="C1159" s="97">
        <f>IF($B1159=0,0,MAX($E1160:$AR1160))</f>
        <v/>
      </c>
      <c r="D1159" s="98">
        <f>BDS($A1159,FLD_HIST,"headers=y","startcol=1","endcol=7","dir=h","DVD_START_DT",HIST_FROM,"DVD_END_DT",HIST_TO)</f>
        <v/>
      </c>
      <c r="E1159" s="99" t="n"/>
      <c r="F1159" s="99" t="n"/>
      <c r="G1159" s="99" t="n"/>
      <c r="H1159" s="99" t="n"/>
      <c r="I1159" s="99" t="n"/>
      <c r="J1159" s="99" t="n"/>
      <c r="K1159" s="99" t="n"/>
      <c r="L1159" s="99" t="n"/>
      <c r="M1159" s="99" t="n"/>
      <c r="N1159" s="99" t="n"/>
      <c r="O1159" s="99" t="n"/>
      <c r="P1159" s="99" t="n"/>
      <c r="Q1159" s="99" t="n"/>
      <c r="R1159" s="99" t="n"/>
      <c r="S1159" s="99" t="n"/>
      <c r="T1159" s="99" t="n"/>
      <c r="U1159" s="99" t="n"/>
      <c r="V1159" s="99" t="n"/>
      <c r="W1159" s="99" t="n"/>
      <c r="X1159" s="99" t="n"/>
      <c r="Y1159" s="99" t="n"/>
      <c r="Z1159" s="99" t="n"/>
      <c r="AA1159" s="99" t="n"/>
      <c r="AB1159" s="99" t="n"/>
      <c r="AC1159" s="99" t="n"/>
      <c r="AD1159" s="99" t="n"/>
      <c r="AE1159" s="99" t="n"/>
      <c r="AF1159" s="99" t="n"/>
      <c r="AG1159" s="99" t="n"/>
      <c r="AH1159" s="99" t="n"/>
      <c r="AI1159" s="99" t="n"/>
      <c r="AJ1159" s="99" t="n"/>
      <c r="AK1159" s="99" t="n"/>
      <c r="AL1159" s="99" t="n"/>
      <c r="AM1159" s="99" t="n"/>
      <c r="AN1159" s="99" t="n"/>
      <c r="AO1159" s="99" t="n"/>
      <c r="AP1159" s="99" t="n"/>
      <c r="AQ1159" s="99" t="n"/>
      <c r="AR1159" s="99" t="n"/>
    </row>
    <row r="1160">
      <c r="D1160" s="99" t="n"/>
      <c r="E1160" s="99" t="n"/>
      <c r="F1160" s="99" t="n"/>
      <c r="G1160" s="99" t="n"/>
      <c r="H1160" s="99" t="n"/>
      <c r="I1160" s="99" t="n"/>
      <c r="J1160" s="99" t="n"/>
      <c r="K1160" s="99" t="n"/>
      <c r="L1160" s="99" t="n"/>
      <c r="M1160" s="99" t="n"/>
      <c r="N1160" s="99" t="n"/>
      <c r="O1160" s="99" t="n"/>
      <c r="P1160" s="99" t="n"/>
      <c r="Q1160" s="99" t="n"/>
      <c r="R1160" s="99" t="n"/>
      <c r="S1160" s="99" t="n"/>
      <c r="T1160" s="99" t="n"/>
      <c r="U1160" s="99" t="n"/>
      <c r="V1160" s="99" t="n"/>
      <c r="W1160" s="99" t="n"/>
      <c r="X1160" s="99" t="n"/>
      <c r="Y1160" s="99" t="n"/>
      <c r="Z1160" s="99" t="n"/>
      <c r="AA1160" s="99" t="n"/>
      <c r="AB1160" s="99" t="n"/>
      <c r="AC1160" s="99" t="n"/>
      <c r="AD1160" s="99" t="n"/>
      <c r="AE1160" s="99" t="n"/>
      <c r="AF1160" s="99" t="n"/>
      <c r="AG1160" s="99" t="n"/>
      <c r="AH1160" s="99" t="n"/>
      <c r="AI1160" s="99" t="n"/>
      <c r="AJ1160" s="99" t="n"/>
      <c r="AK1160" s="99" t="n"/>
      <c r="AL1160" s="99" t="n"/>
      <c r="AM1160" s="99" t="n"/>
      <c r="AN1160" s="99" t="n"/>
      <c r="AO1160" s="99" t="n"/>
      <c r="AP1160" s="99" t="n"/>
      <c r="AQ1160" s="99" t="n"/>
      <c r="AR1160" s="99" t="n"/>
    </row>
    <row r="1161">
      <c r="D1161" s="99" t="n"/>
      <c r="E1161" s="99" t="n"/>
      <c r="F1161" s="99" t="n"/>
      <c r="G1161" s="99" t="n"/>
      <c r="H1161" s="99" t="n"/>
      <c r="I1161" s="99" t="n"/>
      <c r="J1161" s="99" t="n"/>
      <c r="K1161" s="99" t="n"/>
      <c r="L1161" s="99" t="n"/>
      <c r="M1161" s="99" t="n"/>
      <c r="N1161" s="99" t="n"/>
      <c r="O1161" s="99" t="n"/>
      <c r="P1161" s="99" t="n"/>
      <c r="Q1161" s="99" t="n"/>
      <c r="R1161" s="99" t="n"/>
      <c r="S1161" s="99" t="n"/>
      <c r="T1161" s="99" t="n"/>
      <c r="U1161" s="99" t="n"/>
      <c r="V1161" s="99" t="n"/>
      <c r="W1161" s="99" t="n"/>
      <c r="X1161" s="99" t="n"/>
      <c r="Y1161" s="99" t="n"/>
      <c r="Z1161" s="99" t="n"/>
      <c r="AA1161" s="99" t="n"/>
      <c r="AB1161" s="99" t="n"/>
      <c r="AC1161" s="99" t="n"/>
      <c r="AD1161" s="99" t="n"/>
      <c r="AE1161" s="99" t="n"/>
      <c r="AF1161" s="99" t="n"/>
      <c r="AG1161" s="99" t="n"/>
      <c r="AH1161" s="99" t="n"/>
      <c r="AI1161" s="99" t="n"/>
      <c r="AJ1161" s="99" t="n"/>
      <c r="AK1161" s="99" t="n"/>
      <c r="AL1161" s="99" t="n"/>
      <c r="AM1161" s="99" t="n"/>
      <c r="AN1161" s="99" t="n"/>
      <c r="AO1161" s="99" t="n"/>
      <c r="AP1161" s="99" t="n"/>
      <c r="AQ1161" s="99" t="n"/>
      <c r="AR1161" s="99" t="n"/>
    </row>
    <row r="1162">
      <c r="D1162" s="99" t="n"/>
      <c r="E1162" s="99" t="n"/>
      <c r="F1162" s="99" t="n"/>
      <c r="G1162" s="99" t="n"/>
      <c r="H1162" s="99" t="n"/>
      <c r="I1162" s="99" t="n"/>
      <c r="J1162" s="99" t="n"/>
      <c r="K1162" s="99" t="n"/>
      <c r="L1162" s="99" t="n"/>
      <c r="M1162" s="99" t="n"/>
      <c r="N1162" s="99" t="n"/>
      <c r="O1162" s="99" t="n"/>
      <c r="P1162" s="99" t="n"/>
      <c r="Q1162" s="99" t="n"/>
      <c r="R1162" s="99" t="n"/>
      <c r="S1162" s="99" t="n"/>
      <c r="T1162" s="99" t="n"/>
      <c r="U1162" s="99" t="n"/>
      <c r="V1162" s="99" t="n"/>
      <c r="W1162" s="99" t="n"/>
      <c r="X1162" s="99" t="n"/>
      <c r="Y1162" s="99" t="n"/>
      <c r="Z1162" s="99" t="n"/>
      <c r="AA1162" s="99" t="n"/>
      <c r="AB1162" s="99" t="n"/>
      <c r="AC1162" s="99" t="n"/>
      <c r="AD1162" s="99" t="n"/>
      <c r="AE1162" s="99" t="n"/>
      <c r="AF1162" s="99" t="n"/>
      <c r="AG1162" s="99" t="n"/>
      <c r="AH1162" s="99" t="n"/>
      <c r="AI1162" s="99" t="n"/>
      <c r="AJ1162" s="99" t="n"/>
      <c r="AK1162" s="99" t="n"/>
      <c r="AL1162" s="99" t="n"/>
      <c r="AM1162" s="99" t="n"/>
      <c r="AN1162" s="99" t="n"/>
      <c r="AO1162" s="99" t="n"/>
      <c r="AP1162" s="99" t="n"/>
      <c r="AQ1162" s="99" t="n"/>
      <c r="AR1162" s="99" t="n"/>
    </row>
    <row r="1163">
      <c r="D1163" s="100" t="n"/>
      <c r="E1163" s="100" t="n"/>
      <c r="F1163" s="100" t="n"/>
      <c r="G1163" s="100" t="n"/>
      <c r="H1163" s="100" t="n"/>
      <c r="I1163" s="100" t="n"/>
      <c r="J1163" s="100" t="n"/>
      <c r="K1163" s="100" t="n"/>
      <c r="L1163" s="100" t="n"/>
      <c r="M1163" s="100" t="n"/>
      <c r="N1163" s="100" t="n"/>
      <c r="O1163" s="100" t="n"/>
      <c r="P1163" s="100" t="n"/>
      <c r="Q1163" s="100" t="n"/>
      <c r="R1163" s="100" t="n"/>
      <c r="S1163" s="100" t="n"/>
      <c r="T1163" s="100" t="n"/>
      <c r="U1163" s="100" t="n"/>
      <c r="V1163" s="100" t="n"/>
      <c r="W1163" s="100" t="n"/>
      <c r="X1163" s="100" t="n"/>
      <c r="Y1163" s="100" t="n"/>
      <c r="Z1163" s="100" t="n"/>
      <c r="AA1163" s="100" t="n"/>
      <c r="AB1163" s="100" t="n"/>
      <c r="AC1163" s="100" t="n"/>
      <c r="AD1163" s="100" t="n"/>
      <c r="AE1163" s="100" t="n"/>
      <c r="AF1163" s="100" t="n"/>
      <c r="AG1163" s="100" t="n"/>
      <c r="AH1163" s="100" t="n"/>
      <c r="AI1163" s="100" t="n"/>
      <c r="AJ1163" s="100" t="n"/>
      <c r="AK1163" s="100" t="n"/>
      <c r="AL1163" s="100" t="n"/>
      <c r="AM1163" s="100" t="n"/>
      <c r="AN1163" s="100" t="n"/>
      <c r="AO1163" s="100" t="n"/>
      <c r="AP1163" s="100" t="n"/>
      <c r="AQ1163" s="100" t="n"/>
      <c r="AR1163" s="100" t="n"/>
    </row>
    <row r="1166">
      <c r="A1166" s="2">
        <f>IF($A1159="","","   projections")</f>
        <v/>
      </c>
      <c r="B1166" s="96">
        <f>IF($A1159="",0,COUNT($E1167:$AR1167))</f>
        <v/>
      </c>
      <c r="C1166" s="97">
        <f>IF($B1166=0,0,MAX($E1167:$AR1167))</f>
        <v/>
      </c>
      <c r="D1166" s="98">
        <f>BDS($A1159,FLD_PROJ,"headers=y","startcol=1","endcol=3","dir=h")</f>
        <v/>
      </c>
      <c r="E1166" s="99" t="n"/>
      <c r="F1166" s="99" t="n"/>
      <c r="G1166" s="99" t="n"/>
      <c r="H1166" s="99" t="n"/>
      <c r="I1166" s="99" t="n"/>
      <c r="J1166" s="99" t="n"/>
      <c r="K1166" s="99" t="n"/>
      <c r="L1166" s="99" t="n"/>
      <c r="M1166" s="99" t="n"/>
      <c r="N1166" s="99" t="n"/>
      <c r="O1166" s="99" t="n"/>
      <c r="P1166" s="99" t="n"/>
      <c r="Q1166" s="99" t="n"/>
      <c r="R1166" s="99" t="n"/>
      <c r="S1166" s="99" t="n"/>
      <c r="T1166" s="99" t="n"/>
      <c r="U1166" s="99" t="n"/>
      <c r="V1166" s="99" t="n"/>
      <c r="W1166" s="99" t="n"/>
      <c r="X1166" s="99" t="n"/>
      <c r="Y1166" s="99" t="n"/>
      <c r="Z1166" s="99" t="n"/>
      <c r="AA1166" s="99" t="n"/>
      <c r="AB1166" s="99" t="n"/>
      <c r="AC1166" s="99" t="n"/>
      <c r="AD1166" s="99" t="n"/>
      <c r="AE1166" s="99" t="n"/>
      <c r="AF1166" s="99" t="n"/>
      <c r="AG1166" s="99" t="n"/>
      <c r="AH1166" s="99" t="n"/>
      <c r="AI1166" s="99" t="n"/>
      <c r="AJ1166" s="99" t="n"/>
      <c r="AK1166" s="99" t="n"/>
      <c r="AL1166" s="99" t="n"/>
      <c r="AM1166" s="99" t="n"/>
      <c r="AN1166" s="99" t="n"/>
      <c r="AO1166" s="99" t="n"/>
      <c r="AP1166" s="99" t="n"/>
      <c r="AQ1166" s="99" t="n"/>
      <c r="AR1166" s="99" t="n"/>
    </row>
    <row r="1167">
      <c r="D1167" s="99" t="n"/>
      <c r="E1167" s="99" t="n"/>
      <c r="F1167" s="99" t="n"/>
      <c r="G1167" s="99" t="n"/>
      <c r="H1167" s="99" t="n"/>
      <c r="I1167" s="99" t="n"/>
      <c r="J1167" s="99" t="n"/>
      <c r="K1167" s="99" t="n"/>
      <c r="L1167" s="99" t="n"/>
      <c r="M1167" s="99" t="n"/>
      <c r="N1167" s="99" t="n"/>
      <c r="O1167" s="99" t="n"/>
      <c r="P1167" s="99" t="n"/>
      <c r="Q1167" s="99" t="n"/>
      <c r="R1167" s="99" t="n"/>
      <c r="S1167" s="99" t="n"/>
      <c r="T1167" s="99" t="n"/>
      <c r="U1167" s="99" t="n"/>
      <c r="V1167" s="99" t="n"/>
      <c r="W1167" s="99" t="n"/>
      <c r="X1167" s="99" t="n"/>
      <c r="Y1167" s="99" t="n"/>
      <c r="Z1167" s="99" t="n"/>
      <c r="AA1167" s="99" t="n"/>
      <c r="AB1167" s="99" t="n"/>
      <c r="AC1167" s="99" t="n"/>
      <c r="AD1167" s="99" t="n"/>
      <c r="AE1167" s="99" t="n"/>
      <c r="AF1167" s="99" t="n"/>
      <c r="AG1167" s="99" t="n"/>
      <c r="AH1167" s="99" t="n"/>
      <c r="AI1167" s="99" t="n"/>
      <c r="AJ1167" s="99" t="n"/>
      <c r="AK1167" s="99" t="n"/>
      <c r="AL1167" s="99" t="n"/>
      <c r="AM1167" s="99" t="n"/>
      <c r="AN1167" s="99" t="n"/>
      <c r="AO1167" s="99" t="n"/>
      <c r="AP1167" s="99" t="n"/>
      <c r="AQ1167" s="99" t="n"/>
      <c r="AR1167" s="99" t="n"/>
    </row>
    <row r="1168">
      <c r="D1168" s="100" t="n"/>
      <c r="E1168" s="100" t="n"/>
      <c r="F1168" s="100" t="n"/>
      <c r="G1168" s="100" t="n"/>
      <c r="H1168" s="100" t="n"/>
      <c r="I1168" s="100" t="n"/>
      <c r="J1168" s="100" t="n"/>
      <c r="K1168" s="100" t="n"/>
      <c r="L1168" s="100" t="n"/>
      <c r="M1168" s="100" t="n"/>
      <c r="N1168" s="100" t="n"/>
      <c r="O1168" s="100" t="n"/>
      <c r="P1168" s="100" t="n"/>
      <c r="Q1168" s="100" t="n"/>
      <c r="R1168" s="100" t="n"/>
      <c r="S1168" s="100" t="n"/>
      <c r="T1168" s="100" t="n"/>
      <c r="U1168" s="100" t="n"/>
      <c r="V1168" s="100" t="n"/>
      <c r="W1168" s="100" t="n"/>
      <c r="X1168" s="100" t="n"/>
      <c r="Y1168" s="100" t="n"/>
      <c r="Z1168" s="100" t="n"/>
      <c r="AA1168" s="100" t="n"/>
      <c r="AB1168" s="100" t="n"/>
      <c r="AC1168" s="100" t="n"/>
      <c r="AD1168" s="100" t="n"/>
      <c r="AE1168" s="100" t="n"/>
      <c r="AF1168" s="100" t="n"/>
      <c r="AG1168" s="100" t="n"/>
      <c r="AH1168" s="100" t="n"/>
      <c r="AI1168" s="100" t="n"/>
      <c r="AJ1168" s="100" t="n"/>
      <c r="AK1168" s="100" t="n"/>
      <c r="AL1168" s="100" t="n"/>
      <c r="AM1168" s="100" t="n"/>
      <c r="AN1168" s="100" t="n"/>
      <c r="AO1168" s="100" t="n"/>
      <c r="AP1168" s="100" t="n"/>
      <c r="AQ1168" s="100" t="n"/>
      <c r="AR1168" s="100" t="n"/>
    </row>
    <row r="1170">
      <c r="A1170" s="6">
        <f>IF(HSTECH!$C$12="","",HSTECH!$C$12)</f>
        <v/>
      </c>
      <c r="B1170" s="96">
        <f>IF($A1170="",0,COUNT($E1171:$AR1171))</f>
        <v/>
      </c>
      <c r="C1170" s="97">
        <f>IF($B1170=0,0,MAX($E1171:$AR1171))</f>
        <v/>
      </c>
      <c r="D1170" s="98">
        <f>BDS($A1170,FLD_HIST,"headers=y","startcol=1","endcol=7","dir=h","DVD_START_DT",HIST_FROM,"DVD_END_DT",HIST_TO)</f>
        <v/>
      </c>
      <c r="E1170" s="99" t="n"/>
      <c r="F1170" s="99" t="n"/>
      <c r="G1170" s="99" t="n"/>
      <c r="H1170" s="99" t="n"/>
      <c r="I1170" s="99" t="n"/>
      <c r="J1170" s="99" t="n"/>
      <c r="K1170" s="99" t="n"/>
      <c r="L1170" s="99" t="n"/>
      <c r="M1170" s="99" t="n"/>
      <c r="N1170" s="99" t="n"/>
      <c r="O1170" s="99" t="n"/>
      <c r="P1170" s="99" t="n"/>
      <c r="Q1170" s="99" t="n"/>
      <c r="R1170" s="99" t="n"/>
      <c r="S1170" s="99" t="n"/>
      <c r="T1170" s="99" t="n"/>
      <c r="U1170" s="99" t="n"/>
      <c r="V1170" s="99" t="n"/>
      <c r="W1170" s="99" t="n"/>
      <c r="X1170" s="99" t="n"/>
      <c r="Y1170" s="99" t="n"/>
      <c r="Z1170" s="99" t="n"/>
      <c r="AA1170" s="99" t="n"/>
      <c r="AB1170" s="99" t="n"/>
      <c r="AC1170" s="99" t="n"/>
      <c r="AD1170" s="99" t="n"/>
      <c r="AE1170" s="99" t="n"/>
      <c r="AF1170" s="99" t="n"/>
      <c r="AG1170" s="99" t="n"/>
      <c r="AH1170" s="99" t="n"/>
      <c r="AI1170" s="99" t="n"/>
      <c r="AJ1170" s="99" t="n"/>
      <c r="AK1170" s="99" t="n"/>
      <c r="AL1170" s="99" t="n"/>
      <c r="AM1170" s="99" t="n"/>
      <c r="AN1170" s="99" t="n"/>
      <c r="AO1170" s="99" t="n"/>
      <c r="AP1170" s="99" t="n"/>
      <c r="AQ1170" s="99" t="n"/>
      <c r="AR1170" s="99" t="n"/>
    </row>
    <row r="1171">
      <c r="D1171" s="99" t="n"/>
      <c r="E1171" s="99" t="n"/>
      <c r="F1171" s="99" t="n"/>
      <c r="G1171" s="99" t="n"/>
      <c r="H1171" s="99" t="n"/>
      <c r="I1171" s="99" t="n"/>
      <c r="J1171" s="99" t="n"/>
      <c r="K1171" s="99" t="n"/>
      <c r="L1171" s="99" t="n"/>
      <c r="M1171" s="99" t="n"/>
      <c r="N1171" s="99" t="n"/>
      <c r="O1171" s="99" t="n"/>
      <c r="P1171" s="99" t="n"/>
      <c r="Q1171" s="99" t="n"/>
      <c r="R1171" s="99" t="n"/>
      <c r="S1171" s="99" t="n"/>
      <c r="T1171" s="99" t="n"/>
      <c r="U1171" s="99" t="n"/>
      <c r="V1171" s="99" t="n"/>
      <c r="W1171" s="99" t="n"/>
      <c r="X1171" s="99" t="n"/>
      <c r="Y1171" s="99" t="n"/>
      <c r="Z1171" s="99" t="n"/>
      <c r="AA1171" s="99" t="n"/>
      <c r="AB1171" s="99" t="n"/>
      <c r="AC1171" s="99" t="n"/>
      <c r="AD1171" s="99" t="n"/>
      <c r="AE1171" s="99" t="n"/>
      <c r="AF1171" s="99" t="n"/>
      <c r="AG1171" s="99" t="n"/>
      <c r="AH1171" s="99" t="n"/>
      <c r="AI1171" s="99" t="n"/>
      <c r="AJ1171" s="99" t="n"/>
      <c r="AK1171" s="99" t="n"/>
      <c r="AL1171" s="99" t="n"/>
      <c r="AM1171" s="99" t="n"/>
      <c r="AN1171" s="99" t="n"/>
      <c r="AO1171" s="99" t="n"/>
      <c r="AP1171" s="99" t="n"/>
      <c r="AQ1171" s="99" t="n"/>
      <c r="AR1171" s="99" t="n"/>
    </row>
    <row r="1172">
      <c r="D1172" s="99" t="n"/>
      <c r="E1172" s="99" t="n"/>
      <c r="F1172" s="99" t="n"/>
      <c r="G1172" s="99" t="n"/>
      <c r="H1172" s="99" t="n"/>
      <c r="I1172" s="99" t="n"/>
      <c r="J1172" s="99" t="n"/>
      <c r="K1172" s="99" t="n"/>
      <c r="L1172" s="99" t="n"/>
      <c r="M1172" s="99" t="n"/>
      <c r="N1172" s="99" t="n"/>
      <c r="O1172" s="99" t="n"/>
      <c r="P1172" s="99" t="n"/>
      <c r="Q1172" s="99" t="n"/>
      <c r="R1172" s="99" t="n"/>
      <c r="S1172" s="99" t="n"/>
      <c r="T1172" s="99" t="n"/>
      <c r="U1172" s="99" t="n"/>
      <c r="V1172" s="99" t="n"/>
      <c r="W1172" s="99" t="n"/>
      <c r="X1172" s="99" t="n"/>
      <c r="Y1172" s="99" t="n"/>
      <c r="Z1172" s="99" t="n"/>
      <c r="AA1172" s="99" t="n"/>
      <c r="AB1172" s="99" t="n"/>
      <c r="AC1172" s="99" t="n"/>
      <c r="AD1172" s="99" t="n"/>
      <c r="AE1172" s="99" t="n"/>
      <c r="AF1172" s="99" t="n"/>
      <c r="AG1172" s="99" t="n"/>
      <c r="AH1172" s="99" t="n"/>
      <c r="AI1172" s="99" t="n"/>
      <c r="AJ1172" s="99" t="n"/>
      <c r="AK1172" s="99" t="n"/>
      <c r="AL1172" s="99" t="n"/>
      <c r="AM1172" s="99" t="n"/>
      <c r="AN1172" s="99" t="n"/>
      <c r="AO1172" s="99" t="n"/>
      <c r="AP1172" s="99" t="n"/>
      <c r="AQ1172" s="99" t="n"/>
      <c r="AR1172" s="99" t="n"/>
    </row>
    <row r="1173">
      <c r="D1173" s="99" t="n"/>
      <c r="E1173" s="99" t="n"/>
      <c r="F1173" s="99" t="n"/>
      <c r="G1173" s="99" t="n"/>
      <c r="H1173" s="99" t="n"/>
      <c r="I1173" s="99" t="n"/>
      <c r="J1173" s="99" t="n"/>
      <c r="K1173" s="99" t="n"/>
      <c r="L1173" s="99" t="n"/>
      <c r="M1173" s="99" t="n"/>
      <c r="N1173" s="99" t="n"/>
      <c r="O1173" s="99" t="n"/>
      <c r="P1173" s="99" t="n"/>
      <c r="Q1173" s="99" t="n"/>
      <c r="R1173" s="99" t="n"/>
      <c r="S1173" s="99" t="n"/>
      <c r="T1173" s="99" t="n"/>
      <c r="U1173" s="99" t="n"/>
      <c r="V1173" s="99" t="n"/>
      <c r="W1173" s="99" t="n"/>
      <c r="X1173" s="99" t="n"/>
      <c r="Y1173" s="99" t="n"/>
      <c r="Z1173" s="99" t="n"/>
      <c r="AA1173" s="99" t="n"/>
      <c r="AB1173" s="99" t="n"/>
      <c r="AC1173" s="99" t="n"/>
      <c r="AD1173" s="99" t="n"/>
      <c r="AE1173" s="99" t="n"/>
      <c r="AF1173" s="99" t="n"/>
      <c r="AG1173" s="99" t="n"/>
      <c r="AH1173" s="99" t="n"/>
      <c r="AI1173" s="99" t="n"/>
      <c r="AJ1173" s="99" t="n"/>
      <c r="AK1173" s="99" t="n"/>
      <c r="AL1173" s="99" t="n"/>
      <c r="AM1173" s="99" t="n"/>
      <c r="AN1173" s="99" t="n"/>
      <c r="AO1173" s="99" t="n"/>
      <c r="AP1173" s="99" t="n"/>
      <c r="AQ1173" s="99" t="n"/>
      <c r="AR1173" s="99" t="n"/>
    </row>
    <row r="1174">
      <c r="D1174" s="100" t="n"/>
      <c r="E1174" s="100" t="n"/>
      <c r="F1174" s="100" t="n"/>
      <c r="G1174" s="100" t="n"/>
      <c r="H1174" s="100" t="n"/>
      <c r="I1174" s="100" t="n"/>
      <c r="J1174" s="100" t="n"/>
      <c r="K1174" s="100" t="n"/>
      <c r="L1174" s="100" t="n"/>
      <c r="M1174" s="100" t="n"/>
      <c r="N1174" s="100" t="n"/>
      <c r="O1174" s="100" t="n"/>
      <c r="P1174" s="100" t="n"/>
      <c r="Q1174" s="100" t="n"/>
      <c r="R1174" s="100" t="n"/>
      <c r="S1174" s="100" t="n"/>
      <c r="T1174" s="100" t="n"/>
      <c r="U1174" s="100" t="n"/>
      <c r="V1174" s="100" t="n"/>
      <c r="W1174" s="100" t="n"/>
      <c r="X1174" s="100" t="n"/>
      <c r="Y1174" s="100" t="n"/>
      <c r="Z1174" s="100" t="n"/>
      <c r="AA1174" s="100" t="n"/>
      <c r="AB1174" s="100" t="n"/>
      <c r="AC1174" s="100" t="n"/>
      <c r="AD1174" s="100" t="n"/>
      <c r="AE1174" s="100" t="n"/>
      <c r="AF1174" s="100" t="n"/>
      <c r="AG1174" s="100" t="n"/>
      <c r="AH1174" s="100" t="n"/>
      <c r="AI1174" s="100" t="n"/>
      <c r="AJ1174" s="100" t="n"/>
      <c r="AK1174" s="100" t="n"/>
      <c r="AL1174" s="100" t="n"/>
      <c r="AM1174" s="100" t="n"/>
      <c r="AN1174" s="100" t="n"/>
      <c r="AO1174" s="100" t="n"/>
      <c r="AP1174" s="100" t="n"/>
      <c r="AQ1174" s="100" t="n"/>
      <c r="AR1174" s="100" t="n"/>
    </row>
    <row r="1177">
      <c r="A1177" s="2">
        <f>IF($A1170="","","   projections")</f>
        <v/>
      </c>
      <c r="B1177" s="96">
        <f>IF($A1170="",0,COUNT($E1178:$AR1178))</f>
        <v/>
      </c>
      <c r="C1177" s="97">
        <f>IF($B1177=0,0,MAX($E1178:$AR1178))</f>
        <v/>
      </c>
      <c r="D1177" s="98">
        <f>BDS($A1170,FLD_PROJ,"headers=y","startcol=1","endcol=3","dir=h")</f>
        <v/>
      </c>
      <c r="E1177" s="99" t="n"/>
      <c r="F1177" s="99" t="n"/>
      <c r="G1177" s="99" t="n"/>
      <c r="H1177" s="99" t="n"/>
      <c r="I1177" s="99" t="n"/>
      <c r="J1177" s="99" t="n"/>
      <c r="K1177" s="99" t="n"/>
      <c r="L1177" s="99" t="n"/>
      <c r="M1177" s="99" t="n"/>
      <c r="N1177" s="99" t="n"/>
      <c r="O1177" s="99" t="n"/>
      <c r="P1177" s="99" t="n"/>
      <c r="Q1177" s="99" t="n"/>
      <c r="R1177" s="99" t="n"/>
      <c r="S1177" s="99" t="n"/>
      <c r="T1177" s="99" t="n"/>
      <c r="U1177" s="99" t="n"/>
      <c r="V1177" s="99" t="n"/>
      <c r="W1177" s="99" t="n"/>
      <c r="X1177" s="99" t="n"/>
      <c r="Y1177" s="99" t="n"/>
      <c r="Z1177" s="99" t="n"/>
      <c r="AA1177" s="99" t="n"/>
      <c r="AB1177" s="99" t="n"/>
      <c r="AC1177" s="99" t="n"/>
      <c r="AD1177" s="99" t="n"/>
      <c r="AE1177" s="99" t="n"/>
      <c r="AF1177" s="99" t="n"/>
      <c r="AG1177" s="99" t="n"/>
      <c r="AH1177" s="99" t="n"/>
      <c r="AI1177" s="99" t="n"/>
      <c r="AJ1177" s="99" t="n"/>
      <c r="AK1177" s="99" t="n"/>
      <c r="AL1177" s="99" t="n"/>
      <c r="AM1177" s="99" t="n"/>
      <c r="AN1177" s="99" t="n"/>
      <c r="AO1177" s="99" t="n"/>
      <c r="AP1177" s="99" t="n"/>
      <c r="AQ1177" s="99" t="n"/>
      <c r="AR1177" s="99" t="n"/>
    </row>
    <row r="1178">
      <c r="D1178" s="99" t="n"/>
      <c r="E1178" s="99" t="n"/>
      <c r="F1178" s="99" t="n"/>
      <c r="G1178" s="99" t="n"/>
      <c r="H1178" s="99" t="n"/>
      <c r="I1178" s="99" t="n"/>
      <c r="J1178" s="99" t="n"/>
      <c r="K1178" s="99" t="n"/>
      <c r="L1178" s="99" t="n"/>
      <c r="M1178" s="99" t="n"/>
      <c r="N1178" s="99" t="n"/>
      <c r="O1178" s="99" t="n"/>
      <c r="P1178" s="99" t="n"/>
      <c r="Q1178" s="99" t="n"/>
      <c r="R1178" s="99" t="n"/>
      <c r="S1178" s="99" t="n"/>
      <c r="T1178" s="99" t="n"/>
      <c r="U1178" s="99" t="n"/>
      <c r="V1178" s="99" t="n"/>
      <c r="W1178" s="99" t="n"/>
      <c r="X1178" s="99" t="n"/>
      <c r="Y1178" s="99" t="n"/>
      <c r="Z1178" s="99" t="n"/>
      <c r="AA1178" s="99" t="n"/>
      <c r="AB1178" s="99" t="n"/>
      <c r="AC1178" s="99" t="n"/>
      <c r="AD1178" s="99" t="n"/>
      <c r="AE1178" s="99" t="n"/>
      <c r="AF1178" s="99" t="n"/>
      <c r="AG1178" s="99" t="n"/>
      <c r="AH1178" s="99" t="n"/>
      <c r="AI1178" s="99" t="n"/>
      <c r="AJ1178" s="99" t="n"/>
      <c r="AK1178" s="99" t="n"/>
      <c r="AL1178" s="99" t="n"/>
      <c r="AM1178" s="99" t="n"/>
      <c r="AN1178" s="99" t="n"/>
      <c r="AO1178" s="99" t="n"/>
      <c r="AP1178" s="99" t="n"/>
      <c r="AQ1178" s="99" t="n"/>
      <c r="AR1178" s="99" t="n"/>
    </row>
    <row r="1179">
      <c r="D1179" s="100" t="n"/>
      <c r="E1179" s="100" t="n"/>
      <c r="F1179" s="100" t="n"/>
      <c r="G1179" s="100" t="n"/>
      <c r="H1179" s="100" t="n"/>
      <c r="I1179" s="100" t="n"/>
      <c r="J1179" s="100" t="n"/>
      <c r="K1179" s="100" t="n"/>
      <c r="L1179" s="100" t="n"/>
      <c r="M1179" s="100" t="n"/>
      <c r="N1179" s="100" t="n"/>
      <c r="O1179" s="100" t="n"/>
      <c r="P1179" s="100" t="n"/>
      <c r="Q1179" s="100" t="n"/>
      <c r="R1179" s="100" t="n"/>
      <c r="S1179" s="100" t="n"/>
      <c r="T1179" s="100" t="n"/>
      <c r="U1179" s="100" t="n"/>
      <c r="V1179" s="100" t="n"/>
      <c r="W1179" s="100" t="n"/>
      <c r="X1179" s="100" t="n"/>
      <c r="Y1179" s="100" t="n"/>
      <c r="Z1179" s="100" t="n"/>
      <c r="AA1179" s="100" t="n"/>
      <c r="AB1179" s="100" t="n"/>
      <c r="AC1179" s="100" t="n"/>
      <c r="AD1179" s="100" t="n"/>
      <c r="AE1179" s="100" t="n"/>
      <c r="AF1179" s="100" t="n"/>
      <c r="AG1179" s="100" t="n"/>
      <c r="AH1179" s="100" t="n"/>
      <c r="AI1179" s="100" t="n"/>
      <c r="AJ1179" s="100" t="n"/>
      <c r="AK1179" s="100" t="n"/>
      <c r="AL1179" s="100" t="n"/>
      <c r="AM1179" s="100" t="n"/>
      <c r="AN1179" s="100" t="n"/>
      <c r="AO1179" s="100" t="n"/>
      <c r="AP1179" s="100" t="n"/>
      <c r="AQ1179" s="100" t="n"/>
      <c r="AR1179" s="100" t="n"/>
    </row>
    <row r="1181">
      <c r="A1181" s="6">
        <f>IF(HSTECH!$C$13="","",HSTECH!$C$13)</f>
        <v/>
      </c>
      <c r="B1181" s="96">
        <f>IF($A1181="",0,COUNT($E1182:$AR1182))</f>
        <v/>
      </c>
      <c r="C1181" s="97">
        <f>IF($B1181=0,0,MAX($E1182:$AR1182))</f>
        <v/>
      </c>
      <c r="D1181" s="98">
        <f>BDS($A1181,FLD_HIST,"headers=y","startcol=1","endcol=7","dir=h","DVD_START_DT",HIST_FROM,"DVD_END_DT",HIST_TO)</f>
        <v/>
      </c>
      <c r="E1181" s="99" t="n"/>
      <c r="F1181" s="99" t="n"/>
      <c r="G1181" s="99" t="n"/>
      <c r="H1181" s="99" t="n"/>
      <c r="I1181" s="99" t="n"/>
      <c r="J1181" s="99" t="n"/>
      <c r="K1181" s="99" t="n"/>
      <c r="L1181" s="99" t="n"/>
      <c r="M1181" s="99" t="n"/>
      <c r="N1181" s="99" t="n"/>
      <c r="O1181" s="99" t="n"/>
      <c r="P1181" s="99" t="n"/>
      <c r="Q1181" s="99" t="n"/>
      <c r="R1181" s="99" t="n"/>
      <c r="S1181" s="99" t="n"/>
      <c r="T1181" s="99" t="n"/>
      <c r="U1181" s="99" t="n"/>
      <c r="V1181" s="99" t="n"/>
      <c r="W1181" s="99" t="n"/>
      <c r="X1181" s="99" t="n"/>
      <c r="Y1181" s="99" t="n"/>
      <c r="Z1181" s="99" t="n"/>
      <c r="AA1181" s="99" t="n"/>
      <c r="AB1181" s="99" t="n"/>
      <c r="AC1181" s="99" t="n"/>
      <c r="AD1181" s="99" t="n"/>
      <c r="AE1181" s="99" t="n"/>
      <c r="AF1181" s="99" t="n"/>
      <c r="AG1181" s="99" t="n"/>
      <c r="AH1181" s="99" t="n"/>
      <c r="AI1181" s="99" t="n"/>
      <c r="AJ1181" s="99" t="n"/>
      <c r="AK1181" s="99" t="n"/>
      <c r="AL1181" s="99" t="n"/>
      <c r="AM1181" s="99" t="n"/>
      <c r="AN1181" s="99" t="n"/>
      <c r="AO1181" s="99" t="n"/>
      <c r="AP1181" s="99" t="n"/>
      <c r="AQ1181" s="99" t="n"/>
      <c r="AR1181" s="99" t="n"/>
    </row>
    <row r="1182">
      <c r="D1182" s="99" t="n"/>
      <c r="E1182" s="99" t="n"/>
      <c r="F1182" s="99" t="n"/>
      <c r="G1182" s="99" t="n"/>
      <c r="H1182" s="99" t="n"/>
      <c r="I1182" s="99" t="n"/>
      <c r="J1182" s="99" t="n"/>
      <c r="K1182" s="99" t="n"/>
      <c r="L1182" s="99" t="n"/>
      <c r="M1182" s="99" t="n"/>
      <c r="N1182" s="99" t="n"/>
      <c r="O1182" s="99" t="n"/>
      <c r="P1182" s="99" t="n"/>
      <c r="Q1182" s="99" t="n"/>
      <c r="R1182" s="99" t="n"/>
      <c r="S1182" s="99" t="n"/>
      <c r="T1182" s="99" t="n"/>
      <c r="U1182" s="99" t="n"/>
      <c r="V1182" s="99" t="n"/>
      <c r="W1182" s="99" t="n"/>
      <c r="X1182" s="99" t="n"/>
      <c r="Y1182" s="99" t="n"/>
      <c r="Z1182" s="99" t="n"/>
      <c r="AA1182" s="99" t="n"/>
      <c r="AB1182" s="99" t="n"/>
      <c r="AC1182" s="99" t="n"/>
      <c r="AD1182" s="99" t="n"/>
      <c r="AE1182" s="99" t="n"/>
      <c r="AF1182" s="99" t="n"/>
      <c r="AG1182" s="99" t="n"/>
      <c r="AH1182" s="99" t="n"/>
      <c r="AI1182" s="99" t="n"/>
      <c r="AJ1182" s="99" t="n"/>
      <c r="AK1182" s="99" t="n"/>
      <c r="AL1182" s="99" t="n"/>
      <c r="AM1182" s="99" t="n"/>
      <c r="AN1182" s="99" t="n"/>
      <c r="AO1182" s="99" t="n"/>
      <c r="AP1182" s="99" t="n"/>
      <c r="AQ1182" s="99" t="n"/>
      <c r="AR1182" s="99" t="n"/>
    </row>
    <row r="1183">
      <c r="D1183" s="99" t="n"/>
      <c r="E1183" s="99" t="n"/>
      <c r="F1183" s="99" t="n"/>
      <c r="G1183" s="99" t="n"/>
      <c r="H1183" s="99" t="n"/>
      <c r="I1183" s="99" t="n"/>
      <c r="J1183" s="99" t="n"/>
      <c r="K1183" s="99" t="n"/>
      <c r="L1183" s="99" t="n"/>
      <c r="M1183" s="99" t="n"/>
      <c r="N1183" s="99" t="n"/>
      <c r="O1183" s="99" t="n"/>
      <c r="P1183" s="99" t="n"/>
      <c r="Q1183" s="99" t="n"/>
      <c r="R1183" s="99" t="n"/>
      <c r="S1183" s="99" t="n"/>
      <c r="T1183" s="99" t="n"/>
      <c r="U1183" s="99" t="n"/>
      <c r="V1183" s="99" t="n"/>
      <c r="W1183" s="99" t="n"/>
      <c r="X1183" s="99" t="n"/>
      <c r="Y1183" s="99" t="n"/>
      <c r="Z1183" s="99" t="n"/>
      <c r="AA1183" s="99" t="n"/>
      <c r="AB1183" s="99" t="n"/>
      <c r="AC1183" s="99" t="n"/>
      <c r="AD1183" s="99" t="n"/>
      <c r="AE1183" s="99" t="n"/>
      <c r="AF1183" s="99" t="n"/>
      <c r="AG1183" s="99" t="n"/>
      <c r="AH1183" s="99" t="n"/>
      <c r="AI1183" s="99" t="n"/>
      <c r="AJ1183" s="99" t="n"/>
      <c r="AK1183" s="99" t="n"/>
      <c r="AL1183" s="99" t="n"/>
      <c r="AM1183" s="99" t="n"/>
      <c r="AN1183" s="99" t="n"/>
      <c r="AO1183" s="99" t="n"/>
      <c r="AP1183" s="99" t="n"/>
      <c r="AQ1183" s="99" t="n"/>
      <c r="AR1183" s="99" t="n"/>
    </row>
    <row r="1184">
      <c r="D1184" s="99" t="n"/>
      <c r="E1184" s="99" t="n"/>
      <c r="F1184" s="99" t="n"/>
      <c r="G1184" s="99" t="n"/>
      <c r="H1184" s="99" t="n"/>
      <c r="I1184" s="99" t="n"/>
      <c r="J1184" s="99" t="n"/>
      <c r="K1184" s="99" t="n"/>
      <c r="L1184" s="99" t="n"/>
      <c r="M1184" s="99" t="n"/>
      <c r="N1184" s="99" t="n"/>
      <c r="O1184" s="99" t="n"/>
      <c r="P1184" s="99" t="n"/>
      <c r="Q1184" s="99" t="n"/>
      <c r="R1184" s="99" t="n"/>
      <c r="S1184" s="99" t="n"/>
      <c r="T1184" s="99" t="n"/>
      <c r="U1184" s="99" t="n"/>
      <c r="V1184" s="99" t="n"/>
      <c r="W1184" s="99" t="n"/>
      <c r="X1184" s="99" t="n"/>
      <c r="Y1184" s="99" t="n"/>
      <c r="Z1184" s="99" t="n"/>
      <c r="AA1184" s="99" t="n"/>
      <c r="AB1184" s="99" t="n"/>
      <c r="AC1184" s="99" t="n"/>
      <c r="AD1184" s="99" t="n"/>
      <c r="AE1184" s="99" t="n"/>
      <c r="AF1184" s="99" t="n"/>
      <c r="AG1184" s="99" t="n"/>
      <c r="AH1184" s="99" t="n"/>
      <c r="AI1184" s="99" t="n"/>
      <c r="AJ1184" s="99" t="n"/>
      <c r="AK1184" s="99" t="n"/>
      <c r="AL1184" s="99" t="n"/>
      <c r="AM1184" s="99" t="n"/>
      <c r="AN1184" s="99" t="n"/>
      <c r="AO1184" s="99" t="n"/>
      <c r="AP1184" s="99" t="n"/>
      <c r="AQ1184" s="99" t="n"/>
      <c r="AR1184" s="99" t="n"/>
    </row>
    <row r="1185">
      <c r="D1185" s="100" t="n"/>
      <c r="E1185" s="100" t="n"/>
      <c r="F1185" s="100" t="n"/>
      <c r="G1185" s="100" t="n"/>
      <c r="H1185" s="100" t="n"/>
      <c r="I1185" s="100" t="n"/>
      <c r="J1185" s="100" t="n"/>
      <c r="K1185" s="100" t="n"/>
      <c r="L1185" s="100" t="n"/>
      <c r="M1185" s="100" t="n"/>
      <c r="N1185" s="100" t="n"/>
      <c r="O1185" s="100" t="n"/>
      <c r="P1185" s="100" t="n"/>
      <c r="Q1185" s="100" t="n"/>
      <c r="R1185" s="100" t="n"/>
      <c r="S1185" s="100" t="n"/>
      <c r="T1185" s="100" t="n"/>
      <c r="U1185" s="100" t="n"/>
      <c r="V1185" s="100" t="n"/>
      <c r="W1185" s="100" t="n"/>
      <c r="X1185" s="100" t="n"/>
      <c r="Y1185" s="100" t="n"/>
      <c r="Z1185" s="100" t="n"/>
      <c r="AA1185" s="100" t="n"/>
      <c r="AB1185" s="100" t="n"/>
      <c r="AC1185" s="100" t="n"/>
      <c r="AD1185" s="100" t="n"/>
      <c r="AE1185" s="100" t="n"/>
      <c r="AF1185" s="100" t="n"/>
      <c r="AG1185" s="100" t="n"/>
      <c r="AH1185" s="100" t="n"/>
      <c r="AI1185" s="100" t="n"/>
      <c r="AJ1185" s="100" t="n"/>
      <c r="AK1185" s="100" t="n"/>
      <c r="AL1185" s="100" t="n"/>
      <c r="AM1185" s="100" t="n"/>
      <c r="AN1185" s="100" t="n"/>
      <c r="AO1185" s="100" t="n"/>
      <c r="AP1185" s="100" t="n"/>
      <c r="AQ1185" s="100" t="n"/>
      <c r="AR1185" s="100" t="n"/>
    </row>
    <row r="1188">
      <c r="A1188" s="2">
        <f>IF($A1181="","","   projections")</f>
        <v/>
      </c>
      <c r="B1188" s="96">
        <f>IF($A1181="",0,COUNT($E1189:$AR1189))</f>
        <v/>
      </c>
      <c r="C1188" s="97">
        <f>IF($B1188=0,0,MAX($E1189:$AR1189))</f>
        <v/>
      </c>
      <c r="D1188" s="98">
        <f>BDS($A1181,FLD_PROJ,"headers=y","startcol=1","endcol=3","dir=h")</f>
        <v/>
      </c>
      <c r="E1188" s="99" t="n"/>
      <c r="F1188" s="99" t="n"/>
      <c r="G1188" s="99" t="n"/>
      <c r="H1188" s="99" t="n"/>
      <c r="I1188" s="99" t="n"/>
      <c r="J1188" s="99" t="n"/>
      <c r="K1188" s="99" t="n"/>
      <c r="L1188" s="99" t="n"/>
      <c r="M1188" s="99" t="n"/>
      <c r="N1188" s="99" t="n"/>
      <c r="O1188" s="99" t="n"/>
      <c r="P1188" s="99" t="n"/>
      <c r="Q1188" s="99" t="n"/>
      <c r="R1188" s="99" t="n"/>
      <c r="S1188" s="99" t="n"/>
      <c r="T1188" s="99" t="n"/>
      <c r="U1188" s="99" t="n"/>
      <c r="V1188" s="99" t="n"/>
      <c r="W1188" s="99" t="n"/>
      <c r="X1188" s="99" t="n"/>
      <c r="Y1188" s="99" t="n"/>
      <c r="Z1188" s="99" t="n"/>
      <c r="AA1188" s="99" t="n"/>
      <c r="AB1188" s="99" t="n"/>
      <c r="AC1188" s="99" t="n"/>
      <c r="AD1188" s="99" t="n"/>
      <c r="AE1188" s="99" t="n"/>
      <c r="AF1188" s="99" t="n"/>
      <c r="AG1188" s="99" t="n"/>
      <c r="AH1188" s="99" t="n"/>
      <c r="AI1188" s="99" t="n"/>
      <c r="AJ1188" s="99" t="n"/>
      <c r="AK1188" s="99" t="n"/>
      <c r="AL1188" s="99" t="n"/>
      <c r="AM1188" s="99" t="n"/>
      <c r="AN1188" s="99" t="n"/>
      <c r="AO1188" s="99" t="n"/>
      <c r="AP1188" s="99" t="n"/>
      <c r="AQ1188" s="99" t="n"/>
      <c r="AR1188" s="99" t="n"/>
    </row>
    <row r="1189">
      <c r="D1189" s="99" t="n"/>
      <c r="E1189" s="99" t="n"/>
      <c r="F1189" s="99" t="n"/>
      <c r="G1189" s="99" t="n"/>
      <c r="H1189" s="99" t="n"/>
      <c r="I1189" s="99" t="n"/>
      <c r="J1189" s="99" t="n"/>
      <c r="K1189" s="99" t="n"/>
      <c r="L1189" s="99" t="n"/>
      <c r="M1189" s="99" t="n"/>
      <c r="N1189" s="99" t="n"/>
      <c r="O1189" s="99" t="n"/>
      <c r="P1189" s="99" t="n"/>
      <c r="Q1189" s="99" t="n"/>
      <c r="R1189" s="99" t="n"/>
      <c r="S1189" s="99" t="n"/>
      <c r="T1189" s="99" t="n"/>
      <c r="U1189" s="99" t="n"/>
      <c r="V1189" s="99" t="n"/>
      <c r="W1189" s="99" t="n"/>
      <c r="X1189" s="99" t="n"/>
      <c r="Y1189" s="99" t="n"/>
      <c r="Z1189" s="99" t="n"/>
      <c r="AA1189" s="99" t="n"/>
      <c r="AB1189" s="99" t="n"/>
      <c r="AC1189" s="99" t="n"/>
      <c r="AD1189" s="99" t="n"/>
      <c r="AE1189" s="99" t="n"/>
      <c r="AF1189" s="99" t="n"/>
      <c r="AG1189" s="99" t="n"/>
      <c r="AH1189" s="99" t="n"/>
      <c r="AI1189" s="99" t="n"/>
      <c r="AJ1189" s="99" t="n"/>
      <c r="AK1189" s="99" t="n"/>
      <c r="AL1189" s="99" t="n"/>
      <c r="AM1189" s="99" t="n"/>
      <c r="AN1189" s="99" t="n"/>
      <c r="AO1189" s="99" t="n"/>
      <c r="AP1189" s="99" t="n"/>
      <c r="AQ1189" s="99" t="n"/>
      <c r="AR1189" s="99" t="n"/>
    </row>
    <row r="1190">
      <c r="D1190" s="100" t="n"/>
      <c r="E1190" s="100" t="n"/>
      <c r="F1190" s="100" t="n"/>
      <c r="G1190" s="100" t="n"/>
      <c r="H1190" s="100" t="n"/>
      <c r="I1190" s="100" t="n"/>
      <c r="J1190" s="100" t="n"/>
      <c r="K1190" s="100" t="n"/>
      <c r="L1190" s="100" t="n"/>
      <c r="M1190" s="100" t="n"/>
      <c r="N1190" s="100" t="n"/>
      <c r="O1190" s="100" t="n"/>
      <c r="P1190" s="100" t="n"/>
      <c r="Q1190" s="100" t="n"/>
      <c r="R1190" s="100" t="n"/>
      <c r="S1190" s="100" t="n"/>
      <c r="T1190" s="100" t="n"/>
      <c r="U1190" s="100" t="n"/>
      <c r="V1190" s="100" t="n"/>
      <c r="W1190" s="100" t="n"/>
      <c r="X1190" s="100" t="n"/>
      <c r="Y1190" s="100" t="n"/>
      <c r="Z1190" s="100" t="n"/>
      <c r="AA1190" s="100" t="n"/>
      <c r="AB1190" s="100" t="n"/>
      <c r="AC1190" s="100" t="n"/>
      <c r="AD1190" s="100" t="n"/>
      <c r="AE1190" s="100" t="n"/>
      <c r="AF1190" s="100" t="n"/>
      <c r="AG1190" s="100" t="n"/>
      <c r="AH1190" s="100" t="n"/>
      <c r="AI1190" s="100" t="n"/>
      <c r="AJ1190" s="100" t="n"/>
      <c r="AK1190" s="100" t="n"/>
      <c r="AL1190" s="100" t="n"/>
      <c r="AM1190" s="100" t="n"/>
      <c r="AN1190" s="100" t="n"/>
      <c r="AO1190" s="100" t="n"/>
      <c r="AP1190" s="100" t="n"/>
      <c r="AQ1190" s="100" t="n"/>
      <c r="AR1190" s="100" t="n"/>
    </row>
    <row r="1192">
      <c r="A1192" s="6">
        <f>IF(HSTECH!$C$14="","",HSTECH!$C$14)</f>
        <v/>
      </c>
      <c r="B1192" s="96">
        <f>IF($A1192="",0,COUNT($E1193:$AR1193))</f>
        <v/>
      </c>
      <c r="C1192" s="97">
        <f>IF($B1192=0,0,MAX($E1193:$AR1193))</f>
        <v/>
      </c>
      <c r="D1192" s="98">
        <f>BDS($A1192,FLD_HIST,"headers=y","startcol=1","endcol=7","dir=h","DVD_START_DT",HIST_FROM,"DVD_END_DT",HIST_TO)</f>
        <v/>
      </c>
      <c r="E1192" s="99" t="n"/>
      <c r="F1192" s="99" t="n"/>
      <c r="G1192" s="99" t="n"/>
      <c r="H1192" s="99" t="n"/>
      <c r="I1192" s="99" t="n"/>
      <c r="J1192" s="99" t="n"/>
      <c r="K1192" s="99" t="n"/>
      <c r="L1192" s="99" t="n"/>
      <c r="M1192" s="99" t="n"/>
      <c r="N1192" s="99" t="n"/>
      <c r="O1192" s="99" t="n"/>
      <c r="P1192" s="99" t="n"/>
      <c r="Q1192" s="99" t="n"/>
      <c r="R1192" s="99" t="n"/>
      <c r="S1192" s="99" t="n"/>
      <c r="T1192" s="99" t="n"/>
      <c r="U1192" s="99" t="n"/>
      <c r="V1192" s="99" t="n"/>
      <c r="W1192" s="99" t="n"/>
      <c r="X1192" s="99" t="n"/>
      <c r="Y1192" s="99" t="n"/>
      <c r="Z1192" s="99" t="n"/>
      <c r="AA1192" s="99" t="n"/>
      <c r="AB1192" s="99" t="n"/>
      <c r="AC1192" s="99" t="n"/>
      <c r="AD1192" s="99" t="n"/>
      <c r="AE1192" s="99" t="n"/>
      <c r="AF1192" s="99" t="n"/>
      <c r="AG1192" s="99" t="n"/>
      <c r="AH1192" s="99" t="n"/>
      <c r="AI1192" s="99" t="n"/>
      <c r="AJ1192" s="99" t="n"/>
      <c r="AK1192" s="99" t="n"/>
      <c r="AL1192" s="99" t="n"/>
      <c r="AM1192" s="99" t="n"/>
      <c r="AN1192" s="99" t="n"/>
      <c r="AO1192" s="99" t="n"/>
      <c r="AP1192" s="99" t="n"/>
      <c r="AQ1192" s="99" t="n"/>
      <c r="AR1192" s="99" t="n"/>
    </row>
    <row r="1193">
      <c r="D1193" s="99" t="n"/>
      <c r="E1193" s="99" t="n"/>
      <c r="F1193" s="99" t="n"/>
      <c r="G1193" s="99" t="n"/>
      <c r="H1193" s="99" t="n"/>
      <c r="I1193" s="99" t="n"/>
      <c r="J1193" s="99" t="n"/>
      <c r="K1193" s="99" t="n"/>
      <c r="L1193" s="99" t="n"/>
      <c r="M1193" s="99" t="n"/>
      <c r="N1193" s="99" t="n"/>
      <c r="O1193" s="99" t="n"/>
      <c r="P1193" s="99" t="n"/>
      <c r="Q1193" s="99" t="n"/>
      <c r="R1193" s="99" t="n"/>
      <c r="S1193" s="99" t="n"/>
      <c r="T1193" s="99" t="n"/>
      <c r="U1193" s="99" t="n"/>
      <c r="V1193" s="99" t="n"/>
      <c r="W1193" s="99" t="n"/>
      <c r="X1193" s="99" t="n"/>
      <c r="Y1193" s="99" t="n"/>
      <c r="Z1193" s="99" t="n"/>
      <c r="AA1193" s="99" t="n"/>
      <c r="AB1193" s="99" t="n"/>
      <c r="AC1193" s="99" t="n"/>
      <c r="AD1193" s="99" t="n"/>
      <c r="AE1193" s="99" t="n"/>
      <c r="AF1193" s="99" t="n"/>
      <c r="AG1193" s="99" t="n"/>
      <c r="AH1193" s="99" t="n"/>
      <c r="AI1193" s="99" t="n"/>
      <c r="AJ1193" s="99" t="n"/>
      <c r="AK1193" s="99" t="n"/>
      <c r="AL1193" s="99" t="n"/>
      <c r="AM1193" s="99" t="n"/>
      <c r="AN1193" s="99" t="n"/>
      <c r="AO1193" s="99" t="n"/>
      <c r="AP1193" s="99" t="n"/>
      <c r="AQ1193" s="99" t="n"/>
      <c r="AR1193" s="99" t="n"/>
    </row>
    <row r="1194">
      <c r="D1194" s="99" t="n"/>
      <c r="E1194" s="99" t="n"/>
      <c r="F1194" s="99" t="n"/>
      <c r="G1194" s="99" t="n"/>
      <c r="H1194" s="99" t="n"/>
      <c r="I1194" s="99" t="n"/>
      <c r="J1194" s="99" t="n"/>
      <c r="K1194" s="99" t="n"/>
      <c r="L1194" s="99" t="n"/>
      <c r="M1194" s="99" t="n"/>
      <c r="N1194" s="99" t="n"/>
      <c r="O1194" s="99" t="n"/>
      <c r="P1194" s="99" t="n"/>
      <c r="Q1194" s="99" t="n"/>
      <c r="R1194" s="99" t="n"/>
      <c r="S1194" s="99" t="n"/>
      <c r="T1194" s="99" t="n"/>
      <c r="U1194" s="99" t="n"/>
      <c r="V1194" s="99" t="n"/>
      <c r="W1194" s="99" t="n"/>
      <c r="X1194" s="99" t="n"/>
      <c r="Y1194" s="99" t="n"/>
      <c r="Z1194" s="99" t="n"/>
      <c r="AA1194" s="99" t="n"/>
      <c r="AB1194" s="99" t="n"/>
      <c r="AC1194" s="99" t="n"/>
      <c r="AD1194" s="99" t="n"/>
      <c r="AE1194" s="99" t="n"/>
      <c r="AF1194" s="99" t="n"/>
      <c r="AG1194" s="99" t="n"/>
      <c r="AH1194" s="99" t="n"/>
      <c r="AI1194" s="99" t="n"/>
      <c r="AJ1194" s="99" t="n"/>
      <c r="AK1194" s="99" t="n"/>
      <c r="AL1194" s="99" t="n"/>
      <c r="AM1194" s="99" t="n"/>
      <c r="AN1194" s="99" t="n"/>
      <c r="AO1194" s="99" t="n"/>
      <c r="AP1194" s="99" t="n"/>
      <c r="AQ1194" s="99" t="n"/>
      <c r="AR1194" s="99" t="n"/>
    </row>
    <row r="1195">
      <c r="D1195" s="99" t="n"/>
      <c r="E1195" s="99" t="n"/>
      <c r="F1195" s="99" t="n"/>
      <c r="G1195" s="99" t="n"/>
      <c r="H1195" s="99" t="n"/>
      <c r="I1195" s="99" t="n"/>
      <c r="J1195" s="99" t="n"/>
      <c r="K1195" s="99" t="n"/>
      <c r="L1195" s="99" t="n"/>
      <c r="M1195" s="99" t="n"/>
      <c r="N1195" s="99" t="n"/>
      <c r="O1195" s="99" t="n"/>
      <c r="P1195" s="99" t="n"/>
      <c r="Q1195" s="99" t="n"/>
      <c r="R1195" s="99" t="n"/>
      <c r="S1195" s="99" t="n"/>
      <c r="T1195" s="99" t="n"/>
      <c r="U1195" s="99" t="n"/>
      <c r="V1195" s="99" t="n"/>
      <c r="W1195" s="99" t="n"/>
      <c r="X1195" s="99" t="n"/>
      <c r="Y1195" s="99" t="n"/>
      <c r="Z1195" s="99" t="n"/>
      <c r="AA1195" s="99" t="n"/>
      <c r="AB1195" s="99" t="n"/>
      <c r="AC1195" s="99" t="n"/>
      <c r="AD1195" s="99" t="n"/>
      <c r="AE1195" s="99" t="n"/>
      <c r="AF1195" s="99" t="n"/>
      <c r="AG1195" s="99" t="n"/>
      <c r="AH1195" s="99" t="n"/>
      <c r="AI1195" s="99" t="n"/>
      <c r="AJ1195" s="99" t="n"/>
      <c r="AK1195" s="99" t="n"/>
      <c r="AL1195" s="99" t="n"/>
      <c r="AM1195" s="99" t="n"/>
      <c r="AN1195" s="99" t="n"/>
      <c r="AO1195" s="99" t="n"/>
      <c r="AP1195" s="99" t="n"/>
      <c r="AQ1195" s="99" t="n"/>
      <c r="AR1195" s="99" t="n"/>
    </row>
    <row r="1196">
      <c r="D1196" s="100" t="n"/>
      <c r="E1196" s="100" t="n"/>
      <c r="F1196" s="100" t="n"/>
      <c r="G1196" s="100" t="n"/>
      <c r="H1196" s="100" t="n"/>
      <c r="I1196" s="100" t="n"/>
      <c r="J1196" s="100" t="n"/>
      <c r="K1196" s="100" t="n"/>
      <c r="L1196" s="100" t="n"/>
      <c r="M1196" s="100" t="n"/>
      <c r="N1196" s="100" t="n"/>
      <c r="O1196" s="100" t="n"/>
      <c r="P1196" s="100" t="n"/>
      <c r="Q1196" s="100" t="n"/>
      <c r="R1196" s="100" t="n"/>
      <c r="S1196" s="100" t="n"/>
      <c r="T1196" s="100" t="n"/>
      <c r="U1196" s="100" t="n"/>
      <c r="V1196" s="100" t="n"/>
      <c r="W1196" s="100" t="n"/>
      <c r="X1196" s="100" t="n"/>
      <c r="Y1196" s="100" t="n"/>
      <c r="Z1196" s="100" t="n"/>
      <c r="AA1196" s="100" t="n"/>
      <c r="AB1196" s="100" t="n"/>
      <c r="AC1196" s="100" t="n"/>
      <c r="AD1196" s="100" t="n"/>
      <c r="AE1196" s="100" t="n"/>
      <c r="AF1196" s="100" t="n"/>
      <c r="AG1196" s="100" t="n"/>
      <c r="AH1196" s="100" t="n"/>
      <c r="AI1196" s="100" t="n"/>
      <c r="AJ1196" s="100" t="n"/>
      <c r="AK1196" s="100" t="n"/>
      <c r="AL1196" s="100" t="n"/>
      <c r="AM1196" s="100" t="n"/>
      <c r="AN1196" s="100" t="n"/>
      <c r="AO1196" s="100" t="n"/>
      <c r="AP1196" s="100" t="n"/>
      <c r="AQ1196" s="100" t="n"/>
      <c r="AR1196" s="100" t="n"/>
    </row>
    <row r="1199">
      <c r="A1199" s="2">
        <f>IF($A1192="","","   projections")</f>
        <v/>
      </c>
      <c r="B1199" s="96">
        <f>IF($A1192="",0,COUNT($E1200:$AR1200))</f>
        <v/>
      </c>
      <c r="C1199" s="97">
        <f>IF($B1199=0,0,MAX($E1200:$AR1200))</f>
        <v/>
      </c>
      <c r="D1199" s="98">
        <f>BDS($A1192,FLD_PROJ,"headers=y","startcol=1","endcol=3","dir=h")</f>
        <v/>
      </c>
      <c r="E1199" s="99" t="n"/>
      <c r="F1199" s="99" t="n"/>
      <c r="G1199" s="99" t="n"/>
      <c r="H1199" s="99" t="n"/>
      <c r="I1199" s="99" t="n"/>
      <c r="J1199" s="99" t="n"/>
      <c r="K1199" s="99" t="n"/>
      <c r="L1199" s="99" t="n"/>
      <c r="M1199" s="99" t="n"/>
      <c r="N1199" s="99" t="n"/>
      <c r="O1199" s="99" t="n"/>
      <c r="P1199" s="99" t="n"/>
      <c r="Q1199" s="99" t="n"/>
      <c r="R1199" s="99" t="n"/>
      <c r="S1199" s="99" t="n"/>
      <c r="T1199" s="99" t="n"/>
      <c r="U1199" s="99" t="n"/>
      <c r="V1199" s="99" t="n"/>
      <c r="W1199" s="99" t="n"/>
      <c r="X1199" s="99" t="n"/>
      <c r="Y1199" s="99" t="n"/>
      <c r="Z1199" s="99" t="n"/>
      <c r="AA1199" s="99" t="n"/>
      <c r="AB1199" s="99" t="n"/>
      <c r="AC1199" s="99" t="n"/>
      <c r="AD1199" s="99" t="n"/>
      <c r="AE1199" s="99" t="n"/>
      <c r="AF1199" s="99" t="n"/>
      <c r="AG1199" s="99" t="n"/>
      <c r="AH1199" s="99" t="n"/>
      <c r="AI1199" s="99" t="n"/>
      <c r="AJ1199" s="99" t="n"/>
      <c r="AK1199" s="99" t="n"/>
      <c r="AL1199" s="99" t="n"/>
      <c r="AM1199" s="99" t="n"/>
      <c r="AN1199" s="99" t="n"/>
      <c r="AO1199" s="99" t="n"/>
      <c r="AP1199" s="99" t="n"/>
      <c r="AQ1199" s="99" t="n"/>
      <c r="AR1199" s="99" t="n"/>
    </row>
    <row r="1200">
      <c r="D1200" s="99" t="n"/>
      <c r="E1200" s="99" t="n"/>
      <c r="F1200" s="99" t="n"/>
      <c r="G1200" s="99" t="n"/>
      <c r="H1200" s="99" t="n"/>
      <c r="I1200" s="99" t="n"/>
      <c r="J1200" s="99" t="n"/>
      <c r="K1200" s="99" t="n"/>
      <c r="L1200" s="99" t="n"/>
      <c r="M1200" s="99" t="n"/>
      <c r="N1200" s="99" t="n"/>
      <c r="O1200" s="99" t="n"/>
      <c r="P1200" s="99" t="n"/>
      <c r="Q1200" s="99" t="n"/>
      <c r="R1200" s="99" t="n"/>
      <c r="S1200" s="99" t="n"/>
      <c r="T1200" s="99" t="n"/>
      <c r="U1200" s="99" t="n"/>
      <c r="V1200" s="99" t="n"/>
      <c r="W1200" s="99" t="n"/>
      <c r="X1200" s="99" t="n"/>
      <c r="Y1200" s="99" t="n"/>
      <c r="Z1200" s="99" t="n"/>
      <c r="AA1200" s="99" t="n"/>
      <c r="AB1200" s="99" t="n"/>
      <c r="AC1200" s="99" t="n"/>
      <c r="AD1200" s="99" t="n"/>
      <c r="AE1200" s="99" t="n"/>
      <c r="AF1200" s="99" t="n"/>
      <c r="AG1200" s="99" t="n"/>
      <c r="AH1200" s="99" t="n"/>
      <c r="AI1200" s="99" t="n"/>
      <c r="AJ1200" s="99" t="n"/>
      <c r="AK1200" s="99" t="n"/>
      <c r="AL1200" s="99" t="n"/>
      <c r="AM1200" s="99" t="n"/>
      <c r="AN1200" s="99" t="n"/>
      <c r="AO1200" s="99" t="n"/>
      <c r="AP1200" s="99" t="n"/>
      <c r="AQ1200" s="99" t="n"/>
      <c r="AR1200" s="99" t="n"/>
    </row>
    <row r="1201">
      <c r="D1201" s="100" t="n"/>
      <c r="E1201" s="100" t="n"/>
      <c r="F1201" s="100" t="n"/>
      <c r="G1201" s="100" t="n"/>
      <c r="H1201" s="100" t="n"/>
      <c r="I1201" s="100" t="n"/>
      <c r="J1201" s="100" t="n"/>
      <c r="K1201" s="100" t="n"/>
      <c r="L1201" s="100" t="n"/>
      <c r="M1201" s="100" t="n"/>
      <c r="N1201" s="100" t="n"/>
      <c r="O1201" s="100" t="n"/>
      <c r="P1201" s="100" t="n"/>
      <c r="Q1201" s="100" t="n"/>
      <c r="R1201" s="100" t="n"/>
      <c r="S1201" s="100" t="n"/>
      <c r="T1201" s="100" t="n"/>
      <c r="U1201" s="100" t="n"/>
      <c r="V1201" s="100" t="n"/>
      <c r="W1201" s="100" t="n"/>
      <c r="X1201" s="100" t="n"/>
      <c r="Y1201" s="100" t="n"/>
      <c r="Z1201" s="100" t="n"/>
      <c r="AA1201" s="100" t="n"/>
      <c r="AB1201" s="100" t="n"/>
      <c r="AC1201" s="100" t="n"/>
      <c r="AD1201" s="100" t="n"/>
      <c r="AE1201" s="100" t="n"/>
      <c r="AF1201" s="100" t="n"/>
      <c r="AG1201" s="100" t="n"/>
      <c r="AH1201" s="100" t="n"/>
      <c r="AI1201" s="100" t="n"/>
      <c r="AJ1201" s="100" t="n"/>
      <c r="AK1201" s="100" t="n"/>
      <c r="AL1201" s="100" t="n"/>
      <c r="AM1201" s="100" t="n"/>
      <c r="AN1201" s="100" t="n"/>
      <c r="AO1201" s="100" t="n"/>
      <c r="AP1201" s="100" t="n"/>
      <c r="AQ1201" s="100" t="n"/>
      <c r="AR1201" s="100" t="n"/>
    </row>
    <row r="1203">
      <c r="A1203" s="6">
        <f>IF(HSTECH!$C$15="","",HSTECH!$C$15)</f>
        <v/>
      </c>
      <c r="B1203" s="96">
        <f>IF($A1203="",0,COUNT($E1204:$AR1204))</f>
        <v/>
      </c>
      <c r="C1203" s="97">
        <f>IF($B1203=0,0,MAX($E1204:$AR1204))</f>
        <v/>
      </c>
      <c r="D1203" s="98">
        <f>BDS($A1203,FLD_HIST,"headers=y","startcol=1","endcol=7","dir=h","DVD_START_DT",HIST_FROM,"DVD_END_DT",HIST_TO)</f>
        <v/>
      </c>
      <c r="E1203" s="99" t="n"/>
      <c r="F1203" s="99" t="n"/>
      <c r="G1203" s="99" t="n"/>
      <c r="H1203" s="99" t="n"/>
      <c r="I1203" s="99" t="n"/>
      <c r="J1203" s="99" t="n"/>
      <c r="K1203" s="99" t="n"/>
      <c r="L1203" s="99" t="n"/>
      <c r="M1203" s="99" t="n"/>
      <c r="N1203" s="99" t="n"/>
      <c r="O1203" s="99" t="n"/>
      <c r="P1203" s="99" t="n"/>
      <c r="Q1203" s="99" t="n"/>
      <c r="R1203" s="99" t="n"/>
      <c r="S1203" s="99" t="n"/>
      <c r="T1203" s="99" t="n"/>
      <c r="U1203" s="99" t="n"/>
      <c r="V1203" s="99" t="n"/>
      <c r="W1203" s="99" t="n"/>
      <c r="X1203" s="99" t="n"/>
      <c r="Y1203" s="99" t="n"/>
      <c r="Z1203" s="99" t="n"/>
      <c r="AA1203" s="99" t="n"/>
      <c r="AB1203" s="99" t="n"/>
      <c r="AC1203" s="99" t="n"/>
      <c r="AD1203" s="99" t="n"/>
      <c r="AE1203" s="99" t="n"/>
      <c r="AF1203" s="99" t="n"/>
      <c r="AG1203" s="99" t="n"/>
      <c r="AH1203" s="99" t="n"/>
      <c r="AI1203" s="99" t="n"/>
      <c r="AJ1203" s="99" t="n"/>
      <c r="AK1203" s="99" t="n"/>
      <c r="AL1203" s="99" t="n"/>
      <c r="AM1203" s="99" t="n"/>
      <c r="AN1203" s="99" t="n"/>
      <c r="AO1203" s="99" t="n"/>
      <c r="AP1203" s="99" t="n"/>
      <c r="AQ1203" s="99" t="n"/>
      <c r="AR1203" s="99" t="n"/>
    </row>
    <row r="1204">
      <c r="D1204" s="99" t="n"/>
      <c r="E1204" s="99" t="n"/>
      <c r="F1204" s="99" t="n"/>
      <c r="G1204" s="99" t="n"/>
      <c r="H1204" s="99" t="n"/>
      <c r="I1204" s="99" t="n"/>
      <c r="J1204" s="99" t="n"/>
      <c r="K1204" s="99" t="n"/>
      <c r="L1204" s="99" t="n"/>
      <c r="M1204" s="99" t="n"/>
      <c r="N1204" s="99" t="n"/>
      <c r="O1204" s="99" t="n"/>
      <c r="P1204" s="99" t="n"/>
      <c r="Q1204" s="99" t="n"/>
      <c r="R1204" s="99" t="n"/>
      <c r="S1204" s="99" t="n"/>
      <c r="T1204" s="99" t="n"/>
      <c r="U1204" s="99" t="n"/>
      <c r="V1204" s="99" t="n"/>
      <c r="W1204" s="99" t="n"/>
      <c r="X1204" s="99" t="n"/>
      <c r="Y1204" s="99" t="n"/>
      <c r="Z1204" s="99" t="n"/>
      <c r="AA1204" s="99" t="n"/>
      <c r="AB1204" s="99" t="n"/>
      <c r="AC1204" s="99" t="n"/>
      <c r="AD1204" s="99" t="n"/>
      <c r="AE1204" s="99" t="n"/>
      <c r="AF1204" s="99" t="n"/>
      <c r="AG1204" s="99" t="n"/>
      <c r="AH1204" s="99" t="n"/>
      <c r="AI1204" s="99" t="n"/>
      <c r="AJ1204" s="99" t="n"/>
      <c r="AK1204" s="99" t="n"/>
      <c r="AL1204" s="99" t="n"/>
      <c r="AM1204" s="99" t="n"/>
      <c r="AN1204" s="99" t="n"/>
      <c r="AO1204" s="99" t="n"/>
      <c r="AP1204" s="99" t="n"/>
      <c r="AQ1204" s="99" t="n"/>
      <c r="AR1204" s="99" t="n"/>
    </row>
    <row r="1205">
      <c r="D1205" s="99" t="n"/>
      <c r="E1205" s="99" t="n"/>
      <c r="F1205" s="99" t="n"/>
      <c r="G1205" s="99" t="n"/>
      <c r="H1205" s="99" t="n"/>
      <c r="I1205" s="99" t="n"/>
      <c r="J1205" s="99" t="n"/>
      <c r="K1205" s="99" t="n"/>
      <c r="L1205" s="99" t="n"/>
      <c r="M1205" s="99" t="n"/>
      <c r="N1205" s="99" t="n"/>
      <c r="O1205" s="99" t="n"/>
      <c r="P1205" s="99" t="n"/>
      <c r="Q1205" s="99" t="n"/>
      <c r="R1205" s="99" t="n"/>
      <c r="S1205" s="99" t="n"/>
      <c r="T1205" s="99" t="n"/>
      <c r="U1205" s="99" t="n"/>
      <c r="V1205" s="99" t="n"/>
      <c r="W1205" s="99" t="n"/>
      <c r="X1205" s="99" t="n"/>
      <c r="Y1205" s="99" t="n"/>
      <c r="Z1205" s="99" t="n"/>
      <c r="AA1205" s="99" t="n"/>
      <c r="AB1205" s="99" t="n"/>
      <c r="AC1205" s="99" t="n"/>
      <c r="AD1205" s="99" t="n"/>
      <c r="AE1205" s="99" t="n"/>
      <c r="AF1205" s="99" t="n"/>
      <c r="AG1205" s="99" t="n"/>
      <c r="AH1205" s="99" t="n"/>
      <c r="AI1205" s="99" t="n"/>
      <c r="AJ1205" s="99" t="n"/>
      <c r="AK1205" s="99" t="n"/>
      <c r="AL1205" s="99" t="n"/>
      <c r="AM1205" s="99" t="n"/>
      <c r="AN1205" s="99" t="n"/>
      <c r="AO1205" s="99" t="n"/>
      <c r="AP1205" s="99" t="n"/>
      <c r="AQ1205" s="99" t="n"/>
      <c r="AR1205" s="99" t="n"/>
    </row>
    <row r="1206">
      <c r="D1206" s="99" t="n"/>
      <c r="E1206" s="99" t="n"/>
      <c r="F1206" s="99" t="n"/>
      <c r="G1206" s="99" t="n"/>
      <c r="H1206" s="99" t="n"/>
      <c r="I1206" s="99" t="n"/>
      <c r="J1206" s="99" t="n"/>
      <c r="K1206" s="99" t="n"/>
      <c r="L1206" s="99" t="n"/>
      <c r="M1206" s="99" t="n"/>
      <c r="N1206" s="99" t="n"/>
      <c r="O1206" s="99" t="n"/>
      <c r="P1206" s="99" t="n"/>
      <c r="Q1206" s="99" t="n"/>
      <c r="R1206" s="99" t="n"/>
      <c r="S1206" s="99" t="n"/>
      <c r="T1206" s="99" t="n"/>
      <c r="U1206" s="99" t="n"/>
      <c r="V1206" s="99" t="n"/>
      <c r="W1206" s="99" t="n"/>
      <c r="X1206" s="99" t="n"/>
      <c r="Y1206" s="99" t="n"/>
      <c r="Z1206" s="99" t="n"/>
      <c r="AA1206" s="99" t="n"/>
      <c r="AB1206" s="99" t="n"/>
      <c r="AC1206" s="99" t="n"/>
      <c r="AD1206" s="99" t="n"/>
      <c r="AE1206" s="99" t="n"/>
      <c r="AF1206" s="99" t="n"/>
      <c r="AG1206" s="99" t="n"/>
      <c r="AH1206" s="99" t="n"/>
      <c r="AI1206" s="99" t="n"/>
      <c r="AJ1206" s="99" t="n"/>
      <c r="AK1206" s="99" t="n"/>
      <c r="AL1206" s="99" t="n"/>
      <c r="AM1206" s="99" t="n"/>
      <c r="AN1206" s="99" t="n"/>
      <c r="AO1206" s="99" t="n"/>
      <c r="AP1206" s="99" t="n"/>
      <c r="AQ1206" s="99" t="n"/>
      <c r="AR1206" s="99" t="n"/>
    </row>
    <row r="1207">
      <c r="D1207" s="100" t="n"/>
      <c r="E1207" s="100" t="n"/>
      <c r="F1207" s="100" t="n"/>
      <c r="G1207" s="100" t="n"/>
      <c r="H1207" s="100" t="n"/>
      <c r="I1207" s="100" t="n"/>
      <c r="J1207" s="100" t="n"/>
      <c r="K1207" s="100" t="n"/>
      <c r="L1207" s="100" t="n"/>
      <c r="M1207" s="100" t="n"/>
      <c r="N1207" s="100" t="n"/>
      <c r="O1207" s="100" t="n"/>
      <c r="P1207" s="100" t="n"/>
      <c r="Q1207" s="100" t="n"/>
      <c r="R1207" s="100" t="n"/>
      <c r="S1207" s="100" t="n"/>
      <c r="T1207" s="100" t="n"/>
      <c r="U1207" s="100" t="n"/>
      <c r="V1207" s="100" t="n"/>
      <c r="W1207" s="100" t="n"/>
      <c r="X1207" s="100" t="n"/>
      <c r="Y1207" s="100" t="n"/>
      <c r="Z1207" s="100" t="n"/>
      <c r="AA1207" s="100" t="n"/>
      <c r="AB1207" s="100" t="n"/>
      <c r="AC1207" s="100" t="n"/>
      <c r="AD1207" s="100" t="n"/>
      <c r="AE1207" s="100" t="n"/>
      <c r="AF1207" s="100" t="n"/>
      <c r="AG1207" s="100" t="n"/>
      <c r="AH1207" s="100" t="n"/>
      <c r="AI1207" s="100" t="n"/>
      <c r="AJ1207" s="100" t="n"/>
      <c r="AK1207" s="100" t="n"/>
      <c r="AL1207" s="100" t="n"/>
      <c r="AM1207" s="100" t="n"/>
      <c r="AN1207" s="100" t="n"/>
      <c r="AO1207" s="100" t="n"/>
      <c r="AP1207" s="100" t="n"/>
      <c r="AQ1207" s="100" t="n"/>
      <c r="AR1207" s="100" t="n"/>
    </row>
    <row r="1210">
      <c r="A1210" s="2">
        <f>IF($A1203="","","   projections")</f>
        <v/>
      </c>
      <c r="B1210" s="96">
        <f>IF($A1203="",0,COUNT($E1211:$AR1211))</f>
        <v/>
      </c>
      <c r="C1210" s="97">
        <f>IF($B1210=0,0,MAX($E1211:$AR1211))</f>
        <v/>
      </c>
      <c r="D1210" s="98">
        <f>BDS($A1203,FLD_PROJ,"headers=y","startcol=1","endcol=3","dir=h")</f>
        <v/>
      </c>
      <c r="E1210" s="99" t="n"/>
      <c r="F1210" s="99" t="n"/>
      <c r="G1210" s="99" t="n"/>
      <c r="H1210" s="99" t="n"/>
      <c r="I1210" s="99" t="n"/>
      <c r="J1210" s="99" t="n"/>
      <c r="K1210" s="99" t="n"/>
      <c r="L1210" s="99" t="n"/>
      <c r="M1210" s="99" t="n"/>
      <c r="N1210" s="99" t="n"/>
      <c r="O1210" s="99" t="n"/>
      <c r="P1210" s="99" t="n"/>
      <c r="Q1210" s="99" t="n"/>
      <c r="R1210" s="99" t="n"/>
      <c r="S1210" s="99" t="n"/>
      <c r="T1210" s="99" t="n"/>
      <c r="U1210" s="99" t="n"/>
      <c r="V1210" s="99" t="n"/>
      <c r="W1210" s="99" t="n"/>
      <c r="X1210" s="99" t="n"/>
      <c r="Y1210" s="99" t="n"/>
      <c r="Z1210" s="99" t="n"/>
      <c r="AA1210" s="99" t="n"/>
      <c r="AB1210" s="99" t="n"/>
      <c r="AC1210" s="99" t="n"/>
      <c r="AD1210" s="99" t="n"/>
      <c r="AE1210" s="99" t="n"/>
      <c r="AF1210" s="99" t="n"/>
      <c r="AG1210" s="99" t="n"/>
      <c r="AH1210" s="99" t="n"/>
      <c r="AI1210" s="99" t="n"/>
      <c r="AJ1210" s="99" t="n"/>
      <c r="AK1210" s="99" t="n"/>
      <c r="AL1210" s="99" t="n"/>
      <c r="AM1210" s="99" t="n"/>
      <c r="AN1210" s="99" t="n"/>
      <c r="AO1210" s="99" t="n"/>
      <c r="AP1210" s="99" t="n"/>
      <c r="AQ1210" s="99" t="n"/>
      <c r="AR1210" s="99" t="n"/>
    </row>
    <row r="1211">
      <c r="D1211" s="99" t="n"/>
      <c r="E1211" s="99" t="n"/>
      <c r="F1211" s="99" t="n"/>
      <c r="G1211" s="99" t="n"/>
      <c r="H1211" s="99" t="n"/>
      <c r="I1211" s="99" t="n"/>
      <c r="J1211" s="99" t="n"/>
      <c r="K1211" s="99" t="n"/>
      <c r="L1211" s="99" t="n"/>
      <c r="M1211" s="99" t="n"/>
      <c r="N1211" s="99" t="n"/>
      <c r="O1211" s="99" t="n"/>
      <c r="P1211" s="99" t="n"/>
      <c r="Q1211" s="99" t="n"/>
      <c r="R1211" s="99" t="n"/>
      <c r="S1211" s="99" t="n"/>
      <c r="T1211" s="99" t="n"/>
      <c r="U1211" s="99" t="n"/>
      <c r="V1211" s="99" t="n"/>
      <c r="W1211" s="99" t="n"/>
      <c r="X1211" s="99" t="n"/>
      <c r="Y1211" s="99" t="n"/>
      <c r="Z1211" s="99" t="n"/>
      <c r="AA1211" s="99" t="n"/>
      <c r="AB1211" s="99" t="n"/>
      <c r="AC1211" s="99" t="n"/>
      <c r="AD1211" s="99" t="n"/>
      <c r="AE1211" s="99" t="n"/>
      <c r="AF1211" s="99" t="n"/>
      <c r="AG1211" s="99" t="n"/>
      <c r="AH1211" s="99" t="n"/>
      <c r="AI1211" s="99" t="n"/>
      <c r="AJ1211" s="99" t="n"/>
      <c r="AK1211" s="99" t="n"/>
      <c r="AL1211" s="99" t="n"/>
      <c r="AM1211" s="99" t="n"/>
      <c r="AN1211" s="99" t="n"/>
      <c r="AO1211" s="99" t="n"/>
      <c r="AP1211" s="99" t="n"/>
      <c r="AQ1211" s="99" t="n"/>
      <c r="AR1211" s="99" t="n"/>
    </row>
    <row r="1212">
      <c r="D1212" s="100" t="n"/>
      <c r="E1212" s="100" t="n"/>
      <c r="F1212" s="100" t="n"/>
      <c r="G1212" s="100" t="n"/>
      <c r="H1212" s="100" t="n"/>
      <c r="I1212" s="100" t="n"/>
      <c r="J1212" s="100" t="n"/>
      <c r="K1212" s="100" t="n"/>
      <c r="L1212" s="100" t="n"/>
      <c r="M1212" s="100" t="n"/>
      <c r="N1212" s="100" t="n"/>
      <c r="O1212" s="100" t="n"/>
      <c r="P1212" s="100" t="n"/>
      <c r="Q1212" s="100" t="n"/>
      <c r="R1212" s="100" t="n"/>
      <c r="S1212" s="100" t="n"/>
      <c r="T1212" s="100" t="n"/>
      <c r="U1212" s="100" t="n"/>
      <c r="V1212" s="100" t="n"/>
      <c r="W1212" s="100" t="n"/>
      <c r="X1212" s="100" t="n"/>
      <c r="Y1212" s="100" t="n"/>
      <c r="Z1212" s="100" t="n"/>
      <c r="AA1212" s="100" t="n"/>
      <c r="AB1212" s="100" t="n"/>
      <c r="AC1212" s="100" t="n"/>
      <c r="AD1212" s="100" t="n"/>
      <c r="AE1212" s="100" t="n"/>
      <c r="AF1212" s="100" t="n"/>
      <c r="AG1212" s="100" t="n"/>
      <c r="AH1212" s="100" t="n"/>
      <c r="AI1212" s="100" t="n"/>
      <c r="AJ1212" s="100" t="n"/>
      <c r="AK1212" s="100" t="n"/>
      <c r="AL1212" s="100" t="n"/>
      <c r="AM1212" s="100" t="n"/>
      <c r="AN1212" s="100" t="n"/>
      <c r="AO1212" s="100" t="n"/>
      <c r="AP1212" s="100" t="n"/>
      <c r="AQ1212" s="100" t="n"/>
      <c r="AR1212" s="100" t="n"/>
    </row>
    <row r="1214">
      <c r="A1214" s="6">
        <f>IF(HSTECH!$C$16="","",HSTECH!$C$16)</f>
        <v/>
      </c>
      <c r="B1214" s="96">
        <f>IF($A1214="",0,COUNT($E1215:$AR1215))</f>
        <v/>
      </c>
      <c r="C1214" s="97">
        <f>IF($B1214=0,0,MAX($E1215:$AR1215))</f>
        <v/>
      </c>
      <c r="D1214" s="98">
        <f>BDS($A1214,FLD_HIST,"headers=y","startcol=1","endcol=7","dir=h","DVD_START_DT",HIST_FROM,"DVD_END_DT",HIST_TO)</f>
        <v/>
      </c>
      <c r="E1214" s="99" t="n"/>
      <c r="F1214" s="99" t="n"/>
      <c r="G1214" s="99" t="n"/>
      <c r="H1214" s="99" t="n"/>
      <c r="I1214" s="99" t="n"/>
      <c r="J1214" s="99" t="n"/>
      <c r="K1214" s="99" t="n"/>
      <c r="L1214" s="99" t="n"/>
      <c r="M1214" s="99" t="n"/>
      <c r="N1214" s="99" t="n"/>
      <c r="O1214" s="99" t="n"/>
      <c r="P1214" s="99" t="n"/>
      <c r="Q1214" s="99" t="n"/>
      <c r="R1214" s="99" t="n"/>
      <c r="S1214" s="99" t="n"/>
      <c r="T1214" s="99" t="n"/>
      <c r="U1214" s="99" t="n"/>
      <c r="V1214" s="99" t="n"/>
      <c r="W1214" s="99" t="n"/>
      <c r="X1214" s="99" t="n"/>
      <c r="Y1214" s="99" t="n"/>
      <c r="Z1214" s="99" t="n"/>
      <c r="AA1214" s="99" t="n"/>
      <c r="AB1214" s="99" t="n"/>
      <c r="AC1214" s="99" t="n"/>
      <c r="AD1214" s="99" t="n"/>
      <c r="AE1214" s="99" t="n"/>
      <c r="AF1214" s="99" t="n"/>
      <c r="AG1214" s="99" t="n"/>
      <c r="AH1214" s="99" t="n"/>
      <c r="AI1214" s="99" t="n"/>
      <c r="AJ1214" s="99" t="n"/>
      <c r="AK1214" s="99" t="n"/>
      <c r="AL1214" s="99" t="n"/>
      <c r="AM1214" s="99" t="n"/>
      <c r="AN1214" s="99" t="n"/>
      <c r="AO1214" s="99" t="n"/>
      <c r="AP1214" s="99" t="n"/>
      <c r="AQ1214" s="99" t="n"/>
      <c r="AR1214" s="99" t="n"/>
    </row>
    <row r="1215">
      <c r="D1215" s="99" t="n"/>
      <c r="E1215" s="99" t="n"/>
      <c r="F1215" s="99" t="n"/>
      <c r="G1215" s="99" t="n"/>
      <c r="H1215" s="99" t="n"/>
      <c r="I1215" s="99" t="n"/>
      <c r="J1215" s="99" t="n"/>
      <c r="K1215" s="99" t="n"/>
      <c r="L1215" s="99" t="n"/>
      <c r="M1215" s="99" t="n"/>
      <c r="N1215" s="99" t="n"/>
      <c r="O1215" s="99" t="n"/>
      <c r="P1215" s="99" t="n"/>
      <c r="Q1215" s="99" t="n"/>
      <c r="R1215" s="99" t="n"/>
      <c r="S1215" s="99" t="n"/>
      <c r="T1215" s="99" t="n"/>
      <c r="U1215" s="99" t="n"/>
      <c r="V1215" s="99" t="n"/>
      <c r="W1215" s="99" t="n"/>
      <c r="X1215" s="99" t="n"/>
      <c r="Y1215" s="99" t="n"/>
      <c r="Z1215" s="99" t="n"/>
      <c r="AA1215" s="99" t="n"/>
      <c r="AB1215" s="99" t="n"/>
      <c r="AC1215" s="99" t="n"/>
      <c r="AD1215" s="99" t="n"/>
      <c r="AE1215" s="99" t="n"/>
      <c r="AF1215" s="99" t="n"/>
      <c r="AG1215" s="99" t="n"/>
      <c r="AH1215" s="99" t="n"/>
      <c r="AI1215" s="99" t="n"/>
      <c r="AJ1215" s="99" t="n"/>
      <c r="AK1215" s="99" t="n"/>
      <c r="AL1215" s="99" t="n"/>
      <c r="AM1215" s="99" t="n"/>
      <c r="AN1215" s="99" t="n"/>
      <c r="AO1215" s="99" t="n"/>
      <c r="AP1215" s="99" t="n"/>
      <c r="AQ1215" s="99" t="n"/>
      <c r="AR1215" s="99" t="n"/>
    </row>
    <row r="1216">
      <c r="D1216" s="99" t="n"/>
      <c r="E1216" s="99" t="n"/>
      <c r="F1216" s="99" t="n"/>
      <c r="G1216" s="99" t="n"/>
      <c r="H1216" s="99" t="n"/>
      <c r="I1216" s="99" t="n"/>
      <c r="J1216" s="99" t="n"/>
      <c r="K1216" s="99" t="n"/>
      <c r="L1216" s="99" t="n"/>
      <c r="M1216" s="99" t="n"/>
      <c r="N1216" s="99" t="n"/>
      <c r="O1216" s="99" t="n"/>
      <c r="P1216" s="99" t="n"/>
      <c r="Q1216" s="99" t="n"/>
      <c r="R1216" s="99" t="n"/>
      <c r="S1216" s="99" t="n"/>
      <c r="T1216" s="99" t="n"/>
      <c r="U1216" s="99" t="n"/>
      <c r="V1216" s="99" t="n"/>
      <c r="W1216" s="99" t="n"/>
      <c r="X1216" s="99" t="n"/>
      <c r="Y1216" s="99" t="n"/>
      <c r="Z1216" s="99" t="n"/>
      <c r="AA1216" s="99" t="n"/>
      <c r="AB1216" s="99" t="n"/>
      <c r="AC1216" s="99" t="n"/>
      <c r="AD1216" s="99" t="n"/>
      <c r="AE1216" s="99" t="n"/>
      <c r="AF1216" s="99" t="n"/>
      <c r="AG1216" s="99" t="n"/>
      <c r="AH1216" s="99" t="n"/>
      <c r="AI1216" s="99" t="n"/>
      <c r="AJ1216" s="99" t="n"/>
      <c r="AK1216" s="99" t="n"/>
      <c r="AL1216" s="99" t="n"/>
      <c r="AM1216" s="99" t="n"/>
      <c r="AN1216" s="99" t="n"/>
      <c r="AO1216" s="99" t="n"/>
      <c r="AP1216" s="99" t="n"/>
      <c r="AQ1216" s="99" t="n"/>
      <c r="AR1216" s="99" t="n"/>
    </row>
    <row r="1217">
      <c r="D1217" s="99" t="n"/>
      <c r="E1217" s="99" t="n"/>
      <c r="F1217" s="99" t="n"/>
      <c r="G1217" s="99" t="n"/>
      <c r="H1217" s="99" t="n"/>
      <c r="I1217" s="99" t="n"/>
      <c r="J1217" s="99" t="n"/>
      <c r="K1217" s="99" t="n"/>
      <c r="L1217" s="99" t="n"/>
      <c r="M1217" s="99" t="n"/>
      <c r="N1217" s="99" t="n"/>
      <c r="O1217" s="99" t="n"/>
      <c r="P1217" s="99" t="n"/>
      <c r="Q1217" s="99" t="n"/>
      <c r="R1217" s="99" t="n"/>
      <c r="S1217" s="99" t="n"/>
      <c r="T1217" s="99" t="n"/>
      <c r="U1217" s="99" t="n"/>
      <c r="V1217" s="99" t="n"/>
      <c r="W1217" s="99" t="n"/>
      <c r="X1217" s="99" t="n"/>
      <c r="Y1217" s="99" t="n"/>
      <c r="Z1217" s="99" t="n"/>
      <c r="AA1217" s="99" t="n"/>
      <c r="AB1217" s="99" t="n"/>
      <c r="AC1217" s="99" t="n"/>
      <c r="AD1217" s="99" t="n"/>
      <c r="AE1217" s="99" t="n"/>
      <c r="AF1217" s="99" t="n"/>
      <c r="AG1217" s="99" t="n"/>
      <c r="AH1217" s="99" t="n"/>
      <c r="AI1217" s="99" t="n"/>
      <c r="AJ1217" s="99" t="n"/>
      <c r="AK1217" s="99" t="n"/>
      <c r="AL1217" s="99" t="n"/>
      <c r="AM1217" s="99" t="n"/>
      <c r="AN1217" s="99" t="n"/>
      <c r="AO1217" s="99" t="n"/>
      <c r="AP1217" s="99" t="n"/>
      <c r="AQ1217" s="99" t="n"/>
      <c r="AR1217" s="99" t="n"/>
    </row>
    <row r="1218">
      <c r="D1218" s="100" t="n"/>
      <c r="E1218" s="100" t="n"/>
      <c r="F1218" s="100" t="n"/>
      <c r="G1218" s="100" t="n"/>
      <c r="H1218" s="100" t="n"/>
      <c r="I1218" s="100" t="n"/>
      <c r="J1218" s="100" t="n"/>
      <c r="K1218" s="100" t="n"/>
      <c r="L1218" s="100" t="n"/>
      <c r="M1218" s="100" t="n"/>
      <c r="N1218" s="100" t="n"/>
      <c r="O1218" s="100" t="n"/>
      <c r="P1218" s="100" t="n"/>
      <c r="Q1218" s="100" t="n"/>
      <c r="R1218" s="100" t="n"/>
      <c r="S1218" s="100" t="n"/>
      <c r="T1218" s="100" t="n"/>
      <c r="U1218" s="100" t="n"/>
      <c r="V1218" s="100" t="n"/>
      <c r="W1218" s="100" t="n"/>
      <c r="X1218" s="100" t="n"/>
      <c r="Y1218" s="100" t="n"/>
      <c r="Z1218" s="100" t="n"/>
      <c r="AA1218" s="100" t="n"/>
      <c r="AB1218" s="100" t="n"/>
      <c r="AC1218" s="100" t="n"/>
      <c r="AD1218" s="100" t="n"/>
      <c r="AE1218" s="100" t="n"/>
      <c r="AF1218" s="100" t="n"/>
      <c r="AG1218" s="100" t="n"/>
      <c r="AH1218" s="100" t="n"/>
      <c r="AI1218" s="100" t="n"/>
      <c r="AJ1218" s="100" t="n"/>
      <c r="AK1218" s="100" t="n"/>
      <c r="AL1218" s="100" t="n"/>
      <c r="AM1218" s="100" t="n"/>
      <c r="AN1218" s="100" t="n"/>
      <c r="AO1218" s="100" t="n"/>
      <c r="AP1218" s="100" t="n"/>
      <c r="AQ1218" s="100" t="n"/>
      <c r="AR1218" s="100" t="n"/>
    </row>
    <row r="1221">
      <c r="A1221" s="2">
        <f>IF($A1214="","","   projections")</f>
        <v/>
      </c>
      <c r="B1221" s="96">
        <f>IF($A1214="",0,COUNT($E1222:$AR1222))</f>
        <v/>
      </c>
      <c r="C1221" s="97">
        <f>IF($B1221=0,0,MAX($E1222:$AR1222))</f>
        <v/>
      </c>
      <c r="D1221" s="98">
        <f>BDS($A1214,FLD_PROJ,"headers=y","startcol=1","endcol=3","dir=h")</f>
        <v/>
      </c>
      <c r="E1221" s="99" t="n"/>
      <c r="F1221" s="99" t="n"/>
      <c r="G1221" s="99" t="n"/>
      <c r="H1221" s="99" t="n"/>
      <c r="I1221" s="99" t="n"/>
      <c r="J1221" s="99" t="n"/>
      <c r="K1221" s="99" t="n"/>
      <c r="L1221" s="99" t="n"/>
      <c r="M1221" s="99" t="n"/>
      <c r="N1221" s="99" t="n"/>
      <c r="O1221" s="99" t="n"/>
      <c r="P1221" s="99" t="n"/>
      <c r="Q1221" s="99" t="n"/>
      <c r="R1221" s="99" t="n"/>
      <c r="S1221" s="99" t="n"/>
      <c r="T1221" s="99" t="n"/>
      <c r="U1221" s="99" t="n"/>
      <c r="V1221" s="99" t="n"/>
      <c r="W1221" s="99" t="n"/>
      <c r="X1221" s="99" t="n"/>
      <c r="Y1221" s="99" t="n"/>
      <c r="Z1221" s="99" t="n"/>
      <c r="AA1221" s="99" t="n"/>
      <c r="AB1221" s="99" t="n"/>
      <c r="AC1221" s="99" t="n"/>
      <c r="AD1221" s="99" t="n"/>
      <c r="AE1221" s="99" t="n"/>
      <c r="AF1221" s="99" t="n"/>
      <c r="AG1221" s="99" t="n"/>
      <c r="AH1221" s="99" t="n"/>
      <c r="AI1221" s="99" t="n"/>
      <c r="AJ1221" s="99" t="n"/>
      <c r="AK1221" s="99" t="n"/>
      <c r="AL1221" s="99" t="n"/>
      <c r="AM1221" s="99" t="n"/>
      <c r="AN1221" s="99" t="n"/>
      <c r="AO1221" s="99" t="n"/>
      <c r="AP1221" s="99" t="n"/>
      <c r="AQ1221" s="99" t="n"/>
      <c r="AR1221" s="99" t="n"/>
    </row>
    <row r="1222">
      <c r="D1222" s="99" t="n"/>
      <c r="E1222" s="99" t="n"/>
      <c r="F1222" s="99" t="n"/>
      <c r="G1222" s="99" t="n"/>
      <c r="H1222" s="99" t="n"/>
      <c r="I1222" s="99" t="n"/>
      <c r="J1222" s="99" t="n"/>
      <c r="K1222" s="99" t="n"/>
      <c r="L1222" s="99" t="n"/>
      <c r="M1222" s="99" t="n"/>
      <c r="N1222" s="99" t="n"/>
      <c r="O1222" s="99" t="n"/>
      <c r="P1222" s="99" t="n"/>
      <c r="Q1222" s="99" t="n"/>
      <c r="R1222" s="99" t="n"/>
      <c r="S1222" s="99" t="n"/>
      <c r="T1222" s="99" t="n"/>
      <c r="U1222" s="99" t="n"/>
      <c r="V1222" s="99" t="n"/>
      <c r="W1222" s="99" t="n"/>
      <c r="X1222" s="99" t="n"/>
      <c r="Y1222" s="99" t="n"/>
      <c r="Z1222" s="99" t="n"/>
      <c r="AA1222" s="99" t="n"/>
      <c r="AB1222" s="99" t="n"/>
      <c r="AC1222" s="99" t="n"/>
      <c r="AD1222" s="99" t="n"/>
      <c r="AE1222" s="99" t="n"/>
      <c r="AF1222" s="99" t="n"/>
      <c r="AG1222" s="99" t="n"/>
      <c r="AH1222" s="99" t="n"/>
      <c r="AI1222" s="99" t="n"/>
      <c r="AJ1222" s="99" t="n"/>
      <c r="AK1222" s="99" t="n"/>
      <c r="AL1222" s="99" t="n"/>
      <c r="AM1222" s="99" t="n"/>
      <c r="AN1222" s="99" t="n"/>
      <c r="AO1222" s="99" t="n"/>
      <c r="AP1222" s="99" t="n"/>
      <c r="AQ1222" s="99" t="n"/>
      <c r="AR1222" s="99" t="n"/>
    </row>
    <row r="1223">
      <c r="D1223" s="100" t="n"/>
      <c r="E1223" s="100" t="n"/>
      <c r="F1223" s="100" t="n"/>
      <c r="G1223" s="100" t="n"/>
      <c r="H1223" s="100" t="n"/>
      <c r="I1223" s="100" t="n"/>
      <c r="J1223" s="100" t="n"/>
      <c r="K1223" s="100" t="n"/>
      <c r="L1223" s="100" t="n"/>
      <c r="M1223" s="100" t="n"/>
      <c r="N1223" s="100" t="n"/>
      <c r="O1223" s="100" t="n"/>
      <c r="P1223" s="100" t="n"/>
      <c r="Q1223" s="100" t="n"/>
      <c r="R1223" s="100" t="n"/>
      <c r="S1223" s="100" t="n"/>
      <c r="T1223" s="100" t="n"/>
      <c r="U1223" s="100" t="n"/>
      <c r="V1223" s="100" t="n"/>
      <c r="W1223" s="100" t="n"/>
      <c r="X1223" s="100" t="n"/>
      <c r="Y1223" s="100" t="n"/>
      <c r="Z1223" s="100" t="n"/>
      <c r="AA1223" s="100" t="n"/>
      <c r="AB1223" s="100" t="n"/>
      <c r="AC1223" s="100" t="n"/>
      <c r="AD1223" s="100" t="n"/>
      <c r="AE1223" s="100" t="n"/>
      <c r="AF1223" s="100" t="n"/>
      <c r="AG1223" s="100" t="n"/>
      <c r="AH1223" s="100" t="n"/>
      <c r="AI1223" s="100" t="n"/>
      <c r="AJ1223" s="100" t="n"/>
      <c r="AK1223" s="100" t="n"/>
      <c r="AL1223" s="100" t="n"/>
      <c r="AM1223" s="100" t="n"/>
      <c r="AN1223" s="100" t="n"/>
      <c r="AO1223" s="100" t="n"/>
      <c r="AP1223" s="100" t="n"/>
      <c r="AQ1223" s="100" t="n"/>
      <c r="AR1223" s="100" t="n"/>
    </row>
    <row r="1225">
      <c r="A1225" s="6">
        <f>IF(HSTECH!$C$17="","",HSTECH!$C$17)</f>
        <v/>
      </c>
      <c r="B1225" s="96">
        <f>IF($A1225="",0,COUNT($E1226:$AR1226))</f>
        <v/>
      </c>
      <c r="C1225" s="97">
        <f>IF($B1225=0,0,MAX($E1226:$AR1226))</f>
        <v/>
      </c>
      <c r="D1225" s="98">
        <f>BDS($A1225,FLD_HIST,"headers=y","startcol=1","endcol=7","dir=h","DVD_START_DT",HIST_FROM,"DVD_END_DT",HIST_TO)</f>
        <v/>
      </c>
      <c r="E1225" s="99" t="n"/>
      <c r="F1225" s="99" t="n"/>
      <c r="G1225" s="99" t="n"/>
      <c r="H1225" s="99" t="n"/>
      <c r="I1225" s="99" t="n"/>
      <c r="J1225" s="99" t="n"/>
      <c r="K1225" s="99" t="n"/>
      <c r="L1225" s="99" t="n"/>
      <c r="M1225" s="99" t="n"/>
      <c r="N1225" s="99" t="n"/>
      <c r="O1225" s="99" t="n"/>
      <c r="P1225" s="99" t="n"/>
      <c r="Q1225" s="99" t="n"/>
      <c r="R1225" s="99" t="n"/>
      <c r="S1225" s="99" t="n"/>
      <c r="T1225" s="99" t="n"/>
      <c r="U1225" s="99" t="n"/>
      <c r="V1225" s="99" t="n"/>
      <c r="W1225" s="99" t="n"/>
      <c r="X1225" s="99" t="n"/>
      <c r="Y1225" s="99" t="n"/>
      <c r="Z1225" s="99" t="n"/>
      <c r="AA1225" s="99" t="n"/>
      <c r="AB1225" s="99" t="n"/>
      <c r="AC1225" s="99" t="n"/>
      <c r="AD1225" s="99" t="n"/>
      <c r="AE1225" s="99" t="n"/>
      <c r="AF1225" s="99" t="n"/>
      <c r="AG1225" s="99" t="n"/>
      <c r="AH1225" s="99" t="n"/>
      <c r="AI1225" s="99" t="n"/>
      <c r="AJ1225" s="99" t="n"/>
      <c r="AK1225" s="99" t="n"/>
      <c r="AL1225" s="99" t="n"/>
      <c r="AM1225" s="99" t="n"/>
      <c r="AN1225" s="99" t="n"/>
      <c r="AO1225" s="99" t="n"/>
      <c r="AP1225" s="99" t="n"/>
      <c r="AQ1225" s="99" t="n"/>
      <c r="AR1225" s="99" t="n"/>
    </row>
    <row r="1226">
      <c r="D1226" s="99" t="n"/>
      <c r="E1226" s="99" t="n"/>
      <c r="F1226" s="99" t="n"/>
      <c r="G1226" s="99" t="n"/>
      <c r="H1226" s="99" t="n"/>
      <c r="I1226" s="99" t="n"/>
      <c r="J1226" s="99" t="n"/>
      <c r="K1226" s="99" t="n"/>
      <c r="L1226" s="99" t="n"/>
      <c r="M1226" s="99" t="n"/>
      <c r="N1226" s="99" t="n"/>
      <c r="O1226" s="99" t="n"/>
      <c r="P1226" s="99" t="n"/>
      <c r="Q1226" s="99" t="n"/>
      <c r="R1226" s="99" t="n"/>
      <c r="S1226" s="99" t="n"/>
      <c r="T1226" s="99" t="n"/>
      <c r="U1226" s="99" t="n"/>
      <c r="V1226" s="99" t="n"/>
      <c r="W1226" s="99" t="n"/>
      <c r="X1226" s="99" t="n"/>
      <c r="Y1226" s="99" t="n"/>
      <c r="Z1226" s="99" t="n"/>
      <c r="AA1226" s="99" t="n"/>
      <c r="AB1226" s="99" t="n"/>
      <c r="AC1226" s="99" t="n"/>
      <c r="AD1226" s="99" t="n"/>
      <c r="AE1226" s="99" t="n"/>
      <c r="AF1226" s="99" t="n"/>
      <c r="AG1226" s="99" t="n"/>
      <c r="AH1226" s="99" t="n"/>
      <c r="AI1226" s="99" t="n"/>
      <c r="AJ1226" s="99" t="n"/>
      <c r="AK1226" s="99" t="n"/>
      <c r="AL1226" s="99" t="n"/>
      <c r="AM1226" s="99" t="n"/>
      <c r="AN1226" s="99" t="n"/>
      <c r="AO1226" s="99" t="n"/>
      <c r="AP1226" s="99" t="n"/>
      <c r="AQ1226" s="99" t="n"/>
      <c r="AR1226" s="99" t="n"/>
    </row>
    <row r="1227">
      <c r="D1227" s="99" t="n"/>
      <c r="E1227" s="99" t="n"/>
      <c r="F1227" s="99" t="n"/>
      <c r="G1227" s="99" t="n"/>
      <c r="H1227" s="99" t="n"/>
      <c r="I1227" s="99" t="n"/>
      <c r="J1227" s="99" t="n"/>
      <c r="K1227" s="99" t="n"/>
      <c r="L1227" s="99" t="n"/>
      <c r="M1227" s="99" t="n"/>
      <c r="N1227" s="99" t="n"/>
      <c r="O1227" s="99" t="n"/>
      <c r="P1227" s="99" t="n"/>
      <c r="Q1227" s="99" t="n"/>
      <c r="R1227" s="99" t="n"/>
      <c r="S1227" s="99" t="n"/>
      <c r="T1227" s="99" t="n"/>
      <c r="U1227" s="99" t="n"/>
      <c r="V1227" s="99" t="n"/>
      <c r="W1227" s="99" t="n"/>
      <c r="X1227" s="99" t="n"/>
      <c r="Y1227" s="99" t="n"/>
      <c r="Z1227" s="99" t="n"/>
      <c r="AA1227" s="99" t="n"/>
      <c r="AB1227" s="99" t="n"/>
      <c r="AC1227" s="99" t="n"/>
      <c r="AD1227" s="99" t="n"/>
      <c r="AE1227" s="99" t="n"/>
      <c r="AF1227" s="99" t="n"/>
      <c r="AG1227" s="99" t="n"/>
      <c r="AH1227" s="99" t="n"/>
      <c r="AI1227" s="99" t="n"/>
      <c r="AJ1227" s="99" t="n"/>
      <c r="AK1227" s="99" t="n"/>
      <c r="AL1227" s="99" t="n"/>
      <c r="AM1227" s="99" t="n"/>
      <c r="AN1227" s="99" t="n"/>
      <c r="AO1227" s="99" t="n"/>
      <c r="AP1227" s="99" t="n"/>
      <c r="AQ1227" s="99" t="n"/>
      <c r="AR1227" s="99" t="n"/>
    </row>
    <row r="1228">
      <c r="D1228" s="99" t="n"/>
      <c r="E1228" s="99" t="n"/>
      <c r="F1228" s="99" t="n"/>
      <c r="G1228" s="99" t="n"/>
      <c r="H1228" s="99" t="n"/>
      <c r="I1228" s="99" t="n"/>
      <c r="J1228" s="99" t="n"/>
      <c r="K1228" s="99" t="n"/>
      <c r="L1228" s="99" t="n"/>
      <c r="M1228" s="99" t="n"/>
      <c r="N1228" s="99" t="n"/>
      <c r="O1228" s="99" t="n"/>
      <c r="P1228" s="99" t="n"/>
      <c r="Q1228" s="99" t="n"/>
      <c r="R1228" s="99" t="n"/>
      <c r="S1228" s="99" t="n"/>
      <c r="T1228" s="99" t="n"/>
      <c r="U1228" s="99" t="n"/>
      <c r="V1228" s="99" t="n"/>
      <c r="W1228" s="99" t="n"/>
      <c r="X1228" s="99" t="n"/>
      <c r="Y1228" s="99" t="n"/>
      <c r="Z1228" s="99" t="n"/>
      <c r="AA1228" s="99" t="n"/>
      <c r="AB1228" s="99" t="n"/>
      <c r="AC1228" s="99" t="n"/>
      <c r="AD1228" s="99" t="n"/>
      <c r="AE1228" s="99" t="n"/>
      <c r="AF1228" s="99" t="n"/>
      <c r="AG1228" s="99" t="n"/>
      <c r="AH1228" s="99" t="n"/>
      <c r="AI1228" s="99" t="n"/>
      <c r="AJ1228" s="99" t="n"/>
      <c r="AK1228" s="99" t="n"/>
      <c r="AL1228" s="99" t="n"/>
      <c r="AM1228" s="99" t="n"/>
      <c r="AN1228" s="99" t="n"/>
      <c r="AO1228" s="99" t="n"/>
      <c r="AP1228" s="99" t="n"/>
      <c r="AQ1228" s="99" t="n"/>
      <c r="AR1228" s="99" t="n"/>
    </row>
    <row r="1229">
      <c r="D1229" s="100" t="n"/>
      <c r="E1229" s="100" t="n"/>
      <c r="F1229" s="100" t="n"/>
      <c r="G1229" s="100" t="n"/>
      <c r="H1229" s="100" t="n"/>
      <c r="I1229" s="100" t="n"/>
      <c r="J1229" s="100" t="n"/>
      <c r="K1229" s="100" t="n"/>
      <c r="L1229" s="100" t="n"/>
      <c r="M1229" s="100" t="n"/>
      <c r="N1229" s="100" t="n"/>
      <c r="O1229" s="100" t="n"/>
      <c r="P1229" s="100" t="n"/>
      <c r="Q1229" s="100" t="n"/>
      <c r="R1229" s="100" t="n"/>
      <c r="S1229" s="100" t="n"/>
      <c r="T1229" s="100" t="n"/>
      <c r="U1229" s="100" t="n"/>
      <c r="V1229" s="100" t="n"/>
      <c r="W1229" s="100" t="n"/>
      <c r="X1229" s="100" t="n"/>
      <c r="Y1229" s="100" t="n"/>
      <c r="Z1229" s="100" t="n"/>
      <c r="AA1229" s="100" t="n"/>
      <c r="AB1229" s="100" t="n"/>
      <c r="AC1229" s="100" t="n"/>
      <c r="AD1229" s="100" t="n"/>
      <c r="AE1229" s="100" t="n"/>
      <c r="AF1229" s="100" t="n"/>
      <c r="AG1229" s="100" t="n"/>
      <c r="AH1229" s="100" t="n"/>
      <c r="AI1229" s="100" t="n"/>
      <c r="AJ1229" s="100" t="n"/>
      <c r="AK1229" s="100" t="n"/>
      <c r="AL1229" s="100" t="n"/>
      <c r="AM1229" s="100" t="n"/>
      <c r="AN1229" s="100" t="n"/>
      <c r="AO1229" s="100" t="n"/>
      <c r="AP1229" s="100" t="n"/>
      <c r="AQ1229" s="100" t="n"/>
      <c r="AR1229" s="100" t="n"/>
    </row>
    <row r="1232">
      <c r="A1232" s="2">
        <f>IF($A1225="","","   projections")</f>
        <v/>
      </c>
      <c r="B1232" s="96">
        <f>IF($A1225="",0,COUNT($E1233:$AR1233))</f>
        <v/>
      </c>
      <c r="C1232" s="97">
        <f>IF($B1232=0,0,MAX($E1233:$AR1233))</f>
        <v/>
      </c>
      <c r="D1232" s="98">
        <f>BDS($A1225,FLD_PROJ,"headers=y","startcol=1","endcol=3","dir=h")</f>
        <v/>
      </c>
      <c r="E1232" s="99" t="n"/>
      <c r="F1232" s="99" t="n"/>
      <c r="G1232" s="99" t="n"/>
      <c r="H1232" s="99" t="n"/>
      <c r="I1232" s="99" t="n"/>
      <c r="J1232" s="99" t="n"/>
      <c r="K1232" s="99" t="n"/>
      <c r="L1232" s="99" t="n"/>
      <c r="M1232" s="99" t="n"/>
      <c r="N1232" s="99" t="n"/>
      <c r="O1232" s="99" t="n"/>
      <c r="P1232" s="99" t="n"/>
      <c r="Q1232" s="99" t="n"/>
      <c r="R1232" s="99" t="n"/>
      <c r="S1232" s="99" t="n"/>
      <c r="T1232" s="99" t="n"/>
      <c r="U1232" s="99" t="n"/>
      <c r="V1232" s="99" t="n"/>
      <c r="W1232" s="99" t="n"/>
      <c r="X1232" s="99" t="n"/>
      <c r="Y1232" s="99" t="n"/>
      <c r="Z1232" s="99" t="n"/>
      <c r="AA1232" s="99" t="n"/>
      <c r="AB1232" s="99" t="n"/>
      <c r="AC1232" s="99" t="n"/>
      <c r="AD1232" s="99" t="n"/>
      <c r="AE1232" s="99" t="n"/>
      <c r="AF1232" s="99" t="n"/>
      <c r="AG1232" s="99" t="n"/>
      <c r="AH1232" s="99" t="n"/>
      <c r="AI1232" s="99" t="n"/>
      <c r="AJ1232" s="99" t="n"/>
      <c r="AK1232" s="99" t="n"/>
      <c r="AL1232" s="99" t="n"/>
      <c r="AM1232" s="99" t="n"/>
      <c r="AN1232" s="99" t="n"/>
      <c r="AO1232" s="99" t="n"/>
      <c r="AP1232" s="99" t="n"/>
      <c r="AQ1232" s="99" t="n"/>
      <c r="AR1232" s="99" t="n"/>
    </row>
    <row r="1233">
      <c r="D1233" s="99" t="n"/>
      <c r="E1233" s="99" t="n"/>
      <c r="F1233" s="99" t="n"/>
      <c r="G1233" s="99" t="n"/>
      <c r="H1233" s="99" t="n"/>
      <c r="I1233" s="99" t="n"/>
      <c r="J1233" s="99" t="n"/>
      <c r="K1233" s="99" t="n"/>
      <c r="L1233" s="99" t="n"/>
      <c r="M1233" s="99" t="n"/>
      <c r="N1233" s="99" t="n"/>
      <c r="O1233" s="99" t="n"/>
      <c r="P1233" s="99" t="n"/>
      <c r="Q1233" s="99" t="n"/>
      <c r="R1233" s="99" t="n"/>
      <c r="S1233" s="99" t="n"/>
      <c r="T1233" s="99" t="n"/>
      <c r="U1233" s="99" t="n"/>
      <c r="V1233" s="99" t="n"/>
      <c r="W1233" s="99" t="n"/>
      <c r="X1233" s="99" t="n"/>
      <c r="Y1233" s="99" t="n"/>
      <c r="Z1233" s="99" t="n"/>
      <c r="AA1233" s="99" t="n"/>
      <c r="AB1233" s="99" t="n"/>
      <c r="AC1233" s="99" t="n"/>
      <c r="AD1233" s="99" t="n"/>
      <c r="AE1233" s="99" t="n"/>
      <c r="AF1233" s="99" t="n"/>
      <c r="AG1233" s="99" t="n"/>
      <c r="AH1233" s="99" t="n"/>
      <c r="AI1233" s="99" t="n"/>
      <c r="AJ1233" s="99" t="n"/>
      <c r="AK1233" s="99" t="n"/>
      <c r="AL1233" s="99" t="n"/>
      <c r="AM1233" s="99" t="n"/>
      <c r="AN1233" s="99" t="n"/>
      <c r="AO1233" s="99" t="n"/>
      <c r="AP1233" s="99" t="n"/>
      <c r="AQ1233" s="99" t="n"/>
      <c r="AR1233" s="99" t="n"/>
    </row>
    <row r="1234">
      <c r="D1234" s="100" t="n"/>
      <c r="E1234" s="100" t="n"/>
      <c r="F1234" s="100" t="n"/>
      <c r="G1234" s="100" t="n"/>
      <c r="H1234" s="100" t="n"/>
      <c r="I1234" s="100" t="n"/>
      <c r="J1234" s="100" t="n"/>
      <c r="K1234" s="100" t="n"/>
      <c r="L1234" s="100" t="n"/>
      <c r="M1234" s="100" t="n"/>
      <c r="N1234" s="100" t="n"/>
      <c r="O1234" s="100" t="n"/>
      <c r="P1234" s="100" t="n"/>
      <c r="Q1234" s="100" t="n"/>
      <c r="R1234" s="100" t="n"/>
      <c r="S1234" s="100" t="n"/>
      <c r="T1234" s="100" t="n"/>
      <c r="U1234" s="100" t="n"/>
      <c r="V1234" s="100" t="n"/>
      <c r="W1234" s="100" t="n"/>
      <c r="X1234" s="100" t="n"/>
      <c r="Y1234" s="100" t="n"/>
      <c r="Z1234" s="100" t="n"/>
      <c r="AA1234" s="100" t="n"/>
      <c r="AB1234" s="100" t="n"/>
      <c r="AC1234" s="100" t="n"/>
      <c r="AD1234" s="100" t="n"/>
      <c r="AE1234" s="100" t="n"/>
      <c r="AF1234" s="100" t="n"/>
      <c r="AG1234" s="100" t="n"/>
      <c r="AH1234" s="100" t="n"/>
      <c r="AI1234" s="100" t="n"/>
      <c r="AJ1234" s="100" t="n"/>
      <c r="AK1234" s="100" t="n"/>
      <c r="AL1234" s="100" t="n"/>
      <c r="AM1234" s="100" t="n"/>
      <c r="AN1234" s="100" t="n"/>
      <c r="AO1234" s="100" t="n"/>
      <c r="AP1234" s="100" t="n"/>
      <c r="AQ1234" s="100" t="n"/>
      <c r="AR1234" s="100" t="n"/>
    </row>
    <row r="1236">
      <c r="A1236" s="6">
        <f>IF(HSTECH!$C$18="","",HSTECH!$C$18)</f>
        <v/>
      </c>
      <c r="B1236" s="96">
        <f>IF($A1236="",0,COUNT($E1237:$AR1237))</f>
        <v/>
      </c>
      <c r="C1236" s="97">
        <f>IF($B1236=0,0,MAX($E1237:$AR1237))</f>
        <v/>
      </c>
      <c r="D1236" s="98">
        <f>BDS($A1236,FLD_HIST,"headers=y","startcol=1","endcol=7","dir=h","DVD_START_DT",HIST_FROM,"DVD_END_DT",HIST_TO)</f>
        <v/>
      </c>
      <c r="E1236" s="99" t="n"/>
      <c r="F1236" s="99" t="n"/>
      <c r="G1236" s="99" t="n"/>
      <c r="H1236" s="99" t="n"/>
      <c r="I1236" s="99" t="n"/>
      <c r="J1236" s="99" t="n"/>
      <c r="K1236" s="99" t="n"/>
      <c r="L1236" s="99" t="n"/>
      <c r="M1236" s="99" t="n"/>
      <c r="N1236" s="99" t="n"/>
      <c r="O1236" s="99" t="n"/>
      <c r="P1236" s="99" t="n"/>
      <c r="Q1236" s="99" t="n"/>
      <c r="R1236" s="99" t="n"/>
      <c r="S1236" s="99" t="n"/>
      <c r="T1236" s="99" t="n"/>
      <c r="U1236" s="99" t="n"/>
      <c r="V1236" s="99" t="n"/>
      <c r="W1236" s="99" t="n"/>
      <c r="X1236" s="99" t="n"/>
      <c r="Y1236" s="99" t="n"/>
      <c r="Z1236" s="99" t="n"/>
      <c r="AA1236" s="99" t="n"/>
      <c r="AB1236" s="99" t="n"/>
      <c r="AC1236" s="99" t="n"/>
      <c r="AD1236" s="99" t="n"/>
      <c r="AE1236" s="99" t="n"/>
      <c r="AF1236" s="99" t="n"/>
      <c r="AG1236" s="99" t="n"/>
      <c r="AH1236" s="99" t="n"/>
      <c r="AI1236" s="99" t="n"/>
      <c r="AJ1236" s="99" t="n"/>
      <c r="AK1236" s="99" t="n"/>
      <c r="AL1236" s="99" t="n"/>
      <c r="AM1236" s="99" t="n"/>
      <c r="AN1236" s="99" t="n"/>
      <c r="AO1236" s="99" t="n"/>
      <c r="AP1236" s="99" t="n"/>
      <c r="AQ1236" s="99" t="n"/>
      <c r="AR1236" s="99" t="n"/>
    </row>
    <row r="1237">
      <c r="D1237" s="99" t="n"/>
      <c r="E1237" s="99" t="n"/>
      <c r="F1237" s="99" t="n"/>
      <c r="G1237" s="99" t="n"/>
      <c r="H1237" s="99" t="n"/>
      <c r="I1237" s="99" t="n"/>
      <c r="J1237" s="99" t="n"/>
      <c r="K1237" s="99" t="n"/>
      <c r="L1237" s="99" t="n"/>
      <c r="M1237" s="99" t="n"/>
      <c r="N1237" s="99" t="n"/>
      <c r="O1237" s="99" t="n"/>
      <c r="P1237" s="99" t="n"/>
      <c r="Q1237" s="99" t="n"/>
      <c r="R1237" s="99" t="n"/>
      <c r="S1237" s="99" t="n"/>
      <c r="T1237" s="99" t="n"/>
      <c r="U1237" s="99" t="n"/>
      <c r="V1237" s="99" t="n"/>
      <c r="W1237" s="99" t="n"/>
      <c r="X1237" s="99" t="n"/>
      <c r="Y1237" s="99" t="n"/>
      <c r="Z1237" s="99" t="n"/>
      <c r="AA1237" s="99" t="n"/>
      <c r="AB1237" s="99" t="n"/>
      <c r="AC1237" s="99" t="n"/>
      <c r="AD1237" s="99" t="n"/>
      <c r="AE1237" s="99" t="n"/>
      <c r="AF1237" s="99" t="n"/>
      <c r="AG1237" s="99" t="n"/>
      <c r="AH1237" s="99" t="n"/>
      <c r="AI1237" s="99" t="n"/>
      <c r="AJ1237" s="99" t="n"/>
      <c r="AK1237" s="99" t="n"/>
      <c r="AL1237" s="99" t="n"/>
      <c r="AM1237" s="99" t="n"/>
      <c r="AN1237" s="99" t="n"/>
      <c r="AO1237" s="99" t="n"/>
      <c r="AP1237" s="99" t="n"/>
      <c r="AQ1237" s="99" t="n"/>
      <c r="AR1237" s="99" t="n"/>
    </row>
    <row r="1238">
      <c r="D1238" s="99" t="n"/>
      <c r="E1238" s="99" t="n"/>
      <c r="F1238" s="99" t="n"/>
      <c r="G1238" s="99" t="n"/>
      <c r="H1238" s="99" t="n"/>
      <c r="I1238" s="99" t="n"/>
      <c r="J1238" s="99" t="n"/>
      <c r="K1238" s="99" t="n"/>
      <c r="L1238" s="99" t="n"/>
      <c r="M1238" s="99" t="n"/>
      <c r="N1238" s="99" t="n"/>
      <c r="O1238" s="99" t="n"/>
      <c r="P1238" s="99" t="n"/>
      <c r="Q1238" s="99" t="n"/>
      <c r="R1238" s="99" t="n"/>
      <c r="S1238" s="99" t="n"/>
      <c r="T1238" s="99" t="n"/>
      <c r="U1238" s="99" t="n"/>
      <c r="V1238" s="99" t="n"/>
      <c r="W1238" s="99" t="n"/>
      <c r="X1238" s="99" t="n"/>
      <c r="Y1238" s="99" t="n"/>
      <c r="Z1238" s="99" t="n"/>
      <c r="AA1238" s="99" t="n"/>
      <c r="AB1238" s="99" t="n"/>
      <c r="AC1238" s="99" t="n"/>
      <c r="AD1238" s="99" t="n"/>
      <c r="AE1238" s="99" t="n"/>
      <c r="AF1238" s="99" t="n"/>
      <c r="AG1238" s="99" t="n"/>
      <c r="AH1238" s="99" t="n"/>
      <c r="AI1238" s="99" t="n"/>
      <c r="AJ1238" s="99" t="n"/>
      <c r="AK1238" s="99" t="n"/>
      <c r="AL1238" s="99" t="n"/>
      <c r="AM1238" s="99" t="n"/>
      <c r="AN1238" s="99" t="n"/>
      <c r="AO1238" s="99" t="n"/>
      <c r="AP1238" s="99" t="n"/>
      <c r="AQ1238" s="99" t="n"/>
      <c r="AR1238" s="99" t="n"/>
    </row>
    <row r="1239">
      <c r="D1239" s="99" t="n"/>
      <c r="E1239" s="99" t="n"/>
      <c r="F1239" s="99" t="n"/>
      <c r="G1239" s="99" t="n"/>
      <c r="H1239" s="99" t="n"/>
      <c r="I1239" s="99" t="n"/>
      <c r="J1239" s="99" t="n"/>
      <c r="K1239" s="99" t="n"/>
      <c r="L1239" s="99" t="n"/>
      <c r="M1239" s="99" t="n"/>
      <c r="N1239" s="99" t="n"/>
      <c r="O1239" s="99" t="n"/>
      <c r="P1239" s="99" t="n"/>
      <c r="Q1239" s="99" t="n"/>
      <c r="R1239" s="99" t="n"/>
      <c r="S1239" s="99" t="n"/>
      <c r="T1239" s="99" t="n"/>
      <c r="U1239" s="99" t="n"/>
      <c r="V1239" s="99" t="n"/>
      <c r="W1239" s="99" t="n"/>
      <c r="X1239" s="99" t="n"/>
      <c r="Y1239" s="99" t="n"/>
      <c r="Z1239" s="99" t="n"/>
      <c r="AA1239" s="99" t="n"/>
      <c r="AB1239" s="99" t="n"/>
      <c r="AC1239" s="99" t="n"/>
      <c r="AD1239" s="99" t="n"/>
      <c r="AE1239" s="99" t="n"/>
      <c r="AF1239" s="99" t="n"/>
      <c r="AG1239" s="99" t="n"/>
      <c r="AH1239" s="99" t="n"/>
      <c r="AI1239" s="99" t="n"/>
      <c r="AJ1239" s="99" t="n"/>
      <c r="AK1239" s="99" t="n"/>
      <c r="AL1239" s="99" t="n"/>
      <c r="AM1239" s="99" t="n"/>
      <c r="AN1239" s="99" t="n"/>
      <c r="AO1239" s="99" t="n"/>
      <c r="AP1239" s="99" t="n"/>
      <c r="AQ1239" s="99" t="n"/>
      <c r="AR1239" s="99" t="n"/>
    </row>
    <row r="1240">
      <c r="D1240" s="100" t="n"/>
      <c r="E1240" s="100" t="n"/>
      <c r="F1240" s="100" t="n"/>
      <c r="G1240" s="100" t="n"/>
      <c r="H1240" s="100" t="n"/>
      <c r="I1240" s="100" t="n"/>
      <c r="J1240" s="100" t="n"/>
      <c r="K1240" s="100" t="n"/>
      <c r="L1240" s="100" t="n"/>
      <c r="M1240" s="100" t="n"/>
      <c r="N1240" s="100" t="n"/>
      <c r="O1240" s="100" t="n"/>
      <c r="P1240" s="100" t="n"/>
      <c r="Q1240" s="100" t="n"/>
      <c r="R1240" s="100" t="n"/>
      <c r="S1240" s="100" t="n"/>
      <c r="T1240" s="100" t="n"/>
      <c r="U1240" s="100" t="n"/>
      <c r="V1240" s="100" t="n"/>
      <c r="W1240" s="100" t="n"/>
      <c r="X1240" s="100" t="n"/>
      <c r="Y1240" s="100" t="n"/>
      <c r="Z1240" s="100" t="n"/>
      <c r="AA1240" s="100" t="n"/>
      <c r="AB1240" s="100" t="n"/>
      <c r="AC1240" s="100" t="n"/>
      <c r="AD1240" s="100" t="n"/>
      <c r="AE1240" s="100" t="n"/>
      <c r="AF1240" s="100" t="n"/>
      <c r="AG1240" s="100" t="n"/>
      <c r="AH1240" s="100" t="n"/>
      <c r="AI1240" s="100" t="n"/>
      <c r="AJ1240" s="100" t="n"/>
      <c r="AK1240" s="100" t="n"/>
      <c r="AL1240" s="100" t="n"/>
      <c r="AM1240" s="100" t="n"/>
      <c r="AN1240" s="100" t="n"/>
      <c r="AO1240" s="100" t="n"/>
      <c r="AP1240" s="100" t="n"/>
      <c r="AQ1240" s="100" t="n"/>
      <c r="AR1240" s="100" t="n"/>
    </row>
    <row r="1243">
      <c r="A1243" s="2">
        <f>IF($A1236="","","   projections")</f>
        <v/>
      </c>
      <c r="B1243" s="96">
        <f>IF($A1236="",0,COUNT($E1244:$AR1244))</f>
        <v/>
      </c>
      <c r="C1243" s="97">
        <f>IF($B1243=0,0,MAX($E1244:$AR1244))</f>
        <v/>
      </c>
      <c r="D1243" s="98">
        <f>BDS($A1236,FLD_PROJ,"headers=y","startcol=1","endcol=3","dir=h")</f>
        <v/>
      </c>
      <c r="E1243" s="99" t="n"/>
      <c r="F1243" s="99" t="n"/>
      <c r="G1243" s="99" t="n"/>
      <c r="H1243" s="99" t="n"/>
      <c r="I1243" s="99" t="n"/>
      <c r="J1243" s="99" t="n"/>
      <c r="K1243" s="99" t="n"/>
      <c r="L1243" s="99" t="n"/>
      <c r="M1243" s="99" t="n"/>
      <c r="N1243" s="99" t="n"/>
      <c r="O1243" s="99" t="n"/>
      <c r="P1243" s="99" t="n"/>
      <c r="Q1243" s="99" t="n"/>
      <c r="R1243" s="99" t="n"/>
      <c r="S1243" s="99" t="n"/>
      <c r="T1243" s="99" t="n"/>
      <c r="U1243" s="99" t="n"/>
      <c r="V1243" s="99" t="n"/>
      <c r="W1243" s="99" t="n"/>
      <c r="X1243" s="99" t="n"/>
      <c r="Y1243" s="99" t="n"/>
      <c r="Z1243" s="99" t="n"/>
      <c r="AA1243" s="99" t="n"/>
      <c r="AB1243" s="99" t="n"/>
      <c r="AC1243" s="99" t="n"/>
      <c r="AD1243" s="99" t="n"/>
      <c r="AE1243" s="99" t="n"/>
      <c r="AF1243" s="99" t="n"/>
      <c r="AG1243" s="99" t="n"/>
      <c r="AH1243" s="99" t="n"/>
      <c r="AI1243" s="99" t="n"/>
      <c r="AJ1243" s="99" t="n"/>
      <c r="AK1243" s="99" t="n"/>
      <c r="AL1243" s="99" t="n"/>
      <c r="AM1243" s="99" t="n"/>
      <c r="AN1243" s="99" t="n"/>
      <c r="AO1243" s="99" t="n"/>
      <c r="AP1243" s="99" t="n"/>
      <c r="AQ1243" s="99" t="n"/>
      <c r="AR1243" s="99" t="n"/>
    </row>
    <row r="1244">
      <c r="D1244" s="99" t="n"/>
      <c r="E1244" s="99" t="n"/>
      <c r="F1244" s="99" t="n"/>
      <c r="G1244" s="99" t="n"/>
      <c r="H1244" s="99" t="n"/>
      <c r="I1244" s="99" t="n"/>
      <c r="J1244" s="99" t="n"/>
      <c r="K1244" s="99" t="n"/>
      <c r="L1244" s="99" t="n"/>
      <c r="M1244" s="99" t="n"/>
      <c r="N1244" s="99" t="n"/>
      <c r="O1244" s="99" t="n"/>
      <c r="P1244" s="99" t="n"/>
      <c r="Q1244" s="99" t="n"/>
      <c r="R1244" s="99" t="n"/>
      <c r="S1244" s="99" t="n"/>
      <c r="T1244" s="99" t="n"/>
      <c r="U1244" s="99" t="n"/>
      <c r="V1244" s="99" t="n"/>
      <c r="W1244" s="99" t="n"/>
      <c r="X1244" s="99" t="n"/>
      <c r="Y1244" s="99" t="n"/>
      <c r="Z1244" s="99" t="n"/>
      <c r="AA1244" s="99" t="n"/>
      <c r="AB1244" s="99" t="n"/>
      <c r="AC1244" s="99" t="n"/>
      <c r="AD1244" s="99" t="n"/>
      <c r="AE1244" s="99" t="n"/>
      <c r="AF1244" s="99" t="n"/>
      <c r="AG1244" s="99" t="n"/>
      <c r="AH1244" s="99" t="n"/>
      <c r="AI1244" s="99" t="n"/>
      <c r="AJ1244" s="99" t="n"/>
      <c r="AK1244" s="99" t="n"/>
      <c r="AL1244" s="99" t="n"/>
      <c r="AM1244" s="99" t="n"/>
      <c r="AN1244" s="99" t="n"/>
      <c r="AO1244" s="99" t="n"/>
      <c r="AP1244" s="99" t="n"/>
      <c r="AQ1244" s="99" t="n"/>
      <c r="AR1244" s="99" t="n"/>
    </row>
    <row r="1245">
      <c r="D1245" s="100" t="n"/>
      <c r="E1245" s="100" t="n"/>
      <c r="F1245" s="100" t="n"/>
      <c r="G1245" s="100" t="n"/>
      <c r="H1245" s="100" t="n"/>
      <c r="I1245" s="100" t="n"/>
      <c r="J1245" s="100" t="n"/>
      <c r="K1245" s="100" t="n"/>
      <c r="L1245" s="100" t="n"/>
      <c r="M1245" s="100" t="n"/>
      <c r="N1245" s="100" t="n"/>
      <c r="O1245" s="100" t="n"/>
      <c r="P1245" s="100" t="n"/>
      <c r="Q1245" s="100" t="n"/>
      <c r="R1245" s="100" t="n"/>
      <c r="S1245" s="100" t="n"/>
      <c r="T1245" s="100" t="n"/>
      <c r="U1245" s="100" t="n"/>
      <c r="V1245" s="100" t="n"/>
      <c r="W1245" s="100" t="n"/>
      <c r="X1245" s="100" t="n"/>
      <c r="Y1245" s="100" t="n"/>
      <c r="Z1245" s="100" t="n"/>
      <c r="AA1245" s="100" t="n"/>
      <c r="AB1245" s="100" t="n"/>
      <c r="AC1245" s="100" t="n"/>
      <c r="AD1245" s="100" t="n"/>
      <c r="AE1245" s="100" t="n"/>
      <c r="AF1245" s="100" t="n"/>
      <c r="AG1245" s="100" t="n"/>
      <c r="AH1245" s="100" t="n"/>
      <c r="AI1245" s="100" t="n"/>
      <c r="AJ1245" s="100" t="n"/>
      <c r="AK1245" s="100" t="n"/>
      <c r="AL1245" s="100" t="n"/>
      <c r="AM1245" s="100" t="n"/>
      <c r="AN1245" s="100" t="n"/>
      <c r="AO1245" s="100" t="n"/>
      <c r="AP1245" s="100" t="n"/>
      <c r="AQ1245" s="100" t="n"/>
      <c r="AR1245" s="100" t="n"/>
    </row>
    <row r="1247">
      <c r="A1247" s="6">
        <f>IF(HSTECH!$C$19="","",HSTECH!$C$19)</f>
        <v/>
      </c>
      <c r="B1247" s="96">
        <f>IF($A1247="",0,COUNT($E1248:$AR1248))</f>
        <v/>
      </c>
      <c r="C1247" s="97">
        <f>IF($B1247=0,0,MAX($E1248:$AR1248))</f>
        <v/>
      </c>
      <c r="D1247" s="98">
        <f>BDS($A1247,FLD_HIST,"headers=y","startcol=1","endcol=7","dir=h","DVD_START_DT",HIST_FROM,"DVD_END_DT",HIST_TO)</f>
        <v/>
      </c>
      <c r="E1247" s="99" t="n"/>
      <c r="F1247" s="99" t="n"/>
      <c r="G1247" s="99" t="n"/>
      <c r="H1247" s="99" t="n"/>
      <c r="I1247" s="99" t="n"/>
      <c r="J1247" s="99" t="n"/>
      <c r="K1247" s="99" t="n"/>
      <c r="L1247" s="99" t="n"/>
      <c r="M1247" s="99" t="n"/>
      <c r="N1247" s="99" t="n"/>
      <c r="O1247" s="99" t="n"/>
      <c r="P1247" s="99" t="n"/>
      <c r="Q1247" s="99" t="n"/>
      <c r="R1247" s="99" t="n"/>
      <c r="S1247" s="99" t="n"/>
      <c r="T1247" s="99" t="n"/>
      <c r="U1247" s="99" t="n"/>
      <c r="V1247" s="99" t="n"/>
      <c r="W1247" s="99" t="n"/>
      <c r="X1247" s="99" t="n"/>
      <c r="Y1247" s="99" t="n"/>
      <c r="Z1247" s="99" t="n"/>
      <c r="AA1247" s="99" t="n"/>
      <c r="AB1247" s="99" t="n"/>
      <c r="AC1247" s="99" t="n"/>
      <c r="AD1247" s="99" t="n"/>
      <c r="AE1247" s="99" t="n"/>
      <c r="AF1247" s="99" t="n"/>
      <c r="AG1247" s="99" t="n"/>
      <c r="AH1247" s="99" t="n"/>
      <c r="AI1247" s="99" t="n"/>
      <c r="AJ1247" s="99" t="n"/>
      <c r="AK1247" s="99" t="n"/>
      <c r="AL1247" s="99" t="n"/>
      <c r="AM1247" s="99" t="n"/>
      <c r="AN1247" s="99" t="n"/>
      <c r="AO1247" s="99" t="n"/>
      <c r="AP1247" s="99" t="n"/>
      <c r="AQ1247" s="99" t="n"/>
      <c r="AR1247" s="99" t="n"/>
    </row>
    <row r="1248">
      <c r="D1248" s="99" t="n"/>
      <c r="E1248" s="99" t="n"/>
      <c r="F1248" s="99" t="n"/>
      <c r="G1248" s="99" t="n"/>
      <c r="H1248" s="99" t="n"/>
      <c r="I1248" s="99" t="n"/>
      <c r="J1248" s="99" t="n"/>
      <c r="K1248" s="99" t="n"/>
      <c r="L1248" s="99" t="n"/>
      <c r="M1248" s="99" t="n"/>
      <c r="N1248" s="99" t="n"/>
      <c r="O1248" s="99" t="n"/>
      <c r="P1248" s="99" t="n"/>
      <c r="Q1248" s="99" t="n"/>
      <c r="R1248" s="99" t="n"/>
      <c r="S1248" s="99" t="n"/>
      <c r="T1248" s="99" t="n"/>
      <c r="U1248" s="99" t="n"/>
      <c r="V1248" s="99" t="n"/>
      <c r="W1248" s="99" t="n"/>
      <c r="X1248" s="99" t="n"/>
      <c r="Y1248" s="99" t="n"/>
      <c r="Z1248" s="99" t="n"/>
      <c r="AA1248" s="99" t="n"/>
      <c r="AB1248" s="99" t="n"/>
      <c r="AC1248" s="99" t="n"/>
      <c r="AD1248" s="99" t="n"/>
      <c r="AE1248" s="99" t="n"/>
      <c r="AF1248" s="99" t="n"/>
      <c r="AG1248" s="99" t="n"/>
      <c r="AH1248" s="99" t="n"/>
      <c r="AI1248" s="99" t="n"/>
      <c r="AJ1248" s="99" t="n"/>
      <c r="AK1248" s="99" t="n"/>
      <c r="AL1248" s="99" t="n"/>
      <c r="AM1248" s="99" t="n"/>
      <c r="AN1248" s="99" t="n"/>
      <c r="AO1248" s="99" t="n"/>
      <c r="AP1248" s="99" t="n"/>
      <c r="AQ1248" s="99" t="n"/>
      <c r="AR1248" s="99" t="n"/>
    </row>
    <row r="1249">
      <c r="D1249" s="99" t="n"/>
      <c r="E1249" s="99" t="n"/>
      <c r="F1249" s="99" t="n"/>
      <c r="G1249" s="99" t="n"/>
      <c r="H1249" s="99" t="n"/>
      <c r="I1249" s="99" t="n"/>
      <c r="J1249" s="99" t="n"/>
      <c r="K1249" s="99" t="n"/>
      <c r="L1249" s="99" t="n"/>
      <c r="M1249" s="99" t="n"/>
      <c r="N1249" s="99" t="n"/>
      <c r="O1249" s="99" t="n"/>
      <c r="P1249" s="99" t="n"/>
      <c r="Q1249" s="99" t="n"/>
      <c r="R1249" s="99" t="n"/>
      <c r="S1249" s="99" t="n"/>
      <c r="T1249" s="99" t="n"/>
      <c r="U1249" s="99" t="n"/>
      <c r="V1249" s="99" t="n"/>
      <c r="W1249" s="99" t="n"/>
      <c r="X1249" s="99" t="n"/>
      <c r="Y1249" s="99" t="n"/>
      <c r="Z1249" s="99" t="n"/>
      <c r="AA1249" s="99" t="n"/>
      <c r="AB1249" s="99" t="n"/>
      <c r="AC1249" s="99" t="n"/>
      <c r="AD1249" s="99" t="n"/>
      <c r="AE1249" s="99" t="n"/>
      <c r="AF1249" s="99" t="n"/>
      <c r="AG1249" s="99" t="n"/>
      <c r="AH1249" s="99" t="n"/>
      <c r="AI1249" s="99" t="n"/>
      <c r="AJ1249" s="99" t="n"/>
      <c r="AK1249" s="99" t="n"/>
      <c r="AL1249" s="99" t="n"/>
      <c r="AM1249" s="99" t="n"/>
      <c r="AN1249" s="99" t="n"/>
      <c r="AO1249" s="99" t="n"/>
      <c r="AP1249" s="99" t="n"/>
      <c r="AQ1249" s="99" t="n"/>
      <c r="AR1249" s="99" t="n"/>
    </row>
    <row r="1250">
      <c r="D1250" s="99" t="n"/>
      <c r="E1250" s="99" t="n"/>
      <c r="F1250" s="99" t="n"/>
      <c r="G1250" s="99" t="n"/>
      <c r="H1250" s="99" t="n"/>
      <c r="I1250" s="99" t="n"/>
      <c r="J1250" s="99" t="n"/>
      <c r="K1250" s="99" t="n"/>
      <c r="L1250" s="99" t="n"/>
      <c r="M1250" s="99" t="n"/>
      <c r="N1250" s="99" t="n"/>
      <c r="O1250" s="99" t="n"/>
      <c r="P1250" s="99" t="n"/>
      <c r="Q1250" s="99" t="n"/>
      <c r="R1250" s="99" t="n"/>
      <c r="S1250" s="99" t="n"/>
      <c r="T1250" s="99" t="n"/>
      <c r="U1250" s="99" t="n"/>
      <c r="V1250" s="99" t="n"/>
      <c r="W1250" s="99" t="n"/>
      <c r="X1250" s="99" t="n"/>
      <c r="Y1250" s="99" t="n"/>
      <c r="Z1250" s="99" t="n"/>
      <c r="AA1250" s="99" t="n"/>
      <c r="AB1250" s="99" t="n"/>
      <c r="AC1250" s="99" t="n"/>
      <c r="AD1250" s="99" t="n"/>
      <c r="AE1250" s="99" t="n"/>
      <c r="AF1250" s="99" t="n"/>
      <c r="AG1250" s="99" t="n"/>
      <c r="AH1250" s="99" t="n"/>
      <c r="AI1250" s="99" t="n"/>
      <c r="AJ1250" s="99" t="n"/>
      <c r="AK1250" s="99" t="n"/>
      <c r="AL1250" s="99" t="n"/>
      <c r="AM1250" s="99" t="n"/>
      <c r="AN1250" s="99" t="n"/>
      <c r="AO1250" s="99" t="n"/>
      <c r="AP1250" s="99" t="n"/>
      <c r="AQ1250" s="99" t="n"/>
      <c r="AR1250" s="99" t="n"/>
    </row>
    <row r="1251">
      <c r="D1251" s="100" t="n"/>
      <c r="E1251" s="100" t="n"/>
      <c r="F1251" s="100" t="n"/>
      <c r="G1251" s="100" t="n"/>
      <c r="H1251" s="100" t="n"/>
      <c r="I1251" s="100" t="n"/>
      <c r="J1251" s="100" t="n"/>
      <c r="K1251" s="100" t="n"/>
      <c r="L1251" s="100" t="n"/>
      <c r="M1251" s="100" t="n"/>
      <c r="N1251" s="100" t="n"/>
      <c r="O1251" s="100" t="n"/>
      <c r="P1251" s="100" t="n"/>
      <c r="Q1251" s="100" t="n"/>
      <c r="R1251" s="100" t="n"/>
      <c r="S1251" s="100" t="n"/>
      <c r="T1251" s="100" t="n"/>
      <c r="U1251" s="100" t="n"/>
      <c r="V1251" s="100" t="n"/>
      <c r="W1251" s="100" t="n"/>
      <c r="X1251" s="100" t="n"/>
      <c r="Y1251" s="100" t="n"/>
      <c r="Z1251" s="100" t="n"/>
      <c r="AA1251" s="100" t="n"/>
      <c r="AB1251" s="100" t="n"/>
      <c r="AC1251" s="100" t="n"/>
      <c r="AD1251" s="100" t="n"/>
      <c r="AE1251" s="100" t="n"/>
      <c r="AF1251" s="100" t="n"/>
      <c r="AG1251" s="100" t="n"/>
      <c r="AH1251" s="100" t="n"/>
      <c r="AI1251" s="100" t="n"/>
      <c r="AJ1251" s="100" t="n"/>
      <c r="AK1251" s="100" t="n"/>
      <c r="AL1251" s="100" t="n"/>
      <c r="AM1251" s="100" t="n"/>
      <c r="AN1251" s="100" t="n"/>
      <c r="AO1251" s="100" t="n"/>
      <c r="AP1251" s="100" t="n"/>
      <c r="AQ1251" s="100" t="n"/>
      <c r="AR1251" s="100" t="n"/>
    </row>
    <row r="1254">
      <c r="A1254" s="2">
        <f>IF($A1247="","","   projections")</f>
        <v/>
      </c>
      <c r="B1254" s="96">
        <f>IF($A1247="",0,COUNT($E1255:$AR1255))</f>
        <v/>
      </c>
      <c r="C1254" s="97">
        <f>IF($B1254=0,0,MAX($E1255:$AR1255))</f>
        <v/>
      </c>
      <c r="D1254" s="98">
        <f>BDS($A1247,FLD_PROJ,"headers=y","startcol=1","endcol=3","dir=h")</f>
        <v/>
      </c>
      <c r="E1254" s="99" t="n"/>
      <c r="F1254" s="99" t="n"/>
      <c r="G1254" s="99" t="n"/>
      <c r="H1254" s="99" t="n"/>
      <c r="I1254" s="99" t="n"/>
      <c r="J1254" s="99" t="n"/>
      <c r="K1254" s="99" t="n"/>
      <c r="L1254" s="99" t="n"/>
      <c r="M1254" s="99" t="n"/>
      <c r="N1254" s="99" t="n"/>
      <c r="O1254" s="99" t="n"/>
      <c r="P1254" s="99" t="n"/>
      <c r="Q1254" s="99" t="n"/>
      <c r="R1254" s="99" t="n"/>
      <c r="S1254" s="99" t="n"/>
      <c r="T1254" s="99" t="n"/>
      <c r="U1254" s="99" t="n"/>
      <c r="V1254" s="99" t="n"/>
      <c r="W1254" s="99" t="n"/>
      <c r="X1254" s="99" t="n"/>
      <c r="Y1254" s="99" t="n"/>
      <c r="Z1254" s="99" t="n"/>
      <c r="AA1254" s="99" t="n"/>
      <c r="AB1254" s="99" t="n"/>
      <c r="AC1254" s="99" t="n"/>
      <c r="AD1254" s="99" t="n"/>
      <c r="AE1254" s="99" t="n"/>
      <c r="AF1254" s="99" t="n"/>
      <c r="AG1254" s="99" t="n"/>
      <c r="AH1254" s="99" t="n"/>
      <c r="AI1254" s="99" t="n"/>
      <c r="AJ1254" s="99" t="n"/>
      <c r="AK1254" s="99" t="n"/>
      <c r="AL1254" s="99" t="n"/>
      <c r="AM1254" s="99" t="n"/>
      <c r="AN1254" s="99" t="n"/>
      <c r="AO1254" s="99" t="n"/>
      <c r="AP1254" s="99" t="n"/>
      <c r="AQ1254" s="99" t="n"/>
      <c r="AR1254" s="99" t="n"/>
    </row>
    <row r="1255">
      <c r="D1255" s="99" t="n"/>
      <c r="E1255" s="99" t="n"/>
      <c r="F1255" s="99" t="n"/>
      <c r="G1255" s="99" t="n"/>
      <c r="H1255" s="99" t="n"/>
      <c r="I1255" s="99" t="n"/>
      <c r="J1255" s="99" t="n"/>
      <c r="K1255" s="99" t="n"/>
      <c r="L1255" s="99" t="n"/>
      <c r="M1255" s="99" t="n"/>
      <c r="N1255" s="99" t="n"/>
      <c r="O1255" s="99" t="n"/>
      <c r="P1255" s="99" t="n"/>
      <c r="Q1255" s="99" t="n"/>
      <c r="R1255" s="99" t="n"/>
      <c r="S1255" s="99" t="n"/>
      <c r="T1255" s="99" t="n"/>
      <c r="U1255" s="99" t="n"/>
      <c r="V1255" s="99" t="n"/>
      <c r="W1255" s="99" t="n"/>
      <c r="X1255" s="99" t="n"/>
      <c r="Y1255" s="99" t="n"/>
      <c r="Z1255" s="99" t="n"/>
      <c r="AA1255" s="99" t="n"/>
      <c r="AB1255" s="99" t="n"/>
      <c r="AC1255" s="99" t="n"/>
      <c r="AD1255" s="99" t="n"/>
      <c r="AE1255" s="99" t="n"/>
      <c r="AF1255" s="99" t="n"/>
      <c r="AG1255" s="99" t="n"/>
      <c r="AH1255" s="99" t="n"/>
      <c r="AI1255" s="99" t="n"/>
      <c r="AJ1255" s="99" t="n"/>
      <c r="AK1255" s="99" t="n"/>
      <c r="AL1255" s="99" t="n"/>
      <c r="AM1255" s="99" t="n"/>
      <c r="AN1255" s="99" t="n"/>
      <c r="AO1255" s="99" t="n"/>
      <c r="AP1255" s="99" t="n"/>
      <c r="AQ1255" s="99" t="n"/>
      <c r="AR1255" s="99" t="n"/>
    </row>
    <row r="1256">
      <c r="D1256" s="100" t="n"/>
      <c r="E1256" s="100" t="n"/>
      <c r="F1256" s="100" t="n"/>
      <c r="G1256" s="100" t="n"/>
      <c r="H1256" s="100" t="n"/>
      <c r="I1256" s="100" t="n"/>
      <c r="J1256" s="100" t="n"/>
      <c r="K1256" s="100" t="n"/>
      <c r="L1256" s="100" t="n"/>
      <c r="M1256" s="100" t="n"/>
      <c r="N1256" s="100" t="n"/>
      <c r="O1256" s="100" t="n"/>
      <c r="P1256" s="100" t="n"/>
      <c r="Q1256" s="100" t="n"/>
      <c r="R1256" s="100" t="n"/>
      <c r="S1256" s="100" t="n"/>
      <c r="T1256" s="100" t="n"/>
      <c r="U1256" s="100" t="n"/>
      <c r="V1256" s="100" t="n"/>
      <c r="W1256" s="100" t="n"/>
      <c r="X1256" s="100" t="n"/>
      <c r="Y1256" s="100" t="n"/>
      <c r="Z1256" s="100" t="n"/>
      <c r="AA1256" s="100" t="n"/>
      <c r="AB1256" s="100" t="n"/>
      <c r="AC1256" s="100" t="n"/>
      <c r="AD1256" s="100" t="n"/>
      <c r="AE1256" s="100" t="n"/>
      <c r="AF1256" s="100" t="n"/>
      <c r="AG1256" s="100" t="n"/>
      <c r="AH1256" s="100" t="n"/>
      <c r="AI1256" s="100" t="n"/>
      <c r="AJ1256" s="100" t="n"/>
      <c r="AK1256" s="100" t="n"/>
      <c r="AL1256" s="100" t="n"/>
      <c r="AM1256" s="100" t="n"/>
      <c r="AN1256" s="100" t="n"/>
      <c r="AO1256" s="100" t="n"/>
      <c r="AP1256" s="100" t="n"/>
      <c r="AQ1256" s="100" t="n"/>
      <c r="AR1256" s="100" t="n"/>
    </row>
    <row r="1258">
      <c r="A1258" s="6">
        <f>IF(HSTECH!$C$20="","",HSTECH!$C$20)</f>
        <v/>
      </c>
      <c r="B1258" s="96">
        <f>IF($A1258="",0,COUNT($E1259:$AR1259))</f>
        <v/>
      </c>
      <c r="C1258" s="97">
        <f>IF($B1258=0,0,MAX($E1259:$AR1259))</f>
        <v/>
      </c>
      <c r="D1258" s="98">
        <f>BDS($A1258,FLD_HIST,"headers=y","startcol=1","endcol=7","dir=h","DVD_START_DT",HIST_FROM,"DVD_END_DT",HIST_TO)</f>
        <v/>
      </c>
      <c r="E1258" s="99" t="n"/>
      <c r="F1258" s="99" t="n"/>
      <c r="G1258" s="99" t="n"/>
      <c r="H1258" s="99" t="n"/>
      <c r="I1258" s="99" t="n"/>
      <c r="J1258" s="99" t="n"/>
      <c r="K1258" s="99" t="n"/>
      <c r="L1258" s="99" t="n"/>
      <c r="M1258" s="99" t="n"/>
      <c r="N1258" s="99" t="n"/>
      <c r="O1258" s="99" t="n"/>
      <c r="P1258" s="99" t="n"/>
      <c r="Q1258" s="99" t="n"/>
      <c r="R1258" s="99" t="n"/>
      <c r="S1258" s="99" t="n"/>
      <c r="T1258" s="99" t="n"/>
      <c r="U1258" s="99" t="n"/>
      <c r="V1258" s="99" t="n"/>
      <c r="W1258" s="99" t="n"/>
      <c r="X1258" s="99" t="n"/>
      <c r="Y1258" s="99" t="n"/>
      <c r="Z1258" s="99" t="n"/>
      <c r="AA1258" s="99" t="n"/>
      <c r="AB1258" s="99" t="n"/>
      <c r="AC1258" s="99" t="n"/>
      <c r="AD1258" s="99" t="n"/>
      <c r="AE1258" s="99" t="n"/>
      <c r="AF1258" s="99" t="n"/>
      <c r="AG1258" s="99" t="n"/>
      <c r="AH1258" s="99" t="n"/>
      <c r="AI1258" s="99" t="n"/>
      <c r="AJ1258" s="99" t="n"/>
      <c r="AK1258" s="99" t="n"/>
      <c r="AL1258" s="99" t="n"/>
      <c r="AM1258" s="99" t="n"/>
      <c r="AN1258" s="99" t="n"/>
      <c r="AO1258" s="99" t="n"/>
      <c r="AP1258" s="99" t="n"/>
      <c r="AQ1258" s="99" t="n"/>
      <c r="AR1258" s="99" t="n"/>
    </row>
    <row r="1259">
      <c r="D1259" s="99" t="n"/>
      <c r="E1259" s="99" t="n"/>
      <c r="F1259" s="99" t="n"/>
      <c r="G1259" s="99" t="n"/>
      <c r="H1259" s="99" t="n"/>
      <c r="I1259" s="99" t="n"/>
      <c r="J1259" s="99" t="n"/>
      <c r="K1259" s="99" t="n"/>
      <c r="L1259" s="99" t="n"/>
      <c r="M1259" s="99" t="n"/>
      <c r="N1259" s="99" t="n"/>
      <c r="O1259" s="99" t="n"/>
      <c r="P1259" s="99" t="n"/>
      <c r="Q1259" s="99" t="n"/>
      <c r="R1259" s="99" t="n"/>
      <c r="S1259" s="99" t="n"/>
      <c r="T1259" s="99" t="n"/>
      <c r="U1259" s="99" t="n"/>
      <c r="V1259" s="99" t="n"/>
      <c r="W1259" s="99" t="n"/>
      <c r="X1259" s="99" t="n"/>
      <c r="Y1259" s="99" t="n"/>
      <c r="Z1259" s="99" t="n"/>
      <c r="AA1259" s="99" t="n"/>
      <c r="AB1259" s="99" t="n"/>
      <c r="AC1259" s="99" t="n"/>
      <c r="AD1259" s="99" t="n"/>
      <c r="AE1259" s="99" t="n"/>
      <c r="AF1259" s="99" t="n"/>
      <c r="AG1259" s="99" t="n"/>
      <c r="AH1259" s="99" t="n"/>
      <c r="AI1259" s="99" t="n"/>
      <c r="AJ1259" s="99" t="n"/>
      <c r="AK1259" s="99" t="n"/>
      <c r="AL1259" s="99" t="n"/>
      <c r="AM1259" s="99" t="n"/>
      <c r="AN1259" s="99" t="n"/>
      <c r="AO1259" s="99" t="n"/>
      <c r="AP1259" s="99" t="n"/>
      <c r="AQ1259" s="99" t="n"/>
      <c r="AR1259" s="99" t="n"/>
    </row>
    <row r="1260">
      <c r="D1260" s="99" t="n"/>
      <c r="E1260" s="99" t="n"/>
      <c r="F1260" s="99" t="n"/>
      <c r="G1260" s="99" t="n"/>
      <c r="H1260" s="99" t="n"/>
      <c r="I1260" s="99" t="n"/>
      <c r="J1260" s="99" t="n"/>
      <c r="K1260" s="99" t="n"/>
      <c r="L1260" s="99" t="n"/>
      <c r="M1260" s="99" t="n"/>
      <c r="N1260" s="99" t="n"/>
      <c r="O1260" s="99" t="n"/>
      <c r="P1260" s="99" t="n"/>
      <c r="Q1260" s="99" t="n"/>
      <c r="R1260" s="99" t="n"/>
      <c r="S1260" s="99" t="n"/>
      <c r="T1260" s="99" t="n"/>
      <c r="U1260" s="99" t="n"/>
      <c r="V1260" s="99" t="n"/>
      <c r="W1260" s="99" t="n"/>
      <c r="X1260" s="99" t="n"/>
      <c r="Y1260" s="99" t="n"/>
      <c r="Z1260" s="99" t="n"/>
      <c r="AA1260" s="99" t="n"/>
      <c r="AB1260" s="99" t="n"/>
      <c r="AC1260" s="99" t="n"/>
      <c r="AD1260" s="99" t="n"/>
      <c r="AE1260" s="99" t="n"/>
      <c r="AF1260" s="99" t="n"/>
      <c r="AG1260" s="99" t="n"/>
      <c r="AH1260" s="99" t="n"/>
      <c r="AI1260" s="99" t="n"/>
      <c r="AJ1260" s="99" t="n"/>
      <c r="AK1260" s="99" t="n"/>
      <c r="AL1260" s="99" t="n"/>
      <c r="AM1260" s="99" t="n"/>
      <c r="AN1260" s="99" t="n"/>
      <c r="AO1260" s="99" t="n"/>
      <c r="AP1260" s="99" t="n"/>
      <c r="AQ1260" s="99" t="n"/>
      <c r="AR1260" s="99" t="n"/>
    </row>
    <row r="1261">
      <c r="D1261" s="99" t="n"/>
      <c r="E1261" s="99" t="n"/>
      <c r="F1261" s="99" t="n"/>
      <c r="G1261" s="99" t="n"/>
      <c r="H1261" s="99" t="n"/>
      <c r="I1261" s="99" t="n"/>
      <c r="J1261" s="99" t="n"/>
      <c r="K1261" s="99" t="n"/>
      <c r="L1261" s="99" t="n"/>
      <c r="M1261" s="99" t="n"/>
      <c r="N1261" s="99" t="n"/>
      <c r="O1261" s="99" t="n"/>
      <c r="P1261" s="99" t="n"/>
      <c r="Q1261" s="99" t="n"/>
      <c r="R1261" s="99" t="n"/>
      <c r="S1261" s="99" t="n"/>
      <c r="T1261" s="99" t="n"/>
      <c r="U1261" s="99" t="n"/>
      <c r="V1261" s="99" t="n"/>
      <c r="W1261" s="99" t="n"/>
      <c r="X1261" s="99" t="n"/>
      <c r="Y1261" s="99" t="n"/>
      <c r="Z1261" s="99" t="n"/>
      <c r="AA1261" s="99" t="n"/>
      <c r="AB1261" s="99" t="n"/>
      <c r="AC1261" s="99" t="n"/>
      <c r="AD1261" s="99" t="n"/>
      <c r="AE1261" s="99" t="n"/>
      <c r="AF1261" s="99" t="n"/>
      <c r="AG1261" s="99" t="n"/>
      <c r="AH1261" s="99" t="n"/>
      <c r="AI1261" s="99" t="n"/>
      <c r="AJ1261" s="99" t="n"/>
      <c r="AK1261" s="99" t="n"/>
      <c r="AL1261" s="99" t="n"/>
      <c r="AM1261" s="99" t="n"/>
      <c r="AN1261" s="99" t="n"/>
      <c r="AO1261" s="99" t="n"/>
      <c r="AP1261" s="99" t="n"/>
      <c r="AQ1261" s="99" t="n"/>
      <c r="AR1261" s="99" t="n"/>
    </row>
    <row r="1262">
      <c r="D1262" s="100" t="n"/>
      <c r="E1262" s="100" t="n"/>
      <c r="F1262" s="100" t="n"/>
      <c r="G1262" s="100" t="n"/>
      <c r="H1262" s="100" t="n"/>
      <c r="I1262" s="100" t="n"/>
      <c r="J1262" s="100" t="n"/>
      <c r="K1262" s="100" t="n"/>
      <c r="L1262" s="100" t="n"/>
      <c r="M1262" s="100" t="n"/>
      <c r="N1262" s="100" t="n"/>
      <c r="O1262" s="100" t="n"/>
      <c r="P1262" s="100" t="n"/>
      <c r="Q1262" s="100" t="n"/>
      <c r="R1262" s="100" t="n"/>
      <c r="S1262" s="100" t="n"/>
      <c r="T1262" s="100" t="n"/>
      <c r="U1262" s="100" t="n"/>
      <c r="V1262" s="100" t="n"/>
      <c r="W1262" s="100" t="n"/>
      <c r="X1262" s="100" t="n"/>
      <c r="Y1262" s="100" t="n"/>
      <c r="Z1262" s="100" t="n"/>
      <c r="AA1262" s="100" t="n"/>
      <c r="AB1262" s="100" t="n"/>
      <c r="AC1262" s="100" t="n"/>
      <c r="AD1262" s="100" t="n"/>
      <c r="AE1262" s="100" t="n"/>
      <c r="AF1262" s="100" t="n"/>
      <c r="AG1262" s="100" t="n"/>
      <c r="AH1262" s="100" t="n"/>
      <c r="AI1262" s="100" t="n"/>
      <c r="AJ1262" s="100" t="n"/>
      <c r="AK1262" s="100" t="n"/>
      <c r="AL1262" s="100" t="n"/>
      <c r="AM1262" s="100" t="n"/>
      <c r="AN1262" s="100" t="n"/>
      <c r="AO1262" s="100" t="n"/>
      <c r="AP1262" s="100" t="n"/>
      <c r="AQ1262" s="100" t="n"/>
      <c r="AR1262" s="100" t="n"/>
    </row>
    <row r="1265">
      <c r="A1265" s="2">
        <f>IF($A1258="","","   projections")</f>
        <v/>
      </c>
      <c r="B1265" s="96">
        <f>IF($A1258="",0,COUNT($E1266:$AR1266))</f>
        <v/>
      </c>
      <c r="C1265" s="97">
        <f>IF($B1265=0,0,MAX($E1266:$AR1266))</f>
        <v/>
      </c>
      <c r="D1265" s="98">
        <f>BDS($A1258,FLD_PROJ,"headers=y","startcol=1","endcol=3","dir=h")</f>
        <v/>
      </c>
      <c r="E1265" s="99" t="n"/>
      <c r="F1265" s="99" t="n"/>
      <c r="G1265" s="99" t="n"/>
      <c r="H1265" s="99" t="n"/>
      <c r="I1265" s="99" t="n"/>
      <c r="J1265" s="99" t="n"/>
      <c r="K1265" s="99" t="n"/>
      <c r="L1265" s="99" t="n"/>
      <c r="M1265" s="99" t="n"/>
      <c r="N1265" s="99" t="n"/>
      <c r="O1265" s="99" t="n"/>
      <c r="P1265" s="99" t="n"/>
      <c r="Q1265" s="99" t="n"/>
      <c r="R1265" s="99" t="n"/>
      <c r="S1265" s="99" t="n"/>
      <c r="T1265" s="99" t="n"/>
      <c r="U1265" s="99" t="n"/>
      <c r="V1265" s="99" t="n"/>
      <c r="W1265" s="99" t="n"/>
      <c r="X1265" s="99" t="n"/>
      <c r="Y1265" s="99" t="n"/>
      <c r="Z1265" s="99" t="n"/>
      <c r="AA1265" s="99" t="n"/>
      <c r="AB1265" s="99" t="n"/>
      <c r="AC1265" s="99" t="n"/>
      <c r="AD1265" s="99" t="n"/>
      <c r="AE1265" s="99" t="n"/>
      <c r="AF1265" s="99" t="n"/>
      <c r="AG1265" s="99" t="n"/>
      <c r="AH1265" s="99" t="n"/>
      <c r="AI1265" s="99" t="n"/>
      <c r="AJ1265" s="99" t="n"/>
      <c r="AK1265" s="99" t="n"/>
      <c r="AL1265" s="99" t="n"/>
      <c r="AM1265" s="99" t="n"/>
      <c r="AN1265" s="99" t="n"/>
      <c r="AO1265" s="99" t="n"/>
      <c r="AP1265" s="99" t="n"/>
      <c r="AQ1265" s="99" t="n"/>
      <c r="AR1265" s="99" t="n"/>
    </row>
    <row r="1266">
      <c r="D1266" s="99" t="n"/>
      <c r="E1266" s="99" t="n"/>
      <c r="F1266" s="99" t="n"/>
      <c r="G1266" s="99" t="n"/>
      <c r="H1266" s="99" t="n"/>
      <c r="I1266" s="99" t="n"/>
      <c r="J1266" s="99" t="n"/>
      <c r="K1266" s="99" t="n"/>
      <c r="L1266" s="99" t="n"/>
      <c r="M1266" s="99" t="n"/>
      <c r="N1266" s="99" t="n"/>
      <c r="O1266" s="99" t="n"/>
      <c r="P1266" s="99" t="n"/>
      <c r="Q1266" s="99" t="n"/>
      <c r="R1266" s="99" t="n"/>
      <c r="S1266" s="99" t="n"/>
      <c r="T1266" s="99" t="n"/>
      <c r="U1266" s="99" t="n"/>
      <c r="V1266" s="99" t="n"/>
      <c r="W1266" s="99" t="n"/>
      <c r="X1266" s="99" t="n"/>
      <c r="Y1266" s="99" t="n"/>
      <c r="Z1266" s="99" t="n"/>
      <c r="AA1266" s="99" t="n"/>
      <c r="AB1266" s="99" t="n"/>
      <c r="AC1266" s="99" t="n"/>
      <c r="AD1266" s="99" t="n"/>
      <c r="AE1266" s="99" t="n"/>
      <c r="AF1266" s="99" t="n"/>
      <c r="AG1266" s="99" t="n"/>
      <c r="AH1266" s="99" t="n"/>
      <c r="AI1266" s="99" t="n"/>
      <c r="AJ1266" s="99" t="n"/>
      <c r="AK1266" s="99" t="n"/>
      <c r="AL1266" s="99" t="n"/>
      <c r="AM1266" s="99" t="n"/>
      <c r="AN1266" s="99" t="n"/>
      <c r="AO1266" s="99" t="n"/>
      <c r="AP1266" s="99" t="n"/>
      <c r="AQ1266" s="99" t="n"/>
      <c r="AR1266" s="99" t="n"/>
    </row>
    <row r="1267">
      <c r="D1267" s="100" t="n"/>
      <c r="E1267" s="100" t="n"/>
      <c r="F1267" s="100" t="n"/>
      <c r="G1267" s="100" t="n"/>
      <c r="H1267" s="100" t="n"/>
      <c r="I1267" s="100" t="n"/>
      <c r="J1267" s="100" t="n"/>
      <c r="K1267" s="100" t="n"/>
      <c r="L1267" s="100" t="n"/>
      <c r="M1267" s="100" t="n"/>
      <c r="N1267" s="100" t="n"/>
      <c r="O1267" s="100" t="n"/>
      <c r="P1267" s="100" t="n"/>
      <c r="Q1267" s="100" t="n"/>
      <c r="R1267" s="100" t="n"/>
      <c r="S1267" s="100" t="n"/>
      <c r="T1267" s="100" t="n"/>
      <c r="U1267" s="100" t="n"/>
      <c r="V1267" s="100" t="n"/>
      <c r="W1267" s="100" t="n"/>
      <c r="X1267" s="100" t="n"/>
      <c r="Y1267" s="100" t="n"/>
      <c r="Z1267" s="100" t="n"/>
      <c r="AA1267" s="100" t="n"/>
      <c r="AB1267" s="100" t="n"/>
      <c r="AC1267" s="100" t="n"/>
      <c r="AD1267" s="100" t="n"/>
      <c r="AE1267" s="100" t="n"/>
      <c r="AF1267" s="100" t="n"/>
      <c r="AG1267" s="100" t="n"/>
      <c r="AH1267" s="100" t="n"/>
      <c r="AI1267" s="100" t="n"/>
      <c r="AJ1267" s="100" t="n"/>
      <c r="AK1267" s="100" t="n"/>
      <c r="AL1267" s="100" t="n"/>
      <c r="AM1267" s="100" t="n"/>
      <c r="AN1267" s="100" t="n"/>
      <c r="AO1267" s="100" t="n"/>
      <c r="AP1267" s="100" t="n"/>
      <c r="AQ1267" s="100" t="n"/>
      <c r="AR1267" s="100" t="n"/>
    </row>
    <row r="1269">
      <c r="A1269" s="6">
        <f>IF(HSTECH!$C$21="","",HSTECH!$C$21)</f>
        <v/>
      </c>
      <c r="B1269" s="96">
        <f>IF($A1269="",0,COUNT($E1270:$AR1270))</f>
        <v/>
      </c>
      <c r="C1269" s="97">
        <f>IF($B1269=0,0,MAX($E1270:$AR1270))</f>
        <v/>
      </c>
      <c r="D1269" s="98">
        <f>BDS($A1269,FLD_HIST,"headers=y","startcol=1","endcol=7","dir=h","DVD_START_DT",HIST_FROM,"DVD_END_DT",HIST_TO)</f>
        <v/>
      </c>
      <c r="E1269" s="99" t="n"/>
      <c r="F1269" s="99" t="n"/>
      <c r="G1269" s="99" t="n"/>
      <c r="H1269" s="99" t="n"/>
      <c r="I1269" s="99" t="n"/>
      <c r="J1269" s="99" t="n"/>
      <c r="K1269" s="99" t="n"/>
      <c r="L1269" s="99" t="n"/>
      <c r="M1269" s="99" t="n"/>
      <c r="N1269" s="99" t="n"/>
      <c r="O1269" s="99" t="n"/>
      <c r="P1269" s="99" t="n"/>
      <c r="Q1269" s="99" t="n"/>
      <c r="R1269" s="99" t="n"/>
      <c r="S1269" s="99" t="n"/>
      <c r="T1269" s="99" t="n"/>
      <c r="U1269" s="99" t="n"/>
      <c r="V1269" s="99" t="n"/>
      <c r="W1269" s="99" t="n"/>
      <c r="X1269" s="99" t="n"/>
      <c r="Y1269" s="99" t="n"/>
      <c r="Z1269" s="99" t="n"/>
      <c r="AA1269" s="99" t="n"/>
      <c r="AB1269" s="99" t="n"/>
      <c r="AC1269" s="99" t="n"/>
      <c r="AD1269" s="99" t="n"/>
      <c r="AE1269" s="99" t="n"/>
      <c r="AF1269" s="99" t="n"/>
      <c r="AG1269" s="99" t="n"/>
      <c r="AH1269" s="99" t="n"/>
      <c r="AI1269" s="99" t="n"/>
      <c r="AJ1269" s="99" t="n"/>
      <c r="AK1269" s="99" t="n"/>
      <c r="AL1269" s="99" t="n"/>
      <c r="AM1269" s="99" t="n"/>
      <c r="AN1269" s="99" t="n"/>
      <c r="AO1269" s="99" t="n"/>
      <c r="AP1269" s="99" t="n"/>
      <c r="AQ1269" s="99" t="n"/>
      <c r="AR1269" s="99" t="n"/>
    </row>
    <row r="1270">
      <c r="D1270" s="99" t="n"/>
      <c r="E1270" s="99" t="n"/>
      <c r="F1270" s="99" t="n"/>
      <c r="G1270" s="99" t="n"/>
      <c r="H1270" s="99" t="n"/>
      <c r="I1270" s="99" t="n"/>
      <c r="J1270" s="99" t="n"/>
      <c r="K1270" s="99" t="n"/>
      <c r="L1270" s="99" t="n"/>
      <c r="M1270" s="99" t="n"/>
      <c r="N1270" s="99" t="n"/>
      <c r="O1270" s="99" t="n"/>
      <c r="P1270" s="99" t="n"/>
      <c r="Q1270" s="99" t="n"/>
      <c r="R1270" s="99" t="n"/>
      <c r="S1270" s="99" t="n"/>
      <c r="T1270" s="99" t="n"/>
      <c r="U1270" s="99" t="n"/>
      <c r="V1270" s="99" t="n"/>
      <c r="W1270" s="99" t="n"/>
      <c r="X1270" s="99" t="n"/>
      <c r="Y1270" s="99" t="n"/>
      <c r="Z1270" s="99" t="n"/>
      <c r="AA1270" s="99" t="n"/>
      <c r="AB1270" s="99" t="n"/>
      <c r="AC1270" s="99" t="n"/>
      <c r="AD1270" s="99" t="n"/>
      <c r="AE1270" s="99" t="n"/>
      <c r="AF1270" s="99" t="n"/>
      <c r="AG1270" s="99" t="n"/>
      <c r="AH1270" s="99" t="n"/>
      <c r="AI1270" s="99" t="n"/>
      <c r="AJ1270" s="99" t="n"/>
      <c r="AK1270" s="99" t="n"/>
      <c r="AL1270" s="99" t="n"/>
      <c r="AM1270" s="99" t="n"/>
      <c r="AN1270" s="99" t="n"/>
      <c r="AO1270" s="99" t="n"/>
      <c r="AP1270" s="99" t="n"/>
      <c r="AQ1270" s="99" t="n"/>
      <c r="AR1270" s="99" t="n"/>
    </row>
    <row r="1271">
      <c r="D1271" s="99" t="n"/>
      <c r="E1271" s="99" t="n"/>
      <c r="F1271" s="99" t="n"/>
      <c r="G1271" s="99" t="n"/>
      <c r="H1271" s="99" t="n"/>
      <c r="I1271" s="99" t="n"/>
      <c r="J1271" s="99" t="n"/>
      <c r="K1271" s="99" t="n"/>
      <c r="L1271" s="99" t="n"/>
      <c r="M1271" s="99" t="n"/>
      <c r="N1271" s="99" t="n"/>
      <c r="O1271" s="99" t="n"/>
      <c r="P1271" s="99" t="n"/>
      <c r="Q1271" s="99" t="n"/>
      <c r="R1271" s="99" t="n"/>
      <c r="S1271" s="99" t="n"/>
      <c r="T1271" s="99" t="n"/>
      <c r="U1271" s="99" t="n"/>
      <c r="V1271" s="99" t="n"/>
      <c r="W1271" s="99" t="n"/>
      <c r="X1271" s="99" t="n"/>
      <c r="Y1271" s="99" t="n"/>
      <c r="Z1271" s="99" t="n"/>
      <c r="AA1271" s="99" t="n"/>
      <c r="AB1271" s="99" t="n"/>
      <c r="AC1271" s="99" t="n"/>
      <c r="AD1271" s="99" t="n"/>
      <c r="AE1271" s="99" t="n"/>
      <c r="AF1271" s="99" t="n"/>
      <c r="AG1271" s="99" t="n"/>
      <c r="AH1271" s="99" t="n"/>
      <c r="AI1271" s="99" t="n"/>
      <c r="AJ1271" s="99" t="n"/>
      <c r="AK1271" s="99" t="n"/>
      <c r="AL1271" s="99" t="n"/>
      <c r="AM1271" s="99" t="n"/>
      <c r="AN1271" s="99" t="n"/>
      <c r="AO1271" s="99" t="n"/>
      <c r="AP1271" s="99" t="n"/>
      <c r="AQ1271" s="99" t="n"/>
      <c r="AR1271" s="99" t="n"/>
    </row>
    <row r="1272">
      <c r="D1272" s="99" t="n"/>
      <c r="E1272" s="99" t="n"/>
      <c r="F1272" s="99" t="n"/>
      <c r="G1272" s="99" t="n"/>
      <c r="H1272" s="99" t="n"/>
      <c r="I1272" s="99" t="n"/>
      <c r="J1272" s="99" t="n"/>
      <c r="K1272" s="99" t="n"/>
      <c r="L1272" s="99" t="n"/>
      <c r="M1272" s="99" t="n"/>
      <c r="N1272" s="99" t="n"/>
      <c r="O1272" s="99" t="n"/>
      <c r="P1272" s="99" t="n"/>
      <c r="Q1272" s="99" t="n"/>
      <c r="R1272" s="99" t="n"/>
      <c r="S1272" s="99" t="n"/>
      <c r="T1272" s="99" t="n"/>
      <c r="U1272" s="99" t="n"/>
      <c r="V1272" s="99" t="n"/>
      <c r="W1272" s="99" t="n"/>
      <c r="X1272" s="99" t="n"/>
      <c r="Y1272" s="99" t="n"/>
      <c r="Z1272" s="99" t="n"/>
      <c r="AA1272" s="99" t="n"/>
      <c r="AB1272" s="99" t="n"/>
      <c r="AC1272" s="99" t="n"/>
      <c r="AD1272" s="99" t="n"/>
      <c r="AE1272" s="99" t="n"/>
      <c r="AF1272" s="99" t="n"/>
      <c r="AG1272" s="99" t="n"/>
      <c r="AH1272" s="99" t="n"/>
      <c r="AI1272" s="99" t="n"/>
      <c r="AJ1272" s="99" t="n"/>
      <c r="AK1272" s="99" t="n"/>
      <c r="AL1272" s="99" t="n"/>
      <c r="AM1272" s="99" t="n"/>
      <c r="AN1272" s="99" t="n"/>
      <c r="AO1272" s="99" t="n"/>
      <c r="AP1272" s="99" t="n"/>
      <c r="AQ1272" s="99" t="n"/>
      <c r="AR1272" s="99" t="n"/>
    </row>
    <row r="1273">
      <c r="D1273" s="100" t="n"/>
      <c r="E1273" s="100" t="n"/>
      <c r="F1273" s="100" t="n"/>
      <c r="G1273" s="100" t="n"/>
      <c r="H1273" s="100" t="n"/>
      <c r="I1273" s="100" t="n"/>
      <c r="J1273" s="100" t="n"/>
      <c r="K1273" s="100" t="n"/>
      <c r="L1273" s="100" t="n"/>
      <c r="M1273" s="100" t="n"/>
      <c r="N1273" s="100" t="n"/>
      <c r="O1273" s="100" t="n"/>
      <c r="P1273" s="100" t="n"/>
      <c r="Q1273" s="100" t="n"/>
      <c r="R1273" s="100" t="n"/>
      <c r="S1273" s="100" t="n"/>
      <c r="T1273" s="100" t="n"/>
      <c r="U1273" s="100" t="n"/>
      <c r="V1273" s="100" t="n"/>
      <c r="W1273" s="100" t="n"/>
      <c r="X1273" s="100" t="n"/>
      <c r="Y1273" s="100" t="n"/>
      <c r="Z1273" s="100" t="n"/>
      <c r="AA1273" s="100" t="n"/>
      <c r="AB1273" s="100" t="n"/>
      <c r="AC1273" s="100" t="n"/>
      <c r="AD1273" s="100" t="n"/>
      <c r="AE1273" s="100" t="n"/>
      <c r="AF1273" s="100" t="n"/>
      <c r="AG1273" s="100" t="n"/>
      <c r="AH1273" s="100" t="n"/>
      <c r="AI1273" s="100" t="n"/>
      <c r="AJ1273" s="100" t="n"/>
      <c r="AK1273" s="100" t="n"/>
      <c r="AL1273" s="100" t="n"/>
      <c r="AM1273" s="100" t="n"/>
      <c r="AN1273" s="100" t="n"/>
      <c r="AO1273" s="100" t="n"/>
      <c r="AP1273" s="100" t="n"/>
      <c r="AQ1273" s="100" t="n"/>
      <c r="AR1273" s="100" t="n"/>
    </row>
    <row r="1276">
      <c r="A1276" s="2">
        <f>IF($A1269="","","   projections")</f>
        <v/>
      </c>
      <c r="B1276" s="96">
        <f>IF($A1269="",0,COUNT($E1277:$AR1277))</f>
        <v/>
      </c>
      <c r="C1276" s="97">
        <f>IF($B1276=0,0,MAX($E1277:$AR1277))</f>
        <v/>
      </c>
      <c r="D1276" s="98">
        <f>BDS($A1269,FLD_PROJ,"headers=y","startcol=1","endcol=3","dir=h")</f>
        <v/>
      </c>
      <c r="E1276" s="99" t="n"/>
      <c r="F1276" s="99" t="n"/>
      <c r="G1276" s="99" t="n"/>
      <c r="H1276" s="99" t="n"/>
      <c r="I1276" s="99" t="n"/>
      <c r="J1276" s="99" t="n"/>
      <c r="K1276" s="99" t="n"/>
      <c r="L1276" s="99" t="n"/>
      <c r="M1276" s="99" t="n"/>
      <c r="N1276" s="99" t="n"/>
      <c r="O1276" s="99" t="n"/>
      <c r="P1276" s="99" t="n"/>
      <c r="Q1276" s="99" t="n"/>
      <c r="R1276" s="99" t="n"/>
      <c r="S1276" s="99" t="n"/>
      <c r="T1276" s="99" t="n"/>
      <c r="U1276" s="99" t="n"/>
      <c r="V1276" s="99" t="n"/>
      <c r="W1276" s="99" t="n"/>
      <c r="X1276" s="99" t="n"/>
      <c r="Y1276" s="99" t="n"/>
      <c r="Z1276" s="99" t="n"/>
      <c r="AA1276" s="99" t="n"/>
      <c r="AB1276" s="99" t="n"/>
      <c r="AC1276" s="99" t="n"/>
      <c r="AD1276" s="99" t="n"/>
      <c r="AE1276" s="99" t="n"/>
      <c r="AF1276" s="99" t="n"/>
      <c r="AG1276" s="99" t="n"/>
      <c r="AH1276" s="99" t="n"/>
      <c r="AI1276" s="99" t="n"/>
      <c r="AJ1276" s="99" t="n"/>
      <c r="AK1276" s="99" t="n"/>
      <c r="AL1276" s="99" t="n"/>
      <c r="AM1276" s="99" t="n"/>
      <c r="AN1276" s="99" t="n"/>
      <c r="AO1276" s="99" t="n"/>
      <c r="AP1276" s="99" t="n"/>
      <c r="AQ1276" s="99" t="n"/>
      <c r="AR1276" s="99" t="n"/>
    </row>
    <row r="1277">
      <c r="D1277" s="99" t="n"/>
      <c r="E1277" s="99" t="n"/>
      <c r="F1277" s="99" t="n"/>
      <c r="G1277" s="99" t="n"/>
      <c r="H1277" s="99" t="n"/>
      <c r="I1277" s="99" t="n"/>
      <c r="J1277" s="99" t="n"/>
      <c r="K1277" s="99" t="n"/>
      <c r="L1277" s="99" t="n"/>
      <c r="M1277" s="99" t="n"/>
      <c r="N1277" s="99" t="n"/>
      <c r="O1277" s="99" t="n"/>
      <c r="P1277" s="99" t="n"/>
      <c r="Q1277" s="99" t="n"/>
      <c r="R1277" s="99" t="n"/>
      <c r="S1277" s="99" t="n"/>
      <c r="T1277" s="99" t="n"/>
      <c r="U1277" s="99" t="n"/>
      <c r="V1277" s="99" t="n"/>
      <c r="W1277" s="99" t="n"/>
      <c r="X1277" s="99" t="n"/>
      <c r="Y1277" s="99" t="n"/>
      <c r="Z1277" s="99" t="n"/>
      <c r="AA1277" s="99" t="n"/>
      <c r="AB1277" s="99" t="n"/>
      <c r="AC1277" s="99" t="n"/>
      <c r="AD1277" s="99" t="n"/>
      <c r="AE1277" s="99" t="n"/>
      <c r="AF1277" s="99" t="n"/>
      <c r="AG1277" s="99" t="n"/>
      <c r="AH1277" s="99" t="n"/>
      <c r="AI1277" s="99" t="n"/>
      <c r="AJ1277" s="99" t="n"/>
      <c r="AK1277" s="99" t="n"/>
      <c r="AL1277" s="99" t="n"/>
      <c r="AM1277" s="99" t="n"/>
      <c r="AN1277" s="99" t="n"/>
      <c r="AO1277" s="99" t="n"/>
      <c r="AP1277" s="99" t="n"/>
      <c r="AQ1277" s="99" t="n"/>
      <c r="AR1277" s="99" t="n"/>
    </row>
    <row r="1278">
      <c r="D1278" s="100" t="n"/>
      <c r="E1278" s="100" t="n"/>
      <c r="F1278" s="100" t="n"/>
      <c r="G1278" s="100" t="n"/>
      <c r="H1278" s="100" t="n"/>
      <c r="I1278" s="100" t="n"/>
      <c r="J1278" s="100" t="n"/>
      <c r="K1278" s="100" t="n"/>
      <c r="L1278" s="100" t="n"/>
      <c r="M1278" s="100" t="n"/>
      <c r="N1278" s="100" t="n"/>
      <c r="O1278" s="100" t="n"/>
      <c r="P1278" s="100" t="n"/>
      <c r="Q1278" s="100" t="n"/>
      <c r="R1278" s="100" t="n"/>
      <c r="S1278" s="100" t="n"/>
      <c r="T1278" s="100" t="n"/>
      <c r="U1278" s="100" t="n"/>
      <c r="V1278" s="100" t="n"/>
      <c r="W1278" s="100" t="n"/>
      <c r="X1278" s="100" t="n"/>
      <c r="Y1278" s="100" t="n"/>
      <c r="Z1278" s="100" t="n"/>
      <c r="AA1278" s="100" t="n"/>
      <c r="AB1278" s="100" t="n"/>
      <c r="AC1278" s="100" t="n"/>
      <c r="AD1278" s="100" t="n"/>
      <c r="AE1278" s="100" t="n"/>
      <c r="AF1278" s="100" t="n"/>
      <c r="AG1278" s="100" t="n"/>
      <c r="AH1278" s="100" t="n"/>
      <c r="AI1278" s="100" t="n"/>
      <c r="AJ1278" s="100" t="n"/>
      <c r="AK1278" s="100" t="n"/>
      <c r="AL1278" s="100" t="n"/>
      <c r="AM1278" s="100" t="n"/>
      <c r="AN1278" s="100" t="n"/>
      <c r="AO1278" s="100" t="n"/>
      <c r="AP1278" s="100" t="n"/>
      <c r="AQ1278" s="100" t="n"/>
      <c r="AR1278" s="100" t="n"/>
    </row>
    <row r="1280">
      <c r="A1280" s="6">
        <f>IF(HSTECH!$C$22="","",HSTECH!$C$22)</f>
        <v/>
      </c>
      <c r="B1280" s="96">
        <f>IF($A1280="",0,COUNT($E1281:$AR1281))</f>
        <v/>
      </c>
      <c r="C1280" s="97">
        <f>IF($B1280=0,0,MAX($E1281:$AR1281))</f>
        <v/>
      </c>
      <c r="D1280" s="98">
        <f>BDS($A1280,FLD_HIST,"headers=y","startcol=1","endcol=7","dir=h","DVD_START_DT",HIST_FROM,"DVD_END_DT",HIST_TO)</f>
        <v/>
      </c>
      <c r="E1280" s="99" t="n"/>
      <c r="F1280" s="99" t="n"/>
      <c r="G1280" s="99" t="n"/>
      <c r="H1280" s="99" t="n"/>
      <c r="I1280" s="99" t="n"/>
      <c r="J1280" s="99" t="n"/>
      <c r="K1280" s="99" t="n"/>
      <c r="L1280" s="99" t="n"/>
      <c r="M1280" s="99" t="n"/>
      <c r="N1280" s="99" t="n"/>
      <c r="O1280" s="99" t="n"/>
      <c r="P1280" s="99" t="n"/>
      <c r="Q1280" s="99" t="n"/>
      <c r="R1280" s="99" t="n"/>
      <c r="S1280" s="99" t="n"/>
      <c r="T1280" s="99" t="n"/>
      <c r="U1280" s="99" t="n"/>
      <c r="V1280" s="99" t="n"/>
      <c r="W1280" s="99" t="n"/>
      <c r="X1280" s="99" t="n"/>
      <c r="Y1280" s="99" t="n"/>
      <c r="Z1280" s="99" t="n"/>
      <c r="AA1280" s="99" t="n"/>
      <c r="AB1280" s="99" t="n"/>
      <c r="AC1280" s="99" t="n"/>
      <c r="AD1280" s="99" t="n"/>
      <c r="AE1280" s="99" t="n"/>
      <c r="AF1280" s="99" t="n"/>
      <c r="AG1280" s="99" t="n"/>
      <c r="AH1280" s="99" t="n"/>
      <c r="AI1280" s="99" t="n"/>
      <c r="AJ1280" s="99" t="n"/>
      <c r="AK1280" s="99" t="n"/>
      <c r="AL1280" s="99" t="n"/>
      <c r="AM1280" s="99" t="n"/>
      <c r="AN1280" s="99" t="n"/>
      <c r="AO1280" s="99" t="n"/>
      <c r="AP1280" s="99" t="n"/>
      <c r="AQ1280" s="99" t="n"/>
      <c r="AR1280" s="99" t="n"/>
    </row>
    <row r="1281">
      <c r="D1281" s="99" t="n"/>
      <c r="E1281" s="99" t="n"/>
      <c r="F1281" s="99" t="n"/>
      <c r="G1281" s="99" t="n"/>
      <c r="H1281" s="99" t="n"/>
      <c r="I1281" s="99" t="n"/>
      <c r="J1281" s="99" t="n"/>
      <c r="K1281" s="99" t="n"/>
      <c r="L1281" s="99" t="n"/>
      <c r="M1281" s="99" t="n"/>
      <c r="N1281" s="99" t="n"/>
      <c r="O1281" s="99" t="n"/>
      <c r="P1281" s="99" t="n"/>
      <c r="Q1281" s="99" t="n"/>
      <c r="R1281" s="99" t="n"/>
      <c r="S1281" s="99" t="n"/>
      <c r="T1281" s="99" t="n"/>
      <c r="U1281" s="99" t="n"/>
      <c r="V1281" s="99" t="n"/>
      <c r="W1281" s="99" t="n"/>
      <c r="X1281" s="99" t="n"/>
      <c r="Y1281" s="99" t="n"/>
      <c r="Z1281" s="99" t="n"/>
      <c r="AA1281" s="99" t="n"/>
      <c r="AB1281" s="99" t="n"/>
      <c r="AC1281" s="99" t="n"/>
      <c r="AD1281" s="99" t="n"/>
      <c r="AE1281" s="99" t="n"/>
      <c r="AF1281" s="99" t="n"/>
      <c r="AG1281" s="99" t="n"/>
      <c r="AH1281" s="99" t="n"/>
      <c r="AI1281" s="99" t="n"/>
      <c r="AJ1281" s="99" t="n"/>
      <c r="AK1281" s="99" t="n"/>
      <c r="AL1281" s="99" t="n"/>
      <c r="AM1281" s="99" t="n"/>
      <c r="AN1281" s="99" t="n"/>
      <c r="AO1281" s="99" t="n"/>
      <c r="AP1281" s="99" t="n"/>
      <c r="AQ1281" s="99" t="n"/>
      <c r="AR1281" s="99" t="n"/>
    </row>
    <row r="1282">
      <c r="D1282" s="99" t="n"/>
      <c r="E1282" s="99" t="n"/>
      <c r="F1282" s="99" t="n"/>
      <c r="G1282" s="99" t="n"/>
      <c r="H1282" s="99" t="n"/>
      <c r="I1282" s="99" t="n"/>
      <c r="J1282" s="99" t="n"/>
      <c r="K1282" s="99" t="n"/>
      <c r="L1282" s="99" t="n"/>
      <c r="M1282" s="99" t="n"/>
      <c r="N1282" s="99" t="n"/>
      <c r="O1282" s="99" t="n"/>
      <c r="P1282" s="99" t="n"/>
      <c r="Q1282" s="99" t="n"/>
      <c r="R1282" s="99" t="n"/>
      <c r="S1282" s="99" t="n"/>
      <c r="T1282" s="99" t="n"/>
      <c r="U1282" s="99" t="n"/>
      <c r="V1282" s="99" t="n"/>
      <c r="W1282" s="99" t="n"/>
      <c r="X1282" s="99" t="n"/>
      <c r="Y1282" s="99" t="n"/>
      <c r="Z1282" s="99" t="n"/>
      <c r="AA1282" s="99" t="n"/>
      <c r="AB1282" s="99" t="n"/>
      <c r="AC1282" s="99" t="n"/>
      <c r="AD1282" s="99" t="n"/>
      <c r="AE1282" s="99" t="n"/>
      <c r="AF1282" s="99" t="n"/>
      <c r="AG1282" s="99" t="n"/>
      <c r="AH1282" s="99" t="n"/>
      <c r="AI1282" s="99" t="n"/>
      <c r="AJ1282" s="99" t="n"/>
      <c r="AK1282" s="99" t="n"/>
      <c r="AL1282" s="99" t="n"/>
      <c r="AM1282" s="99" t="n"/>
      <c r="AN1282" s="99" t="n"/>
      <c r="AO1282" s="99" t="n"/>
      <c r="AP1282" s="99" t="n"/>
      <c r="AQ1282" s="99" t="n"/>
      <c r="AR1282" s="99" t="n"/>
    </row>
    <row r="1283">
      <c r="D1283" s="99" t="n"/>
      <c r="E1283" s="99" t="n"/>
      <c r="F1283" s="99" t="n"/>
      <c r="G1283" s="99" t="n"/>
      <c r="H1283" s="99" t="n"/>
      <c r="I1283" s="99" t="n"/>
      <c r="J1283" s="99" t="n"/>
      <c r="K1283" s="99" t="n"/>
      <c r="L1283" s="99" t="n"/>
      <c r="M1283" s="99" t="n"/>
      <c r="N1283" s="99" t="n"/>
      <c r="O1283" s="99" t="n"/>
      <c r="P1283" s="99" t="n"/>
      <c r="Q1283" s="99" t="n"/>
      <c r="R1283" s="99" t="n"/>
      <c r="S1283" s="99" t="n"/>
      <c r="T1283" s="99" t="n"/>
      <c r="U1283" s="99" t="n"/>
      <c r="V1283" s="99" t="n"/>
      <c r="W1283" s="99" t="n"/>
      <c r="X1283" s="99" t="n"/>
      <c r="Y1283" s="99" t="n"/>
      <c r="Z1283" s="99" t="n"/>
      <c r="AA1283" s="99" t="n"/>
      <c r="AB1283" s="99" t="n"/>
      <c r="AC1283" s="99" t="n"/>
      <c r="AD1283" s="99" t="n"/>
      <c r="AE1283" s="99" t="n"/>
      <c r="AF1283" s="99" t="n"/>
      <c r="AG1283" s="99" t="n"/>
      <c r="AH1283" s="99" t="n"/>
      <c r="AI1283" s="99" t="n"/>
      <c r="AJ1283" s="99" t="n"/>
      <c r="AK1283" s="99" t="n"/>
      <c r="AL1283" s="99" t="n"/>
      <c r="AM1283" s="99" t="n"/>
      <c r="AN1283" s="99" t="n"/>
      <c r="AO1283" s="99" t="n"/>
      <c r="AP1283" s="99" t="n"/>
      <c r="AQ1283" s="99" t="n"/>
      <c r="AR1283" s="99" t="n"/>
    </row>
    <row r="1284">
      <c r="D1284" s="100" t="n"/>
      <c r="E1284" s="100" t="n"/>
      <c r="F1284" s="100" t="n"/>
      <c r="G1284" s="100" t="n"/>
      <c r="H1284" s="100" t="n"/>
      <c r="I1284" s="100" t="n"/>
      <c r="J1284" s="100" t="n"/>
      <c r="K1284" s="100" t="n"/>
      <c r="L1284" s="100" t="n"/>
      <c r="M1284" s="100" t="n"/>
      <c r="N1284" s="100" t="n"/>
      <c r="O1284" s="100" t="n"/>
      <c r="P1284" s="100" t="n"/>
      <c r="Q1284" s="100" t="n"/>
      <c r="R1284" s="100" t="n"/>
      <c r="S1284" s="100" t="n"/>
      <c r="T1284" s="100" t="n"/>
      <c r="U1284" s="100" t="n"/>
      <c r="V1284" s="100" t="n"/>
      <c r="W1284" s="100" t="n"/>
      <c r="X1284" s="100" t="n"/>
      <c r="Y1284" s="100" t="n"/>
      <c r="Z1284" s="100" t="n"/>
      <c r="AA1284" s="100" t="n"/>
      <c r="AB1284" s="100" t="n"/>
      <c r="AC1284" s="100" t="n"/>
      <c r="AD1284" s="100" t="n"/>
      <c r="AE1284" s="100" t="n"/>
      <c r="AF1284" s="100" t="n"/>
      <c r="AG1284" s="100" t="n"/>
      <c r="AH1284" s="100" t="n"/>
      <c r="AI1284" s="100" t="n"/>
      <c r="AJ1284" s="100" t="n"/>
      <c r="AK1284" s="100" t="n"/>
      <c r="AL1284" s="100" t="n"/>
      <c r="AM1284" s="100" t="n"/>
      <c r="AN1284" s="100" t="n"/>
      <c r="AO1284" s="100" t="n"/>
      <c r="AP1284" s="100" t="n"/>
      <c r="AQ1284" s="100" t="n"/>
      <c r="AR1284" s="100" t="n"/>
    </row>
    <row r="1287">
      <c r="A1287" s="2">
        <f>IF($A1280="","","   projections")</f>
        <v/>
      </c>
      <c r="B1287" s="96">
        <f>IF($A1280="",0,COUNT($E1288:$AR1288))</f>
        <v/>
      </c>
      <c r="C1287" s="97">
        <f>IF($B1287=0,0,MAX($E1288:$AR1288))</f>
        <v/>
      </c>
      <c r="D1287" s="98">
        <f>BDS($A1280,FLD_PROJ,"headers=y","startcol=1","endcol=3","dir=h")</f>
        <v/>
      </c>
      <c r="E1287" s="99" t="n"/>
      <c r="F1287" s="99" t="n"/>
      <c r="G1287" s="99" t="n"/>
      <c r="H1287" s="99" t="n"/>
      <c r="I1287" s="99" t="n"/>
      <c r="J1287" s="99" t="n"/>
      <c r="K1287" s="99" t="n"/>
      <c r="L1287" s="99" t="n"/>
      <c r="M1287" s="99" t="n"/>
      <c r="N1287" s="99" t="n"/>
      <c r="O1287" s="99" t="n"/>
      <c r="P1287" s="99" t="n"/>
      <c r="Q1287" s="99" t="n"/>
      <c r="R1287" s="99" t="n"/>
      <c r="S1287" s="99" t="n"/>
      <c r="T1287" s="99" t="n"/>
      <c r="U1287" s="99" t="n"/>
      <c r="V1287" s="99" t="n"/>
      <c r="W1287" s="99" t="n"/>
      <c r="X1287" s="99" t="n"/>
      <c r="Y1287" s="99" t="n"/>
      <c r="Z1287" s="99" t="n"/>
      <c r="AA1287" s="99" t="n"/>
      <c r="AB1287" s="99" t="n"/>
      <c r="AC1287" s="99" t="n"/>
      <c r="AD1287" s="99" t="n"/>
      <c r="AE1287" s="99" t="n"/>
      <c r="AF1287" s="99" t="n"/>
      <c r="AG1287" s="99" t="n"/>
      <c r="AH1287" s="99" t="n"/>
      <c r="AI1287" s="99" t="n"/>
      <c r="AJ1287" s="99" t="n"/>
      <c r="AK1287" s="99" t="n"/>
      <c r="AL1287" s="99" t="n"/>
      <c r="AM1287" s="99" t="n"/>
      <c r="AN1287" s="99" t="n"/>
      <c r="AO1287" s="99" t="n"/>
      <c r="AP1287" s="99" t="n"/>
      <c r="AQ1287" s="99" t="n"/>
      <c r="AR1287" s="99" t="n"/>
    </row>
    <row r="1288">
      <c r="D1288" s="99" t="n"/>
      <c r="E1288" s="99" t="n"/>
      <c r="F1288" s="99" t="n"/>
      <c r="G1288" s="99" t="n"/>
      <c r="H1288" s="99" t="n"/>
      <c r="I1288" s="99" t="n"/>
      <c r="J1288" s="99" t="n"/>
      <c r="K1288" s="99" t="n"/>
      <c r="L1288" s="99" t="n"/>
      <c r="M1288" s="99" t="n"/>
      <c r="N1288" s="99" t="n"/>
      <c r="O1288" s="99" t="n"/>
      <c r="P1288" s="99" t="n"/>
      <c r="Q1288" s="99" t="n"/>
      <c r="R1288" s="99" t="n"/>
      <c r="S1288" s="99" t="n"/>
      <c r="T1288" s="99" t="n"/>
      <c r="U1288" s="99" t="n"/>
      <c r="V1288" s="99" t="n"/>
      <c r="W1288" s="99" t="n"/>
      <c r="X1288" s="99" t="n"/>
      <c r="Y1288" s="99" t="n"/>
      <c r="Z1288" s="99" t="n"/>
      <c r="AA1288" s="99" t="n"/>
      <c r="AB1288" s="99" t="n"/>
      <c r="AC1288" s="99" t="n"/>
      <c r="AD1288" s="99" t="n"/>
      <c r="AE1288" s="99" t="n"/>
      <c r="AF1288" s="99" t="n"/>
      <c r="AG1288" s="99" t="n"/>
      <c r="AH1288" s="99" t="n"/>
      <c r="AI1288" s="99" t="n"/>
      <c r="AJ1288" s="99" t="n"/>
      <c r="AK1288" s="99" t="n"/>
      <c r="AL1288" s="99" t="n"/>
      <c r="AM1288" s="99" t="n"/>
      <c r="AN1288" s="99" t="n"/>
      <c r="AO1288" s="99" t="n"/>
      <c r="AP1288" s="99" t="n"/>
      <c r="AQ1288" s="99" t="n"/>
      <c r="AR1288" s="99" t="n"/>
    </row>
    <row r="1289">
      <c r="D1289" s="100" t="n"/>
      <c r="E1289" s="100" t="n"/>
      <c r="F1289" s="100" t="n"/>
      <c r="G1289" s="100" t="n"/>
      <c r="H1289" s="100" t="n"/>
      <c r="I1289" s="100" t="n"/>
      <c r="J1289" s="100" t="n"/>
      <c r="K1289" s="100" t="n"/>
      <c r="L1289" s="100" t="n"/>
      <c r="M1289" s="100" t="n"/>
      <c r="N1289" s="100" t="n"/>
      <c r="O1289" s="100" t="n"/>
      <c r="P1289" s="100" t="n"/>
      <c r="Q1289" s="100" t="n"/>
      <c r="R1289" s="100" t="n"/>
      <c r="S1289" s="100" t="n"/>
      <c r="T1289" s="100" t="n"/>
      <c r="U1289" s="100" t="n"/>
      <c r="V1289" s="100" t="n"/>
      <c r="W1289" s="100" t="n"/>
      <c r="X1289" s="100" t="n"/>
      <c r="Y1289" s="100" t="n"/>
      <c r="Z1289" s="100" t="n"/>
      <c r="AA1289" s="100" t="n"/>
      <c r="AB1289" s="100" t="n"/>
      <c r="AC1289" s="100" t="n"/>
      <c r="AD1289" s="100" t="n"/>
      <c r="AE1289" s="100" t="n"/>
      <c r="AF1289" s="100" t="n"/>
      <c r="AG1289" s="100" t="n"/>
      <c r="AH1289" s="100" t="n"/>
      <c r="AI1289" s="100" t="n"/>
      <c r="AJ1289" s="100" t="n"/>
      <c r="AK1289" s="100" t="n"/>
      <c r="AL1289" s="100" t="n"/>
      <c r="AM1289" s="100" t="n"/>
      <c r="AN1289" s="100" t="n"/>
      <c r="AO1289" s="100" t="n"/>
      <c r="AP1289" s="100" t="n"/>
      <c r="AQ1289" s="100" t="n"/>
      <c r="AR1289" s="100" t="n"/>
    </row>
    <row r="1291">
      <c r="A1291" s="6">
        <f>IF(HSTECH!$C$23="","",HSTECH!$C$23)</f>
        <v/>
      </c>
      <c r="B1291" s="96">
        <f>IF($A1291="",0,COUNT($E1292:$AR1292))</f>
        <v/>
      </c>
      <c r="C1291" s="97">
        <f>IF($B1291=0,0,MAX($E1292:$AR1292))</f>
        <v/>
      </c>
      <c r="D1291" s="98">
        <f>BDS($A1291,FLD_HIST,"headers=y","startcol=1","endcol=7","dir=h","DVD_START_DT",HIST_FROM,"DVD_END_DT",HIST_TO)</f>
        <v/>
      </c>
      <c r="E1291" s="99" t="n"/>
      <c r="F1291" s="99" t="n"/>
      <c r="G1291" s="99" t="n"/>
      <c r="H1291" s="99" t="n"/>
      <c r="I1291" s="99" t="n"/>
      <c r="J1291" s="99" t="n"/>
      <c r="K1291" s="99" t="n"/>
      <c r="L1291" s="99" t="n"/>
      <c r="M1291" s="99" t="n"/>
      <c r="N1291" s="99" t="n"/>
      <c r="O1291" s="99" t="n"/>
      <c r="P1291" s="99" t="n"/>
      <c r="Q1291" s="99" t="n"/>
      <c r="R1291" s="99" t="n"/>
      <c r="S1291" s="99" t="n"/>
      <c r="T1291" s="99" t="n"/>
      <c r="U1291" s="99" t="n"/>
      <c r="V1291" s="99" t="n"/>
      <c r="W1291" s="99" t="n"/>
      <c r="X1291" s="99" t="n"/>
      <c r="Y1291" s="99" t="n"/>
      <c r="Z1291" s="99" t="n"/>
      <c r="AA1291" s="99" t="n"/>
      <c r="AB1291" s="99" t="n"/>
      <c r="AC1291" s="99" t="n"/>
      <c r="AD1291" s="99" t="n"/>
      <c r="AE1291" s="99" t="n"/>
      <c r="AF1291" s="99" t="n"/>
      <c r="AG1291" s="99" t="n"/>
      <c r="AH1291" s="99" t="n"/>
      <c r="AI1291" s="99" t="n"/>
      <c r="AJ1291" s="99" t="n"/>
      <c r="AK1291" s="99" t="n"/>
      <c r="AL1291" s="99" t="n"/>
      <c r="AM1291" s="99" t="n"/>
      <c r="AN1291" s="99" t="n"/>
      <c r="AO1291" s="99" t="n"/>
      <c r="AP1291" s="99" t="n"/>
      <c r="AQ1291" s="99" t="n"/>
      <c r="AR1291" s="99" t="n"/>
    </row>
    <row r="1292">
      <c r="D1292" s="99" t="n"/>
      <c r="E1292" s="99" t="n"/>
      <c r="F1292" s="99" t="n"/>
      <c r="G1292" s="99" t="n"/>
      <c r="H1292" s="99" t="n"/>
      <c r="I1292" s="99" t="n"/>
      <c r="J1292" s="99" t="n"/>
      <c r="K1292" s="99" t="n"/>
      <c r="L1292" s="99" t="n"/>
      <c r="M1292" s="99" t="n"/>
      <c r="N1292" s="99" t="n"/>
      <c r="O1292" s="99" t="n"/>
      <c r="P1292" s="99" t="n"/>
      <c r="Q1292" s="99" t="n"/>
      <c r="R1292" s="99" t="n"/>
      <c r="S1292" s="99" t="n"/>
      <c r="T1292" s="99" t="n"/>
      <c r="U1292" s="99" t="n"/>
      <c r="V1292" s="99" t="n"/>
      <c r="W1292" s="99" t="n"/>
      <c r="X1292" s="99" t="n"/>
      <c r="Y1292" s="99" t="n"/>
      <c r="Z1292" s="99" t="n"/>
      <c r="AA1292" s="99" t="n"/>
      <c r="AB1292" s="99" t="n"/>
      <c r="AC1292" s="99" t="n"/>
      <c r="AD1292" s="99" t="n"/>
      <c r="AE1292" s="99" t="n"/>
      <c r="AF1292" s="99" t="n"/>
      <c r="AG1292" s="99" t="n"/>
      <c r="AH1292" s="99" t="n"/>
      <c r="AI1292" s="99" t="n"/>
      <c r="AJ1292" s="99" t="n"/>
      <c r="AK1292" s="99" t="n"/>
      <c r="AL1292" s="99" t="n"/>
      <c r="AM1292" s="99" t="n"/>
      <c r="AN1292" s="99" t="n"/>
      <c r="AO1292" s="99" t="n"/>
      <c r="AP1292" s="99" t="n"/>
      <c r="AQ1292" s="99" t="n"/>
      <c r="AR1292" s="99" t="n"/>
    </row>
    <row r="1293">
      <c r="D1293" s="99" t="n"/>
      <c r="E1293" s="99" t="n"/>
      <c r="F1293" s="99" t="n"/>
      <c r="G1293" s="99" t="n"/>
      <c r="H1293" s="99" t="n"/>
      <c r="I1293" s="99" t="n"/>
      <c r="J1293" s="99" t="n"/>
      <c r="K1293" s="99" t="n"/>
      <c r="L1293" s="99" t="n"/>
      <c r="M1293" s="99" t="n"/>
      <c r="N1293" s="99" t="n"/>
      <c r="O1293" s="99" t="n"/>
      <c r="P1293" s="99" t="n"/>
      <c r="Q1293" s="99" t="n"/>
      <c r="R1293" s="99" t="n"/>
      <c r="S1293" s="99" t="n"/>
      <c r="T1293" s="99" t="n"/>
      <c r="U1293" s="99" t="n"/>
      <c r="V1293" s="99" t="n"/>
      <c r="W1293" s="99" t="n"/>
      <c r="X1293" s="99" t="n"/>
      <c r="Y1293" s="99" t="n"/>
      <c r="Z1293" s="99" t="n"/>
      <c r="AA1293" s="99" t="n"/>
      <c r="AB1293" s="99" t="n"/>
      <c r="AC1293" s="99" t="n"/>
      <c r="AD1293" s="99" t="n"/>
      <c r="AE1293" s="99" t="n"/>
      <c r="AF1293" s="99" t="n"/>
      <c r="AG1293" s="99" t="n"/>
      <c r="AH1293" s="99" t="n"/>
      <c r="AI1293" s="99" t="n"/>
      <c r="AJ1293" s="99" t="n"/>
      <c r="AK1293" s="99" t="n"/>
      <c r="AL1293" s="99" t="n"/>
      <c r="AM1293" s="99" t="n"/>
      <c r="AN1293" s="99" t="n"/>
      <c r="AO1293" s="99" t="n"/>
      <c r="AP1293" s="99" t="n"/>
      <c r="AQ1293" s="99" t="n"/>
      <c r="AR1293" s="99" t="n"/>
    </row>
    <row r="1294">
      <c r="D1294" s="99" t="n"/>
      <c r="E1294" s="99" t="n"/>
      <c r="F1294" s="99" t="n"/>
      <c r="G1294" s="99" t="n"/>
      <c r="H1294" s="99" t="n"/>
      <c r="I1294" s="99" t="n"/>
      <c r="J1294" s="99" t="n"/>
      <c r="K1294" s="99" t="n"/>
      <c r="L1294" s="99" t="n"/>
      <c r="M1294" s="99" t="n"/>
      <c r="N1294" s="99" t="n"/>
      <c r="O1294" s="99" t="n"/>
      <c r="P1294" s="99" t="n"/>
      <c r="Q1294" s="99" t="n"/>
      <c r="R1294" s="99" t="n"/>
      <c r="S1294" s="99" t="n"/>
      <c r="T1294" s="99" t="n"/>
      <c r="U1294" s="99" t="n"/>
      <c r="V1294" s="99" t="n"/>
      <c r="W1294" s="99" t="n"/>
      <c r="X1294" s="99" t="n"/>
      <c r="Y1294" s="99" t="n"/>
      <c r="Z1294" s="99" t="n"/>
      <c r="AA1294" s="99" t="n"/>
      <c r="AB1294" s="99" t="n"/>
      <c r="AC1294" s="99" t="n"/>
      <c r="AD1294" s="99" t="n"/>
      <c r="AE1294" s="99" t="n"/>
      <c r="AF1294" s="99" t="n"/>
      <c r="AG1294" s="99" t="n"/>
      <c r="AH1294" s="99" t="n"/>
      <c r="AI1294" s="99" t="n"/>
      <c r="AJ1294" s="99" t="n"/>
      <c r="AK1294" s="99" t="n"/>
      <c r="AL1294" s="99" t="n"/>
      <c r="AM1294" s="99" t="n"/>
      <c r="AN1294" s="99" t="n"/>
      <c r="AO1294" s="99" t="n"/>
      <c r="AP1294" s="99" t="n"/>
      <c r="AQ1294" s="99" t="n"/>
      <c r="AR1294" s="99" t="n"/>
    </row>
    <row r="1295">
      <c r="D1295" s="100" t="n"/>
      <c r="E1295" s="100" t="n"/>
      <c r="F1295" s="100" t="n"/>
      <c r="G1295" s="100" t="n"/>
      <c r="H1295" s="100" t="n"/>
      <c r="I1295" s="100" t="n"/>
      <c r="J1295" s="100" t="n"/>
      <c r="K1295" s="100" t="n"/>
      <c r="L1295" s="100" t="n"/>
      <c r="M1295" s="100" t="n"/>
      <c r="N1295" s="100" t="n"/>
      <c r="O1295" s="100" t="n"/>
      <c r="P1295" s="100" t="n"/>
      <c r="Q1295" s="100" t="n"/>
      <c r="R1295" s="100" t="n"/>
      <c r="S1295" s="100" t="n"/>
      <c r="T1295" s="100" t="n"/>
      <c r="U1295" s="100" t="n"/>
      <c r="V1295" s="100" t="n"/>
      <c r="W1295" s="100" t="n"/>
      <c r="X1295" s="100" t="n"/>
      <c r="Y1295" s="100" t="n"/>
      <c r="Z1295" s="100" t="n"/>
      <c r="AA1295" s="100" t="n"/>
      <c r="AB1295" s="100" t="n"/>
      <c r="AC1295" s="100" t="n"/>
      <c r="AD1295" s="100" t="n"/>
      <c r="AE1295" s="100" t="n"/>
      <c r="AF1295" s="100" t="n"/>
      <c r="AG1295" s="100" t="n"/>
      <c r="AH1295" s="100" t="n"/>
      <c r="AI1295" s="100" t="n"/>
      <c r="AJ1295" s="100" t="n"/>
      <c r="AK1295" s="100" t="n"/>
      <c r="AL1295" s="100" t="n"/>
      <c r="AM1295" s="100" t="n"/>
      <c r="AN1295" s="100" t="n"/>
      <c r="AO1295" s="100" t="n"/>
      <c r="AP1295" s="100" t="n"/>
      <c r="AQ1295" s="100" t="n"/>
      <c r="AR1295" s="100" t="n"/>
    </row>
    <row r="1298">
      <c r="A1298" s="2">
        <f>IF($A1291="","","   projections")</f>
        <v/>
      </c>
      <c r="B1298" s="96">
        <f>IF($A1291="",0,COUNT($E1299:$AR1299))</f>
        <v/>
      </c>
      <c r="C1298" s="97">
        <f>IF($B1298=0,0,MAX($E1299:$AR1299))</f>
        <v/>
      </c>
      <c r="D1298" s="98">
        <f>BDS($A1291,FLD_PROJ,"headers=y","startcol=1","endcol=3","dir=h")</f>
        <v/>
      </c>
      <c r="E1298" s="99" t="n"/>
      <c r="F1298" s="99" t="n"/>
      <c r="G1298" s="99" t="n"/>
      <c r="H1298" s="99" t="n"/>
      <c r="I1298" s="99" t="n"/>
      <c r="J1298" s="99" t="n"/>
      <c r="K1298" s="99" t="n"/>
      <c r="L1298" s="99" t="n"/>
      <c r="M1298" s="99" t="n"/>
      <c r="N1298" s="99" t="n"/>
      <c r="O1298" s="99" t="n"/>
      <c r="P1298" s="99" t="n"/>
      <c r="Q1298" s="99" t="n"/>
      <c r="R1298" s="99" t="n"/>
      <c r="S1298" s="99" t="n"/>
      <c r="T1298" s="99" t="n"/>
      <c r="U1298" s="99" t="n"/>
      <c r="V1298" s="99" t="n"/>
      <c r="W1298" s="99" t="n"/>
      <c r="X1298" s="99" t="n"/>
      <c r="Y1298" s="99" t="n"/>
      <c r="Z1298" s="99" t="n"/>
      <c r="AA1298" s="99" t="n"/>
      <c r="AB1298" s="99" t="n"/>
      <c r="AC1298" s="99" t="n"/>
      <c r="AD1298" s="99" t="n"/>
      <c r="AE1298" s="99" t="n"/>
      <c r="AF1298" s="99" t="n"/>
      <c r="AG1298" s="99" t="n"/>
      <c r="AH1298" s="99" t="n"/>
      <c r="AI1298" s="99" t="n"/>
      <c r="AJ1298" s="99" t="n"/>
      <c r="AK1298" s="99" t="n"/>
      <c r="AL1298" s="99" t="n"/>
      <c r="AM1298" s="99" t="n"/>
      <c r="AN1298" s="99" t="n"/>
      <c r="AO1298" s="99" t="n"/>
      <c r="AP1298" s="99" t="n"/>
      <c r="AQ1298" s="99" t="n"/>
      <c r="AR1298" s="99" t="n"/>
    </row>
    <row r="1299">
      <c r="D1299" s="99" t="n"/>
      <c r="E1299" s="99" t="n"/>
      <c r="F1299" s="99" t="n"/>
      <c r="G1299" s="99" t="n"/>
      <c r="H1299" s="99" t="n"/>
      <c r="I1299" s="99" t="n"/>
      <c r="J1299" s="99" t="n"/>
      <c r="K1299" s="99" t="n"/>
      <c r="L1299" s="99" t="n"/>
      <c r="M1299" s="99" t="n"/>
      <c r="N1299" s="99" t="n"/>
      <c r="O1299" s="99" t="n"/>
      <c r="P1299" s="99" t="n"/>
      <c r="Q1299" s="99" t="n"/>
      <c r="R1299" s="99" t="n"/>
      <c r="S1299" s="99" t="n"/>
      <c r="T1299" s="99" t="n"/>
      <c r="U1299" s="99" t="n"/>
      <c r="V1299" s="99" t="n"/>
      <c r="W1299" s="99" t="n"/>
      <c r="X1299" s="99" t="n"/>
      <c r="Y1299" s="99" t="n"/>
      <c r="Z1299" s="99" t="n"/>
      <c r="AA1299" s="99" t="n"/>
      <c r="AB1299" s="99" t="n"/>
      <c r="AC1299" s="99" t="n"/>
      <c r="AD1299" s="99" t="n"/>
      <c r="AE1299" s="99" t="n"/>
      <c r="AF1299" s="99" t="n"/>
      <c r="AG1299" s="99" t="n"/>
      <c r="AH1299" s="99" t="n"/>
      <c r="AI1299" s="99" t="n"/>
      <c r="AJ1299" s="99" t="n"/>
      <c r="AK1299" s="99" t="n"/>
      <c r="AL1299" s="99" t="n"/>
      <c r="AM1299" s="99" t="n"/>
      <c r="AN1299" s="99" t="n"/>
      <c r="AO1299" s="99" t="n"/>
      <c r="AP1299" s="99" t="n"/>
      <c r="AQ1299" s="99" t="n"/>
      <c r="AR1299" s="99" t="n"/>
    </row>
    <row r="1300">
      <c r="D1300" s="100" t="n"/>
      <c r="E1300" s="100" t="n"/>
      <c r="F1300" s="100" t="n"/>
      <c r="G1300" s="100" t="n"/>
      <c r="H1300" s="100" t="n"/>
      <c r="I1300" s="100" t="n"/>
      <c r="J1300" s="100" t="n"/>
      <c r="K1300" s="100" t="n"/>
      <c r="L1300" s="100" t="n"/>
      <c r="M1300" s="100" t="n"/>
      <c r="N1300" s="100" t="n"/>
      <c r="O1300" s="100" t="n"/>
      <c r="P1300" s="100" t="n"/>
      <c r="Q1300" s="100" t="n"/>
      <c r="R1300" s="100" t="n"/>
      <c r="S1300" s="100" t="n"/>
      <c r="T1300" s="100" t="n"/>
      <c r="U1300" s="100" t="n"/>
      <c r="V1300" s="100" t="n"/>
      <c r="W1300" s="100" t="n"/>
      <c r="X1300" s="100" t="n"/>
      <c r="Y1300" s="100" t="n"/>
      <c r="Z1300" s="100" t="n"/>
      <c r="AA1300" s="100" t="n"/>
      <c r="AB1300" s="100" t="n"/>
      <c r="AC1300" s="100" t="n"/>
      <c r="AD1300" s="100" t="n"/>
      <c r="AE1300" s="100" t="n"/>
      <c r="AF1300" s="100" t="n"/>
      <c r="AG1300" s="100" t="n"/>
      <c r="AH1300" s="100" t="n"/>
      <c r="AI1300" s="100" t="n"/>
      <c r="AJ1300" s="100" t="n"/>
      <c r="AK1300" s="100" t="n"/>
      <c r="AL1300" s="100" t="n"/>
      <c r="AM1300" s="100" t="n"/>
      <c r="AN1300" s="100" t="n"/>
      <c r="AO1300" s="100" t="n"/>
      <c r="AP1300" s="100" t="n"/>
      <c r="AQ1300" s="100" t="n"/>
      <c r="AR1300" s="100" t="n"/>
    </row>
    <row r="1302">
      <c r="A1302" s="6">
        <f>IF(HSTECH!$C$24="","",HSTECH!$C$24)</f>
        <v/>
      </c>
      <c r="B1302" s="96">
        <f>IF($A1302="",0,COUNT($E1303:$AR1303))</f>
        <v/>
      </c>
      <c r="C1302" s="97">
        <f>IF($B1302=0,0,MAX($E1303:$AR1303))</f>
        <v/>
      </c>
      <c r="D1302" s="98">
        <f>BDS($A1302,FLD_HIST,"headers=y","startcol=1","endcol=7","dir=h","DVD_START_DT",HIST_FROM,"DVD_END_DT",HIST_TO)</f>
        <v/>
      </c>
      <c r="E1302" s="99" t="n"/>
      <c r="F1302" s="99" t="n"/>
      <c r="G1302" s="99" t="n"/>
      <c r="H1302" s="99" t="n"/>
      <c r="I1302" s="99" t="n"/>
      <c r="J1302" s="99" t="n"/>
      <c r="K1302" s="99" t="n"/>
      <c r="L1302" s="99" t="n"/>
      <c r="M1302" s="99" t="n"/>
      <c r="N1302" s="99" t="n"/>
      <c r="O1302" s="99" t="n"/>
      <c r="P1302" s="99" t="n"/>
      <c r="Q1302" s="99" t="n"/>
      <c r="R1302" s="99" t="n"/>
      <c r="S1302" s="99" t="n"/>
      <c r="T1302" s="99" t="n"/>
      <c r="U1302" s="99" t="n"/>
      <c r="V1302" s="99" t="n"/>
      <c r="W1302" s="99" t="n"/>
      <c r="X1302" s="99" t="n"/>
      <c r="Y1302" s="99" t="n"/>
      <c r="Z1302" s="99" t="n"/>
      <c r="AA1302" s="99" t="n"/>
      <c r="AB1302" s="99" t="n"/>
      <c r="AC1302" s="99" t="n"/>
      <c r="AD1302" s="99" t="n"/>
      <c r="AE1302" s="99" t="n"/>
      <c r="AF1302" s="99" t="n"/>
      <c r="AG1302" s="99" t="n"/>
      <c r="AH1302" s="99" t="n"/>
      <c r="AI1302" s="99" t="n"/>
      <c r="AJ1302" s="99" t="n"/>
      <c r="AK1302" s="99" t="n"/>
      <c r="AL1302" s="99" t="n"/>
      <c r="AM1302" s="99" t="n"/>
      <c r="AN1302" s="99" t="n"/>
      <c r="AO1302" s="99" t="n"/>
      <c r="AP1302" s="99" t="n"/>
      <c r="AQ1302" s="99" t="n"/>
      <c r="AR1302" s="99" t="n"/>
    </row>
    <row r="1303">
      <c r="D1303" s="99" t="n"/>
      <c r="E1303" s="99" t="n"/>
      <c r="F1303" s="99" t="n"/>
      <c r="G1303" s="99" t="n"/>
      <c r="H1303" s="99" t="n"/>
      <c r="I1303" s="99" t="n"/>
      <c r="J1303" s="99" t="n"/>
      <c r="K1303" s="99" t="n"/>
      <c r="L1303" s="99" t="n"/>
      <c r="M1303" s="99" t="n"/>
      <c r="N1303" s="99" t="n"/>
      <c r="O1303" s="99" t="n"/>
      <c r="P1303" s="99" t="n"/>
      <c r="Q1303" s="99" t="n"/>
      <c r="R1303" s="99" t="n"/>
      <c r="S1303" s="99" t="n"/>
      <c r="T1303" s="99" t="n"/>
      <c r="U1303" s="99" t="n"/>
      <c r="V1303" s="99" t="n"/>
      <c r="W1303" s="99" t="n"/>
      <c r="X1303" s="99" t="n"/>
      <c r="Y1303" s="99" t="n"/>
      <c r="Z1303" s="99" t="n"/>
      <c r="AA1303" s="99" t="n"/>
      <c r="AB1303" s="99" t="n"/>
      <c r="AC1303" s="99" t="n"/>
      <c r="AD1303" s="99" t="n"/>
      <c r="AE1303" s="99" t="n"/>
      <c r="AF1303" s="99" t="n"/>
      <c r="AG1303" s="99" t="n"/>
      <c r="AH1303" s="99" t="n"/>
      <c r="AI1303" s="99" t="n"/>
      <c r="AJ1303" s="99" t="n"/>
      <c r="AK1303" s="99" t="n"/>
      <c r="AL1303" s="99" t="n"/>
      <c r="AM1303" s="99" t="n"/>
      <c r="AN1303" s="99" t="n"/>
      <c r="AO1303" s="99" t="n"/>
      <c r="AP1303" s="99" t="n"/>
      <c r="AQ1303" s="99" t="n"/>
      <c r="AR1303" s="99" t="n"/>
    </row>
    <row r="1304">
      <c r="D1304" s="99" t="n"/>
      <c r="E1304" s="99" t="n"/>
      <c r="F1304" s="99" t="n"/>
      <c r="G1304" s="99" t="n"/>
      <c r="H1304" s="99" t="n"/>
      <c r="I1304" s="99" t="n"/>
      <c r="J1304" s="99" t="n"/>
      <c r="K1304" s="99" t="n"/>
      <c r="L1304" s="99" t="n"/>
      <c r="M1304" s="99" t="n"/>
      <c r="N1304" s="99" t="n"/>
      <c r="O1304" s="99" t="n"/>
      <c r="P1304" s="99" t="n"/>
      <c r="Q1304" s="99" t="n"/>
      <c r="R1304" s="99" t="n"/>
      <c r="S1304" s="99" t="n"/>
      <c r="T1304" s="99" t="n"/>
      <c r="U1304" s="99" t="n"/>
      <c r="V1304" s="99" t="n"/>
      <c r="W1304" s="99" t="n"/>
      <c r="X1304" s="99" t="n"/>
      <c r="Y1304" s="99" t="n"/>
      <c r="Z1304" s="99" t="n"/>
      <c r="AA1304" s="99" t="n"/>
      <c r="AB1304" s="99" t="n"/>
      <c r="AC1304" s="99" t="n"/>
      <c r="AD1304" s="99" t="n"/>
      <c r="AE1304" s="99" t="n"/>
      <c r="AF1304" s="99" t="n"/>
      <c r="AG1304" s="99" t="n"/>
      <c r="AH1304" s="99" t="n"/>
      <c r="AI1304" s="99" t="n"/>
      <c r="AJ1304" s="99" t="n"/>
      <c r="AK1304" s="99" t="n"/>
      <c r="AL1304" s="99" t="n"/>
      <c r="AM1304" s="99" t="n"/>
      <c r="AN1304" s="99" t="n"/>
      <c r="AO1304" s="99" t="n"/>
      <c r="AP1304" s="99" t="n"/>
      <c r="AQ1304" s="99" t="n"/>
      <c r="AR1304" s="99" t="n"/>
    </row>
    <row r="1305">
      <c r="D1305" s="99" t="n"/>
      <c r="E1305" s="99" t="n"/>
      <c r="F1305" s="99" t="n"/>
      <c r="G1305" s="99" t="n"/>
      <c r="H1305" s="99" t="n"/>
      <c r="I1305" s="99" t="n"/>
      <c r="J1305" s="99" t="n"/>
      <c r="K1305" s="99" t="n"/>
      <c r="L1305" s="99" t="n"/>
      <c r="M1305" s="99" t="n"/>
      <c r="N1305" s="99" t="n"/>
      <c r="O1305" s="99" t="n"/>
      <c r="P1305" s="99" t="n"/>
      <c r="Q1305" s="99" t="n"/>
      <c r="R1305" s="99" t="n"/>
      <c r="S1305" s="99" t="n"/>
      <c r="T1305" s="99" t="n"/>
      <c r="U1305" s="99" t="n"/>
      <c r="V1305" s="99" t="n"/>
      <c r="W1305" s="99" t="n"/>
      <c r="X1305" s="99" t="n"/>
      <c r="Y1305" s="99" t="n"/>
      <c r="Z1305" s="99" t="n"/>
      <c r="AA1305" s="99" t="n"/>
      <c r="AB1305" s="99" t="n"/>
      <c r="AC1305" s="99" t="n"/>
      <c r="AD1305" s="99" t="n"/>
      <c r="AE1305" s="99" t="n"/>
      <c r="AF1305" s="99" t="n"/>
      <c r="AG1305" s="99" t="n"/>
      <c r="AH1305" s="99" t="n"/>
      <c r="AI1305" s="99" t="n"/>
      <c r="AJ1305" s="99" t="n"/>
      <c r="AK1305" s="99" t="n"/>
      <c r="AL1305" s="99" t="n"/>
      <c r="AM1305" s="99" t="n"/>
      <c r="AN1305" s="99" t="n"/>
      <c r="AO1305" s="99" t="n"/>
      <c r="AP1305" s="99" t="n"/>
      <c r="AQ1305" s="99" t="n"/>
      <c r="AR1305" s="99" t="n"/>
    </row>
    <row r="1306">
      <c r="D1306" s="100" t="n"/>
      <c r="E1306" s="100" t="n"/>
      <c r="F1306" s="100" t="n"/>
      <c r="G1306" s="100" t="n"/>
      <c r="H1306" s="100" t="n"/>
      <c r="I1306" s="100" t="n"/>
      <c r="J1306" s="100" t="n"/>
      <c r="K1306" s="100" t="n"/>
      <c r="L1306" s="100" t="n"/>
      <c r="M1306" s="100" t="n"/>
      <c r="N1306" s="100" t="n"/>
      <c r="O1306" s="100" t="n"/>
      <c r="P1306" s="100" t="n"/>
      <c r="Q1306" s="100" t="n"/>
      <c r="R1306" s="100" t="n"/>
      <c r="S1306" s="100" t="n"/>
      <c r="T1306" s="100" t="n"/>
      <c r="U1306" s="100" t="n"/>
      <c r="V1306" s="100" t="n"/>
      <c r="W1306" s="100" t="n"/>
      <c r="X1306" s="100" t="n"/>
      <c r="Y1306" s="100" t="n"/>
      <c r="Z1306" s="100" t="n"/>
      <c r="AA1306" s="100" t="n"/>
      <c r="AB1306" s="100" t="n"/>
      <c r="AC1306" s="100" t="n"/>
      <c r="AD1306" s="100" t="n"/>
      <c r="AE1306" s="100" t="n"/>
      <c r="AF1306" s="100" t="n"/>
      <c r="AG1306" s="100" t="n"/>
      <c r="AH1306" s="100" t="n"/>
      <c r="AI1306" s="100" t="n"/>
      <c r="AJ1306" s="100" t="n"/>
      <c r="AK1306" s="100" t="n"/>
      <c r="AL1306" s="100" t="n"/>
      <c r="AM1306" s="100" t="n"/>
      <c r="AN1306" s="100" t="n"/>
      <c r="AO1306" s="100" t="n"/>
      <c r="AP1306" s="100" t="n"/>
      <c r="AQ1306" s="100" t="n"/>
      <c r="AR1306" s="100" t="n"/>
    </row>
    <row r="1309">
      <c r="A1309" s="2">
        <f>IF($A1302="","","   projections")</f>
        <v/>
      </c>
      <c r="B1309" s="96">
        <f>IF($A1302="",0,COUNT($E1310:$AR1310))</f>
        <v/>
      </c>
      <c r="C1309" s="97">
        <f>IF($B1309=0,0,MAX($E1310:$AR1310))</f>
        <v/>
      </c>
      <c r="D1309" s="98">
        <f>BDS($A1302,FLD_PROJ,"headers=y","startcol=1","endcol=3","dir=h")</f>
        <v/>
      </c>
      <c r="E1309" s="99" t="n"/>
      <c r="F1309" s="99" t="n"/>
      <c r="G1309" s="99" t="n"/>
      <c r="H1309" s="99" t="n"/>
      <c r="I1309" s="99" t="n"/>
      <c r="J1309" s="99" t="n"/>
      <c r="K1309" s="99" t="n"/>
      <c r="L1309" s="99" t="n"/>
      <c r="M1309" s="99" t="n"/>
      <c r="N1309" s="99" t="n"/>
      <c r="O1309" s="99" t="n"/>
      <c r="P1309" s="99" t="n"/>
      <c r="Q1309" s="99" t="n"/>
      <c r="R1309" s="99" t="n"/>
      <c r="S1309" s="99" t="n"/>
      <c r="T1309" s="99" t="n"/>
      <c r="U1309" s="99" t="n"/>
      <c r="V1309" s="99" t="n"/>
      <c r="W1309" s="99" t="n"/>
      <c r="X1309" s="99" t="n"/>
      <c r="Y1309" s="99" t="n"/>
      <c r="Z1309" s="99" t="n"/>
      <c r="AA1309" s="99" t="n"/>
      <c r="AB1309" s="99" t="n"/>
      <c r="AC1309" s="99" t="n"/>
      <c r="AD1309" s="99" t="n"/>
      <c r="AE1309" s="99" t="n"/>
      <c r="AF1309" s="99" t="n"/>
      <c r="AG1309" s="99" t="n"/>
      <c r="AH1309" s="99" t="n"/>
      <c r="AI1309" s="99" t="n"/>
      <c r="AJ1309" s="99" t="n"/>
      <c r="AK1309" s="99" t="n"/>
      <c r="AL1309" s="99" t="n"/>
      <c r="AM1309" s="99" t="n"/>
      <c r="AN1309" s="99" t="n"/>
      <c r="AO1309" s="99" t="n"/>
      <c r="AP1309" s="99" t="n"/>
      <c r="AQ1309" s="99" t="n"/>
      <c r="AR1309" s="99" t="n"/>
    </row>
    <row r="1310">
      <c r="D1310" s="99" t="n"/>
      <c r="E1310" s="99" t="n"/>
      <c r="F1310" s="99" t="n"/>
      <c r="G1310" s="99" t="n"/>
      <c r="H1310" s="99" t="n"/>
      <c r="I1310" s="99" t="n"/>
      <c r="J1310" s="99" t="n"/>
      <c r="K1310" s="99" t="n"/>
      <c r="L1310" s="99" t="n"/>
      <c r="M1310" s="99" t="n"/>
      <c r="N1310" s="99" t="n"/>
      <c r="O1310" s="99" t="n"/>
      <c r="P1310" s="99" t="n"/>
      <c r="Q1310" s="99" t="n"/>
      <c r="R1310" s="99" t="n"/>
      <c r="S1310" s="99" t="n"/>
      <c r="T1310" s="99" t="n"/>
      <c r="U1310" s="99" t="n"/>
      <c r="V1310" s="99" t="n"/>
      <c r="W1310" s="99" t="n"/>
      <c r="X1310" s="99" t="n"/>
      <c r="Y1310" s="99" t="n"/>
      <c r="Z1310" s="99" t="n"/>
      <c r="AA1310" s="99" t="n"/>
      <c r="AB1310" s="99" t="n"/>
      <c r="AC1310" s="99" t="n"/>
      <c r="AD1310" s="99" t="n"/>
      <c r="AE1310" s="99" t="n"/>
      <c r="AF1310" s="99" t="n"/>
      <c r="AG1310" s="99" t="n"/>
      <c r="AH1310" s="99" t="n"/>
      <c r="AI1310" s="99" t="n"/>
      <c r="AJ1310" s="99" t="n"/>
      <c r="AK1310" s="99" t="n"/>
      <c r="AL1310" s="99" t="n"/>
      <c r="AM1310" s="99" t="n"/>
      <c r="AN1310" s="99" t="n"/>
      <c r="AO1310" s="99" t="n"/>
      <c r="AP1310" s="99" t="n"/>
      <c r="AQ1310" s="99" t="n"/>
      <c r="AR1310" s="99" t="n"/>
    </row>
    <row r="1311">
      <c r="D1311" s="100" t="n"/>
      <c r="E1311" s="100" t="n"/>
      <c r="F1311" s="100" t="n"/>
      <c r="G1311" s="100" t="n"/>
      <c r="H1311" s="100" t="n"/>
      <c r="I1311" s="100" t="n"/>
      <c r="J1311" s="100" t="n"/>
      <c r="K1311" s="100" t="n"/>
      <c r="L1311" s="100" t="n"/>
      <c r="M1311" s="100" t="n"/>
      <c r="N1311" s="100" t="n"/>
      <c r="O1311" s="100" t="n"/>
      <c r="P1311" s="100" t="n"/>
      <c r="Q1311" s="100" t="n"/>
      <c r="R1311" s="100" t="n"/>
      <c r="S1311" s="100" t="n"/>
      <c r="T1311" s="100" t="n"/>
      <c r="U1311" s="100" t="n"/>
      <c r="V1311" s="100" t="n"/>
      <c r="W1311" s="100" t="n"/>
      <c r="X1311" s="100" t="n"/>
      <c r="Y1311" s="100" t="n"/>
      <c r="Z1311" s="100" t="n"/>
      <c r="AA1311" s="100" t="n"/>
      <c r="AB1311" s="100" t="n"/>
      <c r="AC1311" s="100" t="n"/>
      <c r="AD1311" s="100" t="n"/>
      <c r="AE1311" s="100" t="n"/>
      <c r="AF1311" s="100" t="n"/>
      <c r="AG1311" s="100" t="n"/>
      <c r="AH1311" s="100" t="n"/>
      <c r="AI1311" s="100" t="n"/>
      <c r="AJ1311" s="100" t="n"/>
      <c r="AK1311" s="100" t="n"/>
      <c r="AL1311" s="100" t="n"/>
      <c r="AM1311" s="100" t="n"/>
      <c r="AN1311" s="100" t="n"/>
      <c r="AO1311" s="100" t="n"/>
      <c r="AP1311" s="100" t="n"/>
      <c r="AQ1311" s="100" t="n"/>
      <c r="AR1311" s="100" t="n"/>
    </row>
    <row r="1313">
      <c r="A1313" s="6">
        <f>IF(HSTECH!$C$25="","",HSTECH!$C$25)</f>
        <v/>
      </c>
      <c r="B1313" s="96">
        <f>IF($A1313="",0,COUNT($E1314:$AR1314))</f>
        <v/>
      </c>
      <c r="C1313" s="97">
        <f>IF($B1313=0,0,MAX($E1314:$AR1314))</f>
        <v/>
      </c>
      <c r="D1313" s="98">
        <f>BDS($A1313,FLD_HIST,"headers=y","startcol=1","endcol=7","dir=h","DVD_START_DT",HIST_FROM,"DVD_END_DT",HIST_TO)</f>
        <v/>
      </c>
      <c r="E1313" s="99" t="n"/>
      <c r="F1313" s="99" t="n"/>
      <c r="G1313" s="99" t="n"/>
      <c r="H1313" s="99" t="n"/>
      <c r="I1313" s="99" t="n"/>
      <c r="J1313" s="99" t="n"/>
      <c r="K1313" s="99" t="n"/>
      <c r="L1313" s="99" t="n"/>
      <c r="M1313" s="99" t="n"/>
      <c r="N1313" s="99" t="n"/>
      <c r="O1313" s="99" t="n"/>
      <c r="P1313" s="99" t="n"/>
      <c r="Q1313" s="99" t="n"/>
      <c r="R1313" s="99" t="n"/>
      <c r="S1313" s="99" t="n"/>
      <c r="T1313" s="99" t="n"/>
      <c r="U1313" s="99" t="n"/>
      <c r="V1313" s="99" t="n"/>
      <c r="W1313" s="99" t="n"/>
      <c r="X1313" s="99" t="n"/>
      <c r="Y1313" s="99" t="n"/>
      <c r="Z1313" s="99" t="n"/>
      <c r="AA1313" s="99" t="n"/>
      <c r="AB1313" s="99" t="n"/>
      <c r="AC1313" s="99" t="n"/>
      <c r="AD1313" s="99" t="n"/>
      <c r="AE1313" s="99" t="n"/>
      <c r="AF1313" s="99" t="n"/>
      <c r="AG1313" s="99" t="n"/>
      <c r="AH1313" s="99" t="n"/>
      <c r="AI1313" s="99" t="n"/>
      <c r="AJ1313" s="99" t="n"/>
      <c r="AK1313" s="99" t="n"/>
      <c r="AL1313" s="99" t="n"/>
      <c r="AM1313" s="99" t="n"/>
      <c r="AN1313" s="99" t="n"/>
      <c r="AO1313" s="99" t="n"/>
      <c r="AP1313" s="99" t="n"/>
      <c r="AQ1313" s="99" t="n"/>
      <c r="AR1313" s="99" t="n"/>
    </row>
    <row r="1314">
      <c r="D1314" s="99" t="n"/>
      <c r="E1314" s="99" t="n"/>
      <c r="F1314" s="99" t="n"/>
      <c r="G1314" s="99" t="n"/>
      <c r="H1314" s="99" t="n"/>
      <c r="I1314" s="99" t="n"/>
      <c r="J1314" s="99" t="n"/>
      <c r="K1314" s="99" t="n"/>
      <c r="L1314" s="99" t="n"/>
      <c r="M1314" s="99" t="n"/>
      <c r="N1314" s="99" t="n"/>
      <c r="O1314" s="99" t="n"/>
      <c r="P1314" s="99" t="n"/>
      <c r="Q1314" s="99" t="n"/>
      <c r="R1314" s="99" t="n"/>
      <c r="S1314" s="99" t="n"/>
      <c r="T1314" s="99" t="n"/>
      <c r="U1314" s="99" t="n"/>
      <c r="V1314" s="99" t="n"/>
      <c r="W1314" s="99" t="n"/>
      <c r="X1314" s="99" t="n"/>
      <c r="Y1314" s="99" t="n"/>
      <c r="Z1314" s="99" t="n"/>
      <c r="AA1314" s="99" t="n"/>
      <c r="AB1314" s="99" t="n"/>
      <c r="AC1314" s="99" t="n"/>
      <c r="AD1314" s="99" t="n"/>
      <c r="AE1314" s="99" t="n"/>
      <c r="AF1314" s="99" t="n"/>
      <c r="AG1314" s="99" t="n"/>
      <c r="AH1314" s="99" t="n"/>
      <c r="AI1314" s="99" t="n"/>
      <c r="AJ1314" s="99" t="n"/>
      <c r="AK1314" s="99" t="n"/>
      <c r="AL1314" s="99" t="n"/>
      <c r="AM1314" s="99" t="n"/>
      <c r="AN1314" s="99" t="n"/>
      <c r="AO1314" s="99" t="n"/>
      <c r="AP1314" s="99" t="n"/>
      <c r="AQ1314" s="99" t="n"/>
      <c r="AR1314" s="99" t="n"/>
    </row>
    <row r="1315">
      <c r="D1315" s="99" t="n"/>
      <c r="E1315" s="99" t="n"/>
      <c r="F1315" s="99" t="n"/>
      <c r="G1315" s="99" t="n"/>
      <c r="H1315" s="99" t="n"/>
      <c r="I1315" s="99" t="n"/>
      <c r="J1315" s="99" t="n"/>
      <c r="K1315" s="99" t="n"/>
      <c r="L1315" s="99" t="n"/>
      <c r="M1315" s="99" t="n"/>
      <c r="N1315" s="99" t="n"/>
      <c r="O1315" s="99" t="n"/>
      <c r="P1315" s="99" t="n"/>
      <c r="Q1315" s="99" t="n"/>
      <c r="R1315" s="99" t="n"/>
      <c r="S1315" s="99" t="n"/>
      <c r="T1315" s="99" t="n"/>
      <c r="U1315" s="99" t="n"/>
      <c r="V1315" s="99" t="n"/>
      <c r="W1315" s="99" t="n"/>
      <c r="X1315" s="99" t="n"/>
      <c r="Y1315" s="99" t="n"/>
      <c r="Z1315" s="99" t="n"/>
      <c r="AA1315" s="99" t="n"/>
      <c r="AB1315" s="99" t="n"/>
      <c r="AC1315" s="99" t="n"/>
      <c r="AD1315" s="99" t="n"/>
      <c r="AE1315" s="99" t="n"/>
      <c r="AF1315" s="99" t="n"/>
      <c r="AG1315" s="99" t="n"/>
      <c r="AH1315" s="99" t="n"/>
      <c r="AI1315" s="99" t="n"/>
      <c r="AJ1315" s="99" t="n"/>
      <c r="AK1315" s="99" t="n"/>
      <c r="AL1315" s="99" t="n"/>
      <c r="AM1315" s="99" t="n"/>
      <c r="AN1315" s="99" t="n"/>
      <c r="AO1315" s="99" t="n"/>
      <c r="AP1315" s="99" t="n"/>
      <c r="AQ1315" s="99" t="n"/>
      <c r="AR1315" s="99" t="n"/>
    </row>
    <row r="1316">
      <c r="D1316" s="99" t="n"/>
      <c r="E1316" s="99" t="n"/>
      <c r="F1316" s="99" t="n"/>
      <c r="G1316" s="99" t="n"/>
      <c r="H1316" s="99" t="n"/>
      <c r="I1316" s="99" t="n"/>
      <c r="J1316" s="99" t="n"/>
      <c r="K1316" s="99" t="n"/>
      <c r="L1316" s="99" t="n"/>
      <c r="M1316" s="99" t="n"/>
      <c r="N1316" s="99" t="n"/>
      <c r="O1316" s="99" t="n"/>
      <c r="P1316" s="99" t="n"/>
      <c r="Q1316" s="99" t="n"/>
      <c r="R1316" s="99" t="n"/>
      <c r="S1316" s="99" t="n"/>
      <c r="T1316" s="99" t="n"/>
      <c r="U1316" s="99" t="n"/>
      <c r="V1316" s="99" t="n"/>
      <c r="W1316" s="99" t="n"/>
      <c r="X1316" s="99" t="n"/>
      <c r="Y1316" s="99" t="n"/>
      <c r="Z1316" s="99" t="n"/>
      <c r="AA1316" s="99" t="n"/>
      <c r="AB1316" s="99" t="n"/>
      <c r="AC1316" s="99" t="n"/>
      <c r="AD1316" s="99" t="n"/>
      <c r="AE1316" s="99" t="n"/>
      <c r="AF1316" s="99" t="n"/>
      <c r="AG1316" s="99" t="n"/>
      <c r="AH1316" s="99" t="n"/>
      <c r="AI1316" s="99" t="n"/>
      <c r="AJ1316" s="99" t="n"/>
      <c r="AK1316" s="99" t="n"/>
      <c r="AL1316" s="99" t="n"/>
      <c r="AM1316" s="99" t="n"/>
      <c r="AN1316" s="99" t="n"/>
      <c r="AO1316" s="99" t="n"/>
      <c r="AP1316" s="99" t="n"/>
      <c r="AQ1316" s="99" t="n"/>
      <c r="AR1316" s="99" t="n"/>
    </row>
    <row r="1317">
      <c r="D1317" s="100" t="n"/>
      <c r="E1317" s="100" t="n"/>
      <c r="F1317" s="100" t="n"/>
      <c r="G1317" s="100" t="n"/>
      <c r="H1317" s="100" t="n"/>
      <c r="I1317" s="100" t="n"/>
      <c r="J1317" s="100" t="n"/>
      <c r="K1317" s="100" t="n"/>
      <c r="L1317" s="100" t="n"/>
      <c r="M1317" s="100" t="n"/>
      <c r="N1317" s="100" t="n"/>
      <c r="O1317" s="100" t="n"/>
      <c r="P1317" s="100" t="n"/>
      <c r="Q1317" s="100" t="n"/>
      <c r="R1317" s="100" t="n"/>
      <c r="S1317" s="100" t="n"/>
      <c r="T1317" s="100" t="n"/>
      <c r="U1317" s="100" t="n"/>
      <c r="V1317" s="100" t="n"/>
      <c r="W1317" s="100" t="n"/>
      <c r="X1317" s="100" t="n"/>
      <c r="Y1317" s="100" t="n"/>
      <c r="Z1317" s="100" t="n"/>
      <c r="AA1317" s="100" t="n"/>
      <c r="AB1317" s="100" t="n"/>
      <c r="AC1317" s="100" t="n"/>
      <c r="AD1317" s="100" t="n"/>
      <c r="AE1317" s="100" t="n"/>
      <c r="AF1317" s="100" t="n"/>
      <c r="AG1317" s="100" t="n"/>
      <c r="AH1317" s="100" t="n"/>
      <c r="AI1317" s="100" t="n"/>
      <c r="AJ1317" s="100" t="n"/>
      <c r="AK1317" s="100" t="n"/>
      <c r="AL1317" s="100" t="n"/>
      <c r="AM1317" s="100" t="n"/>
      <c r="AN1317" s="100" t="n"/>
      <c r="AO1317" s="100" t="n"/>
      <c r="AP1317" s="100" t="n"/>
      <c r="AQ1317" s="100" t="n"/>
      <c r="AR1317" s="100" t="n"/>
    </row>
    <row r="1320">
      <c r="A1320" s="2">
        <f>IF($A1313="","","   projections")</f>
        <v/>
      </c>
      <c r="B1320" s="96">
        <f>IF($A1313="",0,COUNT($E1321:$AR1321))</f>
        <v/>
      </c>
      <c r="C1320" s="97">
        <f>IF($B1320=0,0,MAX($E1321:$AR1321))</f>
        <v/>
      </c>
      <c r="D1320" s="98">
        <f>BDS($A1313,FLD_PROJ,"headers=y","startcol=1","endcol=3","dir=h")</f>
        <v/>
      </c>
      <c r="E1320" s="99" t="n"/>
      <c r="F1320" s="99" t="n"/>
      <c r="G1320" s="99" t="n"/>
      <c r="H1320" s="99" t="n"/>
      <c r="I1320" s="99" t="n"/>
      <c r="J1320" s="99" t="n"/>
      <c r="K1320" s="99" t="n"/>
      <c r="L1320" s="99" t="n"/>
      <c r="M1320" s="99" t="n"/>
      <c r="N1320" s="99" t="n"/>
      <c r="O1320" s="99" t="n"/>
      <c r="P1320" s="99" t="n"/>
      <c r="Q1320" s="99" t="n"/>
      <c r="R1320" s="99" t="n"/>
      <c r="S1320" s="99" t="n"/>
      <c r="T1320" s="99" t="n"/>
      <c r="U1320" s="99" t="n"/>
      <c r="V1320" s="99" t="n"/>
      <c r="W1320" s="99" t="n"/>
      <c r="X1320" s="99" t="n"/>
      <c r="Y1320" s="99" t="n"/>
      <c r="Z1320" s="99" t="n"/>
      <c r="AA1320" s="99" t="n"/>
      <c r="AB1320" s="99" t="n"/>
      <c r="AC1320" s="99" t="n"/>
      <c r="AD1320" s="99" t="n"/>
      <c r="AE1320" s="99" t="n"/>
      <c r="AF1320" s="99" t="n"/>
      <c r="AG1320" s="99" t="n"/>
      <c r="AH1320" s="99" t="n"/>
      <c r="AI1320" s="99" t="n"/>
      <c r="AJ1320" s="99" t="n"/>
      <c r="AK1320" s="99" t="n"/>
      <c r="AL1320" s="99" t="n"/>
      <c r="AM1320" s="99" t="n"/>
      <c r="AN1320" s="99" t="n"/>
      <c r="AO1320" s="99" t="n"/>
      <c r="AP1320" s="99" t="n"/>
      <c r="AQ1320" s="99" t="n"/>
      <c r="AR1320" s="99" t="n"/>
    </row>
    <row r="1321">
      <c r="D1321" s="99" t="n"/>
      <c r="E1321" s="99" t="n"/>
      <c r="F1321" s="99" t="n"/>
      <c r="G1321" s="99" t="n"/>
      <c r="H1321" s="99" t="n"/>
      <c r="I1321" s="99" t="n"/>
      <c r="J1321" s="99" t="n"/>
      <c r="K1321" s="99" t="n"/>
      <c r="L1321" s="99" t="n"/>
      <c r="M1321" s="99" t="n"/>
      <c r="N1321" s="99" t="n"/>
      <c r="O1321" s="99" t="n"/>
      <c r="P1321" s="99" t="n"/>
      <c r="Q1321" s="99" t="n"/>
      <c r="R1321" s="99" t="n"/>
      <c r="S1321" s="99" t="n"/>
      <c r="T1321" s="99" t="n"/>
      <c r="U1321" s="99" t="n"/>
      <c r="V1321" s="99" t="n"/>
      <c r="W1321" s="99" t="n"/>
      <c r="X1321" s="99" t="n"/>
      <c r="Y1321" s="99" t="n"/>
      <c r="Z1321" s="99" t="n"/>
      <c r="AA1321" s="99" t="n"/>
      <c r="AB1321" s="99" t="n"/>
      <c r="AC1321" s="99" t="n"/>
      <c r="AD1321" s="99" t="n"/>
      <c r="AE1321" s="99" t="n"/>
      <c r="AF1321" s="99" t="n"/>
      <c r="AG1321" s="99" t="n"/>
      <c r="AH1321" s="99" t="n"/>
      <c r="AI1321" s="99" t="n"/>
      <c r="AJ1321" s="99" t="n"/>
      <c r="AK1321" s="99" t="n"/>
      <c r="AL1321" s="99" t="n"/>
      <c r="AM1321" s="99" t="n"/>
      <c r="AN1321" s="99" t="n"/>
      <c r="AO1321" s="99" t="n"/>
      <c r="AP1321" s="99" t="n"/>
      <c r="AQ1321" s="99" t="n"/>
      <c r="AR1321" s="99" t="n"/>
    </row>
    <row r="1322">
      <c r="D1322" s="100" t="n"/>
      <c r="E1322" s="100" t="n"/>
      <c r="F1322" s="100" t="n"/>
      <c r="G1322" s="100" t="n"/>
      <c r="H1322" s="100" t="n"/>
      <c r="I1322" s="100" t="n"/>
      <c r="J1322" s="100" t="n"/>
      <c r="K1322" s="100" t="n"/>
      <c r="L1322" s="100" t="n"/>
      <c r="M1322" s="100" t="n"/>
      <c r="N1322" s="100" t="n"/>
      <c r="O1322" s="100" t="n"/>
      <c r="P1322" s="100" t="n"/>
      <c r="Q1322" s="100" t="n"/>
      <c r="R1322" s="100" t="n"/>
      <c r="S1322" s="100" t="n"/>
      <c r="T1322" s="100" t="n"/>
      <c r="U1322" s="100" t="n"/>
      <c r="V1322" s="100" t="n"/>
      <c r="W1322" s="100" t="n"/>
      <c r="X1322" s="100" t="n"/>
      <c r="Y1322" s="100" t="n"/>
      <c r="Z1322" s="100" t="n"/>
      <c r="AA1322" s="100" t="n"/>
      <c r="AB1322" s="100" t="n"/>
      <c r="AC1322" s="100" t="n"/>
      <c r="AD1322" s="100" t="n"/>
      <c r="AE1322" s="100" t="n"/>
      <c r="AF1322" s="100" t="n"/>
      <c r="AG1322" s="100" t="n"/>
      <c r="AH1322" s="100" t="n"/>
      <c r="AI1322" s="100" t="n"/>
      <c r="AJ1322" s="100" t="n"/>
      <c r="AK1322" s="100" t="n"/>
      <c r="AL1322" s="100" t="n"/>
      <c r="AM1322" s="100" t="n"/>
      <c r="AN1322" s="100" t="n"/>
      <c r="AO1322" s="100" t="n"/>
      <c r="AP1322" s="100" t="n"/>
      <c r="AQ1322" s="100" t="n"/>
      <c r="AR1322" s="100" t="n"/>
    </row>
    <row r="1324">
      <c r="A1324" s="6">
        <f>IF(HSTECH!$C$26="","",HSTECH!$C$26)</f>
        <v/>
      </c>
      <c r="B1324" s="96">
        <f>IF($A1324="",0,COUNT($E1325:$AR1325))</f>
        <v/>
      </c>
      <c r="C1324" s="97">
        <f>IF($B1324=0,0,MAX($E1325:$AR1325))</f>
        <v/>
      </c>
      <c r="D1324" s="98">
        <f>BDS($A1324,FLD_HIST,"headers=y","startcol=1","endcol=7","dir=h","DVD_START_DT",HIST_FROM,"DVD_END_DT",HIST_TO)</f>
        <v/>
      </c>
      <c r="E1324" s="99" t="n"/>
      <c r="F1324" s="99" t="n"/>
      <c r="G1324" s="99" t="n"/>
      <c r="H1324" s="99" t="n"/>
      <c r="I1324" s="99" t="n"/>
      <c r="J1324" s="99" t="n"/>
      <c r="K1324" s="99" t="n"/>
      <c r="L1324" s="99" t="n"/>
      <c r="M1324" s="99" t="n"/>
      <c r="N1324" s="99" t="n"/>
      <c r="O1324" s="99" t="n"/>
      <c r="P1324" s="99" t="n"/>
      <c r="Q1324" s="99" t="n"/>
      <c r="R1324" s="99" t="n"/>
      <c r="S1324" s="99" t="n"/>
      <c r="T1324" s="99" t="n"/>
      <c r="U1324" s="99" t="n"/>
      <c r="V1324" s="99" t="n"/>
      <c r="W1324" s="99" t="n"/>
      <c r="X1324" s="99" t="n"/>
      <c r="Y1324" s="99" t="n"/>
      <c r="Z1324" s="99" t="n"/>
      <c r="AA1324" s="99" t="n"/>
      <c r="AB1324" s="99" t="n"/>
      <c r="AC1324" s="99" t="n"/>
      <c r="AD1324" s="99" t="n"/>
      <c r="AE1324" s="99" t="n"/>
      <c r="AF1324" s="99" t="n"/>
      <c r="AG1324" s="99" t="n"/>
      <c r="AH1324" s="99" t="n"/>
      <c r="AI1324" s="99" t="n"/>
      <c r="AJ1324" s="99" t="n"/>
      <c r="AK1324" s="99" t="n"/>
      <c r="AL1324" s="99" t="n"/>
      <c r="AM1324" s="99" t="n"/>
      <c r="AN1324" s="99" t="n"/>
      <c r="AO1324" s="99" t="n"/>
      <c r="AP1324" s="99" t="n"/>
      <c r="AQ1324" s="99" t="n"/>
      <c r="AR1324" s="99" t="n"/>
    </row>
    <row r="1325">
      <c r="D1325" s="99" t="n"/>
      <c r="E1325" s="99" t="n"/>
      <c r="F1325" s="99" t="n"/>
      <c r="G1325" s="99" t="n"/>
      <c r="H1325" s="99" t="n"/>
      <c r="I1325" s="99" t="n"/>
      <c r="J1325" s="99" t="n"/>
      <c r="K1325" s="99" t="n"/>
      <c r="L1325" s="99" t="n"/>
      <c r="M1325" s="99" t="n"/>
      <c r="N1325" s="99" t="n"/>
      <c r="O1325" s="99" t="n"/>
      <c r="P1325" s="99" t="n"/>
      <c r="Q1325" s="99" t="n"/>
      <c r="R1325" s="99" t="n"/>
      <c r="S1325" s="99" t="n"/>
      <c r="T1325" s="99" t="n"/>
      <c r="U1325" s="99" t="n"/>
      <c r="V1325" s="99" t="n"/>
      <c r="W1325" s="99" t="n"/>
      <c r="X1325" s="99" t="n"/>
      <c r="Y1325" s="99" t="n"/>
      <c r="Z1325" s="99" t="n"/>
      <c r="AA1325" s="99" t="n"/>
      <c r="AB1325" s="99" t="n"/>
      <c r="AC1325" s="99" t="n"/>
      <c r="AD1325" s="99" t="n"/>
      <c r="AE1325" s="99" t="n"/>
      <c r="AF1325" s="99" t="n"/>
      <c r="AG1325" s="99" t="n"/>
      <c r="AH1325" s="99" t="n"/>
      <c r="AI1325" s="99" t="n"/>
      <c r="AJ1325" s="99" t="n"/>
      <c r="AK1325" s="99" t="n"/>
      <c r="AL1325" s="99" t="n"/>
      <c r="AM1325" s="99" t="n"/>
      <c r="AN1325" s="99" t="n"/>
      <c r="AO1325" s="99" t="n"/>
      <c r="AP1325" s="99" t="n"/>
      <c r="AQ1325" s="99" t="n"/>
      <c r="AR1325" s="99" t="n"/>
    </row>
    <row r="1326">
      <c r="D1326" s="99" t="n"/>
      <c r="E1326" s="99" t="n"/>
      <c r="F1326" s="99" t="n"/>
      <c r="G1326" s="99" t="n"/>
      <c r="H1326" s="99" t="n"/>
      <c r="I1326" s="99" t="n"/>
      <c r="J1326" s="99" t="n"/>
      <c r="K1326" s="99" t="n"/>
      <c r="L1326" s="99" t="n"/>
      <c r="M1326" s="99" t="n"/>
      <c r="N1326" s="99" t="n"/>
      <c r="O1326" s="99" t="n"/>
      <c r="P1326" s="99" t="n"/>
      <c r="Q1326" s="99" t="n"/>
      <c r="R1326" s="99" t="n"/>
      <c r="S1326" s="99" t="n"/>
      <c r="T1326" s="99" t="n"/>
      <c r="U1326" s="99" t="n"/>
      <c r="V1326" s="99" t="n"/>
      <c r="W1326" s="99" t="n"/>
      <c r="X1326" s="99" t="n"/>
      <c r="Y1326" s="99" t="n"/>
      <c r="Z1326" s="99" t="n"/>
      <c r="AA1326" s="99" t="n"/>
      <c r="AB1326" s="99" t="n"/>
      <c r="AC1326" s="99" t="n"/>
      <c r="AD1326" s="99" t="n"/>
      <c r="AE1326" s="99" t="n"/>
      <c r="AF1326" s="99" t="n"/>
      <c r="AG1326" s="99" t="n"/>
      <c r="AH1326" s="99" t="n"/>
      <c r="AI1326" s="99" t="n"/>
      <c r="AJ1326" s="99" t="n"/>
      <c r="AK1326" s="99" t="n"/>
      <c r="AL1326" s="99" t="n"/>
      <c r="AM1326" s="99" t="n"/>
      <c r="AN1326" s="99" t="n"/>
      <c r="AO1326" s="99" t="n"/>
      <c r="AP1326" s="99" t="n"/>
      <c r="AQ1326" s="99" t="n"/>
      <c r="AR1326" s="99" t="n"/>
    </row>
    <row r="1327">
      <c r="D1327" s="99" t="n"/>
      <c r="E1327" s="99" t="n"/>
      <c r="F1327" s="99" t="n"/>
      <c r="G1327" s="99" t="n"/>
      <c r="H1327" s="99" t="n"/>
      <c r="I1327" s="99" t="n"/>
      <c r="J1327" s="99" t="n"/>
      <c r="K1327" s="99" t="n"/>
      <c r="L1327" s="99" t="n"/>
      <c r="M1327" s="99" t="n"/>
      <c r="N1327" s="99" t="n"/>
      <c r="O1327" s="99" t="n"/>
      <c r="P1327" s="99" t="n"/>
      <c r="Q1327" s="99" t="n"/>
      <c r="R1327" s="99" t="n"/>
      <c r="S1327" s="99" t="n"/>
      <c r="T1327" s="99" t="n"/>
      <c r="U1327" s="99" t="n"/>
      <c r="V1327" s="99" t="n"/>
      <c r="W1327" s="99" t="n"/>
      <c r="X1327" s="99" t="n"/>
      <c r="Y1327" s="99" t="n"/>
      <c r="Z1327" s="99" t="n"/>
      <c r="AA1327" s="99" t="n"/>
      <c r="AB1327" s="99" t="n"/>
      <c r="AC1327" s="99" t="n"/>
      <c r="AD1327" s="99" t="n"/>
      <c r="AE1327" s="99" t="n"/>
      <c r="AF1327" s="99" t="n"/>
      <c r="AG1327" s="99" t="n"/>
      <c r="AH1327" s="99" t="n"/>
      <c r="AI1327" s="99" t="n"/>
      <c r="AJ1327" s="99" t="n"/>
      <c r="AK1327" s="99" t="n"/>
      <c r="AL1327" s="99" t="n"/>
      <c r="AM1327" s="99" t="n"/>
      <c r="AN1327" s="99" t="n"/>
      <c r="AO1327" s="99" t="n"/>
      <c r="AP1327" s="99" t="n"/>
      <c r="AQ1327" s="99" t="n"/>
      <c r="AR1327" s="99" t="n"/>
    </row>
    <row r="1328">
      <c r="D1328" s="100" t="n"/>
      <c r="E1328" s="100" t="n"/>
      <c r="F1328" s="100" t="n"/>
      <c r="G1328" s="100" t="n"/>
      <c r="H1328" s="100" t="n"/>
      <c r="I1328" s="100" t="n"/>
      <c r="J1328" s="100" t="n"/>
      <c r="K1328" s="100" t="n"/>
      <c r="L1328" s="100" t="n"/>
      <c r="M1328" s="100" t="n"/>
      <c r="N1328" s="100" t="n"/>
      <c r="O1328" s="100" t="n"/>
      <c r="P1328" s="100" t="n"/>
      <c r="Q1328" s="100" t="n"/>
      <c r="R1328" s="100" t="n"/>
      <c r="S1328" s="100" t="n"/>
      <c r="T1328" s="100" t="n"/>
      <c r="U1328" s="100" t="n"/>
      <c r="V1328" s="100" t="n"/>
      <c r="W1328" s="100" t="n"/>
      <c r="X1328" s="100" t="n"/>
      <c r="Y1328" s="100" t="n"/>
      <c r="Z1328" s="100" t="n"/>
      <c r="AA1328" s="100" t="n"/>
      <c r="AB1328" s="100" t="n"/>
      <c r="AC1328" s="100" t="n"/>
      <c r="AD1328" s="100" t="n"/>
      <c r="AE1328" s="100" t="n"/>
      <c r="AF1328" s="100" t="n"/>
      <c r="AG1328" s="100" t="n"/>
      <c r="AH1328" s="100" t="n"/>
      <c r="AI1328" s="100" t="n"/>
      <c r="AJ1328" s="100" t="n"/>
      <c r="AK1328" s="100" t="n"/>
      <c r="AL1328" s="100" t="n"/>
      <c r="AM1328" s="100" t="n"/>
      <c r="AN1328" s="100" t="n"/>
      <c r="AO1328" s="100" t="n"/>
      <c r="AP1328" s="100" t="n"/>
      <c r="AQ1328" s="100" t="n"/>
      <c r="AR1328" s="100" t="n"/>
    </row>
    <row r="1331">
      <c r="A1331" s="2">
        <f>IF($A1324="","","   projections")</f>
        <v/>
      </c>
      <c r="B1331" s="96">
        <f>IF($A1324="",0,COUNT($E1332:$AR1332))</f>
        <v/>
      </c>
      <c r="C1331" s="97">
        <f>IF($B1331=0,0,MAX($E1332:$AR1332))</f>
        <v/>
      </c>
      <c r="D1331" s="98">
        <f>BDS($A1324,FLD_PROJ,"headers=y","startcol=1","endcol=3","dir=h")</f>
        <v/>
      </c>
      <c r="E1331" s="99" t="n"/>
      <c r="F1331" s="99" t="n"/>
      <c r="G1331" s="99" t="n"/>
      <c r="H1331" s="99" t="n"/>
      <c r="I1331" s="99" t="n"/>
      <c r="J1331" s="99" t="n"/>
      <c r="K1331" s="99" t="n"/>
      <c r="L1331" s="99" t="n"/>
      <c r="M1331" s="99" t="n"/>
      <c r="N1331" s="99" t="n"/>
      <c r="O1331" s="99" t="n"/>
      <c r="P1331" s="99" t="n"/>
      <c r="Q1331" s="99" t="n"/>
      <c r="R1331" s="99" t="n"/>
      <c r="S1331" s="99" t="n"/>
      <c r="T1331" s="99" t="n"/>
      <c r="U1331" s="99" t="n"/>
      <c r="V1331" s="99" t="n"/>
      <c r="W1331" s="99" t="n"/>
      <c r="X1331" s="99" t="n"/>
      <c r="Y1331" s="99" t="n"/>
      <c r="Z1331" s="99" t="n"/>
      <c r="AA1331" s="99" t="n"/>
      <c r="AB1331" s="99" t="n"/>
      <c r="AC1331" s="99" t="n"/>
      <c r="AD1331" s="99" t="n"/>
      <c r="AE1331" s="99" t="n"/>
      <c r="AF1331" s="99" t="n"/>
      <c r="AG1331" s="99" t="n"/>
      <c r="AH1331" s="99" t="n"/>
      <c r="AI1331" s="99" t="n"/>
      <c r="AJ1331" s="99" t="n"/>
      <c r="AK1331" s="99" t="n"/>
      <c r="AL1331" s="99" t="n"/>
      <c r="AM1331" s="99" t="n"/>
      <c r="AN1331" s="99" t="n"/>
      <c r="AO1331" s="99" t="n"/>
      <c r="AP1331" s="99" t="n"/>
      <c r="AQ1331" s="99" t="n"/>
      <c r="AR1331" s="99" t="n"/>
    </row>
    <row r="1332">
      <c r="D1332" s="99" t="n"/>
      <c r="E1332" s="99" t="n"/>
      <c r="F1332" s="99" t="n"/>
      <c r="G1332" s="99" t="n"/>
      <c r="H1332" s="99" t="n"/>
      <c r="I1332" s="99" t="n"/>
      <c r="J1332" s="99" t="n"/>
      <c r="K1332" s="99" t="n"/>
      <c r="L1332" s="99" t="n"/>
      <c r="M1332" s="99" t="n"/>
      <c r="N1332" s="99" t="n"/>
      <c r="O1332" s="99" t="n"/>
      <c r="P1332" s="99" t="n"/>
      <c r="Q1332" s="99" t="n"/>
      <c r="R1332" s="99" t="n"/>
      <c r="S1332" s="99" t="n"/>
      <c r="T1332" s="99" t="n"/>
      <c r="U1332" s="99" t="n"/>
      <c r="V1332" s="99" t="n"/>
      <c r="W1332" s="99" t="n"/>
      <c r="X1332" s="99" t="n"/>
      <c r="Y1332" s="99" t="n"/>
      <c r="Z1332" s="99" t="n"/>
      <c r="AA1332" s="99" t="n"/>
      <c r="AB1332" s="99" t="n"/>
      <c r="AC1332" s="99" t="n"/>
      <c r="AD1332" s="99" t="n"/>
      <c r="AE1332" s="99" t="n"/>
      <c r="AF1332" s="99" t="n"/>
      <c r="AG1332" s="99" t="n"/>
      <c r="AH1332" s="99" t="n"/>
      <c r="AI1332" s="99" t="n"/>
      <c r="AJ1332" s="99" t="n"/>
      <c r="AK1332" s="99" t="n"/>
      <c r="AL1332" s="99" t="n"/>
      <c r="AM1332" s="99" t="n"/>
      <c r="AN1332" s="99" t="n"/>
      <c r="AO1332" s="99" t="n"/>
      <c r="AP1332" s="99" t="n"/>
      <c r="AQ1332" s="99" t="n"/>
      <c r="AR1332" s="99" t="n"/>
    </row>
    <row r="1333">
      <c r="D1333" s="100" t="n"/>
      <c r="E1333" s="100" t="n"/>
      <c r="F1333" s="100" t="n"/>
      <c r="G1333" s="100" t="n"/>
      <c r="H1333" s="100" t="n"/>
      <c r="I1333" s="100" t="n"/>
      <c r="J1333" s="100" t="n"/>
      <c r="K1333" s="100" t="n"/>
      <c r="L1333" s="100" t="n"/>
      <c r="M1333" s="100" t="n"/>
      <c r="N1333" s="100" t="n"/>
      <c r="O1333" s="100" t="n"/>
      <c r="P1333" s="100" t="n"/>
      <c r="Q1333" s="100" t="n"/>
      <c r="R1333" s="100" t="n"/>
      <c r="S1333" s="100" t="n"/>
      <c r="T1333" s="100" t="n"/>
      <c r="U1333" s="100" t="n"/>
      <c r="V1333" s="100" t="n"/>
      <c r="W1333" s="100" t="n"/>
      <c r="X1333" s="100" t="n"/>
      <c r="Y1333" s="100" t="n"/>
      <c r="Z1333" s="100" t="n"/>
      <c r="AA1333" s="100" t="n"/>
      <c r="AB1333" s="100" t="n"/>
      <c r="AC1333" s="100" t="n"/>
      <c r="AD1333" s="100" t="n"/>
      <c r="AE1333" s="100" t="n"/>
      <c r="AF1333" s="100" t="n"/>
      <c r="AG1333" s="100" t="n"/>
      <c r="AH1333" s="100" t="n"/>
      <c r="AI1333" s="100" t="n"/>
      <c r="AJ1333" s="100" t="n"/>
      <c r="AK1333" s="100" t="n"/>
      <c r="AL1333" s="100" t="n"/>
      <c r="AM1333" s="100" t="n"/>
      <c r="AN1333" s="100" t="n"/>
      <c r="AO1333" s="100" t="n"/>
      <c r="AP1333" s="100" t="n"/>
      <c r="AQ1333" s="100" t="n"/>
      <c r="AR1333" s="100" t="n"/>
    </row>
    <row r="1335">
      <c r="A1335" s="6">
        <f>IF(HSTECH!$C$27="","",HSTECH!$C$27)</f>
        <v/>
      </c>
      <c r="B1335" s="96">
        <f>IF($A1335="",0,COUNT($E1336:$AR1336))</f>
        <v/>
      </c>
      <c r="C1335" s="97">
        <f>IF($B1335=0,0,MAX($E1336:$AR1336))</f>
        <v/>
      </c>
      <c r="D1335" s="98">
        <f>BDS($A1335,FLD_HIST,"headers=y","startcol=1","endcol=7","dir=h","DVD_START_DT",HIST_FROM,"DVD_END_DT",HIST_TO)</f>
        <v/>
      </c>
      <c r="E1335" s="99" t="n"/>
      <c r="F1335" s="99" t="n"/>
      <c r="G1335" s="99" t="n"/>
      <c r="H1335" s="99" t="n"/>
      <c r="I1335" s="99" t="n"/>
      <c r="J1335" s="99" t="n"/>
      <c r="K1335" s="99" t="n"/>
      <c r="L1335" s="99" t="n"/>
      <c r="M1335" s="99" t="n"/>
      <c r="N1335" s="99" t="n"/>
      <c r="O1335" s="99" t="n"/>
      <c r="P1335" s="99" t="n"/>
      <c r="Q1335" s="99" t="n"/>
      <c r="R1335" s="99" t="n"/>
      <c r="S1335" s="99" t="n"/>
      <c r="T1335" s="99" t="n"/>
      <c r="U1335" s="99" t="n"/>
      <c r="V1335" s="99" t="n"/>
      <c r="W1335" s="99" t="n"/>
      <c r="X1335" s="99" t="n"/>
      <c r="Y1335" s="99" t="n"/>
      <c r="Z1335" s="99" t="n"/>
      <c r="AA1335" s="99" t="n"/>
      <c r="AB1335" s="99" t="n"/>
      <c r="AC1335" s="99" t="n"/>
      <c r="AD1335" s="99" t="n"/>
      <c r="AE1335" s="99" t="n"/>
      <c r="AF1335" s="99" t="n"/>
      <c r="AG1335" s="99" t="n"/>
      <c r="AH1335" s="99" t="n"/>
      <c r="AI1335" s="99" t="n"/>
      <c r="AJ1335" s="99" t="n"/>
      <c r="AK1335" s="99" t="n"/>
      <c r="AL1335" s="99" t="n"/>
      <c r="AM1335" s="99" t="n"/>
      <c r="AN1335" s="99" t="n"/>
      <c r="AO1335" s="99" t="n"/>
      <c r="AP1335" s="99" t="n"/>
      <c r="AQ1335" s="99" t="n"/>
      <c r="AR1335" s="99" t="n"/>
    </row>
    <row r="1336">
      <c r="D1336" s="99" t="n"/>
      <c r="E1336" s="99" t="n"/>
      <c r="F1336" s="99" t="n"/>
      <c r="G1336" s="99" t="n"/>
      <c r="H1336" s="99" t="n"/>
      <c r="I1336" s="99" t="n"/>
      <c r="J1336" s="99" t="n"/>
      <c r="K1336" s="99" t="n"/>
      <c r="L1336" s="99" t="n"/>
      <c r="M1336" s="99" t="n"/>
      <c r="N1336" s="99" t="n"/>
      <c r="O1336" s="99" t="n"/>
      <c r="P1336" s="99" t="n"/>
      <c r="Q1336" s="99" t="n"/>
      <c r="R1336" s="99" t="n"/>
      <c r="S1336" s="99" t="n"/>
      <c r="T1336" s="99" t="n"/>
      <c r="U1336" s="99" t="n"/>
      <c r="V1336" s="99" t="n"/>
      <c r="W1336" s="99" t="n"/>
      <c r="X1336" s="99" t="n"/>
      <c r="Y1336" s="99" t="n"/>
      <c r="Z1336" s="99" t="n"/>
      <c r="AA1336" s="99" t="n"/>
      <c r="AB1336" s="99" t="n"/>
      <c r="AC1336" s="99" t="n"/>
      <c r="AD1336" s="99" t="n"/>
      <c r="AE1336" s="99" t="n"/>
      <c r="AF1336" s="99" t="n"/>
      <c r="AG1336" s="99" t="n"/>
      <c r="AH1336" s="99" t="n"/>
      <c r="AI1336" s="99" t="n"/>
      <c r="AJ1336" s="99" t="n"/>
      <c r="AK1336" s="99" t="n"/>
      <c r="AL1336" s="99" t="n"/>
      <c r="AM1336" s="99" t="n"/>
      <c r="AN1336" s="99" t="n"/>
      <c r="AO1336" s="99" t="n"/>
      <c r="AP1336" s="99" t="n"/>
      <c r="AQ1336" s="99" t="n"/>
      <c r="AR1336" s="99" t="n"/>
    </row>
    <row r="1337">
      <c r="D1337" s="99" t="n"/>
      <c r="E1337" s="99" t="n"/>
      <c r="F1337" s="99" t="n"/>
      <c r="G1337" s="99" t="n"/>
      <c r="H1337" s="99" t="n"/>
      <c r="I1337" s="99" t="n"/>
      <c r="J1337" s="99" t="n"/>
      <c r="K1337" s="99" t="n"/>
      <c r="L1337" s="99" t="n"/>
      <c r="M1337" s="99" t="n"/>
      <c r="N1337" s="99" t="n"/>
      <c r="O1337" s="99" t="n"/>
      <c r="P1337" s="99" t="n"/>
      <c r="Q1337" s="99" t="n"/>
      <c r="R1337" s="99" t="n"/>
      <c r="S1337" s="99" t="n"/>
      <c r="T1337" s="99" t="n"/>
      <c r="U1337" s="99" t="n"/>
      <c r="V1337" s="99" t="n"/>
      <c r="W1337" s="99" t="n"/>
      <c r="X1337" s="99" t="n"/>
      <c r="Y1337" s="99" t="n"/>
      <c r="Z1337" s="99" t="n"/>
      <c r="AA1337" s="99" t="n"/>
      <c r="AB1337" s="99" t="n"/>
      <c r="AC1337" s="99" t="n"/>
      <c r="AD1337" s="99" t="n"/>
      <c r="AE1337" s="99" t="n"/>
      <c r="AF1337" s="99" t="n"/>
      <c r="AG1337" s="99" t="n"/>
      <c r="AH1337" s="99" t="n"/>
      <c r="AI1337" s="99" t="n"/>
      <c r="AJ1337" s="99" t="n"/>
      <c r="AK1337" s="99" t="n"/>
      <c r="AL1337" s="99" t="n"/>
      <c r="AM1337" s="99" t="n"/>
      <c r="AN1337" s="99" t="n"/>
      <c r="AO1337" s="99" t="n"/>
      <c r="AP1337" s="99" t="n"/>
      <c r="AQ1337" s="99" t="n"/>
      <c r="AR1337" s="99" t="n"/>
    </row>
    <row r="1338">
      <c r="D1338" s="99" t="n"/>
      <c r="E1338" s="99" t="n"/>
      <c r="F1338" s="99" t="n"/>
      <c r="G1338" s="99" t="n"/>
      <c r="H1338" s="99" t="n"/>
      <c r="I1338" s="99" t="n"/>
      <c r="J1338" s="99" t="n"/>
      <c r="K1338" s="99" t="n"/>
      <c r="L1338" s="99" t="n"/>
      <c r="M1338" s="99" t="n"/>
      <c r="N1338" s="99" t="n"/>
      <c r="O1338" s="99" t="n"/>
      <c r="P1338" s="99" t="n"/>
      <c r="Q1338" s="99" t="n"/>
      <c r="R1338" s="99" t="n"/>
      <c r="S1338" s="99" t="n"/>
      <c r="T1338" s="99" t="n"/>
      <c r="U1338" s="99" t="n"/>
      <c r="V1338" s="99" t="n"/>
      <c r="W1338" s="99" t="n"/>
      <c r="X1338" s="99" t="n"/>
      <c r="Y1338" s="99" t="n"/>
      <c r="Z1338" s="99" t="n"/>
      <c r="AA1338" s="99" t="n"/>
      <c r="AB1338" s="99" t="n"/>
      <c r="AC1338" s="99" t="n"/>
      <c r="AD1338" s="99" t="n"/>
      <c r="AE1338" s="99" t="n"/>
      <c r="AF1338" s="99" t="n"/>
      <c r="AG1338" s="99" t="n"/>
      <c r="AH1338" s="99" t="n"/>
      <c r="AI1338" s="99" t="n"/>
      <c r="AJ1338" s="99" t="n"/>
      <c r="AK1338" s="99" t="n"/>
      <c r="AL1338" s="99" t="n"/>
      <c r="AM1338" s="99" t="n"/>
      <c r="AN1338" s="99" t="n"/>
      <c r="AO1338" s="99" t="n"/>
      <c r="AP1338" s="99" t="n"/>
      <c r="AQ1338" s="99" t="n"/>
      <c r="AR1338" s="99" t="n"/>
    </row>
    <row r="1339">
      <c r="D1339" s="100" t="n"/>
      <c r="E1339" s="100" t="n"/>
      <c r="F1339" s="100" t="n"/>
      <c r="G1339" s="100" t="n"/>
      <c r="H1339" s="100" t="n"/>
      <c r="I1339" s="100" t="n"/>
      <c r="J1339" s="100" t="n"/>
      <c r="K1339" s="100" t="n"/>
      <c r="L1339" s="100" t="n"/>
      <c r="M1339" s="100" t="n"/>
      <c r="N1339" s="100" t="n"/>
      <c r="O1339" s="100" t="n"/>
      <c r="P1339" s="100" t="n"/>
      <c r="Q1339" s="100" t="n"/>
      <c r="R1339" s="100" t="n"/>
      <c r="S1339" s="100" t="n"/>
      <c r="T1339" s="100" t="n"/>
      <c r="U1339" s="100" t="n"/>
      <c r="V1339" s="100" t="n"/>
      <c r="W1339" s="100" t="n"/>
      <c r="X1339" s="100" t="n"/>
      <c r="Y1339" s="100" t="n"/>
      <c r="Z1339" s="100" t="n"/>
      <c r="AA1339" s="100" t="n"/>
      <c r="AB1339" s="100" t="n"/>
      <c r="AC1339" s="100" t="n"/>
      <c r="AD1339" s="100" t="n"/>
      <c r="AE1339" s="100" t="n"/>
      <c r="AF1339" s="100" t="n"/>
      <c r="AG1339" s="100" t="n"/>
      <c r="AH1339" s="100" t="n"/>
      <c r="AI1339" s="100" t="n"/>
      <c r="AJ1339" s="100" t="n"/>
      <c r="AK1339" s="100" t="n"/>
      <c r="AL1339" s="100" t="n"/>
      <c r="AM1339" s="100" t="n"/>
      <c r="AN1339" s="100" t="n"/>
      <c r="AO1339" s="100" t="n"/>
      <c r="AP1339" s="100" t="n"/>
      <c r="AQ1339" s="100" t="n"/>
      <c r="AR1339" s="100" t="n"/>
    </row>
    <row r="1342">
      <c r="A1342" s="2">
        <f>IF($A1335="","","   projections")</f>
        <v/>
      </c>
      <c r="B1342" s="96">
        <f>IF($A1335="",0,COUNT($E1343:$AR1343))</f>
        <v/>
      </c>
      <c r="C1342" s="97">
        <f>IF($B1342=0,0,MAX($E1343:$AR1343))</f>
        <v/>
      </c>
      <c r="D1342" s="98">
        <f>BDS($A1335,FLD_PROJ,"headers=y","startcol=1","endcol=3","dir=h")</f>
        <v/>
      </c>
      <c r="E1342" s="99" t="n"/>
      <c r="F1342" s="99" t="n"/>
      <c r="G1342" s="99" t="n"/>
      <c r="H1342" s="99" t="n"/>
      <c r="I1342" s="99" t="n"/>
      <c r="J1342" s="99" t="n"/>
      <c r="K1342" s="99" t="n"/>
      <c r="L1342" s="99" t="n"/>
      <c r="M1342" s="99" t="n"/>
      <c r="N1342" s="99" t="n"/>
      <c r="O1342" s="99" t="n"/>
      <c r="P1342" s="99" t="n"/>
      <c r="Q1342" s="99" t="n"/>
      <c r="R1342" s="99" t="n"/>
      <c r="S1342" s="99" t="n"/>
      <c r="T1342" s="99" t="n"/>
      <c r="U1342" s="99" t="n"/>
      <c r="V1342" s="99" t="n"/>
      <c r="W1342" s="99" t="n"/>
      <c r="X1342" s="99" t="n"/>
      <c r="Y1342" s="99" t="n"/>
      <c r="Z1342" s="99" t="n"/>
      <c r="AA1342" s="99" t="n"/>
      <c r="AB1342" s="99" t="n"/>
      <c r="AC1342" s="99" t="n"/>
      <c r="AD1342" s="99" t="n"/>
      <c r="AE1342" s="99" t="n"/>
      <c r="AF1342" s="99" t="n"/>
      <c r="AG1342" s="99" t="n"/>
      <c r="AH1342" s="99" t="n"/>
      <c r="AI1342" s="99" t="n"/>
      <c r="AJ1342" s="99" t="n"/>
      <c r="AK1342" s="99" t="n"/>
      <c r="AL1342" s="99" t="n"/>
      <c r="AM1342" s="99" t="n"/>
      <c r="AN1342" s="99" t="n"/>
      <c r="AO1342" s="99" t="n"/>
      <c r="AP1342" s="99" t="n"/>
      <c r="AQ1342" s="99" t="n"/>
      <c r="AR1342" s="99" t="n"/>
    </row>
    <row r="1343">
      <c r="D1343" s="99" t="n"/>
      <c r="E1343" s="99" t="n"/>
      <c r="F1343" s="99" t="n"/>
      <c r="G1343" s="99" t="n"/>
      <c r="H1343" s="99" t="n"/>
      <c r="I1343" s="99" t="n"/>
      <c r="J1343" s="99" t="n"/>
      <c r="K1343" s="99" t="n"/>
      <c r="L1343" s="99" t="n"/>
      <c r="M1343" s="99" t="n"/>
      <c r="N1343" s="99" t="n"/>
      <c r="O1343" s="99" t="n"/>
      <c r="P1343" s="99" t="n"/>
      <c r="Q1343" s="99" t="n"/>
      <c r="R1343" s="99" t="n"/>
      <c r="S1343" s="99" t="n"/>
      <c r="T1343" s="99" t="n"/>
      <c r="U1343" s="99" t="n"/>
      <c r="V1343" s="99" t="n"/>
      <c r="W1343" s="99" t="n"/>
      <c r="X1343" s="99" t="n"/>
      <c r="Y1343" s="99" t="n"/>
      <c r="Z1343" s="99" t="n"/>
      <c r="AA1343" s="99" t="n"/>
      <c r="AB1343" s="99" t="n"/>
      <c r="AC1343" s="99" t="n"/>
      <c r="AD1343" s="99" t="n"/>
      <c r="AE1343" s="99" t="n"/>
      <c r="AF1343" s="99" t="n"/>
      <c r="AG1343" s="99" t="n"/>
      <c r="AH1343" s="99" t="n"/>
      <c r="AI1343" s="99" t="n"/>
      <c r="AJ1343" s="99" t="n"/>
      <c r="AK1343" s="99" t="n"/>
      <c r="AL1343" s="99" t="n"/>
      <c r="AM1343" s="99" t="n"/>
      <c r="AN1343" s="99" t="n"/>
      <c r="AO1343" s="99" t="n"/>
      <c r="AP1343" s="99" t="n"/>
      <c r="AQ1343" s="99" t="n"/>
      <c r="AR1343" s="99" t="n"/>
    </row>
    <row r="1344">
      <c r="D1344" s="100" t="n"/>
      <c r="E1344" s="100" t="n"/>
      <c r="F1344" s="100" t="n"/>
      <c r="G1344" s="100" t="n"/>
      <c r="H1344" s="100" t="n"/>
      <c r="I1344" s="100" t="n"/>
      <c r="J1344" s="100" t="n"/>
      <c r="K1344" s="100" t="n"/>
      <c r="L1344" s="100" t="n"/>
      <c r="M1344" s="100" t="n"/>
      <c r="N1344" s="100" t="n"/>
      <c r="O1344" s="100" t="n"/>
      <c r="P1344" s="100" t="n"/>
      <c r="Q1344" s="100" t="n"/>
      <c r="R1344" s="100" t="n"/>
      <c r="S1344" s="100" t="n"/>
      <c r="T1344" s="100" t="n"/>
      <c r="U1344" s="100" t="n"/>
      <c r="V1344" s="100" t="n"/>
      <c r="W1344" s="100" t="n"/>
      <c r="X1344" s="100" t="n"/>
      <c r="Y1344" s="100" t="n"/>
      <c r="Z1344" s="100" t="n"/>
      <c r="AA1344" s="100" t="n"/>
      <c r="AB1344" s="100" t="n"/>
      <c r="AC1344" s="100" t="n"/>
      <c r="AD1344" s="100" t="n"/>
      <c r="AE1344" s="100" t="n"/>
      <c r="AF1344" s="100" t="n"/>
      <c r="AG1344" s="100" t="n"/>
      <c r="AH1344" s="100" t="n"/>
      <c r="AI1344" s="100" t="n"/>
      <c r="AJ1344" s="100" t="n"/>
      <c r="AK1344" s="100" t="n"/>
      <c r="AL1344" s="100" t="n"/>
      <c r="AM1344" s="100" t="n"/>
      <c r="AN1344" s="100" t="n"/>
      <c r="AO1344" s="100" t="n"/>
      <c r="AP1344" s="100" t="n"/>
      <c r="AQ1344" s="100" t="n"/>
      <c r="AR1344" s="100" t="n"/>
    </row>
    <row r="1346">
      <c r="A1346" s="6">
        <f>IF(HSTECH!$C$28="","",HSTECH!$C$28)</f>
        <v/>
      </c>
      <c r="B1346" s="96">
        <f>IF($A1346="",0,COUNT($E1347:$AR1347))</f>
        <v/>
      </c>
      <c r="C1346" s="97">
        <f>IF($B1346=0,0,MAX($E1347:$AR1347))</f>
        <v/>
      </c>
      <c r="D1346" s="98">
        <f>BDS($A1346,FLD_HIST,"headers=y","startcol=1","endcol=7","dir=h","DVD_START_DT",HIST_FROM,"DVD_END_DT",HIST_TO)</f>
        <v/>
      </c>
      <c r="E1346" s="99" t="n"/>
      <c r="F1346" s="99" t="n"/>
      <c r="G1346" s="99" t="n"/>
      <c r="H1346" s="99" t="n"/>
      <c r="I1346" s="99" t="n"/>
      <c r="J1346" s="99" t="n"/>
      <c r="K1346" s="99" t="n"/>
      <c r="L1346" s="99" t="n"/>
      <c r="M1346" s="99" t="n"/>
      <c r="N1346" s="99" t="n"/>
      <c r="O1346" s="99" t="n"/>
      <c r="P1346" s="99" t="n"/>
      <c r="Q1346" s="99" t="n"/>
      <c r="R1346" s="99" t="n"/>
      <c r="S1346" s="99" t="n"/>
      <c r="T1346" s="99" t="n"/>
      <c r="U1346" s="99" t="n"/>
      <c r="V1346" s="99" t="n"/>
      <c r="W1346" s="99" t="n"/>
      <c r="X1346" s="99" t="n"/>
      <c r="Y1346" s="99" t="n"/>
      <c r="Z1346" s="99" t="n"/>
      <c r="AA1346" s="99" t="n"/>
      <c r="AB1346" s="99" t="n"/>
      <c r="AC1346" s="99" t="n"/>
      <c r="AD1346" s="99" t="n"/>
      <c r="AE1346" s="99" t="n"/>
      <c r="AF1346" s="99" t="n"/>
      <c r="AG1346" s="99" t="n"/>
      <c r="AH1346" s="99" t="n"/>
      <c r="AI1346" s="99" t="n"/>
      <c r="AJ1346" s="99" t="n"/>
      <c r="AK1346" s="99" t="n"/>
      <c r="AL1346" s="99" t="n"/>
      <c r="AM1346" s="99" t="n"/>
      <c r="AN1346" s="99" t="n"/>
      <c r="AO1346" s="99" t="n"/>
      <c r="AP1346" s="99" t="n"/>
      <c r="AQ1346" s="99" t="n"/>
      <c r="AR1346" s="99" t="n"/>
    </row>
    <row r="1347">
      <c r="D1347" s="99" t="n"/>
      <c r="E1347" s="99" t="n"/>
      <c r="F1347" s="99" t="n"/>
      <c r="G1347" s="99" t="n"/>
      <c r="H1347" s="99" t="n"/>
      <c r="I1347" s="99" t="n"/>
      <c r="J1347" s="99" t="n"/>
      <c r="K1347" s="99" t="n"/>
      <c r="L1347" s="99" t="n"/>
      <c r="M1347" s="99" t="n"/>
      <c r="N1347" s="99" t="n"/>
      <c r="O1347" s="99" t="n"/>
      <c r="P1347" s="99" t="n"/>
      <c r="Q1347" s="99" t="n"/>
      <c r="R1347" s="99" t="n"/>
      <c r="S1347" s="99" t="n"/>
      <c r="T1347" s="99" t="n"/>
      <c r="U1347" s="99" t="n"/>
      <c r="V1347" s="99" t="n"/>
      <c r="W1347" s="99" t="n"/>
      <c r="X1347" s="99" t="n"/>
      <c r="Y1347" s="99" t="n"/>
      <c r="Z1347" s="99" t="n"/>
      <c r="AA1347" s="99" t="n"/>
      <c r="AB1347" s="99" t="n"/>
      <c r="AC1347" s="99" t="n"/>
      <c r="AD1347" s="99" t="n"/>
      <c r="AE1347" s="99" t="n"/>
      <c r="AF1347" s="99" t="n"/>
      <c r="AG1347" s="99" t="n"/>
      <c r="AH1347" s="99" t="n"/>
      <c r="AI1347" s="99" t="n"/>
      <c r="AJ1347" s="99" t="n"/>
      <c r="AK1347" s="99" t="n"/>
      <c r="AL1347" s="99" t="n"/>
      <c r="AM1347" s="99" t="n"/>
      <c r="AN1347" s="99" t="n"/>
      <c r="AO1347" s="99" t="n"/>
      <c r="AP1347" s="99" t="n"/>
      <c r="AQ1347" s="99" t="n"/>
      <c r="AR1347" s="99" t="n"/>
    </row>
    <row r="1348">
      <c r="D1348" s="99" t="n"/>
      <c r="E1348" s="99" t="n"/>
      <c r="F1348" s="99" t="n"/>
      <c r="G1348" s="99" t="n"/>
      <c r="H1348" s="99" t="n"/>
      <c r="I1348" s="99" t="n"/>
      <c r="J1348" s="99" t="n"/>
      <c r="K1348" s="99" t="n"/>
      <c r="L1348" s="99" t="n"/>
      <c r="M1348" s="99" t="n"/>
      <c r="N1348" s="99" t="n"/>
      <c r="O1348" s="99" t="n"/>
      <c r="P1348" s="99" t="n"/>
      <c r="Q1348" s="99" t="n"/>
      <c r="R1348" s="99" t="n"/>
      <c r="S1348" s="99" t="n"/>
      <c r="T1348" s="99" t="n"/>
      <c r="U1348" s="99" t="n"/>
      <c r="V1348" s="99" t="n"/>
      <c r="W1348" s="99" t="n"/>
      <c r="X1348" s="99" t="n"/>
      <c r="Y1348" s="99" t="n"/>
      <c r="Z1348" s="99" t="n"/>
      <c r="AA1348" s="99" t="n"/>
      <c r="AB1348" s="99" t="n"/>
      <c r="AC1348" s="99" t="n"/>
      <c r="AD1348" s="99" t="n"/>
      <c r="AE1348" s="99" t="n"/>
      <c r="AF1348" s="99" t="n"/>
      <c r="AG1348" s="99" t="n"/>
      <c r="AH1348" s="99" t="n"/>
      <c r="AI1348" s="99" t="n"/>
      <c r="AJ1348" s="99" t="n"/>
      <c r="AK1348" s="99" t="n"/>
      <c r="AL1348" s="99" t="n"/>
      <c r="AM1348" s="99" t="n"/>
      <c r="AN1348" s="99" t="n"/>
      <c r="AO1348" s="99" t="n"/>
      <c r="AP1348" s="99" t="n"/>
      <c r="AQ1348" s="99" t="n"/>
      <c r="AR1348" s="99" t="n"/>
    </row>
    <row r="1349">
      <c r="D1349" s="99" t="n"/>
      <c r="E1349" s="99" t="n"/>
      <c r="F1349" s="99" t="n"/>
      <c r="G1349" s="99" t="n"/>
      <c r="H1349" s="99" t="n"/>
      <c r="I1349" s="99" t="n"/>
      <c r="J1349" s="99" t="n"/>
      <c r="K1349" s="99" t="n"/>
      <c r="L1349" s="99" t="n"/>
      <c r="M1349" s="99" t="n"/>
      <c r="N1349" s="99" t="n"/>
      <c r="O1349" s="99" t="n"/>
      <c r="P1349" s="99" t="n"/>
      <c r="Q1349" s="99" t="n"/>
      <c r="R1349" s="99" t="n"/>
      <c r="S1349" s="99" t="n"/>
      <c r="T1349" s="99" t="n"/>
      <c r="U1349" s="99" t="n"/>
      <c r="V1349" s="99" t="n"/>
      <c r="W1349" s="99" t="n"/>
      <c r="X1349" s="99" t="n"/>
      <c r="Y1349" s="99" t="n"/>
      <c r="Z1349" s="99" t="n"/>
      <c r="AA1349" s="99" t="n"/>
      <c r="AB1349" s="99" t="n"/>
      <c r="AC1349" s="99" t="n"/>
      <c r="AD1349" s="99" t="n"/>
      <c r="AE1349" s="99" t="n"/>
      <c r="AF1349" s="99" t="n"/>
      <c r="AG1349" s="99" t="n"/>
      <c r="AH1349" s="99" t="n"/>
      <c r="AI1349" s="99" t="n"/>
      <c r="AJ1349" s="99" t="n"/>
      <c r="AK1349" s="99" t="n"/>
      <c r="AL1349" s="99" t="n"/>
      <c r="AM1349" s="99" t="n"/>
      <c r="AN1349" s="99" t="n"/>
      <c r="AO1349" s="99" t="n"/>
      <c r="AP1349" s="99" t="n"/>
      <c r="AQ1349" s="99" t="n"/>
      <c r="AR1349" s="99" t="n"/>
    </row>
    <row r="1350">
      <c r="D1350" s="100" t="n"/>
      <c r="E1350" s="100" t="n"/>
      <c r="F1350" s="100" t="n"/>
      <c r="G1350" s="100" t="n"/>
      <c r="H1350" s="100" t="n"/>
      <c r="I1350" s="100" t="n"/>
      <c r="J1350" s="100" t="n"/>
      <c r="K1350" s="100" t="n"/>
      <c r="L1350" s="100" t="n"/>
      <c r="M1350" s="100" t="n"/>
      <c r="N1350" s="100" t="n"/>
      <c r="O1350" s="100" t="n"/>
      <c r="P1350" s="100" t="n"/>
      <c r="Q1350" s="100" t="n"/>
      <c r="R1350" s="100" t="n"/>
      <c r="S1350" s="100" t="n"/>
      <c r="T1350" s="100" t="n"/>
      <c r="U1350" s="100" t="n"/>
      <c r="V1350" s="100" t="n"/>
      <c r="W1350" s="100" t="n"/>
      <c r="X1350" s="100" t="n"/>
      <c r="Y1350" s="100" t="n"/>
      <c r="Z1350" s="100" t="n"/>
      <c r="AA1350" s="100" t="n"/>
      <c r="AB1350" s="100" t="n"/>
      <c r="AC1350" s="100" t="n"/>
      <c r="AD1350" s="100" t="n"/>
      <c r="AE1350" s="100" t="n"/>
      <c r="AF1350" s="100" t="n"/>
      <c r="AG1350" s="100" t="n"/>
      <c r="AH1350" s="100" t="n"/>
      <c r="AI1350" s="100" t="n"/>
      <c r="AJ1350" s="100" t="n"/>
      <c r="AK1350" s="100" t="n"/>
      <c r="AL1350" s="100" t="n"/>
      <c r="AM1350" s="100" t="n"/>
      <c r="AN1350" s="100" t="n"/>
      <c r="AO1350" s="100" t="n"/>
      <c r="AP1350" s="100" t="n"/>
      <c r="AQ1350" s="100" t="n"/>
      <c r="AR1350" s="100" t="n"/>
    </row>
    <row r="1353">
      <c r="A1353" s="2">
        <f>IF($A1346="","","   projections")</f>
        <v/>
      </c>
      <c r="B1353" s="96">
        <f>IF($A1346="",0,COUNT($E1354:$AR1354))</f>
        <v/>
      </c>
      <c r="C1353" s="97">
        <f>IF($B1353=0,0,MAX($E1354:$AR1354))</f>
        <v/>
      </c>
      <c r="D1353" s="98">
        <f>BDS($A1346,FLD_PROJ,"headers=y","startcol=1","endcol=3","dir=h")</f>
        <v/>
      </c>
      <c r="E1353" s="99" t="n"/>
      <c r="F1353" s="99" t="n"/>
      <c r="G1353" s="99" t="n"/>
      <c r="H1353" s="99" t="n"/>
      <c r="I1353" s="99" t="n"/>
      <c r="J1353" s="99" t="n"/>
      <c r="K1353" s="99" t="n"/>
      <c r="L1353" s="99" t="n"/>
      <c r="M1353" s="99" t="n"/>
      <c r="N1353" s="99" t="n"/>
      <c r="O1353" s="99" t="n"/>
      <c r="P1353" s="99" t="n"/>
      <c r="Q1353" s="99" t="n"/>
      <c r="R1353" s="99" t="n"/>
      <c r="S1353" s="99" t="n"/>
      <c r="T1353" s="99" t="n"/>
      <c r="U1353" s="99" t="n"/>
      <c r="V1353" s="99" t="n"/>
      <c r="W1353" s="99" t="n"/>
      <c r="X1353" s="99" t="n"/>
      <c r="Y1353" s="99" t="n"/>
      <c r="Z1353" s="99" t="n"/>
      <c r="AA1353" s="99" t="n"/>
      <c r="AB1353" s="99" t="n"/>
      <c r="AC1353" s="99" t="n"/>
      <c r="AD1353" s="99" t="n"/>
      <c r="AE1353" s="99" t="n"/>
      <c r="AF1353" s="99" t="n"/>
      <c r="AG1353" s="99" t="n"/>
      <c r="AH1353" s="99" t="n"/>
      <c r="AI1353" s="99" t="n"/>
      <c r="AJ1353" s="99" t="n"/>
      <c r="AK1353" s="99" t="n"/>
      <c r="AL1353" s="99" t="n"/>
      <c r="AM1353" s="99" t="n"/>
      <c r="AN1353" s="99" t="n"/>
      <c r="AO1353" s="99" t="n"/>
      <c r="AP1353" s="99" t="n"/>
      <c r="AQ1353" s="99" t="n"/>
      <c r="AR1353" s="99" t="n"/>
    </row>
    <row r="1354">
      <c r="D1354" s="99" t="n"/>
      <c r="E1354" s="99" t="n"/>
      <c r="F1354" s="99" t="n"/>
      <c r="G1354" s="99" t="n"/>
      <c r="H1354" s="99" t="n"/>
      <c r="I1354" s="99" t="n"/>
      <c r="J1354" s="99" t="n"/>
      <c r="K1354" s="99" t="n"/>
      <c r="L1354" s="99" t="n"/>
      <c r="M1354" s="99" t="n"/>
      <c r="N1354" s="99" t="n"/>
      <c r="O1354" s="99" t="n"/>
      <c r="P1354" s="99" t="n"/>
      <c r="Q1354" s="99" t="n"/>
      <c r="R1354" s="99" t="n"/>
      <c r="S1354" s="99" t="n"/>
      <c r="T1354" s="99" t="n"/>
      <c r="U1354" s="99" t="n"/>
      <c r="V1354" s="99" t="n"/>
      <c r="W1354" s="99" t="n"/>
      <c r="X1354" s="99" t="n"/>
      <c r="Y1354" s="99" t="n"/>
      <c r="Z1354" s="99" t="n"/>
      <c r="AA1354" s="99" t="n"/>
      <c r="AB1354" s="99" t="n"/>
      <c r="AC1354" s="99" t="n"/>
      <c r="AD1354" s="99" t="n"/>
      <c r="AE1354" s="99" t="n"/>
      <c r="AF1354" s="99" t="n"/>
      <c r="AG1354" s="99" t="n"/>
      <c r="AH1354" s="99" t="n"/>
      <c r="AI1354" s="99" t="n"/>
      <c r="AJ1354" s="99" t="n"/>
      <c r="AK1354" s="99" t="n"/>
      <c r="AL1354" s="99" t="n"/>
      <c r="AM1354" s="99" t="n"/>
      <c r="AN1354" s="99" t="n"/>
      <c r="AO1354" s="99" t="n"/>
      <c r="AP1354" s="99" t="n"/>
      <c r="AQ1354" s="99" t="n"/>
      <c r="AR1354" s="99" t="n"/>
    </row>
    <row r="1355">
      <c r="D1355" s="100" t="n"/>
      <c r="E1355" s="100" t="n"/>
      <c r="F1355" s="100" t="n"/>
      <c r="G1355" s="100" t="n"/>
      <c r="H1355" s="100" t="n"/>
      <c r="I1355" s="100" t="n"/>
      <c r="J1355" s="100" t="n"/>
      <c r="K1355" s="100" t="n"/>
      <c r="L1355" s="100" t="n"/>
      <c r="M1355" s="100" t="n"/>
      <c r="N1355" s="100" t="n"/>
      <c r="O1355" s="100" t="n"/>
      <c r="P1355" s="100" t="n"/>
      <c r="Q1355" s="100" t="n"/>
      <c r="R1355" s="100" t="n"/>
      <c r="S1355" s="100" t="n"/>
      <c r="T1355" s="100" t="n"/>
      <c r="U1355" s="100" t="n"/>
      <c r="V1355" s="100" t="n"/>
      <c r="W1355" s="100" t="n"/>
      <c r="X1355" s="100" t="n"/>
      <c r="Y1355" s="100" t="n"/>
      <c r="Z1355" s="100" t="n"/>
      <c r="AA1355" s="100" t="n"/>
      <c r="AB1355" s="100" t="n"/>
      <c r="AC1355" s="100" t="n"/>
      <c r="AD1355" s="100" t="n"/>
      <c r="AE1355" s="100" t="n"/>
      <c r="AF1355" s="100" t="n"/>
      <c r="AG1355" s="100" t="n"/>
      <c r="AH1355" s="100" t="n"/>
      <c r="AI1355" s="100" t="n"/>
      <c r="AJ1355" s="100" t="n"/>
      <c r="AK1355" s="100" t="n"/>
      <c r="AL1355" s="100" t="n"/>
      <c r="AM1355" s="100" t="n"/>
      <c r="AN1355" s="100" t="n"/>
      <c r="AO1355" s="100" t="n"/>
      <c r="AP1355" s="100" t="n"/>
      <c r="AQ1355" s="100" t="n"/>
      <c r="AR1355" s="100" t="n"/>
    </row>
    <row r="1357">
      <c r="A1357" s="6">
        <f>IF(HSTECH!$C$29="","",HSTECH!$C$29)</f>
        <v/>
      </c>
      <c r="B1357" s="96">
        <f>IF($A1357="",0,COUNT($E1358:$AR1358))</f>
        <v/>
      </c>
      <c r="C1357" s="97">
        <f>IF($B1357=0,0,MAX($E1358:$AR1358))</f>
        <v/>
      </c>
      <c r="D1357" s="98">
        <f>BDS($A1357,FLD_HIST,"headers=y","startcol=1","endcol=7","dir=h","DVD_START_DT",HIST_FROM,"DVD_END_DT",HIST_TO)</f>
        <v/>
      </c>
      <c r="E1357" s="99" t="n"/>
      <c r="F1357" s="99" t="n"/>
      <c r="G1357" s="99" t="n"/>
      <c r="H1357" s="99" t="n"/>
      <c r="I1357" s="99" t="n"/>
      <c r="J1357" s="99" t="n"/>
      <c r="K1357" s="99" t="n"/>
      <c r="L1357" s="99" t="n"/>
      <c r="M1357" s="99" t="n"/>
      <c r="N1357" s="99" t="n"/>
      <c r="O1357" s="99" t="n"/>
      <c r="P1357" s="99" t="n"/>
      <c r="Q1357" s="99" t="n"/>
      <c r="R1357" s="99" t="n"/>
      <c r="S1357" s="99" t="n"/>
      <c r="T1357" s="99" t="n"/>
      <c r="U1357" s="99" t="n"/>
      <c r="V1357" s="99" t="n"/>
      <c r="W1357" s="99" t="n"/>
      <c r="X1357" s="99" t="n"/>
      <c r="Y1357" s="99" t="n"/>
      <c r="Z1357" s="99" t="n"/>
      <c r="AA1357" s="99" t="n"/>
      <c r="AB1357" s="99" t="n"/>
      <c r="AC1357" s="99" t="n"/>
      <c r="AD1357" s="99" t="n"/>
      <c r="AE1357" s="99" t="n"/>
      <c r="AF1357" s="99" t="n"/>
      <c r="AG1357" s="99" t="n"/>
      <c r="AH1357" s="99" t="n"/>
      <c r="AI1357" s="99" t="n"/>
      <c r="AJ1357" s="99" t="n"/>
      <c r="AK1357" s="99" t="n"/>
      <c r="AL1357" s="99" t="n"/>
      <c r="AM1357" s="99" t="n"/>
      <c r="AN1357" s="99" t="n"/>
      <c r="AO1357" s="99" t="n"/>
      <c r="AP1357" s="99" t="n"/>
      <c r="AQ1357" s="99" t="n"/>
      <c r="AR1357" s="99" t="n"/>
    </row>
    <row r="1358">
      <c r="D1358" s="99" t="n"/>
      <c r="E1358" s="99" t="n"/>
      <c r="F1358" s="99" t="n"/>
      <c r="G1358" s="99" t="n"/>
      <c r="H1358" s="99" t="n"/>
      <c r="I1358" s="99" t="n"/>
      <c r="J1358" s="99" t="n"/>
      <c r="K1358" s="99" t="n"/>
      <c r="L1358" s="99" t="n"/>
      <c r="M1358" s="99" t="n"/>
      <c r="N1358" s="99" t="n"/>
      <c r="O1358" s="99" t="n"/>
      <c r="P1358" s="99" t="n"/>
      <c r="Q1358" s="99" t="n"/>
      <c r="R1358" s="99" t="n"/>
      <c r="S1358" s="99" t="n"/>
      <c r="T1358" s="99" t="n"/>
      <c r="U1358" s="99" t="n"/>
      <c r="V1358" s="99" t="n"/>
      <c r="W1358" s="99" t="n"/>
      <c r="X1358" s="99" t="n"/>
      <c r="Y1358" s="99" t="n"/>
      <c r="Z1358" s="99" t="n"/>
      <c r="AA1358" s="99" t="n"/>
      <c r="AB1358" s="99" t="n"/>
      <c r="AC1358" s="99" t="n"/>
      <c r="AD1358" s="99" t="n"/>
      <c r="AE1358" s="99" t="n"/>
      <c r="AF1358" s="99" t="n"/>
      <c r="AG1358" s="99" t="n"/>
      <c r="AH1358" s="99" t="n"/>
      <c r="AI1358" s="99" t="n"/>
      <c r="AJ1358" s="99" t="n"/>
      <c r="AK1358" s="99" t="n"/>
      <c r="AL1358" s="99" t="n"/>
      <c r="AM1358" s="99" t="n"/>
      <c r="AN1358" s="99" t="n"/>
      <c r="AO1358" s="99" t="n"/>
      <c r="AP1358" s="99" t="n"/>
      <c r="AQ1358" s="99" t="n"/>
      <c r="AR1358" s="99" t="n"/>
    </row>
    <row r="1359">
      <c r="D1359" s="99" t="n"/>
      <c r="E1359" s="99" t="n"/>
      <c r="F1359" s="99" t="n"/>
      <c r="G1359" s="99" t="n"/>
      <c r="H1359" s="99" t="n"/>
      <c r="I1359" s="99" t="n"/>
      <c r="J1359" s="99" t="n"/>
      <c r="K1359" s="99" t="n"/>
      <c r="L1359" s="99" t="n"/>
      <c r="M1359" s="99" t="n"/>
      <c r="N1359" s="99" t="n"/>
      <c r="O1359" s="99" t="n"/>
      <c r="P1359" s="99" t="n"/>
      <c r="Q1359" s="99" t="n"/>
      <c r="R1359" s="99" t="n"/>
      <c r="S1359" s="99" t="n"/>
      <c r="T1359" s="99" t="n"/>
      <c r="U1359" s="99" t="n"/>
      <c r="V1359" s="99" t="n"/>
      <c r="W1359" s="99" t="n"/>
      <c r="X1359" s="99" t="n"/>
      <c r="Y1359" s="99" t="n"/>
      <c r="Z1359" s="99" t="n"/>
      <c r="AA1359" s="99" t="n"/>
      <c r="AB1359" s="99" t="n"/>
      <c r="AC1359" s="99" t="n"/>
      <c r="AD1359" s="99" t="n"/>
      <c r="AE1359" s="99" t="n"/>
      <c r="AF1359" s="99" t="n"/>
      <c r="AG1359" s="99" t="n"/>
      <c r="AH1359" s="99" t="n"/>
      <c r="AI1359" s="99" t="n"/>
      <c r="AJ1359" s="99" t="n"/>
      <c r="AK1359" s="99" t="n"/>
      <c r="AL1359" s="99" t="n"/>
      <c r="AM1359" s="99" t="n"/>
      <c r="AN1359" s="99" t="n"/>
      <c r="AO1359" s="99" t="n"/>
      <c r="AP1359" s="99" t="n"/>
      <c r="AQ1359" s="99" t="n"/>
      <c r="AR1359" s="99" t="n"/>
    </row>
    <row r="1360">
      <c r="D1360" s="99" t="n"/>
      <c r="E1360" s="99" t="n"/>
      <c r="F1360" s="99" t="n"/>
      <c r="G1360" s="99" t="n"/>
      <c r="H1360" s="99" t="n"/>
      <c r="I1360" s="99" t="n"/>
      <c r="J1360" s="99" t="n"/>
      <c r="K1360" s="99" t="n"/>
      <c r="L1360" s="99" t="n"/>
      <c r="M1360" s="99" t="n"/>
      <c r="N1360" s="99" t="n"/>
      <c r="O1360" s="99" t="n"/>
      <c r="P1360" s="99" t="n"/>
      <c r="Q1360" s="99" t="n"/>
      <c r="R1360" s="99" t="n"/>
      <c r="S1360" s="99" t="n"/>
      <c r="T1360" s="99" t="n"/>
      <c r="U1360" s="99" t="n"/>
      <c r="V1360" s="99" t="n"/>
      <c r="W1360" s="99" t="n"/>
      <c r="X1360" s="99" t="n"/>
      <c r="Y1360" s="99" t="n"/>
      <c r="Z1360" s="99" t="n"/>
      <c r="AA1360" s="99" t="n"/>
      <c r="AB1360" s="99" t="n"/>
      <c r="AC1360" s="99" t="n"/>
      <c r="AD1360" s="99" t="n"/>
      <c r="AE1360" s="99" t="n"/>
      <c r="AF1360" s="99" t="n"/>
      <c r="AG1360" s="99" t="n"/>
      <c r="AH1360" s="99" t="n"/>
      <c r="AI1360" s="99" t="n"/>
      <c r="AJ1360" s="99" t="n"/>
      <c r="AK1360" s="99" t="n"/>
      <c r="AL1360" s="99" t="n"/>
      <c r="AM1360" s="99" t="n"/>
      <c r="AN1360" s="99" t="n"/>
      <c r="AO1360" s="99" t="n"/>
      <c r="AP1360" s="99" t="n"/>
      <c r="AQ1360" s="99" t="n"/>
      <c r="AR1360" s="99" t="n"/>
    </row>
    <row r="1361">
      <c r="D1361" s="100" t="n"/>
      <c r="E1361" s="100" t="n"/>
      <c r="F1361" s="100" t="n"/>
      <c r="G1361" s="100" t="n"/>
      <c r="H1361" s="100" t="n"/>
      <c r="I1361" s="100" t="n"/>
      <c r="J1361" s="100" t="n"/>
      <c r="K1361" s="100" t="n"/>
      <c r="L1361" s="100" t="n"/>
      <c r="M1361" s="100" t="n"/>
      <c r="N1361" s="100" t="n"/>
      <c r="O1361" s="100" t="n"/>
      <c r="P1361" s="100" t="n"/>
      <c r="Q1361" s="100" t="n"/>
      <c r="R1361" s="100" t="n"/>
      <c r="S1361" s="100" t="n"/>
      <c r="T1361" s="100" t="n"/>
      <c r="U1361" s="100" t="n"/>
      <c r="V1361" s="100" t="n"/>
      <c r="W1361" s="100" t="n"/>
      <c r="X1361" s="100" t="n"/>
      <c r="Y1361" s="100" t="n"/>
      <c r="Z1361" s="100" t="n"/>
      <c r="AA1361" s="100" t="n"/>
      <c r="AB1361" s="100" t="n"/>
      <c r="AC1361" s="100" t="n"/>
      <c r="AD1361" s="100" t="n"/>
      <c r="AE1361" s="100" t="n"/>
      <c r="AF1361" s="100" t="n"/>
      <c r="AG1361" s="100" t="n"/>
      <c r="AH1361" s="100" t="n"/>
      <c r="AI1361" s="100" t="n"/>
      <c r="AJ1361" s="100" t="n"/>
      <c r="AK1361" s="100" t="n"/>
      <c r="AL1361" s="100" t="n"/>
      <c r="AM1361" s="100" t="n"/>
      <c r="AN1361" s="100" t="n"/>
      <c r="AO1361" s="100" t="n"/>
      <c r="AP1361" s="100" t="n"/>
      <c r="AQ1361" s="100" t="n"/>
      <c r="AR1361" s="100" t="n"/>
    </row>
    <row r="1364">
      <c r="A1364" s="2">
        <f>IF($A1357="","","   projections")</f>
        <v/>
      </c>
      <c r="B1364" s="96">
        <f>IF($A1357="",0,COUNT($E1365:$AR1365))</f>
        <v/>
      </c>
      <c r="C1364" s="97">
        <f>IF($B1364=0,0,MAX($E1365:$AR1365))</f>
        <v/>
      </c>
      <c r="D1364" s="98">
        <f>BDS($A1357,FLD_PROJ,"headers=y","startcol=1","endcol=3","dir=h")</f>
        <v/>
      </c>
      <c r="E1364" s="99" t="n"/>
      <c r="F1364" s="99" t="n"/>
      <c r="G1364" s="99" t="n"/>
      <c r="H1364" s="99" t="n"/>
      <c r="I1364" s="99" t="n"/>
      <c r="J1364" s="99" t="n"/>
      <c r="K1364" s="99" t="n"/>
      <c r="L1364" s="99" t="n"/>
      <c r="M1364" s="99" t="n"/>
      <c r="N1364" s="99" t="n"/>
      <c r="O1364" s="99" t="n"/>
      <c r="P1364" s="99" t="n"/>
      <c r="Q1364" s="99" t="n"/>
      <c r="R1364" s="99" t="n"/>
      <c r="S1364" s="99" t="n"/>
      <c r="T1364" s="99" t="n"/>
      <c r="U1364" s="99" t="n"/>
      <c r="V1364" s="99" t="n"/>
      <c r="W1364" s="99" t="n"/>
      <c r="X1364" s="99" t="n"/>
      <c r="Y1364" s="99" t="n"/>
      <c r="Z1364" s="99" t="n"/>
      <c r="AA1364" s="99" t="n"/>
      <c r="AB1364" s="99" t="n"/>
      <c r="AC1364" s="99" t="n"/>
      <c r="AD1364" s="99" t="n"/>
      <c r="AE1364" s="99" t="n"/>
      <c r="AF1364" s="99" t="n"/>
      <c r="AG1364" s="99" t="n"/>
      <c r="AH1364" s="99" t="n"/>
      <c r="AI1364" s="99" t="n"/>
      <c r="AJ1364" s="99" t="n"/>
      <c r="AK1364" s="99" t="n"/>
      <c r="AL1364" s="99" t="n"/>
      <c r="AM1364" s="99" t="n"/>
      <c r="AN1364" s="99" t="n"/>
      <c r="AO1364" s="99" t="n"/>
      <c r="AP1364" s="99" t="n"/>
      <c r="AQ1364" s="99" t="n"/>
      <c r="AR1364" s="99" t="n"/>
    </row>
    <row r="1365">
      <c r="D1365" s="99" t="n"/>
      <c r="E1365" s="99" t="n"/>
      <c r="F1365" s="99" t="n"/>
      <c r="G1365" s="99" t="n"/>
      <c r="H1365" s="99" t="n"/>
      <c r="I1365" s="99" t="n"/>
      <c r="J1365" s="99" t="n"/>
      <c r="K1365" s="99" t="n"/>
      <c r="L1365" s="99" t="n"/>
      <c r="M1365" s="99" t="n"/>
      <c r="N1365" s="99" t="n"/>
      <c r="O1365" s="99" t="n"/>
      <c r="P1365" s="99" t="n"/>
      <c r="Q1365" s="99" t="n"/>
      <c r="R1365" s="99" t="n"/>
      <c r="S1365" s="99" t="n"/>
      <c r="T1365" s="99" t="n"/>
      <c r="U1365" s="99" t="n"/>
      <c r="V1365" s="99" t="n"/>
      <c r="W1365" s="99" t="n"/>
      <c r="X1365" s="99" t="n"/>
      <c r="Y1365" s="99" t="n"/>
      <c r="Z1365" s="99" t="n"/>
      <c r="AA1365" s="99" t="n"/>
      <c r="AB1365" s="99" t="n"/>
      <c r="AC1365" s="99" t="n"/>
      <c r="AD1365" s="99" t="n"/>
      <c r="AE1365" s="99" t="n"/>
      <c r="AF1365" s="99" t="n"/>
      <c r="AG1365" s="99" t="n"/>
      <c r="AH1365" s="99" t="n"/>
      <c r="AI1365" s="99" t="n"/>
      <c r="AJ1365" s="99" t="n"/>
      <c r="AK1365" s="99" t="n"/>
      <c r="AL1365" s="99" t="n"/>
      <c r="AM1365" s="99" t="n"/>
      <c r="AN1365" s="99" t="n"/>
      <c r="AO1365" s="99" t="n"/>
      <c r="AP1365" s="99" t="n"/>
      <c r="AQ1365" s="99" t="n"/>
      <c r="AR1365" s="99" t="n"/>
    </row>
    <row r="1366">
      <c r="D1366" s="100" t="n"/>
      <c r="E1366" s="100" t="n"/>
      <c r="F1366" s="100" t="n"/>
      <c r="G1366" s="100" t="n"/>
      <c r="H1366" s="100" t="n"/>
      <c r="I1366" s="100" t="n"/>
      <c r="J1366" s="100" t="n"/>
      <c r="K1366" s="100" t="n"/>
      <c r="L1366" s="100" t="n"/>
      <c r="M1366" s="100" t="n"/>
      <c r="N1366" s="100" t="n"/>
      <c r="O1366" s="100" t="n"/>
      <c r="P1366" s="100" t="n"/>
      <c r="Q1366" s="100" t="n"/>
      <c r="R1366" s="100" t="n"/>
      <c r="S1366" s="100" t="n"/>
      <c r="T1366" s="100" t="n"/>
      <c r="U1366" s="100" t="n"/>
      <c r="V1366" s="100" t="n"/>
      <c r="W1366" s="100" t="n"/>
      <c r="X1366" s="100" t="n"/>
      <c r="Y1366" s="100" t="n"/>
      <c r="Z1366" s="100" t="n"/>
      <c r="AA1366" s="100" t="n"/>
      <c r="AB1366" s="100" t="n"/>
      <c r="AC1366" s="100" t="n"/>
      <c r="AD1366" s="100" t="n"/>
      <c r="AE1366" s="100" t="n"/>
      <c r="AF1366" s="100" t="n"/>
      <c r="AG1366" s="100" t="n"/>
      <c r="AH1366" s="100" t="n"/>
      <c r="AI1366" s="100" t="n"/>
      <c r="AJ1366" s="100" t="n"/>
      <c r="AK1366" s="100" t="n"/>
      <c r="AL1366" s="100" t="n"/>
      <c r="AM1366" s="100" t="n"/>
      <c r="AN1366" s="100" t="n"/>
      <c r="AO1366" s="100" t="n"/>
      <c r="AP1366" s="100" t="n"/>
      <c r="AQ1366" s="100" t="n"/>
      <c r="AR1366" s="100" t="n"/>
    </row>
    <row r="1368">
      <c r="A1368" s="6">
        <f>IF(HSTECH!$C$30="","",HSTECH!$C$30)</f>
        <v/>
      </c>
      <c r="B1368" s="96">
        <f>IF($A1368="",0,COUNT($E1369:$AR1369))</f>
        <v/>
      </c>
      <c r="C1368" s="97">
        <f>IF($B1368=0,0,MAX($E1369:$AR1369))</f>
        <v/>
      </c>
      <c r="D1368" s="98">
        <f>BDS($A1368,FLD_HIST,"headers=y","startcol=1","endcol=7","dir=h","DVD_START_DT",HIST_FROM,"DVD_END_DT",HIST_TO)</f>
        <v/>
      </c>
      <c r="E1368" s="99" t="n"/>
      <c r="F1368" s="99" t="n"/>
      <c r="G1368" s="99" t="n"/>
      <c r="H1368" s="99" t="n"/>
      <c r="I1368" s="99" t="n"/>
      <c r="J1368" s="99" t="n"/>
      <c r="K1368" s="99" t="n"/>
      <c r="L1368" s="99" t="n"/>
      <c r="M1368" s="99" t="n"/>
      <c r="N1368" s="99" t="n"/>
      <c r="O1368" s="99" t="n"/>
      <c r="P1368" s="99" t="n"/>
      <c r="Q1368" s="99" t="n"/>
      <c r="R1368" s="99" t="n"/>
      <c r="S1368" s="99" t="n"/>
      <c r="T1368" s="99" t="n"/>
      <c r="U1368" s="99" t="n"/>
      <c r="V1368" s="99" t="n"/>
      <c r="W1368" s="99" t="n"/>
      <c r="X1368" s="99" t="n"/>
      <c r="Y1368" s="99" t="n"/>
      <c r="Z1368" s="99" t="n"/>
      <c r="AA1368" s="99" t="n"/>
      <c r="AB1368" s="99" t="n"/>
      <c r="AC1368" s="99" t="n"/>
      <c r="AD1368" s="99" t="n"/>
      <c r="AE1368" s="99" t="n"/>
      <c r="AF1368" s="99" t="n"/>
      <c r="AG1368" s="99" t="n"/>
      <c r="AH1368" s="99" t="n"/>
      <c r="AI1368" s="99" t="n"/>
      <c r="AJ1368" s="99" t="n"/>
      <c r="AK1368" s="99" t="n"/>
      <c r="AL1368" s="99" t="n"/>
      <c r="AM1368" s="99" t="n"/>
      <c r="AN1368" s="99" t="n"/>
      <c r="AO1368" s="99" t="n"/>
      <c r="AP1368" s="99" t="n"/>
      <c r="AQ1368" s="99" t="n"/>
      <c r="AR1368" s="99" t="n"/>
    </row>
    <row r="1369">
      <c r="D1369" s="99" t="n"/>
      <c r="E1369" s="99" t="n"/>
      <c r="F1369" s="99" t="n"/>
      <c r="G1369" s="99" t="n"/>
      <c r="H1369" s="99" t="n"/>
      <c r="I1369" s="99" t="n"/>
      <c r="J1369" s="99" t="n"/>
      <c r="K1369" s="99" t="n"/>
      <c r="L1369" s="99" t="n"/>
      <c r="M1369" s="99" t="n"/>
      <c r="N1369" s="99" t="n"/>
      <c r="O1369" s="99" t="n"/>
      <c r="P1369" s="99" t="n"/>
      <c r="Q1369" s="99" t="n"/>
      <c r="R1369" s="99" t="n"/>
      <c r="S1369" s="99" t="n"/>
      <c r="T1369" s="99" t="n"/>
      <c r="U1369" s="99" t="n"/>
      <c r="V1369" s="99" t="n"/>
      <c r="W1369" s="99" t="n"/>
      <c r="X1369" s="99" t="n"/>
      <c r="Y1369" s="99" t="n"/>
      <c r="Z1369" s="99" t="n"/>
      <c r="AA1369" s="99" t="n"/>
      <c r="AB1369" s="99" t="n"/>
      <c r="AC1369" s="99" t="n"/>
      <c r="AD1369" s="99" t="n"/>
      <c r="AE1369" s="99" t="n"/>
      <c r="AF1369" s="99" t="n"/>
      <c r="AG1369" s="99" t="n"/>
      <c r="AH1369" s="99" t="n"/>
      <c r="AI1369" s="99" t="n"/>
      <c r="AJ1369" s="99" t="n"/>
      <c r="AK1369" s="99" t="n"/>
      <c r="AL1369" s="99" t="n"/>
      <c r="AM1369" s="99" t="n"/>
      <c r="AN1369" s="99" t="n"/>
      <c r="AO1369" s="99" t="n"/>
      <c r="AP1369" s="99" t="n"/>
      <c r="AQ1369" s="99" t="n"/>
      <c r="AR1369" s="99" t="n"/>
    </row>
    <row r="1370">
      <c r="D1370" s="99" t="n"/>
      <c r="E1370" s="99" t="n"/>
      <c r="F1370" s="99" t="n"/>
      <c r="G1370" s="99" t="n"/>
      <c r="H1370" s="99" t="n"/>
      <c r="I1370" s="99" t="n"/>
      <c r="J1370" s="99" t="n"/>
      <c r="K1370" s="99" t="n"/>
      <c r="L1370" s="99" t="n"/>
      <c r="M1370" s="99" t="n"/>
      <c r="N1370" s="99" t="n"/>
      <c r="O1370" s="99" t="n"/>
      <c r="P1370" s="99" t="n"/>
      <c r="Q1370" s="99" t="n"/>
      <c r="R1370" s="99" t="n"/>
      <c r="S1370" s="99" t="n"/>
      <c r="T1370" s="99" t="n"/>
      <c r="U1370" s="99" t="n"/>
      <c r="V1370" s="99" t="n"/>
      <c r="W1370" s="99" t="n"/>
      <c r="X1370" s="99" t="n"/>
      <c r="Y1370" s="99" t="n"/>
      <c r="Z1370" s="99" t="n"/>
      <c r="AA1370" s="99" t="n"/>
      <c r="AB1370" s="99" t="n"/>
      <c r="AC1370" s="99" t="n"/>
      <c r="AD1370" s="99" t="n"/>
      <c r="AE1370" s="99" t="n"/>
      <c r="AF1370" s="99" t="n"/>
      <c r="AG1370" s="99" t="n"/>
      <c r="AH1370" s="99" t="n"/>
      <c r="AI1370" s="99" t="n"/>
      <c r="AJ1370" s="99" t="n"/>
      <c r="AK1370" s="99" t="n"/>
      <c r="AL1370" s="99" t="n"/>
      <c r="AM1370" s="99" t="n"/>
      <c r="AN1370" s="99" t="n"/>
      <c r="AO1370" s="99" t="n"/>
      <c r="AP1370" s="99" t="n"/>
      <c r="AQ1370" s="99" t="n"/>
      <c r="AR1370" s="99" t="n"/>
    </row>
    <row r="1371">
      <c r="D1371" s="99" t="n"/>
      <c r="E1371" s="99" t="n"/>
      <c r="F1371" s="99" t="n"/>
      <c r="G1371" s="99" t="n"/>
      <c r="H1371" s="99" t="n"/>
      <c r="I1371" s="99" t="n"/>
      <c r="J1371" s="99" t="n"/>
      <c r="K1371" s="99" t="n"/>
      <c r="L1371" s="99" t="n"/>
      <c r="M1371" s="99" t="n"/>
      <c r="N1371" s="99" t="n"/>
      <c r="O1371" s="99" t="n"/>
      <c r="P1371" s="99" t="n"/>
      <c r="Q1371" s="99" t="n"/>
      <c r="R1371" s="99" t="n"/>
      <c r="S1371" s="99" t="n"/>
      <c r="T1371" s="99" t="n"/>
      <c r="U1371" s="99" t="n"/>
      <c r="V1371" s="99" t="n"/>
      <c r="W1371" s="99" t="n"/>
      <c r="X1371" s="99" t="n"/>
      <c r="Y1371" s="99" t="n"/>
      <c r="Z1371" s="99" t="n"/>
      <c r="AA1371" s="99" t="n"/>
      <c r="AB1371" s="99" t="n"/>
      <c r="AC1371" s="99" t="n"/>
      <c r="AD1371" s="99" t="n"/>
      <c r="AE1371" s="99" t="n"/>
      <c r="AF1371" s="99" t="n"/>
      <c r="AG1371" s="99" t="n"/>
      <c r="AH1371" s="99" t="n"/>
      <c r="AI1371" s="99" t="n"/>
      <c r="AJ1371" s="99" t="n"/>
      <c r="AK1371" s="99" t="n"/>
      <c r="AL1371" s="99" t="n"/>
      <c r="AM1371" s="99" t="n"/>
      <c r="AN1371" s="99" t="n"/>
      <c r="AO1371" s="99" t="n"/>
      <c r="AP1371" s="99" t="n"/>
      <c r="AQ1371" s="99" t="n"/>
      <c r="AR1371" s="99" t="n"/>
    </row>
    <row r="1372">
      <c r="D1372" s="100" t="n"/>
      <c r="E1372" s="100" t="n"/>
      <c r="F1372" s="100" t="n"/>
      <c r="G1372" s="100" t="n"/>
      <c r="H1372" s="100" t="n"/>
      <c r="I1372" s="100" t="n"/>
      <c r="J1372" s="100" t="n"/>
      <c r="K1372" s="100" t="n"/>
      <c r="L1372" s="100" t="n"/>
      <c r="M1372" s="100" t="n"/>
      <c r="N1372" s="100" t="n"/>
      <c r="O1372" s="100" t="n"/>
      <c r="P1372" s="100" t="n"/>
      <c r="Q1372" s="100" t="n"/>
      <c r="R1372" s="100" t="n"/>
      <c r="S1372" s="100" t="n"/>
      <c r="T1372" s="100" t="n"/>
      <c r="U1372" s="100" t="n"/>
      <c r="V1372" s="100" t="n"/>
      <c r="W1372" s="100" t="n"/>
      <c r="X1372" s="100" t="n"/>
      <c r="Y1372" s="100" t="n"/>
      <c r="Z1372" s="100" t="n"/>
      <c r="AA1372" s="100" t="n"/>
      <c r="AB1372" s="100" t="n"/>
      <c r="AC1372" s="100" t="n"/>
      <c r="AD1372" s="100" t="n"/>
      <c r="AE1372" s="100" t="n"/>
      <c r="AF1372" s="100" t="n"/>
      <c r="AG1372" s="100" t="n"/>
      <c r="AH1372" s="100" t="n"/>
      <c r="AI1372" s="100" t="n"/>
      <c r="AJ1372" s="100" t="n"/>
      <c r="AK1372" s="100" t="n"/>
      <c r="AL1372" s="100" t="n"/>
      <c r="AM1372" s="100" t="n"/>
      <c r="AN1372" s="100" t="n"/>
      <c r="AO1372" s="100" t="n"/>
      <c r="AP1372" s="100" t="n"/>
      <c r="AQ1372" s="100" t="n"/>
      <c r="AR1372" s="100" t="n"/>
    </row>
    <row r="1375">
      <c r="A1375" s="2">
        <f>IF($A1368="","","   projections")</f>
        <v/>
      </c>
      <c r="B1375" s="96">
        <f>IF($A1368="",0,COUNT($E1376:$AR1376))</f>
        <v/>
      </c>
      <c r="C1375" s="97">
        <f>IF($B1375=0,0,MAX($E1376:$AR1376))</f>
        <v/>
      </c>
      <c r="D1375" s="98">
        <f>BDS($A1368,FLD_PROJ,"headers=y","startcol=1","endcol=3","dir=h")</f>
        <v/>
      </c>
      <c r="E1375" s="99" t="n"/>
      <c r="F1375" s="99" t="n"/>
      <c r="G1375" s="99" t="n"/>
      <c r="H1375" s="99" t="n"/>
      <c r="I1375" s="99" t="n"/>
      <c r="J1375" s="99" t="n"/>
      <c r="K1375" s="99" t="n"/>
      <c r="L1375" s="99" t="n"/>
      <c r="M1375" s="99" t="n"/>
      <c r="N1375" s="99" t="n"/>
      <c r="O1375" s="99" t="n"/>
      <c r="P1375" s="99" t="n"/>
      <c r="Q1375" s="99" t="n"/>
      <c r="R1375" s="99" t="n"/>
      <c r="S1375" s="99" t="n"/>
      <c r="T1375" s="99" t="n"/>
      <c r="U1375" s="99" t="n"/>
      <c r="V1375" s="99" t="n"/>
      <c r="W1375" s="99" t="n"/>
      <c r="X1375" s="99" t="n"/>
      <c r="Y1375" s="99" t="n"/>
      <c r="Z1375" s="99" t="n"/>
      <c r="AA1375" s="99" t="n"/>
      <c r="AB1375" s="99" t="n"/>
      <c r="AC1375" s="99" t="n"/>
      <c r="AD1375" s="99" t="n"/>
      <c r="AE1375" s="99" t="n"/>
      <c r="AF1375" s="99" t="n"/>
      <c r="AG1375" s="99" t="n"/>
      <c r="AH1375" s="99" t="n"/>
      <c r="AI1375" s="99" t="n"/>
      <c r="AJ1375" s="99" t="n"/>
      <c r="AK1375" s="99" t="n"/>
      <c r="AL1375" s="99" t="n"/>
      <c r="AM1375" s="99" t="n"/>
      <c r="AN1375" s="99" t="n"/>
      <c r="AO1375" s="99" t="n"/>
      <c r="AP1375" s="99" t="n"/>
      <c r="AQ1375" s="99" t="n"/>
      <c r="AR1375" s="99" t="n"/>
    </row>
    <row r="1376">
      <c r="D1376" s="99" t="n"/>
      <c r="E1376" s="99" t="n"/>
      <c r="F1376" s="99" t="n"/>
      <c r="G1376" s="99" t="n"/>
      <c r="H1376" s="99" t="n"/>
      <c r="I1376" s="99" t="n"/>
      <c r="J1376" s="99" t="n"/>
      <c r="K1376" s="99" t="n"/>
      <c r="L1376" s="99" t="n"/>
      <c r="M1376" s="99" t="n"/>
      <c r="N1376" s="99" t="n"/>
      <c r="O1376" s="99" t="n"/>
      <c r="P1376" s="99" t="n"/>
      <c r="Q1376" s="99" t="n"/>
      <c r="R1376" s="99" t="n"/>
      <c r="S1376" s="99" t="n"/>
      <c r="T1376" s="99" t="n"/>
      <c r="U1376" s="99" t="n"/>
      <c r="V1376" s="99" t="n"/>
      <c r="W1376" s="99" t="n"/>
      <c r="X1376" s="99" t="n"/>
      <c r="Y1376" s="99" t="n"/>
      <c r="Z1376" s="99" t="n"/>
      <c r="AA1376" s="99" t="n"/>
      <c r="AB1376" s="99" t="n"/>
      <c r="AC1376" s="99" t="n"/>
      <c r="AD1376" s="99" t="n"/>
      <c r="AE1376" s="99" t="n"/>
      <c r="AF1376" s="99" t="n"/>
      <c r="AG1376" s="99" t="n"/>
      <c r="AH1376" s="99" t="n"/>
      <c r="AI1376" s="99" t="n"/>
      <c r="AJ1376" s="99" t="n"/>
      <c r="AK1376" s="99" t="n"/>
      <c r="AL1376" s="99" t="n"/>
      <c r="AM1376" s="99" t="n"/>
      <c r="AN1376" s="99" t="n"/>
      <c r="AO1376" s="99" t="n"/>
      <c r="AP1376" s="99" t="n"/>
      <c r="AQ1376" s="99" t="n"/>
      <c r="AR1376" s="99" t="n"/>
    </row>
    <row r="1377">
      <c r="D1377" s="100" t="n"/>
      <c r="E1377" s="100" t="n"/>
      <c r="F1377" s="100" t="n"/>
      <c r="G1377" s="100" t="n"/>
      <c r="H1377" s="100" t="n"/>
      <c r="I1377" s="100" t="n"/>
      <c r="J1377" s="100" t="n"/>
      <c r="K1377" s="100" t="n"/>
      <c r="L1377" s="100" t="n"/>
      <c r="M1377" s="100" t="n"/>
      <c r="N1377" s="100" t="n"/>
      <c r="O1377" s="100" t="n"/>
      <c r="P1377" s="100" t="n"/>
      <c r="Q1377" s="100" t="n"/>
      <c r="R1377" s="100" t="n"/>
      <c r="S1377" s="100" t="n"/>
      <c r="T1377" s="100" t="n"/>
      <c r="U1377" s="100" t="n"/>
      <c r="V1377" s="100" t="n"/>
      <c r="W1377" s="100" t="n"/>
      <c r="X1377" s="100" t="n"/>
      <c r="Y1377" s="100" t="n"/>
      <c r="Z1377" s="100" t="n"/>
      <c r="AA1377" s="100" t="n"/>
      <c r="AB1377" s="100" t="n"/>
      <c r="AC1377" s="100" t="n"/>
      <c r="AD1377" s="100" t="n"/>
      <c r="AE1377" s="100" t="n"/>
      <c r="AF1377" s="100" t="n"/>
      <c r="AG1377" s="100" t="n"/>
      <c r="AH1377" s="100" t="n"/>
      <c r="AI1377" s="100" t="n"/>
      <c r="AJ1377" s="100" t="n"/>
      <c r="AK1377" s="100" t="n"/>
      <c r="AL1377" s="100" t="n"/>
      <c r="AM1377" s="100" t="n"/>
      <c r="AN1377" s="100" t="n"/>
      <c r="AO1377" s="100" t="n"/>
      <c r="AP1377" s="100" t="n"/>
      <c r="AQ1377" s="100" t="n"/>
      <c r="AR1377" s="100" t="n"/>
    </row>
    <row r="1379">
      <c r="A1379" s="6">
        <f>IF(HSTECH!$C$31="","",HSTECH!$C$31)</f>
        <v/>
      </c>
      <c r="B1379" s="96">
        <f>IF($A1379="",0,COUNT($E1380:$AR1380))</f>
        <v/>
      </c>
      <c r="C1379" s="97">
        <f>IF($B1379=0,0,MAX($E1380:$AR1380))</f>
        <v/>
      </c>
      <c r="D1379" s="98">
        <f>BDS($A1379,FLD_HIST,"headers=y","startcol=1","endcol=7","dir=h","DVD_START_DT",HIST_FROM,"DVD_END_DT",HIST_TO)</f>
        <v/>
      </c>
      <c r="E1379" s="99" t="n"/>
      <c r="F1379" s="99" t="n"/>
      <c r="G1379" s="99" t="n"/>
      <c r="H1379" s="99" t="n"/>
      <c r="I1379" s="99" t="n"/>
      <c r="J1379" s="99" t="n"/>
      <c r="K1379" s="99" t="n"/>
      <c r="L1379" s="99" t="n"/>
      <c r="M1379" s="99" t="n"/>
      <c r="N1379" s="99" t="n"/>
      <c r="O1379" s="99" t="n"/>
      <c r="P1379" s="99" t="n"/>
      <c r="Q1379" s="99" t="n"/>
      <c r="R1379" s="99" t="n"/>
      <c r="S1379" s="99" t="n"/>
      <c r="T1379" s="99" t="n"/>
      <c r="U1379" s="99" t="n"/>
      <c r="V1379" s="99" t="n"/>
      <c r="W1379" s="99" t="n"/>
      <c r="X1379" s="99" t="n"/>
      <c r="Y1379" s="99" t="n"/>
      <c r="Z1379" s="99" t="n"/>
      <c r="AA1379" s="99" t="n"/>
      <c r="AB1379" s="99" t="n"/>
      <c r="AC1379" s="99" t="n"/>
      <c r="AD1379" s="99" t="n"/>
      <c r="AE1379" s="99" t="n"/>
      <c r="AF1379" s="99" t="n"/>
      <c r="AG1379" s="99" t="n"/>
      <c r="AH1379" s="99" t="n"/>
      <c r="AI1379" s="99" t="n"/>
      <c r="AJ1379" s="99" t="n"/>
      <c r="AK1379" s="99" t="n"/>
      <c r="AL1379" s="99" t="n"/>
      <c r="AM1379" s="99" t="n"/>
      <c r="AN1379" s="99" t="n"/>
      <c r="AO1379" s="99" t="n"/>
      <c r="AP1379" s="99" t="n"/>
      <c r="AQ1379" s="99" t="n"/>
      <c r="AR1379" s="99" t="n"/>
    </row>
    <row r="1380">
      <c r="D1380" s="99" t="n"/>
      <c r="E1380" s="99" t="n"/>
      <c r="F1380" s="99" t="n"/>
      <c r="G1380" s="99" t="n"/>
      <c r="H1380" s="99" t="n"/>
      <c r="I1380" s="99" t="n"/>
      <c r="J1380" s="99" t="n"/>
      <c r="K1380" s="99" t="n"/>
      <c r="L1380" s="99" t="n"/>
      <c r="M1380" s="99" t="n"/>
      <c r="N1380" s="99" t="n"/>
      <c r="O1380" s="99" t="n"/>
      <c r="P1380" s="99" t="n"/>
      <c r="Q1380" s="99" t="n"/>
      <c r="R1380" s="99" t="n"/>
      <c r="S1380" s="99" t="n"/>
      <c r="T1380" s="99" t="n"/>
      <c r="U1380" s="99" t="n"/>
      <c r="V1380" s="99" t="n"/>
      <c r="W1380" s="99" t="n"/>
      <c r="X1380" s="99" t="n"/>
      <c r="Y1380" s="99" t="n"/>
      <c r="Z1380" s="99" t="n"/>
      <c r="AA1380" s="99" t="n"/>
      <c r="AB1380" s="99" t="n"/>
      <c r="AC1380" s="99" t="n"/>
      <c r="AD1380" s="99" t="n"/>
      <c r="AE1380" s="99" t="n"/>
      <c r="AF1380" s="99" t="n"/>
      <c r="AG1380" s="99" t="n"/>
      <c r="AH1380" s="99" t="n"/>
      <c r="AI1380" s="99" t="n"/>
      <c r="AJ1380" s="99" t="n"/>
      <c r="AK1380" s="99" t="n"/>
      <c r="AL1380" s="99" t="n"/>
      <c r="AM1380" s="99" t="n"/>
      <c r="AN1380" s="99" t="n"/>
      <c r="AO1380" s="99" t="n"/>
      <c r="AP1380" s="99" t="n"/>
      <c r="AQ1380" s="99" t="n"/>
      <c r="AR1380" s="99" t="n"/>
    </row>
    <row r="1381">
      <c r="D1381" s="99" t="n"/>
      <c r="E1381" s="99" t="n"/>
      <c r="F1381" s="99" t="n"/>
      <c r="G1381" s="99" t="n"/>
      <c r="H1381" s="99" t="n"/>
      <c r="I1381" s="99" t="n"/>
      <c r="J1381" s="99" t="n"/>
      <c r="K1381" s="99" t="n"/>
      <c r="L1381" s="99" t="n"/>
      <c r="M1381" s="99" t="n"/>
      <c r="N1381" s="99" t="n"/>
      <c r="O1381" s="99" t="n"/>
      <c r="P1381" s="99" t="n"/>
      <c r="Q1381" s="99" t="n"/>
      <c r="R1381" s="99" t="n"/>
      <c r="S1381" s="99" t="n"/>
      <c r="T1381" s="99" t="n"/>
      <c r="U1381" s="99" t="n"/>
      <c r="V1381" s="99" t="n"/>
      <c r="W1381" s="99" t="n"/>
      <c r="X1381" s="99" t="n"/>
      <c r="Y1381" s="99" t="n"/>
      <c r="Z1381" s="99" t="n"/>
      <c r="AA1381" s="99" t="n"/>
      <c r="AB1381" s="99" t="n"/>
      <c r="AC1381" s="99" t="n"/>
      <c r="AD1381" s="99" t="n"/>
      <c r="AE1381" s="99" t="n"/>
      <c r="AF1381" s="99" t="n"/>
      <c r="AG1381" s="99" t="n"/>
      <c r="AH1381" s="99" t="n"/>
      <c r="AI1381" s="99" t="n"/>
      <c r="AJ1381" s="99" t="n"/>
      <c r="AK1381" s="99" t="n"/>
      <c r="AL1381" s="99" t="n"/>
      <c r="AM1381" s="99" t="n"/>
      <c r="AN1381" s="99" t="n"/>
      <c r="AO1381" s="99" t="n"/>
      <c r="AP1381" s="99" t="n"/>
      <c r="AQ1381" s="99" t="n"/>
      <c r="AR1381" s="99" t="n"/>
    </row>
    <row r="1382">
      <c r="D1382" s="99" t="n"/>
      <c r="E1382" s="99" t="n"/>
      <c r="F1382" s="99" t="n"/>
      <c r="G1382" s="99" t="n"/>
      <c r="H1382" s="99" t="n"/>
      <c r="I1382" s="99" t="n"/>
      <c r="J1382" s="99" t="n"/>
      <c r="K1382" s="99" t="n"/>
      <c r="L1382" s="99" t="n"/>
      <c r="M1382" s="99" t="n"/>
      <c r="N1382" s="99" t="n"/>
      <c r="O1382" s="99" t="n"/>
      <c r="P1382" s="99" t="n"/>
      <c r="Q1382" s="99" t="n"/>
      <c r="R1382" s="99" t="n"/>
      <c r="S1382" s="99" t="n"/>
      <c r="T1382" s="99" t="n"/>
      <c r="U1382" s="99" t="n"/>
      <c r="V1382" s="99" t="n"/>
      <c r="W1382" s="99" t="n"/>
      <c r="X1382" s="99" t="n"/>
      <c r="Y1382" s="99" t="n"/>
      <c r="Z1382" s="99" t="n"/>
      <c r="AA1382" s="99" t="n"/>
      <c r="AB1382" s="99" t="n"/>
      <c r="AC1382" s="99" t="n"/>
      <c r="AD1382" s="99" t="n"/>
      <c r="AE1382" s="99" t="n"/>
      <c r="AF1382" s="99" t="n"/>
      <c r="AG1382" s="99" t="n"/>
      <c r="AH1382" s="99" t="n"/>
      <c r="AI1382" s="99" t="n"/>
      <c r="AJ1382" s="99" t="n"/>
      <c r="AK1382" s="99" t="n"/>
      <c r="AL1382" s="99" t="n"/>
      <c r="AM1382" s="99" t="n"/>
      <c r="AN1382" s="99" t="n"/>
      <c r="AO1382" s="99" t="n"/>
      <c r="AP1382" s="99" t="n"/>
      <c r="AQ1382" s="99" t="n"/>
      <c r="AR1382" s="99" t="n"/>
    </row>
    <row r="1383">
      <c r="D1383" s="100" t="n"/>
      <c r="E1383" s="100" t="n"/>
      <c r="F1383" s="100" t="n"/>
      <c r="G1383" s="100" t="n"/>
      <c r="H1383" s="100" t="n"/>
      <c r="I1383" s="100" t="n"/>
      <c r="J1383" s="100" t="n"/>
      <c r="K1383" s="100" t="n"/>
      <c r="L1383" s="100" t="n"/>
      <c r="M1383" s="100" t="n"/>
      <c r="N1383" s="100" t="n"/>
      <c r="O1383" s="100" t="n"/>
      <c r="P1383" s="100" t="n"/>
      <c r="Q1383" s="100" t="n"/>
      <c r="R1383" s="100" t="n"/>
      <c r="S1383" s="100" t="n"/>
      <c r="T1383" s="100" t="n"/>
      <c r="U1383" s="100" t="n"/>
      <c r="V1383" s="100" t="n"/>
      <c r="W1383" s="100" t="n"/>
      <c r="X1383" s="100" t="n"/>
      <c r="Y1383" s="100" t="n"/>
      <c r="Z1383" s="100" t="n"/>
      <c r="AA1383" s="100" t="n"/>
      <c r="AB1383" s="100" t="n"/>
      <c r="AC1383" s="100" t="n"/>
      <c r="AD1383" s="100" t="n"/>
      <c r="AE1383" s="100" t="n"/>
      <c r="AF1383" s="100" t="n"/>
      <c r="AG1383" s="100" t="n"/>
      <c r="AH1383" s="100" t="n"/>
      <c r="AI1383" s="100" t="n"/>
      <c r="AJ1383" s="100" t="n"/>
      <c r="AK1383" s="100" t="n"/>
      <c r="AL1383" s="100" t="n"/>
      <c r="AM1383" s="100" t="n"/>
      <c r="AN1383" s="100" t="n"/>
      <c r="AO1383" s="100" t="n"/>
      <c r="AP1383" s="100" t="n"/>
      <c r="AQ1383" s="100" t="n"/>
      <c r="AR1383" s="100" t="n"/>
    </row>
    <row r="1386">
      <c r="A1386" s="2">
        <f>IF($A1379="","","   projections")</f>
        <v/>
      </c>
      <c r="B1386" s="96">
        <f>IF($A1379="",0,COUNT($E1387:$AR1387))</f>
        <v/>
      </c>
      <c r="C1386" s="97">
        <f>IF($B1386=0,0,MAX($E1387:$AR1387))</f>
        <v/>
      </c>
      <c r="D1386" s="98">
        <f>BDS($A1379,FLD_PROJ,"headers=y","startcol=1","endcol=3","dir=h")</f>
        <v/>
      </c>
      <c r="E1386" s="99" t="n"/>
      <c r="F1386" s="99" t="n"/>
      <c r="G1386" s="99" t="n"/>
      <c r="H1386" s="99" t="n"/>
      <c r="I1386" s="99" t="n"/>
      <c r="J1386" s="99" t="n"/>
      <c r="K1386" s="99" t="n"/>
      <c r="L1386" s="99" t="n"/>
      <c r="M1386" s="99" t="n"/>
      <c r="N1386" s="99" t="n"/>
      <c r="O1386" s="99" t="n"/>
      <c r="P1386" s="99" t="n"/>
      <c r="Q1386" s="99" t="n"/>
      <c r="R1386" s="99" t="n"/>
      <c r="S1386" s="99" t="n"/>
      <c r="T1386" s="99" t="n"/>
      <c r="U1386" s="99" t="n"/>
      <c r="V1386" s="99" t="n"/>
      <c r="W1386" s="99" t="n"/>
      <c r="X1386" s="99" t="n"/>
      <c r="Y1386" s="99" t="n"/>
      <c r="Z1386" s="99" t="n"/>
      <c r="AA1386" s="99" t="n"/>
      <c r="AB1386" s="99" t="n"/>
      <c r="AC1386" s="99" t="n"/>
      <c r="AD1386" s="99" t="n"/>
      <c r="AE1386" s="99" t="n"/>
      <c r="AF1386" s="99" t="n"/>
      <c r="AG1386" s="99" t="n"/>
      <c r="AH1386" s="99" t="n"/>
      <c r="AI1386" s="99" t="n"/>
      <c r="AJ1386" s="99" t="n"/>
      <c r="AK1386" s="99" t="n"/>
      <c r="AL1386" s="99" t="n"/>
      <c r="AM1386" s="99" t="n"/>
      <c r="AN1386" s="99" t="n"/>
      <c r="AO1386" s="99" t="n"/>
      <c r="AP1386" s="99" t="n"/>
      <c r="AQ1386" s="99" t="n"/>
      <c r="AR1386" s="99" t="n"/>
    </row>
    <row r="1387">
      <c r="D1387" s="99" t="n"/>
      <c r="E1387" s="99" t="n"/>
      <c r="F1387" s="99" t="n"/>
      <c r="G1387" s="99" t="n"/>
      <c r="H1387" s="99" t="n"/>
      <c r="I1387" s="99" t="n"/>
      <c r="J1387" s="99" t="n"/>
      <c r="K1387" s="99" t="n"/>
      <c r="L1387" s="99" t="n"/>
      <c r="M1387" s="99" t="n"/>
      <c r="N1387" s="99" t="n"/>
      <c r="O1387" s="99" t="n"/>
      <c r="P1387" s="99" t="n"/>
      <c r="Q1387" s="99" t="n"/>
      <c r="R1387" s="99" t="n"/>
      <c r="S1387" s="99" t="n"/>
      <c r="T1387" s="99" t="n"/>
      <c r="U1387" s="99" t="n"/>
      <c r="V1387" s="99" t="n"/>
      <c r="W1387" s="99" t="n"/>
      <c r="X1387" s="99" t="n"/>
      <c r="Y1387" s="99" t="n"/>
      <c r="Z1387" s="99" t="n"/>
      <c r="AA1387" s="99" t="n"/>
      <c r="AB1387" s="99" t="n"/>
      <c r="AC1387" s="99" t="n"/>
      <c r="AD1387" s="99" t="n"/>
      <c r="AE1387" s="99" t="n"/>
      <c r="AF1387" s="99" t="n"/>
      <c r="AG1387" s="99" t="n"/>
      <c r="AH1387" s="99" t="n"/>
      <c r="AI1387" s="99" t="n"/>
      <c r="AJ1387" s="99" t="n"/>
      <c r="AK1387" s="99" t="n"/>
      <c r="AL1387" s="99" t="n"/>
      <c r="AM1387" s="99" t="n"/>
      <c r="AN1387" s="99" t="n"/>
      <c r="AO1387" s="99" t="n"/>
      <c r="AP1387" s="99" t="n"/>
      <c r="AQ1387" s="99" t="n"/>
      <c r="AR1387" s="99" t="n"/>
    </row>
    <row r="1388">
      <c r="D1388" s="100" t="n"/>
      <c r="E1388" s="100" t="n"/>
      <c r="F1388" s="100" t="n"/>
      <c r="G1388" s="100" t="n"/>
      <c r="H1388" s="100" t="n"/>
      <c r="I1388" s="100" t="n"/>
      <c r="J1388" s="100" t="n"/>
      <c r="K1388" s="100" t="n"/>
      <c r="L1388" s="100" t="n"/>
      <c r="M1388" s="100" t="n"/>
      <c r="N1388" s="100" t="n"/>
      <c r="O1388" s="100" t="n"/>
      <c r="P1388" s="100" t="n"/>
      <c r="Q1388" s="100" t="n"/>
      <c r="R1388" s="100" t="n"/>
      <c r="S1388" s="100" t="n"/>
      <c r="T1388" s="100" t="n"/>
      <c r="U1388" s="100" t="n"/>
      <c r="V1388" s="100" t="n"/>
      <c r="W1388" s="100" t="n"/>
      <c r="X1388" s="100" t="n"/>
      <c r="Y1388" s="100" t="n"/>
      <c r="Z1388" s="100" t="n"/>
      <c r="AA1388" s="100" t="n"/>
      <c r="AB1388" s="100" t="n"/>
      <c r="AC1388" s="100" t="n"/>
      <c r="AD1388" s="100" t="n"/>
      <c r="AE1388" s="100" t="n"/>
      <c r="AF1388" s="100" t="n"/>
      <c r="AG1388" s="100" t="n"/>
      <c r="AH1388" s="100" t="n"/>
      <c r="AI1388" s="100" t="n"/>
      <c r="AJ1388" s="100" t="n"/>
      <c r="AK1388" s="100" t="n"/>
      <c r="AL1388" s="100" t="n"/>
      <c r="AM1388" s="100" t="n"/>
      <c r="AN1388" s="100" t="n"/>
      <c r="AO1388" s="100" t="n"/>
      <c r="AP1388" s="100" t="n"/>
      <c r="AQ1388" s="100" t="n"/>
      <c r="AR1388" s="100" t="n"/>
    </row>
    <row r="1390">
      <c r="A1390" s="6">
        <f>IF(HSTECH!$C$32="","",HSTECH!$C$32)</f>
        <v/>
      </c>
      <c r="B1390" s="96">
        <f>IF($A1390="",0,COUNT($E1391:$AR1391))</f>
        <v/>
      </c>
      <c r="C1390" s="97">
        <f>IF($B1390=0,0,MAX($E1391:$AR1391))</f>
        <v/>
      </c>
      <c r="D1390" s="98">
        <f>BDS($A1390,FLD_HIST,"headers=y","startcol=1","endcol=7","dir=h","DVD_START_DT",HIST_FROM,"DVD_END_DT",HIST_TO)</f>
        <v/>
      </c>
      <c r="E1390" s="99" t="n"/>
      <c r="F1390" s="99" t="n"/>
      <c r="G1390" s="99" t="n"/>
      <c r="H1390" s="99" t="n"/>
      <c r="I1390" s="99" t="n"/>
      <c r="J1390" s="99" t="n"/>
      <c r="K1390" s="99" t="n"/>
      <c r="L1390" s="99" t="n"/>
      <c r="M1390" s="99" t="n"/>
      <c r="N1390" s="99" t="n"/>
      <c r="O1390" s="99" t="n"/>
      <c r="P1390" s="99" t="n"/>
      <c r="Q1390" s="99" t="n"/>
      <c r="R1390" s="99" t="n"/>
      <c r="S1390" s="99" t="n"/>
      <c r="T1390" s="99" t="n"/>
      <c r="U1390" s="99" t="n"/>
      <c r="V1390" s="99" t="n"/>
      <c r="W1390" s="99" t="n"/>
      <c r="X1390" s="99" t="n"/>
      <c r="Y1390" s="99" t="n"/>
      <c r="Z1390" s="99" t="n"/>
      <c r="AA1390" s="99" t="n"/>
      <c r="AB1390" s="99" t="n"/>
      <c r="AC1390" s="99" t="n"/>
      <c r="AD1390" s="99" t="n"/>
      <c r="AE1390" s="99" t="n"/>
      <c r="AF1390" s="99" t="n"/>
      <c r="AG1390" s="99" t="n"/>
      <c r="AH1390" s="99" t="n"/>
      <c r="AI1390" s="99" t="n"/>
      <c r="AJ1390" s="99" t="n"/>
      <c r="AK1390" s="99" t="n"/>
      <c r="AL1390" s="99" t="n"/>
      <c r="AM1390" s="99" t="n"/>
      <c r="AN1390" s="99" t="n"/>
      <c r="AO1390" s="99" t="n"/>
      <c r="AP1390" s="99" t="n"/>
      <c r="AQ1390" s="99" t="n"/>
      <c r="AR1390" s="99" t="n"/>
    </row>
    <row r="1391">
      <c r="D1391" s="99" t="n"/>
      <c r="E1391" s="99" t="n"/>
      <c r="F1391" s="99" t="n"/>
      <c r="G1391" s="99" t="n"/>
      <c r="H1391" s="99" t="n"/>
      <c r="I1391" s="99" t="n"/>
      <c r="J1391" s="99" t="n"/>
      <c r="K1391" s="99" t="n"/>
      <c r="L1391" s="99" t="n"/>
      <c r="M1391" s="99" t="n"/>
      <c r="N1391" s="99" t="n"/>
      <c r="O1391" s="99" t="n"/>
      <c r="P1391" s="99" t="n"/>
      <c r="Q1391" s="99" t="n"/>
      <c r="R1391" s="99" t="n"/>
      <c r="S1391" s="99" t="n"/>
      <c r="T1391" s="99" t="n"/>
      <c r="U1391" s="99" t="n"/>
      <c r="V1391" s="99" t="n"/>
      <c r="W1391" s="99" t="n"/>
      <c r="X1391" s="99" t="n"/>
      <c r="Y1391" s="99" t="n"/>
      <c r="Z1391" s="99" t="n"/>
      <c r="AA1391" s="99" t="n"/>
      <c r="AB1391" s="99" t="n"/>
      <c r="AC1391" s="99" t="n"/>
      <c r="AD1391" s="99" t="n"/>
      <c r="AE1391" s="99" t="n"/>
      <c r="AF1391" s="99" t="n"/>
      <c r="AG1391" s="99" t="n"/>
      <c r="AH1391" s="99" t="n"/>
      <c r="AI1391" s="99" t="n"/>
      <c r="AJ1391" s="99" t="n"/>
      <c r="AK1391" s="99" t="n"/>
      <c r="AL1391" s="99" t="n"/>
      <c r="AM1391" s="99" t="n"/>
      <c r="AN1391" s="99" t="n"/>
      <c r="AO1391" s="99" t="n"/>
      <c r="AP1391" s="99" t="n"/>
      <c r="AQ1391" s="99" t="n"/>
      <c r="AR1391" s="99" t="n"/>
    </row>
    <row r="1392">
      <c r="D1392" s="99" t="n"/>
      <c r="E1392" s="99" t="n"/>
      <c r="F1392" s="99" t="n"/>
      <c r="G1392" s="99" t="n"/>
      <c r="H1392" s="99" t="n"/>
      <c r="I1392" s="99" t="n"/>
      <c r="J1392" s="99" t="n"/>
      <c r="K1392" s="99" t="n"/>
      <c r="L1392" s="99" t="n"/>
      <c r="M1392" s="99" t="n"/>
      <c r="N1392" s="99" t="n"/>
      <c r="O1392" s="99" t="n"/>
      <c r="P1392" s="99" t="n"/>
      <c r="Q1392" s="99" t="n"/>
      <c r="R1392" s="99" t="n"/>
      <c r="S1392" s="99" t="n"/>
      <c r="T1392" s="99" t="n"/>
      <c r="U1392" s="99" t="n"/>
      <c r="V1392" s="99" t="n"/>
      <c r="W1392" s="99" t="n"/>
      <c r="X1392" s="99" t="n"/>
      <c r="Y1392" s="99" t="n"/>
      <c r="Z1392" s="99" t="n"/>
      <c r="AA1392" s="99" t="n"/>
      <c r="AB1392" s="99" t="n"/>
      <c r="AC1392" s="99" t="n"/>
      <c r="AD1392" s="99" t="n"/>
      <c r="AE1392" s="99" t="n"/>
      <c r="AF1392" s="99" t="n"/>
      <c r="AG1392" s="99" t="n"/>
      <c r="AH1392" s="99" t="n"/>
      <c r="AI1392" s="99" t="n"/>
      <c r="AJ1392" s="99" t="n"/>
      <c r="AK1392" s="99" t="n"/>
      <c r="AL1392" s="99" t="n"/>
      <c r="AM1392" s="99" t="n"/>
      <c r="AN1392" s="99" t="n"/>
      <c r="AO1392" s="99" t="n"/>
      <c r="AP1392" s="99" t="n"/>
      <c r="AQ1392" s="99" t="n"/>
      <c r="AR1392" s="99" t="n"/>
    </row>
    <row r="1393">
      <c r="D1393" s="99" t="n"/>
      <c r="E1393" s="99" t="n"/>
      <c r="F1393" s="99" t="n"/>
      <c r="G1393" s="99" t="n"/>
      <c r="H1393" s="99" t="n"/>
      <c r="I1393" s="99" t="n"/>
      <c r="J1393" s="99" t="n"/>
      <c r="K1393" s="99" t="n"/>
      <c r="L1393" s="99" t="n"/>
      <c r="M1393" s="99" t="n"/>
      <c r="N1393" s="99" t="n"/>
      <c r="O1393" s="99" t="n"/>
      <c r="P1393" s="99" t="n"/>
      <c r="Q1393" s="99" t="n"/>
      <c r="R1393" s="99" t="n"/>
      <c r="S1393" s="99" t="n"/>
      <c r="T1393" s="99" t="n"/>
      <c r="U1393" s="99" t="n"/>
      <c r="V1393" s="99" t="n"/>
      <c r="W1393" s="99" t="n"/>
      <c r="X1393" s="99" t="n"/>
      <c r="Y1393" s="99" t="n"/>
      <c r="Z1393" s="99" t="n"/>
      <c r="AA1393" s="99" t="n"/>
      <c r="AB1393" s="99" t="n"/>
      <c r="AC1393" s="99" t="n"/>
      <c r="AD1393" s="99" t="n"/>
      <c r="AE1393" s="99" t="n"/>
      <c r="AF1393" s="99" t="n"/>
      <c r="AG1393" s="99" t="n"/>
      <c r="AH1393" s="99" t="n"/>
      <c r="AI1393" s="99" t="n"/>
      <c r="AJ1393" s="99" t="n"/>
      <c r="AK1393" s="99" t="n"/>
      <c r="AL1393" s="99" t="n"/>
      <c r="AM1393" s="99" t="n"/>
      <c r="AN1393" s="99" t="n"/>
      <c r="AO1393" s="99" t="n"/>
      <c r="AP1393" s="99" t="n"/>
      <c r="AQ1393" s="99" t="n"/>
      <c r="AR1393" s="99" t="n"/>
    </row>
    <row r="1394">
      <c r="D1394" s="100" t="n"/>
      <c r="E1394" s="100" t="n"/>
      <c r="F1394" s="100" t="n"/>
      <c r="G1394" s="100" t="n"/>
      <c r="H1394" s="100" t="n"/>
      <c r="I1394" s="100" t="n"/>
      <c r="J1394" s="100" t="n"/>
      <c r="K1394" s="100" t="n"/>
      <c r="L1394" s="100" t="n"/>
      <c r="M1394" s="100" t="n"/>
      <c r="N1394" s="100" t="n"/>
      <c r="O1394" s="100" t="n"/>
      <c r="P1394" s="100" t="n"/>
      <c r="Q1394" s="100" t="n"/>
      <c r="R1394" s="100" t="n"/>
      <c r="S1394" s="100" t="n"/>
      <c r="T1394" s="100" t="n"/>
      <c r="U1394" s="100" t="n"/>
      <c r="V1394" s="100" t="n"/>
      <c r="W1394" s="100" t="n"/>
      <c r="X1394" s="100" t="n"/>
      <c r="Y1394" s="100" t="n"/>
      <c r="Z1394" s="100" t="n"/>
      <c r="AA1394" s="100" t="n"/>
      <c r="AB1394" s="100" t="n"/>
      <c r="AC1394" s="100" t="n"/>
      <c r="AD1394" s="100" t="n"/>
      <c r="AE1394" s="100" t="n"/>
      <c r="AF1394" s="100" t="n"/>
      <c r="AG1394" s="100" t="n"/>
      <c r="AH1394" s="100" t="n"/>
      <c r="AI1394" s="100" t="n"/>
      <c r="AJ1394" s="100" t="n"/>
      <c r="AK1394" s="100" t="n"/>
      <c r="AL1394" s="100" t="n"/>
      <c r="AM1394" s="100" t="n"/>
      <c r="AN1394" s="100" t="n"/>
      <c r="AO1394" s="100" t="n"/>
      <c r="AP1394" s="100" t="n"/>
      <c r="AQ1394" s="100" t="n"/>
      <c r="AR1394" s="100" t="n"/>
    </row>
    <row r="1397">
      <c r="A1397" s="2">
        <f>IF($A1390="","","   projections")</f>
        <v/>
      </c>
      <c r="B1397" s="96">
        <f>IF($A1390="",0,COUNT($E1398:$AR1398))</f>
        <v/>
      </c>
      <c r="C1397" s="97">
        <f>IF($B1397=0,0,MAX($E1398:$AR1398))</f>
        <v/>
      </c>
      <c r="D1397" s="98">
        <f>BDS($A1390,FLD_PROJ,"headers=y","startcol=1","endcol=3","dir=h")</f>
        <v/>
      </c>
      <c r="E1397" s="99" t="n"/>
      <c r="F1397" s="99" t="n"/>
      <c r="G1397" s="99" t="n"/>
      <c r="H1397" s="99" t="n"/>
      <c r="I1397" s="99" t="n"/>
      <c r="J1397" s="99" t="n"/>
      <c r="K1397" s="99" t="n"/>
      <c r="L1397" s="99" t="n"/>
      <c r="M1397" s="99" t="n"/>
      <c r="N1397" s="99" t="n"/>
      <c r="O1397" s="99" t="n"/>
      <c r="P1397" s="99" t="n"/>
      <c r="Q1397" s="99" t="n"/>
      <c r="R1397" s="99" t="n"/>
      <c r="S1397" s="99" t="n"/>
      <c r="T1397" s="99" t="n"/>
      <c r="U1397" s="99" t="n"/>
      <c r="V1397" s="99" t="n"/>
      <c r="W1397" s="99" t="n"/>
      <c r="X1397" s="99" t="n"/>
      <c r="Y1397" s="99" t="n"/>
      <c r="Z1397" s="99" t="n"/>
      <c r="AA1397" s="99" t="n"/>
      <c r="AB1397" s="99" t="n"/>
      <c r="AC1397" s="99" t="n"/>
      <c r="AD1397" s="99" t="n"/>
      <c r="AE1397" s="99" t="n"/>
      <c r="AF1397" s="99" t="n"/>
      <c r="AG1397" s="99" t="n"/>
      <c r="AH1397" s="99" t="n"/>
      <c r="AI1397" s="99" t="n"/>
      <c r="AJ1397" s="99" t="n"/>
      <c r="AK1397" s="99" t="n"/>
      <c r="AL1397" s="99" t="n"/>
      <c r="AM1397" s="99" t="n"/>
      <c r="AN1397" s="99" t="n"/>
      <c r="AO1397" s="99" t="n"/>
      <c r="AP1397" s="99" t="n"/>
      <c r="AQ1397" s="99" t="n"/>
      <c r="AR1397" s="99" t="n"/>
    </row>
    <row r="1398">
      <c r="D1398" s="99" t="n"/>
      <c r="E1398" s="99" t="n"/>
      <c r="F1398" s="99" t="n"/>
      <c r="G1398" s="99" t="n"/>
      <c r="H1398" s="99" t="n"/>
      <c r="I1398" s="99" t="n"/>
      <c r="J1398" s="99" t="n"/>
      <c r="K1398" s="99" t="n"/>
      <c r="L1398" s="99" t="n"/>
      <c r="M1398" s="99" t="n"/>
      <c r="N1398" s="99" t="n"/>
      <c r="O1398" s="99" t="n"/>
      <c r="P1398" s="99" t="n"/>
      <c r="Q1398" s="99" t="n"/>
      <c r="R1398" s="99" t="n"/>
      <c r="S1398" s="99" t="n"/>
      <c r="T1398" s="99" t="n"/>
      <c r="U1398" s="99" t="n"/>
      <c r="V1398" s="99" t="n"/>
      <c r="W1398" s="99" t="n"/>
      <c r="X1398" s="99" t="n"/>
      <c r="Y1398" s="99" t="n"/>
      <c r="Z1398" s="99" t="n"/>
      <c r="AA1398" s="99" t="n"/>
      <c r="AB1398" s="99" t="n"/>
      <c r="AC1398" s="99" t="n"/>
      <c r="AD1398" s="99" t="n"/>
      <c r="AE1398" s="99" t="n"/>
      <c r="AF1398" s="99" t="n"/>
      <c r="AG1398" s="99" t="n"/>
      <c r="AH1398" s="99" t="n"/>
      <c r="AI1398" s="99" t="n"/>
      <c r="AJ1398" s="99" t="n"/>
      <c r="AK1398" s="99" t="n"/>
      <c r="AL1398" s="99" t="n"/>
      <c r="AM1398" s="99" t="n"/>
      <c r="AN1398" s="99" t="n"/>
      <c r="AO1398" s="99" t="n"/>
      <c r="AP1398" s="99" t="n"/>
      <c r="AQ1398" s="99" t="n"/>
      <c r="AR1398" s="99" t="n"/>
    </row>
    <row r="1399">
      <c r="D1399" s="100" t="n"/>
      <c r="E1399" s="100" t="n"/>
      <c r="F1399" s="100" t="n"/>
      <c r="G1399" s="100" t="n"/>
      <c r="H1399" s="100" t="n"/>
      <c r="I1399" s="100" t="n"/>
      <c r="J1399" s="100" t="n"/>
      <c r="K1399" s="100" t="n"/>
      <c r="L1399" s="100" t="n"/>
      <c r="M1399" s="100" t="n"/>
      <c r="N1399" s="100" t="n"/>
      <c r="O1399" s="100" t="n"/>
      <c r="P1399" s="100" t="n"/>
      <c r="Q1399" s="100" t="n"/>
      <c r="R1399" s="100" t="n"/>
      <c r="S1399" s="100" t="n"/>
      <c r="T1399" s="100" t="n"/>
      <c r="U1399" s="100" t="n"/>
      <c r="V1399" s="100" t="n"/>
      <c r="W1399" s="100" t="n"/>
      <c r="X1399" s="100" t="n"/>
      <c r="Y1399" s="100" t="n"/>
      <c r="Z1399" s="100" t="n"/>
      <c r="AA1399" s="100" t="n"/>
      <c r="AB1399" s="100" t="n"/>
      <c r="AC1399" s="100" t="n"/>
      <c r="AD1399" s="100" t="n"/>
      <c r="AE1399" s="100" t="n"/>
      <c r="AF1399" s="100" t="n"/>
      <c r="AG1399" s="100" t="n"/>
      <c r="AH1399" s="100" t="n"/>
      <c r="AI1399" s="100" t="n"/>
      <c r="AJ1399" s="100" t="n"/>
      <c r="AK1399" s="100" t="n"/>
      <c r="AL1399" s="100" t="n"/>
      <c r="AM1399" s="100" t="n"/>
      <c r="AN1399" s="100" t="n"/>
      <c r="AO1399" s="100" t="n"/>
      <c r="AP1399" s="100" t="n"/>
      <c r="AQ1399" s="100" t="n"/>
      <c r="AR1399" s="100" t="n"/>
    </row>
    <row r="1401">
      <c r="A1401" s="6">
        <f>IF(HSTECH!$C$33="","",HSTECH!$C$33)</f>
        <v/>
      </c>
      <c r="B1401" s="96">
        <f>IF($A1401="",0,COUNT($E1402:$AR1402))</f>
        <v/>
      </c>
      <c r="C1401" s="97">
        <f>IF($B1401=0,0,MAX($E1402:$AR1402))</f>
        <v/>
      </c>
      <c r="D1401" s="98">
        <f>BDS($A1401,FLD_HIST,"headers=y","startcol=1","endcol=7","dir=h","DVD_START_DT",HIST_FROM,"DVD_END_DT",HIST_TO)</f>
        <v/>
      </c>
      <c r="E1401" s="99" t="n"/>
      <c r="F1401" s="99" t="n"/>
      <c r="G1401" s="99" t="n"/>
      <c r="H1401" s="99" t="n"/>
      <c r="I1401" s="99" t="n"/>
      <c r="J1401" s="99" t="n"/>
      <c r="K1401" s="99" t="n"/>
      <c r="L1401" s="99" t="n"/>
      <c r="M1401" s="99" t="n"/>
      <c r="N1401" s="99" t="n"/>
      <c r="O1401" s="99" t="n"/>
      <c r="P1401" s="99" t="n"/>
      <c r="Q1401" s="99" t="n"/>
      <c r="R1401" s="99" t="n"/>
      <c r="S1401" s="99" t="n"/>
      <c r="T1401" s="99" t="n"/>
      <c r="U1401" s="99" t="n"/>
      <c r="V1401" s="99" t="n"/>
      <c r="W1401" s="99" t="n"/>
      <c r="X1401" s="99" t="n"/>
      <c r="Y1401" s="99" t="n"/>
      <c r="Z1401" s="99" t="n"/>
      <c r="AA1401" s="99" t="n"/>
      <c r="AB1401" s="99" t="n"/>
      <c r="AC1401" s="99" t="n"/>
      <c r="AD1401" s="99" t="n"/>
      <c r="AE1401" s="99" t="n"/>
      <c r="AF1401" s="99" t="n"/>
      <c r="AG1401" s="99" t="n"/>
      <c r="AH1401" s="99" t="n"/>
      <c r="AI1401" s="99" t="n"/>
      <c r="AJ1401" s="99" t="n"/>
      <c r="AK1401" s="99" t="n"/>
      <c r="AL1401" s="99" t="n"/>
      <c r="AM1401" s="99" t="n"/>
      <c r="AN1401" s="99" t="n"/>
      <c r="AO1401" s="99" t="n"/>
      <c r="AP1401" s="99" t="n"/>
      <c r="AQ1401" s="99" t="n"/>
      <c r="AR1401" s="99" t="n"/>
    </row>
    <row r="1402">
      <c r="D1402" s="99" t="n"/>
      <c r="E1402" s="99" t="n"/>
      <c r="F1402" s="99" t="n"/>
      <c r="G1402" s="99" t="n"/>
      <c r="H1402" s="99" t="n"/>
      <c r="I1402" s="99" t="n"/>
      <c r="J1402" s="99" t="n"/>
      <c r="K1402" s="99" t="n"/>
      <c r="L1402" s="99" t="n"/>
      <c r="M1402" s="99" t="n"/>
      <c r="N1402" s="99" t="n"/>
      <c r="O1402" s="99" t="n"/>
      <c r="P1402" s="99" t="n"/>
      <c r="Q1402" s="99" t="n"/>
      <c r="R1402" s="99" t="n"/>
      <c r="S1402" s="99" t="n"/>
      <c r="T1402" s="99" t="n"/>
      <c r="U1402" s="99" t="n"/>
      <c r="V1402" s="99" t="n"/>
      <c r="W1402" s="99" t="n"/>
      <c r="X1402" s="99" t="n"/>
      <c r="Y1402" s="99" t="n"/>
      <c r="Z1402" s="99" t="n"/>
      <c r="AA1402" s="99" t="n"/>
      <c r="AB1402" s="99" t="n"/>
      <c r="AC1402" s="99" t="n"/>
      <c r="AD1402" s="99" t="n"/>
      <c r="AE1402" s="99" t="n"/>
      <c r="AF1402" s="99" t="n"/>
      <c r="AG1402" s="99" t="n"/>
      <c r="AH1402" s="99" t="n"/>
      <c r="AI1402" s="99" t="n"/>
      <c r="AJ1402" s="99" t="n"/>
      <c r="AK1402" s="99" t="n"/>
      <c r="AL1402" s="99" t="n"/>
      <c r="AM1402" s="99" t="n"/>
      <c r="AN1402" s="99" t="n"/>
      <c r="AO1402" s="99" t="n"/>
      <c r="AP1402" s="99" t="n"/>
      <c r="AQ1402" s="99" t="n"/>
      <c r="AR1402" s="99" t="n"/>
    </row>
    <row r="1403">
      <c r="D1403" s="99" t="n"/>
      <c r="E1403" s="99" t="n"/>
      <c r="F1403" s="99" t="n"/>
      <c r="G1403" s="99" t="n"/>
      <c r="H1403" s="99" t="n"/>
      <c r="I1403" s="99" t="n"/>
      <c r="J1403" s="99" t="n"/>
      <c r="K1403" s="99" t="n"/>
      <c r="L1403" s="99" t="n"/>
      <c r="M1403" s="99" t="n"/>
      <c r="N1403" s="99" t="n"/>
      <c r="O1403" s="99" t="n"/>
      <c r="P1403" s="99" t="n"/>
      <c r="Q1403" s="99" t="n"/>
      <c r="R1403" s="99" t="n"/>
      <c r="S1403" s="99" t="n"/>
      <c r="T1403" s="99" t="n"/>
      <c r="U1403" s="99" t="n"/>
      <c r="V1403" s="99" t="n"/>
      <c r="W1403" s="99" t="n"/>
      <c r="X1403" s="99" t="n"/>
      <c r="Y1403" s="99" t="n"/>
      <c r="Z1403" s="99" t="n"/>
      <c r="AA1403" s="99" t="n"/>
      <c r="AB1403" s="99" t="n"/>
      <c r="AC1403" s="99" t="n"/>
      <c r="AD1403" s="99" t="n"/>
      <c r="AE1403" s="99" t="n"/>
      <c r="AF1403" s="99" t="n"/>
      <c r="AG1403" s="99" t="n"/>
      <c r="AH1403" s="99" t="n"/>
      <c r="AI1403" s="99" t="n"/>
      <c r="AJ1403" s="99" t="n"/>
      <c r="AK1403" s="99" t="n"/>
      <c r="AL1403" s="99" t="n"/>
      <c r="AM1403" s="99" t="n"/>
      <c r="AN1403" s="99" t="n"/>
      <c r="AO1403" s="99" t="n"/>
      <c r="AP1403" s="99" t="n"/>
      <c r="AQ1403" s="99" t="n"/>
      <c r="AR1403" s="99" t="n"/>
    </row>
    <row r="1404">
      <c r="D1404" s="99" t="n"/>
      <c r="E1404" s="99" t="n"/>
      <c r="F1404" s="99" t="n"/>
      <c r="G1404" s="99" t="n"/>
      <c r="H1404" s="99" t="n"/>
      <c r="I1404" s="99" t="n"/>
      <c r="J1404" s="99" t="n"/>
      <c r="K1404" s="99" t="n"/>
      <c r="L1404" s="99" t="n"/>
      <c r="M1404" s="99" t="n"/>
      <c r="N1404" s="99" t="n"/>
      <c r="O1404" s="99" t="n"/>
      <c r="P1404" s="99" t="n"/>
      <c r="Q1404" s="99" t="n"/>
      <c r="R1404" s="99" t="n"/>
      <c r="S1404" s="99" t="n"/>
      <c r="T1404" s="99" t="n"/>
      <c r="U1404" s="99" t="n"/>
      <c r="V1404" s="99" t="n"/>
      <c r="W1404" s="99" t="n"/>
      <c r="X1404" s="99" t="n"/>
      <c r="Y1404" s="99" t="n"/>
      <c r="Z1404" s="99" t="n"/>
      <c r="AA1404" s="99" t="n"/>
      <c r="AB1404" s="99" t="n"/>
      <c r="AC1404" s="99" t="n"/>
      <c r="AD1404" s="99" t="n"/>
      <c r="AE1404" s="99" t="n"/>
      <c r="AF1404" s="99" t="n"/>
      <c r="AG1404" s="99" t="n"/>
      <c r="AH1404" s="99" t="n"/>
      <c r="AI1404" s="99" t="n"/>
      <c r="AJ1404" s="99" t="n"/>
      <c r="AK1404" s="99" t="n"/>
      <c r="AL1404" s="99" t="n"/>
      <c r="AM1404" s="99" t="n"/>
      <c r="AN1404" s="99" t="n"/>
      <c r="AO1404" s="99" t="n"/>
      <c r="AP1404" s="99" t="n"/>
      <c r="AQ1404" s="99" t="n"/>
      <c r="AR1404" s="99" t="n"/>
    </row>
    <row r="1405">
      <c r="D1405" s="100" t="n"/>
      <c r="E1405" s="100" t="n"/>
      <c r="F1405" s="100" t="n"/>
      <c r="G1405" s="100" t="n"/>
      <c r="H1405" s="100" t="n"/>
      <c r="I1405" s="100" t="n"/>
      <c r="J1405" s="100" t="n"/>
      <c r="K1405" s="100" t="n"/>
      <c r="L1405" s="100" t="n"/>
      <c r="M1405" s="100" t="n"/>
      <c r="N1405" s="100" t="n"/>
      <c r="O1405" s="100" t="n"/>
      <c r="P1405" s="100" t="n"/>
      <c r="Q1405" s="100" t="n"/>
      <c r="R1405" s="100" t="n"/>
      <c r="S1405" s="100" t="n"/>
      <c r="T1405" s="100" t="n"/>
      <c r="U1405" s="100" t="n"/>
      <c r="V1405" s="100" t="n"/>
      <c r="W1405" s="100" t="n"/>
      <c r="X1405" s="100" t="n"/>
      <c r="Y1405" s="100" t="n"/>
      <c r="Z1405" s="100" t="n"/>
      <c r="AA1405" s="100" t="n"/>
      <c r="AB1405" s="100" t="n"/>
      <c r="AC1405" s="100" t="n"/>
      <c r="AD1405" s="100" t="n"/>
      <c r="AE1405" s="100" t="n"/>
      <c r="AF1405" s="100" t="n"/>
      <c r="AG1405" s="100" t="n"/>
      <c r="AH1405" s="100" t="n"/>
      <c r="AI1405" s="100" t="n"/>
      <c r="AJ1405" s="100" t="n"/>
      <c r="AK1405" s="100" t="n"/>
      <c r="AL1405" s="100" t="n"/>
      <c r="AM1405" s="100" t="n"/>
      <c r="AN1405" s="100" t="n"/>
      <c r="AO1405" s="100" t="n"/>
      <c r="AP1405" s="100" t="n"/>
      <c r="AQ1405" s="100" t="n"/>
      <c r="AR1405" s="100" t="n"/>
    </row>
    <row r="1408">
      <c r="A1408" s="2">
        <f>IF($A1401="","","   projections")</f>
        <v/>
      </c>
      <c r="B1408" s="96">
        <f>IF($A1401="",0,COUNT($E1409:$AR1409))</f>
        <v/>
      </c>
      <c r="C1408" s="97">
        <f>IF($B1408=0,0,MAX($E1409:$AR1409))</f>
        <v/>
      </c>
      <c r="D1408" s="98">
        <f>BDS($A1401,FLD_PROJ,"headers=y","startcol=1","endcol=3","dir=h")</f>
        <v/>
      </c>
      <c r="E1408" s="99" t="n"/>
      <c r="F1408" s="99" t="n"/>
      <c r="G1408" s="99" t="n"/>
      <c r="H1408" s="99" t="n"/>
      <c r="I1408" s="99" t="n"/>
      <c r="J1408" s="99" t="n"/>
      <c r="K1408" s="99" t="n"/>
      <c r="L1408" s="99" t="n"/>
      <c r="M1408" s="99" t="n"/>
      <c r="N1408" s="99" t="n"/>
      <c r="O1408" s="99" t="n"/>
      <c r="P1408" s="99" t="n"/>
      <c r="Q1408" s="99" t="n"/>
      <c r="R1408" s="99" t="n"/>
      <c r="S1408" s="99" t="n"/>
      <c r="T1408" s="99" t="n"/>
      <c r="U1408" s="99" t="n"/>
      <c r="V1408" s="99" t="n"/>
      <c r="W1408" s="99" t="n"/>
      <c r="X1408" s="99" t="n"/>
      <c r="Y1408" s="99" t="n"/>
      <c r="Z1408" s="99" t="n"/>
      <c r="AA1408" s="99" t="n"/>
      <c r="AB1408" s="99" t="n"/>
      <c r="AC1408" s="99" t="n"/>
      <c r="AD1408" s="99" t="n"/>
      <c r="AE1408" s="99" t="n"/>
      <c r="AF1408" s="99" t="n"/>
      <c r="AG1408" s="99" t="n"/>
      <c r="AH1408" s="99" t="n"/>
      <c r="AI1408" s="99" t="n"/>
      <c r="AJ1408" s="99" t="n"/>
      <c r="AK1408" s="99" t="n"/>
      <c r="AL1408" s="99" t="n"/>
      <c r="AM1408" s="99" t="n"/>
      <c r="AN1408" s="99" t="n"/>
      <c r="AO1408" s="99" t="n"/>
      <c r="AP1408" s="99" t="n"/>
      <c r="AQ1408" s="99" t="n"/>
      <c r="AR1408" s="99" t="n"/>
    </row>
    <row r="1409">
      <c r="D1409" s="99" t="n"/>
      <c r="E1409" s="99" t="n"/>
      <c r="F1409" s="99" t="n"/>
      <c r="G1409" s="99" t="n"/>
      <c r="H1409" s="99" t="n"/>
      <c r="I1409" s="99" t="n"/>
      <c r="J1409" s="99" t="n"/>
      <c r="K1409" s="99" t="n"/>
      <c r="L1409" s="99" t="n"/>
      <c r="M1409" s="99" t="n"/>
      <c r="N1409" s="99" t="n"/>
      <c r="O1409" s="99" t="n"/>
      <c r="P1409" s="99" t="n"/>
      <c r="Q1409" s="99" t="n"/>
      <c r="R1409" s="99" t="n"/>
      <c r="S1409" s="99" t="n"/>
      <c r="T1409" s="99" t="n"/>
      <c r="U1409" s="99" t="n"/>
      <c r="V1409" s="99" t="n"/>
      <c r="W1409" s="99" t="n"/>
      <c r="X1409" s="99" t="n"/>
      <c r="Y1409" s="99" t="n"/>
      <c r="Z1409" s="99" t="n"/>
      <c r="AA1409" s="99" t="n"/>
      <c r="AB1409" s="99" t="n"/>
      <c r="AC1409" s="99" t="n"/>
      <c r="AD1409" s="99" t="n"/>
      <c r="AE1409" s="99" t="n"/>
      <c r="AF1409" s="99" t="n"/>
      <c r="AG1409" s="99" t="n"/>
      <c r="AH1409" s="99" t="n"/>
      <c r="AI1409" s="99" t="n"/>
      <c r="AJ1409" s="99" t="n"/>
      <c r="AK1409" s="99" t="n"/>
      <c r="AL1409" s="99" t="n"/>
      <c r="AM1409" s="99" t="n"/>
      <c r="AN1409" s="99" t="n"/>
      <c r="AO1409" s="99" t="n"/>
      <c r="AP1409" s="99" t="n"/>
      <c r="AQ1409" s="99" t="n"/>
      <c r="AR1409" s="99" t="n"/>
    </row>
    <row r="1410">
      <c r="D1410" s="100" t="n"/>
      <c r="E1410" s="100" t="n"/>
      <c r="F1410" s="100" t="n"/>
      <c r="G1410" s="100" t="n"/>
      <c r="H1410" s="100" t="n"/>
      <c r="I1410" s="100" t="n"/>
      <c r="J1410" s="100" t="n"/>
      <c r="K1410" s="100" t="n"/>
      <c r="L1410" s="100" t="n"/>
      <c r="M1410" s="100" t="n"/>
      <c r="N1410" s="100" t="n"/>
      <c r="O1410" s="100" t="n"/>
      <c r="P1410" s="100" t="n"/>
      <c r="Q1410" s="100" t="n"/>
      <c r="R1410" s="100" t="n"/>
      <c r="S1410" s="100" t="n"/>
      <c r="T1410" s="100" t="n"/>
      <c r="U1410" s="100" t="n"/>
      <c r="V1410" s="100" t="n"/>
      <c r="W1410" s="100" t="n"/>
      <c r="X1410" s="100" t="n"/>
      <c r="Y1410" s="100" t="n"/>
      <c r="Z1410" s="100" t="n"/>
      <c r="AA1410" s="100" t="n"/>
      <c r="AB1410" s="100" t="n"/>
      <c r="AC1410" s="100" t="n"/>
      <c r="AD1410" s="100" t="n"/>
      <c r="AE1410" s="100" t="n"/>
      <c r="AF1410" s="100" t="n"/>
      <c r="AG1410" s="100" t="n"/>
      <c r="AH1410" s="100" t="n"/>
      <c r="AI1410" s="100" t="n"/>
      <c r="AJ1410" s="100" t="n"/>
      <c r="AK1410" s="100" t="n"/>
      <c r="AL1410" s="100" t="n"/>
      <c r="AM1410" s="100" t="n"/>
      <c r="AN1410" s="100" t="n"/>
      <c r="AO1410" s="100" t="n"/>
      <c r="AP1410" s="100" t="n"/>
      <c r="AQ1410" s="100" t="n"/>
      <c r="AR1410" s="100" t="n"/>
    </row>
    <row r="1412">
      <c r="A1412" s="6">
        <f>IF(HSTECH!$C$34="","",HSTECH!$C$34)</f>
        <v/>
      </c>
      <c r="B1412" s="96">
        <f>IF($A1412="",0,COUNT($E1413:$AR1413))</f>
        <v/>
      </c>
      <c r="C1412" s="97">
        <f>IF($B1412=0,0,MAX($E1413:$AR1413))</f>
        <v/>
      </c>
      <c r="D1412" s="98">
        <f>BDS($A1412,FLD_HIST,"headers=y","startcol=1","endcol=7","dir=h","DVD_START_DT",HIST_FROM,"DVD_END_DT",HIST_TO)</f>
        <v/>
      </c>
      <c r="E1412" s="99" t="n"/>
      <c r="F1412" s="99" t="n"/>
      <c r="G1412" s="99" t="n"/>
      <c r="H1412" s="99" t="n"/>
      <c r="I1412" s="99" t="n"/>
      <c r="J1412" s="99" t="n"/>
      <c r="K1412" s="99" t="n"/>
      <c r="L1412" s="99" t="n"/>
      <c r="M1412" s="99" t="n"/>
      <c r="N1412" s="99" t="n"/>
      <c r="O1412" s="99" t="n"/>
      <c r="P1412" s="99" t="n"/>
      <c r="Q1412" s="99" t="n"/>
      <c r="R1412" s="99" t="n"/>
      <c r="S1412" s="99" t="n"/>
      <c r="T1412" s="99" t="n"/>
      <c r="U1412" s="99" t="n"/>
      <c r="V1412" s="99" t="n"/>
      <c r="W1412" s="99" t="n"/>
      <c r="X1412" s="99" t="n"/>
      <c r="Y1412" s="99" t="n"/>
      <c r="Z1412" s="99" t="n"/>
      <c r="AA1412" s="99" t="n"/>
      <c r="AB1412" s="99" t="n"/>
      <c r="AC1412" s="99" t="n"/>
      <c r="AD1412" s="99" t="n"/>
      <c r="AE1412" s="99" t="n"/>
      <c r="AF1412" s="99" t="n"/>
      <c r="AG1412" s="99" t="n"/>
      <c r="AH1412" s="99" t="n"/>
      <c r="AI1412" s="99" t="n"/>
      <c r="AJ1412" s="99" t="n"/>
      <c r="AK1412" s="99" t="n"/>
      <c r="AL1412" s="99" t="n"/>
      <c r="AM1412" s="99" t="n"/>
      <c r="AN1412" s="99" t="n"/>
      <c r="AO1412" s="99" t="n"/>
      <c r="AP1412" s="99" t="n"/>
      <c r="AQ1412" s="99" t="n"/>
      <c r="AR1412" s="99" t="n"/>
    </row>
    <row r="1413">
      <c r="D1413" s="99" t="n"/>
      <c r="E1413" s="99" t="n"/>
      <c r="F1413" s="99" t="n"/>
      <c r="G1413" s="99" t="n"/>
      <c r="H1413" s="99" t="n"/>
      <c r="I1413" s="99" t="n"/>
      <c r="J1413" s="99" t="n"/>
      <c r="K1413" s="99" t="n"/>
      <c r="L1413" s="99" t="n"/>
      <c r="M1413" s="99" t="n"/>
      <c r="N1413" s="99" t="n"/>
      <c r="O1413" s="99" t="n"/>
      <c r="P1413" s="99" t="n"/>
      <c r="Q1413" s="99" t="n"/>
      <c r="R1413" s="99" t="n"/>
      <c r="S1413" s="99" t="n"/>
      <c r="T1413" s="99" t="n"/>
      <c r="U1413" s="99" t="n"/>
      <c r="V1413" s="99" t="n"/>
      <c r="W1413" s="99" t="n"/>
      <c r="X1413" s="99" t="n"/>
      <c r="Y1413" s="99" t="n"/>
      <c r="Z1413" s="99" t="n"/>
      <c r="AA1413" s="99" t="n"/>
      <c r="AB1413" s="99" t="n"/>
      <c r="AC1413" s="99" t="n"/>
      <c r="AD1413" s="99" t="n"/>
      <c r="AE1413" s="99" t="n"/>
      <c r="AF1413" s="99" t="n"/>
      <c r="AG1413" s="99" t="n"/>
      <c r="AH1413" s="99" t="n"/>
      <c r="AI1413" s="99" t="n"/>
      <c r="AJ1413" s="99" t="n"/>
      <c r="AK1413" s="99" t="n"/>
      <c r="AL1413" s="99" t="n"/>
      <c r="AM1413" s="99" t="n"/>
      <c r="AN1413" s="99" t="n"/>
      <c r="AO1413" s="99" t="n"/>
      <c r="AP1413" s="99" t="n"/>
      <c r="AQ1413" s="99" t="n"/>
      <c r="AR1413" s="99" t="n"/>
    </row>
    <row r="1414">
      <c r="D1414" s="99" t="n"/>
      <c r="E1414" s="99" t="n"/>
      <c r="F1414" s="99" t="n"/>
      <c r="G1414" s="99" t="n"/>
      <c r="H1414" s="99" t="n"/>
      <c r="I1414" s="99" t="n"/>
      <c r="J1414" s="99" t="n"/>
      <c r="K1414" s="99" t="n"/>
      <c r="L1414" s="99" t="n"/>
      <c r="M1414" s="99" t="n"/>
      <c r="N1414" s="99" t="n"/>
      <c r="O1414" s="99" t="n"/>
      <c r="P1414" s="99" t="n"/>
      <c r="Q1414" s="99" t="n"/>
      <c r="R1414" s="99" t="n"/>
      <c r="S1414" s="99" t="n"/>
      <c r="T1414" s="99" t="n"/>
      <c r="U1414" s="99" t="n"/>
      <c r="V1414" s="99" t="n"/>
      <c r="W1414" s="99" t="n"/>
      <c r="X1414" s="99" t="n"/>
      <c r="Y1414" s="99" t="n"/>
      <c r="Z1414" s="99" t="n"/>
      <c r="AA1414" s="99" t="n"/>
      <c r="AB1414" s="99" t="n"/>
      <c r="AC1414" s="99" t="n"/>
      <c r="AD1414" s="99" t="n"/>
      <c r="AE1414" s="99" t="n"/>
      <c r="AF1414" s="99" t="n"/>
      <c r="AG1414" s="99" t="n"/>
      <c r="AH1414" s="99" t="n"/>
      <c r="AI1414" s="99" t="n"/>
      <c r="AJ1414" s="99" t="n"/>
      <c r="AK1414" s="99" t="n"/>
      <c r="AL1414" s="99" t="n"/>
      <c r="AM1414" s="99" t="n"/>
      <c r="AN1414" s="99" t="n"/>
      <c r="AO1414" s="99" t="n"/>
      <c r="AP1414" s="99" t="n"/>
      <c r="AQ1414" s="99" t="n"/>
      <c r="AR1414" s="99" t="n"/>
    </row>
    <row r="1415">
      <c r="D1415" s="99" t="n"/>
      <c r="E1415" s="99" t="n"/>
      <c r="F1415" s="99" t="n"/>
      <c r="G1415" s="99" t="n"/>
      <c r="H1415" s="99" t="n"/>
      <c r="I1415" s="99" t="n"/>
      <c r="J1415" s="99" t="n"/>
      <c r="K1415" s="99" t="n"/>
      <c r="L1415" s="99" t="n"/>
      <c r="M1415" s="99" t="n"/>
      <c r="N1415" s="99" t="n"/>
      <c r="O1415" s="99" t="n"/>
      <c r="P1415" s="99" t="n"/>
      <c r="Q1415" s="99" t="n"/>
      <c r="R1415" s="99" t="n"/>
      <c r="S1415" s="99" t="n"/>
      <c r="T1415" s="99" t="n"/>
      <c r="U1415" s="99" t="n"/>
      <c r="V1415" s="99" t="n"/>
      <c r="W1415" s="99" t="n"/>
      <c r="X1415" s="99" t="n"/>
      <c r="Y1415" s="99" t="n"/>
      <c r="Z1415" s="99" t="n"/>
      <c r="AA1415" s="99" t="n"/>
      <c r="AB1415" s="99" t="n"/>
      <c r="AC1415" s="99" t="n"/>
      <c r="AD1415" s="99" t="n"/>
      <c r="AE1415" s="99" t="n"/>
      <c r="AF1415" s="99" t="n"/>
      <c r="AG1415" s="99" t="n"/>
      <c r="AH1415" s="99" t="n"/>
      <c r="AI1415" s="99" t="n"/>
      <c r="AJ1415" s="99" t="n"/>
      <c r="AK1415" s="99" t="n"/>
      <c r="AL1415" s="99" t="n"/>
      <c r="AM1415" s="99" t="n"/>
      <c r="AN1415" s="99" t="n"/>
      <c r="AO1415" s="99" t="n"/>
      <c r="AP1415" s="99" t="n"/>
      <c r="AQ1415" s="99" t="n"/>
      <c r="AR1415" s="99" t="n"/>
    </row>
    <row r="1416">
      <c r="D1416" s="100" t="n"/>
      <c r="E1416" s="100" t="n"/>
      <c r="F1416" s="100" t="n"/>
      <c r="G1416" s="100" t="n"/>
      <c r="H1416" s="100" t="n"/>
      <c r="I1416" s="100" t="n"/>
      <c r="J1416" s="100" t="n"/>
      <c r="K1416" s="100" t="n"/>
      <c r="L1416" s="100" t="n"/>
      <c r="M1416" s="100" t="n"/>
      <c r="N1416" s="100" t="n"/>
      <c r="O1416" s="100" t="n"/>
      <c r="P1416" s="100" t="n"/>
      <c r="Q1416" s="100" t="n"/>
      <c r="R1416" s="100" t="n"/>
      <c r="S1416" s="100" t="n"/>
      <c r="T1416" s="100" t="n"/>
      <c r="U1416" s="100" t="n"/>
      <c r="V1416" s="100" t="n"/>
      <c r="W1416" s="100" t="n"/>
      <c r="X1416" s="100" t="n"/>
      <c r="Y1416" s="100" t="n"/>
      <c r="Z1416" s="100" t="n"/>
      <c r="AA1416" s="100" t="n"/>
      <c r="AB1416" s="100" t="n"/>
      <c r="AC1416" s="100" t="n"/>
      <c r="AD1416" s="100" t="n"/>
      <c r="AE1416" s="100" t="n"/>
      <c r="AF1416" s="100" t="n"/>
      <c r="AG1416" s="100" t="n"/>
      <c r="AH1416" s="100" t="n"/>
      <c r="AI1416" s="100" t="n"/>
      <c r="AJ1416" s="100" t="n"/>
      <c r="AK1416" s="100" t="n"/>
      <c r="AL1416" s="100" t="n"/>
      <c r="AM1416" s="100" t="n"/>
      <c r="AN1416" s="100" t="n"/>
      <c r="AO1416" s="100" t="n"/>
      <c r="AP1416" s="100" t="n"/>
      <c r="AQ1416" s="100" t="n"/>
      <c r="AR1416" s="100" t="n"/>
    </row>
    <row r="1419">
      <c r="A1419" s="2">
        <f>IF($A1412="","","   projections")</f>
        <v/>
      </c>
      <c r="B1419" s="96">
        <f>IF($A1412="",0,COUNT($E1420:$AR1420))</f>
        <v/>
      </c>
      <c r="C1419" s="97">
        <f>IF($B1419=0,0,MAX($E1420:$AR1420))</f>
        <v/>
      </c>
      <c r="D1419" s="98">
        <f>BDS($A1412,FLD_PROJ,"headers=y","startcol=1","endcol=3","dir=h")</f>
        <v/>
      </c>
      <c r="E1419" s="99" t="n"/>
      <c r="F1419" s="99" t="n"/>
      <c r="G1419" s="99" t="n"/>
      <c r="H1419" s="99" t="n"/>
      <c r="I1419" s="99" t="n"/>
      <c r="J1419" s="99" t="n"/>
      <c r="K1419" s="99" t="n"/>
      <c r="L1419" s="99" t="n"/>
      <c r="M1419" s="99" t="n"/>
      <c r="N1419" s="99" t="n"/>
      <c r="O1419" s="99" t="n"/>
      <c r="P1419" s="99" t="n"/>
      <c r="Q1419" s="99" t="n"/>
      <c r="R1419" s="99" t="n"/>
      <c r="S1419" s="99" t="n"/>
      <c r="T1419" s="99" t="n"/>
      <c r="U1419" s="99" t="n"/>
      <c r="V1419" s="99" t="n"/>
      <c r="W1419" s="99" t="n"/>
      <c r="X1419" s="99" t="n"/>
      <c r="Y1419" s="99" t="n"/>
      <c r="Z1419" s="99" t="n"/>
      <c r="AA1419" s="99" t="n"/>
      <c r="AB1419" s="99" t="n"/>
      <c r="AC1419" s="99" t="n"/>
      <c r="AD1419" s="99" t="n"/>
      <c r="AE1419" s="99" t="n"/>
      <c r="AF1419" s="99" t="n"/>
      <c r="AG1419" s="99" t="n"/>
      <c r="AH1419" s="99" t="n"/>
      <c r="AI1419" s="99" t="n"/>
      <c r="AJ1419" s="99" t="n"/>
      <c r="AK1419" s="99" t="n"/>
      <c r="AL1419" s="99" t="n"/>
      <c r="AM1419" s="99" t="n"/>
      <c r="AN1419" s="99" t="n"/>
      <c r="AO1419" s="99" t="n"/>
      <c r="AP1419" s="99" t="n"/>
      <c r="AQ1419" s="99" t="n"/>
      <c r="AR1419" s="99" t="n"/>
    </row>
    <row r="1420">
      <c r="D1420" s="99" t="n"/>
      <c r="E1420" s="99" t="n"/>
      <c r="F1420" s="99" t="n"/>
      <c r="G1420" s="99" t="n"/>
      <c r="H1420" s="99" t="n"/>
      <c r="I1420" s="99" t="n"/>
      <c r="J1420" s="99" t="n"/>
      <c r="K1420" s="99" t="n"/>
      <c r="L1420" s="99" t="n"/>
      <c r="M1420" s="99" t="n"/>
      <c r="N1420" s="99" t="n"/>
      <c r="O1420" s="99" t="n"/>
      <c r="P1420" s="99" t="n"/>
      <c r="Q1420" s="99" t="n"/>
      <c r="R1420" s="99" t="n"/>
      <c r="S1420" s="99" t="n"/>
      <c r="T1420" s="99" t="n"/>
      <c r="U1420" s="99" t="n"/>
      <c r="V1420" s="99" t="n"/>
      <c r="W1420" s="99" t="n"/>
      <c r="X1420" s="99" t="n"/>
      <c r="Y1420" s="99" t="n"/>
      <c r="Z1420" s="99" t="n"/>
      <c r="AA1420" s="99" t="n"/>
      <c r="AB1420" s="99" t="n"/>
      <c r="AC1420" s="99" t="n"/>
      <c r="AD1420" s="99" t="n"/>
      <c r="AE1420" s="99" t="n"/>
      <c r="AF1420" s="99" t="n"/>
      <c r="AG1420" s="99" t="n"/>
      <c r="AH1420" s="99" t="n"/>
      <c r="AI1420" s="99" t="n"/>
      <c r="AJ1420" s="99" t="n"/>
      <c r="AK1420" s="99" t="n"/>
      <c r="AL1420" s="99" t="n"/>
      <c r="AM1420" s="99" t="n"/>
      <c r="AN1420" s="99" t="n"/>
      <c r="AO1420" s="99" t="n"/>
      <c r="AP1420" s="99" t="n"/>
      <c r="AQ1420" s="99" t="n"/>
      <c r="AR1420" s="99" t="n"/>
    </row>
    <row r="1421">
      <c r="D1421" s="100" t="n"/>
      <c r="E1421" s="100" t="n"/>
      <c r="F1421" s="100" t="n"/>
      <c r="G1421" s="100" t="n"/>
      <c r="H1421" s="100" t="n"/>
      <c r="I1421" s="100" t="n"/>
      <c r="J1421" s="100" t="n"/>
      <c r="K1421" s="100" t="n"/>
      <c r="L1421" s="100" t="n"/>
      <c r="M1421" s="100" t="n"/>
      <c r="N1421" s="100" t="n"/>
      <c r="O1421" s="100" t="n"/>
      <c r="P1421" s="100" t="n"/>
      <c r="Q1421" s="100" t="n"/>
      <c r="R1421" s="100" t="n"/>
      <c r="S1421" s="100" t="n"/>
      <c r="T1421" s="100" t="n"/>
      <c r="U1421" s="100" t="n"/>
      <c r="V1421" s="100" t="n"/>
      <c r="W1421" s="100" t="n"/>
      <c r="X1421" s="100" t="n"/>
      <c r="Y1421" s="100" t="n"/>
      <c r="Z1421" s="100" t="n"/>
      <c r="AA1421" s="100" t="n"/>
      <c r="AB1421" s="100" t="n"/>
      <c r="AC1421" s="100" t="n"/>
      <c r="AD1421" s="100" t="n"/>
      <c r="AE1421" s="100" t="n"/>
      <c r="AF1421" s="100" t="n"/>
      <c r="AG1421" s="100" t="n"/>
      <c r="AH1421" s="100" t="n"/>
      <c r="AI1421" s="100" t="n"/>
      <c r="AJ1421" s="100" t="n"/>
      <c r="AK1421" s="100" t="n"/>
      <c r="AL1421" s="100" t="n"/>
      <c r="AM1421" s="100" t="n"/>
      <c r="AN1421" s="100" t="n"/>
      <c r="AO1421" s="100" t="n"/>
      <c r="AP1421" s="100" t="n"/>
      <c r="AQ1421" s="100" t="n"/>
      <c r="AR1421" s="100" t="n"/>
    </row>
    <row r="1423">
      <c r="A1423" s="6">
        <f>IF(HSTECH!$C$35="","",HSTECH!$C$35)</f>
        <v/>
      </c>
      <c r="B1423" s="96">
        <f>IF($A1423="",0,COUNT($E1424:$AR1424))</f>
        <v/>
      </c>
      <c r="C1423" s="97">
        <f>IF($B1423=0,0,MAX($E1424:$AR1424))</f>
        <v/>
      </c>
      <c r="D1423" s="98">
        <f>BDS($A1423,FLD_HIST,"headers=y","startcol=1","endcol=7","dir=h","DVD_START_DT",HIST_FROM,"DVD_END_DT",HIST_TO)</f>
        <v/>
      </c>
      <c r="E1423" s="99" t="n"/>
      <c r="F1423" s="99" t="n"/>
      <c r="G1423" s="99" t="n"/>
      <c r="H1423" s="99" t="n"/>
      <c r="I1423" s="99" t="n"/>
      <c r="J1423" s="99" t="n"/>
      <c r="K1423" s="99" t="n"/>
      <c r="L1423" s="99" t="n"/>
      <c r="M1423" s="99" t="n"/>
      <c r="N1423" s="99" t="n"/>
      <c r="O1423" s="99" t="n"/>
      <c r="P1423" s="99" t="n"/>
      <c r="Q1423" s="99" t="n"/>
      <c r="R1423" s="99" t="n"/>
      <c r="S1423" s="99" t="n"/>
      <c r="T1423" s="99" t="n"/>
      <c r="U1423" s="99" t="n"/>
      <c r="V1423" s="99" t="n"/>
      <c r="W1423" s="99" t="n"/>
      <c r="X1423" s="99" t="n"/>
      <c r="Y1423" s="99" t="n"/>
      <c r="Z1423" s="99" t="n"/>
      <c r="AA1423" s="99" t="n"/>
      <c r="AB1423" s="99" t="n"/>
      <c r="AC1423" s="99" t="n"/>
      <c r="AD1423" s="99" t="n"/>
      <c r="AE1423" s="99" t="n"/>
      <c r="AF1423" s="99" t="n"/>
      <c r="AG1423" s="99" t="n"/>
      <c r="AH1423" s="99" t="n"/>
      <c r="AI1423" s="99" t="n"/>
      <c r="AJ1423" s="99" t="n"/>
      <c r="AK1423" s="99" t="n"/>
      <c r="AL1423" s="99" t="n"/>
      <c r="AM1423" s="99" t="n"/>
      <c r="AN1423" s="99" t="n"/>
      <c r="AO1423" s="99" t="n"/>
      <c r="AP1423" s="99" t="n"/>
      <c r="AQ1423" s="99" t="n"/>
      <c r="AR1423" s="99" t="n"/>
    </row>
    <row r="1424">
      <c r="D1424" s="99" t="n"/>
      <c r="E1424" s="99" t="n"/>
      <c r="F1424" s="99" t="n"/>
      <c r="G1424" s="99" t="n"/>
      <c r="H1424" s="99" t="n"/>
      <c r="I1424" s="99" t="n"/>
      <c r="J1424" s="99" t="n"/>
      <c r="K1424" s="99" t="n"/>
      <c r="L1424" s="99" t="n"/>
      <c r="M1424" s="99" t="n"/>
      <c r="N1424" s="99" t="n"/>
      <c r="O1424" s="99" t="n"/>
      <c r="P1424" s="99" t="n"/>
      <c r="Q1424" s="99" t="n"/>
      <c r="R1424" s="99" t="n"/>
      <c r="S1424" s="99" t="n"/>
      <c r="T1424" s="99" t="n"/>
      <c r="U1424" s="99" t="n"/>
      <c r="V1424" s="99" t="n"/>
      <c r="W1424" s="99" t="n"/>
      <c r="X1424" s="99" t="n"/>
      <c r="Y1424" s="99" t="n"/>
      <c r="Z1424" s="99" t="n"/>
      <c r="AA1424" s="99" t="n"/>
      <c r="AB1424" s="99" t="n"/>
      <c r="AC1424" s="99" t="n"/>
      <c r="AD1424" s="99" t="n"/>
      <c r="AE1424" s="99" t="n"/>
      <c r="AF1424" s="99" t="n"/>
      <c r="AG1424" s="99" t="n"/>
      <c r="AH1424" s="99" t="n"/>
      <c r="AI1424" s="99" t="n"/>
      <c r="AJ1424" s="99" t="n"/>
      <c r="AK1424" s="99" t="n"/>
      <c r="AL1424" s="99" t="n"/>
      <c r="AM1424" s="99" t="n"/>
      <c r="AN1424" s="99" t="n"/>
      <c r="AO1424" s="99" t="n"/>
      <c r="AP1424" s="99" t="n"/>
      <c r="AQ1424" s="99" t="n"/>
      <c r="AR1424" s="99" t="n"/>
    </row>
    <row r="1425">
      <c r="D1425" s="99" t="n"/>
      <c r="E1425" s="99" t="n"/>
      <c r="F1425" s="99" t="n"/>
      <c r="G1425" s="99" t="n"/>
      <c r="H1425" s="99" t="n"/>
      <c r="I1425" s="99" t="n"/>
      <c r="J1425" s="99" t="n"/>
      <c r="K1425" s="99" t="n"/>
      <c r="L1425" s="99" t="n"/>
      <c r="M1425" s="99" t="n"/>
      <c r="N1425" s="99" t="n"/>
      <c r="O1425" s="99" t="n"/>
      <c r="P1425" s="99" t="n"/>
      <c r="Q1425" s="99" t="n"/>
      <c r="R1425" s="99" t="n"/>
      <c r="S1425" s="99" t="n"/>
      <c r="T1425" s="99" t="n"/>
      <c r="U1425" s="99" t="n"/>
      <c r="V1425" s="99" t="n"/>
      <c r="W1425" s="99" t="n"/>
      <c r="X1425" s="99" t="n"/>
      <c r="Y1425" s="99" t="n"/>
      <c r="Z1425" s="99" t="n"/>
      <c r="AA1425" s="99" t="n"/>
      <c r="AB1425" s="99" t="n"/>
      <c r="AC1425" s="99" t="n"/>
      <c r="AD1425" s="99" t="n"/>
      <c r="AE1425" s="99" t="n"/>
      <c r="AF1425" s="99" t="n"/>
      <c r="AG1425" s="99" t="n"/>
      <c r="AH1425" s="99" t="n"/>
      <c r="AI1425" s="99" t="n"/>
      <c r="AJ1425" s="99" t="n"/>
      <c r="AK1425" s="99" t="n"/>
      <c r="AL1425" s="99" t="n"/>
      <c r="AM1425" s="99" t="n"/>
      <c r="AN1425" s="99" t="n"/>
      <c r="AO1425" s="99" t="n"/>
      <c r="AP1425" s="99" t="n"/>
      <c r="AQ1425" s="99" t="n"/>
      <c r="AR1425" s="99" t="n"/>
    </row>
    <row r="1426">
      <c r="D1426" s="99" t="n"/>
      <c r="E1426" s="99" t="n"/>
      <c r="F1426" s="99" t="n"/>
      <c r="G1426" s="99" t="n"/>
      <c r="H1426" s="99" t="n"/>
      <c r="I1426" s="99" t="n"/>
      <c r="J1426" s="99" t="n"/>
      <c r="K1426" s="99" t="n"/>
      <c r="L1426" s="99" t="n"/>
      <c r="M1426" s="99" t="n"/>
      <c r="N1426" s="99" t="n"/>
      <c r="O1426" s="99" t="n"/>
      <c r="P1426" s="99" t="n"/>
      <c r="Q1426" s="99" t="n"/>
      <c r="R1426" s="99" t="n"/>
      <c r="S1426" s="99" t="n"/>
      <c r="T1426" s="99" t="n"/>
      <c r="U1426" s="99" t="n"/>
      <c r="V1426" s="99" t="n"/>
      <c r="W1426" s="99" t="n"/>
      <c r="X1426" s="99" t="n"/>
      <c r="Y1426" s="99" t="n"/>
      <c r="Z1426" s="99" t="n"/>
      <c r="AA1426" s="99" t="n"/>
      <c r="AB1426" s="99" t="n"/>
      <c r="AC1426" s="99" t="n"/>
      <c r="AD1426" s="99" t="n"/>
      <c r="AE1426" s="99" t="n"/>
      <c r="AF1426" s="99" t="n"/>
      <c r="AG1426" s="99" t="n"/>
      <c r="AH1426" s="99" t="n"/>
      <c r="AI1426" s="99" t="n"/>
      <c r="AJ1426" s="99" t="n"/>
      <c r="AK1426" s="99" t="n"/>
      <c r="AL1426" s="99" t="n"/>
      <c r="AM1426" s="99" t="n"/>
      <c r="AN1426" s="99" t="n"/>
      <c r="AO1426" s="99" t="n"/>
      <c r="AP1426" s="99" t="n"/>
      <c r="AQ1426" s="99" t="n"/>
      <c r="AR1426" s="99" t="n"/>
    </row>
    <row r="1427">
      <c r="D1427" s="100" t="n"/>
      <c r="E1427" s="100" t="n"/>
      <c r="F1427" s="100" t="n"/>
      <c r="G1427" s="100" t="n"/>
      <c r="H1427" s="100" t="n"/>
      <c r="I1427" s="100" t="n"/>
      <c r="J1427" s="100" t="n"/>
      <c r="K1427" s="100" t="n"/>
      <c r="L1427" s="100" t="n"/>
      <c r="M1427" s="100" t="n"/>
      <c r="N1427" s="100" t="n"/>
      <c r="O1427" s="100" t="n"/>
      <c r="P1427" s="100" t="n"/>
      <c r="Q1427" s="100" t="n"/>
      <c r="R1427" s="100" t="n"/>
      <c r="S1427" s="100" t="n"/>
      <c r="T1427" s="100" t="n"/>
      <c r="U1427" s="100" t="n"/>
      <c r="V1427" s="100" t="n"/>
      <c r="W1427" s="100" t="n"/>
      <c r="X1427" s="100" t="n"/>
      <c r="Y1427" s="100" t="n"/>
      <c r="Z1427" s="100" t="n"/>
      <c r="AA1427" s="100" t="n"/>
      <c r="AB1427" s="100" t="n"/>
      <c r="AC1427" s="100" t="n"/>
      <c r="AD1427" s="100" t="n"/>
      <c r="AE1427" s="100" t="n"/>
      <c r="AF1427" s="100" t="n"/>
      <c r="AG1427" s="100" t="n"/>
      <c r="AH1427" s="100" t="n"/>
      <c r="AI1427" s="100" t="n"/>
      <c r="AJ1427" s="100" t="n"/>
      <c r="AK1427" s="100" t="n"/>
      <c r="AL1427" s="100" t="n"/>
      <c r="AM1427" s="100" t="n"/>
      <c r="AN1427" s="100" t="n"/>
      <c r="AO1427" s="100" t="n"/>
      <c r="AP1427" s="100" t="n"/>
      <c r="AQ1427" s="100" t="n"/>
      <c r="AR1427" s="100" t="n"/>
    </row>
    <row r="1430">
      <c r="A1430" s="2">
        <f>IF($A1423="","","   projections")</f>
        <v/>
      </c>
      <c r="B1430" s="96">
        <f>IF($A1423="",0,COUNT($E1431:$AR1431))</f>
        <v/>
      </c>
      <c r="C1430" s="97">
        <f>IF($B1430=0,0,MAX($E1431:$AR1431))</f>
        <v/>
      </c>
      <c r="D1430" s="98">
        <f>BDS($A1423,FLD_PROJ,"headers=y","startcol=1","endcol=3","dir=h")</f>
        <v/>
      </c>
      <c r="E1430" s="99" t="n"/>
      <c r="F1430" s="99" t="n"/>
      <c r="G1430" s="99" t="n"/>
      <c r="H1430" s="99" t="n"/>
      <c r="I1430" s="99" t="n"/>
      <c r="J1430" s="99" t="n"/>
      <c r="K1430" s="99" t="n"/>
      <c r="L1430" s="99" t="n"/>
      <c r="M1430" s="99" t="n"/>
      <c r="N1430" s="99" t="n"/>
      <c r="O1430" s="99" t="n"/>
      <c r="P1430" s="99" t="n"/>
      <c r="Q1430" s="99" t="n"/>
      <c r="R1430" s="99" t="n"/>
      <c r="S1430" s="99" t="n"/>
      <c r="T1430" s="99" t="n"/>
      <c r="U1430" s="99" t="n"/>
      <c r="V1430" s="99" t="n"/>
      <c r="W1430" s="99" t="n"/>
      <c r="X1430" s="99" t="n"/>
      <c r="Y1430" s="99" t="n"/>
      <c r="Z1430" s="99" t="n"/>
      <c r="AA1430" s="99" t="n"/>
      <c r="AB1430" s="99" t="n"/>
      <c r="AC1430" s="99" t="n"/>
      <c r="AD1430" s="99" t="n"/>
      <c r="AE1430" s="99" t="n"/>
      <c r="AF1430" s="99" t="n"/>
      <c r="AG1430" s="99" t="n"/>
      <c r="AH1430" s="99" t="n"/>
      <c r="AI1430" s="99" t="n"/>
      <c r="AJ1430" s="99" t="n"/>
      <c r="AK1430" s="99" t="n"/>
      <c r="AL1430" s="99" t="n"/>
      <c r="AM1430" s="99" t="n"/>
      <c r="AN1430" s="99" t="n"/>
      <c r="AO1430" s="99" t="n"/>
      <c r="AP1430" s="99" t="n"/>
      <c r="AQ1430" s="99" t="n"/>
      <c r="AR1430" s="99" t="n"/>
    </row>
    <row r="1431">
      <c r="D1431" s="99" t="n"/>
      <c r="E1431" s="99" t="n"/>
      <c r="F1431" s="99" t="n"/>
      <c r="G1431" s="99" t="n"/>
      <c r="H1431" s="99" t="n"/>
      <c r="I1431" s="99" t="n"/>
      <c r="J1431" s="99" t="n"/>
      <c r="K1431" s="99" t="n"/>
      <c r="L1431" s="99" t="n"/>
      <c r="M1431" s="99" t="n"/>
      <c r="N1431" s="99" t="n"/>
      <c r="O1431" s="99" t="n"/>
      <c r="P1431" s="99" t="n"/>
      <c r="Q1431" s="99" t="n"/>
      <c r="R1431" s="99" t="n"/>
      <c r="S1431" s="99" t="n"/>
      <c r="T1431" s="99" t="n"/>
      <c r="U1431" s="99" t="n"/>
      <c r="V1431" s="99" t="n"/>
      <c r="W1431" s="99" t="n"/>
      <c r="X1431" s="99" t="n"/>
      <c r="Y1431" s="99" t="n"/>
      <c r="Z1431" s="99" t="n"/>
      <c r="AA1431" s="99" t="n"/>
      <c r="AB1431" s="99" t="n"/>
      <c r="AC1431" s="99" t="n"/>
      <c r="AD1431" s="99" t="n"/>
      <c r="AE1431" s="99" t="n"/>
      <c r="AF1431" s="99" t="n"/>
      <c r="AG1431" s="99" t="n"/>
      <c r="AH1431" s="99" t="n"/>
      <c r="AI1431" s="99" t="n"/>
      <c r="AJ1431" s="99" t="n"/>
      <c r="AK1431" s="99" t="n"/>
      <c r="AL1431" s="99" t="n"/>
      <c r="AM1431" s="99" t="n"/>
      <c r="AN1431" s="99" t="n"/>
      <c r="AO1431" s="99" t="n"/>
      <c r="AP1431" s="99" t="n"/>
      <c r="AQ1431" s="99" t="n"/>
      <c r="AR1431" s="99" t="n"/>
    </row>
    <row r="1432">
      <c r="D1432" s="100" t="n"/>
      <c r="E1432" s="100" t="n"/>
      <c r="F1432" s="100" t="n"/>
      <c r="G1432" s="100" t="n"/>
      <c r="H1432" s="100" t="n"/>
      <c r="I1432" s="100" t="n"/>
      <c r="J1432" s="100" t="n"/>
      <c r="K1432" s="100" t="n"/>
      <c r="L1432" s="100" t="n"/>
      <c r="M1432" s="100" t="n"/>
      <c r="N1432" s="100" t="n"/>
      <c r="O1432" s="100" t="n"/>
      <c r="P1432" s="100" t="n"/>
      <c r="Q1432" s="100" t="n"/>
      <c r="R1432" s="100" t="n"/>
      <c r="S1432" s="100" t="n"/>
      <c r="T1432" s="100" t="n"/>
      <c r="U1432" s="100" t="n"/>
      <c r="V1432" s="100" t="n"/>
      <c r="W1432" s="100" t="n"/>
      <c r="X1432" s="100" t="n"/>
      <c r="Y1432" s="100" t="n"/>
      <c r="Z1432" s="100" t="n"/>
      <c r="AA1432" s="100" t="n"/>
      <c r="AB1432" s="100" t="n"/>
      <c r="AC1432" s="100" t="n"/>
      <c r="AD1432" s="100" t="n"/>
      <c r="AE1432" s="100" t="n"/>
      <c r="AF1432" s="100" t="n"/>
      <c r="AG1432" s="100" t="n"/>
      <c r="AH1432" s="100" t="n"/>
      <c r="AI1432" s="100" t="n"/>
      <c r="AJ1432" s="100" t="n"/>
      <c r="AK1432" s="100" t="n"/>
      <c r="AL1432" s="100" t="n"/>
      <c r="AM1432" s="100" t="n"/>
      <c r="AN1432" s="100" t="n"/>
      <c r="AO1432" s="100" t="n"/>
      <c r="AP1432" s="100" t="n"/>
      <c r="AQ1432" s="100" t="n"/>
      <c r="AR1432" s="100" t="n"/>
    </row>
    <row r="1434">
      <c r="A1434" s="6">
        <f>IF(HSTECH!$C$36="","",HSTECH!$C$36)</f>
        <v/>
      </c>
      <c r="B1434" s="96">
        <f>IF($A1434="",0,COUNT($E1435:$AR1435))</f>
        <v/>
      </c>
      <c r="C1434" s="97">
        <f>IF($B1434=0,0,MAX($E1435:$AR1435))</f>
        <v/>
      </c>
      <c r="D1434" s="98">
        <f>BDS($A1434,FLD_HIST,"headers=y","startcol=1","endcol=7","dir=h","DVD_START_DT",HIST_FROM,"DVD_END_DT",HIST_TO)</f>
        <v/>
      </c>
      <c r="E1434" s="99" t="n"/>
      <c r="F1434" s="99" t="n"/>
      <c r="G1434" s="99" t="n"/>
      <c r="H1434" s="99" t="n"/>
      <c r="I1434" s="99" t="n"/>
      <c r="J1434" s="99" t="n"/>
      <c r="K1434" s="99" t="n"/>
      <c r="L1434" s="99" t="n"/>
      <c r="M1434" s="99" t="n"/>
      <c r="N1434" s="99" t="n"/>
      <c r="O1434" s="99" t="n"/>
      <c r="P1434" s="99" t="n"/>
      <c r="Q1434" s="99" t="n"/>
      <c r="R1434" s="99" t="n"/>
      <c r="S1434" s="99" t="n"/>
      <c r="T1434" s="99" t="n"/>
      <c r="U1434" s="99" t="n"/>
      <c r="V1434" s="99" t="n"/>
      <c r="W1434" s="99" t="n"/>
      <c r="X1434" s="99" t="n"/>
      <c r="Y1434" s="99" t="n"/>
      <c r="Z1434" s="99" t="n"/>
      <c r="AA1434" s="99" t="n"/>
      <c r="AB1434" s="99" t="n"/>
      <c r="AC1434" s="99" t="n"/>
      <c r="AD1434" s="99" t="n"/>
      <c r="AE1434" s="99" t="n"/>
      <c r="AF1434" s="99" t="n"/>
      <c r="AG1434" s="99" t="n"/>
      <c r="AH1434" s="99" t="n"/>
      <c r="AI1434" s="99" t="n"/>
      <c r="AJ1434" s="99" t="n"/>
      <c r="AK1434" s="99" t="n"/>
      <c r="AL1434" s="99" t="n"/>
      <c r="AM1434" s="99" t="n"/>
      <c r="AN1434" s="99" t="n"/>
      <c r="AO1434" s="99" t="n"/>
      <c r="AP1434" s="99" t="n"/>
      <c r="AQ1434" s="99" t="n"/>
      <c r="AR1434" s="99" t="n"/>
    </row>
    <row r="1435">
      <c r="D1435" s="99" t="n"/>
      <c r="E1435" s="99" t="n"/>
      <c r="F1435" s="99" t="n"/>
      <c r="G1435" s="99" t="n"/>
      <c r="H1435" s="99" t="n"/>
      <c r="I1435" s="99" t="n"/>
      <c r="J1435" s="99" t="n"/>
      <c r="K1435" s="99" t="n"/>
      <c r="L1435" s="99" t="n"/>
      <c r="M1435" s="99" t="n"/>
      <c r="N1435" s="99" t="n"/>
      <c r="O1435" s="99" t="n"/>
      <c r="P1435" s="99" t="n"/>
      <c r="Q1435" s="99" t="n"/>
      <c r="R1435" s="99" t="n"/>
      <c r="S1435" s="99" t="n"/>
      <c r="T1435" s="99" t="n"/>
      <c r="U1435" s="99" t="n"/>
      <c r="V1435" s="99" t="n"/>
      <c r="W1435" s="99" t="n"/>
      <c r="X1435" s="99" t="n"/>
      <c r="Y1435" s="99" t="n"/>
      <c r="Z1435" s="99" t="n"/>
      <c r="AA1435" s="99" t="n"/>
      <c r="AB1435" s="99" t="n"/>
      <c r="AC1435" s="99" t="n"/>
      <c r="AD1435" s="99" t="n"/>
      <c r="AE1435" s="99" t="n"/>
      <c r="AF1435" s="99" t="n"/>
      <c r="AG1435" s="99" t="n"/>
      <c r="AH1435" s="99" t="n"/>
      <c r="AI1435" s="99" t="n"/>
      <c r="AJ1435" s="99" t="n"/>
      <c r="AK1435" s="99" t="n"/>
      <c r="AL1435" s="99" t="n"/>
      <c r="AM1435" s="99" t="n"/>
      <c r="AN1435" s="99" t="n"/>
      <c r="AO1435" s="99" t="n"/>
      <c r="AP1435" s="99" t="n"/>
      <c r="AQ1435" s="99" t="n"/>
      <c r="AR1435" s="99" t="n"/>
    </row>
    <row r="1436">
      <c r="D1436" s="99" t="n"/>
      <c r="E1436" s="99" t="n"/>
      <c r="F1436" s="99" t="n"/>
      <c r="G1436" s="99" t="n"/>
      <c r="H1436" s="99" t="n"/>
      <c r="I1436" s="99" t="n"/>
      <c r="J1436" s="99" t="n"/>
      <c r="K1436" s="99" t="n"/>
      <c r="L1436" s="99" t="n"/>
      <c r="M1436" s="99" t="n"/>
      <c r="N1436" s="99" t="n"/>
      <c r="O1436" s="99" t="n"/>
      <c r="P1436" s="99" t="n"/>
      <c r="Q1436" s="99" t="n"/>
      <c r="R1436" s="99" t="n"/>
      <c r="S1436" s="99" t="n"/>
      <c r="T1436" s="99" t="n"/>
      <c r="U1436" s="99" t="n"/>
      <c r="V1436" s="99" t="n"/>
      <c r="W1436" s="99" t="n"/>
      <c r="X1436" s="99" t="n"/>
      <c r="Y1436" s="99" t="n"/>
      <c r="Z1436" s="99" t="n"/>
      <c r="AA1436" s="99" t="n"/>
      <c r="AB1436" s="99" t="n"/>
      <c r="AC1436" s="99" t="n"/>
      <c r="AD1436" s="99" t="n"/>
      <c r="AE1436" s="99" t="n"/>
      <c r="AF1436" s="99" t="n"/>
      <c r="AG1436" s="99" t="n"/>
      <c r="AH1436" s="99" t="n"/>
      <c r="AI1436" s="99" t="n"/>
      <c r="AJ1436" s="99" t="n"/>
      <c r="AK1436" s="99" t="n"/>
      <c r="AL1436" s="99" t="n"/>
      <c r="AM1436" s="99" t="n"/>
      <c r="AN1436" s="99" t="n"/>
      <c r="AO1436" s="99" t="n"/>
      <c r="AP1436" s="99" t="n"/>
      <c r="AQ1436" s="99" t="n"/>
      <c r="AR1436" s="99" t="n"/>
    </row>
    <row r="1437">
      <c r="D1437" s="99" t="n"/>
      <c r="E1437" s="99" t="n"/>
      <c r="F1437" s="99" t="n"/>
      <c r="G1437" s="99" t="n"/>
      <c r="H1437" s="99" t="n"/>
      <c r="I1437" s="99" t="n"/>
      <c r="J1437" s="99" t="n"/>
      <c r="K1437" s="99" t="n"/>
      <c r="L1437" s="99" t="n"/>
      <c r="M1437" s="99" t="n"/>
      <c r="N1437" s="99" t="n"/>
      <c r="O1437" s="99" t="n"/>
      <c r="P1437" s="99" t="n"/>
      <c r="Q1437" s="99" t="n"/>
      <c r="R1437" s="99" t="n"/>
      <c r="S1437" s="99" t="n"/>
      <c r="T1437" s="99" t="n"/>
      <c r="U1437" s="99" t="n"/>
      <c r="V1437" s="99" t="n"/>
      <c r="W1437" s="99" t="n"/>
      <c r="X1437" s="99" t="n"/>
      <c r="Y1437" s="99" t="n"/>
      <c r="Z1437" s="99" t="n"/>
      <c r="AA1437" s="99" t="n"/>
      <c r="AB1437" s="99" t="n"/>
      <c r="AC1437" s="99" t="n"/>
      <c r="AD1437" s="99" t="n"/>
      <c r="AE1437" s="99" t="n"/>
      <c r="AF1437" s="99" t="n"/>
      <c r="AG1437" s="99" t="n"/>
      <c r="AH1437" s="99" t="n"/>
      <c r="AI1437" s="99" t="n"/>
      <c r="AJ1437" s="99" t="n"/>
      <c r="AK1437" s="99" t="n"/>
      <c r="AL1437" s="99" t="n"/>
      <c r="AM1437" s="99" t="n"/>
      <c r="AN1437" s="99" t="n"/>
      <c r="AO1437" s="99" t="n"/>
      <c r="AP1437" s="99" t="n"/>
      <c r="AQ1437" s="99" t="n"/>
      <c r="AR1437" s="99" t="n"/>
    </row>
    <row r="1438">
      <c r="D1438" s="100" t="n"/>
      <c r="E1438" s="100" t="n"/>
      <c r="F1438" s="100" t="n"/>
      <c r="G1438" s="100" t="n"/>
      <c r="H1438" s="100" t="n"/>
      <c r="I1438" s="100" t="n"/>
      <c r="J1438" s="100" t="n"/>
      <c r="K1438" s="100" t="n"/>
      <c r="L1438" s="100" t="n"/>
      <c r="M1438" s="100" t="n"/>
      <c r="N1438" s="100" t="n"/>
      <c r="O1438" s="100" t="n"/>
      <c r="P1438" s="100" t="n"/>
      <c r="Q1438" s="100" t="n"/>
      <c r="R1438" s="100" t="n"/>
      <c r="S1438" s="100" t="n"/>
      <c r="T1438" s="100" t="n"/>
      <c r="U1438" s="100" t="n"/>
      <c r="V1438" s="100" t="n"/>
      <c r="W1438" s="100" t="n"/>
      <c r="X1438" s="100" t="n"/>
      <c r="Y1438" s="100" t="n"/>
      <c r="Z1438" s="100" t="n"/>
      <c r="AA1438" s="100" t="n"/>
      <c r="AB1438" s="100" t="n"/>
      <c r="AC1438" s="100" t="n"/>
      <c r="AD1438" s="100" t="n"/>
      <c r="AE1438" s="100" t="n"/>
      <c r="AF1438" s="100" t="n"/>
      <c r="AG1438" s="100" t="n"/>
      <c r="AH1438" s="100" t="n"/>
      <c r="AI1438" s="100" t="n"/>
      <c r="AJ1438" s="100" t="n"/>
      <c r="AK1438" s="100" t="n"/>
      <c r="AL1438" s="100" t="n"/>
      <c r="AM1438" s="100" t="n"/>
      <c r="AN1438" s="100" t="n"/>
      <c r="AO1438" s="100" t="n"/>
      <c r="AP1438" s="100" t="n"/>
      <c r="AQ1438" s="100" t="n"/>
      <c r="AR1438" s="100" t="n"/>
    </row>
    <row r="1441">
      <c r="A1441" s="2">
        <f>IF($A1434="","","   projections")</f>
        <v/>
      </c>
      <c r="B1441" s="96">
        <f>IF($A1434="",0,COUNT($E1442:$AR1442))</f>
        <v/>
      </c>
      <c r="C1441" s="97">
        <f>IF($B1441=0,0,MAX($E1442:$AR1442))</f>
        <v/>
      </c>
      <c r="D1441" s="98">
        <f>BDS($A1434,FLD_PROJ,"headers=y","startcol=1","endcol=3","dir=h")</f>
        <v/>
      </c>
      <c r="E1441" s="99" t="n"/>
      <c r="F1441" s="99" t="n"/>
      <c r="G1441" s="99" t="n"/>
      <c r="H1441" s="99" t="n"/>
      <c r="I1441" s="99" t="n"/>
      <c r="J1441" s="99" t="n"/>
      <c r="K1441" s="99" t="n"/>
      <c r="L1441" s="99" t="n"/>
      <c r="M1441" s="99" t="n"/>
      <c r="N1441" s="99" t="n"/>
      <c r="O1441" s="99" t="n"/>
      <c r="P1441" s="99" t="n"/>
      <c r="Q1441" s="99" t="n"/>
      <c r="R1441" s="99" t="n"/>
      <c r="S1441" s="99" t="n"/>
      <c r="T1441" s="99" t="n"/>
      <c r="U1441" s="99" t="n"/>
      <c r="V1441" s="99" t="n"/>
      <c r="W1441" s="99" t="n"/>
      <c r="X1441" s="99" t="n"/>
      <c r="Y1441" s="99" t="n"/>
      <c r="Z1441" s="99" t="n"/>
      <c r="AA1441" s="99" t="n"/>
      <c r="AB1441" s="99" t="n"/>
      <c r="AC1441" s="99" t="n"/>
      <c r="AD1441" s="99" t="n"/>
      <c r="AE1441" s="99" t="n"/>
      <c r="AF1441" s="99" t="n"/>
      <c r="AG1441" s="99" t="n"/>
      <c r="AH1441" s="99" t="n"/>
      <c r="AI1441" s="99" t="n"/>
      <c r="AJ1441" s="99" t="n"/>
      <c r="AK1441" s="99" t="n"/>
      <c r="AL1441" s="99" t="n"/>
      <c r="AM1441" s="99" t="n"/>
      <c r="AN1441" s="99" t="n"/>
      <c r="AO1441" s="99" t="n"/>
      <c r="AP1441" s="99" t="n"/>
      <c r="AQ1441" s="99" t="n"/>
      <c r="AR1441" s="99" t="n"/>
    </row>
    <row r="1442">
      <c r="D1442" s="99" t="n"/>
      <c r="E1442" s="99" t="n"/>
      <c r="F1442" s="99" t="n"/>
      <c r="G1442" s="99" t="n"/>
      <c r="H1442" s="99" t="n"/>
      <c r="I1442" s="99" t="n"/>
      <c r="J1442" s="99" t="n"/>
      <c r="K1442" s="99" t="n"/>
      <c r="L1442" s="99" t="n"/>
      <c r="M1442" s="99" t="n"/>
      <c r="N1442" s="99" t="n"/>
      <c r="O1442" s="99" t="n"/>
      <c r="P1442" s="99" t="n"/>
      <c r="Q1442" s="99" t="n"/>
      <c r="R1442" s="99" t="n"/>
      <c r="S1442" s="99" t="n"/>
      <c r="T1442" s="99" t="n"/>
      <c r="U1442" s="99" t="n"/>
      <c r="V1442" s="99" t="n"/>
      <c r="W1442" s="99" t="n"/>
      <c r="X1442" s="99" t="n"/>
      <c r="Y1442" s="99" t="n"/>
      <c r="Z1442" s="99" t="n"/>
      <c r="AA1442" s="99" t="n"/>
      <c r="AB1442" s="99" t="n"/>
      <c r="AC1442" s="99" t="n"/>
      <c r="AD1442" s="99" t="n"/>
      <c r="AE1442" s="99" t="n"/>
      <c r="AF1442" s="99" t="n"/>
      <c r="AG1442" s="99" t="n"/>
      <c r="AH1442" s="99" t="n"/>
      <c r="AI1442" s="99" t="n"/>
      <c r="AJ1442" s="99" t="n"/>
      <c r="AK1442" s="99" t="n"/>
      <c r="AL1442" s="99" t="n"/>
      <c r="AM1442" s="99" t="n"/>
      <c r="AN1442" s="99" t="n"/>
      <c r="AO1442" s="99" t="n"/>
      <c r="AP1442" s="99" t="n"/>
      <c r="AQ1442" s="99" t="n"/>
      <c r="AR1442" s="99" t="n"/>
    </row>
    <row r="1443">
      <c r="D1443" s="100" t="n"/>
      <c r="E1443" s="100" t="n"/>
      <c r="F1443" s="100" t="n"/>
      <c r="G1443" s="100" t="n"/>
      <c r="H1443" s="100" t="n"/>
      <c r="I1443" s="100" t="n"/>
      <c r="J1443" s="100" t="n"/>
      <c r="K1443" s="100" t="n"/>
      <c r="L1443" s="100" t="n"/>
      <c r="M1443" s="100" t="n"/>
      <c r="N1443" s="100" t="n"/>
      <c r="O1443" s="100" t="n"/>
      <c r="P1443" s="100" t="n"/>
      <c r="Q1443" s="100" t="n"/>
      <c r="R1443" s="100" t="n"/>
      <c r="S1443" s="100" t="n"/>
      <c r="T1443" s="100" t="n"/>
      <c r="U1443" s="100" t="n"/>
      <c r="V1443" s="100" t="n"/>
      <c r="W1443" s="100" t="n"/>
      <c r="X1443" s="100" t="n"/>
      <c r="Y1443" s="100" t="n"/>
      <c r="Z1443" s="100" t="n"/>
      <c r="AA1443" s="100" t="n"/>
      <c r="AB1443" s="100" t="n"/>
      <c r="AC1443" s="100" t="n"/>
      <c r="AD1443" s="100" t="n"/>
      <c r="AE1443" s="100" t="n"/>
      <c r="AF1443" s="100" t="n"/>
      <c r="AG1443" s="100" t="n"/>
      <c r="AH1443" s="100" t="n"/>
      <c r="AI1443" s="100" t="n"/>
      <c r="AJ1443" s="100" t="n"/>
      <c r="AK1443" s="100" t="n"/>
      <c r="AL1443" s="100" t="n"/>
      <c r="AM1443" s="100" t="n"/>
      <c r="AN1443" s="100" t="n"/>
      <c r="AO1443" s="100" t="n"/>
      <c r="AP1443" s="100" t="n"/>
      <c r="AQ1443" s="100" t="n"/>
      <c r="AR1443" s="100" t="n"/>
    </row>
    <row r="1445">
      <c r="A1445" s="6">
        <f>IF(HSTECH!$C$37="","",HSTECH!$C$37)</f>
        <v/>
      </c>
      <c r="B1445" s="96">
        <f>IF($A1445="",0,COUNT($E1446:$AR1446))</f>
        <v/>
      </c>
      <c r="C1445" s="97">
        <f>IF($B1445=0,0,MAX($E1446:$AR1446))</f>
        <v/>
      </c>
      <c r="D1445" s="98">
        <f>BDS($A1445,FLD_HIST,"headers=y","startcol=1","endcol=7","dir=h","DVD_START_DT",HIST_FROM,"DVD_END_DT",HIST_TO)</f>
        <v/>
      </c>
      <c r="E1445" s="99" t="n"/>
      <c r="F1445" s="99" t="n"/>
      <c r="G1445" s="99" t="n"/>
      <c r="H1445" s="99" t="n"/>
      <c r="I1445" s="99" t="n"/>
      <c r="J1445" s="99" t="n"/>
      <c r="K1445" s="99" t="n"/>
      <c r="L1445" s="99" t="n"/>
      <c r="M1445" s="99" t="n"/>
      <c r="N1445" s="99" t="n"/>
      <c r="O1445" s="99" t="n"/>
      <c r="P1445" s="99" t="n"/>
      <c r="Q1445" s="99" t="n"/>
      <c r="R1445" s="99" t="n"/>
      <c r="S1445" s="99" t="n"/>
      <c r="T1445" s="99" t="n"/>
      <c r="U1445" s="99" t="n"/>
      <c r="V1445" s="99" t="n"/>
      <c r="W1445" s="99" t="n"/>
      <c r="X1445" s="99" t="n"/>
      <c r="Y1445" s="99" t="n"/>
      <c r="Z1445" s="99" t="n"/>
      <c r="AA1445" s="99" t="n"/>
      <c r="AB1445" s="99" t="n"/>
      <c r="AC1445" s="99" t="n"/>
      <c r="AD1445" s="99" t="n"/>
      <c r="AE1445" s="99" t="n"/>
      <c r="AF1445" s="99" t="n"/>
      <c r="AG1445" s="99" t="n"/>
      <c r="AH1445" s="99" t="n"/>
      <c r="AI1445" s="99" t="n"/>
      <c r="AJ1445" s="99" t="n"/>
      <c r="AK1445" s="99" t="n"/>
      <c r="AL1445" s="99" t="n"/>
      <c r="AM1445" s="99" t="n"/>
      <c r="AN1445" s="99" t="n"/>
      <c r="AO1445" s="99" t="n"/>
      <c r="AP1445" s="99" t="n"/>
      <c r="AQ1445" s="99" t="n"/>
      <c r="AR1445" s="99" t="n"/>
    </row>
    <row r="1446">
      <c r="D1446" s="99" t="n"/>
      <c r="E1446" s="99" t="n"/>
      <c r="F1446" s="99" t="n"/>
      <c r="G1446" s="99" t="n"/>
      <c r="H1446" s="99" t="n"/>
      <c r="I1446" s="99" t="n"/>
      <c r="J1446" s="99" t="n"/>
      <c r="K1446" s="99" t="n"/>
      <c r="L1446" s="99" t="n"/>
      <c r="M1446" s="99" t="n"/>
      <c r="N1446" s="99" t="n"/>
      <c r="O1446" s="99" t="n"/>
      <c r="P1446" s="99" t="n"/>
      <c r="Q1446" s="99" t="n"/>
      <c r="R1446" s="99" t="n"/>
      <c r="S1446" s="99" t="n"/>
      <c r="T1446" s="99" t="n"/>
      <c r="U1446" s="99" t="n"/>
      <c r="V1446" s="99" t="n"/>
      <c r="W1446" s="99" t="n"/>
      <c r="X1446" s="99" t="n"/>
      <c r="Y1446" s="99" t="n"/>
      <c r="Z1446" s="99" t="n"/>
      <c r="AA1446" s="99" t="n"/>
      <c r="AB1446" s="99" t="n"/>
      <c r="AC1446" s="99" t="n"/>
      <c r="AD1446" s="99" t="n"/>
      <c r="AE1446" s="99" t="n"/>
      <c r="AF1446" s="99" t="n"/>
      <c r="AG1446" s="99" t="n"/>
      <c r="AH1446" s="99" t="n"/>
      <c r="AI1446" s="99" t="n"/>
      <c r="AJ1446" s="99" t="n"/>
      <c r="AK1446" s="99" t="n"/>
      <c r="AL1446" s="99" t="n"/>
      <c r="AM1446" s="99" t="n"/>
      <c r="AN1446" s="99" t="n"/>
      <c r="AO1446" s="99" t="n"/>
      <c r="AP1446" s="99" t="n"/>
      <c r="AQ1446" s="99" t="n"/>
      <c r="AR1446" s="99" t="n"/>
    </row>
    <row r="1447">
      <c r="D1447" s="99" t="n"/>
      <c r="E1447" s="99" t="n"/>
      <c r="F1447" s="99" t="n"/>
      <c r="G1447" s="99" t="n"/>
      <c r="H1447" s="99" t="n"/>
      <c r="I1447" s="99" t="n"/>
      <c r="J1447" s="99" t="n"/>
      <c r="K1447" s="99" t="n"/>
      <c r="L1447" s="99" t="n"/>
      <c r="M1447" s="99" t="n"/>
      <c r="N1447" s="99" t="n"/>
      <c r="O1447" s="99" t="n"/>
      <c r="P1447" s="99" t="n"/>
      <c r="Q1447" s="99" t="n"/>
      <c r="R1447" s="99" t="n"/>
      <c r="S1447" s="99" t="n"/>
      <c r="T1447" s="99" t="n"/>
      <c r="U1447" s="99" t="n"/>
      <c r="V1447" s="99" t="n"/>
      <c r="W1447" s="99" t="n"/>
      <c r="X1447" s="99" t="n"/>
      <c r="Y1447" s="99" t="n"/>
      <c r="Z1447" s="99" t="n"/>
      <c r="AA1447" s="99" t="n"/>
      <c r="AB1447" s="99" t="n"/>
      <c r="AC1447" s="99" t="n"/>
      <c r="AD1447" s="99" t="n"/>
      <c r="AE1447" s="99" t="n"/>
      <c r="AF1447" s="99" t="n"/>
      <c r="AG1447" s="99" t="n"/>
      <c r="AH1447" s="99" t="n"/>
      <c r="AI1447" s="99" t="n"/>
      <c r="AJ1447" s="99" t="n"/>
      <c r="AK1447" s="99" t="n"/>
      <c r="AL1447" s="99" t="n"/>
      <c r="AM1447" s="99" t="n"/>
      <c r="AN1447" s="99" t="n"/>
      <c r="AO1447" s="99" t="n"/>
      <c r="AP1447" s="99" t="n"/>
      <c r="AQ1447" s="99" t="n"/>
      <c r="AR1447" s="99" t="n"/>
    </row>
    <row r="1448">
      <c r="D1448" s="99" t="n"/>
      <c r="E1448" s="99" t="n"/>
      <c r="F1448" s="99" t="n"/>
      <c r="G1448" s="99" t="n"/>
      <c r="H1448" s="99" t="n"/>
      <c r="I1448" s="99" t="n"/>
      <c r="J1448" s="99" t="n"/>
      <c r="K1448" s="99" t="n"/>
      <c r="L1448" s="99" t="n"/>
      <c r="M1448" s="99" t="n"/>
      <c r="N1448" s="99" t="n"/>
      <c r="O1448" s="99" t="n"/>
      <c r="P1448" s="99" t="n"/>
      <c r="Q1448" s="99" t="n"/>
      <c r="R1448" s="99" t="n"/>
      <c r="S1448" s="99" t="n"/>
      <c r="T1448" s="99" t="n"/>
      <c r="U1448" s="99" t="n"/>
      <c r="V1448" s="99" t="n"/>
      <c r="W1448" s="99" t="n"/>
      <c r="X1448" s="99" t="n"/>
      <c r="Y1448" s="99" t="n"/>
      <c r="Z1448" s="99" t="n"/>
      <c r="AA1448" s="99" t="n"/>
      <c r="AB1448" s="99" t="n"/>
      <c r="AC1448" s="99" t="n"/>
      <c r="AD1448" s="99" t="n"/>
      <c r="AE1448" s="99" t="n"/>
      <c r="AF1448" s="99" t="n"/>
      <c r="AG1448" s="99" t="n"/>
      <c r="AH1448" s="99" t="n"/>
      <c r="AI1448" s="99" t="n"/>
      <c r="AJ1448" s="99" t="n"/>
      <c r="AK1448" s="99" t="n"/>
      <c r="AL1448" s="99" t="n"/>
      <c r="AM1448" s="99" t="n"/>
      <c r="AN1448" s="99" t="n"/>
      <c r="AO1448" s="99" t="n"/>
      <c r="AP1448" s="99" t="n"/>
      <c r="AQ1448" s="99" t="n"/>
      <c r="AR1448" s="99" t="n"/>
    </row>
    <row r="1449">
      <c r="D1449" s="100" t="n"/>
      <c r="E1449" s="100" t="n"/>
      <c r="F1449" s="100" t="n"/>
      <c r="G1449" s="100" t="n"/>
      <c r="H1449" s="100" t="n"/>
      <c r="I1449" s="100" t="n"/>
      <c r="J1449" s="100" t="n"/>
      <c r="K1449" s="100" t="n"/>
      <c r="L1449" s="100" t="n"/>
      <c r="M1449" s="100" t="n"/>
      <c r="N1449" s="100" t="n"/>
      <c r="O1449" s="100" t="n"/>
      <c r="P1449" s="100" t="n"/>
      <c r="Q1449" s="100" t="n"/>
      <c r="R1449" s="100" t="n"/>
      <c r="S1449" s="100" t="n"/>
      <c r="T1449" s="100" t="n"/>
      <c r="U1449" s="100" t="n"/>
      <c r="V1449" s="100" t="n"/>
      <c r="W1449" s="100" t="n"/>
      <c r="X1449" s="100" t="n"/>
      <c r="Y1449" s="100" t="n"/>
      <c r="Z1449" s="100" t="n"/>
      <c r="AA1449" s="100" t="n"/>
      <c r="AB1449" s="100" t="n"/>
      <c r="AC1449" s="100" t="n"/>
      <c r="AD1449" s="100" t="n"/>
      <c r="AE1449" s="100" t="n"/>
      <c r="AF1449" s="100" t="n"/>
      <c r="AG1449" s="100" t="n"/>
      <c r="AH1449" s="100" t="n"/>
      <c r="AI1449" s="100" t="n"/>
      <c r="AJ1449" s="100" t="n"/>
      <c r="AK1449" s="100" t="n"/>
      <c r="AL1449" s="100" t="n"/>
      <c r="AM1449" s="100" t="n"/>
      <c r="AN1449" s="100" t="n"/>
      <c r="AO1449" s="100" t="n"/>
      <c r="AP1449" s="100" t="n"/>
      <c r="AQ1449" s="100" t="n"/>
      <c r="AR1449" s="100" t="n"/>
    </row>
    <row r="1452">
      <c r="A1452" s="2">
        <f>IF($A1445="","","   projections")</f>
        <v/>
      </c>
      <c r="B1452" s="96">
        <f>IF($A1445="",0,COUNT($E1453:$AR1453))</f>
        <v/>
      </c>
      <c r="C1452" s="97">
        <f>IF($B1452=0,0,MAX($E1453:$AR1453))</f>
        <v/>
      </c>
      <c r="D1452" s="98">
        <f>BDS($A1445,FLD_PROJ,"headers=y","startcol=1","endcol=3","dir=h")</f>
        <v/>
      </c>
      <c r="E1452" s="99" t="n"/>
      <c r="F1452" s="99" t="n"/>
      <c r="G1452" s="99" t="n"/>
      <c r="H1452" s="99" t="n"/>
      <c r="I1452" s="99" t="n"/>
      <c r="J1452" s="99" t="n"/>
      <c r="K1452" s="99" t="n"/>
      <c r="L1452" s="99" t="n"/>
      <c r="M1452" s="99" t="n"/>
      <c r="N1452" s="99" t="n"/>
      <c r="O1452" s="99" t="n"/>
      <c r="P1452" s="99" t="n"/>
      <c r="Q1452" s="99" t="n"/>
      <c r="R1452" s="99" t="n"/>
      <c r="S1452" s="99" t="n"/>
      <c r="T1452" s="99" t="n"/>
      <c r="U1452" s="99" t="n"/>
      <c r="V1452" s="99" t="n"/>
      <c r="W1452" s="99" t="n"/>
      <c r="X1452" s="99" t="n"/>
      <c r="Y1452" s="99" t="n"/>
      <c r="Z1452" s="99" t="n"/>
      <c r="AA1452" s="99" t="n"/>
      <c r="AB1452" s="99" t="n"/>
      <c r="AC1452" s="99" t="n"/>
      <c r="AD1452" s="99" t="n"/>
      <c r="AE1452" s="99" t="n"/>
      <c r="AF1452" s="99" t="n"/>
      <c r="AG1452" s="99" t="n"/>
      <c r="AH1452" s="99" t="n"/>
      <c r="AI1452" s="99" t="n"/>
      <c r="AJ1452" s="99" t="n"/>
      <c r="AK1452" s="99" t="n"/>
      <c r="AL1452" s="99" t="n"/>
      <c r="AM1452" s="99" t="n"/>
      <c r="AN1452" s="99" t="n"/>
      <c r="AO1452" s="99" t="n"/>
      <c r="AP1452" s="99" t="n"/>
      <c r="AQ1452" s="99" t="n"/>
      <c r="AR1452" s="99" t="n"/>
    </row>
    <row r="1453">
      <c r="D1453" s="99" t="n"/>
      <c r="E1453" s="99" t="n"/>
      <c r="F1453" s="99" t="n"/>
      <c r="G1453" s="99" t="n"/>
      <c r="H1453" s="99" t="n"/>
      <c r="I1453" s="99" t="n"/>
      <c r="J1453" s="99" t="n"/>
      <c r="K1453" s="99" t="n"/>
      <c r="L1453" s="99" t="n"/>
      <c r="M1453" s="99" t="n"/>
      <c r="N1453" s="99" t="n"/>
      <c r="O1453" s="99" t="n"/>
      <c r="P1453" s="99" t="n"/>
      <c r="Q1453" s="99" t="n"/>
      <c r="R1453" s="99" t="n"/>
      <c r="S1453" s="99" t="n"/>
      <c r="T1453" s="99" t="n"/>
      <c r="U1453" s="99" t="n"/>
      <c r="V1453" s="99" t="n"/>
      <c r="W1453" s="99" t="n"/>
      <c r="X1453" s="99" t="n"/>
      <c r="Y1453" s="99" t="n"/>
      <c r="Z1453" s="99" t="n"/>
      <c r="AA1453" s="99" t="n"/>
      <c r="AB1453" s="99" t="n"/>
      <c r="AC1453" s="99" t="n"/>
      <c r="AD1453" s="99" t="n"/>
      <c r="AE1453" s="99" t="n"/>
      <c r="AF1453" s="99" t="n"/>
      <c r="AG1453" s="99" t="n"/>
      <c r="AH1453" s="99" t="n"/>
      <c r="AI1453" s="99" t="n"/>
      <c r="AJ1453" s="99" t="n"/>
      <c r="AK1453" s="99" t="n"/>
      <c r="AL1453" s="99" t="n"/>
      <c r="AM1453" s="99" t="n"/>
      <c r="AN1453" s="99" t="n"/>
      <c r="AO1453" s="99" t="n"/>
      <c r="AP1453" s="99" t="n"/>
      <c r="AQ1453" s="99" t="n"/>
      <c r="AR1453" s="99" t="n"/>
    </row>
    <row r="1454">
      <c r="D1454" s="100" t="n"/>
      <c r="E1454" s="100" t="n"/>
      <c r="F1454" s="100" t="n"/>
      <c r="G1454" s="100" t="n"/>
      <c r="H1454" s="100" t="n"/>
      <c r="I1454" s="100" t="n"/>
      <c r="J1454" s="100" t="n"/>
      <c r="K1454" s="100" t="n"/>
      <c r="L1454" s="100" t="n"/>
      <c r="M1454" s="100" t="n"/>
      <c r="N1454" s="100" t="n"/>
      <c r="O1454" s="100" t="n"/>
      <c r="P1454" s="100" t="n"/>
      <c r="Q1454" s="100" t="n"/>
      <c r="R1454" s="100" t="n"/>
      <c r="S1454" s="100" t="n"/>
      <c r="T1454" s="100" t="n"/>
      <c r="U1454" s="100" t="n"/>
      <c r="V1454" s="100" t="n"/>
      <c r="W1454" s="100" t="n"/>
      <c r="X1454" s="100" t="n"/>
      <c r="Y1454" s="100" t="n"/>
      <c r="Z1454" s="100" t="n"/>
      <c r="AA1454" s="100" t="n"/>
      <c r="AB1454" s="100" t="n"/>
      <c r="AC1454" s="100" t="n"/>
      <c r="AD1454" s="100" t="n"/>
      <c r="AE1454" s="100" t="n"/>
      <c r="AF1454" s="100" t="n"/>
      <c r="AG1454" s="100" t="n"/>
      <c r="AH1454" s="100" t="n"/>
      <c r="AI1454" s="100" t="n"/>
      <c r="AJ1454" s="100" t="n"/>
      <c r="AK1454" s="100" t="n"/>
      <c r="AL1454" s="100" t="n"/>
      <c r="AM1454" s="100" t="n"/>
      <c r="AN1454" s="100" t="n"/>
      <c r="AO1454" s="100" t="n"/>
      <c r="AP1454" s="100" t="n"/>
      <c r="AQ1454" s="100" t="n"/>
      <c r="AR1454" s="100" t="n"/>
    </row>
    <row r="1456">
      <c r="A1456" s="6">
        <f>IF(HSTECH!$C$38="","",HSTECH!$C$38)</f>
        <v/>
      </c>
      <c r="B1456" s="96">
        <f>IF($A1456="",0,COUNT($E1457:$AR1457))</f>
        <v/>
      </c>
      <c r="C1456" s="97">
        <f>IF($B1456=0,0,MAX($E1457:$AR1457))</f>
        <v/>
      </c>
      <c r="D1456" s="98">
        <f>BDS($A1456,FLD_HIST,"headers=y","startcol=1","endcol=7","dir=h","DVD_START_DT",HIST_FROM,"DVD_END_DT",HIST_TO)</f>
        <v/>
      </c>
      <c r="E1456" s="99" t="n"/>
      <c r="F1456" s="99" t="n"/>
      <c r="G1456" s="99" t="n"/>
      <c r="H1456" s="99" t="n"/>
      <c r="I1456" s="99" t="n"/>
      <c r="J1456" s="99" t="n"/>
      <c r="K1456" s="99" t="n"/>
      <c r="L1456" s="99" t="n"/>
      <c r="M1456" s="99" t="n"/>
      <c r="N1456" s="99" t="n"/>
      <c r="O1456" s="99" t="n"/>
      <c r="P1456" s="99" t="n"/>
      <c r="Q1456" s="99" t="n"/>
      <c r="R1456" s="99" t="n"/>
      <c r="S1456" s="99" t="n"/>
      <c r="T1456" s="99" t="n"/>
      <c r="U1456" s="99" t="n"/>
      <c r="V1456" s="99" t="n"/>
      <c r="W1456" s="99" t="n"/>
      <c r="X1456" s="99" t="n"/>
      <c r="Y1456" s="99" t="n"/>
      <c r="Z1456" s="99" t="n"/>
      <c r="AA1456" s="99" t="n"/>
      <c r="AB1456" s="99" t="n"/>
      <c r="AC1456" s="99" t="n"/>
      <c r="AD1456" s="99" t="n"/>
      <c r="AE1456" s="99" t="n"/>
      <c r="AF1456" s="99" t="n"/>
      <c r="AG1456" s="99" t="n"/>
      <c r="AH1456" s="99" t="n"/>
      <c r="AI1456" s="99" t="n"/>
      <c r="AJ1456" s="99" t="n"/>
      <c r="AK1456" s="99" t="n"/>
      <c r="AL1456" s="99" t="n"/>
      <c r="AM1456" s="99" t="n"/>
      <c r="AN1456" s="99" t="n"/>
      <c r="AO1456" s="99" t="n"/>
      <c r="AP1456" s="99" t="n"/>
      <c r="AQ1456" s="99" t="n"/>
      <c r="AR1456" s="99" t="n"/>
    </row>
    <row r="1457">
      <c r="D1457" s="99" t="n"/>
      <c r="E1457" s="99" t="n"/>
      <c r="F1457" s="99" t="n"/>
      <c r="G1457" s="99" t="n"/>
      <c r="H1457" s="99" t="n"/>
      <c r="I1457" s="99" t="n"/>
      <c r="J1457" s="99" t="n"/>
      <c r="K1457" s="99" t="n"/>
      <c r="L1457" s="99" t="n"/>
      <c r="M1457" s="99" t="n"/>
      <c r="N1457" s="99" t="n"/>
      <c r="O1457" s="99" t="n"/>
      <c r="P1457" s="99" t="n"/>
      <c r="Q1457" s="99" t="n"/>
      <c r="R1457" s="99" t="n"/>
      <c r="S1457" s="99" t="n"/>
      <c r="T1457" s="99" t="n"/>
      <c r="U1457" s="99" t="n"/>
      <c r="V1457" s="99" t="n"/>
      <c r="W1457" s="99" t="n"/>
      <c r="X1457" s="99" t="n"/>
      <c r="Y1457" s="99" t="n"/>
      <c r="Z1457" s="99" t="n"/>
      <c r="AA1457" s="99" t="n"/>
      <c r="AB1457" s="99" t="n"/>
      <c r="AC1457" s="99" t="n"/>
      <c r="AD1457" s="99" t="n"/>
      <c r="AE1457" s="99" t="n"/>
      <c r="AF1457" s="99" t="n"/>
      <c r="AG1457" s="99" t="n"/>
      <c r="AH1457" s="99" t="n"/>
      <c r="AI1457" s="99" t="n"/>
      <c r="AJ1457" s="99" t="n"/>
      <c r="AK1457" s="99" t="n"/>
      <c r="AL1457" s="99" t="n"/>
      <c r="AM1457" s="99" t="n"/>
      <c r="AN1457" s="99" t="n"/>
      <c r="AO1457" s="99" t="n"/>
      <c r="AP1457" s="99" t="n"/>
      <c r="AQ1457" s="99" t="n"/>
      <c r="AR1457" s="99" t="n"/>
    </row>
    <row r="1458">
      <c r="D1458" s="99" t="n"/>
      <c r="E1458" s="99" t="n"/>
      <c r="F1458" s="99" t="n"/>
      <c r="G1458" s="99" t="n"/>
      <c r="H1458" s="99" t="n"/>
      <c r="I1458" s="99" t="n"/>
      <c r="J1458" s="99" t="n"/>
      <c r="K1458" s="99" t="n"/>
      <c r="L1458" s="99" t="n"/>
      <c r="M1458" s="99" t="n"/>
      <c r="N1458" s="99" t="n"/>
      <c r="O1458" s="99" t="n"/>
      <c r="P1458" s="99" t="n"/>
      <c r="Q1458" s="99" t="n"/>
      <c r="R1458" s="99" t="n"/>
      <c r="S1458" s="99" t="n"/>
      <c r="T1458" s="99" t="n"/>
      <c r="U1458" s="99" t="n"/>
      <c r="V1458" s="99" t="n"/>
      <c r="W1458" s="99" t="n"/>
      <c r="X1458" s="99" t="n"/>
      <c r="Y1458" s="99" t="n"/>
      <c r="Z1458" s="99" t="n"/>
      <c r="AA1458" s="99" t="n"/>
      <c r="AB1458" s="99" t="n"/>
      <c r="AC1458" s="99" t="n"/>
      <c r="AD1458" s="99" t="n"/>
      <c r="AE1458" s="99" t="n"/>
      <c r="AF1458" s="99" t="n"/>
      <c r="AG1458" s="99" t="n"/>
      <c r="AH1458" s="99" t="n"/>
      <c r="AI1458" s="99" t="n"/>
      <c r="AJ1458" s="99" t="n"/>
      <c r="AK1458" s="99" t="n"/>
      <c r="AL1458" s="99" t="n"/>
      <c r="AM1458" s="99" t="n"/>
      <c r="AN1458" s="99" t="n"/>
      <c r="AO1458" s="99" t="n"/>
      <c r="AP1458" s="99" t="n"/>
      <c r="AQ1458" s="99" t="n"/>
      <c r="AR1458" s="99" t="n"/>
    </row>
    <row r="1459">
      <c r="D1459" s="99" t="n"/>
      <c r="E1459" s="99" t="n"/>
      <c r="F1459" s="99" t="n"/>
      <c r="G1459" s="99" t="n"/>
      <c r="H1459" s="99" t="n"/>
      <c r="I1459" s="99" t="n"/>
      <c r="J1459" s="99" t="n"/>
      <c r="K1459" s="99" t="n"/>
      <c r="L1459" s="99" t="n"/>
      <c r="M1459" s="99" t="n"/>
      <c r="N1459" s="99" t="n"/>
      <c r="O1459" s="99" t="n"/>
      <c r="P1459" s="99" t="n"/>
      <c r="Q1459" s="99" t="n"/>
      <c r="R1459" s="99" t="n"/>
      <c r="S1459" s="99" t="n"/>
      <c r="T1459" s="99" t="n"/>
      <c r="U1459" s="99" t="n"/>
      <c r="V1459" s="99" t="n"/>
      <c r="W1459" s="99" t="n"/>
      <c r="X1459" s="99" t="n"/>
      <c r="Y1459" s="99" t="n"/>
      <c r="Z1459" s="99" t="n"/>
      <c r="AA1459" s="99" t="n"/>
      <c r="AB1459" s="99" t="n"/>
      <c r="AC1459" s="99" t="n"/>
      <c r="AD1459" s="99" t="n"/>
      <c r="AE1459" s="99" t="n"/>
      <c r="AF1459" s="99" t="n"/>
      <c r="AG1459" s="99" t="n"/>
      <c r="AH1459" s="99" t="n"/>
      <c r="AI1459" s="99" t="n"/>
      <c r="AJ1459" s="99" t="n"/>
      <c r="AK1459" s="99" t="n"/>
      <c r="AL1459" s="99" t="n"/>
      <c r="AM1459" s="99" t="n"/>
      <c r="AN1459" s="99" t="n"/>
      <c r="AO1459" s="99" t="n"/>
      <c r="AP1459" s="99" t="n"/>
      <c r="AQ1459" s="99" t="n"/>
      <c r="AR1459" s="99" t="n"/>
    </row>
    <row r="1460">
      <c r="D1460" s="100" t="n"/>
      <c r="E1460" s="100" t="n"/>
      <c r="F1460" s="100" t="n"/>
      <c r="G1460" s="100" t="n"/>
      <c r="H1460" s="100" t="n"/>
      <c r="I1460" s="100" t="n"/>
      <c r="J1460" s="100" t="n"/>
      <c r="K1460" s="100" t="n"/>
      <c r="L1460" s="100" t="n"/>
      <c r="M1460" s="100" t="n"/>
      <c r="N1460" s="100" t="n"/>
      <c r="O1460" s="100" t="n"/>
      <c r="P1460" s="100" t="n"/>
      <c r="Q1460" s="100" t="n"/>
      <c r="R1460" s="100" t="n"/>
      <c r="S1460" s="100" t="n"/>
      <c r="T1460" s="100" t="n"/>
      <c r="U1460" s="100" t="n"/>
      <c r="V1460" s="100" t="n"/>
      <c r="W1460" s="100" t="n"/>
      <c r="X1460" s="100" t="n"/>
      <c r="Y1460" s="100" t="n"/>
      <c r="Z1460" s="100" t="n"/>
      <c r="AA1460" s="100" t="n"/>
      <c r="AB1460" s="100" t="n"/>
      <c r="AC1460" s="100" t="n"/>
      <c r="AD1460" s="100" t="n"/>
      <c r="AE1460" s="100" t="n"/>
      <c r="AF1460" s="100" t="n"/>
      <c r="AG1460" s="100" t="n"/>
      <c r="AH1460" s="100" t="n"/>
      <c r="AI1460" s="100" t="n"/>
      <c r="AJ1460" s="100" t="n"/>
      <c r="AK1460" s="100" t="n"/>
      <c r="AL1460" s="100" t="n"/>
      <c r="AM1460" s="100" t="n"/>
      <c r="AN1460" s="100" t="n"/>
      <c r="AO1460" s="100" t="n"/>
      <c r="AP1460" s="100" t="n"/>
      <c r="AQ1460" s="100" t="n"/>
      <c r="AR1460" s="100" t="n"/>
    </row>
    <row r="1463">
      <c r="A1463" s="2">
        <f>IF($A1456="","","   projections")</f>
        <v/>
      </c>
      <c r="B1463" s="96">
        <f>IF($A1456="",0,COUNT($E1464:$AR1464))</f>
        <v/>
      </c>
      <c r="C1463" s="97">
        <f>IF($B1463=0,0,MAX($E1464:$AR1464))</f>
        <v/>
      </c>
      <c r="D1463" s="98">
        <f>BDS($A1456,FLD_PROJ,"headers=y","startcol=1","endcol=3","dir=h")</f>
        <v/>
      </c>
      <c r="E1463" s="99" t="n"/>
      <c r="F1463" s="99" t="n"/>
      <c r="G1463" s="99" t="n"/>
      <c r="H1463" s="99" t="n"/>
      <c r="I1463" s="99" t="n"/>
      <c r="J1463" s="99" t="n"/>
      <c r="K1463" s="99" t="n"/>
      <c r="L1463" s="99" t="n"/>
      <c r="M1463" s="99" t="n"/>
      <c r="N1463" s="99" t="n"/>
      <c r="O1463" s="99" t="n"/>
      <c r="P1463" s="99" t="n"/>
      <c r="Q1463" s="99" t="n"/>
      <c r="R1463" s="99" t="n"/>
      <c r="S1463" s="99" t="n"/>
      <c r="T1463" s="99" t="n"/>
      <c r="U1463" s="99" t="n"/>
      <c r="V1463" s="99" t="n"/>
      <c r="W1463" s="99" t="n"/>
      <c r="X1463" s="99" t="n"/>
      <c r="Y1463" s="99" t="n"/>
      <c r="Z1463" s="99" t="n"/>
      <c r="AA1463" s="99" t="n"/>
      <c r="AB1463" s="99" t="n"/>
      <c r="AC1463" s="99" t="n"/>
      <c r="AD1463" s="99" t="n"/>
      <c r="AE1463" s="99" t="n"/>
      <c r="AF1463" s="99" t="n"/>
      <c r="AG1463" s="99" t="n"/>
      <c r="AH1463" s="99" t="n"/>
      <c r="AI1463" s="99" t="n"/>
      <c r="AJ1463" s="99" t="n"/>
      <c r="AK1463" s="99" t="n"/>
      <c r="AL1463" s="99" t="n"/>
      <c r="AM1463" s="99" t="n"/>
      <c r="AN1463" s="99" t="n"/>
      <c r="AO1463" s="99" t="n"/>
      <c r="AP1463" s="99" t="n"/>
      <c r="AQ1463" s="99" t="n"/>
      <c r="AR1463" s="99" t="n"/>
    </row>
    <row r="1464">
      <c r="D1464" s="99" t="n"/>
      <c r="E1464" s="99" t="n"/>
      <c r="F1464" s="99" t="n"/>
      <c r="G1464" s="99" t="n"/>
      <c r="H1464" s="99" t="n"/>
      <c r="I1464" s="99" t="n"/>
      <c r="J1464" s="99" t="n"/>
      <c r="K1464" s="99" t="n"/>
      <c r="L1464" s="99" t="n"/>
      <c r="M1464" s="99" t="n"/>
      <c r="N1464" s="99" t="n"/>
      <c r="O1464" s="99" t="n"/>
      <c r="P1464" s="99" t="n"/>
      <c r="Q1464" s="99" t="n"/>
      <c r="R1464" s="99" t="n"/>
      <c r="S1464" s="99" t="n"/>
      <c r="T1464" s="99" t="n"/>
      <c r="U1464" s="99" t="n"/>
      <c r="V1464" s="99" t="n"/>
      <c r="W1464" s="99" t="n"/>
      <c r="X1464" s="99" t="n"/>
      <c r="Y1464" s="99" t="n"/>
      <c r="Z1464" s="99" t="n"/>
      <c r="AA1464" s="99" t="n"/>
      <c r="AB1464" s="99" t="n"/>
      <c r="AC1464" s="99" t="n"/>
      <c r="AD1464" s="99" t="n"/>
      <c r="AE1464" s="99" t="n"/>
      <c r="AF1464" s="99" t="n"/>
      <c r="AG1464" s="99" t="n"/>
      <c r="AH1464" s="99" t="n"/>
      <c r="AI1464" s="99" t="n"/>
      <c r="AJ1464" s="99" t="n"/>
      <c r="AK1464" s="99" t="n"/>
      <c r="AL1464" s="99" t="n"/>
      <c r="AM1464" s="99" t="n"/>
      <c r="AN1464" s="99" t="n"/>
      <c r="AO1464" s="99" t="n"/>
      <c r="AP1464" s="99" t="n"/>
      <c r="AQ1464" s="99" t="n"/>
      <c r="AR1464" s="99" t="n"/>
    </row>
    <row r="1465">
      <c r="D1465" s="100" t="n"/>
      <c r="E1465" s="100" t="n"/>
      <c r="F1465" s="100" t="n"/>
      <c r="G1465" s="100" t="n"/>
      <c r="H1465" s="100" t="n"/>
      <c r="I1465" s="100" t="n"/>
      <c r="J1465" s="100" t="n"/>
      <c r="K1465" s="100" t="n"/>
      <c r="L1465" s="100" t="n"/>
      <c r="M1465" s="100" t="n"/>
      <c r="N1465" s="100" t="n"/>
      <c r="O1465" s="100" t="n"/>
      <c r="P1465" s="100" t="n"/>
      <c r="Q1465" s="100" t="n"/>
      <c r="R1465" s="100" t="n"/>
      <c r="S1465" s="100" t="n"/>
      <c r="T1465" s="100" t="n"/>
      <c r="U1465" s="100" t="n"/>
      <c r="V1465" s="100" t="n"/>
      <c r="W1465" s="100" t="n"/>
      <c r="X1465" s="100" t="n"/>
      <c r="Y1465" s="100" t="n"/>
      <c r="Z1465" s="100" t="n"/>
      <c r="AA1465" s="100" t="n"/>
      <c r="AB1465" s="100" t="n"/>
      <c r="AC1465" s="100" t="n"/>
      <c r="AD1465" s="100" t="n"/>
      <c r="AE1465" s="100" t="n"/>
      <c r="AF1465" s="100" t="n"/>
      <c r="AG1465" s="100" t="n"/>
      <c r="AH1465" s="100" t="n"/>
      <c r="AI1465" s="100" t="n"/>
      <c r="AJ1465" s="100" t="n"/>
      <c r="AK1465" s="100" t="n"/>
      <c r="AL1465" s="100" t="n"/>
      <c r="AM1465" s="100" t="n"/>
      <c r="AN1465" s="100" t="n"/>
      <c r="AO1465" s="100" t="n"/>
      <c r="AP1465" s="100" t="n"/>
      <c r="AQ1465" s="100" t="n"/>
      <c r="AR1465" s="100" t="n"/>
    </row>
    <row r="1467">
      <c r="A1467" s="6">
        <f>IF(HSTECH!$C$39="","",HSTECH!$C$39)</f>
        <v/>
      </c>
      <c r="B1467" s="96">
        <f>IF($A1467="",0,COUNT($E1468:$AR1468))</f>
        <v/>
      </c>
      <c r="C1467" s="97">
        <f>IF($B1467=0,0,MAX($E1468:$AR1468))</f>
        <v/>
      </c>
      <c r="D1467" s="98">
        <f>BDS($A1467,FLD_HIST,"headers=y","startcol=1","endcol=7","dir=h","DVD_START_DT",HIST_FROM,"DVD_END_DT",HIST_TO)</f>
        <v/>
      </c>
      <c r="E1467" s="99" t="n"/>
      <c r="F1467" s="99" t="n"/>
      <c r="G1467" s="99" t="n"/>
      <c r="H1467" s="99" t="n"/>
      <c r="I1467" s="99" t="n"/>
      <c r="J1467" s="99" t="n"/>
      <c r="K1467" s="99" t="n"/>
      <c r="L1467" s="99" t="n"/>
      <c r="M1467" s="99" t="n"/>
      <c r="N1467" s="99" t="n"/>
      <c r="O1467" s="99" t="n"/>
      <c r="P1467" s="99" t="n"/>
      <c r="Q1467" s="99" t="n"/>
      <c r="R1467" s="99" t="n"/>
      <c r="S1467" s="99" t="n"/>
      <c r="T1467" s="99" t="n"/>
      <c r="U1467" s="99" t="n"/>
      <c r="V1467" s="99" t="n"/>
      <c r="W1467" s="99" t="n"/>
      <c r="X1467" s="99" t="n"/>
      <c r="Y1467" s="99" t="n"/>
      <c r="Z1467" s="99" t="n"/>
      <c r="AA1467" s="99" t="n"/>
      <c r="AB1467" s="99" t="n"/>
      <c r="AC1467" s="99" t="n"/>
      <c r="AD1467" s="99" t="n"/>
      <c r="AE1467" s="99" t="n"/>
      <c r="AF1467" s="99" t="n"/>
      <c r="AG1467" s="99" t="n"/>
      <c r="AH1467" s="99" t="n"/>
      <c r="AI1467" s="99" t="n"/>
      <c r="AJ1467" s="99" t="n"/>
      <c r="AK1467" s="99" t="n"/>
      <c r="AL1467" s="99" t="n"/>
      <c r="AM1467" s="99" t="n"/>
      <c r="AN1467" s="99" t="n"/>
      <c r="AO1467" s="99" t="n"/>
      <c r="AP1467" s="99" t="n"/>
      <c r="AQ1467" s="99" t="n"/>
      <c r="AR1467" s="99" t="n"/>
    </row>
    <row r="1468">
      <c r="D1468" s="99" t="n"/>
      <c r="E1468" s="99" t="n"/>
      <c r="F1468" s="99" t="n"/>
      <c r="G1468" s="99" t="n"/>
      <c r="H1468" s="99" t="n"/>
      <c r="I1468" s="99" t="n"/>
      <c r="J1468" s="99" t="n"/>
      <c r="K1468" s="99" t="n"/>
      <c r="L1468" s="99" t="n"/>
      <c r="M1468" s="99" t="n"/>
      <c r="N1468" s="99" t="n"/>
      <c r="O1468" s="99" t="n"/>
      <c r="P1468" s="99" t="n"/>
      <c r="Q1468" s="99" t="n"/>
      <c r="R1468" s="99" t="n"/>
      <c r="S1468" s="99" t="n"/>
      <c r="T1468" s="99" t="n"/>
      <c r="U1468" s="99" t="n"/>
      <c r="V1468" s="99" t="n"/>
      <c r="W1468" s="99" t="n"/>
      <c r="X1468" s="99" t="n"/>
      <c r="Y1468" s="99" t="n"/>
      <c r="Z1468" s="99" t="n"/>
      <c r="AA1468" s="99" t="n"/>
      <c r="AB1468" s="99" t="n"/>
      <c r="AC1468" s="99" t="n"/>
      <c r="AD1468" s="99" t="n"/>
      <c r="AE1468" s="99" t="n"/>
      <c r="AF1468" s="99" t="n"/>
      <c r="AG1468" s="99" t="n"/>
      <c r="AH1468" s="99" t="n"/>
      <c r="AI1468" s="99" t="n"/>
      <c r="AJ1468" s="99" t="n"/>
      <c r="AK1468" s="99" t="n"/>
      <c r="AL1468" s="99" t="n"/>
      <c r="AM1468" s="99" t="n"/>
      <c r="AN1468" s="99" t="n"/>
      <c r="AO1468" s="99" t="n"/>
      <c r="AP1468" s="99" t="n"/>
      <c r="AQ1468" s="99" t="n"/>
      <c r="AR1468" s="99" t="n"/>
    </row>
    <row r="1469">
      <c r="D1469" s="99" t="n"/>
      <c r="E1469" s="99" t="n"/>
      <c r="F1469" s="99" t="n"/>
      <c r="G1469" s="99" t="n"/>
      <c r="H1469" s="99" t="n"/>
      <c r="I1469" s="99" t="n"/>
      <c r="J1469" s="99" t="n"/>
      <c r="K1469" s="99" t="n"/>
      <c r="L1469" s="99" t="n"/>
      <c r="M1469" s="99" t="n"/>
      <c r="N1469" s="99" t="n"/>
      <c r="O1469" s="99" t="n"/>
      <c r="P1469" s="99" t="n"/>
      <c r="Q1469" s="99" t="n"/>
      <c r="R1469" s="99" t="n"/>
      <c r="S1469" s="99" t="n"/>
      <c r="T1469" s="99" t="n"/>
      <c r="U1469" s="99" t="n"/>
      <c r="V1469" s="99" t="n"/>
      <c r="W1469" s="99" t="n"/>
      <c r="X1469" s="99" t="n"/>
      <c r="Y1469" s="99" t="n"/>
      <c r="Z1469" s="99" t="n"/>
      <c r="AA1469" s="99" t="n"/>
      <c r="AB1469" s="99" t="n"/>
      <c r="AC1469" s="99" t="n"/>
      <c r="AD1469" s="99" t="n"/>
      <c r="AE1469" s="99" t="n"/>
      <c r="AF1469" s="99" t="n"/>
      <c r="AG1469" s="99" t="n"/>
      <c r="AH1469" s="99" t="n"/>
      <c r="AI1469" s="99" t="n"/>
      <c r="AJ1469" s="99" t="n"/>
      <c r="AK1469" s="99" t="n"/>
      <c r="AL1469" s="99" t="n"/>
      <c r="AM1469" s="99" t="n"/>
      <c r="AN1469" s="99" t="n"/>
      <c r="AO1469" s="99" t="n"/>
      <c r="AP1469" s="99" t="n"/>
      <c r="AQ1469" s="99" t="n"/>
      <c r="AR1469" s="99" t="n"/>
    </row>
    <row r="1470">
      <c r="D1470" s="99" t="n"/>
      <c r="E1470" s="99" t="n"/>
      <c r="F1470" s="99" t="n"/>
      <c r="G1470" s="99" t="n"/>
      <c r="H1470" s="99" t="n"/>
      <c r="I1470" s="99" t="n"/>
      <c r="J1470" s="99" t="n"/>
      <c r="K1470" s="99" t="n"/>
      <c r="L1470" s="99" t="n"/>
      <c r="M1470" s="99" t="n"/>
      <c r="N1470" s="99" t="n"/>
      <c r="O1470" s="99" t="n"/>
      <c r="P1470" s="99" t="n"/>
      <c r="Q1470" s="99" t="n"/>
      <c r="R1470" s="99" t="n"/>
      <c r="S1470" s="99" t="n"/>
      <c r="T1470" s="99" t="n"/>
      <c r="U1470" s="99" t="n"/>
      <c r="V1470" s="99" t="n"/>
      <c r="W1470" s="99" t="n"/>
      <c r="X1470" s="99" t="n"/>
      <c r="Y1470" s="99" t="n"/>
      <c r="Z1470" s="99" t="n"/>
      <c r="AA1470" s="99" t="n"/>
      <c r="AB1470" s="99" t="n"/>
      <c r="AC1470" s="99" t="n"/>
      <c r="AD1470" s="99" t="n"/>
      <c r="AE1470" s="99" t="n"/>
      <c r="AF1470" s="99" t="n"/>
      <c r="AG1470" s="99" t="n"/>
      <c r="AH1470" s="99" t="n"/>
      <c r="AI1470" s="99" t="n"/>
      <c r="AJ1470" s="99" t="n"/>
      <c r="AK1470" s="99" t="n"/>
      <c r="AL1470" s="99" t="n"/>
      <c r="AM1470" s="99" t="n"/>
      <c r="AN1470" s="99" t="n"/>
      <c r="AO1470" s="99" t="n"/>
      <c r="AP1470" s="99" t="n"/>
      <c r="AQ1470" s="99" t="n"/>
      <c r="AR1470" s="99" t="n"/>
    </row>
    <row r="1471">
      <c r="D1471" s="100" t="n"/>
      <c r="E1471" s="100" t="n"/>
      <c r="F1471" s="100" t="n"/>
      <c r="G1471" s="100" t="n"/>
      <c r="H1471" s="100" t="n"/>
      <c r="I1471" s="100" t="n"/>
      <c r="J1471" s="100" t="n"/>
      <c r="K1471" s="100" t="n"/>
      <c r="L1471" s="100" t="n"/>
      <c r="M1471" s="100" t="n"/>
      <c r="N1471" s="100" t="n"/>
      <c r="O1471" s="100" t="n"/>
      <c r="P1471" s="100" t="n"/>
      <c r="Q1471" s="100" t="n"/>
      <c r="R1471" s="100" t="n"/>
      <c r="S1471" s="100" t="n"/>
      <c r="T1471" s="100" t="n"/>
      <c r="U1471" s="100" t="n"/>
      <c r="V1471" s="100" t="n"/>
      <c r="W1471" s="100" t="n"/>
      <c r="X1471" s="100" t="n"/>
      <c r="Y1471" s="100" t="n"/>
      <c r="Z1471" s="100" t="n"/>
      <c r="AA1471" s="100" t="n"/>
      <c r="AB1471" s="100" t="n"/>
      <c r="AC1471" s="100" t="n"/>
      <c r="AD1471" s="100" t="n"/>
      <c r="AE1471" s="100" t="n"/>
      <c r="AF1471" s="100" t="n"/>
      <c r="AG1471" s="100" t="n"/>
      <c r="AH1471" s="100" t="n"/>
      <c r="AI1471" s="100" t="n"/>
      <c r="AJ1471" s="100" t="n"/>
      <c r="AK1471" s="100" t="n"/>
      <c r="AL1471" s="100" t="n"/>
      <c r="AM1471" s="100" t="n"/>
      <c r="AN1471" s="100" t="n"/>
      <c r="AO1471" s="100" t="n"/>
      <c r="AP1471" s="100" t="n"/>
      <c r="AQ1471" s="100" t="n"/>
      <c r="AR1471" s="100" t="n"/>
    </row>
    <row r="1474">
      <c r="A1474" s="2">
        <f>IF($A1467="","","   projections")</f>
        <v/>
      </c>
      <c r="B1474" s="96">
        <f>IF($A1467="",0,COUNT($E1475:$AR1475))</f>
        <v/>
      </c>
      <c r="C1474" s="97">
        <f>IF($B1474=0,0,MAX($E1475:$AR1475))</f>
        <v/>
      </c>
      <c r="D1474" s="98">
        <f>BDS($A1467,FLD_PROJ,"headers=y","startcol=1","endcol=3","dir=h")</f>
        <v/>
      </c>
      <c r="E1474" s="99" t="n"/>
      <c r="F1474" s="99" t="n"/>
      <c r="G1474" s="99" t="n"/>
      <c r="H1474" s="99" t="n"/>
      <c r="I1474" s="99" t="n"/>
      <c r="J1474" s="99" t="n"/>
      <c r="K1474" s="99" t="n"/>
      <c r="L1474" s="99" t="n"/>
      <c r="M1474" s="99" t="n"/>
      <c r="N1474" s="99" t="n"/>
      <c r="O1474" s="99" t="n"/>
      <c r="P1474" s="99" t="n"/>
      <c r="Q1474" s="99" t="n"/>
      <c r="R1474" s="99" t="n"/>
      <c r="S1474" s="99" t="n"/>
      <c r="T1474" s="99" t="n"/>
      <c r="U1474" s="99" t="n"/>
      <c r="V1474" s="99" t="n"/>
      <c r="W1474" s="99" t="n"/>
      <c r="X1474" s="99" t="n"/>
      <c r="Y1474" s="99" t="n"/>
      <c r="Z1474" s="99" t="n"/>
      <c r="AA1474" s="99" t="n"/>
      <c r="AB1474" s="99" t="n"/>
      <c r="AC1474" s="99" t="n"/>
      <c r="AD1474" s="99" t="n"/>
      <c r="AE1474" s="99" t="n"/>
      <c r="AF1474" s="99" t="n"/>
      <c r="AG1474" s="99" t="n"/>
      <c r="AH1474" s="99" t="n"/>
      <c r="AI1474" s="99" t="n"/>
      <c r="AJ1474" s="99" t="n"/>
      <c r="AK1474" s="99" t="n"/>
      <c r="AL1474" s="99" t="n"/>
      <c r="AM1474" s="99" t="n"/>
      <c r="AN1474" s="99" t="n"/>
      <c r="AO1474" s="99" t="n"/>
      <c r="AP1474" s="99" t="n"/>
      <c r="AQ1474" s="99" t="n"/>
      <c r="AR1474" s="99" t="n"/>
    </row>
    <row r="1475">
      <c r="D1475" s="99" t="n"/>
      <c r="E1475" s="99" t="n"/>
      <c r="F1475" s="99" t="n"/>
      <c r="G1475" s="99" t="n"/>
      <c r="H1475" s="99" t="n"/>
      <c r="I1475" s="99" t="n"/>
      <c r="J1475" s="99" t="n"/>
      <c r="K1475" s="99" t="n"/>
      <c r="L1475" s="99" t="n"/>
      <c r="M1475" s="99" t="n"/>
      <c r="N1475" s="99" t="n"/>
      <c r="O1475" s="99" t="n"/>
      <c r="P1475" s="99" t="n"/>
      <c r="Q1475" s="99" t="n"/>
      <c r="R1475" s="99" t="n"/>
      <c r="S1475" s="99" t="n"/>
      <c r="T1475" s="99" t="n"/>
      <c r="U1475" s="99" t="n"/>
      <c r="V1475" s="99" t="n"/>
      <c r="W1475" s="99" t="n"/>
      <c r="X1475" s="99" t="n"/>
      <c r="Y1475" s="99" t="n"/>
      <c r="Z1475" s="99" t="n"/>
      <c r="AA1475" s="99" t="n"/>
      <c r="AB1475" s="99" t="n"/>
      <c r="AC1475" s="99" t="n"/>
      <c r="AD1475" s="99" t="n"/>
      <c r="AE1475" s="99" t="n"/>
      <c r="AF1475" s="99" t="n"/>
      <c r="AG1475" s="99" t="n"/>
      <c r="AH1475" s="99" t="n"/>
      <c r="AI1475" s="99" t="n"/>
      <c r="AJ1475" s="99" t="n"/>
      <c r="AK1475" s="99" t="n"/>
      <c r="AL1475" s="99" t="n"/>
      <c r="AM1475" s="99" t="n"/>
      <c r="AN1475" s="99" t="n"/>
      <c r="AO1475" s="99" t="n"/>
      <c r="AP1475" s="99" t="n"/>
      <c r="AQ1475" s="99" t="n"/>
      <c r="AR1475" s="99" t="n"/>
    </row>
    <row r="1476">
      <c r="D1476" s="100" t="n"/>
      <c r="E1476" s="100" t="n"/>
      <c r="F1476" s="100" t="n"/>
      <c r="G1476" s="100" t="n"/>
      <c r="H1476" s="100" t="n"/>
      <c r="I1476" s="100" t="n"/>
      <c r="J1476" s="100" t="n"/>
      <c r="K1476" s="100" t="n"/>
      <c r="L1476" s="100" t="n"/>
      <c r="M1476" s="100" t="n"/>
      <c r="N1476" s="100" t="n"/>
      <c r="O1476" s="100" t="n"/>
      <c r="P1476" s="100" t="n"/>
      <c r="Q1476" s="100" t="n"/>
      <c r="R1476" s="100" t="n"/>
      <c r="S1476" s="100" t="n"/>
      <c r="T1476" s="100" t="n"/>
      <c r="U1476" s="100" t="n"/>
      <c r="V1476" s="100" t="n"/>
      <c r="W1476" s="100" t="n"/>
      <c r="X1476" s="100" t="n"/>
      <c r="Y1476" s="100" t="n"/>
      <c r="Z1476" s="100" t="n"/>
      <c r="AA1476" s="100" t="n"/>
      <c r="AB1476" s="100" t="n"/>
      <c r="AC1476" s="100" t="n"/>
      <c r="AD1476" s="100" t="n"/>
      <c r="AE1476" s="100" t="n"/>
      <c r="AF1476" s="100" t="n"/>
      <c r="AG1476" s="100" t="n"/>
      <c r="AH1476" s="100" t="n"/>
      <c r="AI1476" s="100" t="n"/>
      <c r="AJ1476" s="100" t="n"/>
      <c r="AK1476" s="100" t="n"/>
      <c r="AL1476" s="100" t="n"/>
      <c r="AM1476" s="100" t="n"/>
      <c r="AN1476" s="100" t="n"/>
      <c r="AO1476" s="100" t="n"/>
      <c r="AP1476" s="100" t="n"/>
      <c r="AQ1476" s="100" t="n"/>
      <c r="AR1476" s="100" t="n"/>
    </row>
    <row r="1478">
      <c r="A1478" s="6">
        <f>IF(HSTECH!$C$40="","",HSTECH!$C$40)</f>
        <v/>
      </c>
      <c r="B1478" s="96">
        <f>IF($A1478="",0,COUNT($E1479:$AR1479))</f>
        <v/>
      </c>
      <c r="C1478" s="97">
        <f>IF($B1478=0,0,MAX($E1479:$AR1479))</f>
        <v/>
      </c>
      <c r="D1478" s="98">
        <f>BDS($A1478,FLD_HIST,"headers=y","startcol=1","endcol=7","dir=h","DVD_START_DT",HIST_FROM,"DVD_END_DT",HIST_TO)</f>
        <v/>
      </c>
      <c r="E1478" s="99" t="n"/>
      <c r="F1478" s="99" t="n"/>
      <c r="G1478" s="99" t="n"/>
      <c r="H1478" s="99" t="n"/>
      <c r="I1478" s="99" t="n"/>
      <c r="J1478" s="99" t="n"/>
      <c r="K1478" s="99" t="n"/>
      <c r="L1478" s="99" t="n"/>
      <c r="M1478" s="99" t="n"/>
      <c r="N1478" s="99" t="n"/>
      <c r="O1478" s="99" t="n"/>
      <c r="P1478" s="99" t="n"/>
      <c r="Q1478" s="99" t="n"/>
      <c r="R1478" s="99" t="n"/>
      <c r="S1478" s="99" t="n"/>
      <c r="T1478" s="99" t="n"/>
      <c r="U1478" s="99" t="n"/>
      <c r="V1478" s="99" t="n"/>
      <c r="W1478" s="99" t="n"/>
      <c r="X1478" s="99" t="n"/>
      <c r="Y1478" s="99" t="n"/>
      <c r="Z1478" s="99" t="n"/>
      <c r="AA1478" s="99" t="n"/>
      <c r="AB1478" s="99" t="n"/>
      <c r="AC1478" s="99" t="n"/>
      <c r="AD1478" s="99" t="n"/>
      <c r="AE1478" s="99" t="n"/>
      <c r="AF1478" s="99" t="n"/>
      <c r="AG1478" s="99" t="n"/>
      <c r="AH1478" s="99" t="n"/>
      <c r="AI1478" s="99" t="n"/>
      <c r="AJ1478" s="99" t="n"/>
      <c r="AK1478" s="99" t="n"/>
      <c r="AL1478" s="99" t="n"/>
      <c r="AM1478" s="99" t="n"/>
      <c r="AN1478" s="99" t="n"/>
      <c r="AO1478" s="99" t="n"/>
      <c r="AP1478" s="99" t="n"/>
      <c r="AQ1478" s="99" t="n"/>
      <c r="AR1478" s="99" t="n"/>
    </row>
    <row r="1479">
      <c r="D1479" s="99" t="n"/>
      <c r="E1479" s="99" t="n"/>
      <c r="F1479" s="99" t="n"/>
      <c r="G1479" s="99" t="n"/>
      <c r="H1479" s="99" t="n"/>
      <c r="I1479" s="99" t="n"/>
      <c r="J1479" s="99" t="n"/>
      <c r="K1479" s="99" t="n"/>
      <c r="L1479" s="99" t="n"/>
      <c r="M1479" s="99" t="n"/>
      <c r="N1479" s="99" t="n"/>
      <c r="O1479" s="99" t="n"/>
      <c r="P1479" s="99" t="n"/>
      <c r="Q1479" s="99" t="n"/>
      <c r="R1479" s="99" t="n"/>
      <c r="S1479" s="99" t="n"/>
      <c r="T1479" s="99" t="n"/>
      <c r="U1479" s="99" t="n"/>
      <c r="V1479" s="99" t="n"/>
      <c r="W1479" s="99" t="n"/>
      <c r="X1479" s="99" t="n"/>
      <c r="Y1479" s="99" t="n"/>
      <c r="Z1479" s="99" t="n"/>
      <c r="AA1479" s="99" t="n"/>
      <c r="AB1479" s="99" t="n"/>
      <c r="AC1479" s="99" t="n"/>
      <c r="AD1479" s="99" t="n"/>
      <c r="AE1479" s="99" t="n"/>
      <c r="AF1479" s="99" t="n"/>
      <c r="AG1479" s="99" t="n"/>
      <c r="AH1479" s="99" t="n"/>
      <c r="AI1479" s="99" t="n"/>
      <c r="AJ1479" s="99" t="n"/>
      <c r="AK1479" s="99" t="n"/>
      <c r="AL1479" s="99" t="n"/>
      <c r="AM1479" s="99" t="n"/>
      <c r="AN1479" s="99" t="n"/>
      <c r="AO1479" s="99" t="n"/>
      <c r="AP1479" s="99" t="n"/>
      <c r="AQ1479" s="99" t="n"/>
      <c r="AR1479" s="99" t="n"/>
    </row>
    <row r="1480">
      <c r="D1480" s="99" t="n"/>
      <c r="E1480" s="99" t="n"/>
      <c r="F1480" s="99" t="n"/>
      <c r="G1480" s="99" t="n"/>
      <c r="H1480" s="99" t="n"/>
      <c r="I1480" s="99" t="n"/>
      <c r="J1480" s="99" t="n"/>
      <c r="K1480" s="99" t="n"/>
      <c r="L1480" s="99" t="n"/>
      <c r="M1480" s="99" t="n"/>
      <c r="N1480" s="99" t="n"/>
      <c r="O1480" s="99" t="n"/>
      <c r="P1480" s="99" t="n"/>
      <c r="Q1480" s="99" t="n"/>
      <c r="R1480" s="99" t="n"/>
      <c r="S1480" s="99" t="n"/>
      <c r="T1480" s="99" t="n"/>
      <c r="U1480" s="99" t="n"/>
      <c r="V1480" s="99" t="n"/>
      <c r="W1480" s="99" t="n"/>
      <c r="X1480" s="99" t="n"/>
      <c r="Y1480" s="99" t="n"/>
      <c r="Z1480" s="99" t="n"/>
      <c r="AA1480" s="99" t="n"/>
      <c r="AB1480" s="99" t="n"/>
      <c r="AC1480" s="99" t="n"/>
      <c r="AD1480" s="99" t="n"/>
      <c r="AE1480" s="99" t="n"/>
      <c r="AF1480" s="99" t="n"/>
      <c r="AG1480" s="99" t="n"/>
      <c r="AH1480" s="99" t="n"/>
      <c r="AI1480" s="99" t="n"/>
      <c r="AJ1480" s="99" t="n"/>
      <c r="AK1480" s="99" t="n"/>
      <c r="AL1480" s="99" t="n"/>
      <c r="AM1480" s="99" t="n"/>
      <c r="AN1480" s="99" t="n"/>
      <c r="AO1480" s="99" t="n"/>
      <c r="AP1480" s="99" t="n"/>
      <c r="AQ1480" s="99" t="n"/>
      <c r="AR1480" s="99" t="n"/>
    </row>
    <row r="1481">
      <c r="D1481" s="99" t="n"/>
      <c r="E1481" s="99" t="n"/>
      <c r="F1481" s="99" t="n"/>
      <c r="G1481" s="99" t="n"/>
      <c r="H1481" s="99" t="n"/>
      <c r="I1481" s="99" t="n"/>
      <c r="J1481" s="99" t="n"/>
      <c r="K1481" s="99" t="n"/>
      <c r="L1481" s="99" t="n"/>
      <c r="M1481" s="99" t="n"/>
      <c r="N1481" s="99" t="n"/>
      <c r="O1481" s="99" t="n"/>
      <c r="P1481" s="99" t="n"/>
      <c r="Q1481" s="99" t="n"/>
      <c r="R1481" s="99" t="n"/>
      <c r="S1481" s="99" t="n"/>
      <c r="T1481" s="99" t="n"/>
      <c r="U1481" s="99" t="n"/>
      <c r="V1481" s="99" t="n"/>
      <c r="W1481" s="99" t="n"/>
      <c r="X1481" s="99" t="n"/>
      <c r="Y1481" s="99" t="n"/>
      <c r="Z1481" s="99" t="n"/>
      <c r="AA1481" s="99" t="n"/>
      <c r="AB1481" s="99" t="n"/>
      <c r="AC1481" s="99" t="n"/>
      <c r="AD1481" s="99" t="n"/>
      <c r="AE1481" s="99" t="n"/>
      <c r="AF1481" s="99" t="n"/>
      <c r="AG1481" s="99" t="n"/>
      <c r="AH1481" s="99" t="n"/>
      <c r="AI1481" s="99" t="n"/>
      <c r="AJ1481" s="99" t="n"/>
      <c r="AK1481" s="99" t="n"/>
      <c r="AL1481" s="99" t="n"/>
      <c r="AM1481" s="99" t="n"/>
      <c r="AN1481" s="99" t="n"/>
      <c r="AO1481" s="99" t="n"/>
      <c r="AP1481" s="99" t="n"/>
      <c r="AQ1481" s="99" t="n"/>
      <c r="AR1481" s="99" t="n"/>
    </row>
    <row r="1482">
      <c r="D1482" s="100" t="n"/>
      <c r="E1482" s="100" t="n"/>
      <c r="F1482" s="100" t="n"/>
      <c r="G1482" s="100" t="n"/>
      <c r="H1482" s="100" t="n"/>
      <c r="I1482" s="100" t="n"/>
      <c r="J1482" s="100" t="n"/>
      <c r="K1482" s="100" t="n"/>
      <c r="L1482" s="100" t="n"/>
      <c r="M1482" s="100" t="n"/>
      <c r="N1482" s="100" t="n"/>
      <c r="O1482" s="100" t="n"/>
      <c r="P1482" s="100" t="n"/>
      <c r="Q1482" s="100" t="n"/>
      <c r="R1482" s="100" t="n"/>
      <c r="S1482" s="100" t="n"/>
      <c r="T1482" s="100" t="n"/>
      <c r="U1482" s="100" t="n"/>
      <c r="V1482" s="100" t="n"/>
      <c r="W1482" s="100" t="n"/>
      <c r="X1482" s="100" t="n"/>
      <c r="Y1482" s="100" t="n"/>
      <c r="Z1482" s="100" t="n"/>
      <c r="AA1482" s="100" t="n"/>
      <c r="AB1482" s="100" t="n"/>
      <c r="AC1482" s="100" t="n"/>
      <c r="AD1482" s="100" t="n"/>
      <c r="AE1482" s="100" t="n"/>
      <c r="AF1482" s="100" t="n"/>
      <c r="AG1482" s="100" t="n"/>
      <c r="AH1482" s="100" t="n"/>
      <c r="AI1482" s="100" t="n"/>
      <c r="AJ1482" s="100" t="n"/>
      <c r="AK1482" s="100" t="n"/>
      <c r="AL1482" s="100" t="n"/>
      <c r="AM1482" s="100" t="n"/>
      <c r="AN1482" s="100" t="n"/>
      <c r="AO1482" s="100" t="n"/>
      <c r="AP1482" s="100" t="n"/>
      <c r="AQ1482" s="100" t="n"/>
      <c r="AR1482" s="100" t="n"/>
    </row>
    <row r="1485">
      <c r="A1485" s="2">
        <f>IF($A1478="","","   projections")</f>
        <v/>
      </c>
      <c r="B1485" s="96">
        <f>IF($A1478="",0,COUNT($E1486:$AR1486))</f>
        <v/>
      </c>
      <c r="C1485" s="97">
        <f>IF($B1485=0,0,MAX($E1486:$AR1486))</f>
        <v/>
      </c>
      <c r="D1485" s="98">
        <f>BDS($A1478,FLD_PROJ,"headers=y","startcol=1","endcol=3","dir=h")</f>
        <v/>
      </c>
      <c r="E1485" s="99" t="n"/>
      <c r="F1485" s="99" t="n"/>
      <c r="G1485" s="99" t="n"/>
      <c r="H1485" s="99" t="n"/>
      <c r="I1485" s="99" t="n"/>
      <c r="J1485" s="99" t="n"/>
      <c r="K1485" s="99" t="n"/>
      <c r="L1485" s="99" t="n"/>
      <c r="M1485" s="99" t="n"/>
      <c r="N1485" s="99" t="n"/>
      <c r="O1485" s="99" t="n"/>
      <c r="P1485" s="99" t="n"/>
      <c r="Q1485" s="99" t="n"/>
      <c r="R1485" s="99" t="n"/>
      <c r="S1485" s="99" t="n"/>
      <c r="T1485" s="99" t="n"/>
      <c r="U1485" s="99" t="n"/>
      <c r="V1485" s="99" t="n"/>
      <c r="W1485" s="99" t="n"/>
      <c r="X1485" s="99" t="n"/>
      <c r="Y1485" s="99" t="n"/>
      <c r="Z1485" s="99" t="n"/>
      <c r="AA1485" s="99" t="n"/>
      <c r="AB1485" s="99" t="n"/>
      <c r="AC1485" s="99" t="n"/>
      <c r="AD1485" s="99" t="n"/>
      <c r="AE1485" s="99" t="n"/>
      <c r="AF1485" s="99" t="n"/>
      <c r="AG1485" s="99" t="n"/>
      <c r="AH1485" s="99" t="n"/>
      <c r="AI1485" s="99" t="n"/>
      <c r="AJ1485" s="99" t="n"/>
      <c r="AK1485" s="99" t="n"/>
      <c r="AL1485" s="99" t="n"/>
      <c r="AM1485" s="99" t="n"/>
      <c r="AN1485" s="99" t="n"/>
      <c r="AO1485" s="99" t="n"/>
      <c r="AP1485" s="99" t="n"/>
      <c r="AQ1485" s="99" t="n"/>
      <c r="AR1485" s="99" t="n"/>
    </row>
    <row r="1486">
      <c r="D1486" s="99" t="n"/>
      <c r="E1486" s="99" t="n"/>
      <c r="F1486" s="99" t="n"/>
      <c r="G1486" s="99" t="n"/>
      <c r="H1486" s="99" t="n"/>
      <c r="I1486" s="99" t="n"/>
      <c r="J1486" s="99" t="n"/>
      <c r="K1486" s="99" t="n"/>
      <c r="L1486" s="99" t="n"/>
      <c r="M1486" s="99" t="n"/>
      <c r="N1486" s="99" t="n"/>
      <c r="O1486" s="99" t="n"/>
      <c r="P1486" s="99" t="n"/>
      <c r="Q1486" s="99" t="n"/>
      <c r="R1486" s="99" t="n"/>
      <c r="S1486" s="99" t="n"/>
      <c r="T1486" s="99" t="n"/>
      <c r="U1486" s="99" t="n"/>
      <c r="V1486" s="99" t="n"/>
      <c r="W1486" s="99" t="n"/>
      <c r="X1486" s="99" t="n"/>
      <c r="Y1486" s="99" t="n"/>
      <c r="Z1486" s="99" t="n"/>
      <c r="AA1486" s="99" t="n"/>
      <c r="AB1486" s="99" t="n"/>
      <c r="AC1486" s="99" t="n"/>
      <c r="AD1486" s="99" t="n"/>
      <c r="AE1486" s="99" t="n"/>
      <c r="AF1486" s="99" t="n"/>
      <c r="AG1486" s="99" t="n"/>
      <c r="AH1486" s="99" t="n"/>
      <c r="AI1486" s="99" t="n"/>
      <c r="AJ1486" s="99" t="n"/>
      <c r="AK1486" s="99" t="n"/>
      <c r="AL1486" s="99" t="n"/>
      <c r="AM1486" s="99" t="n"/>
      <c r="AN1486" s="99" t="n"/>
      <c r="AO1486" s="99" t="n"/>
      <c r="AP1486" s="99" t="n"/>
      <c r="AQ1486" s="99" t="n"/>
      <c r="AR1486" s="99" t="n"/>
    </row>
    <row r="1487">
      <c r="D1487" s="100" t="n"/>
      <c r="E1487" s="100" t="n"/>
      <c r="F1487" s="100" t="n"/>
      <c r="G1487" s="100" t="n"/>
      <c r="H1487" s="100" t="n"/>
      <c r="I1487" s="100" t="n"/>
      <c r="J1487" s="100" t="n"/>
      <c r="K1487" s="100" t="n"/>
      <c r="L1487" s="100" t="n"/>
      <c r="M1487" s="100" t="n"/>
      <c r="N1487" s="100" t="n"/>
      <c r="O1487" s="100" t="n"/>
      <c r="P1487" s="100" t="n"/>
      <c r="Q1487" s="100" t="n"/>
      <c r="R1487" s="100" t="n"/>
      <c r="S1487" s="100" t="n"/>
      <c r="T1487" s="100" t="n"/>
      <c r="U1487" s="100" t="n"/>
      <c r="V1487" s="100" t="n"/>
      <c r="W1487" s="100" t="n"/>
      <c r="X1487" s="100" t="n"/>
      <c r="Y1487" s="100" t="n"/>
      <c r="Z1487" s="100" t="n"/>
      <c r="AA1487" s="100" t="n"/>
      <c r="AB1487" s="100" t="n"/>
      <c r="AC1487" s="100" t="n"/>
      <c r="AD1487" s="100" t="n"/>
      <c r="AE1487" s="100" t="n"/>
      <c r="AF1487" s="100" t="n"/>
      <c r="AG1487" s="100" t="n"/>
      <c r="AH1487" s="100" t="n"/>
      <c r="AI1487" s="100" t="n"/>
      <c r="AJ1487" s="100" t="n"/>
      <c r="AK1487" s="100" t="n"/>
      <c r="AL1487" s="100" t="n"/>
      <c r="AM1487" s="100" t="n"/>
      <c r="AN1487" s="100" t="n"/>
      <c r="AO1487" s="100" t="n"/>
      <c r="AP1487" s="100" t="n"/>
      <c r="AQ1487" s="100" t="n"/>
      <c r="AR1487" s="100" t="n"/>
    </row>
    <row r="1489">
      <c r="A1489" s="6">
        <f>IF(HSTECH!$C$41="","",HSTECH!$C$41)</f>
        <v/>
      </c>
      <c r="B1489" s="96">
        <f>IF($A1489="",0,COUNT($E1490:$AR1490))</f>
        <v/>
      </c>
      <c r="C1489" s="97">
        <f>IF($B1489=0,0,MAX($E1490:$AR1490))</f>
        <v/>
      </c>
      <c r="D1489" s="98">
        <f>BDS($A1489,FLD_HIST,"headers=y","startcol=1","endcol=7","dir=h","DVD_START_DT",HIST_FROM,"DVD_END_DT",HIST_TO)</f>
        <v/>
      </c>
      <c r="E1489" s="99" t="n"/>
      <c r="F1489" s="99" t="n"/>
      <c r="G1489" s="99" t="n"/>
      <c r="H1489" s="99" t="n"/>
      <c r="I1489" s="99" t="n"/>
      <c r="J1489" s="99" t="n"/>
      <c r="K1489" s="99" t="n"/>
      <c r="L1489" s="99" t="n"/>
      <c r="M1489" s="99" t="n"/>
      <c r="N1489" s="99" t="n"/>
      <c r="O1489" s="99" t="n"/>
      <c r="P1489" s="99" t="n"/>
      <c r="Q1489" s="99" t="n"/>
      <c r="R1489" s="99" t="n"/>
      <c r="S1489" s="99" t="n"/>
      <c r="T1489" s="99" t="n"/>
      <c r="U1489" s="99" t="n"/>
      <c r="V1489" s="99" t="n"/>
      <c r="W1489" s="99" t="n"/>
      <c r="X1489" s="99" t="n"/>
      <c r="Y1489" s="99" t="n"/>
      <c r="Z1489" s="99" t="n"/>
      <c r="AA1489" s="99" t="n"/>
      <c r="AB1489" s="99" t="n"/>
      <c r="AC1489" s="99" t="n"/>
      <c r="AD1489" s="99" t="n"/>
      <c r="AE1489" s="99" t="n"/>
      <c r="AF1489" s="99" t="n"/>
      <c r="AG1489" s="99" t="n"/>
      <c r="AH1489" s="99" t="n"/>
      <c r="AI1489" s="99" t="n"/>
      <c r="AJ1489" s="99" t="n"/>
      <c r="AK1489" s="99" t="n"/>
      <c r="AL1489" s="99" t="n"/>
      <c r="AM1489" s="99" t="n"/>
      <c r="AN1489" s="99" t="n"/>
      <c r="AO1489" s="99" t="n"/>
      <c r="AP1489" s="99" t="n"/>
      <c r="AQ1489" s="99" t="n"/>
      <c r="AR1489" s="99" t="n"/>
    </row>
    <row r="1490">
      <c r="D1490" s="99" t="n"/>
      <c r="E1490" s="99" t="n"/>
      <c r="F1490" s="99" t="n"/>
      <c r="G1490" s="99" t="n"/>
      <c r="H1490" s="99" t="n"/>
      <c r="I1490" s="99" t="n"/>
      <c r="J1490" s="99" t="n"/>
      <c r="K1490" s="99" t="n"/>
      <c r="L1490" s="99" t="n"/>
      <c r="M1490" s="99" t="n"/>
      <c r="N1490" s="99" t="n"/>
      <c r="O1490" s="99" t="n"/>
      <c r="P1490" s="99" t="n"/>
      <c r="Q1490" s="99" t="n"/>
      <c r="R1490" s="99" t="n"/>
      <c r="S1490" s="99" t="n"/>
      <c r="T1490" s="99" t="n"/>
      <c r="U1490" s="99" t="n"/>
      <c r="V1490" s="99" t="n"/>
      <c r="W1490" s="99" t="n"/>
      <c r="X1490" s="99" t="n"/>
      <c r="Y1490" s="99" t="n"/>
      <c r="Z1490" s="99" t="n"/>
      <c r="AA1490" s="99" t="n"/>
      <c r="AB1490" s="99" t="n"/>
      <c r="AC1490" s="99" t="n"/>
      <c r="AD1490" s="99" t="n"/>
      <c r="AE1490" s="99" t="n"/>
      <c r="AF1490" s="99" t="n"/>
      <c r="AG1490" s="99" t="n"/>
      <c r="AH1490" s="99" t="n"/>
      <c r="AI1490" s="99" t="n"/>
      <c r="AJ1490" s="99" t="n"/>
      <c r="AK1490" s="99" t="n"/>
      <c r="AL1490" s="99" t="n"/>
      <c r="AM1490" s="99" t="n"/>
      <c r="AN1490" s="99" t="n"/>
      <c r="AO1490" s="99" t="n"/>
      <c r="AP1490" s="99" t="n"/>
      <c r="AQ1490" s="99" t="n"/>
      <c r="AR1490" s="99" t="n"/>
    </row>
    <row r="1491">
      <c r="D1491" s="99" t="n"/>
      <c r="E1491" s="99" t="n"/>
      <c r="F1491" s="99" t="n"/>
      <c r="G1491" s="99" t="n"/>
      <c r="H1491" s="99" t="n"/>
      <c r="I1491" s="99" t="n"/>
      <c r="J1491" s="99" t="n"/>
      <c r="K1491" s="99" t="n"/>
      <c r="L1491" s="99" t="n"/>
      <c r="M1491" s="99" t="n"/>
      <c r="N1491" s="99" t="n"/>
      <c r="O1491" s="99" t="n"/>
      <c r="P1491" s="99" t="n"/>
      <c r="Q1491" s="99" t="n"/>
      <c r="R1491" s="99" t="n"/>
      <c r="S1491" s="99" t="n"/>
      <c r="T1491" s="99" t="n"/>
      <c r="U1491" s="99" t="n"/>
      <c r="V1491" s="99" t="n"/>
      <c r="W1491" s="99" t="n"/>
      <c r="X1491" s="99" t="n"/>
      <c r="Y1491" s="99" t="n"/>
      <c r="Z1491" s="99" t="n"/>
      <c r="AA1491" s="99" t="n"/>
      <c r="AB1491" s="99" t="n"/>
      <c r="AC1491" s="99" t="n"/>
      <c r="AD1491" s="99" t="n"/>
      <c r="AE1491" s="99" t="n"/>
      <c r="AF1491" s="99" t="n"/>
      <c r="AG1491" s="99" t="n"/>
      <c r="AH1491" s="99" t="n"/>
      <c r="AI1491" s="99" t="n"/>
      <c r="AJ1491" s="99" t="n"/>
      <c r="AK1491" s="99" t="n"/>
      <c r="AL1491" s="99" t="n"/>
      <c r="AM1491" s="99" t="n"/>
      <c r="AN1491" s="99" t="n"/>
      <c r="AO1491" s="99" t="n"/>
      <c r="AP1491" s="99" t="n"/>
      <c r="AQ1491" s="99" t="n"/>
      <c r="AR1491" s="99" t="n"/>
    </row>
    <row r="1492">
      <c r="D1492" s="99" t="n"/>
      <c r="E1492" s="99" t="n"/>
      <c r="F1492" s="99" t="n"/>
      <c r="G1492" s="99" t="n"/>
      <c r="H1492" s="99" t="n"/>
      <c r="I1492" s="99" t="n"/>
      <c r="J1492" s="99" t="n"/>
      <c r="K1492" s="99" t="n"/>
      <c r="L1492" s="99" t="n"/>
      <c r="M1492" s="99" t="n"/>
      <c r="N1492" s="99" t="n"/>
      <c r="O1492" s="99" t="n"/>
      <c r="P1492" s="99" t="n"/>
      <c r="Q1492" s="99" t="n"/>
      <c r="R1492" s="99" t="n"/>
      <c r="S1492" s="99" t="n"/>
      <c r="T1492" s="99" t="n"/>
      <c r="U1492" s="99" t="n"/>
      <c r="V1492" s="99" t="n"/>
      <c r="W1492" s="99" t="n"/>
      <c r="X1492" s="99" t="n"/>
      <c r="Y1492" s="99" t="n"/>
      <c r="Z1492" s="99" t="n"/>
      <c r="AA1492" s="99" t="n"/>
      <c r="AB1492" s="99" t="n"/>
      <c r="AC1492" s="99" t="n"/>
      <c r="AD1492" s="99" t="n"/>
      <c r="AE1492" s="99" t="n"/>
      <c r="AF1492" s="99" t="n"/>
      <c r="AG1492" s="99" t="n"/>
      <c r="AH1492" s="99" t="n"/>
      <c r="AI1492" s="99" t="n"/>
      <c r="AJ1492" s="99" t="n"/>
      <c r="AK1492" s="99" t="n"/>
      <c r="AL1492" s="99" t="n"/>
      <c r="AM1492" s="99" t="n"/>
      <c r="AN1492" s="99" t="n"/>
      <c r="AO1492" s="99" t="n"/>
      <c r="AP1492" s="99" t="n"/>
      <c r="AQ1492" s="99" t="n"/>
      <c r="AR1492" s="99" t="n"/>
    </row>
    <row r="1493">
      <c r="D1493" s="100" t="n"/>
      <c r="E1493" s="100" t="n"/>
      <c r="F1493" s="100" t="n"/>
      <c r="G1493" s="100" t="n"/>
      <c r="H1493" s="100" t="n"/>
      <c r="I1493" s="100" t="n"/>
      <c r="J1493" s="100" t="n"/>
      <c r="K1493" s="100" t="n"/>
      <c r="L1493" s="100" t="n"/>
      <c r="M1493" s="100" t="n"/>
      <c r="N1493" s="100" t="n"/>
      <c r="O1493" s="100" t="n"/>
      <c r="P1493" s="100" t="n"/>
      <c r="Q1493" s="100" t="n"/>
      <c r="R1493" s="100" t="n"/>
      <c r="S1493" s="100" t="n"/>
      <c r="T1493" s="100" t="n"/>
      <c r="U1493" s="100" t="n"/>
      <c r="V1493" s="100" t="n"/>
      <c r="W1493" s="100" t="n"/>
      <c r="X1493" s="100" t="n"/>
      <c r="Y1493" s="100" t="n"/>
      <c r="Z1493" s="100" t="n"/>
      <c r="AA1493" s="100" t="n"/>
      <c r="AB1493" s="100" t="n"/>
      <c r="AC1493" s="100" t="n"/>
      <c r="AD1493" s="100" t="n"/>
      <c r="AE1493" s="100" t="n"/>
      <c r="AF1493" s="100" t="n"/>
      <c r="AG1493" s="100" t="n"/>
      <c r="AH1493" s="100" t="n"/>
      <c r="AI1493" s="100" t="n"/>
      <c r="AJ1493" s="100" t="n"/>
      <c r="AK1493" s="100" t="n"/>
      <c r="AL1493" s="100" t="n"/>
      <c r="AM1493" s="100" t="n"/>
      <c r="AN1493" s="100" t="n"/>
      <c r="AO1493" s="100" t="n"/>
      <c r="AP1493" s="100" t="n"/>
      <c r="AQ1493" s="100" t="n"/>
      <c r="AR1493" s="100" t="n"/>
    </row>
    <row r="1496">
      <c r="A1496" s="2">
        <f>IF($A1489="","","   projections")</f>
        <v/>
      </c>
      <c r="B1496" s="96">
        <f>IF($A1489="",0,COUNT($E1497:$AR1497))</f>
        <v/>
      </c>
      <c r="C1496" s="97">
        <f>IF($B1496=0,0,MAX($E1497:$AR1497))</f>
        <v/>
      </c>
      <c r="D1496" s="98">
        <f>BDS($A1489,FLD_PROJ,"headers=y","startcol=1","endcol=3","dir=h")</f>
        <v/>
      </c>
      <c r="E1496" s="99" t="n"/>
      <c r="F1496" s="99" t="n"/>
      <c r="G1496" s="99" t="n"/>
      <c r="H1496" s="99" t="n"/>
      <c r="I1496" s="99" t="n"/>
      <c r="J1496" s="99" t="n"/>
      <c r="K1496" s="99" t="n"/>
      <c r="L1496" s="99" t="n"/>
      <c r="M1496" s="99" t="n"/>
      <c r="N1496" s="99" t="n"/>
      <c r="O1496" s="99" t="n"/>
      <c r="P1496" s="99" t="n"/>
      <c r="Q1496" s="99" t="n"/>
      <c r="R1496" s="99" t="n"/>
      <c r="S1496" s="99" t="n"/>
      <c r="T1496" s="99" t="n"/>
      <c r="U1496" s="99" t="n"/>
      <c r="V1496" s="99" t="n"/>
      <c r="W1496" s="99" t="n"/>
      <c r="X1496" s="99" t="n"/>
      <c r="Y1496" s="99" t="n"/>
      <c r="Z1496" s="99" t="n"/>
      <c r="AA1496" s="99" t="n"/>
      <c r="AB1496" s="99" t="n"/>
      <c r="AC1496" s="99" t="n"/>
      <c r="AD1496" s="99" t="n"/>
      <c r="AE1496" s="99" t="n"/>
      <c r="AF1496" s="99" t="n"/>
      <c r="AG1496" s="99" t="n"/>
      <c r="AH1496" s="99" t="n"/>
      <c r="AI1496" s="99" t="n"/>
      <c r="AJ1496" s="99" t="n"/>
      <c r="AK1496" s="99" t="n"/>
      <c r="AL1496" s="99" t="n"/>
      <c r="AM1496" s="99" t="n"/>
      <c r="AN1496" s="99" t="n"/>
      <c r="AO1496" s="99" t="n"/>
      <c r="AP1496" s="99" t="n"/>
      <c r="AQ1496" s="99" t="n"/>
      <c r="AR1496" s="99" t="n"/>
    </row>
    <row r="1497">
      <c r="D1497" s="99" t="n"/>
      <c r="E1497" s="99" t="n"/>
      <c r="F1497" s="99" t="n"/>
      <c r="G1497" s="99" t="n"/>
      <c r="H1497" s="99" t="n"/>
      <c r="I1497" s="99" t="n"/>
      <c r="J1497" s="99" t="n"/>
      <c r="K1497" s="99" t="n"/>
      <c r="L1497" s="99" t="n"/>
      <c r="M1497" s="99" t="n"/>
      <c r="N1497" s="99" t="n"/>
      <c r="O1497" s="99" t="n"/>
      <c r="P1497" s="99" t="n"/>
      <c r="Q1497" s="99" t="n"/>
      <c r="R1497" s="99" t="n"/>
      <c r="S1497" s="99" t="n"/>
      <c r="T1497" s="99" t="n"/>
      <c r="U1497" s="99" t="n"/>
      <c r="V1497" s="99" t="n"/>
      <c r="W1497" s="99" t="n"/>
      <c r="X1497" s="99" t="n"/>
      <c r="Y1497" s="99" t="n"/>
      <c r="Z1497" s="99" t="n"/>
      <c r="AA1497" s="99" t="n"/>
      <c r="AB1497" s="99" t="n"/>
      <c r="AC1497" s="99" t="n"/>
      <c r="AD1497" s="99" t="n"/>
      <c r="AE1497" s="99" t="n"/>
      <c r="AF1497" s="99" t="n"/>
      <c r="AG1497" s="99" t="n"/>
      <c r="AH1497" s="99" t="n"/>
      <c r="AI1497" s="99" t="n"/>
      <c r="AJ1497" s="99" t="n"/>
      <c r="AK1497" s="99" t="n"/>
      <c r="AL1497" s="99" t="n"/>
      <c r="AM1497" s="99" t="n"/>
      <c r="AN1497" s="99" t="n"/>
      <c r="AO1497" s="99" t="n"/>
      <c r="AP1497" s="99" t="n"/>
      <c r="AQ1497" s="99" t="n"/>
      <c r="AR1497" s="99" t="n"/>
    </row>
    <row r="1498">
      <c r="D1498" s="100" t="n"/>
      <c r="E1498" s="100" t="n"/>
      <c r="F1498" s="100" t="n"/>
      <c r="G1498" s="100" t="n"/>
      <c r="H1498" s="100" t="n"/>
      <c r="I1498" s="100" t="n"/>
      <c r="J1498" s="100" t="n"/>
      <c r="K1498" s="100" t="n"/>
      <c r="L1498" s="100" t="n"/>
      <c r="M1498" s="100" t="n"/>
      <c r="N1498" s="100" t="n"/>
      <c r="O1498" s="100" t="n"/>
      <c r="P1498" s="100" t="n"/>
      <c r="Q1498" s="100" t="n"/>
      <c r="R1498" s="100" t="n"/>
      <c r="S1498" s="100" t="n"/>
      <c r="T1498" s="100" t="n"/>
      <c r="U1498" s="100" t="n"/>
      <c r="V1498" s="100" t="n"/>
      <c r="W1498" s="100" t="n"/>
      <c r="X1498" s="100" t="n"/>
      <c r="Y1498" s="100" t="n"/>
      <c r="Z1498" s="100" t="n"/>
      <c r="AA1498" s="100" t="n"/>
      <c r="AB1498" s="100" t="n"/>
      <c r="AC1498" s="100" t="n"/>
      <c r="AD1498" s="100" t="n"/>
      <c r="AE1498" s="100" t="n"/>
      <c r="AF1498" s="100" t="n"/>
      <c r="AG1498" s="100" t="n"/>
      <c r="AH1498" s="100" t="n"/>
      <c r="AI1498" s="100" t="n"/>
      <c r="AJ1498" s="100" t="n"/>
      <c r="AK1498" s="100" t="n"/>
      <c r="AL1498" s="100" t="n"/>
      <c r="AM1498" s="100" t="n"/>
      <c r="AN1498" s="100" t="n"/>
      <c r="AO1498" s="100" t="n"/>
      <c r="AP1498" s="100" t="n"/>
      <c r="AQ1498" s="100" t="n"/>
      <c r="AR1498" s="100" t="n"/>
    </row>
    <row r="1500">
      <c r="A1500" s="6">
        <f>IF(HSTECH!$C$42="","",HSTECH!$C$42)</f>
        <v/>
      </c>
      <c r="B1500" s="96">
        <f>IF($A1500="",0,COUNT($E1501:$AR1501))</f>
        <v/>
      </c>
      <c r="C1500" s="97">
        <f>IF($B1500=0,0,MAX($E1501:$AR1501))</f>
        <v/>
      </c>
      <c r="D1500" s="98">
        <f>BDS($A1500,FLD_HIST,"headers=y","startcol=1","endcol=7","dir=h","DVD_START_DT",HIST_FROM,"DVD_END_DT",HIST_TO)</f>
        <v/>
      </c>
      <c r="E1500" s="99" t="n"/>
      <c r="F1500" s="99" t="n"/>
      <c r="G1500" s="99" t="n"/>
      <c r="H1500" s="99" t="n"/>
      <c r="I1500" s="99" t="n"/>
      <c r="J1500" s="99" t="n"/>
      <c r="K1500" s="99" t="n"/>
      <c r="L1500" s="99" t="n"/>
      <c r="M1500" s="99" t="n"/>
      <c r="N1500" s="99" t="n"/>
      <c r="O1500" s="99" t="n"/>
      <c r="P1500" s="99" t="n"/>
      <c r="Q1500" s="99" t="n"/>
      <c r="R1500" s="99" t="n"/>
      <c r="S1500" s="99" t="n"/>
      <c r="T1500" s="99" t="n"/>
      <c r="U1500" s="99" t="n"/>
      <c r="V1500" s="99" t="n"/>
      <c r="W1500" s="99" t="n"/>
      <c r="X1500" s="99" t="n"/>
      <c r="Y1500" s="99" t="n"/>
      <c r="Z1500" s="99" t="n"/>
      <c r="AA1500" s="99" t="n"/>
      <c r="AB1500" s="99" t="n"/>
      <c r="AC1500" s="99" t="n"/>
      <c r="AD1500" s="99" t="n"/>
      <c r="AE1500" s="99" t="n"/>
      <c r="AF1500" s="99" t="n"/>
      <c r="AG1500" s="99" t="n"/>
      <c r="AH1500" s="99" t="n"/>
      <c r="AI1500" s="99" t="n"/>
      <c r="AJ1500" s="99" t="n"/>
      <c r="AK1500" s="99" t="n"/>
      <c r="AL1500" s="99" t="n"/>
      <c r="AM1500" s="99" t="n"/>
      <c r="AN1500" s="99" t="n"/>
      <c r="AO1500" s="99" t="n"/>
      <c r="AP1500" s="99" t="n"/>
      <c r="AQ1500" s="99" t="n"/>
      <c r="AR1500" s="99" t="n"/>
    </row>
    <row r="1501">
      <c r="D1501" s="99" t="n"/>
      <c r="E1501" s="99" t="n"/>
      <c r="F1501" s="99" t="n"/>
      <c r="G1501" s="99" t="n"/>
      <c r="H1501" s="99" t="n"/>
      <c r="I1501" s="99" t="n"/>
      <c r="J1501" s="99" t="n"/>
      <c r="K1501" s="99" t="n"/>
      <c r="L1501" s="99" t="n"/>
      <c r="M1501" s="99" t="n"/>
      <c r="N1501" s="99" t="n"/>
      <c r="O1501" s="99" t="n"/>
      <c r="P1501" s="99" t="n"/>
      <c r="Q1501" s="99" t="n"/>
      <c r="R1501" s="99" t="n"/>
      <c r="S1501" s="99" t="n"/>
      <c r="T1501" s="99" t="n"/>
      <c r="U1501" s="99" t="n"/>
      <c r="V1501" s="99" t="n"/>
      <c r="W1501" s="99" t="n"/>
      <c r="X1501" s="99" t="n"/>
      <c r="Y1501" s="99" t="n"/>
      <c r="Z1501" s="99" t="n"/>
      <c r="AA1501" s="99" t="n"/>
      <c r="AB1501" s="99" t="n"/>
      <c r="AC1501" s="99" t="n"/>
      <c r="AD1501" s="99" t="n"/>
      <c r="AE1501" s="99" t="n"/>
      <c r="AF1501" s="99" t="n"/>
      <c r="AG1501" s="99" t="n"/>
      <c r="AH1501" s="99" t="n"/>
      <c r="AI1501" s="99" t="n"/>
      <c r="AJ1501" s="99" t="n"/>
      <c r="AK1501" s="99" t="n"/>
      <c r="AL1501" s="99" t="n"/>
      <c r="AM1501" s="99" t="n"/>
      <c r="AN1501" s="99" t="n"/>
      <c r="AO1501" s="99" t="n"/>
      <c r="AP1501" s="99" t="n"/>
      <c r="AQ1501" s="99" t="n"/>
      <c r="AR1501" s="99" t="n"/>
    </row>
    <row r="1502">
      <c r="D1502" s="99" t="n"/>
      <c r="E1502" s="99" t="n"/>
      <c r="F1502" s="99" t="n"/>
      <c r="G1502" s="99" t="n"/>
      <c r="H1502" s="99" t="n"/>
      <c r="I1502" s="99" t="n"/>
      <c r="J1502" s="99" t="n"/>
      <c r="K1502" s="99" t="n"/>
      <c r="L1502" s="99" t="n"/>
      <c r="M1502" s="99" t="n"/>
      <c r="N1502" s="99" t="n"/>
      <c r="O1502" s="99" t="n"/>
      <c r="P1502" s="99" t="n"/>
      <c r="Q1502" s="99" t="n"/>
      <c r="R1502" s="99" t="n"/>
      <c r="S1502" s="99" t="n"/>
      <c r="T1502" s="99" t="n"/>
      <c r="U1502" s="99" t="n"/>
      <c r="V1502" s="99" t="n"/>
      <c r="W1502" s="99" t="n"/>
      <c r="X1502" s="99" t="n"/>
      <c r="Y1502" s="99" t="n"/>
      <c r="Z1502" s="99" t="n"/>
      <c r="AA1502" s="99" t="n"/>
      <c r="AB1502" s="99" t="n"/>
      <c r="AC1502" s="99" t="n"/>
      <c r="AD1502" s="99" t="n"/>
      <c r="AE1502" s="99" t="n"/>
      <c r="AF1502" s="99" t="n"/>
      <c r="AG1502" s="99" t="n"/>
      <c r="AH1502" s="99" t="n"/>
      <c r="AI1502" s="99" t="n"/>
      <c r="AJ1502" s="99" t="n"/>
      <c r="AK1502" s="99" t="n"/>
      <c r="AL1502" s="99" t="n"/>
      <c r="AM1502" s="99" t="n"/>
      <c r="AN1502" s="99" t="n"/>
      <c r="AO1502" s="99" t="n"/>
      <c r="AP1502" s="99" t="n"/>
      <c r="AQ1502" s="99" t="n"/>
      <c r="AR1502" s="99" t="n"/>
    </row>
    <row r="1503">
      <c r="D1503" s="99" t="n"/>
      <c r="E1503" s="99" t="n"/>
      <c r="F1503" s="99" t="n"/>
      <c r="G1503" s="99" t="n"/>
      <c r="H1503" s="99" t="n"/>
      <c r="I1503" s="99" t="n"/>
      <c r="J1503" s="99" t="n"/>
      <c r="K1503" s="99" t="n"/>
      <c r="L1503" s="99" t="n"/>
      <c r="M1503" s="99" t="n"/>
      <c r="N1503" s="99" t="n"/>
      <c r="O1503" s="99" t="n"/>
      <c r="P1503" s="99" t="n"/>
      <c r="Q1503" s="99" t="n"/>
      <c r="R1503" s="99" t="n"/>
      <c r="S1503" s="99" t="n"/>
      <c r="T1503" s="99" t="n"/>
      <c r="U1503" s="99" t="n"/>
      <c r="V1503" s="99" t="n"/>
      <c r="W1503" s="99" t="n"/>
      <c r="X1503" s="99" t="n"/>
      <c r="Y1503" s="99" t="n"/>
      <c r="Z1503" s="99" t="n"/>
      <c r="AA1503" s="99" t="n"/>
      <c r="AB1503" s="99" t="n"/>
      <c r="AC1503" s="99" t="n"/>
      <c r="AD1503" s="99" t="n"/>
      <c r="AE1503" s="99" t="n"/>
      <c r="AF1503" s="99" t="n"/>
      <c r="AG1503" s="99" t="n"/>
      <c r="AH1503" s="99" t="n"/>
      <c r="AI1503" s="99" t="n"/>
      <c r="AJ1503" s="99" t="n"/>
      <c r="AK1503" s="99" t="n"/>
      <c r="AL1503" s="99" t="n"/>
      <c r="AM1503" s="99" t="n"/>
      <c r="AN1503" s="99" t="n"/>
      <c r="AO1503" s="99" t="n"/>
      <c r="AP1503" s="99" t="n"/>
      <c r="AQ1503" s="99" t="n"/>
      <c r="AR1503" s="99" t="n"/>
    </row>
    <row r="1504">
      <c r="D1504" s="100" t="n"/>
      <c r="E1504" s="100" t="n"/>
      <c r="F1504" s="100" t="n"/>
      <c r="G1504" s="100" t="n"/>
      <c r="H1504" s="100" t="n"/>
      <c r="I1504" s="100" t="n"/>
      <c r="J1504" s="100" t="n"/>
      <c r="K1504" s="100" t="n"/>
      <c r="L1504" s="100" t="n"/>
      <c r="M1504" s="100" t="n"/>
      <c r="N1504" s="100" t="n"/>
      <c r="O1504" s="100" t="n"/>
      <c r="P1504" s="100" t="n"/>
      <c r="Q1504" s="100" t="n"/>
      <c r="R1504" s="100" t="n"/>
      <c r="S1504" s="100" t="n"/>
      <c r="T1504" s="100" t="n"/>
      <c r="U1504" s="100" t="n"/>
      <c r="V1504" s="100" t="n"/>
      <c r="W1504" s="100" t="n"/>
      <c r="X1504" s="100" t="n"/>
      <c r="Y1504" s="100" t="n"/>
      <c r="Z1504" s="100" t="n"/>
      <c r="AA1504" s="100" t="n"/>
      <c r="AB1504" s="100" t="n"/>
      <c r="AC1504" s="100" t="n"/>
      <c r="AD1504" s="100" t="n"/>
      <c r="AE1504" s="100" t="n"/>
      <c r="AF1504" s="100" t="n"/>
      <c r="AG1504" s="100" t="n"/>
      <c r="AH1504" s="100" t="n"/>
      <c r="AI1504" s="100" t="n"/>
      <c r="AJ1504" s="100" t="n"/>
      <c r="AK1504" s="100" t="n"/>
      <c r="AL1504" s="100" t="n"/>
      <c r="AM1504" s="100" t="n"/>
      <c r="AN1504" s="100" t="n"/>
      <c r="AO1504" s="100" t="n"/>
      <c r="AP1504" s="100" t="n"/>
      <c r="AQ1504" s="100" t="n"/>
      <c r="AR1504" s="100" t="n"/>
    </row>
    <row r="1507">
      <c r="A1507" s="2">
        <f>IF($A1500="","","   projections")</f>
        <v/>
      </c>
      <c r="B1507" s="96">
        <f>IF($A1500="",0,COUNT($E1508:$AR1508))</f>
        <v/>
      </c>
      <c r="C1507" s="97">
        <f>IF($B1507=0,0,MAX($E1508:$AR1508))</f>
        <v/>
      </c>
      <c r="D1507" s="98">
        <f>BDS($A1500,FLD_PROJ,"headers=y","startcol=1","endcol=3","dir=h")</f>
        <v/>
      </c>
      <c r="E1507" s="99" t="n"/>
      <c r="F1507" s="99" t="n"/>
      <c r="G1507" s="99" t="n"/>
      <c r="H1507" s="99" t="n"/>
      <c r="I1507" s="99" t="n"/>
      <c r="J1507" s="99" t="n"/>
      <c r="K1507" s="99" t="n"/>
      <c r="L1507" s="99" t="n"/>
      <c r="M1507" s="99" t="n"/>
      <c r="N1507" s="99" t="n"/>
      <c r="O1507" s="99" t="n"/>
      <c r="P1507" s="99" t="n"/>
      <c r="Q1507" s="99" t="n"/>
      <c r="R1507" s="99" t="n"/>
      <c r="S1507" s="99" t="n"/>
      <c r="T1507" s="99" t="n"/>
      <c r="U1507" s="99" t="n"/>
      <c r="V1507" s="99" t="n"/>
      <c r="W1507" s="99" t="n"/>
      <c r="X1507" s="99" t="n"/>
      <c r="Y1507" s="99" t="n"/>
      <c r="Z1507" s="99" t="n"/>
      <c r="AA1507" s="99" t="n"/>
      <c r="AB1507" s="99" t="n"/>
      <c r="AC1507" s="99" t="n"/>
      <c r="AD1507" s="99" t="n"/>
      <c r="AE1507" s="99" t="n"/>
      <c r="AF1507" s="99" t="n"/>
      <c r="AG1507" s="99" t="n"/>
      <c r="AH1507" s="99" t="n"/>
      <c r="AI1507" s="99" t="n"/>
      <c r="AJ1507" s="99" t="n"/>
      <c r="AK1507" s="99" t="n"/>
      <c r="AL1507" s="99" t="n"/>
      <c r="AM1507" s="99" t="n"/>
      <c r="AN1507" s="99" t="n"/>
      <c r="AO1507" s="99" t="n"/>
      <c r="AP1507" s="99" t="n"/>
      <c r="AQ1507" s="99" t="n"/>
      <c r="AR1507" s="99" t="n"/>
    </row>
    <row r="1508">
      <c r="D1508" s="99" t="n"/>
      <c r="E1508" s="99" t="n"/>
      <c r="F1508" s="99" t="n"/>
      <c r="G1508" s="99" t="n"/>
      <c r="H1508" s="99" t="n"/>
      <c r="I1508" s="99" t="n"/>
      <c r="J1508" s="99" t="n"/>
      <c r="K1508" s="99" t="n"/>
      <c r="L1508" s="99" t="n"/>
      <c r="M1508" s="99" t="n"/>
      <c r="N1508" s="99" t="n"/>
      <c r="O1508" s="99" t="n"/>
      <c r="P1508" s="99" t="n"/>
      <c r="Q1508" s="99" t="n"/>
      <c r="R1508" s="99" t="n"/>
      <c r="S1508" s="99" t="n"/>
      <c r="T1508" s="99" t="n"/>
      <c r="U1508" s="99" t="n"/>
      <c r="V1508" s="99" t="n"/>
      <c r="W1508" s="99" t="n"/>
      <c r="X1508" s="99" t="n"/>
      <c r="Y1508" s="99" t="n"/>
      <c r="Z1508" s="99" t="n"/>
      <c r="AA1508" s="99" t="n"/>
      <c r="AB1508" s="99" t="n"/>
      <c r="AC1508" s="99" t="n"/>
      <c r="AD1508" s="99" t="n"/>
      <c r="AE1508" s="99" t="n"/>
      <c r="AF1508" s="99" t="n"/>
      <c r="AG1508" s="99" t="n"/>
      <c r="AH1508" s="99" t="n"/>
      <c r="AI1508" s="99" t="n"/>
      <c r="AJ1508" s="99" t="n"/>
      <c r="AK1508" s="99" t="n"/>
      <c r="AL1508" s="99" t="n"/>
      <c r="AM1508" s="99" t="n"/>
      <c r="AN1508" s="99" t="n"/>
      <c r="AO1508" s="99" t="n"/>
      <c r="AP1508" s="99" t="n"/>
      <c r="AQ1508" s="99" t="n"/>
      <c r="AR1508" s="99" t="n"/>
    </row>
    <row r="1509">
      <c r="D1509" s="100" t="n"/>
      <c r="E1509" s="100" t="n"/>
      <c r="F1509" s="100" t="n"/>
      <c r="G1509" s="100" t="n"/>
      <c r="H1509" s="100" t="n"/>
      <c r="I1509" s="100" t="n"/>
      <c r="J1509" s="100" t="n"/>
      <c r="K1509" s="100" t="n"/>
      <c r="L1509" s="100" t="n"/>
      <c r="M1509" s="100" t="n"/>
      <c r="N1509" s="100" t="n"/>
      <c r="O1509" s="100" t="n"/>
      <c r="P1509" s="100" t="n"/>
      <c r="Q1509" s="100" t="n"/>
      <c r="R1509" s="100" t="n"/>
      <c r="S1509" s="100" t="n"/>
      <c r="T1509" s="100" t="n"/>
      <c r="U1509" s="100" t="n"/>
      <c r="V1509" s="100" t="n"/>
      <c r="W1509" s="100" t="n"/>
      <c r="X1509" s="100" t="n"/>
      <c r="Y1509" s="100" t="n"/>
      <c r="Z1509" s="100" t="n"/>
      <c r="AA1509" s="100" t="n"/>
      <c r="AB1509" s="100" t="n"/>
      <c r="AC1509" s="100" t="n"/>
      <c r="AD1509" s="100" t="n"/>
      <c r="AE1509" s="100" t="n"/>
      <c r="AF1509" s="100" t="n"/>
      <c r="AG1509" s="100" t="n"/>
      <c r="AH1509" s="100" t="n"/>
      <c r="AI1509" s="100" t="n"/>
      <c r="AJ1509" s="100" t="n"/>
      <c r="AK1509" s="100" t="n"/>
      <c r="AL1509" s="100" t="n"/>
      <c r="AM1509" s="100" t="n"/>
      <c r="AN1509" s="100" t="n"/>
      <c r="AO1509" s="100" t="n"/>
      <c r="AP1509" s="100" t="n"/>
      <c r="AQ1509" s="100" t="n"/>
      <c r="AR1509" s="100" t="n"/>
    </row>
    <row r="1511">
      <c r="A1511" s="6">
        <f>IF(HSTECH!$C$43="","",HSTECH!$C$43)</f>
        <v/>
      </c>
      <c r="B1511" s="96">
        <f>IF($A1511="",0,COUNT($E1512:$AR1512))</f>
        <v/>
      </c>
      <c r="C1511" s="97">
        <f>IF($B1511=0,0,MAX($E1512:$AR1512))</f>
        <v/>
      </c>
      <c r="D1511" s="98">
        <f>BDS($A1511,FLD_HIST,"headers=y","startcol=1","endcol=7","dir=h","DVD_START_DT",HIST_FROM,"DVD_END_DT",HIST_TO)</f>
        <v/>
      </c>
      <c r="E1511" s="99" t="n"/>
      <c r="F1511" s="99" t="n"/>
      <c r="G1511" s="99" t="n"/>
      <c r="H1511" s="99" t="n"/>
      <c r="I1511" s="99" t="n"/>
      <c r="J1511" s="99" t="n"/>
      <c r="K1511" s="99" t="n"/>
      <c r="L1511" s="99" t="n"/>
      <c r="M1511" s="99" t="n"/>
      <c r="N1511" s="99" t="n"/>
      <c r="O1511" s="99" t="n"/>
      <c r="P1511" s="99" t="n"/>
      <c r="Q1511" s="99" t="n"/>
      <c r="R1511" s="99" t="n"/>
      <c r="S1511" s="99" t="n"/>
      <c r="T1511" s="99" t="n"/>
      <c r="U1511" s="99" t="n"/>
      <c r="V1511" s="99" t="n"/>
      <c r="W1511" s="99" t="n"/>
      <c r="X1511" s="99" t="n"/>
      <c r="Y1511" s="99" t="n"/>
      <c r="Z1511" s="99" t="n"/>
      <c r="AA1511" s="99" t="n"/>
      <c r="AB1511" s="99" t="n"/>
      <c r="AC1511" s="99" t="n"/>
      <c r="AD1511" s="99" t="n"/>
      <c r="AE1511" s="99" t="n"/>
      <c r="AF1511" s="99" t="n"/>
      <c r="AG1511" s="99" t="n"/>
      <c r="AH1511" s="99" t="n"/>
      <c r="AI1511" s="99" t="n"/>
      <c r="AJ1511" s="99" t="n"/>
      <c r="AK1511" s="99" t="n"/>
      <c r="AL1511" s="99" t="n"/>
      <c r="AM1511" s="99" t="n"/>
      <c r="AN1511" s="99" t="n"/>
      <c r="AO1511" s="99" t="n"/>
      <c r="AP1511" s="99" t="n"/>
      <c r="AQ1511" s="99" t="n"/>
      <c r="AR1511" s="99" t="n"/>
    </row>
    <row r="1512">
      <c r="D1512" s="99" t="n"/>
      <c r="E1512" s="99" t="n"/>
      <c r="F1512" s="99" t="n"/>
      <c r="G1512" s="99" t="n"/>
      <c r="H1512" s="99" t="n"/>
      <c r="I1512" s="99" t="n"/>
      <c r="J1512" s="99" t="n"/>
      <c r="K1512" s="99" t="n"/>
      <c r="L1512" s="99" t="n"/>
      <c r="M1512" s="99" t="n"/>
      <c r="N1512" s="99" t="n"/>
      <c r="O1512" s="99" t="n"/>
      <c r="P1512" s="99" t="n"/>
      <c r="Q1512" s="99" t="n"/>
      <c r="R1512" s="99" t="n"/>
      <c r="S1512" s="99" t="n"/>
      <c r="T1512" s="99" t="n"/>
      <c r="U1512" s="99" t="n"/>
      <c r="V1512" s="99" t="n"/>
      <c r="W1512" s="99" t="n"/>
      <c r="X1512" s="99" t="n"/>
      <c r="Y1512" s="99" t="n"/>
      <c r="Z1512" s="99" t="n"/>
      <c r="AA1512" s="99" t="n"/>
      <c r="AB1512" s="99" t="n"/>
      <c r="AC1512" s="99" t="n"/>
      <c r="AD1512" s="99" t="n"/>
      <c r="AE1512" s="99" t="n"/>
      <c r="AF1512" s="99" t="n"/>
      <c r="AG1512" s="99" t="n"/>
      <c r="AH1512" s="99" t="n"/>
      <c r="AI1512" s="99" t="n"/>
      <c r="AJ1512" s="99" t="n"/>
      <c r="AK1512" s="99" t="n"/>
      <c r="AL1512" s="99" t="n"/>
      <c r="AM1512" s="99" t="n"/>
      <c r="AN1512" s="99" t="n"/>
      <c r="AO1512" s="99" t="n"/>
      <c r="AP1512" s="99" t="n"/>
      <c r="AQ1512" s="99" t="n"/>
      <c r="AR1512" s="99" t="n"/>
    </row>
    <row r="1513">
      <c r="D1513" s="99" t="n"/>
      <c r="E1513" s="99" t="n"/>
      <c r="F1513" s="99" t="n"/>
      <c r="G1513" s="99" t="n"/>
      <c r="H1513" s="99" t="n"/>
      <c r="I1513" s="99" t="n"/>
      <c r="J1513" s="99" t="n"/>
      <c r="K1513" s="99" t="n"/>
      <c r="L1513" s="99" t="n"/>
      <c r="M1513" s="99" t="n"/>
      <c r="N1513" s="99" t="n"/>
      <c r="O1513" s="99" t="n"/>
      <c r="P1513" s="99" t="n"/>
      <c r="Q1513" s="99" t="n"/>
      <c r="R1513" s="99" t="n"/>
      <c r="S1513" s="99" t="n"/>
      <c r="T1513" s="99" t="n"/>
      <c r="U1513" s="99" t="n"/>
      <c r="V1513" s="99" t="n"/>
      <c r="W1513" s="99" t="n"/>
      <c r="X1513" s="99" t="n"/>
      <c r="Y1513" s="99" t="n"/>
      <c r="Z1513" s="99" t="n"/>
      <c r="AA1513" s="99" t="n"/>
      <c r="AB1513" s="99" t="n"/>
      <c r="AC1513" s="99" t="n"/>
      <c r="AD1513" s="99" t="n"/>
      <c r="AE1513" s="99" t="n"/>
      <c r="AF1513" s="99" t="n"/>
      <c r="AG1513" s="99" t="n"/>
      <c r="AH1513" s="99" t="n"/>
      <c r="AI1513" s="99" t="n"/>
      <c r="AJ1513" s="99" t="n"/>
      <c r="AK1513" s="99" t="n"/>
      <c r="AL1513" s="99" t="n"/>
      <c r="AM1513" s="99" t="n"/>
      <c r="AN1513" s="99" t="n"/>
      <c r="AO1513" s="99" t="n"/>
      <c r="AP1513" s="99" t="n"/>
      <c r="AQ1513" s="99" t="n"/>
      <c r="AR1513" s="99" t="n"/>
    </row>
    <row r="1514">
      <c r="D1514" s="99" t="n"/>
      <c r="E1514" s="99" t="n"/>
      <c r="F1514" s="99" t="n"/>
      <c r="G1514" s="99" t="n"/>
      <c r="H1514" s="99" t="n"/>
      <c r="I1514" s="99" t="n"/>
      <c r="J1514" s="99" t="n"/>
      <c r="K1514" s="99" t="n"/>
      <c r="L1514" s="99" t="n"/>
      <c r="M1514" s="99" t="n"/>
      <c r="N1514" s="99" t="n"/>
      <c r="O1514" s="99" t="n"/>
      <c r="P1514" s="99" t="n"/>
      <c r="Q1514" s="99" t="n"/>
      <c r="R1514" s="99" t="n"/>
      <c r="S1514" s="99" t="n"/>
      <c r="T1514" s="99" t="n"/>
      <c r="U1514" s="99" t="n"/>
      <c r="V1514" s="99" t="n"/>
      <c r="W1514" s="99" t="n"/>
      <c r="X1514" s="99" t="n"/>
      <c r="Y1514" s="99" t="n"/>
      <c r="Z1514" s="99" t="n"/>
      <c r="AA1514" s="99" t="n"/>
      <c r="AB1514" s="99" t="n"/>
      <c r="AC1514" s="99" t="n"/>
      <c r="AD1514" s="99" t="n"/>
      <c r="AE1514" s="99" t="n"/>
      <c r="AF1514" s="99" t="n"/>
      <c r="AG1514" s="99" t="n"/>
      <c r="AH1514" s="99" t="n"/>
      <c r="AI1514" s="99" t="n"/>
      <c r="AJ1514" s="99" t="n"/>
      <c r="AK1514" s="99" t="n"/>
      <c r="AL1514" s="99" t="n"/>
      <c r="AM1514" s="99" t="n"/>
      <c r="AN1514" s="99" t="n"/>
      <c r="AO1514" s="99" t="n"/>
      <c r="AP1514" s="99" t="n"/>
      <c r="AQ1514" s="99" t="n"/>
      <c r="AR1514" s="99" t="n"/>
    </row>
    <row r="1515">
      <c r="D1515" s="100" t="n"/>
      <c r="E1515" s="100" t="n"/>
      <c r="F1515" s="100" t="n"/>
      <c r="G1515" s="100" t="n"/>
      <c r="H1515" s="100" t="n"/>
      <c r="I1515" s="100" t="n"/>
      <c r="J1515" s="100" t="n"/>
      <c r="K1515" s="100" t="n"/>
      <c r="L1515" s="100" t="n"/>
      <c r="M1515" s="100" t="n"/>
      <c r="N1515" s="100" t="n"/>
      <c r="O1515" s="100" t="n"/>
      <c r="P1515" s="100" t="n"/>
      <c r="Q1515" s="100" t="n"/>
      <c r="R1515" s="100" t="n"/>
      <c r="S1515" s="100" t="n"/>
      <c r="T1515" s="100" t="n"/>
      <c r="U1515" s="100" t="n"/>
      <c r="V1515" s="100" t="n"/>
      <c r="W1515" s="100" t="n"/>
      <c r="X1515" s="100" t="n"/>
      <c r="Y1515" s="100" t="n"/>
      <c r="Z1515" s="100" t="n"/>
      <c r="AA1515" s="100" t="n"/>
      <c r="AB1515" s="100" t="n"/>
      <c r="AC1515" s="100" t="n"/>
      <c r="AD1515" s="100" t="n"/>
      <c r="AE1515" s="100" t="n"/>
      <c r="AF1515" s="100" t="n"/>
      <c r="AG1515" s="100" t="n"/>
      <c r="AH1515" s="100" t="n"/>
      <c r="AI1515" s="100" t="n"/>
      <c r="AJ1515" s="100" t="n"/>
      <c r="AK1515" s="100" t="n"/>
      <c r="AL1515" s="100" t="n"/>
      <c r="AM1515" s="100" t="n"/>
      <c r="AN1515" s="100" t="n"/>
      <c r="AO1515" s="100" t="n"/>
      <c r="AP1515" s="100" t="n"/>
      <c r="AQ1515" s="100" t="n"/>
      <c r="AR1515" s="100" t="n"/>
    </row>
    <row r="1518">
      <c r="A1518" s="2">
        <f>IF($A1511="","","   projections")</f>
        <v/>
      </c>
      <c r="B1518" s="96">
        <f>IF($A1511="",0,COUNT($E1519:$AR1519))</f>
        <v/>
      </c>
      <c r="C1518" s="97">
        <f>IF($B1518=0,0,MAX($E1519:$AR1519))</f>
        <v/>
      </c>
      <c r="D1518" s="98">
        <f>BDS($A1511,FLD_PROJ,"headers=y","startcol=1","endcol=3","dir=h")</f>
        <v/>
      </c>
      <c r="E1518" s="99" t="n"/>
      <c r="F1518" s="99" t="n"/>
      <c r="G1518" s="99" t="n"/>
      <c r="H1518" s="99" t="n"/>
      <c r="I1518" s="99" t="n"/>
      <c r="J1518" s="99" t="n"/>
      <c r="K1518" s="99" t="n"/>
      <c r="L1518" s="99" t="n"/>
      <c r="M1518" s="99" t="n"/>
      <c r="N1518" s="99" t="n"/>
      <c r="O1518" s="99" t="n"/>
      <c r="P1518" s="99" t="n"/>
      <c r="Q1518" s="99" t="n"/>
      <c r="R1518" s="99" t="n"/>
      <c r="S1518" s="99" t="n"/>
      <c r="T1518" s="99" t="n"/>
      <c r="U1518" s="99" t="n"/>
      <c r="V1518" s="99" t="n"/>
      <c r="W1518" s="99" t="n"/>
      <c r="X1518" s="99" t="n"/>
      <c r="Y1518" s="99" t="n"/>
      <c r="Z1518" s="99" t="n"/>
      <c r="AA1518" s="99" t="n"/>
      <c r="AB1518" s="99" t="n"/>
      <c r="AC1518" s="99" t="n"/>
      <c r="AD1518" s="99" t="n"/>
      <c r="AE1518" s="99" t="n"/>
      <c r="AF1518" s="99" t="n"/>
      <c r="AG1518" s="99" t="n"/>
      <c r="AH1518" s="99" t="n"/>
      <c r="AI1518" s="99" t="n"/>
      <c r="AJ1518" s="99" t="n"/>
      <c r="AK1518" s="99" t="n"/>
      <c r="AL1518" s="99" t="n"/>
      <c r="AM1518" s="99" t="n"/>
      <c r="AN1518" s="99" t="n"/>
      <c r="AO1518" s="99" t="n"/>
      <c r="AP1518" s="99" t="n"/>
      <c r="AQ1518" s="99" t="n"/>
      <c r="AR1518" s="99" t="n"/>
    </row>
    <row r="1519">
      <c r="D1519" s="99" t="n"/>
      <c r="E1519" s="99" t="n"/>
      <c r="F1519" s="99" t="n"/>
      <c r="G1519" s="99" t="n"/>
      <c r="H1519" s="99" t="n"/>
      <c r="I1519" s="99" t="n"/>
      <c r="J1519" s="99" t="n"/>
      <c r="K1519" s="99" t="n"/>
      <c r="L1519" s="99" t="n"/>
      <c r="M1519" s="99" t="n"/>
      <c r="N1519" s="99" t="n"/>
      <c r="O1519" s="99" t="n"/>
      <c r="P1519" s="99" t="n"/>
      <c r="Q1519" s="99" t="n"/>
      <c r="R1519" s="99" t="n"/>
      <c r="S1519" s="99" t="n"/>
      <c r="T1519" s="99" t="n"/>
      <c r="U1519" s="99" t="n"/>
      <c r="V1519" s="99" t="n"/>
      <c r="W1519" s="99" t="n"/>
      <c r="X1519" s="99" t="n"/>
      <c r="Y1519" s="99" t="n"/>
      <c r="Z1519" s="99" t="n"/>
      <c r="AA1519" s="99" t="n"/>
      <c r="AB1519" s="99" t="n"/>
      <c r="AC1519" s="99" t="n"/>
      <c r="AD1519" s="99" t="n"/>
      <c r="AE1519" s="99" t="n"/>
      <c r="AF1519" s="99" t="n"/>
      <c r="AG1519" s="99" t="n"/>
      <c r="AH1519" s="99" t="n"/>
      <c r="AI1519" s="99" t="n"/>
      <c r="AJ1519" s="99" t="n"/>
      <c r="AK1519" s="99" t="n"/>
      <c r="AL1519" s="99" t="n"/>
      <c r="AM1519" s="99" t="n"/>
      <c r="AN1519" s="99" t="n"/>
      <c r="AO1519" s="99" t="n"/>
      <c r="AP1519" s="99" t="n"/>
      <c r="AQ1519" s="99" t="n"/>
      <c r="AR1519" s="99" t="n"/>
    </row>
    <row r="1520">
      <c r="D1520" s="100" t="n"/>
      <c r="E1520" s="100" t="n"/>
      <c r="F1520" s="100" t="n"/>
      <c r="G1520" s="100" t="n"/>
      <c r="H1520" s="100" t="n"/>
      <c r="I1520" s="100" t="n"/>
      <c r="J1520" s="100" t="n"/>
      <c r="K1520" s="100" t="n"/>
      <c r="L1520" s="100" t="n"/>
      <c r="M1520" s="100" t="n"/>
      <c r="N1520" s="100" t="n"/>
      <c r="O1520" s="100" t="n"/>
      <c r="P1520" s="100" t="n"/>
      <c r="Q1520" s="100" t="n"/>
      <c r="R1520" s="100" t="n"/>
      <c r="S1520" s="100" t="n"/>
      <c r="T1520" s="100" t="n"/>
      <c r="U1520" s="100" t="n"/>
      <c r="V1520" s="100" t="n"/>
      <c r="W1520" s="100" t="n"/>
      <c r="X1520" s="100" t="n"/>
      <c r="Y1520" s="100" t="n"/>
      <c r="Z1520" s="100" t="n"/>
      <c r="AA1520" s="100" t="n"/>
      <c r="AB1520" s="100" t="n"/>
      <c r="AC1520" s="100" t="n"/>
      <c r="AD1520" s="100" t="n"/>
      <c r="AE1520" s="100" t="n"/>
      <c r="AF1520" s="100" t="n"/>
      <c r="AG1520" s="100" t="n"/>
      <c r="AH1520" s="100" t="n"/>
      <c r="AI1520" s="100" t="n"/>
      <c r="AJ1520" s="100" t="n"/>
      <c r="AK1520" s="100" t="n"/>
      <c r="AL1520" s="100" t="n"/>
      <c r="AM1520" s="100" t="n"/>
      <c r="AN1520" s="100" t="n"/>
      <c r="AO1520" s="100" t="n"/>
      <c r="AP1520" s="100" t="n"/>
      <c r="AQ1520" s="100" t="n"/>
      <c r="AR1520" s="100" t="n"/>
    </row>
    <row r="1522">
      <c r="A1522" s="6">
        <f>IF(HSTECH!$C$44="","",HSTECH!$C$44)</f>
        <v/>
      </c>
      <c r="B1522" s="96">
        <f>IF($A1522="",0,COUNT($E1523:$AR1523))</f>
        <v/>
      </c>
      <c r="C1522" s="97">
        <f>IF($B1522=0,0,MAX($E1523:$AR1523))</f>
        <v/>
      </c>
      <c r="D1522" s="98">
        <f>BDS($A1522,FLD_HIST,"headers=y","startcol=1","endcol=7","dir=h","DVD_START_DT",HIST_FROM,"DVD_END_DT",HIST_TO)</f>
        <v/>
      </c>
      <c r="E1522" s="99" t="n"/>
      <c r="F1522" s="99" t="n"/>
      <c r="G1522" s="99" t="n"/>
      <c r="H1522" s="99" t="n"/>
      <c r="I1522" s="99" t="n"/>
      <c r="J1522" s="99" t="n"/>
      <c r="K1522" s="99" t="n"/>
      <c r="L1522" s="99" t="n"/>
      <c r="M1522" s="99" t="n"/>
      <c r="N1522" s="99" t="n"/>
      <c r="O1522" s="99" t="n"/>
      <c r="P1522" s="99" t="n"/>
      <c r="Q1522" s="99" t="n"/>
      <c r="R1522" s="99" t="n"/>
      <c r="S1522" s="99" t="n"/>
      <c r="T1522" s="99" t="n"/>
      <c r="U1522" s="99" t="n"/>
      <c r="V1522" s="99" t="n"/>
      <c r="W1522" s="99" t="n"/>
      <c r="X1522" s="99" t="n"/>
      <c r="Y1522" s="99" t="n"/>
      <c r="Z1522" s="99" t="n"/>
      <c r="AA1522" s="99" t="n"/>
      <c r="AB1522" s="99" t="n"/>
      <c r="AC1522" s="99" t="n"/>
      <c r="AD1522" s="99" t="n"/>
      <c r="AE1522" s="99" t="n"/>
      <c r="AF1522" s="99" t="n"/>
      <c r="AG1522" s="99" t="n"/>
      <c r="AH1522" s="99" t="n"/>
      <c r="AI1522" s="99" t="n"/>
      <c r="AJ1522" s="99" t="n"/>
      <c r="AK1522" s="99" t="n"/>
      <c r="AL1522" s="99" t="n"/>
      <c r="AM1522" s="99" t="n"/>
      <c r="AN1522" s="99" t="n"/>
      <c r="AO1522" s="99" t="n"/>
      <c r="AP1522" s="99" t="n"/>
      <c r="AQ1522" s="99" t="n"/>
      <c r="AR1522" s="99" t="n"/>
    </row>
    <row r="1523">
      <c r="D1523" s="99" t="n"/>
      <c r="E1523" s="99" t="n"/>
      <c r="F1523" s="99" t="n"/>
      <c r="G1523" s="99" t="n"/>
      <c r="H1523" s="99" t="n"/>
      <c r="I1523" s="99" t="n"/>
      <c r="J1523" s="99" t="n"/>
      <c r="K1523" s="99" t="n"/>
      <c r="L1523" s="99" t="n"/>
      <c r="M1523" s="99" t="n"/>
      <c r="N1523" s="99" t="n"/>
      <c r="O1523" s="99" t="n"/>
      <c r="P1523" s="99" t="n"/>
      <c r="Q1523" s="99" t="n"/>
      <c r="R1523" s="99" t="n"/>
      <c r="S1523" s="99" t="n"/>
      <c r="T1523" s="99" t="n"/>
      <c r="U1523" s="99" t="n"/>
      <c r="V1523" s="99" t="n"/>
      <c r="W1523" s="99" t="n"/>
      <c r="X1523" s="99" t="n"/>
      <c r="Y1523" s="99" t="n"/>
      <c r="Z1523" s="99" t="n"/>
      <c r="AA1523" s="99" t="n"/>
      <c r="AB1523" s="99" t="n"/>
      <c r="AC1523" s="99" t="n"/>
      <c r="AD1523" s="99" t="n"/>
      <c r="AE1523" s="99" t="n"/>
      <c r="AF1523" s="99" t="n"/>
      <c r="AG1523" s="99" t="n"/>
      <c r="AH1523" s="99" t="n"/>
      <c r="AI1523" s="99" t="n"/>
      <c r="AJ1523" s="99" t="n"/>
      <c r="AK1523" s="99" t="n"/>
      <c r="AL1523" s="99" t="n"/>
      <c r="AM1523" s="99" t="n"/>
      <c r="AN1523" s="99" t="n"/>
      <c r="AO1523" s="99" t="n"/>
      <c r="AP1523" s="99" t="n"/>
      <c r="AQ1523" s="99" t="n"/>
      <c r="AR1523" s="99" t="n"/>
    </row>
    <row r="1524">
      <c r="D1524" s="99" t="n"/>
      <c r="E1524" s="99" t="n"/>
      <c r="F1524" s="99" t="n"/>
      <c r="G1524" s="99" t="n"/>
      <c r="H1524" s="99" t="n"/>
      <c r="I1524" s="99" t="n"/>
      <c r="J1524" s="99" t="n"/>
      <c r="K1524" s="99" t="n"/>
      <c r="L1524" s="99" t="n"/>
      <c r="M1524" s="99" t="n"/>
      <c r="N1524" s="99" t="n"/>
      <c r="O1524" s="99" t="n"/>
      <c r="P1524" s="99" t="n"/>
      <c r="Q1524" s="99" t="n"/>
      <c r="R1524" s="99" t="n"/>
      <c r="S1524" s="99" t="n"/>
      <c r="T1524" s="99" t="n"/>
      <c r="U1524" s="99" t="n"/>
      <c r="V1524" s="99" t="n"/>
      <c r="W1524" s="99" t="n"/>
      <c r="X1524" s="99" t="n"/>
      <c r="Y1524" s="99" t="n"/>
      <c r="Z1524" s="99" t="n"/>
      <c r="AA1524" s="99" t="n"/>
      <c r="AB1524" s="99" t="n"/>
      <c r="AC1524" s="99" t="n"/>
      <c r="AD1524" s="99" t="n"/>
      <c r="AE1524" s="99" t="n"/>
      <c r="AF1524" s="99" t="n"/>
      <c r="AG1524" s="99" t="n"/>
      <c r="AH1524" s="99" t="n"/>
      <c r="AI1524" s="99" t="n"/>
      <c r="AJ1524" s="99" t="n"/>
      <c r="AK1524" s="99" t="n"/>
      <c r="AL1524" s="99" t="n"/>
      <c r="AM1524" s="99" t="n"/>
      <c r="AN1524" s="99" t="n"/>
      <c r="AO1524" s="99" t="n"/>
      <c r="AP1524" s="99" t="n"/>
      <c r="AQ1524" s="99" t="n"/>
      <c r="AR1524" s="99" t="n"/>
    </row>
    <row r="1525">
      <c r="D1525" s="99" t="n"/>
      <c r="E1525" s="99" t="n"/>
      <c r="F1525" s="99" t="n"/>
      <c r="G1525" s="99" t="n"/>
      <c r="H1525" s="99" t="n"/>
      <c r="I1525" s="99" t="n"/>
      <c r="J1525" s="99" t="n"/>
      <c r="K1525" s="99" t="n"/>
      <c r="L1525" s="99" t="n"/>
      <c r="M1525" s="99" t="n"/>
      <c r="N1525" s="99" t="n"/>
      <c r="O1525" s="99" t="n"/>
      <c r="P1525" s="99" t="n"/>
      <c r="Q1525" s="99" t="n"/>
      <c r="R1525" s="99" t="n"/>
      <c r="S1525" s="99" t="n"/>
      <c r="T1525" s="99" t="n"/>
      <c r="U1525" s="99" t="n"/>
      <c r="V1525" s="99" t="n"/>
      <c r="W1525" s="99" t="n"/>
      <c r="X1525" s="99" t="n"/>
      <c r="Y1525" s="99" t="n"/>
      <c r="Z1525" s="99" t="n"/>
      <c r="AA1525" s="99" t="n"/>
      <c r="AB1525" s="99" t="n"/>
      <c r="AC1525" s="99" t="n"/>
      <c r="AD1525" s="99" t="n"/>
      <c r="AE1525" s="99" t="n"/>
      <c r="AF1525" s="99" t="n"/>
      <c r="AG1525" s="99" t="n"/>
      <c r="AH1525" s="99" t="n"/>
      <c r="AI1525" s="99" t="n"/>
      <c r="AJ1525" s="99" t="n"/>
      <c r="AK1525" s="99" t="n"/>
      <c r="AL1525" s="99" t="n"/>
      <c r="AM1525" s="99" t="n"/>
      <c r="AN1525" s="99" t="n"/>
      <c r="AO1525" s="99" t="n"/>
      <c r="AP1525" s="99" t="n"/>
      <c r="AQ1525" s="99" t="n"/>
      <c r="AR1525" s="99" t="n"/>
    </row>
    <row r="1526">
      <c r="D1526" s="100" t="n"/>
      <c r="E1526" s="100" t="n"/>
      <c r="F1526" s="100" t="n"/>
      <c r="G1526" s="100" t="n"/>
      <c r="H1526" s="100" t="n"/>
      <c r="I1526" s="100" t="n"/>
      <c r="J1526" s="100" t="n"/>
      <c r="K1526" s="100" t="n"/>
      <c r="L1526" s="100" t="n"/>
      <c r="M1526" s="100" t="n"/>
      <c r="N1526" s="100" t="n"/>
      <c r="O1526" s="100" t="n"/>
      <c r="P1526" s="100" t="n"/>
      <c r="Q1526" s="100" t="n"/>
      <c r="R1526" s="100" t="n"/>
      <c r="S1526" s="100" t="n"/>
      <c r="T1526" s="100" t="n"/>
      <c r="U1526" s="100" t="n"/>
      <c r="V1526" s="100" t="n"/>
      <c r="W1526" s="100" t="n"/>
      <c r="X1526" s="100" t="n"/>
      <c r="Y1526" s="100" t="n"/>
      <c r="Z1526" s="100" t="n"/>
      <c r="AA1526" s="100" t="n"/>
      <c r="AB1526" s="100" t="n"/>
      <c r="AC1526" s="100" t="n"/>
      <c r="AD1526" s="100" t="n"/>
      <c r="AE1526" s="100" t="n"/>
      <c r="AF1526" s="100" t="n"/>
      <c r="AG1526" s="100" t="n"/>
      <c r="AH1526" s="100" t="n"/>
      <c r="AI1526" s="100" t="n"/>
      <c r="AJ1526" s="100" t="n"/>
      <c r="AK1526" s="100" t="n"/>
      <c r="AL1526" s="100" t="n"/>
      <c r="AM1526" s="100" t="n"/>
      <c r="AN1526" s="100" t="n"/>
      <c r="AO1526" s="100" t="n"/>
      <c r="AP1526" s="100" t="n"/>
      <c r="AQ1526" s="100" t="n"/>
      <c r="AR1526" s="100" t="n"/>
    </row>
    <row r="1529">
      <c r="A1529" s="2">
        <f>IF($A1522="","","   projections")</f>
        <v/>
      </c>
      <c r="B1529" s="96">
        <f>IF($A1522="",0,COUNT($E1530:$AR1530))</f>
        <v/>
      </c>
      <c r="C1529" s="97">
        <f>IF($B1529=0,0,MAX($E1530:$AR1530))</f>
        <v/>
      </c>
      <c r="D1529" s="98">
        <f>BDS($A1522,FLD_PROJ,"headers=y","startcol=1","endcol=3","dir=h")</f>
        <v/>
      </c>
      <c r="E1529" s="99" t="n"/>
      <c r="F1529" s="99" t="n"/>
      <c r="G1529" s="99" t="n"/>
      <c r="H1529" s="99" t="n"/>
      <c r="I1529" s="99" t="n"/>
      <c r="J1529" s="99" t="n"/>
      <c r="K1529" s="99" t="n"/>
      <c r="L1529" s="99" t="n"/>
      <c r="M1529" s="99" t="n"/>
      <c r="N1529" s="99" t="n"/>
      <c r="O1529" s="99" t="n"/>
      <c r="P1529" s="99" t="n"/>
      <c r="Q1529" s="99" t="n"/>
      <c r="R1529" s="99" t="n"/>
      <c r="S1529" s="99" t="n"/>
      <c r="T1529" s="99" t="n"/>
      <c r="U1529" s="99" t="n"/>
      <c r="V1529" s="99" t="n"/>
      <c r="W1529" s="99" t="n"/>
      <c r="X1529" s="99" t="n"/>
      <c r="Y1529" s="99" t="n"/>
      <c r="Z1529" s="99" t="n"/>
      <c r="AA1529" s="99" t="n"/>
      <c r="AB1529" s="99" t="n"/>
      <c r="AC1529" s="99" t="n"/>
      <c r="AD1529" s="99" t="n"/>
      <c r="AE1529" s="99" t="n"/>
      <c r="AF1529" s="99" t="n"/>
      <c r="AG1529" s="99" t="n"/>
      <c r="AH1529" s="99" t="n"/>
      <c r="AI1529" s="99" t="n"/>
      <c r="AJ1529" s="99" t="n"/>
      <c r="AK1529" s="99" t="n"/>
      <c r="AL1529" s="99" t="n"/>
      <c r="AM1529" s="99" t="n"/>
      <c r="AN1529" s="99" t="n"/>
      <c r="AO1529" s="99" t="n"/>
      <c r="AP1529" s="99" t="n"/>
      <c r="AQ1529" s="99" t="n"/>
      <c r="AR1529" s="99" t="n"/>
    </row>
    <row r="1530">
      <c r="D1530" s="99" t="n"/>
      <c r="E1530" s="99" t="n"/>
      <c r="F1530" s="99" t="n"/>
      <c r="G1530" s="99" t="n"/>
      <c r="H1530" s="99" t="n"/>
      <c r="I1530" s="99" t="n"/>
      <c r="J1530" s="99" t="n"/>
      <c r="K1530" s="99" t="n"/>
      <c r="L1530" s="99" t="n"/>
      <c r="M1530" s="99" t="n"/>
      <c r="N1530" s="99" t="n"/>
      <c r="O1530" s="99" t="n"/>
      <c r="P1530" s="99" t="n"/>
      <c r="Q1530" s="99" t="n"/>
      <c r="R1530" s="99" t="n"/>
      <c r="S1530" s="99" t="n"/>
      <c r="T1530" s="99" t="n"/>
      <c r="U1530" s="99" t="n"/>
      <c r="V1530" s="99" t="n"/>
      <c r="W1530" s="99" t="n"/>
      <c r="X1530" s="99" t="n"/>
      <c r="Y1530" s="99" t="n"/>
      <c r="Z1530" s="99" t="n"/>
      <c r="AA1530" s="99" t="n"/>
      <c r="AB1530" s="99" t="n"/>
      <c r="AC1530" s="99" t="n"/>
      <c r="AD1530" s="99" t="n"/>
      <c r="AE1530" s="99" t="n"/>
      <c r="AF1530" s="99" t="n"/>
      <c r="AG1530" s="99" t="n"/>
      <c r="AH1530" s="99" t="n"/>
      <c r="AI1530" s="99" t="n"/>
      <c r="AJ1530" s="99" t="n"/>
      <c r="AK1530" s="99" t="n"/>
      <c r="AL1530" s="99" t="n"/>
      <c r="AM1530" s="99" t="n"/>
      <c r="AN1530" s="99" t="n"/>
      <c r="AO1530" s="99" t="n"/>
      <c r="AP1530" s="99" t="n"/>
      <c r="AQ1530" s="99" t="n"/>
      <c r="AR1530" s="99" t="n"/>
    </row>
    <row r="1531">
      <c r="D1531" s="100" t="n"/>
      <c r="E1531" s="100" t="n"/>
      <c r="F1531" s="100" t="n"/>
      <c r="G1531" s="100" t="n"/>
      <c r="H1531" s="100" t="n"/>
      <c r="I1531" s="100" t="n"/>
      <c r="J1531" s="100" t="n"/>
      <c r="K1531" s="100" t="n"/>
      <c r="L1531" s="100" t="n"/>
      <c r="M1531" s="100" t="n"/>
      <c r="N1531" s="100" t="n"/>
      <c r="O1531" s="100" t="n"/>
      <c r="P1531" s="100" t="n"/>
      <c r="Q1531" s="100" t="n"/>
      <c r="R1531" s="100" t="n"/>
      <c r="S1531" s="100" t="n"/>
      <c r="T1531" s="100" t="n"/>
      <c r="U1531" s="100" t="n"/>
      <c r="V1531" s="100" t="n"/>
      <c r="W1531" s="100" t="n"/>
      <c r="X1531" s="100" t="n"/>
      <c r="Y1531" s="100" t="n"/>
      <c r="Z1531" s="100" t="n"/>
      <c r="AA1531" s="100" t="n"/>
      <c r="AB1531" s="100" t="n"/>
      <c r="AC1531" s="100" t="n"/>
      <c r="AD1531" s="100" t="n"/>
      <c r="AE1531" s="100" t="n"/>
      <c r="AF1531" s="100" t="n"/>
      <c r="AG1531" s="100" t="n"/>
      <c r="AH1531" s="100" t="n"/>
      <c r="AI1531" s="100" t="n"/>
      <c r="AJ1531" s="100" t="n"/>
      <c r="AK1531" s="100" t="n"/>
      <c r="AL1531" s="100" t="n"/>
      <c r="AM1531" s="100" t="n"/>
      <c r="AN1531" s="100" t="n"/>
      <c r="AO1531" s="100" t="n"/>
      <c r="AP1531" s="100" t="n"/>
      <c r="AQ1531" s="100" t="n"/>
      <c r="AR1531" s="100" t="n"/>
    </row>
    <row r="1533">
      <c r="A1533" s="6">
        <f>IF(HSTECH!$C$45="","",HSTECH!$C$45)</f>
        <v/>
      </c>
      <c r="B1533" s="96">
        <f>IF($A1533="",0,COUNT($E1534:$AR1534))</f>
        <v/>
      </c>
      <c r="C1533" s="97">
        <f>IF($B1533=0,0,MAX($E1534:$AR1534))</f>
        <v/>
      </c>
      <c r="D1533" s="98">
        <f>BDS($A1533,FLD_HIST,"headers=y","startcol=1","endcol=7","dir=h","DVD_START_DT",HIST_FROM,"DVD_END_DT",HIST_TO)</f>
        <v/>
      </c>
      <c r="E1533" s="99" t="n"/>
      <c r="F1533" s="99" t="n"/>
      <c r="G1533" s="99" t="n"/>
      <c r="H1533" s="99" t="n"/>
      <c r="I1533" s="99" t="n"/>
      <c r="J1533" s="99" t="n"/>
      <c r="K1533" s="99" t="n"/>
      <c r="L1533" s="99" t="n"/>
      <c r="M1533" s="99" t="n"/>
      <c r="N1533" s="99" t="n"/>
      <c r="O1533" s="99" t="n"/>
      <c r="P1533" s="99" t="n"/>
      <c r="Q1533" s="99" t="n"/>
      <c r="R1533" s="99" t="n"/>
      <c r="S1533" s="99" t="n"/>
      <c r="T1533" s="99" t="n"/>
      <c r="U1533" s="99" t="n"/>
      <c r="V1533" s="99" t="n"/>
      <c r="W1533" s="99" t="n"/>
      <c r="X1533" s="99" t="n"/>
      <c r="Y1533" s="99" t="n"/>
      <c r="Z1533" s="99" t="n"/>
      <c r="AA1533" s="99" t="n"/>
      <c r="AB1533" s="99" t="n"/>
      <c r="AC1533" s="99" t="n"/>
      <c r="AD1533" s="99" t="n"/>
      <c r="AE1533" s="99" t="n"/>
      <c r="AF1533" s="99" t="n"/>
      <c r="AG1533" s="99" t="n"/>
      <c r="AH1533" s="99" t="n"/>
      <c r="AI1533" s="99" t="n"/>
      <c r="AJ1533" s="99" t="n"/>
      <c r="AK1533" s="99" t="n"/>
      <c r="AL1533" s="99" t="n"/>
      <c r="AM1533" s="99" t="n"/>
      <c r="AN1533" s="99" t="n"/>
      <c r="AO1533" s="99" t="n"/>
      <c r="AP1533" s="99" t="n"/>
      <c r="AQ1533" s="99" t="n"/>
      <c r="AR1533" s="99" t="n"/>
    </row>
    <row r="1534">
      <c r="D1534" s="99" t="n"/>
      <c r="E1534" s="99" t="n"/>
      <c r="F1534" s="99" t="n"/>
      <c r="G1534" s="99" t="n"/>
      <c r="H1534" s="99" t="n"/>
      <c r="I1534" s="99" t="n"/>
      <c r="J1534" s="99" t="n"/>
      <c r="K1534" s="99" t="n"/>
      <c r="L1534" s="99" t="n"/>
      <c r="M1534" s="99" t="n"/>
      <c r="N1534" s="99" t="n"/>
      <c r="O1534" s="99" t="n"/>
      <c r="P1534" s="99" t="n"/>
      <c r="Q1534" s="99" t="n"/>
      <c r="R1534" s="99" t="n"/>
      <c r="S1534" s="99" t="n"/>
      <c r="T1534" s="99" t="n"/>
      <c r="U1534" s="99" t="n"/>
      <c r="V1534" s="99" t="n"/>
      <c r="W1534" s="99" t="n"/>
      <c r="X1534" s="99" t="n"/>
      <c r="Y1534" s="99" t="n"/>
      <c r="Z1534" s="99" t="n"/>
      <c r="AA1534" s="99" t="n"/>
      <c r="AB1534" s="99" t="n"/>
      <c r="AC1534" s="99" t="n"/>
      <c r="AD1534" s="99" t="n"/>
      <c r="AE1534" s="99" t="n"/>
      <c r="AF1534" s="99" t="n"/>
      <c r="AG1534" s="99" t="n"/>
      <c r="AH1534" s="99" t="n"/>
      <c r="AI1534" s="99" t="n"/>
      <c r="AJ1534" s="99" t="n"/>
      <c r="AK1534" s="99" t="n"/>
      <c r="AL1534" s="99" t="n"/>
      <c r="AM1534" s="99" t="n"/>
      <c r="AN1534" s="99" t="n"/>
      <c r="AO1534" s="99" t="n"/>
      <c r="AP1534" s="99" t="n"/>
      <c r="AQ1534" s="99" t="n"/>
      <c r="AR1534" s="99" t="n"/>
    </row>
    <row r="1535">
      <c r="D1535" s="99" t="n"/>
      <c r="E1535" s="99" t="n"/>
      <c r="F1535" s="99" t="n"/>
      <c r="G1535" s="99" t="n"/>
      <c r="H1535" s="99" t="n"/>
      <c r="I1535" s="99" t="n"/>
      <c r="J1535" s="99" t="n"/>
      <c r="K1535" s="99" t="n"/>
      <c r="L1535" s="99" t="n"/>
      <c r="M1535" s="99" t="n"/>
      <c r="N1535" s="99" t="n"/>
      <c r="O1535" s="99" t="n"/>
      <c r="P1535" s="99" t="n"/>
      <c r="Q1535" s="99" t="n"/>
      <c r="R1535" s="99" t="n"/>
      <c r="S1535" s="99" t="n"/>
      <c r="T1535" s="99" t="n"/>
      <c r="U1535" s="99" t="n"/>
      <c r="V1535" s="99" t="n"/>
      <c r="W1535" s="99" t="n"/>
      <c r="X1535" s="99" t="n"/>
      <c r="Y1535" s="99" t="n"/>
      <c r="Z1535" s="99" t="n"/>
      <c r="AA1535" s="99" t="n"/>
      <c r="AB1535" s="99" t="n"/>
      <c r="AC1535" s="99" t="n"/>
      <c r="AD1535" s="99" t="n"/>
      <c r="AE1535" s="99" t="n"/>
      <c r="AF1535" s="99" t="n"/>
      <c r="AG1535" s="99" t="n"/>
      <c r="AH1535" s="99" t="n"/>
      <c r="AI1535" s="99" t="n"/>
      <c r="AJ1535" s="99" t="n"/>
      <c r="AK1535" s="99" t="n"/>
      <c r="AL1535" s="99" t="n"/>
      <c r="AM1535" s="99" t="n"/>
      <c r="AN1535" s="99" t="n"/>
      <c r="AO1535" s="99" t="n"/>
      <c r="AP1535" s="99" t="n"/>
      <c r="AQ1535" s="99" t="n"/>
      <c r="AR1535" s="99" t="n"/>
    </row>
    <row r="1536">
      <c r="D1536" s="99" t="n"/>
      <c r="E1536" s="99" t="n"/>
      <c r="F1536" s="99" t="n"/>
      <c r="G1536" s="99" t="n"/>
      <c r="H1536" s="99" t="n"/>
      <c r="I1536" s="99" t="n"/>
      <c r="J1536" s="99" t="n"/>
      <c r="K1536" s="99" t="n"/>
      <c r="L1536" s="99" t="n"/>
      <c r="M1536" s="99" t="n"/>
      <c r="N1536" s="99" t="n"/>
      <c r="O1536" s="99" t="n"/>
      <c r="P1536" s="99" t="n"/>
      <c r="Q1536" s="99" t="n"/>
      <c r="R1536" s="99" t="n"/>
      <c r="S1536" s="99" t="n"/>
      <c r="T1536" s="99" t="n"/>
      <c r="U1536" s="99" t="n"/>
      <c r="V1536" s="99" t="n"/>
      <c r="W1536" s="99" t="n"/>
      <c r="X1536" s="99" t="n"/>
      <c r="Y1536" s="99" t="n"/>
      <c r="Z1536" s="99" t="n"/>
      <c r="AA1536" s="99" t="n"/>
      <c r="AB1536" s="99" t="n"/>
      <c r="AC1536" s="99" t="n"/>
      <c r="AD1536" s="99" t="n"/>
      <c r="AE1536" s="99" t="n"/>
      <c r="AF1536" s="99" t="n"/>
      <c r="AG1536" s="99" t="n"/>
      <c r="AH1536" s="99" t="n"/>
      <c r="AI1536" s="99" t="n"/>
      <c r="AJ1536" s="99" t="n"/>
      <c r="AK1536" s="99" t="n"/>
      <c r="AL1536" s="99" t="n"/>
      <c r="AM1536" s="99" t="n"/>
      <c r="AN1536" s="99" t="n"/>
      <c r="AO1536" s="99" t="n"/>
      <c r="AP1536" s="99" t="n"/>
      <c r="AQ1536" s="99" t="n"/>
      <c r="AR1536" s="99" t="n"/>
    </row>
    <row r="1537">
      <c r="D1537" s="100" t="n"/>
      <c r="E1537" s="100" t="n"/>
      <c r="F1537" s="100" t="n"/>
      <c r="G1537" s="100" t="n"/>
      <c r="H1537" s="100" t="n"/>
      <c r="I1537" s="100" t="n"/>
      <c r="J1537" s="100" t="n"/>
      <c r="K1537" s="100" t="n"/>
      <c r="L1537" s="100" t="n"/>
      <c r="M1537" s="100" t="n"/>
      <c r="N1537" s="100" t="n"/>
      <c r="O1537" s="100" t="n"/>
      <c r="P1537" s="100" t="n"/>
      <c r="Q1537" s="100" t="n"/>
      <c r="R1537" s="100" t="n"/>
      <c r="S1537" s="100" t="n"/>
      <c r="T1537" s="100" t="n"/>
      <c r="U1537" s="100" t="n"/>
      <c r="V1537" s="100" t="n"/>
      <c r="W1537" s="100" t="n"/>
      <c r="X1537" s="100" t="n"/>
      <c r="Y1537" s="100" t="n"/>
      <c r="Z1537" s="100" t="n"/>
      <c r="AA1537" s="100" t="n"/>
      <c r="AB1537" s="100" t="n"/>
      <c r="AC1537" s="100" t="n"/>
      <c r="AD1537" s="100" t="n"/>
      <c r="AE1537" s="100" t="n"/>
      <c r="AF1537" s="100" t="n"/>
      <c r="AG1537" s="100" t="n"/>
      <c r="AH1537" s="100" t="n"/>
      <c r="AI1537" s="100" t="n"/>
      <c r="AJ1537" s="100" t="n"/>
      <c r="AK1537" s="100" t="n"/>
      <c r="AL1537" s="100" t="n"/>
      <c r="AM1537" s="100" t="n"/>
      <c r="AN1537" s="100" t="n"/>
      <c r="AO1537" s="100" t="n"/>
      <c r="AP1537" s="100" t="n"/>
      <c r="AQ1537" s="100" t="n"/>
      <c r="AR1537" s="100" t="n"/>
    </row>
    <row r="1540">
      <c r="A1540" s="2">
        <f>IF($A1533="","","   projections")</f>
        <v/>
      </c>
      <c r="B1540" s="96">
        <f>IF($A1533="",0,COUNT($E1541:$AR1541))</f>
        <v/>
      </c>
      <c r="C1540" s="97">
        <f>IF($B1540=0,0,MAX($E1541:$AR1541))</f>
        <v/>
      </c>
      <c r="D1540" s="98">
        <f>BDS($A1533,FLD_PROJ,"headers=y","startcol=1","endcol=3","dir=h")</f>
        <v/>
      </c>
      <c r="E1540" s="99" t="n"/>
      <c r="F1540" s="99" t="n"/>
      <c r="G1540" s="99" t="n"/>
      <c r="H1540" s="99" t="n"/>
      <c r="I1540" s="99" t="n"/>
      <c r="J1540" s="99" t="n"/>
      <c r="K1540" s="99" t="n"/>
      <c r="L1540" s="99" t="n"/>
      <c r="M1540" s="99" t="n"/>
      <c r="N1540" s="99" t="n"/>
      <c r="O1540" s="99" t="n"/>
      <c r="P1540" s="99" t="n"/>
      <c r="Q1540" s="99" t="n"/>
      <c r="R1540" s="99" t="n"/>
      <c r="S1540" s="99" t="n"/>
      <c r="T1540" s="99" t="n"/>
      <c r="U1540" s="99" t="n"/>
      <c r="V1540" s="99" t="n"/>
      <c r="W1540" s="99" t="n"/>
      <c r="X1540" s="99" t="n"/>
      <c r="Y1540" s="99" t="n"/>
      <c r="Z1540" s="99" t="n"/>
      <c r="AA1540" s="99" t="n"/>
      <c r="AB1540" s="99" t="n"/>
      <c r="AC1540" s="99" t="n"/>
      <c r="AD1540" s="99" t="n"/>
      <c r="AE1540" s="99" t="n"/>
      <c r="AF1540" s="99" t="n"/>
      <c r="AG1540" s="99" t="n"/>
      <c r="AH1540" s="99" t="n"/>
      <c r="AI1540" s="99" t="n"/>
      <c r="AJ1540" s="99" t="n"/>
      <c r="AK1540" s="99" t="n"/>
      <c r="AL1540" s="99" t="n"/>
      <c r="AM1540" s="99" t="n"/>
      <c r="AN1540" s="99" t="n"/>
      <c r="AO1540" s="99" t="n"/>
      <c r="AP1540" s="99" t="n"/>
      <c r="AQ1540" s="99" t="n"/>
      <c r="AR1540" s="99" t="n"/>
    </row>
    <row r="1541">
      <c r="D1541" s="99" t="n"/>
      <c r="E1541" s="99" t="n"/>
      <c r="F1541" s="99" t="n"/>
      <c r="G1541" s="99" t="n"/>
      <c r="H1541" s="99" t="n"/>
      <c r="I1541" s="99" t="n"/>
      <c r="J1541" s="99" t="n"/>
      <c r="K1541" s="99" t="n"/>
      <c r="L1541" s="99" t="n"/>
      <c r="M1541" s="99" t="n"/>
      <c r="N1541" s="99" t="n"/>
      <c r="O1541" s="99" t="n"/>
      <c r="P1541" s="99" t="n"/>
      <c r="Q1541" s="99" t="n"/>
      <c r="R1541" s="99" t="n"/>
      <c r="S1541" s="99" t="n"/>
      <c r="T1541" s="99" t="n"/>
      <c r="U1541" s="99" t="n"/>
      <c r="V1541" s="99" t="n"/>
      <c r="W1541" s="99" t="n"/>
      <c r="X1541" s="99" t="n"/>
      <c r="Y1541" s="99" t="n"/>
      <c r="Z1541" s="99" t="n"/>
      <c r="AA1541" s="99" t="n"/>
      <c r="AB1541" s="99" t="n"/>
      <c r="AC1541" s="99" t="n"/>
      <c r="AD1541" s="99" t="n"/>
      <c r="AE1541" s="99" t="n"/>
      <c r="AF1541" s="99" t="n"/>
      <c r="AG1541" s="99" t="n"/>
      <c r="AH1541" s="99" t="n"/>
      <c r="AI1541" s="99" t="n"/>
      <c r="AJ1541" s="99" t="n"/>
      <c r="AK1541" s="99" t="n"/>
      <c r="AL1541" s="99" t="n"/>
      <c r="AM1541" s="99" t="n"/>
      <c r="AN1541" s="99" t="n"/>
      <c r="AO1541" s="99" t="n"/>
      <c r="AP1541" s="99" t="n"/>
      <c r="AQ1541" s="99" t="n"/>
      <c r="AR1541" s="99" t="n"/>
    </row>
    <row r="1542">
      <c r="D1542" s="100" t="n"/>
      <c r="E1542" s="100" t="n"/>
      <c r="F1542" s="100" t="n"/>
      <c r="G1542" s="100" t="n"/>
      <c r="H1542" s="100" t="n"/>
      <c r="I1542" s="100" t="n"/>
      <c r="J1542" s="100" t="n"/>
      <c r="K1542" s="100" t="n"/>
      <c r="L1542" s="100" t="n"/>
      <c r="M1542" s="100" t="n"/>
      <c r="N1542" s="100" t="n"/>
      <c r="O1542" s="100" t="n"/>
      <c r="P1542" s="100" t="n"/>
      <c r="Q1542" s="100" t="n"/>
      <c r="R1542" s="100" t="n"/>
      <c r="S1542" s="100" t="n"/>
      <c r="T1542" s="100" t="n"/>
      <c r="U1542" s="100" t="n"/>
      <c r="V1542" s="100" t="n"/>
      <c r="W1542" s="100" t="n"/>
      <c r="X1542" s="100" t="n"/>
      <c r="Y1542" s="100" t="n"/>
      <c r="Z1542" s="100" t="n"/>
      <c r="AA1542" s="100" t="n"/>
      <c r="AB1542" s="100" t="n"/>
      <c r="AC1542" s="100" t="n"/>
      <c r="AD1542" s="100" t="n"/>
      <c r="AE1542" s="100" t="n"/>
      <c r="AF1542" s="100" t="n"/>
      <c r="AG1542" s="100" t="n"/>
      <c r="AH1542" s="100" t="n"/>
      <c r="AI1542" s="100" t="n"/>
      <c r="AJ1542" s="100" t="n"/>
      <c r="AK1542" s="100" t="n"/>
      <c r="AL1542" s="100" t="n"/>
      <c r="AM1542" s="100" t="n"/>
      <c r="AN1542" s="100" t="n"/>
      <c r="AO1542" s="100" t="n"/>
      <c r="AP1542" s="100" t="n"/>
      <c r="AQ1542" s="100" t="n"/>
      <c r="AR1542" s="100" t="n"/>
    </row>
    <row r="1544">
      <c r="A1544" s="6">
        <f>IF(HSTECH!$C$46="","",HSTECH!$C$46)</f>
        <v/>
      </c>
      <c r="B1544" s="96">
        <f>IF($A1544="",0,COUNT($E1545:$AR1545))</f>
        <v/>
      </c>
      <c r="C1544" s="97">
        <f>IF($B1544=0,0,MAX($E1545:$AR1545))</f>
        <v/>
      </c>
      <c r="D1544" s="98">
        <f>BDS($A1544,FLD_HIST,"headers=y","startcol=1","endcol=7","dir=h","DVD_START_DT",HIST_FROM,"DVD_END_DT",HIST_TO)</f>
        <v/>
      </c>
      <c r="E1544" s="99" t="n"/>
      <c r="F1544" s="99" t="n"/>
      <c r="G1544" s="99" t="n"/>
      <c r="H1544" s="99" t="n"/>
      <c r="I1544" s="99" t="n"/>
      <c r="J1544" s="99" t="n"/>
      <c r="K1544" s="99" t="n"/>
      <c r="L1544" s="99" t="n"/>
      <c r="M1544" s="99" t="n"/>
      <c r="N1544" s="99" t="n"/>
      <c r="O1544" s="99" t="n"/>
      <c r="P1544" s="99" t="n"/>
      <c r="Q1544" s="99" t="n"/>
      <c r="R1544" s="99" t="n"/>
      <c r="S1544" s="99" t="n"/>
      <c r="T1544" s="99" t="n"/>
      <c r="U1544" s="99" t="n"/>
      <c r="V1544" s="99" t="n"/>
      <c r="W1544" s="99" t="n"/>
      <c r="X1544" s="99" t="n"/>
      <c r="Y1544" s="99" t="n"/>
      <c r="Z1544" s="99" t="n"/>
      <c r="AA1544" s="99" t="n"/>
      <c r="AB1544" s="99" t="n"/>
      <c r="AC1544" s="99" t="n"/>
      <c r="AD1544" s="99" t="n"/>
      <c r="AE1544" s="99" t="n"/>
      <c r="AF1544" s="99" t="n"/>
      <c r="AG1544" s="99" t="n"/>
      <c r="AH1544" s="99" t="n"/>
      <c r="AI1544" s="99" t="n"/>
      <c r="AJ1544" s="99" t="n"/>
      <c r="AK1544" s="99" t="n"/>
      <c r="AL1544" s="99" t="n"/>
      <c r="AM1544" s="99" t="n"/>
      <c r="AN1544" s="99" t="n"/>
      <c r="AO1544" s="99" t="n"/>
      <c r="AP1544" s="99" t="n"/>
      <c r="AQ1544" s="99" t="n"/>
      <c r="AR1544" s="99" t="n"/>
    </row>
    <row r="1545">
      <c r="D1545" s="99" t="n"/>
      <c r="E1545" s="99" t="n"/>
      <c r="F1545" s="99" t="n"/>
      <c r="G1545" s="99" t="n"/>
      <c r="H1545" s="99" t="n"/>
      <c r="I1545" s="99" t="n"/>
      <c r="J1545" s="99" t="n"/>
      <c r="K1545" s="99" t="n"/>
      <c r="L1545" s="99" t="n"/>
      <c r="M1545" s="99" t="n"/>
      <c r="N1545" s="99" t="n"/>
      <c r="O1545" s="99" t="n"/>
      <c r="P1545" s="99" t="n"/>
      <c r="Q1545" s="99" t="n"/>
      <c r="R1545" s="99" t="n"/>
      <c r="S1545" s="99" t="n"/>
      <c r="T1545" s="99" t="n"/>
      <c r="U1545" s="99" t="n"/>
      <c r="V1545" s="99" t="n"/>
      <c r="W1545" s="99" t="n"/>
      <c r="X1545" s="99" t="n"/>
      <c r="Y1545" s="99" t="n"/>
      <c r="Z1545" s="99" t="n"/>
      <c r="AA1545" s="99" t="n"/>
      <c r="AB1545" s="99" t="n"/>
      <c r="AC1545" s="99" t="n"/>
      <c r="AD1545" s="99" t="n"/>
      <c r="AE1545" s="99" t="n"/>
      <c r="AF1545" s="99" t="n"/>
      <c r="AG1545" s="99" t="n"/>
      <c r="AH1545" s="99" t="n"/>
      <c r="AI1545" s="99" t="n"/>
      <c r="AJ1545" s="99" t="n"/>
      <c r="AK1545" s="99" t="n"/>
      <c r="AL1545" s="99" t="n"/>
      <c r="AM1545" s="99" t="n"/>
      <c r="AN1545" s="99" t="n"/>
      <c r="AO1545" s="99" t="n"/>
      <c r="AP1545" s="99" t="n"/>
      <c r="AQ1545" s="99" t="n"/>
      <c r="AR1545" s="99" t="n"/>
    </row>
    <row r="1546">
      <c r="D1546" s="99" t="n"/>
      <c r="E1546" s="99" t="n"/>
      <c r="F1546" s="99" t="n"/>
      <c r="G1546" s="99" t="n"/>
      <c r="H1546" s="99" t="n"/>
      <c r="I1546" s="99" t="n"/>
      <c r="J1546" s="99" t="n"/>
      <c r="K1546" s="99" t="n"/>
      <c r="L1546" s="99" t="n"/>
      <c r="M1546" s="99" t="n"/>
      <c r="N1546" s="99" t="n"/>
      <c r="O1546" s="99" t="n"/>
      <c r="P1546" s="99" t="n"/>
      <c r="Q1546" s="99" t="n"/>
      <c r="R1546" s="99" t="n"/>
      <c r="S1546" s="99" t="n"/>
      <c r="T1546" s="99" t="n"/>
      <c r="U1546" s="99" t="n"/>
      <c r="V1546" s="99" t="n"/>
      <c r="W1546" s="99" t="n"/>
      <c r="X1546" s="99" t="n"/>
      <c r="Y1546" s="99" t="n"/>
      <c r="Z1546" s="99" t="n"/>
      <c r="AA1546" s="99" t="n"/>
      <c r="AB1546" s="99" t="n"/>
      <c r="AC1546" s="99" t="n"/>
      <c r="AD1546" s="99" t="n"/>
      <c r="AE1546" s="99" t="n"/>
      <c r="AF1546" s="99" t="n"/>
      <c r="AG1546" s="99" t="n"/>
      <c r="AH1546" s="99" t="n"/>
      <c r="AI1546" s="99" t="n"/>
      <c r="AJ1546" s="99" t="n"/>
      <c r="AK1546" s="99" t="n"/>
      <c r="AL1546" s="99" t="n"/>
      <c r="AM1546" s="99" t="n"/>
      <c r="AN1546" s="99" t="n"/>
      <c r="AO1546" s="99" t="n"/>
      <c r="AP1546" s="99" t="n"/>
      <c r="AQ1546" s="99" t="n"/>
      <c r="AR1546" s="99" t="n"/>
    </row>
    <row r="1547">
      <c r="D1547" s="99" t="n"/>
      <c r="E1547" s="99" t="n"/>
      <c r="F1547" s="99" t="n"/>
      <c r="G1547" s="99" t="n"/>
      <c r="H1547" s="99" t="n"/>
      <c r="I1547" s="99" t="n"/>
      <c r="J1547" s="99" t="n"/>
      <c r="K1547" s="99" t="n"/>
      <c r="L1547" s="99" t="n"/>
      <c r="M1547" s="99" t="n"/>
      <c r="N1547" s="99" t="n"/>
      <c r="O1547" s="99" t="n"/>
      <c r="P1547" s="99" t="n"/>
      <c r="Q1547" s="99" t="n"/>
      <c r="R1547" s="99" t="n"/>
      <c r="S1547" s="99" t="n"/>
      <c r="T1547" s="99" t="n"/>
      <c r="U1547" s="99" t="n"/>
      <c r="V1547" s="99" t="n"/>
      <c r="W1547" s="99" t="n"/>
      <c r="X1547" s="99" t="n"/>
      <c r="Y1547" s="99" t="n"/>
      <c r="Z1547" s="99" t="n"/>
      <c r="AA1547" s="99" t="n"/>
      <c r="AB1547" s="99" t="n"/>
      <c r="AC1547" s="99" t="n"/>
      <c r="AD1547" s="99" t="n"/>
      <c r="AE1547" s="99" t="n"/>
      <c r="AF1547" s="99" t="n"/>
      <c r="AG1547" s="99" t="n"/>
      <c r="AH1547" s="99" t="n"/>
      <c r="AI1547" s="99" t="n"/>
      <c r="AJ1547" s="99" t="n"/>
      <c r="AK1547" s="99" t="n"/>
      <c r="AL1547" s="99" t="n"/>
      <c r="AM1547" s="99" t="n"/>
      <c r="AN1547" s="99" t="n"/>
      <c r="AO1547" s="99" t="n"/>
      <c r="AP1547" s="99" t="n"/>
      <c r="AQ1547" s="99" t="n"/>
      <c r="AR1547" s="99" t="n"/>
    </row>
    <row r="1548">
      <c r="D1548" s="100" t="n"/>
      <c r="E1548" s="100" t="n"/>
      <c r="F1548" s="100" t="n"/>
      <c r="G1548" s="100" t="n"/>
      <c r="H1548" s="100" t="n"/>
      <c r="I1548" s="100" t="n"/>
      <c r="J1548" s="100" t="n"/>
      <c r="K1548" s="100" t="n"/>
      <c r="L1548" s="100" t="n"/>
      <c r="M1548" s="100" t="n"/>
      <c r="N1548" s="100" t="n"/>
      <c r="O1548" s="100" t="n"/>
      <c r="P1548" s="100" t="n"/>
      <c r="Q1548" s="100" t="n"/>
      <c r="R1548" s="100" t="n"/>
      <c r="S1548" s="100" t="n"/>
      <c r="T1548" s="100" t="n"/>
      <c r="U1548" s="100" t="n"/>
      <c r="V1548" s="100" t="n"/>
      <c r="W1548" s="100" t="n"/>
      <c r="X1548" s="100" t="n"/>
      <c r="Y1548" s="100" t="n"/>
      <c r="Z1548" s="100" t="n"/>
      <c r="AA1548" s="100" t="n"/>
      <c r="AB1548" s="100" t="n"/>
      <c r="AC1548" s="100" t="n"/>
      <c r="AD1548" s="100" t="n"/>
      <c r="AE1548" s="100" t="n"/>
      <c r="AF1548" s="100" t="n"/>
      <c r="AG1548" s="100" t="n"/>
      <c r="AH1548" s="100" t="n"/>
      <c r="AI1548" s="100" t="n"/>
      <c r="AJ1548" s="100" t="n"/>
      <c r="AK1548" s="100" t="n"/>
      <c r="AL1548" s="100" t="n"/>
      <c r="AM1548" s="100" t="n"/>
      <c r="AN1548" s="100" t="n"/>
      <c r="AO1548" s="100" t="n"/>
      <c r="AP1548" s="100" t="n"/>
      <c r="AQ1548" s="100" t="n"/>
      <c r="AR1548" s="100" t="n"/>
    </row>
    <row r="1551">
      <c r="A1551" s="2">
        <f>IF($A1544="","","   projections")</f>
        <v/>
      </c>
      <c r="B1551" s="96">
        <f>IF($A1544="",0,COUNT($E1552:$AR1552))</f>
        <v/>
      </c>
      <c r="C1551" s="97">
        <f>IF($B1551=0,0,MAX($E1552:$AR1552))</f>
        <v/>
      </c>
      <c r="D1551" s="98">
        <f>BDS($A1544,FLD_PROJ,"headers=y","startcol=1","endcol=3","dir=h")</f>
        <v/>
      </c>
      <c r="E1551" s="99" t="n"/>
      <c r="F1551" s="99" t="n"/>
      <c r="G1551" s="99" t="n"/>
      <c r="H1551" s="99" t="n"/>
      <c r="I1551" s="99" t="n"/>
      <c r="J1551" s="99" t="n"/>
      <c r="K1551" s="99" t="n"/>
      <c r="L1551" s="99" t="n"/>
      <c r="M1551" s="99" t="n"/>
      <c r="N1551" s="99" t="n"/>
      <c r="O1551" s="99" t="n"/>
      <c r="P1551" s="99" t="n"/>
      <c r="Q1551" s="99" t="n"/>
      <c r="R1551" s="99" t="n"/>
      <c r="S1551" s="99" t="n"/>
      <c r="T1551" s="99" t="n"/>
      <c r="U1551" s="99" t="n"/>
      <c r="V1551" s="99" t="n"/>
      <c r="W1551" s="99" t="n"/>
      <c r="X1551" s="99" t="n"/>
      <c r="Y1551" s="99" t="n"/>
      <c r="Z1551" s="99" t="n"/>
      <c r="AA1551" s="99" t="n"/>
      <c r="AB1551" s="99" t="n"/>
      <c r="AC1551" s="99" t="n"/>
      <c r="AD1551" s="99" t="n"/>
      <c r="AE1551" s="99" t="n"/>
      <c r="AF1551" s="99" t="n"/>
      <c r="AG1551" s="99" t="n"/>
      <c r="AH1551" s="99" t="n"/>
      <c r="AI1551" s="99" t="n"/>
      <c r="AJ1551" s="99" t="n"/>
      <c r="AK1551" s="99" t="n"/>
      <c r="AL1551" s="99" t="n"/>
      <c r="AM1551" s="99" t="n"/>
      <c r="AN1551" s="99" t="n"/>
      <c r="AO1551" s="99" t="n"/>
      <c r="AP1551" s="99" t="n"/>
      <c r="AQ1551" s="99" t="n"/>
      <c r="AR1551" s="99" t="n"/>
    </row>
    <row r="1552">
      <c r="D1552" s="99" t="n"/>
      <c r="E1552" s="99" t="n"/>
      <c r="F1552" s="99" t="n"/>
      <c r="G1552" s="99" t="n"/>
      <c r="H1552" s="99" t="n"/>
      <c r="I1552" s="99" t="n"/>
      <c r="J1552" s="99" t="n"/>
      <c r="K1552" s="99" t="n"/>
      <c r="L1552" s="99" t="n"/>
      <c r="M1552" s="99" t="n"/>
      <c r="N1552" s="99" t="n"/>
      <c r="O1552" s="99" t="n"/>
      <c r="P1552" s="99" t="n"/>
      <c r="Q1552" s="99" t="n"/>
      <c r="R1552" s="99" t="n"/>
      <c r="S1552" s="99" t="n"/>
      <c r="T1552" s="99" t="n"/>
      <c r="U1552" s="99" t="n"/>
      <c r="V1552" s="99" t="n"/>
      <c r="W1552" s="99" t="n"/>
      <c r="X1552" s="99" t="n"/>
      <c r="Y1552" s="99" t="n"/>
      <c r="Z1552" s="99" t="n"/>
      <c r="AA1552" s="99" t="n"/>
      <c r="AB1552" s="99" t="n"/>
      <c r="AC1552" s="99" t="n"/>
      <c r="AD1552" s="99" t="n"/>
      <c r="AE1552" s="99" t="n"/>
      <c r="AF1552" s="99" t="n"/>
      <c r="AG1552" s="99" t="n"/>
      <c r="AH1552" s="99" t="n"/>
      <c r="AI1552" s="99" t="n"/>
      <c r="AJ1552" s="99" t="n"/>
      <c r="AK1552" s="99" t="n"/>
      <c r="AL1552" s="99" t="n"/>
      <c r="AM1552" s="99" t="n"/>
      <c r="AN1552" s="99" t="n"/>
      <c r="AO1552" s="99" t="n"/>
      <c r="AP1552" s="99" t="n"/>
      <c r="AQ1552" s="99" t="n"/>
      <c r="AR1552" s="99" t="n"/>
    </row>
    <row r="1553">
      <c r="D1553" s="100" t="n"/>
      <c r="E1553" s="100" t="n"/>
      <c r="F1553" s="100" t="n"/>
      <c r="G1553" s="100" t="n"/>
      <c r="H1553" s="100" t="n"/>
      <c r="I1553" s="100" t="n"/>
      <c r="J1553" s="100" t="n"/>
      <c r="K1553" s="100" t="n"/>
      <c r="L1553" s="100" t="n"/>
      <c r="M1553" s="100" t="n"/>
      <c r="N1553" s="100" t="n"/>
      <c r="O1553" s="100" t="n"/>
      <c r="P1553" s="100" t="n"/>
      <c r="Q1553" s="100" t="n"/>
      <c r="R1553" s="100" t="n"/>
      <c r="S1553" s="100" t="n"/>
      <c r="T1553" s="100" t="n"/>
      <c r="U1553" s="100" t="n"/>
      <c r="V1553" s="100" t="n"/>
      <c r="W1553" s="100" t="n"/>
      <c r="X1553" s="100" t="n"/>
      <c r="Y1553" s="100" t="n"/>
      <c r="Z1553" s="100" t="n"/>
      <c r="AA1553" s="100" t="n"/>
      <c r="AB1553" s="100" t="n"/>
      <c r="AC1553" s="100" t="n"/>
      <c r="AD1553" s="100" t="n"/>
      <c r="AE1553" s="100" t="n"/>
      <c r="AF1553" s="100" t="n"/>
      <c r="AG1553" s="100" t="n"/>
      <c r="AH1553" s="100" t="n"/>
      <c r="AI1553" s="100" t="n"/>
      <c r="AJ1553" s="100" t="n"/>
      <c r="AK1553" s="100" t="n"/>
      <c r="AL1553" s="100" t="n"/>
      <c r="AM1553" s="100" t="n"/>
      <c r="AN1553" s="100" t="n"/>
      <c r="AO1553" s="100" t="n"/>
      <c r="AP1553" s="100" t="n"/>
      <c r="AQ1553" s="100" t="n"/>
      <c r="AR1553" s="100" t="n"/>
    </row>
    <row r="1557">
      <c r="A1557" s="3" t="inlineStr">
        <is>
          <t>Hang Seng China Enterprises (HSCEI)</t>
        </is>
      </c>
      <c r="B1557" s="4" t="n"/>
      <c r="C1557" s="4" t="n"/>
      <c r="D1557" s="4" t="n"/>
      <c r="F1557" s="2">
        <f>SUMPRODUCT($B$1560:$B$2219)&amp;" events read   |   "&amp;COUNTA($AS$1560:$CF$2219)&amp;" beyond the window (must be 0)"</f>
        <v/>
      </c>
    </row>
    <row r="1558">
      <c r="A1558" s="19" t="inlineStr">
        <is>
          <t>Ticker</t>
        </is>
      </c>
      <c r="B1558" s="19" t="inlineStr">
        <is>
          <t>Events</t>
        </is>
      </c>
      <c r="C1558" s="19" t="inlineStr">
        <is>
          <t>Last ex</t>
        </is>
      </c>
      <c r="D1558" s="19" t="inlineStr">
        <is>
          <t>Bloomberg spill -&gt;</t>
        </is>
      </c>
    </row>
    <row r="1560">
      <c r="A1560" s="6">
        <f>IF(HSCEI!$C$7="","",HSCEI!$C$7)</f>
        <v/>
      </c>
      <c r="B1560" s="96">
        <f>IF($A1560="",0,COUNT($E1561:$AR1561))</f>
        <v/>
      </c>
      <c r="C1560" s="97">
        <f>IF($B1560=0,0,MAX($E1561:$AR1561))</f>
        <v/>
      </c>
      <c r="D1560" s="98">
        <f>BDS($A1560,FLD_HIST,"headers=y","startcol=1","endcol=7","dir=h","DVD_START_DT",HIST_FROM,"DVD_END_DT",HIST_TO)</f>
        <v/>
      </c>
      <c r="E1560" s="99" t="n"/>
      <c r="F1560" s="99" t="n"/>
      <c r="G1560" s="99" t="n"/>
      <c r="H1560" s="99" t="n"/>
      <c r="I1560" s="99" t="n"/>
      <c r="J1560" s="99" t="n"/>
      <c r="K1560" s="99" t="n"/>
      <c r="L1560" s="99" t="n"/>
      <c r="M1560" s="99" t="n"/>
      <c r="N1560" s="99" t="n"/>
      <c r="O1560" s="99" t="n"/>
      <c r="P1560" s="99" t="n"/>
      <c r="Q1560" s="99" t="n"/>
      <c r="R1560" s="99" t="n"/>
      <c r="S1560" s="99" t="n"/>
      <c r="T1560" s="99" t="n"/>
      <c r="U1560" s="99" t="n"/>
      <c r="V1560" s="99" t="n"/>
      <c r="W1560" s="99" t="n"/>
      <c r="X1560" s="99" t="n"/>
      <c r="Y1560" s="99" t="n"/>
      <c r="Z1560" s="99" t="n"/>
      <c r="AA1560" s="99" t="n"/>
      <c r="AB1560" s="99" t="n"/>
      <c r="AC1560" s="99" t="n"/>
      <c r="AD1560" s="99" t="n"/>
      <c r="AE1560" s="99" t="n"/>
      <c r="AF1560" s="99" t="n"/>
      <c r="AG1560" s="99" t="n"/>
      <c r="AH1560" s="99" t="n"/>
      <c r="AI1560" s="99" t="n"/>
      <c r="AJ1560" s="99" t="n"/>
      <c r="AK1560" s="99" t="n"/>
      <c r="AL1560" s="99" t="n"/>
      <c r="AM1560" s="99" t="n"/>
      <c r="AN1560" s="99" t="n"/>
      <c r="AO1560" s="99" t="n"/>
      <c r="AP1560" s="99" t="n"/>
      <c r="AQ1560" s="99" t="n"/>
      <c r="AR1560" s="99" t="n"/>
    </row>
    <row r="1561">
      <c r="D1561" s="99" t="n"/>
      <c r="E1561" s="99" t="n"/>
      <c r="F1561" s="99" t="n"/>
      <c r="G1561" s="99" t="n"/>
      <c r="H1561" s="99" t="n"/>
      <c r="I1561" s="99" t="n"/>
      <c r="J1561" s="99" t="n"/>
      <c r="K1561" s="99" t="n"/>
      <c r="L1561" s="99" t="n"/>
      <c r="M1561" s="99" t="n"/>
      <c r="N1561" s="99" t="n"/>
      <c r="O1561" s="99" t="n"/>
      <c r="P1561" s="99" t="n"/>
      <c r="Q1561" s="99" t="n"/>
      <c r="R1561" s="99" t="n"/>
      <c r="S1561" s="99" t="n"/>
      <c r="T1561" s="99" t="n"/>
      <c r="U1561" s="99" t="n"/>
      <c r="V1561" s="99" t="n"/>
      <c r="W1561" s="99" t="n"/>
      <c r="X1561" s="99" t="n"/>
      <c r="Y1561" s="99" t="n"/>
      <c r="Z1561" s="99" t="n"/>
      <c r="AA1561" s="99" t="n"/>
      <c r="AB1561" s="99" t="n"/>
      <c r="AC1561" s="99" t="n"/>
      <c r="AD1561" s="99" t="n"/>
      <c r="AE1561" s="99" t="n"/>
      <c r="AF1561" s="99" t="n"/>
      <c r="AG1561" s="99" t="n"/>
      <c r="AH1561" s="99" t="n"/>
      <c r="AI1561" s="99" t="n"/>
      <c r="AJ1561" s="99" t="n"/>
      <c r="AK1561" s="99" t="n"/>
      <c r="AL1561" s="99" t="n"/>
      <c r="AM1561" s="99" t="n"/>
      <c r="AN1561" s="99" t="n"/>
      <c r="AO1561" s="99" t="n"/>
      <c r="AP1561" s="99" t="n"/>
      <c r="AQ1561" s="99" t="n"/>
      <c r="AR1561" s="99" t="n"/>
    </row>
    <row r="1562">
      <c r="D1562" s="99" t="n"/>
      <c r="E1562" s="99" t="n"/>
      <c r="F1562" s="99" t="n"/>
      <c r="G1562" s="99" t="n"/>
      <c r="H1562" s="99" t="n"/>
      <c r="I1562" s="99" t="n"/>
      <c r="J1562" s="99" t="n"/>
      <c r="K1562" s="99" t="n"/>
      <c r="L1562" s="99" t="n"/>
      <c r="M1562" s="99" t="n"/>
      <c r="N1562" s="99" t="n"/>
      <c r="O1562" s="99" t="n"/>
      <c r="P1562" s="99" t="n"/>
      <c r="Q1562" s="99" t="n"/>
      <c r="R1562" s="99" t="n"/>
      <c r="S1562" s="99" t="n"/>
      <c r="T1562" s="99" t="n"/>
      <c r="U1562" s="99" t="n"/>
      <c r="V1562" s="99" t="n"/>
      <c r="W1562" s="99" t="n"/>
      <c r="X1562" s="99" t="n"/>
      <c r="Y1562" s="99" t="n"/>
      <c r="Z1562" s="99" t="n"/>
      <c r="AA1562" s="99" t="n"/>
      <c r="AB1562" s="99" t="n"/>
      <c r="AC1562" s="99" t="n"/>
      <c r="AD1562" s="99" t="n"/>
      <c r="AE1562" s="99" t="n"/>
      <c r="AF1562" s="99" t="n"/>
      <c r="AG1562" s="99" t="n"/>
      <c r="AH1562" s="99" t="n"/>
      <c r="AI1562" s="99" t="n"/>
      <c r="AJ1562" s="99" t="n"/>
      <c r="AK1562" s="99" t="n"/>
      <c r="AL1562" s="99" t="n"/>
      <c r="AM1562" s="99" t="n"/>
      <c r="AN1562" s="99" t="n"/>
      <c r="AO1562" s="99" t="n"/>
      <c r="AP1562" s="99" t="n"/>
      <c r="AQ1562" s="99" t="n"/>
      <c r="AR1562" s="99" t="n"/>
    </row>
    <row r="1563">
      <c r="D1563" s="99" t="n"/>
      <c r="E1563" s="99" t="n"/>
      <c r="F1563" s="99" t="n"/>
      <c r="G1563" s="99" t="n"/>
      <c r="H1563" s="99" t="n"/>
      <c r="I1563" s="99" t="n"/>
      <c r="J1563" s="99" t="n"/>
      <c r="K1563" s="99" t="n"/>
      <c r="L1563" s="99" t="n"/>
      <c r="M1563" s="99" t="n"/>
      <c r="N1563" s="99" t="n"/>
      <c r="O1563" s="99" t="n"/>
      <c r="P1563" s="99" t="n"/>
      <c r="Q1563" s="99" t="n"/>
      <c r="R1563" s="99" t="n"/>
      <c r="S1563" s="99" t="n"/>
      <c r="T1563" s="99" t="n"/>
      <c r="U1563" s="99" t="n"/>
      <c r="V1563" s="99" t="n"/>
      <c r="W1563" s="99" t="n"/>
      <c r="X1563" s="99" t="n"/>
      <c r="Y1563" s="99" t="n"/>
      <c r="Z1563" s="99" t="n"/>
      <c r="AA1563" s="99" t="n"/>
      <c r="AB1563" s="99" t="n"/>
      <c r="AC1563" s="99" t="n"/>
      <c r="AD1563" s="99" t="n"/>
      <c r="AE1563" s="99" t="n"/>
      <c r="AF1563" s="99" t="n"/>
      <c r="AG1563" s="99" t="n"/>
      <c r="AH1563" s="99" t="n"/>
      <c r="AI1563" s="99" t="n"/>
      <c r="AJ1563" s="99" t="n"/>
      <c r="AK1563" s="99" t="n"/>
      <c r="AL1563" s="99" t="n"/>
      <c r="AM1563" s="99" t="n"/>
      <c r="AN1563" s="99" t="n"/>
      <c r="AO1563" s="99" t="n"/>
      <c r="AP1563" s="99" t="n"/>
      <c r="AQ1563" s="99" t="n"/>
      <c r="AR1563" s="99" t="n"/>
    </row>
    <row r="1564">
      <c r="D1564" s="100" t="n"/>
      <c r="E1564" s="100" t="n"/>
      <c r="F1564" s="100" t="n"/>
      <c r="G1564" s="100" t="n"/>
      <c r="H1564" s="100" t="n"/>
      <c r="I1564" s="100" t="n"/>
      <c r="J1564" s="100" t="n"/>
      <c r="K1564" s="100" t="n"/>
      <c r="L1564" s="100" t="n"/>
      <c r="M1564" s="100" t="n"/>
      <c r="N1564" s="100" t="n"/>
      <c r="O1564" s="100" t="n"/>
      <c r="P1564" s="100" t="n"/>
      <c r="Q1564" s="100" t="n"/>
      <c r="R1564" s="100" t="n"/>
      <c r="S1564" s="100" t="n"/>
      <c r="T1564" s="100" t="n"/>
      <c r="U1564" s="100" t="n"/>
      <c r="V1564" s="100" t="n"/>
      <c r="W1564" s="100" t="n"/>
      <c r="X1564" s="100" t="n"/>
      <c r="Y1564" s="100" t="n"/>
      <c r="Z1564" s="100" t="n"/>
      <c r="AA1564" s="100" t="n"/>
      <c r="AB1564" s="100" t="n"/>
      <c r="AC1564" s="100" t="n"/>
      <c r="AD1564" s="100" t="n"/>
      <c r="AE1564" s="100" t="n"/>
      <c r="AF1564" s="100" t="n"/>
      <c r="AG1564" s="100" t="n"/>
      <c r="AH1564" s="100" t="n"/>
      <c r="AI1564" s="100" t="n"/>
      <c r="AJ1564" s="100" t="n"/>
      <c r="AK1564" s="100" t="n"/>
      <c r="AL1564" s="100" t="n"/>
      <c r="AM1564" s="100" t="n"/>
      <c r="AN1564" s="100" t="n"/>
      <c r="AO1564" s="100" t="n"/>
      <c r="AP1564" s="100" t="n"/>
      <c r="AQ1564" s="100" t="n"/>
      <c r="AR1564" s="100" t="n"/>
    </row>
    <row r="1567">
      <c r="A1567" s="2">
        <f>IF($A1560="","","   projections")</f>
        <v/>
      </c>
      <c r="B1567" s="96">
        <f>IF($A1560="",0,COUNT($E1568:$AR1568))</f>
        <v/>
      </c>
      <c r="C1567" s="97">
        <f>IF($B1567=0,0,MAX($E1568:$AR1568))</f>
        <v/>
      </c>
      <c r="D1567" s="98">
        <f>BDS($A1560,FLD_PROJ,"headers=y","startcol=1","endcol=3","dir=h")</f>
        <v/>
      </c>
      <c r="E1567" s="99" t="n"/>
      <c r="F1567" s="99" t="n"/>
      <c r="G1567" s="99" t="n"/>
      <c r="H1567" s="99" t="n"/>
      <c r="I1567" s="99" t="n"/>
      <c r="J1567" s="99" t="n"/>
      <c r="K1567" s="99" t="n"/>
      <c r="L1567" s="99" t="n"/>
      <c r="M1567" s="99" t="n"/>
      <c r="N1567" s="99" t="n"/>
      <c r="O1567" s="99" t="n"/>
      <c r="P1567" s="99" t="n"/>
      <c r="Q1567" s="99" t="n"/>
      <c r="R1567" s="99" t="n"/>
      <c r="S1567" s="99" t="n"/>
      <c r="T1567" s="99" t="n"/>
      <c r="U1567" s="99" t="n"/>
      <c r="V1567" s="99" t="n"/>
      <c r="W1567" s="99" t="n"/>
      <c r="X1567" s="99" t="n"/>
      <c r="Y1567" s="99" t="n"/>
      <c r="Z1567" s="99" t="n"/>
      <c r="AA1567" s="99" t="n"/>
      <c r="AB1567" s="99" t="n"/>
      <c r="AC1567" s="99" t="n"/>
      <c r="AD1567" s="99" t="n"/>
      <c r="AE1567" s="99" t="n"/>
      <c r="AF1567" s="99" t="n"/>
      <c r="AG1567" s="99" t="n"/>
      <c r="AH1567" s="99" t="n"/>
      <c r="AI1567" s="99" t="n"/>
      <c r="AJ1567" s="99" t="n"/>
      <c r="AK1567" s="99" t="n"/>
      <c r="AL1567" s="99" t="n"/>
      <c r="AM1567" s="99" t="n"/>
      <c r="AN1567" s="99" t="n"/>
      <c r="AO1567" s="99" t="n"/>
      <c r="AP1567" s="99" t="n"/>
      <c r="AQ1567" s="99" t="n"/>
      <c r="AR1567" s="99" t="n"/>
    </row>
    <row r="1568">
      <c r="D1568" s="99" t="n"/>
      <c r="E1568" s="99" t="n"/>
      <c r="F1568" s="99" t="n"/>
      <c r="G1568" s="99" t="n"/>
      <c r="H1568" s="99" t="n"/>
      <c r="I1568" s="99" t="n"/>
      <c r="J1568" s="99" t="n"/>
      <c r="K1568" s="99" t="n"/>
      <c r="L1568" s="99" t="n"/>
      <c r="M1568" s="99" t="n"/>
      <c r="N1568" s="99" t="n"/>
      <c r="O1568" s="99" t="n"/>
      <c r="P1568" s="99" t="n"/>
      <c r="Q1568" s="99" t="n"/>
      <c r="R1568" s="99" t="n"/>
      <c r="S1568" s="99" t="n"/>
      <c r="T1568" s="99" t="n"/>
      <c r="U1568" s="99" t="n"/>
      <c r="V1568" s="99" t="n"/>
      <c r="W1568" s="99" t="n"/>
      <c r="X1568" s="99" t="n"/>
      <c r="Y1568" s="99" t="n"/>
      <c r="Z1568" s="99" t="n"/>
      <c r="AA1568" s="99" t="n"/>
      <c r="AB1568" s="99" t="n"/>
      <c r="AC1568" s="99" t="n"/>
      <c r="AD1568" s="99" t="n"/>
      <c r="AE1568" s="99" t="n"/>
      <c r="AF1568" s="99" t="n"/>
      <c r="AG1568" s="99" t="n"/>
      <c r="AH1568" s="99" t="n"/>
      <c r="AI1568" s="99" t="n"/>
      <c r="AJ1568" s="99" t="n"/>
      <c r="AK1568" s="99" t="n"/>
      <c r="AL1568" s="99" t="n"/>
      <c r="AM1568" s="99" t="n"/>
      <c r="AN1568" s="99" t="n"/>
      <c r="AO1568" s="99" t="n"/>
      <c r="AP1568" s="99" t="n"/>
      <c r="AQ1568" s="99" t="n"/>
      <c r="AR1568" s="99" t="n"/>
    </row>
    <row r="1569">
      <c r="D1569" s="100" t="n"/>
      <c r="E1569" s="100" t="n"/>
      <c r="F1569" s="100" t="n"/>
      <c r="G1569" s="100" t="n"/>
      <c r="H1569" s="100" t="n"/>
      <c r="I1569" s="100" t="n"/>
      <c r="J1569" s="100" t="n"/>
      <c r="K1569" s="100" t="n"/>
      <c r="L1569" s="100" t="n"/>
      <c r="M1569" s="100" t="n"/>
      <c r="N1569" s="100" t="n"/>
      <c r="O1569" s="100" t="n"/>
      <c r="P1569" s="100" t="n"/>
      <c r="Q1569" s="100" t="n"/>
      <c r="R1569" s="100" t="n"/>
      <c r="S1569" s="100" t="n"/>
      <c r="T1569" s="100" t="n"/>
      <c r="U1569" s="100" t="n"/>
      <c r="V1569" s="100" t="n"/>
      <c r="W1569" s="100" t="n"/>
      <c r="X1569" s="100" t="n"/>
      <c r="Y1569" s="100" t="n"/>
      <c r="Z1569" s="100" t="n"/>
      <c r="AA1569" s="100" t="n"/>
      <c r="AB1569" s="100" t="n"/>
      <c r="AC1569" s="100" t="n"/>
      <c r="AD1569" s="100" t="n"/>
      <c r="AE1569" s="100" t="n"/>
      <c r="AF1569" s="100" t="n"/>
      <c r="AG1569" s="100" t="n"/>
      <c r="AH1569" s="100" t="n"/>
      <c r="AI1569" s="100" t="n"/>
      <c r="AJ1569" s="100" t="n"/>
      <c r="AK1569" s="100" t="n"/>
      <c r="AL1569" s="100" t="n"/>
      <c r="AM1569" s="100" t="n"/>
      <c r="AN1569" s="100" t="n"/>
      <c r="AO1569" s="100" t="n"/>
      <c r="AP1569" s="100" t="n"/>
      <c r="AQ1569" s="100" t="n"/>
      <c r="AR1569" s="100" t="n"/>
    </row>
    <row r="1571">
      <c r="A1571" s="6">
        <f>IF(HSCEI!$C$8="","",HSCEI!$C$8)</f>
        <v/>
      </c>
      <c r="B1571" s="96">
        <f>IF($A1571="",0,COUNT($E1572:$AR1572))</f>
        <v/>
      </c>
      <c r="C1571" s="97">
        <f>IF($B1571=0,0,MAX($E1572:$AR1572))</f>
        <v/>
      </c>
      <c r="D1571" s="98">
        <f>BDS($A1571,FLD_HIST,"headers=y","startcol=1","endcol=7","dir=h","DVD_START_DT",HIST_FROM,"DVD_END_DT",HIST_TO)</f>
        <v/>
      </c>
      <c r="E1571" s="99" t="n"/>
      <c r="F1571" s="99" t="n"/>
      <c r="G1571" s="99" t="n"/>
      <c r="H1571" s="99" t="n"/>
      <c r="I1571" s="99" t="n"/>
      <c r="J1571" s="99" t="n"/>
      <c r="K1571" s="99" t="n"/>
      <c r="L1571" s="99" t="n"/>
      <c r="M1571" s="99" t="n"/>
      <c r="N1571" s="99" t="n"/>
      <c r="O1571" s="99" t="n"/>
      <c r="P1571" s="99" t="n"/>
      <c r="Q1571" s="99" t="n"/>
      <c r="R1571" s="99" t="n"/>
      <c r="S1571" s="99" t="n"/>
      <c r="T1571" s="99" t="n"/>
      <c r="U1571" s="99" t="n"/>
      <c r="V1571" s="99" t="n"/>
      <c r="W1571" s="99" t="n"/>
      <c r="X1571" s="99" t="n"/>
      <c r="Y1571" s="99" t="n"/>
      <c r="Z1571" s="99" t="n"/>
      <c r="AA1571" s="99" t="n"/>
      <c r="AB1571" s="99" t="n"/>
      <c r="AC1571" s="99" t="n"/>
      <c r="AD1571" s="99" t="n"/>
      <c r="AE1571" s="99" t="n"/>
      <c r="AF1571" s="99" t="n"/>
      <c r="AG1571" s="99" t="n"/>
      <c r="AH1571" s="99" t="n"/>
      <c r="AI1571" s="99" t="n"/>
      <c r="AJ1571" s="99" t="n"/>
      <c r="AK1571" s="99" t="n"/>
      <c r="AL1571" s="99" t="n"/>
      <c r="AM1571" s="99" t="n"/>
      <c r="AN1571" s="99" t="n"/>
      <c r="AO1571" s="99" t="n"/>
      <c r="AP1571" s="99" t="n"/>
      <c r="AQ1571" s="99" t="n"/>
      <c r="AR1571" s="99" t="n"/>
    </row>
    <row r="1572">
      <c r="D1572" s="99" t="n"/>
      <c r="E1572" s="99" t="n"/>
      <c r="F1572" s="99" t="n"/>
      <c r="G1572" s="99" t="n"/>
      <c r="H1572" s="99" t="n"/>
      <c r="I1572" s="99" t="n"/>
      <c r="J1572" s="99" t="n"/>
      <c r="K1572" s="99" t="n"/>
      <c r="L1572" s="99" t="n"/>
      <c r="M1572" s="99" t="n"/>
      <c r="N1572" s="99" t="n"/>
      <c r="O1572" s="99" t="n"/>
      <c r="P1572" s="99" t="n"/>
      <c r="Q1572" s="99" t="n"/>
      <c r="R1572" s="99" t="n"/>
      <c r="S1572" s="99" t="n"/>
      <c r="T1572" s="99" t="n"/>
      <c r="U1572" s="99" t="n"/>
      <c r="V1572" s="99" t="n"/>
      <c r="W1572" s="99" t="n"/>
      <c r="X1572" s="99" t="n"/>
      <c r="Y1572" s="99" t="n"/>
      <c r="Z1572" s="99" t="n"/>
      <c r="AA1572" s="99" t="n"/>
      <c r="AB1572" s="99" t="n"/>
      <c r="AC1572" s="99" t="n"/>
      <c r="AD1572" s="99" t="n"/>
      <c r="AE1572" s="99" t="n"/>
      <c r="AF1572" s="99" t="n"/>
      <c r="AG1572" s="99" t="n"/>
      <c r="AH1572" s="99" t="n"/>
      <c r="AI1572" s="99" t="n"/>
      <c r="AJ1572" s="99" t="n"/>
      <c r="AK1572" s="99" t="n"/>
      <c r="AL1572" s="99" t="n"/>
      <c r="AM1572" s="99" t="n"/>
      <c r="AN1572" s="99" t="n"/>
      <c r="AO1572" s="99" t="n"/>
      <c r="AP1572" s="99" t="n"/>
      <c r="AQ1572" s="99" t="n"/>
      <c r="AR1572" s="99" t="n"/>
    </row>
    <row r="1573">
      <c r="D1573" s="99" t="n"/>
      <c r="E1573" s="99" t="n"/>
      <c r="F1573" s="99" t="n"/>
      <c r="G1573" s="99" t="n"/>
      <c r="H1573" s="99" t="n"/>
      <c r="I1573" s="99" t="n"/>
      <c r="J1573" s="99" t="n"/>
      <c r="K1573" s="99" t="n"/>
      <c r="L1573" s="99" t="n"/>
      <c r="M1573" s="99" t="n"/>
      <c r="N1573" s="99" t="n"/>
      <c r="O1573" s="99" t="n"/>
      <c r="P1573" s="99" t="n"/>
      <c r="Q1573" s="99" t="n"/>
      <c r="R1573" s="99" t="n"/>
      <c r="S1573" s="99" t="n"/>
      <c r="T1573" s="99" t="n"/>
      <c r="U1573" s="99" t="n"/>
      <c r="V1573" s="99" t="n"/>
      <c r="W1573" s="99" t="n"/>
      <c r="X1573" s="99" t="n"/>
      <c r="Y1573" s="99" t="n"/>
      <c r="Z1573" s="99" t="n"/>
      <c r="AA1573" s="99" t="n"/>
      <c r="AB1573" s="99" t="n"/>
      <c r="AC1573" s="99" t="n"/>
      <c r="AD1573" s="99" t="n"/>
      <c r="AE1573" s="99" t="n"/>
      <c r="AF1573" s="99" t="n"/>
      <c r="AG1573" s="99" t="n"/>
      <c r="AH1573" s="99" t="n"/>
      <c r="AI1573" s="99" t="n"/>
      <c r="AJ1573" s="99" t="n"/>
      <c r="AK1573" s="99" t="n"/>
      <c r="AL1573" s="99" t="n"/>
      <c r="AM1573" s="99" t="n"/>
      <c r="AN1573" s="99" t="n"/>
      <c r="AO1573" s="99" t="n"/>
      <c r="AP1573" s="99" t="n"/>
      <c r="AQ1573" s="99" t="n"/>
      <c r="AR1573" s="99" t="n"/>
    </row>
    <row r="1574">
      <c r="D1574" s="99" t="n"/>
      <c r="E1574" s="99" t="n"/>
      <c r="F1574" s="99" t="n"/>
      <c r="G1574" s="99" t="n"/>
      <c r="H1574" s="99" t="n"/>
      <c r="I1574" s="99" t="n"/>
      <c r="J1574" s="99" t="n"/>
      <c r="K1574" s="99" t="n"/>
      <c r="L1574" s="99" t="n"/>
      <c r="M1574" s="99" t="n"/>
      <c r="N1574" s="99" t="n"/>
      <c r="O1574" s="99" t="n"/>
      <c r="P1574" s="99" t="n"/>
      <c r="Q1574" s="99" t="n"/>
      <c r="R1574" s="99" t="n"/>
      <c r="S1574" s="99" t="n"/>
      <c r="T1574" s="99" t="n"/>
      <c r="U1574" s="99" t="n"/>
      <c r="V1574" s="99" t="n"/>
      <c r="W1574" s="99" t="n"/>
      <c r="X1574" s="99" t="n"/>
      <c r="Y1574" s="99" t="n"/>
      <c r="Z1574" s="99" t="n"/>
      <c r="AA1574" s="99" t="n"/>
      <c r="AB1574" s="99" t="n"/>
      <c r="AC1574" s="99" t="n"/>
      <c r="AD1574" s="99" t="n"/>
      <c r="AE1574" s="99" t="n"/>
      <c r="AF1574" s="99" t="n"/>
      <c r="AG1574" s="99" t="n"/>
      <c r="AH1574" s="99" t="n"/>
      <c r="AI1574" s="99" t="n"/>
      <c r="AJ1574" s="99" t="n"/>
      <c r="AK1574" s="99" t="n"/>
      <c r="AL1574" s="99" t="n"/>
      <c r="AM1574" s="99" t="n"/>
      <c r="AN1574" s="99" t="n"/>
      <c r="AO1574" s="99" t="n"/>
      <c r="AP1574" s="99" t="n"/>
      <c r="AQ1574" s="99" t="n"/>
      <c r="AR1574" s="99" t="n"/>
    </row>
    <row r="1575">
      <c r="D1575" s="100" t="n"/>
      <c r="E1575" s="100" t="n"/>
      <c r="F1575" s="100" t="n"/>
      <c r="G1575" s="100" t="n"/>
      <c r="H1575" s="100" t="n"/>
      <c r="I1575" s="100" t="n"/>
      <c r="J1575" s="100" t="n"/>
      <c r="K1575" s="100" t="n"/>
      <c r="L1575" s="100" t="n"/>
      <c r="M1575" s="100" t="n"/>
      <c r="N1575" s="100" t="n"/>
      <c r="O1575" s="100" t="n"/>
      <c r="P1575" s="100" t="n"/>
      <c r="Q1575" s="100" t="n"/>
      <c r="R1575" s="100" t="n"/>
      <c r="S1575" s="100" t="n"/>
      <c r="T1575" s="100" t="n"/>
      <c r="U1575" s="100" t="n"/>
      <c r="V1575" s="100" t="n"/>
      <c r="W1575" s="100" t="n"/>
      <c r="X1575" s="100" t="n"/>
      <c r="Y1575" s="100" t="n"/>
      <c r="Z1575" s="100" t="n"/>
      <c r="AA1575" s="100" t="n"/>
      <c r="AB1575" s="100" t="n"/>
      <c r="AC1575" s="100" t="n"/>
      <c r="AD1575" s="100" t="n"/>
      <c r="AE1575" s="100" t="n"/>
      <c r="AF1575" s="100" t="n"/>
      <c r="AG1575" s="100" t="n"/>
      <c r="AH1575" s="100" t="n"/>
      <c r="AI1575" s="100" t="n"/>
      <c r="AJ1575" s="100" t="n"/>
      <c r="AK1575" s="100" t="n"/>
      <c r="AL1575" s="100" t="n"/>
      <c r="AM1575" s="100" t="n"/>
      <c r="AN1575" s="100" t="n"/>
      <c r="AO1575" s="100" t="n"/>
      <c r="AP1575" s="100" t="n"/>
      <c r="AQ1575" s="100" t="n"/>
      <c r="AR1575" s="100" t="n"/>
    </row>
    <row r="1578">
      <c r="A1578" s="2">
        <f>IF($A1571="","","   projections")</f>
        <v/>
      </c>
      <c r="B1578" s="96">
        <f>IF($A1571="",0,COUNT($E1579:$AR1579))</f>
        <v/>
      </c>
      <c r="C1578" s="97">
        <f>IF($B1578=0,0,MAX($E1579:$AR1579))</f>
        <v/>
      </c>
      <c r="D1578" s="98">
        <f>BDS($A1571,FLD_PROJ,"headers=y","startcol=1","endcol=3","dir=h")</f>
        <v/>
      </c>
      <c r="E1578" s="99" t="n"/>
      <c r="F1578" s="99" t="n"/>
      <c r="G1578" s="99" t="n"/>
      <c r="H1578" s="99" t="n"/>
      <c r="I1578" s="99" t="n"/>
      <c r="J1578" s="99" t="n"/>
      <c r="K1578" s="99" t="n"/>
      <c r="L1578" s="99" t="n"/>
      <c r="M1578" s="99" t="n"/>
      <c r="N1578" s="99" t="n"/>
      <c r="O1578" s="99" t="n"/>
      <c r="P1578" s="99" t="n"/>
      <c r="Q1578" s="99" t="n"/>
      <c r="R1578" s="99" t="n"/>
      <c r="S1578" s="99" t="n"/>
      <c r="T1578" s="99" t="n"/>
      <c r="U1578" s="99" t="n"/>
      <c r="V1578" s="99" t="n"/>
      <c r="W1578" s="99" t="n"/>
      <c r="X1578" s="99" t="n"/>
      <c r="Y1578" s="99" t="n"/>
      <c r="Z1578" s="99" t="n"/>
      <c r="AA1578" s="99" t="n"/>
      <c r="AB1578" s="99" t="n"/>
      <c r="AC1578" s="99" t="n"/>
      <c r="AD1578" s="99" t="n"/>
      <c r="AE1578" s="99" t="n"/>
      <c r="AF1578" s="99" t="n"/>
      <c r="AG1578" s="99" t="n"/>
      <c r="AH1578" s="99" t="n"/>
      <c r="AI1578" s="99" t="n"/>
      <c r="AJ1578" s="99" t="n"/>
      <c r="AK1578" s="99" t="n"/>
      <c r="AL1578" s="99" t="n"/>
      <c r="AM1578" s="99" t="n"/>
      <c r="AN1578" s="99" t="n"/>
      <c r="AO1578" s="99" t="n"/>
      <c r="AP1578" s="99" t="n"/>
      <c r="AQ1578" s="99" t="n"/>
      <c r="AR1578" s="99" t="n"/>
    </row>
    <row r="1579">
      <c r="D1579" s="99" t="n"/>
      <c r="E1579" s="99" t="n"/>
      <c r="F1579" s="99" t="n"/>
      <c r="G1579" s="99" t="n"/>
      <c r="H1579" s="99" t="n"/>
      <c r="I1579" s="99" t="n"/>
      <c r="J1579" s="99" t="n"/>
      <c r="K1579" s="99" t="n"/>
      <c r="L1579" s="99" t="n"/>
      <c r="M1579" s="99" t="n"/>
      <c r="N1579" s="99" t="n"/>
      <c r="O1579" s="99" t="n"/>
      <c r="P1579" s="99" t="n"/>
      <c r="Q1579" s="99" t="n"/>
      <c r="R1579" s="99" t="n"/>
      <c r="S1579" s="99" t="n"/>
      <c r="T1579" s="99" t="n"/>
      <c r="U1579" s="99" t="n"/>
      <c r="V1579" s="99" t="n"/>
      <c r="W1579" s="99" t="n"/>
      <c r="X1579" s="99" t="n"/>
      <c r="Y1579" s="99" t="n"/>
      <c r="Z1579" s="99" t="n"/>
      <c r="AA1579" s="99" t="n"/>
      <c r="AB1579" s="99" t="n"/>
      <c r="AC1579" s="99" t="n"/>
      <c r="AD1579" s="99" t="n"/>
      <c r="AE1579" s="99" t="n"/>
      <c r="AF1579" s="99" t="n"/>
      <c r="AG1579" s="99" t="n"/>
      <c r="AH1579" s="99" t="n"/>
      <c r="AI1579" s="99" t="n"/>
      <c r="AJ1579" s="99" t="n"/>
      <c r="AK1579" s="99" t="n"/>
      <c r="AL1579" s="99" t="n"/>
      <c r="AM1579" s="99" t="n"/>
      <c r="AN1579" s="99" t="n"/>
      <c r="AO1579" s="99" t="n"/>
      <c r="AP1579" s="99" t="n"/>
      <c r="AQ1579" s="99" t="n"/>
      <c r="AR1579" s="99" t="n"/>
    </row>
    <row r="1580">
      <c r="D1580" s="100" t="n"/>
      <c r="E1580" s="100" t="n"/>
      <c r="F1580" s="100" t="n"/>
      <c r="G1580" s="100" t="n"/>
      <c r="H1580" s="100" t="n"/>
      <c r="I1580" s="100" t="n"/>
      <c r="J1580" s="100" t="n"/>
      <c r="K1580" s="100" t="n"/>
      <c r="L1580" s="100" t="n"/>
      <c r="M1580" s="100" t="n"/>
      <c r="N1580" s="100" t="n"/>
      <c r="O1580" s="100" t="n"/>
      <c r="P1580" s="100" t="n"/>
      <c r="Q1580" s="100" t="n"/>
      <c r="R1580" s="100" t="n"/>
      <c r="S1580" s="100" t="n"/>
      <c r="T1580" s="100" t="n"/>
      <c r="U1580" s="100" t="n"/>
      <c r="V1580" s="100" t="n"/>
      <c r="W1580" s="100" t="n"/>
      <c r="X1580" s="100" t="n"/>
      <c r="Y1580" s="100" t="n"/>
      <c r="Z1580" s="100" t="n"/>
      <c r="AA1580" s="100" t="n"/>
      <c r="AB1580" s="100" t="n"/>
      <c r="AC1580" s="100" t="n"/>
      <c r="AD1580" s="100" t="n"/>
      <c r="AE1580" s="100" t="n"/>
      <c r="AF1580" s="100" t="n"/>
      <c r="AG1580" s="100" t="n"/>
      <c r="AH1580" s="100" t="n"/>
      <c r="AI1580" s="100" t="n"/>
      <c r="AJ1580" s="100" t="n"/>
      <c r="AK1580" s="100" t="n"/>
      <c r="AL1580" s="100" t="n"/>
      <c r="AM1580" s="100" t="n"/>
      <c r="AN1580" s="100" t="n"/>
      <c r="AO1580" s="100" t="n"/>
      <c r="AP1580" s="100" t="n"/>
      <c r="AQ1580" s="100" t="n"/>
      <c r="AR1580" s="100" t="n"/>
    </row>
    <row r="1582">
      <c r="A1582" s="6">
        <f>IF(HSCEI!$C$9="","",HSCEI!$C$9)</f>
        <v/>
      </c>
      <c r="B1582" s="96">
        <f>IF($A1582="",0,COUNT($E1583:$AR1583))</f>
        <v/>
      </c>
      <c r="C1582" s="97">
        <f>IF($B1582=0,0,MAX($E1583:$AR1583))</f>
        <v/>
      </c>
      <c r="D1582" s="98">
        <f>BDS($A1582,FLD_HIST,"headers=y","startcol=1","endcol=7","dir=h","DVD_START_DT",HIST_FROM,"DVD_END_DT",HIST_TO)</f>
        <v/>
      </c>
      <c r="E1582" s="99" t="n"/>
      <c r="F1582" s="99" t="n"/>
      <c r="G1582" s="99" t="n"/>
      <c r="H1582" s="99" t="n"/>
      <c r="I1582" s="99" t="n"/>
      <c r="J1582" s="99" t="n"/>
      <c r="K1582" s="99" t="n"/>
      <c r="L1582" s="99" t="n"/>
      <c r="M1582" s="99" t="n"/>
      <c r="N1582" s="99" t="n"/>
      <c r="O1582" s="99" t="n"/>
      <c r="P1582" s="99" t="n"/>
      <c r="Q1582" s="99" t="n"/>
      <c r="R1582" s="99" t="n"/>
      <c r="S1582" s="99" t="n"/>
      <c r="T1582" s="99" t="n"/>
      <c r="U1582" s="99" t="n"/>
      <c r="V1582" s="99" t="n"/>
      <c r="W1582" s="99" t="n"/>
      <c r="X1582" s="99" t="n"/>
      <c r="Y1582" s="99" t="n"/>
      <c r="Z1582" s="99" t="n"/>
      <c r="AA1582" s="99" t="n"/>
      <c r="AB1582" s="99" t="n"/>
      <c r="AC1582" s="99" t="n"/>
      <c r="AD1582" s="99" t="n"/>
      <c r="AE1582" s="99" t="n"/>
      <c r="AF1582" s="99" t="n"/>
      <c r="AG1582" s="99" t="n"/>
      <c r="AH1582" s="99" t="n"/>
      <c r="AI1582" s="99" t="n"/>
      <c r="AJ1582" s="99" t="n"/>
      <c r="AK1582" s="99" t="n"/>
      <c r="AL1582" s="99" t="n"/>
      <c r="AM1582" s="99" t="n"/>
      <c r="AN1582" s="99" t="n"/>
      <c r="AO1582" s="99" t="n"/>
      <c r="AP1582" s="99" t="n"/>
      <c r="AQ1582" s="99" t="n"/>
      <c r="AR1582" s="99" t="n"/>
    </row>
    <row r="1583">
      <c r="D1583" s="99" t="n"/>
      <c r="E1583" s="99" t="n"/>
      <c r="F1583" s="99" t="n"/>
      <c r="G1583" s="99" t="n"/>
      <c r="H1583" s="99" t="n"/>
      <c r="I1583" s="99" t="n"/>
      <c r="J1583" s="99" t="n"/>
      <c r="K1583" s="99" t="n"/>
      <c r="L1583" s="99" t="n"/>
      <c r="M1583" s="99" t="n"/>
      <c r="N1583" s="99" t="n"/>
      <c r="O1583" s="99" t="n"/>
      <c r="P1583" s="99" t="n"/>
      <c r="Q1583" s="99" t="n"/>
      <c r="R1583" s="99" t="n"/>
      <c r="S1583" s="99" t="n"/>
      <c r="T1583" s="99" t="n"/>
      <c r="U1583" s="99" t="n"/>
      <c r="V1583" s="99" t="n"/>
      <c r="W1583" s="99" t="n"/>
      <c r="X1583" s="99" t="n"/>
      <c r="Y1583" s="99" t="n"/>
      <c r="Z1583" s="99" t="n"/>
      <c r="AA1583" s="99" t="n"/>
      <c r="AB1583" s="99" t="n"/>
      <c r="AC1583" s="99" t="n"/>
      <c r="AD1583" s="99" t="n"/>
      <c r="AE1583" s="99" t="n"/>
      <c r="AF1583" s="99" t="n"/>
      <c r="AG1583" s="99" t="n"/>
      <c r="AH1583" s="99" t="n"/>
      <c r="AI1583" s="99" t="n"/>
      <c r="AJ1583" s="99" t="n"/>
      <c r="AK1583" s="99" t="n"/>
      <c r="AL1583" s="99" t="n"/>
      <c r="AM1583" s="99" t="n"/>
      <c r="AN1583" s="99" t="n"/>
      <c r="AO1583" s="99" t="n"/>
      <c r="AP1583" s="99" t="n"/>
      <c r="AQ1583" s="99" t="n"/>
      <c r="AR1583" s="99" t="n"/>
    </row>
    <row r="1584">
      <c r="D1584" s="99" t="n"/>
      <c r="E1584" s="99" t="n"/>
      <c r="F1584" s="99" t="n"/>
      <c r="G1584" s="99" t="n"/>
      <c r="H1584" s="99" t="n"/>
      <c r="I1584" s="99" t="n"/>
      <c r="J1584" s="99" t="n"/>
      <c r="K1584" s="99" t="n"/>
      <c r="L1584" s="99" t="n"/>
      <c r="M1584" s="99" t="n"/>
      <c r="N1584" s="99" t="n"/>
      <c r="O1584" s="99" t="n"/>
      <c r="P1584" s="99" t="n"/>
      <c r="Q1584" s="99" t="n"/>
      <c r="R1584" s="99" t="n"/>
      <c r="S1584" s="99" t="n"/>
      <c r="T1584" s="99" t="n"/>
      <c r="U1584" s="99" t="n"/>
      <c r="V1584" s="99" t="n"/>
      <c r="W1584" s="99" t="n"/>
      <c r="X1584" s="99" t="n"/>
      <c r="Y1584" s="99" t="n"/>
      <c r="Z1584" s="99" t="n"/>
      <c r="AA1584" s="99" t="n"/>
      <c r="AB1584" s="99" t="n"/>
      <c r="AC1584" s="99" t="n"/>
      <c r="AD1584" s="99" t="n"/>
      <c r="AE1584" s="99" t="n"/>
      <c r="AF1584" s="99" t="n"/>
      <c r="AG1584" s="99" t="n"/>
      <c r="AH1584" s="99" t="n"/>
      <c r="AI1584" s="99" t="n"/>
      <c r="AJ1584" s="99" t="n"/>
      <c r="AK1584" s="99" t="n"/>
      <c r="AL1584" s="99" t="n"/>
      <c r="AM1584" s="99" t="n"/>
      <c r="AN1584" s="99" t="n"/>
      <c r="AO1584" s="99" t="n"/>
      <c r="AP1584" s="99" t="n"/>
      <c r="AQ1584" s="99" t="n"/>
      <c r="AR1584" s="99" t="n"/>
    </row>
    <row r="1585">
      <c r="D1585" s="99" t="n"/>
      <c r="E1585" s="99" t="n"/>
      <c r="F1585" s="99" t="n"/>
      <c r="G1585" s="99" t="n"/>
      <c r="H1585" s="99" t="n"/>
      <c r="I1585" s="99" t="n"/>
      <c r="J1585" s="99" t="n"/>
      <c r="K1585" s="99" t="n"/>
      <c r="L1585" s="99" t="n"/>
      <c r="M1585" s="99" t="n"/>
      <c r="N1585" s="99" t="n"/>
      <c r="O1585" s="99" t="n"/>
      <c r="P1585" s="99" t="n"/>
      <c r="Q1585" s="99" t="n"/>
      <c r="R1585" s="99" t="n"/>
      <c r="S1585" s="99" t="n"/>
      <c r="T1585" s="99" t="n"/>
      <c r="U1585" s="99" t="n"/>
      <c r="V1585" s="99" t="n"/>
      <c r="W1585" s="99" t="n"/>
      <c r="X1585" s="99" t="n"/>
      <c r="Y1585" s="99" t="n"/>
      <c r="Z1585" s="99" t="n"/>
      <c r="AA1585" s="99" t="n"/>
      <c r="AB1585" s="99" t="n"/>
      <c r="AC1585" s="99" t="n"/>
      <c r="AD1585" s="99" t="n"/>
      <c r="AE1585" s="99" t="n"/>
      <c r="AF1585" s="99" t="n"/>
      <c r="AG1585" s="99" t="n"/>
      <c r="AH1585" s="99" t="n"/>
      <c r="AI1585" s="99" t="n"/>
      <c r="AJ1585" s="99" t="n"/>
      <c r="AK1585" s="99" t="n"/>
      <c r="AL1585" s="99" t="n"/>
      <c r="AM1585" s="99" t="n"/>
      <c r="AN1585" s="99" t="n"/>
      <c r="AO1585" s="99" t="n"/>
      <c r="AP1585" s="99" t="n"/>
      <c r="AQ1585" s="99" t="n"/>
      <c r="AR1585" s="99" t="n"/>
    </row>
    <row r="1586">
      <c r="D1586" s="100" t="n"/>
      <c r="E1586" s="100" t="n"/>
      <c r="F1586" s="100" t="n"/>
      <c r="G1586" s="100" t="n"/>
      <c r="H1586" s="100" t="n"/>
      <c r="I1586" s="100" t="n"/>
      <c r="J1586" s="100" t="n"/>
      <c r="K1586" s="100" t="n"/>
      <c r="L1586" s="100" t="n"/>
      <c r="M1586" s="100" t="n"/>
      <c r="N1586" s="100" t="n"/>
      <c r="O1586" s="100" t="n"/>
      <c r="P1586" s="100" t="n"/>
      <c r="Q1586" s="100" t="n"/>
      <c r="R1586" s="100" t="n"/>
      <c r="S1586" s="100" t="n"/>
      <c r="T1586" s="100" t="n"/>
      <c r="U1586" s="100" t="n"/>
      <c r="V1586" s="100" t="n"/>
      <c r="W1586" s="100" t="n"/>
      <c r="X1586" s="100" t="n"/>
      <c r="Y1586" s="100" t="n"/>
      <c r="Z1586" s="100" t="n"/>
      <c r="AA1586" s="100" t="n"/>
      <c r="AB1586" s="100" t="n"/>
      <c r="AC1586" s="100" t="n"/>
      <c r="AD1586" s="100" t="n"/>
      <c r="AE1586" s="100" t="n"/>
      <c r="AF1586" s="100" t="n"/>
      <c r="AG1586" s="100" t="n"/>
      <c r="AH1586" s="100" t="n"/>
      <c r="AI1586" s="100" t="n"/>
      <c r="AJ1586" s="100" t="n"/>
      <c r="AK1586" s="100" t="n"/>
      <c r="AL1586" s="100" t="n"/>
      <c r="AM1586" s="100" t="n"/>
      <c r="AN1586" s="100" t="n"/>
      <c r="AO1586" s="100" t="n"/>
      <c r="AP1586" s="100" t="n"/>
      <c r="AQ1586" s="100" t="n"/>
      <c r="AR1586" s="100" t="n"/>
    </row>
    <row r="1589">
      <c r="A1589" s="2">
        <f>IF($A1582="","","   projections")</f>
        <v/>
      </c>
      <c r="B1589" s="96">
        <f>IF($A1582="",0,COUNT($E1590:$AR1590))</f>
        <v/>
      </c>
      <c r="C1589" s="97">
        <f>IF($B1589=0,0,MAX($E1590:$AR1590))</f>
        <v/>
      </c>
      <c r="D1589" s="98">
        <f>BDS($A1582,FLD_PROJ,"headers=y","startcol=1","endcol=3","dir=h")</f>
        <v/>
      </c>
      <c r="E1589" s="99" t="n"/>
      <c r="F1589" s="99" t="n"/>
      <c r="G1589" s="99" t="n"/>
      <c r="H1589" s="99" t="n"/>
      <c r="I1589" s="99" t="n"/>
      <c r="J1589" s="99" t="n"/>
      <c r="K1589" s="99" t="n"/>
      <c r="L1589" s="99" t="n"/>
      <c r="M1589" s="99" t="n"/>
      <c r="N1589" s="99" t="n"/>
      <c r="O1589" s="99" t="n"/>
      <c r="P1589" s="99" t="n"/>
      <c r="Q1589" s="99" t="n"/>
      <c r="R1589" s="99" t="n"/>
      <c r="S1589" s="99" t="n"/>
      <c r="T1589" s="99" t="n"/>
      <c r="U1589" s="99" t="n"/>
      <c r="V1589" s="99" t="n"/>
      <c r="W1589" s="99" t="n"/>
      <c r="X1589" s="99" t="n"/>
      <c r="Y1589" s="99" t="n"/>
      <c r="Z1589" s="99" t="n"/>
      <c r="AA1589" s="99" t="n"/>
      <c r="AB1589" s="99" t="n"/>
      <c r="AC1589" s="99" t="n"/>
      <c r="AD1589" s="99" t="n"/>
      <c r="AE1589" s="99" t="n"/>
      <c r="AF1589" s="99" t="n"/>
      <c r="AG1589" s="99" t="n"/>
      <c r="AH1589" s="99" t="n"/>
      <c r="AI1589" s="99" t="n"/>
      <c r="AJ1589" s="99" t="n"/>
      <c r="AK1589" s="99" t="n"/>
      <c r="AL1589" s="99" t="n"/>
      <c r="AM1589" s="99" t="n"/>
      <c r="AN1589" s="99" t="n"/>
      <c r="AO1589" s="99" t="n"/>
      <c r="AP1589" s="99" t="n"/>
      <c r="AQ1589" s="99" t="n"/>
      <c r="AR1589" s="99" t="n"/>
    </row>
    <row r="1590">
      <c r="D1590" s="99" t="n"/>
      <c r="E1590" s="99" t="n"/>
      <c r="F1590" s="99" t="n"/>
      <c r="G1590" s="99" t="n"/>
      <c r="H1590" s="99" t="n"/>
      <c r="I1590" s="99" t="n"/>
      <c r="J1590" s="99" t="n"/>
      <c r="K1590" s="99" t="n"/>
      <c r="L1590" s="99" t="n"/>
      <c r="M1590" s="99" t="n"/>
      <c r="N1590" s="99" t="n"/>
      <c r="O1590" s="99" t="n"/>
      <c r="P1590" s="99" t="n"/>
      <c r="Q1590" s="99" t="n"/>
      <c r="R1590" s="99" t="n"/>
      <c r="S1590" s="99" t="n"/>
      <c r="T1590" s="99" t="n"/>
      <c r="U1590" s="99" t="n"/>
      <c r="V1590" s="99" t="n"/>
      <c r="W1590" s="99" t="n"/>
      <c r="X1590" s="99" t="n"/>
      <c r="Y1590" s="99" t="n"/>
      <c r="Z1590" s="99" t="n"/>
      <c r="AA1590" s="99" t="n"/>
      <c r="AB1590" s="99" t="n"/>
      <c r="AC1590" s="99" t="n"/>
      <c r="AD1590" s="99" t="n"/>
      <c r="AE1590" s="99" t="n"/>
      <c r="AF1590" s="99" t="n"/>
      <c r="AG1590" s="99" t="n"/>
      <c r="AH1590" s="99" t="n"/>
      <c r="AI1590" s="99" t="n"/>
      <c r="AJ1590" s="99" t="n"/>
      <c r="AK1590" s="99" t="n"/>
      <c r="AL1590" s="99" t="n"/>
      <c r="AM1590" s="99" t="n"/>
      <c r="AN1590" s="99" t="n"/>
      <c r="AO1590" s="99" t="n"/>
      <c r="AP1590" s="99" t="n"/>
      <c r="AQ1590" s="99" t="n"/>
      <c r="AR1590" s="99" t="n"/>
    </row>
    <row r="1591">
      <c r="D1591" s="100" t="n"/>
      <c r="E1591" s="100" t="n"/>
      <c r="F1591" s="100" t="n"/>
      <c r="G1591" s="100" t="n"/>
      <c r="H1591" s="100" t="n"/>
      <c r="I1591" s="100" t="n"/>
      <c r="J1591" s="100" t="n"/>
      <c r="K1591" s="100" t="n"/>
      <c r="L1591" s="100" t="n"/>
      <c r="M1591" s="100" t="n"/>
      <c r="N1591" s="100" t="n"/>
      <c r="O1591" s="100" t="n"/>
      <c r="P1591" s="100" t="n"/>
      <c r="Q1591" s="100" t="n"/>
      <c r="R1591" s="100" t="n"/>
      <c r="S1591" s="100" t="n"/>
      <c r="T1591" s="100" t="n"/>
      <c r="U1591" s="100" t="n"/>
      <c r="V1591" s="100" t="n"/>
      <c r="W1591" s="100" t="n"/>
      <c r="X1591" s="100" t="n"/>
      <c r="Y1591" s="100" t="n"/>
      <c r="Z1591" s="100" t="n"/>
      <c r="AA1591" s="100" t="n"/>
      <c r="AB1591" s="100" t="n"/>
      <c r="AC1591" s="100" t="n"/>
      <c r="AD1591" s="100" t="n"/>
      <c r="AE1591" s="100" t="n"/>
      <c r="AF1591" s="100" t="n"/>
      <c r="AG1591" s="100" t="n"/>
      <c r="AH1591" s="100" t="n"/>
      <c r="AI1591" s="100" t="n"/>
      <c r="AJ1591" s="100" t="n"/>
      <c r="AK1591" s="100" t="n"/>
      <c r="AL1591" s="100" t="n"/>
      <c r="AM1591" s="100" t="n"/>
      <c r="AN1591" s="100" t="n"/>
      <c r="AO1591" s="100" t="n"/>
      <c r="AP1591" s="100" t="n"/>
      <c r="AQ1591" s="100" t="n"/>
      <c r="AR1591" s="100" t="n"/>
    </row>
    <row r="1593">
      <c r="A1593" s="6">
        <f>IF(HSCEI!$C$10="","",HSCEI!$C$10)</f>
        <v/>
      </c>
      <c r="B1593" s="96">
        <f>IF($A1593="",0,COUNT($E1594:$AR1594))</f>
        <v/>
      </c>
      <c r="C1593" s="97">
        <f>IF($B1593=0,0,MAX($E1594:$AR1594))</f>
        <v/>
      </c>
      <c r="D1593" s="98">
        <f>BDS($A1593,FLD_HIST,"headers=y","startcol=1","endcol=7","dir=h","DVD_START_DT",HIST_FROM,"DVD_END_DT",HIST_TO)</f>
        <v/>
      </c>
      <c r="E1593" s="99" t="n"/>
      <c r="F1593" s="99" t="n"/>
      <c r="G1593" s="99" t="n"/>
      <c r="H1593" s="99" t="n"/>
      <c r="I1593" s="99" t="n"/>
      <c r="J1593" s="99" t="n"/>
      <c r="K1593" s="99" t="n"/>
      <c r="L1593" s="99" t="n"/>
      <c r="M1593" s="99" t="n"/>
      <c r="N1593" s="99" t="n"/>
      <c r="O1593" s="99" t="n"/>
      <c r="P1593" s="99" t="n"/>
      <c r="Q1593" s="99" t="n"/>
      <c r="R1593" s="99" t="n"/>
      <c r="S1593" s="99" t="n"/>
      <c r="T1593" s="99" t="n"/>
      <c r="U1593" s="99" t="n"/>
      <c r="V1593" s="99" t="n"/>
      <c r="W1593" s="99" t="n"/>
      <c r="X1593" s="99" t="n"/>
      <c r="Y1593" s="99" t="n"/>
      <c r="Z1593" s="99" t="n"/>
      <c r="AA1593" s="99" t="n"/>
      <c r="AB1593" s="99" t="n"/>
      <c r="AC1593" s="99" t="n"/>
      <c r="AD1593" s="99" t="n"/>
      <c r="AE1593" s="99" t="n"/>
      <c r="AF1593" s="99" t="n"/>
      <c r="AG1593" s="99" t="n"/>
      <c r="AH1593" s="99" t="n"/>
      <c r="AI1593" s="99" t="n"/>
      <c r="AJ1593" s="99" t="n"/>
      <c r="AK1593" s="99" t="n"/>
      <c r="AL1593" s="99" t="n"/>
      <c r="AM1593" s="99" t="n"/>
      <c r="AN1593" s="99" t="n"/>
      <c r="AO1593" s="99" t="n"/>
      <c r="AP1593" s="99" t="n"/>
      <c r="AQ1593" s="99" t="n"/>
      <c r="AR1593" s="99" t="n"/>
    </row>
    <row r="1594">
      <c r="D1594" s="99" t="n"/>
      <c r="E1594" s="99" t="n"/>
      <c r="F1594" s="99" t="n"/>
      <c r="G1594" s="99" t="n"/>
      <c r="H1594" s="99" t="n"/>
      <c r="I1594" s="99" t="n"/>
      <c r="J1594" s="99" t="n"/>
      <c r="K1594" s="99" t="n"/>
      <c r="L1594" s="99" t="n"/>
      <c r="M1594" s="99" t="n"/>
      <c r="N1594" s="99" t="n"/>
      <c r="O1594" s="99" t="n"/>
      <c r="P1594" s="99" t="n"/>
      <c r="Q1594" s="99" t="n"/>
      <c r="R1594" s="99" t="n"/>
      <c r="S1594" s="99" t="n"/>
      <c r="T1594" s="99" t="n"/>
      <c r="U1594" s="99" t="n"/>
      <c r="V1594" s="99" t="n"/>
      <c r="W1594" s="99" t="n"/>
      <c r="X1594" s="99" t="n"/>
      <c r="Y1594" s="99" t="n"/>
      <c r="Z1594" s="99" t="n"/>
      <c r="AA1594" s="99" t="n"/>
      <c r="AB1594" s="99" t="n"/>
      <c r="AC1594" s="99" t="n"/>
      <c r="AD1594" s="99" t="n"/>
      <c r="AE1594" s="99" t="n"/>
      <c r="AF1594" s="99" t="n"/>
      <c r="AG1594" s="99" t="n"/>
      <c r="AH1594" s="99" t="n"/>
      <c r="AI1594" s="99" t="n"/>
      <c r="AJ1594" s="99" t="n"/>
      <c r="AK1594" s="99" t="n"/>
      <c r="AL1594" s="99" t="n"/>
      <c r="AM1594" s="99" t="n"/>
      <c r="AN1594" s="99" t="n"/>
      <c r="AO1594" s="99" t="n"/>
      <c r="AP1594" s="99" t="n"/>
      <c r="AQ1594" s="99" t="n"/>
      <c r="AR1594" s="99" t="n"/>
    </row>
    <row r="1595">
      <c r="D1595" s="99" t="n"/>
      <c r="E1595" s="99" t="n"/>
      <c r="F1595" s="99" t="n"/>
      <c r="G1595" s="99" t="n"/>
      <c r="H1595" s="99" t="n"/>
      <c r="I1595" s="99" t="n"/>
      <c r="J1595" s="99" t="n"/>
      <c r="K1595" s="99" t="n"/>
      <c r="L1595" s="99" t="n"/>
      <c r="M1595" s="99" t="n"/>
      <c r="N1595" s="99" t="n"/>
      <c r="O1595" s="99" t="n"/>
      <c r="P1595" s="99" t="n"/>
      <c r="Q1595" s="99" t="n"/>
      <c r="R1595" s="99" t="n"/>
      <c r="S1595" s="99" t="n"/>
      <c r="T1595" s="99" t="n"/>
      <c r="U1595" s="99" t="n"/>
      <c r="V1595" s="99" t="n"/>
      <c r="W1595" s="99" t="n"/>
      <c r="X1595" s="99" t="n"/>
      <c r="Y1595" s="99" t="n"/>
      <c r="Z1595" s="99" t="n"/>
      <c r="AA1595" s="99" t="n"/>
      <c r="AB1595" s="99" t="n"/>
      <c r="AC1595" s="99" t="n"/>
      <c r="AD1595" s="99" t="n"/>
      <c r="AE1595" s="99" t="n"/>
      <c r="AF1595" s="99" t="n"/>
      <c r="AG1595" s="99" t="n"/>
      <c r="AH1595" s="99" t="n"/>
      <c r="AI1595" s="99" t="n"/>
      <c r="AJ1595" s="99" t="n"/>
      <c r="AK1595" s="99" t="n"/>
      <c r="AL1595" s="99" t="n"/>
      <c r="AM1595" s="99" t="n"/>
      <c r="AN1595" s="99" t="n"/>
      <c r="AO1595" s="99" t="n"/>
      <c r="AP1595" s="99" t="n"/>
      <c r="AQ1595" s="99" t="n"/>
      <c r="AR1595" s="99" t="n"/>
    </row>
    <row r="1596">
      <c r="D1596" s="99" t="n"/>
      <c r="E1596" s="99" t="n"/>
      <c r="F1596" s="99" t="n"/>
      <c r="G1596" s="99" t="n"/>
      <c r="H1596" s="99" t="n"/>
      <c r="I1596" s="99" t="n"/>
      <c r="J1596" s="99" t="n"/>
      <c r="K1596" s="99" t="n"/>
      <c r="L1596" s="99" t="n"/>
      <c r="M1596" s="99" t="n"/>
      <c r="N1596" s="99" t="n"/>
      <c r="O1596" s="99" t="n"/>
      <c r="P1596" s="99" t="n"/>
      <c r="Q1596" s="99" t="n"/>
      <c r="R1596" s="99" t="n"/>
      <c r="S1596" s="99" t="n"/>
      <c r="T1596" s="99" t="n"/>
      <c r="U1596" s="99" t="n"/>
      <c r="V1596" s="99" t="n"/>
      <c r="W1596" s="99" t="n"/>
      <c r="X1596" s="99" t="n"/>
      <c r="Y1596" s="99" t="n"/>
      <c r="Z1596" s="99" t="n"/>
      <c r="AA1596" s="99" t="n"/>
      <c r="AB1596" s="99" t="n"/>
      <c r="AC1596" s="99" t="n"/>
      <c r="AD1596" s="99" t="n"/>
      <c r="AE1596" s="99" t="n"/>
      <c r="AF1596" s="99" t="n"/>
      <c r="AG1596" s="99" t="n"/>
      <c r="AH1596" s="99" t="n"/>
      <c r="AI1596" s="99" t="n"/>
      <c r="AJ1596" s="99" t="n"/>
      <c r="AK1596" s="99" t="n"/>
      <c r="AL1596" s="99" t="n"/>
      <c r="AM1596" s="99" t="n"/>
      <c r="AN1596" s="99" t="n"/>
      <c r="AO1596" s="99" t="n"/>
      <c r="AP1596" s="99" t="n"/>
      <c r="AQ1596" s="99" t="n"/>
      <c r="AR1596" s="99" t="n"/>
    </row>
    <row r="1597">
      <c r="D1597" s="100" t="n"/>
      <c r="E1597" s="100" t="n"/>
      <c r="F1597" s="100" t="n"/>
      <c r="G1597" s="100" t="n"/>
      <c r="H1597" s="100" t="n"/>
      <c r="I1597" s="100" t="n"/>
      <c r="J1597" s="100" t="n"/>
      <c r="K1597" s="100" t="n"/>
      <c r="L1597" s="100" t="n"/>
      <c r="M1597" s="100" t="n"/>
      <c r="N1597" s="100" t="n"/>
      <c r="O1597" s="100" t="n"/>
      <c r="P1597" s="100" t="n"/>
      <c r="Q1597" s="100" t="n"/>
      <c r="R1597" s="100" t="n"/>
      <c r="S1597" s="100" t="n"/>
      <c r="T1597" s="100" t="n"/>
      <c r="U1597" s="100" t="n"/>
      <c r="V1597" s="100" t="n"/>
      <c r="W1597" s="100" t="n"/>
      <c r="X1597" s="100" t="n"/>
      <c r="Y1597" s="100" t="n"/>
      <c r="Z1597" s="100" t="n"/>
      <c r="AA1597" s="100" t="n"/>
      <c r="AB1597" s="100" t="n"/>
      <c r="AC1597" s="100" t="n"/>
      <c r="AD1597" s="100" t="n"/>
      <c r="AE1597" s="100" t="n"/>
      <c r="AF1597" s="100" t="n"/>
      <c r="AG1597" s="100" t="n"/>
      <c r="AH1597" s="100" t="n"/>
      <c r="AI1597" s="100" t="n"/>
      <c r="AJ1597" s="100" t="n"/>
      <c r="AK1597" s="100" t="n"/>
      <c r="AL1597" s="100" t="n"/>
      <c r="AM1597" s="100" t="n"/>
      <c r="AN1597" s="100" t="n"/>
      <c r="AO1597" s="100" t="n"/>
      <c r="AP1597" s="100" t="n"/>
      <c r="AQ1597" s="100" t="n"/>
      <c r="AR1597" s="100" t="n"/>
    </row>
    <row r="1600">
      <c r="A1600" s="2">
        <f>IF($A1593="","","   projections")</f>
        <v/>
      </c>
      <c r="B1600" s="96">
        <f>IF($A1593="",0,COUNT($E1601:$AR1601))</f>
        <v/>
      </c>
      <c r="C1600" s="97">
        <f>IF($B1600=0,0,MAX($E1601:$AR1601))</f>
        <v/>
      </c>
      <c r="D1600" s="98">
        <f>BDS($A1593,FLD_PROJ,"headers=y","startcol=1","endcol=3","dir=h")</f>
        <v/>
      </c>
      <c r="E1600" s="99" t="n"/>
      <c r="F1600" s="99" t="n"/>
      <c r="G1600" s="99" t="n"/>
      <c r="H1600" s="99" t="n"/>
      <c r="I1600" s="99" t="n"/>
      <c r="J1600" s="99" t="n"/>
      <c r="K1600" s="99" t="n"/>
      <c r="L1600" s="99" t="n"/>
      <c r="M1600" s="99" t="n"/>
      <c r="N1600" s="99" t="n"/>
      <c r="O1600" s="99" t="n"/>
      <c r="P1600" s="99" t="n"/>
      <c r="Q1600" s="99" t="n"/>
      <c r="R1600" s="99" t="n"/>
      <c r="S1600" s="99" t="n"/>
      <c r="T1600" s="99" t="n"/>
      <c r="U1600" s="99" t="n"/>
      <c r="V1600" s="99" t="n"/>
      <c r="W1600" s="99" t="n"/>
      <c r="X1600" s="99" t="n"/>
      <c r="Y1600" s="99" t="n"/>
      <c r="Z1600" s="99" t="n"/>
      <c r="AA1600" s="99" t="n"/>
      <c r="AB1600" s="99" t="n"/>
      <c r="AC1600" s="99" t="n"/>
      <c r="AD1600" s="99" t="n"/>
      <c r="AE1600" s="99" t="n"/>
      <c r="AF1600" s="99" t="n"/>
      <c r="AG1600" s="99" t="n"/>
      <c r="AH1600" s="99" t="n"/>
      <c r="AI1600" s="99" t="n"/>
      <c r="AJ1600" s="99" t="n"/>
      <c r="AK1600" s="99" t="n"/>
      <c r="AL1600" s="99" t="n"/>
      <c r="AM1600" s="99" t="n"/>
      <c r="AN1600" s="99" t="n"/>
      <c r="AO1600" s="99" t="n"/>
      <c r="AP1600" s="99" t="n"/>
      <c r="AQ1600" s="99" t="n"/>
      <c r="AR1600" s="99" t="n"/>
    </row>
    <row r="1601">
      <c r="D1601" s="99" t="n"/>
      <c r="E1601" s="99" t="n"/>
      <c r="F1601" s="99" t="n"/>
      <c r="G1601" s="99" t="n"/>
      <c r="H1601" s="99" t="n"/>
      <c r="I1601" s="99" t="n"/>
      <c r="J1601" s="99" t="n"/>
      <c r="K1601" s="99" t="n"/>
      <c r="L1601" s="99" t="n"/>
      <c r="M1601" s="99" t="n"/>
      <c r="N1601" s="99" t="n"/>
      <c r="O1601" s="99" t="n"/>
      <c r="P1601" s="99" t="n"/>
      <c r="Q1601" s="99" t="n"/>
      <c r="R1601" s="99" t="n"/>
      <c r="S1601" s="99" t="n"/>
      <c r="T1601" s="99" t="n"/>
      <c r="U1601" s="99" t="n"/>
      <c r="V1601" s="99" t="n"/>
      <c r="W1601" s="99" t="n"/>
      <c r="X1601" s="99" t="n"/>
      <c r="Y1601" s="99" t="n"/>
      <c r="Z1601" s="99" t="n"/>
      <c r="AA1601" s="99" t="n"/>
      <c r="AB1601" s="99" t="n"/>
      <c r="AC1601" s="99" t="n"/>
      <c r="AD1601" s="99" t="n"/>
      <c r="AE1601" s="99" t="n"/>
      <c r="AF1601" s="99" t="n"/>
      <c r="AG1601" s="99" t="n"/>
      <c r="AH1601" s="99" t="n"/>
      <c r="AI1601" s="99" t="n"/>
      <c r="AJ1601" s="99" t="n"/>
      <c r="AK1601" s="99" t="n"/>
      <c r="AL1601" s="99" t="n"/>
      <c r="AM1601" s="99" t="n"/>
      <c r="AN1601" s="99" t="n"/>
      <c r="AO1601" s="99" t="n"/>
      <c r="AP1601" s="99" t="n"/>
      <c r="AQ1601" s="99" t="n"/>
      <c r="AR1601" s="99" t="n"/>
    </row>
    <row r="1602">
      <c r="D1602" s="100" t="n"/>
      <c r="E1602" s="100" t="n"/>
      <c r="F1602" s="100" t="n"/>
      <c r="G1602" s="100" t="n"/>
      <c r="H1602" s="100" t="n"/>
      <c r="I1602" s="100" t="n"/>
      <c r="J1602" s="100" t="n"/>
      <c r="K1602" s="100" t="n"/>
      <c r="L1602" s="100" t="n"/>
      <c r="M1602" s="100" t="n"/>
      <c r="N1602" s="100" t="n"/>
      <c r="O1602" s="100" t="n"/>
      <c r="P1602" s="100" t="n"/>
      <c r="Q1602" s="100" t="n"/>
      <c r="R1602" s="100" t="n"/>
      <c r="S1602" s="100" t="n"/>
      <c r="T1602" s="100" t="n"/>
      <c r="U1602" s="100" t="n"/>
      <c r="V1602" s="100" t="n"/>
      <c r="W1602" s="100" t="n"/>
      <c r="X1602" s="100" t="n"/>
      <c r="Y1602" s="100" t="n"/>
      <c r="Z1602" s="100" t="n"/>
      <c r="AA1602" s="100" t="n"/>
      <c r="AB1602" s="100" t="n"/>
      <c r="AC1602" s="100" t="n"/>
      <c r="AD1602" s="100" t="n"/>
      <c r="AE1602" s="100" t="n"/>
      <c r="AF1602" s="100" t="n"/>
      <c r="AG1602" s="100" t="n"/>
      <c r="AH1602" s="100" t="n"/>
      <c r="AI1602" s="100" t="n"/>
      <c r="AJ1602" s="100" t="n"/>
      <c r="AK1602" s="100" t="n"/>
      <c r="AL1602" s="100" t="n"/>
      <c r="AM1602" s="100" t="n"/>
      <c r="AN1602" s="100" t="n"/>
      <c r="AO1602" s="100" t="n"/>
      <c r="AP1602" s="100" t="n"/>
      <c r="AQ1602" s="100" t="n"/>
      <c r="AR1602" s="100" t="n"/>
    </row>
    <row r="1604">
      <c r="A1604" s="6">
        <f>IF(HSCEI!$C$11="","",HSCEI!$C$11)</f>
        <v/>
      </c>
      <c r="B1604" s="96">
        <f>IF($A1604="",0,COUNT($E1605:$AR1605))</f>
        <v/>
      </c>
      <c r="C1604" s="97">
        <f>IF($B1604=0,0,MAX($E1605:$AR1605))</f>
        <v/>
      </c>
      <c r="D1604" s="98">
        <f>BDS($A1604,FLD_HIST,"headers=y","startcol=1","endcol=7","dir=h","DVD_START_DT",HIST_FROM,"DVD_END_DT",HIST_TO)</f>
        <v/>
      </c>
      <c r="E1604" s="99" t="n"/>
      <c r="F1604" s="99" t="n"/>
      <c r="G1604" s="99" t="n"/>
      <c r="H1604" s="99" t="n"/>
      <c r="I1604" s="99" t="n"/>
      <c r="J1604" s="99" t="n"/>
      <c r="K1604" s="99" t="n"/>
      <c r="L1604" s="99" t="n"/>
      <c r="M1604" s="99" t="n"/>
      <c r="N1604" s="99" t="n"/>
      <c r="O1604" s="99" t="n"/>
      <c r="P1604" s="99" t="n"/>
      <c r="Q1604" s="99" t="n"/>
      <c r="R1604" s="99" t="n"/>
      <c r="S1604" s="99" t="n"/>
      <c r="T1604" s="99" t="n"/>
      <c r="U1604" s="99" t="n"/>
      <c r="V1604" s="99" t="n"/>
      <c r="W1604" s="99" t="n"/>
      <c r="X1604" s="99" t="n"/>
      <c r="Y1604" s="99" t="n"/>
      <c r="Z1604" s="99" t="n"/>
      <c r="AA1604" s="99" t="n"/>
      <c r="AB1604" s="99" t="n"/>
      <c r="AC1604" s="99" t="n"/>
      <c r="AD1604" s="99" t="n"/>
      <c r="AE1604" s="99" t="n"/>
      <c r="AF1604" s="99" t="n"/>
      <c r="AG1604" s="99" t="n"/>
      <c r="AH1604" s="99" t="n"/>
      <c r="AI1604" s="99" t="n"/>
      <c r="AJ1604" s="99" t="n"/>
      <c r="AK1604" s="99" t="n"/>
      <c r="AL1604" s="99" t="n"/>
      <c r="AM1604" s="99" t="n"/>
      <c r="AN1604" s="99" t="n"/>
      <c r="AO1604" s="99" t="n"/>
      <c r="AP1604" s="99" t="n"/>
      <c r="AQ1604" s="99" t="n"/>
      <c r="AR1604" s="99" t="n"/>
    </row>
    <row r="1605">
      <c r="D1605" s="99" t="n"/>
      <c r="E1605" s="99" t="n"/>
      <c r="F1605" s="99" t="n"/>
      <c r="G1605" s="99" t="n"/>
      <c r="H1605" s="99" t="n"/>
      <c r="I1605" s="99" t="n"/>
      <c r="J1605" s="99" t="n"/>
      <c r="K1605" s="99" t="n"/>
      <c r="L1605" s="99" t="n"/>
      <c r="M1605" s="99" t="n"/>
      <c r="N1605" s="99" t="n"/>
      <c r="O1605" s="99" t="n"/>
      <c r="P1605" s="99" t="n"/>
      <c r="Q1605" s="99" t="n"/>
      <c r="R1605" s="99" t="n"/>
      <c r="S1605" s="99" t="n"/>
      <c r="T1605" s="99" t="n"/>
      <c r="U1605" s="99" t="n"/>
      <c r="V1605" s="99" t="n"/>
      <c r="W1605" s="99" t="n"/>
      <c r="X1605" s="99" t="n"/>
      <c r="Y1605" s="99" t="n"/>
      <c r="Z1605" s="99" t="n"/>
      <c r="AA1605" s="99" t="n"/>
      <c r="AB1605" s="99" t="n"/>
      <c r="AC1605" s="99" t="n"/>
      <c r="AD1605" s="99" t="n"/>
      <c r="AE1605" s="99" t="n"/>
      <c r="AF1605" s="99" t="n"/>
      <c r="AG1605" s="99" t="n"/>
      <c r="AH1605" s="99" t="n"/>
      <c r="AI1605" s="99" t="n"/>
      <c r="AJ1605" s="99" t="n"/>
      <c r="AK1605" s="99" t="n"/>
      <c r="AL1605" s="99" t="n"/>
      <c r="AM1605" s="99" t="n"/>
      <c r="AN1605" s="99" t="n"/>
      <c r="AO1605" s="99" t="n"/>
      <c r="AP1605" s="99" t="n"/>
      <c r="AQ1605" s="99" t="n"/>
      <c r="AR1605" s="99" t="n"/>
    </row>
    <row r="1606">
      <c r="D1606" s="99" t="n"/>
      <c r="E1606" s="99" t="n"/>
      <c r="F1606" s="99" t="n"/>
      <c r="G1606" s="99" t="n"/>
      <c r="H1606" s="99" t="n"/>
      <c r="I1606" s="99" t="n"/>
      <c r="J1606" s="99" t="n"/>
      <c r="K1606" s="99" t="n"/>
      <c r="L1606" s="99" t="n"/>
      <c r="M1606" s="99" t="n"/>
      <c r="N1606" s="99" t="n"/>
      <c r="O1606" s="99" t="n"/>
      <c r="P1606" s="99" t="n"/>
      <c r="Q1606" s="99" t="n"/>
      <c r="R1606" s="99" t="n"/>
      <c r="S1606" s="99" t="n"/>
      <c r="T1606" s="99" t="n"/>
      <c r="U1606" s="99" t="n"/>
      <c r="V1606" s="99" t="n"/>
      <c r="W1606" s="99" t="n"/>
      <c r="X1606" s="99" t="n"/>
      <c r="Y1606" s="99" t="n"/>
      <c r="Z1606" s="99" t="n"/>
      <c r="AA1606" s="99" t="n"/>
      <c r="AB1606" s="99" t="n"/>
      <c r="AC1606" s="99" t="n"/>
      <c r="AD1606" s="99" t="n"/>
      <c r="AE1606" s="99" t="n"/>
      <c r="AF1606" s="99" t="n"/>
      <c r="AG1606" s="99" t="n"/>
      <c r="AH1606" s="99" t="n"/>
      <c r="AI1606" s="99" t="n"/>
      <c r="AJ1606" s="99" t="n"/>
      <c r="AK1606" s="99" t="n"/>
      <c r="AL1606" s="99" t="n"/>
      <c r="AM1606" s="99" t="n"/>
      <c r="AN1606" s="99" t="n"/>
      <c r="AO1606" s="99" t="n"/>
      <c r="AP1606" s="99" t="n"/>
      <c r="AQ1606" s="99" t="n"/>
      <c r="AR1606" s="99" t="n"/>
    </row>
    <row r="1607">
      <c r="D1607" s="99" t="n"/>
      <c r="E1607" s="99" t="n"/>
      <c r="F1607" s="99" t="n"/>
      <c r="G1607" s="99" t="n"/>
      <c r="H1607" s="99" t="n"/>
      <c r="I1607" s="99" t="n"/>
      <c r="J1607" s="99" t="n"/>
      <c r="K1607" s="99" t="n"/>
      <c r="L1607" s="99" t="n"/>
      <c r="M1607" s="99" t="n"/>
      <c r="N1607" s="99" t="n"/>
      <c r="O1607" s="99" t="n"/>
      <c r="P1607" s="99" t="n"/>
      <c r="Q1607" s="99" t="n"/>
      <c r="R1607" s="99" t="n"/>
      <c r="S1607" s="99" t="n"/>
      <c r="T1607" s="99" t="n"/>
      <c r="U1607" s="99" t="n"/>
      <c r="V1607" s="99" t="n"/>
      <c r="W1607" s="99" t="n"/>
      <c r="X1607" s="99" t="n"/>
      <c r="Y1607" s="99" t="n"/>
      <c r="Z1607" s="99" t="n"/>
      <c r="AA1607" s="99" t="n"/>
      <c r="AB1607" s="99" t="n"/>
      <c r="AC1607" s="99" t="n"/>
      <c r="AD1607" s="99" t="n"/>
      <c r="AE1607" s="99" t="n"/>
      <c r="AF1607" s="99" t="n"/>
      <c r="AG1607" s="99" t="n"/>
      <c r="AH1607" s="99" t="n"/>
      <c r="AI1607" s="99" t="n"/>
      <c r="AJ1607" s="99" t="n"/>
      <c r="AK1607" s="99" t="n"/>
      <c r="AL1607" s="99" t="n"/>
      <c r="AM1607" s="99" t="n"/>
      <c r="AN1607" s="99" t="n"/>
      <c r="AO1607" s="99" t="n"/>
      <c r="AP1607" s="99" t="n"/>
      <c r="AQ1607" s="99" t="n"/>
      <c r="AR1607" s="99" t="n"/>
    </row>
    <row r="1608">
      <c r="D1608" s="100" t="n"/>
      <c r="E1608" s="100" t="n"/>
      <c r="F1608" s="100" t="n"/>
      <c r="G1608" s="100" t="n"/>
      <c r="H1608" s="100" t="n"/>
      <c r="I1608" s="100" t="n"/>
      <c r="J1608" s="100" t="n"/>
      <c r="K1608" s="100" t="n"/>
      <c r="L1608" s="100" t="n"/>
      <c r="M1608" s="100" t="n"/>
      <c r="N1608" s="100" t="n"/>
      <c r="O1608" s="100" t="n"/>
      <c r="P1608" s="100" t="n"/>
      <c r="Q1608" s="100" t="n"/>
      <c r="R1608" s="100" t="n"/>
      <c r="S1608" s="100" t="n"/>
      <c r="T1608" s="100" t="n"/>
      <c r="U1608" s="100" t="n"/>
      <c r="V1608" s="100" t="n"/>
      <c r="W1608" s="100" t="n"/>
      <c r="X1608" s="100" t="n"/>
      <c r="Y1608" s="100" t="n"/>
      <c r="Z1608" s="100" t="n"/>
      <c r="AA1608" s="100" t="n"/>
      <c r="AB1608" s="100" t="n"/>
      <c r="AC1608" s="100" t="n"/>
      <c r="AD1608" s="100" t="n"/>
      <c r="AE1608" s="100" t="n"/>
      <c r="AF1608" s="100" t="n"/>
      <c r="AG1608" s="100" t="n"/>
      <c r="AH1608" s="100" t="n"/>
      <c r="AI1608" s="100" t="n"/>
      <c r="AJ1608" s="100" t="n"/>
      <c r="AK1608" s="100" t="n"/>
      <c r="AL1608" s="100" t="n"/>
      <c r="AM1608" s="100" t="n"/>
      <c r="AN1608" s="100" t="n"/>
      <c r="AO1608" s="100" t="n"/>
      <c r="AP1608" s="100" t="n"/>
      <c r="AQ1608" s="100" t="n"/>
      <c r="AR1608" s="100" t="n"/>
    </row>
    <row r="1611">
      <c r="A1611" s="2">
        <f>IF($A1604="","","   projections")</f>
        <v/>
      </c>
      <c r="B1611" s="96">
        <f>IF($A1604="",0,COUNT($E1612:$AR1612))</f>
        <v/>
      </c>
      <c r="C1611" s="97">
        <f>IF($B1611=0,0,MAX($E1612:$AR1612))</f>
        <v/>
      </c>
      <c r="D1611" s="98">
        <f>BDS($A1604,FLD_PROJ,"headers=y","startcol=1","endcol=3","dir=h")</f>
        <v/>
      </c>
      <c r="E1611" s="99" t="n"/>
      <c r="F1611" s="99" t="n"/>
      <c r="G1611" s="99" t="n"/>
      <c r="H1611" s="99" t="n"/>
      <c r="I1611" s="99" t="n"/>
      <c r="J1611" s="99" t="n"/>
      <c r="K1611" s="99" t="n"/>
      <c r="L1611" s="99" t="n"/>
      <c r="M1611" s="99" t="n"/>
      <c r="N1611" s="99" t="n"/>
      <c r="O1611" s="99" t="n"/>
      <c r="P1611" s="99" t="n"/>
      <c r="Q1611" s="99" t="n"/>
      <c r="R1611" s="99" t="n"/>
      <c r="S1611" s="99" t="n"/>
      <c r="T1611" s="99" t="n"/>
      <c r="U1611" s="99" t="n"/>
      <c r="V1611" s="99" t="n"/>
      <c r="W1611" s="99" t="n"/>
      <c r="X1611" s="99" t="n"/>
      <c r="Y1611" s="99" t="n"/>
      <c r="Z1611" s="99" t="n"/>
      <c r="AA1611" s="99" t="n"/>
      <c r="AB1611" s="99" t="n"/>
      <c r="AC1611" s="99" t="n"/>
      <c r="AD1611" s="99" t="n"/>
      <c r="AE1611" s="99" t="n"/>
      <c r="AF1611" s="99" t="n"/>
      <c r="AG1611" s="99" t="n"/>
      <c r="AH1611" s="99" t="n"/>
      <c r="AI1611" s="99" t="n"/>
      <c r="AJ1611" s="99" t="n"/>
      <c r="AK1611" s="99" t="n"/>
      <c r="AL1611" s="99" t="n"/>
      <c r="AM1611" s="99" t="n"/>
      <c r="AN1611" s="99" t="n"/>
      <c r="AO1611" s="99" t="n"/>
      <c r="AP1611" s="99" t="n"/>
      <c r="AQ1611" s="99" t="n"/>
      <c r="AR1611" s="99" t="n"/>
    </row>
    <row r="1612">
      <c r="D1612" s="99" t="n"/>
      <c r="E1612" s="99" t="n"/>
      <c r="F1612" s="99" t="n"/>
      <c r="G1612" s="99" t="n"/>
      <c r="H1612" s="99" t="n"/>
      <c r="I1612" s="99" t="n"/>
      <c r="J1612" s="99" t="n"/>
      <c r="K1612" s="99" t="n"/>
      <c r="L1612" s="99" t="n"/>
      <c r="M1612" s="99" t="n"/>
      <c r="N1612" s="99" t="n"/>
      <c r="O1612" s="99" t="n"/>
      <c r="P1612" s="99" t="n"/>
      <c r="Q1612" s="99" t="n"/>
      <c r="R1612" s="99" t="n"/>
      <c r="S1612" s="99" t="n"/>
      <c r="T1612" s="99" t="n"/>
      <c r="U1612" s="99" t="n"/>
      <c r="V1612" s="99" t="n"/>
      <c r="W1612" s="99" t="n"/>
      <c r="X1612" s="99" t="n"/>
      <c r="Y1612" s="99" t="n"/>
      <c r="Z1612" s="99" t="n"/>
      <c r="AA1612" s="99" t="n"/>
      <c r="AB1612" s="99" t="n"/>
      <c r="AC1612" s="99" t="n"/>
      <c r="AD1612" s="99" t="n"/>
      <c r="AE1612" s="99" t="n"/>
      <c r="AF1612" s="99" t="n"/>
      <c r="AG1612" s="99" t="n"/>
      <c r="AH1612" s="99" t="n"/>
      <c r="AI1612" s="99" t="n"/>
      <c r="AJ1612" s="99" t="n"/>
      <c r="AK1612" s="99" t="n"/>
      <c r="AL1612" s="99" t="n"/>
      <c r="AM1612" s="99" t="n"/>
      <c r="AN1612" s="99" t="n"/>
      <c r="AO1612" s="99" t="n"/>
      <c r="AP1612" s="99" t="n"/>
      <c r="AQ1612" s="99" t="n"/>
      <c r="AR1612" s="99" t="n"/>
    </row>
    <row r="1613">
      <c r="D1613" s="100" t="n"/>
      <c r="E1613" s="100" t="n"/>
      <c r="F1613" s="100" t="n"/>
      <c r="G1613" s="100" t="n"/>
      <c r="H1613" s="100" t="n"/>
      <c r="I1613" s="100" t="n"/>
      <c r="J1613" s="100" t="n"/>
      <c r="K1613" s="100" t="n"/>
      <c r="L1613" s="100" t="n"/>
      <c r="M1613" s="100" t="n"/>
      <c r="N1613" s="100" t="n"/>
      <c r="O1613" s="100" t="n"/>
      <c r="P1613" s="100" t="n"/>
      <c r="Q1613" s="100" t="n"/>
      <c r="R1613" s="100" t="n"/>
      <c r="S1613" s="100" t="n"/>
      <c r="T1613" s="100" t="n"/>
      <c r="U1613" s="100" t="n"/>
      <c r="V1613" s="100" t="n"/>
      <c r="W1613" s="100" t="n"/>
      <c r="X1613" s="100" t="n"/>
      <c r="Y1613" s="100" t="n"/>
      <c r="Z1613" s="100" t="n"/>
      <c r="AA1613" s="100" t="n"/>
      <c r="AB1613" s="100" t="n"/>
      <c r="AC1613" s="100" t="n"/>
      <c r="AD1613" s="100" t="n"/>
      <c r="AE1613" s="100" t="n"/>
      <c r="AF1613" s="100" t="n"/>
      <c r="AG1613" s="100" t="n"/>
      <c r="AH1613" s="100" t="n"/>
      <c r="AI1613" s="100" t="n"/>
      <c r="AJ1613" s="100" t="n"/>
      <c r="AK1613" s="100" t="n"/>
      <c r="AL1613" s="100" t="n"/>
      <c r="AM1613" s="100" t="n"/>
      <c r="AN1613" s="100" t="n"/>
      <c r="AO1613" s="100" t="n"/>
      <c r="AP1613" s="100" t="n"/>
      <c r="AQ1613" s="100" t="n"/>
      <c r="AR1613" s="100" t="n"/>
    </row>
    <row r="1615">
      <c r="A1615" s="6">
        <f>IF(HSCEI!$C$12="","",HSCEI!$C$12)</f>
        <v/>
      </c>
      <c r="B1615" s="96">
        <f>IF($A1615="",0,COUNT($E1616:$AR1616))</f>
        <v/>
      </c>
      <c r="C1615" s="97">
        <f>IF($B1615=0,0,MAX($E1616:$AR1616))</f>
        <v/>
      </c>
      <c r="D1615" s="98">
        <f>BDS($A1615,FLD_HIST,"headers=y","startcol=1","endcol=7","dir=h","DVD_START_DT",HIST_FROM,"DVD_END_DT",HIST_TO)</f>
        <v/>
      </c>
      <c r="E1615" s="99" t="n"/>
      <c r="F1615" s="99" t="n"/>
      <c r="G1615" s="99" t="n"/>
      <c r="H1615" s="99" t="n"/>
      <c r="I1615" s="99" t="n"/>
      <c r="J1615" s="99" t="n"/>
      <c r="K1615" s="99" t="n"/>
      <c r="L1615" s="99" t="n"/>
      <c r="M1615" s="99" t="n"/>
      <c r="N1615" s="99" t="n"/>
      <c r="O1615" s="99" t="n"/>
      <c r="P1615" s="99" t="n"/>
      <c r="Q1615" s="99" t="n"/>
      <c r="R1615" s="99" t="n"/>
      <c r="S1615" s="99" t="n"/>
      <c r="T1615" s="99" t="n"/>
      <c r="U1615" s="99" t="n"/>
      <c r="V1615" s="99" t="n"/>
      <c r="W1615" s="99" t="n"/>
      <c r="X1615" s="99" t="n"/>
      <c r="Y1615" s="99" t="n"/>
      <c r="Z1615" s="99" t="n"/>
      <c r="AA1615" s="99" t="n"/>
      <c r="AB1615" s="99" t="n"/>
      <c r="AC1615" s="99" t="n"/>
      <c r="AD1615" s="99" t="n"/>
      <c r="AE1615" s="99" t="n"/>
      <c r="AF1615" s="99" t="n"/>
      <c r="AG1615" s="99" t="n"/>
      <c r="AH1615" s="99" t="n"/>
      <c r="AI1615" s="99" t="n"/>
      <c r="AJ1615" s="99" t="n"/>
      <c r="AK1615" s="99" t="n"/>
      <c r="AL1615" s="99" t="n"/>
      <c r="AM1615" s="99" t="n"/>
      <c r="AN1615" s="99" t="n"/>
      <c r="AO1615" s="99" t="n"/>
      <c r="AP1615" s="99" t="n"/>
      <c r="AQ1615" s="99" t="n"/>
      <c r="AR1615" s="99" t="n"/>
    </row>
    <row r="1616">
      <c r="D1616" s="99" t="n"/>
      <c r="E1616" s="99" t="n"/>
      <c r="F1616" s="99" t="n"/>
      <c r="G1616" s="99" t="n"/>
      <c r="H1616" s="99" t="n"/>
      <c r="I1616" s="99" t="n"/>
      <c r="J1616" s="99" t="n"/>
      <c r="K1616" s="99" t="n"/>
      <c r="L1616" s="99" t="n"/>
      <c r="M1616" s="99" t="n"/>
      <c r="N1616" s="99" t="n"/>
      <c r="O1616" s="99" t="n"/>
      <c r="P1616" s="99" t="n"/>
      <c r="Q1616" s="99" t="n"/>
      <c r="R1616" s="99" t="n"/>
      <c r="S1616" s="99" t="n"/>
      <c r="T1616" s="99" t="n"/>
      <c r="U1616" s="99" t="n"/>
      <c r="V1616" s="99" t="n"/>
      <c r="W1616" s="99" t="n"/>
      <c r="X1616" s="99" t="n"/>
      <c r="Y1616" s="99" t="n"/>
      <c r="Z1616" s="99" t="n"/>
      <c r="AA1616" s="99" t="n"/>
      <c r="AB1616" s="99" t="n"/>
      <c r="AC1616" s="99" t="n"/>
      <c r="AD1616" s="99" t="n"/>
      <c r="AE1616" s="99" t="n"/>
      <c r="AF1616" s="99" t="n"/>
      <c r="AG1616" s="99" t="n"/>
      <c r="AH1616" s="99" t="n"/>
      <c r="AI1616" s="99" t="n"/>
      <c r="AJ1616" s="99" t="n"/>
      <c r="AK1616" s="99" t="n"/>
      <c r="AL1616" s="99" t="n"/>
      <c r="AM1616" s="99" t="n"/>
      <c r="AN1616" s="99" t="n"/>
      <c r="AO1616" s="99" t="n"/>
      <c r="AP1616" s="99" t="n"/>
      <c r="AQ1616" s="99" t="n"/>
      <c r="AR1616" s="99" t="n"/>
    </row>
    <row r="1617">
      <c r="D1617" s="99" t="n"/>
      <c r="E1617" s="99" t="n"/>
      <c r="F1617" s="99" t="n"/>
      <c r="G1617" s="99" t="n"/>
      <c r="H1617" s="99" t="n"/>
      <c r="I1617" s="99" t="n"/>
      <c r="J1617" s="99" t="n"/>
      <c r="K1617" s="99" t="n"/>
      <c r="L1617" s="99" t="n"/>
      <c r="M1617" s="99" t="n"/>
      <c r="N1617" s="99" t="n"/>
      <c r="O1617" s="99" t="n"/>
      <c r="P1617" s="99" t="n"/>
      <c r="Q1617" s="99" t="n"/>
      <c r="R1617" s="99" t="n"/>
      <c r="S1617" s="99" t="n"/>
      <c r="T1617" s="99" t="n"/>
      <c r="U1617" s="99" t="n"/>
      <c r="V1617" s="99" t="n"/>
      <c r="W1617" s="99" t="n"/>
      <c r="X1617" s="99" t="n"/>
      <c r="Y1617" s="99" t="n"/>
      <c r="Z1617" s="99" t="n"/>
      <c r="AA1617" s="99" t="n"/>
      <c r="AB1617" s="99" t="n"/>
      <c r="AC1617" s="99" t="n"/>
      <c r="AD1617" s="99" t="n"/>
      <c r="AE1617" s="99" t="n"/>
      <c r="AF1617" s="99" t="n"/>
      <c r="AG1617" s="99" t="n"/>
      <c r="AH1617" s="99" t="n"/>
      <c r="AI1617" s="99" t="n"/>
      <c r="AJ1617" s="99" t="n"/>
      <c r="AK1617" s="99" t="n"/>
      <c r="AL1617" s="99" t="n"/>
      <c r="AM1617" s="99" t="n"/>
      <c r="AN1617" s="99" t="n"/>
      <c r="AO1617" s="99" t="n"/>
      <c r="AP1617" s="99" t="n"/>
      <c r="AQ1617" s="99" t="n"/>
      <c r="AR1617" s="99" t="n"/>
    </row>
    <row r="1618">
      <c r="D1618" s="99" t="n"/>
      <c r="E1618" s="99" t="n"/>
      <c r="F1618" s="99" t="n"/>
      <c r="G1618" s="99" t="n"/>
      <c r="H1618" s="99" t="n"/>
      <c r="I1618" s="99" t="n"/>
      <c r="J1618" s="99" t="n"/>
      <c r="K1618" s="99" t="n"/>
      <c r="L1618" s="99" t="n"/>
      <c r="M1618" s="99" t="n"/>
      <c r="N1618" s="99" t="n"/>
      <c r="O1618" s="99" t="n"/>
      <c r="P1618" s="99" t="n"/>
      <c r="Q1618" s="99" t="n"/>
      <c r="R1618" s="99" t="n"/>
      <c r="S1618" s="99" t="n"/>
      <c r="T1618" s="99" t="n"/>
      <c r="U1618" s="99" t="n"/>
      <c r="V1618" s="99" t="n"/>
      <c r="W1618" s="99" t="n"/>
      <c r="X1618" s="99" t="n"/>
      <c r="Y1618" s="99" t="n"/>
      <c r="Z1618" s="99" t="n"/>
      <c r="AA1618" s="99" t="n"/>
      <c r="AB1618" s="99" t="n"/>
      <c r="AC1618" s="99" t="n"/>
      <c r="AD1618" s="99" t="n"/>
      <c r="AE1618" s="99" t="n"/>
      <c r="AF1618" s="99" t="n"/>
      <c r="AG1618" s="99" t="n"/>
      <c r="AH1618" s="99" t="n"/>
      <c r="AI1618" s="99" t="n"/>
      <c r="AJ1618" s="99" t="n"/>
      <c r="AK1618" s="99" t="n"/>
      <c r="AL1618" s="99" t="n"/>
      <c r="AM1618" s="99" t="n"/>
      <c r="AN1618" s="99" t="n"/>
      <c r="AO1618" s="99" t="n"/>
      <c r="AP1618" s="99" t="n"/>
      <c r="AQ1618" s="99" t="n"/>
      <c r="AR1618" s="99" t="n"/>
    </row>
    <row r="1619">
      <c r="D1619" s="100" t="n"/>
      <c r="E1619" s="100" t="n"/>
      <c r="F1619" s="100" t="n"/>
      <c r="G1619" s="100" t="n"/>
      <c r="H1619" s="100" t="n"/>
      <c r="I1619" s="100" t="n"/>
      <c r="J1619" s="100" t="n"/>
      <c r="K1619" s="100" t="n"/>
      <c r="L1619" s="100" t="n"/>
      <c r="M1619" s="100" t="n"/>
      <c r="N1619" s="100" t="n"/>
      <c r="O1619" s="100" t="n"/>
      <c r="P1619" s="100" t="n"/>
      <c r="Q1619" s="100" t="n"/>
      <c r="R1619" s="100" t="n"/>
      <c r="S1619" s="100" t="n"/>
      <c r="T1619" s="100" t="n"/>
      <c r="U1619" s="100" t="n"/>
      <c r="V1619" s="100" t="n"/>
      <c r="W1619" s="100" t="n"/>
      <c r="X1619" s="100" t="n"/>
      <c r="Y1619" s="100" t="n"/>
      <c r="Z1619" s="100" t="n"/>
      <c r="AA1619" s="100" t="n"/>
      <c r="AB1619" s="100" t="n"/>
      <c r="AC1619" s="100" t="n"/>
      <c r="AD1619" s="100" t="n"/>
      <c r="AE1619" s="100" t="n"/>
      <c r="AF1619" s="100" t="n"/>
      <c r="AG1619" s="100" t="n"/>
      <c r="AH1619" s="100" t="n"/>
      <c r="AI1619" s="100" t="n"/>
      <c r="AJ1619" s="100" t="n"/>
      <c r="AK1619" s="100" t="n"/>
      <c r="AL1619" s="100" t="n"/>
      <c r="AM1619" s="100" t="n"/>
      <c r="AN1619" s="100" t="n"/>
      <c r="AO1619" s="100" t="n"/>
      <c r="AP1619" s="100" t="n"/>
      <c r="AQ1619" s="100" t="n"/>
      <c r="AR1619" s="100" t="n"/>
    </row>
    <row r="1622">
      <c r="A1622" s="2">
        <f>IF($A1615="","","   projections")</f>
        <v/>
      </c>
      <c r="B1622" s="96">
        <f>IF($A1615="",0,COUNT($E1623:$AR1623))</f>
        <v/>
      </c>
      <c r="C1622" s="97">
        <f>IF($B1622=0,0,MAX($E1623:$AR1623))</f>
        <v/>
      </c>
      <c r="D1622" s="98">
        <f>BDS($A1615,FLD_PROJ,"headers=y","startcol=1","endcol=3","dir=h")</f>
        <v/>
      </c>
      <c r="E1622" s="99" t="n"/>
      <c r="F1622" s="99" t="n"/>
      <c r="G1622" s="99" t="n"/>
      <c r="H1622" s="99" t="n"/>
      <c r="I1622" s="99" t="n"/>
      <c r="J1622" s="99" t="n"/>
      <c r="K1622" s="99" t="n"/>
      <c r="L1622" s="99" t="n"/>
      <c r="M1622" s="99" t="n"/>
      <c r="N1622" s="99" t="n"/>
      <c r="O1622" s="99" t="n"/>
      <c r="P1622" s="99" t="n"/>
      <c r="Q1622" s="99" t="n"/>
      <c r="R1622" s="99" t="n"/>
      <c r="S1622" s="99" t="n"/>
      <c r="T1622" s="99" t="n"/>
      <c r="U1622" s="99" t="n"/>
      <c r="V1622" s="99" t="n"/>
      <c r="W1622" s="99" t="n"/>
      <c r="X1622" s="99" t="n"/>
      <c r="Y1622" s="99" t="n"/>
      <c r="Z1622" s="99" t="n"/>
      <c r="AA1622" s="99" t="n"/>
      <c r="AB1622" s="99" t="n"/>
      <c r="AC1622" s="99" t="n"/>
      <c r="AD1622" s="99" t="n"/>
      <c r="AE1622" s="99" t="n"/>
      <c r="AF1622" s="99" t="n"/>
      <c r="AG1622" s="99" t="n"/>
      <c r="AH1622" s="99" t="n"/>
      <c r="AI1622" s="99" t="n"/>
      <c r="AJ1622" s="99" t="n"/>
      <c r="AK1622" s="99" t="n"/>
      <c r="AL1622" s="99" t="n"/>
      <c r="AM1622" s="99" t="n"/>
      <c r="AN1622" s="99" t="n"/>
      <c r="AO1622" s="99" t="n"/>
      <c r="AP1622" s="99" t="n"/>
      <c r="AQ1622" s="99" t="n"/>
      <c r="AR1622" s="99" t="n"/>
    </row>
    <row r="1623">
      <c r="D1623" s="99" t="n"/>
      <c r="E1623" s="99" t="n"/>
      <c r="F1623" s="99" t="n"/>
      <c r="G1623" s="99" t="n"/>
      <c r="H1623" s="99" t="n"/>
      <c r="I1623" s="99" t="n"/>
      <c r="J1623" s="99" t="n"/>
      <c r="K1623" s="99" t="n"/>
      <c r="L1623" s="99" t="n"/>
      <c r="M1623" s="99" t="n"/>
      <c r="N1623" s="99" t="n"/>
      <c r="O1623" s="99" t="n"/>
      <c r="P1623" s="99" t="n"/>
      <c r="Q1623" s="99" t="n"/>
      <c r="R1623" s="99" t="n"/>
      <c r="S1623" s="99" t="n"/>
      <c r="T1623" s="99" t="n"/>
      <c r="U1623" s="99" t="n"/>
      <c r="V1623" s="99" t="n"/>
      <c r="W1623" s="99" t="n"/>
      <c r="X1623" s="99" t="n"/>
      <c r="Y1623" s="99" t="n"/>
      <c r="Z1623" s="99" t="n"/>
      <c r="AA1623" s="99" t="n"/>
      <c r="AB1623" s="99" t="n"/>
      <c r="AC1623" s="99" t="n"/>
      <c r="AD1623" s="99" t="n"/>
      <c r="AE1623" s="99" t="n"/>
      <c r="AF1623" s="99" t="n"/>
      <c r="AG1623" s="99" t="n"/>
      <c r="AH1623" s="99" t="n"/>
      <c r="AI1623" s="99" t="n"/>
      <c r="AJ1623" s="99" t="n"/>
      <c r="AK1623" s="99" t="n"/>
      <c r="AL1623" s="99" t="n"/>
      <c r="AM1623" s="99" t="n"/>
      <c r="AN1623" s="99" t="n"/>
      <c r="AO1623" s="99" t="n"/>
      <c r="AP1623" s="99" t="n"/>
      <c r="AQ1623" s="99" t="n"/>
      <c r="AR1623" s="99" t="n"/>
    </row>
    <row r="1624">
      <c r="D1624" s="100" t="n"/>
      <c r="E1624" s="100" t="n"/>
      <c r="F1624" s="100" t="n"/>
      <c r="G1624" s="100" t="n"/>
      <c r="H1624" s="100" t="n"/>
      <c r="I1624" s="100" t="n"/>
      <c r="J1624" s="100" t="n"/>
      <c r="K1624" s="100" t="n"/>
      <c r="L1624" s="100" t="n"/>
      <c r="M1624" s="100" t="n"/>
      <c r="N1624" s="100" t="n"/>
      <c r="O1624" s="100" t="n"/>
      <c r="P1624" s="100" t="n"/>
      <c r="Q1624" s="100" t="n"/>
      <c r="R1624" s="100" t="n"/>
      <c r="S1624" s="100" t="n"/>
      <c r="T1624" s="100" t="n"/>
      <c r="U1624" s="100" t="n"/>
      <c r="V1624" s="100" t="n"/>
      <c r="W1624" s="100" t="n"/>
      <c r="X1624" s="100" t="n"/>
      <c r="Y1624" s="100" t="n"/>
      <c r="Z1624" s="100" t="n"/>
      <c r="AA1624" s="100" t="n"/>
      <c r="AB1624" s="100" t="n"/>
      <c r="AC1624" s="100" t="n"/>
      <c r="AD1624" s="100" t="n"/>
      <c r="AE1624" s="100" t="n"/>
      <c r="AF1624" s="100" t="n"/>
      <c r="AG1624" s="100" t="n"/>
      <c r="AH1624" s="100" t="n"/>
      <c r="AI1624" s="100" t="n"/>
      <c r="AJ1624" s="100" t="n"/>
      <c r="AK1624" s="100" t="n"/>
      <c r="AL1624" s="100" t="n"/>
      <c r="AM1624" s="100" t="n"/>
      <c r="AN1624" s="100" t="n"/>
      <c r="AO1624" s="100" t="n"/>
      <c r="AP1624" s="100" t="n"/>
      <c r="AQ1624" s="100" t="n"/>
      <c r="AR1624" s="100" t="n"/>
    </row>
    <row r="1626">
      <c r="A1626" s="6">
        <f>IF(HSCEI!$C$13="","",HSCEI!$C$13)</f>
        <v/>
      </c>
      <c r="B1626" s="96">
        <f>IF($A1626="",0,COUNT($E1627:$AR1627))</f>
        <v/>
      </c>
      <c r="C1626" s="97">
        <f>IF($B1626=0,0,MAX($E1627:$AR1627))</f>
        <v/>
      </c>
      <c r="D1626" s="98">
        <f>BDS($A1626,FLD_HIST,"headers=y","startcol=1","endcol=7","dir=h","DVD_START_DT",HIST_FROM,"DVD_END_DT",HIST_TO)</f>
        <v/>
      </c>
      <c r="E1626" s="99" t="n"/>
      <c r="F1626" s="99" t="n"/>
      <c r="G1626" s="99" t="n"/>
      <c r="H1626" s="99" t="n"/>
      <c r="I1626" s="99" t="n"/>
      <c r="J1626" s="99" t="n"/>
      <c r="K1626" s="99" t="n"/>
      <c r="L1626" s="99" t="n"/>
      <c r="M1626" s="99" t="n"/>
      <c r="N1626" s="99" t="n"/>
      <c r="O1626" s="99" t="n"/>
      <c r="P1626" s="99" t="n"/>
      <c r="Q1626" s="99" t="n"/>
      <c r="R1626" s="99" t="n"/>
      <c r="S1626" s="99" t="n"/>
      <c r="T1626" s="99" t="n"/>
      <c r="U1626" s="99" t="n"/>
      <c r="V1626" s="99" t="n"/>
      <c r="W1626" s="99" t="n"/>
      <c r="X1626" s="99" t="n"/>
      <c r="Y1626" s="99" t="n"/>
      <c r="Z1626" s="99" t="n"/>
      <c r="AA1626" s="99" t="n"/>
      <c r="AB1626" s="99" t="n"/>
      <c r="AC1626" s="99" t="n"/>
      <c r="AD1626" s="99" t="n"/>
      <c r="AE1626" s="99" t="n"/>
      <c r="AF1626" s="99" t="n"/>
      <c r="AG1626" s="99" t="n"/>
      <c r="AH1626" s="99" t="n"/>
      <c r="AI1626" s="99" t="n"/>
      <c r="AJ1626" s="99" t="n"/>
      <c r="AK1626" s="99" t="n"/>
      <c r="AL1626" s="99" t="n"/>
      <c r="AM1626" s="99" t="n"/>
      <c r="AN1626" s="99" t="n"/>
      <c r="AO1626" s="99" t="n"/>
      <c r="AP1626" s="99" t="n"/>
      <c r="AQ1626" s="99" t="n"/>
      <c r="AR1626" s="99" t="n"/>
    </row>
    <row r="1627">
      <c r="D1627" s="99" t="n"/>
      <c r="E1627" s="99" t="n"/>
      <c r="F1627" s="99" t="n"/>
      <c r="G1627" s="99" t="n"/>
      <c r="H1627" s="99" t="n"/>
      <c r="I1627" s="99" t="n"/>
      <c r="J1627" s="99" t="n"/>
      <c r="K1627" s="99" t="n"/>
      <c r="L1627" s="99" t="n"/>
      <c r="M1627" s="99" t="n"/>
      <c r="N1627" s="99" t="n"/>
      <c r="O1627" s="99" t="n"/>
      <c r="P1627" s="99" t="n"/>
      <c r="Q1627" s="99" t="n"/>
      <c r="R1627" s="99" t="n"/>
      <c r="S1627" s="99" t="n"/>
      <c r="T1627" s="99" t="n"/>
      <c r="U1627" s="99" t="n"/>
      <c r="V1627" s="99" t="n"/>
      <c r="W1627" s="99" t="n"/>
      <c r="X1627" s="99" t="n"/>
      <c r="Y1627" s="99" t="n"/>
      <c r="Z1627" s="99" t="n"/>
      <c r="AA1627" s="99" t="n"/>
      <c r="AB1627" s="99" t="n"/>
      <c r="AC1627" s="99" t="n"/>
      <c r="AD1627" s="99" t="n"/>
      <c r="AE1627" s="99" t="n"/>
      <c r="AF1627" s="99" t="n"/>
      <c r="AG1627" s="99" t="n"/>
      <c r="AH1627" s="99" t="n"/>
      <c r="AI1627" s="99" t="n"/>
      <c r="AJ1627" s="99" t="n"/>
      <c r="AK1627" s="99" t="n"/>
      <c r="AL1627" s="99" t="n"/>
      <c r="AM1627" s="99" t="n"/>
      <c r="AN1627" s="99" t="n"/>
      <c r="AO1627" s="99" t="n"/>
      <c r="AP1627" s="99" t="n"/>
      <c r="AQ1627" s="99" t="n"/>
      <c r="AR1627" s="99" t="n"/>
    </row>
    <row r="1628">
      <c r="D1628" s="99" t="n"/>
      <c r="E1628" s="99" t="n"/>
      <c r="F1628" s="99" t="n"/>
      <c r="G1628" s="99" t="n"/>
      <c r="H1628" s="99" t="n"/>
      <c r="I1628" s="99" t="n"/>
      <c r="J1628" s="99" t="n"/>
      <c r="K1628" s="99" t="n"/>
      <c r="L1628" s="99" t="n"/>
      <c r="M1628" s="99" t="n"/>
      <c r="N1628" s="99" t="n"/>
      <c r="O1628" s="99" t="n"/>
      <c r="P1628" s="99" t="n"/>
      <c r="Q1628" s="99" t="n"/>
      <c r="R1628" s="99" t="n"/>
      <c r="S1628" s="99" t="n"/>
      <c r="T1628" s="99" t="n"/>
      <c r="U1628" s="99" t="n"/>
      <c r="V1628" s="99" t="n"/>
      <c r="W1628" s="99" t="n"/>
      <c r="X1628" s="99" t="n"/>
      <c r="Y1628" s="99" t="n"/>
      <c r="Z1628" s="99" t="n"/>
      <c r="AA1628" s="99" t="n"/>
      <c r="AB1628" s="99" t="n"/>
      <c r="AC1628" s="99" t="n"/>
      <c r="AD1628" s="99" t="n"/>
      <c r="AE1628" s="99" t="n"/>
      <c r="AF1628" s="99" t="n"/>
      <c r="AG1628" s="99" t="n"/>
      <c r="AH1628" s="99" t="n"/>
      <c r="AI1628" s="99" t="n"/>
      <c r="AJ1628" s="99" t="n"/>
      <c r="AK1628" s="99" t="n"/>
      <c r="AL1628" s="99" t="n"/>
      <c r="AM1628" s="99" t="n"/>
      <c r="AN1628" s="99" t="n"/>
      <c r="AO1628" s="99" t="n"/>
      <c r="AP1628" s="99" t="n"/>
      <c r="AQ1628" s="99" t="n"/>
      <c r="AR1628" s="99" t="n"/>
    </row>
    <row r="1629">
      <c r="D1629" s="99" t="n"/>
      <c r="E1629" s="99" t="n"/>
      <c r="F1629" s="99" t="n"/>
      <c r="G1629" s="99" t="n"/>
      <c r="H1629" s="99" t="n"/>
      <c r="I1629" s="99" t="n"/>
      <c r="J1629" s="99" t="n"/>
      <c r="K1629" s="99" t="n"/>
      <c r="L1629" s="99" t="n"/>
      <c r="M1629" s="99" t="n"/>
      <c r="N1629" s="99" t="n"/>
      <c r="O1629" s="99" t="n"/>
      <c r="P1629" s="99" t="n"/>
      <c r="Q1629" s="99" t="n"/>
      <c r="R1629" s="99" t="n"/>
      <c r="S1629" s="99" t="n"/>
      <c r="T1629" s="99" t="n"/>
      <c r="U1629" s="99" t="n"/>
      <c r="V1629" s="99" t="n"/>
      <c r="W1629" s="99" t="n"/>
      <c r="X1629" s="99" t="n"/>
      <c r="Y1629" s="99" t="n"/>
      <c r="Z1629" s="99" t="n"/>
      <c r="AA1629" s="99" t="n"/>
      <c r="AB1629" s="99" t="n"/>
      <c r="AC1629" s="99" t="n"/>
      <c r="AD1629" s="99" t="n"/>
      <c r="AE1629" s="99" t="n"/>
      <c r="AF1629" s="99" t="n"/>
      <c r="AG1629" s="99" t="n"/>
      <c r="AH1629" s="99" t="n"/>
      <c r="AI1629" s="99" t="n"/>
      <c r="AJ1629" s="99" t="n"/>
      <c r="AK1629" s="99" t="n"/>
      <c r="AL1629" s="99" t="n"/>
      <c r="AM1629" s="99" t="n"/>
      <c r="AN1629" s="99" t="n"/>
      <c r="AO1629" s="99" t="n"/>
      <c r="AP1629" s="99" t="n"/>
      <c r="AQ1629" s="99" t="n"/>
      <c r="AR1629" s="99" t="n"/>
    </row>
    <row r="1630">
      <c r="D1630" s="100" t="n"/>
      <c r="E1630" s="100" t="n"/>
      <c r="F1630" s="100" t="n"/>
      <c r="G1630" s="100" t="n"/>
      <c r="H1630" s="100" t="n"/>
      <c r="I1630" s="100" t="n"/>
      <c r="J1630" s="100" t="n"/>
      <c r="K1630" s="100" t="n"/>
      <c r="L1630" s="100" t="n"/>
      <c r="M1630" s="100" t="n"/>
      <c r="N1630" s="100" t="n"/>
      <c r="O1630" s="100" t="n"/>
      <c r="P1630" s="100" t="n"/>
      <c r="Q1630" s="100" t="n"/>
      <c r="R1630" s="100" t="n"/>
      <c r="S1630" s="100" t="n"/>
      <c r="T1630" s="100" t="n"/>
      <c r="U1630" s="100" t="n"/>
      <c r="V1630" s="100" t="n"/>
      <c r="W1630" s="100" t="n"/>
      <c r="X1630" s="100" t="n"/>
      <c r="Y1630" s="100" t="n"/>
      <c r="Z1630" s="100" t="n"/>
      <c r="AA1630" s="100" t="n"/>
      <c r="AB1630" s="100" t="n"/>
      <c r="AC1630" s="100" t="n"/>
      <c r="AD1630" s="100" t="n"/>
      <c r="AE1630" s="100" t="n"/>
      <c r="AF1630" s="100" t="n"/>
      <c r="AG1630" s="100" t="n"/>
      <c r="AH1630" s="100" t="n"/>
      <c r="AI1630" s="100" t="n"/>
      <c r="AJ1630" s="100" t="n"/>
      <c r="AK1630" s="100" t="n"/>
      <c r="AL1630" s="100" t="n"/>
      <c r="AM1630" s="100" t="n"/>
      <c r="AN1630" s="100" t="n"/>
      <c r="AO1630" s="100" t="n"/>
      <c r="AP1630" s="100" t="n"/>
      <c r="AQ1630" s="100" t="n"/>
      <c r="AR1630" s="100" t="n"/>
    </row>
    <row r="1633">
      <c r="A1633" s="2">
        <f>IF($A1626="","","   projections")</f>
        <v/>
      </c>
      <c r="B1633" s="96">
        <f>IF($A1626="",0,COUNT($E1634:$AR1634))</f>
        <v/>
      </c>
      <c r="C1633" s="97">
        <f>IF($B1633=0,0,MAX($E1634:$AR1634))</f>
        <v/>
      </c>
      <c r="D1633" s="98">
        <f>BDS($A1626,FLD_PROJ,"headers=y","startcol=1","endcol=3","dir=h")</f>
        <v/>
      </c>
      <c r="E1633" s="99" t="n"/>
      <c r="F1633" s="99" t="n"/>
      <c r="G1633" s="99" t="n"/>
      <c r="H1633" s="99" t="n"/>
      <c r="I1633" s="99" t="n"/>
      <c r="J1633" s="99" t="n"/>
      <c r="K1633" s="99" t="n"/>
      <c r="L1633" s="99" t="n"/>
      <c r="M1633" s="99" t="n"/>
      <c r="N1633" s="99" t="n"/>
      <c r="O1633" s="99" t="n"/>
      <c r="P1633" s="99" t="n"/>
      <c r="Q1633" s="99" t="n"/>
      <c r="R1633" s="99" t="n"/>
      <c r="S1633" s="99" t="n"/>
      <c r="T1633" s="99" t="n"/>
      <c r="U1633" s="99" t="n"/>
      <c r="V1633" s="99" t="n"/>
      <c r="W1633" s="99" t="n"/>
      <c r="X1633" s="99" t="n"/>
      <c r="Y1633" s="99" t="n"/>
      <c r="Z1633" s="99" t="n"/>
      <c r="AA1633" s="99" t="n"/>
      <c r="AB1633" s="99" t="n"/>
      <c r="AC1633" s="99" t="n"/>
      <c r="AD1633" s="99" t="n"/>
      <c r="AE1633" s="99" t="n"/>
      <c r="AF1633" s="99" t="n"/>
      <c r="AG1633" s="99" t="n"/>
      <c r="AH1633" s="99" t="n"/>
      <c r="AI1633" s="99" t="n"/>
      <c r="AJ1633" s="99" t="n"/>
      <c r="AK1633" s="99" t="n"/>
      <c r="AL1633" s="99" t="n"/>
      <c r="AM1633" s="99" t="n"/>
      <c r="AN1633" s="99" t="n"/>
      <c r="AO1633" s="99" t="n"/>
      <c r="AP1633" s="99" t="n"/>
      <c r="AQ1633" s="99" t="n"/>
      <c r="AR1633" s="99" t="n"/>
    </row>
    <row r="1634">
      <c r="D1634" s="99" t="n"/>
      <c r="E1634" s="99" t="n"/>
      <c r="F1634" s="99" t="n"/>
      <c r="G1634" s="99" t="n"/>
      <c r="H1634" s="99" t="n"/>
      <c r="I1634" s="99" t="n"/>
      <c r="J1634" s="99" t="n"/>
      <c r="K1634" s="99" t="n"/>
      <c r="L1634" s="99" t="n"/>
      <c r="M1634" s="99" t="n"/>
      <c r="N1634" s="99" t="n"/>
      <c r="O1634" s="99" t="n"/>
      <c r="P1634" s="99" t="n"/>
      <c r="Q1634" s="99" t="n"/>
      <c r="R1634" s="99" t="n"/>
      <c r="S1634" s="99" t="n"/>
      <c r="T1634" s="99" t="n"/>
      <c r="U1634" s="99" t="n"/>
      <c r="V1634" s="99" t="n"/>
      <c r="W1634" s="99" t="n"/>
      <c r="X1634" s="99" t="n"/>
      <c r="Y1634" s="99" t="n"/>
      <c r="Z1634" s="99" t="n"/>
      <c r="AA1634" s="99" t="n"/>
      <c r="AB1634" s="99" t="n"/>
      <c r="AC1634" s="99" t="n"/>
      <c r="AD1634" s="99" t="n"/>
      <c r="AE1634" s="99" t="n"/>
      <c r="AF1634" s="99" t="n"/>
      <c r="AG1634" s="99" t="n"/>
      <c r="AH1634" s="99" t="n"/>
      <c r="AI1634" s="99" t="n"/>
      <c r="AJ1634" s="99" t="n"/>
      <c r="AK1634" s="99" t="n"/>
      <c r="AL1634" s="99" t="n"/>
      <c r="AM1634" s="99" t="n"/>
      <c r="AN1634" s="99" t="n"/>
      <c r="AO1634" s="99" t="n"/>
      <c r="AP1634" s="99" t="n"/>
      <c r="AQ1634" s="99" t="n"/>
      <c r="AR1634" s="99" t="n"/>
    </row>
    <row r="1635">
      <c r="D1635" s="100" t="n"/>
      <c r="E1635" s="100" t="n"/>
      <c r="F1635" s="100" t="n"/>
      <c r="G1635" s="100" t="n"/>
      <c r="H1635" s="100" t="n"/>
      <c r="I1635" s="100" t="n"/>
      <c r="J1635" s="100" t="n"/>
      <c r="K1635" s="100" t="n"/>
      <c r="L1635" s="100" t="n"/>
      <c r="M1635" s="100" t="n"/>
      <c r="N1635" s="100" t="n"/>
      <c r="O1635" s="100" t="n"/>
      <c r="P1635" s="100" t="n"/>
      <c r="Q1635" s="100" t="n"/>
      <c r="R1635" s="100" t="n"/>
      <c r="S1635" s="100" t="n"/>
      <c r="T1635" s="100" t="n"/>
      <c r="U1635" s="100" t="n"/>
      <c r="V1635" s="100" t="n"/>
      <c r="W1635" s="100" t="n"/>
      <c r="X1635" s="100" t="n"/>
      <c r="Y1635" s="100" t="n"/>
      <c r="Z1635" s="100" t="n"/>
      <c r="AA1635" s="100" t="n"/>
      <c r="AB1635" s="100" t="n"/>
      <c r="AC1635" s="100" t="n"/>
      <c r="AD1635" s="100" t="n"/>
      <c r="AE1635" s="100" t="n"/>
      <c r="AF1635" s="100" t="n"/>
      <c r="AG1635" s="100" t="n"/>
      <c r="AH1635" s="100" t="n"/>
      <c r="AI1635" s="100" t="n"/>
      <c r="AJ1635" s="100" t="n"/>
      <c r="AK1635" s="100" t="n"/>
      <c r="AL1635" s="100" t="n"/>
      <c r="AM1635" s="100" t="n"/>
      <c r="AN1635" s="100" t="n"/>
      <c r="AO1635" s="100" t="n"/>
      <c r="AP1635" s="100" t="n"/>
      <c r="AQ1635" s="100" t="n"/>
      <c r="AR1635" s="100" t="n"/>
    </row>
    <row r="1637">
      <c r="A1637" s="6">
        <f>IF(HSCEI!$C$14="","",HSCEI!$C$14)</f>
        <v/>
      </c>
      <c r="B1637" s="96">
        <f>IF($A1637="",0,COUNT($E1638:$AR1638))</f>
        <v/>
      </c>
      <c r="C1637" s="97">
        <f>IF($B1637=0,0,MAX($E1638:$AR1638))</f>
        <v/>
      </c>
      <c r="D1637" s="98">
        <f>BDS($A1637,FLD_HIST,"headers=y","startcol=1","endcol=7","dir=h","DVD_START_DT",HIST_FROM,"DVD_END_DT",HIST_TO)</f>
        <v/>
      </c>
      <c r="E1637" s="99" t="n"/>
      <c r="F1637" s="99" t="n"/>
      <c r="G1637" s="99" t="n"/>
      <c r="H1637" s="99" t="n"/>
      <c r="I1637" s="99" t="n"/>
      <c r="J1637" s="99" t="n"/>
      <c r="K1637" s="99" t="n"/>
      <c r="L1637" s="99" t="n"/>
      <c r="M1637" s="99" t="n"/>
      <c r="N1637" s="99" t="n"/>
      <c r="O1637" s="99" t="n"/>
      <c r="P1637" s="99" t="n"/>
      <c r="Q1637" s="99" t="n"/>
      <c r="R1637" s="99" t="n"/>
      <c r="S1637" s="99" t="n"/>
      <c r="T1637" s="99" t="n"/>
      <c r="U1637" s="99" t="n"/>
      <c r="V1637" s="99" t="n"/>
      <c r="W1637" s="99" t="n"/>
      <c r="X1637" s="99" t="n"/>
      <c r="Y1637" s="99" t="n"/>
      <c r="Z1637" s="99" t="n"/>
      <c r="AA1637" s="99" t="n"/>
      <c r="AB1637" s="99" t="n"/>
      <c r="AC1637" s="99" t="n"/>
      <c r="AD1637" s="99" t="n"/>
      <c r="AE1637" s="99" t="n"/>
      <c r="AF1637" s="99" t="n"/>
      <c r="AG1637" s="99" t="n"/>
      <c r="AH1637" s="99" t="n"/>
      <c r="AI1637" s="99" t="n"/>
      <c r="AJ1637" s="99" t="n"/>
      <c r="AK1637" s="99" t="n"/>
      <c r="AL1637" s="99" t="n"/>
      <c r="AM1637" s="99" t="n"/>
      <c r="AN1637" s="99" t="n"/>
      <c r="AO1637" s="99" t="n"/>
      <c r="AP1637" s="99" t="n"/>
      <c r="AQ1637" s="99" t="n"/>
      <c r="AR1637" s="99" t="n"/>
    </row>
    <row r="1638">
      <c r="D1638" s="99" t="n"/>
      <c r="E1638" s="99" t="n"/>
      <c r="F1638" s="99" t="n"/>
      <c r="G1638" s="99" t="n"/>
      <c r="H1638" s="99" t="n"/>
      <c r="I1638" s="99" t="n"/>
      <c r="J1638" s="99" t="n"/>
      <c r="K1638" s="99" t="n"/>
      <c r="L1638" s="99" t="n"/>
      <c r="M1638" s="99" t="n"/>
      <c r="N1638" s="99" t="n"/>
      <c r="O1638" s="99" t="n"/>
      <c r="P1638" s="99" t="n"/>
      <c r="Q1638" s="99" t="n"/>
      <c r="R1638" s="99" t="n"/>
      <c r="S1638" s="99" t="n"/>
      <c r="T1638" s="99" t="n"/>
      <c r="U1638" s="99" t="n"/>
      <c r="V1638" s="99" t="n"/>
      <c r="W1638" s="99" t="n"/>
      <c r="X1638" s="99" t="n"/>
      <c r="Y1638" s="99" t="n"/>
      <c r="Z1638" s="99" t="n"/>
      <c r="AA1638" s="99" t="n"/>
      <c r="AB1638" s="99" t="n"/>
      <c r="AC1638" s="99" t="n"/>
      <c r="AD1638" s="99" t="n"/>
      <c r="AE1638" s="99" t="n"/>
      <c r="AF1638" s="99" t="n"/>
      <c r="AG1638" s="99" t="n"/>
      <c r="AH1638" s="99" t="n"/>
      <c r="AI1638" s="99" t="n"/>
      <c r="AJ1638" s="99" t="n"/>
      <c r="AK1638" s="99" t="n"/>
      <c r="AL1638" s="99" t="n"/>
      <c r="AM1638" s="99" t="n"/>
      <c r="AN1638" s="99" t="n"/>
      <c r="AO1638" s="99" t="n"/>
      <c r="AP1638" s="99" t="n"/>
      <c r="AQ1638" s="99" t="n"/>
      <c r="AR1638" s="99" t="n"/>
    </row>
    <row r="1639">
      <c r="D1639" s="99" t="n"/>
      <c r="E1639" s="99" t="n"/>
      <c r="F1639" s="99" t="n"/>
      <c r="G1639" s="99" t="n"/>
      <c r="H1639" s="99" t="n"/>
      <c r="I1639" s="99" t="n"/>
      <c r="J1639" s="99" t="n"/>
      <c r="K1639" s="99" t="n"/>
      <c r="L1639" s="99" t="n"/>
      <c r="M1639" s="99" t="n"/>
      <c r="N1639" s="99" t="n"/>
      <c r="O1639" s="99" t="n"/>
      <c r="P1639" s="99" t="n"/>
      <c r="Q1639" s="99" t="n"/>
      <c r="R1639" s="99" t="n"/>
      <c r="S1639" s="99" t="n"/>
      <c r="T1639" s="99" t="n"/>
      <c r="U1639" s="99" t="n"/>
      <c r="V1639" s="99" t="n"/>
      <c r="W1639" s="99" t="n"/>
      <c r="X1639" s="99" t="n"/>
      <c r="Y1639" s="99" t="n"/>
      <c r="Z1639" s="99" t="n"/>
      <c r="AA1639" s="99" t="n"/>
      <c r="AB1639" s="99" t="n"/>
      <c r="AC1639" s="99" t="n"/>
      <c r="AD1639" s="99" t="n"/>
      <c r="AE1639" s="99" t="n"/>
      <c r="AF1639" s="99" t="n"/>
      <c r="AG1639" s="99" t="n"/>
      <c r="AH1639" s="99" t="n"/>
      <c r="AI1639" s="99" t="n"/>
      <c r="AJ1639" s="99" t="n"/>
      <c r="AK1639" s="99" t="n"/>
      <c r="AL1639" s="99" t="n"/>
      <c r="AM1639" s="99" t="n"/>
      <c r="AN1639" s="99" t="n"/>
      <c r="AO1639" s="99" t="n"/>
      <c r="AP1639" s="99" t="n"/>
      <c r="AQ1639" s="99" t="n"/>
      <c r="AR1639" s="99" t="n"/>
    </row>
    <row r="1640">
      <c r="D1640" s="99" t="n"/>
      <c r="E1640" s="99" t="n"/>
      <c r="F1640" s="99" t="n"/>
      <c r="G1640" s="99" t="n"/>
      <c r="H1640" s="99" t="n"/>
      <c r="I1640" s="99" t="n"/>
      <c r="J1640" s="99" t="n"/>
      <c r="K1640" s="99" t="n"/>
      <c r="L1640" s="99" t="n"/>
      <c r="M1640" s="99" t="n"/>
      <c r="N1640" s="99" t="n"/>
      <c r="O1640" s="99" t="n"/>
      <c r="P1640" s="99" t="n"/>
      <c r="Q1640" s="99" t="n"/>
      <c r="R1640" s="99" t="n"/>
      <c r="S1640" s="99" t="n"/>
      <c r="T1640" s="99" t="n"/>
      <c r="U1640" s="99" t="n"/>
      <c r="V1640" s="99" t="n"/>
      <c r="W1640" s="99" t="n"/>
      <c r="X1640" s="99" t="n"/>
      <c r="Y1640" s="99" t="n"/>
      <c r="Z1640" s="99" t="n"/>
      <c r="AA1640" s="99" t="n"/>
      <c r="AB1640" s="99" t="n"/>
      <c r="AC1640" s="99" t="n"/>
      <c r="AD1640" s="99" t="n"/>
      <c r="AE1640" s="99" t="n"/>
      <c r="AF1640" s="99" t="n"/>
      <c r="AG1640" s="99" t="n"/>
      <c r="AH1640" s="99" t="n"/>
      <c r="AI1640" s="99" t="n"/>
      <c r="AJ1640" s="99" t="n"/>
      <c r="AK1640" s="99" t="n"/>
      <c r="AL1640" s="99" t="n"/>
      <c r="AM1640" s="99" t="n"/>
      <c r="AN1640" s="99" t="n"/>
      <c r="AO1640" s="99" t="n"/>
      <c r="AP1640" s="99" t="n"/>
      <c r="AQ1640" s="99" t="n"/>
      <c r="AR1640" s="99" t="n"/>
    </row>
    <row r="1641">
      <c r="D1641" s="100" t="n"/>
      <c r="E1641" s="100" t="n"/>
      <c r="F1641" s="100" t="n"/>
      <c r="G1641" s="100" t="n"/>
      <c r="H1641" s="100" t="n"/>
      <c r="I1641" s="100" t="n"/>
      <c r="J1641" s="100" t="n"/>
      <c r="K1641" s="100" t="n"/>
      <c r="L1641" s="100" t="n"/>
      <c r="M1641" s="100" t="n"/>
      <c r="N1641" s="100" t="n"/>
      <c r="O1641" s="100" t="n"/>
      <c r="P1641" s="100" t="n"/>
      <c r="Q1641" s="100" t="n"/>
      <c r="R1641" s="100" t="n"/>
      <c r="S1641" s="100" t="n"/>
      <c r="T1641" s="100" t="n"/>
      <c r="U1641" s="100" t="n"/>
      <c r="V1641" s="100" t="n"/>
      <c r="W1641" s="100" t="n"/>
      <c r="X1641" s="100" t="n"/>
      <c r="Y1641" s="100" t="n"/>
      <c r="Z1641" s="100" t="n"/>
      <c r="AA1641" s="100" t="n"/>
      <c r="AB1641" s="100" t="n"/>
      <c r="AC1641" s="100" t="n"/>
      <c r="AD1641" s="100" t="n"/>
      <c r="AE1641" s="100" t="n"/>
      <c r="AF1641" s="100" t="n"/>
      <c r="AG1641" s="100" t="n"/>
      <c r="AH1641" s="100" t="n"/>
      <c r="AI1641" s="100" t="n"/>
      <c r="AJ1641" s="100" t="n"/>
      <c r="AK1641" s="100" t="n"/>
      <c r="AL1641" s="100" t="n"/>
      <c r="AM1641" s="100" t="n"/>
      <c r="AN1641" s="100" t="n"/>
      <c r="AO1641" s="100" t="n"/>
      <c r="AP1641" s="100" t="n"/>
      <c r="AQ1641" s="100" t="n"/>
      <c r="AR1641" s="100" t="n"/>
    </row>
    <row r="1644">
      <c r="A1644" s="2">
        <f>IF($A1637="","","   projections")</f>
        <v/>
      </c>
      <c r="B1644" s="96">
        <f>IF($A1637="",0,COUNT($E1645:$AR1645))</f>
        <v/>
      </c>
      <c r="C1644" s="97">
        <f>IF($B1644=0,0,MAX($E1645:$AR1645))</f>
        <v/>
      </c>
      <c r="D1644" s="98">
        <f>BDS($A1637,FLD_PROJ,"headers=y","startcol=1","endcol=3","dir=h")</f>
        <v/>
      </c>
      <c r="E1644" s="99" t="n"/>
      <c r="F1644" s="99" t="n"/>
      <c r="G1644" s="99" t="n"/>
      <c r="H1644" s="99" t="n"/>
      <c r="I1644" s="99" t="n"/>
      <c r="J1644" s="99" t="n"/>
      <c r="K1644" s="99" t="n"/>
      <c r="L1644" s="99" t="n"/>
      <c r="M1644" s="99" t="n"/>
      <c r="N1644" s="99" t="n"/>
      <c r="O1644" s="99" t="n"/>
      <c r="P1644" s="99" t="n"/>
      <c r="Q1644" s="99" t="n"/>
      <c r="R1644" s="99" t="n"/>
      <c r="S1644" s="99" t="n"/>
      <c r="T1644" s="99" t="n"/>
      <c r="U1644" s="99" t="n"/>
      <c r="V1644" s="99" t="n"/>
      <c r="W1644" s="99" t="n"/>
      <c r="X1644" s="99" t="n"/>
      <c r="Y1644" s="99" t="n"/>
      <c r="Z1644" s="99" t="n"/>
      <c r="AA1644" s="99" t="n"/>
      <c r="AB1644" s="99" t="n"/>
      <c r="AC1644" s="99" t="n"/>
      <c r="AD1644" s="99" t="n"/>
      <c r="AE1644" s="99" t="n"/>
      <c r="AF1644" s="99" t="n"/>
      <c r="AG1644" s="99" t="n"/>
      <c r="AH1644" s="99" t="n"/>
      <c r="AI1644" s="99" t="n"/>
      <c r="AJ1644" s="99" t="n"/>
      <c r="AK1644" s="99" t="n"/>
      <c r="AL1644" s="99" t="n"/>
      <c r="AM1644" s="99" t="n"/>
      <c r="AN1644" s="99" t="n"/>
      <c r="AO1644" s="99" t="n"/>
      <c r="AP1644" s="99" t="n"/>
      <c r="AQ1644" s="99" t="n"/>
      <c r="AR1644" s="99" t="n"/>
    </row>
    <row r="1645">
      <c r="D1645" s="99" t="n"/>
      <c r="E1645" s="99" t="n"/>
      <c r="F1645" s="99" t="n"/>
      <c r="G1645" s="99" t="n"/>
      <c r="H1645" s="99" t="n"/>
      <c r="I1645" s="99" t="n"/>
      <c r="J1645" s="99" t="n"/>
      <c r="K1645" s="99" t="n"/>
      <c r="L1645" s="99" t="n"/>
      <c r="M1645" s="99" t="n"/>
      <c r="N1645" s="99" t="n"/>
      <c r="O1645" s="99" t="n"/>
      <c r="P1645" s="99" t="n"/>
      <c r="Q1645" s="99" t="n"/>
      <c r="R1645" s="99" t="n"/>
      <c r="S1645" s="99" t="n"/>
      <c r="T1645" s="99" t="n"/>
      <c r="U1645" s="99" t="n"/>
      <c r="V1645" s="99" t="n"/>
      <c r="W1645" s="99" t="n"/>
      <c r="X1645" s="99" t="n"/>
      <c r="Y1645" s="99" t="n"/>
      <c r="Z1645" s="99" t="n"/>
      <c r="AA1645" s="99" t="n"/>
      <c r="AB1645" s="99" t="n"/>
      <c r="AC1645" s="99" t="n"/>
      <c r="AD1645" s="99" t="n"/>
      <c r="AE1645" s="99" t="n"/>
      <c r="AF1645" s="99" t="n"/>
      <c r="AG1645" s="99" t="n"/>
      <c r="AH1645" s="99" t="n"/>
      <c r="AI1645" s="99" t="n"/>
      <c r="AJ1645" s="99" t="n"/>
      <c r="AK1645" s="99" t="n"/>
      <c r="AL1645" s="99" t="n"/>
      <c r="AM1645" s="99" t="n"/>
      <c r="AN1645" s="99" t="n"/>
      <c r="AO1645" s="99" t="n"/>
      <c r="AP1645" s="99" t="n"/>
      <c r="AQ1645" s="99" t="n"/>
      <c r="AR1645" s="99" t="n"/>
    </row>
    <row r="1646">
      <c r="D1646" s="100" t="n"/>
      <c r="E1646" s="100" t="n"/>
      <c r="F1646" s="100" t="n"/>
      <c r="G1646" s="100" t="n"/>
      <c r="H1646" s="100" t="n"/>
      <c r="I1646" s="100" t="n"/>
      <c r="J1646" s="100" t="n"/>
      <c r="K1646" s="100" t="n"/>
      <c r="L1646" s="100" t="n"/>
      <c r="M1646" s="100" t="n"/>
      <c r="N1646" s="100" t="n"/>
      <c r="O1646" s="100" t="n"/>
      <c r="P1646" s="100" t="n"/>
      <c r="Q1646" s="100" t="n"/>
      <c r="R1646" s="100" t="n"/>
      <c r="S1646" s="100" t="n"/>
      <c r="T1646" s="100" t="n"/>
      <c r="U1646" s="100" t="n"/>
      <c r="V1646" s="100" t="n"/>
      <c r="W1646" s="100" t="n"/>
      <c r="X1646" s="100" t="n"/>
      <c r="Y1646" s="100" t="n"/>
      <c r="Z1646" s="100" t="n"/>
      <c r="AA1646" s="100" t="n"/>
      <c r="AB1646" s="100" t="n"/>
      <c r="AC1646" s="100" t="n"/>
      <c r="AD1646" s="100" t="n"/>
      <c r="AE1646" s="100" t="n"/>
      <c r="AF1646" s="100" t="n"/>
      <c r="AG1646" s="100" t="n"/>
      <c r="AH1646" s="100" t="n"/>
      <c r="AI1646" s="100" t="n"/>
      <c r="AJ1646" s="100" t="n"/>
      <c r="AK1646" s="100" t="n"/>
      <c r="AL1646" s="100" t="n"/>
      <c r="AM1646" s="100" t="n"/>
      <c r="AN1646" s="100" t="n"/>
      <c r="AO1646" s="100" t="n"/>
      <c r="AP1646" s="100" t="n"/>
      <c r="AQ1646" s="100" t="n"/>
      <c r="AR1646" s="100" t="n"/>
    </row>
    <row r="1648">
      <c r="A1648" s="6">
        <f>IF(HSCEI!$C$15="","",HSCEI!$C$15)</f>
        <v/>
      </c>
      <c r="B1648" s="96">
        <f>IF($A1648="",0,COUNT($E1649:$AR1649))</f>
        <v/>
      </c>
      <c r="C1648" s="97">
        <f>IF($B1648=0,0,MAX($E1649:$AR1649))</f>
        <v/>
      </c>
      <c r="D1648" s="98">
        <f>BDS($A1648,FLD_HIST,"headers=y","startcol=1","endcol=7","dir=h","DVD_START_DT",HIST_FROM,"DVD_END_DT",HIST_TO)</f>
        <v/>
      </c>
      <c r="E1648" s="99" t="n"/>
      <c r="F1648" s="99" t="n"/>
      <c r="G1648" s="99" t="n"/>
      <c r="H1648" s="99" t="n"/>
      <c r="I1648" s="99" t="n"/>
      <c r="J1648" s="99" t="n"/>
      <c r="K1648" s="99" t="n"/>
      <c r="L1648" s="99" t="n"/>
      <c r="M1648" s="99" t="n"/>
      <c r="N1648" s="99" t="n"/>
      <c r="O1648" s="99" t="n"/>
      <c r="P1648" s="99" t="n"/>
      <c r="Q1648" s="99" t="n"/>
      <c r="R1648" s="99" t="n"/>
      <c r="S1648" s="99" t="n"/>
      <c r="T1648" s="99" t="n"/>
      <c r="U1648" s="99" t="n"/>
      <c r="V1648" s="99" t="n"/>
      <c r="W1648" s="99" t="n"/>
      <c r="X1648" s="99" t="n"/>
      <c r="Y1648" s="99" t="n"/>
      <c r="Z1648" s="99" t="n"/>
      <c r="AA1648" s="99" t="n"/>
      <c r="AB1648" s="99" t="n"/>
      <c r="AC1648" s="99" t="n"/>
      <c r="AD1648" s="99" t="n"/>
      <c r="AE1648" s="99" t="n"/>
      <c r="AF1648" s="99" t="n"/>
      <c r="AG1648" s="99" t="n"/>
      <c r="AH1648" s="99" t="n"/>
      <c r="AI1648" s="99" t="n"/>
      <c r="AJ1648" s="99" t="n"/>
      <c r="AK1648" s="99" t="n"/>
      <c r="AL1648" s="99" t="n"/>
      <c r="AM1648" s="99" t="n"/>
      <c r="AN1648" s="99" t="n"/>
      <c r="AO1648" s="99" t="n"/>
      <c r="AP1648" s="99" t="n"/>
      <c r="AQ1648" s="99" t="n"/>
      <c r="AR1648" s="99" t="n"/>
    </row>
    <row r="1649">
      <c r="D1649" s="99" t="n"/>
      <c r="E1649" s="99" t="n"/>
      <c r="F1649" s="99" t="n"/>
      <c r="G1649" s="99" t="n"/>
      <c r="H1649" s="99" t="n"/>
      <c r="I1649" s="99" t="n"/>
      <c r="J1649" s="99" t="n"/>
      <c r="K1649" s="99" t="n"/>
      <c r="L1649" s="99" t="n"/>
      <c r="M1649" s="99" t="n"/>
      <c r="N1649" s="99" t="n"/>
      <c r="O1649" s="99" t="n"/>
      <c r="P1649" s="99" t="n"/>
      <c r="Q1649" s="99" t="n"/>
      <c r="R1649" s="99" t="n"/>
      <c r="S1649" s="99" t="n"/>
      <c r="T1649" s="99" t="n"/>
      <c r="U1649" s="99" t="n"/>
      <c r="V1649" s="99" t="n"/>
      <c r="W1649" s="99" t="n"/>
      <c r="X1649" s="99" t="n"/>
      <c r="Y1649" s="99" t="n"/>
      <c r="Z1649" s="99" t="n"/>
      <c r="AA1649" s="99" t="n"/>
      <c r="AB1649" s="99" t="n"/>
      <c r="AC1649" s="99" t="n"/>
      <c r="AD1649" s="99" t="n"/>
      <c r="AE1649" s="99" t="n"/>
      <c r="AF1649" s="99" t="n"/>
      <c r="AG1649" s="99" t="n"/>
      <c r="AH1649" s="99" t="n"/>
      <c r="AI1649" s="99" t="n"/>
      <c r="AJ1649" s="99" t="n"/>
      <c r="AK1649" s="99" t="n"/>
      <c r="AL1649" s="99" t="n"/>
      <c r="AM1649" s="99" t="n"/>
      <c r="AN1649" s="99" t="n"/>
      <c r="AO1649" s="99" t="n"/>
      <c r="AP1649" s="99" t="n"/>
      <c r="AQ1649" s="99" t="n"/>
      <c r="AR1649" s="99" t="n"/>
    </row>
    <row r="1650">
      <c r="D1650" s="99" t="n"/>
      <c r="E1650" s="99" t="n"/>
      <c r="F1650" s="99" t="n"/>
      <c r="G1650" s="99" t="n"/>
      <c r="H1650" s="99" t="n"/>
      <c r="I1650" s="99" t="n"/>
      <c r="J1650" s="99" t="n"/>
      <c r="K1650" s="99" t="n"/>
      <c r="L1650" s="99" t="n"/>
      <c r="M1650" s="99" t="n"/>
      <c r="N1650" s="99" t="n"/>
      <c r="O1650" s="99" t="n"/>
      <c r="P1650" s="99" t="n"/>
      <c r="Q1650" s="99" t="n"/>
      <c r="R1650" s="99" t="n"/>
      <c r="S1650" s="99" t="n"/>
      <c r="T1650" s="99" t="n"/>
      <c r="U1650" s="99" t="n"/>
      <c r="V1650" s="99" t="n"/>
      <c r="W1650" s="99" t="n"/>
      <c r="X1650" s="99" t="n"/>
      <c r="Y1650" s="99" t="n"/>
      <c r="Z1650" s="99" t="n"/>
      <c r="AA1650" s="99" t="n"/>
      <c r="AB1650" s="99" t="n"/>
      <c r="AC1650" s="99" t="n"/>
      <c r="AD1650" s="99" t="n"/>
      <c r="AE1650" s="99" t="n"/>
      <c r="AF1650" s="99" t="n"/>
      <c r="AG1650" s="99" t="n"/>
      <c r="AH1650" s="99" t="n"/>
      <c r="AI1650" s="99" t="n"/>
      <c r="AJ1650" s="99" t="n"/>
      <c r="AK1650" s="99" t="n"/>
      <c r="AL1650" s="99" t="n"/>
      <c r="AM1650" s="99" t="n"/>
      <c r="AN1650" s="99" t="n"/>
      <c r="AO1650" s="99" t="n"/>
      <c r="AP1650" s="99" t="n"/>
      <c r="AQ1650" s="99" t="n"/>
      <c r="AR1650" s="99" t="n"/>
    </row>
    <row r="1651">
      <c r="D1651" s="99" t="n"/>
      <c r="E1651" s="99" t="n"/>
      <c r="F1651" s="99" t="n"/>
      <c r="G1651" s="99" t="n"/>
      <c r="H1651" s="99" t="n"/>
      <c r="I1651" s="99" t="n"/>
      <c r="J1651" s="99" t="n"/>
      <c r="K1651" s="99" t="n"/>
      <c r="L1651" s="99" t="n"/>
      <c r="M1651" s="99" t="n"/>
      <c r="N1651" s="99" t="n"/>
      <c r="O1651" s="99" t="n"/>
      <c r="P1651" s="99" t="n"/>
      <c r="Q1651" s="99" t="n"/>
      <c r="R1651" s="99" t="n"/>
      <c r="S1651" s="99" t="n"/>
      <c r="T1651" s="99" t="n"/>
      <c r="U1651" s="99" t="n"/>
      <c r="V1651" s="99" t="n"/>
      <c r="W1651" s="99" t="n"/>
      <c r="X1651" s="99" t="n"/>
      <c r="Y1651" s="99" t="n"/>
      <c r="Z1651" s="99" t="n"/>
      <c r="AA1651" s="99" t="n"/>
      <c r="AB1651" s="99" t="n"/>
      <c r="AC1651" s="99" t="n"/>
      <c r="AD1651" s="99" t="n"/>
      <c r="AE1651" s="99" t="n"/>
      <c r="AF1651" s="99" t="n"/>
      <c r="AG1651" s="99" t="n"/>
      <c r="AH1651" s="99" t="n"/>
      <c r="AI1651" s="99" t="n"/>
      <c r="AJ1651" s="99" t="n"/>
      <c r="AK1651" s="99" t="n"/>
      <c r="AL1651" s="99" t="n"/>
      <c r="AM1651" s="99" t="n"/>
      <c r="AN1651" s="99" t="n"/>
      <c r="AO1651" s="99" t="n"/>
      <c r="AP1651" s="99" t="n"/>
      <c r="AQ1651" s="99" t="n"/>
      <c r="AR1651" s="99" t="n"/>
    </row>
    <row r="1652">
      <c r="D1652" s="100" t="n"/>
      <c r="E1652" s="100" t="n"/>
      <c r="F1652" s="100" t="n"/>
      <c r="G1652" s="100" t="n"/>
      <c r="H1652" s="100" t="n"/>
      <c r="I1652" s="100" t="n"/>
      <c r="J1652" s="100" t="n"/>
      <c r="K1652" s="100" t="n"/>
      <c r="L1652" s="100" t="n"/>
      <c r="M1652" s="100" t="n"/>
      <c r="N1652" s="100" t="n"/>
      <c r="O1652" s="100" t="n"/>
      <c r="P1652" s="100" t="n"/>
      <c r="Q1652" s="100" t="n"/>
      <c r="R1652" s="100" t="n"/>
      <c r="S1652" s="100" t="n"/>
      <c r="T1652" s="100" t="n"/>
      <c r="U1652" s="100" t="n"/>
      <c r="V1652" s="100" t="n"/>
      <c r="W1652" s="100" t="n"/>
      <c r="X1652" s="100" t="n"/>
      <c r="Y1652" s="100" t="n"/>
      <c r="Z1652" s="100" t="n"/>
      <c r="AA1652" s="100" t="n"/>
      <c r="AB1652" s="100" t="n"/>
      <c r="AC1652" s="100" t="n"/>
      <c r="AD1652" s="100" t="n"/>
      <c r="AE1652" s="100" t="n"/>
      <c r="AF1652" s="100" t="n"/>
      <c r="AG1652" s="100" t="n"/>
      <c r="AH1652" s="100" t="n"/>
      <c r="AI1652" s="100" t="n"/>
      <c r="AJ1652" s="100" t="n"/>
      <c r="AK1652" s="100" t="n"/>
      <c r="AL1652" s="100" t="n"/>
      <c r="AM1652" s="100" t="n"/>
      <c r="AN1652" s="100" t="n"/>
      <c r="AO1652" s="100" t="n"/>
      <c r="AP1652" s="100" t="n"/>
      <c r="AQ1652" s="100" t="n"/>
      <c r="AR1652" s="100" t="n"/>
    </row>
    <row r="1655">
      <c r="A1655" s="2">
        <f>IF($A1648="","","   projections")</f>
        <v/>
      </c>
      <c r="B1655" s="96">
        <f>IF($A1648="",0,COUNT($E1656:$AR1656))</f>
        <v/>
      </c>
      <c r="C1655" s="97">
        <f>IF($B1655=0,0,MAX($E1656:$AR1656))</f>
        <v/>
      </c>
      <c r="D1655" s="98">
        <f>BDS($A1648,FLD_PROJ,"headers=y","startcol=1","endcol=3","dir=h")</f>
        <v/>
      </c>
      <c r="E1655" s="99" t="n"/>
      <c r="F1655" s="99" t="n"/>
      <c r="G1655" s="99" t="n"/>
      <c r="H1655" s="99" t="n"/>
      <c r="I1655" s="99" t="n"/>
      <c r="J1655" s="99" t="n"/>
      <c r="K1655" s="99" t="n"/>
      <c r="L1655" s="99" t="n"/>
      <c r="M1655" s="99" t="n"/>
      <c r="N1655" s="99" t="n"/>
      <c r="O1655" s="99" t="n"/>
      <c r="P1655" s="99" t="n"/>
      <c r="Q1655" s="99" t="n"/>
      <c r="R1655" s="99" t="n"/>
      <c r="S1655" s="99" t="n"/>
      <c r="T1655" s="99" t="n"/>
      <c r="U1655" s="99" t="n"/>
      <c r="V1655" s="99" t="n"/>
      <c r="W1655" s="99" t="n"/>
      <c r="X1655" s="99" t="n"/>
      <c r="Y1655" s="99" t="n"/>
      <c r="Z1655" s="99" t="n"/>
      <c r="AA1655" s="99" t="n"/>
      <c r="AB1655" s="99" t="n"/>
      <c r="AC1655" s="99" t="n"/>
      <c r="AD1655" s="99" t="n"/>
      <c r="AE1655" s="99" t="n"/>
      <c r="AF1655" s="99" t="n"/>
      <c r="AG1655" s="99" t="n"/>
      <c r="AH1655" s="99" t="n"/>
      <c r="AI1655" s="99" t="n"/>
      <c r="AJ1655" s="99" t="n"/>
      <c r="AK1655" s="99" t="n"/>
      <c r="AL1655" s="99" t="n"/>
      <c r="AM1655" s="99" t="n"/>
      <c r="AN1655" s="99" t="n"/>
      <c r="AO1655" s="99" t="n"/>
      <c r="AP1655" s="99" t="n"/>
      <c r="AQ1655" s="99" t="n"/>
      <c r="AR1655" s="99" t="n"/>
    </row>
    <row r="1656">
      <c r="D1656" s="99" t="n"/>
      <c r="E1656" s="99" t="n"/>
      <c r="F1656" s="99" t="n"/>
      <c r="G1656" s="99" t="n"/>
      <c r="H1656" s="99" t="n"/>
      <c r="I1656" s="99" t="n"/>
      <c r="J1656" s="99" t="n"/>
      <c r="K1656" s="99" t="n"/>
      <c r="L1656" s="99" t="n"/>
      <c r="M1656" s="99" t="n"/>
      <c r="N1656" s="99" t="n"/>
      <c r="O1656" s="99" t="n"/>
      <c r="P1656" s="99" t="n"/>
      <c r="Q1656" s="99" t="n"/>
      <c r="R1656" s="99" t="n"/>
      <c r="S1656" s="99" t="n"/>
      <c r="T1656" s="99" t="n"/>
      <c r="U1656" s="99" t="n"/>
      <c r="V1656" s="99" t="n"/>
      <c r="W1656" s="99" t="n"/>
      <c r="X1656" s="99" t="n"/>
      <c r="Y1656" s="99" t="n"/>
      <c r="Z1656" s="99" t="n"/>
      <c r="AA1656" s="99" t="n"/>
      <c r="AB1656" s="99" t="n"/>
      <c r="AC1656" s="99" t="n"/>
      <c r="AD1656" s="99" t="n"/>
      <c r="AE1656" s="99" t="n"/>
      <c r="AF1656" s="99" t="n"/>
      <c r="AG1656" s="99" t="n"/>
      <c r="AH1656" s="99" t="n"/>
      <c r="AI1656" s="99" t="n"/>
      <c r="AJ1656" s="99" t="n"/>
      <c r="AK1656" s="99" t="n"/>
      <c r="AL1656" s="99" t="n"/>
      <c r="AM1656" s="99" t="n"/>
      <c r="AN1656" s="99" t="n"/>
      <c r="AO1656" s="99" t="n"/>
      <c r="AP1656" s="99" t="n"/>
      <c r="AQ1656" s="99" t="n"/>
      <c r="AR1656" s="99" t="n"/>
    </row>
    <row r="1657">
      <c r="D1657" s="100" t="n"/>
      <c r="E1657" s="100" t="n"/>
      <c r="F1657" s="100" t="n"/>
      <c r="G1657" s="100" t="n"/>
      <c r="H1657" s="100" t="n"/>
      <c r="I1657" s="100" t="n"/>
      <c r="J1657" s="100" t="n"/>
      <c r="K1657" s="100" t="n"/>
      <c r="L1657" s="100" t="n"/>
      <c r="M1657" s="100" t="n"/>
      <c r="N1657" s="100" t="n"/>
      <c r="O1657" s="100" t="n"/>
      <c r="P1657" s="100" t="n"/>
      <c r="Q1657" s="100" t="n"/>
      <c r="R1657" s="100" t="n"/>
      <c r="S1657" s="100" t="n"/>
      <c r="T1657" s="100" t="n"/>
      <c r="U1657" s="100" t="n"/>
      <c r="V1657" s="100" t="n"/>
      <c r="W1657" s="100" t="n"/>
      <c r="X1657" s="100" t="n"/>
      <c r="Y1657" s="100" t="n"/>
      <c r="Z1657" s="100" t="n"/>
      <c r="AA1657" s="100" t="n"/>
      <c r="AB1657" s="100" t="n"/>
      <c r="AC1657" s="100" t="n"/>
      <c r="AD1657" s="100" t="n"/>
      <c r="AE1657" s="100" t="n"/>
      <c r="AF1657" s="100" t="n"/>
      <c r="AG1657" s="100" t="n"/>
      <c r="AH1657" s="100" t="n"/>
      <c r="AI1657" s="100" t="n"/>
      <c r="AJ1657" s="100" t="n"/>
      <c r="AK1657" s="100" t="n"/>
      <c r="AL1657" s="100" t="n"/>
      <c r="AM1657" s="100" t="n"/>
      <c r="AN1657" s="100" t="n"/>
      <c r="AO1657" s="100" t="n"/>
      <c r="AP1657" s="100" t="n"/>
      <c r="AQ1657" s="100" t="n"/>
      <c r="AR1657" s="100" t="n"/>
    </row>
    <row r="1659">
      <c r="A1659" s="6">
        <f>IF(HSCEI!$C$16="","",HSCEI!$C$16)</f>
        <v/>
      </c>
      <c r="B1659" s="96">
        <f>IF($A1659="",0,COUNT($E1660:$AR1660))</f>
        <v/>
      </c>
      <c r="C1659" s="97">
        <f>IF($B1659=0,0,MAX($E1660:$AR1660))</f>
        <v/>
      </c>
      <c r="D1659" s="98">
        <f>BDS($A1659,FLD_HIST,"headers=y","startcol=1","endcol=7","dir=h","DVD_START_DT",HIST_FROM,"DVD_END_DT",HIST_TO)</f>
        <v/>
      </c>
      <c r="E1659" s="99" t="n"/>
      <c r="F1659" s="99" t="n"/>
      <c r="G1659" s="99" t="n"/>
      <c r="H1659" s="99" t="n"/>
      <c r="I1659" s="99" t="n"/>
      <c r="J1659" s="99" t="n"/>
      <c r="K1659" s="99" t="n"/>
      <c r="L1659" s="99" t="n"/>
      <c r="M1659" s="99" t="n"/>
      <c r="N1659" s="99" t="n"/>
      <c r="O1659" s="99" t="n"/>
      <c r="P1659" s="99" t="n"/>
      <c r="Q1659" s="99" t="n"/>
      <c r="R1659" s="99" t="n"/>
      <c r="S1659" s="99" t="n"/>
      <c r="T1659" s="99" t="n"/>
      <c r="U1659" s="99" t="n"/>
      <c r="V1659" s="99" t="n"/>
      <c r="W1659" s="99" t="n"/>
      <c r="X1659" s="99" t="n"/>
      <c r="Y1659" s="99" t="n"/>
      <c r="Z1659" s="99" t="n"/>
      <c r="AA1659" s="99" t="n"/>
      <c r="AB1659" s="99" t="n"/>
      <c r="AC1659" s="99" t="n"/>
      <c r="AD1659" s="99" t="n"/>
      <c r="AE1659" s="99" t="n"/>
      <c r="AF1659" s="99" t="n"/>
      <c r="AG1659" s="99" t="n"/>
      <c r="AH1659" s="99" t="n"/>
      <c r="AI1659" s="99" t="n"/>
      <c r="AJ1659" s="99" t="n"/>
      <c r="AK1659" s="99" t="n"/>
      <c r="AL1659" s="99" t="n"/>
      <c r="AM1659" s="99" t="n"/>
      <c r="AN1659" s="99" t="n"/>
      <c r="AO1659" s="99" t="n"/>
      <c r="AP1659" s="99" t="n"/>
      <c r="AQ1659" s="99" t="n"/>
      <c r="AR1659" s="99" t="n"/>
    </row>
    <row r="1660">
      <c r="D1660" s="99" t="n"/>
      <c r="E1660" s="99" t="n"/>
      <c r="F1660" s="99" t="n"/>
      <c r="G1660" s="99" t="n"/>
      <c r="H1660" s="99" t="n"/>
      <c r="I1660" s="99" t="n"/>
      <c r="J1660" s="99" t="n"/>
      <c r="K1660" s="99" t="n"/>
      <c r="L1660" s="99" t="n"/>
      <c r="M1660" s="99" t="n"/>
      <c r="N1660" s="99" t="n"/>
      <c r="O1660" s="99" t="n"/>
      <c r="P1660" s="99" t="n"/>
      <c r="Q1660" s="99" t="n"/>
      <c r="R1660" s="99" t="n"/>
      <c r="S1660" s="99" t="n"/>
      <c r="T1660" s="99" t="n"/>
      <c r="U1660" s="99" t="n"/>
      <c r="V1660" s="99" t="n"/>
      <c r="W1660" s="99" t="n"/>
      <c r="X1660" s="99" t="n"/>
      <c r="Y1660" s="99" t="n"/>
      <c r="Z1660" s="99" t="n"/>
      <c r="AA1660" s="99" t="n"/>
      <c r="AB1660" s="99" t="n"/>
      <c r="AC1660" s="99" t="n"/>
      <c r="AD1660" s="99" t="n"/>
      <c r="AE1660" s="99" t="n"/>
      <c r="AF1660" s="99" t="n"/>
      <c r="AG1660" s="99" t="n"/>
      <c r="AH1660" s="99" t="n"/>
      <c r="AI1660" s="99" t="n"/>
      <c r="AJ1660" s="99" t="n"/>
      <c r="AK1660" s="99" t="n"/>
      <c r="AL1660" s="99" t="n"/>
      <c r="AM1660" s="99" t="n"/>
      <c r="AN1660" s="99" t="n"/>
      <c r="AO1660" s="99" t="n"/>
      <c r="AP1660" s="99" t="n"/>
      <c r="AQ1660" s="99" t="n"/>
      <c r="AR1660" s="99" t="n"/>
    </row>
    <row r="1661">
      <c r="D1661" s="99" t="n"/>
      <c r="E1661" s="99" t="n"/>
      <c r="F1661" s="99" t="n"/>
      <c r="G1661" s="99" t="n"/>
      <c r="H1661" s="99" t="n"/>
      <c r="I1661" s="99" t="n"/>
      <c r="J1661" s="99" t="n"/>
      <c r="K1661" s="99" t="n"/>
      <c r="L1661" s="99" t="n"/>
      <c r="M1661" s="99" t="n"/>
      <c r="N1661" s="99" t="n"/>
      <c r="O1661" s="99" t="n"/>
      <c r="P1661" s="99" t="n"/>
      <c r="Q1661" s="99" t="n"/>
      <c r="R1661" s="99" t="n"/>
      <c r="S1661" s="99" t="n"/>
      <c r="T1661" s="99" t="n"/>
      <c r="U1661" s="99" t="n"/>
      <c r="V1661" s="99" t="n"/>
      <c r="W1661" s="99" t="n"/>
      <c r="X1661" s="99" t="n"/>
      <c r="Y1661" s="99" t="n"/>
      <c r="Z1661" s="99" t="n"/>
      <c r="AA1661" s="99" t="n"/>
      <c r="AB1661" s="99" t="n"/>
      <c r="AC1661" s="99" t="n"/>
      <c r="AD1661" s="99" t="n"/>
      <c r="AE1661" s="99" t="n"/>
      <c r="AF1661" s="99" t="n"/>
      <c r="AG1661" s="99" t="n"/>
      <c r="AH1661" s="99" t="n"/>
      <c r="AI1661" s="99" t="n"/>
      <c r="AJ1661" s="99" t="n"/>
      <c r="AK1661" s="99" t="n"/>
      <c r="AL1661" s="99" t="n"/>
      <c r="AM1661" s="99" t="n"/>
      <c r="AN1661" s="99" t="n"/>
      <c r="AO1661" s="99" t="n"/>
      <c r="AP1661" s="99" t="n"/>
      <c r="AQ1661" s="99" t="n"/>
      <c r="AR1661" s="99" t="n"/>
    </row>
    <row r="1662">
      <c r="D1662" s="99" t="n"/>
      <c r="E1662" s="99" t="n"/>
      <c r="F1662" s="99" t="n"/>
      <c r="G1662" s="99" t="n"/>
      <c r="H1662" s="99" t="n"/>
      <c r="I1662" s="99" t="n"/>
      <c r="J1662" s="99" t="n"/>
      <c r="K1662" s="99" t="n"/>
      <c r="L1662" s="99" t="n"/>
      <c r="M1662" s="99" t="n"/>
      <c r="N1662" s="99" t="n"/>
      <c r="O1662" s="99" t="n"/>
      <c r="P1662" s="99" t="n"/>
      <c r="Q1662" s="99" t="n"/>
      <c r="R1662" s="99" t="n"/>
      <c r="S1662" s="99" t="n"/>
      <c r="T1662" s="99" t="n"/>
      <c r="U1662" s="99" t="n"/>
      <c r="V1662" s="99" t="n"/>
      <c r="W1662" s="99" t="n"/>
      <c r="X1662" s="99" t="n"/>
      <c r="Y1662" s="99" t="n"/>
      <c r="Z1662" s="99" t="n"/>
      <c r="AA1662" s="99" t="n"/>
      <c r="AB1662" s="99" t="n"/>
      <c r="AC1662" s="99" t="n"/>
      <c r="AD1662" s="99" t="n"/>
      <c r="AE1662" s="99" t="n"/>
      <c r="AF1662" s="99" t="n"/>
      <c r="AG1662" s="99" t="n"/>
      <c r="AH1662" s="99" t="n"/>
      <c r="AI1662" s="99" t="n"/>
      <c r="AJ1662" s="99" t="n"/>
      <c r="AK1662" s="99" t="n"/>
      <c r="AL1662" s="99" t="n"/>
      <c r="AM1662" s="99" t="n"/>
      <c r="AN1662" s="99" t="n"/>
      <c r="AO1662" s="99" t="n"/>
      <c r="AP1662" s="99" t="n"/>
      <c r="AQ1662" s="99" t="n"/>
      <c r="AR1662" s="99" t="n"/>
    </row>
    <row r="1663">
      <c r="D1663" s="100" t="n"/>
      <c r="E1663" s="100" t="n"/>
      <c r="F1663" s="100" t="n"/>
      <c r="G1663" s="100" t="n"/>
      <c r="H1663" s="100" t="n"/>
      <c r="I1663" s="100" t="n"/>
      <c r="J1663" s="100" t="n"/>
      <c r="K1663" s="100" t="n"/>
      <c r="L1663" s="100" t="n"/>
      <c r="M1663" s="100" t="n"/>
      <c r="N1663" s="100" t="n"/>
      <c r="O1663" s="100" t="n"/>
      <c r="P1663" s="100" t="n"/>
      <c r="Q1663" s="100" t="n"/>
      <c r="R1663" s="100" t="n"/>
      <c r="S1663" s="100" t="n"/>
      <c r="T1663" s="100" t="n"/>
      <c r="U1663" s="100" t="n"/>
      <c r="V1663" s="100" t="n"/>
      <c r="W1663" s="100" t="n"/>
      <c r="X1663" s="100" t="n"/>
      <c r="Y1663" s="100" t="n"/>
      <c r="Z1663" s="100" t="n"/>
      <c r="AA1663" s="100" t="n"/>
      <c r="AB1663" s="100" t="n"/>
      <c r="AC1663" s="100" t="n"/>
      <c r="AD1663" s="100" t="n"/>
      <c r="AE1663" s="100" t="n"/>
      <c r="AF1663" s="100" t="n"/>
      <c r="AG1663" s="100" t="n"/>
      <c r="AH1663" s="100" t="n"/>
      <c r="AI1663" s="100" t="n"/>
      <c r="AJ1663" s="100" t="n"/>
      <c r="AK1663" s="100" t="n"/>
      <c r="AL1663" s="100" t="n"/>
      <c r="AM1663" s="100" t="n"/>
      <c r="AN1663" s="100" t="n"/>
      <c r="AO1663" s="100" t="n"/>
      <c r="AP1663" s="100" t="n"/>
      <c r="AQ1663" s="100" t="n"/>
      <c r="AR1663" s="100" t="n"/>
    </row>
    <row r="1666">
      <c r="A1666" s="2">
        <f>IF($A1659="","","   projections")</f>
        <v/>
      </c>
      <c r="B1666" s="96">
        <f>IF($A1659="",0,COUNT($E1667:$AR1667))</f>
        <v/>
      </c>
      <c r="C1666" s="97">
        <f>IF($B1666=0,0,MAX($E1667:$AR1667))</f>
        <v/>
      </c>
      <c r="D1666" s="98">
        <f>BDS($A1659,FLD_PROJ,"headers=y","startcol=1","endcol=3","dir=h")</f>
        <v/>
      </c>
      <c r="E1666" s="99" t="n"/>
      <c r="F1666" s="99" t="n"/>
      <c r="G1666" s="99" t="n"/>
      <c r="H1666" s="99" t="n"/>
      <c r="I1666" s="99" t="n"/>
      <c r="J1666" s="99" t="n"/>
      <c r="K1666" s="99" t="n"/>
      <c r="L1666" s="99" t="n"/>
      <c r="M1666" s="99" t="n"/>
      <c r="N1666" s="99" t="n"/>
      <c r="O1666" s="99" t="n"/>
      <c r="P1666" s="99" t="n"/>
      <c r="Q1666" s="99" t="n"/>
      <c r="R1666" s="99" t="n"/>
      <c r="S1666" s="99" t="n"/>
      <c r="T1666" s="99" t="n"/>
      <c r="U1666" s="99" t="n"/>
      <c r="V1666" s="99" t="n"/>
      <c r="W1666" s="99" t="n"/>
      <c r="X1666" s="99" t="n"/>
      <c r="Y1666" s="99" t="n"/>
      <c r="Z1666" s="99" t="n"/>
      <c r="AA1666" s="99" t="n"/>
      <c r="AB1666" s="99" t="n"/>
      <c r="AC1666" s="99" t="n"/>
      <c r="AD1666" s="99" t="n"/>
      <c r="AE1666" s="99" t="n"/>
      <c r="AF1666" s="99" t="n"/>
      <c r="AG1666" s="99" t="n"/>
      <c r="AH1666" s="99" t="n"/>
      <c r="AI1666" s="99" t="n"/>
      <c r="AJ1666" s="99" t="n"/>
      <c r="AK1666" s="99" t="n"/>
      <c r="AL1666" s="99" t="n"/>
      <c r="AM1666" s="99" t="n"/>
      <c r="AN1666" s="99" t="n"/>
      <c r="AO1666" s="99" t="n"/>
      <c r="AP1666" s="99" t="n"/>
      <c r="AQ1666" s="99" t="n"/>
      <c r="AR1666" s="99" t="n"/>
    </row>
    <row r="1667">
      <c r="D1667" s="99" t="n"/>
      <c r="E1667" s="99" t="n"/>
      <c r="F1667" s="99" t="n"/>
      <c r="G1667" s="99" t="n"/>
      <c r="H1667" s="99" t="n"/>
      <c r="I1667" s="99" t="n"/>
      <c r="J1667" s="99" t="n"/>
      <c r="K1667" s="99" t="n"/>
      <c r="L1667" s="99" t="n"/>
      <c r="M1667" s="99" t="n"/>
      <c r="N1667" s="99" t="n"/>
      <c r="O1667" s="99" t="n"/>
      <c r="P1667" s="99" t="n"/>
      <c r="Q1667" s="99" t="n"/>
      <c r="R1667" s="99" t="n"/>
      <c r="S1667" s="99" t="n"/>
      <c r="T1667" s="99" t="n"/>
      <c r="U1667" s="99" t="n"/>
      <c r="V1667" s="99" t="n"/>
      <c r="W1667" s="99" t="n"/>
      <c r="X1667" s="99" t="n"/>
      <c r="Y1667" s="99" t="n"/>
      <c r="Z1667" s="99" t="n"/>
      <c r="AA1667" s="99" t="n"/>
      <c r="AB1667" s="99" t="n"/>
      <c r="AC1667" s="99" t="n"/>
      <c r="AD1667" s="99" t="n"/>
      <c r="AE1667" s="99" t="n"/>
      <c r="AF1667" s="99" t="n"/>
      <c r="AG1667" s="99" t="n"/>
      <c r="AH1667" s="99" t="n"/>
      <c r="AI1667" s="99" t="n"/>
      <c r="AJ1667" s="99" t="n"/>
      <c r="AK1667" s="99" t="n"/>
      <c r="AL1667" s="99" t="n"/>
      <c r="AM1667" s="99" t="n"/>
      <c r="AN1667" s="99" t="n"/>
      <c r="AO1667" s="99" t="n"/>
      <c r="AP1667" s="99" t="n"/>
      <c r="AQ1667" s="99" t="n"/>
      <c r="AR1667" s="99" t="n"/>
    </row>
    <row r="1668">
      <c r="D1668" s="100" t="n"/>
      <c r="E1668" s="100" t="n"/>
      <c r="F1668" s="100" t="n"/>
      <c r="G1668" s="100" t="n"/>
      <c r="H1668" s="100" t="n"/>
      <c r="I1668" s="100" t="n"/>
      <c r="J1668" s="100" t="n"/>
      <c r="K1668" s="100" t="n"/>
      <c r="L1668" s="100" t="n"/>
      <c r="M1668" s="100" t="n"/>
      <c r="N1668" s="100" t="n"/>
      <c r="O1668" s="100" t="n"/>
      <c r="P1668" s="100" t="n"/>
      <c r="Q1668" s="100" t="n"/>
      <c r="R1668" s="100" t="n"/>
      <c r="S1668" s="100" t="n"/>
      <c r="T1668" s="100" t="n"/>
      <c r="U1668" s="100" t="n"/>
      <c r="V1668" s="100" t="n"/>
      <c r="W1668" s="100" t="n"/>
      <c r="X1668" s="100" t="n"/>
      <c r="Y1668" s="100" t="n"/>
      <c r="Z1668" s="100" t="n"/>
      <c r="AA1668" s="100" t="n"/>
      <c r="AB1668" s="100" t="n"/>
      <c r="AC1668" s="100" t="n"/>
      <c r="AD1668" s="100" t="n"/>
      <c r="AE1668" s="100" t="n"/>
      <c r="AF1668" s="100" t="n"/>
      <c r="AG1668" s="100" t="n"/>
      <c r="AH1668" s="100" t="n"/>
      <c r="AI1668" s="100" t="n"/>
      <c r="AJ1668" s="100" t="n"/>
      <c r="AK1668" s="100" t="n"/>
      <c r="AL1668" s="100" t="n"/>
      <c r="AM1668" s="100" t="n"/>
      <c r="AN1668" s="100" t="n"/>
      <c r="AO1668" s="100" t="n"/>
      <c r="AP1668" s="100" t="n"/>
      <c r="AQ1668" s="100" t="n"/>
      <c r="AR1668" s="100" t="n"/>
    </row>
    <row r="1670">
      <c r="A1670" s="6">
        <f>IF(HSCEI!$C$17="","",HSCEI!$C$17)</f>
        <v/>
      </c>
      <c r="B1670" s="96">
        <f>IF($A1670="",0,COUNT($E1671:$AR1671))</f>
        <v/>
      </c>
      <c r="C1670" s="97">
        <f>IF($B1670=0,0,MAX($E1671:$AR1671))</f>
        <v/>
      </c>
      <c r="D1670" s="98">
        <f>BDS($A1670,FLD_HIST,"headers=y","startcol=1","endcol=7","dir=h","DVD_START_DT",HIST_FROM,"DVD_END_DT",HIST_TO)</f>
        <v/>
      </c>
      <c r="E1670" s="99" t="n"/>
      <c r="F1670" s="99" t="n"/>
      <c r="G1670" s="99" t="n"/>
      <c r="H1670" s="99" t="n"/>
      <c r="I1670" s="99" t="n"/>
      <c r="J1670" s="99" t="n"/>
      <c r="K1670" s="99" t="n"/>
      <c r="L1670" s="99" t="n"/>
      <c r="M1670" s="99" t="n"/>
      <c r="N1670" s="99" t="n"/>
      <c r="O1670" s="99" t="n"/>
      <c r="P1670" s="99" t="n"/>
      <c r="Q1670" s="99" t="n"/>
      <c r="R1670" s="99" t="n"/>
      <c r="S1670" s="99" t="n"/>
      <c r="T1670" s="99" t="n"/>
      <c r="U1670" s="99" t="n"/>
      <c r="V1670" s="99" t="n"/>
      <c r="W1670" s="99" t="n"/>
      <c r="X1670" s="99" t="n"/>
      <c r="Y1670" s="99" t="n"/>
      <c r="Z1670" s="99" t="n"/>
      <c r="AA1670" s="99" t="n"/>
      <c r="AB1670" s="99" t="n"/>
      <c r="AC1670" s="99" t="n"/>
      <c r="AD1670" s="99" t="n"/>
      <c r="AE1670" s="99" t="n"/>
      <c r="AF1670" s="99" t="n"/>
      <c r="AG1670" s="99" t="n"/>
      <c r="AH1670" s="99" t="n"/>
      <c r="AI1670" s="99" t="n"/>
      <c r="AJ1670" s="99" t="n"/>
      <c r="AK1670" s="99" t="n"/>
      <c r="AL1670" s="99" t="n"/>
      <c r="AM1670" s="99" t="n"/>
      <c r="AN1670" s="99" t="n"/>
      <c r="AO1670" s="99" t="n"/>
      <c r="AP1670" s="99" t="n"/>
      <c r="AQ1670" s="99" t="n"/>
      <c r="AR1670" s="99" t="n"/>
    </row>
    <row r="1671">
      <c r="D1671" s="99" t="n"/>
      <c r="E1671" s="99" t="n"/>
      <c r="F1671" s="99" t="n"/>
      <c r="G1671" s="99" t="n"/>
      <c r="H1671" s="99" t="n"/>
      <c r="I1671" s="99" t="n"/>
      <c r="J1671" s="99" t="n"/>
      <c r="K1671" s="99" t="n"/>
      <c r="L1671" s="99" t="n"/>
      <c r="M1671" s="99" t="n"/>
      <c r="N1671" s="99" t="n"/>
      <c r="O1671" s="99" t="n"/>
      <c r="P1671" s="99" t="n"/>
      <c r="Q1671" s="99" t="n"/>
      <c r="R1671" s="99" t="n"/>
      <c r="S1671" s="99" t="n"/>
      <c r="T1671" s="99" t="n"/>
      <c r="U1671" s="99" t="n"/>
      <c r="V1671" s="99" t="n"/>
      <c r="W1671" s="99" t="n"/>
      <c r="X1671" s="99" t="n"/>
      <c r="Y1671" s="99" t="n"/>
      <c r="Z1671" s="99" t="n"/>
      <c r="AA1671" s="99" t="n"/>
      <c r="AB1671" s="99" t="n"/>
      <c r="AC1671" s="99" t="n"/>
      <c r="AD1671" s="99" t="n"/>
      <c r="AE1671" s="99" t="n"/>
      <c r="AF1671" s="99" t="n"/>
      <c r="AG1671" s="99" t="n"/>
      <c r="AH1671" s="99" t="n"/>
      <c r="AI1671" s="99" t="n"/>
      <c r="AJ1671" s="99" t="n"/>
      <c r="AK1671" s="99" t="n"/>
      <c r="AL1671" s="99" t="n"/>
      <c r="AM1671" s="99" t="n"/>
      <c r="AN1671" s="99" t="n"/>
      <c r="AO1671" s="99" t="n"/>
      <c r="AP1671" s="99" t="n"/>
      <c r="AQ1671" s="99" t="n"/>
      <c r="AR1671" s="99" t="n"/>
    </row>
    <row r="1672">
      <c r="D1672" s="99" t="n"/>
      <c r="E1672" s="99" t="n"/>
      <c r="F1672" s="99" t="n"/>
      <c r="G1672" s="99" t="n"/>
      <c r="H1672" s="99" t="n"/>
      <c r="I1672" s="99" t="n"/>
      <c r="J1672" s="99" t="n"/>
      <c r="K1672" s="99" t="n"/>
      <c r="L1672" s="99" t="n"/>
      <c r="M1672" s="99" t="n"/>
      <c r="N1672" s="99" t="n"/>
      <c r="O1672" s="99" t="n"/>
      <c r="P1672" s="99" t="n"/>
      <c r="Q1672" s="99" t="n"/>
      <c r="R1672" s="99" t="n"/>
      <c r="S1672" s="99" t="n"/>
      <c r="T1672" s="99" t="n"/>
      <c r="U1672" s="99" t="n"/>
      <c r="V1672" s="99" t="n"/>
      <c r="W1672" s="99" t="n"/>
      <c r="X1672" s="99" t="n"/>
      <c r="Y1672" s="99" t="n"/>
      <c r="Z1672" s="99" t="n"/>
      <c r="AA1672" s="99" t="n"/>
      <c r="AB1672" s="99" t="n"/>
      <c r="AC1672" s="99" t="n"/>
      <c r="AD1672" s="99" t="n"/>
      <c r="AE1672" s="99" t="n"/>
      <c r="AF1672" s="99" t="n"/>
      <c r="AG1672" s="99" t="n"/>
      <c r="AH1672" s="99" t="n"/>
      <c r="AI1672" s="99" t="n"/>
      <c r="AJ1672" s="99" t="n"/>
      <c r="AK1672" s="99" t="n"/>
      <c r="AL1672" s="99" t="n"/>
      <c r="AM1672" s="99" t="n"/>
      <c r="AN1672" s="99" t="n"/>
      <c r="AO1672" s="99" t="n"/>
      <c r="AP1672" s="99" t="n"/>
      <c r="AQ1672" s="99" t="n"/>
      <c r="AR1672" s="99" t="n"/>
    </row>
    <row r="1673">
      <c r="D1673" s="99" t="n"/>
      <c r="E1673" s="99" t="n"/>
      <c r="F1673" s="99" t="n"/>
      <c r="G1673" s="99" t="n"/>
      <c r="H1673" s="99" t="n"/>
      <c r="I1673" s="99" t="n"/>
      <c r="J1673" s="99" t="n"/>
      <c r="K1673" s="99" t="n"/>
      <c r="L1673" s="99" t="n"/>
      <c r="M1673" s="99" t="n"/>
      <c r="N1673" s="99" t="n"/>
      <c r="O1673" s="99" t="n"/>
      <c r="P1673" s="99" t="n"/>
      <c r="Q1673" s="99" t="n"/>
      <c r="R1673" s="99" t="n"/>
      <c r="S1673" s="99" t="n"/>
      <c r="T1673" s="99" t="n"/>
      <c r="U1673" s="99" t="n"/>
      <c r="V1673" s="99" t="n"/>
      <c r="W1673" s="99" t="n"/>
      <c r="X1673" s="99" t="n"/>
      <c r="Y1673" s="99" t="n"/>
      <c r="Z1673" s="99" t="n"/>
      <c r="AA1673" s="99" t="n"/>
      <c r="AB1673" s="99" t="n"/>
      <c r="AC1673" s="99" t="n"/>
      <c r="AD1673" s="99" t="n"/>
      <c r="AE1673" s="99" t="n"/>
      <c r="AF1673" s="99" t="n"/>
      <c r="AG1673" s="99" t="n"/>
      <c r="AH1673" s="99" t="n"/>
      <c r="AI1673" s="99" t="n"/>
      <c r="AJ1673" s="99" t="n"/>
      <c r="AK1673" s="99" t="n"/>
      <c r="AL1673" s="99" t="n"/>
      <c r="AM1673" s="99" t="n"/>
      <c r="AN1673" s="99" t="n"/>
      <c r="AO1673" s="99" t="n"/>
      <c r="AP1673" s="99" t="n"/>
      <c r="AQ1673" s="99" t="n"/>
      <c r="AR1673" s="99" t="n"/>
    </row>
    <row r="1674">
      <c r="D1674" s="100" t="n"/>
      <c r="E1674" s="100" t="n"/>
      <c r="F1674" s="100" t="n"/>
      <c r="G1674" s="100" t="n"/>
      <c r="H1674" s="100" t="n"/>
      <c r="I1674" s="100" t="n"/>
      <c r="J1674" s="100" t="n"/>
      <c r="K1674" s="100" t="n"/>
      <c r="L1674" s="100" t="n"/>
      <c r="M1674" s="100" t="n"/>
      <c r="N1674" s="100" t="n"/>
      <c r="O1674" s="100" t="n"/>
      <c r="P1674" s="100" t="n"/>
      <c r="Q1674" s="100" t="n"/>
      <c r="R1674" s="100" t="n"/>
      <c r="S1674" s="100" t="n"/>
      <c r="T1674" s="100" t="n"/>
      <c r="U1674" s="100" t="n"/>
      <c r="V1674" s="100" t="n"/>
      <c r="W1674" s="100" t="n"/>
      <c r="X1674" s="100" t="n"/>
      <c r="Y1674" s="100" t="n"/>
      <c r="Z1674" s="100" t="n"/>
      <c r="AA1674" s="100" t="n"/>
      <c r="AB1674" s="100" t="n"/>
      <c r="AC1674" s="100" t="n"/>
      <c r="AD1674" s="100" t="n"/>
      <c r="AE1674" s="100" t="n"/>
      <c r="AF1674" s="100" t="n"/>
      <c r="AG1674" s="100" t="n"/>
      <c r="AH1674" s="100" t="n"/>
      <c r="AI1674" s="100" t="n"/>
      <c r="AJ1674" s="100" t="n"/>
      <c r="AK1674" s="100" t="n"/>
      <c r="AL1674" s="100" t="n"/>
      <c r="AM1674" s="100" t="n"/>
      <c r="AN1674" s="100" t="n"/>
      <c r="AO1674" s="100" t="n"/>
      <c r="AP1674" s="100" t="n"/>
      <c r="AQ1674" s="100" t="n"/>
      <c r="AR1674" s="100" t="n"/>
    </row>
    <row r="1677">
      <c r="A1677" s="2">
        <f>IF($A1670="","","   projections")</f>
        <v/>
      </c>
      <c r="B1677" s="96">
        <f>IF($A1670="",0,COUNT($E1678:$AR1678))</f>
        <v/>
      </c>
      <c r="C1677" s="97">
        <f>IF($B1677=0,0,MAX($E1678:$AR1678))</f>
        <v/>
      </c>
      <c r="D1677" s="98">
        <f>BDS($A1670,FLD_PROJ,"headers=y","startcol=1","endcol=3","dir=h")</f>
        <v/>
      </c>
      <c r="E1677" s="99" t="n"/>
      <c r="F1677" s="99" t="n"/>
      <c r="G1677" s="99" t="n"/>
      <c r="H1677" s="99" t="n"/>
      <c r="I1677" s="99" t="n"/>
      <c r="J1677" s="99" t="n"/>
      <c r="K1677" s="99" t="n"/>
      <c r="L1677" s="99" t="n"/>
      <c r="M1677" s="99" t="n"/>
      <c r="N1677" s="99" t="n"/>
      <c r="O1677" s="99" t="n"/>
      <c r="P1677" s="99" t="n"/>
      <c r="Q1677" s="99" t="n"/>
      <c r="R1677" s="99" t="n"/>
      <c r="S1677" s="99" t="n"/>
      <c r="T1677" s="99" t="n"/>
      <c r="U1677" s="99" t="n"/>
      <c r="V1677" s="99" t="n"/>
      <c r="W1677" s="99" t="n"/>
      <c r="X1677" s="99" t="n"/>
      <c r="Y1677" s="99" t="n"/>
      <c r="Z1677" s="99" t="n"/>
      <c r="AA1677" s="99" t="n"/>
      <c r="AB1677" s="99" t="n"/>
      <c r="AC1677" s="99" t="n"/>
      <c r="AD1677" s="99" t="n"/>
      <c r="AE1677" s="99" t="n"/>
      <c r="AF1677" s="99" t="n"/>
      <c r="AG1677" s="99" t="n"/>
      <c r="AH1677" s="99" t="n"/>
      <c r="AI1677" s="99" t="n"/>
      <c r="AJ1677" s="99" t="n"/>
      <c r="AK1677" s="99" t="n"/>
      <c r="AL1677" s="99" t="n"/>
      <c r="AM1677" s="99" t="n"/>
      <c r="AN1677" s="99" t="n"/>
      <c r="AO1677" s="99" t="n"/>
      <c r="AP1677" s="99" t="n"/>
      <c r="AQ1677" s="99" t="n"/>
      <c r="AR1677" s="99" t="n"/>
    </row>
    <row r="1678">
      <c r="D1678" s="99" t="n"/>
      <c r="E1678" s="99" t="n"/>
      <c r="F1678" s="99" t="n"/>
      <c r="G1678" s="99" t="n"/>
      <c r="H1678" s="99" t="n"/>
      <c r="I1678" s="99" t="n"/>
      <c r="J1678" s="99" t="n"/>
      <c r="K1678" s="99" t="n"/>
      <c r="L1678" s="99" t="n"/>
      <c r="M1678" s="99" t="n"/>
      <c r="N1678" s="99" t="n"/>
      <c r="O1678" s="99" t="n"/>
      <c r="P1678" s="99" t="n"/>
      <c r="Q1678" s="99" t="n"/>
      <c r="R1678" s="99" t="n"/>
      <c r="S1678" s="99" t="n"/>
      <c r="T1678" s="99" t="n"/>
      <c r="U1678" s="99" t="n"/>
      <c r="V1678" s="99" t="n"/>
      <c r="W1678" s="99" t="n"/>
      <c r="X1678" s="99" t="n"/>
      <c r="Y1678" s="99" t="n"/>
      <c r="Z1678" s="99" t="n"/>
      <c r="AA1678" s="99" t="n"/>
      <c r="AB1678" s="99" t="n"/>
      <c r="AC1678" s="99" t="n"/>
      <c r="AD1678" s="99" t="n"/>
      <c r="AE1678" s="99" t="n"/>
      <c r="AF1678" s="99" t="n"/>
      <c r="AG1678" s="99" t="n"/>
      <c r="AH1678" s="99" t="n"/>
      <c r="AI1678" s="99" t="n"/>
      <c r="AJ1678" s="99" t="n"/>
      <c r="AK1678" s="99" t="n"/>
      <c r="AL1678" s="99" t="n"/>
      <c r="AM1678" s="99" t="n"/>
      <c r="AN1678" s="99" t="n"/>
      <c r="AO1678" s="99" t="n"/>
      <c r="AP1678" s="99" t="n"/>
      <c r="AQ1678" s="99" t="n"/>
      <c r="AR1678" s="99" t="n"/>
    </row>
    <row r="1679">
      <c r="D1679" s="100" t="n"/>
      <c r="E1679" s="100" t="n"/>
      <c r="F1679" s="100" t="n"/>
      <c r="G1679" s="100" t="n"/>
      <c r="H1679" s="100" t="n"/>
      <c r="I1679" s="100" t="n"/>
      <c r="J1679" s="100" t="n"/>
      <c r="K1679" s="100" t="n"/>
      <c r="L1679" s="100" t="n"/>
      <c r="M1679" s="100" t="n"/>
      <c r="N1679" s="100" t="n"/>
      <c r="O1679" s="100" t="n"/>
      <c r="P1679" s="100" t="n"/>
      <c r="Q1679" s="100" t="n"/>
      <c r="R1679" s="100" t="n"/>
      <c r="S1679" s="100" t="n"/>
      <c r="T1679" s="100" t="n"/>
      <c r="U1679" s="100" t="n"/>
      <c r="V1679" s="100" t="n"/>
      <c r="W1679" s="100" t="n"/>
      <c r="X1679" s="100" t="n"/>
      <c r="Y1679" s="100" t="n"/>
      <c r="Z1679" s="100" t="n"/>
      <c r="AA1679" s="100" t="n"/>
      <c r="AB1679" s="100" t="n"/>
      <c r="AC1679" s="100" t="n"/>
      <c r="AD1679" s="100" t="n"/>
      <c r="AE1679" s="100" t="n"/>
      <c r="AF1679" s="100" t="n"/>
      <c r="AG1679" s="100" t="n"/>
      <c r="AH1679" s="100" t="n"/>
      <c r="AI1679" s="100" t="n"/>
      <c r="AJ1679" s="100" t="n"/>
      <c r="AK1679" s="100" t="n"/>
      <c r="AL1679" s="100" t="n"/>
      <c r="AM1679" s="100" t="n"/>
      <c r="AN1679" s="100" t="n"/>
      <c r="AO1679" s="100" t="n"/>
      <c r="AP1679" s="100" t="n"/>
      <c r="AQ1679" s="100" t="n"/>
      <c r="AR1679" s="100" t="n"/>
    </row>
    <row r="1681">
      <c r="A1681" s="6">
        <f>IF(HSCEI!$C$18="","",HSCEI!$C$18)</f>
        <v/>
      </c>
      <c r="B1681" s="96">
        <f>IF($A1681="",0,COUNT($E1682:$AR1682))</f>
        <v/>
      </c>
      <c r="C1681" s="97">
        <f>IF($B1681=0,0,MAX($E1682:$AR1682))</f>
        <v/>
      </c>
      <c r="D1681" s="98">
        <f>BDS($A1681,FLD_HIST,"headers=y","startcol=1","endcol=7","dir=h","DVD_START_DT",HIST_FROM,"DVD_END_DT",HIST_TO)</f>
        <v/>
      </c>
      <c r="E1681" s="99" t="n"/>
      <c r="F1681" s="99" t="n"/>
      <c r="G1681" s="99" t="n"/>
      <c r="H1681" s="99" t="n"/>
      <c r="I1681" s="99" t="n"/>
      <c r="J1681" s="99" t="n"/>
      <c r="K1681" s="99" t="n"/>
      <c r="L1681" s="99" t="n"/>
      <c r="M1681" s="99" t="n"/>
      <c r="N1681" s="99" t="n"/>
      <c r="O1681" s="99" t="n"/>
      <c r="P1681" s="99" t="n"/>
      <c r="Q1681" s="99" t="n"/>
      <c r="R1681" s="99" t="n"/>
      <c r="S1681" s="99" t="n"/>
      <c r="T1681" s="99" t="n"/>
      <c r="U1681" s="99" t="n"/>
      <c r="V1681" s="99" t="n"/>
      <c r="W1681" s="99" t="n"/>
      <c r="X1681" s="99" t="n"/>
      <c r="Y1681" s="99" t="n"/>
      <c r="Z1681" s="99" t="n"/>
      <c r="AA1681" s="99" t="n"/>
      <c r="AB1681" s="99" t="n"/>
      <c r="AC1681" s="99" t="n"/>
      <c r="AD1681" s="99" t="n"/>
      <c r="AE1681" s="99" t="n"/>
      <c r="AF1681" s="99" t="n"/>
      <c r="AG1681" s="99" t="n"/>
      <c r="AH1681" s="99" t="n"/>
      <c r="AI1681" s="99" t="n"/>
      <c r="AJ1681" s="99" t="n"/>
      <c r="AK1681" s="99" t="n"/>
      <c r="AL1681" s="99" t="n"/>
      <c r="AM1681" s="99" t="n"/>
      <c r="AN1681" s="99" t="n"/>
      <c r="AO1681" s="99" t="n"/>
      <c r="AP1681" s="99" t="n"/>
      <c r="AQ1681" s="99" t="n"/>
      <c r="AR1681" s="99" t="n"/>
    </row>
    <row r="1682">
      <c r="D1682" s="99" t="n"/>
      <c r="E1682" s="99" t="n"/>
      <c r="F1682" s="99" t="n"/>
      <c r="G1682" s="99" t="n"/>
      <c r="H1682" s="99" t="n"/>
      <c r="I1682" s="99" t="n"/>
      <c r="J1682" s="99" t="n"/>
      <c r="K1682" s="99" t="n"/>
      <c r="L1682" s="99" t="n"/>
      <c r="M1682" s="99" t="n"/>
      <c r="N1682" s="99" t="n"/>
      <c r="O1682" s="99" t="n"/>
      <c r="P1682" s="99" t="n"/>
      <c r="Q1682" s="99" t="n"/>
      <c r="R1682" s="99" t="n"/>
      <c r="S1682" s="99" t="n"/>
      <c r="T1682" s="99" t="n"/>
      <c r="U1682" s="99" t="n"/>
      <c r="V1682" s="99" t="n"/>
      <c r="W1682" s="99" t="n"/>
      <c r="X1682" s="99" t="n"/>
      <c r="Y1682" s="99" t="n"/>
      <c r="Z1682" s="99" t="n"/>
      <c r="AA1682" s="99" t="n"/>
      <c r="AB1682" s="99" t="n"/>
      <c r="AC1682" s="99" t="n"/>
      <c r="AD1682" s="99" t="n"/>
      <c r="AE1682" s="99" t="n"/>
      <c r="AF1682" s="99" t="n"/>
      <c r="AG1682" s="99" t="n"/>
      <c r="AH1682" s="99" t="n"/>
      <c r="AI1682" s="99" t="n"/>
      <c r="AJ1682" s="99" t="n"/>
      <c r="AK1682" s="99" t="n"/>
      <c r="AL1682" s="99" t="n"/>
      <c r="AM1682" s="99" t="n"/>
      <c r="AN1682" s="99" t="n"/>
      <c r="AO1682" s="99" t="n"/>
      <c r="AP1682" s="99" t="n"/>
      <c r="AQ1682" s="99" t="n"/>
      <c r="AR1682" s="99" t="n"/>
    </row>
    <row r="1683">
      <c r="D1683" s="99" t="n"/>
      <c r="E1683" s="99" t="n"/>
      <c r="F1683" s="99" t="n"/>
      <c r="G1683" s="99" t="n"/>
      <c r="H1683" s="99" t="n"/>
      <c r="I1683" s="99" t="n"/>
      <c r="J1683" s="99" t="n"/>
      <c r="K1683" s="99" t="n"/>
      <c r="L1683" s="99" t="n"/>
      <c r="M1683" s="99" t="n"/>
      <c r="N1683" s="99" t="n"/>
      <c r="O1683" s="99" t="n"/>
      <c r="P1683" s="99" t="n"/>
      <c r="Q1683" s="99" t="n"/>
      <c r="R1683" s="99" t="n"/>
      <c r="S1683" s="99" t="n"/>
      <c r="T1683" s="99" t="n"/>
      <c r="U1683" s="99" t="n"/>
      <c r="V1683" s="99" t="n"/>
      <c r="W1683" s="99" t="n"/>
      <c r="X1683" s="99" t="n"/>
      <c r="Y1683" s="99" t="n"/>
      <c r="Z1683" s="99" t="n"/>
      <c r="AA1683" s="99" t="n"/>
      <c r="AB1683" s="99" t="n"/>
      <c r="AC1683" s="99" t="n"/>
      <c r="AD1683" s="99" t="n"/>
      <c r="AE1683" s="99" t="n"/>
      <c r="AF1683" s="99" t="n"/>
      <c r="AG1683" s="99" t="n"/>
      <c r="AH1683" s="99" t="n"/>
      <c r="AI1683" s="99" t="n"/>
      <c r="AJ1683" s="99" t="n"/>
      <c r="AK1683" s="99" t="n"/>
      <c r="AL1683" s="99" t="n"/>
      <c r="AM1683" s="99" t="n"/>
      <c r="AN1683" s="99" t="n"/>
      <c r="AO1683" s="99" t="n"/>
      <c r="AP1683" s="99" t="n"/>
      <c r="AQ1683" s="99" t="n"/>
      <c r="AR1683" s="99" t="n"/>
    </row>
    <row r="1684">
      <c r="D1684" s="99" t="n"/>
      <c r="E1684" s="99" t="n"/>
      <c r="F1684" s="99" t="n"/>
      <c r="G1684" s="99" t="n"/>
      <c r="H1684" s="99" t="n"/>
      <c r="I1684" s="99" t="n"/>
      <c r="J1684" s="99" t="n"/>
      <c r="K1684" s="99" t="n"/>
      <c r="L1684" s="99" t="n"/>
      <c r="M1684" s="99" t="n"/>
      <c r="N1684" s="99" t="n"/>
      <c r="O1684" s="99" t="n"/>
      <c r="P1684" s="99" t="n"/>
      <c r="Q1684" s="99" t="n"/>
      <c r="R1684" s="99" t="n"/>
      <c r="S1684" s="99" t="n"/>
      <c r="T1684" s="99" t="n"/>
      <c r="U1684" s="99" t="n"/>
      <c r="V1684" s="99" t="n"/>
      <c r="W1684" s="99" t="n"/>
      <c r="X1684" s="99" t="n"/>
      <c r="Y1684" s="99" t="n"/>
      <c r="Z1684" s="99" t="n"/>
      <c r="AA1684" s="99" t="n"/>
      <c r="AB1684" s="99" t="n"/>
      <c r="AC1684" s="99" t="n"/>
      <c r="AD1684" s="99" t="n"/>
      <c r="AE1684" s="99" t="n"/>
      <c r="AF1684" s="99" t="n"/>
      <c r="AG1684" s="99" t="n"/>
      <c r="AH1684" s="99" t="n"/>
      <c r="AI1684" s="99" t="n"/>
      <c r="AJ1684" s="99" t="n"/>
      <c r="AK1684" s="99" t="n"/>
      <c r="AL1684" s="99" t="n"/>
      <c r="AM1684" s="99" t="n"/>
      <c r="AN1684" s="99" t="n"/>
      <c r="AO1684" s="99" t="n"/>
      <c r="AP1684" s="99" t="n"/>
      <c r="AQ1684" s="99" t="n"/>
      <c r="AR1684" s="99" t="n"/>
    </row>
    <row r="1685">
      <c r="D1685" s="100" t="n"/>
      <c r="E1685" s="100" t="n"/>
      <c r="F1685" s="100" t="n"/>
      <c r="G1685" s="100" t="n"/>
      <c r="H1685" s="100" t="n"/>
      <c r="I1685" s="100" t="n"/>
      <c r="J1685" s="100" t="n"/>
      <c r="K1685" s="100" t="n"/>
      <c r="L1685" s="100" t="n"/>
      <c r="M1685" s="100" t="n"/>
      <c r="N1685" s="100" t="n"/>
      <c r="O1685" s="100" t="n"/>
      <c r="P1685" s="100" t="n"/>
      <c r="Q1685" s="100" t="n"/>
      <c r="R1685" s="100" t="n"/>
      <c r="S1685" s="100" t="n"/>
      <c r="T1685" s="100" t="n"/>
      <c r="U1685" s="100" t="n"/>
      <c r="V1685" s="100" t="n"/>
      <c r="W1685" s="100" t="n"/>
      <c r="X1685" s="100" t="n"/>
      <c r="Y1685" s="100" t="n"/>
      <c r="Z1685" s="100" t="n"/>
      <c r="AA1685" s="100" t="n"/>
      <c r="AB1685" s="100" t="n"/>
      <c r="AC1685" s="100" t="n"/>
      <c r="AD1685" s="100" t="n"/>
      <c r="AE1685" s="100" t="n"/>
      <c r="AF1685" s="100" t="n"/>
      <c r="AG1685" s="100" t="n"/>
      <c r="AH1685" s="100" t="n"/>
      <c r="AI1685" s="100" t="n"/>
      <c r="AJ1685" s="100" t="n"/>
      <c r="AK1685" s="100" t="n"/>
      <c r="AL1685" s="100" t="n"/>
      <c r="AM1685" s="100" t="n"/>
      <c r="AN1685" s="100" t="n"/>
      <c r="AO1685" s="100" t="n"/>
      <c r="AP1685" s="100" t="n"/>
      <c r="AQ1685" s="100" t="n"/>
      <c r="AR1685" s="100" t="n"/>
    </row>
    <row r="1688">
      <c r="A1688" s="2">
        <f>IF($A1681="","","   projections")</f>
        <v/>
      </c>
      <c r="B1688" s="96">
        <f>IF($A1681="",0,COUNT($E1689:$AR1689))</f>
        <v/>
      </c>
      <c r="C1688" s="97">
        <f>IF($B1688=0,0,MAX($E1689:$AR1689))</f>
        <v/>
      </c>
      <c r="D1688" s="98">
        <f>BDS($A1681,FLD_PROJ,"headers=y","startcol=1","endcol=3","dir=h")</f>
        <v/>
      </c>
      <c r="E1688" s="99" t="n"/>
      <c r="F1688" s="99" t="n"/>
      <c r="G1688" s="99" t="n"/>
      <c r="H1688" s="99" t="n"/>
      <c r="I1688" s="99" t="n"/>
      <c r="J1688" s="99" t="n"/>
      <c r="K1688" s="99" t="n"/>
      <c r="L1688" s="99" t="n"/>
      <c r="M1688" s="99" t="n"/>
      <c r="N1688" s="99" t="n"/>
      <c r="O1688" s="99" t="n"/>
      <c r="P1688" s="99" t="n"/>
      <c r="Q1688" s="99" t="n"/>
      <c r="R1688" s="99" t="n"/>
      <c r="S1688" s="99" t="n"/>
      <c r="T1688" s="99" t="n"/>
      <c r="U1688" s="99" t="n"/>
      <c r="V1688" s="99" t="n"/>
      <c r="W1688" s="99" t="n"/>
      <c r="X1688" s="99" t="n"/>
      <c r="Y1688" s="99" t="n"/>
      <c r="Z1688" s="99" t="n"/>
      <c r="AA1688" s="99" t="n"/>
      <c r="AB1688" s="99" t="n"/>
      <c r="AC1688" s="99" t="n"/>
      <c r="AD1688" s="99" t="n"/>
      <c r="AE1688" s="99" t="n"/>
      <c r="AF1688" s="99" t="n"/>
      <c r="AG1688" s="99" t="n"/>
      <c r="AH1688" s="99" t="n"/>
      <c r="AI1688" s="99" t="n"/>
      <c r="AJ1688" s="99" t="n"/>
      <c r="AK1688" s="99" t="n"/>
      <c r="AL1688" s="99" t="n"/>
      <c r="AM1688" s="99" t="n"/>
      <c r="AN1688" s="99" t="n"/>
      <c r="AO1688" s="99" t="n"/>
      <c r="AP1688" s="99" t="n"/>
      <c r="AQ1688" s="99" t="n"/>
      <c r="AR1688" s="99" t="n"/>
    </row>
    <row r="1689">
      <c r="D1689" s="99" t="n"/>
      <c r="E1689" s="99" t="n"/>
      <c r="F1689" s="99" t="n"/>
      <c r="G1689" s="99" t="n"/>
      <c r="H1689" s="99" t="n"/>
      <c r="I1689" s="99" t="n"/>
      <c r="J1689" s="99" t="n"/>
      <c r="K1689" s="99" t="n"/>
      <c r="L1689" s="99" t="n"/>
      <c r="M1689" s="99" t="n"/>
      <c r="N1689" s="99" t="n"/>
      <c r="O1689" s="99" t="n"/>
      <c r="P1689" s="99" t="n"/>
      <c r="Q1689" s="99" t="n"/>
      <c r="R1689" s="99" t="n"/>
      <c r="S1689" s="99" t="n"/>
      <c r="T1689" s="99" t="n"/>
      <c r="U1689" s="99" t="n"/>
      <c r="V1689" s="99" t="n"/>
      <c r="W1689" s="99" t="n"/>
      <c r="X1689" s="99" t="n"/>
      <c r="Y1689" s="99" t="n"/>
      <c r="Z1689" s="99" t="n"/>
      <c r="AA1689" s="99" t="n"/>
      <c r="AB1689" s="99" t="n"/>
      <c r="AC1689" s="99" t="n"/>
      <c r="AD1689" s="99" t="n"/>
      <c r="AE1689" s="99" t="n"/>
      <c r="AF1689" s="99" t="n"/>
      <c r="AG1689" s="99" t="n"/>
      <c r="AH1689" s="99" t="n"/>
      <c r="AI1689" s="99" t="n"/>
      <c r="AJ1689" s="99" t="n"/>
      <c r="AK1689" s="99" t="n"/>
      <c r="AL1689" s="99" t="n"/>
      <c r="AM1689" s="99" t="n"/>
      <c r="AN1689" s="99" t="n"/>
      <c r="AO1689" s="99" t="n"/>
      <c r="AP1689" s="99" t="n"/>
      <c r="AQ1689" s="99" t="n"/>
      <c r="AR1689" s="99" t="n"/>
    </row>
    <row r="1690">
      <c r="D1690" s="100" t="n"/>
      <c r="E1690" s="100" t="n"/>
      <c r="F1690" s="100" t="n"/>
      <c r="G1690" s="100" t="n"/>
      <c r="H1690" s="100" t="n"/>
      <c r="I1690" s="100" t="n"/>
      <c r="J1690" s="100" t="n"/>
      <c r="K1690" s="100" t="n"/>
      <c r="L1690" s="100" t="n"/>
      <c r="M1690" s="100" t="n"/>
      <c r="N1690" s="100" t="n"/>
      <c r="O1690" s="100" t="n"/>
      <c r="P1690" s="100" t="n"/>
      <c r="Q1690" s="100" t="n"/>
      <c r="R1690" s="100" t="n"/>
      <c r="S1690" s="100" t="n"/>
      <c r="T1690" s="100" t="n"/>
      <c r="U1690" s="100" t="n"/>
      <c r="V1690" s="100" t="n"/>
      <c r="W1690" s="100" t="n"/>
      <c r="X1690" s="100" t="n"/>
      <c r="Y1690" s="100" t="n"/>
      <c r="Z1690" s="100" t="n"/>
      <c r="AA1690" s="100" t="n"/>
      <c r="AB1690" s="100" t="n"/>
      <c r="AC1690" s="100" t="n"/>
      <c r="AD1690" s="100" t="n"/>
      <c r="AE1690" s="100" t="n"/>
      <c r="AF1690" s="100" t="n"/>
      <c r="AG1690" s="100" t="n"/>
      <c r="AH1690" s="100" t="n"/>
      <c r="AI1690" s="100" t="n"/>
      <c r="AJ1690" s="100" t="n"/>
      <c r="AK1690" s="100" t="n"/>
      <c r="AL1690" s="100" t="n"/>
      <c r="AM1690" s="100" t="n"/>
      <c r="AN1690" s="100" t="n"/>
      <c r="AO1690" s="100" t="n"/>
      <c r="AP1690" s="100" t="n"/>
      <c r="AQ1690" s="100" t="n"/>
      <c r="AR1690" s="100" t="n"/>
    </row>
    <row r="1692">
      <c r="A1692" s="6">
        <f>IF(HSCEI!$C$19="","",HSCEI!$C$19)</f>
        <v/>
      </c>
      <c r="B1692" s="96">
        <f>IF($A1692="",0,COUNT($E1693:$AR1693))</f>
        <v/>
      </c>
      <c r="C1692" s="97">
        <f>IF($B1692=0,0,MAX($E1693:$AR1693))</f>
        <v/>
      </c>
      <c r="D1692" s="98">
        <f>BDS($A1692,FLD_HIST,"headers=y","startcol=1","endcol=7","dir=h","DVD_START_DT",HIST_FROM,"DVD_END_DT",HIST_TO)</f>
        <v/>
      </c>
      <c r="E1692" s="99" t="n"/>
      <c r="F1692" s="99" t="n"/>
      <c r="G1692" s="99" t="n"/>
      <c r="H1692" s="99" t="n"/>
      <c r="I1692" s="99" t="n"/>
      <c r="J1692" s="99" t="n"/>
      <c r="K1692" s="99" t="n"/>
      <c r="L1692" s="99" t="n"/>
      <c r="M1692" s="99" t="n"/>
      <c r="N1692" s="99" t="n"/>
      <c r="O1692" s="99" t="n"/>
      <c r="P1692" s="99" t="n"/>
      <c r="Q1692" s="99" t="n"/>
      <c r="R1692" s="99" t="n"/>
      <c r="S1692" s="99" t="n"/>
      <c r="T1692" s="99" t="n"/>
      <c r="U1692" s="99" t="n"/>
      <c r="V1692" s="99" t="n"/>
      <c r="W1692" s="99" t="n"/>
      <c r="X1692" s="99" t="n"/>
      <c r="Y1692" s="99" t="n"/>
      <c r="Z1692" s="99" t="n"/>
      <c r="AA1692" s="99" t="n"/>
      <c r="AB1692" s="99" t="n"/>
      <c r="AC1692" s="99" t="n"/>
      <c r="AD1692" s="99" t="n"/>
      <c r="AE1692" s="99" t="n"/>
      <c r="AF1692" s="99" t="n"/>
      <c r="AG1692" s="99" t="n"/>
      <c r="AH1692" s="99" t="n"/>
      <c r="AI1692" s="99" t="n"/>
      <c r="AJ1692" s="99" t="n"/>
      <c r="AK1692" s="99" t="n"/>
      <c r="AL1692" s="99" t="n"/>
      <c r="AM1692" s="99" t="n"/>
      <c r="AN1692" s="99" t="n"/>
      <c r="AO1692" s="99" t="n"/>
      <c r="AP1692" s="99" t="n"/>
      <c r="AQ1692" s="99" t="n"/>
      <c r="AR1692" s="99" t="n"/>
    </row>
    <row r="1693">
      <c r="D1693" s="99" t="n"/>
      <c r="E1693" s="99" t="n"/>
      <c r="F1693" s="99" t="n"/>
      <c r="G1693" s="99" t="n"/>
      <c r="H1693" s="99" t="n"/>
      <c r="I1693" s="99" t="n"/>
      <c r="J1693" s="99" t="n"/>
      <c r="K1693" s="99" t="n"/>
      <c r="L1693" s="99" t="n"/>
      <c r="M1693" s="99" t="n"/>
      <c r="N1693" s="99" t="n"/>
      <c r="O1693" s="99" t="n"/>
      <c r="P1693" s="99" t="n"/>
      <c r="Q1693" s="99" t="n"/>
      <c r="R1693" s="99" t="n"/>
      <c r="S1693" s="99" t="n"/>
      <c r="T1693" s="99" t="n"/>
      <c r="U1693" s="99" t="n"/>
      <c r="V1693" s="99" t="n"/>
      <c r="W1693" s="99" t="n"/>
      <c r="X1693" s="99" t="n"/>
      <c r="Y1693" s="99" t="n"/>
      <c r="Z1693" s="99" t="n"/>
      <c r="AA1693" s="99" t="n"/>
      <c r="AB1693" s="99" t="n"/>
      <c r="AC1693" s="99" t="n"/>
      <c r="AD1693" s="99" t="n"/>
      <c r="AE1693" s="99" t="n"/>
      <c r="AF1693" s="99" t="n"/>
      <c r="AG1693" s="99" t="n"/>
      <c r="AH1693" s="99" t="n"/>
      <c r="AI1693" s="99" t="n"/>
      <c r="AJ1693" s="99" t="n"/>
      <c r="AK1693" s="99" t="n"/>
      <c r="AL1693" s="99" t="n"/>
      <c r="AM1693" s="99" t="n"/>
      <c r="AN1693" s="99" t="n"/>
      <c r="AO1693" s="99" t="n"/>
      <c r="AP1693" s="99" t="n"/>
      <c r="AQ1693" s="99" t="n"/>
      <c r="AR1693" s="99" t="n"/>
    </row>
    <row r="1694">
      <c r="D1694" s="99" t="n"/>
      <c r="E1694" s="99" t="n"/>
      <c r="F1694" s="99" t="n"/>
      <c r="G1694" s="99" t="n"/>
      <c r="H1694" s="99" t="n"/>
      <c r="I1694" s="99" t="n"/>
      <c r="J1694" s="99" t="n"/>
      <c r="K1694" s="99" t="n"/>
      <c r="L1694" s="99" t="n"/>
      <c r="M1694" s="99" t="n"/>
      <c r="N1694" s="99" t="n"/>
      <c r="O1694" s="99" t="n"/>
      <c r="P1694" s="99" t="n"/>
      <c r="Q1694" s="99" t="n"/>
      <c r="R1694" s="99" t="n"/>
      <c r="S1694" s="99" t="n"/>
      <c r="T1694" s="99" t="n"/>
      <c r="U1694" s="99" t="n"/>
      <c r="V1694" s="99" t="n"/>
      <c r="W1694" s="99" t="n"/>
      <c r="X1694" s="99" t="n"/>
      <c r="Y1694" s="99" t="n"/>
      <c r="Z1694" s="99" t="n"/>
      <c r="AA1694" s="99" t="n"/>
      <c r="AB1694" s="99" t="n"/>
      <c r="AC1694" s="99" t="n"/>
      <c r="AD1694" s="99" t="n"/>
      <c r="AE1694" s="99" t="n"/>
      <c r="AF1694" s="99" t="n"/>
      <c r="AG1694" s="99" t="n"/>
      <c r="AH1694" s="99" t="n"/>
      <c r="AI1694" s="99" t="n"/>
      <c r="AJ1694" s="99" t="n"/>
      <c r="AK1694" s="99" t="n"/>
      <c r="AL1694" s="99" t="n"/>
      <c r="AM1694" s="99" t="n"/>
      <c r="AN1694" s="99" t="n"/>
      <c r="AO1694" s="99" t="n"/>
      <c r="AP1694" s="99" t="n"/>
      <c r="AQ1694" s="99" t="n"/>
      <c r="AR1694" s="99" t="n"/>
    </row>
    <row r="1695">
      <c r="D1695" s="99" t="n"/>
      <c r="E1695" s="99" t="n"/>
      <c r="F1695" s="99" t="n"/>
      <c r="G1695" s="99" t="n"/>
      <c r="H1695" s="99" t="n"/>
      <c r="I1695" s="99" t="n"/>
      <c r="J1695" s="99" t="n"/>
      <c r="K1695" s="99" t="n"/>
      <c r="L1695" s="99" t="n"/>
      <c r="M1695" s="99" t="n"/>
      <c r="N1695" s="99" t="n"/>
      <c r="O1695" s="99" t="n"/>
      <c r="P1695" s="99" t="n"/>
      <c r="Q1695" s="99" t="n"/>
      <c r="R1695" s="99" t="n"/>
      <c r="S1695" s="99" t="n"/>
      <c r="T1695" s="99" t="n"/>
      <c r="U1695" s="99" t="n"/>
      <c r="V1695" s="99" t="n"/>
      <c r="W1695" s="99" t="n"/>
      <c r="X1695" s="99" t="n"/>
      <c r="Y1695" s="99" t="n"/>
      <c r="Z1695" s="99" t="n"/>
      <c r="AA1695" s="99" t="n"/>
      <c r="AB1695" s="99" t="n"/>
      <c r="AC1695" s="99" t="n"/>
      <c r="AD1695" s="99" t="n"/>
      <c r="AE1695" s="99" t="n"/>
      <c r="AF1695" s="99" t="n"/>
      <c r="AG1695" s="99" t="n"/>
      <c r="AH1695" s="99" t="n"/>
      <c r="AI1695" s="99" t="n"/>
      <c r="AJ1695" s="99" t="n"/>
      <c r="AK1695" s="99" t="n"/>
      <c r="AL1695" s="99" t="n"/>
      <c r="AM1695" s="99" t="n"/>
      <c r="AN1695" s="99" t="n"/>
      <c r="AO1695" s="99" t="n"/>
      <c r="AP1695" s="99" t="n"/>
      <c r="AQ1695" s="99" t="n"/>
      <c r="AR1695" s="99" t="n"/>
    </row>
    <row r="1696">
      <c r="D1696" s="100" t="n"/>
      <c r="E1696" s="100" t="n"/>
      <c r="F1696" s="100" t="n"/>
      <c r="G1696" s="100" t="n"/>
      <c r="H1696" s="100" t="n"/>
      <c r="I1696" s="100" t="n"/>
      <c r="J1696" s="100" t="n"/>
      <c r="K1696" s="100" t="n"/>
      <c r="L1696" s="100" t="n"/>
      <c r="M1696" s="100" t="n"/>
      <c r="N1696" s="100" t="n"/>
      <c r="O1696" s="100" t="n"/>
      <c r="P1696" s="100" t="n"/>
      <c r="Q1696" s="100" t="n"/>
      <c r="R1696" s="100" t="n"/>
      <c r="S1696" s="100" t="n"/>
      <c r="T1696" s="100" t="n"/>
      <c r="U1696" s="100" t="n"/>
      <c r="V1696" s="100" t="n"/>
      <c r="W1696" s="100" t="n"/>
      <c r="X1696" s="100" t="n"/>
      <c r="Y1696" s="100" t="n"/>
      <c r="Z1696" s="100" t="n"/>
      <c r="AA1696" s="100" t="n"/>
      <c r="AB1696" s="100" t="n"/>
      <c r="AC1696" s="100" t="n"/>
      <c r="AD1696" s="100" t="n"/>
      <c r="AE1696" s="100" t="n"/>
      <c r="AF1696" s="100" t="n"/>
      <c r="AG1696" s="100" t="n"/>
      <c r="AH1696" s="100" t="n"/>
      <c r="AI1696" s="100" t="n"/>
      <c r="AJ1696" s="100" t="n"/>
      <c r="AK1696" s="100" t="n"/>
      <c r="AL1696" s="100" t="n"/>
      <c r="AM1696" s="100" t="n"/>
      <c r="AN1696" s="100" t="n"/>
      <c r="AO1696" s="100" t="n"/>
      <c r="AP1696" s="100" t="n"/>
      <c r="AQ1696" s="100" t="n"/>
      <c r="AR1696" s="100" t="n"/>
    </row>
    <row r="1699">
      <c r="A1699" s="2">
        <f>IF($A1692="","","   projections")</f>
        <v/>
      </c>
      <c r="B1699" s="96">
        <f>IF($A1692="",0,COUNT($E1700:$AR1700))</f>
        <v/>
      </c>
      <c r="C1699" s="97">
        <f>IF($B1699=0,0,MAX($E1700:$AR1700))</f>
        <v/>
      </c>
      <c r="D1699" s="98">
        <f>BDS($A1692,FLD_PROJ,"headers=y","startcol=1","endcol=3","dir=h")</f>
        <v/>
      </c>
      <c r="E1699" s="99" t="n"/>
      <c r="F1699" s="99" t="n"/>
      <c r="G1699" s="99" t="n"/>
      <c r="H1699" s="99" t="n"/>
      <c r="I1699" s="99" t="n"/>
      <c r="J1699" s="99" t="n"/>
      <c r="K1699" s="99" t="n"/>
      <c r="L1699" s="99" t="n"/>
      <c r="M1699" s="99" t="n"/>
      <c r="N1699" s="99" t="n"/>
      <c r="O1699" s="99" t="n"/>
      <c r="P1699" s="99" t="n"/>
      <c r="Q1699" s="99" t="n"/>
      <c r="R1699" s="99" t="n"/>
      <c r="S1699" s="99" t="n"/>
      <c r="T1699" s="99" t="n"/>
      <c r="U1699" s="99" t="n"/>
      <c r="V1699" s="99" t="n"/>
      <c r="W1699" s="99" t="n"/>
      <c r="X1699" s="99" t="n"/>
      <c r="Y1699" s="99" t="n"/>
      <c r="Z1699" s="99" t="n"/>
      <c r="AA1699" s="99" t="n"/>
      <c r="AB1699" s="99" t="n"/>
      <c r="AC1699" s="99" t="n"/>
      <c r="AD1699" s="99" t="n"/>
      <c r="AE1699" s="99" t="n"/>
      <c r="AF1699" s="99" t="n"/>
      <c r="AG1699" s="99" t="n"/>
      <c r="AH1699" s="99" t="n"/>
      <c r="AI1699" s="99" t="n"/>
      <c r="AJ1699" s="99" t="n"/>
      <c r="AK1699" s="99" t="n"/>
      <c r="AL1699" s="99" t="n"/>
      <c r="AM1699" s="99" t="n"/>
      <c r="AN1699" s="99" t="n"/>
      <c r="AO1699" s="99" t="n"/>
      <c r="AP1699" s="99" t="n"/>
      <c r="AQ1699" s="99" t="n"/>
      <c r="AR1699" s="99" t="n"/>
    </row>
    <row r="1700">
      <c r="D1700" s="99" t="n"/>
      <c r="E1700" s="99" t="n"/>
      <c r="F1700" s="99" t="n"/>
      <c r="G1700" s="99" t="n"/>
      <c r="H1700" s="99" t="n"/>
      <c r="I1700" s="99" t="n"/>
      <c r="J1700" s="99" t="n"/>
      <c r="K1700" s="99" t="n"/>
      <c r="L1700" s="99" t="n"/>
      <c r="M1700" s="99" t="n"/>
      <c r="N1700" s="99" t="n"/>
      <c r="O1700" s="99" t="n"/>
      <c r="P1700" s="99" t="n"/>
      <c r="Q1700" s="99" t="n"/>
      <c r="R1700" s="99" t="n"/>
      <c r="S1700" s="99" t="n"/>
      <c r="T1700" s="99" t="n"/>
      <c r="U1700" s="99" t="n"/>
      <c r="V1700" s="99" t="n"/>
      <c r="W1700" s="99" t="n"/>
      <c r="X1700" s="99" t="n"/>
      <c r="Y1700" s="99" t="n"/>
      <c r="Z1700" s="99" t="n"/>
      <c r="AA1700" s="99" t="n"/>
      <c r="AB1700" s="99" t="n"/>
      <c r="AC1700" s="99" t="n"/>
      <c r="AD1700" s="99" t="n"/>
      <c r="AE1700" s="99" t="n"/>
      <c r="AF1700" s="99" t="n"/>
      <c r="AG1700" s="99" t="n"/>
      <c r="AH1700" s="99" t="n"/>
      <c r="AI1700" s="99" t="n"/>
      <c r="AJ1700" s="99" t="n"/>
      <c r="AK1700" s="99" t="n"/>
      <c r="AL1700" s="99" t="n"/>
      <c r="AM1700" s="99" t="n"/>
      <c r="AN1700" s="99" t="n"/>
      <c r="AO1700" s="99" t="n"/>
      <c r="AP1700" s="99" t="n"/>
      <c r="AQ1700" s="99" t="n"/>
      <c r="AR1700" s="99" t="n"/>
    </row>
    <row r="1701">
      <c r="D1701" s="100" t="n"/>
      <c r="E1701" s="100" t="n"/>
      <c r="F1701" s="100" t="n"/>
      <c r="G1701" s="100" t="n"/>
      <c r="H1701" s="100" t="n"/>
      <c r="I1701" s="100" t="n"/>
      <c r="J1701" s="100" t="n"/>
      <c r="K1701" s="100" t="n"/>
      <c r="L1701" s="100" t="n"/>
      <c r="M1701" s="100" t="n"/>
      <c r="N1701" s="100" t="n"/>
      <c r="O1701" s="100" t="n"/>
      <c r="P1701" s="100" t="n"/>
      <c r="Q1701" s="100" t="n"/>
      <c r="R1701" s="100" t="n"/>
      <c r="S1701" s="100" t="n"/>
      <c r="T1701" s="100" t="n"/>
      <c r="U1701" s="100" t="n"/>
      <c r="V1701" s="100" t="n"/>
      <c r="W1701" s="100" t="n"/>
      <c r="X1701" s="100" t="n"/>
      <c r="Y1701" s="100" t="n"/>
      <c r="Z1701" s="100" t="n"/>
      <c r="AA1701" s="100" t="n"/>
      <c r="AB1701" s="100" t="n"/>
      <c r="AC1701" s="100" t="n"/>
      <c r="AD1701" s="100" t="n"/>
      <c r="AE1701" s="100" t="n"/>
      <c r="AF1701" s="100" t="n"/>
      <c r="AG1701" s="100" t="n"/>
      <c r="AH1701" s="100" t="n"/>
      <c r="AI1701" s="100" t="n"/>
      <c r="AJ1701" s="100" t="n"/>
      <c r="AK1701" s="100" t="n"/>
      <c r="AL1701" s="100" t="n"/>
      <c r="AM1701" s="100" t="n"/>
      <c r="AN1701" s="100" t="n"/>
      <c r="AO1701" s="100" t="n"/>
      <c r="AP1701" s="100" t="n"/>
      <c r="AQ1701" s="100" t="n"/>
      <c r="AR1701" s="100" t="n"/>
    </row>
    <row r="1703">
      <c r="A1703" s="6">
        <f>IF(HSCEI!$C$20="","",HSCEI!$C$20)</f>
        <v/>
      </c>
      <c r="B1703" s="96">
        <f>IF($A1703="",0,COUNT($E1704:$AR1704))</f>
        <v/>
      </c>
      <c r="C1703" s="97">
        <f>IF($B1703=0,0,MAX($E1704:$AR1704))</f>
        <v/>
      </c>
      <c r="D1703" s="98">
        <f>BDS($A1703,FLD_HIST,"headers=y","startcol=1","endcol=7","dir=h","DVD_START_DT",HIST_FROM,"DVD_END_DT",HIST_TO)</f>
        <v/>
      </c>
      <c r="E1703" s="99" t="n"/>
      <c r="F1703" s="99" t="n"/>
      <c r="G1703" s="99" t="n"/>
      <c r="H1703" s="99" t="n"/>
      <c r="I1703" s="99" t="n"/>
      <c r="J1703" s="99" t="n"/>
      <c r="K1703" s="99" t="n"/>
      <c r="L1703" s="99" t="n"/>
      <c r="M1703" s="99" t="n"/>
      <c r="N1703" s="99" t="n"/>
      <c r="O1703" s="99" t="n"/>
      <c r="P1703" s="99" t="n"/>
      <c r="Q1703" s="99" t="n"/>
      <c r="R1703" s="99" t="n"/>
      <c r="S1703" s="99" t="n"/>
      <c r="T1703" s="99" t="n"/>
      <c r="U1703" s="99" t="n"/>
      <c r="V1703" s="99" t="n"/>
      <c r="W1703" s="99" t="n"/>
      <c r="X1703" s="99" t="n"/>
      <c r="Y1703" s="99" t="n"/>
      <c r="Z1703" s="99" t="n"/>
      <c r="AA1703" s="99" t="n"/>
      <c r="AB1703" s="99" t="n"/>
      <c r="AC1703" s="99" t="n"/>
      <c r="AD1703" s="99" t="n"/>
      <c r="AE1703" s="99" t="n"/>
      <c r="AF1703" s="99" t="n"/>
      <c r="AG1703" s="99" t="n"/>
      <c r="AH1703" s="99" t="n"/>
      <c r="AI1703" s="99" t="n"/>
      <c r="AJ1703" s="99" t="n"/>
      <c r="AK1703" s="99" t="n"/>
      <c r="AL1703" s="99" t="n"/>
      <c r="AM1703" s="99" t="n"/>
      <c r="AN1703" s="99" t="n"/>
      <c r="AO1703" s="99" t="n"/>
      <c r="AP1703" s="99" t="n"/>
      <c r="AQ1703" s="99" t="n"/>
      <c r="AR1703" s="99" t="n"/>
    </row>
    <row r="1704">
      <c r="D1704" s="99" t="n"/>
      <c r="E1704" s="99" t="n"/>
      <c r="F1704" s="99" t="n"/>
      <c r="G1704" s="99" t="n"/>
      <c r="H1704" s="99" t="n"/>
      <c r="I1704" s="99" t="n"/>
      <c r="J1704" s="99" t="n"/>
      <c r="K1704" s="99" t="n"/>
      <c r="L1704" s="99" t="n"/>
      <c r="M1704" s="99" t="n"/>
      <c r="N1704" s="99" t="n"/>
      <c r="O1704" s="99" t="n"/>
      <c r="P1704" s="99" t="n"/>
      <c r="Q1704" s="99" t="n"/>
      <c r="R1704" s="99" t="n"/>
      <c r="S1704" s="99" t="n"/>
      <c r="T1704" s="99" t="n"/>
      <c r="U1704" s="99" t="n"/>
      <c r="V1704" s="99" t="n"/>
      <c r="W1704" s="99" t="n"/>
      <c r="X1704" s="99" t="n"/>
      <c r="Y1704" s="99" t="n"/>
      <c r="Z1704" s="99" t="n"/>
      <c r="AA1704" s="99" t="n"/>
      <c r="AB1704" s="99" t="n"/>
      <c r="AC1704" s="99" t="n"/>
      <c r="AD1704" s="99" t="n"/>
      <c r="AE1704" s="99" t="n"/>
      <c r="AF1704" s="99" t="n"/>
      <c r="AG1704" s="99" t="n"/>
      <c r="AH1704" s="99" t="n"/>
      <c r="AI1704" s="99" t="n"/>
      <c r="AJ1704" s="99" t="n"/>
      <c r="AK1704" s="99" t="n"/>
      <c r="AL1704" s="99" t="n"/>
      <c r="AM1704" s="99" t="n"/>
      <c r="AN1704" s="99" t="n"/>
      <c r="AO1704" s="99" t="n"/>
      <c r="AP1704" s="99" t="n"/>
      <c r="AQ1704" s="99" t="n"/>
      <c r="AR1704" s="99" t="n"/>
    </row>
    <row r="1705">
      <c r="D1705" s="99" t="n"/>
      <c r="E1705" s="99" t="n"/>
      <c r="F1705" s="99" t="n"/>
      <c r="G1705" s="99" t="n"/>
      <c r="H1705" s="99" t="n"/>
      <c r="I1705" s="99" t="n"/>
      <c r="J1705" s="99" t="n"/>
      <c r="K1705" s="99" t="n"/>
      <c r="L1705" s="99" t="n"/>
      <c r="M1705" s="99" t="n"/>
      <c r="N1705" s="99" t="n"/>
      <c r="O1705" s="99" t="n"/>
      <c r="P1705" s="99" t="n"/>
      <c r="Q1705" s="99" t="n"/>
      <c r="R1705" s="99" t="n"/>
      <c r="S1705" s="99" t="n"/>
      <c r="T1705" s="99" t="n"/>
      <c r="U1705" s="99" t="n"/>
      <c r="V1705" s="99" t="n"/>
      <c r="W1705" s="99" t="n"/>
      <c r="X1705" s="99" t="n"/>
      <c r="Y1705" s="99" t="n"/>
      <c r="Z1705" s="99" t="n"/>
      <c r="AA1705" s="99" t="n"/>
      <c r="AB1705" s="99" t="n"/>
      <c r="AC1705" s="99" t="n"/>
      <c r="AD1705" s="99" t="n"/>
      <c r="AE1705" s="99" t="n"/>
      <c r="AF1705" s="99" t="n"/>
      <c r="AG1705" s="99" t="n"/>
      <c r="AH1705" s="99" t="n"/>
      <c r="AI1705" s="99" t="n"/>
      <c r="AJ1705" s="99" t="n"/>
      <c r="AK1705" s="99" t="n"/>
      <c r="AL1705" s="99" t="n"/>
      <c r="AM1705" s="99" t="n"/>
      <c r="AN1705" s="99" t="n"/>
      <c r="AO1705" s="99" t="n"/>
      <c r="AP1705" s="99" t="n"/>
      <c r="AQ1705" s="99" t="n"/>
      <c r="AR1705" s="99" t="n"/>
    </row>
    <row r="1706">
      <c r="D1706" s="99" t="n"/>
      <c r="E1706" s="99" t="n"/>
      <c r="F1706" s="99" t="n"/>
      <c r="G1706" s="99" t="n"/>
      <c r="H1706" s="99" t="n"/>
      <c r="I1706" s="99" t="n"/>
      <c r="J1706" s="99" t="n"/>
      <c r="K1706" s="99" t="n"/>
      <c r="L1706" s="99" t="n"/>
      <c r="M1706" s="99" t="n"/>
      <c r="N1706" s="99" t="n"/>
      <c r="O1706" s="99" t="n"/>
      <c r="P1706" s="99" t="n"/>
      <c r="Q1706" s="99" t="n"/>
      <c r="R1706" s="99" t="n"/>
      <c r="S1706" s="99" t="n"/>
      <c r="T1706" s="99" t="n"/>
      <c r="U1706" s="99" t="n"/>
      <c r="V1706" s="99" t="n"/>
      <c r="W1706" s="99" t="n"/>
      <c r="X1706" s="99" t="n"/>
      <c r="Y1706" s="99" t="n"/>
      <c r="Z1706" s="99" t="n"/>
      <c r="AA1706" s="99" t="n"/>
      <c r="AB1706" s="99" t="n"/>
      <c r="AC1706" s="99" t="n"/>
      <c r="AD1706" s="99" t="n"/>
      <c r="AE1706" s="99" t="n"/>
      <c r="AF1706" s="99" t="n"/>
      <c r="AG1706" s="99" t="n"/>
      <c r="AH1706" s="99" t="n"/>
      <c r="AI1706" s="99" t="n"/>
      <c r="AJ1706" s="99" t="n"/>
      <c r="AK1706" s="99" t="n"/>
      <c r="AL1706" s="99" t="n"/>
      <c r="AM1706" s="99" t="n"/>
      <c r="AN1706" s="99" t="n"/>
      <c r="AO1706" s="99" t="n"/>
      <c r="AP1706" s="99" t="n"/>
      <c r="AQ1706" s="99" t="n"/>
      <c r="AR1706" s="99" t="n"/>
    </row>
    <row r="1707">
      <c r="D1707" s="100" t="n"/>
      <c r="E1707" s="100" t="n"/>
      <c r="F1707" s="100" t="n"/>
      <c r="G1707" s="100" t="n"/>
      <c r="H1707" s="100" t="n"/>
      <c r="I1707" s="100" t="n"/>
      <c r="J1707" s="100" t="n"/>
      <c r="K1707" s="100" t="n"/>
      <c r="L1707" s="100" t="n"/>
      <c r="M1707" s="100" t="n"/>
      <c r="N1707" s="100" t="n"/>
      <c r="O1707" s="100" t="n"/>
      <c r="P1707" s="100" t="n"/>
      <c r="Q1707" s="100" t="n"/>
      <c r="R1707" s="100" t="n"/>
      <c r="S1707" s="100" t="n"/>
      <c r="T1707" s="100" t="n"/>
      <c r="U1707" s="100" t="n"/>
      <c r="V1707" s="100" t="n"/>
      <c r="W1707" s="100" t="n"/>
      <c r="X1707" s="100" t="n"/>
      <c r="Y1707" s="100" t="n"/>
      <c r="Z1707" s="100" t="n"/>
      <c r="AA1707" s="100" t="n"/>
      <c r="AB1707" s="100" t="n"/>
      <c r="AC1707" s="100" t="n"/>
      <c r="AD1707" s="100" t="n"/>
      <c r="AE1707" s="100" t="n"/>
      <c r="AF1707" s="100" t="n"/>
      <c r="AG1707" s="100" t="n"/>
      <c r="AH1707" s="100" t="n"/>
      <c r="AI1707" s="100" t="n"/>
      <c r="AJ1707" s="100" t="n"/>
      <c r="AK1707" s="100" t="n"/>
      <c r="AL1707" s="100" t="n"/>
      <c r="AM1707" s="100" t="n"/>
      <c r="AN1707" s="100" t="n"/>
      <c r="AO1707" s="100" t="n"/>
      <c r="AP1707" s="100" t="n"/>
      <c r="AQ1707" s="100" t="n"/>
      <c r="AR1707" s="100" t="n"/>
    </row>
    <row r="1710">
      <c r="A1710" s="2">
        <f>IF($A1703="","","   projections")</f>
        <v/>
      </c>
      <c r="B1710" s="96">
        <f>IF($A1703="",0,COUNT($E1711:$AR1711))</f>
        <v/>
      </c>
      <c r="C1710" s="97">
        <f>IF($B1710=0,0,MAX($E1711:$AR1711))</f>
        <v/>
      </c>
      <c r="D1710" s="98">
        <f>BDS($A1703,FLD_PROJ,"headers=y","startcol=1","endcol=3","dir=h")</f>
        <v/>
      </c>
      <c r="E1710" s="99" t="n"/>
      <c r="F1710" s="99" t="n"/>
      <c r="G1710" s="99" t="n"/>
      <c r="H1710" s="99" t="n"/>
      <c r="I1710" s="99" t="n"/>
      <c r="J1710" s="99" t="n"/>
      <c r="K1710" s="99" t="n"/>
      <c r="L1710" s="99" t="n"/>
      <c r="M1710" s="99" t="n"/>
      <c r="N1710" s="99" t="n"/>
      <c r="O1710" s="99" t="n"/>
      <c r="P1710" s="99" t="n"/>
      <c r="Q1710" s="99" t="n"/>
      <c r="R1710" s="99" t="n"/>
      <c r="S1710" s="99" t="n"/>
      <c r="T1710" s="99" t="n"/>
      <c r="U1710" s="99" t="n"/>
      <c r="V1710" s="99" t="n"/>
      <c r="W1710" s="99" t="n"/>
      <c r="X1710" s="99" t="n"/>
      <c r="Y1710" s="99" t="n"/>
      <c r="Z1710" s="99" t="n"/>
      <c r="AA1710" s="99" t="n"/>
      <c r="AB1710" s="99" t="n"/>
      <c r="AC1710" s="99" t="n"/>
      <c r="AD1710" s="99" t="n"/>
      <c r="AE1710" s="99" t="n"/>
      <c r="AF1710" s="99" t="n"/>
      <c r="AG1710" s="99" t="n"/>
      <c r="AH1710" s="99" t="n"/>
      <c r="AI1710" s="99" t="n"/>
      <c r="AJ1710" s="99" t="n"/>
      <c r="AK1710" s="99" t="n"/>
      <c r="AL1710" s="99" t="n"/>
      <c r="AM1710" s="99" t="n"/>
      <c r="AN1710" s="99" t="n"/>
      <c r="AO1710" s="99" t="n"/>
      <c r="AP1710" s="99" t="n"/>
      <c r="AQ1710" s="99" t="n"/>
      <c r="AR1710" s="99" t="n"/>
    </row>
    <row r="1711">
      <c r="D1711" s="99" t="n"/>
      <c r="E1711" s="99" t="n"/>
      <c r="F1711" s="99" t="n"/>
      <c r="G1711" s="99" t="n"/>
      <c r="H1711" s="99" t="n"/>
      <c r="I1711" s="99" t="n"/>
      <c r="J1711" s="99" t="n"/>
      <c r="K1711" s="99" t="n"/>
      <c r="L1711" s="99" t="n"/>
      <c r="M1711" s="99" t="n"/>
      <c r="N1711" s="99" t="n"/>
      <c r="O1711" s="99" t="n"/>
      <c r="P1711" s="99" t="n"/>
      <c r="Q1711" s="99" t="n"/>
      <c r="R1711" s="99" t="n"/>
      <c r="S1711" s="99" t="n"/>
      <c r="T1711" s="99" t="n"/>
      <c r="U1711" s="99" t="n"/>
      <c r="V1711" s="99" t="n"/>
      <c r="W1711" s="99" t="n"/>
      <c r="X1711" s="99" t="n"/>
      <c r="Y1711" s="99" t="n"/>
      <c r="Z1711" s="99" t="n"/>
      <c r="AA1711" s="99" t="n"/>
      <c r="AB1711" s="99" t="n"/>
      <c r="AC1711" s="99" t="n"/>
      <c r="AD1711" s="99" t="n"/>
      <c r="AE1711" s="99" t="n"/>
      <c r="AF1711" s="99" t="n"/>
      <c r="AG1711" s="99" t="n"/>
      <c r="AH1711" s="99" t="n"/>
      <c r="AI1711" s="99" t="n"/>
      <c r="AJ1711" s="99" t="n"/>
      <c r="AK1711" s="99" t="n"/>
      <c r="AL1711" s="99" t="n"/>
      <c r="AM1711" s="99" t="n"/>
      <c r="AN1711" s="99" t="n"/>
      <c r="AO1711" s="99" t="n"/>
      <c r="AP1711" s="99" t="n"/>
      <c r="AQ1711" s="99" t="n"/>
      <c r="AR1711" s="99" t="n"/>
    </row>
    <row r="1712">
      <c r="D1712" s="100" t="n"/>
      <c r="E1712" s="100" t="n"/>
      <c r="F1712" s="100" t="n"/>
      <c r="G1712" s="100" t="n"/>
      <c r="H1712" s="100" t="n"/>
      <c r="I1712" s="100" t="n"/>
      <c r="J1712" s="100" t="n"/>
      <c r="K1712" s="100" t="n"/>
      <c r="L1712" s="100" t="n"/>
      <c r="M1712" s="100" t="n"/>
      <c r="N1712" s="100" t="n"/>
      <c r="O1712" s="100" t="n"/>
      <c r="P1712" s="100" t="n"/>
      <c r="Q1712" s="100" t="n"/>
      <c r="R1712" s="100" t="n"/>
      <c r="S1712" s="100" t="n"/>
      <c r="T1712" s="100" t="n"/>
      <c r="U1712" s="100" t="n"/>
      <c r="V1712" s="100" t="n"/>
      <c r="W1712" s="100" t="n"/>
      <c r="X1712" s="100" t="n"/>
      <c r="Y1712" s="100" t="n"/>
      <c r="Z1712" s="100" t="n"/>
      <c r="AA1712" s="100" t="n"/>
      <c r="AB1712" s="100" t="n"/>
      <c r="AC1712" s="100" t="n"/>
      <c r="AD1712" s="100" t="n"/>
      <c r="AE1712" s="100" t="n"/>
      <c r="AF1712" s="100" t="n"/>
      <c r="AG1712" s="100" t="n"/>
      <c r="AH1712" s="100" t="n"/>
      <c r="AI1712" s="100" t="n"/>
      <c r="AJ1712" s="100" t="n"/>
      <c r="AK1712" s="100" t="n"/>
      <c r="AL1712" s="100" t="n"/>
      <c r="AM1712" s="100" t="n"/>
      <c r="AN1712" s="100" t="n"/>
      <c r="AO1712" s="100" t="n"/>
      <c r="AP1712" s="100" t="n"/>
      <c r="AQ1712" s="100" t="n"/>
      <c r="AR1712" s="100" t="n"/>
    </row>
    <row r="1714">
      <c r="A1714" s="6">
        <f>IF(HSCEI!$C$21="","",HSCEI!$C$21)</f>
        <v/>
      </c>
      <c r="B1714" s="96">
        <f>IF($A1714="",0,COUNT($E1715:$AR1715))</f>
        <v/>
      </c>
      <c r="C1714" s="97">
        <f>IF($B1714=0,0,MAX($E1715:$AR1715))</f>
        <v/>
      </c>
      <c r="D1714" s="98">
        <f>BDS($A1714,FLD_HIST,"headers=y","startcol=1","endcol=7","dir=h","DVD_START_DT",HIST_FROM,"DVD_END_DT",HIST_TO)</f>
        <v/>
      </c>
      <c r="E1714" s="99" t="n"/>
      <c r="F1714" s="99" t="n"/>
      <c r="G1714" s="99" t="n"/>
      <c r="H1714" s="99" t="n"/>
      <c r="I1714" s="99" t="n"/>
      <c r="J1714" s="99" t="n"/>
      <c r="K1714" s="99" t="n"/>
      <c r="L1714" s="99" t="n"/>
      <c r="M1714" s="99" t="n"/>
      <c r="N1714" s="99" t="n"/>
      <c r="O1714" s="99" t="n"/>
      <c r="P1714" s="99" t="n"/>
      <c r="Q1714" s="99" t="n"/>
      <c r="R1714" s="99" t="n"/>
      <c r="S1714" s="99" t="n"/>
      <c r="T1714" s="99" t="n"/>
      <c r="U1714" s="99" t="n"/>
      <c r="V1714" s="99" t="n"/>
      <c r="W1714" s="99" t="n"/>
      <c r="X1714" s="99" t="n"/>
      <c r="Y1714" s="99" t="n"/>
      <c r="Z1714" s="99" t="n"/>
      <c r="AA1714" s="99" t="n"/>
      <c r="AB1714" s="99" t="n"/>
      <c r="AC1714" s="99" t="n"/>
      <c r="AD1714" s="99" t="n"/>
      <c r="AE1714" s="99" t="n"/>
      <c r="AF1714" s="99" t="n"/>
      <c r="AG1714" s="99" t="n"/>
      <c r="AH1714" s="99" t="n"/>
      <c r="AI1714" s="99" t="n"/>
      <c r="AJ1714" s="99" t="n"/>
      <c r="AK1714" s="99" t="n"/>
      <c r="AL1714" s="99" t="n"/>
      <c r="AM1714" s="99" t="n"/>
      <c r="AN1714" s="99" t="n"/>
      <c r="AO1714" s="99" t="n"/>
      <c r="AP1714" s="99" t="n"/>
      <c r="AQ1714" s="99" t="n"/>
      <c r="AR1714" s="99" t="n"/>
    </row>
    <row r="1715">
      <c r="D1715" s="99" t="n"/>
      <c r="E1715" s="99" t="n"/>
      <c r="F1715" s="99" t="n"/>
      <c r="G1715" s="99" t="n"/>
      <c r="H1715" s="99" t="n"/>
      <c r="I1715" s="99" t="n"/>
      <c r="J1715" s="99" t="n"/>
      <c r="K1715" s="99" t="n"/>
      <c r="L1715" s="99" t="n"/>
      <c r="M1715" s="99" t="n"/>
      <c r="N1715" s="99" t="n"/>
      <c r="O1715" s="99" t="n"/>
      <c r="P1715" s="99" t="n"/>
      <c r="Q1715" s="99" t="n"/>
      <c r="R1715" s="99" t="n"/>
      <c r="S1715" s="99" t="n"/>
      <c r="T1715" s="99" t="n"/>
      <c r="U1715" s="99" t="n"/>
      <c r="V1715" s="99" t="n"/>
      <c r="W1715" s="99" t="n"/>
      <c r="X1715" s="99" t="n"/>
      <c r="Y1715" s="99" t="n"/>
      <c r="Z1715" s="99" t="n"/>
      <c r="AA1715" s="99" t="n"/>
      <c r="AB1715" s="99" t="n"/>
      <c r="AC1715" s="99" t="n"/>
      <c r="AD1715" s="99" t="n"/>
      <c r="AE1715" s="99" t="n"/>
      <c r="AF1715" s="99" t="n"/>
      <c r="AG1715" s="99" t="n"/>
      <c r="AH1715" s="99" t="n"/>
      <c r="AI1715" s="99" t="n"/>
      <c r="AJ1715" s="99" t="n"/>
      <c r="AK1715" s="99" t="n"/>
      <c r="AL1715" s="99" t="n"/>
      <c r="AM1715" s="99" t="n"/>
      <c r="AN1715" s="99" t="n"/>
      <c r="AO1715" s="99" t="n"/>
      <c r="AP1715" s="99" t="n"/>
      <c r="AQ1715" s="99" t="n"/>
      <c r="AR1715" s="99" t="n"/>
    </row>
    <row r="1716">
      <c r="D1716" s="99" t="n"/>
      <c r="E1716" s="99" t="n"/>
      <c r="F1716" s="99" t="n"/>
      <c r="G1716" s="99" t="n"/>
      <c r="H1716" s="99" t="n"/>
      <c r="I1716" s="99" t="n"/>
      <c r="J1716" s="99" t="n"/>
      <c r="K1716" s="99" t="n"/>
      <c r="L1716" s="99" t="n"/>
      <c r="M1716" s="99" t="n"/>
      <c r="N1716" s="99" t="n"/>
      <c r="O1716" s="99" t="n"/>
      <c r="P1716" s="99" t="n"/>
      <c r="Q1716" s="99" t="n"/>
      <c r="R1716" s="99" t="n"/>
      <c r="S1716" s="99" t="n"/>
      <c r="T1716" s="99" t="n"/>
      <c r="U1716" s="99" t="n"/>
      <c r="V1716" s="99" t="n"/>
      <c r="W1716" s="99" t="n"/>
      <c r="X1716" s="99" t="n"/>
      <c r="Y1716" s="99" t="n"/>
      <c r="Z1716" s="99" t="n"/>
      <c r="AA1716" s="99" t="n"/>
      <c r="AB1716" s="99" t="n"/>
      <c r="AC1716" s="99" t="n"/>
      <c r="AD1716" s="99" t="n"/>
      <c r="AE1716" s="99" t="n"/>
      <c r="AF1716" s="99" t="n"/>
      <c r="AG1716" s="99" t="n"/>
      <c r="AH1716" s="99" t="n"/>
      <c r="AI1716" s="99" t="n"/>
      <c r="AJ1716" s="99" t="n"/>
      <c r="AK1716" s="99" t="n"/>
      <c r="AL1716" s="99" t="n"/>
      <c r="AM1716" s="99" t="n"/>
      <c r="AN1716" s="99" t="n"/>
      <c r="AO1716" s="99" t="n"/>
      <c r="AP1716" s="99" t="n"/>
      <c r="AQ1716" s="99" t="n"/>
      <c r="AR1716" s="99" t="n"/>
    </row>
    <row r="1717">
      <c r="D1717" s="99" t="n"/>
      <c r="E1717" s="99" t="n"/>
      <c r="F1717" s="99" t="n"/>
      <c r="G1717" s="99" t="n"/>
      <c r="H1717" s="99" t="n"/>
      <c r="I1717" s="99" t="n"/>
      <c r="J1717" s="99" t="n"/>
      <c r="K1717" s="99" t="n"/>
      <c r="L1717" s="99" t="n"/>
      <c r="M1717" s="99" t="n"/>
      <c r="N1717" s="99" t="n"/>
      <c r="O1717" s="99" t="n"/>
      <c r="P1717" s="99" t="n"/>
      <c r="Q1717" s="99" t="n"/>
      <c r="R1717" s="99" t="n"/>
      <c r="S1717" s="99" t="n"/>
      <c r="T1717" s="99" t="n"/>
      <c r="U1717" s="99" t="n"/>
      <c r="V1717" s="99" t="n"/>
      <c r="W1717" s="99" t="n"/>
      <c r="X1717" s="99" t="n"/>
      <c r="Y1717" s="99" t="n"/>
      <c r="Z1717" s="99" t="n"/>
      <c r="AA1717" s="99" t="n"/>
      <c r="AB1717" s="99" t="n"/>
      <c r="AC1717" s="99" t="n"/>
      <c r="AD1717" s="99" t="n"/>
      <c r="AE1717" s="99" t="n"/>
      <c r="AF1717" s="99" t="n"/>
      <c r="AG1717" s="99" t="n"/>
      <c r="AH1717" s="99" t="n"/>
      <c r="AI1717" s="99" t="n"/>
      <c r="AJ1717" s="99" t="n"/>
      <c r="AK1717" s="99" t="n"/>
      <c r="AL1717" s="99" t="n"/>
      <c r="AM1717" s="99" t="n"/>
      <c r="AN1717" s="99" t="n"/>
      <c r="AO1717" s="99" t="n"/>
      <c r="AP1717" s="99" t="n"/>
      <c r="AQ1717" s="99" t="n"/>
      <c r="AR1717" s="99" t="n"/>
    </row>
    <row r="1718">
      <c r="D1718" s="100" t="n"/>
      <c r="E1718" s="100" t="n"/>
      <c r="F1718" s="100" t="n"/>
      <c r="G1718" s="100" t="n"/>
      <c r="H1718" s="100" t="n"/>
      <c r="I1718" s="100" t="n"/>
      <c r="J1718" s="100" t="n"/>
      <c r="K1718" s="100" t="n"/>
      <c r="L1718" s="100" t="n"/>
      <c r="M1718" s="100" t="n"/>
      <c r="N1718" s="100" t="n"/>
      <c r="O1718" s="100" t="n"/>
      <c r="P1718" s="100" t="n"/>
      <c r="Q1718" s="100" t="n"/>
      <c r="R1718" s="100" t="n"/>
      <c r="S1718" s="100" t="n"/>
      <c r="T1718" s="100" t="n"/>
      <c r="U1718" s="100" t="n"/>
      <c r="V1718" s="100" t="n"/>
      <c r="W1718" s="100" t="n"/>
      <c r="X1718" s="100" t="n"/>
      <c r="Y1718" s="100" t="n"/>
      <c r="Z1718" s="100" t="n"/>
      <c r="AA1718" s="100" t="n"/>
      <c r="AB1718" s="100" t="n"/>
      <c r="AC1718" s="100" t="n"/>
      <c r="AD1718" s="100" t="n"/>
      <c r="AE1718" s="100" t="n"/>
      <c r="AF1718" s="100" t="n"/>
      <c r="AG1718" s="100" t="n"/>
      <c r="AH1718" s="100" t="n"/>
      <c r="AI1718" s="100" t="n"/>
      <c r="AJ1718" s="100" t="n"/>
      <c r="AK1718" s="100" t="n"/>
      <c r="AL1718" s="100" t="n"/>
      <c r="AM1718" s="100" t="n"/>
      <c r="AN1718" s="100" t="n"/>
      <c r="AO1718" s="100" t="n"/>
      <c r="AP1718" s="100" t="n"/>
      <c r="AQ1718" s="100" t="n"/>
      <c r="AR1718" s="100" t="n"/>
    </row>
    <row r="1721">
      <c r="A1721" s="2">
        <f>IF($A1714="","","   projections")</f>
        <v/>
      </c>
      <c r="B1721" s="96">
        <f>IF($A1714="",0,COUNT($E1722:$AR1722))</f>
        <v/>
      </c>
      <c r="C1721" s="97">
        <f>IF($B1721=0,0,MAX($E1722:$AR1722))</f>
        <v/>
      </c>
      <c r="D1721" s="98">
        <f>BDS($A1714,FLD_PROJ,"headers=y","startcol=1","endcol=3","dir=h")</f>
        <v/>
      </c>
      <c r="E1721" s="99" t="n"/>
      <c r="F1721" s="99" t="n"/>
      <c r="G1721" s="99" t="n"/>
      <c r="H1721" s="99" t="n"/>
      <c r="I1721" s="99" t="n"/>
      <c r="J1721" s="99" t="n"/>
      <c r="K1721" s="99" t="n"/>
      <c r="L1721" s="99" t="n"/>
      <c r="M1721" s="99" t="n"/>
      <c r="N1721" s="99" t="n"/>
      <c r="O1721" s="99" t="n"/>
      <c r="P1721" s="99" t="n"/>
      <c r="Q1721" s="99" t="n"/>
      <c r="R1721" s="99" t="n"/>
      <c r="S1721" s="99" t="n"/>
      <c r="T1721" s="99" t="n"/>
      <c r="U1721" s="99" t="n"/>
      <c r="V1721" s="99" t="n"/>
      <c r="W1721" s="99" t="n"/>
      <c r="X1721" s="99" t="n"/>
      <c r="Y1721" s="99" t="n"/>
      <c r="Z1721" s="99" t="n"/>
      <c r="AA1721" s="99" t="n"/>
      <c r="AB1721" s="99" t="n"/>
      <c r="AC1721" s="99" t="n"/>
      <c r="AD1721" s="99" t="n"/>
      <c r="AE1721" s="99" t="n"/>
      <c r="AF1721" s="99" t="n"/>
      <c r="AG1721" s="99" t="n"/>
      <c r="AH1721" s="99" t="n"/>
      <c r="AI1721" s="99" t="n"/>
      <c r="AJ1721" s="99" t="n"/>
      <c r="AK1721" s="99" t="n"/>
      <c r="AL1721" s="99" t="n"/>
      <c r="AM1721" s="99" t="n"/>
      <c r="AN1721" s="99" t="n"/>
      <c r="AO1721" s="99" t="n"/>
      <c r="AP1721" s="99" t="n"/>
      <c r="AQ1721" s="99" t="n"/>
      <c r="AR1721" s="99" t="n"/>
    </row>
    <row r="1722">
      <c r="D1722" s="99" t="n"/>
      <c r="E1722" s="99" t="n"/>
      <c r="F1722" s="99" t="n"/>
      <c r="G1722" s="99" t="n"/>
      <c r="H1722" s="99" t="n"/>
      <c r="I1722" s="99" t="n"/>
      <c r="J1722" s="99" t="n"/>
      <c r="K1722" s="99" t="n"/>
      <c r="L1722" s="99" t="n"/>
      <c r="M1722" s="99" t="n"/>
      <c r="N1722" s="99" t="n"/>
      <c r="O1722" s="99" t="n"/>
      <c r="P1722" s="99" t="n"/>
      <c r="Q1722" s="99" t="n"/>
      <c r="R1722" s="99" t="n"/>
      <c r="S1722" s="99" t="n"/>
      <c r="T1722" s="99" t="n"/>
      <c r="U1722" s="99" t="n"/>
      <c r="V1722" s="99" t="n"/>
      <c r="W1722" s="99" t="n"/>
      <c r="X1722" s="99" t="n"/>
      <c r="Y1722" s="99" t="n"/>
      <c r="Z1722" s="99" t="n"/>
      <c r="AA1722" s="99" t="n"/>
      <c r="AB1722" s="99" t="n"/>
      <c r="AC1722" s="99" t="n"/>
      <c r="AD1722" s="99" t="n"/>
      <c r="AE1722" s="99" t="n"/>
      <c r="AF1722" s="99" t="n"/>
      <c r="AG1722" s="99" t="n"/>
      <c r="AH1722" s="99" t="n"/>
      <c r="AI1722" s="99" t="n"/>
      <c r="AJ1722" s="99" t="n"/>
      <c r="AK1722" s="99" t="n"/>
      <c r="AL1722" s="99" t="n"/>
      <c r="AM1722" s="99" t="n"/>
      <c r="AN1722" s="99" t="n"/>
      <c r="AO1722" s="99" t="n"/>
      <c r="AP1722" s="99" t="n"/>
      <c r="AQ1722" s="99" t="n"/>
      <c r="AR1722" s="99" t="n"/>
    </row>
    <row r="1723">
      <c r="D1723" s="100" t="n"/>
      <c r="E1723" s="100" t="n"/>
      <c r="F1723" s="100" t="n"/>
      <c r="G1723" s="100" t="n"/>
      <c r="H1723" s="100" t="n"/>
      <c r="I1723" s="100" t="n"/>
      <c r="J1723" s="100" t="n"/>
      <c r="K1723" s="100" t="n"/>
      <c r="L1723" s="100" t="n"/>
      <c r="M1723" s="100" t="n"/>
      <c r="N1723" s="100" t="n"/>
      <c r="O1723" s="100" t="n"/>
      <c r="P1723" s="100" t="n"/>
      <c r="Q1723" s="100" t="n"/>
      <c r="R1723" s="100" t="n"/>
      <c r="S1723" s="100" t="n"/>
      <c r="T1723" s="100" t="n"/>
      <c r="U1723" s="100" t="n"/>
      <c r="V1723" s="100" t="n"/>
      <c r="W1723" s="100" t="n"/>
      <c r="X1723" s="100" t="n"/>
      <c r="Y1723" s="100" t="n"/>
      <c r="Z1723" s="100" t="n"/>
      <c r="AA1723" s="100" t="n"/>
      <c r="AB1723" s="100" t="n"/>
      <c r="AC1723" s="100" t="n"/>
      <c r="AD1723" s="100" t="n"/>
      <c r="AE1723" s="100" t="n"/>
      <c r="AF1723" s="100" t="n"/>
      <c r="AG1723" s="100" t="n"/>
      <c r="AH1723" s="100" t="n"/>
      <c r="AI1723" s="100" t="n"/>
      <c r="AJ1723" s="100" t="n"/>
      <c r="AK1723" s="100" t="n"/>
      <c r="AL1723" s="100" t="n"/>
      <c r="AM1723" s="100" t="n"/>
      <c r="AN1723" s="100" t="n"/>
      <c r="AO1723" s="100" t="n"/>
      <c r="AP1723" s="100" t="n"/>
      <c r="AQ1723" s="100" t="n"/>
      <c r="AR1723" s="100" t="n"/>
    </row>
    <row r="1725">
      <c r="A1725" s="6">
        <f>IF(HSCEI!$C$22="","",HSCEI!$C$22)</f>
        <v/>
      </c>
      <c r="B1725" s="96">
        <f>IF($A1725="",0,COUNT($E1726:$AR1726))</f>
        <v/>
      </c>
      <c r="C1725" s="97">
        <f>IF($B1725=0,0,MAX($E1726:$AR1726))</f>
        <v/>
      </c>
      <c r="D1725" s="98">
        <f>BDS($A1725,FLD_HIST,"headers=y","startcol=1","endcol=7","dir=h","DVD_START_DT",HIST_FROM,"DVD_END_DT",HIST_TO)</f>
        <v/>
      </c>
      <c r="E1725" s="99" t="n"/>
      <c r="F1725" s="99" t="n"/>
      <c r="G1725" s="99" t="n"/>
      <c r="H1725" s="99" t="n"/>
      <c r="I1725" s="99" t="n"/>
      <c r="J1725" s="99" t="n"/>
      <c r="K1725" s="99" t="n"/>
      <c r="L1725" s="99" t="n"/>
      <c r="M1725" s="99" t="n"/>
      <c r="N1725" s="99" t="n"/>
      <c r="O1725" s="99" t="n"/>
      <c r="P1725" s="99" t="n"/>
      <c r="Q1725" s="99" t="n"/>
      <c r="R1725" s="99" t="n"/>
      <c r="S1725" s="99" t="n"/>
      <c r="T1725" s="99" t="n"/>
      <c r="U1725" s="99" t="n"/>
      <c r="V1725" s="99" t="n"/>
      <c r="W1725" s="99" t="n"/>
      <c r="X1725" s="99" t="n"/>
      <c r="Y1725" s="99" t="n"/>
      <c r="Z1725" s="99" t="n"/>
      <c r="AA1725" s="99" t="n"/>
      <c r="AB1725" s="99" t="n"/>
      <c r="AC1725" s="99" t="n"/>
      <c r="AD1725" s="99" t="n"/>
      <c r="AE1725" s="99" t="n"/>
      <c r="AF1725" s="99" t="n"/>
      <c r="AG1725" s="99" t="n"/>
      <c r="AH1725" s="99" t="n"/>
      <c r="AI1725" s="99" t="n"/>
      <c r="AJ1725" s="99" t="n"/>
      <c r="AK1725" s="99" t="n"/>
      <c r="AL1725" s="99" t="n"/>
      <c r="AM1725" s="99" t="n"/>
      <c r="AN1725" s="99" t="n"/>
      <c r="AO1725" s="99" t="n"/>
      <c r="AP1725" s="99" t="n"/>
      <c r="AQ1725" s="99" t="n"/>
      <c r="AR1725" s="99" t="n"/>
    </row>
    <row r="1726">
      <c r="D1726" s="99" t="n"/>
      <c r="E1726" s="99" t="n"/>
      <c r="F1726" s="99" t="n"/>
      <c r="G1726" s="99" t="n"/>
      <c r="H1726" s="99" t="n"/>
      <c r="I1726" s="99" t="n"/>
      <c r="J1726" s="99" t="n"/>
      <c r="K1726" s="99" t="n"/>
      <c r="L1726" s="99" t="n"/>
      <c r="M1726" s="99" t="n"/>
      <c r="N1726" s="99" t="n"/>
      <c r="O1726" s="99" t="n"/>
      <c r="P1726" s="99" t="n"/>
      <c r="Q1726" s="99" t="n"/>
      <c r="R1726" s="99" t="n"/>
      <c r="S1726" s="99" t="n"/>
      <c r="T1726" s="99" t="n"/>
      <c r="U1726" s="99" t="n"/>
      <c r="V1726" s="99" t="n"/>
      <c r="W1726" s="99" t="n"/>
      <c r="X1726" s="99" t="n"/>
      <c r="Y1726" s="99" t="n"/>
      <c r="Z1726" s="99" t="n"/>
      <c r="AA1726" s="99" t="n"/>
      <c r="AB1726" s="99" t="n"/>
      <c r="AC1726" s="99" t="n"/>
      <c r="AD1726" s="99" t="n"/>
      <c r="AE1726" s="99" t="n"/>
      <c r="AF1726" s="99" t="n"/>
      <c r="AG1726" s="99" t="n"/>
      <c r="AH1726" s="99" t="n"/>
      <c r="AI1726" s="99" t="n"/>
      <c r="AJ1726" s="99" t="n"/>
      <c r="AK1726" s="99" t="n"/>
      <c r="AL1726" s="99" t="n"/>
      <c r="AM1726" s="99" t="n"/>
      <c r="AN1726" s="99" t="n"/>
      <c r="AO1726" s="99" t="n"/>
      <c r="AP1726" s="99" t="n"/>
      <c r="AQ1726" s="99" t="n"/>
      <c r="AR1726" s="99" t="n"/>
    </row>
    <row r="1727">
      <c r="D1727" s="99" t="n"/>
      <c r="E1727" s="99" t="n"/>
      <c r="F1727" s="99" t="n"/>
      <c r="G1727" s="99" t="n"/>
      <c r="H1727" s="99" t="n"/>
      <c r="I1727" s="99" t="n"/>
      <c r="J1727" s="99" t="n"/>
      <c r="K1727" s="99" t="n"/>
      <c r="L1727" s="99" t="n"/>
      <c r="M1727" s="99" t="n"/>
      <c r="N1727" s="99" t="n"/>
      <c r="O1727" s="99" t="n"/>
      <c r="P1727" s="99" t="n"/>
      <c r="Q1727" s="99" t="n"/>
      <c r="R1727" s="99" t="n"/>
      <c r="S1727" s="99" t="n"/>
      <c r="T1727" s="99" t="n"/>
      <c r="U1727" s="99" t="n"/>
      <c r="V1727" s="99" t="n"/>
      <c r="W1727" s="99" t="n"/>
      <c r="X1727" s="99" t="n"/>
      <c r="Y1727" s="99" t="n"/>
      <c r="Z1727" s="99" t="n"/>
      <c r="AA1727" s="99" t="n"/>
      <c r="AB1727" s="99" t="n"/>
      <c r="AC1727" s="99" t="n"/>
      <c r="AD1727" s="99" t="n"/>
      <c r="AE1727" s="99" t="n"/>
      <c r="AF1727" s="99" t="n"/>
      <c r="AG1727" s="99" t="n"/>
      <c r="AH1727" s="99" t="n"/>
      <c r="AI1727" s="99" t="n"/>
      <c r="AJ1727" s="99" t="n"/>
      <c r="AK1727" s="99" t="n"/>
      <c r="AL1727" s="99" t="n"/>
      <c r="AM1727" s="99" t="n"/>
      <c r="AN1727" s="99" t="n"/>
      <c r="AO1727" s="99" t="n"/>
      <c r="AP1727" s="99" t="n"/>
      <c r="AQ1727" s="99" t="n"/>
      <c r="AR1727" s="99" t="n"/>
    </row>
    <row r="1728">
      <c r="D1728" s="99" t="n"/>
      <c r="E1728" s="99" t="n"/>
      <c r="F1728" s="99" t="n"/>
      <c r="G1728" s="99" t="n"/>
      <c r="H1728" s="99" t="n"/>
      <c r="I1728" s="99" t="n"/>
      <c r="J1728" s="99" t="n"/>
      <c r="K1728" s="99" t="n"/>
      <c r="L1728" s="99" t="n"/>
      <c r="M1728" s="99" t="n"/>
      <c r="N1728" s="99" t="n"/>
      <c r="O1728" s="99" t="n"/>
      <c r="P1728" s="99" t="n"/>
      <c r="Q1728" s="99" t="n"/>
      <c r="R1728" s="99" t="n"/>
      <c r="S1728" s="99" t="n"/>
      <c r="T1728" s="99" t="n"/>
      <c r="U1728" s="99" t="n"/>
      <c r="V1728" s="99" t="n"/>
      <c r="W1728" s="99" t="n"/>
      <c r="X1728" s="99" t="n"/>
      <c r="Y1728" s="99" t="n"/>
      <c r="Z1728" s="99" t="n"/>
      <c r="AA1728" s="99" t="n"/>
      <c r="AB1728" s="99" t="n"/>
      <c r="AC1728" s="99" t="n"/>
      <c r="AD1728" s="99" t="n"/>
      <c r="AE1728" s="99" t="n"/>
      <c r="AF1728" s="99" t="n"/>
      <c r="AG1728" s="99" t="n"/>
      <c r="AH1728" s="99" t="n"/>
      <c r="AI1728" s="99" t="n"/>
      <c r="AJ1728" s="99" t="n"/>
      <c r="AK1728" s="99" t="n"/>
      <c r="AL1728" s="99" t="n"/>
      <c r="AM1728" s="99" t="n"/>
      <c r="AN1728" s="99" t="n"/>
      <c r="AO1728" s="99" t="n"/>
      <c r="AP1728" s="99" t="n"/>
      <c r="AQ1728" s="99" t="n"/>
      <c r="AR1728" s="99" t="n"/>
    </row>
    <row r="1729">
      <c r="D1729" s="100" t="n"/>
      <c r="E1729" s="100" t="n"/>
      <c r="F1729" s="100" t="n"/>
      <c r="G1729" s="100" t="n"/>
      <c r="H1729" s="100" t="n"/>
      <c r="I1729" s="100" t="n"/>
      <c r="J1729" s="100" t="n"/>
      <c r="K1729" s="100" t="n"/>
      <c r="L1729" s="100" t="n"/>
      <c r="M1729" s="100" t="n"/>
      <c r="N1729" s="100" t="n"/>
      <c r="O1729" s="100" t="n"/>
      <c r="P1729" s="100" t="n"/>
      <c r="Q1729" s="100" t="n"/>
      <c r="R1729" s="100" t="n"/>
      <c r="S1729" s="100" t="n"/>
      <c r="T1729" s="100" t="n"/>
      <c r="U1729" s="100" t="n"/>
      <c r="V1729" s="100" t="n"/>
      <c r="W1729" s="100" t="n"/>
      <c r="X1729" s="100" t="n"/>
      <c r="Y1729" s="100" t="n"/>
      <c r="Z1729" s="100" t="n"/>
      <c r="AA1729" s="100" t="n"/>
      <c r="AB1729" s="100" t="n"/>
      <c r="AC1729" s="100" t="n"/>
      <c r="AD1729" s="100" t="n"/>
      <c r="AE1729" s="100" t="n"/>
      <c r="AF1729" s="100" t="n"/>
      <c r="AG1729" s="100" t="n"/>
      <c r="AH1729" s="100" t="n"/>
      <c r="AI1729" s="100" t="n"/>
      <c r="AJ1729" s="100" t="n"/>
      <c r="AK1729" s="100" t="n"/>
      <c r="AL1729" s="100" t="n"/>
      <c r="AM1729" s="100" t="n"/>
      <c r="AN1729" s="100" t="n"/>
      <c r="AO1729" s="100" t="n"/>
      <c r="AP1729" s="100" t="n"/>
      <c r="AQ1729" s="100" t="n"/>
      <c r="AR1729" s="100" t="n"/>
    </row>
    <row r="1732">
      <c r="A1732" s="2">
        <f>IF($A1725="","","   projections")</f>
        <v/>
      </c>
      <c r="B1732" s="96">
        <f>IF($A1725="",0,COUNT($E1733:$AR1733))</f>
        <v/>
      </c>
      <c r="C1732" s="97">
        <f>IF($B1732=0,0,MAX($E1733:$AR1733))</f>
        <v/>
      </c>
      <c r="D1732" s="98">
        <f>BDS($A1725,FLD_PROJ,"headers=y","startcol=1","endcol=3","dir=h")</f>
        <v/>
      </c>
      <c r="E1732" s="99" t="n"/>
      <c r="F1732" s="99" t="n"/>
      <c r="G1732" s="99" t="n"/>
      <c r="H1732" s="99" t="n"/>
      <c r="I1732" s="99" t="n"/>
      <c r="J1732" s="99" t="n"/>
      <c r="K1732" s="99" t="n"/>
      <c r="L1732" s="99" t="n"/>
      <c r="M1732" s="99" t="n"/>
      <c r="N1732" s="99" t="n"/>
      <c r="O1732" s="99" t="n"/>
      <c r="P1732" s="99" t="n"/>
      <c r="Q1732" s="99" t="n"/>
      <c r="R1732" s="99" t="n"/>
      <c r="S1732" s="99" t="n"/>
      <c r="T1732" s="99" t="n"/>
      <c r="U1732" s="99" t="n"/>
      <c r="V1732" s="99" t="n"/>
      <c r="W1732" s="99" t="n"/>
      <c r="X1732" s="99" t="n"/>
      <c r="Y1732" s="99" t="n"/>
      <c r="Z1732" s="99" t="n"/>
      <c r="AA1732" s="99" t="n"/>
      <c r="AB1732" s="99" t="n"/>
      <c r="AC1732" s="99" t="n"/>
      <c r="AD1732" s="99" t="n"/>
      <c r="AE1732" s="99" t="n"/>
      <c r="AF1732" s="99" t="n"/>
      <c r="AG1732" s="99" t="n"/>
      <c r="AH1732" s="99" t="n"/>
      <c r="AI1732" s="99" t="n"/>
      <c r="AJ1732" s="99" t="n"/>
      <c r="AK1732" s="99" t="n"/>
      <c r="AL1732" s="99" t="n"/>
      <c r="AM1732" s="99" t="n"/>
      <c r="AN1732" s="99" t="n"/>
      <c r="AO1732" s="99" t="n"/>
      <c r="AP1732" s="99" t="n"/>
      <c r="AQ1732" s="99" t="n"/>
      <c r="AR1732" s="99" t="n"/>
    </row>
    <row r="1733">
      <c r="D1733" s="99" t="n"/>
      <c r="E1733" s="99" t="n"/>
      <c r="F1733" s="99" t="n"/>
      <c r="G1733" s="99" t="n"/>
      <c r="H1733" s="99" t="n"/>
      <c r="I1733" s="99" t="n"/>
      <c r="J1733" s="99" t="n"/>
      <c r="K1733" s="99" t="n"/>
      <c r="L1733" s="99" t="n"/>
      <c r="M1733" s="99" t="n"/>
      <c r="N1733" s="99" t="n"/>
      <c r="O1733" s="99" t="n"/>
      <c r="P1733" s="99" t="n"/>
      <c r="Q1733" s="99" t="n"/>
      <c r="R1733" s="99" t="n"/>
      <c r="S1733" s="99" t="n"/>
      <c r="T1733" s="99" t="n"/>
      <c r="U1733" s="99" t="n"/>
      <c r="V1733" s="99" t="n"/>
      <c r="W1733" s="99" t="n"/>
      <c r="X1733" s="99" t="n"/>
      <c r="Y1733" s="99" t="n"/>
      <c r="Z1733" s="99" t="n"/>
      <c r="AA1733" s="99" t="n"/>
      <c r="AB1733" s="99" t="n"/>
      <c r="AC1733" s="99" t="n"/>
      <c r="AD1733" s="99" t="n"/>
      <c r="AE1733" s="99" t="n"/>
      <c r="AF1733" s="99" t="n"/>
      <c r="AG1733" s="99" t="n"/>
      <c r="AH1733" s="99" t="n"/>
      <c r="AI1733" s="99" t="n"/>
      <c r="AJ1733" s="99" t="n"/>
      <c r="AK1733" s="99" t="n"/>
      <c r="AL1733" s="99" t="n"/>
      <c r="AM1733" s="99" t="n"/>
      <c r="AN1733" s="99" t="n"/>
      <c r="AO1733" s="99" t="n"/>
      <c r="AP1733" s="99" t="n"/>
      <c r="AQ1733" s="99" t="n"/>
      <c r="AR1733" s="99" t="n"/>
    </row>
    <row r="1734">
      <c r="D1734" s="100" t="n"/>
      <c r="E1734" s="100" t="n"/>
      <c r="F1734" s="100" t="n"/>
      <c r="G1734" s="100" t="n"/>
      <c r="H1734" s="100" t="n"/>
      <c r="I1734" s="100" t="n"/>
      <c r="J1734" s="100" t="n"/>
      <c r="K1734" s="100" t="n"/>
      <c r="L1734" s="100" t="n"/>
      <c r="M1734" s="100" t="n"/>
      <c r="N1734" s="100" t="n"/>
      <c r="O1734" s="100" t="n"/>
      <c r="P1734" s="100" t="n"/>
      <c r="Q1734" s="100" t="n"/>
      <c r="R1734" s="100" t="n"/>
      <c r="S1734" s="100" t="n"/>
      <c r="T1734" s="100" t="n"/>
      <c r="U1734" s="100" t="n"/>
      <c r="V1734" s="100" t="n"/>
      <c r="W1734" s="100" t="n"/>
      <c r="X1734" s="100" t="n"/>
      <c r="Y1734" s="100" t="n"/>
      <c r="Z1734" s="100" t="n"/>
      <c r="AA1734" s="100" t="n"/>
      <c r="AB1734" s="100" t="n"/>
      <c r="AC1734" s="100" t="n"/>
      <c r="AD1734" s="100" t="n"/>
      <c r="AE1734" s="100" t="n"/>
      <c r="AF1734" s="100" t="n"/>
      <c r="AG1734" s="100" t="n"/>
      <c r="AH1734" s="100" t="n"/>
      <c r="AI1734" s="100" t="n"/>
      <c r="AJ1734" s="100" t="n"/>
      <c r="AK1734" s="100" t="n"/>
      <c r="AL1734" s="100" t="n"/>
      <c r="AM1734" s="100" t="n"/>
      <c r="AN1734" s="100" t="n"/>
      <c r="AO1734" s="100" t="n"/>
      <c r="AP1734" s="100" t="n"/>
      <c r="AQ1734" s="100" t="n"/>
      <c r="AR1734" s="100" t="n"/>
    </row>
    <row r="1736">
      <c r="A1736" s="6">
        <f>IF(HSCEI!$C$23="","",HSCEI!$C$23)</f>
        <v/>
      </c>
      <c r="B1736" s="96">
        <f>IF($A1736="",0,COUNT($E1737:$AR1737))</f>
        <v/>
      </c>
      <c r="C1736" s="97">
        <f>IF($B1736=0,0,MAX($E1737:$AR1737))</f>
        <v/>
      </c>
      <c r="D1736" s="98">
        <f>BDS($A1736,FLD_HIST,"headers=y","startcol=1","endcol=7","dir=h","DVD_START_DT",HIST_FROM,"DVD_END_DT",HIST_TO)</f>
        <v/>
      </c>
      <c r="E1736" s="99" t="n"/>
      <c r="F1736" s="99" t="n"/>
      <c r="G1736" s="99" t="n"/>
      <c r="H1736" s="99" t="n"/>
      <c r="I1736" s="99" t="n"/>
      <c r="J1736" s="99" t="n"/>
      <c r="K1736" s="99" t="n"/>
      <c r="L1736" s="99" t="n"/>
      <c r="M1736" s="99" t="n"/>
      <c r="N1736" s="99" t="n"/>
      <c r="O1736" s="99" t="n"/>
      <c r="P1736" s="99" t="n"/>
      <c r="Q1736" s="99" t="n"/>
      <c r="R1736" s="99" t="n"/>
      <c r="S1736" s="99" t="n"/>
      <c r="T1736" s="99" t="n"/>
      <c r="U1736" s="99" t="n"/>
      <c r="V1736" s="99" t="n"/>
      <c r="W1736" s="99" t="n"/>
      <c r="X1736" s="99" t="n"/>
      <c r="Y1736" s="99" t="n"/>
      <c r="Z1736" s="99" t="n"/>
      <c r="AA1736" s="99" t="n"/>
      <c r="AB1736" s="99" t="n"/>
      <c r="AC1736" s="99" t="n"/>
      <c r="AD1736" s="99" t="n"/>
      <c r="AE1736" s="99" t="n"/>
      <c r="AF1736" s="99" t="n"/>
      <c r="AG1736" s="99" t="n"/>
      <c r="AH1736" s="99" t="n"/>
      <c r="AI1736" s="99" t="n"/>
      <c r="AJ1736" s="99" t="n"/>
      <c r="AK1736" s="99" t="n"/>
      <c r="AL1736" s="99" t="n"/>
      <c r="AM1736" s="99" t="n"/>
      <c r="AN1736" s="99" t="n"/>
      <c r="AO1736" s="99" t="n"/>
      <c r="AP1736" s="99" t="n"/>
      <c r="AQ1736" s="99" t="n"/>
      <c r="AR1736" s="99" t="n"/>
    </row>
    <row r="1737">
      <c r="D1737" s="99" t="n"/>
      <c r="E1737" s="99" t="n"/>
      <c r="F1737" s="99" t="n"/>
      <c r="G1737" s="99" t="n"/>
      <c r="H1737" s="99" t="n"/>
      <c r="I1737" s="99" t="n"/>
      <c r="J1737" s="99" t="n"/>
      <c r="K1737" s="99" t="n"/>
      <c r="L1737" s="99" t="n"/>
      <c r="M1737" s="99" t="n"/>
      <c r="N1737" s="99" t="n"/>
      <c r="O1737" s="99" t="n"/>
      <c r="P1737" s="99" t="n"/>
      <c r="Q1737" s="99" t="n"/>
      <c r="R1737" s="99" t="n"/>
      <c r="S1737" s="99" t="n"/>
      <c r="T1737" s="99" t="n"/>
      <c r="U1737" s="99" t="n"/>
      <c r="V1737" s="99" t="n"/>
      <c r="W1737" s="99" t="n"/>
      <c r="X1737" s="99" t="n"/>
      <c r="Y1737" s="99" t="n"/>
      <c r="Z1737" s="99" t="n"/>
      <c r="AA1737" s="99" t="n"/>
      <c r="AB1737" s="99" t="n"/>
      <c r="AC1737" s="99" t="n"/>
      <c r="AD1737" s="99" t="n"/>
      <c r="AE1737" s="99" t="n"/>
      <c r="AF1737" s="99" t="n"/>
      <c r="AG1737" s="99" t="n"/>
      <c r="AH1737" s="99" t="n"/>
      <c r="AI1737" s="99" t="n"/>
      <c r="AJ1737" s="99" t="n"/>
      <c r="AK1737" s="99" t="n"/>
      <c r="AL1737" s="99" t="n"/>
      <c r="AM1737" s="99" t="n"/>
      <c r="AN1737" s="99" t="n"/>
      <c r="AO1737" s="99" t="n"/>
      <c r="AP1737" s="99" t="n"/>
      <c r="AQ1737" s="99" t="n"/>
      <c r="AR1737" s="99" t="n"/>
    </row>
    <row r="1738">
      <c r="D1738" s="99" t="n"/>
      <c r="E1738" s="99" t="n"/>
      <c r="F1738" s="99" t="n"/>
      <c r="G1738" s="99" t="n"/>
      <c r="H1738" s="99" t="n"/>
      <c r="I1738" s="99" t="n"/>
      <c r="J1738" s="99" t="n"/>
      <c r="K1738" s="99" t="n"/>
      <c r="L1738" s="99" t="n"/>
      <c r="M1738" s="99" t="n"/>
      <c r="N1738" s="99" t="n"/>
      <c r="O1738" s="99" t="n"/>
      <c r="P1738" s="99" t="n"/>
      <c r="Q1738" s="99" t="n"/>
      <c r="R1738" s="99" t="n"/>
      <c r="S1738" s="99" t="n"/>
      <c r="T1738" s="99" t="n"/>
      <c r="U1738" s="99" t="n"/>
      <c r="V1738" s="99" t="n"/>
      <c r="W1738" s="99" t="n"/>
      <c r="X1738" s="99" t="n"/>
      <c r="Y1738" s="99" t="n"/>
      <c r="Z1738" s="99" t="n"/>
      <c r="AA1738" s="99" t="n"/>
      <c r="AB1738" s="99" t="n"/>
      <c r="AC1738" s="99" t="n"/>
      <c r="AD1738" s="99" t="n"/>
      <c r="AE1738" s="99" t="n"/>
      <c r="AF1738" s="99" t="n"/>
      <c r="AG1738" s="99" t="n"/>
      <c r="AH1738" s="99" t="n"/>
      <c r="AI1738" s="99" t="n"/>
      <c r="AJ1738" s="99" t="n"/>
      <c r="AK1738" s="99" t="n"/>
      <c r="AL1738" s="99" t="n"/>
      <c r="AM1738" s="99" t="n"/>
      <c r="AN1738" s="99" t="n"/>
      <c r="AO1738" s="99" t="n"/>
      <c r="AP1738" s="99" t="n"/>
      <c r="AQ1738" s="99" t="n"/>
      <c r="AR1738" s="99" t="n"/>
    </row>
    <row r="1739">
      <c r="D1739" s="99" t="n"/>
      <c r="E1739" s="99" t="n"/>
      <c r="F1739" s="99" t="n"/>
      <c r="G1739" s="99" t="n"/>
      <c r="H1739" s="99" t="n"/>
      <c r="I1739" s="99" t="n"/>
      <c r="J1739" s="99" t="n"/>
      <c r="K1739" s="99" t="n"/>
      <c r="L1739" s="99" t="n"/>
      <c r="M1739" s="99" t="n"/>
      <c r="N1739" s="99" t="n"/>
      <c r="O1739" s="99" t="n"/>
      <c r="P1739" s="99" t="n"/>
      <c r="Q1739" s="99" t="n"/>
      <c r="R1739" s="99" t="n"/>
      <c r="S1739" s="99" t="n"/>
      <c r="T1739" s="99" t="n"/>
      <c r="U1739" s="99" t="n"/>
      <c r="V1739" s="99" t="n"/>
      <c r="W1739" s="99" t="n"/>
      <c r="X1739" s="99" t="n"/>
      <c r="Y1739" s="99" t="n"/>
      <c r="Z1739" s="99" t="n"/>
      <c r="AA1739" s="99" t="n"/>
      <c r="AB1739" s="99" t="n"/>
      <c r="AC1739" s="99" t="n"/>
      <c r="AD1739" s="99" t="n"/>
      <c r="AE1739" s="99" t="n"/>
      <c r="AF1739" s="99" t="n"/>
      <c r="AG1739" s="99" t="n"/>
      <c r="AH1739" s="99" t="n"/>
      <c r="AI1739" s="99" t="n"/>
      <c r="AJ1739" s="99" t="n"/>
      <c r="AK1739" s="99" t="n"/>
      <c r="AL1739" s="99" t="n"/>
      <c r="AM1739" s="99" t="n"/>
      <c r="AN1739" s="99" t="n"/>
      <c r="AO1739" s="99" t="n"/>
      <c r="AP1739" s="99" t="n"/>
      <c r="AQ1739" s="99" t="n"/>
      <c r="AR1739" s="99" t="n"/>
    </row>
    <row r="1740">
      <c r="D1740" s="100" t="n"/>
      <c r="E1740" s="100" t="n"/>
      <c r="F1740" s="100" t="n"/>
      <c r="G1740" s="100" t="n"/>
      <c r="H1740" s="100" t="n"/>
      <c r="I1740" s="100" t="n"/>
      <c r="J1740" s="100" t="n"/>
      <c r="K1740" s="100" t="n"/>
      <c r="L1740" s="100" t="n"/>
      <c r="M1740" s="100" t="n"/>
      <c r="N1740" s="100" t="n"/>
      <c r="O1740" s="100" t="n"/>
      <c r="P1740" s="100" t="n"/>
      <c r="Q1740" s="100" t="n"/>
      <c r="R1740" s="100" t="n"/>
      <c r="S1740" s="100" t="n"/>
      <c r="T1740" s="100" t="n"/>
      <c r="U1740" s="100" t="n"/>
      <c r="V1740" s="100" t="n"/>
      <c r="W1740" s="100" t="n"/>
      <c r="X1740" s="100" t="n"/>
      <c r="Y1740" s="100" t="n"/>
      <c r="Z1740" s="100" t="n"/>
      <c r="AA1740" s="100" t="n"/>
      <c r="AB1740" s="100" t="n"/>
      <c r="AC1740" s="100" t="n"/>
      <c r="AD1740" s="100" t="n"/>
      <c r="AE1740" s="100" t="n"/>
      <c r="AF1740" s="100" t="n"/>
      <c r="AG1740" s="100" t="n"/>
      <c r="AH1740" s="100" t="n"/>
      <c r="AI1740" s="100" t="n"/>
      <c r="AJ1740" s="100" t="n"/>
      <c r="AK1740" s="100" t="n"/>
      <c r="AL1740" s="100" t="n"/>
      <c r="AM1740" s="100" t="n"/>
      <c r="AN1740" s="100" t="n"/>
      <c r="AO1740" s="100" t="n"/>
      <c r="AP1740" s="100" t="n"/>
      <c r="AQ1740" s="100" t="n"/>
      <c r="AR1740" s="100" t="n"/>
    </row>
    <row r="1743">
      <c r="A1743" s="2">
        <f>IF($A1736="","","   projections")</f>
        <v/>
      </c>
      <c r="B1743" s="96">
        <f>IF($A1736="",0,COUNT($E1744:$AR1744))</f>
        <v/>
      </c>
      <c r="C1743" s="97">
        <f>IF($B1743=0,0,MAX($E1744:$AR1744))</f>
        <v/>
      </c>
      <c r="D1743" s="98">
        <f>BDS($A1736,FLD_PROJ,"headers=y","startcol=1","endcol=3","dir=h")</f>
        <v/>
      </c>
      <c r="E1743" s="99" t="n"/>
      <c r="F1743" s="99" t="n"/>
      <c r="G1743" s="99" t="n"/>
      <c r="H1743" s="99" t="n"/>
      <c r="I1743" s="99" t="n"/>
      <c r="J1743" s="99" t="n"/>
      <c r="K1743" s="99" t="n"/>
      <c r="L1743" s="99" t="n"/>
      <c r="M1743" s="99" t="n"/>
      <c r="N1743" s="99" t="n"/>
      <c r="O1743" s="99" t="n"/>
      <c r="P1743" s="99" t="n"/>
      <c r="Q1743" s="99" t="n"/>
      <c r="R1743" s="99" t="n"/>
      <c r="S1743" s="99" t="n"/>
      <c r="T1743" s="99" t="n"/>
      <c r="U1743" s="99" t="n"/>
      <c r="V1743" s="99" t="n"/>
      <c r="W1743" s="99" t="n"/>
      <c r="X1743" s="99" t="n"/>
      <c r="Y1743" s="99" t="n"/>
      <c r="Z1743" s="99" t="n"/>
      <c r="AA1743" s="99" t="n"/>
      <c r="AB1743" s="99" t="n"/>
      <c r="AC1743" s="99" t="n"/>
      <c r="AD1743" s="99" t="n"/>
      <c r="AE1743" s="99" t="n"/>
      <c r="AF1743" s="99" t="n"/>
      <c r="AG1743" s="99" t="n"/>
      <c r="AH1743" s="99" t="n"/>
      <c r="AI1743" s="99" t="n"/>
      <c r="AJ1743" s="99" t="n"/>
      <c r="AK1743" s="99" t="n"/>
      <c r="AL1743" s="99" t="n"/>
      <c r="AM1743" s="99" t="n"/>
      <c r="AN1743" s="99" t="n"/>
      <c r="AO1743" s="99" t="n"/>
      <c r="AP1743" s="99" t="n"/>
      <c r="AQ1743" s="99" t="n"/>
      <c r="AR1743" s="99" t="n"/>
    </row>
    <row r="1744">
      <c r="D1744" s="99" t="n"/>
      <c r="E1744" s="99" t="n"/>
      <c r="F1744" s="99" t="n"/>
      <c r="G1744" s="99" t="n"/>
      <c r="H1744" s="99" t="n"/>
      <c r="I1744" s="99" t="n"/>
      <c r="J1744" s="99" t="n"/>
      <c r="K1744" s="99" t="n"/>
      <c r="L1744" s="99" t="n"/>
      <c r="M1744" s="99" t="n"/>
      <c r="N1744" s="99" t="n"/>
      <c r="O1744" s="99" t="n"/>
      <c r="P1744" s="99" t="n"/>
      <c r="Q1744" s="99" t="n"/>
      <c r="R1744" s="99" t="n"/>
      <c r="S1744" s="99" t="n"/>
      <c r="T1744" s="99" t="n"/>
      <c r="U1744" s="99" t="n"/>
      <c r="V1744" s="99" t="n"/>
      <c r="W1744" s="99" t="n"/>
      <c r="X1744" s="99" t="n"/>
      <c r="Y1744" s="99" t="n"/>
      <c r="Z1744" s="99" t="n"/>
      <c r="AA1744" s="99" t="n"/>
      <c r="AB1744" s="99" t="n"/>
      <c r="AC1744" s="99" t="n"/>
      <c r="AD1744" s="99" t="n"/>
      <c r="AE1744" s="99" t="n"/>
      <c r="AF1744" s="99" t="n"/>
      <c r="AG1744" s="99" t="n"/>
      <c r="AH1744" s="99" t="n"/>
      <c r="AI1744" s="99" t="n"/>
      <c r="AJ1744" s="99" t="n"/>
      <c r="AK1744" s="99" t="n"/>
      <c r="AL1744" s="99" t="n"/>
      <c r="AM1744" s="99" t="n"/>
      <c r="AN1744" s="99" t="n"/>
      <c r="AO1744" s="99" t="n"/>
      <c r="AP1744" s="99" t="n"/>
      <c r="AQ1744" s="99" t="n"/>
      <c r="AR1744" s="99" t="n"/>
    </row>
    <row r="1745">
      <c r="D1745" s="100" t="n"/>
      <c r="E1745" s="100" t="n"/>
      <c r="F1745" s="100" t="n"/>
      <c r="G1745" s="100" t="n"/>
      <c r="H1745" s="100" t="n"/>
      <c r="I1745" s="100" t="n"/>
      <c r="J1745" s="100" t="n"/>
      <c r="K1745" s="100" t="n"/>
      <c r="L1745" s="100" t="n"/>
      <c r="M1745" s="100" t="n"/>
      <c r="N1745" s="100" t="n"/>
      <c r="O1745" s="100" t="n"/>
      <c r="P1745" s="100" t="n"/>
      <c r="Q1745" s="100" t="n"/>
      <c r="R1745" s="100" t="n"/>
      <c r="S1745" s="100" t="n"/>
      <c r="T1745" s="100" t="n"/>
      <c r="U1745" s="100" t="n"/>
      <c r="V1745" s="100" t="n"/>
      <c r="W1745" s="100" t="n"/>
      <c r="X1745" s="100" t="n"/>
      <c r="Y1745" s="100" t="n"/>
      <c r="Z1745" s="100" t="n"/>
      <c r="AA1745" s="100" t="n"/>
      <c r="AB1745" s="100" t="n"/>
      <c r="AC1745" s="100" t="n"/>
      <c r="AD1745" s="100" t="n"/>
      <c r="AE1745" s="100" t="n"/>
      <c r="AF1745" s="100" t="n"/>
      <c r="AG1745" s="100" t="n"/>
      <c r="AH1745" s="100" t="n"/>
      <c r="AI1745" s="100" t="n"/>
      <c r="AJ1745" s="100" t="n"/>
      <c r="AK1745" s="100" t="n"/>
      <c r="AL1745" s="100" t="n"/>
      <c r="AM1745" s="100" t="n"/>
      <c r="AN1745" s="100" t="n"/>
      <c r="AO1745" s="100" t="n"/>
      <c r="AP1745" s="100" t="n"/>
      <c r="AQ1745" s="100" t="n"/>
      <c r="AR1745" s="100" t="n"/>
    </row>
    <row r="1747">
      <c r="A1747" s="6">
        <f>IF(HSCEI!$C$24="","",HSCEI!$C$24)</f>
        <v/>
      </c>
      <c r="B1747" s="96">
        <f>IF($A1747="",0,COUNT($E1748:$AR1748))</f>
        <v/>
      </c>
      <c r="C1747" s="97">
        <f>IF($B1747=0,0,MAX($E1748:$AR1748))</f>
        <v/>
      </c>
      <c r="D1747" s="98">
        <f>BDS($A1747,FLD_HIST,"headers=y","startcol=1","endcol=7","dir=h","DVD_START_DT",HIST_FROM,"DVD_END_DT",HIST_TO)</f>
        <v/>
      </c>
      <c r="E1747" s="99" t="n"/>
      <c r="F1747" s="99" t="n"/>
      <c r="G1747" s="99" t="n"/>
      <c r="H1747" s="99" t="n"/>
      <c r="I1747" s="99" t="n"/>
      <c r="J1747" s="99" t="n"/>
      <c r="K1747" s="99" t="n"/>
      <c r="L1747" s="99" t="n"/>
      <c r="M1747" s="99" t="n"/>
      <c r="N1747" s="99" t="n"/>
      <c r="O1747" s="99" t="n"/>
      <c r="P1747" s="99" t="n"/>
      <c r="Q1747" s="99" t="n"/>
      <c r="R1747" s="99" t="n"/>
      <c r="S1747" s="99" t="n"/>
      <c r="T1747" s="99" t="n"/>
      <c r="U1747" s="99" t="n"/>
      <c r="V1747" s="99" t="n"/>
      <c r="W1747" s="99" t="n"/>
      <c r="X1747" s="99" t="n"/>
      <c r="Y1747" s="99" t="n"/>
      <c r="Z1747" s="99" t="n"/>
      <c r="AA1747" s="99" t="n"/>
      <c r="AB1747" s="99" t="n"/>
      <c r="AC1747" s="99" t="n"/>
      <c r="AD1747" s="99" t="n"/>
      <c r="AE1747" s="99" t="n"/>
      <c r="AF1747" s="99" t="n"/>
      <c r="AG1747" s="99" t="n"/>
      <c r="AH1747" s="99" t="n"/>
      <c r="AI1747" s="99" t="n"/>
      <c r="AJ1747" s="99" t="n"/>
      <c r="AK1747" s="99" t="n"/>
      <c r="AL1747" s="99" t="n"/>
      <c r="AM1747" s="99" t="n"/>
      <c r="AN1747" s="99" t="n"/>
      <c r="AO1747" s="99" t="n"/>
      <c r="AP1747" s="99" t="n"/>
      <c r="AQ1747" s="99" t="n"/>
      <c r="AR1747" s="99" t="n"/>
    </row>
    <row r="1748">
      <c r="D1748" s="99" t="n"/>
      <c r="E1748" s="99" t="n"/>
      <c r="F1748" s="99" t="n"/>
      <c r="G1748" s="99" t="n"/>
      <c r="H1748" s="99" t="n"/>
      <c r="I1748" s="99" t="n"/>
      <c r="J1748" s="99" t="n"/>
      <c r="K1748" s="99" t="n"/>
      <c r="L1748" s="99" t="n"/>
      <c r="M1748" s="99" t="n"/>
      <c r="N1748" s="99" t="n"/>
      <c r="O1748" s="99" t="n"/>
      <c r="P1748" s="99" t="n"/>
      <c r="Q1748" s="99" t="n"/>
      <c r="R1748" s="99" t="n"/>
      <c r="S1748" s="99" t="n"/>
      <c r="T1748" s="99" t="n"/>
      <c r="U1748" s="99" t="n"/>
      <c r="V1748" s="99" t="n"/>
      <c r="W1748" s="99" t="n"/>
      <c r="X1748" s="99" t="n"/>
      <c r="Y1748" s="99" t="n"/>
      <c r="Z1748" s="99" t="n"/>
      <c r="AA1748" s="99" t="n"/>
      <c r="AB1748" s="99" t="n"/>
      <c r="AC1748" s="99" t="n"/>
      <c r="AD1748" s="99" t="n"/>
      <c r="AE1748" s="99" t="n"/>
      <c r="AF1748" s="99" t="n"/>
      <c r="AG1748" s="99" t="n"/>
      <c r="AH1748" s="99" t="n"/>
      <c r="AI1748" s="99" t="n"/>
      <c r="AJ1748" s="99" t="n"/>
      <c r="AK1748" s="99" t="n"/>
      <c r="AL1748" s="99" t="n"/>
      <c r="AM1748" s="99" t="n"/>
      <c r="AN1748" s="99" t="n"/>
      <c r="AO1748" s="99" t="n"/>
      <c r="AP1748" s="99" t="n"/>
      <c r="AQ1748" s="99" t="n"/>
      <c r="AR1748" s="99" t="n"/>
    </row>
    <row r="1749">
      <c r="D1749" s="99" t="n"/>
      <c r="E1749" s="99" t="n"/>
      <c r="F1749" s="99" t="n"/>
      <c r="G1749" s="99" t="n"/>
      <c r="H1749" s="99" t="n"/>
      <c r="I1749" s="99" t="n"/>
      <c r="J1749" s="99" t="n"/>
      <c r="K1749" s="99" t="n"/>
      <c r="L1749" s="99" t="n"/>
      <c r="M1749" s="99" t="n"/>
      <c r="N1749" s="99" t="n"/>
      <c r="O1749" s="99" t="n"/>
      <c r="P1749" s="99" t="n"/>
      <c r="Q1749" s="99" t="n"/>
      <c r="R1749" s="99" t="n"/>
      <c r="S1749" s="99" t="n"/>
      <c r="T1749" s="99" t="n"/>
      <c r="U1749" s="99" t="n"/>
      <c r="V1749" s="99" t="n"/>
      <c r="W1749" s="99" t="n"/>
      <c r="X1749" s="99" t="n"/>
      <c r="Y1749" s="99" t="n"/>
      <c r="Z1749" s="99" t="n"/>
      <c r="AA1749" s="99" t="n"/>
      <c r="AB1749" s="99" t="n"/>
      <c r="AC1749" s="99" t="n"/>
      <c r="AD1749" s="99" t="n"/>
      <c r="AE1749" s="99" t="n"/>
      <c r="AF1749" s="99" t="n"/>
      <c r="AG1749" s="99" t="n"/>
      <c r="AH1749" s="99" t="n"/>
      <c r="AI1749" s="99" t="n"/>
      <c r="AJ1749" s="99" t="n"/>
      <c r="AK1749" s="99" t="n"/>
      <c r="AL1749" s="99" t="n"/>
      <c r="AM1749" s="99" t="n"/>
      <c r="AN1749" s="99" t="n"/>
      <c r="AO1749" s="99" t="n"/>
      <c r="AP1749" s="99" t="n"/>
      <c r="AQ1749" s="99" t="n"/>
      <c r="AR1749" s="99" t="n"/>
    </row>
    <row r="1750">
      <c r="D1750" s="99" t="n"/>
      <c r="E1750" s="99" t="n"/>
      <c r="F1750" s="99" t="n"/>
      <c r="G1750" s="99" t="n"/>
      <c r="H1750" s="99" t="n"/>
      <c r="I1750" s="99" t="n"/>
      <c r="J1750" s="99" t="n"/>
      <c r="K1750" s="99" t="n"/>
      <c r="L1750" s="99" t="n"/>
      <c r="M1750" s="99" t="n"/>
      <c r="N1750" s="99" t="n"/>
      <c r="O1750" s="99" t="n"/>
      <c r="P1750" s="99" t="n"/>
      <c r="Q1750" s="99" t="n"/>
      <c r="R1750" s="99" t="n"/>
      <c r="S1750" s="99" t="n"/>
      <c r="T1750" s="99" t="n"/>
      <c r="U1750" s="99" t="n"/>
      <c r="V1750" s="99" t="n"/>
      <c r="W1750" s="99" t="n"/>
      <c r="X1750" s="99" t="n"/>
      <c r="Y1750" s="99" t="n"/>
      <c r="Z1750" s="99" t="n"/>
      <c r="AA1750" s="99" t="n"/>
      <c r="AB1750" s="99" t="n"/>
      <c r="AC1750" s="99" t="n"/>
      <c r="AD1750" s="99" t="n"/>
      <c r="AE1750" s="99" t="n"/>
      <c r="AF1750" s="99" t="n"/>
      <c r="AG1750" s="99" t="n"/>
      <c r="AH1750" s="99" t="n"/>
      <c r="AI1750" s="99" t="n"/>
      <c r="AJ1750" s="99" t="n"/>
      <c r="AK1750" s="99" t="n"/>
      <c r="AL1750" s="99" t="n"/>
      <c r="AM1750" s="99" t="n"/>
      <c r="AN1750" s="99" t="n"/>
      <c r="AO1750" s="99" t="n"/>
      <c r="AP1750" s="99" t="n"/>
      <c r="AQ1750" s="99" t="n"/>
      <c r="AR1750" s="99" t="n"/>
    </row>
    <row r="1751">
      <c r="D1751" s="100" t="n"/>
      <c r="E1751" s="100" t="n"/>
      <c r="F1751" s="100" t="n"/>
      <c r="G1751" s="100" t="n"/>
      <c r="H1751" s="100" t="n"/>
      <c r="I1751" s="100" t="n"/>
      <c r="J1751" s="100" t="n"/>
      <c r="K1751" s="100" t="n"/>
      <c r="L1751" s="100" t="n"/>
      <c r="M1751" s="100" t="n"/>
      <c r="N1751" s="100" t="n"/>
      <c r="O1751" s="100" t="n"/>
      <c r="P1751" s="100" t="n"/>
      <c r="Q1751" s="100" t="n"/>
      <c r="R1751" s="100" t="n"/>
      <c r="S1751" s="100" t="n"/>
      <c r="T1751" s="100" t="n"/>
      <c r="U1751" s="100" t="n"/>
      <c r="V1751" s="100" t="n"/>
      <c r="W1751" s="100" t="n"/>
      <c r="X1751" s="100" t="n"/>
      <c r="Y1751" s="100" t="n"/>
      <c r="Z1751" s="100" t="n"/>
      <c r="AA1751" s="100" t="n"/>
      <c r="AB1751" s="100" t="n"/>
      <c r="AC1751" s="100" t="n"/>
      <c r="AD1751" s="100" t="n"/>
      <c r="AE1751" s="100" t="n"/>
      <c r="AF1751" s="100" t="n"/>
      <c r="AG1751" s="100" t="n"/>
      <c r="AH1751" s="100" t="n"/>
      <c r="AI1751" s="100" t="n"/>
      <c r="AJ1751" s="100" t="n"/>
      <c r="AK1751" s="100" t="n"/>
      <c r="AL1751" s="100" t="n"/>
      <c r="AM1751" s="100" t="n"/>
      <c r="AN1751" s="100" t="n"/>
      <c r="AO1751" s="100" t="n"/>
      <c r="AP1751" s="100" t="n"/>
      <c r="AQ1751" s="100" t="n"/>
      <c r="AR1751" s="100" t="n"/>
    </row>
    <row r="1754">
      <c r="A1754" s="2">
        <f>IF($A1747="","","   projections")</f>
        <v/>
      </c>
      <c r="B1754" s="96">
        <f>IF($A1747="",0,COUNT($E1755:$AR1755))</f>
        <v/>
      </c>
      <c r="C1754" s="97">
        <f>IF($B1754=0,0,MAX($E1755:$AR1755))</f>
        <v/>
      </c>
      <c r="D1754" s="98">
        <f>BDS($A1747,FLD_PROJ,"headers=y","startcol=1","endcol=3","dir=h")</f>
        <v/>
      </c>
      <c r="E1754" s="99" t="n"/>
      <c r="F1754" s="99" t="n"/>
      <c r="G1754" s="99" t="n"/>
      <c r="H1754" s="99" t="n"/>
      <c r="I1754" s="99" t="n"/>
      <c r="J1754" s="99" t="n"/>
      <c r="K1754" s="99" t="n"/>
      <c r="L1754" s="99" t="n"/>
      <c r="M1754" s="99" t="n"/>
      <c r="N1754" s="99" t="n"/>
      <c r="O1754" s="99" t="n"/>
      <c r="P1754" s="99" t="n"/>
      <c r="Q1754" s="99" t="n"/>
      <c r="R1754" s="99" t="n"/>
      <c r="S1754" s="99" t="n"/>
      <c r="T1754" s="99" t="n"/>
      <c r="U1754" s="99" t="n"/>
      <c r="V1754" s="99" t="n"/>
      <c r="W1754" s="99" t="n"/>
      <c r="X1754" s="99" t="n"/>
      <c r="Y1754" s="99" t="n"/>
      <c r="Z1754" s="99" t="n"/>
      <c r="AA1754" s="99" t="n"/>
      <c r="AB1754" s="99" t="n"/>
      <c r="AC1754" s="99" t="n"/>
      <c r="AD1754" s="99" t="n"/>
      <c r="AE1754" s="99" t="n"/>
      <c r="AF1754" s="99" t="n"/>
      <c r="AG1754" s="99" t="n"/>
      <c r="AH1754" s="99" t="n"/>
      <c r="AI1754" s="99" t="n"/>
      <c r="AJ1754" s="99" t="n"/>
      <c r="AK1754" s="99" t="n"/>
      <c r="AL1754" s="99" t="n"/>
      <c r="AM1754" s="99" t="n"/>
      <c r="AN1754" s="99" t="n"/>
      <c r="AO1754" s="99" t="n"/>
      <c r="AP1754" s="99" t="n"/>
      <c r="AQ1754" s="99" t="n"/>
      <c r="AR1754" s="99" t="n"/>
    </row>
    <row r="1755">
      <c r="D1755" s="99" t="n"/>
      <c r="E1755" s="99" t="n"/>
      <c r="F1755" s="99" t="n"/>
      <c r="G1755" s="99" t="n"/>
      <c r="H1755" s="99" t="n"/>
      <c r="I1755" s="99" t="n"/>
      <c r="J1755" s="99" t="n"/>
      <c r="K1755" s="99" t="n"/>
      <c r="L1755" s="99" t="n"/>
      <c r="M1755" s="99" t="n"/>
      <c r="N1755" s="99" t="n"/>
      <c r="O1755" s="99" t="n"/>
      <c r="P1755" s="99" t="n"/>
      <c r="Q1755" s="99" t="n"/>
      <c r="R1755" s="99" t="n"/>
      <c r="S1755" s="99" t="n"/>
      <c r="T1755" s="99" t="n"/>
      <c r="U1755" s="99" t="n"/>
      <c r="V1755" s="99" t="n"/>
      <c r="W1755" s="99" t="n"/>
      <c r="X1755" s="99" t="n"/>
      <c r="Y1755" s="99" t="n"/>
      <c r="Z1755" s="99" t="n"/>
      <c r="AA1755" s="99" t="n"/>
      <c r="AB1755" s="99" t="n"/>
      <c r="AC1755" s="99" t="n"/>
      <c r="AD1755" s="99" t="n"/>
      <c r="AE1755" s="99" t="n"/>
      <c r="AF1755" s="99" t="n"/>
      <c r="AG1755" s="99" t="n"/>
      <c r="AH1755" s="99" t="n"/>
      <c r="AI1755" s="99" t="n"/>
      <c r="AJ1755" s="99" t="n"/>
      <c r="AK1755" s="99" t="n"/>
      <c r="AL1755" s="99" t="n"/>
      <c r="AM1755" s="99" t="n"/>
      <c r="AN1755" s="99" t="n"/>
      <c r="AO1755" s="99" t="n"/>
      <c r="AP1755" s="99" t="n"/>
      <c r="AQ1755" s="99" t="n"/>
      <c r="AR1755" s="99" t="n"/>
    </row>
    <row r="1756">
      <c r="D1756" s="100" t="n"/>
      <c r="E1756" s="100" t="n"/>
      <c r="F1756" s="100" t="n"/>
      <c r="G1756" s="100" t="n"/>
      <c r="H1756" s="100" t="n"/>
      <c r="I1756" s="100" t="n"/>
      <c r="J1756" s="100" t="n"/>
      <c r="K1756" s="100" t="n"/>
      <c r="L1756" s="100" t="n"/>
      <c r="M1756" s="100" t="n"/>
      <c r="N1756" s="100" t="n"/>
      <c r="O1756" s="100" t="n"/>
      <c r="P1756" s="100" t="n"/>
      <c r="Q1756" s="100" t="n"/>
      <c r="R1756" s="100" t="n"/>
      <c r="S1756" s="100" t="n"/>
      <c r="T1756" s="100" t="n"/>
      <c r="U1756" s="100" t="n"/>
      <c r="V1756" s="100" t="n"/>
      <c r="W1756" s="100" t="n"/>
      <c r="X1756" s="100" t="n"/>
      <c r="Y1756" s="100" t="n"/>
      <c r="Z1756" s="100" t="n"/>
      <c r="AA1756" s="100" t="n"/>
      <c r="AB1756" s="100" t="n"/>
      <c r="AC1756" s="100" t="n"/>
      <c r="AD1756" s="100" t="n"/>
      <c r="AE1756" s="100" t="n"/>
      <c r="AF1756" s="100" t="n"/>
      <c r="AG1756" s="100" t="n"/>
      <c r="AH1756" s="100" t="n"/>
      <c r="AI1756" s="100" t="n"/>
      <c r="AJ1756" s="100" t="n"/>
      <c r="AK1756" s="100" t="n"/>
      <c r="AL1756" s="100" t="n"/>
      <c r="AM1756" s="100" t="n"/>
      <c r="AN1756" s="100" t="n"/>
      <c r="AO1756" s="100" t="n"/>
      <c r="AP1756" s="100" t="n"/>
      <c r="AQ1756" s="100" t="n"/>
      <c r="AR1756" s="100" t="n"/>
    </row>
    <row r="1758">
      <c r="A1758" s="6">
        <f>IF(HSCEI!$C$25="","",HSCEI!$C$25)</f>
        <v/>
      </c>
      <c r="B1758" s="96">
        <f>IF($A1758="",0,COUNT($E1759:$AR1759))</f>
        <v/>
      </c>
      <c r="C1758" s="97">
        <f>IF($B1758=0,0,MAX($E1759:$AR1759))</f>
        <v/>
      </c>
      <c r="D1758" s="98">
        <f>BDS($A1758,FLD_HIST,"headers=y","startcol=1","endcol=7","dir=h","DVD_START_DT",HIST_FROM,"DVD_END_DT",HIST_TO)</f>
        <v/>
      </c>
      <c r="E1758" s="99" t="n"/>
      <c r="F1758" s="99" t="n"/>
      <c r="G1758" s="99" t="n"/>
      <c r="H1758" s="99" t="n"/>
      <c r="I1758" s="99" t="n"/>
      <c r="J1758" s="99" t="n"/>
      <c r="K1758" s="99" t="n"/>
      <c r="L1758" s="99" t="n"/>
      <c r="M1758" s="99" t="n"/>
      <c r="N1758" s="99" t="n"/>
      <c r="O1758" s="99" t="n"/>
      <c r="P1758" s="99" t="n"/>
      <c r="Q1758" s="99" t="n"/>
      <c r="R1758" s="99" t="n"/>
      <c r="S1758" s="99" t="n"/>
      <c r="T1758" s="99" t="n"/>
      <c r="U1758" s="99" t="n"/>
      <c r="V1758" s="99" t="n"/>
      <c r="W1758" s="99" t="n"/>
      <c r="X1758" s="99" t="n"/>
      <c r="Y1758" s="99" t="n"/>
      <c r="Z1758" s="99" t="n"/>
      <c r="AA1758" s="99" t="n"/>
      <c r="AB1758" s="99" t="n"/>
      <c r="AC1758" s="99" t="n"/>
      <c r="AD1758" s="99" t="n"/>
      <c r="AE1758" s="99" t="n"/>
      <c r="AF1758" s="99" t="n"/>
      <c r="AG1758" s="99" t="n"/>
      <c r="AH1758" s="99" t="n"/>
      <c r="AI1758" s="99" t="n"/>
      <c r="AJ1758" s="99" t="n"/>
      <c r="AK1758" s="99" t="n"/>
      <c r="AL1758" s="99" t="n"/>
      <c r="AM1758" s="99" t="n"/>
      <c r="AN1758" s="99" t="n"/>
      <c r="AO1758" s="99" t="n"/>
      <c r="AP1758" s="99" t="n"/>
      <c r="AQ1758" s="99" t="n"/>
      <c r="AR1758" s="99" t="n"/>
    </row>
    <row r="1759">
      <c r="D1759" s="99" t="n"/>
      <c r="E1759" s="99" t="n"/>
      <c r="F1759" s="99" t="n"/>
      <c r="G1759" s="99" t="n"/>
      <c r="H1759" s="99" t="n"/>
      <c r="I1759" s="99" t="n"/>
      <c r="J1759" s="99" t="n"/>
      <c r="K1759" s="99" t="n"/>
      <c r="L1759" s="99" t="n"/>
      <c r="M1759" s="99" t="n"/>
      <c r="N1759" s="99" t="n"/>
      <c r="O1759" s="99" t="n"/>
      <c r="P1759" s="99" t="n"/>
      <c r="Q1759" s="99" t="n"/>
      <c r="R1759" s="99" t="n"/>
      <c r="S1759" s="99" t="n"/>
      <c r="T1759" s="99" t="n"/>
      <c r="U1759" s="99" t="n"/>
      <c r="V1759" s="99" t="n"/>
      <c r="W1759" s="99" t="n"/>
      <c r="X1759" s="99" t="n"/>
      <c r="Y1759" s="99" t="n"/>
      <c r="Z1759" s="99" t="n"/>
      <c r="AA1759" s="99" t="n"/>
      <c r="AB1759" s="99" t="n"/>
      <c r="AC1759" s="99" t="n"/>
      <c r="AD1759" s="99" t="n"/>
      <c r="AE1759" s="99" t="n"/>
      <c r="AF1759" s="99" t="n"/>
      <c r="AG1759" s="99" t="n"/>
      <c r="AH1759" s="99" t="n"/>
      <c r="AI1759" s="99" t="n"/>
      <c r="AJ1759" s="99" t="n"/>
      <c r="AK1759" s="99" t="n"/>
      <c r="AL1759" s="99" t="n"/>
      <c r="AM1759" s="99" t="n"/>
      <c r="AN1759" s="99" t="n"/>
      <c r="AO1759" s="99" t="n"/>
      <c r="AP1759" s="99" t="n"/>
      <c r="AQ1759" s="99" t="n"/>
      <c r="AR1759" s="99" t="n"/>
    </row>
    <row r="1760">
      <c r="D1760" s="99" t="n"/>
      <c r="E1760" s="99" t="n"/>
      <c r="F1760" s="99" t="n"/>
      <c r="G1760" s="99" t="n"/>
      <c r="H1760" s="99" t="n"/>
      <c r="I1760" s="99" t="n"/>
      <c r="J1760" s="99" t="n"/>
      <c r="K1760" s="99" t="n"/>
      <c r="L1760" s="99" t="n"/>
      <c r="M1760" s="99" t="n"/>
      <c r="N1760" s="99" t="n"/>
      <c r="O1760" s="99" t="n"/>
      <c r="P1760" s="99" t="n"/>
      <c r="Q1760" s="99" t="n"/>
      <c r="R1760" s="99" t="n"/>
      <c r="S1760" s="99" t="n"/>
      <c r="T1760" s="99" t="n"/>
      <c r="U1760" s="99" t="n"/>
      <c r="V1760" s="99" t="n"/>
      <c r="W1760" s="99" t="n"/>
      <c r="X1760" s="99" t="n"/>
      <c r="Y1760" s="99" t="n"/>
      <c r="Z1760" s="99" t="n"/>
      <c r="AA1760" s="99" t="n"/>
      <c r="AB1760" s="99" t="n"/>
      <c r="AC1760" s="99" t="n"/>
      <c r="AD1760" s="99" t="n"/>
      <c r="AE1760" s="99" t="n"/>
      <c r="AF1760" s="99" t="n"/>
      <c r="AG1760" s="99" t="n"/>
      <c r="AH1760" s="99" t="n"/>
      <c r="AI1760" s="99" t="n"/>
      <c r="AJ1760" s="99" t="n"/>
      <c r="AK1760" s="99" t="n"/>
      <c r="AL1760" s="99" t="n"/>
      <c r="AM1760" s="99" t="n"/>
      <c r="AN1760" s="99" t="n"/>
      <c r="AO1760" s="99" t="n"/>
      <c r="AP1760" s="99" t="n"/>
      <c r="AQ1760" s="99" t="n"/>
      <c r="AR1760" s="99" t="n"/>
    </row>
    <row r="1761">
      <c r="D1761" s="99" t="n"/>
      <c r="E1761" s="99" t="n"/>
      <c r="F1761" s="99" t="n"/>
      <c r="G1761" s="99" t="n"/>
      <c r="H1761" s="99" t="n"/>
      <c r="I1761" s="99" t="n"/>
      <c r="J1761" s="99" t="n"/>
      <c r="K1761" s="99" t="n"/>
      <c r="L1761" s="99" t="n"/>
      <c r="M1761" s="99" t="n"/>
      <c r="N1761" s="99" t="n"/>
      <c r="O1761" s="99" t="n"/>
      <c r="P1761" s="99" t="n"/>
      <c r="Q1761" s="99" t="n"/>
      <c r="R1761" s="99" t="n"/>
      <c r="S1761" s="99" t="n"/>
      <c r="T1761" s="99" t="n"/>
      <c r="U1761" s="99" t="n"/>
      <c r="V1761" s="99" t="n"/>
      <c r="W1761" s="99" t="n"/>
      <c r="X1761" s="99" t="n"/>
      <c r="Y1761" s="99" t="n"/>
      <c r="Z1761" s="99" t="n"/>
      <c r="AA1761" s="99" t="n"/>
      <c r="AB1761" s="99" t="n"/>
      <c r="AC1761" s="99" t="n"/>
      <c r="AD1761" s="99" t="n"/>
      <c r="AE1761" s="99" t="n"/>
      <c r="AF1761" s="99" t="n"/>
      <c r="AG1761" s="99" t="n"/>
      <c r="AH1761" s="99" t="n"/>
      <c r="AI1761" s="99" t="n"/>
      <c r="AJ1761" s="99" t="n"/>
      <c r="AK1761" s="99" t="n"/>
      <c r="AL1761" s="99" t="n"/>
      <c r="AM1761" s="99" t="n"/>
      <c r="AN1761" s="99" t="n"/>
      <c r="AO1761" s="99" t="n"/>
      <c r="AP1761" s="99" t="n"/>
      <c r="AQ1761" s="99" t="n"/>
      <c r="AR1761" s="99" t="n"/>
    </row>
    <row r="1762">
      <c r="D1762" s="100" t="n"/>
      <c r="E1762" s="100" t="n"/>
      <c r="F1762" s="100" t="n"/>
      <c r="G1762" s="100" t="n"/>
      <c r="H1762" s="100" t="n"/>
      <c r="I1762" s="100" t="n"/>
      <c r="J1762" s="100" t="n"/>
      <c r="K1762" s="100" t="n"/>
      <c r="L1762" s="100" t="n"/>
      <c r="M1762" s="100" t="n"/>
      <c r="N1762" s="100" t="n"/>
      <c r="O1762" s="100" t="n"/>
      <c r="P1762" s="100" t="n"/>
      <c r="Q1762" s="100" t="n"/>
      <c r="R1762" s="100" t="n"/>
      <c r="S1762" s="100" t="n"/>
      <c r="T1762" s="100" t="n"/>
      <c r="U1762" s="100" t="n"/>
      <c r="V1762" s="100" t="n"/>
      <c r="W1762" s="100" t="n"/>
      <c r="X1762" s="100" t="n"/>
      <c r="Y1762" s="100" t="n"/>
      <c r="Z1762" s="100" t="n"/>
      <c r="AA1762" s="100" t="n"/>
      <c r="AB1762" s="100" t="n"/>
      <c r="AC1762" s="100" t="n"/>
      <c r="AD1762" s="100" t="n"/>
      <c r="AE1762" s="100" t="n"/>
      <c r="AF1762" s="100" t="n"/>
      <c r="AG1762" s="100" t="n"/>
      <c r="AH1762" s="100" t="n"/>
      <c r="AI1762" s="100" t="n"/>
      <c r="AJ1762" s="100" t="n"/>
      <c r="AK1762" s="100" t="n"/>
      <c r="AL1762" s="100" t="n"/>
      <c r="AM1762" s="100" t="n"/>
      <c r="AN1762" s="100" t="n"/>
      <c r="AO1762" s="100" t="n"/>
      <c r="AP1762" s="100" t="n"/>
      <c r="AQ1762" s="100" t="n"/>
      <c r="AR1762" s="100" t="n"/>
    </row>
    <row r="1765">
      <c r="A1765" s="2">
        <f>IF($A1758="","","   projections")</f>
        <v/>
      </c>
      <c r="B1765" s="96">
        <f>IF($A1758="",0,COUNT($E1766:$AR1766))</f>
        <v/>
      </c>
      <c r="C1765" s="97">
        <f>IF($B1765=0,0,MAX($E1766:$AR1766))</f>
        <v/>
      </c>
      <c r="D1765" s="98">
        <f>BDS($A1758,FLD_PROJ,"headers=y","startcol=1","endcol=3","dir=h")</f>
        <v/>
      </c>
      <c r="E1765" s="99" t="n"/>
      <c r="F1765" s="99" t="n"/>
      <c r="G1765" s="99" t="n"/>
      <c r="H1765" s="99" t="n"/>
      <c r="I1765" s="99" t="n"/>
      <c r="J1765" s="99" t="n"/>
      <c r="K1765" s="99" t="n"/>
      <c r="L1765" s="99" t="n"/>
      <c r="M1765" s="99" t="n"/>
      <c r="N1765" s="99" t="n"/>
      <c r="O1765" s="99" t="n"/>
      <c r="P1765" s="99" t="n"/>
      <c r="Q1765" s="99" t="n"/>
      <c r="R1765" s="99" t="n"/>
      <c r="S1765" s="99" t="n"/>
      <c r="T1765" s="99" t="n"/>
      <c r="U1765" s="99" t="n"/>
      <c r="V1765" s="99" t="n"/>
      <c r="W1765" s="99" t="n"/>
      <c r="X1765" s="99" t="n"/>
      <c r="Y1765" s="99" t="n"/>
      <c r="Z1765" s="99" t="n"/>
      <c r="AA1765" s="99" t="n"/>
      <c r="AB1765" s="99" t="n"/>
      <c r="AC1765" s="99" t="n"/>
      <c r="AD1765" s="99" t="n"/>
      <c r="AE1765" s="99" t="n"/>
      <c r="AF1765" s="99" t="n"/>
      <c r="AG1765" s="99" t="n"/>
      <c r="AH1765" s="99" t="n"/>
      <c r="AI1765" s="99" t="n"/>
      <c r="AJ1765" s="99" t="n"/>
      <c r="AK1765" s="99" t="n"/>
      <c r="AL1765" s="99" t="n"/>
      <c r="AM1765" s="99" t="n"/>
      <c r="AN1765" s="99" t="n"/>
      <c r="AO1765" s="99" t="n"/>
      <c r="AP1765" s="99" t="n"/>
      <c r="AQ1765" s="99" t="n"/>
      <c r="AR1765" s="99" t="n"/>
    </row>
    <row r="1766">
      <c r="D1766" s="99" t="n"/>
      <c r="E1766" s="99" t="n"/>
      <c r="F1766" s="99" t="n"/>
      <c r="G1766" s="99" t="n"/>
      <c r="H1766" s="99" t="n"/>
      <c r="I1766" s="99" t="n"/>
      <c r="J1766" s="99" t="n"/>
      <c r="K1766" s="99" t="n"/>
      <c r="L1766" s="99" t="n"/>
      <c r="M1766" s="99" t="n"/>
      <c r="N1766" s="99" t="n"/>
      <c r="O1766" s="99" t="n"/>
      <c r="P1766" s="99" t="n"/>
      <c r="Q1766" s="99" t="n"/>
      <c r="R1766" s="99" t="n"/>
      <c r="S1766" s="99" t="n"/>
      <c r="T1766" s="99" t="n"/>
      <c r="U1766" s="99" t="n"/>
      <c r="V1766" s="99" t="n"/>
      <c r="W1766" s="99" t="n"/>
      <c r="X1766" s="99" t="n"/>
      <c r="Y1766" s="99" t="n"/>
      <c r="Z1766" s="99" t="n"/>
      <c r="AA1766" s="99" t="n"/>
      <c r="AB1766" s="99" t="n"/>
      <c r="AC1766" s="99" t="n"/>
      <c r="AD1766" s="99" t="n"/>
      <c r="AE1766" s="99" t="n"/>
      <c r="AF1766" s="99" t="n"/>
      <c r="AG1766" s="99" t="n"/>
      <c r="AH1766" s="99" t="n"/>
      <c r="AI1766" s="99" t="n"/>
      <c r="AJ1766" s="99" t="n"/>
      <c r="AK1766" s="99" t="n"/>
      <c r="AL1766" s="99" t="n"/>
      <c r="AM1766" s="99" t="n"/>
      <c r="AN1766" s="99" t="n"/>
      <c r="AO1766" s="99" t="n"/>
      <c r="AP1766" s="99" t="n"/>
      <c r="AQ1766" s="99" t="n"/>
      <c r="AR1766" s="99" t="n"/>
    </row>
    <row r="1767">
      <c r="D1767" s="100" t="n"/>
      <c r="E1767" s="100" t="n"/>
      <c r="F1767" s="100" t="n"/>
      <c r="G1767" s="100" t="n"/>
      <c r="H1767" s="100" t="n"/>
      <c r="I1767" s="100" t="n"/>
      <c r="J1767" s="100" t="n"/>
      <c r="K1767" s="100" t="n"/>
      <c r="L1767" s="100" t="n"/>
      <c r="M1767" s="100" t="n"/>
      <c r="N1767" s="100" t="n"/>
      <c r="O1767" s="100" t="n"/>
      <c r="P1767" s="100" t="n"/>
      <c r="Q1767" s="100" t="n"/>
      <c r="R1767" s="100" t="n"/>
      <c r="S1767" s="100" t="n"/>
      <c r="T1767" s="100" t="n"/>
      <c r="U1767" s="100" t="n"/>
      <c r="V1767" s="100" t="n"/>
      <c r="W1767" s="100" t="n"/>
      <c r="X1767" s="100" t="n"/>
      <c r="Y1767" s="100" t="n"/>
      <c r="Z1767" s="100" t="n"/>
      <c r="AA1767" s="100" t="n"/>
      <c r="AB1767" s="100" t="n"/>
      <c r="AC1767" s="100" t="n"/>
      <c r="AD1767" s="100" t="n"/>
      <c r="AE1767" s="100" t="n"/>
      <c r="AF1767" s="100" t="n"/>
      <c r="AG1767" s="100" t="n"/>
      <c r="AH1767" s="100" t="n"/>
      <c r="AI1767" s="100" t="n"/>
      <c r="AJ1767" s="100" t="n"/>
      <c r="AK1767" s="100" t="n"/>
      <c r="AL1767" s="100" t="n"/>
      <c r="AM1767" s="100" t="n"/>
      <c r="AN1767" s="100" t="n"/>
      <c r="AO1767" s="100" t="n"/>
      <c r="AP1767" s="100" t="n"/>
      <c r="AQ1767" s="100" t="n"/>
      <c r="AR1767" s="100" t="n"/>
    </row>
    <row r="1769">
      <c r="A1769" s="6">
        <f>IF(HSCEI!$C$26="","",HSCEI!$C$26)</f>
        <v/>
      </c>
      <c r="B1769" s="96">
        <f>IF($A1769="",0,COUNT($E1770:$AR1770))</f>
        <v/>
      </c>
      <c r="C1769" s="97">
        <f>IF($B1769=0,0,MAX($E1770:$AR1770))</f>
        <v/>
      </c>
      <c r="D1769" s="98">
        <f>BDS($A1769,FLD_HIST,"headers=y","startcol=1","endcol=7","dir=h","DVD_START_DT",HIST_FROM,"DVD_END_DT",HIST_TO)</f>
        <v/>
      </c>
      <c r="E1769" s="99" t="n"/>
      <c r="F1769" s="99" t="n"/>
      <c r="G1769" s="99" t="n"/>
      <c r="H1769" s="99" t="n"/>
      <c r="I1769" s="99" t="n"/>
      <c r="J1769" s="99" t="n"/>
      <c r="K1769" s="99" t="n"/>
      <c r="L1769" s="99" t="n"/>
      <c r="M1769" s="99" t="n"/>
      <c r="N1769" s="99" t="n"/>
      <c r="O1769" s="99" t="n"/>
      <c r="P1769" s="99" t="n"/>
      <c r="Q1769" s="99" t="n"/>
      <c r="R1769" s="99" t="n"/>
      <c r="S1769" s="99" t="n"/>
      <c r="T1769" s="99" t="n"/>
      <c r="U1769" s="99" t="n"/>
      <c r="V1769" s="99" t="n"/>
      <c r="W1769" s="99" t="n"/>
      <c r="X1769" s="99" t="n"/>
      <c r="Y1769" s="99" t="n"/>
      <c r="Z1769" s="99" t="n"/>
      <c r="AA1769" s="99" t="n"/>
      <c r="AB1769" s="99" t="n"/>
      <c r="AC1769" s="99" t="n"/>
      <c r="AD1769" s="99" t="n"/>
      <c r="AE1769" s="99" t="n"/>
      <c r="AF1769" s="99" t="n"/>
      <c r="AG1769" s="99" t="n"/>
      <c r="AH1769" s="99" t="n"/>
      <c r="AI1769" s="99" t="n"/>
      <c r="AJ1769" s="99" t="n"/>
      <c r="AK1769" s="99" t="n"/>
      <c r="AL1769" s="99" t="n"/>
      <c r="AM1769" s="99" t="n"/>
      <c r="AN1769" s="99" t="n"/>
      <c r="AO1769" s="99" t="n"/>
      <c r="AP1769" s="99" t="n"/>
      <c r="AQ1769" s="99" t="n"/>
      <c r="AR1769" s="99" t="n"/>
    </row>
    <row r="1770">
      <c r="D1770" s="99" t="n"/>
      <c r="E1770" s="99" t="n"/>
      <c r="F1770" s="99" t="n"/>
      <c r="G1770" s="99" t="n"/>
      <c r="H1770" s="99" t="n"/>
      <c r="I1770" s="99" t="n"/>
      <c r="J1770" s="99" t="n"/>
      <c r="K1770" s="99" t="n"/>
      <c r="L1770" s="99" t="n"/>
      <c r="M1770" s="99" t="n"/>
      <c r="N1770" s="99" t="n"/>
      <c r="O1770" s="99" t="n"/>
      <c r="P1770" s="99" t="n"/>
      <c r="Q1770" s="99" t="n"/>
      <c r="R1770" s="99" t="n"/>
      <c r="S1770" s="99" t="n"/>
      <c r="T1770" s="99" t="n"/>
      <c r="U1770" s="99" t="n"/>
      <c r="V1770" s="99" t="n"/>
      <c r="W1770" s="99" t="n"/>
      <c r="X1770" s="99" t="n"/>
      <c r="Y1770" s="99" t="n"/>
      <c r="Z1770" s="99" t="n"/>
      <c r="AA1770" s="99" t="n"/>
      <c r="AB1770" s="99" t="n"/>
      <c r="AC1770" s="99" t="n"/>
      <c r="AD1770" s="99" t="n"/>
      <c r="AE1770" s="99" t="n"/>
      <c r="AF1770" s="99" t="n"/>
      <c r="AG1770" s="99" t="n"/>
      <c r="AH1770" s="99" t="n"/>
      <c r="AI1770" s="99" t="n"/>
      <c r="AJ1770" s="99" t="n"/>
      <c r="AK1770" s="99" t="n"/>
      <c r="AL1770" s="99" t="n"/>
      <c r="AM1770" s="99" t="n"/>
      <c r="AN1770" s="99" t="n"/>
      <c r="AO1770" s="99" t="n"/>
      <c r="AP1770" s="99" t="n"/>
      <c r="AQ1770" s="99" t="n"/>
      <c r="AR1770" s="99" t="n"/>
    </row>
    <row r="1771">
      <c r="D1771" s="99" t="n"/>
      <c r="E1771" s="99" t="n"/>
      <c r="F1771" s="99" t="n"/>
      <c r="G1771" s="99" t="n"/>
      <c r="H1771" s="99" t="n"/>
      <c r="I1771" s="99" t="n"/>
      <c r="J1771" s="99" t="n"/>
      <c r="K1771" s="99" t="n"/>
      <c r="L1771" s="99" t="n"/>
      <c r="M1771" s="99" t="n"/>
      <c r="N1771" s="99" t="n"/>
      <c r="O1771" s="99" t="n"/>
      <c r="P1771" s="99" t="n"/>
      <c r="Q1771" s="99" t="n"/>
      <c r="R1771" s="99" t="n"/>
      <c r="S1771" s="99" t="n"/>
      <c r="T1771" s="99" t="n"/>
      <c r="U1771" s="99" t="n"/>
      <c r="V1771" s="99" t="n"/>
      <c r="W1771" s="99" t="n"/>
      <c r="X1771" s="99" t="n"/>
      <c r="Y1771" s="99" t="n"/>
      <c r="Z1771" s="99" t="n"/>
      <c r="AA1771" s="99" t="n"/>
      <c r="AB1771" s="99" t="n"/>
      <c r="AC1771" s="99" t="n"/>
      <c r="AD1771" s="99" t="n"/>
      <c r="AE1771" s="99" t="n"/>
      <c r="AF1771" s="99" t="n"/>
      <c r="AG1771" s="99" t="n"/>
      <c r="AH1771" s="99" t="n"/>
      <c r="AI1771" s="99" t="n"/>
      <c r="AJ1771" s="99" t="n"/>
      <c r="AK1771" s="99" t="n"/>
      <c r="AL1771" s="99" t="n"/>
      <c r="AM1771" s="99" t="n"/>
      <c r="AN1771" s="99" t="n"/>
      <c r="AO1771" s="99" t="n"/>
      <c r="AP1771" s="99" t="n"/>
      <c r="AQ1771" s="99" t="n"/>
      <c r="AR1771" s="99" t="n"/>
    </row>
    <row r="1772">
      <c r="D1772" s="99" t="n"/>
      <c r="E1772" s="99" t="n"/>
      <c r="F1772" s="99" t="n"/>
      <c r="G1772" s="99" t="n"/>
      <c r="H1772" s="99" t="n"/>
      <c r="I1772" s="99" t="n"/>
      <c r="J1772" s="99" t="n"/>
      <c r="K1772" s="99" t="n"/>
      <c r="L1772" s="99" t="n"/>
      <c r="M1772" s="99" t="n"/>
      <c r="N1772" s="99" t="n"/>
      <c r="O1772" s="99" t="n"/>
      <c r="P1772" s="99" t="n"/>
      <c r="Q1772" s="99" t="n"/>
      <c r="R1772" s="99" t="n"/>
      <c r="S1772" s="99" t="n"/>
      <c r="T1772" s="99" t="n"/>
      <c r="U1772" s="99" t="n"/>
      <c r="V1772" s="99" t="n"/>
      <c r="W1772" s="99" t="n"/>
      <c r="X1772" s="99" t="n"/>
      <c r="Y1772" s="99" t="n"/>
      <c r="Z1772" s="99" t="n"/>
      <c r="AA1772" s="99" t="n"/>
      <c r="AB1772" s="99" t="n"/>
      <c r="AC1772" s="99" t="n"/>
      <c r="AD1772" s="99" t="n"/>
      <c r="AE1772" s="99" t="n"/>
      <c r="AF1772" s="99" t="n"/>
      <c r="AG1772" s="99" t="n"/>
      <c r="AH1772" s="99" t="n"/>
      <c r="AI1772" s="99" t="n"/>
      <c r="AJ1772" s="99" t="n"/>
      <c r="AK1772" s="99" t="n"/>
      <c r="AL1772" s="99" t="n"/>
      <c r="AM1772" s="99" t="n"/>
      <c r="AN1772" s="99" t="n"/>
      <c r="AO1772" s="99" t="n"/>
      <c r="AP1772" s="99" t="n"/>
      <c r="AQ1772" s="99" t="n"/>
      <c r="AR1772" s="99" t="n"/>
    </row>
    <row r="1773">
      <c r="D1773" s="100" t="n"/>
      <c r="E1773" s="100" t="n"/>
      <c r="F1773" s="100" t="n"/>
      <c r="G1773" s="100" t="n"/>
      <c r="H1773" s="100" t="n"/>
      <c r="I1773" s="100" t="n"/>
      <c r="J1773" s="100" t="n"/>
      <c r="K1773" s="100" t="n"/>
      <c r="L1773" s="100" t="n"/>
      <c r="M1773" s="100" t="n"/>
      <c r="N1773" s="100" t="n"/>
      <c r="O1773" s="100" t="n"/>
      <c r="P1773" s="100" t="n"/>
      <c r="Q1773" s="100" t="n"/>
      <c r="R1773" s="100" t="n"/>
      <c r="S1773" s="100" t="n"/>
      <c r="T1773" s="100" t="n"/>
      <c r="U1773" s="100" t="n"/>
      <c r="V1773" s="100" t="n"/>
      <c r="W1773" s="100" t="n"/>
      <c r="X1773" s="100" t="n"/>
      <c r="Y1773" s="100" t="n"/>
      <c r="Z1773" s="100" t="n"/>
      <c r="AA1773" s="100" t="n"/>
      <c r="AB1773" s="100" t="n"/>
      <c r="AC1773" s="100" t="n"/>
      <c r="AD1773" s="100" t="n"/>
      <c r="AE1773" s="100" t="n"/>
      <c r="AF1773" s="100" t="n"/>
      <c r="AG1773" s="100" t="n"/>
      <c r="AH1773" s="100" t="n"/>
      <c r="AI1773" s="100" t="n"/>
      <c r="AJ1773" s="100" t="n"/>
      <c r="AK1773" s="100" t="n"/>
      <c r="AL1773" s="100" t="n"/>
      <c r="AM1773" s="100" t="n"/>
      <c r="AN1773" s="100" t="n"/>
      <c r="AO1773" s="100" t="n"/>
      <c r="AP1773" s="100" t="n"/>
      <c r="AQ1773" s="100" t="n"/>
      <c r="AR1773" s="100" t="n"/>
    </row>
    <row r="1776">
      <c r="A1776" s="2">
        <f>IF($A1769="","","   projections")</f>
        <v/>
      </c>
      <c r="B1776" s="96">
        <f>IF($A1769="",0,COUNT($E1777:$AR1777))</f>
        <v/>
      </c>
      <c r="C1776" s="97">
        <f>IF($B1776=0,0,MAX($E1777:$AR1777))</f>
        <v/>
      </c>
      <c r="D1776" s="98">
        <f>BDS($A1769,FLD_PROJ,"headers=y","startcol=1","endcol=3","dir=h")</f>
        <v/>
      </c>
      <c r="E1776" s="99" t="n"/>
      <c r="F1776" s="99" t="n"/>
      <c r="G1776" s="99" t="n"/>
      <c r="H1776" s="99" t="n"/>
      <c r="I1776" s="99" t="n"/>
      <c r="J1776" s="99" t="n"/>
      <c r="K1776" s="99" t="n"/>
      <c r="L1776" s="99" t="n"/>
      <c r="M1776" s="99" t="n"/>
      <c r="N1776" s="99" t="n"/>
      <c r="O1776" s="99" t="n"/>
      <c r="P1776" s="99" t="n"/>
      <c r="Q1776" s="99" t="n"/>
      <c r="R1776" s="99" t="n"/>
      <c r="S1776" s="99" t="n"/>
      <c r="T1776" s="99" t="n"/>
      <c r="U1776" s="99" t="n"/>
      <c r="V1776" s="99" t="n"/>
      <c r="W1776" s="99" t="n"/>
      <c r="X1776" s="99" t="n"/>
      <c r="Y1776" s="99" t="n"/>
      <c r="Z1776" s="99" t="n"/>
      <c r="AA1776" s="99" t="n"/>
      <c r="AB1776" s="99" t="n"/>
      <c r="AC1776" s="99" t="n"/>
      <c r="AD1776" s="99" t="n"/>
      <c r="AE1776" s="99" t="n"/>
      <c r="AF1776" s="99" t="n"/>
      <c r="AG1776" s="99" t="n"/>
      <c r="AH1776" s="99" t="n"/>
      <c r="AI1776" s="99" t="n"/>
      <c r="AJ1776" s="99" t="n"/>
      <c r="AK1776" s="99" t="n"/>
      <c r="AL1776" s="99" t="n"/>
      <c r="AM1776" s="99" t="n"/>
      <c r="AN1776" s="99" t="n"/>
      <c r="AO1776" s="99" t="n"/>
      <c r="AP1776" s="99" t="n"/>
      <c r="AQ1776" s="99" t="n"/>
      <c r="AR1776" s="99" t="n"/>
    </row>
    <row r="1777">
      <c r="D1777" s="99" t="n"/>
      <c r="E1777" s="99" t="n"/>
      <c r="F1777" s="99" t="n"/>
      <c r="G1777" s="99" t="n"/>
      <c r="H1777" s="99" t="n"/>
      <c r="I1777" s="99" t="n"/>
      <c r="J1777" s="99" t="n"/>
      <c r="K1777" s="99" t="n"/>
      <c r="L1777" s="99" t="n"/>
      <c r="M1777" s="99" t="n"/>
      <c r="N1777" s="99" t="n"/>
      <c r="O1777" s="99" t="n"/>
      <c r="P1777" s="99" t="n"/>
      <c r="Q1777" s="99" t="n"/>
      <c r="R1777" s="99" t="n"/>
      <c r="S1777" s="99" t="n"/>
      <c r="T1777" s="99" t="n"/>
      <c r="U1777" s="99" t="n"/>
      <c r="V1777" s="99" t="n"/>
      <c r="W1777" s="99" t="n"/>
      <c r="X1777" s="99" t="n"/>
      <c r="Y1777" s="99" t="n"/>
      <c r="Z1777" s="99" t="n"/>
      <c r="AA1777" s="99" t="n"/>
      <c r="AB1777" s="99" t="n"/>
      <c r="AC1777" s="99" t="n"/>
      <c r="AD1777" s="99" t="n"/>
      <c r="AE1777" s="99" t="n"/>
      <c r="AF1777" s="99" t="n"/>
      <c r="AG1777" s="99" t="n"/>
      <c r="AH1777" s="99" t="n"/>
      <c r="AI1777" s="99" t="n"/>
      <c r="AJ1777" s="99" t="n"/>
      <c r="AK1777" s="99" t="n"/>
      <c r="AL1777" s="99" t="n"/>
      <c r="AM1777" s="99" t="n"/>
      <c r="AN1777" s="99" t="n"/>
      <c r="AO1777" s="99" t="n"/>
      <c r="AP1777" s="99" t="n"/>
      <c r="AQ1777" s="99" t="n"/>
      <c r="AR1777" s="99" t="n"/>
    </row>
    <row r="1778">
      <c r="D1778" s="100" t="n"/>
      <c r="E1778" s="100" t="n"/>
      <c r="F1778" s="100" t="n"/>
      <c r="G1778" s="100" t="n"/>
      <c r="H1778" s="100" t="n"/>
      <c r="I1778" s="100" t="n"/>
      <c r="J1778" s="100" t="n"/>
      <c r="K1778" s="100" t="n"/>
      <c r="L1778" s="100" t="n"/>
      <c r="M1778" s="100" t="n"/>
      <c r="N1778" s="100" t="n"/>
      <c r="O1778" s="100" t="n"/>
      <c r="P1778" s="100" t="n"/>
      <c r="Q1778" s="100" t="n"/>
      <c r="R1778" s="100" t="n"/>
      <c r="S1778" s="100" t="n"/>
      <c r="T1778" s="100" t="n"/>
      <c r="U1778" s="100" t="n"/>
      <c r="V1778" s="100" t="n"/>
      <c r="W1778" s="100" t="n"/>
      <c r="X1778" s="100" t="n"/>
      <c r="Y1778" s="100" t="n"/>
      <c r="Z1778" s="100" t="n"/>
      <c r="AA1778" s="100" t="n"/>
      <c r="AB1778" s="100" t="n"/>
      <c r="AC1778" s="100" t="n"/>
      <c r="AD1778" s="100" t="n"/>
      <c r="AE1778" s="100" t="n"/>
      <c r="AF1778" s="100" t="n"/>
      <c r="AG1778" s="100" t="n"/>
      <c r="AH1778" s="100" t="n"/>
      <c r="AI1778" s="100" t="n"/>
      <c r="AJ1778" s="100" t="n"/>
      <c r="AK1778" s="100" t="n"/>
      <c r="AL1778" s="100" t="n"/>
      <c r="AM1778" s="100" t="n"/>
      <c r="AN1778" s="100" t="n"/>
      <c r="AO1778" s="100" t="n"/>
      <c r="AP1778" s="100" t="n"/>
      <c r="AQ1778" s="100" t="n"/>
      <c r="AR1778" s="100" t="n"/>
    </row>
    <row r="1780">
      <c r="A1780" s="6">
        <f>IF(HSCEI!$C$27="","",HSCEI!$C$27)</f>
        <v/>
      </c>
      <c r="B1780" s="96">
        <f>IF($A1780="",0,COUNT($E1781:$AR1781))</f>
        <v/>
      </c>
      <c r="C1780" s="97">
        <f>IF($B1780=0,0,MAX($E1781:$AR1781))</f>
        <v/>
      </c>
      <c r="D1780" s="98">
        <f>BDS($A1780,FLD_HIST,"headers=y","startcol=1","endcol=7","dir=h","DVD_START_DT",HIST_FROM,"DVD_END_DT",HIST_TO)</f>
        <v/>
      </c>
      <c r="E1780" s="99" t="n"/>
      <c r="F1780" s="99" t="n"/>
      <c r="G1780" s="99" t="n"/>
      <c r="H1780" s="99" t="n"/>
      <c r="I1780" s="99" t="n"/>
      <c r="J1780" s="99" t="n"/>
      <c r="K1780" s="99" t="n"/>
      <c r="L1780" s="99" t="n"/>
      <c r="M1780" s="99" t="n"/>
      <c r="N1780" s="99" t="n"/>
      <c r="O1780" s="99" t="n"/>
      <c r="P1780" s="99" t="n"/>
      <c r="Q1780" s="99" t="n"/>
      <c r="R1780" s="99" t="n"/>
      <c r="S1780" s="99" t="n"/>
      <c r="T1780" s="99" t="n"/>
      <c r="U1780" s="99" t="n"/>
      <c r="V1780" s="99" t="n"/>
      <c r="W1780" s="99" t="n"/>
      <c r="X1780" s="99" t="n"/>
      <c r="Y1780" s="99" t="n"/>
      <c r="Z1780" s="99" t="n"/>
      <c r="AA1780" s="99" t="n"/>
      <c r="AB1780" s="99" t="n"/>
      <c r="AC1780" s="99" t="n"/>
      <c r="AD1780" s="99" t="n"/>
      <c r="AE1780" s="99" t="n"/>
      <c r="AF1780" s="99" t="n"/>
      <c r="AG1780" s="99" t="n"/>
      <c r="AH1780" s="99" t="n"/>
      <c r="AI1780" s="99" t="n"/>
      <c r="AJ1780" s="99" t="n"/>
      <c r="AK1780" s="99" t="n"/>
      <c r="AL1780" s="99" t="n"/>
      <c r="AM1780" s="99" t="n"/>
      <c r="AN1780" s="99" t="n"/>
      <c r="AO1780" s="99" t="n"/>
      <c r="AP1780" s="99" t="n"/>
      <c r="AQ1780" s="99" t="n"/>
      <c r="AR1780" s="99" t="n"/>
    </row>
    <row r="1781">
      <c r="D1781" s="99" t="n"/>
      <c r="E1781" s="99" t="n"/>
      <c r="F1781" s="99" t="n"/>
      <c r="G1781" s="99" t="n"/>
      <c r="H1781" s="99" t="n"/>
      <c r="I1781" s="99" t="n"/>
      <c r="J1781" s="99" t="n"/>
      <c r="K1781" s="99" t="n"/>
      <c r="L1781" s="99" t="n"/>
      <c r="M1781" s="99" t="n"/>
      <c r="N1781" s="99" t="n"/>
      <c r="O1781" s="99" t="n"/>
      <c r="P1781" s="99" t="n"/>
      <c r="Q1781" s="99" t="n"/>
      <c r="R1781" s="99" t="n"/>
      <c r="S1781" s="99" t="n"/>
      <c r="T1781" s="99" t="n"/>
      <c r="U1781" s="99" t="n"/>
      <c r="V1781" s="99" t="n"/>
      <c r="W1781" s="99" t="n"/>
      <c r="X1781" s="99" t="n"/>
      <c r="Y1781" s="99" t="n"/>
      <c r="Z1781" s="99" t="n"/>
      <c r="AA1781" s="99" t="n"/>
      <c r="AB1781" s="99" t="n"/>
      <c r="AC1781" s="99" t="n"/>
      <c r="AD1781" s="99" t="n"/>
      <c r="AE1781" s="99" t="n"/>
      <c r="AF1781" s="99" t="n"/>
      <c r="AG1781" s="99" t="n"/>
      <c r="AH1781" s="99" t="n"/>
      <c r="AI1781" s="99" t="n"/>
      <c r="AJ1781" s="99" t="n"/>
      <c r="AK1781" s="99" t="n"/>
      <c r="AL1781" s="99" t="n"/>
      <c r="AM1781" s="99" t="n"/>
      <c r="AN1781" s="99" t="n"/>
      <c r="AO1781" s="99" t="n"/>
      <c r="AP1781" s="99" t="n"/>
      <c r="AQ1781" s="99" t="n"/>
      <c r="AR1781" s="99" t="n"/>
    </row>
    <row r="1782">
      <c r="D1782" s="99" t="n"/>
      <c r="E1782" s="99" t="n"/>
      <c r="F1782" s="99" t="n"/>
      <c r="G1782" s="99" t="n"/>
      <c r="H1782" s="99" t="n"/>
      <c r="I1782" s="99" t="n"/>
      <c r="J1782" s="99" t="n"/>
      <c r="K1782" s="99" t="n"/>
      <c r="L1782" s="99" t="n"/>
      <c r="M1782" s="99" t="n"/>
      <c r="N1782" s="99" t="n"/>
      <c r="O1782" s="99" t="n"/>
      <c r="P1782" s="99" t="n"/>
      <c r="Q1782" s="99" t="n"/>
      <c r="R1782" s="99" t="n"/>
      <c r="S1782" s="99" t="n"/>
      <c r="T1782" s="99" t="n"/>
      <c r="U1782" s="99" t="n"/>
      <c r="V1782" s="99" t="n"/>
      <c r="W1782" s="99" t="n"/>
      <c r="X1782" s="99" t="n"/>
      <c r="Y1782" s="99" t="n"/>
      <c r="Z1782" s="99" t="n"/>
      <c r="AA1782" s="99" t="n"/>
      <c r="AB1782" s="99" t="n"/>
      <c r="AC1782" s="99" t="n"/>
      <c r="AD1782" s="99" t="n"/>
      <c r="AE1782" s="99" t="n"/>
      <c r="AF1782" s="99" t="n"/>
      <c r="AG1782" s="99" t="n"/>
      <c r="AH1782" s="99" t="n"/>
      <c r="AI1782" s="99" t="n"/>
      <c r="AJ1782" s="99" t="n"/>
      <c r="AK1782" s="99" t="n"/>
      <c r="AL1782" s="99" t="n"/>
      <c r="AM1782" s="99" t="n"/>
      <c r="AN1782" s="99" t="n"/>
      <c r="AO1782" s="99" t="n"/>
      <c r="AP1782" s="99" t="n"/>
      <c r="AQ1782" s="99" t="n"/>
      <c r="AR1782" s="99" t="n"/>
    </row>
    <row r="1783">
      <c r="D1783" s="99" t="n"/>
      <c r="E1783" s="99" t="n"/>
      <c r="F1783" s="99" t="n"/>
      <c r="G1783" s="99" t="n"/>
      <c r="H1783" s="99" t="n"/>
      <c r="I1783" s="99" t="n"/>
      <c r="J1783" s="99" t="n"/>
      <c r="K1783" s="99" t="n"/>
      <c r="L1783" s="99" t="n"/>
      <c r="M1783" s="99" t="n"/>
      <c r="N1783" s="99" t="n"/>
      <c r="O1783" s="99" t="n"/>
      <c r="P1783" s="99" t="n"/>
      <c r="Q1783" s="99" t="n"/>
      <c r="R1783" s="99" t="n"/>
      <c r="S1783" s="99" t="n"/>
      <c r="T1783" s="99" t="n"/>
      <c r="U1783" s="99" t="n"/>
      <c r="V1783" s="99" t="n"/>
      <c r="W1783" s="99" t="n"/>
      <c r="X1783" s="99" t="n"/>
      <c r="Y1783" s="99" t="n"/>
      <c r="Z1783" s="99" t="n"/>
      <c r="AA1783" s="99" t="n"/>
      <c r="AB1783" s="99" t="n"/>
      <c r="AC1783" s="99" t="n"/>
      <c r="AD1783" s="99" t="n"/>
      <c r="AE1783" s="99" t="n"/>
      <c r="AF1783" s="99" t="n"/>
      <c r="AG1783" s="99" t="n"/>
      <c r="AH1783" s="99" t="n"/>
      <c r="AI1783" s="99" t="n"/>
      <c r="AJ1783" s="99" t="n"/>
      <c r="AK1783" s="99" t="n"/>
      <c r="AL1783" s="99" t="n"/>
      <c r="AM1783" s="99" t="n"/>
      <c r="AN1783" s="99" t="n"/>
      <c r="AO1783" s="99" t="n"/>
      <c r="AP1783" s="99" t="n"/>
      <c r="AQ1783" s="99" t="n"/>
      <c r="AR1783" s="99" t="n"/>
    </row>
    <row r="1784">
      <c r="D1784" s="100" t="n"/>
      <c r="E1784" s="100" t="n"/>
      <c r="F1784" s="100" t="n"/>
      <c r="G1784" s="100" t="n"/>
      <c r="H1784" s="100" t="n"/>
      <c r="I1784" s="100" t="n"/>
      <c r="J1784" s="100" t="n"/>
      <c r="K1784" s="100" t="n"/>
      <c r="L1784" s="100" t="n"/>
      <c r="M1784" s="100" t="n"/>
      <c r="N1784" s="100" t="n"/>
      <c r="O1784" s="100" t="n"/>
      <c r="P1784" s="100" t="n"/>
      <c r="Q1784" s="100" t="n"/>
      <c r="R1784" s="100" t="n"/>
      <c r="S1784" s="100" t="n"/>
      <c r="T1784" s="100" t="n"/>
      <c r="U1784" s="100" t="n"/>
      <c r="V1784" s="100" t="n"/>
      <c r="W1784" s="100" t="n"/>
      <c r="X1784" s="100" t="n"/>
      <c r="Y1784" s="100" t="n"/>
      <c r="Z1784" s="100" t="n"/>
      <c r="AA1784" s="100" t="n"/>
      <c r="AB1784" s="100" t="n"/>
      <c r="AC1784" s="100" t="n"/>
      <c r="AD1784" s="100" t="n"/>
      <c r="AE1784" s="100" t="n"/>
      <c r="AF1784" s="100" t="n"/>
      <c r="AG1784" s="100" t="n"/>
      <c r="AH1784" s="100" t="n"/>
      <c r="AI1784" s="100" t="n"/>
      <c r="AJ1784" s="100" t="n"/>
      <c r="AK1784" s="100" t="n"/>
      <c r="AL1784" s="100" t="n"/>
      <c r="AM1784" s="100" t="n"/>
      <c r="AN1784" s="100" t="n"/>
      <c r="AO1784" s="100" t="n"/>
      <c r="AP1784" s="100" t="n"/>
      <c r="AQ1784" s="100" t="n"/>
      <c r="AR1784" s="100" t="n"/>
    </row>
    <row r="1787">
      <c r="A1787" s="2">
        <f>IF($A1780="","","   projections")</f>
        <v/>
      </c>
      <c r="B1787" s="96">
        <f>IF($A1780="",0,COUNT($E1788:$AR1788))</f>
        <v/>
      </c>
      <c r="C1787" s="97">
        <f>IF($B1787=0,0,MAX($E1788:$AR1788))</f>
        <v/>
      </c>
      <c r="D1787" s="98">
        <f>BDS($A1780,FLD_PROJ,"headers=y","startcol=1","endcol=3","dir=h")</f>
        <v/>
      </c>
      <c r="E1787" s="99" t="n"/>
      <c r="F1787" s="99" t="n"/>
      <c r="G1787" s="99" t="n"/>
      <c r="H1787" s="99" t="n"/>
      <c r="I1787" s="99" t="n"/>
      <c r="J1787" s="99" t="n"/>
      <c r="K1787" s="99" t="n"/>
      <c r="L1787" s="99" t="n"/>
      <c r="M1787" s="99" t="n"/>
      <c r="N1787" s="99" t="n"/>
      <c r="O1787" s="99" t="n"/>
      <c r="P1787" s="99" t="n"/>
      <c r="Q1787" s="99" t="n"/>
      <c r="R1787" s="99" t="n"/>
      <c r="S1787" s="99" t="n"/>
      <c r="T1787" s="99" t="n"/>
      <c r="U1787" s="99" t="n"/>
      <c r="V1787" s="99" t="n"/>
      <c r="W1787" s="99" t="n"/>
      <c r="X1787" s="99" t="n"/>
      <c r="Y1787" s="99" t="n"/>
      <c r="Z1787" s="99" t="n"/>
      <c r="AA1787" s="99" t="n"/>
      <c r="AB1787" s="99" t="n"/>
      <c r="AC1787" s="99" t="n"/>
      <c r="AD1787" s="99" t="n"/>
      <c r="AE1787" s="99" t="n"/>
      <c r="AF1787" s="99" t="n"/>
      <c r="AG1787" s="99" t="n"/>
      <c r="AH1787" s="99" t="n"/>
      <c r="AI1787" s="99" t="n"/>
      <c r="AJ1787" s="99" t="n"/>
      <c r="AK1787" s="99" t="n"/>
      <c r="AL1787" s="99" t="n"/>
      <c r="AM1787" s="99" t="n"/>
      <c r="AN1787" s="99" t="n"/>
      <c r="AO1787" s="99" t="n"/>
      <c r="AP1787" s="99" t="n"/>
      <c r="AQ1787" s="99" t="n"/>
      <c r="AR1787" s="99" t="n"/>
    </row>
    <row r="1788">
      <c r="D1788" s="99" t="n"/>
      <c r="E1788" s="99" t="n"/>
      <c r="F1788" s="99" t="n"/>
      <c r="G1788" s="99" t="n"/>
      <c r="H1788" s="99" t="n"/>
      <c r="I1788" s="99" t="n"/>
      <c r="J1788" s="99" t="n"/>
      <c r="K1788" s="99" t="n"/>
      <c r="L1788" s="99" t="n"/>
      <c r="M1788" s="99" t="n"/>
      <c r="N1788" s="99" t="n"/>
      <c r="O1788" s="99" t="n"/>
      <c r="P1788" s="99" t="n"/>
      <c r="Q1788" s="99" t="n"/>
      <c r="R1788" s="99" t="n"/>
      <c r="S1788" s="99" t="n"/>
      <c r="T1788" s="99" t="n"/>
      <c r="U1788" s="99" t="n"/>
      <c r="V1788" s="99" t="n"/>
      <c r="W1788" s="99" t="n"/>
      <c r="X1788" s="99" t="n"/>
      <c r="Y1788" s="99" t="n"/>
      <c r="Z1788" s="99" t="n"/>
      <c r="AA1788" s="99" t="n"/>
      <c r="AB1788" s="99" t="n"/>
      <c r="AC1788" s="99" t="n"/>
      <c r="AD1788" s="99" t="n"/>
      <c r="AE1788" s="99" t="n"/>
      <c r="AF1788" s="99" t="n"/>
      <c r="AG1788" s="99" t="n"/>
      <c r="AH1788" s="99" t="n"/>
      <c r="AI1788" s="99" t="n"/>
      <c r="AJ1788" s="99" t="n"/>
      <c r="AK1788" s="99" t="n"/>
      <c r="AL1788" s="99" t="n"/>
      <c r="AM1788" s="99" t="n"/>
      <c r="AN1788" s="99" t="n"/>
      <c r="AO1788" s="99" t="n"/>
      <c r="AP1788" s="99" t="n"/>
      <c r="AQ1788" s="99" t="n"/>
      <c r="AR1788" s="99" t="n"/>
    </row>
    <row r="1789">
      <c r="D1789" s="100" t="n"/>
      <c r="E1789" s="100" t="n"/>
      <c r="F1789" s="100" t="n"/>
      <c r="G1789" s="100" t="n"/>
      <c r="H1789" s="100" t="n"/>
      <c r="I1789" s="100" t="n"/>
      <c r="J1789" s="100" t="n"/>
      <c r="K1789" s="100" t="n"/>
      <c r="L1789" s="100" t="n"/>
      <c r="M1789" s="100" t="n"/>
      <c r="N1789" s="100" t="n"/>
      <c r="O1789" s="100" t="n"/>
      <c r="P1789" s="100" t="n"/>
      <c r="Q1789" s="100" t="n"/>
      <c r="R1789" s="100" t="n"/>
      <c r="S1789" s="100" t="n"/>
      <c r="T1789" s="100" t="n"/>
      <c r="U1789" s="100" t="n"/>
      <c r="V1789" s="100" t="n"/>
      <c r="W1789" s="100" t="n"/>
      <c r="X1789" s="100" t="n"/>
      <c r="Y1789" s="100" t="n"/>
      <c r="Z1789" s="100" t="n"/>
      <c r="AA1789" s="100" t="n"/>
      <c r="AB1789" s="100" t="n"/>
      <c r="AC1789" s="100" t="n"/>
      <c r="AD1789" s="100" t="n"/>
      <c r="AE1789" s="100" t="n"/>
      <c r="AF1789" s="100" t="n"/>
      <c r="AG1789" s="100" t="n"/>
      <c r="AH1789" s="100" t="n"/>
      <c r="AI1789" s="100" t="n"/>
      <c r="AJ1789" s="100" t="n"/>
      <c r="AK1789" s="100" t="n"/>
      <c r="AL1789" s="100" t="n"/>
      <c r="AM1789" s="100" t="n"/>
      <c r="AN1789" s="100" t="n"/>
      <c r="AO1789" s="100" t="n"/>
      <c r="AP1789" s="100" t="n"/>
      <c r="AQ1789" s="100" t="n"/>
      <c r="AR1789" s="100" t="n"/>
    </row>
    <row r="1791">
      <c r="A1791" s="6">
        <f>IF(HSCEI!$C$28="","",HSCEI!$C$28)</f>
        <v/>
      </c>
      <c r="B1791" s="96">
        <f>IF($A1791="",0,COUNT($E1792:$AR1792))</f>
        <v/>
      </c>
      <c r="C1791" s="97">
        <f>IF($B1791=0,0,MAX($E1792:$AR1792))</f>
        <v/>
      </c>
      <c r="D1791" s="98">
        <f>BDS($A1791,FLD_HIST,"headers=y","startcol=1","endcol=7","dir=h","DVD_START_DT",HIST_FROM,"DVD_END_DT",HIST_TO)</f>
        <v/>
      </c>
      <c r="E1791" s="99" t="n"/>
      <c r="F1791" s="99" t="n"/>
      <c r="G1791" s="99" t="n"/>
      <c r="H1791" s="99" t="n"/>
      <c r="I1791" s="99" t="n"/>
      <c r="J1791" s="99" t="n"/>
      <c r="K1791" s="99" t="n"/>
      <c r="L1791" s="99" t="n"/>
      <c r="M1791" s="99" t="n"/>
      <c r="N1791" s="99" t="n"/>
      <c r="O1791" s="99" t="n"/>
      <c r="P1791" s="99" t="n"/>
      <c r="Q1791" s="99" t="n"/>
      <c r="R1791" s="99" t="n"/>
      <c r="S1791" s="99" t="n"/>
      <c r="T1791" s="99" t="n"/>
      <c r="U1791" s="99" t="n"/>
      <c r="V1791" s="99" t="n"/>
      <c r="W1791" s="99" t="n"/>
      <c r="X1791" s="99" t="n"/>
      <c r="Y1791" s="99" t="n"/>
      <c r="Z1791" s="99" t="n"/>
      <c r="AA1791" s="99" t="n"/>
      <c r="AB1791" s="99" t="n"/>
      <c r="AC1791" s="99" t="n"/>
      <c r="AD1791" s="99" t="n"/>
      <c r="AE1791" s="99" t="n"/>
      <c r="AF1791" s="99" t="n"/>
      <c r="AG1791" s="99" t="n"/>
      <c r="AH1791" s="99" t="n"/>
      <c r="AI1791" s="99" t="n"/>
      <c r="AJ1791" s="99" t="n"/>
      <c r="AK1791" s="99" t="n"/>
      <c r="AL1791" s="99" t="n"/>
      <c r="AM1791" s="99" t="n"/>
      <c r="AN1791" s="99" t="n"/>
      <c r="AO1791" s="99" t="n"/>
      <c r="AP1791" s="99" t="n"/>
      <c r="AQ1791" s="99" t="n"/>
      <c r="AR1791" s="99" t="n"/>
    </row>
    <row r="1792">
      <c r="D1792" s="99" t="n"/>
      <c r="E1792" s="99" t="n"/>
      <c r="F1792" s="99" t="n"/>
      <c r="G1792" s="99" t="n"/>
      <c r="H1792" s="99" t="n"/>
      <c r="I1792" s="99" t="n"/>
      <c r="J1792" s="99" t="n"/>
      <c r="K1792" s="99" t="n"/>
      <c r="L1792" s="99" t="n"/>
      <c r="M1792" s="99" t="n"/>
      <c r="N1792" s="99" t="n"/>
      <c r="O1792" s="99" t="n"/>
      <c r="P1792" s="99" t="n"/>
      <c r="Q1792" s="99" t="n"/>
      <c r="R1792" s="99" t="n"/>
      <c r="S1792" s="99" t="n"/>
      <c r="T1792" s="99" t="n"/>
      <c r="U1792" s="99" t="n"/>
      <c r="V1792" s="99" t="n"/>
      <c r="W1792" s="99" t="n"/>
      <c r="X1792" s="99" t="n"/>
      <c r="Y1792" s="99" t="n"/>
      <c r="Z1792" s="99" t="n"/>
      <c r="AA1792" s="99" t="n"/>
      <c r="AB1792" s="99" t="n"/>
      <c r="AC1792" s="99" t="n"/>
      <c r="AD1792" s="99" t="n"/>
      <c r="AE1792" s="99" t="n"/>
      <c r="AF1792" s="99" t="n"/>
      <c r="AG1792" s="99" t="n"/>
      <c r="AH1792" s="99" t="n"/>
      <c r="AI1792" s="99" t="n"/>
      <c r="AJ1792" s="99" t="n"/>
      <c r="AK1792" s="99" t="n"/>
      <c r="AL1792" s="99" t="n"/>
      <c r="AM1792" s="99" t="n"/>
      <c r="AN1792" s="99" t="n"/>
      <c r="AO1792" s="99" t="n"/>
      <c r="AP1792" s="99" t="n"/>
      <c r="AQ1792" s="99" t="n"/>
      <c r="AR1792" s="99" t="n"/>
    </row>
    <row r="1793">
      <c r="D1793" s="99" t="n"/>
      <c r="E1793" s="99" t="n"/>
      <c r="F1793" s="99" t="n"/>
      <c r="G1793" s="99" t="n"/>
      <c r="H1793" s="99" t="n"/>
      <c r="I1793" s="99" t="n"/>
      <c r="J1793" s="99" t="n"/>
      <c r="K1793" s="99" t="n"/>
      <c r="L1793" s="99" t="n"/>
      <c r="M1793" s="99" t="n"/>
      <c r="N1793" s="99" t="n"/>
      <c r="O1793" s="99" t="n"/>
      <c r="P1793" s="99" t="n"/>
      <c r="Q1793" s="99" t="n"/>
      <c r="R1793" s="99" t="n"/>
      <c r="S1793" s="99" t="n"/>
      <c r="T1793" s="99" t="n"/>
      <c r="U1793" s="99" t="n"/>
      <c r="V1793" s="99" t="n"/>
      <c r="W1793" s="99" t="n"/>
      <c r="X1793" s="99" t="n"/>
      <c r="Y1793" s="99" t="n"/>
      <c r="Z1793" s="99" t="n"/>
      <c r="AA1793" s="99" t="n"/>
      <c r="AB1793" s="99" t="n"/>
      <c r="AC1793" s="99" t="n"/>
      <c r="AD1793" s="99" t="n"/>
      <c r="AE1793" s="99" t="n"/>
      <c r="AF1793" s="99" t="n"/>
      <c r="AG1793" s="99" t="n"/>
      <c r="AH1793" s="99" t="n"/>
      <c r="AI1793" s="99" t="n"/>
      <c r="AJ1793" s="99" t="n"/>
      <c r="AK1793" s="99" t="n"/>
      <c r="AL1793" s="99" t="n"/>
      <c r="AM1793" s="99" t="n"/>
      <c r="AN1793" s="99" t="n"/>
      <c r="AO1793" s="99" t="n"/>
      <c r="AP1793" s="99" t="n"/>
      <c r="AQ1793" s="99" t="n"/>
      <c r="AR1793" s="99" t="n"/>
    </row>
    <row r="1794">
      <c r="D1794" s="99" t="n"/>
      <c r="E1794" s="99" t="n"/>
      <c r="F1794" s="99" t="n"/>
      <c r="G1794" s="99" t="n"/>
      <c r="H1794" s="99" t="n"/>
      <c r="I1794" s="99" t="n"/>
      <c r="J1794" s="99" t="n"/>
      <c r="K1794" s="99" t="n"/>
      <c r="L1794" s="99" t="n"/>
      <c r="M1794" s="99" t="n"/>
      <c r="N1794" s="99" t="n"/>
      <c r="O1794" s="99" t="n"/>
      <c r="P1794" s="99" t="n"/>
      <c r="Q1794" s="99" t="n"/>
      <c r="R1794" s="99" t="n"/>
      <c r="S1794" s="99" t="n"/>
      <c r="T1794" s="99" t="n"/>
      <c r="U1794" s="99" t="n"/>
      <c r="V1794" s="99" t="n"/>
      <c r="W1794" s="99" t="n"/>
      <c r="X1794" s="99" t="n"/>
      <c r="Y1794" s="99" t="n"/>
      <c r="Z1794" s="99" t="n"/>
      <c r="AA1794" s="99" t="n"/>
      <c r="AB1794" s="99" t="n"/>
      <c r="AC1794" s="99" t="n"/>
      <c r="AD1794" s="99" t="n"/>
      <c r="AE1794" s="99" t="n"/>
      <c r="AF1794" s="99" t="n"/>
      <c r="AG1794" s="99" t="n"/>
      <c r="AH1794" s="99" t="n"/>
      <c r="AI1794" s="99" t="n"/>
      <c r="AJ1794" s="99" t="n"/>
      <c r="AK1794" s="99" t="n"/>
      <c r="AL1794" s="99" t="n"/>
      <c r="AM1794" s="99" t="n"/>
      <c r="AN1794" s="99" t="n"/>
      <c r="AO1794" s="99" t="n"/>
      <c r="AP1794" s="99" t="n"/>
      <c r="AQ1794" s="99" t="n"/>
      <c r="AR1794" s="99" t="n"/>
    </row>
    <row r="1795">
      <c r="D1795" s="100" t="n"/>
      <c r="E1795" s="100" t="n"/>
      <c r="F1795" s="100" t="n"/>
      <c r="G1795" s="100" t="n"/>
      <c r="H1795" s="100" t="n"/>
      <c r="I1795" s="100" t="n"/>
      <c r="J1795" s="100" t="n"/>
      <c r="K1795" s="100" t="n"/>
      <c r="L1795" s="100" t="n"/>
      <c r="M1795" s="100" t="n"/>
      <c r="N1795" s="100" t="n"/>
      <c r="O1795" s="100" t="n"/>
      <c r="P1795" s="100" t="n"/>
      <c r="Q1795" s="100" t="n"/>
      <c r="R1795" s="100" t="n"/>
      <c r="S1795" s="100" t="n"/>
      <c r="T1795" s="100" t="n"/>
      <c r="U1795" s="100" t="n"/>
      <c r="V1795" s="100" t="n"/>
      <c r="W1795" s="100" t="n"/>
      <c r="X1795" s="100" t="n"/>
      <c r="Y1795" s="100" t="n"/>
      <c r="Z1795" s="100" t="n"/>
      <c r="AA1795" s="100" t="n"/>
      <c r="AB1795" s="100" t="n"/>
      <c r="AC1795" s="100" t="n"/>
      <c r="AD1795" s="100" t="n"/>
      <c r="AE1795" s="100" t="n"/>
      <c r="AF1795" s="100" t="n"/>
      <c r="AG1795" s="100" t="n"/>
      <c r="AH1795" s="100" t="n"/>
      <c r="AI1795" s="100" t="n"/>
      <c r="AJ1795" s="100" t="n"/>
      <c r="AK1795" s="100" t="n"/>
      <c r="AL1795" s="100" t="n"/>
      <c r="AM1795" s="100" t="n"/>
      <c r="AN1795" s="100" t="n"/>
      <c r="AO1795" s="100" t="n"/>
      <c r="AP1795" s="100" t="n"/>
      <c r="AQ1795" s="100" t="n"/>
      <c r="AR1795" s="100" t="n"/>
    </row>
    <row r="1798">
      <c r="A1798" s="2">
        <f>IF($A1791="","","   projections")</f>
        <v/>
      </c>
      <c r="B1798" s="96">
        <f>IF($A1791="",0,COUNT($E1799:$AR1799))</f>
        <v/>
      </c>
      <c r="C1798" s="97">
        <f>IF($B1798=0,0,MAX($E1799:$AR1799))</f>
        <v/>
      </c>
      <c r="D1798" s="98">
        <f>BDS($A1791,FLD_PROJ,"headers=y","startcol=1","endcol=3","dir=h")</f>
        <v/>
      </c>
      <c r="E1798" s="99" t="n"/>
      <c r="F1798" s="99" t="n"/>
      <c r="G1798" s="99" t="n"/>
      <c r="H1798" s="99" t="n"/>
      <c r="I1798" s="99" t="n"/>
      <c r="J1798" s="99" t="n"/>
      <c r="K1798" s="99" t="n"/>
      <c r="L1798" s="99" t="n"/>
      <c r="M1798" s="99" t="n"/>
      <c r="N1798" s="99" t="n"/>
      <c r="O1798" s="99" t="n"/>
      <c r="P1798" s="99" t="n"/>
      <c r="Q1798" s="99" t="n"/>
      <c r="R1798" s="99" t="n"/>
      <c r="S1798" s="99" t="n"/>
      <c r="T1798" s="99" t="n"/>
      <c r="U1798" s="99" t="n"/>
      <c r="V1798" s="99" t="n"/>
      <c r="W1798" s="99" t="n"/>
      <c r="X1798" s="99" t="n"/>
      <c r="Y1798" s="99" t="n"/>
      <c r="Z1798" s="99" t="n"/>
      <c r="AA1798" s="99" t="n"/>
      <c r="AB1798" s="99" t="n"/>
      <c r="AC1798" s="99" t="n"/>
      <c r="AD1798" s="99" t="n"/>
      <c r="AE1798" s="99" t="n"/>
      <c r="AF1798" s="99" t="n"/>
      <c r="AG1798" s="99" t="n"/>
      <c r="AH1798" s="99" t="n"/>
      <c r="AI1798" s="99" t="n"/>
      <c r="AJ1798" s="99" t="n"/>
      <c r="AK1798" s="99" t="n"/>
      <c r="AL1798" s="99" t="n"/>
      <c r="AM1798" s="99" t="n"/>
      <c r="AN1798" s="99" t="n"/>
      <c r="AO1798" s="99" t="n"/>
      <c r="AP1798" s="99" t="n"/>
      <c r="AQ1798" s="99" t="n"/>
      <c r="AR1798" s="99" t="n"/>
    </row>
    <row r="1799">
      <c r="D1799" s="99" t="n"/>
      <c r="E1799" s="99" t="n"/>
      <c r="F1799" s="99" t="n"/>
      <c r="G1799" s="99" t="n"/>
      <c r="H1799" s="99" t="n"/>
      <c r="I1799" s="99" t="n"/>
      <c r="J1799" s="99" t="n"/>
      <c r="K1799" s="99" t="n"/>
      <c r="L1799" s="99" t="n"/>
      <c r="M1799" s="99" t="n"/>
      <c r="N1799" s="99" t="n"/>
      <c r="O1799" s="99" t="n"/>
      <c r="P1799" s="99" t="n"/>
      <c r="Q1799" s="99" t="n"/>
      <c r="R1799" s="99" t="n"/>
      <c r="S1799" s="99" t="n"/>
      <c r="T1799" s="99" t="n"/>
      <c r="U1799" s="99" t="n"/>
      <c r="V1799" s="99" t="n"/>
      <c r="W1799" s="99" t="n"/>
      <c r="X1799" s="99" t="n"/>
      <c r="Y1799" s="99" t="n"/>
      <c r="Z1799" s="99" t="n"/>
      <c r="AA1799" s="99" t="n"/>
      <c r="AB1799" s="99" t="n"/>
      <c r="AC1799" s="99" t="n"/>
      <c r="AD1799" s="99" t="n"/>
      <c r="AE1799" s="99" t="n"/>
      <c r="AF1799" s="99" t="n"/>
      <c r="AG1799" s="99" t="n"/>
      <c r="AH1799" s="99" t="n"/>
      <c r="AI1799" s="99" t="n"/>
      <c r="AJ1799" s="99" t="n"/>
      <c r="AK1799" s="99" t="n"/>
      <c r="AL1799" s="99" t="n"/>
      <c r="AM1799" s="99" t="n"/>
      <c r="AN1799" s="99" t="n"/>
      <c r="AO1799" s="99" t="n"/>
      <c r="AP1799" s="99" t="n"/>
      <c r="AQ1799" s="99" t="n"/>
      <c r="AR1799" s="99" t="n"/>
    </row>
    <row r="1800">
      <c r="D1800" s="100" t="n"/>
      <c r="E1800" s="100" t="n"/>
      <c r="F1800" s="100" t="n"/>
      <c r="G1800" s="100" t="n"/>
      <c r="H1800" s="100" t="n"/>
      <c r="I1800" s="100" t="n"/>
      <c r="J1800" s="100" t="n"/>
      <c r="K1800" s="100" t="n"/>
      <c r="L1800" s="100" t="n"/>
      <c r="M1800" s="100" t="n"/>
      <c r="N1800" s="100" t="n"/>
      <c r="O1800" s="100" t="n"/>
      <c r="P1800" s="100" t="n"/>
      <c r="Q1800" s="100" t="n"/>
      <c r="R1800" s="100" t="n"/>
      <c r="S1800" s="100" t="n"/>
      <c r="T1800" s="100" t="n"/>
      <c r="U1800" s="100" t="n"/>
      <c r="V1800" s="100" t="n"/>
      <c r="W1800" s="100" t="n"/>
      <c r="X1800" s="100" t="n"/>
      <c r="Y1800" s="100" t="n"/>
      <c r="Z1800" s="100" t="n"/>
      <c r="AA1800" s="100" t="n"/>
      <c r="AB1800" s="100" t="n"/>
      <c r="AC1800" s="100" t="n"/>
      <c r="AD1800" s="100" t="n"/>
      <c r="AE1800" s="100" t="n"/>
      <c r="AF1800" s="100" t="n"/>
      <c r="AG1800" s="100" t="n"/>
      <c r="AH1800" s="100" t="n"/>
      <c r="AI1800" s="100" t="n"/>
      <c r="AJ1800" s="100" t="n"/>
      <c r="AK1800" s="100" t="n"/>
      <c r="AL1800" s="100" t="n"/>
      <c r="AM1800" s="100" t="n"/>
      <c r="AN1800" s="100" t="n"/>
      <c r="AO1800" s="100" t="n"/>
      <c r="AP1800" s="100" t="n"/>
      <c r="AQ1800" s="100" t="n"/>
      <c r="AR1800" s="100" t="n"/>
    </row>
    <row r="1802">
      <c r="A1802" s="6">
        <f>IF(HSCEI!$C$29="","",HSCEI!$C$29)</f>
        <v/>
      </c>
      <c r="B1802" s="96">
        <f>IF($A1802="",0,COUNT($E1803:$AR1803))</f>
        <v/>
      </c>
      <c r="C1802" s="97">
        <f>IF($B1802=0,0,MAX($E1803:$AR1803))</f>
        <v/>
      </c>
      <c r="D1802" s="98">
        <f>BDS($A1802,FLD_HIST,"headers=y","startcol=1","endcol=7","dir=h","DVD_START_DT",HIST_FROM,"DVD_END_DT",HIST_TO)</f>
        <v/>
      </c>
      <c r="E1802" s="99" t="n"/>
      <c r="F1802" s="99" t="n"/>
      <c r="G1802" s="99" t="n"/>
      <c r="H1802" s="99" t="n"/>
      <c r="I1802" s="99" t="n"/>
      <c r="J1802" s="99" t="n"/>
      <c r="K1802" s="99" t="n"/>
      <c r="L1802" s="99" t="n"/>
      <c r="M1802" s="99" t="n"/>
      <c r="N1802" s="99" t="n"/>
      <c r="O1802" s="99" t="n"/>
      <c r="P1802" s="99" t="n"/>
      <c r="Q1802" s="99" t="n"/>
      <c r="R1802" s="99" t="n"/>
      <c r="S1802" s="99" t="n"/>
      <c r="T1802" s="99" t="n"/>
      <c r="U1802" s="99" t="n"/>
      <c r="V1802" s="99" t="n"/>
      <c r="W1802" s="99" t="n"/>
      <c r="X1802" s="99" t="n"/>
      <c r="Y1802" s="99" t="n"/>
      <c r="Z1802" s="99" t="n"/>
      <c r="AA1802" s="99" t="n"/>
      <c r="AB1802" s="99" t="n"/>
      <c r="AC1802" s="99" t="n"/>
      <c r="AD1802" s="99" t="n"/>
      <c r="AE1802" s="99" t="n"/>
      <c r="AF1802" s="99" t="n"/>
      <c r="AG1802" s="99" t="n"/>
      <c r="AH1802" s="99" t="n"/>
      <c r="AI1802" s="99" t="n"/>
      <c r="AJ1802" s="99" t="n"/>
      <c r="AK1802" s="99" t="n"/>
      <c r="AL1802" s="99" t="n"/>
      <c r="AM1802" s="99" t="n"/>
      <c r="AN1802" s="99" t="n"/>
      <c r="AO1802" s="99" t="n"/>
      <c r="AP1802" s="99" t="n"/>
      <c r="AQ1802" s="99" t="n"/>
      <c r="AR1802" s="99" t="n"/>
    </row>
    <row r="1803">
      <c r="D1803" s="99" t="n"/>
      <c r="E1803" s="99" t="n"/>
      <c r="F1803" s="99" t="n"/>
      <c r="G1803" s="99" t="n"/>
      <c r="H1803" s="99" t="n"/>
      <c r="I1803" s="99" t="n"/>
      <c r="J1803" s="99" t="n"/>
      <c r="K1803" s="99" t="n"/>
      <c r="L1803" s="99" t="n"/>
      <c r="M1803" s="99" t="n"/>
      <c r="N1803" s="99" t="n"/>
      <c r="O1803" s="99" t="n"/>
      <c r="P1803" s="99" t="n"/>
      <c r="Q1803" s="99" t="n"/>
      <c r="R1803" s="99" t="n"/>
      <c r="S1803" s="99" t="n"/>
      <c r="T1803" s="99" t="n"/>
      <c r="U1803" s="99" t="n"/>
      <c r="V1803" s="99" t="n"/>
      <c r="W1803" s="99" t="n"/>
      <c r="X1803" s="99" t="n"/>
      <c r="Y1803" s="99" t="n"/>
      <c r="Z1803" s="99" t="n"/>
      <c r="AA1803" s="99" t="n"/>
      <c r="AB1803" s="99" t="n"/>
      <c r="AC1803" s="99" t="n"/>
      <c r="AD1803" s="99" t="n"/>
      <c r="AE1803" s="99" t="n"/>
      <c r="AF1803" s="99" t="n"/>
      <c r="AG1803" s="99" t="n"/>
      <c r="AH1803" s="99" t="n"/>
      <c r="AI1803" s="99" t="n"/>
      <c r="AJ1803" s="99" t="n"/>
      <c r="AK1803" s="99" t="n"/>
      <c r="AL1803" s="99" t="n"/>
      <c r="AM1803" s="99" t="n"/>
      <c r="AN1803" s="99" t="n"/>
      <c r="AO1803" s="99" t="n"/>
      <c r="AP1803" s="99" t="n"/>
      <c r="AQ1803" s="99" t="n"/>
      <c r="AR1803" s="99" t="n"/>
    </row>
    <row r="1804">
      <c r="D1804" s="99" t="n"/>
      <c r="E1804" s="99" t="n"/>
      <c r="F1804" s="99" t="n"/>
      <c r="G1804" s="99" t="n"/>
      <c r="H1804" s="99" t="n"/>
      <c r="I1804" s="99" t="n"/>
      <c r="J1804" s="99" t="n"/>
      <c r="K1804" s="99" t="n"/>
      <c r="L1804" s="99" t="n"/>
      <c r="M1804" s="99" t="n"/>
      <c r="N1804" s="99" t="n"/>
      <c r="O1804" s="99" t="n"/>
      <c r="P1804" s="99" t="n"/>
      <c r="Q1804" s="99" t="n"/>
      <c r="R1804" s="99" t="n"/>
      <c r="S1804" s="99" t="n"/>
      <c r="T1804" s="99" t="n"/>
      <c r="U1804" s="99" t="n"/>
      <c r="V1804" s="99" t="n"/>
      <c r="W1804" s="99" t="n"/>
      <c r="X1804" s="99" t="n"/>
      <c r="Y1804" s="99" t="n"/>
      <c r="Z1804" s="99" t="n"/>
      <c r="AA1804" s="99" t="n"/>
      <c r="AB1804" s="99" t="n"/>
      <c r="AC1804" s="99" t="n"/>
      <c r="AD1804" s="99" t="n"/>
      <c r="AE1804" s="99" t="n"/>
      <c r="AF1804" s="99" t="n"/>
      <c r="AG1804" s="99" t="n"/>
      <c r="AH1804" s="99" t="n"/>
      <c r="AI1804" s="99" t="n"/>
      <c r="AJ1804" s="99" t="n"/>
      <c r="AK1804" s="99" t="n"/>
      <c r="AL1804" s="99" t="n"/>
      <c r="AM1804" s="99" t="n"/>
      <c r="AN1804" s="99" t="n"/>
      <c r="AO1804" s="99" t="n"/>
      <c r="AP1804" s="99" t="n"/>
      <c r="AQ1804" s="99" t="n"/>
      <c r="AR1804" s="99" t="n"/>
    </row>
    <row r="1805">
      <c r="D1805" s="99" t="n"/>
      <c r="E1805" s="99" t="n"/>
      <c r="F1805" s="99" t="n"/>
      <c r="G1805" s="99" t="n"/>
      <c r="H1805" s="99" t="n"/>
      <c r="I1805" s="99" t="n"/>
      <c r="J1805" s="99" t="n"/>
      <c r="K1805" s="99" t="n"/>
      <c r="L1805" s="99" t="n"/>
      <c r="M1805" s="99" t="n"/>
      <c r="N1805" s="99" t="n"/>
      <c r="O1805" s="99" t="n"/>
      <c r="P1805" s="99" t="n"/>
      <c r="Q1805" s="99" t="n"/>
      <c r="R1805" s="99" t="n"/>
      <c r="S1805" s="99" t="n"/>
      <c r="T1805" s="99" t="n"/>
      <c r="U1805" s="99" t="n"/>
      <c r="V1805" s="99" t="n"/>
      <c r="W1805" s="99" t="n"/>
      <c r="X1805" s="99" t="n"/>
      <c r="Y1805" s="99" t="n"/>
      <c r="Z1805" s="99" t="n"/>
      <c r="AA1805" s="99" t="n"/>
      <c r="AB1805" s="99" t="n"/>
      <c r="AC1805" s="99" t="n"/>
      <c r="AD1805" s="99" t="n"/>
      <c r="AE1805" s="99" t="n"/>
      <c r="AF1805" s="99" t="n"/>
      <c r="AG1805" s="99" t="n"/>
      <c r="AH1805" s="99" t="n"/>
      <c r="AI1805" s="99" t="n"/>
      <c r="AJ1805" s="99" t="n"/>
      <c r="AK1805" s="99" t="n"/>
      <c r="AL1805" s="99" t="n"/>
      <c r="AM1805" s="99" t="n"/>
      <c r="AN1805" s="99" t="n"/>
      <c r="AO1805" s="99" t="n"/>
      <c r="AP1805" s="99" t="n"/>
      <c r="AQ1805" s="99" t="n"/>
      <c r="AR1805" s="99" t="n"/>
    </row>
    <row r="1806">
      <c r="D1806" s="100" t="n"/>
      <c r="E1806" s="100" t="n"/>
      <c r="F1806" s="100" t="n"/>
      <c r="G1806" s="100" t="n"/>
      <c r="H1806" s="100" t="n"/>
      <c r="I1806" s="100" t="n"/>
      <c r="J1806" s="100" t="n"/>
      <c r="K1806" s="100" t="n"/>
      <c r="L1806" s="100" t="n"/>
      <c r="M1806" s="100" t="n"/>
      <c r="N1806" s="100" t="n"/>
      <c r="O1806" s="100" t="n"/>
      <c r="P1806" s="100" t="n"/>
      <c r="Q1806" s="100" t="n"/>
      <c r="R1806" s="100" t="n"/>
      <c r="S1806" s="100" t="n"/>
      <c r="T1806" s="100" t="n"/>
      <c r="U1806" s="100" t="n"/>
      <c r="V1806" s="100" t="n"/>
      <c r="W1806" s="100" t="n"/>
      <c r="X1806" s="100" t="n"/>
      <c r="Y1806" s="100" t="n"/>
      <c r="Z1806" s="100" t="n"/>
      <c r="AA1806" s="100" t="n"/>
      <c r="AB1806" s="100" t="n"/>
      <c r="AC1806" s="100" t="n"/>
      <c r="AD1806" s="100" t="n"/>
      <c r="AE1806" s="100" t="n"/>
      <c r="AF1806" s="100" t="n"/>
      <c r="AG1806" s="100" t="n"/>
      <c r="AH1806" s="100" t="n"/>
      <c r="AI1806" s="100" t="n"/>
      <c r="AJ1806" s="100" t="n"/>
      <c r="AK1806" s="100" t="n"/>
      <c r="AL1806" s="100" t="n"/>
      <c r="AM1806" s="100" t="n"/>
      <c r="AN1806" s="100" t="n"/>
      <c r="AO1806" s="100" t="n"/>
      <c r="AP1806" s="100" t="n"/>
      <c r="AQ1806" s="100" t="n"/>
      <c r="AR1806" s="100" t="n"/>
    </row>
    <row r="1809">
      <c r="A1809" s="2">
        <f>IF($A1802="","","   projections")</f>
        <v/>
      </c>
      <c r="B1809" s="96">
        <f>IF($A1802="",0,COUNT($E1810:$AR1810))</f>
        <v/>
      </c>
      <c r="C1809" s="97">
        <f>IF($B1809=0,0,MAX($E1810:$AR1810))</f>
        <v/>
      </c>
      <c r="D1809" s="98">
        <f>BDS($A1802,FLD_PROJ,"headers=y","startcol=1","endcol=3","dir=h")</f>
        <v/>
      </c>
      <c r="E1809" s="99" t="n"/>
      <c r="F1809" s="99" t="n"/>
      <c r="G1809" s="99" t="n"/>
      <c r="H1809" s="99" t="n"/>
      <c r="I1809" s="99" t="n"/>
      <c r="J1809" s="99" t="n"/>
      <c r="K1809" s="99" t="n"/>
      <c r="L1809" s="99" t="n"/>
      <c r="M1809" s="99" t="n"/>
      <c r="N1809" s="99" t="n"/>
      <c r="O1809" s="99" t="n"/>
      <c r="P1809" s="99" t="n"/>
      <c r="Q1809" s="99" t="n"/>
      <c r="R1809" s="99" t="n"/>
      <c r="S1809" s="99" t="n"/>
      <c r="T1809" s="99" t="n"/>
      <c r="U1809" s="99" t="n"/>
      <c r="V1809" s="99" t="n"/>
      <c r="W1809" s="99" t="n"/>
      <c r="X1809" s="99" t="n"/>
      <c r="Y1809" s="99" t="n"/>
      <c r="Z1809" s="99" t="n"/>
      <c r="AA1809" s="99" t="n"/>
      <c r="AB1809" s="99" t="n"/>
      <c r="AC1809" s="99" t="n"/>
      <c r="AD1809" s="99" t="n"/>
      <c r="AE1809" s="99" t="n"/>
      <c r="AF1809" s="99" t="n"/>
      <c r="AG1809" s="99" t="n"/>
      <c r="AH1809" s="99" t="n"/>
      <c r="AI1809" s="99" t="n"/>
      <c r="AJ1809" s="99" t="n"/>
      <c r="AK1809" s="99" t="n"/>
      <c r="AL1809" s="99" t="n"/>
      <c r="AM1809" s="99" t="n"/>
      <c r="AN1809" s="99" t="n"/>
      <c r="AO1809" s="99" t="n"/>
      <c r="AP1809" s="99" t="n"/>
      <c r="AQ1809" s="99" t="n"/>
      <c r="AR1809" s="99" t="n"/>
    </row>
    <row r="1810">
      <c r="D1810" s="99" t="n"/>
      <c r="E1810" s="99" t="n"/>
      <c r="F1810" s="99" t="n"/>
      <c r="G1810" s="99" t="n"/>
      <c r="H1810" s="99" t="n"/>
      <c r="I1810" s="99" t="n"/>
      <c r="J1810" s="99" t="n"/>
      <c r="K1810" s="99" t="n"/>
      <c r="L1810" s="99" t="n"/>
      <c r="M1810" s="99" t="n"/>
      <c r="N1810" s="99" t="n"/>
      <c r="O1810" s="99" t="n"/>
      <c r="P1810" s="99" t="n"/>
      <c r="Q1810" s="99" t="n"/>
      <c r="R1810" s="99" t="n"/>
      <c r="S1810" s="99" t="n"/>
      <c r="T1810" s="99" t="n"/>
      <c r="U1810" s="99" t="n"/>
      <c r="V1810" s="99" t="n"/>
      <c r="W1810" s="99" t="n"/>
      <c r="X1810" s="99" t="n"/>
      <c r="Y1810" s="99" t="n"/>
      <c r="Z1810" s="99" t="n"/>
      <c r="AA1810" s="99" t="n"/>
      <c r="AB1810" s="99" t="n"/>
      <c r="AC1810" s="99" t="n"/>
      <c r="AD1810" s="99" t="n"/>
      <c r="AE1810" s="99" t="n"/>
      <c r="AF1810" s="99" t="n"/>
      <c r="AG1810" s="99" t="n"/>
      <c r="AH1810" s="99" t="n"/>
      <c r="AI1810" s="99" t="n"/>
      <c r="AJ1810" s="99" t="n"/>
      <c r="AK1810" s="99" t="n"/>
      <c r="AL1810" s="99" t="n"/>
      <c r="AM1810" s="99" t="n"/>
      <c r="AN1810" s="99" t="n"/>
      <c r="AO1810" s="99" t="n"/>
      <c r="AP1810" s="99" t="n"/>
      <c r="AQ1810" s="99" t="n"/>
      <c r="AR1810" s="99" t="n"/>
    </row>
    <row r="1811">
      <c r="D1811" s="100" t="n"/>
      <c r="E1811" s="100" t="n"/>
      <c r="F1811" s="100" t="n"/>
      <c r="G1811" s="100" t="n"/>
      <c r="H1811" s="100" t="n"/>
      <c r="I1811" s="100" t="n"/>
      <c r="J1811" s="100" t="n"/>
      <c r="K1811" s="100" t="n"/>
      <c r="L1811" s="100" t="n"/>
      <c r="M1811" s="100" t="n"/>
      <c r="N1811" s="100" t="n"/>
      <c r="O1811" s="100" t="n"/>
      <c r="P1811" s="100" t="n"/>
      <c r="Q1811" s="100" t="n"/>
      <c r="R1811" s="100" t="n"/>
      <c r="S1811" s="100" t="n"/>
      <c r="T1811" s="100" t="n"/>
      <c r="U1811" s="100" t="n"/>
      <c r="V1811" s="100" t="n"/>
      <c r="W1811" s="100" t="n"/>
      <c r="X1811" s="100" t="n"/>
      <c r="Y1811" s="100" t="n"/>
      <c r="Z1811" s="100" t="n"/>
      <c r="AA1811" s="100" t="n"/>
      <c r="AB1811" s="100" t="n"/>
      <c r="AC1811" s="100" t="n"/>
      <c r="AD1811" s="100" t="n"/>
      <c r="AE1811" s="100" t="n"/>
      <c r="AF1811" s="100" t="n"/>
      <c r="AG1811" s="100" t="n"/>
      <c r="AH1811" s="100" t="n"/>
      <c r="AI1811" s="100" t="n"/>
      <c r="AJ1811" s="100" t="n"/>
      <c r="AK1811" s="100" t="n"/>
      <c r="AL1811" s="100" t="n"/>
      <c r="AM1811" s="100" t="n"/>
      <c r="AN1811" s="100" t="n"/>
      <c r="AO1811" s="100" t="n"/>
      <c r="AP1811" s="100" t="n"/>
      <c r="AQ1811" s="100" t="n"/>
      <c r="AR1811" s="100" t="n"/>
    </row>
    <row r="1813">
      <c r="A1813" s="6">
        <f>IF(HSCEI!$C$30="","",HSCEI!$C$30)</f>
        <v/>
      </c>
      <c r="B1813" s="96">
        <f>IF($A1813="",0,COUNT($E1814:$AR1814))</f>
        <v/>
      </c>
      <c r="C1813" s="97">
        <f>IF($B1813=0,0,MAX($E1814:$AR1814))</f>
        <v/>
      </c>
      <c r="D1813" s="98">
        <f>BDS($A1813,FLD_HIST,"headers=y","startcol=1","endcol=7","dir=h","DVD_START_DT",HIST_FROM,"DVD_END_DT",HIST_TO)</f>
        <v/>
      </c>
      <c r="E1813" s="99" t="n"/>
      <c r="F1813" s="99" t="n"/>
      <c r="G1813" s="99" t="n"/>
      <c r="H1813" s="99" t="n"/>
      <c r="I1813" s="99" t="n"/>
      <c r="J1813" s="99" t="n"/>
      <c r="K1813" s="99" t="n"/>
      <c r="L1813" s="99" t="n"/>
      <c r="M1813" s="99" t="n"/>
      <c r="N1813" s="99" t="n"/>
      <c r="O1813" s="99" t="n"/>
      <c r="P1813" s="99" t="n"/>
      <c r="Q1813" s="99" t="n"/>
      <c r="R1813" s="99" t="n"/>
      <c r="S1813" s="99" t="n"/>
      <c r="T1813" s="99" t="n"/>
      <c r="U1813" s="99" t="n"/>
      <c r="V1813" s="99" t="n"/>
      <c r="W1813" s="99" t="n"/>
      <c r="X1813" s="99" t="n"/>
      <c r="Y1813" s="99" t="n"/>
      <c r="Z1813" s="99" t="n"/>
      <c r="AA1813" s="99" t="n"/>
      <c r="AB1813" s="99" t="n"/>
      <c r="AC1813" s="99" t="n"/>
      <c r="AD1813" s="99" t="n"/>
      <c r="AE1813" s="99" t="n"/>
      <c r="AF1813" s="99" t="n"/>
      <c r="AG1813" s="99" t="n"/>
      <c r="AH1813" s="99" t="n"/>
      <c r="AI1813" s="99" t="n"/>
      <c r="AJ1813" s="99" t="n"/>
      <c r="AK1813" s="99" t="n"/>
      <c r="AL1813" s="99" t="n"/>
      <c r="AM1813" s="99" t="n"/>
      <c r="AN1813" s="99" t="n"/>
      <c r="AO1813" s="99" t="n"/>
      <c r="AP1813" s="99" t="n"/>
      <c r="AQ1813" s="99" t="n"/>
      <c r="AR1813" s="99" t="n"/>
    </row>
    <row r="1814">
      <c r="D1814" s="99" t="n"/>
      <c r="E1814" s="99" t="n"/>
      <c r="F1814" s="99" t="n"/>
      <c r="G1814" s="99" t="n"/>
      <c r="H1814" s="99" t="n"/>
      <c r="I1814" s="99" t="n"/>
      <c r="J1814" s="99" t="n"/>
      <c r="K1814" s="99" t="n"/>
      <c r="L1814" s="99" t="n"/>
      <c r="M1814" s="99" t="n"/>
      <c r="N1814" s="99" t="n"/>
      <c r="O1814" s="99" t="n"/>
      <c r="P1814" s="99" t="n"/>
      <c r="Q1814" s="99" t="n"/>
      <c r="R1814" s="99" t="n"/>
      <c r="S1814" s="99" t="n"/>
      <c r="T1814" s="99" t="n"/>
      <c r="U1814" s="99" t="n"/>
      <c r="V1814" s="99" t="n"/>
      <c r="W1814" s="99" t="n"/>
      <c r="X1814" s="99" t="n"/>
      <c r="Y1814" s="99" t="n"/>
      <c r="Z1814" s="99" t="n"/>
      <c r="AA1814" s="99" t="n"/>
      <c r="AB1814" s="99" t="n"/>
      <c r="AC1814" s="99" t="n"/>
      <c r="AD1814" s="99" t="n"/>
      <c r="AE1814" s="99" t="n"/>
      <c r="AF1814" s="99" t="n"/>
      <c r="AG1814" s="99" t="n"/>
      <c r="AH1814" s="99" t="n"/>
      <c r="AI1814" s="99" t="n"/>
      <c r="AJ1814" s="99" t="n"/>
      <c r="AK1814" s="99" t="n"/>
      <c r="AL1814" s="99" t="n"/>
      <c r="AM1814" s="99" t="n"/>
      <c r="AN1814" s="99" t="n"/>
      <c r="AO1814" s="99" t="n"/>
      <c r="AP1814" s="99" t="n"/>
      <c r="AQ1814" s="99" t="n"/>
      <c r="AR1814" s="99" t="n"/>
    </row>
    <row r="1815">
      <c r="D1815" s="99" t="n"/>
      <c r="E1815" s="99" t="n"/>
      <c r="F1815" s="99" t="n"/>
      <c r="G1815" s="99" t="n"/>
      <c r="H1815" s="99" t="n"/>
      <c r="I1815" s="99" t="n"/>
      <c r="J1815" s="99" t="n"/>
      <c r="K1815" s="99" t="n"/>
      <c r="L1815" s="99" t="n"/>
      <c r="M1815" s="99" t="n"/>
      <c r="N1815" s="99" t="n"/>
      <c r="O1815" s="99" t="n"/>
      <c r="P1815" s="99" t="n"/>
      <c r="Q1815" s="99" t="n"/>
      <c r="R1815" s="99" t="n"/>
      <c r="S1815" s="99" t="n"/>
      <c r="T1815" s="99" t="n"/>
      <c r="U1815" s="99" t="n"/>
      <c r="V1815" s="99" t="n"/>
      <c r="W1815" s="99" t="n"/>
      <c r="X1815" s="99" t="n"/>
      <c r="Y1815" s="99" t="n"/>
      <c r="Z1815" s="99" t="n"/>
      <c r="AA1815" s="99" t="n"/>
      <c r="AB1815" s="99" t="n"/>
      <c r="AC1815" s="99" t="n"/>
      <c r="AD1815" s="99" t="n"/>
      <c r="AE1815" s="99" t="n"/>
      <c r="AF1815" s="99" t="n"/>
      <c r="AG1815" s="99" t="n"/>
      <c r="AH1815" s="99" t="n"/>
      <c r="AI1815" s="99" t="n"/>
      <c r="AJ1815" s="99" t="n"/>
      <c r="AK1815" s="99" t="n"/>
      <c r="AL1815" s="99" t="n"/>
      <c r="AM1815" s="99" t="n"/>
      <c r="AN1815" s="99" t="n"/>
      <c r="AO1815" s="99" t="n"/>
      <c r="AP1815" s="99" t="n"/>
      <c r="AQ1815" s="99" t="n"/>
      <c r="AR1815" s="99" t="n"/>
    </row>
    <row r="1816">
      <c r="D1816" s="99" t="n"/>
      <c r="E1816" s="99" t="n"/>
      <c r="F1816" s="99" t="n"/>
      <c r="G1816" s="99" t="n"/>
      <c r="H1816" s="99" t="n"/>
      <c r="I1816" s="99" t="n"/>
      <c r="J1816" s="99" t="n"/>
      <c r="K1816" s="99" t="n"/>
      <c r="L1816" s="99" t="n"/>
      <c r="M1816" s="99" t="n"/>
      <c r="N1816" s="99" t="n"/>
      <c r="O1816" s="99" t="n"/>
      <c r="P1816" s="99" t="n"/>
      <c r="Q1816" s="99" t="n"/>
      <c r="R1816" s="99" t="n"/>
      <c r="S1816" s="99" t="n"/>
      <c r="T1816" s="99" t="n"/>
      <c r="U1816" s="99" t="n"/>
      <c r="V1816" s="99" t="n"/>
      <c r="W1816" s="99" t="n"/>
      <c r="X1816" s="99" t="n"/>
      <c r="Y1816" s="99" t="n"/>
      <c r="Z1816" s="99" t="n"/>
      <c r="AA1816" s="99" t="n"/>
      <c r="AB1816" s="99" t="n"/>
      <c r="AC1816" s="99" t="n"/>
      <c r="AD1816" s="99" t="n"/>
      <c r="AE1816" s="99" t="n"/>
      <c r="AF1816" s="99" t="n"/>
      <c r="AG1816" s="99" t="n"/>
      <c r="AH1816" s="99" t="n"/>
      <c r="AI1816" s="99" t="n"/>
      <c r="AJ1816" s="99" t="n"/>
      <c r="AK1816" s="99" t="n"/>
      <c r="AL1816" s="99" t="n"/>
      <c r="AM1816" s="99" t="n"/>
      <c r="AN1816" s="99" t="n"/>
      <c r="AO1816" s="99" t="n"/>
      <c r="AP1816" s="99" t="n"/>
      <c r="AQ1816" s="99" t="n"/>
      <c r="AR1816" s="99" t="n"/>
    </row>
    <row r="1817">
      <c r="D1817" s="100" t="n"/>
      <c r="E1817" s="100" t="n"/>
      <c r="F1817" s="100" t="n"/>
      <c r="G1817" s="100" t="n"/>
      <c r="H1817" s="100" t="n"/>
      <c r="I1817" s="100" t="n"/>
      <c r="J1817" s="100" t="n"/>
      <c r="K1817" s="100" t="n"/>
      <c r="L1817" s="100" t="n"/>
      <c r="M1817" s="100" t="n"/>
      <c r="N1817" s="100" t="n"/>
      <c r="O1817" s="100" t="n"/>
      <c r="P1817" s="100" t="n"/>
      <c r="Q1817" s="100" t="n"/>
      <c r="R1817" s="100" t="n"/>
      <c r="S1817" s="100" t="n"/>
      <c r="T1817" s="100" t="n"/>
      <c r="U1817" s="100" t="n"/>
      <c r="V1817" s="100" t="n"/>
      <c r="W1817" s="100" t="n"/>
      <c r="X1817" s="100" t="n"/>
      <c r="Y1817" s="100" t="n"/>
      <c r="Z1817" s="100" t="n"/>
      <c r="AA1817" s="100" t="n"/>
      <c r="AB1817" s="100" t="n"/>
      <c r="AC1817" s="100" t="n"/>
      <c r="AD1817" s="100" t="n"/>
      <c r="AE1817" s="100" t="n"/>
      <c r="AF1817" s="100" t="n"/>
      <c r="AG1817" s="100" t="n"/>
      <c r="AH1817" s="100" t="n"/>
      <c r="AI1817" s="100" t="n"/>
      <c r="AJ1817" s="100" t="n"/>
      <c r="AK1817" s="100" t="n"/>
      <c r="AL1817" s="100" t="n"/>
      <c r="AM1817" s="100" t="n"/>
      <c r="AN1817" s="100" t="n"/>
      <c r="AO1817" s="100" t="n"/>
      <c r="AP1817" s="100" t="n"/>
      <c r="AQ1817" s="100" t="n"/>
      <c r="AR1817" s="100" t="n"/>
    </row>
    <row r="1820">
      <c r="A1820" s="2">
        <f>IF($A1813="","","   projections")</f>
        <v/>
      </c>
      <c r="B1820" s="96">
        <f>IF($A1813="",0,COUNT($E1821:$AR1821))</f>
        <v/>
      </c>
      <c r="C1820" s="97">
        <f>IF($B1820=0,0,MAX($E1821:$AR1821))</f>
        <v/>
      </c>
      <c r="D1820" s="98">
        <f>BDS($A1813,FLD_PROJ,"headers=y","startcol=1","endcol=3","dir=h")</f>
        <v/>
      </c>
      <c r="E1820" s="99" t="n"/>
      <c r="F1820" s="99" t="n"/>
      <c r="G1820" s="99" t="n"/>
      <c r="H1820" s="99" t="n"/>
      <c r="I1820" s="99" t="n"/>
      <c r="J1820" s="99" t="n"/>
      <c r="K1820" s="99" t="n"/>
      <c r="L1820" s="99" t="n"/>
      <c r="M1820" s="99" t="n"/>
      <c r="N1820" s="99" t="n"/>
      <c r="O1820" s="99" t="n"/>
      <c r="P1820" s="99" t="n"/>
      <c r="Q1820" s="99" t="n"/>
      <c r="R1820" s="99" t="n"/>
      <c r="S1820" s="99" t="n"/>
      <c r="T1820" s="99" t="n"/>
      <c r="U1820" s="99" t="n"/>
      <c r="V1820" s="99" t="n"/>
      <c r="W1820" s="99" t="n"/>
      <c r="X1820" s="99" t="n"/>
      <c r="Y1820" s="99" t="n"/>
      <c r="Z1820" s="99" t="n"/>
      <c r="AA1820" s="99" t="n"/>
      <c r="AB1820" s="99" t="n"/>
      <c r="AC1820" s="99" t="n"/>
      <c r="AD1820" s="99" t="n"/>
      <c r="AE1820" s="99" t="n"/>
      <c r="AF1820" s="99" t="n"/>
      <c r="AG1820" s="99" t="n"/>
      <c r="AH1820" s="99" t="n"/>
      <c r="AI1820" s="99" t="n"/>
      <c r="AJ1820" s="99" t="n"/>
      <c r="AK1820" s="99" t="n"/>
      <c r="AL1820" s="99" t="n"/>
      <c r="AM1820" s="99" t="n"/>
      <c r="AN1820" s="99" t="n"/>
      <c r="AO1820" s="99" t="n"/>
      <c r="AP1820" s="99" t="n"/>
      <c r="AQ1820" s="99" t="n"/>
      <c r="AR1820" s="99" t="n"/>
    </row>
    <row r="1821">
      <c r="D1821" s="99" t="n"/>
      <c r="E1821" s="99" t="n"/>
      <c r="F1821" s="99" t="n"/>
      <c r="G1821" s="99" t="n"/>
      <c r="H1821" s="99" t="n"/>
      <c r="I1821" s="99" t="n"/>
      <c r="J1821" s="99" t="n"/>
      <c r="K1821" s="99" t="n"/>
      <c r="L1821" s="99" t="n"/>
      <c r="M1821" s="99" t="n"/>
      <c r="N1821" s="99" t="n"/>
      <c r="O1821" s="99" t="n"/>
      <c r="P1821" s="99" t="n"/>
      <c r="Q1821" s="99" t="n"/>
      <c r="R1821" s="99" t="n"/>
      <c r="S1821" s="99" t="n"/>
      <c r="T1821" s="99" t="n"/>
      <c r="U1821" s="99" t="n"/>
      <c r="V1821" s="99" t="n"/>
      <c r="W1821" s="99" t="n"/>
      <c r="X1821" s="99" t="n"/>
      <c r="Y1821" s="99" t="n"/>
      <c r="Z1821" s="99" t="n"/>
      <c r="AA1821" s="99" t="n"/>
      <c r="AB1821" s="99" t="n"/>
      <c r="AC1821" s="99" t="n"/>
      <c r="AD1821" s="99" t="n"/>
      <c r="AE1821" s="99" t="n"/>
      <c r="AF1821" s="99" t="n"/>
      <c r="AG1821" s="99" t="n"/>
      <c r="AH1821" s="99" t="n"/>
      <c r="AI1821" s="99" t="n"/>
      <c r="AJ1821" s="99" t="n"/>
      <c r="AK1821" s="99" t="n"/>
      <c r="AL1821" s="99" t="n"/>
      <c r="AM1821" s="99" t="n"/>
      <c r="AN1821" s="99" t="n"/>
      <c r="AO1821" s="99" t="n"/>
      <c r="AP1821" s="99" t="n"/>
      <c r="AQ1821" s="99" t="n"/>
      <c r="AR1821" s="99" t="n"/>
    </row>
    <row r="1822">
      <c r="D1822" s="100" t="n"/>
      <c r="E1822" s="100" t="n"/>
      <c r="F1822" s="100" t="n"/>
      <c r="G1822" s="100" t="n"/>
      <c r="H1822" s="100" t="n"/>
      <c r="I1822" s="100" t="n"/>
      <c r="J1822" s="100" t="n"/>
      <c r="K1822" s="100" t="n"/>
      <c r="L1822" s="100" t="n"/>
      <c r="M1822" s="100" t="n"/>
      <c r="N1822" s="100" t="n"/>
      <c r="O1822" s="100" t="n"/>
      <c r="P1822" s="100" t="n"/>
      <c r="Q1822" s="100" t="n"/>
      <c r="R1822" s="100" t="n"/>
      <c r="S1822" s="100" t="n"/>
      <c r="T1822" s="100" t="n"/>
      <c r="U1822" s="100" t="n"/>
      <c r="V1822" s="100" t="n"/>
      <c r="W1822" s="100" t="n"/>
      <c r="X1822" s="100" t="n"/>
      <c r="Y1822" s="100" t="n"/>
      <c r="Z1822" s="100" t="n"/>
      <c r="AA1822" s="100" t="n"/>
      <c r="AB1822" s="100" t="n"/>
      <c r="AC1822" s="100" t="n"/>
      <c r="AD1822" s="100" t="n"/>
      <c r="AE1822" s="100" t="n"/>
      <c r="AF1822" s="100" t="n"/>
      <c r="AG1822" s="100" t="n"/>
      <c r="AH1822" s="100" t="n"/>
      <c r="AI1822" s="100" t="n"/>
      <c r="AJ1822" s="100" t="n"/>
      <c r="AK1822" s="100" t="n"/>
      <c r="AL1822" s="100" t="n"/>
      <c r="AM1822" s="100" t="n"/>
      <c r="AN1822" s="100" t="n"/>
      <c r="AO1822" s="100" t="n"/>
      <c r="AP1822" s="100" t="n"/>
      <c r="AQ1822" s="100" t="n"/>
      <c r="AR1822" s="100" t="n"/>
    </row>
    <row r="1824">
      <c r="A1824" s="6">
        <f>IF(HSCEI!$C$31="","",HSCEI!$C$31)</f>
        <v/>
      </c>
      <c r="B1824" s="96">
        <f>IF($A1824="",0,COUNT($E1825:$AR1825))</f>
        <v/>
      </c>
      <c r="C1824" s="97">
        <f>IF($B1824=0,0,MAX($E1825:$AR1825))</f>
        <v/>
      </c>
      <c r="D1824" s="98">
        <f>BDS($A1824,FLD_HIST,"headers=y","startcol=1","endcol=7","dir=h","DVD_START_DT",HIST_FROM,"DVD_END_DT",HIST_TO)</f>
        <v/>
      </c>
      <c r="E1824" s="99" t="n"/>
      <c r="F1824" s="99" t="n"/>
      <c r="G1824" s="99" t="n"/>
      <c r="H1824" s="99" t="n"/>
      <c r="I1824" s="99" t="n"/>
      <c r="J1824" s="99" t="n"/>
      <c r="K1824" s="99" t="n"/>
      <c r="L1824" s="99" t="n"/>
      <c r="M1824" s="99" t="n"/>
      <c r="N1824" s="99" t="n"/>
      <c r="O1824" s="99" t="n"/>
      <c r="P1824" s="99" t="n"/>
      <c r="Q1824" s="99" t="n"/>
      <c r="R1824" s="99" t="n"/>
      <c r="S1824" s="99" t="n"/>
      <c r="T1824" s="99" t="n"/>
      <c r="U1824" s="99" t="n"/>
      <c r="V1824" s="99" t="n"/>
      <c r="W1824" s="99" t="n"/>
      <c r="X1824" s="99" t="n"/>
      <c r="Y1824" s="99" t="n"/>
      <c r="Z1824" s="99" t="n"/>
      <c r="AA1824" s="99" t="n"/>
      <c r="AB1824" s="99" t="n"/>
      <c r="AC1824" s="99" t="n"/>
      <c r="AD1824" s="99" t="n"/>
      <c r="AE1824" s="99" t="n"/>
      <c r="AF1824" s="99" t="n"/>
      <c r="AG1824" s="99" t="n"/>
      <c r="AH1824" s="99" t="n"/>
      <c r="AI1824" s="99" t="n"/>
      <c r="AJ1824" s="99" t="n"/>
      <c r="AK1824" s="99" t="n"/>
      <c r="AL1824" s="99" t="n"/>
      <c r="AM1824" s="99" t="n"/>
      <c r="AN1824" s="99" t="n"/>
      <c r="AO1824" s="99" t="n"/>
      <c r="AP1824" s="99" t="n"/>
      <c r="AQ1824" s="99" t="n"/>
      <c r="AR1824" s="99" t="n"/>
    </row>
    <row r="1825">
      <c r="D1825" s="99" t="n"/>
      <c r="E1825" s="99" t="n"/>
      <c r="F1825" s="99" t="n"/>
      <c r="G1825" s="99" t="n"/>
      <c r="H1825" s="99" t="n"/>
      <c r="I1825" s="99" t="n"/>
      <c r="J1825" s="99" t="n"/>
      <c r="K1825" s="99" t="n"/>
      <c r="L1825" s="99" t="n"/>
      <c r="M1825" s="99" t="n"/>
      <c r="N1825" s="99" t="n"/>
      <c r="O1825" s="99" t="n"/>
      <c r="P1825" s="99" t="n"/>
      <c r="Q1825" s="99" t="n"/>
      <c r="R1825" s="99" t="n"/>
      <c r="S1825" s="99" t="n"/>
      <c r="T1825" s="99" t="n"/>
      <c r="U1825" s="99" t="n"/>
      <c r="V1825" s="99" t="n"/>
      <c r="W1825" s="99" t="n"/>
      <c r="X1825" s="99" t="n"/>
      <c r="Y1825" s="99" t="n"/>
      <c r="Z1825" s="99" t="n"/>
      <c r="AA1825" s="99" t="n"/>
      <c r="AB1825" s="99" t="n"/>
      <c r="AC1825" s="99" t="n"/>
      <c r="AD1825" s="99" t="n"/>
      <c r="AE1825" s="99" t="n"/>
      <c r="AF1825" s="99" t="n"/>
      <c r="AG1825" s="99" t="n"/>
      <c r="AH1825" s="99" t="n"/>
      <c r="AI1825" s="99" t="n"/>
      <c r="AJ1825" s="99" t="n"/>
      <c r="AK1825" s="99" t="n"/>
      <c r="AL1825" s="99" t="n"/>
      <c r="AM1825" s="99" t="n"/>
      <c r="AN1825" s="99" t="n"/>
      <c r="AO1825" s="99" t="n"/>
      <c r="AP1825" s="99" t="n"/>
      <c r="AQ1825" s="99" t="n"/>
      <c r="AR1825" s="99" t="n"/>
    </row>
    <row r="1826">
      <c r="D1826" s="99" t="n"/>
      <c r="E1826" s="99" t="n"/>
      <c r="F1826" s="99" t="n"/>
      <c r="G1826" s="99" t="n"/>
      <c r="H1826" s="99" t="n"/>
      <c r="I1826" s="99" t="n"/>
      <c r="J1826" s="99" t="n"/>
      <c r="K1826" s="99" t="n"/>
      <c r="L1826" s="99" t="n"/>
      <c r="M1826" s="99" t="n"/>
      <c r="N1826" s="99" t="n"/>
      <c r="O1826" s="99" t="n"/>
      <c r="P1826" s="99" t="n"/>
      <c r="Q1826" s="99" t="n"/>
      <c r="R1826" s="99" t="n"/>
      <c r="S1826" s="99" t="n"/>
      <c r="T1826" s="99" t="n"/>
      <c r="U1826" s="99" t="n"/>
      <c r="V1826" s="99" t="n"/>
      <c r="W1826" s="99" t="n"/>
      <c r="X1826" s="99" t="n"/>
      <c r="Y1826" s="99" t="n"/>
      <c r="Z1826" s="99" t="n"/>
      <c r="AA1826" s="99" t="n"/>
      <c r="AB1826" s="99" t="n"/>
      <c r="AC1826" s="99" t="n"/>
      <c r="AD1826" s="99" t="n"/>
      <c r="AE1826" s="99" t="n"/>
      <c r="AF1826" s="99" t="n"/>
      <c r="AG1826" s="99" t="n"/>
      <c r="AH1826" s="99" t="n"/>
      <c r="AI1826" s="99" t="n"/>
      <c r="AJ1826" s="99" t="n"/>
      <c r="AK1826" s="99" t="n"/>
      <c r="AL1826" s="99" t="n"/>
      <c r="AM1826" s="99" t="n"/>
      <c r="AN1826" s="99" t="n"/>
      <c r="AO1826" s="99" t="n"/>
      <c r="AP1826" s="99" t="n"/>
      <c r="AQ1826" s="99" t="n"/>
      <c r="AR1826" s="99" t="n"/>
    </row>
    <row r="1827">
      <c r="D1827" s="99" t="n"/>
      <c r="E1827" s="99" t="n"/>
      <c r="F1827" s="99" t="n"/>
      <c r="G1827" s="99" t="n"/>
      <c r="H1827" s="99" t="n"/>
      <c r="I1827" s="99" t="n"/>
      <c r="J1827" s="99" t="n"/>
      <c r="K1827" s="99" t="n"/>
      <c r="L1827" s="99" t="n"/>
      <c r="M1827" s="99" t="n"/>
      <c r="N1827" s="99" t="n"/>
      <c r="O1827" s="99" t="n"/>
      <c r="P1827" s="99" t="n"/>
      <c r="Q1827" s="99" t="n"/>
      <c r="R1827" s="99" t="n"/>
      <c r="S1827" s="99" t="n"/>
      <c r="T1827" s="99" t="n"/>
      <c r="U1827" s="99" t="n"/>
      <c r="V1827" s="99" t="n"/>
      <c r="W1827" s="99" t="n"/>
      <c r="X1827" s="99" t="n"/>
      <c r="Y1827" s="99" t="n"/>
      <c r="Z1827" s="99" t="n"/>
      <c r="AA1827" s="99" t="n"/>
      <c r="AB1827" s="99" t="n"/>
      <c r="AC1827" s="99" t="n"/>
      <c r="AD1827" s="99" t="n"/>
      <c r="AE1827" s="99" t="n"/>
      <c r="AF1827" s="99" t="n"/>
      <c r="AG1827" s="99" t="n"/>
      <c r="AH1827" s="99" t="n"/>
      <c r="AI1827" s="99" t="n"/>
      <c r="AJ1827" s="99" t="n"/>
      <c r="AK1827" s="99" t="n"/>
      <c r="AL1827" s="99" t="n"/>
      <c r="AM1827" s="99" t="n"/>
      <c r="AN1827" s="99" t="n"/>
      <c r="AO1827" s="99" t="n"/>
      <c r="AP1827" s="99" t="n"/>
      <c r="AQ1827" s="99" t="n"/>
      <c r="AR1827" s="99" t="n"/>
    </row>
    <row r="1828">
      <c r="D1828" s="100" t="n"/>
      <c r="E1828" s="100" t="n"/>
      <c r="F1828" s="100" t="n"/>
      <c r="G1828" s="100" t="n"/>
      <c r="H1828" s="100" t="n"/>
      <c r="I1828" s="100" t="n"/>
      <c r="J1828" s="100" t="n"/>
      <c r="K1828" s="100" t="n"/>
      <c r="L1828" s="100" t="n"/>
      <c r="M1828" s="100" t="n"/>
      <c r="N1828" s="100" t="n"/>
      <c r="O1828" s="100" t="n"/>
      <c r="P1828" s="100" t="n"/>
      <c r="Q1828" s="100" t="n"/>
      <c r="R1828" s="100" t="n"/>
      <c r="S1828" s="100" t="n"/>
      <c r="T1828" s="100" t="n"/>
      <c r="U1828" s="100" t="n"/>
      <c r="V1828" s="100" t="n"/>
      <c r="W1828" s="100" t="n"/>
      <c r="X1828" s="100" t="n"/>
      <c r="Y1828" s="100" t="n"/>
      <c r="Z1828" s="100" t="n"/>
      <c r="AA1828" s="100" t="n"/>
      <c r="AB1828" s="100" t="n"/>
      <c r="AC1828" s="100" t="n"/>
      <c r="AD1828" s="100" t="n"/>
      <c r="AE1828" s="100" t="n"/>
      <c r="AF1828" s="100" t="n"/>
      <c r="AG1828" s="100" t="n"/>
      <c r="AH1828" s="100" t="n"/>
      <c r="AI1828" s="100" t="n"/>
      <c r="AJ1828" s="100" t="n"/>
      <c r="AK1828" s="100" t="n"/>
      <c r="AL1828" s="100" t="n"/>
      <c r="AM1828" s="100" t="n"/>
      <c r="AN1828" s="100" t="n"/>
      <c r="AO1828" s="100" t="n"/>
      <c r="AP1828" s="100" t="n"/>
      <c r="AQ1828" s="100" t="n"/>
      <c r="AR1828" s="100" t="n"/>
    </row>
    <row r="1831">
      <c r="A1831" s="2">
        <f>IF($A1824="","","   projections")</f>
        <v/>
      </c>
      <c r="B1831" s="96">
        <f>IF($A1824="",0,COUNT($E1832:$AR1832))</f>
        <v/>
      </c>
      <c r="C1831" s="97">
        <f>IF($B1831=0,0,MAX($E1832:$AR1832))</f>
        <v/>
      </c>
      <c r="D1831" s="98">
        <f>BDS($A1824,FLD_PROJ,"headers=y","startcol=1","endcol=3","dir=h")</f>
        <v/>
      </c>
      <c r="E1831" s="99" t="n"/>
      <c r="F1831" s="99" t="n"/>
      <c r="G1831" s="99" t="n"/>
      <c r="H1831" s="99" t="n"/>
      <c r="I1831" s="99" t="n"/>
      <c r="J1831" s="99" t="n"/>
      <c r="K1831" s="99" t="n"/>
      <c r="L1831" s="99" t="n"/>
      <c r="M1831" s="99" t="n"/>
      <c r="N1831" s="99" t="n"/>
      <c r="O1831" s="99" t="n"/>
      <c r="P1831" s="99" t="n"/>
      <c r="Q1831" s="99" t="n"/>
      <c r="R1831" s="99" t="n"/>
      <c r="S1831" s="99" t="n"/>
      <c r="T1831" s="99" t="n"/>
      <c r="U1831" s="99" t="n"/>
      <c r="V1831" s="99" t="n"/>
      <c r="W1831" s="99" t="n"/>
      <c r="X1831" s="99" t="n"/>
      <c r="Y1831" s="99" t="n"/>
      <c r="Z1831" s="99" t="n"/>
      <c r="AA1831" s="99" t="n"/>
      <c r="AB1831" s="99" t="n"/>
      <c r="AC1831" s="99" t="n"/>
      <c r="AD1831" s="99" t="n"/>
      <c r="AE1831" s="99" t="n"/>
      <c r="AF1831" s="99" t="n"/>
      <c r="AG1831" s="99" t="n"/>
      <c r="AH1831" s="99" t="n"/>
      <c r="AI1831" s="99" t="n"/>
      <c r="AJ1831" s="99" t="n"/>
      <c r="AK1831" s="99" t="n"/>
      <c r="AL1831" s="99" t="n"/>
      <c r="AM1831" s="99" t="n"/>
      <c r="AN1831" s="99" t="n"/>
      <c r="AO1831" s="99" t="n"/>
      <c r="AP1831" s="99" t="n"/>
      <c r="AQ1831" s="99" t="n"/>
      <c r="AR1831" s="99" t="n"/>
    </row>
    <row r="1832">
      <c r="D1832" s="99" t="n"/>
      <c r="E1832" s="99" t="n"/>
      <c r="F1832" s="99" t="n"/>
      <c r="G1832" s="99" t="n"/>
      <c r="H1832" s="99" t="n"/>
      <c r="I1832" s="99" t="n"/>
      <c r="J1832" s="99" t="n"/>
      <c r="K1832" s="99" t="n"/>
      <c r="L1832" s="99" t="n"/>
      <c r="M1832" s="99" t="n"/>
      <c r="N1832" s="99" t="n"/>
      <c r="O1832" s="99" t="n"/>
      <c r="P1832" s="99" t="n"/>
      <c r="Q1832" s="99" t="n"/>
      <c r="R1832" s="99" t="n"/>
      <c r="S1832" s="99" t="n"/>
      <c r="T1832" s="99" t="n"/>
      <c r="U1832" s="99" t="n"/>
      <c r="V1832" s="99" t="n"/>
      <c r="W1832" s="99" t="n"/>
      <c r="X1832" s="99" t="n"/>
      <c r="Y1832" s="99" t="n"/>
      <c r="Z1832" s="99" t="n"/>
      <c r="AA1832" s="99" t="n"/>
      <c r="AB1832" s="99" t="n"/>
      <c r="AC1832" s="99" t="n"/>
      <c r="AD1832" s="99" t="n"/>
      <c r="AE1832" s="99" t="n"/>
      <c r="AF1832" s="99" t="n"/>
      <c r="AG1832" s="99" t="n"/>
      <c r="AH1832" s="99" t="n"/>
      <c r="AI1832" s="99" t="n"/>
      <c r="AJ1832" s="99" t="n"/>
      <c r="AK1832" s="99" t="n"/>
      <c r="AL1832" s="99" t="n"/>
      <c r="AM1832" s="99" t="n"/>
      <c r="AN1832" s="99" t="n"/>
      <c r="AO1832" s="99" t="n"/>
      <c r="AP1832" s="99" t="n"/>
      <c r="AQ1832" s="99" t="n"/>
      <c r="AR1832" s="99" t="n"/>
    </row>
    <row r="1833">
      <c r="D1833" s="100" t="n"/>
      <c r="E1833" s="100" t="n"/>
      <c r="F1833" s="100" t="n"/>
      <c r="G1833" s="100" t="n"/>
      <c r="H1833" s="100" t="n"/>
      <c r="I1833" s="100" t="n"/>
      <c r="J1833" s="100" t="n"/>
      <c r="K1833" s="100" t="n"/>
      <c r="L1833" s="100" t="n"/>
      <c r="M1833" s="100" t="n"/>
      <c r="N1833" s="100" t="n"/>
      <c r="O1833" s="100" t="n"/>
      <c r="P1833" s="100" t="n"/>
      <c r="Q1833" s="100" t="n"/>
      <c r="R1833" s="100" t="n"/>
      <c r="S1833" s="100" t="n"/>
      <c r="T1833" s="100" t="n"/>
      <c r="U1833" s="100" t="n"/>
      <c r="V1833" s="100" t="n"/>
      <c r="W1833" s="100" t="n"/>
      <c r="X1833" s="100" t="n"/>
      <c r="Y1833" s="100" t="n"/>
      <c r="Z1833" s="100" t="n"/>
      <c r="AA1833" s="100" t="n"/>
      <c r="AB1833" s="100" t="n"/>
      <c r="AC1833" s="100" t="n"/>
      <c r="AD1833" s="100" t="n"/>
      <c r="AE1833" s="100" t="n"/>
      <c r="AF1833" s="100" t="n"/>
      <c r="AG1833" s="100" t="n"/>
      <c r="AH1833" s="100" t="n"/>
      <c r="AI1833" s="100" t="n"/>
      <c r="AJ1833" s="100" t="n"/>
      <c r="AK1833" s="100" t="n"/>
      <c r="AL1833" s="100" t="n"/>
      <c r="AM1833" s="100" t="n"/>
      <c r="AN1833" s="100" t="n"/>
      <c r="AO1833" s="100" t="n"/>
      <c r="AP1833" s="100" t="n"/>
      <c r="AQ1833" s="100" t="n"/>
      <c r="AR1833" s="100" t="n"/>
    </row>
    <row r="1835">
      <c r="A1835" s="6">
        <f>IF(HSCEI!$C$32="","",HSCEI!$C$32)</f>
        <v/>
      </c>
      <c r="B1835" s="96">
        <f>IF($A1835="",0,COUNT($E1836:$AR1836))</f>
        <v/>
      </c>
      <c r="C1835" s="97">
        <f>IF($B1835=0,0,MAX($E1836:$AR1836))</f>
        <v/>
      </c>
      <c r="D1835" s="98">
        <f>BDS($A1835,FLD_HIST,"headers=y","startcol=1","endcol=7","dir=h","DVD_START_DT",HIST_FROM,"DVD_END_DT",HIST_TO)</f>
        <v/>
      </c>
      <c r="E1835" s="99" t="n"/>
      <c r="F1835" s="99" t="n"/>
      <c r="G1835" s="99" t="n"/>
      <c r="H1835" s="99" t="n"/>
      <c r="I1835" s="99" t="n"/>
      <c r="J1835" s="99" t="n"/>
      <c r="K1835" s="99" t="n"/>
      <c r="L1835" s="99" t="n"/>
      <c r="M1835" s="99" t="n"/>
      <c r="N1835" s="99" t="n"/>
      <c r="O1835" s="99" t="n"/>
      <c r="P1835" s="99" t="n"/>
      <c r="Q1835" s="99" t="n"/>
      <c r="R1835" s="99" t="n"/>
      <c r="S1835" s="99" t="n"/>
      <c r="T1835" s="99" t="n"/>
      <c r="U1835" s="99" t="n"/>
      <c r="V1835" s="99" t="n"/>
      <c r="W1835" s="99" t="n"/>
      <c r="X1835" s="99" t="n"/>
      <c r="Y1835" s="99" t="n"/>
      <c r="Z1835" s="99" t="n"/>
      <c r="AA1835" s="99" t="n"/>
      <c r="AB1835" s="99" t="n"/>
      <c r="AC1835" s="99" t="n"/>
      <c r="AD1835" s="99" t="n"/>
      <c r="AE1835" s="99" t="n"/>
      <c r="AF1835" s="99" t="n"/>
      <c r="AG1835" s="99" t="n"/>
      <c r="AH1835" s="99" t="n"/>
      <c r="AI1835" s="99" t="n"/>
      <c r="AJ1835" s="99" t="n"/>
      <c r="AK1835" s="99" t="n"/>
      <c r="AL1835" s="99" t="n"/>
      <c r="AM1835" s="99" t="n"/>
      <c r="AN1835" s="99" t="n"/>
      <c r="AO1835" s="99" t="n"/>
      <c r="AP1835" s="99" t="n"/>
      <c r="AQ1835" s="99" t="n"/>
      <c r="AR1835" s="99" t="n"/>
    </row>
    <row r="1836">
      <c r="D1836" s="99" t="n"/>
      <c r="E1836" s="99" t="n"/>
      <c r="F1836" s="99" t="n"/>
      <c r="G1836" s="99" t="n"/>
      <c r="H1836" s="99" t="n"/>
      <c r="I1836" s="99" t="n"/>
      <c r="J1836" s="99" t="n"/>
      <c r="K1836" s="99" t="n"/>
      <c r="L1836" s="99" t="n"/>
      <c r="M1836" s="99" t="n"/>
      <c r="N1836" s="99" t="n"/>
      <c r="O1836" s="99" t="n"/>
      <c r="P1836" s="99" t="n"/>
      <c r="Q1836" s="99" t="n"/>
      <c r="R1836" s="99" t="n"/>
      <c r="S1836" s="99" t="n"/>
      <c r="T1836" s="99" t="n"/>
      <c r="U1836" s="99" t="n"/>
      <c r="V1836" s="99" t="n"/>
      <c r="W1836" s="99" t="n"/>
      <c r="X1836" s="99" t="n"/>
      <c r="Y1836" s="99" t="n"/>
      <c r="Z1836" s="99" t="n"/>
      <c r="AA1836" s="99" t="n"/>
      <c r="AB1836" s="99" t="n"/>
      <c r="AC1836" s="99" t="n"/>
      <c r="AD1836" s="99" t="n"/>
      <c r="AE1836" s="99" t="n"/>
      <c r="AF1836" s="99" t="n"/>
      <c r="AG1836" s="99" t="n"/>
      <c r="AH1836" s="99" t="n"/>
      <c r="AI1836" s="99" t="n"/>
      <c r="AJ1836" s="99" t="n"/>
      <c r="AK1836" s="99" t="n"/>
      <c r="AL1836" s="99" t="n"/>
      <c r="AM1836" s="99" t="n"/>
      <c r="AN1836" s="99" t="n"/>
      <c r="AO1836" s="99" t="n"/>
      <c r="AP1836" s="99" t="n"/>
      <c r="AQ1836" s="99" t="n"/>
      <c r="AR1836" s="99" t="n"/>
    </row>
    <row r="1837">
      <c r="D1837" s="99" t="n"/>
      <c r="E1837" s="99" t="n"/>
      <c r="F1837" s="99" t="n"/>
      <c r="G1837" s="99" t="n"/>
      <c r="H1837" s="99" t="n"/>
      <c r="I1837" s="99" t="n"/>
      <c r="J1837" s="99" t="n"/>
      <c r="K1837" s="99" t="n"/>
      <c r="L1837" s="99" t="n"/>
      <c r="M1837" s="99" t="n"/>
      <c r="N1837" s="99" t="n"/>
      <c r="O1837" s="99" t="n"/>
      <c r="P1837" s="99" t="n"/>
      <c r="Q1837" s="99" t="n"/>
      <c r="R1837" s="99" t="n"/>
      <c r="S1837" s="99" t="n"/>
      <c r="T1837" s="99" t="n"/>
      <c r="U1837" s="99" t="n"/>
      <c r="V1837" s="99" t="n"/>
      <c r="W1837" s="99" t="n"/>
      <c r="X1837" s="99" t="n"/>
      <c r="Y1837" s="99" t="n"/>
      <c r="Z1837" s="99" t="n"/>
      <c r="AA1837" s="99" t="n"/>
      <c r="AB1837" s="99" t="n"/>
      <c r="AC1837" s="99" t="n"/>
      <c r="AD1837" s="99" t="n"/>
      <c r="AE1837" s="99" t="n"/>
      <c r="AF1837" s="99" t="n"/>
      <c r="AG1837" s="99" t="n"/>
      <c r="AH1837" s="99" t="n"/>
      <c r="AI1837" s="99" t="n"/>
      <c r="AJ1837" s="99" t="n"/>
      <c r="AK1837" s="99" t="n"/>
      <c r="AL1837" s="99" t="n"/>
      <c r="AM1837" s="99" t="n"/>
      <c r="AN1837" s="99" t="n"/>
      <c r="AO1837" s="99" t="n"/>
      <c r="AP1837" s="99" t="n"/>
      <c r="AQ1837" s="99" t="n"/>
      <c r="AR1837" s="99" t="n"/>
    </row>
    <row r="1838">
      <c r="D1838" s="99" t="n"/>
      <c r="E1838" s="99" t="n"/>
      <c r="F1838" s="99" t="n"/>
      <c r="G1838" s="99" t="n"/>
      <c r="H1838" s="99" t="n"/>
      <c r="I1838" s="99" t="n"/>
      <c r="J1838" s="99" t="n"/>
      <c r="K1838" s="99" t="n"/>
      <c r="L1838" s="99" t="n"/>
      <c r="M1838" s="99" t="n"/>
      <c r="N1838" s="99" t="n"/>
      <c r="O1838" s="99" t="n"/>
      <c r="P1838" s="99" t="n"/>
      <c r="Q1838" s="99" t="n"/>
      <c r="R1838" s="99" t="n"/>
      <c r="S1838" s="99" t="n"/>
      <c r="T1838" s="99" t="n"/>
      <c r="U1838" s="99" t="n"/>
      <c r="V1838" s="99" t="n"/>
      <c r="W1838" s="99" t="n"/>
      <c r="X1838" s="99" t="n"/>
      <c r="Y1838" s="99" t="n"/>
      <c r="Z1838" s="99" t="n"/>
      <c r="AA1838" s="99" t="n"/>
      <c r="AB1838" s="99" t="n"/>
      <c r="AC1838" s="99" t="n"/>
      <c r="AD1838" s="99" t="n"/>
      <c r="AE1838" s="99" t="n"/>
      <c r="AF1838" s="99" t="n"/>
      <c r="AG1838" s="99" t="n"/>
      <c r="AH1838" s="99" t="n"/>
      <c r="AI1838" s="99" t="n"/>
      <c r="AJ1838" s="99" t="n"/>
      <c r="AK1838" s="99" t="n"/>
      <c r="AL1838" s="99" t="n"/>
      <c r="AM1838" s="99" t="n"/>
      <c r="AN1838" s="99" t="n"/>
      <c r="AO1838" s="99" t="n"/>
      <c r="AP1838" s="99" t="n"/>
      <c r="AQ1838" s="99" t="n"/>
      <c r="AR1838" s="99" t="n"/>
    </row>
    <row r="1839">
      <c r="D1839" s="100" t="n"/>
      <c r="E1839" s="100" t="n"/>
      <c r="F1839" s="100" t="n"/>
      <c r="G1839" s="100" t="n"/>
      <c r="H1839" s="100" t="n"/>
      <c r="I1839" s="100" t="n"/>
      <c r="J1839" s="100" t="n"/>
      <c r="K1839" s="100" t="n"/>
      <c r="L1839" s="100" t="n"/>
      <c r="M1839" s="100" t="n"/>
      <c r="N1839" s="100" t="n"/>
      <c r="O1839" s="100" t="n"/>
      <c r="P1839" s="100" t="n"/>
      <c r="Q1839" s="100" t="n"/>
      <c r="R1839" s="100" t="n"/>
      <c r="S1839" s="100" t="n"/>
      <c r="T1839" s="100" t="n"/>
      <c r="U1839" s="100" t="n"/>
      <c r="V1839" s="100" t="n"/>
      <c r="W1839" s="100" t="n"/>
      <c r="X1839" s="100" t="n"/>
      <c r="Y1839" s="100" t="n"/>
      <c r="Z1839" s="100" t="n"/>
      <c r="AA1839" s="100" t="n"/>
      <c r="AB1839" s="100" t="n"/>
      <c r="AC1839" s="100" t="n"/>
      <c r="AD1839" s="100" t="n"/>
      <c r="AE1839" s="100" t="n"/>
      <c r="AF1839" s="100" t="n"/>
      <c r="AG1839" s="100" t="n"/>
      <c r="AH1839" s="100" t="n"/>
      <c r="AI1839" s="100" t="n"/>
      <c r="AJ1839" s="100" t="n"/>
      <c r="AK1839" s="100" t="n"/>
      <c r="AL1839" s="100" t="n"/>
      <c r="AM1839" s="100" t="n"/>
      <c r="AN1839" s="100" t="n"/>
      <c r="AO1839" s="100" t="n"/>
      <c r="AP1839" s="100" t="n"/>
      <c r="AQ1839" s="100" t="n"/>
      <c r="AR1839" s="100" t="n"/>
    </row>
    <row r="1842">
      <c r="A1842" s="2">
        <f>IF($A1835="","","   projections")</f>
        <v/>
      </c>
      <c r="B1842" s="96">
        <f>IF($A1835="",0,COUNT($E1843:$AR1843))</f>
        <v/>
      </c>
      <c r="C1842" s="97">
        <f>IF($B1842=0,0,MAX($E1843:$AR1843))</f>
        <v/>
      </c>
      <c r="D1842" s="98">
        <f>BDS($A1835,FLD_PROJ,"headers=y","startcol=1","endcol=3","dir=h")</f>
        <v/>
      </c>
      <c r="E1842" s="99" t="n"/>
      <c r="F1842" s="99" t="n"/>
      <c r="G1842" s="99" t="n"/>
      <c r="H1842" s="99" t="n"/>
      <c r="I1842" s="99" t="n"/>
      <c r="J1842" s="99" t="n"/>
      <c r="K1842" s="99" t="n"/>
      <c r="L1842" s="99" t="n"/>
      <c r="M1842" s="99" t="n"/>
      <c r="N1842" s="99" t="n"/>
      <c r="O1842" s="99" t="n"/>
      <c r="P1842" s="99" t="n"/>
      <c r="Q1842" s="99" t="n"/>
      <c r="R1842" s="99" t="n"/>
      <c r="S1842" s="99" t="n"/>
      <c r="T1842" s="99" t="n"/>
      <c r="U1842" s="99" t="n"/>
      <c r="V1842" s="99" t="n"/>
      <c r="W1842" s="99" t="n"/>
      <c r="X1842" s="99" t="n"/>
      <c r="Y1842" s="99" t="n"/>
      <c r="Z1842" s="99" t="n"/>
      <c r="AA1842" s="99" t="n"/>
      <c r="AB1842" s="99" t="n"/>
      <c r="AC1842" s="99" t="n"/>
      <c r="AD1842" s="99" t="n"/>
      <c r="AE1842" s="99" t="n"/>
      <c r="AF1842" s="99" t="n"/>
      <c r="AG1842" s="99" t="n"/>
      <c r="AH1842" s="99" t="n"/>
      <c r="AI1842" s="99" t="n"/>
      <c r="AJ1842" s="99" t="n"/>
      <c r="AK1842" s="99" t="n"/>
      <c r="AL1842" s="99" t="n"/>
      <c r="AM1842" s="99" t="n"/>
      <c r="AN1842" s="99" t="n"/>
      <c r="AO1842" s="99" t="n"/>
      <c r="AP1842" s="99" t="n"/>
      <c r="AQ1842" s="99" t="n"/>
      <c r="AR1842" s="99" t="n"/>
    </row>
    <row r="1843">
      <c r="D1843" s="99" t="n"/>
      <c r="E1843" s="99" t="n"/>
      <c r="F1843" s="99" t="n"/>
      <c r="G1843" s="99" t="n"/>
      <c r="H1843" s="99" t="n"/>
      <c r="I1843" s="99" t="n"/>
      <c r="J1843" s="99" t="n"/>
      <c r="K1843" s="99" t="n"/>
      <c r="L1843" s="99" t="n"/>
      <c r="M1843" s="99" t="n"/>
      <c r="N1843" s="99" t="n"/>
      <c r="O1843" s="99" t="n"/>
      <c r="P1843" s="99" t="n"/>
      <c r="Q1843" s="99" t="n"/>
      <c r="R1843" s="99" t="n"/>
      <c r="S1843" s="99" t="n"/>
      <c r="T1843" s="99" t="n"/>
      <c r="U1843" s="99" t="n"/>
      <c r="V1843" s="99" t="n"/>
      <c r="W1843" s="99" t="n"/>
      <c r="X1843" s="99" t="n"/>
      <c r="Y1843" s="99" t="n"/>
      <c r="Z1843" s="99" t="n"/>
      <c r="AA1843" s="99" t="n"/>
      <c r="AB1843" s="99" t="n"/>
      <c r="AC1843" s="99" t="n"/>
      <c r="AD1843" s="99" t="n"/>
      <c r="AE1843" s="99" t="n"/>
      <c r="AF1843" s="99" t="n"/>
      <c r="AG1843" s="99" t="n"/>
      <c r="AH1843" s="99" t="n"/>
      <c r="AI1843" s="99" t="n"/>
      <c r="AJ1843" s="99" t="n"/>
      <c r="AK1843" s="99" t="n"/>
      <c r="AL1843" s="99" t="n"/>
      <c r="AM1843" s="99" t="n"/>
      <c r="AN1843" s="99" t="n"/>
      <c r="AO1843" s="99" t="n"/>
      <c r="AP1843" s="99" t="n"/>
      <c r="AQ1843" s="99" t="n"/>
      <c r="AR1843" s="99" t="n"/>
    </row>
    <row r="1844">
      <c r="D1844" s="100" t="n"/>
      <c r="E1844" s="100" t="n"/>
      <c r="F1844" s="100" t="n"/>
      <c r="G1844" s="100" t="n"/>
      <c r="H1844" s="100" t="n"/>
      <c r="I1844" s="100" t="n"/>
      <c r="J1844" s="100" t="n"/>
      <c r="K1844" s="100" t="n"/>
      <c r="L1844" s="100" t="n"/>
      <c r="M1844" s="100" t="n"/>
      <c r="N1844" s="100" t="n"/>
      <c r="O1844" s="100" t="n"/>
      <c r="P1844" s="100" t="n"/>
      <c r="Q1844" s="100" t="n"/>
      <c r="R1844" s="100" t="n"/>
      <c r="S1844" s="100" t="n"/>
      <c r="T1844" s="100" t="n"/>
      <c r="U1844" s="100" t="n"/>
      <c r="V1844" s="100" t="n"/>
      <c r="W1844" s="100" t="n"/>
      <c r="X1844" s="100" t="n"/>
      <c r="Y1844" s="100" t="n"/>
      <c r="Z1844" s="100" t="n"/>
      <c r="AA1844" s="100" t="n"/>
      <c r="AB1844" s="100" t="n"/>
      <c r="AC1844" s="100" t="n"/>
      <c r="AD1844" s="100" t="n"/>
      <c r="AE1844" s="100" t="n"/>
      <c r="AF1844" s="100" t="n"/>
      <c r="AG1844" s="100" t="n"/>
      <c r="AH1844" s="100" t="n"/>
      <c r="AI1844" s="100" t="n"/>
      <c r="AJ1844" s="100" t="n"/>
      <c r="AK1844" s="100" t="n"/>
      <c r="AL1844" s="100" t="n"/>
      <c r="AM1844" s="100" t="n"/>
      <c r="AN1844" s="100" t="n"/>
      <c r="AO1844" s="100" t="n"/>
      <c r="AP1844" s="100" t="n"/>
      <c r="AQ1844" s="100" t="n"/>
      <c r="AR1844" s="100" t="n"/>
    </row>
    <row r="1846">
      <c r="A1846" s="6">
        <f>IF(HSCEI!$C$33="","",HSCEI!$C$33)</f>
        <v/>
      </c>
      <c r="B1846" s="96">
        <f>IF($A1846="",0,COUNT($E1847:$AR1847))</f>
        <v/>
      </c>
      <c r="C1846" s="97">
        <f>IF($B1846=0,0,MAX($E1847:$AR1847))</f>
        <v/>
      </c>
      <c r="D1846" s="98">
        <f>BDS($A1846,FLD_HIST,"headers=y","startcol=1","endcol=7","dir=h","DVD_START_DT",HIST_FROM,"DVD_END_DT",HIST_TO)</f>
        <v/>
      </c>
      <c r="E1846" s="99" t="n"/>
      <c r="F1846" s="99" t="n"/>
      <c r="G1846" s="99" t="n"/>
      <c r="H1846" s="99" t="n"/>
      <c r="I1846" s="99" t="n"/>
      <c r="J1846" s="99" t="n"/>
      <c r="K1846" s="99" t="n"/>
      <c r="L1846" s="99" t="n"/>
      <c r="M1846" s="99" t="n"/>
      <c r="N1846" s="99" t="n"/>
      <c r="O1846" s="99" t="n"/>
      <c r="P1846" s="99" t="n"/>
      <c r="Q1846" s="99" t="n"/>
      <c r="R1846" s="99" t="n"/>
      <c r="S1846" s="99" t="n"/>
      <c r="T1846" s="99" t="n"/>
      <c r="U1846" s="99" t="n"/>
      <c r="V1846" s="99" t="n"/>
      <c r="W1846" s="99" t="n"/>
      <c r="X1846" s="99" t="n"/>
      <c r="Y1846" s="99" t="n"/>
      <c r="Z1846" s="99" t="n"/>
      <c r="AA1846" s="99" t="n"/>
      <c r="AB1846" s="99" t="n"/>
      <c r="AC1846" s="99" t="n"/>
      <c r="AD1846" s="99" t="n"/>
      <c r="AE1846" s="99" t="n"/>
      <c r="AF1846" s="99" t="n"/>
      <c r="AG1846" s="99" t="n"/>
      <c r="AH1846" s="99" t="n"/>
      <c r="AI1846" s="99" t="n"/>
      <c r="AJ1846" s="99" t="n"/>
      <c r="AK1846" s="99" t="n"/>
      <c r="AL1846" s="99" t="n"/>
      <c r="AM1846" s="99" t="n"/>
      <c r="AN1846" s="99" t="n"/>
      <c r="AO1846" s="99" t="n"/>
      <c r="AP1846" s="99" t="n"/>
      <c r="AQ1846" s="99" t="n"/>
      <c r="AR1846" s="99" t="n"/>
    </row>
    <row r="1847">
      <c r="D1847" s="99" t="n"/>
      <c r="E1847" s="99" t="n"/>
      <c r="F1847" s="99" t="n"/>
      <c r="G1847" s="99" t="n"/>
      <c r="H1847" s="99" t="n"/>
      <c r="I1847" s="99" t="n"/>
      <c r="J1847" s="99" t="n"/>
      <c r="K1847" s="99" t="n"/>
      <c r="L1847" s="99" t="n"/>
      <c r="M1847" s="99" t="n"/>
      <c r="N1847" s="99" t="n"/>
      <c r="O1847" s="99" t="n"/>
      <c r="P1847" s="99" t="n"/>
      <c r="Q1847" s="99" t="n"/>
      <c r="R1847" s="99" t="n"/>
      <c r="S1847" s="99" t="n"/>
      <c r="T1847" s="99" t="n"/>
      <c r="U1847" s="99" t="n"/>
      <c r="V1847" s="99" t="n"/>
      <c r="W1847" s="99" t="n"/>
      <c r="X1847" s="99" t="n"/>
      <c r="Y1847" s="99" t="n"/>
      <c r="Z1847" s="99" t="n"/>
      <c r="AA1847" s="99" t="n"/>
      <c r="AB1847" s="99" t="n"/>
      <c r="AC1847" s="99" t="n"/>
      <c r="AD1847" s="99" t="n"/>
      <c r="AE1847" s="99" t="n"/>
      <c r="AF1847" s="99" t="n"/>
      <c r="AG1847" s="99" t="n"/>
      <c r="AH1847" s="99" t="n"/>
      <c r="AI1847" s="99" t="n"/>
      <c r="AJ1847" s="99" t="n"/>
      <c r="AK1847" s="99" t="n"/>
      <c r="AL1847" s="99" t="n"/>
      <c r="AM1847" s="99" t="n"/>
      <c r="AN1847" s="99" t="n"/>
      <c r="AO1847" s="99" t="n"/>
      <c r="AP1847" s="99" t="n"/>
      <c r="AQ1847" s="99" t="n"/>
      <c r="AR1847" s="99" t="n"/>
    </row>
    <row r="1848">
      <c r="D1848" s="99" t="n"/>
      <c r="E1848" s="99" t="n"/>
      <c r="F1848" s="99" t="n"/>
      <c r="G1848" s="99" t="n"/>
      <c r="H1848" s="99" t="n"/>
      <c r="I1848" s="99" t="n"/>
      <c r="J1848" s="99" t="n"/>
      <c r="K1848" s="99" t="n"/>
      <c r="L1848" s="99" t="n"/>
      <c r="M1848" s="99" t="n"/>
      <c r="N1848" s="99" t="n"/>
      <c r="O1848" s="99" t="n"/>
      <c r="P1848" s="99" t="n"/>
      <c r="Q1848" s="99" t="n"/>
      <c r="R1848" s="99" t="n"/>
      <c r="S1848" s="99" t="n"/>
      <c r="T1848" s="99" t="n"/>
      <c r="U1848" s="99" t="n"/>
      <c r="V1848" s="99" t="n"/>
      <c r="W1848" s="99" t="n"/>
      <c r="X1848" s="99" t="n"/>
      <c r="Y1848" s="99" t="n"/>
      <c r="Z1848" s="99" t="n"/>
      <c r="AA1848" s="99" t="n"/>
      <c r="AB1848" s="99" t="n"/>
      <c r="AC1848" s="99" t="n"/>
      <c r="AD1848" s="99" t="n"/>
      <c r="AE1848" s="99" t="n"/>
      <c r="AF1848" s="99" t="n"/>
      <c r="AG1848" s="99" t="n"/>
      <c r="AH1848" s="99" t="n"/>
      <c r="AI1848" s="99" t="n"/>
      <c r="AJ1848" s="99" t="n"/>
      <c r="AK1848" s="99" t="n"/>
      <c r="AL1848" s="99" t="n"/>
      <c r="AM1848" s="99" t="n"/>
      <c r="AN1848" s="99" t="n"/>
      <c r="AO1848" s="99" t="n"/>
      <c r="AP1848" s="99" t="n"/>
      <c r="AQ1848" s="99" t="n"/>
      <c r="AR1848" s="99" t="n"/>
    </row>
    <row r="1849">
      <c r="D1849" s="99" t="n"/>
      <c r="E1849" s="99" t="n"/>
      <c r="F1849" s="99" t="n"/>
      <c r="G1849" s="99" t="n"/>
      <c r="H1849" s="99" t="n"/>
      <c r="I1849" s="99" t="n"/>
      <c r="J1849" s="99" t="n"/>
      <c r="K1849" s="99" t="n"/>
      <c r="L1849" s="99" t="n"/>
      <c r="M1849" s="99" t="n"/>
      <c r="N1849" s="99" t="n"/>
      <c r="O1849" s="99" t="n"/>
      <c r="P1849" s="99" t="n"/>
      <c r="Q1849" s="99" t="n"/>
      <c r="R1849" s="99" t="n"/>
      <c r="S1849" s="99" t="n"/>
      <c r="T1849" s="99" t="n"/>
      <c r="U1849" s="99" t="n"/>
      <c r="V1849" s="99" t="n"/>
      <c r="W1849" s="99" t="n"/>
      <c r="X1849" s="99" t="n"/>
      <c r="Y1849" s="99" t="n"/>
      <c r="Z1849" s="99" t="n"/>
      <c r="AA1849" s="99" t="n"/>
      <c r="AB1849" s="99" t="n"/>
      <c r="AC1849" s="99" t="n"/>
      <c r="AD1849" s="99" t="n"/>
      <c r="AE1849" s="99" t="n"/>
      <c r="AF1849" s="99" t="n"/>
      <c r="AG1849" s="99" t="n"/>
      <c r="AH1849" s="99" t="n"/>
      <c r="AI1849" s="99" t="n"/>
      <c r="AJ1849" s="99" t="n"/>
      <c r="AK1849" s="99" t="n"/>
      <c r="AL1849" s="99" t="n"/>
      <c r="AM1849" s="99" t="n"/>
      <c r="AN1849" s="99" t="n"/>
      <c r="AO1849" s="99" t="n"/>
      <c r="AP1849" s="99" t="n"/>
      <c r="AQ1849" s="99" t="n"/>
      <c r="AR1849" s="99" t="n"/>
    </row>
    <row r="1850">
      <c r="D1850" s="100" t="n"/>
      <c r="E1850" s="100" t="n"/>
      <c r="F1850" s="100" t="n"/>
      <c r="G1850" s="100" t="n"/>
      <c r="H1850" s="100" t="n"/>
      <c r="I1850" s="100" t="n"/>
      <c r="J1850" s="100" t="n"/>
      <c r="K1850" s="100" t="n"/>
      <c r="L1850" s="100" t="n"/>
      <c r="M1850" s="100" t="n"/>
      <c r="N1850" s="100" t="n"/>
      <c r="O1850" s="100" t="n"/>
      <c r="P1850" s="100" t="n"/>
      <c r="Q1850" s="100" t="n"/>
      <c r="R1850" s="100" t="n"/>
      <c r="S1850" s="100" t="n"/>
      <c r="T1850" s="100" t="n"/>
      <c r="U1850" s="100" t="n"/>
      <c r="V1850" s="100" t="n"/>
      <c r="W1850" s="100" t="n"/>
      <c r="X1850" s="100" t="n"/>
      <c r="Y1850" s="100" t="n"/>
      <c r="Z1850" s="100" t="n"/>
      <c r="AA1850" s="100" t="n"/>
      <c r="AB1850" s="100" t="n"/>
      <c r="AC1850" s="100" t="n"/>
      <c r="AD1850" s="100" t="n"/>
      <c r="AE1850" s="100" t="n"/>
      <c r="AF1850" s="100" t="n"/>
      <c r="AG1850" s="100" t="n"/>
      <c r="AH1850" s="100" t="n"/>
      <c r="AI1850" s="100" t="n"/>
      <c r="AJ1850" s="100" t="n"/>
      <c r="AK1850" s="100" t="n"/>
      <c r="AL1850" s="100" t="n"/>
      <c r="AM1850" s="100" t="n"/>
      <c r="AN1850" s="100" t="n"/>
      <c r="AO1850" s="100" t="n"/>
      <c r="AP1850" s="100" t="n"/>
      <c r="AQ1850" s="100" t="n"/>
      <c r="AR1850" s="100" t="n"/>
    </row>
    <row r="1853">
      <c r="A1853" s="2">
        <f>IF($A1846="","","   projections")</f>
        <v/>
      </c>
      <c r="B1853" s="96">
        <f>IF($A1846="",0,COUNT($E1854:$AR1854))</f>
        <v/>
      </c>
      <c r="C1853" s="97">
        <f>IF($B1853=0,0,MAX($E1854:$AR1854))</f>
        <v/>
      </c>
      <c r="D1853" s="98">
        <f>BDS($A1846,FLD_PROJ,"headers=y","startcol=1","endcol=3","dir=h")</f>
        <v/>
      </c>
      <c r="E1853" s="99" t="n"/>
      <c r="F1853" s="99" t="n"/>
      <c r="G1853" s="99" t="n"/>
      <c r="H1853" s="99" t="n"/>
      <c r="I1853" s="99" t="n"/>
      <c r="J1853" s="99" t="n"/>
      <c r="K1853" s="99" t="n"/>
      <c r="L1853" s="99" t="n"/>
      <c r="M1853" s="99" t="n"/>
      <c r="N1853" s="99" t="n"/>
      <c r="O1853" s="99" t="n"/>
      <c r="P1853" s="99" t="n"/>
      <c r="Q1853" s="99" t="n"/>
      <c r="R1853" s="99" t="n"/>
      <c r="S1853" s="99" t="n"/>
      <c r="T1853" s="99" t="n"/>
      <c r="U1853" s="99" t="n"/>
      <c r="V1853" s="99" t="n"/>
      <c r="W1853" s="99" t="n"/>
      <c r="X1853" s="99" t="n"/>
      <c r="Y1853" s="99" t="n"/>
      <c r="Z1853" s="99" t="n"/>
      <c r="AA1853" s="99" t="n"/>
      <c r="AB1853" s="99" t="n"/>
      <c r="AC1853" s="99" t="n"/>
      <c r="AD1853" s="99" t="n"/>
      <c r="AE1853" s="99" t="n"/>
      <c r="AF1853" s="99" t="n"/>
      <c r="AG1853" s="99" t="n"/>
      <c r="AH1853" s="99" t="n"/>
      <c r="AI1853" s="99" t="n"/>
      <c r="AJ1853" s="99" t="n"/>
      <c r="AK1853" s="99" t="n"/>
      <c r="AL1853" s="99" t="n"/>
      <c r="AM1853" s="99" t="n"/>
      <c r="AN1853" s="99" t="n"/>
      <c r="AO1853" s="99" t="n"/>
      <c r="AP1853" s="99" t="n"/>
      <c r="AQ1853" s="99" t="n"/>
      <c r="AR1853" s="99" t="n"/>
    </row>
    <row r="1854">
      <c r="D1854" s="99" t="n"/>
      <c r="E1854" s="99" t="n"/>
      <c r="F1854" s="99" t="n"/>
      <c r="G1854" s="99" t="n"/>
      <c r="H1854" s="99" t="n"/>
      <c r="I1854" s="99" t="n"/>
      <c r="J1854" s="99" t="n"/>
      <c r="K1854" s="99" t="n"/>
      <c r="L1854" s="99" t="n"/>
      <c r="M1854" s="99" t="n"/>
      <c r="N1854" s="99" t="n"/>
      <c r="O1854" s="99" t="n"/>
      <c r="P1854" s="99" t="n"/>
      <c r="Q1854" s="99" t="n"/>
      <c r="R1854" s="99" t="n"/>
      <c r="S1854" s="99" t="n"/>
      <c r="T1854" s="99" t="n"/>
      <c r="U1854" s="99" t="n"/>
      <c r="V1854" s="99" t="n"/>
      <c r="W1854" s="99" t="n"/>
      <c r="X1854" s="99" t="n"/>
      <c r="Y1854" s="99" t="n"/>
      <c r="Z1854" s="99" t="n"/>
      <c r="AA1854" s="99" t="n"/>
      <c r="AB1854" s="99" t="n"/>
      <c r="AC1854" s="99" t="n"/>
      <c r="AD1854" s="99" t="n"/>
      <c r="AE1854" s="99" t="n"/>
      <c r="AF1854" s="99" t="n"/>
      <c r="AG1854" s="99" t="n"/>
      <c r="AH1854" s="99" t="n"/>
      <c r="AI1854" s="99" t="n"/>
      <c r="AJ1854" s="99" t="n"/>
      <c r="AK1854" s="99" t="n"/>
      <c r="AL1854" s="99" t="n"/>
      <c r="AM1854" s="99" t="n"/>
      <c r="AN1854" s="99" t="n"/>
      <c r="AO1854" s="99" t="n"/>
      <c r="AP1854" s="99" t="n"/>
      <c r="AQ1854" s="99" t="n"/>
      <c r="AR1854" s="99" t="n"/>
    </row>
    <row r="1855">
      <c r="D1855" s="100" t="n"/>
      <c r="E1855" s="100" t="n"/>
      <c r="F1855" s="100" t="n"/>
      <c r="G1855" s="100" t="n"/>
      <c r="H1855" s="100" t="n"/>
      <c r="I1855" s="100" t="n"/>
      <c r="J1855" s="100" t="n"/>
      <c r="K1855" s="100" t="n"/>
      <c r="L1855" s="100" t="n"/>
      <c r="M1855" s="100" t="n"/>
      <c r="N1855" s="100" t="n"/>
      <c r="O1855" s="100" t="n"/>
      <c r="P1855" s="100" t="n"/>
      <c r="Q1855" s="100" t="n"/>
      <c r="R1855" s="100" t="n"/>
      <c r="S1855" s="100" t="n"/>
      <c r="T1855" s="100" t="n"/>
      <c r="U1855" s="100" t="n"/>
      <c r="V1855" s="100" t="n"/>
      <c r="W1855" s="100" t="n"/>
      <c r="X1855" s="100" t="n"/>
      <c r="Y1855" s="100" t="n"/>
      <c r="Z1855" s="100" t="n"/>
      <c r="AA1855" s="100" t="n"/>
      <c r="AB1855" s="100" t="n"/>
      <c r="AC1855" s="100" t="n"/>
      <c r="AD1855" s="100" t="n"/>
      <c r="AE1855" s="100" t="n"/>
      <c r="AF1855" s="100" t="n"/>
      <c r="AG1855" s="100" t="n"/>
      <c r="AH1855" s="100" t="n"/>
      <c r="AI1855" s="100" t="n"/>
      <c r="AJ1855" s="100" t="n"/>
      <c r="AK1855" s="100" t="n"/>
      <c r="AL1855" s="100" t="n"/>
      <c r="AM1855" s="100" t="n"/>
      <c r="AN1855" s="100" t="n"/>
      <c r="AO1855" s="100" t="n"/>
      <c r="AP1855" s="100" t="n"/>
      <c r="AQ1855" s="100" t="n"/>
      <c r="AR1855" s="100" t="n"/>
    </row>
    <row r="1857">
      <c r="A1857" s="6">
        <f>IF(HSCEI!$C$34="","",HSCEI!$C$34)</f>
        <v/>
      </c>
      <c r="B1857" s="96">
        <f>IF($A1857="",0,COUNT($E1858:$AR1858))</f>
        <v/>
      </c>
      <c r="C1857" s="97">
        <f>IF($B1857=0,0,MAX($E1858:$AR1858))</f>
        <v/>
      </c>
      <c r="D1857" s="98">
        <f>BDS($A1857,FLD_HIST,"headers=y","startcol=1","endcol=7","dir=h","DVD_START_DT",HIST_FROM,"DVD_END_DT",HIST_TO)</f>
        <v/>
      </c>
      <c r="E1857" s="99" t="n"/>
      <c r="F1857" s="99" t="n"/>
      <c r="G1857" s="99" t="n"/>
      <c r="H1857" s="99" t="n"/>
      <c r="I1857" s="99" t="n"/>
      <c r="J1857" s="99" t="n"/>
      <c r="K1857" s="99" t="n"/>
      <c r="L1857" s="99" t="n"/>
      <c r="M1857" s="99" t="n"/>
      <c r="N1857" s="99" t="n"/>
      <c r="O1857" s="99" t="n"/>
      <c r="P1857" s="99" t="n"/>
      <c r="Q1857" s="99" t="n"/>
      <c r="R1857" s="99" t="n"/>
      <c r="S1857" s="99" t="n"/>
      <c r="T1857" s="99" t="n"/>
      <c r="U1857" s="99" t="n"/>
      <c r="V1857" s="99" t="n"/>
      <c r="W1857" s="99" t="n"/>
      <c r="X1857" s="99" t="n"/>
      <c r="Y1857" s="99" t="n"/>
      <c r="Z1857" s="99" t="n"/>
      <c r="AA1857" s="99" t="n"/>
      <c r="AB1857" s="99" t="n"/>
      <c r="AC1857" s="99" t="n"/>
      <c r="AD1857" s="99" t="n"/>
      <c r="AE1857" s="99" t="n"/>
      <c r="AF1857" s="99" t="n"/>
      <c r="AG1857" s="99" t="n"/>
      <c r="AH1857" s="99" t="n"/>
      <c r="AI1857" s="99" t="n"/>
      <c r="AJ1857" s="99" t="n"/>
      <c r="AK1857" s="99" t="n"/>
      <c r="AL1857" s="99" t="n"/>
      <c r="AM1857" s="99" t="n"/>
      <c r="AN1857" s="99" t="n"/>
      <c r="AO1857" s="99" t="n"/>
      <c r="AP1857" s="99" t="n"/>
      <c r="AQ1857" s="99" t="n"/>
      <c r="AR1857" s="99" t="n"/>
    </row>
    <row r="1858">
      <c r="D1858" s="99" t="n"/>
      <c r="E1858" s="99" t="n"/>
      <c r="F1858" s="99" t="n"/>
      <c r="G1858" s="99" t="n"/>
      <c r="H1858" s="99" t="n"/>
      <c r="I1858" s="99" t="n"/>
      <c r="J1858" s="99" t="n"/>
      <c r="K1858" s="99" t="n"/>
      <c r="L1858" s="99" t="n"/>
      <c r="M1858" s="99" t="n"/>
      <c r="N1858" s="99" t="n"/>
      <c r="O1858" s="99" t="n"/>
      <c r="P1858" s="99" t="n"/>
      <c r="Q1858" s="99" t="n"/>
      <c r="R1858" s="99" t="n"/>
      <c r="S1858" s="99" t="n"/>
      <c r="T1858" s="99" t="n"/>
      <c r="U1858" s="99" t="n"/>
      <c r="V1858" s="99" t="n"/>
      <c r="W1858" s="99" t="n"/>
      <c r="X1858" s="99" t="n"/>
      <c r="Y1858" s="99" t="n"/>
      <c r="Z1858" s="99" t="n"/>
      <c r="AA1858" s="99" t="n"/>
      <c r="AB1858" s="99" t="n"/>
      <c r="AC1858" s="99" t="n"/>
      <c r="AD1858" s="99" t="n"/>
      <c r="AE1858" s="99" t="n"/>
      <c r="AF1858" s="99" t="n"/>
      <c r="AG1858" s="99" t="n"/>
      <c r="AH1858" s="99" t="n"/>
      <c r="AI1858" s="99" t="n"/>
      <c r="AJ1858" s="99" t="n"/>
      <c r="AK1858" s="99" t="n"/>
      <c r="AL1858" s="99" t="n"/>
      <c r="AM1858" s="99" t="n"/>
      <c r="AN1858" s="99" t="n"/>
      <c r="AO1858" s="99" t="n"/>
      <c r="AP1858" s="99" t="n"/>
      <c r="AQ1858" s="99" t="n"/>
      <c r="AR1858" s="99" t="n"/>
    </row>
    <row r="1859">
      <c r="D1859" s="99" t="n"/>
      <c r="E1859" s="99" t="n"/>
      <c r="F1859" s="99" t="n"/>
      <c r="G1859" s="99" t="n"/>
      <c r="H1859" s="99" t="n"/>
      <c r="I1859" s="99" t="n"/>
      <c r="J1859" s="99" t="n"/>
      <c r="K1859" s="99" t="n"/>
      <c r="L1859" s="99" t="n"/>
      <c r="M1859" s="99" t="n"/>
      <c r="N1859" s="99" t="n"/>
      <c r="O1859" s="99" t="n"/>
      <c r="P1859" s="99" t="n"/>
      <c r="Q1859" s="99" t="n"/>
      <c r="R1859" s="99" t="n"/>
      <c r="S1859" s="99" t="n"/>
      <c r="T1859" s="99" t="n"/>
      <c r="U1859" s="99" t="n"/>
      <c r="V1859" s="99" t="n"/>
      <c r="W1859" s="99" t="n"/>
      <c r="X1859" s="99" t="n"/>
      <c r="Y1859" s="99" t="n"/>
      <c r="Z1859" s="99" t="n"/>
      <c r="AA1859" s="99" t="n"/>
      <c r="AB1859" s="99" t="n"/>
      <c r="AC1859" s="99" t="n"/>
      <c r="AD1859" s="99" t="n"/>
      <c r="AE1859" s="99" t="n"/>
      <c r="AF1859" s="99" t="n"/>
      <c r="AG1859" s="99" t="n"/>
      <c r="AH1859" s="99" t="n"/>
      <c r="AI1859" s="99" t="n"/>
      <c r="AJ1859" s="99" t="n"/>
      <c r="AK1859" s="99" t="n"/>
      <c r="AL1859" s="99" t="n"/>
      <c r="AM1859" s="99" t="n"/>
      <c r="AN1859" s="99" t="n"/>
      <c r="AO1859" s="99" t="n"/>
      <c r="AP1859" s="99" t="n"/>
      <c r="AQ1859" s="99" t="n"/>
      <c r="AR1859" s="99" t="n"/>
    </row>
    <row r="1860">
      <c r="D1860" s="99" t="n"/>
      <c r="E1860" s="99" t="n"/>
      <c r="F1860" s="99" t="n"/>
      <c r="G1860" s="99" t="n"/>
      <c r="H1860" s="99" t="n"/>
      <c r="I1860" s="99" t="n"/>
      <c r="J1860" s="99" t="n"/>
      <c r="K1860" s="99" t="n"/>
      <c r="L1860" s="99" t="n"/>
      <c r="M1860" s="99" t="n"/>
      <c r="N1860" s="99" t="n"/>
      <c r="O1860" s="99" t="n"/>
      <c r="P1860" s="99" t="n"/>
      <c r="Q1860" s="99" t="n"/>
      <c r="R1860" s="99" t="n"/>
      <c r="S1860" s="99" t="n"/>
      <c r="T1860" s="99" t="n"/>
      <c r="U1860" s="99" t="n"/>
      <c r="V1860" s="99" t="n"/>
      <c r="W1860" s="99" t="n"/>
      <c r="X1860" s="99" t="n"/>
      <c r="Y1860" s="99" t="n"/>
      <c r="Z1860" s="99" t="n"/>
      <c r="AA1860" s="99" t="n"/>
      <c r="AB1860" s="99" t="n"/>
      <c r="AC1860" s="99" t="n"/>
      <c r="AD1860" s="99" t="n"/>
      <c r="AE1860" s="99" t="n"/>
      <c r="AF1860" s="99" t="n"/>
      <c r="AG1860" s="99" t="n"/>
      <c r="AH1860" s="99" t="n"/>
      <c r="AI1860" s="99" t="n"/>
      <c r="AJ1860" s="99" t="n"/>
      <c r="AK1860" s="99" t="n"/>
      <c r="AL1860" s="99" t="n"/>
      <c r="AM1860" s="99" t="n"/>
      <c r="AN1860" s="99" t="n"/>
      <c r="AO1860" s="99" t="n"/>
      <c r="AP1860" s="99" t="n"/>
      <c r="AQ1860" s="99" t="n"/>
      <c r="AR1860" s="99" t="n"/>
    </row>
    <row r="1861">
      <c r="D1861" s="100" t="n"/>
      <c r="E1861" s="100" t="n"/>
      <c r="F1861" s="100" t="n"/>
      <c r="G1861" s="100" t="n"/>
      <c r="H1861" s="100" t="n"/>
      <c r="I1861" s="100" t="n"/>
      <c r="J1861" s="100" t="n"/>
      <c r="K1861" s="100" t="n"/>
      <c r="L1861" s="100" t="n"/>
      <c r="M1861" s="100" t="n"/>
      <c r="N1861" s="100" t="n"/>
      <c r="O1861" s="100" t="n"/>
      <c r="P1861" s="100" t="n"/>
      <c r="Q1861" s="100" t="n"/>
      <c r="R1861" s="100" t="n"/>
      <c r="S1861" s="100" t="n"/>
      <c r="T1861" s="100" t="n"/>
      <c r="U1861" s="100" t="n"/>
      <c r="V1861" s="100" t="n"/>
      <c r="W1861" s="100" t="n"/>
      <c r="X1861" s="100" t="n"/>
      <c r="Y1861" s="100" t="n"/>
      <c r="Z1861" s="100" t="n"/>
      <c r="AA1861" s="100" t="n"/>
      <c r="AB1861" s="100" t="n"/>
      <c r="AC1861" s="100" t="n"/>
      <c r="AD1861" s="100" t="n"/>
      <c r="AE1861" s="100" t="n"/>
      <c r="AF1861" s="100" t="n"/>
      <c r="AG1861" s="100" t="n"/>
      <c r="AH1861" s="100" t="n"/>
      <c r="AI1861" s="100" t="n"/>
      <c r="AJ1861" s="100" t="n"/>
      <c r="AK1861" s="100" t="n"/>
      <c r="AL1861" s="100" t="n"/>
      <c r="AM1861" s="100" t="n"/>
      <c r="AN1861" s="100" t="n"/>
      <c r="AO1861" s="100" t="n"/>
      <c r="AP1861" s="100" t="n"/>
      <c r="AQ1861" s="100" t="n"/>
      <c r="AR1861" s="100" t="n"/>
    </row>
    <row r="1864">
      <c r="A1864" s="2">
        <f>IF($A1857="","","   projections")</f>
        <v/>
      </c>
      <c r="B1864" s="96">
        <f>IF($A1857="",0,COUNT($E1865:$AR1865))</f>
        <v/>
      </c>
      <c r="C1864" s="97">
        <f>IF($B1864=0,0,MAX($E1865:$AR1865))</f>
        <v/>
      </c>
      <c r="D1864" s="98">
        <f>BDS($A1857,FLD_PROJ,"headers=y","startcol=1","endcol=3","dir=h")</f>
        <v/>
      </c>
      <c r="E1864" s="99" t="n"/>
      <c r="F1864" s="99" t="n"/>
      <c r="G1864" s="99" t="n"/>
      <c r="H1864" s="99" t="n"/>
      <c r="I1864" s="99" t="n"/>
      <c r="J1864" s="99" t="n"/>
      <c r="K1864" s="99" t="n"/>
      <c r="L1864" s="99" t="n"/>
      <c r="M1864" s="99" t="n"/>
      <c r="N1864" s="99" t="n"/>
      <c r="O1864" s="99" t="n"/>
      <c r="P1864" s="99" t="n"/>
      <c r="Q1864" s="99" t="n"/>
      <c r="R1864" s="99" t="n"/>
      <c r="S1864" s="99" t="n"/>
      <c r="T1864" s="99" t="n"/>
      <c r="U1864" s="99" t="n"/>
      <c r="V1864" s="99" t="n"/>
      <c r="W1864" s="99" t="n"/>
      <c r="X1864" s="99" t="n"/>
      <c r="Y1864" s="99" t="n"/>
      <c r="Z1864" s="99" t="n"/>
      <c r="AA1864" s="99" t="n"/>
      <c r="AB1864" s="99" t="n"/>
      <c r="AC1864" s="99" t="n"/>
      <c r="AD1864" s="99" t="n"/>
      <c r="AE1864" s="99" t="n"/>
      <c r="AF1864" s="99" t="n"/>
      <c r="AG1864" s="99" t="n"/>
      <c r="AH1864" s="99" t="n"/>
      <c r="AI1864" s="99" t="n"/>
      <c r="AJ1864" s="99" t="n"/>
      <c r="AK1864" s="99" t="n"/>
      <c r="AL1864" s="99" t="n"/>
      <c r="AM1864" s="99" t="n"/>
      <c r="AN1864" s="99" t="n"/>
      <c r="AO1864" s="99" t="n"/>
      <c r="AP1864" s="99" t="n"/>
      <c r="AQ1864" s="99" t="n"/>
      <c r="AR1864" s="99" t="n"/>
    </row>
    <row r="1865">
      <c r="D1865" s="99" t="n"/>
      <c r="E1865" s="99" t="n"/>
      <c r="F1865" s="99" t="n"/>
      <c r="G1865" s="99" t="n"/>
      <c r="H1865" s="99" t="n"/>
      <c r="I1865" s="99" t="n"/>
      <c r="J1865" s="99" t="n"/>
      <c r="K1865" s="99" t="n"/>
      <c r="L1865" s="99" t="n"/>
      <c r="M1865" s="99" t="n"/>
      <c r="N1865" s="99" t="n"/>
      <c r="O1865" s="99" t="n"/>
      <c r="P1865" s="99" t="n"/>
      <c r="Q1865" s="99" t="n"/>
      <c r="R1865" s="99" t="n"/>
      <c r="S1865" s="99" t="n"/>
      <c r="T1865" s="99" t="n"/>
      <c r="U1865" s="99" t="n"/>
      <c r="V1865" s="99" t="n"/>
      <c r="W1865" s="99" t="n"/>
      <c r="X1865" s="99" t="n"/>
      <c r="Y1865" s="99" t="n"/>
      <c r="Z1865" s="99" t="n"/>
      <c r="AA1865" s="99" t="n"/>
      <c r="AB1865" s="99" t="n"/>
      <c r="AC1865" s="99" t="n"/>
      <c r="AD1865" s="99" t="n"/>
      <c r="AE1865" s="99" t="n"/>
      <c r="AF1865" s="99" t="n"/>
      <c r="AG1865" s="99" t="n"/>
      <c r="AH1865" s="99" t="n"/>
      <c r="AI1865" s="99" t="n"/>
      <c r="AJ1865" s="99" t="n"/>
      <c r="AK1865" s="99" t="n"/>
      <c r="AL1865" s="99" t="n"/>
      <c r="AM1865" s="99" t="n"/>
      <c r="AN1865" s="99" t="n"/>
      <c r="AO1865" s="99" t="n"/>
      <c r="AP1865" s="99" t="n"/>
      <c r="AQ1865" s="99" t="n"/>
      <c r="AR1865" s="99" t="n"/>
    </row>
    <row r="1866">
      <c r="D1866" s="100" t="n"/>
      <c r="E1866" s="100" t="n"/>
      <c r="F1866" s="100" t="n"/>
      <c r="G1866" s="100" t="n"/>
      <c r="H1866" s="100" t="n"/>
      <c r="I1866" s="100" t="n"/>
      <c r="J1866" s="100" t="n"/>
      <c r="K1866" s="100" t="n"/>
      <c r="L1866" s="100" t="n"/>
      <c r="M1866" s="100" t="n"/>
      <c r="N1866" s="100" t="n"/>
      <c r="O1866" s="100" t="n"/>
      <c r="P1866" s="100" t="n"/>
      <c r="Q1866" s="100" t="n"/>
      <c r="R1866" s="100" t="n"/>
      <c r="S1866" s="100" t="n"/>
      <c r="T1866" s="100" t="n"/>
      <c r="U1866" s="100" t="n"/>
      <c r="V1866" s="100" t="n"/>
      <c r="W1866" s="100" t="n"/>
      <c r="X1866" s="100" t="n"/>
      <c r="Y1866" s="100" t="n"/>
      <c r="Z1866" s="100" t="n"/>
      <c r="AA1866" s="100" t="n"/>
      <c r="AB1866" s="100" t="n"/>
      <c r="AC1866" s="100" t="n"/>
      <c r="AD1866" s="100" t="n"/>
      <c r="AE1866" s="100" t="n"/>
      <c r="AF1866" s="100" t="n"/>
      <c r="AG1866" s="100" t="n"/>
      <c r="AH1866" s="100" t="n"/>
      <c r="AI1866" s="100" t="n"/>
      <c r="AJ1866" s="100" t="n"/>
      <c r="AK1866" s="100" t="n"/>
      <c r="AL1866" s="100" t="n"/>
      <c r="AM1866" s="100" t="n"/>
      <c r="AN1866" s="100" t="n"/>
      <c r="AO1866" s="100" t="n"/>
      <c r="AP1866" s="100" t="n"/>
      <c r="AQ1866" s="100" t="n"/>
      <c r="AR1866" s="100" t="n"/>
    </row>
    <row r="1868">
      <c r="A1868" s="6">
        <f>IF(HSCEI!$C$35="","",HSCEI!$C$35)</f>
        <v/>
      </c>
      <c r="B1868" s="96">
        <f>IF($A1868="",0,COUNT($E1869:$AR1869))</f>
        <v/>
      </c>
      <c r="C1868" s="97">
        <f>IF($B1868=0,0,MAX($E1869:$AR1869))</f>
        <v/>
      </c>
      <c r="D1868" s="98">
        <f>BDS($A1868,FLD_HIST,"headers=y","startcol=1","endcol=7","dir=h","DVD_START_DT",HIST_FROM,"DVD_END_DT",HIST_TO)</f>
        <v/>
      </c>
      <c r="E1868" s="99" t="n"/>
      <c r="F1868" s="99" t="n"/>
      <c r="G1868" s="99" t="n"/>
      <c r="H1868" s="99" t="n"/>
      <c r="I1868" s="99" t="n"/>
      <c r="J1868" s="99" t="n"/>
      <c r="K1868" s="99" t="n"/>
      <c r="L1868" s="99" t="n"/>
      <c r="M1868" s="99" t="n"/>
      <c r="N1868" s="99" t="n"/>
      <c r="O1868" s="99" t="n"/>
      <c r="P1868" s="99" t="n"/>
      <c r="Q1868" s="99" t="n"/>
      <c r="R1868" s="99" t="n"/>
      <c r="S1868" s="99" t="n"/>
      <c r="T1868" s="99" t="n"/>
      <c r="U1868" s="99" t="n"/>
      <c r="V1868" s="99" t="n"/>
      <c r="W1868" s="99" t="n"/>
      <c r="X1868" s="99" t="n"/>
      <c r="Y1868" s="99" t="n"/>
      <c r="Z1868" s="99" t="n"/>
      <c r="AA1868" s="99" t="n"/>
      <c r="AB1868" s="99" t="n"/>
      <c r="AC1868" s="99" t="n"/>
      <c r="AD1868" s="99" t="n"/>
      <c r="AE1868" s="99" t="n"/>
      <c r="AF1868" s="99" t="n"/>
      <c r="AG1868" s="99" t="n"/>
      <c r="AH1868" s="99" t="n"/>
      <c r="AI1868" s="99" t="n"/>
      <c r="AJ1868" s="99" t="n"/>
      <c r="AK1868" s="99" t="n"/>
      <c r="AL1868" s="99" t="n"/>
      <c r="AM1868" s="99" t="n"/>
      <c r="AN1868" s="99" t="n"/>
      <c r="AO1868" s="99" t="n"/>
      <c r="AP1868" s="99" t="n"/>
      <c r="AQ1868" s="99" t="n"/>
      <c r="AR1868" s="99" t="n"/>
    </row>
    <row r="1869">
      <c r="D1869" s="99" t="n"/>
      <c r="E1869" s="99" t="n"/>
      <c r="F1869" s="99" t="n"/>
      <c r="G1869" s="99" t="n"/>
      <c r="H1869" s="99" t="n"/>
      <c r="I1869" s="99" t="n"/>
      <c r="J1869" s="99" t="n"/>
      <c r="K1869" s="99" t="n"/>
      <c r="L1869" s="99" t="n"/>
      <c r="M1869" s="99" t="n"/>
      <c r="N1869" s="99" t="n"/>
      <c r="O1869" s="99" t="n"/>
      <c r="P1869" s="99" t="n"/>
      <c r="Q1869" s="99" t="n"/>
      <c r="R1869" s="99" t="n"/>
      <c r="S1869" s="99" t="n"/>
      <c r="T1869" s="99" t="n"/>
      <c r="U1869" s="99" t="n"/>
      <c r="V1869" s="99" t="n"/>
      <c r="W1869" s="99" t="n"/>
      <c r="X1869" s="99" t="n"/>
      <c r="Y1869" s="99" t="n"/>
      <c r="Z1869" s="99" t="n"/>
      <c r="AA1869" s="99" t="n"/>
      <c r="AB1869" s="99" t="n"/>
      <c r="AC1869" s="99" t="n"/>
      <c r="AD1869" s="99" t="n"/>
      <c r="AE1869" s="99" t="n"/>
      <c r="AF1869" s="99" t="n"/>
      <c r="AG1869" s="99" t="n"/>
      <c r="AH1869" s="99" t="n"/>
      <c r="AI1869" s="99" t="n"/>
      <c r="AJ1869" s="99" t="n"/>
      <c r="AK1869" s="99" t="n"/>
      <c r="AL1869" s="99" t="n"/>
      <c r="AM1869" s="99" t="n"/>
      <c r="AN1869" s="99" t="n"/>
      <c r="AO1869" s="99" t="n"/>
      <c r="AP1869" s="99" t="n"/>
      <c r="AQ1869" s="99" t="n"/>
      <c r="AR1869" s="99" t="n"/>
    </row>
    <row r="1870">
      <c r="D1870" s="99" t="n"/>
      <c r="E1870" s="99" t="n"/>
      <c r="F1870" s="99" t="n"/>
      <c r="G1870" s="99" t="n"/>
      <c r="H1870" s="99" t="n"/>
      <c r="I1870" s="99" t="n"/>
      <c r="J1870" s="99" t="n"/>
      <c r="K1870" s="99" t="n"/>
      <c r="L1870" s="99" t="n"/>
      <c r="M1870" s="99" t="n"/>
      <c r="N1870" s="99" t="n"/>
      <c r="O1870" s="99" t="n"/>
      <c r="P1870" s="99" t="n"/>
      <c r="Q1870" s="99" t="n"/>
      <c r="R1870" s="99" t="n"/>
      <c r="S1870" s="99" t="n"/>
      <c r="T1870" s="99" t="n"/>
      <c r="U1870" s="99" t="n"/>
      <c r="V1870" s="99" t="n"/>
      <c r="W1870" s="99" t="n"/>
      <c r="X1870" s="99" t="n"/>
      <c r="Y1870" s="99" t="n"/>
      <c r="Z1870" s="99" t="n"/>
      <c r="AA1870" s="99" t="n"/>
      <c r="AB1870" s="99" t="n"/>
      <c r="AC1870" s="99" t="n"/>
      <c r="AD1870" s="99" t="n"/>
      <c r="AE1870" s="99" t="n"/>
      <c r="AF1870" s="99" t="n"/>
      <c r="AG1870" s="99" t="n"/>
      <c r="AH1870" s="99" t="n"/>
      <c r="AI1870" s="99" t="n"/>
      <c r="AJ1870" s="99" t="n"/>
      <c r="AK1870" s="99" t="n"/>
      <c r="AL1870" s="99" t="n"/>
      <c r="AM1870" s="99" t="n"/>
      <c r="AN1870" s="99" t="n"/>
      <c r="AO1870" s="99" t="n"/>
      <c r="AP1870" s="99" t="n"/>
      <c r="AQ1870" s="99" t="n"/>
      <c r="AR1870" s="99" t="n"/>
    </row>
    <row r="1871">
      <c r="D1871" s="99" t="n"/>
      <c r="E1871" s="99" t="n"/>
      <c r="F1871" s="99" t="n"/>
      <c r="G1871" s="99" t="n"/>
      <c r="H1871" s="99" t="n"/>
      <c r="I1871" s="99" t="n"/>
      <c r="J1871" s="99" t="n"/>
      <c r="K1871" s="99" t="n"/>
      <c r="L1871" s="99" t="n"/>
      <c r="M1871" s="99" t="n"/>
      <c r="N1871" s="99" t="n"/>
      <c r="O1871" s="99" t="n"/>
      <c r="P1871" s="99" t="n"/>
      <c r="Q1871" s="99" t="n"/>
      <c r="R1871" s="99" t="n"/>
      <c r="S1871" s="99" t="n"/>
      <c r="T1871" s="99" t="n"/>
      <c r="U1871" s="99" t="n"/>
      <c r="V1871" s="99" t="n"/>
      <c r="W1871" s="99" t="n"/>
      <c r="X1871" s="99" t="n"/>
      <c r="Y1871" s="99" t="n"/>
      <c r="Z1871" s="99" t="n"/>
      <c r="AA1871" s="99" t="n"/>
      <c r="AB1871" s="99" t="n"/>
      <c r="AC1871" s="99" t="n"/>
      <c r="AD1871" s="99" t="n"/>
      <c r="AE1871" s="99" t="n"/>
      <c r="AF1871" s="99" t="n"/>
      <c r="AG1871" s="99" t="n"/>
      <c r="AH1871" s="99" t="n"/>
      <c r="AI1871" s="99" t="n"/>
      <c r="AJ1871" s="99" t="n"/>
      <c r="AK1871" s="99" t="n"/>
      <c r="AL1871" s="99" t="n"/>
      <c r="AM1871" s="99" t="n"/>
      <c r="AN1871" s="99" t="n"/>
      <c r="AO1871" s="99" t="n"/>
      <c r="AP1871" s="99" t="n"/>
      <c r="AQ1871" s="99" t="n"/>
      <c r="AR1871" s="99" t="n"/>
    </row>
    <row r="1872">
      <c r="D1872" s="100" t="n"/>
      <c r="E1872" s="100" t="n"/>
      <c r="F1872" s="100" t="n"/>
      <c r="G1872" s="100" t="n"/>
      <c r="H1872" s="100" t="n"/>
      <c r="I1872" s="100" t="n"/>
      <c r="J1872" s="100" t="n"/>
      <c r="K1872" s="100" t="n"/>
      <c r="L1872" s="100" t="n"/>
      <c r="M1872" s="100" t="n"/>
      <c r="N1872" s="100" t="n"/>
      <c r="O1872" s="100" t="n"/>
      <c r="P1872" s="100" t="n"/>
      <c r="Q1872" s="100" t="n"/>
      <c r="R1872" s="100" t="n"/>
      <c r="S1872" s="100" t="n"/>
      <c r="T1872" s="100" t="n"/>
      <c r="U1872" s="100" t="n"/>
      <c r="V1872" s="100" t="n"/>
      <c r="W1872" s="100" t="n"/>
      <c r="X1872" s="100" t="n"/>
      <c r="Y1872" s="100" t="n"/>
      <c r="Z1872" s="100" t="n"/>
      <c r="AA1872" s="100" t="n"/>
      <c r="AB1872" s="100" t="n"/>
      <c r="AC1872" s="100" t="n"/>
      <c r="AD1872" s="100" t="n"/>
      <c r="AE1872" s="100" t="n"/>
      <c r="AF1872" s="100" t="n"/>
      <c r="AG1872" s="100" t="n"/>
      <c r="AH1872" s="100" t="n"/>
      <c r="AI1872" s="100" t="n"/>
      <c r="AJ1872" s="100" t="n"/>
      <c r="AK1872" s="100" t="n"/>
      <c r="AL1872" s="100" t="n"/>
      <c r="AM1872" s="100" t="n"/>
      <c r="AN1872" s="100" t="n"/>
      <c r="AO1872" s="100" t="n"/>
      <c r="AP1872" s="100" t="n"/>
      <c r="AQ1872" s="100" t="n"/>
      <c r="AR1872" s="100" t="n"/>
    </row>
    <row r="1875">
      <c r="A1875" s="2">
        <f>IF($A1868="","","   projections")</f>
        <v/>
      </c>
      <c r="B1875" s="96">
        <f>IF($A1868="",0,COUNT($E1876:$AR1876))</f>
        <v/>
      </c>
      <c r="C1875" s="97">
        <f>IF($B1875=0,0,MAX($E1876:$AR1876))</f>
        <v/>
      </c>
      <c r="D1875" s="98">
        <f>BDS($A1868,FLD_PROJ,"headers=y","startcol=1","endcol=3","dir=h")</f>
        <v/>
      </c>
      <c r="E1875" s="99" t="n"/>
      <c r="F1875" s="99" t="n"/>
      <c r="G1875" s="99" t="n"/>
      <c r="H1875" s="99" t="n"/>
      <c r="I1875" s="99" t="n"/>
      <c r="J1875" s="99" t="n"/>
      <c r="K1875" s="99" t="n"/>
      <c r="L1875" s="99" t="n"/>
      <c r="M1875" s="99" t="n"/>
      <c r="N1875" s="99" t="n"/>
      <c r="O1875" s="99" t="n"/>
      <c r="P1875" s="99" t="n"/>
      <c r="Q1875" s="99" t="n"/>
      <c r="R1875" s="99" t="n"/>
      <c r="S1875" s="99" t="n"/>
      <c r="T1875" s="99" t="n"/>
      <c r="U1875" s="99" t="n"/>
      <c r="V1875" s="99" t="n"/>
      <c r="W1875" s="99" t="n"/>
      <c r="X1875" s="99" t="n"/>
      <c r="Y1875" s="99" t="n"/>
      <c r="Z1875" s="99" t="n"/>
      <c r="AA1875" s="99" t="n"/>
      <c r="AB1875" s="99" t="n"/>
      <c r="AC1875" s="99" t="n"/>
      <c r="AD1875" s="99" t="n"/>
      <c r="AE1875" s="99" t="n"/>
      <c r="AF1875" s="99" t="n"/>
      <c r="AG1875" s="99" t="n"/>
      <c r="AH1875" s="99" t="n"/>
      <c r="AI1875" s="99" t="n"/>
      <c r="AJ1875" s="99" t="n"/>
      <c r="AK1875" s="99" t="n"/>
      <c r="AL1875" s="99" t="n"/>
      <c r="AM1875" s="99" t="n"/>
      <c r="AN1875" s="99" t="n"/>
      <c r="AO1875" s="99" t="n"/>
      <c r="AP1875" s="99" t="n"/>
      <c r="AQ1875" s="99" t="n"/>
      <c r="AR1875" s="99" t="n"/>
    </row>
    <row r="1876">
      <c r="D1876" s="99" t="n"/>
      <c r="E1876" s="99" t="n"/>
      <c r="F1876" s="99" t="n"/>
      <c r="G1876" s="99" t="n"/>
      <c r="H1876" s="99" t="n"/>
      <c r="I1876" s="99" t="n"/>
      <c r="J1876" s="99" t="n"/>
      <c r="K1876" s="99" t="n"/>
      <c r="L1876" s="99" t="n"/>
      <c r="M1876" s="99" t="n"/>
      <c r="N1876" s="99" t="n"/>
      <c r="O1876" s="99" t="n"/>
      <c r="P1876" s="99" t="n"/>
      <c r="Q1876" s="99" t="n"/>
      <c r="R1876" s="99" t="n"/>
      <c r="S1876" s="99" t="n"/>
      <c r="T1876" s="99" t="n"/>
      <c r="U1876" s="99" t="n"/>
      <c r="V1876" s="99" t="n"/>
      <c r="W1876" s="99" t="n"/>
      <c r="X1876" s="99" t="n"/>
      <c r="Y1876" s="99" t="n"/>
      <c r="Z1876" s="99" t="n"/>
      <c r="AA1876" s="99" t="n"/>
      <c r="AB1876" s="99" t="n"/>
      <c r="AC1876" s="99" t="n"/>
      <c r="AD1876" s="99" t="n"/>
      <c r="AE1876" s="99" t="n"/>
      <c r="AF1876" s="99" t="n"/>
      <c r="AG1876" s="99" t="n"/>
      <c r="AH1876" s="99" t="n"/>
      <c r="AI1876" s="99" t="n"/>
      <c r="AJ1876" s="99" t="n"/>
      <c r="AK1876" s="99" t="n"/>
      <c r="AL1876" s="99" t="n"/>
      <c r="AM1876" s="99" t="n"/>
      <c r="AN1876" s="99" t="n"/>
      <c r="AO1876" s="99" t="n"/>
      <c r="AP1876" s="99" t="n"/>
      <c r="AQ1876" s="99" t="n"/>
      <c r="AR1876" s="99" t="n"/>
    </row>
    <row r="1877">
      <c r="D1877" s="100" t="n"/>
      <c r="E1877" s="100" t="n"/>
      <c r="F1877" s="100" t="n"/>
      <c r="G1877" s="100" t="n"/>
      <c r="H1877" s="100" t="n"/>
      <c r="I1877" s="100" t="n"/>
      <c r="J1877" s="100" t="n"/>
      <c r="K1877" s="100" t="n"/>
      <c r="L1877" s="100" t="n"/>
      <c r="M1877" s="100" t="n"/>
      <c r="N1877" s="100" t="n"/>
      <c r="O1877" s="100" t="n"/>
      <c r="P1877" s="100" t="n"/>
      <c r="Q1877" s="100" t="n"/>
      <c r="R1877" s="100" t="n"/>
      <c r="S1877" s="100" t="n"/>
      <c r="T1877" s="100" t="n"/>
      <c r="U1877" s="100" t="n"/>
      <c r="V1877" s="100" t="n"/>
      <c r="W1877" s="100" t="n"/>
      <c r="X1877" s="100" t="n"/>
      <c r="Y1877" s="100" t="n"/>
      <c r="Z1877" s="100" t="n"/>
      <c r="AA1877" s="100" t="n"/>
      <c r="AB1877" s="100" t="n"/>
      <c r="AC1877" s="100" t="n"/>
      <c r="AD1877" s="100" t="n"/>
      <c r="AE1877" s="100" t="n"/>
      <c r="AF1877" s="100" t="n"/>
      <c r="AG1877" s="100" t="n"/>
      <c r="AH1877" s="100" t="n"/>
      <c r="AI1877" s="100" t="n"/>
      <c r="AJ1877" s="100" t="n"/>
      <c r="AK1877" s="100" t="n"/>
      <c r="AL1877" s="100" t="n"/>
      <c r="AM1877" s="100" t="n"/>
      <c r="AN1877" s="100" t="n"/>
      <c r="AO1877" s="100" t="n"/>
      <c r="AP1877" s="100" t="n"/>
      <c r="AQ1877" s="100" t="n"/>
      <c r="AR1877" s="100" t="n"/>
    </row>
    <row r="1879">
      <c r="A1879" s="6">
        <f>IF(HSCEI!$C$36="","",HSCEI!$C$36)</f>
        <v/>
      </c>
      <c r="B1879" s="96">
        <f>IF($A1879="",0,COUNT($E1880:$AR1880))</f>
        <v/>
      </c>
      <c r="C1879" s="97">
        <f>IF($B1879=0,0,MAX($E1880:$AR1880))</f>
        <v/>
      </c>
      <c r="D1879" s="98">
        <f>BDS($A1879,FLD_HIST,"headers=y","startcol=1","endcol=7","dir=h","DVD_START_DT",HIST_FROM,"DVD_END_DT",HIST_TO)</f>
        <v/>
      </c>
      <c r="E1879" s="99" t="n"/>
      <c r="F1879" s="99" t="n"/>
      <c r="G1879" s="99" t="n"/>
      <c r="H1879" s="99" t="n"/>
      <c r="I1879" s="99" t="n"/>
      <c r="J1879" s="99" t="n"/>
      <c r="K1879" s="99" t="n"/>
      <c r="L1879" s="99" t="n"/>
      <c r="M1879" s="99" t="n"/>
      <c r="N1879" s="99" t="n"/>
      <c r="O1879" s="99" t="n"/>
      <c r="P1879" s="99" t="n"/>
      <c r="Q1879" s="99" t="n"/>
      <c r="R1879" s="99" t="n"/>
      <c r="S1879" s="99" t="n"/>
      <c r="T1879" s="99" t="n"/>
      <c r="U1879" s="99" t="n"/>
      <c r="V1879" s="99" t="n"/>
      <c r="W1879" s="99" t="n"/>
      <c r="X1879" s="99" t="n"/>
      <c r="Y1879" s="99" t="n"/>
      <c r="Z1879" s="99" t="n"/>
      <c r="AA1879" s="99" t="n"/>
      <c r="AB1879" s="99" t="n"/>
      <c r="AC1879" s="99" t="n"/>
      <c r="AD1879" s="99" t="n"/>
      <c r="AE1879" s="99" t="n"/>
      <c r="AF1879" s="99" t="n"/>
      <c r="AG1879" s="99" t="n"/>
      <c r="AH1879" s="99" t="n"/>
      <c r="AI1879" s="99" t="n"/>
      <c r="AJ1879" s="99" t="n"/>
      <c r="AK1879" s="99" t="n"/>
      <c r="AL1879" s="99" t="n"/>
      <c r="AM1879" s="99" t="n"/>
      <c r="AN1879" s="99" t="n"/>
      <c r="AO1879" s="99" t="n"/>
      <c r="AP1879" s="99" t="n"/>
      <c r="AQ1879" s="99" t="n"/>
      <c r="AR1879" s="99" t="n"/>
    </row>
    <row r="1880">
      <c r="D1880" s="99" t="n"/>
      <c r="E1880" s="99" t="n"/>
      <c r="F1880" s="99" t="n"/>
      <c r="G1880" s="99" t="n"/>
      <c r="H1880" s="99" t="n"/>
      <c r="I1880" s="99" t="n"/>
      <c r="J1880" s="99" t="n"/>
      <c r="K1880" s="99" t="n"/>
      <c r="L1880" s="99" t="n"/>
      <c r="M1880" s="99" t="n"/>
      <c r="N1880" s="99" t="n"/>
      <c r="O1880" s="99" t="n"/>
      <c r="P1880" s="99" t="n"/>
      <c r="Q1880" s="99" t="n"/>
      <c r="R1880" s="99" t="n"/>
      <c r="S1880" s="99" t="n"/>
      <c r="T1880" s="99" t="n"/>
      <c r="U1880" s="99" t="n"/>
      <c r="V1880" s="99" t="n"/>
      <c r="W1880" s="99" t="n"/>
      <c r="X1880" s="99" t="n"/>
      <c r="Y1880" s="99" t="n"/>
      <c r="Z1880" s="99" t="n"/>
      <c r="AA1880" s="99" t="n"/>
      <c r="AB1880" s="99" t="n"/>
      <c r="AC1880" s="99" t="n"/>
      <c r="AD1880" s="99" t="n"/>
      <c r="AE1880" s="99" t="n"/>
      <c r="AF1880" s="99" t="n"/>
      <c r="AG1880" s="99" t="n"/>
      <c r="AH1880" s="99" t="n"/>
      <c r="AI1880" s="99" t="n"/>
      <c r="AJ1880" s="99" t="n"/>
      <c r="AK1880" s="99" t="n"/>
      <c r="AL1880" s="99" t="n"/>
      <c r="AM1880" s="99" t="n"/>
      <c r="AN1880" s="99" t="n"/>
      <c r="AO1880" s="99" t="n"/>
      <c r="AP1880" s="99" t="n"/>
      <c r="AQ1880" s="99" t="n"/>
      <c r="AR1880" s="99" t="n"/>
    </row>
    <row r="1881">
      <c r="D1881" s="99" t="n"/>
      <c r="E1881" s="99" t="n"/>
      <c r="F1881" s="99" t="n"/>
      <c r="G1881" s="99" t="n"/>
      <c r="H1881" s="99" t="n"/>
      <c r="I1881" s="99" t="n"/>
      <c r="J1881" s="99" t="n"/>
      <c r="K1881" s="99" t="n"/>
      <c r="L1881" s="99" t="n"/>
      <c r="M1881" s="99" t="n"/>
      <c r="N1881" s="99" t="n"/>
      <c r="O1881" s="99" t="n"/>
      <c r="P1881" s="99" t="n"/>
      <c r="Q1881" s="99" t="n"/>
      <c r="R1881" s="99" t="n"/>
      <c r="S1881" s="99" t="n"/>
      <c r="T1881" s="99" t="n"/>
      <c r="U1881" s="99" t="n"/>
      <c r="V1881" s="99" t="n"/>
      <c r="W1881" s="99" t="n"/>
      <c r="X1881" s="99" t="n"/>
      <c r="Y1881" s="99" t="n"/>
      <c r="Z1881" s="99" t="n"/>
      <c r="AA1881" s="99" t="n"/>
      <c r="AB1881" s="99" t="n"/>
      <c r="AC1881" s="99" t="n"/>
      <c r="AD1881" s="99" t="n"/>
      <c r="AE1881" s="99" t="n"/>
      <c r="AF1881" s="99" t="n"/>
      <c r="AG1881" s="99" t="n"/>
      <c r="AH1881" s="99" t="n"/>
      <c r="AI1881" s="99" t="n"/>
      <c r="AJ1881" s="99" t="n"/>
      <c r="AK1881" s="99" t="n"/>
      <c r="AL1881" s="99" t="n"/>
      <c r="AM1881" s="99" t="n"/>
      <c r="AN1881" s="99" t="n"/>
      <c r="AO1881" s="99" t="n"/>
      <c r="AP1881" s="99" t="n"/>
      <c r="AQ1881" s="99" t="n"/>
      <c r="AR1881" s="99" t="n"/>
    </row>
    <row r="1882">
      <c r="D1882" s="99" t="n"/>
      <c r="E1882" s="99" t="n"/>
      <c r="F1882" s="99" t="n"/>
      <c r="G1882" s="99" t="n"/>
      <c r="H1882" s="99" t="n"/>
      <c r="I1882" s="99" t="n"/>
      <c r="J1882" s="99" t="n"/>
      <c r="K1882" s="99" t="n"/>
      <c r="L1882" s="99" t="n"/>
      <c r="M1882" s="99" t="n"/>
      <c r="N1882" s="99" t="n"/>
      <c r="O1882" s="99" t="n"/>
      <c r="P1882" s="99" t="n"/>
      <c r="Q1882" s="99" t="n"/>
      <c r="R1882" s="99" t="n"/>
      <c r="S1882" s="99" t="n"/>
      <c r="T1882" s="99" t="n"/>
      <c r="U1882" s="99" t="n"/>
      <c r="V1882" s="99" t="n"/>
      <c r="W1882" s="99" t="n"/>
      <c r="X1882" s="99" t="n"/>
      <c r="Y1882" s="99" t="n"/>
      <c r="Z1882" s="99" t="n"/>
      <c r="AA1882" s="99" t="n"/>
      <c r="AB1882" s="99" t="n"/>
      <c r="AC1882" s="99" t="n"/>
      <c r="AD1882" s="99" t="n"/>
      <c r="AE1882" s="99" t="n"/>
      <c r="AF1882" s="99" t="n"/>
      <c r="AG1882" s="99" t="n"/>
      <c r="AH1882" s="99" t="n"/>
      <c r="AI1882" s="99" t="n"/>
      <c r="AJ1882" s="99" t="n"/>
      <c r="AK1882" s="99" t="n"/>
      <c r="AL1882" s="99" t="n"/>
      <c r="AM1882" s="99" t="n"/>
      <c r="AN1882" s="99" t="n"/>
      <c r="AO1882" s="99" t="n"/>
      <c r="AP1882" s="99" t="n"/>
      <c r="AQ1882" s="99" t="n"/>
      <c r="AR1882" s="99" t="n"/>
    </row>
    <row r="1883">
      <c r="D1883" s="100" t="n"/>
      <c r="E1883" s="100" t="n"/>
      <c r="F1883" s="100" t="n"/>
      <c r="G1883" s="100" t="n"/>
      <c r="H1883" s="100" t="n"/>
      <c r="I1883" s="100" t="n"/>
      <c r="J1883" s="100" t="n"/>
      <c r="K1883" s="100" t="n"/>
      <c r="L1883" s="100" t="n"/>
      <c r="M1883" s="100" t="n"/>
      <c r="N1883" s="100" t="n"/>
      <c r="O1883" s="100" t="n"/>
      <c r="P1883" s="100" t="n"/>
      <c r="Q1883" s="100" t="n"/>
      <c r="R1883" s="100" t="n"/>
      <c r="S1883" s="100" t="n"/>
      <c r="T1883" s="100" t="n"/>
      <c r="U1883" s="100" t="n"/>
      <c r="V1883" s="100" t="n"/>
      <c r="W1883" s="100" t="n"/>
      <c r="X1883" s="100" t="n"/>
      <c r="Y1883" s="100" t="n"/>
      <c r="Z1883" s="100" t="n"/>
      <c r="AA1883" s="100" t="n"/>
      <c r="AB1883" s="100" t="n"/>
      <c r="AC1883" s="100" t="n"/>
      <c r="AD1883" s="100" t="n"/>
      <c r="AE1883" s="100" t="n"/>
      <c r="AF1883" s="100" t="n"/>
      <c r="AG1883" s="100" t="n"/>
      <c r="AH1883" s="100" t="n"/>
      <c r="AI1883" s="100" t="n"/>
      <c r="AJ1883" s="100" t="n"/>
      <c r="AK1883" s="100" t="n"/>
      <c r="AL1883" s="100" t="n"/>
      <c r="AM1883" s="100" t="n"/>
      <c r="AN1883" s="100" t="n"/>
      <c r="AO1883" s="100" t="n"/>
      <c r="AP1883" s="100" t="n"/>
      <c r="AQ1883" s="100" t="n"/>
      <c r="AR1883" s="100" t="n"/>
    </row>
    <row r="1886">
      <c r="A1886" s="2">
        <f>IF($A1879="","","   projections")</f>
        <v/>
      </c>
      <c r="B1886" s="96">
        <f>IF($A1879="",0,COUNT($E1887:$AR1887))</f>
        <v/>
      </c>
      <c r="C1886" s="97">
        <f>IF($B1886=0,0,MAX($E1887:$AR1887))</f>
        <v/>
      </c>
      <c r="D1886" s="98">
        <f>BDS($A1879,FLD_PROJ,"headers=y","startcol=1","endcol=3","dir=h")</f>
        <v/>
      </c>
      <c r="E1886" s="99" t="n"/>
      <c r="F1886" s="99" t="n"/>
      <c r="G1886" s="99" t="n"/>
      <c r="H1886" s="99" t="n"/>
      <c r="I1886" s="99" t="n"/>
      <c r="J1886" s="99" t="n"/>
      <c r="K1886" s="99" t="n"/>
      <c r="L1886" s="99" t="n"/>
      <c r="M1886" s="99" t="n"/>
      <c r="N1886" s="99" t="n"/>
      <c r="O1886" s="99" t="n"/>
      <c r="P1886" s="99" t="n"/>
      <c r="Q1886" s="99" t="n"/>
      <c r="R1886" s="99" t="n"/>
      <c r="S1886" s="99" t="n"/>
      <c r="T1886" s="99" t="n"/>
      <c r="U1886" s="99" t="n"/>
      <c r="V1886" s="99" t="n"/>
      <c r="W1886" s="99" t="n"/>
      <c r="X1886" s="99" t="n"/>
      <c r="Y1886" s="99" t="n"/>
      <c r="Z1886" s="99" t="n"/>
      <c r="AA1886" s="99" t="n"/>
      <c r="AB1886" s="99" t="n"/>
      <c r="AC1886" s="99" t="n"/>
      <c r="AD1886" s="99" t="n"/>
      <c r="AE1886" s="99" t="n"/>
      <c r="AF1886" s="99" t="n"/>
      <c r="AG1886" s="99" t="n"/>
      <c r="AH1886" s="99" t="n"/>
      <c r="AI1886" s="99" t="n"/>
      <c r="AJ1886" s="99" t="n"/>
      <c r="AK1886" s="99" t="n"/>
      <c r="AL1886" s="99" t="n"/>
      <c r="AM1886" s="99" t="n"/>
      <c r="AN1886" s="99" t="n"/>
      <c r="AO1886" s="99" t="n"/>
      <c r="AP1886" s="99" t="n"/>
      <c r="AQ1886" s="99" t="n"/>
      <c r="AR1886" s="99" t="n"/>
    </row>
    <row r="1887">
      <c r="D1887" s="99" t="n"/>
      <c r="E1887" s="99" t="n"/>
      <c r="F1887" s="99" t="n"/>
      <c r="G1887" s="99" t="n"/>
      <c r="H1887" s="99" t="n"/>
      <c r="I1887" s="99" t="n"/>
      <c r="J1887" s="99" t="n"/>
      <c r="K1887" s="99" t="n"/>
      <c r="L1887" s="99" t="n"/>
      <c r="M1887" s="99" t="n"/>
      <c r="N1887" s="99" t="n"/>
      <c r="O1887" s="99" t="n"/>
      <c r="P1887" s="99" t="n"/>
      <c r="Q1887" s="99" t="n"/>
      <c r="R1887" s="99" t="n"/>
      <c r="S1887" s="99" t="n"/>
      <c r="T1887" s="99" t="n"/>
      <c r="U1887" s="99" t="n"/>
      <c r="V1887" s="99" t="n"/>
      <c r="W1887" s="99" t="n"/>
      <c r="X1887" s="99" t="n"/>
      <c r="Y1887" s="99" t="n"/>
      <c r="Z1887" s="99" t="n"/>
      <c r="AA1887" s="99" t="n"/>
      <c r="AB1887" s="99" t="n"/>
      <c r="AC1887" s="99" t="n"/>
      <c r="AD1887" s="99" t="n"/>
      <c r="AE1887" s="99" t="n"/>
      <c r="AF1887" s="99" t="n"/>
      <c r="AG1887" s="99" t="n"/>
      <c r="AH1887" s="99" t="n"/>
      <c r="AI1887" s="99" t="n"/>
      <c r="AJ1887" s="99" t="n"/>
      <c r="AK1887" s="99" t="n"/>
      <c r="AL1887" s="99" t="n"/>
      <c r="AM1887" s="99" t="n"/>
      <c r="AN1887" s="99" t="n"/>
      <c r="AO1887" s="99" t="n"/>
      <c r="AP1887" s="99" t="n"/>
      <c r="AQ1887" s="99" t="n"/>
      <c r="AR1887" s="99" t="n"/>
    </row>
    <row r="1888">
      <c r="D1888" s="100" t="n"/>
      <c r="E1888" s="100" t="n"/>
      <c r="F1888" s="100" t="n"/>
      <c r="G1888" s="100" t="n"/>
      <c r="H1888" s="100" t="n"/>
      <c r="I1888" s="100" t="n"/>
      <c r="J1888" s="100" t="n"/>
      <c r="K1888" s="100" t="n"/>
      <c r="L1888" s="100" t="n"/>
      <c r="M1888" s="100" t="n"/>
      <c r="N1888" s="100" t="n"/>
      <c r="O1888" s="100" t="n"/>
      <c r="P1888" s="100" t="n"/>
      <c r="Q1888" s="100" t="n"/>
      <c r="R1888" s="100" t="n"/>
      <c r="S1888" s="100" t="n"/>
      <c r="T1888" s="100" t="n"/>
      <c r="U1888" s="100" t="n"/>
      <c r="V1888" s="100" t="n"/>
      <c r="W1888" s="100" t="n"/>
      <c r="X1888" s="100" t="n"/>
      <c r="Y1888" s="100" t="n"/>
      <c r="Z1888" s="100" t="n"/>
      <c r="AA1888" s="100" t="n"/>
      <c r="AB1888" s="100" t="n"/>
      <c r="AC1888" s="100" t="n"/>
      <c r="AD1888" s="100" t="n"/>
      <c r="AE1888" s="100" t="n"/>
      <c r="AF1888" s="100" t="n"/>
      <c r="AG1888" s="100" t="n"/>
      <c r="AH1888" s="100" t="n"/>
      <c r="AI1888" s="100" t="n"/>
      <c r="AJ1888" s="100" t="n"/>
      <c r="AK1888" s="100" t="n"/>
      <c r="AL1888" s="100" t="n"/>
      <c r="AM1888" s="100" t="n"/>
      <c r="AN1888" s="100" t="n"/>
      <c r="AO1888" s="100" t="n"/>
      <c r="AP1888" s="100" t="n"/>
      <c r="AQ1888" s="100" t="n"/>
      <c r="AR1888" s="100" t="n"/>
    </row>
    <row r="1890">
      <c r="A1890" s="6">
        <f>IF(HSCEI!$C$37="","",HSCEI!$C$37)</f>
        <v/>
      </c>
      <c r="B1890" s="96">
        <f>IF($A1890="",0,COUNT($E1891:$AR1891))</f>
        <v/>
      </c>
      <c r="C1890" s="97">
        <f>IF($B1890=0,0,MAX($E1891:$AR1891))</f>
        <v/>
      </c>
      <c r="D1890" s="98">
        <f>BDS($A1890,FLD_HIST,"headers=y","startcol=1","endcol=7","dir=h","DVD_START_DT",HIST_FROM,"DVD_END_DT",HIST_TO)</f>
        <v/>
      </c>
      <c r="E1890" s="99" t="n"/>
      <c r="F1890" s="99" t="n"/>
      <c r="G1890" s="99" t="n"/>
      <c r="H1890" s="99" t="n"/>
      <c r="I1890" s="99" t="n"/>
      <c r="J1890" s="99" t="n"/>
      <c r="K1890" s="99" t="n"/>
      <c r="L1890" s="99" t="n"/>
      <c r="M1890" s="99" t="n"/>
      <c r="N1890" s="99" t="n"/>
      <c r="O1890" s="99" t="n"/>
      <c r="P1890" s="99" t="n"/>
      <c r="Q1890" s="99" t="n"/>
      <c r="R1890" s="99" t="n"/>
      <c r="S1890" s="99" t="n"/>
      <c r="T1890" s="99" t="n"/>
      <c r="U1890" s="99" t="n"/>
      <c r="V1890" s="99" t="n"/>
      <c r="W1890" s="99" t="n"/>
      <c r="X1890" s="99" t="n"/>
      <c r="Y1890" s="99" t="n"/>
      <c r="Z1890" s="99" t="n"/>
      <c r="AA1890" s="99" t="n"/>
      <c r="AB1890" s="99" t="n"/>
      <c r="AC1890" s="99" t="n"/>
      <c r="AD1890" s="99" t="n"/>
      <c r="AE1890" s="99" t="n"/>
      <c r="AF1890" s="99" t="n"/>
      <c r="AG1890" s="99" t="n"/>
      <c r="AH1890" s="99" t="n"/>
      <c r="AI1890" s="99" t="n"/>
      <c r="AJ1890" s="99" t="n"/>
      <c r="AK1890" s="99" t="n"/>
      <c r="AL1890" s="99" t="n"/>
      <c r="AM1890" s="99" t="n"/>
      <c r="AN1890" s="99" t="n"/>
      <c r="AO1890" s="99" t="n"/>
      <c r="AP1890" s="99" t="n"/>
      <c r="AQ1890" s="99" t="n"/>
      <c r="AR1890" s="99" t="n"/>
    </row>
    <row r="1891">
      <c r="D1891" s="99" t="n"/>
      <c r="E1891" s="99" t="n"/>
      <c r="F1891" s="99" t="n"/>
      <c r="G1891" s="99" t="n"/>
      <c r="H1891" s="99" t="n"/>
      <c r="I1891" s="99" t="n"/>
      <c r="J1891" s="99" t="n"/>
      <c r="K1891" s="99" t="n"/>
      <c r="L1891" s="99" t="n"/>
      <c r="M1891" s="99" t="n"/>
      <c r="N1891" s="99" t="n"/>
      <c r="O1891" s="99" t="n"/>
      <c r="P1891" s="99" t="n"/>
      <c r="Q1891" s="99" t="n"/>
      <c r="R1891" s="99" t="n"/>
      <c r="S1891" s="99" t="n"/>
      <c r="T1891" s="99" t="n"/>
      <c r="U1891" s="99" t="n"/>
      <c r="V1891" s="99" t="n"/>
      <c r="W1891" s="99" t="n"/>
      <c r="X1891" s="99" t="n"/>
      <c r="Y1891" s="99" t="n"/>
      <c r="Z1891" s="99" t="n"/>
      <c r="AA1891" s="99" t="n"/>
      <c r="AB1891" s="99" t="n"/>
      <c r="AC1891" s="99" t="n"/>
      <c r="AD1891" s="99" t="n"/>
      <c r="AE1891" s="99" t="n"/>
      <c r="AF1891" s="99" t="n"/>
      <c r="AG1891" s="99" t="n"/>
      <c r="AH1891" s="99" t="n"/>
      <c r="AI1891" s="99" t="n"/>
      <c r="AJ1891" s="99" t="n"/>
      <c r="AK1891" s="99" t="n"/>
      <c r="AL1891" s="99" t="n"/>
      <c r="AM1891" s="99" t="n"/>
      <c r="AN1891" s="99" t="n"/>
      <c r="AO1891" s="99" t="n"/>
      <c r="AP1891" s="99" t="n"/>
      <c r="AQ1891" s="99" t="n"/>
      <c r="AR1891" s="99" t="n"/>
    </row>
    <row r="1892">
      <c r="D1892" s="99" t="n"/>
      <c r="E1892" s="99" t="n"/>
      <c r="F1892" s="99" t="n"/>
      <c r="G1892" s="99" t="n"/>
      <c r="H1892" s="99" t="n"/>
      <c r="I1892" s="99" t="n"/>
      <c r="J1892" s="99" t="n"/>
      <c r="K1892" s="99" t="n"/>
      <c r="L1892" s="99" t="n"/>
      <c r="M1892" s="99" t="n"/>
      <c r="N1892" s="99" t="n"/>
      <c r="O1892" s="99" t="n"/>
      <c r="P1892" s="99" t="n"/>
      <c r="Q1892" s="99" t="n"/>
      <c r="R1892" s="99" t="n"/>
      <c r="S1892" s="99" t="n"/>
      <c r="T1892" s="99" t="n"/>
      <c r="U1892" s="99" t="n"/>
      <c r="V1892" s="99" t="n"/>
      <c r="W1892" s="99" t="n"/>
      <c r="X1892" s="99" t="n"/>
      <c r="Y1892" s="99" t="n"/>
      <c r="Z1892" s="99" t="n"/>
      <c r="AA1892" s="99" t="n"/>
      <c r="AB1892" s="99" t="n"/>
      <c r="AC1892" s="99" t="n"/>
      <c r="AD1892" s="99" t="n"/>
      <c r="AE1892" s="99" t="n"/>
      <c r="AF1892" s="99" t="n"/>
      <c r="AG1892" s="99" t="n"/>
      <c r="AH1892" s="99" t="n"/>
      <c r="AI1892" s="99" t="n"/>
      <c r="AJ1892" s="99" t="n"/>
      <c r="AK1892" s="99" t="n"/>
      <c r="AL1892" s="99" t="n"/>
      <c r="AM1892" s="99" t="n"/>
      <c r="AN1892" s="99" t="n"/>
      <c r="AO1892" s="99" t="n"/>
      <c r="AP1892" s="99" t="n"/>
      <c r="AQ1892" s="99" t="n"/>
      <c r="AR1892" s="99" t="n"/>
    </row>
    <row r="1893">
      <c r="D1893" s="99" t="n"/>
      <c r="E1893" s="99" t="n"/>
      <c r="F1893" s="99" t="n"/>
      <c r="G1893" s="99" t="n"/>
      <c r="H1893" s="99" t="n"/>
      <c r="I1893" s="99" t="n"/>
      <c r="J1893" s="99" t="n"/>
      <c r="K1893" s="99" t="n"/>
      <c r="L1893" s="99" t="n"/>
      <c r="M1893" s="99" t="n"/>
      <c r="N1893" s="99" t="n"/>
      <c r="O1893" s="99" t="n"/>
      <c r="P1893" s="99" t="n"/>
      <c r="Q1893" s="99" t="n"/>
      <c r="R1893" s="99" t="n"/>
      <c r="S1893" s="99" t="n"/>
      <c r="T1893" s="99" t="n"/>
      <c r="U1893" s="99" t="n"/>
      <c r="V1893" s="99" t="n"/>
      <c r="W1893" s="99" t="n"/>
      <c r="X1893" s="99" t="n"/>
      <c r="Y1893" s="99" t="n"/>
      <c r="Z1893" s="99" t="n"/>
      <c r="AA1893" s="99" t="n"/>
      <c r="AB1893" s="99" t="n"/>
      <c r="AC1893" s="99" t="n"/>
      <c r="AD1893" s="99" t="n"/>
      <c r="AE1893" s="99" t="n"/>
      <c r="AF1893" s="99" t="n"/>
      <c r="AG1893" s="99" t="n"/>
      <c r="AH1893" s="99" t="n"/>
      <c r="AI1893" s="99" t="n"/>
      <c r="AJ1893" s="99" t="n"/>
      <c r="AK1893" s="99" t="n"/>
      <c r="AL1893" s="99" t="n"/>
      <c r="AM1893" s="99" t="n"/>
      <c r="AN1893" s="99" t="n"/>
      <c r="AO1893" s="99" t="n"/>
      <c r="AP1893" s="99" t="n"/>
      <c r="AQ1893" s="99" t="n"/>
      <c r="AR1893" s="99" t="n"/>
    </row>
    <row r="1894">
      <c r="D1894" s="100" t="n"/>
      <c r="E1894" s="100" t="n"/>
      <c r="F1894" s="100" t="n"/>
      <c r="G1894" s="100" t="n"/>
      <c r="H1894" s="100" t="n"/>
      <c r="I1894" s="100" t="n"/>
      <c r="J1894" s="100" t="n"/>
      <c r="K1894" s="100" t="n"/>
      <c r="L1894" s="100" t="n"/>
      <c r="M1894" s="100" t="n"/>
      <c r="N1894" s="100" t="n"/>
      <c r="O1894" s="100" t="n"/>
      <c r="P1894" s="100" t="n"/>
      <c r="Q1894" s="100" t="n"/>
      <c r="R1894" s="100" t="n"/>
      <c r="S1894" s="100" t="n"/>
      <c r="T1894" s="100" t="n"/>
      <c r="U1894" s="100" t="n"/>
      <c r="V1894" s="100" t="n"/>
      <c r="W1894" s="100" t="n"/>
      <c r="X1894" s="100" t="n"/>
      <c r="Y1894" s="100" t="n"/>
      <c r="Z1894" s="100" t="n"/>
      <c r="AA1894" s="100" t="n"/>
      <c r="AB1894" s="100" t="n"/>
      <c r="AC1894" s="100" t="n"/>
      <c r="AD1894" s="100" t="n"/>
      <c r="AE1894" s="100" t="n"/>
      <c r="AF1894" s="100" t="n"/>
      <c r="AG1894" s="100" t="n"/>
      <c r="AH1894" s="100" t="n"/>
      <c r="AI1894" s="100" t="n"/>
      <c r="AJ1894" s="100" t="n"/>
      <c r="AK1894" s="100" t="n"/>
      <c r="AL1894" s="100" t="n"/>
      <c r="AM1894" s="100" t="n"/>
      <c r="AN1894" s="100" t="n"/>
      <c r="AO1894" s="100" t="n"/>
      <c r="AP1894" s="100" t="n"/>
      <c r="AQ1894" s="100" t="n"/>
      <c r="AR1894" s="100" t="n"/>
    </row>
    <row r="1897">
      <c r="A1897" s="2">
        <f>IF($A1890="","","   projections")</f>
        <v/>
      </c>
      <c r="B1897" s="96">
        <f>IF($A1890="",0,COUNT($E1898:$AR1898))</f>
        <v/>
      </c>
      <c r="C1897" s="97">
        <f>IF($B1897=0,0,MAX($E1898:$AR1898))</f>
        <v/>
      </c>
      <c r="D1897" s="98">
        <f>BDS($A1890,FLD_PROJ,"headers=y","startcol=1","endcol=3","dir=h")</f>
        <v/>
      </c>
      <c r="E1897" s="99" t="n"/>
      <c r="F1897" s="99" t="n"/>
      <c r="G1897" s="99" t="n"/>
      <c r="H1897" s="99" t="n"/>
      <c r="I1897" s="99" t="n"/>
      <c r="J1897" s="99" t="n"/>
      <c r="K1897" s="99" t="n"/>
      <c r="L1897" s="99" t="n"/>
      <c r="M1897" s="99" t="n"/>
      <c r="N1897" s="99" t="n"/>
      <c r="O1897" s="99" t="n"/>
      <c r="P1897" s="99" t="n"/>
      <c r="Q1897" s="99" t="n"/>
      <c r="R1897" s="99" t="n"/>
      <c r="S1897" s="99" t="n"/>
      <c r="T1897" s="99" t="n"/>
      <c r="U1897" s="99" t="n"/>
      <c r="V1897" s="99" t="n"/>
      <c r="W1897" s="99" t="n"/>
      <c r="X1897" s="99" t="n"/>
      <c r="Y1897" s="99" t="n"/>
      <c r="Z1897" s="99" t="n"/>
      <c r="AA1897" s="99" t="n"/>
      <c r="AB1897" s="99" t="n"/>
      <c r="AC1897" s="99" t="n"/>
      <c r="AD1897" s="99" t="n"/>
      <c r="AE1897" s="99" t="n"/>
      <c r="AF1897" s="99" t="n"/>
      <c r="AG1897" s="99" t="n"/>
      <c r="AH1897" s="99" t="n"/>
      <c r="AI1897" s="99" t="n"/>
      <c r="AJ1897" s="99" t="n"/>
      <c r="AK1897" s="99" t="n"/>
      <c r="AL1897" s="99" t="n"/>
      <c r="AM1897" s="99" t="n"/>
      <c r="AN1897" s="99" t="n"/>
      <c r="AO1897" s="99" t="n"/>
      <c r="AP1897" s="99" t="n"/>
      <c r="AQ1897" s="99" t="n"/>
      <c r="AR1897" s="99" t="n"/>
    </row>
    <row r="1898">
      <c r="D1898" s="99" t="n"/>
      <c r="E1898" s="99" t="n"/>
      <c r="F1898" s="99" t="n"/>
      <c r="G1898" s="99" t="n"/>
      <c r="H1898" s="99" t="n"/>
      <c r="I1898" s="99" t="n"/>
      <c r="J1898" s="99" t="n"/>
      <c r="K1898" s="99" t="n"/>
      <c r="L1898" s="99" t="n"/>
      <c r="M1898" s="99" t="n"/>
      <c r="N1898" s="99" t="n"/>
      <c r="O1898" s="99" t="n"/>
      <c r="P1898" s="99" t="n"/>
      <c r="Q1898" s="99" t="n"/>
      <c r="R1898" s="99" t="n"/>
      <c r="S1898" s="99" t="n"/>
      <c r="T1898" s="99" t="n"/>
      <c r="U1898" s="99" t="n"/>
      <c r="V1898" s="99" t="n"/>
      <c r="W1898" s="99" t="n"/>
      <c r="X1898" s="99" t="n"/>
      <c r="Y1898" s="99" t="n"/>
      <c r="Z1898" s="99" t="n"/>
      <c r="AA1898" s="99" t="n"/>
      <c r="AB1898" s="99" t="n"/>
      <c r="AC1898" s="99" t="n"/>
      <c r="AD1898" s="99" t="n"/>
      <c r="AE1898" s="99" t="n"/>
      <c r="AF1898" s="99" t="n"/>
      <c r="AG1898" s="99" t="n"/>
      <c r="AH1898" s="99" t="n"/>
      <c r="AI1898" s="99" t="n"/>
      <c r="AJ1898" s="99" t="n"/>
      <c r="AK1898" s="99" t="n"/>
      <c r="AL1898" s="99" t="n"/>
      <c r="AM1898" s="99" t="n"/>
      <c r="AN1898" s="99" t="n"/>
      <c r="AO1898" s="99" t="n"/>
      <c r="AP1898" s="99" t="n"/>
      <c r="AQ1898" s="99" t="n"/>
      <c r="AR1898" s="99" t="n"/>
    </row>
    <row r="1899">
      <c r="D1899" s="100" t="n"/>
      <c r="E1899" s="100" t="n"/>
      <c r="F1899" s="100" t="n"/>
      <c r="G1899" s="100" t="n"/>
      <c r="H1899" s="100" t="n"/>
      <c r="I1899" s="100" t="n"/>
      <c r="J1899" s="100" t="n"/>
      <c r="K1899" s="100" t="n"/>
      <c r="L1899" s="100" t="n"/>
      <c r="M1899" s="100" t="n"/>
      <c r="N1899" s="100" t="n"/>
      <c r="O1899" s="100" t="n"/>
      <c r="P1899" s="100" t="n"/>
      <c r="Q1899" s="100" t="n"/>
      <c r="R1899" s="100" t="n"/>
      <c r="S1899" s="100" t="n"/>
      <c r="T1899" s="100" t="n"/>
      <c r="U1899" s="100" t="n"/>
      <c r="V1899" s="100" t="n"/>
      <c r="W1899" s="100" t="n"/>
      <c r="X1899" s="100" t="n"/>
      <c r="Y1899" s="100" t="n"/>
      <c r="Z1899" s="100" t="n"/>
      <c r="AA1899" s="100" t="n"/>
      <c r="AB1899" s="100" t="n"/>
      <c r="AC1899" s="100" t="n"/>
      <c r="AD1899" s="100" t="n"/>
      <c r="AE1899" s="100" t="n"/>
      <c r="AF1899" s="100" t="n"/>
      <c r="AG1899" s="100" t="n"/>
      <c r="AH1899" s="100" t="n"/>
      <c r="AI1899" s="100" t="n"/>
      <c r="AJ1899" s="100" t="n"/>
      <c r="AK1899" s="100" t="n"/>
      <c r="AL1899" s="100" t="n"/>
      <c r="AM1899" s="100" t="n"/>
      <c r="AN1899" s="100" t="n"/>
      <c r="AO1899" s="100" t="n"/>
      <c r="AP1899" s="100" t="n"/>
      <c r="AQ1899" s="100" t="n"/>
      <c r="AR1899" s="100" t="n"/>
    </row>
    <row r="1901">
      <c r="A1901" s="6">
        <f>IF(HSCEI!$C$38="","",HSCEI!$C$38)</f>
        <v/>
      </c>
      <c r="B1901" s="96">
        <f>IF($A1901="",0,COUNT($E1902:$AR1902))</f>
        <v/>
      </c>
      <c r="C1901" s="97">
        <f>IF($B1901=0,0,MAX($E1902:$AR1902))</f>
        <v/>
      </c>
      <c r="D1901" s="98">
        <f>BDS($A1901,FLD_HIST,"headers=y","startcol=1","endcol=7","dir=h","DVD_START_DT",HIST_FROM,"DVD_END_DT",HIST_TO)</f>
        <v/>
      </c>
      <c r="E1901" s="99" t="n"/>
      <c r="F1901" s="99" t="n"/>
      <c r="G1901" s="99" t="n"/>
      <c r="H1901" s="99" t="n"/>
      <c r="I1901" s="99" t="n"/>
      <c r="J1901" s="99" t="n"/>
      <c r="K1901" s="99" t="n"/>
      <c r="L1901" s="99" t="n"/>
      <c r="M1901" s="99" t="n"/>
      <c r="N1901" s="99" t="n"/>
      <c r="O1901" s="99" t="n"/>
      <c r="P1901" s="99" t="n"/>
      <c r="Q1901" s="99" t="n"/>
      <c r="R1901" s="99" t="n"/>
      <c r="S1901" s="99" t="n"/>
      <c r="T1901" s="99" t="n"/>
      <c r="U1901" s="99" t="n"/>
      <c r="V1901" s="99" t="n"/>
      <c r="W1901" s="99" t="n"/>
      <c r="X1901" s="99" t="n"/>
      <c r="Y1901" s="99" t="n"/>
      <c r="Z1901" s="99" t="n"/>
      <c r="AA1901" s="99" t="n"/>
      <c r="AB1901" s="99" t="n"/>
      <c r="AC1901" s="99" t="n"/>
      <c r="AD1901" s="99" t="n"/>
      <c r="AE1901" s="99" t="n"/>
      <c r="AF1901" s="99" t="n"/>
      <c r="AG1901" s="99" t="n"/>
      <c r="AH1901" s="99" t="n"/>
      <c r="AI1901" s="99" t="n"/>
      <c r="AJ1901" s="99" t="n"/>
      <c r="AK1901" s="99" t="n"/>
      <c r="AL1901" s="99" t="n"/>
      <c r="AM1901" s="99" t="n"/>
      <c r="AN1901" s="99" t="n"/>
      <c r="AO1901" s="99" t="n"/>
      <c r="AP1901" s="99" t="n"/>
      <c r="AQ1901" s="99" t="n"/>
      <c r="AR1901" s="99" t="n"/>
    </row>
    <row r="1902">
      <c r="D1902" s="99" t="n"/>
      <c r="E1902" s="99" t="n"/>
      <c r="F1902" s="99" t="n"/>
      <c r="G1902" s="99" t="n"/>
      <c r="H1902" s="99" t="n"/>
      <c r="I1902" s="99" t="n"/>
      <c r="J1902" s="99" t="n"/>
      <c r="K1902" s="99" t="n"/>
      <c r="L1902" s="99" t="n"/>
      <c r="M1902" s="99" t="n"/>
      <c r="N1902" s="99" t="n"/>
      <c r="O1902" s="99" t="n"/>
      <c r="P1902" s="99" t="n"/>
      <c r="Q1902" s="99" t="n"/>
      <c r="R1902" s="99" t="n"/>
      <c r="S1902" s="99" t="n"/>
      <c r="T1902" s="99" t="n"/>
      <c r="U1902" s="99" t="n"/>
      <c r="V1902" s="99" t="n"/>
      <c r="W1902" s="99" t="n"/>
      <c r="X1902" s="99" t="n"/>
      <c r="Y1902" s="99" t="n"/>
      <c r="Z1902" s="99" t="n"/>
      <c r="AA1902" s="99" t="n"/>
      <c r="AB1902" s="99" t="n"/>
      <c r="AC1902" s="99" t="n"/>
      <c r="AD1902" s="99" t="n"/>
      <c r="AE1902" s="99" t="n"/>
      <c r="AF1902" s="99" t="n"/>
      <c r="AG1902" s="99" t="n"/>
      <c r="AH1902" s="99" t="n"/>
      <c r="AI1902" s="99" t="n"/>
      <c r="AJ1902" s="99" t="n"/>
      <c r="AK1902" s="99" t="n"/>
      <c r="AL1902" s="99" t="n"/>
      <c r="AM1902" s="99" t="n"/>
      <c r="AN1902" s="99" t="n"/>
      <c r="AO1902" s="99" t="n"/>
      <c r="AP1902" s="99" t="n"/>
      <c r="AQ1902" s="99" t="n"/>
      <c r="AR1902" s="99" t="n"/>
    </row>
    <row r="1903">
      <c r="D1903" s="99" t="n"/>
      <c r="E1903" s="99" t="n"/>
      <c r="F1903" s="99" t="n"/>
      <c r="G1903" s="99" t="n"/>
      <c r="H1903" s="99" t="n"/>
      <c r="I1903" s="99" t="n"/>
      <c r="J1903" s="99" t="n"/>
      <c r="K1903" s="99" t="n"/>
      <c r="L1903" s="99" t="n"/>
      <c r="M1903" s="99" t="n"/>
      <c r="N1903" s="99" t="n"/>
      <c r="O1903" s="99" t="n"/>
      <c r="P1903" s="99" t="n"/>
      <c r="Q1903" s="99" t="n"/>
      <c r="R1903" s="99" t="n"/>
      <c r="S1903" s="99" t="n"/>
      <c r="T1903" s="99" t="n"/>
      <c r="U1903" s="99" t="n"/>
      <c r="V1903" s="99" t="n"/>
      <c r="W1903" s="99" t="n"/>
      <c r="X1903" s="99" t="n"/>
      <c r="Y1903" s="99" t="n"/>
      <c r="Z1903" s="99" t="n"/>
      <c r="AA1903" s="99" t="n"/>
      <c r="AB1903" s="99" t="n"/>
      <c r="AC1903" s="99" t="n"/>
      <c r="AD1903" s="99" t="n"/>
      <c r="AE1903" s="99" t="n"/>
      <c r="AF1903" s="99" t="n"/>
      <c r="AG1903" s="99" t="n"/>
      <c r="AH1903" s="99" t="n"/>
      <c r="AI1903" s="99" t="n"/>
      <c r="AJ1903" s="99" t="n"/>
      <c r="AK1903" s="99" t="n"/>
      <c r="AL1903" s="99" t="n"/>
      <c r="AM1903" s="99" t="n"/>
      <c r="AN1903" s="99" t="n"/>
      <c r="AO1903" s="99" t="n"/>
      <c r="AP1903" s="99" t="n"/>
      <c r="AQ1903" s="99" t="n"/>
      <c r="AR1903" s="99" t="n"/>
    </row>
    <row r="1904">
      <c r="D1904" s="99" t="n"/>
      <c r="E1904" s="99" t="n"/>
      <c r="F1904" s="99" t="n"/>
      <c r="G1904" s="99" t="n"/>
      <c r="H1904" s="99" t="n"/>
      <c r="I1904" s="99" t="n"/>
      <c r="J1904" s="99" t="n"/>
      <c r="K1904" s="99" t="n"/>
      <c r="L1904" s="99" t="n"/>
      <c r="M1904" s="99" t="n"/>
      <c r="N1904" s="99" t="n"/>
      <c r="O1904" s="99" t="n"/>
      <c r="P1904" s="99" t="n"/>
      <c r="Q1904" s="99" t="n"/>
      <c r="R1904" s="99" t="n"/>
      <c r="S1904" s="99" t="n"/>
      <c r="T1904" s="99" t="n"/>
      <c r="U1904" s="99" t="n"/>
      <c r="V1904" s="99" t="n"/>
      <c r="W1904" s="99" t="n"/>
      <c r="X1904" s="99" t="n"/>
      <c r="Y1904" s="99" t="n"/>
      <c r="Z1904" s="99" t="n"/>
      <c r="AA1904" s="99" t="n"/>
      <c r="AB1904" s="99" t="n"/>
      <c r="AC1904" s="99" t="n"/>
      <c r="AD1904" s="99" t="n"/>
      <c r="AE1904" s="99" t="n"/>
      <c r="AF1904" s="99" t="n"/>
      <c r="AG1904" s="99" t="n"/>
      <c r="AH1904" s="99" t="n"/>
      <c r="AI1904" s="99" t="n"/>
      <c r="AJ1904" s="99" t="n"/>
      <c r="AK1904" s="99" t="n"/>
      <c r="AL1904" s="99" t="n"/>
      <c r="AM1904" s="99" t="n"/>
      <c r="AN1904" s="99" t="n"/>
      <c r="AO1904" s="99" t="n"/>
      <c r="AP1904" s="99" t="n"/>
      <c r="AQ1904" s="99" t="n"/>
      <c r="AR1904" s="99" t="n"/>
    </row>
    <row r="1905">
      <c r="D1905" s="100" t="n"/>
      <c r="E1905" s="100" t="n"/>
      <c r="F1905" s="100" t="n"/>
      <c r="G1905" s="100" t="n"/>
      <c r="H1905" s="100" t="n"/>
      <c r="I1905" s="100" t="n"/>
      <c r="J1905" s="100" t="n"/>
      <c r="K1905" s="100" t="n"/>
      <c r="L1905" s="100" t="n"/>
      <c r="M1905" s="100" t="n"/>
      <c r="N1905" s="100" t="n"/>
      <c r="O1905" s="100" t="n"/>
      <c r="P1905" s="100" t="n"/>
      <c r="Q1905" s="100" t="n"/>
      <c r="R1905" s="100" t="n"/>
      <c r="S1905" s="100" t="n"/>
      <c r="T1905" s="100" t="n"/>
      <c r="U1905" s="100" t="n"/>
      <c r="V1905" s="100" t="n"/>
      <c r="W1905" s="100" t="n"/>
      <c r="X1905" s="100" t="n"/>
      <c r="Y1905" s="100" t="n"/>
      <c r="Z1905" s="100" t="n"/>
      <c r="AA1905" s="100" t="n"/>
      <c r="AB1905" s="100" t="n"/>
      <c r="AC1905" s="100" t="n"/>
      <c r="AD1905" s="100" t="n"/>
      <c r="AE1905" s="100" t="n"/>
      <c r="AF1905" s="100" t="n"/>
      <c r="AG1905" s="100" t="n"/>
      <c r="AH1905" s="100" t="n"/>
      <c r="AI1905" s="100" t="n"/>
      <c r="AJ1905" s="100" t="n"/>
      <c r="AK1905" s="100" t="n"/>
      <c r="AL1905" s="100" t="n"/>
      <c r="AM1905" s="100" t="n"/>
      <c r="AN1905" s="100" t="n"/>
      <c r="AO1905" s="100" t="n"/>
      <c r="AP1905" s="100" t="n"/>
      <c r="AQ1905" s="100" t="n"/>
      <c r="AR1905" s="100" t="n"/>
    </row>
    <row r="1908">
      <c r="A1908" s="2">
        <f>IF($A1901="","","   projections")</f>
        <v/>
      </c>
      <c r="B1908" s="96">
        <f>IF($A1901="",0,COUNT($E1909:$AR1909))</f>
        <v/>
      </c>
      <c r="C1908" s="97">
        <f>IF($B1908=0,0,MAX($E1909:$AR1909))</f>
        <v/>
      </c>
      <c r="D1908" s="98">
        <f>BDS($A1901,FLD_PROJ,"headers=y","startcol=1","endcol=3","dir=h")</f>
        <v/>
      </c>
      <c r="E1908" s="99" t="n"/>
      <c r="F1908" s="99" t="n"/>
      <c r="G1908" s="99" t="n"/>
      <c r="H1908" s="99" t="n"/>
      <c r="I1908" s="99" t="n"/>
      <c r="J1908" s="99" t="n"/>
      <c r="K1908" s="99" t="n"/>
      <c r="L1908" s="99" t="n"/>
      <c r="M1908" s="99" t="n"/>
      <c r="N1908" s="99" t="n"/>
      <c r="O1908" s="99" t="n"/>
      <c r="P1908" s="99" t="n"/>
      <c r="Q1908" s="99" t="n"/>
      <c r="R1908" s="99" t="n"/>
      <c r="S1908" s="99" t="n"/>
      <c r="T1908" s="99" t="n"/>
      <c r="U1908" s="99" t="n"/>
      <c r="V1908" s="99" t="n"/>
      <c r="W1908" s="99" t="n"/>
      <c r="X1908" s="99" t="n"/>
      <c r="Y1908" s="99" t="n"/>
      <c r="Z1908" s="99" t="n"/>
      <c r="AA1908" s="99" t="n"/>
      <c r="AB1908" s="99" t="n"/>
      <c r="AC1908" s="99" t="n"/>
      <c r="AD1908" s="99" t="n"/>
      <c r="AE1908" s="99" t="n"/>
      <c r="AF1908" s="99" t="n"/>
      <c r="AG1908" s="99" t="n"/>
      <c r="AH1908" s="99" t="n"/>
      <c r="AI1908" s="99" t="n"/>
      <c r="AJ1908" s="99" t="n"/>
      <c r="AK1908" s="99" t="n"/>
      <c r="AL1908" s="99" t="n"/>
      <c r="AM1908" s="99" t="n"/>
      <c r="AN1908" s="99" t="n"/>
      <c r="AO1908" s="99" t="n"/>
      <c r="AP1908" s="99" t="n"/>
      <c r="AQ1908" s="99" t="n"/>
      <c r="AR1908" s="99" t="n"/>
    </row>
    <row r="1909">
      <c r="D1909" s="99" t="n"/>
      <c r="E1909" s="99" t="n"/>
      <c r="F1909" s="99" t="n"/>
      <c r="G1909" s="99" t="n"/>
      <c r="H1909" s="99" t="n"/>
      <c r="I1909" s="99" t="n"/>
      <c r="J1909" s="99" t="n"/>
      <c r="K1909" s="99" t="n"/>
      <c r="L1909" s="99" t="n"/>
      <c r="M1909" s="99" t="n"/>
      <c r="N1909" s="99" t="n"/>
      <c r="O1909" s="99" t="n"/>
      <c r="P1909" s="99" t="n"/>
      <c r="Q1909" s="99" t="n"/>
      <c r="R1909" s="99" t="n"/>
      <c r="S1909" s="99" t="n"/>
      <c r="T1909" s="99" t="n"/>
      <c r="U1909" s="99" t="n"/>
      <c r="V1909" s="99" t="n"/>
      <c r="W1909" s="99" t="n"/>
      <c r="X1909" s="99" t="n"/>
      <c r="Y1909" s="99" t="n"/>
      <c r="Z1909" s="99" t="n"/>
      <c r="AA1909" s="99" t="n"/>
      <c r="AB1909" s="99" t="n"/>
      <c r="AC1909" s="99" t="n"/>
      <c r="AD1909" s="99" t="n"/>
      <c r="AE1909" s="99" t="n"/>
      <c r="AF1909" s="99" t="n"/>
      <c r="AG1909" s="99" t="n"/>
      <c r="AH1909" s="99" t="n"/>
      <c r="AI1909" s="99" t="n"/>
      <c r="AJ1909" s="99" t="n"/>
      <c r="AK1909" s="99" t="n"/>
      <c r="AL1909" s="99" t="n"/>
      <c r="AM1909" s="99" t="n"/>
      <c r="AN1909" s="99" t="n"/>
      <c r="AO1909" s="99" t="n"/>
      <c r="AP1909" s="99" t="n"/>
      <c r="AQ1909" s="99" t="n"/>
      <c r="AR1909" s="99" t="n"/>
    </row>
    <row r="1910">
      <c r="D1910" s="100" t="n"/>
      <c r="E1910" s="100" t="n"/>
      <c r="F1910" s="100" t="n"/>
      <c r="G1910" s="100" t="n"/>
      <c r="H1910" s="100" t="n"/>
      <c r="I1910" s="100" t="n"/>
      <c r="J1910" s="100" t="n"/>
      <c r="K1910" s="100" t="n"/>
      <c r="L1910" s="100" t="n"/>
      <c r="M1910" s="100" t="n"/>
      <c r="N1910" s="100" t="n"/>
      <c r="O1910" s="100" t="n"/>
      <c r="P1910" s="100" t="n"/>
      <c r="Q1910" s="100" t="n"/>
      <c r="R1910" s="100" t="n"/>
      <c r="S1910" s="100" t="n"/>
      <c r="T1910" s="100" t="n"/>
      <c r="U1910" s="100" t="n"/>
      <c r="V1910" s="100" t="n"/>
      <c r="W1910" s="100" t="n"/>
      <c r="X1910" s="100" t="n"/>
      <c r="Y1910" s="100" t="n"/>
      <c r="Z1910" s="100" t="n"/>
      <c r="AA1910" s="100" t="n"/>
      <c r="AB1910" s="100" t="n"/>
      <c r="AC1910" s="100" t="n"/>
      <c r="AD1910" s="100" t="n"/>
      <c r="AE1910" s="100" t="n"/>
      <c r="AF1910" s="100" t="n"/>
      <c r="AG1910" s="100" t="n"/>
      <c r="AH1910" s="100" t="n"/>
      <c r="AI1910" s="100" t="n"/>
      <c r="AJ1910" s="100" t="n"/>
      <c r="AK1910" s="100" t="n"/>
      <c r="AL1910" s="100" t="n"/>
      <c r="AM1910" s="100" t="n"/>
      <c r="AN1910" s="100" t="n"/>
      <c r="AO1910" s="100" t="n"/>
      <c r="AP1910" s="100" t="n"/>
      <c r="AQ1910" s="100" t="n"/>
      <c r="AR1910" s="100" t="n"/>
    </row>
    <row r="1912">
      <c r="A1912" s="6">
        <f>IF(HSCEI!$C$39="","",HSCEI!$C$39)</f>
        <v/>
      </c>
      <c r="B1912" s="96">
        <f>IF($A1912="",0,COUNT($E1913:$AR1913))</f>
        <v/>
      </c>
      <c r="C1912" s="97">
        <f>IF($B1912=0,0,MAX($E1913:$AR1913))</f>
        <v/>
      </c>
      <c r="D1912" s="98">
        <f>BDS($A1912,FLD_HIST,"headers=y","startcol=1","endcol=7","dir=h","DVD_START_DT",HIST_FROM,"DVD_END_DT",HIST_TO)</f>
        <v/>
      </c>
      <c r="E1912" s="99" t="n"/>
      <c r="F1912" s="99" t="n"/>
      <c r="G1912" s="99" t="n"/>
      <c r="H1912" s="99" t="n"/>
      <c r="I1912" s="99" t="n"/>
      <c r="J1912" s="99" t="n"/>
      <c r="K1912" s="99" t="n"/>
      <c r="L1912" s="99" t="n"/>
      <c r="M1912" s="99" t="n"/>
      <c r="N1912" s="99" t="n"/>
      <c r="O1912" s="99" t="n"/>
      <c r="P1912" s="99" t="n"/>
      <c r="Q1912" s="99" t="n"/>
      <c r="R1912" s="99" t="n"/>
      <c r="S1912" s="99" t="n"/>
      <c r="T1912" s="99" t="n"/>
      <c r="U1912" s="99" t="n"/>
      <c r="V1912" s="99" t="n"/>
      <c r="W1912" s="99" t="n"/>
      <c r="X1912" s="99" t="n"/>
      <c r="Y1912" s="99" t="n"/>
      <c r="Z1912" s="99" t="n"/>
      <c r="AA1912" s="99" t="n"/>
      <c r="AB1912" s="99" t="n"/>
      <c r="AC1912" s="99" t="n"/>
      <c r="AD1912" s="99" t="n"/>
      <c r="AE1912" s="99" t="n"/>
      <c r="AF1912" s="99" t="n"/>
      <c r="AG1912" s="99" t="n"/>
      <c r="AH1912" s="99" t="n"/>
      <c r="AI1912" s="99" t="n"/>
      <c r="AJ1912" s="99" t="n"/>
      <c r="AK1912" s="99" t="n"/>
      <c r="AL1912" s="99" t="n"/>
      <c r="AM1912" s="99" t="n"/>
      <c r="AN1912" s="99" t="n"/>
      <c r="AO1912" s="99" t="n"/>
      <c r="AP1912" s="99" t="n"/>
      <c r="AQ1912" s="99" t="n"/>
      <c r="AR1912" s="99" t="n"/>
    </row>
    <row r="1913">
      <c r="D1913" s="99" t="n"/>
      <c r="E1913" s="99" t="n"/>
      <c r="F1913" s="99" t="n"/>
      <c r="G1913" s="99" t="n"/>
      <c r="H1913" s="99" t="n"/>
      <c r="I1913" s="99" t="n"/>
      <c r="J1913" s="99" t="n"/>
      <c r="K1913" s="99" t="n"/>
      <c r="L1913" s="99" t="n"/>
      <c r="M1913" s="99" t="n"/>
      <c r="N1913" s="99" t="n"/>
      <c r="O1913" s="99" t="n"/>
      <c r="P1913" s="99" t="n"/>
      <c r="Q1913" s="99" t="n"/>
      <c r="R1913" s="99" t="n"/>
      <c r="S1913" s="99" t="n"/>
      <c r="T1913" s="99" t="n"/>
      <c r="U1913" s="99" t="n"/>
      <c r="V1913" s="99" t="n"/>
      <c r="W1913" s="99" t="n"/>
      <c r="X1913" s="99" t="n"/>
      <c r="Y1913" s="99" t="n"/>
      <c r="Z1913" s="99" t="n"/>
      <c r="AA1913" s="99" t="n"/>
      <c r="AB1913" s="99" t="n"/>
      <c r="AC1913" s="99" t="n"/>
      <c r="AD1913" s="99" t="n"/>
      <c r="AE1913" s="99" t="n"/>
      <c r="AF1913" s="99" t="n"/>
      <c r="AG1913" s="99" t="n"/>
      <c r="AH1913" s="99" t="n"/>
      <c r="AI1913" s="99" t="n"/>
      <c r="AJ1913" s="99" t="n"/>
      <c r="AK1913" s="99" t="n"/>
      <c r="AL1913" s="99" t="n"/>
      <c r="AM1913" s="99" t="n"/>
      <c r="AN1913" s="99" t="n"/>
      <c r="AO1913" s="99" t="n"/>
      <c r="AP1913" s="99" t="n"/>
      <c r="AQ1913" s="99" t="n"/>
      <c r="AR1913" s="99" t="n"/>
    </row>
    <row r="1914">
      <c r="D1914" s="99" t="n"/>
      <c r="E1914" s="99" t="n"/>
      <c r="F1914" s="99" t="n"/>
      <c r="G1914" s="99" t="n"/>
      <c r="H1914" s="99" t="n"/>
      <c r="I1914" s="99" t="n"/>
      <c r="J1914" s="99" t="n"/>
      <c r="K1914" s="99" t="n"/>
      <c r="L1914" s="99" t="n"/>
      <c r="M1914" s="99" t="n"/>
      <c r="N1914" s="99" t="n"/>
      <c r="O1914" s="99" t="n"/>
      <c r="P1914" s="99" t="n"/>
      <c r="Q1914" s="99" t="n"/>
      <c r="R1914" s="99" t="n"/>
      <c r="S1914" s="99" t="n"/>
      <c r="T1914" s="99" t="n"/>
      <c r="U1914" s="99" t="n"/>
      <c r="V1914" s="99" t="n"/>
      <c r="W1914" s="99" t="n"/>
      <c r="X1914" s="99" t="n"/>
      <c r="Y1914" s="99" t="n"/>
      <c r="Z1914" s="99" t="n"/>
      <c r="AA1914" s="99" t="n"/>
      <c r="AB1914" s="99" t="n"/>
      <c r="AC1914" s="99" t="n"/>
      <c r="AD1914" s="99" t="n"/>
      <c r="AE1914" s="99" t="n"/>
      <c r="AF1914" s="99" t="n"/>
      <c r="AG1914" s="99" t="n"/>
      <c r="AH1914" s="99" t="n"/>
      <c r="AI1914" s="99" t="n"/>
      <c r="AJ1914" s="99" t="n"/>
      <c r="AK1914" s="99" t="n"/>
      <c r="AL1914" s="99" t="n"/>
      <c r="AM1914" s="99" t="n"/>
      <c r="AN1914" s="99" t="n"/>
      <c r="AO1914" s="99" t="n"/>
      <c r="AP1914" s="99" t="n"/>
      <c r="AQ1914" s="99" t="n"/>
      <c r="AR1914" s="99" t="n"/>
    </row>
    <row r="1915">
      <c r="D1915" s="99" t="n"/>
      <c r="E1915" s="99" t="n"/>
      <c r="F1915" s="99" t="n"/>
      <c r="G1915" s="99" t="n"/>
      <c r="H1915" s="99" t="n"/>
      <c r="I1915" s="99" t="n"/>
      <c r="J1915" s="99" t="n"/>
      <c r="K1915" s="99" t="n"/>
      <c r="L1915" s="99" t="n"/>
      <c r="M1915" s="99" t="n"/>
      <c r="N1915" s="99" t="n"/>
      <c r="O1915" s="99" t="n"/>
      <c r="P1915" s="99" t="n"/>
      <c r="Q1915" s="99" t="n"/>
      <c r="R1915" s="99" t="n"/>
      <c r="S1915" s="99" t="n"/>
      <c r="T1915" s="99" t="n"/>
      <c r="U1915" s="99" t="n"/>
      <c r="V1915" s="99" t="n"/>
      <c r="W1915" s="99" t="n"/>
      <c r="X1915" s="99" t="n"/>
      <c r="Y1915" s="99" t="n"/>
      <c r="Z1915" s="99" t="n"/>
      <c r="AA1915" s="99" t="n"/>
      <c r="AB1915" s="99" t="n"/>
      <c r="AC1915" s="99" t="n"/>
      <c r="AD1915" s="99" t="n"/>
      <c r="AE1915" s="99" t="n"/>
      <c r="AF1915" s="99" t="n"/>
      <c r="AG1915" s="99" t="n"/>
      <c r="AH1915" s="99" t="n"/>
      <c r="AI1915" s="99" t="n"/>
      <c r="AJ1915" s="99" t="n"/>
      <c r="AK1915" s="99" t="n"/>
      <c r="AL1915" s="99" t="n"/>
      <c r="AM1915" s="99" t="n"/>
      <c r="AN1915" s="99" t="n"/>
      <c r="AO1915" s="99" t="n"/>
      <c r="AP1915" s="99" t="n"/>
      <c r="AQ1915" s="99" t="n"/>
      <c r="AR1915" s="99" t="n"/>
    </row>
    <row r="1916">
      <c r="D1916" s="100" t="n"/>
      <c r="E1916" s="100" t="n"/>
      <c r="F1916" s="100" t="n"/>
      <c r="G1916" s="100" t="n"/>
      <c r="H1916" s="100" t="n"/>
      <c r="I1916" s="100" t="n"/>
      <c r="J1916" s="100" t="n"/>
      <c r="K1916" s="100" t="n"/>
      <c r="L1916" s="100" t="n"/>
      <c r="M1916" s="100" t="n"/>
      <c r="N1916" s="100" t="n"/>
      <c r="O1916" s="100" t="n"/>
      <c r="P1916" s="100" t="n"/>
      <c r="Q1916" s="100" t="n"/>
      <c r="R1916" s="100" t="n"/>
      <c r="S1916" s="100" t="n"/>
      <c r="T1916" s="100" t="n"/>
      <c r="U1916" s="100" t="n"/>
      <c r="V1916" s="100" t="n"/>
      <c r="W1916" s="100" t="n"/>
      <c r="X1916" s="100" t="n"/>
      <c r="Y1916" s="100" t="n"/>
      <c r="Z1916" s="100" t="n"/>
      <c r="AA1916" s="100" t="n"/>
      <c r="AB1916" s="100" t="n"/>
      <c r="AC1916" s="100" t="n"/>
      <c r="AD1916" s="100" t="n"/>
      <c r="AE1916" s="100" t="n"/>
      <c r="AF1916" s="100" t="n"/>
      <c r="AG1916" s="100" t="n"/>
      <c r="AH1916" s="100" t="n"/>
      <c r="AI1916" s="100" t="n"/>
      <c r="AJ1916" s="100" t="n"/>
      <c r="AK1916" s="100" t="n"/>
      <c r="AL1916" s="100" t="n"/>
      <c r="AM1916" s="100" t="n"/>
      <c r="AN1916" s="100" t="n"/>
      <c r="AO1916" s="100" t="n"/>
      <c r="AP1916" s="100" t="n"/>
      <c r="AQ1916" s="100" t="n"/>
      <c r="AR1916" s="100" t="n"/>
    </row>
    <row r="1919">
      <c r="A1919" s="2">
        <f>IF($A1912="","","   projections")</f>
        <v/>
      </c>
      <c r="B1919" s="96">
        <f>IF($A1912="",0,COUNT($E1920:$AR1920))</f>
        <v/>
      </c>
      <c r="C1919" s="97">
        <f>IF($B1919=0,0,MAX($E1920:$AR1920))</f>
        <v/>
      </c>
      <c r="D1919" s="98">
        <f>BDS($A1912,FLD_PROJ,"headers=y","startcol=1","endcol=3","dir=h")</f>
        <v/>
      </c>
      <c r="E1919" s="99" t="n"/>
      <c r="F1919" s="99" t="n"/>
      <c r="G1919" s="99" t="n"/>
      <c r="H1919" s="99" t="n"/>
      <c r="I1919" s="99" t="n"/>
      <c r="J1919" s="99" t="n"/>
      <c r="K1919" s="99" t="n"/>
      <c r="L1919" s="99" t="n"/>
      <c r="M1919" s="99" t="n"/>
      <c r="N1919" s="99" t="n"/>
      <c r="O1919" s="99" t="n"/>
      <c r="P1919" s="99" t="n"/>
      <c r="Q1919" s="99" t="n"/>
      <c r="R1919" s="99" t="n"/>
      <c r="S1919" s="99" t="n"/>
      <c r="T1919" s="99" t="n"/>
      <c r="U1919" s="99" t="n"/>
      <c r="V1919" s="99" t="n"/>
      <c r="W1919" s="99" t="n"/>
      <c r="X1919" s="99" t="n"/>
      <c r="Y1919" s="99" t="n"/>
      <c r="Z1919" s="99" t="n"/>
      <c r="AA1919" s="99" t="n"/>
      <c r="AB1919" s="99" t="n"/>
      <c r="AC1919" s="99" t="n"/>
      <c r="AD1919" s="99" t="n"/>
      <c r="AE1919" s="99" t="n"/>
      <c r="AF1919" s="99" t="n"/>
      <c r="AG1919" s="99" t="n"/>
      <c r="AH1919" s="99" t="n"/>
      <c r="AI1919" s="99" t="n"/>
      <c r="AJ1919" s="99" t="n"/>
      <c r="AK1919" s="99" t="n"/>
      <c r="AL1919" s="99" t="n"/>
      <c r="AM1919" s="99" t="n"/>
      <c r="AN1919" s="99" t="n"/>
      <c r="AO1919" s="99" t="n"/>
      <c r="AP1919" s="99" t="n"/>
      <c r="AQ1919" s="99" t="n"/>
      <c r="AR1919" s="99" t="n"/>
    </row>
    <row r="1920">
      <c r="D1920" s="99" t="n"/>
      <c r="E1920" s="99" t="n"/>
      <c r="F1920" s="99" t="n"/>
      <c r="G1920" s="99" t="n"/>
      <c r="H1920" s="99" t="n"/>
      <c r="I1920" s="99" t="n"/>
      <c r="J1920" s="99" t="n"/>
      <c r="K1920" s="99" t="n"/>
      <c r="L1920" s="99" t="n"/>
      <c r="M1920" s="99" t="n"/>
      <c r="N1920" s="99" t="n"/>
      <c r="O1920" s="99" t="n"/>
      <c r="P1920" s="99" t="n"/>
      <c r="Q1920" s="99" t="n"/>
      <c r="R1920" s="99" t="n"/>
      <c r="S1920" s="99" t="n"/>
      <c r="T1920" s="99" t="n"/>
      <c r="U1920" s="99" t="n"/>
      <c r="V1920" s="99" t="n"/>
      <c r="W1920" s="99" t="n"/>
      <c r="X1920" s="99" t="n"/>
      <c r="Y1920" s="99" t="n"/>
      <c r="Z1920" s="99" t="n"/>
      <c r="AA1920" s="99" t="n"/>
      <c r="AB1920" s="99" t="n"/>
      <c r="AC1920" s="99" t="n"/>
      <c r="AD1920" s="99" t="n"/>
      <c r="AE1920" s="99" t="n"/>
      <c r="AF1920" s="99" t="n"/>
      <c r="AG1920" s="99" t="n"/>
      <c r="AH1920" s="99" t="n"/>
      <c r="AI1920" s="99" t="n"/>
      <c r="AJ1920" s="99" t="n"/>
      <c r="AK1920" s="99" t="n"/>
      <c r="AL1920" s="99" t="n"/>
      <c r="AM1920" s="99" t="n"/>
      <c r="AN1920" s="99" t="n"/>
      <c r="AO1920" s="99" t="n"/>
      <c r="AP1920" s="99" t="n"/>
      <c r="AQ1920" s="99" t="n"/>
      <c r="AR1920" s="99" t="n"/>
    </row>
    <row r="1921">
      <c r="D1921" s="100" t="n"/>
      <c r="E1921" s="100" t="n"/>
      <c r="F1921" s="100" t="n"/>
      <c r="G1921" s="100" t="n"/>
      <c r="H1921" s="100" t="n"/>
      <c r="I1921" s="100" t="n"/>
      <c r="J1921" s="100" t="n"/>
      <c r="K1921" s="100" t="n"/>
      <c r="L1921" s="100" t="n"/>
      <c r="M1921" s="100" t="n"/>
      <c r="N1921" s="100" t="n"/>
      <c r="O1921" s="100" t="n"/>
      <c r="P1921" s="100" t="n"/>
      <c r="Q1921" s="100" t="n"/>
      <c r="R1921" s="100" t="n"/>
      <c r="S1921" s="100" t="n"/>
      <c r="T1921" s="100" t="n"/>
      <c r="U1921" s="100" t="n"/>
      <c r="V1921" s="100" t="n"/>
      <c r="W1921" s="100" t="n"/>
      <c r="X1921" s="100" t="n"/>
      <c r="Y1921" s="100" t="n"/>
      <c r="Z1921" s="100" t="n"/>
      <c r="AA1921" s="100" t="n"/>
      <c r="AB1921" s="100" t="n"/>
      <c r="AC1921" s="100" t="n"/>
      <c r="AD1921" s="100" t="n"/>
      <c r="AE1921" s="100" t="n"/>
      <c r="AF1921" s="100" t="n"/>
      <c r="AG1921" s="100" t="n"/>
      <c r="AH1921" s="100" t="n"/>
      <c r="AI1921" s="100" t="n"/>
      <c r="AJ1921" s="100" t="n"/>
      <c r="AK1921" s="100" t="n"/>
      <c r="AL1921" s="100" t="n"/>
      <c r="AM1921" s="100" t="n"/>
      <c r="AN1921" s="100" t="n"/>
      <c r="AO1921" s="100" t="n"/>
      <c r="AP1921" s="100" t="n"/>
      <c r="AQ1921" s="100" t="n"/>
      <c r="AR1921" s="100" t="n"/>
    </row>
    <row r="1923">
      <c r="A1923" s="6">
        <f>IF(HSCEI!$C$40="","",HSCEI!$C$40)</f>
        <v/>
      </c>
      <c r="B1923" s="96">
        <f>IF($A1923="",0,COUNT($E1924:$AR1924))</f>
        <v/>
      </c>
      <c r="C1923" s="97">
        <f>IF($B1923=0,0,MAX($E1924:$AR1924))</f>
        <v/>
      </c>
      <c r="D1923" s="98">
        <f>BDS($A1923,FLD_HIST,"headers=y","startcol=1","endcol=7","dir=h","DVD_START_DT",HIST_FROM,"DVD_END_DT",HIST_TO)</f>
        <v/>
      </c>
      <c r="E1923" s="99" t="n"/>
      <c r="F1923" s="99" t="n"/>
      <c r="G1923" s="99" t="n"/>
      <c r="H1923" s="99" t="n"/>
      <c r="I1923" s="99" t="n"/>
      <c r="J1923" s="99" t="n"/>
      <c r="K1923" s="99" t="n"/>
      <c r="L1923" s="99" t="n"/>
      <c r="M1923" s="99" t="n"/>
      <c r="N1923" s="99" t="n"/>
      <c r="O1923" s="99" t="n"/>
      <c r="P1923" s="99" t="n"/>
      <c r="Q1923" s="99" t="n"/>
      <c r="R1923" s="99" t="n"/>
      <c r="S1923" s="99" t="n"/>
      <c r="T1923" s="99" t="n"/>
      <c r="U1923" s="99" t="n"/>
      <c r="V1923" s="99" t="n"/>
      <c r="W1923" s="99" t="n"/>
      <c r="X1923" s="99" t="n"/>
      <c r="Y1923" s="99" t="n"/>
      <c r="Z1923" s="99" t="n"/>
      <c r="AA1923" s="99" t="n"/>
      <c r="AB1923" s="99" t="n"/>
      <c r="AC1923" s="99" t="n"/>
      <c r="AD1923" s="99" t="n"/>
      <c r="AE1923" s="99" t="n"/>
      <c r="AF1923" s="99" t="n"/>
      <c r="AG1923" s="99" t="n"/>
      <c r="AH1923" s="99" t="n"/>
      <c r="AI1923" s="99" t="n"/>
      <c r="AJ1923" s="99" t="n"/>
      <c r="AK1923" s="99" t="n"/>
      <c r="AL1923" s="99" t="n"/>
      <c r="AM1923" s="99" t="n"/>
      <c r="AN1923" s="99" t="n"/>
      <c r="AO1923" s="99" t="n"/>
      <c r="AP1923" s="99" t="n"/>
      <c r="AQ1923" s="99" t="n"/>
      <c r="AR1923" s="99" t="n"/>
    </row>
    <row r="1924">
      <c r="D1924" s="99" t="n"/>
      <c r="E1924" s="99" t="n"/>
      <c r="F1924" s="99" t="n"/>
      <c r="G1924" s="99" t="n"/>
      <c r="H1924" s="99" t="n"/>
      <c r="I1924" s="99" t="n"/>
      <c r="J1924" s="99" t="n"/>
      <c r="K1924" s="99" t="n"/>
      <c r="L1924" s="99" t="n"/>
      <c r="M1924" s="99" t="n"/>
      <c r="N1924" s="99" t="n"/>
      <c r="O1924" s="99" t="n"/>
      <c r="P1924" s="99" t="n"/>
      <c r="Q1924" s="99" t="n"/>
      <c r="R1924" s="99" t="n"/>
      <c r="S1924" s="99" t="n"/>
      <c r="T1924" s="99" t="n"/>
      <c r="U1924" s="99" t="n"/>
      <c r="V1924" s="99" t="n"/>
      <c r="W1924" s="99" t="n"/>
      <c r="X1924" s="99" t="n"/>
      <c r="Y1924" s="99" t="n"/>
      <c r="Z1924" s="99" t="n"/>
      <c r="AA1924" s="99" t="n"/>
      <c r="AB1924" s="99" t="n"/>
      <c r="AC1924" s="99" t="n"/>
      <c r="AD1924" s="99" t="n"/>
      <c r="AE1924" s="99" t="n"/>
      <c r="AF1924" s="99" t="n"/>
      <c r="AG1924" s="99" t="n"/>
      <c r="AH1924" s="99" t="n"/>
      <c r="AI1924" s="99" t="n"/>
      <c r="AJ1924" s="99" t="n"/>
      <c r="AK1924" s="99" t="n"/>
      <c r="AL1924" s="99" t="n"/>
      <c r="AM1924" s="99" t="n"/>
      <c r="AN1924" s="99" t="n"/>
      <c r="AO1924" s="99" t="n"/>
      <c r="AP1924" s="99" t="n"/>
      <c r="AQ1924" s="99" t="n"/>
      <c r="AR1924" s="99" t="n"/>
    </row>
    <row r="1925">
      <c r="D1925" s="99" t="n"/>
      <c r="E1925" s="99" t="n"/>
      <c r="F1925" s="99" t="n"/>
      <c r="G1925" s="99" t="n"/>
      <c r="H1925" s="99" t="n"/>
      <c r="I1925" s="99" t="n"/>
      <c r="J1925" s="99" t="n"/>
      <c r="K1925" s="99" t="n"/>
      <c r="L1925" s="99" t="n"/>
      <c r="M1925" s="99" t="n"/>
      <c r="N1925" s="99" t="n"/>
      <c r="O1925" s="99" t="n"/>
      <c r="P1925" s="99" t="n"/>
      <c r="Q1925" s="99" t="n"/>
      <c r="R1925" s="99" t="n"/>
      <c r="S1925" s="99" t="n"/>
      <c r="T1925" s="99" t="n"/>
      <c r="U1925" s="99" t="n"/>
      <c r="V1925" s="99" t="n"/>
      <c r="W1925" s="99" t="n"/>
      <c r="X1925" s="99" t="n"/>
      <c r="Y1925" s="99" t="n"/>
      <c r="Z1925" s="99" t="n"/>
      <c r="AA1925" s="99" t="n"/>
      <c r="AB1925" s="99" t="n"/>
      <c r="AC1925" s="99" t="n"/>
      <c r="AD1925" s="99" t="n"/>
      <c r="AE1925" s="99" t="n"/>
      <c r="AF1925" s="99" t="n"/>
      <c r="AG1925" s="99" t="n"/>
      <c r="AH1925" s="99" t="n"/>
      <c r="AI1925" s="99" t="n"/>
      <c r="AJ1925" s="99" t="n"/>
      <c r="AK1925" s="99" t="n"/>
      <c r="AL1925" s="99" t="n"/>
      <c r="AM1925" s="99" t="n"/>
      <c r="AN1925" s="99" t="n"/>
      <c r="AO1925" s="99" t="n"/>
      <c r="AP1925" s="99" t="n"/>
      <c r="AQ1925" s="99" t="n"/>
      <c r="AR1925" s="99" t="n"/>
    </row>
    <row r="1926">
      <c r="D1926" s="99" t="n"/>
      <c r="E1926" s="99" t="n"/>
      <c r="F1926" s="99" t="n"/>
      <c r="G1926" s="99" t="n"/>
      <c r="H1926" s="99" t="n"/>
      <c r="I1926" s="99" t="n"/>
      <c r="J1926" s="99" t="n"/>
      <c r="K1926" s="99" t="n"/>
      <c r="L1926" s="99" t="n"/>
      <c r="M1926" s="99" t="n"/>
      <c r="N1926" s="99" t="n"/>
      <c r="O1926" s="99" t="n"/>
      <c r="P1926" s="99" t="n"/>
      <c r="Q1926" s="99" t="n"/>
      <c r="R1926" s="99" t="n"/>
      <c r="S1926" s="99" t="n"/>
      <c r="T1926" s="99" t="n"/>
      <c r="U1926" s="99" t="n"/>
      <c r="V1926" s="99" t="n"/>
      <c r="W1926" s="99" t="n"/>
      <c r="X1926" s="99" t="n"/>
      <c r="Y1926" s="99" t="n"/>
      <c r="Z1926" s="99" t="n"/>
      <c r="AA1926" s="99" t="n"/>
      <c r="AB1926" s="99" t="n"/>
      <c r="AC1926" s="99" t="n"/>
      <c r="AD1926" s="99" t="n"/>
      <c r="AE1926" s="99" t="n"/>
      <c r="AF1926" s="99" t="n"/>
      <c r="AG1926" s="99" t="n"/>
      <c r="AH1926" s="99" t="n"/>
      <c r="AI1926" s="99" t="n"/>
      <c r="AJ1926" s="99" t="n"/>
      <c r="AK1926" s="99" t="n"/>
      <c r="AL1926" s="99" t="n"/>
      <c r="AM1926" s="99" t="n"/>
      <c r="AN1926" s="99" t="n"/>
      <c r="AO1926" s="99" t="n"/>
      <c r="AP1926" s="99" t="n"/>
      <c r="AQ1926" s="99" t="n"/>
      <c r="AR1926" s="99" t="n"/>
    </row>
    <row r="1927">
      <c r="D1927" s="100" t="n"/>
      <c r="E1927" s="100" t="n"/>
      <c r="F1927" s="100" t="n"/>
      <c r="G1927" s="100" t="n"/>
      <c r="H1927" s="100" t="n"/>
      <c r="I1927" s="100" t="n"/>
      <c r="J1927" s="100" t="n"/>
      <c r="K1927" s="100" t="n"/>
      <c r="L1927" s="100" t="n"/>
      <c r="M1927" s="100" t="n"/>
      <c r="N1927" s="100" t="n"/>
      <c r="O1927" s="100" t="n"/>
      <c r="P1927" s="100" t="n"/>
      <c r="Q1927" s="100" t="n"/>
      <c r="R1927" s="100" t="n"/>
      <c r="S1927" s="100" t="n"/>
      <c r="T1927" s="100" t="n"/>
      <c r="U1927" s="100" t="n"/>
      <c r="V1927" s="100" t="n"/>
      <c r="W1927" s="100" t="n"/>
      <c r="X1927" s="100" t="n"/>
      <c r="Y1927" s="100" t="n"/>
      <c r="Z1927" s="100" t="n"/>
      <c r="AA1927" s="100" t="n"/>
      <c r="AB1927" s="100" t="n"/>
      <c r="AC1927" s="100" t="n"/>
      <c r="AD1927" s="100" t="n"/>
      <c r="AE1927" s="100" t="n"/>
      <c r="AF1927" s="100" t="n"/>
      <c r="AG1927" s="100" t="n"/>
      <c r="AH1927" s="100" t="n"/>
      <c r="AI1927" s="100" t="n"/>
      <c r="AJ1927" s="100" t="n"/>
      <c r="AK1927" s="100" t="n"/>
      <c r="AL1927" s="100" t="n"/>
      <c r="AM1927" s="100" t="n"/>
      <c r="AN1927" s="100" t="n"/>
      <c r="AO1927" s="100" t="n"/>
      <c r="AP1927" s="100" t="n"/>
      <c r="AQ1927" s="100" t="n"/>
      <c r="AR1927" s="100" t="n"/>
    </row>
    <row r="1930">
      <c r="A1930" s="2">
        <f>IF($A1923="","","   projections")</f>
        <v/>
      </c>
      <c r="B1930" s="96">
        <f>IF($A1923="",0,COUNT($E1931:$AR1931))</f>
        <v/>
      </c>
      <c r="C1930" s="97">
        <f>IF($B1930=0,0,MAX($E1931:$AR1931))</f>
        <v/>
      </c>
      <c r="D1930" s="98">
        <f>BDS($A1923,FLD_PROJ,"headers=y","startcol=1","endcol=3","dir=h")</f>
        <v/>
      </c>
      <c r="E1930" s="99" t="n"/>
      <c r="F1930" s="99" t="n"/>
      <c r="G1930" s="99" t="n"/>
      <c r="H1930" s="99" t="n"/>
      <c r="I1930" s="99" t="n"/>
      <c r="J1930" s="99" t="n"/>
      <c r="K1930" s="99" t="n"/>
      <c r="L1930" s="99" t="n"/>
      <c r="M1930" s="99" t="n"/>
      <c r="N1930" s="99" t="n"/>
      <c r="O1930" s="99" t="n"/>
      <c r="P1930" s="99" t="n"/>
      <c r="Q1930" s="99" t="n"/>
      <c r="R1930" s="99" t="n"/>
      <c r="S1930" s="99" t="n"/>
      <c r="T1930" s="99" t="n"/>
      <c r="U1930" s="99" t="n"/>
      <c r="V1930" s="99" t="n"/>
      <c r="W1930" s="99" t="n"/>
      <c r="X1930" s="99" t="n"/>
      <c r="Y1930" s="99" t="n"/>
      <c r="Z1930" s="99" t="n"/>
      <c r="AA1930" s="99" t="n"/>
      <c r="AB1930" s="99" t="n"/>
      <c r="AC1930" s="99" t="n"/>
      <c r="AD1930" s="99" t="n"/>
      <c r="AE1930" s="99" t="n"/>
      <c r="AF1930" s="99" t="n"/>
      <c r="AG1930" s="99" t="n"/>
      <c r="AH1930" s="99" t="n"/>
      <c r="AI1930" s="99" t="n"/>
      <c r="AJ1930" s="99" t="n"/>
      <c r="AK1930" s="99" t="n"/>
      <c r="AL1930" s="99" t="n"/>
      <c r="AM1930" s="99" t="n"/>
      <c r="AN1930" s="99" t="n"/>
      <c r="AO1930" s="99" t="n"/>
      <c r="AP1930" s="99" t="n"/>
      <c r="AQ1930" s="99" t="n"/>
      <c r="AR1930" s="99" t="n"/>
    </row>
    <row r="1931">
      <c r="D1931" s="99" t="n"/>
      <c r="E1931" s="99" t="n"/>
      <c r="F1931" s="99" t="n"/>
      <c r="G1931" s="99" t="n"/>
      <c r="H1931" s="99" t="n"/>
      <c r="I1931" s="99" t="n"/>
      <c r="J1931" s="99" t="n"/>
      <c r="K1931" s="99" t="n"/>
      <c r="L1931" s="99" t="n"/>
      <c r="M1931" s="99" t="n"/>
      <c r="N1931" s="99" t="n"/>
      <c r="O1931" s="99" t="n"/>
      <c r="P1931" s="99" t="n"/>
      <c r="Q1931" s="99" t="n"/>
      <c r="R1931" s="99" t="n"/>
      <c r="S1931" s="99" t="n"/>
      <c r="T1931" s="99" t="n"/>
      <c r="U1931" s="99" t="n"/>
      <c r="V1931" s="99" t="n"/>
      <c r="W1931" s="99" t="n"/>
      <c r="X1931" s="99" t="n"/>
      <c r="Y1931" s="99" t="n"/>
      <c r="Z1931" s="99" t="n"/>
      <c r="AA1931" s="99" t="n"/>
      <c r="AB1931" s="99" t="n"/>
      <c r="AC1931" s="99" t="n"/>
      <c r="AD1931" s="99" t="n"/>
      <c r="AE1931" s="99" t="n"/>
      <c r="AF1931" s="99" t="n"/>
      <c r="AG1931" s="99" t="n"/>
      <c r="AH1931" s="99" t="n"/>
      <c r="AI1931" s="99" t="n"/>
      <c r="AJ1931" s="99" t="n"/>
      <c r="AK1931" s="99" t="n"/>
      <c r="AL1931" s="99" t="n"/>
      <c r="AM1931" s="99" t="n"/>
      <c r="AN1931" s="99" t="n"/>
      <c r="AO1931" s="99" t="n"/>
      <c r="AP1931" s="99" t="n"/>
      <c r="AQ1931" s="99" t="n"/>
      <c r="AR1931" s="99" t="n"/>
    </row>
    <row r="1932">
      <c r="D1932" s="100" t="n"/>
      <c r="E1932" s="100" t="n"/>
      <c r="F1932" s="100" t="n"/>
      <c r="G1932" s="100" t="n"/>
      <c r="H1932" s="100" t="n"/>
      <c r="I1932" s="100" t="n"/>
      <c r="J1932" s="100" t="n"/>
      <c r="K1932" s="100" t="n"/>
      <c r="L1932" s="100" t="n"/>
      <c r="M1932" s="100" t="n"/>
      <c r="N1932" s="100" t="n"/>
      <c r="O1932" s="100" t="n"/>
      <c r="P1932" s="100" t="n"/>
      <c r="Q1932" s="100" t="n"/>
      <c r="R1932" s="100" t="n"/>
      <c r="S1932" s="100" t="n"/>
      <c r="T1932" s="100" t="n"/>
      <c r="U1932" s="100" t="n"/>
      <c r="V1932" s="100" t="n"/>
      <c r="W1932" s="100" t="n"/>
      <c r="X1932" s="100" t="n"/>
      <c r="Y1932" s="100" t="n"/>
      <c r="Z1932" s="100" t="n"/>
      <c r="AA1932" s="100" t="n"/>
      <c r="AB1932" s="100" t="n"/>
      <c r="AC1932" s="100" t="n"/>
      <c r="AD1932" s="100" t="n"/>
      <c r="AE1932" s="100" t="n"/>
      <c r="AF1932" s="100" t="n"/>
      <c r="AG1932" s="100" t="n"/>
      <c r="AH1932" s="100" t="n"/>
      <c r="AI1932" s="100" t="n"/>
      <c r="AJ1932" s="100" t="n"/>
      <c r="AK1932" s="100" t="n"/>
      <c r="AL1932" s="100" t="n"/>
      <c r="AM1932" s="100" t="n"/>
      <c r="AN1932" s="100" t="n"/>
      <c r="AO1932" s="100" t="n"/>
      <c r="AP1932" s="100" t="n"/>
      <c r="AQ1932" s="100" t="n"/>
      <c r="AR1932" s="100" t="n"/>
    </row>
    <row r="1934">
      <c r="A1934" s="6">
        <f>IF(HSCEI!$C$41="","",HSCEI!$C$41)</f>
        <v/>
      </c>
      <c r="B1934" s="96">
        <f>IF($A1934="",0,COUNT($E1935:$AR1935))</f>
        <v/>
      </c>
      <c r="C1934" s="97">
        <f>IF($B1934=0,0,MAX($E1935:$AR1935))</f>
        <v/>
      </c>
      <c r="D1934" s="98">
        <f>BDS($A1934,FLD_HIST,"headers=y","startcol=1","endcol=7","dir=h","DVD_START_DT",HIST_FROM,"DVD_END_DT",HIST_TO)</f>
        <v/>
      </c>
      <c r="E1934" s="99" t="n"/>
      <c r="F1934" s="99" t="n"/>
      <c r="G1934" s="99" t="n"/>
      <c r="H1934" s="99" t="n"/>
      <c r="I1934" s="99" t="n"/>
      <c r="J1934" s="99" t="n"/>
      <c r="K1934" s="99" t="n"/>
      <c r="L1934" s="99" t="n"/>
      <c r="M1934" s="99" t="n"/>
      <c r="N1934" s="99" t="n"/>
      <c r="O1934" s="99" t="n"/>
      <c r="P1934" s="99" t="n"/>
      <c r="Q1934" s="99" t="n"/>
      <c r="R1934" s="99" t="n"/>
      <c r="S1934" s="99" t="n"/>
      <c r="T1934" s="99" t="n"/>
      <c r="U1934" s="99" t="n"/>
      <c r="V1934" s="99" t="n"/>
      <c r="W1934" s="99" t="n"/>
      <c r="X1934" s="99" t="n"/>
      <c r="Y1934" s="99" t="n"/>
      <c r="Z1934" s="99" t="n"/>
      <c r="AA1934" s="99" t="n"/>
      <c r="AB1934" s="99" t="n"/>
      <c r="AC1934" s="99" t="n"/>
      <c r="AD1934" s="99" t="n"/>
      <c r="AE1934" s="99" t="n"/>
      <c r="AF1934" s="99" t="n"/>
      <c r="AG1934" s="99" t="n"/>
      <c r="AH1934" s="99" t="n"/>
      <c r="AI1934" s="99" t="n"/>
      <c r="AJ1934" s="99" t="n"/>
      <c r="AK1934" s="99" t="n"/>
      <c r="AL1934" s="99" t="n"/>
      <c r="AM1934" s="99" t="n"/>
      <c r="AN1934" s="99" t="n"/>
      <c r="AO1934" s="99" t="n"/>
      <c r="AP1934" s="99" t="n"/>
      <c r="AQ1934" s="99" t="n"/>
      <c r="AR1934" s="99" t="n"/>
    </row>
    <row r="1935">
      <c r="D1935" s="99" t="n"/>
      <c r="E1935" s="99" t="n"/>
      <c r="F1935" s="99" t="n"/>
      <c r="G1935" s="99" t="n"/>
      <c r="H1935" s="99" t="n"/>
      <c r="I1935" s="99" t="n"/>
      <c r="J1935" s="99" t="n"/>
      <c r="K1935" s="99" t="n"/>
      <c r="L1935" s="99" t="n"/>
      <c r="M1935" s="99" t="n"/>
      <c r="N1935" s="99" t="n"/>
      <c r="O1935" s="99" t="n"/>
      <c r="P1935" s="99" t="n"/>
      <c r="Q1935" s="99" t="n"/>
      <c r="R1935" s="99" t="n"/>
      <c r="S1935" s="99" t="n"/>
      <c r="T1935" s="99" t="n"/>
      <c r="U1935" s="99" t="n"/>
      <c r="V1935" s="99" t="n"/>
      <c r="W1935" s="99" t="n"/>
      <c r="X1935" s="99" t="n"/>
      <c r="Y1935" s="99" t="n"/>
      <c r="Z1935" s="99" t="n"/>
      <c r="AA1935" s="99" t="n"/>
      <c r="AB1935" s="99" t="n"/>
      <c r="AC1935" s="99" t="n"/>
      <c r="AD1935" s="99" t="n"/>
      <c r="AE1935" s="99" t="n"/>
      <c r="AF1935" s="99" t="n"/>
      <c r="AG1935" s="99" t="n"/>
      <c r="AH1935" s="99" t="n"/>
      <c r="AI1935" s="99" t="n"/>
      <c r="AJ1935" s="99" t="n"/>
      <c r="AK1935" s="99" t="n"/>
      <c r="AL1935" s="99" t="n"/>
      <c r="AM1935" s="99" t="n"/>
      <c r="AN1935" s="99" t="n"/>
      <c r="AO1935" s="99" t="n"/>
      <c r="AP1935" s="99" t="n"/>
      <c r="AQ1935" s="99" t="n"/>
      <c r="AR1935" s="99" t="n"/>
    </row>
    <row r="1936">
      <c r="D1936" s="99" t="n"/>
      <c r="E1936" s="99" t="n"/>
      <c r="F1936" s="99" t="n"/>
      <c r="G1936" s="99" t="n"/>
      <c r="H1936" s="99" t="n"/>
      <c r="I1936" s="99" t="n"/>
      <c r="J1936" s="99" t="n"/>
      <c r="K1936" s="99" t="n"/>
      <c r="L1936" s="99" t="n"/>
      <c r="M1936" s="99" t="n"/>
      <c r="N1936" s="99" t="n"/>
      <c r="O1936" s="99" t="n"/>
      <c r="P1936" s="99" t="n"/>
      <c r="Q1936" s="99" t="n"/>
      <c r="R1936" s="99" t="n"/>
      <c r="S1936" s="99" t="n"/>
      <c r="T1936" s="99" t="n"/>
      <c r="U1936" s="99" t="n"/>
      <c r="V1936" s="99" t="n"/>
      <c r="W1936" s="99" t="n"/>
      <c r="X1936" s="99" t="n"/>
      <c r="Y1936" s="99" t="n"/>
      <c r="Z1936" s="99" t="n"/>
      <c r="AA1936" s="99" t="n"/>
      <c r="AB1936" s="99" t="n"/>
      <c r="AC1936" s="99" t="n"/>
      <c r="AD1936" s="99" t="n"/>
      <c r="AE1936" s="99" t="n"/>
      <c r="AF1936" s="99" t="n"/>
      <c r="AG1936" s="99" t="n"/>
      <c r="AH1936" s="99" t="n"/>
      <c r="AI1936" s="99" t="n"/>
      <c r="AJ1936" s="99" t="n"/>
      <c r="AK1936" s="99" t="n"/>
      <c r="AL1936" s="99" t="n"/>
      <c r="AM1936" s="99" t="n"/>
      <c r="AN1936" s="99" t="n"/>
      <c r="AO1936" s="99" t="n"/>
      <c r="AP1936" s="99" t="n"/>
      <c r="AQ1936" s="99" t="n"/>
      <c r="AR1936" s="99" t="n"/>
    </row>
    <row r="1937">
      <c r="D1937" s="99" t="n"/>
      <c r="E1937" s="99" t="n"/>
      <c r="F1937" s="99" t="n"/>
      <c r="G1937" s="99" t="n"/>
      <c r="H1937" s="99" t="n"/>
      <c r="I1937" s="99" t="n"/>
      <c r="J1937" s="99" t="n"/>
      <c r="K1937" s="99" t="n"/>
      <c r="L1937" s="99" t="n"/>
      <c r="M1937" s="99" t="n"/>
      <c r="N1937" s="99" t="n"/>
      <c r="O1937" s="99" t="n"/>
      <c r="P1937" s="99" t="n"/>
      <c r="Q1937" s="99" t="n"/>
      <c r="R1937" s="99" t="n"/>
      <c r="S1937" s="99" t="n"/>
      <c r="T1937" s="99" t="n"/>
      <c r="U1937" s="99" t="n"/>
      <c r="V1937" s="99" t="n"/>
      <c r="W1937" s="99" t="n"/>
      <c r="X1937" s="99" t="n"/>
      <c r="Y1937" s="99" t="n"/>
      <c r="Z1937" s="99" t="n"/>
      <c r="AA1937" s="99" t="n"/>
      <c r="AB1937" s="99" t="n"/>
      <c r="AC1937" s="99" t="n"/>
      <c r="AD1937" s="99" t="n"/>
      <c r="AE1937" s="99" t="n"/>
      <c r="AF1937" s="99" t="n"/>
      <c r="AG1937" s="99" t="n"/>
      <c r="AH1937" s="99" t="n"/>
      <c r="AI1937" s="99" t="n"/>
      <c r="AJ1937" s="99" t="n"/>
      <c r="AK1937" s="99" t="n"/>
      <c r="AL1937" s="99" t="n"/>
      <c r="AM1937" s="99" t="n"/>
      <c r="AN1937" s="99" t="n"/>
      <c r="AO1937" s="99" t="n"/>
      <c r="AP1937" s="99" t="n"/>
      <c r="AQ1937" s="99" t="n"/>
      <c r="AR1937" s="99" t="n"/>
    </row>
    <row r="1938">
      <c r="D1938" s="100" t="n"/>
      <c r="E1938" s="100" t="n"/>
      <c r="F1938" s="100" t="n"/>
      <c r="G1938" s="100" t="n"/>
      <c r="H1938" s="100" t="n"/>
      <c r="I1938" s="100" t="n"/>
      <c r="J1938" s="100" t="n"/>
      <c r="K1938" s="100" t="n"/>
      <c r="L1938" s="100" t="n"/>
      <c r="M1938" s="100" t="n"/>
      <c r="N1938" s="100" t="n"/>
      <c r="O1938" s="100" t="n"/>
      <c r="P1938" s="100" t="n"/>
      <c r="Q1938" s="100" t="n"/>
      <c r="R1938" s="100" t="n"/>
      <c r="S1938" s="100" t="n"/>
      <c r="T1938" s="100" t="n"/>
      <c r="U1938" s="100" t="n"/>
      <c r="V1938" s="100" t="n"/>
      <c r="W1938" s="100" t="n"/>
      <c r="X1938" s="100" t="n"/>
      <c r="Y1938" s="100" t="n"/>
      <c r="Z1938" s="100" t="n"/>
      <c r="AA1938" s="100" t="n"/>
      <c r="AB1938" s="100" t="n"/>
      <c r="AC1938" s="100" t="n"/>
      <c r="AD1938" s="100" t="n"/>
      <c r="AE1938" s="100" t="n"/>
      <c r="AF1938" s="100" t="n"/>
      <c r="AG1938" s="100" t="n"/>
      <c r="AH1938" s="100" t="n"/>
      <c r="AI1938" s="100" t="n"/>
      <c r="AJ1938" s="100" t="n"/>
      <c r="AK1938" s="100" t="n"/>
      <c r="AL1938" s="100" t="n"/>
      <c r="AM1938" s="100" t="n"/>
      <c r="AN1938" s="100" t="n"/>
      <c r="AO1938" s="100" t="n"/>
      <c r="AP1938" s="100" t="n"/>
      <c r="AQ1938" s="100" t="n"/>
      <c r="AR1938" s="100" t="n"/>
    </row>
    <row r="1941">
      <c r="A1941" s="2">
        <f>IF($A1934="","","   projections")</f>
        <v/>
      </c>
      <c r="B1941" s="96">
        <f>IF($A1934="",0,COUNT($E1942:$AR1942))</f>
        <v/>
      </c>
      <c r="C1941" s="97">
        <f>IF($B1941=0,0,MAX($E1942:$AR1942))</f>
        <v/>
      </c>
      <c r="D1941" s="98">
        <f>BDS($A1934,FLD_PROJ,"headers=y","startcol=1","endcol=3","dir=h")</f>
        <v/>
      </c>
      <c r="E1941" s="99" t="n"/>
      <c r="F1941" s="99" t="n"/>
      <c r="G1941" s="99" t="n"/>
      <c r="H1941" s="99" t="n"/>
      <c r="I1941" s="99" t="n"/>
      <c r="J1941" s="99" t="n"/>
      <c r="K1941" s="99" t="n"/>
      <c r="L1941" s="99" t="n"/>
      <c r="M1941" s="99" t="n"/>
      <c r="N1941" s="99" t="n"/>
      <c r="O1941" s="99" t="n"/>
      <c r="P1941" s="99" t="n"/>
      <c r="Q1941" s="99" t="n"/>
      <c r="R1941" s="99" t="n"/>
      <c r="S1941" s="99" t="n"/>
      <c r="T1941" s="99" t="n"/>
      <c r="U1941" s="99" t="n"/>
      <c r="V1941" s="99" t="n"/>
      <c r="W1941" s="99" t="n"/>
      <c r="X1941" s="99" t="n"/>
      <c r="Y1941" s="99" t="n"/>
      <c r="Z1941" s="99" t="n"/>
      <c r="AA1941" s="99" t="n"/>
      <c r="AB1941" s="99" t="n"/>
      <c r="AC1941" s="99" t="n"/>
      <c r="AD1941" s="99" t="n"/>
      <c r="AE1941" s="99" t="n"/>
      <c r="AF1941" s="99" t="n"/>
      <c r="AG1941" s="99" t="n"/>
      <c r="AH1941" s="99" t="n"/>
      <c r="AI1941" s="99" t="n"/>
      <c r="AJ1941" s="99" t="n"/>
      <c r="AK1941" s="99" t="n"/>
      <c r="AL1941" s="99" t="n"/>
      <c r="AM1941" s="99" t="n"/>
      <c r="AN1941" s="99" t="n"/>
      <c r="AO1941" s="99" t="n"/>
      <c r="AP1941" s="99" t="n"/>
      <c r="AQ1941" s="99" t="n"/>
      <c r="AR1941" s="99" t="n"/>
    </row>
    <row r="1942">
      <c r="D1942" s="99" t="n"/>
      <c r="E1942" s="99" t="n"/>
      <c r="F1942" s="99" t="n"/>
      <c r="G1942" s="99" t="n"/>
      <c r="H1942" s="99" t="n"/>
      <c r="I1942" s="99" t="n"/>
      <c r="J1942" s="99" t="n"/>
      <c r="K1942" s="99" t="n"/>
      <c r="L1942" s="99" t="n"/>
      <c r="M1942" s="99" t="n"/>
      <c r="N1942" s="99" t="n"/>
      <c r="O1942" s="99" t="n"/>
      <c r="P1942" s="99" t="n"/>
      <c r="Q1942" s="99" t="n"/>
      <c r="R1942" s="99" t="n"/>
      <c r="S1942" s="99" t="n"/>
      <c r="T1942" s="99" t="n"/>
      <c r="U1942" s="99" t="n"/>
      <c r="V1942" s="99" t="n"/>
      <c r="W1942" s="99" t="n"/>
      <c r="X1942" s="99" t="n"/>
      <c r="Y1942" s="99" t="n"/>
      <c r="Z1942" s="99" t="n"/>
      <c r="AA1942" s="99" t="n"/>
      <c r="AB1942" s="99" t="n"/>
      <c r="AC1942" s="99" t="n"/>
      <c r="AD1942" s="99" t="n"/>
      <c r="AE1942" s="99" t="n"/>
      <c r="AF1942" s="99" t="n"/>
      <c r="AG1942" s="99" t="n"/>
      <c r="AH1942" s="99" t="n"/>
      <c r="AI1942" s="99" t="n"/>
      <c r="AJ1942" s="99" t="n"/>
      <c r="AK1942" s="99" t="n"/>
      <c r="AL1942" s="99" t="n"/>
      <c r="AM1942" s="99" t="n"/>
      <c r="AN1942" s="99" t="n"/>
      <c r="AO1942" s="99" t="n"/>
      <c r="AP1942" s="99" t="n"/>
      <c r="AQ1942" s="99" t="n"/>
      <c r="AR1942" s="99" t="n"/>
    </row>
    <row r="1943">
      <c r="D1943" s="100" t="n"/>
      <c r="E1943" s="100" t="n"/>
      <c r="F1943" s="100" t="n"/>
      <c r="G1943" s="100" t="n"/>
      <c r="H1943" s="100" t="n"/>
      <c r="I1943" s="100" t="n"/>
      <c r="J1943" s="100" t="n"/>
      <c r="K1943" s="100" t="n"/>
      <c r="L1943" s="100" t="n"/>
      <c r="M1943" s="100" t="n"/>
      <c r="N1943" s="100" t="n"/>
      <c r="O1943" s="100" t="n"/>
      <c r="P1943" s="100" t="n"/>
      <c r="Q1943" s="100" t="n"/>
      <c r="R1943" s="100" t="n"/>
      <c r="S1943" s="100" t="n"/>
      <c r="T1943" s="100" t="n"/>
      <c r="U1943" s="100" t="n"/>
      <c r="V1943" s="100" t="n"/>
      <c r="W1943" s="100" t="n"/>
      <c r="X1943" s="100" t="n"/>
      <c r="Y1943" s="100" t="n"/>
      <c r="Z1943" s="100" t="n"/>
      <c r="AA1943" s="100" t="n"/>
      <c r="AB1943" s="100" t="n"/>
      <c r="AC1943" s="100" t="n"/>
      <c r="AD1943" s="100" t="n"/>
      <c r="AE1943" s="100" t="n"/>
      <c r="AF1943" s="100" t="n"/>
      <c r="AG1943" s="100" t="n"/>
      <c r="AH1943" s="100" t="n"/>
      <c r="AI1943" s="100" t="n"/>
      <c r="AJ1943" s="100" t="n"/>
      <c r="AK1943" s="100" t="n"/>
      <c r="AL1943" s="100" t="n"/>
      <c r="AM1943" s="100" t="n"/>
      <c r="AN1943" s="100" t="n"/>
      <c r="AO1943" s="100" t="n"/>
      <c r="AP1943" s="100" t="n"/>
      <c r="AQ1943" s="100" t="n"/>
      <c r="AR1943" s="100" t="n"/>
    </row>
    <row r="1945">
      <c r="A1945" s="6">
        <f>IF(HSCEI!$C$42="","",HSCEI!$C$42)</f>
        <v/>
      </c>
      <c r="B1945" s="96">
        <f>IF($A1945="",0,COUNT($E1946:$AR1946))</f>
        <v/>
      </c>
      <c r="C1945" s="97">
        <f>IF($B1945=0,0,MAX($E1946:$AR1946))</f>
        <v/>
      </c>
      <c r="D1945" s="98">
        <f>BDS($A1945,FLD_HIST,"headers=y","startcol=1","endcol=7","dir=h","DVD_START_DT",HIST_FROM,"DVD_END_DT",HIST_TO)</f>
        <v/>
      </c>
      <c r="E1945" s="99" t="n"/>
      <c r="F1945" s="99" t="n"/>
      <c r="G1945" s="99" t="n"/>
      <c r="H1945" s="99" t="n"/>
      <c r="I1945" s="99" t="n"/>
      <c r="J1945" s="99" t="n"/>
      <c r="K1945" s="99" t="n"/>
      <c r="L1945" s="99" t="n"/>
      <c r="M1945" s="99" t="n"/>
      <c r="N1945" s="99" t="n"/>
      <c r="O1945" s="99" t="n"/>
      <c r="P1945" s="99" t="n"/>
      <c r="Q1945" s="99" t="n"/>
      <c r="R1945" s="99" t="n"/>
      <c r="S1945" s="99" t="n"/>
      <c r="T1945" s="99" t="n"/>
      <c r="U1945" s="99" t="n"/>
      <c r="V1945" s="99" t="n"/>
      <c r="W1945" s="99" t="n"/>
      <c r="X1945" s="99" t="n"/>
      <c r="Y1945" s="99" t="n"/>
      <c r="Z1945" s="99" t="n"/>
      <c r="AA1945" s="99" t="n"/>
      <c r="AB1945" s="99" t="n"/>
      <c r="AC1945" s="99" t="n"/>
      <c r="AD1945" s="99" t="n"/>
      <c r="AE1945" s="99" t="n"/>
      <c r="AF1945" s="99" t="n"/>
      <c r="AG1945" s="99" t="n"/>
      <c r="AH1945" s="99" t="n"/>
      <c r="AI1945" s="99" t="n"/>
      <c r="AJ1945" s="99" t="n"/>
      <c r="AK1945" s="99" t="n"/>
      <c r="AL1945" s="99" t="n"/>
      <c r="AM1945" s="99" t="n"/>
      <c r="AN1945" s="99" t="n"/>
      <c r="AO1945" s="99" t="n"/>
      <c r="AP1945" s="99" t="n"/>
      <c r="AQ1945" s="99" t="n"/>
      <c r="AR1945" s="99" t="n"/>
    </row>
    <row r="1946">
      <c r="D1946" s="99" t="n"/>
      <c r="E1946" s="99" t="n"/>
      <c r="F1946" s="99" t="n"/>
      <c r="G1946" s="99" t="n"/>
      <c r="H1946" s="99" t="n"/>
      <c r="I1946" s="99" t="n"/>
      <c r="J1946" s="99" t="n"/>
      <c r="K1946" s="99" t="n"/>
      <c r="L1946" s="99" t="n"/>
      <c r="M1946" s="99" t="n"/>
      <c r="N1946" s="99" t="n"/>
      <c r="O1946" s="99" t="n"/>
      <c r="P1946" s="99" t="n"/>
      <c r="Q1946" s="99" t="n"/>
      <c r="R1946" s="99" t="n"/>
      <c r="S1946" s="99" t="n"/>
      <c r="T1946" s="99" t="n"/>
      <c r="U1946" s="99" t="n"/>
      <c r="V1946" s="99" t="n"/>
      <c r="W1946" s="99" t="n"/>
      <c r="X1946" s="99" t="n"/>
      <c r="Y1946" s="99" t="n"/>
      <c r="Z1946" s="99" t="n"/>
      <c r="AA1946" s="99" t="n"/>
      <c r="AB1946" s="99" t="n"/>
      <c r="AC1946" s="99" t="n"/>
      <c r="AD1946" s="99" t="n"/>
      <c r="AE1946" s="99" t="n"/>
      <c r="AF1946" s="99" t="n"/>
      <c r="AG1946" s="99" t="n"/>
      <c r="AH1946" s="99" t="n"/>
      <c r="AI1946" s="99" t="n"/>
      <c r="AJ1946" s="99" t="n"/>
      <c r="AK1946" s="99" t="n"/>
      <c r="AL1946" s="99" t="n"/>
      <c r="AM1946" s="99" t="n"/>
      <c r="AN1946" s="99" t="n"/>
      <c r="AO1946" s="99" t="n"/>
      <c r="AP1946" s="99" t="n"/>
      <c r="AQ1946" s="99" t="n"/>
      <c r="AR1946" s="99" t="n"/>
    </row>
    <row r="1947">
      <c r="D1947" s="99" t="n"/>
      <c r="E1947" s="99" t="n"/>
      <c r="F1947" s="99" t="n"/>
      <c r="G1947" s="99" t="n"/>
      <c r="H1947" s="99" t="n"/>
      <c r="I1947" s="99" t="n"/>
      <c r="J1947" s="99" t="n"/>
      <c r="K1947" s="99" t="n"/>
      <c r="L1947" s="99" t="n"/>
      <c r="M1947" s="99" t="n"/>
      <c r="N1947" s="99" t="n"/>
      <c r="O1947" s="99" t="n"/>
      <c r="P1947" s="99" t="n"/>
      <c r="Q1947" s="99" t="n"/>
      <c r="R1947" s="99" t="n"/>
      <c r="S1947" s="99" t="n"/>
      <c r="T1947" s="99" t="n"/>
      <c r="U1947" s="99" t="n"/>
      <c r="V1947" s="99" t="n"/>
      <c r="W1947" s="99" t="n"/>
      <c r="X1947" s="99" t="n"/>
      <c r="Y1947" s="99" t="n"/>
      <c r="Z1947" s="99" t="n"/>
      <c r="AA1947" s="99" t="n"/>
      <c r="AB1947" s="99" t="n"/>
      <c r="AC1947" s="99" t="n"/>
      <c r="AD1947" s="99" t="n"/>
      <c r="AE1947" s="99" t="n"/>
      <c r="AF1947" s="99" t="n"/>
      <c r="AG1947" s="99" t="n"/>
      <c r="AH1947" s="99" t="n"/>
      <c r="AI1947" s="99" t="n"/>
      <c r="AJ1947" s="99" t="n"/>
      <c r="AK1947" s="99" t="n"/>
      <c r="AL1947" s="99" t="n"/>
      <c r="AM1947" s="99" t="n"/>
      <c r="AN1947" s="99" t="n"/>
      <c r="AO1947" s="99" t="n"/>
      <c r="AP1947" s="99" t="n"/>
      <c r="AQ1947" s="99" t="n"/>
      <c r="AR1947" s="99" t="n"/>
    </row>
    <row r="1948">
      <c r="D1948" s="99" t="n"/>
      <c r="E1948" s="99" t="n"/>
      <c r="F1948" s="99" t="n"/>
      <c r="G1948" s="99" t="n"/>
      <c r="H1948" s="99" t="n"/>
      <c r="I1948" s="99" t="n"/>
      <c r="J1948" s="99" t="n"/>
      <c r="K1948" s="99" t="n"/>
      <c r="L1948" s="99" t="n"/>
      <c r="M1948" s="99" t="n"/>
      <c r="N1948" s="99" t="n"/>
      <c r="O1948" s="99" t="n"/>
      <c r="P1948" s="99" t="n"/>
      <c r="Q1948" s="99" t="n"/>
      <c r="R1948" s="99" t="n"/>
      <c r="S1948" s="99" t="n"/>
      <c r="T1948" s="99" t="n"/>
      <c r="U1948" s="99" t="n"/>
      <c r="V1948" s="99" t="n"/>
      <c r="W1948" s="99" t="n"/>
      <c r="X1948" s="99" t="n"/>
      <c r="Y1948" s="99" t="n"/>
      <c r="Z1948" s="99" t="n"/>
      <c r="AA1948" s="99" t="n"/>
      <c r="AB1948" s="99" t="n"/>
      <c r="AC1948" s="99" t="n"/>
      <c r="AD1948" s="99" t="n"/>
      <c r="AE1948" s="99" t="n"/>
      <c r="AF1948" s="99" t="n"/>
      <c r="AG1948" s="99" t="n"/>
      <c r="AH1948" s="99" t="n"/>
      <c r="AI1948" s="99" t="n"/>
      <c r="AJ1948" s="99" t="n"/>
      <c r="AK1948" s="99" t="n"/>
      <c r="AL1948" s="99" t="n"/>
      <c r="AM1948" s="99" t="n"/>
      <c r="AN1948" s="99" t="n"/>
      <c r="AO1948" s="99" t="n"/>
      <c r="AP1948" s="99" t="n"/>
      <c r="AQ1948" s="99" t="n"/>
      <c r="AR1948" s="99" t="n"/>
    </row>
    <row r="1949">
      <c r="D1949" s="100" t="n"/>
      <c r="E1949" s="100" t="n"/>
      <c r="F1949" s="100" t="n"/>
      <c r="G1949" s="100" t="n"/>
      <c r="H1949" s="100" t="n"/>
      <c r="I1949" s="100" t="n"/>
      <c r="J1949" s="100" t="n"/>
      <c r="K1949" s="100" t="n"/>
      <c r="L1949" s="100" t="n"/>
      <c r="M1949" s="100" t="n"/>
      <c r="N1949" s="100" t="n"/>
      <c r="O1949" s="100" t="n"/>
      <c r="P1949" s="100" t="n"/>
      <c r="Q1949" s="100" t="n"/>
      <c r="R1949" s="100" t="n"/>
      <c r="S1949" s="100" t="n"/>
      <c r="T1949" s="100" t="n"/>
      <c r="U1949" s="100" t="n"/>
      <c r="V1949" s="100" t="n"/>
      <c r="W1949" s="100" t="n"/>
      <c r="X1949" s="100" t="n"/>
      <c r="Y1949" s="100" t="n"/>
      <c r="Z1949" s="100" t="n"/>
      <c r="AA1949" s="100" t="n"/>
      <c r="AB1949" s="100" t="n"/>
      <c r="AC1949" s="100" t="n"/>
      <c r="AD1949" s="100" t="n"/>
      <c r="AE1949" s="100" t="n"/>
      <c r="AF1949" s="100" t="n"/>
      <c r="AG1949" s="100" t="n"/>
      <c r="AH1949" s="100" t="n"/>
      <c r="AI1949" s="100" t="n"/>
      <c r="AJ1949" s="100" t="n"/>
      <c r="AK1949" s="100" t="n"/>
      <c r="AL1949" s="100" t="n"/>
      <c r="AM1949" s="100" t="n"/>
      <c r="AN1949" s="100" t="n"/>
      <c r="AO1949" s="100" t="n"/>
      <c r="AP1949" s="100" t="n"/>
      <c r="AQ1949" s="100" t="n"/>
      <c r="AR1949" s="100" t="n"/>
    </row>
    <row r="1952">
      <c r="A1952" s="2">
        <f>IF($A1945="","","   projections")</f>
        <v/>
      </c>
      <c r="B1952" s="96">
        <f>IF($A1945="",0,COUNT($E1953:$AR1953))</f>
        <v/>
      </c>
      <c r="C1952" s="97">
        <f>IF($B1952=0,0,MAX($E1953:$AR1953))</f>
        <v/>
      </c>
      <c r="D1952" s="98">
        <f>BDS($A1945,FLD_PROJ,"headers=y","startcol=1","endcol=3","dir=h")</f>
        <v/>
      </c>
      <c r="E1952" s="99" t="n"/>
      <c r="F1952" s="99" t="n"/>
      <c r="G1952" s="99" t="n"/>
      <c r="H1952" s="99" t="n"/>
      <c r="I1952" s="99" t="n"/>
      <c r="J1952" s="99" t="n"/>
      <c r="K1952" s="99" t="n"/>
      <c r="L1952" s="99" t="n"/>
      <c r="M1952" s="99" t="n"/>
      <c r="N1952" s="99" t="n"/>
      <c r="O1952" s="99" t="n"/>
      <c r="P1952" s="99" t="n"/>
      <c r="Q1952" s="99" t="n"/>
      <c r="R1952" s="99" t="n"/>
      <c r="S1952" s="99" t="n"/>
      <c r="T1952" s="99" t="n"/>
      <c r="U1952" s="99" t="n"/>
      <c r="V1952" s="99" t="n"/>
      <c r="W1952" s="99" t="n"/>
      <c r="X1952" s="99" t="n"/>
      <c r="Y1952" s="99" t="n"/>
      <c r="Z1952" s="99" t="n"/>
      <c r="AA1952" s="99" t="n"/>
      <c r="AB1952" s="99" t="n"/>
      <c r="AC1952" s="99" t="n"/>
      <c r="AD1952" s="99" t="n"/>
      <c r="AE1952" s="99" t="n"/>
      <c r="AF1952" s="99" t="n"/>
      <c r="AG1952" s="99" t="n"/>
      <c r="AH1952" s="99" t="n"/>
      <c r="AI1952" s="99" t="n"/>
      <c r="AJ1952" s="99" t="n"/>
      <c r="AK1952" s="99" t="n"/>
      <c r="AL1952" s="99" t="n"/>
      <c r="AM1952" s="99" t="n"/>
      <c r="AN1952" s="99" t="n"/>
      <c r="AO1952" s="99" t="n"/>
      <c r="AP1952" s="99" t="n"/>
      <c r="AQ1952" s="99" t="n"/>
      <c r="AR1952" s="99" t="n"/>
    </row>
    <row r="1953">
      <c r="D1953" s="99" t="n"/>
      <c r="E1953" s="99" t="n"/>
      <c r="F1953" s="99" t="n"/>
      <c r="G1953" s="99" t="n"/>
      <c r="H1953" s="99" t="n"/>
      <c r="I1953" s="99" t="n"/>
      <c r="J1953" s="99" t="n"/>
      <c r="K1953" s="99" t="n"/>
      <c r="L1953" s="99" t="n"/>
      <c r="M1953" s="99" t="n"/>
      <c r="N1953" s="99" t="n"/>
      <c r="O1953" s="99" t="n"/>
      <c r="P1953" s="99" t="n"/>
      <c r="Q1953" s="99" t="n"/>
      <c r="R1953" s="99" t="n"/>
      <c r="S1953" s="99" t="n"/>
      <c r="T1953" s="99" t="n"/>
      <c r="U1953" s="99" t="n"/>
      <c r="V1953" s="99" t="n"/>
      <c r="W1953" s="99" t="n"/>
      <c r="X1953" s="99" t="n"/>
      <c r="Y1953" s="99" t="n"/>
      <c r="Z1953" s="99" t="n"/>
      <c r="AA1953" s="99" t="n"/>
      <c r="AB1953" s="99" t="n"/>
      <c r="AC1953" s="99" t="n"/>
      <c r="AD1953" s="99" t="n"/>
      <c r="AE1953" s="99" t="n"/>
      <c r="AF1953" s="99" t="n"/>
      <c r="AG1953" s="99" t="n"/>
      <c r="AH1953" s="99" t="n"/>
      <c r="AI1953" s="99" t="n"/>
      <c r="AJ1953" s="99" t="n"/>
      <c r="AK1953" s="99" t="n"/>
      <c r="AL1953" s="99" t="n"/>
      <c r="AM1953" s="99" t="n"/>
      <c r="AN1953" s="99" t="n"/>
      <c r="AO1953" s="99" t="n"/>
      <c r="AP1953" s="99" t="n"/>
      <c r="AQ1953" s="99" t="n"/>
      <c r="AR1953" s="99" t="n"/>
    </row>
    <row r="1954">
      <c r="D1954" s="100" t="n"/>
      <c r="E1954" s="100" t="n"/>
      <c r="F1954" s="100" t="n"/>
      <c r="G1954" s="100" t="n"/>
      <c r="H1954" s="100" t="n"/>
      <c r="I1954" s="100" t="n"/>
      <c r="J1954" s="100" t="n"/>
      <c r="K1954" s="100" t="n"/>
      <c r="L1954" s="100" t="n"/>
      <c r="M1954" s="100" t="n"/>
      <c r="N1954" s="100" t="n"/>
      <c r="O1954" s="100" t="n"/>
      <c r="P1954" s="100" t="n"/>
      <c r="Q1954" s="100" t="n"/>
      <c r="R1954" s="100" t="n"/>
      <c r="S1954" s="100" t="n"/>
      <c r="T1954" s="100" t="n"/>
      <c r="U1954" s="100" t="n"/>
      <c r="V1954" s="100" t="n"/>
      <c r="W1954" s="100" t="n"/>
      <c r="X1954" s="100" t="n"/>
      <c r="Y1954" s="100" t="n"/>
      <c r="Z1954" s="100" t="n"/>
      <c r="AA1954" s="100" t="n"/>
      <c r="AB1954" s="100" t="n"/>
      <c r="AC1954" s="100" t="n"/>
      <c r="AD1954" s="100" t="n"/>
      <c r="AE1954" s="100" t="n"/>
      <c r="AF1954" s="100" t="n"/>
      <c r="AG1954" s="100" t="n"/>
      <c r="AH1954" s="100" t="n"/>
      <c r="AI1954" s="100" t="n"/>
      <c r="AJ1954" s="100" t="n"/>
      <c r="AK1954" s="100" t="n"/>
      <c r="AL1954" s="100" t="n"/>
      <c r="AM1954" s="100" t="n"/>
      <c r="AN1954" s="100" t="n"/>
      <c r="AO1954" s="100" t="n"/>
      <c r="AP1954" s="100" t="n"/>
      <c r="AQ1954" s="100" t="n"/>
      <c r="AR1954" s="100" t="n"/>
    </row>
    <row r="1956">
      <c r="A1956" s="6">
        <f>IF(HSCEI!$C$43="","",HSCEI!$C$43)</f>
        <v/>
      </c>
      <c r="B1956" s="96">
        <f>IF($A1956="",0,COUNT($E1957:$AR1957))</f>
        <v/>
      </c>
      <c r="C1956" s="97">
        <f>IF($B1956=0,0,MAX($E1957:$AR1957))</f>
        <v/>
      </c>
      <c r="D1956" s="98">
        <f>BDS($A1956,FLD_HIST,"headers=y","startcol=1","endcol=7","dir=h","DVD_START_DT",HIST_FROM,"DVD_END_DT",HIST_TO)</f>
        <v/>
      </c>
      <c r="E1956" s="99" t="n"/>
      <c r="F1956" s="99" t="n"/>
      <c r="G1956" s="99" t="n"/>
      <c r="H1956" s="99" t="n"/>
      <c r="I1956" s="99" t="n"/>
      <c r="J1956" s="99" t="n"/>
      <c r="K1956" s="99" t="n"/>
      <c r="L1956" s="99" t="n"/>
      <c r="M1956" s="99" t="n"/>
      <c r="N1956" s="99" t="n"/>
      <c r="O1956" s="99" t="n"/>
      <c r="P1956" s="99" t="n"/>
      <c r="Q1956" s="99" t="n"/>
      <c r="R1956" s="99" t="n"/>
      <c r="S1956" s="99" t="n"/>
      <c r="T1956" s="99" t="n"/>
      <c r="U1956" s="99" t="n"/>
      <c r="V1956" s="99" t="n"/>
      <c r="W1956" s="99" t="n"/>
      <c r="X1956" s="99" t="n"/>
      <c r="Y1956" s="99" t="n"/>
      <c r="Z1956" s="99" t="n"/>
      <c r="AA1956" s="99" t="n"/>
      <c r="AB1956" s="99" t="n"/>
      <c r="AC1956" s="99" t="n"/>
      <c r="AD1956" s="99" t="n"/>
      <c r="AE1956" s="99" t="n"/>
      <c r="AF1956" s="99" t="n"/>
      <c r="AG1956" s="99" t="n"/>
      <c r="AH1956" s="99" t="n"/>
      <c r="AI1956" s="99" t="n"/>
      <c r="AJ1956" s="99" t="n"/>
      <c r="AK1956" s="99" t="n"/>
      <c r="AL1956" s="99" t="n"/>
      <c r="AM1956" s="99" t="n"/>
      <c r="AN1956" s="99" t="n"/>
      <c r="AO1956" s="99" t="n"/>
      <c r="AP1956" s="99" t="n"/>
      <c r="AQ1956" s="99" t="n"/>
      <c r="AR1956" s="99" t="n"/>
    </row>
    <row r="1957">
      <c r="D1957" s="99" t="n"/>
      <c r="E1957" s="99" t="n"/>
      <c r="F1957" s="99" t="n"/>
      <c r="G1957" s="99" t="n"/>
      <c r="H1957" s="99" t="n"/>
      <c r="I1957" s="99" t="n"/>
      <c r="J1957" s="99" t="n"/>
      <c r="K1957" s="99" t="n"/>
      <c r="L1957" s="99" t="n"/>
      <c r="M1957" s="99" t="n"/>
      <c r="N1957" s="99" t="n"/>
      <c r="O1957" s="99" t="n"/>
      <c r="P1957" s="99" t="n"/>
      <c r="Q1957" s="99" t="n"/>
      <c r="R1957" s="99" t="n"/>
      <c r="S1957" s="99" t="n"/>
      <c r="T1957" s="99" t="n"/>
      <c r="U1957" s="99" t="n"/>
      <c r="V1957" s="99" t="n"/>
      <c r="W1957" s="99" t="n"/>
      <c r="X1957" s="99" t="n"/>
      <c r="Y1957" s="99" t="n"/>
      <c r="Z1957" s="99" t="n"/>
      <c r="AA1957" s="99" t="n"/>
      <c r="AB1957" s="99" t="n"/>
      <c r="AC1957" s="99" t="n"/>
      <c r="AD1957" s="99" t="n"/>
      <c r="AE1957" s="99" t="n"/>
      <c r="AF1957" s="99" t="n"/>
      <c r="AG1957" s="99" t="n"/>
      <c r="AH1957" s="99" t="n"/>
      <c r="AI1957" s="99" t="n"/>
      <c r="AJ1957" s="99" t="n"/>
      <c r="AK1957" s="99" t="n"/>
      <c r="AL1957" s="99" t="n"/>
      <c r="AM1957" s="99" t="n"/>
      <c r="AN1957" s="99" t="n"/>
      <c r="AO1957" s="99" t="n"/>
      <c r="AP1957" s="99" t="n"/>
      <c r="AQ1957" s="99" t="n"/>
      <c r="AR1957" s="99" t="n"/>
    </row>
    <row r="1958">
      <c r="D1958" s="99" t="n"/>
      <c r="E1958" s="99" t="n"/>
      <c r="F1958" s="99" t="n"/>
      <c r="G1958" s="99" t="n"/>
      <c r="H1958" s="99" t="n"/>
      <c r="I1958" s="99" t="n"/>
      <c r="J1958" s="99" t="n"/>
      <c r="K1958" s="99" t="n"/>
      <c r="L1958" s="99" t="n"/>
      <c r="M1958" s="99" t="n"/>
      <c r="N1958" s="99" t="n"/>
      <c r="O1958" s="99" t="n"/>
      <c r="P1958" s="99" t="n"/>
      <c r="Q1958" s="99" t="n"/>
      <c r="R1958" s="99" t="n"/>
      <c r="S1958" s="99" t="n"/>
      <c r="T1958" s="99" t="n"/>
      <c r="U1958" s="99" t="n"/>
      <c r="V1958" s="99" t="n"/>
      <c r="W1958" s="99" t="n"/>
      <c r="X1958" s="99" t="n"/>
      <c r="Y1958" s="99" t="n"/>
      <c r="Z1958" s="99" t="n"/>
      <c r="AA1958" s="99" t="n"/>
      <c r="AB1958" s="99" t="n"/>
      <c r="AC1958" s="99" t="n"/>
      <c r="AD1958" s="99" t="n"/>
      <c r="AE1958" s="99" t="n"/>
      <c r="AF1958" s="99" t="n"/>
      <c r="AG1958" s="99" t="n"/>
      <c r="AH1958" s="99" t="n"/>
      <c r="AI1958" s="99" t="n"/>
      <c r="AJ1958" s="99" t="n"/>
      <c r="AK1958" s="99" t="n"/>
      <c r="AL1958" s="99" t="n"/>
      <c r="AM1958" s="99" t="n"/>
      <c r="AN1958" s="99" t="n"/>
      <c r="AO1958" s="99" t="n"/>
      <c r="AP1958" s="99" t="n"/>
      <c r="AQ1958" s="99" t="n"/>
      <c r="AR1958" s="99" t="n"/>
    </row>
    <row r="1959">
      <c r="D1959" s="99" t="n"/>
      <c r="E1959" s="99" t="n"/>
      <c r="F1959" s="99" t="n"/>
      <c r="G1959" s="99" t="n"/>
      <c r="H1959" s="99" t="n"/>
      <c r="I1959" s="99" t="n"/>
      <c r="J1959" s="99" t="n"/>
      <c r="K1959" s="99" t="n"/>
      <c r="L1959" s="99" t="n"/>
      <c r="M1959" s="99" t="n"/>
      <c r="N1959" s="99" t="n"/>
      <c r="O1959" s="99" t="n"/>
      <c r="P1959" s="99" t="n"/>
      <c r="Q1959" s="99" t="n"/>
      <c r="R1959" s="99" t="n"/>
      <c r="S1959" s="99" t="n"/>
      <c r="T1959" s="99" t="n"/>
      <c r="U1959" s="99" t="n"/>
      <c r="V1959" s="99" t="n"/>
      <c r="W1959" s="99" t="n"/>
      <c r="X1959" s="99" t="n"/>
      <c r="Y1959" s="99" t="n"/>
      <c r="Z1959" s="99" t="n"/>
      <c r="AA1959" s="99" t="n"/>
      <c r="AB1959" s="99" t="n"/>
      <c r="AC1959" s="99" t="n"/>
      <c r="AD1959" s="99" t="n"/>
      <c r="AE1959" s="99" t="n"/>
      <c r="AF1959" s="99" t="n"/>
      <c r="AG1959" s="99" t="n"/>
      <c r="AH1959" s="99" t="n"/>
      <c r="AI1959" s="99" t="n"/>
      <c r="AJ1959" s="99" t="n"/>
      <c r="AK1959" s="99" t="n"/>
      <c r="AL1959" s="99" t="n"/>
      <c r="AM1959" s="99" t="n"/>
      <c r="AN1959" s="99" t="n"/>
      <c r="AO1959" s="99" t="n"/>
      <c r="AP1959" s="99" t="n"/>
      <c r="AQ1959" s="99" t="n"/>
      <c r="AR1959" s="99" t="n"/>
    </row>
    <row r="1960">
      <c r="D1960" s="100" t="n"/>
      <c r="E1960" s="100" t="n"/>
      <c r="F1960" s="100" t="n"/>
      <c r="G1960" s="100" t="n"/>
      <c r="H1960" s="100" t="n"/>
      <c r="I1960" s="100" t="n"/>
      <c r="J1960" s="100" t="n"/>
      <c r="K1960" s="100" t="n"/>
      <c r="L1960" s="100" t="n"/>
      <c r="M1960" s="100" t="n"/>
      <c r="N1960" s="100" t="n"/>
      <c r="O1960" s="100" t="n"/>
      <c r="P1960" s="100" t="n"/>
      <c r="Q1960" s="100" t="n"/>
      <c r="R1960" s="100" t="n"/>
      <c r="S1960" s="100" t="n"/>
      <c r="T1960" s="100" t="n"/>
      <c r="U1960" s="100" t="n"/>
      <c r="V1960" s="100" t="n"/>
      <c r="W1960" s="100" t="n"/>
      <c r="X1960" s="100" t="n"/>
      <c r="Y1960" s="100" t="n"/>
      <c r="Z1960" s="100" t="n"/>
      <c r="AA1960" s="100" t="n"/>
      <c r="AB1960" s="100" t="n"/>
      <c r="AC1960" s="100" t="n"/>
      <c r="AD1960" s="100" t="n"/>
      <c r="AE1960" s="100" t="n"/>
      <c r="AF1960" s="100" t="n"/>
      <c r="AG1960" s="100" t="n"/>
      <c r="AH1960" s="100" t="n"/>
      <c r="AI1960" s="100" t="n"/>
      <c r="AJ1960" s="100" t="n"/>
      <c r="AK1960" s="100" t="n"/>
      <c r="AL1960" s="100" t="n"/>
      <c r="AM1960" s="100" t="n"/>
      <c r="AN1960" s="100" t="n"/>
      <c r="AO1960" s="100" t="n"/>
      <c r="AP1960" s="100" t="n"/>
      <c r="AQ1960" s="100" t="n"/>
      <c r="AR1960" s="100" t="n"/>
    </row>
    <row r="1963">
      <c r="A1963" s="2">
        <f>IF($A1956="","","   projections")</f>
        <v/>
      </c>
      <c r="B1963" s="96">
        <f>IF($A1956="",0,COUNT($E1964:$AR1964))</f>
        <v/>
      </c>
      <c r="C1963" s="97">
        <f>IF($B1963=0,0,MAX($E1964:$AR1964))</f>
        <v/>
      </c>
      <c r="D1963" s="98">
        <f>BDS($A1956,FLD_PROJ,"headers=y","startcol=1","endcol=3","dir=h")</f>
        <v/>
      </c>
      <c r="E1963" s="99" t="n"/>
      <c r="F1963" s="99" t="n"/>
      <c r="G1963" s="99" t="n"/>
      <c r="H1963" s="99" t="n"/>
      <c r="I1963" s="99" t="n"/>
      <c r="J1963" s="99" t="n"/>
      <c r="K1963" s="99" t="n"/>
      <c r="L1963" s="99" t="n"/>
      <c r="M1963" s="99" t="n"/>
      <c r="N1963" s="99" t="n"/>
      <c r="O1963" s="99" t="n"/>
      <c r="P1963" s="99" t="n"/>
      <c r="Q1963" s="99" t="n"/>
      <c r="R1963" s="99" t="n"/>
      <c r="S1963" s="99" t="n"/>
      <c r="T1963" s="99" t="n"/>
      <c r="U1963" s="99" t="n"/>
      <c r="V1963" s="99" t="n"/>
      <c r="W1963" s="99" t="n"/>
      <c r="X1963" s="99" t="n"/>
      <c r="Y1963" s="99" t="n"/>
      <c r="Z1963" s="99" t="n"/>
      <c r="AA1963" s="99" t="n"/>
      <c r="AB1963" s="99" t="n"/>
      <c r="AC1963" s="99" t="n"/>
      <c r="AD1963" s="99" t="n"/>
      <c r="AE1963" s="99" t="n"/>
      <c r="AF1963" s="99" t="n"/>
      <c r="AG1963" s="99" t="n"/>
      <c r="AH1963" s="99" t="n"/>
      <c r="AI1963" s="99" t="n"/>
      <c r="AJ1963" s="99" t="n"/>
      <c r="AK1963" s="99" t="n"/>
      <c r="AL1963" s="99" t="n"/>
      <c r="AM1963" s="99" t="n"/>
      <c r="AN1963" s="99" t="n"/>
      <c r="AO1963" s="99" t="n"/>
      <c r="AP1963" s="99" t="n"/>
      <c r="AQ1963" s="99" t="n"/>
      <c r="AR1963" s="99" t="n"/>
    </row>
    <row r="1964">
      <c r="D1964" s="99" t="n"/>
      <c r="E1964" s="99" t="n"/>
      <c r="F1964" s="99" t="n"/>
      <c r="G1964" s="99" t="n"/>
      <c r="H1964" s="99" t="n"/>
      <c r="I1964" s="99" t="n"/>
      <c r="J1964" s="99" t="n"/>
      <c r="K1964" s="99" t="n"/>
      <c r="L1964" s="99" t="n"/>
      <c r="M1964" s="99" t="n"/>
      <c r="N1964" s="99" t="n"/>
      <c r="O1964" s="99" t="n"/>
      <c r="P1964" s="99" t="n"/>
      <c r="Q1964" s="99" t="n"/>
      <c r="R1964" s="99" t="n"/>
      <c r="S1964" s="99" t="n"/>
      <c r="T1964" s="99" t="n"/>
      <c r="U1964" s="99" t="n"/>
      <c r="V1964" s="99" t="n"/>
      <c r="W1964" s="99" t="n"/>
      <c r="X1964" s="99" t="n"/>
      <c r="Y1964" s="99" t="n"/>
      <c r="Z1964" s="99" t="n"/>
      <c r="AA1964" s="99" t="n"/>
      <c r="AB1964" s="99" t="n"/>
      <c r="AC1964" s="99" t="n"/>
      <c r="AD1964" s="99" t="n"/>
      <c r="AE1964" s="99" t="n"/>
      <c r="AF1964" s="99" t="n"/>
      <c r="AG1964" s="99" t="n"/>
      <c r="AH1964" s="99" t="n"/>
      <c r="AI1964" s="99" t="n"/>
      <c r="AJ1964" s="99" t="n"/>
      <c r="AK1964" s="99" t="n"/>
      <c r="AL1964" s="99" t="n"/>
      <c r="AM1964" s="99" t="n"/>
      <c r="AN1964" s="99" t="n"/>
      <c r="AO1964" s="99" t="n"/>
      <c r="AP1964" s="99" t="n"/>
      <c r="AQ1964" s="99" t="n"/>
      <c r="AR1964" s="99" t="n"/>
    </row>
    <row r="1965">
      <c r="D1965" s="100" t="n"/>
      <c r="E1965" s="100" t="n"/>
      <c r="F1965" s="100" t="n"/>
      <c r="G1965" s="100" t="n"/>
      <c r="H1965" s="100" t="n"/>
      <c r="I1965" s="100" t="n"/>
      <c r="J1965" s="100" t="n"/>
      <c r="K1965" s="100" t="n"/>
      <c r="L1965" s="100" t="n"/>
      <c r="M1965" s="100" t="n"/>
      <c r="N1965" s="100" t="n"/>
      <c r="O1965" s="100" t="n"/>
      <c r="P1965" s="100" t="n"/>
      <c r="Q1965" s="100" t="n"/>
      <c r="R1965" s="100" t="n"/>
      <c r="S1965" s="100" t="n"/>
      <c r="T1965" s="100" t="n"/>
      <c r="U1965" s="100" t="n"/>
      <c r="V1965" s="100" t="n"/>
      <c r="W1965" s="100" t="n"/>
      <c r="X1965" s="100" t="n"/>
      <c r="Y1965" s="100" t="n"/>
      <c r="Z1965" s="100" t="n"/>
      <c r="AA1965" s="100" t="n"/>
      <c r="AB1965" s="100" t="n"/>
      <c r="AC1965" s="100" t="n"/>
      <c r="AD1965" s="100" t="n"/>
      <c r="AE1965" s="100" t="n"/>
      <c r="AF1965" s="100" t="n"/>
      <c r="AG1965" s="100" t="n"/>
      <c r="AH1965" s="100" t="n"/>
      <c r="AI1965" s="100" t="n"/>
      <c r="AJ1965" s="100" t="n"/>
      <c r="AK1965" s="100" t="n"/>
      <c r="AL1965" s="100" t="n"/>
      <c r="AM1965" s="100" t="n"/>
      <c r="AN1965" s="100" t="n"/>
      <c r="AO1965" s="100" t="n"/>
      <c r="AP1965" s="100" t="n"/>
      <c r="AQ1965" s="100" t="n"/>
      <c r="AR1965" s="100" t="n"/>
    </row>
    <row r="1967">
      <c r="A1967" s="6">
        <f>IF(HSCEI!$C$44="","",HSCEI!$C$44)</f>
        <v/>
      </c>
      <c r="B1967" s="96">
        <f>IF($A1967="",0,COUNT($E1968:$AR1968))</f>
        <v/>
      </c>
      <c r="C1967" s="97">
        <f>IF($B1967=0,0,MAX($E1968:$AR1968))</f>
        <v/>
      </c>
      <c r="D1967" s="98">
        <f>BDS($A1967,FLD_HIST,"headers=y","startcol=1","endcol=7","dir=h","DVD_START_DT",HIST_FROM,"DVD_END_DT",HIST_TO)</f>
        <v/>
      </c>
      <c r="E1967" s="99" t="n"/>
      <c r="F1967" s="99" t="n"/>
      <c r="G1967" s="99" t="n"/>
      <c r="H1967" s="99" t="n"/>
      <c r="I1967" s="99" t="n"/>
      <c r="J1967" s="99" t="n"/>
      <c r="K1967" s="99" t="n"/>
      <c r="L1967" s="99" t="n"/>
      <c r="M1967" s="99" t="n"/>
      <c r="N1967" s="99" t="n"/>
      <c r="O1967" s="99" t="n"/>
      <c r="P1967" s="99" t="n"/>
      <c r="Q1967" s="99" t="n"/>
      <c r="R1967" s="99" t="n"/>
      <c r="S1967" s="99" t="n"/>
      <c r="T1967" s="99" t="n"/>
      <c r="U1967" s="99" t="n"/>
      <c r="V1967" s="99" t="n"/>
      <c r="W1967" s="99" t="n"/>
      <c r="X1967" s="99" t="n"/>
      <c r="Y1967" s="99" t="n"/>
      <c r="Z1967" s="99" t="n"/>
      <c r="AA1967" s="99" t="n"/>
      <c r="AB1967" s="99" t="n"/>
      <c r="AC1967" s="99" t="n"/>
      <c r="AD1967" s="99" t="n"/>
      <c r="AE1967" s="99" t="n"/>
      <c r="AF1967" s="99" t="n"/>
      <c r="AG1967" s="99" t="n"/>
      <c r="AH1967" s="99" t="n"/>
      <c r="AI1967" s="99" t="n"/>
      <c r="AJ1967" s="99" t="n"/>
      <c r="AK1967" s="99" t="n"/>
      <c r="AL1967" s="99" t="n"/>
      <c r="AM1967" s="99" t="n"/>
      <c r="AN1967" s="99" t="n"/>
      <c r="AO1967" s="99" t="n"/>
      <c r="AP1967" s="99" t="n"/>
      <c r="AQ1967" s="99" t="n"/>
      <c r="AR1967" s="99" t="n"/>
    </row>
    <row r="1968">
      <c r="D1968" s="99" t="n"/>
      <c r="E1968" s="99" t="n"/>
      <c r="F1968" s="99" t="n"/>
      <c r="G1968" s="99" t="n"/>
      <c r="H1968" s="99" t="n"/>
      <c r="I1968" s="99" t="n"/>
      <c r="J1968" s="99" t="n"/>
      <c r="K1968" s="99" t="n"/>
      <c r="L1968" s="99" t="n"/>
      <c r="M1968" s="99" t="n"/>
      <c r="N1968" s="99" t="n"/>
      <c r="O1968" s="99" t="n"/>
      <c r="P1968" s="99" t="n"/>
      <c r="Q1968" s="99" t="n"/>
      <c r="R1968" s="99" t="n"/>
      <c r="S1968" s="99" t="n"/>
      <c r="T1968" s="99" t="n"/>
      <c r="U1968" s="99" t="n"/>
      <c r="V1968" s="99" t="n"/>
      <c r="W1968" s="99" t="n"/>
      <c r="X1968" s="99" t="n"/>
      <c r="Y1968" s="99" t="n"/>
      <c r="Z1968" s="99" t="n"/>
      <c r="AA1968" s="99" t="n"/>
      <c r="AB1968" s="99" t="n"/>
      <c r="AC1968" s="99" t="n"/>
      <c r="AD1968" s="99" t="n"/>
      <c r="AE1968" s="99" t="n"/>
      <c r="AF1968" s="99" t="n"/>
      <c r="AG1968" s="99" t="n"/>
      <c r="AH1968" s="99" t="n"/>
      <c r="AI1968" s="99" t="n"/>
      <c r="AJ1968" s="99" t="n"/>
      <c r="AK1968" s="99" t="n"/>
      <c r="AL1968" s="99" t="n"/>
      <c r="AM1968" s="99" t="n"/>
      <c r="AN1968" s="99" t="n"/>
      <c r="AO1968" s="99" t="n"/>
      <c r="AP1968" s="99" t="n"/>
      <c r="AQ1968" s="99" t="n"/>
      <c r="AR1968" s="99" t="n"/>
    </row>
    <row r="1969">
      <c r="D1969" s="99" t="n"/>
      <c r="E1969" s="99" t="n"/>
      <c r="F1969" s="99" t="n"/>
      <c r="G1969" s="99" t="n"/>
      <c r="H1969" s="99" t="n"/>
      <c r="I1969" s="99" t="n"/>
      <c r="J1969" s="99" t="n"/>
      <c r="K1969" s="99" t="n"/>
      <c r="L1969" s="99" t="n"/>
      <c r="M1969" s="99" t="n"/>
      <c r="N1969" s="99" t="n"/>
      <c r="O1969" s="99" t="n"/>
      <c r="P1969" s="99" t="n"/>
      <c r="Q1969" s="99" t="n"/>
      <c r="R1969" s="99" t="n"/>
      <c r="S1969" s="99" t="n"/>
      <c r="T1969" s="99" t="n"/>
      <c r="U1969" s="99" t="n"/>
      <c r="V1969" s="99" t="n"/>
      <c r="W1969" s="99" t="n"/>
      <c r="X1969" s="99" t="n"/>
      <c r="Y1969" s="99" t="n"/>
      <c r="Z1969" s="99" t="n"/>
      <c r="AA1969" s="99" t="n"/>
      <c r="AB1969" s="99" t="n"/>
      <c r="AC1969" s="99" t="n"/>
      <c r="AD1969" s="99" t="n"/>
      <c r="AE1969" s="99" t="n"/>
      <c r="AF1969" s="99" t="n"/>
      <c r="AG1969" s="99" t="n"/>
      <c r="AH1969" s="99" t="n"/>
      <c r="AI1969" s="99" t="n"/>
      <c r="AJ1969" s="99" t="n"/>
      <c r="AK1969" s="99" t="n"/>
      <c r="AL1969" s="99" t="n"/>
      <c r="AM1969" s="99" t="n"/>
      <c r="AN1969" s="99" t="n"/>
      <c r="AO1969" s="99" t="n"/>
      <c r="AP1969" s="99" t="n"/>
      <c r="AQ1969" s="99" t="n"/>
      <c r="AR1969" s="99" t="n"/>
    </row>
    <row r="1970">
      <c r="D1970" s="99" t="n"/>
      <c r="E1970" s="99" t="n"/>
      <c r="F1970" s="99" t="n"/>
      <c r="G1970" s="99" t="n"/>
      <c r="H1970" s="99" t="n"/>
      <c r="I1970" s="99" t="n"/>
      <c r="J1970" s="99" t="n"/>
      <c r="K1970" s="99" t="n"/>
      <c r="L1970" s="99" t="n"/>
      <c r="M1970" s="99" t="n"/>
      <c r="N1970" s="99" t="n"/>
      <c r="O1970" s="99" t="n"/>
      <c r="P1970" s="99" t="n"/>
      <c r="Q1970" s="99" t="n"/>
      <c r="R1970" s="99" t="n"/>
      <c r="S1970" s="99" t="n"/>
      <c r="T1970" s="99" t="n"/>
      <c r="U1970" s="99" t="n"/>
      <c r="V1970" s="99" t="n"/>
      <c r="W1970" s="99" t="n"/>
      <c r="X1970" s="99" t="n"/>
      <c r="Y1970" s="99" t="n"/>
      <c r="Z1970" s="99" t="n"/>
      <c r="AA1970" s="99" t="n"/>
      <c r="AB1970" s="99" t="n"/>
      <c r="AC1970" s="99" t="n"/>
      <c r="AD1970" s="99" t="n"/>
      <c r="AE1970" s="99" t="n"/>
      <c r="AF1970" s="99" t="n"/>
      <c r="AG1970" s="99" t="n"/>
      <c r="AH1970" s="99" t="n"/>
      <c r="AI1970" s="99" t="n"/>
      <c r="AJ1970" s="99" t="n"/>
      <c r="AK1970" s="99" t="n"/>
      <c r="AL1970" s="99" t="n"/>
      <c r="AM1970" s="99" t="n"/>
      <c r="AN1970" s="99" t="n"/>
      <c r="AO1970" s="99" t="n"/>
      <c r="AP1970" s="99" t="n"/>
      <c r="AQ1970" s="99" t="n"/>
      <c r="AR1970" s="99" t="n"/>
    </row>
    <row r="1971">
      <c r="D1971" s="100" t="n"/>
      <c r="E1971" s="100" t="n"/>
      <c r="F1971" s="100" t="n"/>
      <c r="G1971" s="100" t="n"/>
      <c r="H1971" s="100" t="n"/>
      <c r="I1971" s="100" t="n"/>
      <c r="J1971" s="100" t="n"/>
      <c r="K1971" s="100" t="n"/>
      <c r="L1971" s="100" t="n"/>
      <c r="M1971" s="100" t="n"/>
      <c r="N1971" s="100" t="n"/>
      <c r="O1971" s="100" t="n"/>
      <c r="P1971" s="100" t="n"/>
      <c r="Q1971" s="100" t="n"/>
      <c r="R1971" s="100" t="n"/>
      <c r="S1971" s="100" t="n"/>
      <c r="T1971" s="100" t="n"/>
      <c r="U1971" s="100" t="n"/>
      <c r="V1971" s="100" t="n"/>
      <c r="W1971" s="100" t="n"/>
      <c r="X1971" s="100" t="n"/>
      <c r="Y1971" s="100" t="n"/>
      <c r="Z1971" s="100" t="n"/>
      <c r="AA1971" s="100" t="n"/>
      <c r="AB1971" s="100" t="n"/>
      <c r="AC1971" s="100" t="n"/>
      <c r="AD1971" s="100" t="n"/>
      <c r="AE1971" s="100" t="n"/>
      <c r="AF1971" s="100" t="n"/>
      <c r="AG1971" s="100" t="n"/>
      <c r="AH1971" s="100" t="n"/>
      <c r="AI1971" s="100" t="n"/>
      <c r="AJ1971" s="100" t="n"/>
      <c r="AK1971" s="100" t="n"/>
      <c r="AL1971" s="100" t="n"/>
      <c r="AM1971" s="100" t="n"/>
      <c r="AN1971" s="100" t="n"/>
      <c r="AO1971" s="100" t="n"/>
      <c r="AP1971" s="100" t="n"/>
      <c r="AQ1971" s="100" t="n"/>
      <c r="AR1971" s="100" t="n"/>
    </row>
    <row r="1974">
      <c r="A1974" s="2">
        <f>IF($A1967="","","   projections")</f>
        <v/>
      </c>
      <c r="B1974" s="96">
        <f>IF($A1967="",0,COUNT($E1975:$AR1975))</f>
        <v/>
      </c>
      <c r="C1974" s="97">
        <f>IF($B1974=0,0,MAX($E1975:$AR1975))</f>
        <v/>
      </c>
      <c r="D1974" s="98">
        <f>BDS($A1967,FLD_PROJ,"headers=y","startcol=1","endcol=3","dir=h")</f>
        <v/>
      </c>
      <c r="E1974" s="99" t="n"/>
      <c r="F1974" s="99" t="n"/>
      <c r="G1974" s="99" t="n"/>
      <c r="H1974" s="99" t="n"/>
      <c r="I1974" s="99" t="n"/>
      <c r="J1974" s="99" t="n"/>
      <c r="K1974" s="99" t="n"/>
      <c r="L1974" s="99" t="n"/>
      <c r="M1974" s="99" t="n"/>
      <c r="N1974" s="99" t="n"/>
      <c r="O1974" s="99" t="n"/>
      <c r="P1974" s="99" t="n"/>
      <c r="Q1974" s="99" t="n"/>
      <c r="R1974" s="99" t="n"/>
      <c r="S1974" s="99" t="n"/>
      <c r="T1974" s="99" t="n"/>
      <c r="U1974" s="99" t="n"/>
      <c r="V1974" s="99" t="n"/>
      <c r="W1974" s="99" t="n"/>
      <c r="X1974" s="99" t="n"/>
      <c r="Y1974" s="99" t="n"/>
      <c r="Z1974" s="99" t="n"/>
      <c r="AA1974" s="99" t="n"/>
      <c r="AB1974" s="99" t="n"/>
      <c r="AC1974" s="99" t="n"/>
      <c r="AD1974" s="99" t="n"/>
      <c r="AE1974" s="99" t="n"/>
      <c r="AF1974" s="99" t="n"/>
      <c r="AG1974" s="99" t="n"/>
      <c r="AH1974" s="99" t="n"/>
      <c r="AI1974" s="99" t="n"/>
      <c r="AJ1974" s="99" t="n"/>
      <c r="AK1974" s="99" t="n"/>
      <c r="AL1974" s="99" t="n"/>
      <c r="AM1974" s="99" t="n"/>
      <c r="AN1974" s="99" t="n"/>
      <c r="AO1974" s="99" t="n"/>
      <c r="AP1974" s="99" t="n"/>
      <c r="AQ1974" s="99" t="n"/>
      <c r="AR1974" s="99" t="n"/>
    </row>
    <row r="1975">
      <c r="D1975" s="99" t="n"/>
      <c r="E1975" s="99" t="n"/>
      <c r="F1975" s="99" t="n"/>
      <c r="G1975" s="99" t="n"/>
      <c r="H1975" s="99" t="n"/>
      <c r="I1975" s="99" t="n"/>
      <c r="J1975" s="99" t="n"/>
      <c r="K1975" s="99" t="n"/>
      <c r="L1975" s="99" t="n"/>
      <c r="M1975" s="99" t="n"/>
      <c r="N1975" s="99" t="n"/>
      <c r="O1975" s="99" t="n"/>
      <c r="P1975" s="99" t="n"/>
      <c r="Q1975" s="99" t="n"/>
      <c r="R1975" s="99" t="n"/>
      <c r="S1975" s="99" t="n"/>
      <c r="T1975" s="99" t="n"/>
      <c r="U1975" s="99" t="n"/>
      <c r="V1975" s="99" t="n"/>
      <c r="W1975" s="99" t="n"/>
      <c r="X1975" s="99" t="n"/>
      <c r="Y1975" s="99" t="n"/>
      <c r="Z1975" s="99" t="n"/>
      <c r="AA1975" s="99" t="n"/>
      <c r="AB1975" s="99" t="n"/>
      <c r="AC1975" s="99" t="n"/>
      <c r="AD1975" s="99" t="n"/>
      <c r="AE1975" s="99" t="n"/>
      <c r="AF1975" s="99" t="n"/>
      <c r="AG1975" s="99" t="n"/>
      <c r="AH1975" s="99" t="n"/>
      <c r="AI1975" s="99" t="n"/>
      <c r="AJ1975" s="99" t="n"/>
      <c r="AK1975" s="99" t="n"/>
      <c r="AL1975" s="99" t="n"/>
      <c r="AM1975" s="99" t="n"/>
      <c r="AN1975" s="99" t="n"/>
      <c r="AO1975" s="99" t="n"/>
      <c r="AP1975" s="99" t="n"/>
      <c r="AQ1975" s="99" t="n"/>
      <c r="AR1975" s="99" t="n"/>
    </row>
    <row r="1976">
      <c r="D1976" s="100" t="n"/>
      <c r="E1976" s="100" t="n"/>
      <c r="F1976" s="100" t="n"/>
      <c r="G1976" s="100" t="n"/>
      <c r="H1976" s="100" t="n"/>
      <c r="I1976" s="100" t="n"/>
      <c r="J1976" s="100" t="n"/>
      <c r="K1976" s="100" t="n"/>
      <c r="L1976" s="100" t="n"/>
      <c r="M1976" s="100" t="n"/>
      <c r="N1976" s="100" t="n"/>
      <c r="O1976" s="100" t="n"/>
      <c r="P1976" s="100" t="n"/>
      <c r="Q1976" s="100" t="n"/>
      <c r="R1976" s="100" t="n"/>
      <c r="S1976" s="100" t="n"/>
      <c r="T1976" s="100" t="n"/>
      <c r="U1976" s="100" t="n"/>
      <c r="V1976" s="100" t="n"/>
      <c r="W1976" s="100" t="n"/>
      <c r="X1976" s="100" t="n"/>
      <c r="Y1976" s="100" t="n"/>
      <c r="Z1976" s="100" t="n"/>
      <c r="AA1976" s="100" t="n"/>
      <c r="AB1976" s="100" t="n"/>
      <c r="AC1976" s="100" t="n"/>
      <c r="AD1976" s="100" t="n"/>
      <c r="AE1976" s="100" t="n"/>
      <c r="AF1976" s="100" t="n"/>
      <c r="AG1976" s="100" t="n"/>
      <c r="AH1976" s="100" t="n"/>
      <c r="AI1976" s="100" t="n"/>
      <c r="AJ1976" s="100" t="n"/>
      <c r="AK1976" s="100" t="n"/>
      <c r="AL1976" s="100" t="n"/>
      <c r="AM1976" s="100" t="n"/>
      <c r="AN1976" s="100" t="n"/>
      <c r="AO1976" s="100" t="n"/>
      <c r="AP1976" s="100" t="n"/>
      <c r="AQ1976" s="100" t="n"/>
      <c r="AR1976" s="100" t="n"/>
    </row>
    <row r="1978">
      <c r="A1978" s="6">
        <f>IF(HSCEI!$C$45="","",HSCEI!$C$45)</f>
        <v/>
      </c>
      <c r="B1978" s="96">
        <f>IF($A1978="",0,COUNT($E1979:$AR1979))</f>
        <v/>
      </c>
      <c r="C1978" s="97">
        <f>IF($B1978=0,0,MAX($E1979:$AR1979))</f>
        <v/>
      </c>
      <c r="D1978" s="98">
        <f>BDS($A1978,FLD_HIST,"headers=y","startcol=1","endcol=7","dir=h","DVD_START_DT",HIST_FROM,"DVD_END_DT",HIST_TO)</f>
        <v/>
      </c>
      <c r="E1978" s="99" t="n"/>
      <c r="F1978" s="99" t="n"/>
      <c r="G1978" s="99" t="n"/>
      <c r="H1978" s="99" t="n"/>
      <c r="I1978" s="99" t="n"/>
      <c r="J1978" s="99" t="n"/>
      <c r="K1978" s="99" t="n"/>
      <c r="L1978" s="99" t="n"/>
      <c r="M1978" s="99" t="n"/>
      <c r="N1978" s="99" t="n"/>
      <c r="O1978" s="99" t="n"/>
      <c r="P1978" s="99" t="n"/>
      <c r="Q1978" s="99" t="n"/>
      <c r="R1978" s="99" t="n"/>
      <c r="S1978" s="99" t="n"/>
      <c r="T1978" s="99" t="n"/>
      <c r="U1978" s="99" t="n"/>
      <c r="V1978" s="99" t="n"/>
      <c r="W1978" s="99" t="n"/>
      <c r="X1978" s="99" t="n"/>
      <c r="Y1978" s="99" t="n"/>
      <c r="Z1978" s="99" t="n"/>
      <c r="AA1978" s="99" t="n"/>
      <c r="AB1978" s="99" t="n"/>
      <c r="AC1978" s="99" t="n"/>
      <c r="AD1978" s="99" t="n"/>
      <c r="AE1978" s="99" t="n"/>
      <c r="AF1978" s="99" t="n"/>
      <c r="AG1978" s="99" t="n"/>
      <c r="AH1978" s="99" t="n"/>
      <c r="AI1978" s="99" t="n"/>
      <c r="AJ1978" s="99" t="n"/>
      <c r="AK1978" s="99" t="n"/>
      <c r="AL1978" s="99" t="n"/>
      <c r="AM1978" s="99" t="n"/>
      <c r="AN1978" s="99" t="n"/>
      <c r="AO1978" s="99" t="n"/>
      <c r="AP1978" s="99" t="n"/>
      <c r="AQ1978" s="99" t="n"/>
      <c r="AR1978" s="99" t="n"/>
    </row>
    <row r="1979">
      <c r="D1979" s="99" t="n"/>
      <c r="E1979" s="99" t="n"/>
      <c r="F1979" s="99" t="n"/>
      <c r="G1979" s="99" t="n"/>
      <c r="H1979" s="99" t="n"/>
      <c r="I1979" s="99" t="n"/>
      <c r="J1979" s="99" t="n"/>
      <c r="K1979" s="99" t="n"/>
      <c r="L1979" s="99" t="n"/>
      <c r="M1979" s="99" t="n"/>
      <c r="N1979" s="99" t="n"/>
      <c r="O1979" s="99" t="n"/>
      <c r="P1979" s="99" t="n"/>
      <c r="Q1979" s="99" t="n"/>
      <c r="R1979" s="99" t="n"/>
      <c r="S1979" s="99" t="n"/>
      <c r="T1979" s="99" t="n"/>
      <c r="U1979" s="99" t="n"/>
      <c r="V1979" s="99" t="n"/>
      <c r="W1979" s="99" t="n"/>
      <c r="X1979" s="99" t="n"/>
      <c r="Y1979" s="99" t="n"/>
      <c r="Z1979" s="99" t="n"/>
      <c r="AA1979" s="99" t="n"/>
      <c r="AB1979" s="99" t="n"/>
      <c r="AC1979" s="99" t="n"/>
      <c r="AD1979" s="99" t="n"/>
      <c r="AE1979" s="99" t="n"/>
      <c r="AF1979" s="99" t="n"/>
      <c r="AG1979" s="99" t="n"/>
      <c r="AH1979" s="99" t="n"/>
      <c r="AI1979" s="99" t="n"/>
      <c r="AJ1979" s="99" t="n"/>
      <c r="AK1979" s="99" t="n"/>
      <c r="AL1979" s="99" t="n"/>
      <c r="AM1979" s="99" t="n"/>
      <c r="AN1979" s="99" t="n"/>
      <c r="AO1979" s="99" t="n"/>
      <c r="AP1979" s="99" t="n"/>
      <c r="AQ1979" s="99" t="n"/>
      <c r="AR1979" s="99" t="n"/>
    </row>
    <row r="1980">
      <c r="D1980" s="99" t="n"/>
      <c r="E1980" s="99" t="n"/>
      <c r="F1980" s="99" t="n"/>
      <c r="G1980" s="99" t="n"/>
      <c r="H1980" s="99" t="n"/>
      <c r="I1980" s="99" t="n"/>
      <c r="J1980" s="99" t="n"/>
      <c r="K1980" s="99" t="n"/>
      <c r="L1980" s="99" t="n"/>
      <c r="M1980" s="99" t="n"/>
      <c r="N1980" s="99" t="n"/>
      <c r="O1980" s="99" t="n"/>
      <c r="P1980" s="99" t="n"/>
      <c r="Q1980" s="99" t="n"/>
      <c r="R1980" s="99" t="n"/>
      <c r="S1980" s="99" t="n"/>
      <c r="T1980" s="99" t="n"/>
      <c r="U1980" s="99" t="n"/>
      <c r="V1980" s="99" t="n"/>
      <c r="W1980" s="99" t="n"/>
      <c r="X1980" s="99" t="n"/>
      <c r="Y1980" s="99" t="n"/>
      <c r="Z1980" s="99" t="n"/>
      <c r="AA1980" s="99" t="n"/>
      <c r="AB1980" s="99" t="n"/>
      <c r="AC1980" s="99" t="n"/>
      <c r="AD1980" s="99" t="n"/>
      <c r="AE1980" s="99" t="n"/>
      <c r="AF1980" s="99" t="n"/>
      <c r="AG1980" s="99" t="n"/>
      <c r="AH1980" s="99" t="n"/>
      <c r="AI1980" s="99" t="n"/>
      <c r="AJ1980" s="99" t="n"/>
      <c r="AK1980" s="99" t="n"/>
      <c r="AL1980" s="99" t="n"/>
      <c r="AM1980" s="99" t="n"/>
      <c r="AN1980" s="99" t="n"/>
      <c r="AO1980" s="99" t="n"/>
      <c r="AP1980" s="99" t="n"/>
      <c r="AQ1980" s="99" t="n"/>
      <c r="AR1980" s="99" t="n"/>
    </row>
    <row r="1981">
      <c r="D1981" s="99" t="n"/>
      <c r="E1981" s="99" t="n"/>
      <c r="F1981" s="99" t="n"/>
      <c r="G1981" s="99" t="n"/>
      <c r="H1981" s="99" t="n"/>
      <c r="I1981" s="99" t="n"/>
      <c r="J1981" s="99" t="n"/>
      <c r="K1981" s="99" t="n"/>
      <c r="L1981" s="99" t="n"/>
      <c r="M1981" s="99" t="n"/>
      <c r="N1981" s="99" t="n"/>
      <c r="O1981" s="99" t="n"/>
      <c r="P1981" s="99" t="n"/>
      <c r="Q1981" s="99" t="n"/>
      <c r="R1981" s="99" t="n"/>
      <c r="S1981" s="99" t="n"/>
      <c r="T1981" s="99" t="n"/>
      <c r="U1981" s="99" t="n"/>
      <c r="V1981" s="99" t="n"/>
      <c r="W1981" s="99" t="n"/>
      <c r="X1981" s="99" t="n"/>
      <c r="Y1981" s="99" t="n"/>
      <c r="Z1981" s="99" t="n"/>
      <c r="AA1981" s="99" t="n"/>
      <c r="AB1981" s="99" t="n"/>
      <c r="AC1981" s="99" t="n"/>
      <c r="AD1981" s="99" t="n"/>
      <c r="AE1981" s="99" t="n"/>
      <c r="AF1981" s="99" t="n"/>
      <c r="AG1981" s="99" t="n"/>
      <c r="AH1981" s="99" t="n"/>
      <c r="AI1981" s="99" t="n"/>
      <c r="AJ1981" s="99" t="n"/>
      <c r="AK1981" s="99" t="n"/>
      <c r="AL1981" s="99" t="n"/>
      <c r="AM1981" s="99" t="n"/>
      <c r="AN1981" s="99" t="n"/>
      <c r="AO1981" s="99" t="n"/>
      <c r="AP1981" s="99" t="n"/>
      <c r="AQ1981" s="99" t="n"/>
      <c r="AR1981" s="99" t="n"/>
    </row>
    <row r="1982">
      <c r="D1982" s="100" t="n"/>
      <c r="E1982" s="100" t="n"/>
      <c r="F1982" s="100" t="n"/>
      <c r="G1982" s="100" t="n"/>
      <c r="H1982" s="100" t="n"/>
      <c r="I1982" s="100" t="n"/>
      <c r="J1982" s="100" t="n"/>
      <c r="K1982" s="100" t="n"/>
      <c r="L1982" s="100" t="n"/>
      <c r="M1982" s="100" t="n"/>
      <c r="N1982" s="100" t="n"/>
      <c r="O1982" s="100" t="n"/>
      <c r="P1982" s="100" t="n"/>
      <c r="Q1982" s="100" t="n"/>
      <c r="R1982" s="100" t="n"/>
      <c r="S1982" s="100" t="n"/>
      <c r="T1982" s="100" t="n"/>
      <c r="U1982" s="100" t="n"/>
      <c r="V1982" s="100" t="n"/>
      <c r="W1982" s="100" t="n"/>
      <c r="X1982" s="100" t="n"/>
      <c r="Y1982" s="100" t="n"/>
      <c r="Z1982" s="100" t="n"/>
      <c r="AA1982" s="100" t="n"/>
      <c r="AB1982" s="100" t="n"/>
      <c r="AC1982" s="100" t="n"/>
      <c r="AD1982" s="100" t="n"/>
      <c r="AE1982" s="100" t="n"/>
      <c r="AF1982" s="100" t="n"/>
      <c r="AG1982" s="100" t="n"/>
      <c r="AH1982" s="100" t="n"/>
      <c r="AI1982" s="100" t="n"/>
      <c r="AJ1982" s="100" t="n"/>
      <c r="AK1982" s="100" t="n"/>
      <c r="AL1982" s="100" t="n"/>
      <c r="AM1982" s="100" t="n"/>
      <c r="AN1982" s="100" t="n"/>
      <c r="AO1982" s="100" t="n"/>
      <c r="AP1982" s="100" t="n"/>
      <c r="AQ1982" s="100" t="n"/>
      <c r="AR1982" s="100" t="n"/>
    </row>
    <row r="1985">
      <c r="A1985" s="2">
        <f>IF($A1978="","","   projections")</f>
        <v/>
      </c>
      <c r="B1985" s="96">
        <f>IF($A1978="",0,COUNT($E1986:$AR1986))</f>
        <v/>
      </c>
      <c r="C1985" s="97">
        <f>IF($B1985=0,0,MAX($E1986:$AR1986))</f>
        <v/>
      </c>
      <c r="D1985" s="98">
        <f>BDS($A1978,FLD_PROJ,"headers=y","startcol=1","endcol=3","dir=h")</f>
        <v/>
      </c>
      <c r="E1985" s="99" t="n"/>
      <c r="F1985" s="99" t="n"/>
      <c r="G1985" s="99" t="n"/>
      <c r="H1985" s="99" t="n"/>
      <c r="I1985" s="99" t="n"/>
      <c r="J1985" s="99" t="n"/>
      <c r="K1985" s="99" t="n"/>
      <c r="L1985" s="99" t="n"/>
      <c r="M1985" s="99" t="n"/>
      <c r="N1985" s="99" t="n"/>
      <c r="O1985" s="99" t="n"/>
      <c r="P1985" s="99" t="n"/>
      <c r="Q1985" s="99" t="n"/>
      <c r="R1985" s="99" t="n"/>
      <c r="S1985" s="99" t="n"/>
      <c r="T1985" s="99" t="n"/>
      <c r="U1985" s="99" t="n"/>
      <c r="V1985" s="99" t="n"/>
      <c r="W1985" s="99" t="n"/>
      <c r="X1985" s="99" t="n"/>
      <c r="Y1985" s="99" t="n"/>
      <c r="Z1985" s="99" t="n"/>
      <c r="AA1985" s="99" t="n"/>
      <c r="AB1985" s="99" t="n"/>
      <c r="AC1985" s="99" t="n"/>
      <c r="AD1985" s="99" t="n"/>
      <c r="AE1985" s="99" t="n"/>
      <c r="AF1985" s="99" t="n"/>
      <c r="AG1985" s="99" t="n"/>
      <c r="AH1985" s="99" t="n"/>
      <c r="AI1985" s="99" t="n"/>
      <c r="AJ1985" s="99" t="n"/>
      <c r="AK1985" s="99" t="n"/>
      <c r="AL1985" s="99" t="n"/>
      <c r="AM1985" s="99" t="n"/>
      <c r="AN1985" s="99" t="n"/>
      <c r="AO1985" s="99" t="n"/>
      <c r="AP1985" s="99" t="n"/>
      <c r="AQ1985" s="99" t="n"/>
      <c r="AR1985" s="99" t="n"/>
    </row>
    <row r="1986">
      <c r="D1986" s="99" t="n"/>
      <c r="E1986" s="99" t="n"/>
      <c r="F1986" s="99" t="n"/>
      <c r="G1986" s="99" t="n"/>
      <c r="H1986" s="99" t="n"/>
      <c r="I1986" s="99" t="n"/>
      <c r="J1986" s="99" t="n"/>
      <c r="K1986" s="99" t="n"/>
      <c r="L1986" s="99" t="n"/>
      <c r="M1986" s="99" t="n"/>
      <c r="N1986" s="99" t="n"/>
      <c r="O1986" s="99" t="n"/>
      <c r="P1986" s="99" t="n"/>
      <c r="Q1986" s="99" t="n"/>
      <c r="R1986" s="99" t="n"/>
      <c r="S1986" s="99" t="n"/>
      <c r="T1986" s="99" t="n"/>
      <c r="U1986" s="99" t="n"/>
      <c r="V1986" s="99" t="n"/>
      <c r="W1986" s="99" t="n"/>
      <c r="X1986" s="99" t="n"/>
      <c r="Y1986" s="99" t="n"/>
      <c r="Z1986" s="99" t="n"/>
      <c r="AA1986" s="99" t="n"/>
      <c r="AB1986" s="99" t="n"/>
      <c r="AC1986" s="99" t="n"/>
      <c r="AD1986" s="99" t="n"/>
      <c r="AE1986" s="99" t="n"/>
      <c r="AF1986" s="99" t="n"/>
      <c r="AG1986" s="99" t="n"/>
      <c r="AH1986" s="99" t="n"/>
      <c r="AI1986" s="99" t="n"/>
      <c r="AJ1986" s="99" t="n"/>
      <c r="AK1986" s="99" t="n"/>
      <c r="AL1986" s="99" t="n"/>
      <c r="AM1986" s="99" t="n"/>
      <c r="AN1986" s="99" t="n"/>
      <c r="AO1986" s="99" t="n"/>
      <c r="AP1986" s="99" t="n"/>
      <c r="AQ1986" s="99" t="n"/>
      <c r="AR1986" s="99" t="n"/>
    </row>
    <row r="1987">
      <c r="D1987" s="100" t="n"/>
      <c r="E1987" s="100" t="n"/>
      <c r="F1987" s="100" t="n"/>
      <c r="G1987" s="100" t="n"/>
      <c r="H1987" s="100" t="n"/>
      <c r="I1987" s="100" t="n"/>
      <c r="J1987" s="100" t="n"/>
      <c r="K1987" s="100" t="n"/>
      <c r="L1987" s="100" t="n"/>
      <c r="M1987" s="100" t="n"/>
      <c r="N1987" s="100" t="n"/>
      <c r="O1987" s="100" t="n"/>
      <c r="P1987" s="100" t="n"/>
      <c r="Q1987" s="100" t="n"/>
      <c r="R1987" s="100" t="n"/>
      <c r="S1987" s="100" t="n"/>
      <c r="T1987" s="100" t="n"/>
      <c r="U1987" s="100" t="n"/>
      <c r="V1987" s="100" t="n"/>
      <c r="W1987" s="100" t="n"/>
      <c r="X1987" s="100" t="n"/>
      <c r="Y1987" s="100" t="n"/>
      <c r="Z1987" s="100" t="n"/>
      <c r="AA1987" s="100" t="n"/>
      <c r="AB1987" s="100" t="n"/>
      <c r="AC1987" s="100" t="n"/>
      <c r="AD1987" s="100" t="n"/>
      <c r="AE1987" s="100" t="n"/>
      <c r="AF1987" s="100" t="n"/>
      <c r="AG1987" s="100" t="n"/>
      <c r="AH1987" s="100" t="n"/>
      <c r="AI1987" s="100" t="n"/>
      <c r="AJ1987" s="100" t="n"/>
      <c r="AK1987" s="100" t="n"/>
      <c r="AL1987" s="100" t="n"/>
      <c r="AM1987" s="100" t="n"/>
      <c r="AN1987" s="100" t="n"/>
      <c r="AO1987" s="100" t="n"/>
      <c r="AP1987" s="100" t="n"/>
      <c r="AQ1987" s="100" t="n"/>
      <c r="AR1987" s="100" t="n"/>
    </row>
    <row r="1989">
      <c r="A1989" s="6">
        <f>IF(HSCEI!$C$46="","",HSCEI!$C$46)</f>
        <v/>
      </c>
      <c r="B1989" s="96">
        <f>IF($A1989="",0,COUNT($E1990:$AR1990))</f>
        <v/>
      </c>
      <c r="C1989" s="97">
        <f>IF($B1989=0,0,MAX($E1990:$AR1990))</f>
        <v/>
      </c>
      <c r="D1989" s="98">
        <f>BDS($A1989,FLD_HIST,"headers=y","startcol=1","endcol=7","dir=h","DVD_START_DT",HIST_FROM,"DVD_END_DT",HIST_TO)</f>
        <v/>
      </c>
      <c r="E1989" s="99" t="n"/>
      <c r="F1989" s="99" t="n"/>
      <c r="G1989" s="99" t="n"/>
      <c r="H1989" s="99" t="n"/>
      <c r="I1989" s="99" t="n"/>
      <c r="J1989" s="99" t="n"/>
      <c r="K1989" s="99" t="n"/>
      <c r="L1989" s="99" t="n"/>
      <c r="M1989" s="99" t="n"/>
      <c r="N1989" s="99" t="n"/>
      <c r="O1989" s="99" t="n"/>
      <c r="P1989" s="99" t="n"/>
      <c r="Q1989" s="99" t="n"/>
      <c r="R1989" s="99" t="n"/>
      <c r="S1989" s="99" t="n"/>
      <c r="T1989" s="99" t="n"/>
      <c r="U1989" s="99" t="n"/>
      <c r="V1989" s="99" t="n"/>
      <c r="W1989" s="99" t="n"/>
      <c r="X1989" s="99" t="n"/>
      <c r="Y1989" s="99" t="n"/>
      <c r="Z1989" s="99" t="n"/>
      <c r="AA1989" s="99" t="n"/>
      <c r="AB1989" s="99" t="n"/>
      <c r="AC1989" s="99" t="n"/>
      <c r="AD1989" s="99" t="n"/>
      <c r="AE1989" s="99" t="n"/>
      <c r="AF1989" s="99" t="n"/>
      <c r="AG1989" s="99" t="n"/>
      <c r="AH1989" s="99" t="n"/>
      <c r="AI1989" s="99" t="n"/>
      <c r="AJ1989" s="99" t="n"/>
      <c r="AK1989" s="99" t="n"/>
      <c r="AL1989" s="99" t="n"/>
      <c r="AM1989" s="99" t="n"/>
      <c r="AN1989" s="99" t="n"/>
      <c r="AO1989" s="99" t="n"/>
      <c r="AP1989" s="99" t="n"/>
      <c r="AQ1989" s="99" t="n"/>
      <c r="AR1989" s="99" t="n"/>
    </row>
    <row r="1990">
      <c r="D1990" s="99" t="n"/>
      <c r="E1990" s="99" t="n"/>
      <c r="F1990" s="99" t="n"/>
      <c r="G1990" s="99" t="n"/>
      <c r="H1990" s="99" t="n"/>
      <c r="I1990" s="99" t="n"/>
      <c r="J1990" s="99" t="n"/>
      <c r="K1990" s="99" t="n"/>
      <c r="L1990" s="99" t="n"/>
      <c r="M1990" s="99" t="n"/>
      <c r="N1990" s="99" t="n"/>
      <c r="O1990" s="99" t="n"/>
      <c r="P1990" s="99" t="n"/>
      <c r="Q1990" s="99" t="n"/>
      <c r="R1990" s="99" t="n"/>
      <c r="S1990" s="99" t="n"/>
      <c r="T1990" s="99" t="n"/>
      <c r="U1990" s="99" t="n"/>
      <c r="V1990" s="99" t="n"/>
      <c r="W1990" s="99" t="n"/>
      <c r="X1990" s="99" t="n"/>
      <c r="Y1990" s="99" t="n"/>
      <c r="Z1990" s="99" t="n"/>
      <c r="AA1990" s="99" t="n"/>
      <c r="AB1990" s="99" t="n"/>
      <c r="AC1990" s="99" t="n"/>
      <c r="AD1990" s="99" t="n"/>
      <c r="AE1990" s="99" t="n"/>
      <c r="AF1990" s="99" t="n"/>
      <c r="AG1990" s="99" t="n"/>
      <c r="AH1990" s="99" t="n"/>
      <c r="AI1990" s="99" t="n"/>
      <c r="AJ1990" s="99" t="n"/>
      <c r="AK1990" s="99" t="n"/>
      <c r="AL1990" s="99" t="n"/>
      <c r="AM1990" s="99" t="n"/>
      <c r="AN1990" s="99" t="n"/>
      <c r="AO1990" s="99" t="n"/>
      <c r="AP1990" s="99" t="n"/>
      <c r="AQ1990" s="99" t="n"/>
      <c r="AR1990" s="99" t="n"/>
    </row>
    <row r="1991">
      <c r="D1991" s="99" t="n"/>
      <c r="E1991" s="99" t="n"/>
      <c r="F1991" s="99" t="n"/>
      <c r="G1991" s="99" t="n"/>
      <c r="H1991" s="99" t="n"/>
      <c r="I1991" s="99" t="n"/>
      <c r="J1991" s="99" t="n"/>
      <c r="K1991" s="99" t="n"/>
      <c r="L1991" s="99" t="n"/>
      <c r="M1991" s="99" t="n"/>
      <c r="N1991" s="99" t="n"/>
      <c r="O1991" s="99" t="n"/>
      <c r="P1991" s="99" t="n"/>
      <c r="Q1991" s="99" t="n"/>
      <c r="R1991" s="99" t="n"/>
      <c r="S1991" s="99" t="n"/>
      <c r="T1991" s="99" t="n"/>
      <c r="U1991" s="99" t="n"/>
      <c r="V1991" s="99" t="n"/>
      <c r="W1991" s="99" t="n"/>
      <c r="X1991" s="99" t="n"/>
      <c r="Y1991" s="99" t="n"/>
      <c r="Z1991" s="99" t="n"/>
      <c r="AA1991" s="99" t="n"/>
      <c r="AB1991" s="99" t="n"/>
      <c r="AC1991" s="99" t="n"/>
      <c r="AD1991" s="99" t="n"/>
      <c r="AE1991" s="99" t="n"/>
      <c r="AF1991" s="99" t="n"/>
      <c r="AG1991" s="99" t="n"/>
      <c r="AH1991" s="99" t="n"/>
      <c r="AI1991" s="99" t="n"/>
      <c r="AJ1991" s="99" t="n"/>
      <c r="AK1991" s="99" t="n"/>
      <c r="AL1991" s="99" t="n"/>
      <c r="AM1991" s="99" t="n"/>
      <c r="AN1991" s="99" t="n"/>
      <c r="AO1991" s="99" t="n"/>
      <c r="AP1991" s="99" t="n"/>
      <c r="AQ1991" s="99" t="n"/>
      <c r="AR1991" s="99" t="n"/>
    </row>
    <row r="1992">
      <c r="D1992" s="99" t="n"/>
      <c r="E1992" s="99" t="n"/>
      <c r="F1992" s="99" t="n"/>
      <c r="G1992" s="99" t="n"/>
      <c r="H1992" s="99" t="n"/>
      <c r="I1992" s="99" t="n"/>
      <c r="J1992" s="99" t="n"/>
      <c r="K1992" s="99" t="n"/>
      <c r="L1992" s="99" t="n"/>
      <c r="M1992" s="99" t="n"/>
      <c r="N1992" s="99" t="n"/>
      <c r="O1992" s="99" t="n"/>
      <c r="P1992" s="99" t="n"/>
      <c r="Q1992" s="99" t="n"/>
      <c r="R1992" s="99" t="n"/>
      <c r="S1992" s="99" t="n"/>
      <c r="T1992" s="99" t="n"/>
      <c r="U1992" s="99" t="n"/>
      <c r="V1992" s="99" t="n"/>
      <c r="W1992" s="99" t="n"/>
      <c r="X1992" s="99" t="n"/>
      <c r="Y1992" s="99" t="n"/>
      <c r="Z1992" s="99" t="n"/>
      <c r="AA1992" s="99" t="n"/>
      <c r="AB1992" s="99" t="n"/>
      <c r="AC1992" s="99" t="n"/>
      <c r="AD1992" s="99" t="n"/>
      <c r="AE1992" s="99" t="n"/>
      <c r="AF1992" s="99" t="n"/>
      <c r="AG1992" s="99" t="n"/>
      <c r="AH1992" s="99" t="n"/>
      <c r="AI1992" s="99" t="n"/>
      <c r="AJ1992" s="99" t="n"/>
      <c r="AK1992" s="99" t="n"/>
      <c r="AL1992" s="99" t="n"/>
      <c r="AM1992" s="99" t="n"/>
      <c r="AN1992" s="99" t="n"/>
      <c r="AO1992" s="99" t="n"/>
      <c r="AP1992" s="99" t="n"/>
      <c r="AQ1992" s="99" t="n"/>
      <c r="AR1992" s="99" t="n"/>
    </row>
    <row r="1993">
      <c r="D1993" s="100" t="n"/>
      <c r="E1993" s="100" t="n"/>
      <c r="F1993" s="100" t="n"/>
      <c r="G1993" s="100" t="n"/>
      <c r="H1993" s="100" t="n"/>
      <c r="I1993" s="100" t="n"/>
      <c r="J1993" s="100" t="n"/>
      <c r="K1993" s="100" t="n"/>
      <c r="L1993" s="100" t="n"/>
      <c r="M1993" s="100" t="n"/>
      <c r="N1993" s="100" t="n"/>
      <c r="O1993" s="100" t="n"/>
      <c r="P1993" s="100" t="n"/>
      <c r="Q1993" s="100" t="n"/>
      <c r="R1993" s="100" t="n"/>
      <c r="S1993" s="100" t="n"/>
      <c r="T1993" s="100" t="n"/>
      <c r="U1993" s="100" t="n"/>
      <c r="V1993" s="100" t="n"/>
      <c r="W1993" s="100" t="n"/>
      <c r="X1993" s="100" t="n"/>
      <c r="Y1993" s="100" t="n"/>
      <c r="Z1993" s="100" t="n"/>
      <c r="AA1993" s="100" t="n"/>
      <c r="AB1993" s="100" t="n"/>
      <c r="AC1993" s="100" t="n"/>
      <c r="AD1993" s="100" t="n"/>
      <c r="AE1993" s="100" t="n"/>
      <c r="AF1993" s="100" t="n"/>
      <c r="AG1993" s="100" t="n"/>
      <c r="AH1993" s="100" t="n"/>
      <c r="AI1993" s="100" t="n"/>
      <c r="AJ1993" s="100" t="n"/>
      <c r="AK1993" s="100" t="n"/>
      <c r="AL1993" s="100" t="n"/>
      <c r="AM1993" s="100" t="n"/>
      <c r="AN1993" s="100" t="n"/>
      <c r="AO1993" s="100" t="n"/>
      <c r="AP1993" s="100" t="n"/>
      <c r="AQ1993" s="100" t="n"/>
      <c r="AR1993" s="100" t="n"/>
    </row>
    <row r="1996">
      <c r="A1996" s="2">
        <f>IF($A1989="","","   projections")</f>
        <v/>
      </c>
      <c r="B1996" s="96">
        <f>IF($A1989="",0,COUNT($E1997:$AR1997))</f>
        <v/>
      </c>
      <c r="C1996" s="97">
        <f>IF($B1996=0,0,MAX($E1997:$AR1997))</f>
        <v/>
      </c>
      <c r="D1996" s="98">
        <f>BDS($A1989,FLD_PROJ,"headers=y","startcol=1","endcol=3","dir=h")</f>
        <v/>
      </c>
      <c r="E1996" s="99" t="n"/>
      <c r="F1996" s="99" t="n"/>
      <c r="G1996" s="99" t="n"/>
      <c r="H1996" s="99" t="n"/>
      <c r="I1996" s="99" t="n"/>
      <c r="J1996" s="99" t="n"/>
      <c r="K1996" s="99" t="n"/>
      <c r="L1996" s="99" t="n"/>
      <c r="M1996" s="99" t="n"/>
      <c r="N1996" s="99" t="n"/>
      <c r="O1996" s="99" t="n"/>
      <c r="P1996" s="99" t="n"/>
      <c r="Q1996" s="99" t="n"/>
      <c r="R1996" s="99" t="n"/>
      <c r="S1996" s="99" t="n"/>
      <c r="T1996" s="99" t="n"/>
      <c r="U1996" s="99" t="n"/>
      <c r="V1996" s="99" t="n"/>
      <c r="W1996" s="99" t="n"/>
      <c r="X1996" s="99" t="n"/>
      <c r="Y1996" s="99" t="n"/>
      <c r="Z1996" s="99" t="n"/>
      <c r="AA1996" s="99" t="n"/>
      <c r="AB1996" s="99" t="n"/>
      <c r="AC1996" s="99" t="n"/>
      <c r="AD1996" s="99" t="n"/>
      <c r="AE1996" s="99" t="n"/>
      <c r="AF1996" s="99" t="n"/>
      <c r="AG1996" s="99" t="n"/>
      <c r="AH1996" s="99" t="n"/>
      <c r="AI1996" s="99" t="n"/>
      <c r="AJ1996" s="99" t="n"/>
      <c r="AK1996" s="99" t="n"/>
      <c r="AL1996" s="99" t="n"/>
      <c r="AM1996" s="99" t="n"/>
      <c r="AN1996" s="99" t="n"/>
      <c r="AO1996" s="99" t="n"/>
      <c r="AP1996" s="99" t="n"/>
      <c r="AQ1996" s="99" t="n"/>
      <c r="AR1996" s="99" t="n"/>
    </row>
    <row r="1997">
      <c r="D1997" s="99" t="n"/>
      <c r="E1997" s="99" t="n"/>
      <c r="F1997" s="99" t="n"/>
      <c r="G1997" s="99" t="n"/>
      <c r="H1997" s="99" t="n"/>
      <c r="I1997" s="99" t="n"/>
      <c r="J1997" s="99" t="n"/>
      <c r="K1997" s="99" t="n"/>
      <c r="L1997" s="99" t="n"/>
      <c r="M1997" s="99" t="n"/>
      <c r="N1997" s="99" t="n"/>
      <c r="O1997" s="99" t="n"/>
      <c r="P1997" s="99" t="n"/>
      <c r="Q1997" s="99" t="n"/>
      <c r="R1997" s="99" t="n"/>
      <c r="S1997" s="99" t="n"/>
      <c r="T1997" s="99" t="n"/>
      <c r="U1997" s="99" t="n"/>
      <c r="V1997" s="99" t="n"/>
      <c r="W1997" s="99" t="n"/>
      <c r="X1997" s="99" t="n"/>
      <c r="Y1997" s="99" t="n"/>
      <c r="Z1997" s="99" t="n"/>
      <c r="AA1997" s="99" t="n"/>
      <c r="AB1997" s="99" t="n"/>
      <c r="AC1997" s="99" t="n"/>
      <c r="AD1997" s="99" t="n"/>
      <c r="AE1997" s="99" t="n"/>
      <c r="AF1997" s="99" t="n"/>
      <c r="AG1997" s="99" t="n"/>
      <c r="AH1997" s="99" t="n"/>
      <c r="AI1997" s="99" t="n"/>
      <c r="AJ1997" s="99" t="n"/>
      <c r="AK1997" s="99" t="n"/>
      <c r="AL1997" s="99" t="n"/>
      <c r="AM1997" s="99" t="n"/>
      <c r="AN1997" s="99" t="n"/>
      <c r="AO1997" s="99" t="n"/>
      <c r="AP1997" s="99" t="n"/>
      <c r="AQ1997" s="99" t="n"/>
      <c r="AR1997" s="99" t="n"/>
    </row>
    <row r="1998">
      <c r="D1998" s="100" t="n"/>
      <c r="E1998" s="100" t="n"/>
      <c r="F1998" s="100" t="n"/>
      <c r="G1998" s="100" t="n"/>
      <c r="H1998" s="100" t="n"/>
      <c r="I1998" s="100" t="n"/>
      <c r="J1998" s="100" t="n"/>
      <c r="K1998" s="100" t="n"/>
      <c r="L1998" s="100" t="n"/>
      <c r="M1998" s="100" t="n"/>
      <c r="N1998" s="100" t="n"/>
      <c r="O1998" s="100" t="n"/>
      <c r="P1998" s="100" t="n"/>
      <c r="Q1998" s="100" t="n"/>
      <c r="R1998" s="100" t="n"/>
      <c r="S1998" s="100" t="n"/>
      <c r="T1998" s="100" t="n"/>
      <c r="U1998" s="100" t="n"/>
      <c r="V1998" s="100" t="n"/>
      <c r="W1998" s="100" t="n"/>
      <c r="X1998" s="100" t="n"/>
      <c r="Y1998" s="100" t="n"/>
      <c r="Z1998" s="100" t="n"/>
      <c r="AA1998" s="100" t="n"/>
      <c r="AB1998" s="100" t="n"/>
      <c r="AC1998" s="100" t="n"/>
      <c r="AD1998" s="100" t="n"/>
      <c r="AE1998" s="100" t="n"/>
      <c r="AF1998" s="100" t="n"/>
      <c r="AG1998" s="100" t="n"/>
      <c r="AH1998" s="100" t="n"/>
      <c r="AI1998" s="100" t="n"/>
      <c r="AJ1998" s="100" t="n"/>
      <c r="AK1998" s="100" t="n"/>
      <c r="AL1998" s="100" t="n"/>
      <c r="AM1998" s="100" t="n"/>
      <c r="AN1998" s="100" t="n"/>
      <c r="AO1998" s="100" t="n"/>
      <c r="AP1998" s="100" t="n"/>
      <c r="AQ1998" s="100" t="n"/>
      <c r="AR1998" s="100" t="n"/>
    </row>
    <row r="2000">
      <c r="A2000" s="6">
        <f>IF(HSCEI!$C$47="","",HSCEI!$C$47)</f>
        <v/>
      </c>
      <c r="B2000" s="96">
        <f>IF($A2000="",0,COUNT($E2001:$AR2001))</f>
        <v/>
      </c>
      <c r="C2000" s="97">
        <f>IF($B2000=0,0,MAX($E2001:$AR2001))</f>
        <v/>
      </c>
      <c r="D2000" s="98">
        <f>BDS($A2000,FLD_HIST,"headers=y","startcol=1","endcol=7","dir=h","DVD_START_DT",HIST_FROM,"DVD_END_DT",HIST_TO)</f>
        <v/>
      </c>
      <c r="E2000" s="99" t="n"/>
      <c r="F2000" s="99" t="n"/>
      <c r="G2000" s="99" t="n"/>
      <c r="H2000" s="99" t="n"/>
      <c r="I2000" s="99" t="n"/>
      <c r="J2000" s="99" t="n"/>
      <c r="K2000" s="99" t="n"/>
      <c r="L2000" s="99" t="n"/>
      <c r="M2000" s="99" t="n"/>
      <c r="N2000" s="99" t="n"/>
      <c r="O2000" s="99" t="n"/>
      <c r="P2000" s="99" t="n"/>
      <c r="Q2000" s="99" t="n"/>
      <c r="R2000" s="99" t="n"/>
      <c r="S2000" s="99" t="n"/>
      <c r="T2000" s="99" t="n"/>
      <c r="U2000" s="99" t="n"/>
      <c r="V2000" s="99" t="n"/>
      <c r="W2000" s="99" t="n"/>
      <c r="X2000" s="99" t="n"/>
      <c r="Y2000" s="99" t="n"/>
      <c r="Z2000" s="99" t="n"/>
      <c r="AA2000" s="99" t="n"/>
      <c r="AB2000" s="99" t="n"/>
      <c r="AC2000" s="99" t="n"/>
      <c r="AD2000" s="99" t="n"/>
      <c r="AE2000" s="99" t="n"/>
      <c r="AF2000" s="99" t="n"/>
      <c r="AG2000" s="99" t="n"/>
      <c r="AH2000" s="99" t="n"/>
      <c r="AI2000" s="99" t="n"/>
      <c r="AJ2000" s="99" t="n"/>
      <c r="AK2000" s="99" t="n"/>
      <c r="AL2000" s="99" t="n"/>
      <c r="AM2000" s="99" t="n"/>
      <c r="AN2000" s="99" t="n"/>
      <c r="AO2000" s="99" t="n"/>
      <c r="AP2000" s="99" t="n"/>
      <c r="AQ2000" s="99" t="n"/>
      <c r="AR2000" s="99" t="n"/>
    </row>
    <row r="2001">
      <c r="D2001" s="99" t="n"/>
      <c r="E2001" s="99" t="n"/>
      <c r="F2001" s="99" t="n"/>
      <c r="G2001" s="99" t="n"/>
      <c r="H2001" s="99" t="n"/>
      <c r="I2001" s="99" t="n"/>
      <c r="J2001" s="99" t="n"/>
      <c r="K2001" s="99" t="n"/>
      <c r="L2001" s="99" t="n"/>
      <c r="M2001" s="99" t="n"/>
      <c r="N2001" s="99" t="n"/>
      <c r="O2001" s="99" t="n"/>
      <c r="P2001" s="99" t="n"/>
      <c r="Q2001" s="99" t="n"/>
      <c r="R2001" s="99" t="n"/>
      <c r="S2001" s="99" t="n"/>
      <c r="T2001" s="99" t="n"/>
      <c r="U2001" s="99" t="n"/>
      <c r="V2001" s="99" t="n"/>
      <c r="W2001" s="99" t="n"/>
      <c r="X2001" s="99" t="n"/>
      <c r="Y2001" s="99" t="n"/>
      <c r="Z2001" s="99" t="n"/>
      <c r="AA2001" s="99" t="n"/>
      <c r="AB2001" s="99" t="n"/>
      <c r="AC2001" s="99" t="n"/>
      <c r="AD2001" s="99" t="n"/>
      <c r="AE2001" s="99" t="n"/>
      <c r="AF2001" s="99" t="n"/>
      <c r="AG2001" s="99" t="n"/>
      <c r="AH2001" s="99" t="n"/>
      <c r="AI2001" s="99" t="n"/>
      <c r="AJ2001" s="99" t="n"/>
      <c r="AK2001" s="99" t="n"/>
      <c r="AL2001" s="99" t="n"/>
      <c r="AM2001" s="99" t="n"/>
      <c r="AN2001" s="99" t="n"/>
      <c r="AO2001" s="99" t="n"/>
      <c r="AP2001" s="99" t="n"/>
      <c r="AQ2001" s="99" t="n"/>
      <c r="AR2001" s="99" t="n"/>
    </row>
    <row r="2002">
      <c r="D2002" s="99" t="n"/>
      <c r="E2002" s="99" t="n"/>
      <c r="F2002" s="99" t="n"/>
      <c r="G2002" s="99" t="n"/>
      <c r="H2002" s="99" t="n"/>
      <c r="I2002" s="99" t="n"/>
      <c r="J2002" s="99" t="n"/>
      <c r="K2002" s="99" t="n"/>
      <c r="L2002" s="99" t="n"/>
      <c r="M2002" s="99" t="n"/>
      <c r="N2002" s="99" t="n"/>
      <c r="O2002" s="99" t="n"/>
      <c r="P2002" s="99" t="n"/>
      <c r="Q2002" s="99" t="n"/>
      <c r="R2002" s="99" t="n"/>
      <c r="S2002" s="99" t="n"/>
      <c r="T2002" s="99" t="n"/>
      <c r="U2002" s="99" t="n"/>
      <c r="V2002" s="99" t="n"/>
      <c r="W2002" s="99" t="n"/>
      <c r="X2002" s="99" t="n"/>
      <c r="Y2002" s="99" t="n"/>
      <c r="Z2002" s="99" t="n"/>
      <c r="AA2002" s="99" t="n"/>
      <c r="AB2002" s="99" t="n"/>
      <c r="AC2002" s="99" t="n"/>
      <c r="AD2002" s="99" t="n"/>
      <c r="AE2002" s="99" t="n"/>
      <c r="AF2002" s="99" t="n"/>
      <c r="AG2002" s="99" t="n"/>
      <c r="AH2002" s="99" t="n"/>
      <c r="AI2002" s="99" t="n"/>
      <c r="AJ2002" s="99" t="n"/>
      <c r="AK2002" s="99" t="n"/>
      <c r="AL2002" s="99" t="n"/>
      <c r="AM2002" s="99" t="n"/>
      <c r="AN2002" s="99" t="n"/>
      <c r="AO2002" s="99" t="n"/>
      <c r="AP2002" s="99" t="n"/>
      <c r="AQ2002" s="99" t="n"/>
      <c r="AR2002" s="99" t="n"/>
    </row>
    <row r="2003">
      <c r="D2003" s="99" t="n"/>
      <c r="E2003" s="99" t="n"/>
      <c r="F2003" s="99" t="n"/>
      <c r="G2003" s="99" t="n"/>
      <c r="H2003" s="99" t="n"/>
      <c r="I2003" s="99" t="n"/>
      <c r="J2003" s="99" t="n"/>
      <c r="K2003" s="99" t="n"/>
      <c r="L2003" s="99" t="n"/>
      <c r="M2003" s="99" t="n"/>
      <c r="N2003" s="99" t="n"/>
      <c r="O2003" s="99" t="n"/>
      <c r="P2003" s="99" t="n"/>
      <c r="Q2003" s="99" t="n"/>
      <c r="R2003" s="99" t="n"/>
      <c r="S2003" s="99" t="n"/>
      <c r="T2003" s="99" t="n"/>
      <c r="U2003" s="99" t="n"/>
      <c r="V2003" s="99" t="n"/>
      <c r="W2003" s="99" t="n"/>
      <c r="X2003" s="99" t="n"/>
      <c r="Y2003" s="99" t="n"/>
      <c r="Z2003" s="99" t="n"/>
      <c r="AA2003" s="99" t="n"/>
      <c r="AB2003" s="99" t="n"/>
      <c r="AC2003" s="99" t="n"/>
      <c r="AD2003" s="99" t="n"/>
      <c r="AE2003" s="99" t="n"/>
      <c r="AF2003" s="99" t="n"/>
      <c r="AG2003" s="99" t="n"/>
      <c r="AH2003" s="99" t="n"/>
      <c r="AI2003" s="99" t="n"/>
      <c r="AJ2003" s="99" t="n"/>
      <c r="AK2003" s="99" t="n"/>
      <c r="AL2003" s="99" t="n"/>
      <c r="AM2003" s="99" t="n"/>
      <c r="AN2003" s="99" t="n"/>
      <c r="AO2003" s="99" t="n"/>
      <c r="AP2003" s="99" t="n"/>
      <c r="AQ2003" s="99" t="n"/>
      <c r="AR2003" s="99" t="n"/>
    </row>
    <row r="2004">
      <c r="D2004" s="100" t="n"/>
      <c r="E2004" s="100" t="n"/>
      <c r="F2004" s="100" t="n"/>
      <c r="G2004" s="100" t="n"/>
      <c r="H2004" s="100" t="n"/>
      <c r="I2004" s="100" t="n"/>
      <c r="J2004" s="100" t="n"/>
      <c r="K2004" s="100" t="n"/>
      <c r="L2004" s="100" t="n"/>
      <c r="M2004" s="100" t="n"/>
      <c r="N2004" s="100" t="n"/>
      <c r="O2004" s="100" t="n"/>
      <c r="P2004" s="100" t="n"/>
      <c r="Q2004" s="100" t="n"/>
      <c r="R2004" s="100" t="n"/>
      <c r="S2004" s="100" t="n"/>
      <c r="T2004" s="100" t="n"/>
      <c r="U2004" s="100" t="n"/>
      <c r="V2004" s="100" t="n"/>
      <c r="W2004" s="100" t="n"/>
      <c r="X2004" s="100" t="n"/>
      <c r="Y2004" s="100" t="n"/>
      <c r="Z2004" s="100" t="n"/>
      <c r="AA2004" s="100" t="n"/>
      <c r="AB2004" s="100" t="n"/>
      <c r="AC2004" s="100" t="n"/>
      <c r="AD2004" s="100" t="n"/>
      <c r="AE2004" s="100" t="n"/>
      <c r="AF2004" s="100" t="n"/>
      <c r="AG2004" s="100" t="n"/>
      <c r="AH2004" s="100" t="n"/>
      <c r="AI2004" s="100" t="n"/>
      <c r="AJ2004" s="100" t="n"/>
      <c r="AK2004" s="100" t="n"/>
      <c r="AL2004" s="100" t="n"/>
      <c r="AM2004" s="100" t="n"/>
      <c r="AN2004" s="100" t="n"/>
      <c r="AO2004" s="100" t="n"/>
      <c r="AP2004" s="100" t="n"/>
      <c r="AQ2004" s="100" t="n"/>
      <c r="AR2004" s="100" t="n"/>
    </row>
    <row r="2007">
      <c r="A2007" s="2">
        <f>IF($A2000="","","   projections")</f>
        <v/>
      </c>
      <c r="B2007" s="96">
        <f>IF($A2000="",0,COUNT($E2008:$AR2008))</f>
        <v/>
      </c>
      <c r="C2007" s="97">
        <f>IF($B2007=0,0,MAX($E2008:$AR2008))</f>
        <v/>
      </c>
      <c r="D2007" s="98">
        <f>BDS($A2000,FLD_PROJ,"headers=y","startcol=1","endcol=3","dir=h")</f>
        <v/>
      </c>
      <c r="E2007" s="99" t="n"/>
      <c r="F2007" s="99" t="n"/>
      <c r="G2007" s="99" t="n"/>
      <c r="H2007" s="99" t="n"/>
      <c r="I2007" s="99" t="n"/>
      <c r="J2007" s="99" t="n"/>
      <c r="K2007" s="99" t="n"/>
      <c r="L2007" s="99" t="n"/>
      <c r="M2007" s="99" t="n"/>
      <c r="N2007" s="99" t="n"/>
      <c r="O2007" s="99" t="n"/>
      <c r="P2007" s="99" t="n"/>
      <c r="Q2007" s="99" t="n"/>
      <c r="R2007" s="99" t="n"/>
      <c r="S2007" s="99" t="n"/>
      <c r="T2007" s="99" t="n"/>
      <c r="U2007" s="99" t="n"/>
      <c r="V2007" s="99" t="n"/>
      <c r="W2007" s="99" t="n"/>
      <c r="X2007" s="99" t="n"/>
      <c r="Y2007" s="99" t="n"/>
      <c r="Z2007" s="99" t="n"/>
      <c r="AA2007" s="99" t="n"/>
      <c r="AB2007" s="99" t="n"/>
      <c r="AC2007" s="99" t="n"/>
      <c r="AD2007" s="99" t="n"/>
      <c r="AE2007" s="99" t="n"/>
      <c r="AF2007" s="99" t="n"/>
      <c r="AG2007" s="99" t="n"/>
      <c r="AH2007" s="99" t="n"/>
      <c r="AI2007" s="99" t="n"/>
      <c r="AJ2007" s="99" t="n"/>
      <c r="AK2007" s="99" t="n"/>
      <c r="AL2007" s="99" t="n"/>
      <c r="AM2007" s="99" t="n"/>
      <c r="AN2007" s="99" t="n"/>
      <c r="AO2007" s="99" t="n"/>
      <c r="AP2007" s="99" t="n"/>
      <c r="AQ2007" s="99" t="n"/>
      <c r="AR2007" s="99" t="n"/>
    </row>
    <row r="2008">
      <c r="D2008" s="99" t="n"/>
      <c r="E2008" s="99" t="n"/>
      <c r="F2008" s="99" t="n"/>
      <c r="G2008" s="99" t="n"/>
      <c r="H2008" s="99" t="n"/>
      <c r="I2008" s="99" t="n"/>
      <c r="J2008" s="99" t="n"/>
      <c r="K2008" s="99" t="n"/>
      <c r="L2008" s="99" t="n"/>
      <c r="M2008" s="99" t="n"/>
      <c r="N2008" s="99" t="n"/>
      <c r="O2008" s="99" t="n"/>
      <c r="P2008" s="99" t="n"/>
      <c r="Q2008" s="99" t="n"/>
      <c r="R2008" s="99" t="n"/>
      <c r="S2008" s="99" t="n"/>
      <c r="T2008" s="99" t="n"/>
      <c r="U2008" s="99" t="n"/>
      <c r="V2008" s="99" t="n"/>
      <c r="W2008" s="99" t="n"/>
      <c r="X2008" s="99" t="n"/>
      <c r="Y2008" s="99" t="n"/>
      <c r="Z2008" s="99" t="n"/>
      <c r="AA2008" s="99" t="n"/>
      <c r="AB2008" s="99" t="n"/>
      <c r="AC2008" s="99" t="n"/>
      <c r="AD2008" s="99" t="n"/>
      <c r="AE2008" s="99" t="n"/>
      <c r="AF2008" s="99" t="n"/>
      <c r="AG2008" s="99" t="n"/>
      <c r="AH2008" s="99" t="n"/>
      <c r="AI2008" s="99" t="n"/>
      <c r="AJ2008" s="99" t="n"/>
      <c r="AK2008" s="99" t="n"/>
      <c r="AL2008" s="99" t="n"/>
      <c r="AM2008" s="99" t="n"/>
      <c r="AN2008" s="99" t="n"/>
      <c r="AO2008" s="99" t="n"/>
      <c r="AP2008" s="99" t="n"/>
      <c r="AQ2008" s="99" t="n"/>
      <c r="AR2008" s="99" t="n"/>
    </row>
    <row r="2009">
      <c r="D2009" s="100" t="n"/>
      <c r="E2009" s="100" t="n"/>
      <c r="F2009" s="100" t="n"/>
      <c r="G2009" s="100" t="n"/>
      <c r="H2009" s="100" t="n"/>
      <c r="I2009" s="100" t="n"/>
      <c r="J2009" s="100" t="n"/>
      <c r="K2009" s="100" t="n"/>
      <c r="L2009" s="100" t="n"/>
      <c r="M2009" s="100" t="n"/>
      <c r="N2009" s="100" t="n"/>
      <c r="O2009" s="100" t="n"/>
      <c r="P2009" s="100" t="n"/>
      <c r="Q2009" s="100" t="n"/>
      <c r="R2009" s="100" t="n"/>
      <c r="S2009" s="100" t="n"/>
      <c r="T2009" s="100" t="n"/>
      <c r="U2009" s="100" t="n"/>
      <c r="V2009" s="100" t="n"/>
      <c r="W2009" s="100" t="n"/>
      <c r="X2009" s="100" t="n"/>
      <c r="Y2009" s="100" t="n"/>
      <c r="Z2009" s="100" t="n"/>
      <c r="AA2009" s="100" t="n"/>
      <c r="AB2009" s="100" t="n"/>
      <c r="AC2009" s="100" t="n"/>
      <c r="AD2009" s="100" t="n"/>
      <c r="AE2009" s="100" t="n"/>
      <c r="AF2009" s="100" t="n"/>
      <c r="AG2009" s="100" t="n"/>
      <c r="AH2009" s="100" t="n"/>
      <c r="AI2009" s="100" t="n"/>
      <c r="AJ2009" s="100" t="n"/>
      <c r="AK2009" s="100" t="n"/>
      <c r="AL2009" s="100" t="n"/>
      <c r="AM2009" s="100" t="n"/>
      <c r="AN2009" s="100" t="n"/>
      <c r="AO2009" s="100" t="n"/>
      <c r="AP2009" s="100" t="n"/>
      <c r="AQ2009" s="100" t="n"/>
      <c r="AR2009" s="100" t="n"/>
    </row>
    <row r="2011">
      <c r="A2011" s="6">
        <f>IF(HSCEI!$C$48="","",HSCEI!$C$48)</f>
        <v/>
      </c>
      <c r="B2011" s="96">
        <f>IF($A2011="",0,COUNT($E2012:$AR2012))</f>
        <v/>
      </c>
      <c r="C2011" s="97">
        <f>IF($B2011=0,0,MAX($E2012:$AR2012))</f>
        <v/>
      </c>
      <c r="D2011" s="98">
        <f>BDS($A2011,FLD_HIST,"headers=y","startcol=1","endcol=7","dir=h","DVD_START_DT",HIST_FROM,"DVD_END_DT",HIST_TO)</f>
        <v/>
      </c>
      <c r="E2011" s="99" t="n"/>
      <c r="F2011" s="99" t="n"/>
      <c r="G2011" s="99" t="n"/>
      <c r="H2011" s="99" t="n"/>
      <c r="I2011" s="99" t="n"/>
      <c r="J2011" s="99" t="n"/>
      <c r="K2011" s="99" t="n"/>
      <c r="L2011" s="99" t="n"/>
      <c r="M2011" s="99" t="n"/>
      <c r="N2011" s="99" t="n"/>
      <c r="O2011" s="99" t="n"/>
      <c r="P2011" s="99" t="n"/>
      <c r="Q2011" s="99" t="n"/>
      <c r="R2011" s="99" t="n"/>
      <c r="S2011" s="99" t="n"/>
      <c r="T2011" s="99" t="n"/>
      <c r="U2011" s="99" t="n"/>
      <c r="V2011" s="99" t="n"/>
      <c r="W2011" s="99" t="n"/>
      <c r="X2011" s="99" t="n"/>
      <c r="Y2011" s="99" t="n"/>
      <c r="Z2011" s="99" t="n"/>
      <c r="AA2011" s="99" t="n"/>
      <c r="AB2011" s="99" t="n"/>
      <c r="AC2011" s="99" t="n"/>
      <c r="AD2011" s="99" t="n"/>
      <c r="AE2011" s="99" t="n"/>
      <c r="AF2011" s="99" t="n"/>
      <c r="AG2011" s="99" t="n"/>
      <c r="AH2011" s="99" t="n"/>
      <c r="AI2011" s="99" t="n"/>
      <c r="AJ2011" s="99" t="n"/>
      <c r="AK2011" s="99" t="n"/>
      <c r="AL2011" s="99" t="n"/>
      <c r="AM2011" s="99" t="n"/>
      <c r="AN2011" s="99" t="n"/>
      <c r="AO2011" s="99" t="n"/>
      <c r="AP2011" s="99" t="n"/>
      <c r="AQ2011" s="99" t="n"/>
      <c r="AR2011" s="99" t="n"/>
    </row>
    <row r="2012">
      <c r="D2012" s="99" t="n"/>
      <c r="E2012" s="99" t="n"/>
      <c r="F2012" s="99" t="n"/>
      <c r="G2012" s="99" t="n"/>
      <c r="H2012" s="99" t="n"/>
      <c r="I2012" s="99" t="n"/>
      <c r="J2012" s="99" t="n"/>
      <c r="K2012" s="99" t="n"/>
      <c r="L2012" s="99" t="n"/>
      <c r="M2012" s="99" t="n"/>
      <c r="N2012" s="99" t="n"/>
      <c r="O2012" s="99" t="n"/>
      <c r="P2012" s="99" t="n"/>
      <c r="Q2012" s="99" t="n"/>
      <c r="R2012" s="99" t="n"/>
      <c r="S2012" s="99" t="n"/>
      <c r="T2012" s="99" t="n"/>
      <c r="U2012" s="99" t="n"/>
      <c r="V2012" s="99" t="n"/>
      <c r="W2012" s="99" t="n"/>
      <c r="X2012" s="99" t="n"/>
      <c r="Y2012" s="99" t="n"/>
      <c r="Z2012" s="99" t="n"/>
      <c r="AA2012" s="99" t="n"/>
      <c r="AB2012" s="99" t="n"/>
      <c r="AC2012" s="99" t="n"/>
      <c r="AD2012" s="99" t="n"/>
      <c r="AE2012" s="99" t="n"/>
      <c r="AF2012" s="99" t="n"/>
      <c r="AG2012" s="99" t="n"/>
      <c r="AH2012" s="99" t="n"/>
      <c r="AI2012" s="99" t="n"/>
      <c r="AJ2012" s="99" t="n"/>
      <c r="AK2012" s="99" t="n"/>
      <c r="AL2012" s="99" t="n"/>
      <c r="AM2012" s="99" t="n"/>
      <c r="AN2012" s="99" t="n"/>
      <c r="AO2012" s="99" t="n"/>
      <c r="AP2012" s="99" t="n"/>
      <c r="AQ2012" s="99" t="n"/>
      <c r="AR2012" s="99" t="n"/>
    </row>
    <row r="2013">
      <c r="D2013" s="99" t="n"/>
      <c r="E2013" s="99" t="n"/>
      <c r="F2013" s="99" t="n"/>
      <c r="G2013" s="99" t="n"/>
      <c r="H2013" s="99" t="n"/>
      <c r="I2013" s="99" t="n"/>
      <c r="J2013" s="99" t="n"/>
      <c r="K2013" s="99" t="n"/>
      <c r="L2013" s="99" t="n"/>
      <c r="M2013" s="99" t="n"/>
      <c r="N2013" s="99" t="n"/>
      <c r="O2013" s="99" t="n"/>
      <c r="P2013" s="99" t="n"/>
      <c r="Q2013" s="99" t="n"/>
      <c r="R2013" s="99" t="n"/>
      <c r="S2013" s="99" t="n"/>
      <c r="T2013" s="99" t="n"/>
      <c r="U2013" s="99" t="n"/>
      <c r="V2013" s="99" t="n"/>
      <c r="W2013" s="99" t="n"/>
      <c r="X2013" s="99" t="n"/>
      <c r="Y2013" s="99" t="n"/>
      <c r="Z2013" s="99" t="n"/>
      <c r="AA2013" s="99" t="n"/>
      <c r="AB2013" s="99" t="n"/>
      <c r="AC2013" s="99" t="n"/>
      <c r="AD2013" s="99" t="n"/>
      <c r="AE2013" s="99" t="n"/>
      <c r="AF2013" s="99" t="n"/>
      <c r="AG2013" s="99" t="n"/>
      <c r="AH2013" s="99" t="n"/>
      <c r="AI2013" s="99" t="n"/>
      <c r="AJ2013" s="99" t="n"/>
      <c r="AK2013" s="99" t="n"/>
      <c r="AL2013" s="99" t="n"/>
      <c r="AM2013" s="99" t="n"/>
      <c r="AN2013" s="99" t="n"/>
      <c r="AO2013" s="99" t="n"/>
      <c r="AP2013" s="99" t="n"/>
      <c r="AQ2013" s="99" t="n"/>
      <c r="AR2013" s="99" t="n"/>
    </row>
    <row r="2014">
      <c r="D2014" s="99" t="n"/>
      <c r="E2014" s="99" t="n"/>
      <c r="F2014" s="99" t="n"/>
      <c r="G2014" s="99" t="n"/>
      <c r="H2014" s="99" t="n"/>
      <c r="I2014" s="99" t="n"/>
      <c r="J2014" s="99" t="n"/>
      <c r="K2014" s="99" t="n"/>
      <c r="L2014" s="99" t="n"/>
      <c r="M2014" s="99" t="n"/>
      <c r="N2014" s="99" t="n"/>
      <c r="O2014" s="99" t="n"/>
      <c r="P2014" s="99" t="n"/>
      <c r="Q2014" s="99" t="n"/>
      <c r="R2014" s="99" t="n"/>
      <c r="S2014" s="99" t="n"/>
      <c r="T2014" s="99" t="n"/>
      <c r="U2014" s="99" t="n"/>
      <c r="V2014" s="99" t="n"/>
      <c r="W2014" s="99" t="n"/>
      <c r="X2014" s="99" t="n"/>
      <c r="Y2014" s="99" t="n"/>
      <c r="Z2014" s="99" t="n"/>
      <c r="AA2014" s="99" t="n"/>
      <c r="AB2014" s="99" t="n"/>
      <c r="AC2014" s="99" t="n"/>
      <c r="AD2014" s="99" t="n"/>
      <c r="AE2014" s="99" t="n"/>
      <c r="AF2014" s="99" t="n"/>
      <c r="AG2014" s="99" t="n"/>
      <c r="AH2014" s="99" t="n"/>
      <c r="AI2014" s="99" t="n"/>
      <c r="AJ2014" s="99" t="n"/>
      <c r="AK2014" s="99" t="n"/>
      <c r="AL2014" s="99" t="n"/>
      <c r="AM2014" s="99" t="n"/>
      <c r="AN2014" s="99" t="n"/>
      <c r="AO2014" s="99" t="n"/>
      <c r="AP2014" s="99" t="n"/>
      <c r="AQ2014" s="99" t="n"/>
      <c r="AR2014" s="99" t="n"/>
    </row>
    <row r="2015">
      <c r="D2015" s="100" t="n"/>
      <c r="E2015" s="100" t="n"/>
      <c r="F2015" s="100" t="n"/>
      <c r="G2015" s="100" t="n"/>
      <c r="H2015" s="100" t="n"/>
      <c r="I2015" s="100" t="n"/>
      <c r="J2015" s="100" t="n"/>
      <c r="K2015" s="100" t="n"/>
      <c r="L2015" s="100" t="n"/>
      <c r="M2015" s="100" t="n"/>
      <c r="N2015" s="100" t="n"/>
      <c r="O2015" s="100" t="n"/>
      <c r="P2015" s="100" t="n"/>
      <c r="Q2015" s="100" t="n"/>
      <c r="R2015" s="100" t="n"/>
      <c r="S2015" s="100" t="n"/>
      <c r="T2015" s="100" t="n"/>
      <c r="U2015" s="100" t="n"/>
      <c r="V2015" s="100" t="n"/>
      <c r="W2015" s="100" t="n"/>
      <c r="X2015" s="100" t="n"/>
      <c r="Y2015" s="100" t="n"/>
      <c r="Z2015" s="100" t="n"/>
      <c r="AA2015" s="100" t="n"/>
      <c r="AB2015" s="100" t="n"/>
      <c r="AC2015" s="100" t="n"/>
      <c r="AD2015" s="100" t="n"/>
      <c r="AE2015" s="100" t="n"/>
      <c r="AF2015" s="100" t="n"/>
      <c r="AG2015" s="100" t="n"/>
      <c r="AH2015" s="100" t="n"/>
      <c r="AI2015" s="100" t="n"/>
      <c r="AJ2015" s="100" t="n"/>
      <c r="AK2015" s="100" t="n"/>
      <c r="AL2015" s="100" t="n"/>
      <c r="AM2015" s="100" t="n"/>
      <c r="AN2015" s="100" t="n"/>
      <c r="AO2015" s="100" t="n"/>
      <c r="AP2015" s="100" t="n"/>
      <c r="AQ2015" s="100" t="n"/>
      <c r="AR2015" s="100" t="n"/>
    </row>
    <row r="2018">
      <c r="A2018" s="2">
        <f>IF($A2011="","","   projections")</f>
        <v/>
      </c>
      <c r="B2018" s="96">
        <f>IF($A2011="",0,COUNT($E2019:$AR2019))</f>
        <v/>
      </c>
      <c r="C2018" s="97">
        <f>IF($B2018=0,0,MAX($E2019:$AR2019))</f>
        <v/>
      </c>
      <c r="D2018" s="98">
        <f>BDS($A2011,FLD_PROJ,"headers=y","startcol=1","endcol=3","dir=h")</f>
        <v/>
      </c>
      <c r="E2018" s="99" t="n"/>
      <c r="F2018" s="99" t="n"/>
      <c r="G2018" s="99" t="n"/>
      <c r="H2018" s="99" t="n"/>
      <c r="I2018" s="99" t="n"/>
      <c r="J2018" s="99" t="n"/>
      <c r="K2018" s="99" t="n"/>
      <c r="L2018" s="99" t="n"/>
      <c r="M2018" s="99" t="n"/>
      <c r="N2018" s="99" t="n"/>
      <c r="O2018" s="99" t="n"/>
      <c r="P2018" s="99" t="n"/>
      <c r="Q2018" s="99" t="n"/>
      <c r="R2018" s="99" t="n"/>
      <c r="S2018" s="99" t="n"/>
      <c r="T2018" s="99" t="n"/>
      <c r="U2018" s="99" t="n"/>
      <c r="V2018" s="99" t="n"/>
      <c r="W2018" s="99" t="n"/>
      <c r="X2018" s="99" t="n"/>
      <c r="Y2018" s="99" t="n"/>
      <c r="Z2018" s="99" t="n"/>
      <c r="AA2018" s="99" t="n"/>
      <c r="AB2018" s="99" t="n"/>
      <c r="AC2018" s="99" t="n"/>
      <c r="AD2018" s="99" t="n"/>
      <c r="AE2018" s="99" t="n"/>
      <c r="AF2018" s="99" t="n"/>
      <c r="AG2018" s="99" t="n"/>
      <c r="AH2018" s="99" t="n"/>
      <c r="AI2018" s="99" t="n"/>
      <c r="AJ2018" s="99" t="n"/>
      <c r="AK2018" s="99" t="n"/>
      <c r="AL2018" s="99" t="n"/>
      <c r="AM2018" s="99" t="n"/>
      <c r="AN2018" s="99" t="n"/>
      <c r="AO2018" s="99" t="n"/>
      <c r="AP2018" s="99" t="n"/>
      <c r="AQ2018" s="99" t="n"/>
      <c r="AR2018" s="99" t="n"/>
    </row>
    <row r="2019">
      <c r="D2019" s="99" t="n"/>
      <c r="E2019" s="99" t="n"/>
      <c r="F2019" s="99" t="n"/>
      <c r="G2019" s="99" t="n"/>
      <c r="H2019" s="99" t="n"/>
      <c r="I2019" s="99" t="n"/>
      <c r="J2019" s="99" t="n"/>
      <c r="K2019" s="99" t="n"/>
      <c r="L2019" s="99" t="n"/>
      <c r="M2019" s="99" t="n"/>
      <c r="N2019" s="99" t="n"/>
      <c r="O2019" s="99" t="n"/>
      <c r="P2019" s="99" t="n"/>
      <c r="Q2019" s="99" t="n"/>
      <c r="R2019" s="99" t="n"/>
      <c r="S2019" s="99" t="n"/>
      <c r="T2019" s="99" t="n"/>
      <c r="U2019" s="99" t="n"/>
      <c r="V2019" s="99" t="n"/>
      <c r="W2019" s="99" t="n"/>
      <c r="X2019" s="99" t="n"/>
      <c r="Y2019" s="99" t="n"/>
      <c r="Z2019" s="99" t="n"/>
      <c r="AA2019" s="99" t="n"/>
      <c r="AB2019" s="99" t="n"/>
      <c r="AC2019" s="99" t="n"/>
      <c r="AD2019" s="99" t="n"/>
      <c r="AE2019" s="99" t="n"/>
      <c r="AF2019" s="99" t="n"/>
      <c r="AG2019" s="99" t="n"/>
      <c r="AH2019" s="99" t="n"/>
      <c r="AI2019" s="99" t="n"/>
      <c r="AJ2019" s="99" t="n"/>
      <c r="AK2019" s="99" t="n"/>
      <c r="AL2019" s="99" t="n"/>
      <c r="AM2019" s="99" t="n"/>
      <c r="AN2019" s="99" t="n"/>
      <c r="AO2019" s="99" t="n"/>
      <c r="AP2019" s="99" t="n"/>
      <c r="AQ2019" s="99" t="n"/>
      <c r="AR2019" s="99" t="n"/>
    </row>
    <row r="2020">
      <c r="D2020" s="100" t="n"/>
      <c r="E2020" s="100" t="n"/>
      <c r="F2020" s="100" t="n"/>
      <c r="G2020" s="100" t="n"/>
      <c r="H2020" s="100" t="n"/>
      <c r="I2020" s="100" t="n"/>
      <c r="J2020" s="100" t="n"/>
      <c r="K2020" s="100" t="n"/>
      <c r="L2020" s="100" t="n"/>
      <c r="M2020" s="100" t="n"/>
      <c r="N2020" s="100" t="n"/>
      <c r="O2020" s="100" t="n"/>
      <c r="P2020" s="100" t="n"/>
      <c r="Q2020" s="100" t="n"/>
      <c r="R2020" s="100" t="n"/>
      <c r="S2020" s="100" t="n"/>
      <c r="T2020" s="100" t="n"/>
      <c r="U2020" s="100" t="n"/>
      <c r="V2020" s="100" t="n"/>
      <c r="W2020" s="100" t="n"/>
      <c r="X2020" s="100" t="n"/>
      <c r="Y2020" s="100" t="n"/>
      <c r="Z2020" s="100" t="n"/>
      <c r="AA2020" s="100" t="n"/>
      <c r="AB2020" s="100" t="n"/>
      <c r="AC2020" s="100" t="n"/>
      <c r="AD2020" s="100" t="n"/>
      <c r="AE2020" s="100" t="n"/>
      <c r="AF2020" s="100" t="n"/>
      <c r="AG2020" s="100" t="n"/>
      <c r="AH2020" s="100" t="n"/>
      <c r="AI2020" s="100" t="n"/>
      <c r="AJ2020" s="100" t="n"/>
      <c r="AK2020" s="100" t="n"/>
      <c r="AL2020" s="100" t="n"/>
      <c r="AM2020" s="100" t="n"/>
      <c r="AN2020" s="100" t="n"/>
      <c r="AO2020" s="100" t="n"/>
      <c r="AP2020" s="100" t="n"/>
      <c r="AQ2020" s="100" t="n"/>
      <c r="AR2020" s="100" t="n"/>
    </row>
    <row r="2022">
      <c r="A2022" s="6">
        <f>IF(HSCEI!$C$49="","",HSCEI!$C$49)</f>
        <v/>
      </c>
      <c r="B2022" s="96">
        <f>IF($A2022="",0,COUNT($E2023:$AR2023))</f>
        <v/>
      </c>
      <c r="C2022" s="97">
        <f>IF($B2022=0,0,MAX($E2023:$AR2023))</f>
        <v/>
      </c>
      <c r="D2022" s="98">
        <f>BDS($A2022,FLD_HIST,"headers=y","startcol=1","endcol=7","dir=h","DVD_START_DT",HIST_FROM,"DVD_END_DT",HIST_TO)</f>
        <v/>
      </c>
      <c r="E2022" s="99" t="n"/>
      <c r="F2022" s="99" t="n"/>
      <c r="G2022" s="99" t="n"/>
      <c r="H2022" s="99" t="n"/>
      <c r="I2022" s="99" t="n"/>
      <c r="J2022" s="99" t="n"/>
      <c r="K2022" s="99" t="n"/>
      <c r="L2022" s="99" t="n"/>
      <c r="M2022" s="99" t="n"/>
      <c r="N2022" s="99" t="n"/>
      <c r="O2022" s="99" t="n"/>
      <c r="P2022" s="99" t="n"/>
      <c r="Q2022" s="99" t="n"/>
      <c r="R2022" s="99" t="n"/>
      <c r="S2022" s="99" t="n"/>
      <c r="T2022" s="99" t="n"/>
      <c r="U2022" s="99" t="n"/>
      <c r="V2022" s="99" t="n"/>
      <c r="W2022" s="99" t="n"/>
      <c r="X2022" s="99" t="n"/>
      <c r="Y2022" s="99" t="n"/>
      <c r="Z2022" s="99" t="n"/>
      <c r="AA2022" s="99" t="n"/>
      <c r="AB2022" s="99" t="n"/>
      <c r="AC2022" s="99" t="n"/>
      <c r="AD2022" s="99" t="n"/>
      <c r="AE2022" s="99" t="n"/>
      <c r="AF2022" s="99" t="n"/>
      <c r="AG2022" s="99" t="n"/>
      <c r="AH2022" s="99" t="n"/>
      <c r="AI2022" s="99" t="n"/>
      <c r="AJ2022" s="99" t="n"/>
      <c r="AK2022" s="99" t="n"/>
      <c r="AL2022" s="99" t="n"/>
      <c r="AM2022" s="99" t="n"/>
      <c r="AN2022" s="99" t="n"/>
      <c r="AO2022" s="99" t="n"/>
      <c r="AP2022" s="99" t="n"/>
      <c r="AQ2022" s="99" t="n"/>
      <c r="AR2022" s="99" t="n"/>
    </row>
    <row r="2023">
      <c r="D2023" s="99" t="n"/>
      <c r="E2023" s="99" t="n"/>
      <c r="F2023" s="99" t="n"/>
      <c r="G2023" s="99" t="n"/>
      <c r="H2023" s="99" t="n"/>
      <c r="I2023" s="99" t="n"/>
      <c r="J2023" s="99" t="n"/>
      <c r="K2023" s="99" t="n"/>
      <c r="L2023" s="99" t="n"/>
      <c r="M2023" s="99" t="n"/>
      <c r="N2023" s="99" t="n"/>
      <c r="O2023" s="99" t="n"/>
      <c r="P2023" s="99" t="n"/>
      <c r="Q2023" s="99" t="n"/>
      <c r="R2023" s="99" t="n"/>
      <c r="S2023" s="99" t="n"/>
      <c r="T2023" s="99" t="n"/>
      <c r="U2023" s="99" t="n"/>
      <c r="V2023" s="99" t="n"/>
      <c r="W2023" s="99" t="n"/>
      <c r="X2023" s="99" t="n"/>
      <c r="Y2023" s="99" t="n"/>
      <c r="Z2023" s="99" t="n"/>
      <c r="AA2023" s="99" t="n"/>
      <c r="AB2023" s="99" t="n"/>
      <c r="AC2023" s="99" t="n"/>
      <c r="AD2023" s="99" t="n"/>
      <c r="AE2023" s="99" t="n"/>
      <c r="AF2023" s="99" t="n"/>
      <c r="AG2023" s="99" t="n"/>
      <c r="AH2023" s="99" t="n"/>
      <c r="AI2023" s="99" t="n"/>
      <c r="AJ2023" s="99" t="n"/>
      <c r="AK2023" s="99" t="n"/>
      <c r="AL2023" s="99" t="n"/>
      <c r="AM2023" s="99" t="n"/>
      <c r="AN2023" s="99" t="n"/>
      <c r="AO2023" s="99" t="n"/>
      <c r="AP2023" s="99" t="n"/>
      <c r="AQ2023" s="99" t="n"/>
      <c r="AR2023" s="99" t="n"/>
    </row>
    <row r="2024">
      <c r="D2024" s="99" t="n"/>
      <c r="E2024" s="99" t="n"/>
      <c r="F2024" s="99" t="n"/>
      <c r="G2024" s="99" t="n"/>
      <c r="H2024" s="99" t="n"/>
      <c r="I2024" s="99" t="n"/>
      <c r="J2024" s="99" t="n"/>
      <c r="K2024" s="99" t="n"/>
      <c r="L2024" s="99" t="n"/>
      <c r="M2024" s="99" t="n"/>
      <c r="N2024" s="99" t="n"/>
      <c r="O2024" s="99" t="n"/>
      <c r="P2024" s="99" t="n"/>
      <c r="Q2024" s="99" t="n"/>
      <c r="R2024" s="99" t="n"/>
      <c r="S2024" s="99" t="n"/>
      <c r="T2024" s="99" t="n"/>
      <c r="U2024" s="99" t="n"/>
      <c r="V2024" s="99" t="n"/>
      <c r="W2024" s="99" t="n"/>
      <c r="X2024" s="99" t="n"/>
      <c r="Y2024" s="99" t="n"/>
      <c r="Z2024" s="99" t="n"/>
      <c r="AA2024" s="99" t="n"/>
      <c r="AB2024" s="99" t="n"/>
      <c r="AC2024" s="99" t="n"/>
      <c r="AD2024" s="99" t="n"/>
      <c r="AE2024" s="99" t="n"/>
      <c r="AF2024" s="99" t="n"/>
      <c r="AG2024" s="99" t="n"/>
      <c r="AH2024" s="99" t="n"/>
      <c r="AI2024" s="99" t="n"/>
      <c r="AJ2024" s="99" t="n"/>
      <c r="AK2024" s="99" t="n"/>
      <c r="AL2024" s="99" t="n"/>
      <c r="AM2024" s="99" t="n"/>
      <c r="AN2024" s="99" t="n"/>
      <c r="AO2024" s="99" t="n"/>
      <c r="AP2024" s="99" t="n"/>
      <c r="AQ2024" s="99" t="n"/>
      <c r="AR2024" s="99" t="n"/>
    </row>
    <row r="2025">
      <c r="D2025" s="99" t="n"/>
      <c r="E2025" s="99" t="n"/>
      <c r="F2025" s="99" t="n"/>
      <c r="G2025" s="99" t="n"/>
      <c r="H2025" s="99" t="n"/>
      <c r="I2025" s="99" t="n"/>
      <c r="J2025" s="99" t="n"/>
      <c r="K2025" s="99" t="n"/>
      <c r="L2025" s="99" t="n"/>
      <c r="M2025" s="99" t="n"/>
      <c r="N2025" s="99" t="n"/>
      <c r="O2025" s="99" t="n"/>
      <c r="P2025" s="99" t="n"/>
      <c r="Q2025" s="99" t="n"/>
      <c r="R2025" s="99" t="n"/>
      <c r="S2025" s="99" t="n"/>
      <c r="T2025" s="99" t="n"/>
      <c r="U2025" s="99" t="n"/>
      <c r="V2025" s="99" t="n"/>
      <c r="W2025" s="99" t="n"/>
      <c r="X2025" s="99" t="n"/>
      <c r="Y2025" s="99" t="n"/>
      <c r="Z2025" s="99" t="n"/>
      <c r="AA2025" s="99" t="n"/>
      <c r="AB2025" s="99" t="n"/>
      <c r="AC2025" s="99" t="n"/>
      <c r="AD2025" s="99" t="n"/>
      <c r="AE2025" s="99" t="n"/>
      <c r="AF2025" s="99" t="n"/>
      <c r="AG2025" s="99" t="n"/>
      <c r="AH2025" s="99" t="n"/>
      <c r="AI2025" s="99" t="n"/>
      <c r="AJ2025" s="99" t="n"/>
      <c r="AK2025" s="99" t="n"/>
      <c r="AL2025" s="99" t="n"/>
      <c r="AM2025" s="99" t="n"/>
      <c r="AN2025" s="99" t="n"/>
      <c r="AO2025" s="99" t="n"/>
      <c r="AP2025" s="99" t="n"/>
      <c r="AQ2025" s="99" t="n"/>
      <c r="AR2025" s="99" t="n"/>
    </row>
    <row r="2026">
      <c r="D2026" s="100" t="n"/>
      <c r="E2026" s="100" t="n"/>
      <c r="F2026" s="100" t="n"/>
      <c r="G2026" s="100" t="n"/>
      <c r="H2026" s="100" t="n"/>
      <c r="I2026" s="100" t="n"/>
      <c r="J2026" s="100" t="n"/>
      <c r="K2026" s="100" t="n"/>
      <c r="L2026" s="100" t="n"/>
      <c r="M2026" s="100" t="n"/>
      <c r="N2026" s="100" t="n"/>
      <c r="O2026" s="100" t="n"/>
      <c r="P2026" s="100" t="n"/>
      <c r="Q2026" s="100" t="n"/>
      <c r="R2026" s="100" t="n"/>
      <c r="S2026" s="100" t="n"/>
      <c r="T2026" s="100" t="n"/>
      <c r="U2026" s="100" t="n"/>
      <c r="V2026" s="100" t="n"/>
      <c r="W2026" s="100" t="n"/>
      <c r="X2026" s="100" t="n"/>
      <c r="Y2026" s="100" t="n"/>
      <c r="Z2026" s="100" t="n"/>
      <c r="AA2026" s="100" t="n"/>
      <c r="AB2026" s="100" t="n"/>
      <c r="AC2026" s="100" t="n"/>
      <c r="AD2026" s="100" t="n"/>
      <c r="AE2026" s="100" t="n"/>
      <c r="AF2026" s="100" t="n"/>
      <c r="AG2026" s="100" t="n"/>
      <c r="AH2026" s="100" t="n"/>
      <c r="AI2026" s="100" t="n"/>
      <c r="AJ2026" s="100" t="n"/>
      <c r="AK2026" s="100" t="n"/>
      <c r="AL2026" s="100" t="n"/>
      <c r="AM2026" s="100" t="n"/>
      <c r="AN2026" s="100" t="n"/>
      <c r="AO2026" s="100" t="n"/>
      <c r="AP2026" s="100" t="n"/>
      <c r="AQ2026" s="100" t="n"/>
      <c r="AR2026" s="100" t="n"/>
    </row>
    <row r="2029">
      <c r="A2029" s="2">
        <f>IF($A2022="","","   projections")</f>
        <v/>
      </c>
      <c r="B2029" s="96">
        <f>IF($A2022="",0,COUNT($E2030:$AR2030))</f>
        <v/>
      </c>
      <c r="C2029" s="97">
        <f>IF($B2029=0,0,MAX($E2030:$AR2030))</f>
        <v/>
      </c>
      <c r="D2029" s="98">
        <f>BDS($A2022,FLD_PROJ,"headers=y","startcol=1","endcol=3","dir=h")</f>
        <v/>
      </c>
      <c r="E2029" s="99" t="n"/>
      <c r="F2029" s="99" t="n"/>
      <c r="G2029" s="99" t="n"/>
      <c r="H2029" s="99" t="n"/>
      <c r="I2029" s="99" t="n"/>
      <c r="J2029" s="99" t="n"/>
      <c r="K2029" s="99" t="n"/>
      <c r="L2029" s="99" t="n"/>
      <c r="M2029" s="99" t="n"/>
      <c r="N2029" s="99" t="n"/>
      <c r="O2029" s="99" t="n"/>
      <c r="P2029" s="99" t="n"/>
      <c r="Q2029" s="99" t="n"/>
      <c r="R2029" s="99" t="n"/>
      <c r="S2029" s="99" t="n"/>
      <c r="T2029" s="99" t="n"/>
      <c r="U2029" s="99" t="n"/>
      <c r="V2029" s="99" t="n"/>
      <c r="W2029" s="99" t="n"/>
      <c r="X2029" s="99" t="n"/>
      <c r="Y2029" s="99" t="n"/>
      <c r="Z2029" s="99" t="n"/>
      <c r="AA2029" s="99" t="n"/>
      <c r="AB2029" s="99" t="n"/>
      <c r="AC2029" s="99" t="n"/>
      <c r="AD2029" s="99" t="n"/>
      <c r="AE2029" s="99" t="n"/>
      <c r="AF2029" s="99" t="n"/>
      <c r="AG2029" s="99" t="n"/>
      <c r="AH2029" s="99" t="n"/>
      <c r="AI2029" s="99" t="n"/>
      <c r="AJ2029" s="99" t="n"/>
      <c r="AK2029" s="99" t="n"/>
      <c r="AL2029" s="99" t="n"/>
      <c r="AM2029" s="99" t="n"/>
      <c r="AN2029" s="99" t="n"/>
      <c r="AO2029" s="99" t="n"/>
      <c r="AP2029" s="99" t="n"/>
      <c r="AQ2029" s="99" t="n"/>
      <c r="AR2029" s="99" t="n"/>
    </row>
    <row r="2030">
      <c r="D2030" s="99" t="n"/>
      <c r="E2030" s="99" t="n"/>
      <c r="F2030" s="99" t="n"/>
      <c r="G2030" s="99" t="n"/>
      <c r="H2030" s="99" t="n"/>
      <c r="I2030" s="99" t="n"/>
      <c r="J2030" s="99" t="n"/>
      <c r="K2030" s="99" t="n"/>
      <c r="L2030" s="99" t="n"/>
      <c r="M2030" s="99" t="n"/>
      <c r="N2030" s="99" t="n"/>
      <c r="O2030" s="99" t="n"/>
      <c r="P2030" s="99" t="n"/>
      <c r="Q2030" s="99" t="n"/>
      <c r="R2030" s="99" t="n"/>
      <c r="S2030" s="99" t="n"/>
      <c r="T2030" s="99" t="n"/>
      <c r="U2030" s="99" t="n"/>
      <c r="V2030" s="99" t="n"/>
      <c r="W2030" s="99" t="n"/>
      <c r="X2030" s="99" t="n"/>
      <c r="Y2030" s="99" t="n"/>
      <c r="Z2030" s="99" t="n"/>
      <c r="AA2030" s="99" t="n"/>
      <c r="AB2030" s="99" t="n"/>
      <c r="AC2030" s="99" t="n"/>
      <c r="AD2030" s="99" t="n"/>
      <c r="AE2030" s="99" t="n"/>
      <c r="AF2030" s="99" t="n"/>
      <c r="AG2030" s="99" t="n"/>
      <c r="AH2030" s="99" t="n"/>
      <c r="AI2030" s="99" t="n"/>
      <c r="AJ2030" s="99" t="n"/>
      <c r="AK2030" s="99" t="n"/>
      <c r="AL2030" s="99" t="n"/>
      <c r="AM2030" s="99" t="n"/>
      <c r="AN2030" s="99" t="n"/>
      <c r="AO2030" s="99" t="n"/>
      <c r="AP2030" s="99" t="n"/>
      <c r="AQ2030" s="99" t="n"/>
      <c r="AR2030" s="99" t="n"/>
    </row>
    <row r="2031">
      <c r="D2031" s="100" t="n"/>
      <c r="E2031" s="100" t="n"/>
      <c r="F2031" s="100" t="n"/>
      <c r="G2031" s="100" t="n"/>
      <c r="H2031" s="100" t="n"/>
      <c r="I2031" s="100" t="n"/>
      <c r="J2031" s="100" t="n"/>
      <c r="K2031" s="100" t="n"/>
      <c r="L2031" s="100" t="n"/>
      <c r="M2031" s="100" t="n"/>
      <c r="N2031" s="100" t="n"/>
      <c r="O2031" s="100" t="n"/>
      <c r="P2031" s="100" t="n"/>
      <c r="Q2031" s="100" t="n"/>
      <c r="R2031" s="100" t="n"/>
      <c r="S2031" s="100" t="n"/>
      <c r="T2031" s="100" t="n"/>
      <c r="U2031" s="100" t="n"/>
      <c r="V2031" s="100" t="n"/>
      <c r="W2031" s="100" t="n"/>
      <c r="X2031" s="100" t="n"/>
      <c r="Y2031" s="100" t="n"/>
      <c r="Z2031" s="100" t="n"/>
      <c r="AA2031" s="100" t="n"/>
      <c r="AB2031" s="100" t="n"/>
      <c r="AC2031" s="100" t="n"/>
      <c r="AD2031" s="100" t="n"/>
      <c r="AE2031" s="100" t="n"/>
      <c r="AF2031" s="100" t="n"/>
      <c r="AG2031" s="100" t="n"/>
      <c r="AH2031" s="100" t="n"/>
      <c r="AI2031" s="100" t="n"/>
      <c r="AJ2031" s="100" t="n"/>
      <c r="AK2031" s="100" t="n"/>
      <c r="AL2031" s="100" t="n"/>
      <c r="AM2031" s="100" t="n"/>
      <c r="AN2031" s="100" t="n"/>
      <c r="AO2031" s="100" t="n"/>
      <c r="AP2031" s="100" t="n"/>
      <c r="AQ2031" s="100" t="n"/>
      <c r="AR2031" s="100" t="n"/>
    </row>
    <row r="2033">
      <c r="A2033" s="6">
        <f>IF(HSCEI!$C$50="","",HSCEI!$C$50)</f>
        <v/>
      </c>
      <c r="B2033" s="96">
        <f>IF($A2033="",0,COUNT($E2034:$AR2034))</f>
        <v/>
      </c>
      <c r="C2033" s="97">
        <f>IF($B2033=0,0,MAX($E2034:$AR2034))</f>
        <v/>
      </c>
      <c r="D2033" s="98">
        <f>BDS($A2033,FLD_HIST,"headers=y","startcol=1","endcol=7","dir=h","DVD_START_DT",HIST_FROM,"DVD_END_DT",HIST_TO)</f>
        <v/>
      </c>
      <c r="E2033" s="99" t="n"/>
      <c r="F2033" s="99" t="n"/>
      <c r="G2033" s="99" t="n"/>
      <c r="H2033" s="99" t="n"/>
      <c r="I2033" s="99" t="n"/>
      <c r="J2033" s="99" t="n"/>
      <c r="K2033" s="99" t="n"/>
      <c r="L2033" s="99" t="n"/>
      <c r="M2033" s="99" t="n"/>
      <c r="N2033" s="99" t="n"/>
      <c r="O2033" s="99" t="n"/>
      <c r="P2033" s="99" t="n"/>
      <c r="Q2033" s="99" t="n"/>
      <c r="R2033" s="99" t="n"/>
      <c r="S2033" s="99" t="n"/>
      <c r="T2033" s="99" t="n"/>
      <c r="U2033" s="99" t="n"/>
      <c r="V2033" s="99" t="n"/>
      <c r="W2033" s="99" t="n"/>
      <c r="X2033" s="99" t="n"/>
      <c r="Y2033" s="99" t="n"/>
      <c r="Z2033" s="99" t="n"/>
      <c r="AA2033" s="99" t="n"/>
      <c r="AB2033" s="99" t="n"/>
      <c r="AC2033" s="99" t="n"/>
      <c r="AD2033" s="99" t="n"/>
      <c r="AE2033" s="99" t="n"/>
      <c r="AF2033" s="99" t="n"/>
      <c r="AG2033" s="99" t="n"/>
      <c r="AH2033" s="99" t="n"/>
      <c r="AI2033" s="99" t="n"/>
      <c r="AJ2033" s="99" t="n"/>
      <c r="AK2033" s="99" t="n"/>
      <c r="AL2033" s="99" t="n"/>
      <c r="AM2033" s="99" t="n"/>
      <c r="AN2033" s="99" t="n"/>
      <c r="AO2033" s="99" t="n"/>
      <c r="AP2033" s="99" t="n"/>
      <c r="AQ2033" s="99" t="n"/>
      <c r="AR2033" s="99" t="n"/>
    </row>
    <row r="2034">
      <c r="D2034" s="99" t="n"/>
      <c r="E2034" s="99" t="n"/>
      <c r="F2034" s="99" t="n"/>
      <c r="G2034" s="99" t="n"/>
      <c r="H2034" s="99" t="n"/>
      <c r="I2034" s="99" t="n"/>
      <c r="J2034" s="99" t="n"/>
      <c r="K2034" s="99" t="n"/>
      <c r="L2034" s="99" t="n"/>
      <c r="M2034" s="99" t="n"/>
      <c r="N2034" s="99" t="n"/>
      <c r="O2034" s="99" t="n"/>
      <c r="P2034" s="99" t="n"/>
      <c r="Q2034" s="99" t="n"/>
      <c r="R2034" s="99" t="n"/>
      <c r="S2034" s="99" t="n"/>
      <c r="T2034" s="99" t="n"/>
      <c r="U2034" s="99" t="n"/>
      <c r="V2034" s="99" t="n"/>
      <c r="W2034" s="99" t="n"/>
      <c r="X2034" s="99" t="n"/>
      <c r="Y2034" s="99" t="n"/>
      <c r="Z2034" s="99" t="n"/>
      <c r="AA2034" s="99" t="n"/>
      <c r="AB2034" s="99" t="n"/>
      <c r="AC2034" s="99" t="n"/>
      <c r="AD2034" s="99" t="n"/>
      <c r="AE2034" s="99" t="n"/>
      <c r="AF2034" s="99" t="n"/>
      <c r="AG2034" s="99" t="n"/>
      <c r="AH2034" s="99" t="n"/>
      <c r="AI2034" s="99" t="n"/>
      <c r="AJ2034" s="99" t="n"/>
      <c r="AK2034" s="99" t="n"/>
      <c r="AL2034" s="99" t="n"/>
      <c r="AM2034" s="99" t="n"/>
      <c r="AN2034" s="99" t="n"/>
      <c r="AO2034" s="99" t="n"/>
      <c r="AP2034" s="99" t="n"/>
      <c r="AQ2034" s="99" t="n"/>
      <c r="AR2034" s="99" t="n"/>
    </row>
    <row r="2035">
      <c r="D2035" s="99" t="n"/>
      <c r="E2035" s="99" t="n"/>
      <c r="F2035" s="99" t="n"/>
      <c r="G2035" s="99" t="n"/>
      <c r="H2035" s="99" t="n"/>
      <c r="I2035" s="99" t="n"/>
      <c r="J2035" s="99" t="n"/>
      <c r="K2035" s="99" t="n"/>
      <c r="L2035" s="99" t="n"/>
      <c r="M2035" s="99" t="n"/>
      <c r="N2035" s="99" t="n"/>
      <c r="O2035" s="99" t="n"/>
      <c r="P2035" s="99" t="n"/>
      <c r="Q2035" s="99" t="n"/>
      <c r="R2035" s="99" t="n"/>
      <c r="S2035" s="99" t="n"/>
      <c r="T2035" s="99" t="n"/>
      <c r="U2035" s="99" t="n"/>
      <c r="V2035" s="99" t="n"/>
      <c r="W2035" s="99" t="n"/>
      <c r="X2035" s="99" t="n"/>
      <c r="Y2035" s="99" t="n"/>
      <c r="Z2035" s="99" t="n"/>
      <c r="AA2035" s="99" t="n"/>
      <c r="AB2035" s="99" t="n"/>
      <c r="AC2035" s="99" t="n"/>
      <c r="AD2035" s="99" t="n"/>
      <c r="AE2035" s="99" t="n"/>
      <c r="AF2035" s="99" t="n"/>
      <c r="AG2035" s="99" t="n"/>
      <c r="AH2035" s="99" t="n"/>
      <c r="AI2035" s="99" t="n"/>
      <c r="AJ2035" s="99" t="n"/>
      <c r="AK2035" s="99" t="n"/>
      <c r="AL2035" s="99" t="n"/>
      <c r="AM2035" s="99" t="n"/>
      <c r="AN2035" s="99" t="n"/>
      <c r="AO2035" s="99" t="n"/>
      <c r="AP2035" s="99" t="n"/>
      <c r="AQ2035" s="99" t="n"/>
      <c r="AR2035" s="99" t="n"/>
    </row>
    <row r="2036">
      <c r="D2036" s="99" t="n"/>
      <c r="E2036" s="99" t="n"/>
      <c r="F2036" s="99" t="n"/>
      <c r="G2036" s="99" t="n"/>
      <c r="H2036" s="99" t="n"/>
      <c r="I2036" s="99" t="n"/>
      <c r="J2036" s="99" t="n"/>
      <c r="K2036" s="99" t="n"/>
      <c r="L2036" s="99" t="n"/>
      <c r="M2036" s="99" t="n"/>
      <c r="N2036" s="99" t="n"/>
      <c r="O2036" s="99" t="n"/>
      <c r="P2036" s="99" t="n"/>
      <c r="Q2036" s="99" t="n"/>
      <c r="R2036" s="99" t="n"/>
      <c r="S2036" s="99" t="n"/>
      <c r="T2036" s="99" t="n"/>
      <c r="U2036" s="99" t="n"/>
      <c r="V2036" s="99" t="n"/>
      <c r="W2036" s="99" t="n"/>
      <c r="X2036" s="99" t="n"/>
      <c r="Y2036" s="99" t="n"/>
      <c r="Z2036" s="99" t="n"/>
      <c r="AA2036" s="99" t="n"/>
      <c r="AB2036" s="99" t="n"/>
      <c r="AC2036" s="99" t="n"/>
      <c r="AD2036" s="99" t="n"/>
      <c r="AE2036" s="99" t="n"/>
      <c r="AF2036" s="99" t="n"/>
      <c r="AG2036" s="99" t="n"/>
      <c r="AH2036" s="99" t="n"/>
      <c r="AI2036" s="99" t="n"/>
      <c r="AJ2036" s="99" t="n"/>
      <c r="AK2036" s="99" t="n"/>
      <c r="AL2036" s="99" t="n"/>
      <c r="AM2036" s="99" t="n"/>
      <c r="AN2036" s="99" t="n"/>
      <c r="AO2036" s="99" t="n"/>
      <c r="AP2036" s="99" t="n"/>
      <c r="AQ2036" s="99" t="n"/>
      <c r="AR2036" s="99" t="n"/>
    </row>
    <row r="2037">
      <c r="D2037" s="100" t="n"/>
      <c r="E2037" s="100" t="n"/>
      <c r="F2037" s="100" t="n"/>
      <c r="G2037" s="100" t="n"/>
      <c r="H2037" s="100" t="n"/>
      <c r="I2037" s="100" t="n"/>
      <c r="J2037" s="100" t="n"/>
      <c r="K2037" s="100" t="n"/>
      <c r="L2037" s="100" t="n"/>
      <c r="M2037" s="100" t="n"/>
      <c r="N2037" s="100" t="n"/>
      <c r="O2037" s="100" t="n"/>
      <c r="P2037" s="100" t="n"/>
      <c r="Q2037" s="100" t="n"/>
      <c r="R2037" s="100" t="n"/>
      <c r="S2037" s="100" t="n"/>
      <c r="T2037" s="100" t="n"/>
      <c r="U2037" s="100" t="n"/>
      <c r="V2037" s="100" t="n"/>
      <c r="W2037" s="100" t="n"/>
      <c r="X2037" s="100" t="n"/>
      <c r="Y2037" s="100" t="n"/>
      <c r="Z2037" s="100" t="n"/>
      <c r="AA2037" s="100" t="n"/>
      <c r="AB2037" s="100" t="n"/>
      <c r="AC2037" s="100" t="n"/>
      <c r="AD2037" s="100" t="n"/>
      <c r="AE2037" s="100" t="n"/>
      <c r="AF2037" s="100" t="n"/>
      <c r="AG2037" s="100" t="n"/>
      <c r="AH2037" s="100" t="n"/>
      <c r="AI2037" s="100" t="n"/>
      <c r="AJ2037" s="100" t="n"/>
      <c r="AK2037" s="100" t="n"/>
      <c r="AL2037" s="100" t="n"/>
      <c r="AM2037" s="100" t="n"/>
      <c r="AN2037" s="100" t="n"/>
      <c r="AO2037" s="100" t="n"/>
      <c r="AP2037" s="100" t="n"/>
      <c r="AQ2037" s="100" t="n"/>
      <c r="AR2037" s="100" t="n"/>
    </row>
    <row r="2040">
      <c r="A2040" s="2">
        <f>IF($A2033="","","   projections")</f>
        <v/>
      </c>
      <c r="B2040" s="96">
        <f>IF($A2033="",0,COUNT($E2041:$AR2041))</f>
        <v/>
      </c>
      <c r="C2040" s="97">
        <f>IF($B2040=0,0,MAX($E2041:$AR2041))</f>
        <v/>
      </c>
      <c r="D2040" s="98">
        <f>BDS($A2033,FLD_PROJ,"headers=y","startcol=1","endcol=3","dir=h")</f>
        <v/>
      </c>
      <c r="E2040" s="99" t="n"/>
      <c r="F2040" s="99" t="n"/>
      <c r="G2040" s="99" t="n"/>
      <c r="H2040" s="99" t="n"/>
      <c r="I2040" s="99" t="n"/>
      <c r="J2040" s="99" t="n"/>
      <c r="K2040" s="99" t="n"/>
      <c r="L2040" s="99" t="n"/>
      <c r="M2040" s="99" t="n"/>
      <c r="N2040" s="99" t="n"/>
      <c r="O2040" s="99" t="n"/>
      <c r="P2040" s="99" t="n"/>
      <c r="Q2040" s="99" t="n"/>
      <c r="R2040" s="99" t="n"/>
      <c r="S2040" s="99" t="n"/>
      <c r="T2040" s="99" t="n"/>
      <c r="U2040" s="99" t="n"/>
      <c r="V2040" s="99" t="n"/>
      <c r="W2040" s="99" t="n"/>
      <c r="X2040" s="99" t="n"/>
      <c r="Y2040" s="99" t="n"/>
      <c r="Z2040" s="99" t="n"/>
      <c r="AA2040" s="99" t="n"/>
      <c r="AB2040" s="99" t="n"/>
      <c r="AC2040" s="99" t="n"/>
      <c r="AD2040" s="99" t="n"/>
      <c r="AE2040" s="99" t="n"/>
      <c r="AF2040" s="99" t="n"/>
      <c r="AG2040" s="99" t="n"/>
      <c r="AH2040" s="99" t="n"/>
      <c r="AI2040" s="99" t="n"/>
      <c r="AJ2040" s="99" t="n"/>
      <c r="AK2040" s="99" t="n"/>
      <c r="AL2040" s="99" t="n"/>
      <c r="AM2040" s="99" t="n"/>
      <c r="AN2040" s="99" t="n"/>
      <c r="AO2040" s="99" t="n"/>
      <c r="AP2040" s="99" t="n"/>
      <c r="AQ2040" s="99" t="n"/>
      <c r="AR2040" s="99" t="n"/>
    </row>
    <row r="2041">
      <c r="D2041" s="99" t="n"/>
      <c r="E2041" s="99" t="n"/>
      <c r="F2041" s="99" t="n"/>
      <c r="G2041" s="99" t="n"/>
      <c r="H2041" s="99" t="n"/>
      <c r="I2041" s="99" t="n"/>
      <c r="J2041" s="99" t="n"/>
      <c r="K2041" s="99" t="n"/>
      <c r="L2041" s="99" t="n"/>
      <c r="M2041" s="99" t="n"/>
      <c r="N2041" s="99" t="n"/>
      <c r="O2041" s="99" t="n"/>
      <c r="P2041" s="99" t="n"/>
      <c r="Q2041" s="99" t="n"/>
      <c r="R2041" s="99" t="n"/>
      <c r="S2041" s="99" t="n"/>
      <c r="T2041" s="99" t="n"/>
      <c r="U2041" s="99" t="n"/>
      <c r="V2041" s="99" t="n"/>
      <c r="W2041" s="99" t="n"/>
      <c r="X2041" s="99" t="n"/>
      <c r="Y2041" s="99" t="n"/>
      <c r="Z2041" s="99" t="n"/>
      <c r="AA2041" s="99" t="n"/>
      <c r="AB2041" s="99" t="n"/>
      <c r="AC2041" s="99" t="n"/>
      <c r="AD2041" s="99" t="n"/>
      <c r="AE2041" s="99" t="n"/>
      <c r="AF2041" s="99" t="n"/>
      <c r="AG2041" s="99" t="n"/>
      <c r="AH2041" s="99" t="n"/>
      <c r="AI2041" s="99" t="n"/>
      <c r="AJ2041" s="99" t="n"/>
      <c r="AK2041" s="99" t="n"/>
      <c r="AL2041" s="99" t="n"/>
      <c r="AM2041" s="99" t="n"/>
      <c r="AN2041" s="99" t="n"/>
      <c r="AO2041" s="99" t="n"/>
      <c r="AP2041" s="99" t="n"/>
      <c r="AQ2041" s="99" t="n"/>
      <c r="AR2041" s="99" t="n"/>
    </row>
    <row r="2042">
      <c r="D2042" s="100" t="n"/>
      <c r="E2042" s="100" t="n"/>
      <c r="F2042" s="100" t="n"/>
      <c r="G2042" s="100" t="n"/>
      <c r="H2042" s="100" t="n"/>
      <c r="I2042" s="100" t="n"/>
      <c r="J2042" s="100" t="n"/>
      <c r="K2042" s="100" t="n"/>
      <c r="L2042" s="100" t="n"/>
      <c r="M2042" s="100" t="n"/>
      <c r="N2042" s="100" t="n"/>
      <c r="O2042" s="100" t="n"/>
      <c r="P2042" s="100" t="n"/>
      <c r="Q2042" s="100" t="n"/>
      <c r="R2042" s="100" t="n"/>
      <c r="S2042" s="100" t="n"/>
      <c r="T2042" s="100" t="n"/>
      <c r="U2042" s="100" t="n"/>
      <c r="V2042" s="100" t="n"/>
      <c r="W2042" s="100" t="n"/>
      <c r="X2042" s="100" t="n"/>
      <c r="Y2042" s="100" t="n"/>
      <c r="Z2042" s="100" t="n"/>
      <c r="AA2042" s="100" t="n"/>
      <c r="AB2042" s="100" t="n"/>
      <c r="AC2042" s="100" t="n"/>
      <c r="AD2042" s="100" t="n"/>
      <c r="AE2042" s="100" t="n"/>
      <c r="AF2042" s="100" t="n"/>
      <c r="AG2042" s="100" t="n"/>
      <c r="AH2042" s="100" t="n"/>
      <c r="AI2042" s="100" t="n"/>
      <c r="AJ2042" s="100" t="n"/>
      <c r="AK2042" s="100" t="n"/>
      <c r="AL2042" s="100" t="n"/>
      <c r="AM2042" s="100" t="n"/>
      <c r="AN2042" s="100" t="n"/>
      <c r="AO2042" s="100" t="n"/>
      <c r="AP2042" s="100" t="n"/>
      <c r="AQ2042" s="100" t="n"/>
      <c r="AR2042" s="100" t="n"/>
    </row>
    <row r="2044">
      <c r="A2044" s="6">
        <f>IF(HSCEI!$C$51="","",HSCEI!$C$51)</f>
        <v/>
      </c>
      <c r="B2044" s="96">
        <f>IF($A2044="",0,COUNT($E2045:$AR2045))</f>
        <v/>
      </c>
      <c r="C2044" s="97">
        <f>IF($B2044=0,0,MAX($E2045:$AR2045))</f>
        <v/>
      </c>
      <c r="D2044" s="98">
        <f>BDS($A2044,FLD_HIST,"headers=y","startcol=1","endcol=7","dir=h","DVD_START_DT",HIST_FROM,"DVD_END_DT",HIST_TO)</f>
        <v/>
      </c>
      <c r="E2044" s="99" t="n"/>
      <c r="F2044" s="99" t="n"/>
      <c r="G2044" s="99" t="n"/>
      <c r="H2044" s="99" t="n"/>
      <c r="I2044" s="99" t="n"/>
      <c r="J2044" s="99" t="n"/>
      <c r="K2044" s="99" t="n"/>
      <c r="L2044" s="99" t="n"/>
      <c r="M2044" s="99" t="n"/>
      <c r="N2044" s="99" t="n"/>
      <c r="O2044" s="99" t="n"/>
      <c r="P2044" s="99" t="n"/>
      <c r="Q2044" s="99" t="n"/>
      <c r="R2044" s="99" t="n"/>
      <c r="S2044" s="99" t="n"/>
      <c r="T2044" s="99" t="n"/>
      <c r="U2044" s="99" t="n"/>
      <c r="V2044" s="99" t="n"/>
      <c r="W2044" s="99" t="n"/>
      <c r="X2044" s="99" t="n"/>
      <c r="Y2044" s="99" t="n"/>
      <c r="Z2044" s="99" t="n"/>
      <c r="AA2044" s="99" t="n"/>
      <c r="AB2044" s="99" t="n"/>
      <c r="AC2044" s="99" t="n"/>
      <c r="AD2044" s="99" t="n"/>
      <c r="AE2044" s="99" t="n"/>
      <c r="AF2044" s="99" t="n"/>
      <c r="AG2044" s="99" t="n"/>
      <c r="AH2044" s="99" t="n"/>
      <c r="AI2044" s="99" t="n"/>
      <c r="AJ2044" s="99" t="n"/>
      <c r="AK2044" s="99" t="n"/>
      <c r="AL2044" s="99" t="n"/>
      <c r="AM2044" s="99" t="n"/>
      <c r="AN2044" s="99" t="n"/>
      <c r="AO2044" s="99" t="n"/>
      <c r="AP2044" s="99" t="n"/>
      <c r="AQ2044" s="99" t="n"/>
      <c r="AR2044" s="99" t="n"/>
    </row>
    <row r="2045">
      <c r="D2045" s="99" t="n"/>
      <c r="E2045" s="99" t="n"/>
      <c r="F2045" s="99" t="n"/>
      <c r="G2045" s="99" t="n"/>
      <c r="H2045" s="99" t="n"/>
      <c r="I2045" s="99" t="n"/>
      <c r="J2045" s="99" t="n"/>
      <c r="K2045" s="99" t="n"/>
      <c r="L2045" s="99" t="n"/>
      <c r="M2045" s="99" t="n"/>
      <c r="N2045" s="99" t="n"/>
      <c r="O2045" s="99" t="n"/>
      <c r="P2045" s="99" t="n"/>
      <c r="Q2045" s="99" t="n"/>
      <c r="R2045" s="99" t="n"/>
      <c r="S2045" s="99" t="n"/>
      <c r="T2045" s="99" t="n"/>
      <c r="U2045" s="99" t="n"/>
      <c r="V2045" s="99" t="n"/>
      <c r="W2045" s="99" t="n"/>
      <c r="X2045" s="99" t="n"/>
      <c r="Y2045" s="99" t="n"/>
      <c r="Z2045" s="99" t="n"/>
      <c r="AA2045" s="99" t="n"/>
      <c r="AB2045" s="99" t="n"/>
      <c r="AC2045" s="99" t="n"/>
      <c r="AD2045" s="99" t="n"/>
      <c r="AE2045" s="99" t="n"/>
      <c r="AF2045" s="99" t="n"/>
      <c r="AG2045" s="99" t="n"/>
      <c r="AH2045" s="99" t="n"/>
      <c r="AI2045" s="99" t="n"/>
      <c r="AJ2045" s="99" t="n"/>
      <c r="AK2045" s="99" t="n"/>
      <c r="AL2045" s="99" t="n"/>
      <c r="AM2045" s="99" t="n"/>
      <c r="AN2045" s="99" t="n"/>
      <c r="AO2045" s="99" t="n"/>
      <c r="AP2045" s="99" t="n"/>
      <c r="AQ2045" s="99" t="n"/>
      <c r="AR2045" s="99" t="n"/>
    </row>
    <row r="2046">
      <c r="D2046" s="99" t="n"/>
      <c r="E2046" s="99" t="n"/>
      <c r="F2046" s="99" t="n"/>
      <c r="G2046" s="99" t="n"/>
      <c r="H2046" s="99" t="n"/>
      <c r="I2046" s="99" t="n"/>
      <c r="J2046" s="99" t="n"/>
      <c r="K2046" s="99" t="n"/>
      <c r="L2046" s="99" t="n"/>
      <c r="M2046" s="99" t="n"/>
      <c r="N2046" s="99" t="n"/>
      <c r="O2046" s="99" t="n"/>
      <c r="P2046" s="99" t="n"/>
      <c r="Q2046" s="99" t="n"/>
      <c r="R2046" s="99" t="n"/>
      <c r="S2046" s="99" t="n"/>
      <c r="T2046" s="99" t="n"/>
      <c r="U2046" s="99" t="n"/>
      <c r="V2046" s="99" t="n"/>
      <c r="W2046" s="99" t="n"/>
      <c r="X2046" s="99" t="n"/>
      <c r="Y2046" s="99" t="n"/>
      <c r="Z2046" s="99" t="n"/>
      <c r="AA2046" s="99" t="n"/>
      <c r="AB2046" s="99" t="n"/>
      <c r="AC2046" s="99" t="n"/>
      <c r="AD2046" s="99" t="n"/>
      <c r="AE2046" s="99" t="n"/>
      <c r="AF2046" s="99" t="n"/>
      <c r="AG2046" s="99" t="n"/>
      <c r="AH2046" s="99" t="n"/>
      <c r="AI2046" s="99" t="n"/>
      <c r="AJ2046" s="99" t="n"/>
      <c r="AK2046" s="99" t="n"/>
      <c r="AL2046" s="99" t="n"/>
      <c r="AM2046" s="99" t="n"/>
      <c r="AN2046" s="99" t="n"/>
      <c r="AO2046" s="99" t="n"/>
      <c r="AP2046" s="99" t="n"/>
      <c r="AQ2046" s="99" t="n"/>
      <c r="AR2046" s="99" t="n"/>
    </row>
    <row r="2047">
      <c r="D2047" s="99" t="n"/>
      <c r="E2047" s="99" t="n"/>
      <c r="F2047" s="99" t="n"/>
      <c r="G2047" s="99" t="n"/>
      <c r="H2047" s="99" t="n"/>
      <c r="I2047" s="99" t="n"/>
      <c r="J2047" s="99" t="n"/>
      <c r="K2047" s="99" t="n"/>
      <c r="L2047" s="99" t="n"/>
      <c r="M2047" s="99" t="n"/>
      <c r="N2047" s="99" t="n"/>
      <c r="O2047" s="99" t="n"/>
      <c r="P2047" s="99" t="n"/>
      <c r="Q2047" s="99" t="n"/>
      <c r="R2047" s="99" t="n"/>
      <c r="S2047" s="99" t="n"/>
      <c r="T2047" s="99" t="n"/>
      <c r="U2047" s="99" t="n"/>
      <c r="V2047" s="99" t="n"/>
      <c r="W2047" s="99" t="n"/>
      <c r="X2047" s="99" t="n"/>
      <c r="Y2047" s="99" t="n"/>
      <c r="Z2047" s="99" t="n"/>
      <c r="AA2047" s="99" t="n"/>
      <c r="AB2047" s="99" t="n"/>
      <c r="AC2047" s="99" t="n"/>
      <c r="AD2047" s="99" t="n"/>
      <c r="AE2047" s="99" t="n"/>
      <c r="AF2047" s="99" t="n"/>
      <c r="AG2047" s="99" t="n"/>
      <c r="AH2047" s="99" t="n"/>
      <c r="AI2047" s="99" t="n"/>
      <c r="AJ2047" s="99" t="n"/>
      <c r="AK2047" s="99" t="n"/>
      <c r="AL2047" s="99" t="n"/>
      <c r="AM2047" s="99" t="n"/>
      <c r="AN2047" s="99" t="n"/>
      <c r="AO2047" s="99" t="n"/>
      <c r="AP2047" s="99" t="n"/>
      <c r="AQ2047" s="99" t="n"/>
      <c r="AR2047" s="99" t="n"/>
    </row>
    <row r="2048">
      <c r="D2048" s="100" t="n"/>
      <c r="E2048" s="100" t="n"/>
      <c r="F2048" s="100" t="n"/>
      <c r="G2048" s="100" t="n"/>
      <c r="H2048" s="100" t="n"/>
      <c r="I2048" s="100" t="n"/>
      <c r="J2048" s="100" t="n"/>
      <c r="K2048" s="100" t="n"/>
      <c r="L2048" s="100" t="n"/>
      <c r="M2048" s="100" t="n"/>
      <c r="N2048" s="100" t="n"/>
      <c r="O2048" s="100" t="n"/>
      <c r="P2048" s="100" t="n"/>
      <c r="Q2048" s="100" t="n"/>
      <c r="R2048" s="100" t="n"/>
      <c r="S2048" s="100" t="n"/>
      <c r="T2048" s="100" t="n"/>
      <c r="U2048" s="100" t="n"/>
      <c r="V2048" s="100" t="n"/>
      <c r="W2048" s="100" t="n"/>
      <c r="X2048" s="100" t="n"/>
      <c r="Y2048" s="100" t="n"/>
      <c r="Z2048" s="100" t="n"/>
      <c r="AA2048" s="100" t="n"/>
      <c r="AB2048" s="100" t="n"/>
      <c r="AC2048" s="100" t="n"/>
      <c r="AD2048" s="100" t="n"/>
      <c r="AE2048" s="100" t="n"/>
      <c r="AF2048" s="100" t="n"/>
      <c r="AG2048" s="100" t="n"/>
      <c r="AH2048" s="100" t="n"/>
      <c r="AI2048" s="100" t="n"/>
      <c r="AJ2048" s="100" t="n"/>
      <c r="AK2048" s="100" t="n"/>
      <c r="AL2048" s="100" t="n"/>
      <c r="AM2048" s="100" t="n"/>
      <c r="AN2048" s="100" t="n"/>
      <c r="AO2048" s="100" t="n"/>
      <c r="AP2048" s="100" t="n"/>
      <c r="AQ2048" s="100" t="n"/>
      <c r="AR2048" s="100" t="n"/>
    </row>
    <row r="2051">
      <c r="A2051" s="2">
        <f>IF($A2044="","","   projections")</f>
        <v/>
      </c>
      <c r="B2051" s="96">
        <f>IF($A2044="",0,COUNT($E2052:$AR2052))</f>
        <v/>
      </c>
      <c r="C2051" s="97">
        <f>IF($B2051=0,0,MAX($E2052:$AR2052))</f>
        <v/>
      </c>
      <c r="D2051" s="98">
        <f>BDS($A2044,FLD_PROJ,"headers=y","startcol=1","endcol=3","dir=h")</f>
        <v/>
      </c>
      <c r="E2051" s="99" t="n"/>
      <c r="F2051" s="99" t="n"/>
      <c r="G2051" s="99" t="n"/>
      <c r="H2051" s="99" t="n"/>
      <c r="I2051" s="99" t="n"/>
      <c r="J2051" s="99" t="n"/>
      <c r="K2051" s="99" t="n"/>
      <c r="L2051" s="99" t="n"/>
      <c r="M2051" s="99" t="n"/>
      <c r="N2051" s="99" t="n"/>
      <c r="O2051" s="99" t="n"/>
      <c r="P2051" s="99" t="n"/>
      <c r="Q2051" s="99" t="n"/>
      <c r="R2051" s="99" t="n"/>
      <c r="S2051" s="99" t="n"/>
      <c r="T2051" s="99" t="n"/>
      <c r="U2051" s="99" t="n"/>
      <c r="V2051" s="99" t="n"/>
      <c r="W2051" s="99" t="n"/>
      <c r="X2051" s="99" t="n"/>
      <c r="Y2051" s="99" t="n"/>
      <c r="Z2051" s="99" t="n"/>
      <c r="AA2051" s="99" t="n"/>
      <c r="AB2051" s="99" t="n"/>
      <c r="AC2051" s="99" t="n"/>
      <c r="AD2051" s="99" t="n"/>
      <c r="AE2051" s="99" t="n"/>
      <c r="AF2051" s="99" t="n"/>
      <c r="AG2051" s="99" t="n"/>
      <c r="AH2051" s="99" t="n"/>
      <c r="AI2051" s="99" t="n"/>
      <c r="AJ2051" s="99" t="n"/>
      <c r="AK2051" s="99" t="n"/>
      <c r="AL2051" s="99" t="n"/>
      <c r="AM2051" s="99" t="n"/>
      <c r="AN2051" s="99" t="n"/>
      <c r="AO2051" s="99" t="n"/>
      <c r="AP2051" s="99" t="n"/>
      <c r="AQ2051" s="99" t="n"/>
      <c r="AR2051" s="99" t="n"/>
    </row>
    <row r="2052">
      <c r="D2052" s="99" t="n"/>
      <c r="E2052" s="99" t="n"/>
      <c r="F2052" s="99" t="n"/>
      <c r="G2052" s="99" t="n"/>
      <c r="H2052" s="99" t="n"/>
      <c r="I2052" s="99" t="n"/>
      <c r="J2052" s="99" t="n"/>
      <c r="K2052" s="99" t="n"/>
      <c r="L2052" s="99" t="n"/>
      <c r="M2052" s="99" t="n"/>
      <c r="N2052" s="99" t="n"/>
      <c r="O2052" s="99" t="n"/>
      <c r="P2052" s="99" t="n"/>
      <c r="Q2052" s="99" t="n"/>
      <c r="R2052" s="99" t="n"/>
      <c r="S2052" s="99" t="n"/>
      <c r="T2052" s="99" t="n"/>
      <c r="U2052" s="99" t="n"/>
      <c r="V2052" s="99" t="n"/>
      <c r="W2052" s="99" t="n"/>
      <c r="X2052" s="99" t="n"/>
      <c r="Y2052" s="99" t="n"/>
      <c r="Z2052" s="99" t="n"/>
      <c r="AA2052" s="99" t="n"/>
      <c r="AB2052" s="99" t="n"/>
      <c r="AC2052" s="99" t="n"/>
      <c r="AD2052" s="99" t="n"/>
      <c r="AE2052" s="99" t="n"/>
      <c r="AF2052" s="99" t="n"/>
      <c r="AG2052" s="99" t="n"/>
      <c r="AH2052" s="99" t="n"/>
      <c r="AI2052" s="99" t="n"/>
      <c r="AJ2052" s="99" t="n"/>
      <c r="AK2052" s="99" t="n"/>
      <c r="AL2052" s="99" t="n"/>
      <c r="AM2052" s="99" t="n"/>
      <c r="AN2052" s="99" t="n"/>
      <c r="AO2052" s="99" t="n"/>
      <c r="AP2052" s="99" t="n"/>
      <c r="AQ2052" s="99" t="n"/>
      <c r="AR2052" s="99" t="n"/>
    </row>
    <row r="2053">
      <c r="D2053" s="100" t="n"/>
      <c r="E2053" s="100" t="n"/>
      <c r="F2053" s="100" t="n"/>
      <c r="G2053" s="100" t="n"/>
      <c r="H2053" s="100" t="n"/>
      <c r="I2053" s="100" t="n"/>
      <c r="J2053" s="100" t="n"/>
      <c r="K2053" s="100" t="n"/>
      <c r="L2053" s="100" t="n"/>
      <c r="M2053" s="100" t="n"/>
      <c r="N2053" s="100" t="n"/>
      <c r="O2053" s="100" t="n"/>
      <c r="P2053" s="100" t="n"/>
      <c r="Q2053" s="100" t="n"/>
      <c r="R2053" s="100" t="n"/>
      <c r="S2053" s="100" t="n"/>
      <c r="T2053" s="100" t="n"/>
      <c r="U2053" s="100" t="n"/>
      <c r="V2053" s="100" t="n"/>
      <c r="W2053" s="100" t="n"/>
      <c r="X2053" s="100" t="n"/>
      <c r="Y2053" s="100" t="n"/>
      <c r="Z2053" s="100" t="n"/>
      <c r="AA2053" s="100" t="n"/>
      <c r="AB2053" s="100" t="n"/>
      <c r="AC2053" s="100" t="n"/>
      <c r="AD2053" s="100" t="n"/>
      <c r="AE2053" s="100" t="n"/>
      <c r="AF2053" s="100" t="n"/>
      <c r="AG2053" s="100" t="n"/>
      <c r="AH2053" s="100" t="n"/>
      <c r="AI2053" s="100" t="n"/>
      <c r="AJ2053" s="100" t="n"/>
      <c r="AK2053" s="100" t="n"/>
      <c r="AL2053" s="100" t="n"/>
      <c r="AM2053" s="100" t="n"/>
      <c r="AN2053" s="100" t="n"/>
      <c r="AO2053" s="100" t="n"/>
      <c r="AP2053" s="100" t="n"/>
      <c r="AQ2053" s="100" t="n"/>
      <c r="AR2053" s="100" t="n"/>
    </row>
    <row r="2055">
      <c r="A2055" s="6">
        <f>IF(HSCEI!$C$52="","",HSCEI!$C$52)</f>
        <v/>
      </c>
      <c r="B2055" s="96">
        <f>IF($A2055="",0,COUNT($E2056:$AR2056))</f>
        <v/>
      </c>
      <c r="C2055" s="97">
        <f>IF($B2055=0,0,MAX($E2056:$AR2056))</f>
        <v/>
      </c>
      <c r="D2055" s="98">
        <f>BDS($A2055,FLD_HIST,"headers=y","startcol=1","endcol=7","dir=h","DVD_START_DT",HIST_FROM,"DVD_END_DT",HIST_TO)</f>
        <v/>
      </c>
      <c r="E2055" s="99" t="n"/>
      <c r="F2055" s="99" t="n"/>
      <c r="G2055" s="99" t="n"/>
      <c r="H2055" s="99" t="n"/>
      <c r="I2055" s="99" t="n"/>
      <c r="J2055" s="99" t="n"/>
      <c r="K2055" s="99" t="n"/>
      <c r="L2055" s="99" t="n"/>
      <c r="M2055" s="99" t="n"/>
      <c r="N2055" s="99" t="n"/>
      <c r="O2055" s="99" t="n"/>
      <c r="P2055" s="99" t="n"/>
      <c r="Q2055" s="99" t="n"/>
      <c r="R2055" s="99" t="n"/>
      <c r="S2055" s="99" t="n"/>
      <c r="T2055" s="99" t="n"/>
      <c r="U2055" s="99" t="n"/>
      <c r="V2055" s="99" t="n"/>
      <c r="W2055" s="99" t="n"/>
      <c r="X2055" s="99" t="n"/>
      <c r="Y2055" s="99" t="n"/>
      <c r="Z2055" s="99" t="n"/>
      <c r="AA2055" s="99" t="n"/>
      <c r="AB2055" s="99" t="n"/>
      <c r="AC2055" s="99" t="n"/>
      <c r="AD2055" s="99" t="n"/>
      <c r="AE2055" s="99" t="n"/>
      <c r="AF2055" s="99" t="n"/>
      <c r="AG2055" s="99" t="n"/>
      <c r="AH2055" s="99" t="n"/>
      <c r="AI2055" s="99" t="n"/>
      <c r="AJ2055" s="99" t="n"/>
      <c r="AK2055" s="99" t="n"/>
      <c r="AL2055" s="99" t="n"/>
      <c r="AM2055" s="99" t="n"/>
      <c r="AN2055" s="99" t="n"/>
      <c r="AO2055" s="99" t="n"/>
      <c r="AP2055" s="99" t="n"/>
      <c r="AQ2055" s="99" t="n"/>
      <c r="AR2055" s="99" t="n"/>
    </row>
    <row r="2056">
      <c r="D2056" s="99" t="n"/>
      <c r="E2056" s="99" t="n"/>
      <c r="F2056" s="99" t="n"/>
      <c r="G2056" s="99" t="n"/>
      <c r="H2056" s="99" t="n"/>
      <c r="I2056" s="99" t="n"/>
      <c r="J2056" s="99" t="n"/>
      <c r="K2056" s="99" t="n"/>
      <c r="L2056" s="99" t="n"/>
      <c r="M2056" s="99" t="n"/>
      <c r="N2056" s="99" t="n"/>
      <c r="O2056" s="99" t="n"/>
      <c r="P2056" s="99" t="n"/>
      <c r="Q2056" s="99" t="n"/>
      <c r="R2056" s="99" t="n"/>
      <c r="S2056" s="99" t="n"/>
      <c r="T2056" s="99" t="n"/>
      <c r="U2056" s="99" t="n"/>
      <c r="V2056" s="99" t="n"/>
      <c r="W2056" s="99" t="n"/>
      <c r="X2056" s="99" t="n"/>
      <c r="Y2056" s="99" t="n"/>
      <c r="Z2056" s="99" t="n"/>
      <c r="AA2056" s="99" t="n"/>
      <c r="AB2056" s="99" t="n"/>
      <c r="AC2056" s="99" t="n"/>
      <c r="AD2056" s="99" t="n"/>
      <c r="AE2056" s="99" t="n"/>
      <c r="AF2056" s="99" t="n"/>
      <c r="AG2056" s="99" t="n"/>
      <c r="AH2056" s="99" t="n"/>
      <c r="AI2056" s="99" t="n"/>
      <c r="AJ2056" s="99" t="n"/>
      <c r="AK2056" s="99" t="n"/>
      <c r="AL2056" s="99" t="n"/>
      <c r="AM2056" s="99" t="n"/>
      <c r="AN2056" s="99" t="n"/>
      <c r="AO2056" s="99" t="n"/>
      <c r="AP2056" s="99" t="n"/>
      <c r="AQ2056" s="99" t="n"/>
      <c r="AR2056" s="99" t="n"/>
    </row>
    <row r="2057">
      <c r="D2057" s="99" t="n"/>
      <c r="E2057" s="99" t="n"/>
      <c r="F2057" s="99" t="n"/>
      <c r="G2057" s="99" t="n"/>
      <c r="H2057" s="99" t="n"/>
      <c r="I2057" s="99" t="n"/>
      <c r="J2057" s="99" t="n"/>
      <c r="K2057" s="99" t="n"/>
      <c r="L2057" s="99" t="n"/>
      <c r="M2057" s="99" t="n"/>
      <c r="N2057" s="99" t="n"/>
      <c r="O2057" s="99" t="n"/>
      <c r="P2057" s="99" t="n"/>
      <c r="Q2057" s="99" t="n"/>
      <c r="R2057" s="99" t="n"/>
      <c r="S2057" s="99" t="n"/>
      <c r="T2057" s="99" t="n"/>
      <c r="U2057" s="99" t="n"/>
      <c r="V2057" s="99" t="n"/>
      <c r="W2057" s="99" t="n"/>
      <c r="X2057" s="99" t="n"/>
      <c r="Y2057" s="99" t="n"/>
      <c r="Z2057" s="99" t="n"/>
      <c r="AA2057" s="99" t="n"/>
      <c r="AB2057" s="99" t="n"/>
      <c r="AC2057" s="99" t="n"/>
      <c r="AD2057" s="99" t="n"/>
      <c r="AE2057" s="99" t="n"/>
      <c r="AF2057" s="99" t="n"/>
      <c r="AG2057" s="99" t="n"/>
      <c r="AH2057" s="99" t="n"/>
      <c r="AI2057" s="99" t="n"/>
      <c r="AJ2057" s="99" t="n"/>
      <c r="AK2057" s="99" t="n"/>
      <c r="AL2057" s="99" t="n"/>
      <c r="AM2057" s="99" t="n"/>
      <c r="AN2057" s="99" t="n"/>
      <c r="AO2057" s="99" t="n"/>
      <c r="AP2057" s="99" t="n"/>
      <c r="AQ2057" s="99" t="n"/>
      <c r="AR2057" s="99" t="n"/>
    </row>
    <row r="2058">
      <c r="D2058" s="99" t="n"/>
      <c r="E2058" s="99" t="n"/>
      <c r="F2058" s="99" t="n"/>
      <c r="G2058" s="99" t="n"/>
      <c r="H2058" s="99" t="n"/>
      <c r="I2058" s="99" t="n"/>
      <c r="J2058" s="99" t="n"/>
      <c r="K2058" s="99" t="n"/>
      <c r="L2058" s="99" t="n"/>
      <c r="M2058" s="99" t="n"/>
      <c r="N2058" s="99" t="n"/>
      <c r="O2058" s="99" t="n"/>
      <c r="P2058" s="99" t="n"/>
      <c r="Q2058" s="99" t="n"/>
      <c r="R2058" s="99" t="n"/>
      <c r="S2058" s="99" t="n"/>
      <c r="T2058" s="99" t="n"/>
      <c r="U2058" s="99" t="n"/>
      <c r="V2058" s="99" t="n"/>
      <c r="W2058" s="99" t="n"/>
      <c r="X2058" s="99" t="n"/>
      <c r="Y2058" s="99" t="n"/>
      <c r="Z2058" s="99" t="n"/>
      <c r="AA2058" s="99" t="n"/>
      <c r="AB2058" s="99" t="n"/>
      <c r="AC2058" s="99" t="n"/>
      <c r="AD2058" s="99" t="n"/>
      <c r="AE2058" s="99" t="n"/>
      <c r="AF2058" s="99" t="n"/>
      <c r="AG2058" s="99" t="n"/>
      <c r="AH2058" s="99" t="n"/>
      <c r="AI2058" s="99" t="n"/>
      <c r="AJ2058" s="99" t="n"/>
      <c r="AK2058" s="99" t="n"/>
      <c r="AL2058" s="99" t="n"/>
      <c r="AM2058" s="99" t="n"/>
      <c r="AN2058" s="99" t="n"/>
      <c r="AO2058" s="99" t="n"/>
      <c r="AP2058" s="99" t="n"/>
      <c r="AQ2058" s="99" t="n"/>
      <c r="AR2058" s="99" t="n"/>
    </row>
    <row r="2059">
      <c r="D2059" s="100" t="n"/>
      <c r="E2059" s="100" t="n"/>
      <c r="F2059" s="100" t="n"/>
      <c r="G2059" s="100" t="n"/>
      <c r="H2059" s="100" t="n"/>
      <c r="I2059" s="100" t="n"/>
      <c r="J2059" s="100" t="n"/>
      <c r="K2059" s="100" t="n"/>
      <c r="L2059" s="100" t="n"/>
      <c r="M2059" s="100" t="n"/>
      <c r="N2059" s="100" t="n"/>
      <c r="O2059" s="100" t="n"/>
      <c r="P2059" s="100" t="n"/>
      <c r="Q2059" s="100" t="n"/>
      <c r="R2059" s="100" t="n"/>
      <c r="S2059" s="100" t="n"/>
      <c r="T2059" s="100" t="n"/>
      <c r="U2059" s="100" t="n"/>
      <c r="V2059" s="100" t="n"/>
      <c r="W2059" s="100" t="n"/>
      <c r="X2059" s="100" t="n"/>
      <c r="Y2059" s="100" t="n"/>
      <c r="Z2059" s="100" t="n"/>
      <c r="AA2059" s="100" t="n"/>
      <c r="AB2059" s="100" t="n"/>
      <c r="AC2059" s="100" t="n"/>
      <c r="AD2059" s="100" t="n"/>
      <c r="AE2059" s="100" t="n"/>
      <c r="AF2059" s="100" t="n"/>
      <c r="AG2059" s="100" t="n"/>
      <c r="AH2059" s="100" t="n"/>
      <c r="AI2059" s="100" t="n"/>
      <c r="AJ2059" s="100" t="n"/>
      <c r="AK2059" s="100" t="n"/>
      <c r="AL2059" s="100" t="n"/>
      <c r="AM2059" s="100" t="n"/>
      <c r="AN2059" s="100" t="n"/>
      <c r="AO2059" s="100" t="n"/>
      <c r="AP2059" s="100" t="n"/>
      <c r="AQ2059" s="100" t="n"/>
      <c r="AR2059" s="100" t="n"/>
    </row>
    <row r="2062">
      <c r="A2062" s="2">
        <f>IF($A2055="","","   projections")</f>
        <v/>
      </c>
      <c r="B2062" s="96">
        <f>IF($A2055="",0,COUNT($E2063:$AR2063))</f>
        <v/>
      </c>
      <c r="C2062" s="97">
        <f>IF($B2062=0,0,MAX($E2063:$AR2063))</f>
        <v/>
      </c>
      <c r="D2062" s="98">
        <f>BDS($A2055,FLD_PROJ,"headers=y","startcol=1","endcol=3","dir=h")</f>
        <v/>
      </c>
      <c r="E2062" s="99" t="n"/>
      <c r="F2062" s="99" t="n"/>
      <c r="G2062" s="99" t="n"/>
      <c r="H2062" s="99" t="n"/>
      <c r="I2062" s="99" t="n"/>
      <c r="J2062" s="99" t="n"/>
      <c r="K2062" s="99" t="n"/>
      <c r="L2062" s="99" t="n"/>
      <c r="M2062" s="99" t="n"/>
      <c r="N2062" s="99" t="n"/>
      <c r="O2062" s="99" t="n"/>
      <c r="P2062" s="99" t="n"/>
      <c r="Q2062" s="99" t="n"/>
      <c r="R2062" s="99" t="n"/>
      <c r="S2062" s="99" t="n"/>
      <c r="T2062" s="99" t="n"/>
      <c r="U2062" s="99" t="n"/>
      <c r="V2062" s="99" t="n"/>
      <c r="W2062" s="99" t="n"/>
      <c r="X2062" s="99" t="n"/>
      <c r="Y2062" s="99" t="n"/>
      <c r="Z2062" s="99" t="n"/>
      <c r="AA2062" s="99" t="n"/>
      <c r="AB2062" s="99" t="n"/>
      <c r="AC2062" s="99" t="n"/>
      <c r="AD2062" s="99" t="n"/>
      <c r="AE2062" s="99" t="n"/>
      <c r="AF2062" s="99" t="n"/>
      <c r="AG2062" s="99" t="n"/>
      <c r="AH2062" s="99" t="n"/>
      <c r="AI2062" s="99" t="n"/>
      <c r="AJ2062" s="99" t="n"/>
      <c r="AK2062" s="99" t="n"/>
      <c r="AL2062" s="99" t="n"/>
      <c r="AM2062" s="99" t="n"/>
      <c r="AN2062" s="99" t="n"/>
      <c r="AO2062" s="99" t="n"/>
      <c r="AP2062" s="99" t="n"/>
      <c r="AQ2062" s="99" t="n"/>
      <c r="AR2062" s="99" t="n"/>
    </row>
    <row r="2063">
      <c r="D2063" s="99" t="n"/>
      <c r="E2063" s="99" t="n"/>
      <c r="F2063" s="99" t="n"/>
      <c r="G2063" s="99" t="n"/>
      <c r="H2063" s="99" t="n"/>
      <c r="I2063" s="99" t="n"/>
      <c r="J2063" s="99" t="n"/>
      <c r="K2063" s="99" t="n"/>
      <c r="L2063" s="99" t="n"/>
      <c r="M2063" s="99" t="n"/>
      <c r="N2063" s="99" t="n"/>
      <c r="O2063" s="99" t="n"/>
      <c r="P2063" s="99" t="n"/>
      <c r="Q2063" s="99" t="n"/>
      <c r="R2063" s="99" t="n"/>
      <c r="S2063" s="99" t="n"/>
      <c r="T2063" s="99" t="n"/>
      <c r="U2063" s="99" t="n"/>
      <c r="V2063" s="99" t="n"/>
      <c r="W2063" s="99" t="n"/>
      <c r="X2063" s="99" t="n"/>
      <c r="Y2063" s="99" t="n"/>
      <c r="Z2063" s="99" t="n"/>
      <c r="AA2063" s="99" t="n"/>
      <c r="AB2063" s="99" t="n"/>
      <c r="AC2063" s="99" t="n"/>
      <c r="AD2063" s="99" t="n"/>
      <c r="AE2063" s="99" t="n"/>
      <c r="AF2063" s="99" t="n"/>
      <c r="AG2063" s="99" t="n"/>
      <c r="AH2063" s="99" t="n"/>
      <c r="AI2063" s="99" t="n"/>
      <c r="AJ2063" s="99" t="n"/>
      <c r="AK2063" s="99" t="n"/>
      <c r="AL2063" s="99" t="n"/>
      <c r="AM2063" s="99" t="n"/>
      <c r="AN2063" s="99" t="n"/>
      <c r="AO2063" s="99" t="n"/>
      <c r="AP2063" s="99" t="n"/>
      <c r="AQ2063" s="99" t="n"/>
      <c r="AR2063" s="99" t="n"/>
    </row>
    <row r="2064">
      <c r="D2064" s="100" t="n"/>
      <c r="E2064" s="100" t="n"/>
      <c r="F2064" s="100" t="n"/>
      <c r="G2064" s="100" t="n"/>
      <c r="H2064" s="100" t="n"/>
      <c r="I2064" s="100" t="n"/>
      <c r="J2064" s="100" t="n"/>
      <c r="K2064" s="100" t="n"/>
      <c r="L2064" s="100" t="n"/>
      <c r="M2064" s="100" t="n"/>
      <c r="N2064" s="100" t="n"/>
      <c r="O2064" s="100" t="n"/>
      <c r="P2064" s="100" t="n"/>
      <c r="Q2064" s="100" t="n"/>
      <c r="R2064" s="100" t="n"/>
      <c r="S2064" s="100" t="n"/>
      <c r="T2064" s="100" t="n"/>
      <c r="U2064" s="100" t="n"/>
      <c r="V2064" s="100" t="n"/>
      <c r="W2064" s="100" t="n"/>
      <c r="X2064" s="100" t="n"/>
      <c r="Y2064" s="100" t="n"/>
      <c r="Z2064" s="100" t="n"/>
      <c r="AA2064" s="100" t="n"/>
      <c r="AB2064" s="100" t="n"/>
      <c r="AC2064" s="100" t="n"/>
      <c r="AD2064" s="100" t="n"/>
      <c r="AE2064" s="100" t="n"/>
      <c r="AF2064" s="100" t="n"/>
      <c r="AG2064" s="100" t="n"/>
      <c r="AH2064" s="100" t="n"/>
      <c r="AI2064" s="100" t="n"/>
      <c r="AJ2064" s="100" t="n"/>
      <c r="AK2064" s="100" t="n"/>
      <c r="AL2064" s="100" t="n"/>
      <c r="AM2064" s="100" t="n"/>
      <c r="AN2064" s="100" t="n"/>
      <c r="AO2064" s="100" t="n"/>
      <c r="AP2064" s="100" t="n"/>
      <c r="AQ2064" s="100" t="n"/>
      <c r="AR2064" s="100" t="n"/>
    </row>
    <row r="2066">
      <c r="A2066" s="6">
        <f>IF(HSCEI!$C$53="","",HSCEI!$C$53)</f>
        <v/>
      </c>
      <c r="B2066" s="96">
        <f>IF($A2066="",0,COUNT($E2067:$AR2067))</f>
        <v/>
      </c>
      <c r="C2066" s="97">
        <f>IF($B2066=0,0,MAX($E2067:$AR2067))</f>
        <v/>
      </c>
      <c r="D2066" s="98">
        <f>BDS($A2066,FLD_HIST,"headers=y","startcol=1","endcol=7","dir=h","DVD_START_DT",HIST_FROM,"DVD_END_DT",HIST_TO)</f>
        <v/>
      </c>
      <c r="E2066" s="99" t="n"/>
      <c r="F2066" s="99" t="n"/>
      <c r="G2066" s="99" t="n"/>
      <c r="H2066" s="99" t="n"/>
      <c r="I2066" s="99" t="n"/>
      <c r="J2066" s="99" t="n"/>
      <c r="K2066" s="99" t="n"/>
      <c r="L2066" s="99" t="n"/>
      <c r="M2066" s="99" t="n"/>
      <c r="N2066" s="99" t="n"/>
      <c r="O2066" s="99" t="n"/>
      <c r="P2066" s="99" t="n"/>
      <c r="Q2066" s="99" t="n"/>
      <c r="R2066" s="99" t="n"/>
      <c r="S2066" s="99" t="n"/>
      <c r="T2066" s="99" t="n"/>
      <c r="U2066" s="99" t="n"/>
      <c r="V2066" s="99" t="n"/>
      <c r="W2066" s="99" t="n"/>
      <c r="X2066" s="99" t="n"/>
      <c r="Y2066" s="99" t="n"/>
      <c r="Z2066" s="99" t="n"/>
      <c r="AA2066" s="99" t="n"/>
      <c r="AB2066" s="99" t="n"/>
      <c r="AC2066" s="99" t="n"/>
      <c r="AD2066" s="99" t="n"/>
      <c r="AE2066" s="99" t="n"/>
      <c r="AF2066" s="99" t="n"/>
      <c r="AG2066" s="99" t="n"/>
      <c r="AH2066" s="99" t="n"/>
      <c r="AI2066" s="99" t="n"/>
      <c r="AJ2066" s="99" t="n"/>
      <c r="AK2066" s="99" t="n"/>
      <c r="AL2066" s="99" t="n"/>
      <c r="AM2066" s="99" t="n"/>
      <c r="AN2066" s="99" t="n"/>
      <c r="AO2066" s="99" t="n"/>
      <c r="AP2066" s="99" t="n"/>
      <c r="AQ2066" s="99" t="n"/>
      <c r="AR2066" s="99" t="n"/>
    </row>
    <row r="2067">
      <c r="D2067" s="99" t="n"/>
      <c r="E2067" s="99" t="n"/>
      <c r="F2067" s="99" t="n"/>
      <c r="G2067" s="99" t="n"/>
      <c r="H2067" s="99" t="n"/>
      <c r="I2067" s="99" t="n"/>
      <c r="J2067" s="99" t="n"/>
      <c r="K2067" s="99" t="n"/>
      <c r="L2067" s="99" t="n"/>
      <c r="M2067" s="99" t="n"/>
      <c r="N2067" s="99" t="n"/>
      <c r="O2067" s="99" t="n"/>
      <c r="P2067" s="99" t="n"/>
      <c r="Q2067" s="99" t="n"/>
      <c r="R2067" s="99" t="n"/>
      <c r="S2067" s="99" t="n"/>
      <c r="T2067" s="99" t="n"/>
      <c r="U2067" s="99" t="n"/>
      <c r="V2067" s="99" t="n"/>
      <c r="W2067" s="99" t="n"/>
      <c r="X2067" s="99" t="n"/>
      <c r="Y2067" s="99" t="n"/>
      <c r="Z2067" s="99" t="n"/>
      <c r="AA2067" s="99" t="n"/>
      <c r="AB2067" s="99" t="n"/>
      <c r="AC2067" s="99" t="n"/>
      <c r="AD2067" s="99" t="n"/>
      <c r="AE2067" s="99" t="n"/>
      <c r="AF2067" s="99" t="n"/>
      <c r="AG2067" s="99" t="n"/>
      <c r="AH2067" s="99" t="n"/>
      <c r="AI2067" s="99" t="n"/>
      <c r="AJ2067" s="99" t="n"/>
      <c r="AK2067" s="99" t="n"/>
      <c r="AL2067" s="99" t="n"/>
      <c r="AM2067" s="99" t="n"/>
      <c r="AN2067" s="99" t="n"/>
      <c r="AO2067" s="99" t="n"/>
      <c r="AP2067" s="99" t="n"/>
      <c r="AQ2067" s="99" t="n"/>
      <c r="AR2067" s="99" t="n"/>
    </row>
    <row r="2068">
      <c r="D2068" s="99" t="n"/>
      <c r="E2068" s="99" t="n"/>
      <c r="F2068" s="99" t="n"/>
      <c r="G2068" s="99" t="n"/>
      <c r="H2068" s="99" t="n"/>
      <c r="I2068" s="99" t="n"/>
      <c r="J2068" s="99" t="n"/>
      <c r="K2068" s="99" t="n"/>
      <c r="L2068" s="99" t="n"/>
      <c r="M2068" s="99" t="n"/>
      <c r="N2068" s="99" t="n"/>
      <c r="O2068" s="99" t="n"/>
      <c r="P2068" s="99" t="n"/>
      <c r="Q2068" s="99" t="n"/>
      <c r="R2068" s="99" t="n"/>
      <c r="S2068" s="99" t="n"/>
      <c r="T2068" s="99" t="n"/>
      <c r="U2068" s="99" t="n"/>
      <c r="V2068" s="99" t="n"/>
      <c r="W2068" s="99" t="n"/>
      <c r="X2068" s="99" t="n"/>
      <c r="Y2068" s="99" t="n"/>
      <c r="Z2068" s="99" t="n"/>
      <c r="AA2068" s="99" t="n"/>
      <c r="AB2068" s="99" t="n"/>
      <c r="AC2068" s="99" t="n"/>
      <c r="AD2068" s="99" t="n"/>
      <c r="AE2068" s="99" t="n"/>
      <c r="AF2068" s="99" t="n"/>
      <c r="AG2068" s="99" t="n"/>
      <c r="AH2068" s="99" t="n"/>
      <c r="AI2068" s="99" t="n"/>
      <c r="AJ2068" s="99" t="n"/>
      <c r="AK2068" s="99" t="n"/>
      <c r="AL2068" s="99" t="n"/>
      <c r="AM2068" s="99" t="n"/>
      <c r="AN2068" s="99" t="n"/>
      <c r="AO2068" s="99" t="n"/>
      <c r="AP2068" s="99" t="n"/>
      <c r="AQ2068" s="99" t="n"/>
      <c r="AR2068" s="99" t="n"/>
    </row>
    <row r="2069">
      <c r="D2069" s="99" t="n"/>
      <c r="E2069" s="99" t="n"/>
      <c r="F2069" s="99" t="n"/>
      <c r="G2069" s="99" t="n"/>
      <c r="H2069" s="99" t="n"/>
      <c r="I2069" s="99" t="n"/>
      <c r="J2069" s="99" t="n"/>
      <c r="K2069" s="99" t="n"/>
      <c r="L2069" s="99" t="n"/>
      <c r="M2069" s="99" t="n"/>
      <c r="N2069" s="99" t="n"/>
      <c r="O2069" s="99" t="n"/>
      <c r="P2069" s="99" t="n"/>
      <c r="Q2069" s="99" t="n"/>
      <c r="R2069" s="99" t="n"/>
      <c r="S2069" s="99" t="n"/>
      <c r="T2069" s="99" t="n"/>
      <c r="U2069" s="99" t="n"/>
      <c r="V2069" s="99" t="n"/>
      <c r="W2069" s="99" t="n"/>
      <c r="X2069" s="99" t="n"/>
      <c r="Y2069" s="99" t="n"/>
      <c r="Z2069" s="99" t="n"/>
      <c r="AA2069" s="99" t="n"/>
      <c r="AB2069" s="99" t="n"/>
      <c r="AC2069" s="99" t="n"/>
      <c r="AD2069" s="99" t="n"/>
      <c r="AE2069" s="99" t="n"/>
      <c r="AF2069" s="99" t="n"/>
      <c r="AG2069" s="99" t="n"/>
      <c r="AH2069" s="99" t="n"/>
      <c r="AI2069" s="99" t="n"/>
      <c r="AJ2069" s="99" t="n"/>
      <c r="AK2069" s="99" t="n"/>
      <c r="AL2069" s="99" t="n"/>
      <c r="AM2069" s="99" t="n"/>
      <c r="AN2069" s="99" t="n"/>
      <c r="AO2069" s="99" t="n"/>
      <c r="AP2069" s="99" t="n"/>
      <c r="AQ2069" s="99" t="n"/>
      <c r="AR2069" s="99" t="n"/>
    </row>
    <row r="2070">
      <c r="D2070" s="100" t="n"/>
      <c r="E2070" s="100" t="n"/>
      <c r="F2070" s="100" t="n"/>
      <c r="G2070" s="100" t="n"/>
      <c r="H2070" s="100" t="n"/>
      <c r="I2070" s="100" t="n"/>
      <c r="J2070" s="100" t="n"/>
      <c r="K2070" s="100" t="n"/>
      <c r="L2070" s="100" t="n"/>
      <c r="M2070" s="100" t="n"/>
      <c r="N2070" s="100" t="n"/>
      <c r="O2070" s="100" t="n"/>
      <c r="P2070" s="100" t="n"/>
      <c r="Q2070" s="100" t="n"/>
      <c r="R2070" s="100" t="n"/>
      <c r="S2070" s="100" t="n"/>
      <c r="T2070" s="100" t="n"/>
      <c r="U2070" s="100" t="n"/>
      <c r="V2070" s="100" t="n"/>
      <c r="W2070" s="100" t="n"/>
      <c r="X2070" s="100" t="n"/>
      <c r="Y2070" s="100" t="n"/>
      <c r="Z2070" s="100" t="n"/>
      <c r="AA2070" s="100" t="n"/>
      <c r="AB2070" s="100" t="n"/>
      <c r="AC2070" s="100" t="n"/>
      <c r="AD2070" s="100" t="n"/>
      <c r="AE2070" s="100" t="n"/>
      <c r="AF2070" s="100" t="n"/>
      <c r="AG2070" s="100" t="n"/>
      <c r="AH2070" s="100" t="n"/>
      <c r="AI2070" s="100" t="n"/>
      <c r="AJ2070" s="100" t="n"/>
      <c r="AK2070" s="100" t="n"/>
      <c r="AL2070" s="100" t="n"/>
      <c r="AM2070" s="100" t="n"/>
      <c r="AN2070" s="100" t="n"/>
      <c r="AO2070" s="100" t="n"/>
      <c r="AP2070" s="100" t="n"/>
      <c r="AQ2070" s="100" t="n"/>
      <c r="AR2070" s="100" t="n"/>
    </row>
    <row r="2073">
      <c r="A2073" s="2">
        <f>IF($A2066="","","   projections")</f>
        <v/>
      </c>
      <c r="B2073" s="96">
        <f>IF($A2066="",0,COUNT($E2074:$AR2074))</f>
        <v/>
      </c>
      <c r="C2073" s="97">
        <f>IF($B2073=0,0,MAX($E2074:$AR2074))</f>
        <v/>
      </c>
      <c r="D2073" s="98">
        <f>BDS($A2066,FLD_PROJ,"headers=y","startcol=1","endcol=3","dir=h")</f>
        <v/>
      </c>
      <c r="E2073" s="99" t="n"/>
      <c r="F2073" s="99" t="n"/>
      <c r="G2073" s="99" t="n"/>
      <c r="H2073" s="99" t="n"/>
      <c r="I2073" s="99" t="n"/>
      <c r="J2073" s="99" t="n"/>
      <c r="K2073" s="99" t="n"/>
      <c r="L2073" s="99" t="n"/>
      <c r="M2073" s="99" t="n"/>
      <c r="N2073" s="99" t="n"/>
      <c r="O2073" s="99" t="n"/>
      <c r="P2073" s="99" t="n"/>
      <c r="Q2073" s="99" t="n"/>
      <c r="R2073" s="99" t="n"/>
      <c r="S2073" s="99" t="n"/>
      <c r="T2073" s="99" t="n"/>
      <c r="U2073" s="99" t="n"/>
      <c r="V2073" s="99" t="n"/>
      <c r="W2073" s="99" t="n"/>
      <c r="X2073" s="99" t="n"/>
      <c r="Y2073" s="99" t="n"/>
      <c r="Z2073" s="99" t="n"/>
      <c r="AA2073" s="99" t="n"/>
      <c r="AB2073" s="99" t="n"/>
      <c r="AC2073" s="99" t="n"/>
      <c r="AD2073" s="99" t="n"/>
      <c r="AE2073" s="99" t="n"/>
      <c r="AF2073" s="99" t="n"/>
      <c r="AG2073" s="99" t="n"/>
      <c r="AH2073" s="99" t="n"/>
      <c r="AI2073" s="99" t="n"/>
      <c r="AJ2073" s="99" t="n"/>
      <c r="AK2073" s="99" t="n"/>
      <c r="AL2073" s="99" t="n"/>
      <c r="AM2073" s="99" t="n"/>
      <c r="AN2073" s="99" t="n"/>
      <c r="AO2073" s="99" t="n"/>
      <c r="AP2073" s="99" t="n"/>
      <c r="AQ2073" s="99" t="n"/>
      <c r="AR2073" s="99" t="n"/>
    </row>
    <row r="2074">
      <c r="D2074" s="99" t="n"/>
      <c r="E2074" s="99" t="n"/>
      <c r="F2074" s="99" t="n"/>
      <c r="G2074" s="99" t="n"/>
      <c r="H2074" s="99" t="n"/>
      <c r="I2074" s="99" t="n"/>
      <c r="J2074" s="99" t="n"/>
      <c r="K2074" s="99" t="n"/>
      <c r="L2074" s="99" t="n"/>
      <c r="M2074" s="99" t="n"/>
      <c r="N2074" s="99" t="n"/>
      <c r="O2074" s="99" t="n"/>
      <c r="P2074" s="99" t="n"/>
      <c r="Q2074" s="99" t="n"/>
      <c r="R2074" s="99" t="n"/>
      <c r="S2074" s="99" t="n"/>
      <c r="T2074" s="99" t="n"/>
      <c r="U2074" s="99" t="n"/>
      <c r="V2074" s="99" t="n"/>
      <c r="W2074" s="99" t="n"/>
      <c r="X2074" s="99" t="n"/>
      <c r="Y2074" s="99" t="n"/>
      <c r="Z2074" s="99" t="n"/>
      <c r="AA2074" s="99" t="n"/>
      <c r="AB2074" s="99" t="n"/>
      <c r="AC2074" s="99" t="n"/>
      <c r="AD2074" s="99" t="n"/>
      <c r="AE2074" s="99" t="n"/>
      <c r="AF2074" s="99" t="n"/>
      <c r="AG2074" s="99" t="n"/>
      <c r="AH2074" s="99" t="n"/>
      <c r="AI2074" s="99" t="n"/>
      <c r="AJ2074" s="99" t="n"/>
      <c r="AK2074" s="99" t="n"/>
      <c r="AL2074" s="99" t="n"/>
      <c r="AM2074" s="99" t="n"/>
      <c r="AN2074" s="99" t="n"/>
      <c r="AO2074" s="99" t="n"/>
      <c r="AP2074" s="99" t="n"/>
      <c r="AQ2074" s="99" t="n"/>
      <c r="AR2074" s="99" t="n"/>
    </row>
    <row r="2075">
      <c r="D2075" s="100" t="n"/>
      <c r="E2075" s="100" t="n"/>
      <c r="F2075" s="100" t="n"/>
      <c r="G2075" s="100" t="n"/>
      <c r="H2075" s="100" t="n"/>
      <c r="I2075" s="100" t="n"/>
      <c r="J2075" s="100" t="n"/>
      <c r="K2075" s="100" t="n"/>
      <c r="L2075" s="100" t="n"/>
      <c r="M2075" s="100" t="n"/>
      <c r="N2075" s="100" t="n"/>
      <c r="O2075" s="100" t="n"/>
      <c r="P2075" s="100" t="n"/>
      <c r="Q2075" s="100" t="n"/>
      <c r="R2075" s="100" t="n"/>
      <c r="S2075" s="100" t="n"/>
      <c r="T2075" s="100" t="n"/>
      <c r="U2075" s="100" t="n"/>
      <c r="V2075" s="100" t="n"/>
      <c r="W2075" s="100" t="n"/>
      <c r="X2075" s="100" t="n"/>
      <c r="Y2075" s="100" t="n"/>
      <c r="Z2075" s="100" t="n"/>
      <c r="AA2075" s="100" t="n"/>
      <c r="AB2075" s="100" t="n"/>
      <c r="AC2075" s="100" t="n"/>
      <c r="AD2075" s="100" t="n"/>
      <c r="AE2075" s="100" t="n"/>
      <c r="AF2075" s="100" t="n"/>
      <c r="AG2075" s="100" t="n"/>
      <c r="AH2075" s="100" t="n"/>
      <c r="AI2075" s="100" t="n"/>
      <c r="AJ2075" s="100" t="n"/>
      <c r="AK2075" s="100" t="n"/>
      <c r="AL2075" s="100" t="n"/>
      <c r="AM2075" s="100" t="n"/>
      <c r="AN2075" s="100" t="n"/>
      <c r="AO2075" s="100" t="n"/>
      <c r="AP2075" s="100" t="n"/>
      <c r="AQ2075" s="100" t="n"/>
      <c r="AR2075" s="100" t="n"/>
    </row>
    <row r="2077">
      <c r="A2077" s="6">
        <f>IF(HSCEI!$C$54="","",HSCEI!$C$54)</f>
        <v/>
      </c>
      <c r="B2077" s="96">
        <f>IF($A2077="",0,COUNT($E2078:$AR2078))</f>
        <v/>
      </c>
      <c r="C2077" s="97">
        <f>IF($B2077=0,0,MAX($E2078:$AR2078))</f>
        <v/>
      </c>
      <c r="D2077" s="98">
        <f>BDS($A2077,FLD_HIST,"headers=y","startcol=1","endcol=7","dir=h","DVD_START_DT",HIST_FROM,"DVD_END_DT",HIST_TO)</f>
        <v/>
      </c>
      <c r="E2077" s="99" t="n"/>
      <c r="F2077" s="99" t="n"/>
      <c r="G2077" s="99" t="n"/>
      <c r="H2077" s="99" t="n"/>
      <c r="I2077" s="99" t="n"/>
      <c r="J2077" s="99" t="n"/>
      <c r="K2077" s="99" t="n"/>
      <c r="L2077" s="99" t="n"/>
      <c r="M2077" s="99" t="n"/>
      <c r="N2077" s="99" t="n"/>
      <c r="O2077" s="99" t="n"/>
      <c r="P2077" s="99" t="n"/>
      <c r="Q2077" s="99" t="n"/>
      <c r="R2077" s="99" t="n"/>
      <c r="S2077" s="99" t="n"/>
      <c r="T2077" s="99" t="n"/>
      <c r="U2077" s="99" t="n"/>
      <c r="V2077" s="99" t="n"/>
      <c r="W2077" s="99" t="n"/>
      <c r="X2077" s="99" t="n"/>
      <c r="Y2077" s="99" t="n"/>
      <c r="Z2077" s="99" t="n"/>
      <c r="AA2077" s="99" t="n"/>
      <c r="AB2077" s="99" t="n"/>
      <c r="AC2077" s="99" t="n"/>
      <c r="AD2077" s="99" t="n"/>
      <c r="AE2077" s="99" t="n"/>
      <c r="AF2077" s="99" t="n"/>
      <c r="AG2077" s="99" t="n"/>
      <c r="AH2077" s="99" t="n"/>
      <c r="AI2077" s="99" t="n"/>
      <c r="AJ2077" s="99" t="n"/>
      <c r="AK2077" s="99" t="n"/>
      <c r="AL2077" s="99" t="n"/>
      <c r="AM2077" s="99" t="n"/>
      <c r="AN2077" s="99" t="n"/>
      <c r="AO2077" s="99" t="n"/>
      <c r="AP2077" s="99" t="n"/>
      <c r="AQ2077" s="99" t="n"/>
      <c r="AR2077" s="99" t="n"/>
    </row>
    <row r="2078">
      <c r="D2078" s="99" t="n"/>
      <c r="E2078" s="99" t="n"/>
      <c r="F2078" s="99" t="n"/>
      <c r="G2078" s="99" t="n"/>
      <c r="H2078" s="99" t="n"/>
      <c r="I2078" s="99" t="n"/>
      <c r="J2078" s="99" t="n"/>
      <c r="K2078" s="99" t="n"/>
      <c r="L2078" s="99" t="n"/>
      <c r="M2078" s="99" t="n"/>
      <c r="N2078" s="99" t="n"/>
      <c r="O2078" s="99" t="n"/>
      <c r="P2078" s="99" t="n"/>
      <c r="Q2078" s="99" t="n"/>
      <c r="R2078" s="99" t="n"/>
      <c r="S2078" s="99" t="n"/>
      <c r="T2078" s="99" t="n"/>
      <c r="U2078" s="99" t="n"/>
      <c r="V2078" s="99" t="n"/>
      <c r="W2078" s="99" t="n"/>
      <c r="X2078" s="99" t="n"/>
      <c r="Y2078" s="99" t="n"/>
      <c r="Z2078" s="99" t="n"/>
      <c r="AA2078" s="99" t="n"/>
      <c r="AB2078" s="99" t="n"/>
      <c r="AC2078" s="99" t="n"/>
      <c r="AD2078" s="99" t="n"/>
      <c r="AE2078" s="99" t="n"/>
      <c r="AF2078" s="99" t="n"/>
      <c r="AG2078" s="99" t="n"/>
      <c r="AH2078" s="99" t="n"/>
      <c r="AI2078" s="99" t="n"/>
      <c r="AJ2078" s="99" t="n"/>
      <c r="AK2078" s="99" t="n"/>
      <c r="AL2078" s="99" t="n"/>
      <c r="AM2078" s="99" t="n"/>
      <c r="AN2078" s="99" t="n"/>
      <c r="AO2078" s="99" t="n"/>
      <c r="AP2078" s="99" t="n"/>
      <c r="AQ2078" s="99" t="n"/>
      <c r="AR2078" s="99" t="n"/>
    </row>
    <row r="2079">
      <c r="D2079" s="99" t="n"/>
      <c r="E2079" s="99" t="n"/>
      <c r="F2079" s="99" t="n"/>
      <c r="G2079" s="99" t="n"/>
      <c r="H2079" s="99" t="n"/>
      <c r="I2079" s="99" t="n"/>
      <c r="J2079" s="99" t="n"/>
      <c r="K2079" s="99" t="n"/>
      <c r="L2079" s="99" t="n"/>
      <c r="M2079" s="99" t="n"/>
      <c r="N2079" s="99" t="n"/>
      <c r="O2079" s="99" t="n"/>
      <c r="P2079" s="99" t="n"/>
      <c r="Q2079" s="99" t="n"/>
      <c r="R2079" s="99" t="n"/>
      <c r="S2079" s="99" t="n"/>
      <c r="T2079" s="99" t="n"/>
      <c r="U2079" s="99" t="n"/>
      <c r="V2079" s="99" t="n"/>
      <c r="W2079" s="99" t="n"/>
      <c r="X2079" s="99" t="n"/>
      <c r="Y2079" s="99" t="n"/>
      <c r="Z2079" s="99" t="n"/>
      <c r="AA2079" s="99" t="n"/>
      <c r="AB2079" s="99" t="n"/>
      <c r="AC2079" s="99" t="n"/>
      <c r="AD2079" s="99" t="n"/>
      <c r="AE2079" s="99" t="n"/>
      <c r="AF2079" s="99" t="n"/>
      <c r="AG2079" s="99" t="n"/>
      <c r="AH2079" s="99" t="n"/>
      <c r="AI2079" s="99" t="n"/>
      <c r="AJ2079" s="99" t="n"/>
      <c r="AK2079" s="99" t="n"/>
      <c r="AL2079" s="99" t="n"/>
      <c r="AM2079" s="99" t="n"/>
      <c r="AN2079" s="99" t="n"/>
      <c r="AO2079" s="99" t="n"/>
      <c r="AP2079" s="99" t="n"/>
      <c r="AQ2079" s="99" t="n"/>
      <c r="AR2079" s="99" t="n"/>
    </row>
    <row r="2080">
      <c r="D2080" s="99" t="n"/>
      <c r="E2080" s="99" t="n"/>
      <c r="F2080" s="99" t="n"/>
      <c r="G2080" s="99" t="n"/>
      <c r="H2080" s="99" t="n"/>
      <c r="I2080" s="99" t="n"/>
      <c r="J2080" s="99" t="n"/>
      <c r="K2080" s="99" t="n"/>
      <c r="L2080" s="99" t="n"/>
      <c r="M2080" s="99" t="n"/>
      <c r="N2080" s="99" t="n"/>
      <c r="O2080" s="99" t="n"/>
      <c r="P2080" s="99" t="n"/>
      <c r="Q2080" s="99" t="n"/>
      <c r="R2080" s="99" t="n"/>
      <c r="S2080" s="99" t="n"/>
      <c r="T2080" s="99" t="n"/>
      <c r="U2080" s="99" t="n"/>
      <c r="V2080" s="99" t="n"/>
      <c r="W2080" s="99" t="n"/>
      <c r="X2080" s="99" t="n"/>
      <c r="Y2080" s="99" t="n"/>
      <c r="Z2080" s="99" t="n"/>
      <c r="AA2080" s="99" t="n"/>
      <c r="AB2080" s="99" t="n"/>
      <c r="AC2080" s="99" t="n"/>
      <c r="AD2080" s="99" t="n"/>
      <c r="AE2080" s="99" t="n"/>
      <c r="AF2080" s="99" t="n"/>
      <c r="AG2080" s="99" t="n"/>
      <c r="AH2080" s="99" t="n"/>
      <c r="AI2080" s="99" t="n"/>
      <c r="AJ2080" s="99" t="n"/>
      <c r="AK2080" s="99" t="n"/>
      <c r="AL2080" s="99" t="n"/>
      <c r="AM2080" s="99" t="n"/>
      <c r="AN2080" s="99" t="n"/>
      <c r="AO2080" s="99" t="n"/>
      <c r="AP2080" s="99" t="n"/>
      <c r="AQ2080" s="99" t="n"/>
      <c r="AR2080" s="99" t="n"/>
    </row>
    <row r="2081">
      <c r="D2081" s="100" t="n"/>
      <c r="E2081" s="100" t="n"/>
      <c r="F2081" s="100" t="n"/>
      <c r="G2081" s="100" t="n"/>
      <c r="H2081" s="100" t="n"/>
      <c r="I2081" s="100" t="n"/>
      <c r="J2081" s="100" t="n"/>
      <c r="K2081" s="100" t="n"/>
      <c r="L2081" s="100" t="n"/>
      <c r="M2081" s="100" t="n"/>
      <c r="N2081" s="100" t="n"/>
      <c r="O2081" s="100" t="n"/>
      <c r="P2081" s="100" t="n"/>
      <c r="Q2081" s="100" t="n"/>
      <c r="R2081" s="100" t="n"/>
      <c r="S2081" s="100" t="n"/>
      <c r="T2081" s="100" t="n"/>
      <c r="U2081" s="100" t="n"/>
      <c r="V2081" s="100" t="n"/>
      <c r="W2081" s="100" t="n"/>
      <c r="X2081" s="100" t="n"/>
      <c r="Y2081" s="100" t="n"/>
      <c r="Z2081" s="100" t="n"/>
      <c r="AA2081" s="100" t="n"/>
      <c r="AB2081" s="100" t="n"/>
      <c r="AC2081" s="100" t="n"/>
      <c r="AD2081" s="100" t="n"/>
      <c r="AE2081" s="100" t="n"/>
      <c r="AF2081" s="100" t="n"/>
      <c r="AG2081" s="100" t="n"/>
      <c r="AH2081" s="100" t="n"/>
      <c r="AI2081" s="100" t="n"/>
      <c r="AJ2081" s="100" t="n"/>
      <c r="AK2081" s="100" t="n"/>
      <c r="AL2081" s="100" t="n"/>
      <c r="AM2081" s="100" t="n"/>
      <c r="AN2081" s="100" t="n"/>
      <c r="AO2081" s="100" t="n"/>
      <c r="AP2081" s="100" t="n"/>
      <c r="AQ2081" s="100" t="n"/>
      <c r="AR2081" s="100" t="n"/>
    </row>
    <row r="2084">
      <c r="A2084" s="2">
        <f>IF($A2077="","","   projections")</f>
        <v/>
      </c>
      <c r="B2084" s="96">
        <f>IF($A2077="",0,COUNT($E2085:$AR2085))</f>
        <v/>
      </c>
      <c r="C2084" s="97">
        <f>IF($B2084=0,0,MAX($E2085:$AR2085))</f>
        <v/>
      </c>
      <c r="D2084" s="98">
        <f>BDS($A2077,FLD_PROJ,"headers=y","startcol=1","endcol=3","dir=h")</f>
        <v/>
      </c>
      <c r="E2084" s="99" t="n"/>
      <c r="F2084" s="99" t="n"/>
      <c r="G2084" s="99" t="n"/>
      <c r="H2084" s="99" t="n"/>
      <c r="I2084" s="99" t="n"/>
      <c r="J2084" s="99" t="n"/>
      <c r="K2084" s="99" t="n"/>
      <c r="L2084" s="99" t="n"/>
      <c r="M2084" s="99" t="n"/>
      <c r="N2084" s="99" t="n"/>
      <c r="O2084" s="99" t="n"/>
      <c r="P2084" s="99" t="n"/>
      <c r="Q2084" s="99" t="n"/>
      <c r="R2084" s="99" t="n"/>
      <c r="S2084" s="99" t="n"/>
      <c r="T2084" s="99" t="n"/>
      <c r="U2084" s="99" t="n"/>
      <c r="V2084" s="99" t="n"/>
      <c r="W2084" s="99" t="n"/>
      <c r="X2084" s="99" t="n"/>
      <c r="Y2084" s="99" t="n"/>
      <c r="Z2084" s="99" t="n"/>
      <c r="AA2084" s="99" t="n"/>
      <c r="AB2084" s="99" t="n"/>
      <c r="AC2084" s="99" t="n"/>
      <c r="AD2084" s="99" t="n"/>
      <c r="AE2084" s="99" t="n"/>
      <c r="AF2084" s="99" t="n"/>
      <c r="AG2084" s="99" t="n"/>
      <c r="AH2084" s="99" t="n"/>
      <c r="AI2084" s="99" t="n"/>
      <c r="AJ2084" s="99" t="n"/>
      <c r="AK2084" s="99" t="n"/>
      <c r="AL2084" s="99" t="n"/>
      <c r="AM2084" s="99" t="n"/>
      <c r="AN2084" s="99" t="n"/>
      <c r="AO2084" s="99" t="n"/>
      <c r="AP2084" s="99" t="n"/>
      <c r="AQ2084" s="99" t="n"/>
      <c r="AR2084" s="99" t="n"/>
    </row>
    <row r="2085">
      <c r="D2085" s="99" t="n"/>
      <c r="E2085" s="99" t="n"/>
      <c r="F2085" s="99" t="n"/>
      <c r="G2085" s="99" t="n"/>
      <c r="H2085" s="99" t="n"/>
      <c r="I2085" s="99" t="n"/>
      <c r="J2085" s="99" t="n"/>
      <c r="K2085" s="99" t="n"/>
      <c r="L2085" s="99" t="n"/>
      <c r="M2085" s="99" t="n"/>
      <c r="N2085" s="99" t="n"/>
      <c r="O2085" s="99" t="n"/>
      <c r="P2085" s="99" t="n"/>
      <c r="Q2085" s="99" t="n"/>
      <c r="R2085" s="99" t="n"/>
      <c r="S2085" s="99" t="n"/>
      <c r="T2085" s="99" t="n"/>
      <c r="U2085" s="99" t="n"/>
      <c r="V2085" s="99" t="n"/>
      <c r="W2085" s="99" t="n"/>
      <c r="X2085" s="99" t="n"/>
      <c r="Y2085" s="99" t="n"/>
      <c r="Z2085" s="99" t="n"/>
      <c r="AA2085" s="99" t="n"/>
      <c r="AB2085" s="99" t="n"/>
      <c r="AC2085" s="99" t="n"/>
      <c r="AD2085" s="99" t="n"/>
      <c r="AE2085" s="99" t="n"/>
      <c r="AF2085" s="99" t="n"/>
      <c r="AG2085" s="99" t="n"/>
      <c r="AH2085" s="99" t="n"/>
      <c r="AI2085" s="99" t="n"/>
      <c r="AJ2085" s="99" t="n"/>
      <c r="AK2085" s="99" t="n"/>
      <c r="AL2085" s="99" t="n"/>
      <c r="AM2085" s="99" t="n"/>
      <c r="AN2085" s="99" t="n"/>
      <c r="AO2085" s="99" t="n"/>
      <c r="AP2085" s="99" t="n"/>
      <c r="AQ2085" s="99" t="n"/>
      <c r="AR2085" s="99" t="n"/>
    </row>
    <row r="2086">
      <c r="D2086" s="100" t="n"/>
      <c r="E2086" s="100" t="n"/>
      <c r="F2086" s="100" t="n"/>
      <c r="G2086" s="100" t="n"/>
      <c r="H2086" s="100" t="n"/>
      <c r="I2086" s="100" t="n"/>
      <c r="J2086" s="100" t="n"/>
      <c r="K2086" s="100" t="n"/>
      <c r="L2086" s="100" t="n"/>
      <c r="M2086" s="100" t="n"/>
      <c r="N2086" s="100" t="n"/>
      <c r="O2086" s="100" t="n"/>
      <c r="P2086" s="100" t="n"/>
      <c r="Q2086" s="100" t="n"/>
      <c r="R2086" s="100" t="n"/>
      <c r="S2086" s="100" t="n"/>
      <c r="T2086" s="100" t="n"/>
      <c r="U2086" s="100" t="n"/>
      <c r="V2086" s="100" t="n"/>
      <c r="W2086" s="100" t="n"/>
      <c r="X2086" s="100" t="n"/>
      <c r="Y2086" s="100" t="n"/>
      <c r="Z2086" s="100" t="n"/>
      <c r="AA2086" s="100" t="n"/>
      <c r="AB2086" s="100" t="n"/>
      <c r="AC2086" s="100" t="n"/>
      <c r="AD2086" s="100" t="n"/>
      <c r="AE2086" s="100" t="n"/>
      <c r="AF2086" s="100" t="n"/>
      <c r="AG2086" s="100" t="n"/>
      <c r="AH2086" s="100" t="n"/>
      <c r="AI2086" s="100" t="n"/>
      <c r="AJ2086" s="100" t="n"/>
      <c r="AK2086" s="100" t="n"/>
      <c r="AL2086" s="100" t="n"/>
      <c r="AM2086" s="100" t="n"/>
      <c r="AN2086" s="100" t="n"/>
      <c r="AO2086" s="100" t="n"/>
      <c r="AP2086" s="100" t="n"/>
      <c r="AQ2086" s="100" t="n"/>
      <c r="AR2086" s="100" t="n"/>
    </row>
    <row r="2088">
      <c r="A2088" s="6">
        <f>IF(HSCEI!$C$55="","",HSCEI!$C$55)</f>
        <v/>
      </c>
      <c r="B2088" s="96">
        <f>IF($A2088="",0,COUNT($E2089:$AR2089))</f>
        <v/>
      </c>
      <c r="C2088" s="97">
        <f>IF($B2088=0,0,MAX($E2089:$AR2089))</f>
        <v/>
      </c>
      <c r="D2088" s="98">
        <f>BDS($A2088,FLD_HIST,"headers=y","startcol=1","endcol=7","dir=h","DVD_START_DT",HIST_FROM,"DVD_END_DT",HIST_TO)</f>
        <v/>
      </c>
      <c r="E2088" s="99" t="n"/>
      <c r="F2088" s="99" t="n"/>
      <c r="G2088" s="99" t="n"/>
      <c r="H2088" s="99" t="n"/>
      <c r="I2088" s="99" t="n"/>
      <c r="J2088" s="99" t="n"/>
      <c r="K2088" s="99" t="n"/>
      <c r="L2088" s="99" t="n"/>
      <c r="M2088" s="99" t="n"/>
      <c r="N2088" s="99" t="n"/>
      <c r="O2088" s="99" t="n"/>
      <c r="P2088" s="99" t="n"/>
      <c r="Q2088" s="99" t="n"/>
      <c r="R2088" s="99" t="n"/>
      <c r="S2088" s="99" t="n"/>
      <c r="T2088" s="99" t="n"/>
      <c r="U2088" s="99" t="n"/>
      <c r="V2088" s="99" t="n"/>
      <c r="W2088" s="99" t="n"/>
      <c r="X2088" s="99" t="n"/>
      <c r="Y2088" s="99" t="n"/>
      <c r="Z2088" s="99" t="n"/>
      <c r="AA2088" s="99" t="n"/>
      <c r="AB2088" s="99" t="n"/>
      <c r="AC2088" s="99" t="n"/>
      <c r="AD2088" s="99" t="n"/>
      <c r="AE2088" s="99" t="n"/>
      <c r="AF2088" s="99" t="n"/>
      <c r="AG2088" s="99" t="n"/>
      <c r="AH2088" s="99" t="n"/>
      <c r="AI2088" s="99" t="n"/>
      <c r="AJ2088" s="99" t="n"/>
      <c r="AK2088" s="99" t="n"/>
      <c r="AL2088" s="99" t="n"/>
      <c r="AM2088" s="99" t="n"/>
      <c r="AN2088" s="99" t="n"/>
      <c r="AO2088" s="99" t="n"/>
      <c r="AP2088" s="99" t="n"/>
      <c r="AQ2088" s="99" t="n"/>
      <c r="AR2088" s="99" t="n"/>
    </row>
    <row r="2089">
      <c r="D2089" s="99" t="n"/>
      <c r="E2089" s="99" t="n"/>
      <c r="F2089" s="99" t="n"/>
      <c r="G2089" s="99" t="n"/>
      <c r="H2089" s="99" t="n"/>
      <c r="I2089" s="99" t="n"/>
      <c r="J2089" s="99" t="n"/>
      <c r="K2089" s="99" t="n"/>
      <c r="L2089" s="99" t="n"/>
      <c r="M2089" s="99" t="n"/>
      <c r="N2089" s="99" t="n"/>
      <c r="O2089" s="99" t="n"/>
      <c r="P2089" s="99" t="n"/>
      <c r="Q2089" s="99" t="n"/>
      <c r="R2089" s="99" t="n"/>
      <c r="S2089" s="99" t="n"/>
      <c r="T2089" s="99" t="n"/>
      <c r="U2089" s="99" t="n"/>
      <c r="V2089" s="99" t="n"/>
      <c r="W2089" s="99" t="n"/>
      <c r="X2089" s="99" t="n"/>
      <c r="Y2089" s="99" t="n"/>
      <c r="Z2089" s="99" t="n"/>
      <c r="AA2089" s="99" t="n"/>
      <c r="AB2089" s="99" t="n"/>
      <c r="AC2089" s="99" t="n"/>
      <c r="AD2089" s="99" t="n"/>
      <c r="AE2089" s="99" t="n"/>
      <c r="AF2089" s="99" t="n"/>
      <c r="AG2089" s="99" t="n"/>
      <c r="AH2089" s="99" t="n"/>
      <c r="AI2089" s="99" t="n"/>
      <c r="AJ2089" s="99" t="n"/>
      <c r="AK2089" s="99" t="n"/>
      <c r="AL2089" s="99" t="n"/>
      <c r="AM2089" s="99" t="n"/>
      <c r="AN2089" s="99" t="n"/>
      <c r="AO2089" s="99" t="n"/>
      <c r="AP2089" s="99" t="n"/>
      <c r="AQ2089" s="99" t="n"/>
      <c r="AR2089" s="99" t="n"/>
    </row>
    <row r="2090">
      <c r="D2090" s="99" t="n"/>
      <c r="E2090" s="99" t="n"/>
      <c r="F2090" s="99" t="n"/>
      <c r="G2090" s="99" t="n"/>
      <c r="H2090" s="99" t="n"/>
      <c r="I2090" s="99" t="n"/>
      <c r="J2090" s="99" t="n"/>
      <c r="K2090" s="99" t="n"/>
      <c r="L2090" s="99" t="n"/>
      <c r="M2090" s="99" t="n"/>
      <c r="N2090" s="99" t="n"/>
      <c r="O2090" s="99" t="n"/>
      <c r="P2090" s="99" t="n"/>
      <c r="Q2090" s="99" t="n"/>
      <c r="R2090" s="99" t="n"/>
      <c r="S2090" s="99" t="n"/>
      <c r="T2090" s="99" t="n"/>
      <c r="U2090" s="99" t="n"/>
      <c r="V2090" s="99" t="n"/>
      <c r="W2090" s="99" t="n"/>
      <c r="X2090" s="99" t="n"/>
      <c r="Y2090" s="99" t="n"/>
      <c r="Z2090" s="99" t="n"/>
      <c r="AA2090" s="99" t="n"/>
      <c r="AB2090" s="99" t="n"/>
      <c r="AC2090" s="99" t="n"/>
      <c r="AD2090" s="99" t="n"/>
      <c r="AE2090" s="99" t="n"/>
      <c r="AF2090" s="99" t="n"/>
      <c r="AG2090" s="99" t="n"/>
      <c r="AH2090" s="99" t="n"/>
      <c r="AI2090" s="99" t="n"/>
      <c r="AJ2090" s="99" t="n"/>
      <c r="AK2090" s="99" t="n"/>
      <c r="AL2090" s="99" t="n"/>
      <c r="AM2090" s="99" t="n"/>
      <c r="AN2090" s="99" t="n"/>
      <c r="AO2090" s="99" t="n"/>
      <c r="AP2090" s="99" t="n"/>
      <c r="AQ2090" s="99" t="n"/>
      <c r="AR2090" s="99" t="n"/>
    </row>
    <row r="2091">
      <c r="D2091" s="99" t="n"/>
      <c r="E2091" s="99" t="n"/>
      <c r="F2091" s="99" t="n"/>
      <c r="G2091" s="99" t="n"/>
      <c r="H2091" s="99" t="n"/>
      <c r="I2091" s="99" t="n"/>
      <c r="J2091" s="99" t="n"/>
      <c r="K2091" s="99" t="n"/>
      <c r="L2091" s="99" t="n"/>
      <c r="M2091" s="99" t="n"/>
      <c r="N2091" s="99" t="n"/>
      <c r="O2091" s="99" t="n"/>
      <c r="P2091" s="99" t="n"/>
      <c r="Q2091" s="99" t="n"/>
      <c r="R2091" s="99" t="n"/>
      <c r="S2091" s="99" t="n"/>
      <c r="T2091" s="99" t="n"/>
      <c r="U2091" s="99" t="n"/>
      <c r="V2091" s="99" t="n"/>
      <c r="W2091" s="99" t="n"/>
      <c r="X2091" s="99" t="n"/>
      <c r="Y2091" s="99" t="n"/>
      <c r="Z2091" s="99" t="n"/>
      <c r="AA2091" s="99" t="n"/>
      <c r="AB2091" s="99" t="n"/>
      <c r="AC2091" s="99" t="n"/>
      <c r="AD2091" s="99" t="n"/>
      <c r="AE2091" s="99" t="n"/>
      <c r="AF2091" s="99" t="n"/>
      <c r="AG2091" s="99" t="n"/>
      <c r="AH2091" s="99" t="n"/>
      <c r="AI2091" s="99" t="n"/>
      <c r="AJ2091" s="99" t="n"/>
      <c r="AK2091" s="99" t="n"/>
      <c r="AL2091" s="99" t="n"/>
      <c r="AM2091" s="99" t="n"/>
      <c r="AN2091" s="99" t="n"/>
      <c r="AO2091" s="99" t="n"/>
      <c r="AP2091" s="99" t="n"/>
      <c r="AQ2091" s="99" t="n"/>
      <c r="AR2091" s="99" t="n"/>
    </row>
    <row r="2092">
      <c r="D2092" s="100" t="n"/>
      <c r="E2092" s="100" t="n"/>
      <c r="F2092" s="100" t="n"/>
      <c r="G2092" s="100" t="n"/>
      <c r="H2092" s="100" t="n"/>
      <c r="I2092" s="100" t="n"/>
      <c r="J2092" s="100" t="n"/>
      <c r="K2092" s="100" t="n"/>
      <c r="L2092" s="100" t="n"/>
      <c r="M2092" s="100" t="n"/>
      <c r="N2092" s="100" t="n"/>
      <c r="O2092" s="100" t="n"/>
      <c r="P2092" s="100" t="n"/>
      <c r="Q2092" s="100" t="n"/>
      <c r="R2092" s="100" t="n"/>
      <c r="S2092" s="100" t="n"/>
      <c r="T2092" s="100" t="n"/>
      <c r="U2092" s="100" t="n"/>
      <c r="V2092" s="100" t="n"/>
      <c r="W2092" s="100" t="n"/>
      <c r="X2092" s="100" t="n"/>
      <c r="Y2092" s="100" t="n"/>
      <c r="Z2092" s="100" t="n"/>
      <c r="AA2092" s="100" t="n"/>
      <c r="AB2092" s="100" t="n"/>
      <c r="AC2092" s="100" t="n"/>
      <c r="AD2092" s="100" t="n"/>
      <c r="AE2092" s="100" t="n"/>
      <c r="AF2092" s="100" t="n"/>
      <c r="AG2092" s="100" t="n"/>
      <c r="AH2092" s="100" t="n"/>
      <c r="AI2092" s="100" t="n"/>
      <c r="AJ2092" s="100" t="n"/>
      <c r="AK2092" s="100" t="n"/>
      <c r="AL2092" s="100" t="n"/>
      <c r="AM2092" s="100" t="n"/>
      <c r="AN2092" s="100" t="n"/>
      <c r="AO2092" s="100" t="n"/>
      <c r="AP2092" s="100" t="n"/>
      <c r="AQ2092" s="100" t="n"/>
      <c r="AR2092" s="100" t="n"/>
    </row>
    <row r="2095">
      <c r="A2095" s="2">
        <f>IF($A2088="","","   projections")</f>
        <v/>
      </c>
      <c r="B2095" s="96">
        <f>IF($A2088="",0,COUNT($E2096:$AR2096))</f>
        <v/>
      </c>
      <c r="C2095" s="97">
        <f>IF($B2095=0,0,MAX($E2096:$AR2096))</f>
        <v/>
      </c>
      <c r="D2095" s="98">
        <f>BDS($A2088,FLD_PROJ,"headers=y","startcol=1","endcol=3","dir=h")</f>
        <v/>
      </c>
      <c r="E2095" s="99" t="n"/>
      <c r="F2095" s="99" t="n"/>
      <c r="G2095" s="99" t="n"/>
      <c r="H2095" s="99" t="n"/>
      <c r="I2095" s="99" t="n"/>
      <c r="J2095" s="99" t="n"/>
      <c r="K2095" s="99" t="n"/>
      <c r="L2095" s="99" t="n"/>
      <c r="M2095" s="99" t="n"/>
      <c r="N2095" s="99" t="n"/>
      <c r="O2095" s="99" t="n"/>
      <c r="P2095" s="99" t="n"/>
      <c r="Q2095" s="99" t="n"/>
      <c r="R2095" s="99" t="n"/>
      <c r="S2095" s="99" t="n"/>
      <c r="T2095" s="99" t="n"/>
      <c r="U2095" s="99" t="n"/>
      <c r="V2095" s="99" t="n"/>
      <c r="W2095" s="99" t="n"/>
      <c r="X2095" s="99" t="n"/>
      <c r="Y2095" s="99" t="n"/>
      <c r="Z2095" s="99" t="n"/>
      <c r="AA2095" s="99" t="n"/>
      <c r="AB2095" s="99" t="n"/>
      <c r="AC2095" s="99" t="n"/>
      <c r="AD2095" s="99" t="n"/>
      <c r="AE2095" s="99" t="n"/>
      <c r="AF2095" s="99" t="n"/>
      <c r="AG2095" s="99" t="n"/>
      <c r="AH2095" s="99" t="n"/>
      <c r="AI2095" s="99" t="n"/>
      <c r="AJ2095" s="99" t="n"/>
      <c r="AK2095" s="99" t="n"/>
      <c r="AL2095" s="99" t="n"/>
      <c r="AM2095" s="99" t="n"/>
      <c r="AN2095" s="99" t="n"/>
      <c r="AO2095" s="99" t="n"/>
      <c r="AP2095" s="99" t="n"/>
      <c r="AQ2095" s="99" t="n"/>
      <c r="AR2095" s="99" t="n"/>
    </row>
    <row r="2096">
      <c r="D2096" s="99" t="n"/>
      <c r="E2096" s="99" t="n"/>
      <c r="F2096" s="99" t="n"/>
      <c r="G2096" s="99" t="n"/>
      <c r="H2096" s="99" t="n"/>
      <c r="I2096" s="99" t="n"/>
      <c r="J2096" s="99" t="n"/>
      <c r="K2096" s="99" t="n"/>
      <c r="L2096" s="99" t="n"/>
      <c r="M2096" s="99" t="n"/>
      <c r="N2096" s="99" t="n"/>
      <c r="O2096" s="99" t="n"/>
      <c r="P2096" s="99" t="n"/>
      <c r="Q2096" s="99" t="n"/>
      <c r="R2096" s="99" t="n"/>
      <c r="S2096" s="99" t="n"/>
      <c r="T2096" s="99" t="n"/>
      <c r="U2096" s="99" t="n"/>
      <c r="V2096" s="99" t="n"/>
      <c r="W2096" s="99" t="n"/>
      <c r="X2096" s="99" t="n"/>
      <c r="Y2096" s="99" t="n"/>
      <c r="Z2096" s="99" t="n"/>
      <c r="AA2096" s="99" t="n"/>
      <c r="AB2096" s="99" t="n"/>
      <c r="AC2096" s="99" t="n"/>
      <c r="AD2096" s="99" t="n"/>
      <c r="AE2096" s="99" t="n"/>
      <c r="AF2096" s="99" t="n"/>
      <c r="AG2096" s="99" t="n"/>
      <c r="AH2096" s="99" t="n"/>
      <c r="AI2096" s="99" t="n"/>
      <c r="AJ2096" s="99" t="n"/>
      <c r="AK2096" s="99" t="n"/>
      <c r="AL2096" s="99" t="n"/>
      <c r="AM2096" s="99" t="n"/>
      <c r="AN2096" s="99" t="n"/>
      <c r="AO2096" s="99" t="n"/>
      <c r="AP2096" s="99" t="n"/>
      <c r="AQ2096" s="99" t="n"/>
      <c r="AR2096" s="99" t="n"/>
    </row>
    <row r="2097">
      <c r="D2097" s="100" t="n"/>
      <c r="E2097" s="100" t="n"/>
      <c r="F2097" s="100" t="n"/>
      <c r="G2097" s="100" t="n"/>
      <c r="H2097" s="100" t="n"/>
      <c r="I2097" s="100" t="n"/>
      <c r="J2097" s="100" t="n"/>
      <c r="K2097" s="100" t="n"/>
      <c r="L2097" s="100" t="n"/>
      <c r="M2097" s="100" t="n"/>
      <c r="N2097" s="100" t="n"/>
      <c r="O2097" s="100" t="n"/>
      <c r="P2097" s="100" t="n"/>
      <c r="Q2097" s="100" t="n"/>
      <c r="R2097" s="100" t="n"/>
      <c r="S2097" s="100" t="n"/>
      <c r="T2097" s="100" t="n"/>
      <c r="U2097" s="100" t="n"/>
      <c r="V2097" s="100" t="n"/>
      <c r="W2097" s="100" t="n"/>
      <c r="X2097" s="100" t="n"/>
      <c r="Y2097" s="100" t="n"/>
      <c r="Z2097" s="100" t="n"/>
      <c r="AA2097" s="100" t="n"/>
      <c r="AB2097" s="100" t="n"/>
      <c r="AC2097" s="100" t="n"/>
      <c r="AD2097" s="100" t="n"/>
      <c r="AE2097" s="100" t="n"/>
      <c r="AF2097" s="100" t="n"/>
      <c r="AG2097" s="100" t="n"/>
      <c r="AH2097" s="100" t="n"/>
      <c r="AI2097" s="100" t="n"/>
      <c r="AJ2097" s="100" t="n"/>
      <c r="AK2097" s="100" t="n"/>
      <c r="AL2097" s="100" t="n"/>
      <c r="AM2097" s="100" t="n"/>
      <c r="AN2097" s="100" t="n"/>
      <c r="AO2097" s="100" t="n"/>
      <c r="AP2097" s="100" t="n"/>
      <c r="AQ2097" s="100" t="n"/>
      <c r="AR2097" s="100" t="n"/>
    </row>
    <row r="2099">
      <c r="A2099" s="6">
        <f>IF(HSCEI!$C$56="","",HSCEI!$C$56)</f>
        <v/>
      </c>
      <c r="B2099" s="96">
        <f>IF($A2099="",0,COUNT($E2100:$AR2100))</f>
        <v/>
      </c>
      <c r="C2099" s="97">
        <f>IF($B2099=0,0,MAX($E2100:$AR2100))</f>
        <v/>
      </c>
      <c r="D2099" s="98">
        <f>BDS($A2099,FLD_HIST,"headers=y","startcol=1","endcol=7","dir=h","DVD_START_DT",HIST_FROM,"DVD_END_DT",HIST_TO)</f>
        <v/>
      </c>
      <c r="E2099" s="99" t="n"/>
      <c r="F2099" s="99" t="n"/>
      <c r="G2099" s="99" t="n"/>
      <c r="H2099" s="99" t="n"/>
      <c r="I2099" s="99" t="n"/>
      <c r="J2099" s="99" t="n"/>
      <c r="K2099" s="99" t="n"/>
      <c r="L2099" s="99" t="n"/>
      <c r="M2099" s="99" t="n"/>
      <c r="N2099" s="99" t="n"/>
      <c r="O2099" s="99" t="n"/>
      <c r="P2099" s="99" t="n"/>
      <c r="Q2099" s="99" t="n"/>
      <c r="R2099" s="99" t="n"/>
      <c r="S2099" s="99" t="n"/>
      <c r="T2099" s="99" t="n"/>
      <c r="U2099" s="99" t="n"/>
      <c r="V2099" s="99" t="n"/>
      <c r="W2099" s="99" t="n"/>
      <c r="X2099" s="99" t="n"/>
      <c r="Y2099" s="99" t="n"/>
      <c r="Z2099" s="99" t="n"/>
      <c r="AA2099" s="99" t="n"/>
      <c r="AB2099" s="99" t="n"/>
      <c r="AC2099" s="99" t="n"/>
      <c r="AD2099" s="99" t="n"/>
      <c r="AE2099" s="99" t="n"/>
      <c r="AF2099" s="99" t="n"/>
      <c r="AG2099" s="99" t="n"/>
      <c r="AH2099" s="99" t="n"/>
      <c r="AI2099" s="99" t="n"/>
      <c r="AJ2099" s="99" t="n"/>
      <c r="AK2099" s="99" t="n"/>
      <c r="AL2099" s="99" t="n"/>
      <c r="AM2099" s="99" t="n"/>
      <c r="AN2099" s="99" t="n"/>
      <c r="AO2099" s="99" t="n"/>
      <c r="AP2099" s="99" t="n"/>
      <c r="AQ2099" s="99" t="n"/>
      <c r="AR2099" s="99" t="n"/>
    </row>
    <row r="2100">
      <c r="D2100" s="99" t="n"/>
      <c r="E2100" s="99" t="n"/>
      <c r="F2100" s="99" t="n"/>
      <c r="G2100" s="99" t="n"/>
      <c r="H2100" s="99" t="n"/>
      <c r="I2100" s="99" t="n"/>
      <c r="J2100" s="99" t="n"/>
      <c r="K2100" s="99" t="n"/>
      <c r="L2100" s="99" t="n"/>
      <c r="M2100" s="99" t="n"/>
      <c r="N2100" s="99" t="n"/>
      <c r="O2100" s="99" t="n"/>
      <c r="P2100" s="99" t="n"/>
      <c r="Q2100" s="99" t="n"/>
      <c r="R2100" s="99" t="n"/>
      <c r="S2100" s="99" t="n"/>
      <c r="T2100" s="99" t="n"/>
      <c r="U2100" s="99" t="n"/>
      <c r="V2100" s="99" t="n"/>
      <c r="W2100" s="99" t="n"/>
      <c r="X2100" s="99" t="n"/>
      <c r="Y2100" s="99" t="n"/>
      <c r="Z2100" s="99" t="n"/>
      <c r="AA2100" s="99" t="n"/>
      <c r="AB2100" s="99" t="n"/>
      <c r="AC2100" s="99" t="n"/>
      <c r="AD2100" s="99" t="n"/>
      <c r="AE2100" s="99" t="n"/>
      <c r="AF2100" s="99" t="n"/>
      <c r="AG2100" s="99" t="n"/>
      <c r="AH2100" s="99" t="n"/>
      <c r="AI2100" s="99" t="n"/>
      <c r="AJ2100" s="99" t="n"/>
      <c r="AK2100" s="99" t="n"/>
      <c r="AL2100" s="99" t="n"/>
      <c r="AM2100" s="99" t="n"/>
      <c r="AN2100" s="99" t="n"/>
      <c r="AO2100" s="99" t="n"/>
      <c r="AP2100" s="99" t="n"/>
      <c r="AQ2100" s="99" t="n"/>
      <c r="AR2100" s="99" t="n"/>
    </row>
    <row r="2101">
      <c r="D2101" s="99" t="n"/>
      <c r="E2101" s="99" t="n"/>
      <c r="F2101" s="99" t="n"/>
      <c r="G2101" s="99" t="n"/>
      <c r="H2101" s="99" t="n"/>
      <c r="I2101" s="99" t="n"/>
      <c r="J2101" s="99" t="n"/>
      <c r="K2101" s="99" t="n"/>
      <c r="L2101" s="99" t="n"/>
      <c r="M2101" s="99" t="n"/>
      <c r="N2101" s="99" t="n"/>
      <c r="O2101" s="99" t="n"/>
      <c r="P2101" s="99" t="n"/>
      <c r="Q2101" s="99" t="n"/>
      <c r="R2101" s="99" t="n"/>
      <c r="S2101" s="99" t="n"/>
      <c r="T2101" s="99" t="n"/>
      <c r="U2101" s="99" t="n"/>
      <c r="V2101" s="99" t="n"/>
      <c r="W2101" s="99" t="n"/>
      <c r="X2101" s="99" t="n"/>
      <c r="Y2101" s="99" t="n"/>
      <c r="Z2101" s="99" t="n"/>
      <c r="AA2101" s="99" t="n"/>
      <c r="AB2101" s="99" t="n"/>
      <c r="AC2101" s="99" t="n"/>
      <c r="AD2101" s="99" t="n"/>
      <c r="AE2101" s="99" t="n"/>
      <c r="AF2101" s="99" t="n"/>
      <c r="AG2101" s="99" t="n"/>
      <c r="AH2101" s="99" t="n"/>
      <c r="AI2101" s="99" t="n"/>
      <c r="AJ2101" s="99" t="n"/>
      <c r="AK2101" s="99" t="n"/>
      <c r="AL2101" s="99" t="n"/>
      <c r="AM2101" s="99" t="n"/>
      <c r="AN2101" s="99" t="n"/>
      <c r="AO2101" s="99" t="n"/>
      <c r="AP2101" s="99" t="n"/>
      <c r="AQ2101" s="99" t="n"/>
      <c r="AR2101" s="99" t="n"/>
    </row>
    <row r="2102">
      <c r="D2102" s="99" t="n"/>
      <c r="E2102" s="99" t="n"/>
      <c r="F2102" s="99" t="n"/>
      <c r="G2102" s="99" t="n"/>
      <c r="H2102" s="99" t="n"/>
      <c r="I2102" s="99" t="n"/>
      <c r="J2102" s="99" t="n"/>
      <c r="K2102" s="99" t="n"/>
      <c r="L2102" s="99" t="n"/>
      <c r="M2102" s="99" t="n"/>
      <c r="N2102" s="99" t="n"/>
      <c r="O2102" s="99" t="n"/>
      <c r="P2102" s="99" t="n"/>
      <c r="Q2102" s="99" t="n"/>
      <c r="R2102" s="99" t="n"/>
      <c r="S2102" s="99" t="n"/>
      <c r="T2102" s="99" t="n"/>
      <c r="U2102" s="99" t="n"/>
      <c r="V2102" s="99" t="n"/>
      <c r="W2102" s="99" t="n"/>
      <c r="X2102" s="99" t="n"/>
      <c r="Y2102" s="99" t="n"/>
      <c r="Z2102" s="99" t="n"/>
      <c r="AA2102" s="99" t="n"/>
      <c r="AB2102" s="99" t="n"/>
      <c r="AC2102" s="99" t="n"/>
      <c r="AD2102" s="99" t="n"/>
      <c r="AE2102" s="99" t="n"/>
      <c r="AF2102" s="99" t="n"/>
      <c r="AG2102" s="99" t="n"/>
      <c r="AH2102" s="99" t="n"/>
      <c r="AI2102" s="99" t="n"/>
      <c r="AJ2102" s="99" t="n"/>
      <c r="AK2102" s="99" t="n"/>
      <c r="AL2102" s="99" t="n"/>
      <c r="AM2102" s="99" t="n"/>
      <c r="AN2102" s="99" t="n"/>
      <c r="AO2102" s="99" t="n"/>
      <c r="AP2102" s="99" t="n"/>
      <c r="AQ2102" s="99" t="n"/>
      <c r="AR2102" s="99" t="n"/>
    </row>
    <row r="2103">
      <c r="D2103" s="100" t="n"/>
      <c r="E2103" s="100" t="n"/>
      <c r="F2103" s="100" t="n"/>
      <c r="G2103" s="100" t="n"/>
      <c r="H2103" s="100" t="n"/>
      <c r="I2103" s="100" t="n"/>
      <c r="J2103" s="100" t="n"/>
      <c r="K2103" s="100" t="n"/>
      <c r="L2103" s="100" t="n"/>
      <c r="M2103" s="100" t="n"/>
      <c r="N2103" s="100" t="n"/>
      <c r="O2103" s="100" t="n"/>
      <c r="P2103" s="100" t="n"/>
      <c r="Q2103" s="100" t="n"/>
      <c r="R2103" s="100" t="n"/>
      <c r="S2103" s="100" t="n"/>
      <c r="T2103" s="100" t="n"/>
      <c r="U2103" s="100" t="n"/>
      <c r="V2103" s="100" t="n"/>
      <c r="W2103" s="100" t="n"/>
      <c r="X2103" s="100" t="n"/>
      <c r="Y2103" s="100" t="n"/>
      <c r="Z2103" s="100" t="n"/>
      <c r="AA2103" s="100" t="n"/>
      <c r="AB2103" s="100" t="n"/>
      <c r="AC2103" s="100" t="n"/>
      <c r="AD2103" s="100" t="n"/>
      <c r="AE2103" s="100" t="n"/>
      <c r="AF2103" s="100" t="n"/>
      <c r="AG2103" s="100" t="n"/>
      <c r="AH2103" s="100" t="n"/>
      <c r="AI2103" s="100" t="n"/>
      <c r="AJ2103" s="100" t="n"/>
      <c r="AK2103" s="100" t="n"/>
      <c r="AL2103" s="100" t="n"/>
      <c r="AM2103" s="100" t="n"/>
      <c r="AN2103" s="100" t="n"/>
      <c r="AO2103" s="100" t="n"/>
      <c r="AP2103" s="100" t="n"/>
      <c r="AQ2103" s="100" t="n"/>
      <c r="AR2103" s="100" t="n"/>
    </row>
    <row r="2106">
      <c r="A2106" s="2">
        <f>IF($A2099="","","   projections")</f>
        <v/>
      </c>
      <c r="B2106" s="96">
        <f>IF($A2099="",0,COUNT($E2107:$AR2107))</f>
        <v/>
      </c>
      <c r="C2106" s="97">
        <f>IF($B2106=0,0,MAX($E2107:$AR2107))</f>
        <v/>
      </c>
      <c r="D2106" s="98">
        <f>BDS($A2099,FLD_PROJ,"headers=y","startcol=1","endcol=3","dir=h")</f>
        <v/>
      </c>
      <c r="E2106" s="99" t="n"/>
      <c r="F2106" s="99" t="n"/>
      <c r="G2106" s="99" t="n"/>
      <c r="H2106" s="99" t="n"/>
      <c r="I2106" s="99" t="n"/>
      <c r="J2106" s="99" t="n"/>
      <c r="K2106" s="99" t="n"/>
      <c r="L2106" s="99" t="n"/>
      <c r="M2106" s="99" t="n"/>
      <c r="N2106" s="99" t="n"/>
      <c r="O2106" s="99" t="n"/>
      <c r="P2106" s="99" t="n"/>
      <c r="Q2106" s="99" t="n"/>
      <c r="R2106" s="99" t="n"/>
      <c r="S2106" s="99" t="n"/>
      <c r="T2106" s="99" t="n"/>
      <c r="U2106" s="99" t="n"/>
      <c r="V2106" s="99" t="n"/>
      <c r="W2106" s="99" t="n"/>
      <c r="X2106" s="99" t="n"/>
      <c r="Y2106" s="99" t="n"/>
      <c r="Z2106" s="99" t="n"/>
      <c r="AA2106" s="99" t="n"/>
      <c r="AB2106" s="99" t="n"/>
      <c r="AC2106" s="99" t="n"/>
      <c r="AD2106" s="99" t="n"/>
      <c r="AE2106" s="99" t="n"/>
      <c r="AF2106" s="99" t="n"/>
      <c r="AG2106" s="99" t="n"/>
      <c r="AH2106" s="99" t="n"/>
      <c r="AI2106" s="99" t="n"/>
      <c r="AJ2106" s="99" t="n"/>
      <c r="AK2106" s="99" t="n"/>
      <c r="AL2106" s="99" t="n"/>
      <c r="AM2106" s="99" t="n"/>
      <c r="AN2106" s="99" t="n"/>
      <c r="AO2106" s="99" t="n"/>
      <c r="AP2106" s="99" t="n"/>
      <c r="AQ2106" s="99" t="n"/>
      <c r="AR2106" s="99" t="n"/>
    </row>
    <row r="2107">
      <c r="D2107" s="99" t="n"/>
      <c r="E2107" s="99" t="n"/>
      <c r="F2107" s="99" t="n"/>
      <c r="G2107" s="99" t="n"/>
      <c r="H2107" s="99" t="n"/>
      <c r="I2107" s="99" t="n"/>
      <c r="J2107" s="99" t="n"/>
      <c r="K2107" s="99" t="n"/>
      <c r="L2107" s="99" t="n"/>
      <c r="M2107" s="99" t="n"/>
      <c r="N2107" s="99" t="n"/>
      <c r="O2107" s="99" t="n"/>
      <c r="P2107" s="99" t="n"/>
      <c r="Q2107" s="99" t="n"/>
      <c r="R2107" s="99" t="n"/>
      <c r="S2107" s="99" t="n"/>
      <c r="T2107" s="99" t="n"/>
      <c r="U2107" s="99" t="n"/>
      <c r="V2107" s="99" t="n"/>
      <c r="W2107" s="99" t="n"/>
      <c r="X2107" s="99" t="n"/>
      <c r="Y2107" s="99" t="n"/>
      <c r="Z2107" s="99" t="n"/>
      <c r="AA2107" s="99" t="n"/>
      <c r="AB2107" s="99" t="n"/>
      <c r="AC2107" s="99" t="n"/>
      <c r="AD2107" s="99" t="n"/>
      <c r="AE2107" s="99" t="n"/>
      <c r="AF2107" s="99" t="n"/>
      <c r="AG2107" s="99" t="n"/>
      <c r="AH2107" s="99" t="n"/>
      <c r="AI2107" s="99" t="n"/>
      <c r="AJ2107" s="99" t="n"/>
      <c r="AK2107" s="99" t="n"/>
      <c r="AL2107" s="99" t="n"/>
      <c r="AM2107" s="99" t="n"/>
      <c r="AN2107" s="99" t="n"/>
      <c r="AO2107" s="99" t="n"/>
      <c r="AP2107" s="99" t="n"/>
      <c r="AQ2107" s="99" t="n"/>
      <c r="AR2107" s="99" t="n"/>
    </row>
    <row r="2108">
      <c r="D2108" s="100" t="n"/>
      <c r="E2108" s="100" t="n"/>
      <c r="F2108" s="100" t="n"/>
      <c r="G2108" s="100" t="n"/>
      <c r="H2108" s="100" t="n"/>
      <c r="I2108" s="100" t="n"/>
      <c r="J2108" s="100" t="n"/>
      <c r="K2108" s="100" t="n"/>
      <c r="L2108" s="100" t="n"/>
      <c r="M2108" s="100" t="n"/>
      <c r="N2108" s="100" t="n"/>
      <c r="O2108" s="100" t="n"/>
      <c r="P2108" s="100" t="n"/>
      <c r="Q2108" s="100" t="n"/>
      <c r="R2108" s="100" t="n"/>
      <c r="S2108" s="100" t="n"/>
      <c r="T2108" s="100" t="n"/>
      <c r="U2108" s="100" t="n"/>
      <c r="V2108" s="100" t="n"/>
      <c r="W2108" s="100" t="n"/>
      <c r="X2108" s="100" t="n"/>
      <c r="Y2108" s="100" t="n"/>
      <c r="Z2108" s="100" t="n"/>
      <c r="AA2108" s="100" t="n"/>
      <c r="AB2108" s="100" t="n"/>
      <c r="AC2108" s="100" t="n"/>
      <c r="AD2108" s="100" t="n"/>
      <c r="AE2108" s="100" t="n"/>
      <c r="AF2108" s="100" t="n"/>
      <c r="AG2108" s="100" t="n"/>
      <c r="AH2108" s="100" t="n"/>
      <c r="AI2108" s="100" t="n"/>
      <c r="AJ2108" s="100" t="n"/>
      <c r="AK2108" s="100" t="n"/>
      <c r="AL2108" s="100" t="n"/>
      <c r="AM2108" s="100" t="n"/>
      <c r="AN2108" s="100" t="n"/>
      <c r="AO2108" s="100" t="n"/>
      <c r="AP2108" s="100" t="n"/>
      <c r="AQ2108" s="100" t="n"/>
      <c r="AR2108" s="100" t="n"/>
    </row>
    <row r="2110">
      <c r="A2110" s="6">
        <f>IF(HSCEI!$C$57="","",HSCEI!$C$57)</f>
        <v/>
      </c>
      <c r="B2110" s="96">
        <f>IF($A2110="",0,COUNT($E2111:$AR2111))</f>
        <v/>
      </c>
      <c r="C2110" s="97">
        <f>IF($B2110=0,0,MAX($E2111:$AR2111))</f>
        <v/>
      </c>
      <c r="D2110" s="98">
        <f>BDS($A2110,FLD_HIST,"headers=y","startcol=1","endcol=7","dir=h","DVD_START_DT",HIST_FROM,"DVD_END_DT",HIST_TO)</f>
        <v/>
      </c>
      <c r="E2110" s="99" t="n"/>
      <c r="F2110" s="99" t="n"/>
      <c r="G2110" s="99" t="n"/>
      <c r="H2110" s="99" t="n"/>
      <c r="I2110" s="99" t="n"/>
      <c r="J2110" s="99" t="n"/>
      <c r="K2110" s="99" t="n"/>
      <c r="L2110" s="99" t="n"/>
      <c r="M2110" s="99" t="n"/>
      <c r="N2110" s="99" t="n"/>
      <c r="O2110" s="99" t="n"/>
      <c r="P2110" s="99" t="n"/>
      <c r="Q2110" s="99" t="n"/>
      <c r="R2110" s="99" t="n"/>
      <c r="S2110" s="99" t="n"/>
      <c r="T2110" s="99" t="n"/>
      <c r="U2110" s="99" t="n"/>
      <c r="V2110" s="99" t="n"/>
      <c r="W2110" s="99" t="n"/>
      <c r="X2110" s="99" t="n"/>
      <c r="Y2110" s="99" t="n"/>
      <c r="Z2110" s="99" t="n"/>
      <c r="AA2110" s="99" t="n"/>
      <c r="AB2110" s="99" t="n"/>
      <c r="AC2110" s="99" t="n"/>
      <c r="AD2110" s="99" t="n"/>
      <c r="AE2110" s="99" t="n"/>
      <c r="AF2110" s="99" t="n"/>
      <c r="AG2110" s="99" t="n"/>
      <c r="AH2110" s="99" t="n"/>
      <c r="AI2110" s="99" t="n"/>
      <c r="AJ2110" s="99" t="n"/>
      <c r="AK2110" s="99" t="n"/>
      <c r="AL2110" s="99" t="n"/>
      <c r="AM2110" s="99" t="n"/>
      <c r="AN2110" s="99" t="n"/>
      <c r="AO2110" s="99" t="n"/>
      <c r="AP2110" s="99" t="n"/>
      <c r="AQ2110" s="99" t="n"/>
      <c r="AR2110" s="99" t="n"/>
    </row>
    <row r="2111">
      <c r="D2111" s="99" t="n"/>
      <c r="E2111" s="99" t="n"/>
      <c r="F2111" s="99" t="n"/>
      <c r="G2111" s="99" t="n"/>
      <c r="H2111" s="99" t="n"/>
      <c r="I2111" s="99" t="n"/>
      <c r="J2111" s="99" t="n"/>
      <c r="K2111" s="99" t="n"/>
      <c r="L2111" s="99" t="n"/>
      <c r="M2111" s="99" t="n"/>
      <c r="N2111" s="99" t="n"/>
      <c r="O2111" s="99" t="n"/>
      <c r="P2111" s="99" t="n"/>
      <c r="Q2111" s="99" t="n"/>
      <c r="R2111" s="99" t="n"/>
      <c r="S2111" s="99" t="n"/>
      <c r="T2111" s="99" t="n"/>
      <c r="U2111" s="99" t="n"/>
      <c r="V2111" s="99" t="n"/>
      <c r="W2111" s="99" t="n"/>
      <c r="X2111" s="99" t="n"/>
      <c r="Y2111" s="99" t="n"/>
      <c r="Z2111" s="99" t="n"/>
      <c r="AA2111" s="99" t="n"/>
      <c r="AB2111" s="99" t="n"/>
      <c r="AC2111" s="99" t="n"/>
      <c r="AD2111" s="99" t="n"/>
      <c r="AE2111" s="99" t="n"/>
      <c r="AF2111" s="99" t="n"/>
      <c r="AG2111" s="99" t="n"/>
      <c r="AH2111" s="99" t="n"/>
      <c r="AI2111" s="99" t="n"/>
      <c r="AJ2111" s="99" t="n"/>
      <c r="AK2111" s="99" t="n"/>
      <c r="AL2111" s="99" t="n"/>
      <c r="AM2111" s="99" t="n"/>
      <c r="AN2111" s="99" t="n"/>
      <c r="AO2111" s="99" t="n"/>
      <c r="AP2111" s="99" t="n"/>
      <c r="AQ2111" s="99" t="n"/>
      <c r="AR2111" s="99" t="n"/>
    </row>
    <row r="2112">
      <c r="D2112" s="99" t="n"/>
      <c r="E2112" s="99" t="n"/>
      <c r="F2112" s="99" t="n"/>
      <c r="G2112" s="99" t="n"/>
      <c r="H2112" s="99" t="n"/>
      <c r="I2112" s="99" t="n"/>
      <c r="J2112" s="99" t="n"/>
      <c r="K2112" s="99" t="n"/>
      <c r="L2112" s="99" t="n"/>
      <c r="M2112" s="99" t="n"/>
      <c r="N2112" s="99" t="n"/>
      <c r="O2112" s="99" t="n"/>
      <c r="P2112" s="99" t="n"/>
      <c r="Q2112" s="99" t="n"/>
      <c r="R2112" s="99" t="n"/>
      <c r="S2112" s="99" t="n"/>
      <c r="T2112" s="99" t="n"/>
      <c r="U2112" s="99" t="n"/>
      <c r="V2112" s="99" t="n"/>
      <c r="W2112" s="99" t="n"/>
      <c r="X2112" s="99" t="n"/>
      <c r="Y2112" s="99" t="n"/>
      <c r="Z2112" s="99" t="n"/>
      <c r="AA2112" s="99" t="n"/>
      <c r="AB2112" s="99" t="n"/>
      <c r="AC2112" s="99" t="n"/>
      <c r="AD2112" s="99" t="n"/>
      <c r="AE2112" s="99" t="n"/>
      <c r="AF2112" s="99" t="n"/>
      <c r="AG2112" s="99" t="n"/>
      <c r="AH2112" s="99" t="n"/>
      <c r="AI2112" s="99" t="n"/>
      <c r="AJ2112" s="99" t="n"/>
      <c r="AK2112" s="99" t="n"/>
      <c r="AL2112" s="99" t="n"/>
      <c r="AM2112" s="99" t="n"/>
      <c r="AN2112" s="99" t="n"/>
      <c r="AO2112" s="99" t="n"/>
      <c r="AP2112" s="99" t="n"/>
      <c r="AQ2112" s="99" t="n"/>
      <c r="AR2112" s="99" t="n"/>
    </row>
    <row r="2113">
      <c r="D2113" s="99" t="n"/>
      <c r="E2113" s="99" t="n"/>
      <c r="F2113" s="99" t="n"/>
      <c r="G2113" s="99" t="n"/>
      <c r="H2113" s="99" t="n"/>
      <c r="I2113" s="99" t="n"/>
      <c r="J2113" s="99" t="n"/>
      <c r="K2113" s="99" t="n"/>
      <c r="L2113" s="99" t="n"/>
      <c r="M2113" s="99" t="n"/>
      <c r="N2113" s="99" t="n"/>
      <c r="O2113" s="99" t="n"/>
      <c r="P2113" s="99" t="n"/>
      <c r="Q2113" s="99" t="n"/>
      <c r="R2113" s="99" t="n"/>
      <c r="S2113" s="99" t="n"/>
      <c r="T2113" s="99" t="n"/>
      <c r="U2113" s="99" t="n"/>
      <c r="V2113" s="99" t="n"/>
      <c r="W2113" s="99" t="n"/>
      <c r="X2113" s="99" t="n"/>
      <c r="Y2113" s="99" t="n"/>
      <c r="Z2113" s="99" t="n"/>
      <c r="AA2113" s="99" t="n"/>
      <c r="AB2113" s="99" t="n"/>
      <c r="AC2113" s="99" t="n"/>
      <c r="AD2113" s="99" t="n"/>
      <c r="AE2113" s="99" t="n"/>
      <c r="AF2113" s="99" t="n"/>
      <c r="AG2113" s="99" t="n"/>
      <c r="AH2113" s="99" t="n"/>
      <c r="AI2113" s="99" t="n"/>
      <c r="AJ2113" s="99" t="n"/>
      <c r="AK2113" s="99" t="n"/>
      <c r="AL2113" s="99" t="n"/>
      <c r="AM2113" s="99" t="n"/>
      <c r="AN2113" s="99" t="n"/>
      <c r="AO2113" s="99" t="n"/>
      <c r="AP2113" s="99" t="n"/>
      <c r="AQ2113" s="99" t="n"/>
      <c r="AR2113" s="99" t="n"/>
    </row>
    <row r="2114">
      <c r="D2114" s="100" t="n"/>
      <c r="E2114" s="100" t="n"/>
      <c r="F2114" s="100" t="n"/>
      <c r="G2114" s="100" t="n"/>
      <c r="H2114" s="100" t="n"/>
      <c r="I2114" s="100" t="n"/>
      <c r="J2114" s="100" t="n"/>
      <c r="K2114" s="100" t="n"/>
      <c r="L2114" s="100" t="n"/>
      <c r="M2114" s="100" t="n"/>
      <c r="N2114" s="100" t="n"/>
      <c r="O2114" s="100" t="n"/>
      <c r="P2114" s="100" t="n"/>
      <c r="Q2114" s="100" t="n"/>
      <c r="R2114" s="100" t="n"/>
      <c r="S2114" s="100" t="n"/>
      <c r="T2114" s="100" t="n"/>
      <c r="U2114" s="100" t="n"/>
      <c r="V2114" s="100" t="n"/>
      <c r="W2114" s="100" t="n"/>
      <c r="X2114" s="100" t="n"/>
      <c r="Y2114" s="100" t="n"/>
      <c r="Z2114" s="100" t="n"/>
      <c r="AA2114" s="100" t="n"/>
      <c r="AB2114" s="100" t="n"/>
      <c r="AC2114" s="100" t="n"/>
      <c r="AD2114" s="100" t="n"/>
      <c r="AE2114" s="100" t="n"/>
      <c r="AF2114" s="100" t="n"/>
      <c r="AG2114" s="100" t="n"/>
      <c r="AH2114" s="100" t="n"/>
      <c r="AI2114" s="100" t="n"/>
      <c r="AJ2114" s="100" t="n"/>
      <c r="AK2114" s="100" t="n"/>
      <c r="AL2114" s="100" t="n"/>
      <c r="AM2114" s="100" t="n"/>
      <c r="AN2114" s="100" t="n"/>
      <c r="AO2114" s="100" t="n"/>
      <c r="AP2114" s="100" t="n"/>
      <c r="AQ2114" s="100" t="n"/>
      <c r="AR2114" s="100" t="n"/>
    </row>
    <row r="2117">
      <c r="A2117" s="2">
        <f>IF($A2110="","","   projections")</f>
        <v/>
      </c>
      <c r="B2117" s="96">
        <f>IF($A2110="",0,COUNT($E2118:$AR2118))</f>
        <v/>
      </c>
      <c r="C2117" s="97">
        <f>IF($B2117=0,0,MAX($E2118:$AR2118))</f>
        <v/>
      </c>
      <c r="D2117" s="98">
        <f>BDS($A2110,FLD_PROJ,"headers=y","startcol=1","endcol=3","dir=h")</f>
        <v/>
      </c>
      <c r="E2117" s="99" t="n"/>
      <c r="F2117" s="99" t="n"/>
      <c r="G2117" s="99" t="n"/>
      <c r="H2117" s="99" t="n"/>
      <c r="I2117" s="99" t="n"/>
      <c r="J2117" s="99" t="n"/>
      <c r="K2117" s="99" t="n"/>
      <c r="L2117" s="99" t="n"/>
      <c r="M2117" s="99" t="n"/>
      <c r="N2117" s="99" t="n"/>
      <c r="O2117" s="99" t="n"/>
      <c r="P2117" s="99" t="n"/>
      <c r="Q2117" s="99" t="n"/>
      <c r="R2117" s="99" t="n"/>
      <c r="S2117" s="99" t="n"/>
      <c r="T2117" s="99" t="n"/>
      <c r="U2117" s="99" t="n"/>
      <c r="V2117" s="99" t="n"/>
      <c r="W2117" s="99" t="n"/>
      <c r="X2117" s="99" t="n"/>
      <c r="Y2117" s="99" t="n"/>
      <c r="Z2117" s="99" t="n"/>
      <c r="AA2117" s="99" t="n"/>
      <c r="AB2117" s="99" t="n"/>
      <c r="AC2117" s="99" t="n"/>
      <c r="AD2117" s="99" t="n"/>
      <c r="AE2117" s="99" t="n"/>
      <c r="AF2117" s="99" t="n"/>
      <c r="AG2117" s="99" t="n"/>
      <c r="AH2117" s="99" t="n"/>
      <c r="AI2117" s="99" t="n"/>
      <c r="AJ2117" s="99" t="n"/>
      <c r="AK2117" s="99" t="n"/>
      <c r="AL2117" s="99" t="n"/>
      <c r="AM2117" s="99" t="n"/>
      <c r="AN2117" s="99" t="n"/>
      <c r="AO2117" s="99" t="n"/>
      <c r="AP2117" s="99" t="n"/>
      <c r="AQ2117" s="99" t="n"/>
      <c r="AR2117" s="99" t="n"/>
    </row>
    <row r="2118">
      <c r="D2118" s="99" t="n"/>
      <c r="E2118" s="99" t="n"/>
      <c r="F2118" s="99" t="n"/>
      <c r="G2118" s="99" t="n"/>
      <c r="H2118" s="99" t="n"/>
      <c r="I2118" s="99" t="n"/>
      <c r="J2118" s="99" t="n"/>
      <c r="K2118" s="99" t="n"/>
      <c r="L2118" s="99" t="n"/>
      <c r="M2118" s="99" t="n"/>
      <c r="N2118" s="99" t="n"/>
      <c r="O2118" s="99" t="n"/>
      <c r="P2118" s="99" t="n"/>
      <c r="Q2118" s="99" t="n"/>
      <c r="R2118" s="99" t="n"/>
      <c r="S2118" s="99" t="n"/>
      <c r="T2118" s="99" t="n"/>
      <c r="U2118" s="99" t="n"/>
      <c r="V2118" s="99" t="n"/>
      <c r="W2118" s="99" t="n"/>
      <c r="X2118" s="99" t="n"/>
      <c r="Y2118" s="99" t="n"/>
      <c r="Z2118" s="99" t="n"/>
      <c r="AA2118" s="99" t="n"/>
      <c r="AB2118" s="99" t="n"/>
      <c r="AC2118" s="99" t="n"/>
      <c r="AD2118" s="99" t="n"/>
      <c r="AE2118" s="99" t="n"/>
      <c r="AF2118" s="99" t="n"/>
      <c r="AG2118" s="99" t="n"/>
      <c r="AH2118" s="99" t="n"/>
      <c r="AI2118" s="99" t="n"/>
      <c r="AJ2118" s="99" t="n"/>
      <c r="AK2118" s="99" t="n"/>
      <c r="AL2118" s="99" t="n"/>
      <c r="AM2118" s="99" t="n"/>
      <c r="AN2118" s="99" t="n"/>
      <c r="AO2118" s="99" t="n"/>
      <c r="AP2118" s="99" t="n"/>
      <c r="AQ2118" s="99" t="n"/>
      <c r="AR2118" s="99" t="n"/>
    </row>
    <row r="2119">
      <c r="D2119" s="100" t="n"/>
      <c r="E2119" s="100" t="n"/>
      <c r="F2119" s="100" t="n"/>
      <c r="G2119" s="100" t="n"/>
      <c r="H2119" s="100" t="n"/>
      <c r="I2119" s="100" t="n"/>
      <c r="J2119" s="100" t="n"/>
      <c r="K2119" s="100" t="n"/>
      <c r="L2119" s="100" t="n"/>
      <c r="M2119" s="100" t="n"/>
      <c r="N2119" s="100" t="n"/>
      <c r="O2119" s="100" t="n"/>
      <c r="P2119" s="100" t="n"/>
      <c r="Q2119" s="100" t="n"/>
      <c r="R2119" s="100" t="n"/>
      <c r="S2119" s="100" t="n"/>
      <c r="T2119" s="100" t="n"/>
      <c r="U2119" s="100" t="n"/>
      <c r="V2119" s="100" t="n"/>
      <c r="W2119" s="100" t="n"/>
      <c r="X2119" s="100" t="n"/>
      <c r="Y2119" s="100" t="n"/>
      <c r="Z2119" s="100" t="n"/>
      <c r="AA2119" s="100" t="n"/>
      <c r="AB2119" s="100" t="n"/>
      <c r="AC2119" s="100" t="n"/>
      <c r="AD2119" s="100" t="n"/>
      <c r="AE2119" s="100" t="n"/>
      <c r="AF2119" s="100" t="n"/>
      <c r="AG2119" s="100" t="n"/>
      <c r="AH2119" s="100" t="n"/>
      <c r="AI2119" s="100" t="n"/>
      <c r="AJ2119" s="100" t="n"/>
      <c r="AK2119" s="100" t="n"/>
      <c r="AL2119" s="100" t="n"/>
      <c r="AM2119" s="100" t="n"/>
      <c r="AN2119" s="100" t="n"/>
      <c r="AO2119" s="100" t="n"/>
      <c r="AP2119" s="100" t="n"/>
      <c r="AQ2119" s="100" t="n"/>
      <c r="AR2119" s="100" t="n"/>
    </row>
    <row r="2121">
      <c r="A2121" s="6">
        <f>IF(HSCEI!$C$58="","",HSCEI!$C$58)</f>
        <v/>
      </c>
      <c r="B2121" s="96">
        <f>IF($A2121="",0,COUNT($E2122:$AR2122))</f>
        <v/>
      </c>
      <c r="C2121" s="97">
        <f>IF($B2121=0,0,MAX($E2122:$AR2122))</f>
        <v/>
      </c>
      <c r="D2121" s="98">
        <f>BDS($A2121,FLD_HIST,"headers=y","startcol=1","endcol=7","dir=h","DVD_START_DT",HIST_FROM,"DVD_END_DT",HIST_TO)</f>
        <v/>
      </c>
      <c r="E2121" s="99" t="n"/>
      <c r="F2121" s="99" t="n"/>
      <c r="G2121" s="99" t="n"/>
      <c r="H2121" s="99" t="n"/>
      <c r="I2121" s="99" t="n"/>
      <c r="J2121" s="99" t="n"/>
      <c r="K2121" s="99" t="n"/>
      <c r="L2121" s="99" t="n"/>
      <c r="M2121" s="99" t="n"/>
      <c r="N2121" s="99" t="n"/>
      <c r="O2121" s="99" t="n"/>
      <c r="P2121" s="99" t="n"/>
      <c r="Q2121" s="99" t="n"/>
      <c r="R2121" s="99" t="n"/>
      <c r="S2121" s="99" t="n"/>
      <c r="T2121" s="99" t="n"/>
      <c r="U2121" s="99" t="n"/>
      <c r="V2121" s="99" t="n"/>
      <c r="W2121" s="99" t="n"/>
      <c r="X2121" s="99" t="n"/>
      <c r="Y2121" s="99" t="n"/>
      <c r="Z2121" s="99" t="n"/>
      <c r="AA2121" s="99" t="n"/>
      <c r="AB2121" s="99" t="n"/>
      <c r="AC2121" s="99" t="n"/>
      <c r="AD2121" s="99" t="n"/>
      <c r="AE2121" s="99" t="n"/>
      <c r="AF2121" s="99" t="n"/>
      <c r="AG2121" s="99" t="n"/>
      <c r="AH2121" s="99" t="n"/>
      <c r="AI2121" s="99" t="n"/>
      <c r="AJ2121" s="99" t="n"/>
      <c r="AK2121" s="99" t="n"/>
      <c r="AL2121" s="99" t="n"/>
      <c r="AM2121" s="99" t="n"/>
      <c r="AN2121" s="99" t="n"/>
      <c r="AO2121" s="99" t="n"/>
      <c r="AP2121" s="99" t="n"/>
      <c r="AQ2121" s="99" t="n"/>
      <c r="AR2121" s="99" t="n"/>
    </row>
    <row r="2122">
      <c r="D2122" s="99" t="n"/>
      <c r="E2122" s="99" t="n"/>
      <c r="F2122" s="99" t="n"/>
      <c r="G2122" s="99" t="n"/>
      <c r="H2122" s="99" t="n"/>
      <c r="I2122" s="99" t="n"/>
      <c r="J2122" s="99" t="n"/>
      <c r="K2122" s="99" t="n"/>
      <c r="L2122" s="99" t="n"/>
      <c r="M2122" s="99" t="n"/>
      <c r="N2122" s="99" t="n"/>
      <c r="O2122" s="99" t="n"/>
      <c r="P2122" s="99" t="n"/>
      <c r="Q2122" s="99" t="n"/>
      <c r="R2122" s="99" t="n"/>
      <c r="S2122" s="99" t="n"/>
      <c r="T2122" s="99" t="n"/>
      <c r="U2122" s="99" t="n"/>
      <c r="V2122" s="99" t="n"/>
      <c r="W2122" s="99" t="n"/>
      <c r="X2122" s="99" t="n"/>
      <c r="Y2122" s="99" t="n"/>
      <c r="Z2122" s="99" t="n"/>
      <c r="AA2122" s="99" t="n"/>
      <c r="AB2122" s="99" t="n"/>
      <c r="AC2122" s="99" t="n"/>
      <c r="AD2122" s="99" t="n"/>
      <c r="AE2122" s="99" t="n"/>
      <c r="AF2122" s="99" t="n"/>
      <c r="AG2122" s="99" t="n"/>
      <c r="AH2122" s="99" t="n"/>
      <c r="AI2122" s="99" t="n"/>
      <c r="AJ2122" s="99" t="n"/>
      <c r="AK2122" s="99" t="n"/>
      <c r="AL2122" s="99" t="n"/>
      <c r="AM2122" s="99" t="n"/>
      <c r="AN2122" s="99" t="n"/>
      <c r="AO2122" s="99" t="n"/>
      <c r="AP2122" s="99" t="n"/>
      <c r="AQ2122" s="99" t="n"/>
      <c r="AR2122" s="99" t="n"/>
    </row>
    <row r="2123">
      <c r="D2123" s="99" t="n"/>
      <c r="E2123" s="99" t="n"/>
      <c r="F2123" s="99" t="n"/>
      <c r="G2123" s="99" t="n"/>
      <c r="H2123" s="99" t="n"/>
      <c r="I2123" s="99" t="n"/>
      <c r="J2123" s="99" t="n"/>
      <c r="K2123" s="99" t="n"/>
      <c r="L2123" s="99" t="n"/>
      <c r="M2123" s="99" t="n"/>
      <c r="N2123" s="99" t="n"/>
      <c r="O2123" s="99" t="n"/>
      <c r="P2123" s="99" t="n"/>
      <c r="Q2123" s="99" t="n"/>
      <c r="R2123" s="99" t="n"/>
      <c r="S2123" s="99" t="n"/>
      <c r="T2123" s="99" t="n"/>
      <c r="U2123" s="99" t="n"/>
      <c r="V2123" s="99" t="n"/>
      <c r="W2123" s="99" t="n"/>
      <c r="X2123" s="99" t="n"/>
      <c r="Y2123" s="99" t="n"/>
      <c r="Z2123" s="99" t="n"/>
      <c r="AA2123" s="99" t="n"/>
      <c r="AB2123" s="99" t="n"/>
      <c r="AC2123" s="99" t="n"/>
      <c r="AD2123" s="99" t="n"/>
      <c r="AE2123" s="99" t="n"/>
      <c r="AF2123" s="99" t="n"/>
      <c r="AG2123" s="99" t="n"/>
      <c r="AH2123" s="99" t="n"/>
      <c r="AI2123" s="99" t="n"/>
      <c r="AJ2123" s="99" t="n"/>
      <c r="AK2123" s="99" t="n"/>
      <c r="AL2123" s="99" t="n"/>
      <c r="AM2123" s="99" t="n"/>
      <c r="AN2123" s="99" t="n"/>
      <c r="AO2123" s="99" t="n"/>
      <c r="AP2123" s="99" t="n"/>
      <c r="AQ2123" s="99" t="n"/>
      <c r="AR2123" s="99" t="n"/>
    </row>
    <row r="2124">
      <c r="D2124" s="99" t="n"/>
      <c r="E2124" s="99" t="n"/>
      <c r="F2124" s="99" t="n"/>
      <c r="G2124" s="99" t="n"/>
      <c r="H2124" s="99" t="n"/>
      <c r="I2124" s="99" t="n"/>
      <c r="J2124" s="99" t="n"/>
      <c r="K2124" s="99" t="n"/>
      <c r="L2124" s="99" t="n"/>
      <c r="M2124" s="99" t="n"/>
      <c r="N2124" s="99" t="n"/>
      <c r="O2124" s="99" t="n"/>
      <c r="P2124" s="99" t="n"/>
      <c r="Q2124" s="99" t="n"/>
      <c r="R2124" s="99" t="n"/>
      <c r="S2124" s="99" t="n"/>
      <c r="T2124" s="99" t="n"/>
      <c r="U2124" s="99" t="n"/>
      <c r="V2124" s="99" t="n"/>
      <c r="W2124" s="99" t="n"/>
      <c r="X2124" s="99" t="n"/>
      <c r="Y2124" s="99" t="n"/>
      <c r="Z2124" s="99" t="n"/>
      <c r="AA2124" s="99" t="n"/>
      <c r="AB2124" s="99" t="n"/>
      <c r="AC2124" s="99" t="n"/>
      <c r="AD2124" s="99" t="n"/>
      <c r="AE2124" s="99" t="n"/>
      <c r="AF2124" s="99" t="n"/>
      <c r="AG2124" s="99" t="n"/>
      <c r="AH2124" s="99" t="n"/>
      <c r="AI2124" s="99" t="n"/>
      <c r="AJ2124" s="99" t="n"/>
      <c r="AK2124" s="99" t="n"/>
      <c r="AL2124" s="99" t="n"/>
      <c r="AM2124" s="99" t="n"/>
      <c r="AN2124" s="99" t="n"/>
      <c r="AO2124" s="99" t="n"/>
      <c r="AP2124" s="99" t="n"/>
      <c r="AQ2124" s="99" t="n"/>
      <c r="AR2124" s="99" t="n"/>
    </row>
    <row r="2125">
      <c r="D2125" s="100" t="n"/>
      <c r="E2125" s="100" t="n"/>
      <c r="F2125" s="100" t="n"/>
      <c r="G2125" s="100" t="n"/>
      <c r="H2125" s="100" t="n"/>
      <c r="I2125" s="100" t="n"/>
      <c r="J2125" s="100" t="n"/>
      <c r="K2125" s="100" t="n"/>
      <c r="L2125" s="100" t="n"/>
      <c r="M2125" s="100" t="n"/>
      <c r="N2125" s="100" t="n"/>
      <c r="O2125" s="100" t="n"/>
      <c r="P2125" s="100" t="n"/>
      <c r="Q2125" s="100" t="n"/>
      <c r="R2125" s="100" t="n"/>
      <c r="S2125" s="100" t="n"/>
      <c r="T2125" s="100" t="n"/>
      <c r="U2125" s="100" t="n"/>
      <c r="V2125" s="100" t="n"/>
      <c r="W2125" s="100" t="n"/>
      <c r="X2125" s="100" t="n"/>
      <c r="Y2125" s="100" t="n"/>
      <c r="Z2125" s="100" t="n"/>
      <c r="AA2125" s="100" t="n"/>
      <c r="AB2125" s="100" t="n"/>
      <c r="AC2125" s="100" t="n"/>
      <c r="AD2125" s="100" t="n"/>
      <c r="AE2125" s="100" t="n"/>
      <c r="AF2125" s="100" t="n"/>
      <c r="AG2125" s="100" t="n"/>
      <c r="AH2125" s="100" t="n"/>
      <c r="AI2125" s="100" t="n"/>
      <c r="AJ2125" s="100" t="n"/>
      <c r="AK2125" s="100" t="n"/>
      <c r="AL2125" s="100" t="n"/>
      <c r="AM2125" s="100" t="n"/>
      <c r="AN2125" s="100" t="n"/>
      <c r="AO2125" s="100" t="n"/>
      <c r="AP2125" s="100" t="n"/>
      <c r="AQ2125" s="100" t="n"/>
      <c r="AR2125" s="100" t="n"/>
    </row>
    <row r="2128">
      <c r="A2128" s="2">
        <f>IF($A2121="","","   projections")</f>
        <v/>
      </c>
      <c r="B2128" s="96">
        <f>IF($A2121="",0,COUNT($E2129:$AR2129))</f>
        <v/>
      </c>
      <c r="C2128" s="97">
        <f>IF($B2128=0,0,MAX($E2129:$AR2129))</f>
        <v/>
      </c>
      <c r="D2128" s="98">
        <f>BDS($A2121,FLD_PROJ,"headers=y","startcol=1","endcol=3","dir=h")</f>
        <v/>
      </c>
      <c r="E2128" s="99" t="n"/>
      <c r="F2128" s="99" t="n"/>
      <c r="G2128" s="99" t="n"/>
      <c r="H2128" s="99" t="n"/>
      <c r="I2128" s="99" t="n"/>
      <c r="J2128" s="99" t="n"/>
      <c r="K2128" s="99" t="n"/>
      <c r="L2128" s="99" t="n"/>
      <c r="M2128" s="99" t="n"/>
      <c r="N2128" s="99" t="n"/>
      <c r="O2128" s="99" t="n"/>
      <c r="P2128" s="99" t="n"/>
      <c r="Q2128" s="99" t="n"/>
      <c r="R2128" s="99" t="n"/>
      <c r="S2128" s="99" t="n"/>
      <c r="T2128" s="99" t="n"/>
      <c r="U2128" s="99" t="n"/>
      <c r="V2128" s="99" t="n"/>
      <c r="W2128" s="99" t="n"/>
      <c r="X2128" s="99" t="n"/>
      <c r="Y2128" s="99" t="n"/>
      <c r="Z2128" s="99" t="n"/>
      <c r="AA2128" s="99" t="n"/>
      <c r="AB2128" s="99" t="n"/>
      <c r="AC2128" s="99" t="n"/>
      <c r="AD2128" s="99" t="n"/>
      <c r="AE2128" s="99" t="n"/>
      <c r="AF2128" s="99" t="n"/>
      <c r="AG2128" s="99" t="n"/>
      <c r="AH2128" s="99" t="n"/>
      <c r="AI2128" s="99" t="n"/>
      <c r="AJ2128" s="99" t="n"/>
      <c r="AK2128" s="99" t="n"/>
      <c r="AL2128" s="99" t="n"/>
      <c r="AM2128" s="99" t="n"/>
      <c r="AN2128" s="99" t="n"/>
      <c r="AO2128" s="99" t="n"/>
      <c r="AP2128" s="99" t="n"/>
      <c r="AQ2128" s="99" t="n"/>
      <c r="AR2128" s="99" t="n"/>
    </row>
    <row r="2129">
      <c r="D2129" s="99" t="n"/>
      <c r="E2129" s="99" t="n"/>
      <c r="F2129" s="99" t="n"/>
      <c r="G2129" s="99" t="n"/>
      <c r="H2129" s="99" t="n"/>
      <c r="I2129" s="99" t="n"/>
      <c r="J2129" s="99" t="n"/>
      <c r="K2129" s="99" t="n"/>
      <c r="L2129" s="99" t="n"/>
      <c r="M2129" s="99" t="n"/>
      <c r="N2129" s="99" t="n"/>
      <c r="O2129" s="99" t="n"/>
      <c r="P2129" s="99" t="n"/>
      <c r="Q2129" s="99" t="n"/>
      <c r="R2129" s="99" t="n"/>
      <c r="S2129" s="99" t="n"/>
      <c r="T2129" s="99" t="n"/>
      <c r="U2129" s="99" t="n"/>
      <c r="V2129" s="99" t="n"/>
      <c r="W2129" s="99" t="n"/>
      <c r="X2129" s="99" t="n"/>
      <c r="Y2129" s="99" t="n"/>
      <c r="Z2129" s="99" t="n"/>
      <c r="AA2129" s="99" t="n"/>
      <c r="AB2129" s="99" t="n"/>
      <c r="AC2129" s="99" t="n"/>
      <c r="AD2129" s="99" t="n"/>
      <c r="AE2129" s="99" t="n"/>
      <c r="AF2129" s="99" t="n"/>
      <c r="AG2129" s="99" t="n"/>
      <c r="AH2129" s="99" t="n"/>
      <c r="AI2129" s="99" t="n"/>
      <c r="AJ2129" s="99" t="n"/>
      <c r="AK2129" s="99" t="n"/>
      <c r="AL2129" s="99" t="n"/>
      <c r="AM2129" s="99" t="n"/>
      <c r="AN2129" s="99" t="n"/>
      <c r="AO2129" s="99" t="n"/>
      <c r="AP2129" s="99" t="n"/>
      <c r="AQ2129" s="99" t="n"/>
      <c r="AR2129" s="99" t="n"/>
    </row>
    <row r="2130">
      <c r="D2130" s="100" t="n"/>
      <c r="E2130" s="100" t="n"/>
      <c r="F2130" s="100" t="n"/>
      <c r="G2130" s="100" t="n"/>
      <c r="H2130" s="100" t="n"/>
      <c r="I2130" s="100" t="n"/>
      <c r="J2130" s="100" t="n"/>
      <c r="K2130" s="100" t="n"/>
      <c r="L2130" s="100" t="n"/>
      <c r="M2130" s="100" t="n"/>
      <c r="N2130" s="100" t="n"/>
      <c r="O2130" s="100" t="n"/>
      <c r="P2130" s="100" t="n"/>
      <c r="Q2130" s="100" t="n"/>
      <c r="R2130" s="100" t="n"/>
      <c r="S2130" s="100" t="n"/>
      <c r="T2130" s="100" t="n"/>
      <c r="U2130" s="100" t="n"/>
      <c r="V2130" s="100" t="n"/>
      <c r="W2130" s="100" t="n"/>
      <c r="X2130" s="100" t="n"/>
      <c r="Y2130" s="100" t="n"/>
      <c r="Z2130" s="100" t="n"/>
      <c r="AA2130" s="100" t="n"/>
      <c r="AB2130" s="100" t="n"/>
      <c r="AC2130" s="100" t="n"/>
      <c r="AD2130" s="100" t="n"/>
      <c r="AE2130" s="100" t="n"/>
      <c r="AF2130" s="100" t="n"/>
      <c r="AG2130" s="100" t="n"/>
      <c r="AH2130" s="100" t="n"/>
      <c r="AI2130" s="100" t="n"/>
      <c r="AJ2130" s="100" t="n"/>
      <c r="AK2130" s="100" t="n"/>
      <c r="AL2130" s="100" t="n"/>
      <c r="AM2130" s="100" t="n"/>
      <c r="AN2130" s="100" t="n"/>
      <c r="AO2130" s="100" t="n"/>
      <c r="AP2130" s="100" t="n"/>
      <c r="AQ2130" s="100" t="n"/>
      <c r="AR2130" s="100" t="n"/>
    </row>
    <row r="2132">
      <c r="A2132" s="6">
        <f>IF(HSCEI!$C$59="","",HSCEI!$C$59)</f>
        <v/>
      </c>
      <c r="B2132" s="96">
        <f>IF($A2132="",0,COUNT($E2133:$AR2133))</f>
        <v/>
      </c>
      <c r="C2132" s="97">
        <f>IF($B2132=0,0,MAX($E2133:$AR2133))</f>
        <v/>
      </c>
      <c r="D2132" s="98">
        <f>BDS($A2132,FLD_HIST,"headers=y","startcol=1","endcol=7","dir=h","DVD_START_DT",HIST_FROM,"DVD_END_DT",HIST_TO)</f>
        <v/>
      </c>
      <c r="E2132" s="99" t="n"/>
      <c r="F2132" s="99" t="n"/>
      <c r="G2132" s="99" t="n"/>
      <c r="H2132" s="99" t="n"/>
      <c r="I2132" s="99" t="n"/>
      <c r="J2132" s="99" t="n"/>
      <c r="K2132" s="99" t="n"/>
      <c r="L2132" s="99" t="n"/>
      <c r="M2132" s="99" t="n"/>
      <c r="N2132" s="99" t="n"/>
      <c r="O2132" s="99" t="n"/>
      <c r="P2132" s="99" t="n"/>
      <c r="Q2132" s="99" t="n"/>
      <c r="R2132" s="99" t="n"/>
      <c r="S2132" s="99" t="n"/>
      <c r="T2132" s="99" t="n"/>
      <c r="U2132" s="99" t="n"/>
      <c r="V2132" s="99" t="n"/>
      <c r="W2132" s="99" t="n"/>
      <c r="X2132" s="99" t="n"/>
      <c r="Y2132" s="99" t="n"/>
      <c r="Z2132" s="99" t="n"/>
      <c r="AA2132" s="99" t="n"/>
      <c r="AB2132" s="99" t="n"/>
      <c r="AC2132" s="99" t="n"/>
      <c r="AD2132" s="99" t="n"/>
      <c r="AE2132" s="99" t="n"/>
      <c r="AF2132" s="99" t="n"/>
      <c r="AG2132" s="99" t="n"/>
      <c r="AH2132" s="99" t="n"/>
      <c r="AI2132" s="99" t="n"/>
      <c r="AJ2132" s="99" t="n"/>
      <c r="AK2132" s="99" t="n"/>
      <c r="AL2132" s="99" t="n"/>
      <c r="AM2132" s="99" t="n"/>
      <c r="AN2132" s="99" t="n"/>
      <c r="AO2132" s="99" t="n"/>
      <c r="AP2132" s="99" t="n"/>
      <c r="AQ2132" s="99" t="n"/>
      <c r="AR2132" s="99" t="n"/>
    </row>
    <row r="2133">
      <c r="D2133" s="99" t="n"/>
      <c r="E2133" s="99" t="n"/>
      <c r="F2133" s="99" t="n"/>
      <c r="G2133" s="99" t="n"/>
      <c r="H2133" s="99" t="n"/>
      <c r="I2133" s="99" t="n"/>
      <c r="J2133" s="99" t="n"/>
      <c r="K2133" s="99" t="n"/>
      <c r="L2133" s="99" t="n"/>
      <c r="M2133" s="99" t="n"/>
      <c r="N2133" s="99" t="n"/>
      <c r="O2133" s="99" t="n"/>
      <c r="P2133" s="99" t="n"/>
      <c r="Q2133" s="99" t="n"/>
      <c r="R2133" s="99" t="n"/>
      <c r="S2133" s="99" t="n"/>
      <c r="T2133" s="99" t="n"/>
      <c r="U2133" s="99" t="n"/>
      <c r="V2133" s="99" t="n"/>
      <c r="W2133" s="99" t="n"/>
      <c r="X2133" s="99" t="n"/>
      <c r="Y2133" s="99" t="n"/>
      <c r="Z2133" s="99" t="n"/>
      <c r="AA2133" s="99" t="n"/>
      <c r="AB2133" s="99" t="n"/>
      <c r="AC2133" s="99" t="n"/>
      <c r="AD2133" s="99" t="n"/>
      <c r="AE2133" s="99" t="n"/>
      <c r="AF2133" s="99" t="n"/>
      <c r="AG2133" s="99" t="n"/>
      <c r="AH2133" s="99" t="n"/>
      <c r="AI2133" s="99" t="n"/>
      <c r="AJ2133" s="99" t="n"/>
      <c r="AK2133" s="99" t="n"/>
      <c r="AL2133" s="99" t="n"/>
      <c r="AM2133" s="99" t="n"/>
      <c r="AN2133" s="99" t="n"/>
      <c r="AO2133" s="99" t="n"/>
      <c r="AP2133" s="99" t="n"/>
      <c r="AQ2133" s="99" t="n"/>
      <c r="AR2133" s="99" t="n"/>
    </row>
    <row r="2134">
      <c r="D2134" s="99" t="n"/>
      <c r="E2134" s="99" t="n"/>
      <c r="F2134" s="99" t="n"/>
      <c r="G2134" s="99" t="n"/>
      <c r="H2134" s="99" t="n"/>
      <c r="I2134" s="99" t="n"/>
      <c r="J2134" s="99" t="n"/>
      <c r="K2134" s="99" t="n"/>
      <c r="L2134" s="99" t="n"/>
      <c r="M2134" s="99" t="n"/>
      <c r="N2134" s="99" t="n"/>
      <c r="O2134" s="99" t="n"/>
      <c r="P2134" s="99" t="n"/>
      <c r="Q2134" s="99" t="n"/>
      <c r="R2134" s="99" t="n"/>
      <c r="S2134" s="99" t="n"/>
      <c r="T2134" s="99" t="n"/>
      <c r="U2134" s="99" t="n"/>
      <c r="V2134" s="99" t="n"/>
      <c r="W2134" s="99" t="n"/>
      <c r="X2134" s="99" t="n"/>
      <c r="Y2134" s="99" t="n"/>
      <c r="Z2134" s="99" t="n"/>
      <c r="AA2134" s="99" t="n"/>
      <c r="AB2134" s="99" t="n"/>
      <c r="AC2134" s="99" t="n"/>
      <c r="AD2134" s="99" t="n"/>
      <c r="AE2134" s="99" t="n"/>
      <c r="AF2134" s="99" t="n"/>
      <c r="AG2134" s="99" t="n"/>
      <c r="AH2134" s="99" t="n"/>
      <c r="AI2134" s="99" t="n"/>
      <c r="AJ2134" s="99" t="n"/>
      <c r="AK2134" s="99" t="n"/>
      <c r="AL2134" s="99" t="n"/>
      <c r="AM2134" s="99" t="n"/>
      <c r="AN2134" s="99" t="n"/>
      <c r="AO2134" s="99" t="n"/>
      <c r="AP2134" s="99" t="n"/>
      <c r="AQ2134" s="99" t="n"/>
      <c r="AR2134" s="99" t="n"/>
    </row>
    <row r="2135">
      <c r="D2135" s="99" t="n"/>
      <c r="E2135" s="99" t="n"/>
      <c r="F2135" s="99" t="n"/>
      <c r="G2135" s="99" t="n"/>
      <c r="H2135" s="99" t="n"/>
      <c r="I2135" s="99" t="n"/>
      <c r="J2135" s="99" t="n"/>
      <c r="K2135" s="99" t="n"/>
      <c r="L2135" s="99" t="n"/>
      <c r="M2135" s="99" t="n"/>
      <c r="N2135" s="99" t="n"/>
      <c r="O2135" s="99" t="n"/>
      <c r="P2135" s="99" t="n"/>
      <c r="Q2135" s="99" t="n"/>
      <c r="R2135" s="99" t="n"/>
      <c r="S2135" s="99" t="n"/>
      <c r="T2135" s="99" t="n"/>
      <c r="U2135" s="99" t="n"/>
      <c r="V2135" s="99" t="n"/>
      <c r="W2135" s="99" t="n"/>
      <c r="X2135" s="99" t="n"/>
      <c r="Y2135" s="99" t="n"/>
      <c r="Z2135" s="99" t="n"/>
      <c r="AA2135" s="99" t="n"/>
      <c r="AB2135" s="99" t="n"/>
      <c r="AC2135" s="99" t="n"/>
      <c r="AD2135" s="99" t="n"/>
      <c r="AE2135" s="99" t="n"/>
      <c r="AF2135" s="99" t="n"/>
      <c r="AG2135" s="99" t="n"/>
      <c r="AH2135" s="99" t="n"/>
      <c r="AI2135" s="99" t="n"/>
      <c r="AJ2135" s="99" t="n"/>
      <c r="AK2135" s="99" t="n"/>
      <c r="AL2135" s="99" t="n"/>
      <c r="AM2135" s="99" t="n"/>
      <c r="AN2135" s="99" t="n"/>
      <c r="AO2135" s="99" t="n"/>
      <c r="AP2135" s="99" t="n"/>
      <c r="AQ2135" s="99" t="n"/>
      <c r="AR2135" s="99" t="n"/>
    </row>
    <row r="2136">
      <c r="D2136" s="100" t="n"/>
      <c r="E2136" s="100" t="n"/>
      <c r="F2136" s="100" t="n"/>
      <c r="G2136" s="100" t="n"/>
      <c r="H2136" s="100" t="n"/>
      <c r="I2136" s="100" t="n"/>
      <c r="J2136" s="100" t="n"/>
      <c r="K2136" s="100" t="n"/>
      <c r="L2136" s="100" t="n"/>
      <c r="M2136" s="100" t="n"/>
      <c r="N2136" s="100" t="n"/>
      <c r="O2136" s="100" t="n"/>
      <c r="P2136" s="100" t="n"/>
      <c r="Q2136" s="100" t="n"/>
      <c r="R2136" s="100" t="n"/>
      <c r="S2136" s="100" t="n"/>
      <c r="T2136" s="100" t="n"/>
      <c r="U2136" s="100" t="n"/>
      <c r="V2136" s="100" t="n"/>
      <c r="W2136" s="100" t="n"/>
      <c r="X2136" s="100" t="n"/>
      <c r="Y2136" s="100" t="n"/>
      <c r="Z2136" s="100" t="n"/>
      <c r="AA2136" s="100" t="n"/>
      <c r="AB2136" s="100" t="n"/>
      <c r="AC2136" s="100" t="n"/>
      <c r="AD2136" s="100" t="n"/>
      <c r="AE2136" s="100" t="n"/>
      <c r="AF2136" s="100" t="n"/>
      <c r="AG2136" s="100" t="n"/>
      <c r="AH2136" s="100" t="n"/>
      <c r="AI2136" s="100" t="n"/>
      <c r="AJ2136" s="100" t="n"/>
      <c r="AK2136" s="100" t="n"/>
      <c r="AL2136" s="100" t="n"/>
      <c r="AM2136" s="100" t="n"/>
      <c r="AN2136" s="100" t="n"/>
      <c r="AO2136" s="100" t="n"/>
      <c r="AP2136" s="100" t="n"/>
      <c r="AQ2136" s="100" t="n"/>
      <c r="AR2136" s="100" t="n"/>
    </row>
    <row r="2139">
      <c r="A2139" s="2">
        <f>IF($A2132="","","   projections")</f>
        <v/>
      </c>
      <c r="B2139" s="96">
        <f>IF($A2132="",0,COUNT($E2140:$AR2140))</f>
        <v/>
      </c>
      <c r="C2139" s="97">
        <f>IF($B2139=0,0,MAX($E2140:$AR2140))</f>
        <v/>
      </c>
      <c r="D2139" s="98">
        <f>BDS($A2132,FLD_PROJ,"headers=y","startcol=1","endcol=3","dir=h")</f>
        <v/>
      </c>
      <c r="E2139" s="99" t="n"/>
      <c r="F2139" s="99" t="n"/>
      <c r="G2139" s="99" t="n"/>
      <c r="H2139" s="99" t="n"/>
      <c r="I2139" s="99" t="n"/>
      <c r="J2139" s="99" t="n"/>
      <c r="K2139" s="99" t="n"/>
      <c r="L2139" s="99" t="n"/>
      <c r="M2139" s="99" t="n"/>
      <c r="N2139" s="99" t="n"/>
      <c r="O2139" s="99" t="n"/>
      <c r="P2139" s="99" t="n"/>
      <c r="Q2139" s="99" t="n"/>
      <c r="R2139" s="99" t="n"/>
      <c r="S2139" s="99" t="n"/>
      <c r="T2139" s="99" t="n"/>
      <c r="U2139" s="99" t="n"/>
      <c r="V2139" s="99" t="n"/>
      <c r="W2139" s="99" t="n"/>
      <c r="X2139" s="99" t="n"/>
      <c r="Y2139" s="99" t="n"/>
      <c r="Z2139" s="99" t="n"/>
      <c r="AA2139" s="99" t="n"/>
      <c r="AB2139" s="99" t="n"/>
      <c r="AC2139" s="99" t="n"/>
      <c r="AD2139" s="99" t="n"/>
      <c r="AE2139" s="99" t="n"/>
      <c r="AF2139" s="99" t="n"/>
      <c r="AG2139" s="99" t="n"/>
      <c r="AH2139" s="99" t="n"/>
      <c r="AI2139" s="99" t="n"/>
      <c r="AJ2139" s="99" t="n"/>
      <c r="AK2139" s="99" t="n"/>
      <c r="AL2139" s="99" t="n"/>
      <c r="AM2139" s="99" t="n"/>
      <c r="AN2139" s="99" t="n"/>
      <c r="AO2139" s="99" t="n"/>
      <c r="AP2139" s="99" t="n"/>
      <c r="AQ2139" s="99" t="n"/>
      <c r="AR2139" s="99" t="n"/>
    </row>
    <row r="2140">
      <c r="D2140" s="99" t="n"/>
      <c r="E2140" s="99" t="n"/>
      <c r="F2140" s="99" t="n"/>
      <c r="G2140" s="99" t="n"/>
      <c r="H2140" s="99" t="n"/>
      <c r="I2140" s="99" t="n"/>
      <c r="J2140" s="99" t="n"/>
      <c r="K2140" s="99" t="n"/>
      <c r="L2140" s="99" t="n"/>
      <c r="M2140" s="99" t="n"/>
      <c r="N2140" s="99" t="n"/>
      <c r="O2140" s="99" t="n"/>
      <c r="P2140" s="99" t="n"/>
      <c r="Q2140" s="99" t="n"/>
      <c r="R2140" s="99" t="n"/>
      <c r="S2140" s="99" t="n"/>
      <c r="T2140" s="99" t="n"/>
      <c r="U2140" s="99" t="n"/>
      <c r="V2140" s="99" t="n"/>
      <c r="W2140" s="99" t="n"/>
      <c r="X2140" s="99" t="n"/>
      <c r="Y2140" s="99" t="n"/>
      <c r="Z2140" s="99" t="n"/>
      <c r="AA2140" s="99" t="n"/>
      <c r="AB2140" s="99" t="n"/>
      <c r="AC2140" s="99" t="n"/>
      <c r="AD2140" s="99" t="n"/>
      <c r="AE2140" s="99" t="n"/>
      <c r="AF2140" s="99" t="n"/>
      <c r="AG2140" s="99" t="n"/>
      <c r="AH2140" s="99" t="n"/>
      <c r="AI2140" s="99" t="n"/>
      <c r="AJ2140" s="99" t="n"/>
      <c r="AK2140" s="99" t="n"/>
      <c r="AL2140" s="99" t="n"/>
      <c r="AM2140" s="99" t="n"/>
      <c r="AN2140" s="99" t="n"/>
      <c r="AO2140" s="99" t="n"/>
      <c r="AP2140" s="99" t="n"/>
      <c r="AQ2140" s="99" t="n"/>
      <c r="AR2140" s="99" t="n"/>
    </row>
    <row r="2141">
      <c r="D2141" s="100" t="n"/>
      <c r="E2141" s="100" t="n"/>
      <c r="F2141" s="100" t="n"/>
      <c r="G2141" s="100" t="n"/>
      <c r="H2141" s="100" t="n"/>
      <c r="I2141" s="100" t="n"/>
      <c r="J2141" s="100" t="n"/>
      <c r="K2141" s="100" t="n"/>
      <c r="L2141" s="100" t="n"/>
      <c r="M2141" s="100" t="n"/>
      <c r="N2141" s="100" t="n"/>
      <c r="O2141" s="100" t="n"/>
      <c r="P2141" s="100" t="n"/>
      <c r="Q2141" s="100" t="n"/>
      <c r="R2141" s="100" t="n"/>
      <c r="S2141" s="100" t="n"/>
      <c r="T2141" s="100" t="n"/>
      <c r="U2141" s="100" t="n"/>
      <c r="V2141" s="100" t="n"/>
      <c r="W2141" s="100" t="n"/>
      <c r="X2141" s="100" t="n"/>
      <c r="Y2141" s="100" t="n"/>
      <c r="Z2141" s="100" t="n"/>
      <c r="AA2141" s="100" t="n"/>
      <c r="AB2141" s="100" t="n"/>
      <c r="AC2141" s="100" t="n"/>
      <c r="AD2141" s="100" t="n"/>
      <c r="AE2141" s="100" t="n"/>
      <c r="AF2141" s="100" t="n"/>
      <c r="AG2141" s="100" t="n"/>
      <c r="AH2141" s="100" t="n"/>
      <c r="AI2141" s="100" t="n"/>
      <c r="AJ2141" s="100" t="n"/>
      <c r="AK2141" s="100" t="n"/>
      <c r="AL2141" s="100" t="n"/>
      <c r="AM2141" s="100" t="n"/>
      <c r="AN2141" s="100" t="n"/>
      <c r="AO2141" s="100" t="n"/>
      <c r="AP2141" s="100" t="n"/>
      <c r="AQ2141" s="100" t="n"/>
      <c r="AR2141" s="100" t="n"/>
    </row>
    <row r="2143">
      <c r="A2143" s="6">
        <f>IF(HSCEI!$C$60="","",HSCEI!$C$60)</f>
        <v/>
      </c>
      <c r="B2143" s="96">
        <f>IF($A2143="",0,COUNT($E2144:$AR2144))</f>
        <v/>
      </c>
      <c r="C2143" s="97">
        <f>IF($B2143=0,0,MAX($E2144:$AR2144))</f>
        <v/>
      </c>
      <c r="D2143" s="98">
        <f>BDS($A2143,FLD_HIST,"headers=y","startcol=1","endcol=7","dir=h","DVD_START_DT",HIST_FROM,"DVD_END_DT",HIST_TO)</f>
        <v/>
      </c>
      <c r="E2143" s="99" t="n"/>
      <c r="F2143" s="99" t="n"/>
      <c r="G2143" s="99" t="n"/>
      <c r="H2143" s="99" t="n"/>
      <c r="I2143" s="99" t="n"/>
      <c r="J2143" s="99" t="n"/>
      <c r="K2143" s="99" t="n"/>
      <c r="L2143" s="99" t="n"/>
      <c r="M2143" s="99" t="n"/>
      <c r="N2143" s="99" t="n"/>
      <c r="O2143" s="99" t="n"/>
      <c r="P2143" s="99" t="n"/>
      <c r="Q2143" s="99" t="n"/>
      <c r="R2143" s="99" t="n"/>
      <c r="S2143" s="99" t="n"/>
      <c r="T2143" s="99" t="n"/>
      <c r="U2143" s="99" t="n"/>
      <c r="V2143" s="99" t="n"/>
      <c r="W2143" s="99" t="n"/>
      <c r="X2143" s="99" t="n"/>
      <c r="Y2143" s="99" t="n"/>
      <c r="Z2143" s="99" t="n"/>
      <c r="AA2143" s="99" t="n"/>
      <c r="AB2143" s="99" t="n"/>
      <c r="AC2143" s="99" t="n"/>
      <c r="AD2143" s="99" t="n"/>
      <c r="AE2143" s="99" t="n"/>
      <c r="AF2143" s="99" t="n"/>
      <c r="AG2143" s="99" t="n"/>
      <c r="AH2143" s="99" t="n"/>
      <c r="AI2143" s="99" t="n"/>
      <c r="AJ2143" s="99" t="n"/>
      <c r="AK2143" s="99" t="n"/>
      <c r="AL2143" s="99" t="n"/>
      <c r="AM2143" s="99" t="n"/>
      <c r="AN2143" s="99" t="n"/>
      <c r="AO2143" s="99" t="n"/>
      <c r="AP2143" s="99" t="n"/>
      <c r="AQ2143" s="99" t="n"/>
      <c r="AR2143" s="99" t="n"/>
    </row>
    <row r="2144">
      <c r="D2144" s="99" t="n"/>
      <c r="E2144" s="99" t="n"/>
      <c r="F2144" s="99" t="n"/>
      <c r="G2144" s="99" t="n"/>
      <c r="H2144" s="99" t="n"/>
      <c r="I2144" s="99" t="n"/>
      <c r="J2144" s="99" t="n"/>
      <c r="K2144" s="99" t="n"/>
      <c r="L2144" s="99" t="n"/>
      <c r="M2144" s="99" t="n"/>
      <c r="N2144" s="99" t="n"/>
      <c r="O2144" s="99" t="n"/>
      <c r="P2144" s="99" t="n"/>
      <c r="Q2144" s="99" t="n"/>
      <c r="R2144" s="99" t="n"/>
      <c r="S2144" s="99" t="n"/>
      <c r="T2144" s="99" t="n"/>
      <c r="U2144" s="99" t="n"/>
      <c r="V2144" s="99" t="n"/>
      <c r="W2144" s="99" t="n"/>
      <c r="X2144" s="99" t="n"/>
      <c r="Y2144" s="99" t="n"/>
      <c r="Z2144" s="99" t="n"/>
      <c r="AA2144" s="99" t="n"/>
      <c r="AB2144" s="99" t="n"/>
      <c r="AC2144" s="99" t="n"/>
      <c r="AD2144" s="99" t="n"/>
      <c r="AE2144" s="99" t="n"/>
      <c r="AF2144" s="99" t="n"/>
      <c r="AG2144" s="99" t="n"/>
      <c r="AH2144" s="99" t="n"/>
      <c r="AI2144" s="99" t="n"/>
      <c r="AJ2144" s="99" t="n"/>
      <c r="AK2144" s="99" t="n"/>
      <c r="AL2144" s="99" t="n"/>
      <c r="AM2144" s="99" t="n"/>
      <c r="AN2144" s="99" t="n"/>
      <c r="AO2144" s="99" t="n"/>
      <c r="AP2144" s="99" t="n"/>
      <c r="AQ2144" s="99" t="n"/>
      <c r="AR2144" s="99" t="n"/>
    </row>
    <row r="2145">
      <c r="D2145" s="99" t="n"/>
      <c r="E2145" s="99" t="n"/>
      <c r="F2145" s="99" t="n"/>
      <c r="G2145" s="99" t="n"/>
      <c r="H2145" s="99" t="n"/>
      <c r="I2145" s="99" t="n"/>
      <c r="J2145" s="99" t="n"/>
      <c r="K2145" s="99" t="n"/>
      <c r="L2145" s="99" t="n"/>
      <c r="M2145" s="99" t="n"/>
      <c r="N2145" s="99" t="n"/>
      <c r="O2145" s="99" t="n"/>
      <c r="P2145" s="99" t="n"/>
      <c r="Q2145" s="99" t="n"/>
      <c r="R2145" s="99" t="n"/>
      <c r="S2145" s="99" t="n"/>
      <c r="T2145" s="99" t="n"/>
      <c r="U2145" s="99" t="n"/>
      <c r="V2145" s="99" t="n"/>
      <c r="W2145" s="99" t="n"/>
      <c r="X2145" s="99" t="n"/>
      <c r="Y2145" s="99" t="n"/>
      <c r="Z2145" s="99" t="n"/>
      <c r="AA2145" s="99" t="n"/>
      <c r="AB2145" s="99" t="n"/>
      <c r="AC2145" s="99" t="n"/>
      <c r="AD2145" s="99" t="n"/>
      <c r="AE2145" s="99" t="n"/>
      <c r="AF2145" s="99" t="n"/>
      <c r="AG2145" s="99" t="n"/>
      <c r="AH2145" s="99" t="n"/>
      <c r="AI2145" s="99" t="n"/>
      <c r="AJ2145" s="99" t="n"/>
      <c r="AK2145" s="99" t="n"/>
      <c r="AL2145" s="99" t="n"/>
      <c r="AM2145" s="99" t="n"/>
      <c r="AN2145" s="99" t="n"/>
      <c r="AO2145" s="99" t="n"/>
      <c r="AP2145" s="99" t="n"/>
      <c r="AQ2145" s="99" t="n"/>
      <c r="AR2145" s="99" t="n"/>
    </row>
    <row r="2146">
      <c r="D2146" s="99" t="n"/>
      <c r="E2146" s="99" t="n"/>
      <c r="F2146" s="99" t="n"/>
      <c r="G2146" s="99" t="n"/>
      <c r="H2146" s="99" t="n"/>
      <c r="I2146" s="99" t="n"/>
      <c r="J2146" s="99" t="n"/>
      <c r="K2146" s="99" t="n"/>
      <c r="L2146" s="99" t="n"/>
      <c r="M2146" s="99" t="n"/>
      <c r="N2146" s="99" t="n"/>
      <c r="O2146" s="99" t="n"/>
      <c r="P2146" s="99" t="n"/>
      <c r="Q2146" s="99" t="n"/>
      <c r="R2146" s="99" t="n"/>
      <c r="S2146" s="99" t="n"/>
      <c r="T2146" s="99" t="n"/>
      <c r="U2146" s="99" t="n"/>
      <c r="V2146" s="99" t="n"/>
      <c r="W2146" s="99" t="n"/>
      <c r="X2146" s="99" t="n"/>
      <c r="Y2146" s="99" t="n"/>
      <c r="Z2146" s="99" t="n"/>
      <c r="AA2146" s="99" t="n"/>
      <c r="AB2146" s="99" t="n"/>
      <c r="AC2146" s="99" t="n"/>
      <c r="AD2146" s="99" t="n"/>
      <c r="AE2146" s="99" t="n"/>
      <c r="AF2146" s="99" t="n"/>
      <c r="AG2146" s="99" t="n"/>
      <c r="AH2146" s="99" t="n"/>
      <c r="AI2146" s="99" t="n"/>
      <c r="AJ2146" s="99" t="n"/>
      <c r="AK2146" s="99" t="n"/>
      <c r="AL2146" s="99" t="n"/>
      <c r="AM2146" s="99" t="n"/>
      <c r="AN2146" s="99" t="n"/>
      <c r="AO2146" s="99" t="n"/>
      <c r="AP2146" s="99" t="n"/>
      <c r="AQ2146" s="99" t="n"/>
      <c r="AR2146" s="99" t="n"/>
    </row>
    <row r="2147">
      <c r="D2147" s="100" t="n"/>
      <c r="E2147" s="100" t="n"/>
      <c r="F2147" s="100" t="n"/>
      <c r="G2147" s="100" t="n"/>
      <c r="H2147" s="100" t="n"/>
      <c r="I2147" s="100" t="n"/>
      <c r="J2147" s="100" t="n"/>
      <c r="K2147" s="100" t="n"/>
      <c r="L2147" s="100" t="n"/>
      <c r="M2147" s="100" t="n"/>
      <c r="N2147" s="100" t="n"/>
      <c r="O2147" s="100" t="n"/>
      <c r="P2147" s="100" t="n"/>
      <c r="Q2147" s="100" t="n"/>
      <c r="R2147" s="100" t="n"/>
      <c r="S2147" s="100" t="n"/>
      <c r="T2147" s="100" t="n"/>
      <c r="U2147" s="100" t="n"/>
      <c r="V2147" s="100" t="n"/>
      <c r="W2147" s="100" t="n"/>
      <c r="X2147" s="100" t="n"/>
      <c r="Y2147" s="100" t="n"/>
      <c r="Z2147" s="100" t="n"/>
      <c r="AA2147" s="100" t="n"/>
      <c r="AB2147" s="100" t="n"/>
      <c r="AC2147" s="100" t="n"/>
      <c r="AD2147" s="100" t="n"/>
      <c r="AE2147" s="100" t="n"/>
      <c r="AF2147" s="100" t="n"/>
      <c r="AG2147" s="100" t="n"/>
      <c r="AH2147" s="100" t="n"/>
      <c r="AI2147" s="100" t="n"/>
      <c r="AJ2147" s="100" t="n"/>
      <c r="AK2147" s="100" t="n"/>
      <c r="AL2147" s="100" t="n"/>
      <c r="AM2147" s="100" t="n"/>
      <c r="AN2147" s="100" t="n"/>
      <c r="AO2147" s="100" t="n"/>
      <c r="AP2147" s="100" t="n"/>
      <c r="AQ2147" s="100" t="n"/>
      <c r="AR2147" s="100" t="n"/>
    </row>
    <row r="2150">
      <c r="A2150" s="2">
        <f>IF($A2143="","","   projections")</f>
        <v/>
      </c>
      <c r="B2150" s="96">
        <f>IF($A2143="",0,COUNT($E2151:$AR2151))</f>
        <v/>
      </c>
      <c r="C2150" s="97">
        <f>IF($B2150=0,0,MAX($E2151:$AR2151))</f>
        <v/>
      </c>
      <c r="D2150" s="98">
        <f>BDS($A2143,FLD_PROJ,"headers=y","startcol=1","endcol=3","dir=h")</f>
        <v/>
      </c>
      <c r="E2150" s="99" t="n"/>
      <c r="F2150" s="99" t="n"/>
      <c r="G2150" s="99" t="n"/>
      <c r="H2150" s="99" t="n"/>
      <c r="I2150" s="99" t="n"/>
      <c r="J2150" s="99" t="n"/>
      <c r="K2150" s="99" t="n"/>
      <c r="L2150" s="99" t="n"/>
      <c r="M2150" s="99" t="n"/>
      <c r="N2150" s="99" t="n"/>
      <c r="O2150" s="99" t="n"/>
      <c r="P2150" s="99" t="n"/>
      <c r="Q2150" s="99" t="n"/>
      <c r="R2150" s="99" t="n"/>
      <c r="S2150" s="99" t="n"/>
      <c r="T2150" s="99" t="n"/>
      <c r="U2150" s="99" t="n"/>
      <c r="V2150" s="99" t="n"/>
      <c r="W2150" s="99" t="n"/>
      <c r="X2150" s="99" t="n"/>
      <c r="Y2150" s="99" t="n"/>
      <c r="Z2150" s="99" t="n"/>
      <c r="AA2150" s="99" t="n"/>
      <c r="AB2150" s="99" t="n"/>
      <c r="AC2150" s="99" t="n"/>
      <c r="AD2150" s="99" t="n"/>
      <c r="AE2150" s="99" t="n"/>
      <c r="AF2150" s="99" t="n"/>
      <c r="AG2150" s="99" t="n"/>
      <c r="AH2150" s="99" t="n"/>
      <c r="AI2150" s="99" t="n"/>
      <c r="AJ2150" s="99" t="n"/>
      <c r="AK2150" s="99" t="n"/>
      <c r="AL2150" s="99" t="n"/>
      <c r="AM2150" s="99" t="n"/>
      <c r="AN2150" s="99" t="n"/>
      <c r="AO2150" s="99" t="n"/>
      <c r="AP2150" s="99" t="n"/>
      <c r="AQ2150" s="99" t="n"/>
      <c r="AR2150" s="99" t="n"/>
    </row>
    <row r="2151">
      <c r="D2151" s="99" t="n"/>
      <c r="E2151" s="99" t="n"/>
      <c r="F2151" s="99" t="n"/>
      <c r="G2151" s="99" t="n"/>
      <c r="H2151" s="99" t="n"/>
      <c r="I2151" s="99" t="n"/>
      <c r="J2151" s="99" t="n"/>
      <c r="K2151" s="99" t="n"/>
      <c r="L2151" s="99" t="n"/>
      <c r="M2151" s="99" t="n"/>
      <c r="N2151" s="99" t="n"/>
      <c r="O2151" s="99" t="n"/>
      <c r="P2151" s="99" t="n"/>
      <c r="Q2151" s="99" t="n"/>
      <c r="R2151" s="99" t="n"/>
      <c r="S2151" s="99" t="n"/>
      <c r="T2151" s="99" t="n"/>
      <c r="U2151" s="99" t="n"/>
      <c r="V2151" s="99" t="n"/>
      <c r="W2151" s="99" t="n"/>
      <c r="X2151" s="99" t="n"/>
      <c r="Y2151" s="99" t="n"/>
      <c r="Z2151" s="99" t="n"/>
      <c r="AA2151" s="99" t="n"/>
      <c r="AB2151" s="99" t="n"/>
      <c r="AC2151" s="99" t="n"/>
      <c r="AD2151" s="99" t="n"/>
      <c r="AE2151" s="99" t="n"/>
      <c r="AF2151" s="99" t="n"/>
      <c r="AG2151" s="99" t="n"/>
      <c r="AH2151" s="99" t="n"/>
      <c r="AI2151" s="99" t="n"/>
      <c r="AJ2151" s="99" t="n"/>
      <c r="AK2151" s="99" t="n"/>
      <c r="AL2151" s="99" t="n"/>
      <c r="AM2151" s="99" t="n"/>
      <c r="AN2151" s="99" t="n"/>
      <c r="AO2151" s="99" t="n"/>
      <c r="AP2151" s="99" t="n"/>
      <c r="AQ2151" s="99" t="n"/>
      <c r="AR2151" s="99" t="n"/>
    </row>
    <row r="2152">
      <c r="D2152" s="100" t="n"/>
      <c r="E2152" s="100" t="n"/>
      <c r="F2152" s="100" t="n"/>
      <c r="G2152" s="100" t="n"/>
      <c r="H2152" s="100" t="n"/>
      <c r="I2152" s="100" t="n"/>
      <c r="J2152" s="100" t="n"/>
      <c r="K2152" s="100" t="n"/>
      <c r="L2152" s="100" t="n"/>
      <c r="M2152" s="100" t="n"/>
      <c r="N2152" s="100" t="n"/>
      <c r="O2152" s="100" t="n"/>
      <c r="P2152" s="100" t="n"/>
      <c r="Q2152" s="100" t="n"/>
      <c r="R2152" s="100" t="n"/>
      <c r="S2152" s="100" t="n"/>
      <c r="T2152" s="100" t="n"/>
      <c r="U2152" s="100" t="n"/>
      <c r="V2152" s="100" t="n"/>
      <c r="W2152" s="100" t="n"/>
      <c r="X2152" s="100" t="n"/>
      <c r="Y2152" s="100" t="n"/>
      <c r="Z2152" s="100" t="n"/>
      <c r="AA2152" s="100" t="n"/>
      <c r="AB2152" s="100" t="n"/>
      <c r="AC2152" s="100" t="n"/>
      <c r="AD2152" s="100" t="n"/>
      <c r="AE2152" s="100" t="n"/>
      <c r="AF2152" s="100" t="n"/>
      <c r="AG2152" s="100" t="n"/>
      <c r="AH2152" s="100" t="n"/>
      <c r="AI2152" s="100" t="n"/>
      <c r="AJ2152" s="100" t="n"/>
      <c r="AK2152" s="100" t="n"/>
      <c r="AL2152" s="100" t="n"/>
      <c r="AM2152" s="100" t="n"/>
      <c r="AN2152" s="100" t="n"/>
      <c r="AO2152" s="100" t="n"/>
      <c r="AP2152" s="100" t="n"/>
      <c r="AQ2152" s="100" t="n"/>
      <c r="AR2152" s="100" t="n"/>
    </row>
    <row r="2154">
      <c r="A2154" s="6">
        <f>IF(HSCEI!$C$61="","",HSCEI!$C$61)</f>
        <v/>
      </c>
      <c r="B2154" s="96">
        <f>IF($A2154="",0,COUNT($E2155:$AR2155))</f>
        <v/>
      </c>
      <c r="C2154" s="97">
        <f>IF($B2154=0,0,MAX($E2155:$AR2155))</f>
        <v/>
      </c>
      <c r="D2154" s="98">
        <f>BDS($A2154,FLD_HIST,"headers=y","startcol=1","endcol=7","dir=h","DVD_START_DT",HIST_FROM,"DVD_END_DT",HIST_TO)</f>
        <v/>
      </c>
      <c r="E2154" s="99" t="n"/>
      <c r="F2154" s="99" t="n"/>
      <c r="G2154" s="99" t="n"/>
      <c r="H2154" s="99" t="n"/>
      <c r="I2154" s="99" t="n"/>
      <c r="J2154" s="99" t="n"/>
      <c r="K2154" s="99" t="n"/>
      <c r="L2154" s="99" t="n"/>
      <c r="M2154" s="99" t="n"/>
      <c r="N2154" s="99" t="n"/>
      <c r="O2154" s="99" t="n"/>
      <c r="P2154" s="99" t="n"/>
      <c r="Q2154" s="99" t="n"/>
      <c r="R2154" s="99" t="n"/>
      <c r="S2154" s="99" t="n"/>
      <c r="T2154" s="99" t="n"/>
      <c r="U2154" s="99" t="n"/>
      <c r="V2154" s="99" t="n"/>
      <c r="W2154" s="99" t="n"/>
      <c r="X2154" s="99" t="n"/>
      <c r="Y2154" s="99" t="n"/>
      <c r="Z2154" s="99" t="n"/>
      <c r="AA2154" s="99" t="n"/>
      <c r="AB2154" s="99" t="n"/>
      <c r="AC2154" s="99" t="n"/>
      <c r="AD2154" s="99" t="n"/>
      <c r="AE2154" s="99" t="n"/>
      <c r="AF2154" s="99" t="n"/>
      <c r="AG2154" s="99" t="n"/>
      <c r="AH2154" s="99" t="n"/>
      <c r="AI2154" s="99" t="n"/>
      <c r="AJ2154" s="99" t="n"/>
      <c r="AK2154" s="99" t="n"/>
      <c r="AL2154" s="99" t="n"/>
      <c r="AM2154" s="99" t="n"/>
      <c r="AN2154" s="99" t="n"/>
      <c r="AO2154" s="99" t="n"/>
      <c r="AP2154" s="99" t="n"/>
      <c r="AQ2154" s="99" t="n"/>
      <c r="AR2154" s="99" t="n"/>
    </row>
    <row r="2155">
      <c r="D2155" s="99" t="n"/>
      <c r="E2155" s="99" t="n"/>
      <c r="F2155" s="99" t="n"/>
      <c r="G2155" s="99" t="n"/>
      <c r="H2155" s="99" t="n"/>
      <c r="I2155" s="99" t="n"/>
      <c r="J2155" s="99" t="n"/>
      <c r="K2155" s="99" t="n"/>
      <c r="L2155" s="99" t="n"/>
      <c r="M2155" s="99" t="n"/>
      <c r="N2155" s="99" t="n"/>
      <c r="O2155" s="99" t="n"/>
      <c r="P2155" s="99" t="n"/>
      <c r="Q2155" s="99" t="n"/>
      <c r="R2155" s="99" t="n"/>
      <c r="S2155" s="99" t="n"/>
      <c r="T2155" s="99" t="n"/>
      <c r="U2155" s="99" t="n"/>
      <c r="V2155" s="99" t="n"/>
      <c r="W2155" s="99" t="n"/>
      <c r="X2155" s="99" t="n"/>
      <c r="Y2155" s="99" t="n"/>
      <c r="Z2155" s="99" t="n"/>
      <c r="AA2155" s="99" t="n"/>
      <c r="AB2155" s="99" t="n"/>
      <c r="AC2155" s="99" t="n"/>
      <c r="AD2155" s="99" t="n"/>
      <c r="AE2155" s="99" t="n"/>
      <c r="AF2155" s="99" t="n"/>
      <c r="AG2155" s="99" t="n"/>
      <c r="AH2155" s="99" t="n"/>
      <c r="AI2155" s="99" t="n"/>
      <c r="AJ2155" s="99" t="n"/>
      <c r="AK2155" s="99" t="n"/>
      <c r="AL2155" s="99" t="n"/>
      <c r="AM2155" s="99" t="n"/>
      <c r="AN2155" s="99" t="n"/>
      <c r="AO2155" s="99" t="n"/>
      <c r="AP2155" s="99" t="n"/>
      <c r="AQ2155" s="99" t="n"/>
      <c r="AR2155" s="99" t="n"/>
    </row>
    <row r="2156">
      <c r="D2156" s="99" t="n"/>
      <c r="E2156" s="99" t="n"/>
      <c r="F2156" s="99" t="n"/>
      <c r="G2156" s="99" t="n"/>
      <c r="H2156" s="99" t="n"/>
      <c r="I2156" s="99" t="n"/>
      <c r="J2156" s="99" t="n"/>
      <c r="K2156" s="99" t="n"/>
      <c r="L2156" s="99" t="n"/>
      <c r="M2156" s="99" t="n"/>
      <c r="N2156" s="99" t="n"/>
      <c r="O2156" s="99" t="n"/>
      <c r="P2156" s="99" t="n"/>
      <c r="Q2156" s="99" t="n"/>
      <c r="R2156" s="99" t="n"/>
      <c r="S2156" s="99" t="n"/>
      <c r="T2156" s="99" t="n"/>
      <c r="U2156" s="99" t="n"/>
      <c r="V2156" s="99" t="n"/>
      <c r="W2156" s="99" t="n"/>
      <c r="X2156" s="99" t="n"/>
      <c r="Y2156" s="99" t="n"/>
      <c r="Z2156" s="99" t="n"/>
      <c r="AA2156" s="99" t="n"/>
      <c r="AB2156" s="99" t="n"/>
      <c r="AC2156" s="99" t="n"/>
      <c r="AD2156" s="99" t="n"/>
      <c r="AE2156" s="99" t="n"/>
      <c r="AF2156" s="99" t="n"/>
      <c r="AG2156" s="99" t="n"/>
      <c r="AH2156" s="99" t="n"/>
      <c r="AI2156" s="99" t="n"/>
      <c r="AJ2156" s="99" t="n"/>
      <c r="AK2156" s="99" t="n"/>
      <c r="AL2156" s="99" t="n"/>
      <c r="AM2156" s="99" t="n"/>
      <c r="AN2156" s="99" t="n"/>
      <c r="AO2156" s="99" t="n"/>
      <c r="AP2156" s="99" t="n"/>
      <c r="AQ2156" s="99" t="n"/>
      <c r="AR2156" s="99" t="n"/>
    </row>
    <row r="2157">
      <c r="D2157" s="99" t="n"/>
      <c r="E2157" s="99" t="n"/>
      <c r="F2157" s="99" t="n"/>
      <c r="G2157" s="99" t="n"/>
      <c r="H2157" s="99" t="n"/>
      <c r="I2157" s="99" t="n"/>
      <c r="J2157" s="99" t="n"/>
      <c r="K2157" s="99" t="n"/>
      <c r="L2157" s="99" t="n"/>
      <c r="M2157" s="99" t="n"/>
      <c r="N2157" s="99" t="n"/>
      <c r="O2157" s="99" t="n"/>
      <c r="P2157" s="99" t="n"/>
      <c r="Q2157" s="99" t="n"/>
      <c r="R2157" s="99" t="n"/>
      <c r="S2157" s="99" t="n"/>
      <c r="T2157" s="99" t="n"/>
      <c r="U2157" s="99" t="n"/>
      <c r="V2157" s="99" t="n"/>
      <c r="W2157" s="99" t="n"/>
      <c r="X2157" s="99" t="n"/>
      <c r="Y2157" s="99" t="n"/>
      <c r="Z2157" s="99" t="n"/>
      <c r="AA2157" s="99" t="n"/>
      <c r="AB2157" s="99" t="n"/>
      <c r="AC2157" s="99" t="n"/>
      <c r="AD2157" s="99" t="n"/>
      <c r="AE2157" s="99" t="n"/>
      <c r="AF2157" s="99" t="n"/>
      <c r="AG2157" s="99" t="n"/>
      <c r="AH2157" s="99" t="n"/>
      <c r="AI2157" s="99" t="n"/>
      <c r="AJ2157" s="99" t="n"/>
      <c r="AK2157" s="99" t="n"/>
      <c r="AL2157" s="99" t="n"/>
      <c r="AM2157" s="99" t="n"/>
      <c r="AN2157" s="99" t="n"/>
      <c r="AO2157" s="99" t="n"/>
      <c r="AP2157" s="99" t="n"/>
      <c r="AQ2157" s="99" t="n"/>
      <c r="AR2157" s="99" t="n"/>
    </row>
    <row r="2158">
      <c r="D2158" s="100" t="n"/>
      <c r="E2158" s="100" t="n"/>
      <c r="F2158" s="100" t="n"/>
      <c r="G2158" s="100" t="n"/>
      <c r="H2158" s="100" t="n"/>
      <c r="I2158" s="100" t="n"/>
      <c r="J2158" s="100" t="n"/>
      <c r="K2158" s="100" t="n"/>
      <c r="L2158" s="100" t="n"/>
      <c r="M2158" s="100" t="n"/>
      <c r="N2158" s="100" t="n"/>
      <c r="O2158" s="100" t="n"/>
      <c r="P2158" s="100" t="n"/>
      <c r="Q2158" s="100" t="n"/>
      <c r="R2158" s="100" t="n"/>
      <c r="S2158" s="100" t="n"/>
      <c r="T2158" s="100" t="n"/>
      <c r="U2158" s="100" t="n"/>
      <c r="V2158" s="100" t="n"/>
      <c r="W2158" s="100" t="n"/>
      <c r="X2158" s="100" t="n"/>
      <c r="Y2158" s="100" t="n"/>
      <c r="Z2158" s="100" t="n"/>
      <c r="AA2158" s="100" t="n"/>
      <c r="AB2158" s="100" t="n"/>
      <c r="AC2158" s="100" t="n"/>
      <c r="AD2158" s="100" t="n"/>
      <c r="AE2158" s="100" t="n"/>
      <c r="AF2158" s="100" t="n"/>
      <c r="AG2158" s="100" t="n"/>
      <c r="AH2158" s="100" t="n"/>
      <c r="AI2158" s="100" t="n"/>
      <c r="AJ2158" s="100" t="n"/>
      <c r="AK2158" s="100" t="n"/>
      <c r="AL2158" s="100" t="n"/>
      <c r="AM2158" s="100" t="n"/>
      <c r="AN2158" s="100" t="n"/>
      <c r="AO2158" s="100" t="n"/>
      <c r="AP2158" s="100" t="n"/>
      <c r="AQ2158" s="100" t="n"/>
      <c r="AR2158" s="100" t="n"/>
    </row>
    <row r="2161">
      <c r="A2161" s="2">
        <f>IF($A2154="","","   projections")</f>
        <v/>
      </c>
      <c r="B2161" s="96">
        <f>IF($A2154="",0,COUNT($E2162:$AR2162))</f>
        <v/>
      </c>
      <c r="C2161" s="97">
        <f>IF($B2161=0,0,MAX($E2162:$AR2162))</f>
        <v/>
      </c>
      <c r="D2161" s="98">
        <f>BDS($A2154,FLD_PROJ,"headers=y","startcol=1","endcol=3","dir=h")</f>
        <v/>
      </c>
      <c r="E2161" s="99" t="n"/>
      <c r="F2161" s="99" t="n"/>
      <c r="G2161" s="99" t="n"/>
      <c r="H2161" s="99" t="n"/>
      <c r="I2161" s="99" t="n"/>
      <c r="J2161" s="99" t="n"/>
      <c r="K2161" s="99" t="n"/>
      <c r="L2161" s="99" t="n"/>
      <c r="M2161" s="99" t="n"/>
      <c r="N2161" s="99" t="n"/>
      <c r="O2161" s="99" t="n"/>
      <c r="P2161" s="99" t="n"/>
      <c r="Q2161" s="99" t="n"/>
      <c r="R2161" s="99" t="n"/>
      <c r="S2161" s="99" t="n"/>
      <c r="T2161" s="99" t="n"/>
      <c r="U2161" s="99" t="n"/>
      <c r="V2161" s="99" t="n"/>
      <c r="W2161" s="99" t="n"/>
      <c r="X2161" s="99" t="n"/>
      <c r="Y2161" s="99" t="n"/>
      <c r="Z2161" s="99" t="n"/>
      <c r="AA2161" s="99" t="n"/>
      <c r="AB2161" s="99" t="n"/>
      <c r="AC2161" s="99" t="n"/>
      <c r="AD2161" s="99" t="n"/>
      <c r="AE2161" s="99" t="n"/>
      <c r="AF2161" s="99" t="n"/>
      <c r="AG2161" s="99" t="n"/>
      <c r="AH2161" s="99" t="n"/>
      <c r="AI2161" s="99" t="n"/>
      <c r="AJ2161" s="99" t="n"/>
      <c r="AK2161" s="99" t="n"/>
      <c r="AL2161" s="99" t="n"/>
      <c r="AM2161" s="99" t="n"/>
      <c r="AN2161" s="99" t="n"/>
      <c r="AO2161" s="99" t="n"/>
      <c r="AP2161" s="99" t="n"/>
      <c r="AQ2161" s="99" t="n"/>
      <c r="AR2161" s="99" t="n"/>
    </row>
    <row r="2162">
      <c r="D2162" s="99" t="n"/>
      <c r="E2162" s="99" t="n"/>
      <c r="F2162" s="99" t="n"/>
      <c r="G2162" s="99" t="n"/>
      <c r="H2162" s="99" t="n"/>
      <c r="I2162" s="99" t="n"/>
      <c r="J2162" s="99" t="n"/>
      <c r="K2162" s="99" t="n"/>
      <c r="L2162" s="99" t="n"/>
      <c r="M2162" s="99" t="n"/>
      <c r="N2162" s="99" t="n"/>
      <c r="O2162" s="99" t="n"/>
      <c r="P2162" s="99" t="n"/>
      <c r="Q2162" s="99" t="n"/>
      <c r="R2162" s="99" t="n"/>
      <c r="S2162" s="99" t="n"/>
      <c r="T2162" s="99" t="n"/>
      <c r="U2162" s="99" t="n"/>
      <c r="V2162" s="99" t="n"/>
      <c r="W2162" s="99" t="n"/>
      <c r="X2162" s="99" t="n"/>
      <c r="Y2162" s="99" t="n"/>
      <c r="Z2162" s="99" t="n"/>
      <c r="AA2162" s="99" t="n"/>
      <c r="AB2162" s="99" t="n"/>
      <c r="AC2162" s="99" t="n"/>
      <c r="AD2162" s="99" t="n"/>
      <c r="AE2162" s="99" t="n"/>
      <c r="AF2162" s="99" t="n"/>
      <c r="AG2162" s="99" t="n"/>
      <c r="AH2162" s="99" t="n"/>
      <c r="AI2162" s="99" t="n"/>
      <c r="AJ2162" s="99" t="n"/>
      <c r="AK2162" s="99" t="n"/>
      <c r="AL2162" s="99" t="n"/>
      <c r="AM2162" s="99" t="n"/>
      <c r="AN2162" s="99" t="n"/>
      <c r="AO2162" s="99" t="n"/>
      <c r="AP2162" s="99" t="n"/>
      <c r="AQ2162" s="99" t="n"/>
      <c r="AR2162" s="99" t="n"/>
    </row>
    <row r="2163">
      <c r="D2163" s="100" t="n"/>
      <c r="E2163" s="100" t="n"/>
      <c r="F2163" s="100" t="n"/>
      <c r="G2163" s="100" t="n"/>
      <c r="H2163" s="100" t="n"/>
      <c r="I2163" s="100" t="n"/>
      <c r="J2163" s="100" t="n"/>
      <c r="K2163" s="100" t="n"/>
      <c r="L2163" s="100" t="n"/>
      <c r="M2163" s="100" t="n"/>
      <c r="N2163" s="100" t="n"/>
      <c r="O2163" s="100" t="n"/>
      <c r="P2163" s="100" t="n"/>
      <c r="Q2163" s="100" t="n"/>
      <c r="R2163" s="100" t="n"/>
      <c r="S2163" s="100" t="n"/>
      <c r="T2163" s="100" t="n"/>
      <c r="U2163" s="100" t="n"/>
      <c r="V2163" s="100" t="n"/>
      <c r="W2163" s="100" t="n"/>
      <c r="X2163" s="100" t="n"/>
      <c r="Y2163" s="100" t="n"/>
      <c r="Z2163" s="100" t="n"/>
      <c r="AA2163" s="100" t="n"/>
      <c r="AB2163" s="100" t="n"/>
      <c r="AC2163" s="100" t="n"/>
      <c r="AD2163" s="100" t="n"/>
      <c r="AE2163" s="100" t="n"/>
      <c r="AF2163" s="100" t="n"/>
      <c r="AG2163" s="100" t="n"/>
      <c r="AH2163" s="100" t="n"/>
      <c r="AI2163" s="100" t="n"/>
      <c r="AJ2163" s="100" t="n"/>
      <c r="AK2163" s="100" t="n"/>
      <c r="AL2163" s="100" t="n"/>
      <c r="AM2163" s="100" t="n"/>
      <c r="AN2163" s="100" t="n"/>
      <c r="AO2163" s="100" t="n"/>
      <c r="AP2163" s="100" t="n"/>
      <c r="AQ2163" s="100" t="n"/>
      <c r="AR2163" s="100" t="n"/>
    </row>
    <row r="2165">
      <c r="A2165" s="6">
        <f>IF(HSCEI!$C$62="","",HSCEI!$C$62)</f>
        <v/>
      </c>
      <c r="B2165" s="96">
        <f>IF($A2165="",0,COUNT($E2166:$AR2166))</f>
        <v/>
      </c>
      <c r="C2165" s="97">
        <f>IF($B2165=0,0,MAX($E2166:$AR2166))</f>
        <v/>
      </c>
      <c r="D2165" s="98">
        <f>BDS($A2165,FLD_HIST,"headers=y","startcol=1","endcol=7","dir=h","DVD_START_DT",HIST_FROM,"DVD_END_DT",HIST_TO)</f>
        <v/>
      </c>
      <c r="E2165" s="99" t="n"/>
      <c r="F2165" s="99" t="n"/>
      <c r="G2165" s="99" t="n"/>
      <c r="H2165" s="99" t="n"/>
      <c r="I2165" s="99" t="n"/>
      <c r="J2165" s="99" t="n"/>
      <c r="K2165" s="99" t="n"/>
      <c r="L2165" s="99" t="n"/>
      <c r="M2165" s="99" t="n"/>
      <c r="N2165" s="99" t="n"/>
      <c r="O2165" s="99" t="n"/>
      <c r="P2165" s="99" t="n"/>
      <c r="Q2165" s="99" t="n"/>
      <c r="R2165" s="99" t="n"/>
      <c r="S2165" s="99" t="n"/>
      <c r="T2165" s="99" t="n"/>
      <c r="U2165" s="99" t="n"/>
      <c r="V2165" s="99" t="n"/>
      <c r="W2165" s="99" t="n"/>
      <c r="X2165" s="99" t="n"/>
      <c r="Y2165" s="99" t="n"/>
      <c r="Z2165" s="99" t="n"/>
      <c r="AA2165" s="99" t="n"/>
      <c r="AB2165" s="99" t="n"/>
      <c r="AC2165" s="99" t="n"/>
      <c r="AD2165" s="99" t="n"/>
      <c r="AE2165" s="99" t="n"/>
      <c r="AF2165" s="99" t="n"/>
      <c r="AG2165" s="99" t="n"/>
      <c r="AH2165" s="99" t="n"/>
      <c r="AI2165" s="99" t="n"/>
      <c r="AJ2165" s="99" t="n"/>
      <c r="AK2165" s="99" t="n"/>
      <c r="AL2165" s="99" t="n"/>
      <c r="AM2165" s="99" t="n"/>
      <c r="AN2165" s="99" t="n"/>
      <c r="AO2165" s="99" t="n"/>
      <c r="AP2165" s="99" t="n"/>
      <c r="AQ2165" s="99" t="n"/>
      <c r="AR2165" s="99" t="n"/>
    </row>
    <row r="2166">
      <c r="D2166" s="99" t="n"/>
      <c r="E2166" s="99" t="n"/>
      <c r="F2166" s="99" t="n"/>
      <c r="G2166" s="99" t="n"/>
      <c r="H2166" s="99" t="n"/>
      <c r="I2166" s="99" t="n"/>
      <c r="J2166" s="99" t="n"/>
      <c r="K2166" s="99" t="n"/>
      <c r="L2166" s="99" t="n"/>
      <c r="M2166" s="99" t="n"/>
      <c r="N2166" s="99" t="n"/>
      <c r="O2166" s="99" t="n"/>
      <c r="P2166" s="99" t="n"/>
      <c r="Q2166" s="99" t="n"/>
      <c r="R2166" s="99" t="n"/>
      <c r="S2166" s="99" t="n"/>
      <c r="T2166" s="99" t="n"/>
      <c r="U2166" s="99" t="n"/>
      <c r="V2166" s="99" t="n"/>
      <c r="W2166" s="99" t="n"/>
      <c r="X2166" s="99" t="n"/>
      <c r="Y2166" s="99" t="n"/>
      <c r="Z2166" s="99" t="n"/>
      <c r="AA2166" s="99" t="n"/>
      <c r="AB2166" s="99" t="n"/>
      <c r="AC2166" s="99" t="n"/>
      <c r="AD2166" s="99" t="n"/>
      <c r="AE2166" s="99" t="n"/>
      <c r="AF2166" s="99" t="n"/>
      <c r="AG2166" s="99" t="n"/>
      <c r="AH2166" s="99" t="n"/>
      <c r="AI2166" s="99" t="n"/>
      <c r="AJ2166" s="99" t="n"/>
      <c r="AK2166" s="99" t="n"/>
      <c r="AL2166" s="99" t="n"/>
      <c r="AM2166" s="99" t="n"/>
      <c r="AN2166" s="99" t="n"/>
      <c r="AO2166" s="99" t="n"/>
      <c r="AP2166" s="99" t="n"/>
      <c r="AQ2166" s="99" t="n"/>
      <c r="AR2166" s="99" t="n"/>
    </row>
    <row r="2167">
      <c r="D2167" s="99" t="n"/>
      <c r="E2167" s="99" t="n"/>
      <c r="F2167" s="99" t="n"/>
      <c r="G2167" s="99" t="n"/>
      <c r="H2167" s="99" t="n"/>
      <c r="I2167" s="99" t="n"/>
      <c r="J2167" s="99" t="n"/>
      <c r="K2167" s="99" t="n"/>
      <c r="L2167" s="99" t="n"/>
      <c r="M2167" s="99" t="n"/>
      <c r="N2167" s="99" t="n"/>
      <c r="O2167" s="99" t="n"/>
      <c r="P2167" s="99" t="n"/>
      <c r="Q2167" s="99" t="n"/>
      <c r="R2167" s="99" t="n"/>
      <c r="S2167" s="99" t="n"/>
      <c r="T2167" s="99" t="n"/>
      <c r="U2167" s="99" t="n"/>
      <c r="V2167" s="99" t="n"/>
      <c r="W2167" s="99" t="n"/>
      <c r="X2167" s="99" t="n"/>
      <c r="Y2167" s="99" t="n"/>
      <c r="Z2167" s="99" t="n"/>
      <c r="AA2167" s="99" t="n"/>
      <c r="AB2167" s="99" t="n"/>
      <c r="AC2167" s="99" t="n"/>
      <c r="AD2167" s="99" t="n"/>
      <c r="AE2167" s="99" t="n"/>
      <c r="AF2167" s="99" t="n"/>
      <c r="AG2167" s="99" t="n"/>
      <c r="AH2167" s="99" t="n"/>
      <c r="AI2167" s="99" t="n"/>
      <c r="AJ2167" s="99" t="n"/>
      <c r="AK2167" s="99" t="n"/>
      <c r="AL2167" s="99" t="n"/>
      <c r="AM2167" s="99" t="n"/>
      <c r="AN2167" s="99" t="n"/>
      <c r="AO2167" s="99" t="n"/>
      <c r="AP2167" s="99" t="n"/>
      <c r="AQ2167" s="99" t="n"/>
      <c r="AR2167" s="99" t="n"/>
    </row>
    <row r="2168">
      <c r="D2168" s="99" t="n"/>
      <c r="E2168" s="99" t="n"/>
      <c r="F2168" s="99" t="n"/>
      <c r="G2168" s="99" t="n"/>
      <c r="H2168" s="99" t="n"/>
      <c r="I2168" s="99" t="n"/>
      <c r="J2168" s="99" t="n"/>
      <c r="K2168" s="99" t="n"/>
      <c r="L2168" s="99" t="n"/>
      <c r="M2168" s="99" t="n"/>
      <c r="N2168" s="99" t="n"/>
      <c r="O2168" s="99" t="n"/>
      <c r="P2168" s="99" t="n"/>
      <c r="Q2168" s="99" t="n"/>
      <c r="R2168" s="99" t="n"/>
      <c r="S2168" s="99" t="n"/>
      <c r="T2168" s="99" t="n"/>
      <c r="U2168" s="99" t="n"/>
      <c r="V2168" s="99" t="n"/>
      <c r="W2168" s="99" t="n"/>
      <c r="X2168" s="99" t="n"/>
      <c r="Y2168" s="99" t="n"/>
      <c r="Z2168" s="99" t="n"/>
      <c r="AA2168" s="99" t="n"/>
      <c r="AB2168" s="99" t="n"/>
      <c r="AC2168" s="99" t="n"/>
      <c r="AD2168" s="99" t="n"/>
      <c r="AE2168" s="99" t="n"/>
      <c r="AF2168" s="99" t="n"/>
      <c r="AG2168" s="99" t="n"/>
      <c r="AH2168" s="99" t="n"/>
      <c r="AI2168" s="99" t="n"/>
      <c r="AJ2168" s="99" t="n"/>
      <c r="AK2168" s="99" t="n"/>
      <c r="AL2168" s="99" t="n"/>
      <c r="AM2168" s="99" t="n"/>
      <c r="AN2168" s="99" t="n"/>
      <c r="AO2168" s="99" t="n"/>
      <c r="AP2168" s="99" t="n"/>
      <c r="AQ2168" s="99" t="n"/>
      <c r="AR2168" s="99" t="n"/>
    </row>
    <row r="2169">
      <c r="D2169" s="100" t="n"/>
      <c r="E2169" s="100" t="n"/>
      <c r="F2169" s="100" t="n"/>
      <c r="G2169" s="100" t="n"/>
      <c r="H2169" s="100" t="n"/>
      <c r="I2169" s="100" t="n"/>
      <c r="J2169" s="100" t="n"/>
      <c r="K2169" s="100" t="n"/>
      <c r="L2169" s="100" t="n"/>
      <c r="M2169" s="100" t="n"/>
      <c r="N2169" s="100" t="n"/>
      <c r="O2169" s="100" t="n"/>
      <c r="P2169" s="100" t="n"/>
      <c r="Q2169" s="100" t="n"/>
      <c r="R2169" s="100" t="n"/>
      <c r="S2169" s="100" t="n"/>
      <c r="T2169" s="100" t="n"/>
      <c r="U2169" s="100" t="n"/>
      <c r="V2169" s="100" t="n"/>
      <c r="W2169" s="100" t="n"/>
      <c r="X2169" s="100" t="n"/>
      <c r="Y2169" s="100" t="n"/>
      <c r="Z2169" s="100" t="n"/>
      <c r="AA2169" s="100" t="n"/>
      <c r="AB2169" s="100" t="n"/>
      <c r="AC2169" s="100" t="n"/>
      <c r="AD2169" s="100" t="n"/>
      <c r="AE2169" s="100" t="n"/>
      <c r="AF2169" s="100" t="n"/>
      <c r="AG2169" s="100" t="n"/>
      <c r="AH2169" s="100" t="n"/>
      <c r="AI2169" s="100" t="n"/>
      <c r="AJ2169" s="100" t="n"/>
      <c r="AK2169" s="100" t="n"/>
      <c r="AL2169" s="100" t="n"/>
      <c r="AM2169" s="100" t="n"/>
      <c r="AN2169" s="100" t="n"/>
      <c r="AO2169" s="100" t="n"/>
      <c r="AP2169" s="100" t="n"/>
      <c r="AQ2169" s="100" t="n"/>
      <c r="AR2169" s="100" t="n"/>
    </row>
    <row r="2172">
      <c r="A2172" s="2">
        <f>IF($A2165="","","   projections")</f>
        <v/>
      </c>
      <c r="B2172" s="96">
        <f>IF($A2165="",0,COUNT($E2173:$AR2173))</f>
        <v/>
      </c>
      <c r="C2172" s="97">
        <f>IF($B2172=0,0,MAX($E2173:$AR2173))</f>
        <v/>
      </c>
      <c r="D2172" s="98">
        <f>BDS($A2165,FLD_PROJ,"headers=y","startcol=1","endcol=3","dir=h")</f>
        <v/>
      </c>
      <c r="E2172" s="99" t="n"/>
      <c r="F2172" s="99" t="n"/>
      <c r="G2172" s="99" t="n"/>
      <c r="H2172" s="99" t="n"/>
      <c r="I2172" s="99" t="n"/>
      <c r="J2172" s="99" t="n"/>
      <c r="K2172" s="99" t="n"/>
      <c r="L2172" s="99" t="n"/>
      <c r="M2172" s="99" t="n"/>
      <c r="N2172" s="99" t="n"/>
      <c r="O2172" s="99" t="n"/>
      <c r="P2172" s="99" t="n"/>
      <c r="Q2172" s="99" t="n"/>
      <c r="R2172" s="99" t="n"/>
      <c r="S2172" s="99" t="n"/>
      <c r="T2172" s="99" t="n"/>
      <c r="U2172" s="99" t="n"/>
      <c r="V2172" s="99" t="n"/>
      <c r="W2172" s="99" t="n"/>
      <c r="X2172" s="99" t="n"/>
      <c r="Y2172" s="99" t="n"/>
      <c r="Z2172" s="99" t="n"/>
      <c r="AA2172" s="99" t="n"/>
      <c r="AB2172" s="99" t="n"/>
      <c r="AC2172" s="99" t="n"/>
      <c r="AD2172" s="99" t="n"/>
      <c r="AE2172" s="99" t="n"/>
      <c r="AF2172" s="99" t="n"/>
      <c r="AG2172" s="99" t="n"/>
      <c r="AH2172" s="99" t="n"/>
      <c r="AI2172" s="99" t="n"/>
      <c r="AJ2172" s="99" t="n"/>
      <c r="AK2172" s="99" t="n"/>
      <c r="AL2172" s="99" t="n"/>
      <c r="AM2172" s="99" t="n"/>
      <c r="AN2172" s="99" t="n"/>
      <c r="AO2172" s="99" t="n"/>
      <c r="AP2172" s="99" t="n"/>
      <c r="AQ2172" s="99" t="n"/>
      <c r="AR2172" s="99" t="n"/>
    </row>
    <row r="2173">
      <c r="D2173" s="99" t="n"/>
      <c r="E2173" s="99" t="n"/>
      <c r="F2173" s="99" t="n"/>
      <c r="G2173" s="99" t="n"/>
      <c r="H2173" s="99" t="n"/>
      <c r="I2173" s="99" t="n"/>
      <c r="J2173" s="99" t="n"/>
      <c r="K2173" s="99" t="n"/>
      <c r="L2173" s="99" t="n"/>
      <c r="M2173" s="99" t="n"/>
      <c r="N2173" s="99" t="n"/>
      <c r="O2173" s="99" t="n"/>
      <c r="P2173" s="99" t="n"/>
      <c r="Q2173" s="99" t="n"/>
      <c r="R2173" s="99" t="n"/>
      <c r="S2173" s="99" t="n"/>
      <c r="T2173" s="99" t="n"/>
      <c r="U2173" s="99" t="n"/>
      <c r="V2173" s="99" t="n"/>
      <c r="W2173" s="99" t="n"/>
      <c r="X2173" s="99" t="n"/>
      <c r="Y2173" s="99" t="n"/>
      <c r="Z2173" s="99" t="n"/>
      <c r="AA2173" s="99" t="n"/>
      <c r="AB2173" s="99" t="n"/>
      <c r="AC2173" s="99" t="n"/>
      <c r="AD2173" s="99" t="n"/>
      <c r="AE2173" s="99" t="n"/>
      <c r="AF2173" s="99" t="n"/>
      <c r="AG2173" s="99" t="n"/>
      <c r="AH2173" s="99" t="n"/>
      <c r="AI2173" s="99" t="n"/>
      <c r="AJ2173" s="99" t="n"/>
      <c r="AK2173" s="99" t="n"/>
      <c r="AL2173" s="99" t="n"/>
      <c r="AM2173" s="99" t="n"/>
      <c r="AN2173" s="99" t="n"/>
      <c r="AO2173" s="99" t="n"/>
      <c r="AP2173" s="99" t="n"/>
      <c r="AQ2173" s="99" t="n"/>
      <c r="AR2173" s="99" t="n"/>
    </row>
    <row r="2174">
      <c r="D2174" s="100" t="n"/>
      <c r="E2174" s="100" t="n"/>
      <c r="F2174" s="100" t="n"/>
      <c r="G2174" s="100" t="n"/>
      <c r="H2174" s="100" t="n"/>
      <c r="I2174" s="100" t="n"/>
      <c r="J2174" s="100" t="n"/>
      <c r="K2174" s="100" t="n"/>
      <c r="L2174" s="100" t="n"/>
      <c r="M2174" s="100" t="n"/>
      <c r="N2174" s="100" t="n"/>
      <c r="O2174" s="100" t="n"/>
      <c r="P2174" s="100" t="n"/>
      <c r="Q2174" s="100" t="n"/>
      <c r="R2174" s="100" t="n"/>
      <c r="S2174" s="100" t="n"/>
      <c r="T2174" s="100" t="n"/>
      <c r="U2174" s="100" t="n"/>
      <c r="V2174" s="100" t="n"/>
      <c r="W2174" s="100" t="n"/>
      <c r="X2174" s="100" t="n"/>
      <c r="Y2174" s="100" t="n"/>
      <c r="Z2174" s="100" t="n"/>
      <c r="AA2174" s="100" t="n"/>
      <c r="AB2174" s="100" t="n"/>
      <c r="AC2174" s="100" t="n"/>
      <c r="AD2174" s="100" t="n"/>
      <c r="AE2174" s="100" t="n"/>
      <c r="AF2174" s="100" t="n"/>
      <c r="AG2174" s="100" t="n"/>
      <c r="AH2174" s="100" t="n"/>
      <c r="AI2174" s="100" t="n"/>
      <c r="AJ2174" s="100" t="n"/>
      <c r="AK2174" s="100" t="n"/>
      <c r="AL2174" s="100" t="n"/>
      <c r="AM2174" s="100" t="n"/>
      <c r="AN2174" s="100" t="n"/>
      <c r="AO2174" s="100" t="n"/>
      <c r="AP2174" s="100" t="n"/>
      <c r="AQ2174" s="100" t="n"/>
      <c r="AR2174" s="100" t="n"/>
    </row>
    <row r="2176">
      <c r="A2176" s="6">
        <f>IF(HSCEI!$C$63="","",HSCEI!$C$63)</f>
        <v/>
      </c>
      <c r="B2176" s="96">
        <f>IF($A2176="",0,COUNT($E2177:$AR2177))</f>
        <v/>
      </c>
      <c r="C2176" s="97">
        <f>IF($B2176=0,0,MAX($E2177:$AR2177))</f>
        <v/>
      </c>
      <c r="D2176" s="98">
        <f>BDS($A2176,FLD_HIST,"headers=y","startcol=1","endcol=7","dir=h","DVD_START_DT",HIST_FROM,"DVD_END_DT",HIST_TO)</f>
        <v/>
      </c>
      <c r="E2176" s="99" t="n"/>
      <c r="F2176" s="99" t="n"/>
      <c r="G2176" s="99" t="n"/>
      <c r="H2176" s="99" t="n"/>
      <c r="I2176" s="99" t="n"/>
      <c r="J2176" s="99" t="n"/>
      <c r="K2176" s="99" t="n"/>
      <c r="L2176" s="99" t="n"/>
      <c r="M2176" s="99" t="n"/>
      <c r="N2176" s="99" t="n"/>
      <c r="O2176" s="99" t="n"/>
      <c r="P2176" s="99" t="n"/>
      <c r="Q2176" s="99" t="n"/>
      <c r="R2176" s="99" t="n"/>
      <c r="S2176" s="99" t="n"/>
      <c r="T2176" s="99" t="n"/>
      <c r="U2176" s="99" t="n"/>
      <c r="V2176" s="99" t="n"/>
      <c r="W2176" s="99" t="n"/>
      <c r="X2176" s="99" t="n"/>
      <c r="Y2176" s="99" t="n"/>
      <c r="Z2176" s="99" t="n"/>
      <c r="AA2176" s="99" t="n"/>
      <c r="AB2176" s="99" t="n"/>
      <c r="AC2176" s="99" t="n"/>
      <c r="AD2176" s="99" t="n"/>
      <c r="AE2176" s="99" t="n"/>
      <c r="AF2176" s="99" t="n"/>
      <c r="AG2176" s="99" t="n"/>
      <c r="AH2176" s="99" t="n"/>
      <c r="AI2176" s="99" t="n"/>
      <c r="AJ2176" s="99" t="n"/>
      <c r="AK2176" s="99" t="n"/>
      <c r="AL2176" s="99" t="n"/>
      <c r="AM2176" s="99" t="n"/>
      <c r="AN2176" s="99" t="n"/>
      <c r="AO2176" s="99" t="n"/>
      <c r="AP2176" s="99" t="n"/>
      <c r="AQ2176" s="99" t="n"/>
      <c r="AR2176" s="99" t="n"/>
    </row>
    <row r="2177">
      <c r="D2177" s="99" t="n"/>
      <c r="E2177" s="99" t="n"/>
      <c r="F2177" s="99" t="n"/>
      <c r="G2177" s="99" t="n"/>
      <c r="H2177" s="99" t="n"/>
      <c r="I2177" s="99" t="n"/>
      <c r="J2177" s="99" t="n"/>
      <c r="K2177" s="99" t="n"/>
      <c r="L2177" s="99" t="n"/>
      <c r="M2177" s="99" t="n"/>
      <c r="N2177" s="99" t="n"/>
      <c r="O2177" s="99" t="n"/>
      <c r="P2177" s="99" t="n"/>
      <c r="Q2177" s="99" t="n"/>
      <c r="R2177" s="99" t="n"/>
      <c r="S2177" s="99" t="n"/>
      <c r="T2177" s="99" t="n"/>
      <c r="U2177" s="99" t="n"/>
      <c r="V2177" s="99" t="n"/>
      <c r="W2177" s="99" t="n"/>
      <c r="X2177" s="99" t="n"/>
      <c r="Y2177" s="99" t="n"/>
      <c r="Z2177" s="99" t="n"/>
      <c r="AA2177" s="99" t="n"/>
      <c r="AB2177" s="99" t="n"/>
      <c r="AC2177" s="99" t="n"/>
      <c r="AD2177" s="99" t="n"/>
      <c r="AE2177" s="99" t="n"/>
      <c r="AF2177" s="99" t="n"/>
      <c r="AG2177" s="99" t="n"/>
      <c r="AH2177" s="99" t="n"/>
      <c r="AI2177" s="99" t="n"/>
      <c r="AJ2177" s="99" t="n"/>
      <c r="AK2177" s="99" t="n"/>
      <c r="AL2177" s="99" t="n"/>
      <c r="AM2177" s="99" t="n"/>
      <c r="AN2177" s="99" t="n"/>
      <c r="AO2177" s="99" t="n"/>
      <c r="AP2177" s="99" t="n"/>
      <c r="AQ2177" s="99" t="n"/>
      <c r="AR2177" s="99" t="n"/>
    </row>
    <row r="2178">
      <c r="D2178" s="99" t="n"/>
      <c r="E2178" s="99" t="n"/>
      <c r="F2178" s="99" t="n"/>
      <c r="G2178" s="99" t="n"/>
      <c r="H2178" s="99" t="n"/>
      <c r="I2178" s="99" t="n"/>
      <c r="J2178" s="99" t="n"/>
      <c r="K2178" s="99" t="n"/>
      <c r="L2178" s="99" t="n"/>
      <c r="M2178" s="99" t="n"/>
      <c r="N2178" s="99" t="n"/>
      <c r="O2178" s="99" t="n"/>
      <c r="P2178" s="99" t="n"/>
      <c r="Q2178" s="99" t="n"/>
      <c r="R2178" s="99" t="n"/>
      <c r="S2178" s="99" t="n"/>
      <c r="T2178" s="99" t="n"/>
      <c r="U2178" s="99" t="n"/>
      <c r="V2178" s="99" t="n"/>
      <c r="W2178" s="99" t="n"/>
      <c r="X2178" s="99" t="n"/>
      <c r="Y2178" s="99" t="n"/>
      <c r="Z2178" s="99" t="n"/>
      <c r="AA2178" s="99" t="n"/>
      <c r="AB2178" s="99" t="n"/>
      <c r="AC2178" s="99" t="n"/>
      <c r="AD2178" s="99" t="n"/>
      <c r="AE2178" s="99" t="n"/>
      <c r="AF2178" s="99" t="n"/>
      <c r="AG2178" s="99" t="n"/>
      <c r="AH2178" s="99" t="n"/>
      <c r="AI2178" s="99" t="n"/>
      <c r="AJ2178" s="99" t="n"/>
      <c r="AK2178" s="99" t="n"/>
      <c r="AL2178" s="99" t="n"/>
      <c r="AM2178" s="99" t="n"/>
      <c r="AN2178" s="99" t="n"/>
      <c r="AO2178" s="99" t="n"/>
      <c r="AP2178" s="99" t="n"/>
      <c r="AQ2178" s="99" t="n"/>
      <c r="AR2178" s="99" t="n"/>
    </row>
    <row r="2179">
      <c r="D2179" s="99" t="n"/>
      <c r="E2179" s="99" t="n"/>
      <c r="F2179" s="99" t="n"/>
      <c r="G2179" s="99" t="n"/>
      <c r="H2179" s="99" t="n"/>
      <c r="I2179" s="99" t="n"/>
      <c r="J2179" s="99" t="n"/>
      <c r="K2179" s="99" t="n"/>
      <c r="L2179" s="99" t="n"/>
      <c r="M2179" s="99" t="n"/>
      <c r="N2179" s="99" t="n"/>
      <c r="O2179" s="99" t="n"/>
      <c r="P2179" s="99" t="n"/>
      <c r="Q2179" s="99" t="n"/>
      <c r="R2179" s="99" t="n"/>
      <c r="S2179" s="99" t="n"/>
      <c r="T2179" s="99" t="n"/>
      <c r="U2179" s="99" t="n"/>
      <c r="V2179" s="99" t="n"/>
      <c r="W2179" s="99" t="n"/>
      <c r="X2179" s="99" t="n"/>
      <c r="Y2179" s="99" t="n"/>
      <c r="Z2179" s="99" t="n"/>
      <c r="AA2179" s="99" t="n"/>
      <c r="AB2179" s="99" t="n"/>
      <c r="AC2179" s="99" t="n"/>
      <c r="AD2179" s="99" t="n"/>
      <c r="AE2179" s="99" t="n"/>
      <c r="AF2179" s="99" t="n"/>
      <c r="AG2179" s="99" t="n"/>
      <c r="AH2179" s="99" t="n"/>
      <c r="AI2179" s="99" t="n"/>
      <c r="AJ2179" s="99" t="n"/>
      <c r="AK2179" s="99" t="n"/>
      <c r="AL2179" s="99" t="n"/>
      <c r="AM2179" s="99" t="n"/>
      <c r="AN2179" s="99" t="n"/>
      <c r="AO2179" s="99" t="n"/>
      <c r="AP2179" s="99" t="n"/>
      <c r="AQ2179" s="99" t="n"/>
      <c r="AR2179" s="99" t="n"/>
    </row>
    <row r="2180">
      <c r="D2180" s="100" t="n"/>
      <c r="E2180" s="100" t="n"/>
      <c r="F2180" s="100" t="n"/>
      <c r="G2180" s="100" t="n"/>
      <c r="H2180" s="100" t="n"/>
      <c r="I2180" s="100" t="n"/>
      <c r="J2180" s="100" t="n"/>
      <c r="K2180" s="100" t="n"/>
      <c r="L2180" s="100" t="n"/>
      <c r="M2180" s="100" t="n"/>
      <c r="N2180" s="100" t="n"/>
      <c r="O2180" s="100" t="n"/>
      <c r="P2180" s="100" t="n"/>
      <c r="Q2180" s="100" t="n"/>
      <c r="R2180" s="100" t="n"/>
      <c r="S2180" s="100" t="n"/>
      <c r="T2180" s="100" t="n"/>
      <c r="U2180" s="100" t="n"/>
      <c r="V2180" s="100" t="n"/>
      <c r="W2180" s="100" t="n"/>
      <c r="X2180" s="100" t="n"/>
      <c r="Y2180" s="100" t="n"/>
      <c r="Z2180" s="100" t="n"/>
      <c r="AA2180" s="100" t="n"/>
      <c r="AB2180" s="100" t="n"/>
      <c r="AC2180" s="100" t="n"/>
      <c r="AD2180" s="100" t="n"/>
      <c r="AE2180" s="100" t="n"/>
      <c r="AF2180" s="100" t="n"/>
      <c r="AG2180" s="100" t="n"/>
      <c r="AH2180" s="100" t="n"/>
      <c r="AI2180" s="100" t="n"/>
      <c r="AJ2180" s="100" t="n"/>
      <c r="AK2180" s="100" t="n"/>
      <c r="AL2180" s="100" t="n"/>
      <c r="AM2180" s="100" t="n"/>
      <c r="AN2180" s="100" t="n"/>
      <c r="AO2180" s="100" t="n"/>
      <c r="AP2180" s="100" t="n"/>
      <c r="AQ2180" s="100" t="n"/>
      <c r="AR2180" s="100" t="n"/>
    </row>
    <row r="2183">
      <c r="A2183" s="2">
        <f>IF($A2176="","","   projections")</f>
        <v/>
      </c>
      <c r="B2183" s="96">
        <f>IF($A2176="",0,COUNT($E2184:$AR2184))</f>
        <v/>
      </c>
      <c r="C2183" s="97">
        <f>IF($B2183=0,0,MAX($E2184:$AR2184))</f>
        <v/>
      </c>
      <c r="D2183" s="98">
        <f>BDS($A2176,FLD_PROJ,"headers=y","startcol=1","endcol=3","dir=h")</f>
        <v/>
      </c>
      <c r="E2183" s="99" t="n"/>
      <c r="F2183" s="99" t="n"/>
      <c r="G2183" s="99" t="n"/>
      <c r="H2183" s="99" t="n"/>
      <c r="I2183" s="99" t="n"/>
      <c r="J2183" s="99" t="n"/>
      <c r="K2183" s="99" t="n"/>
      <c r="L2183" s="99" t="n"/>
      <c r="M2183" s="99" t="n"/>
      <c r="N2183" s="99" t="n"/>
      <c r="O2183" s="99" t="n"/>
      <c r="P2183" s="99" t="n"/>
      <c r="Q2183" s="99" t="n"/>
      <c r="R2183" s="99" t="n"/>
      <c r="S2183" s="99" t="n"/>
      <c r="T2183" s="99" t="n"/>
      <c r="U2183" s="99" t="n"/>
      <c r="V2183" s="99" t="n"/>
      <c r="W2183" s="99" t="n"/>
      <c r="X2183" s="99" t="n"/>
      <c r="Y2183" s="99" t="n"/>
      <c r="Z2183" s="99" t="n"/>
      <c r="AA2183" s="99" t="n"/>
      <c r="AB2183" s="99" t="n"/>
      <c r="AC2183" s="99" t="n"/>
      <c r="AD2183" s="99" t="n"/>
      <c r="AE2183" s="99" t="n"/>
      <c r="AF2183" s="99" t="n"/>
      <c r="AG2183" s="99" t="n"/>
      <c r="AH2183" s="99" t="n"/>
      <c r="AI2183" s="99" t="n"/>
      <c r="AJ2183" s="99" t="n"/>
      <c r="AK2183" s="99" t="n"/>
      <c r="AL2183" s="99" t="n"/>
      <c r="AM2183" s="99" t="n"/>
      <c r="AN2183" s="99" t="n"/>
      <c r="AO2183" s="99" t="n"/>
      <c r="AP2183" s="99" t="n"/>
      <c r="AQ2183" s="99" t="n"/>
      <c r="AR2183" s="99" t="n"/>
    </row>
    <row r="2184">
      <c r="D2184" s="99" t="n"/>
      <c r="E2184" s="99" t="n"/>
      <c r="F2184" s="99" t="n"/>
      <c r="G2184" s="99" t="n"/>
      <c r="H2184" s="99" t="n"/>
      <c r="I2184" s="99" t="n"/>
      <c r="J2184" s="99" t="n"/>
      <c r="K2184" s="99" t="n"/>
      <c r="L2184" s="99" t="n"/>
      <c r="M2184" s="99" t="n"/>
      <c r="N2184" s="99" t="n"/>
      <c r="O2184" s="99" t="n"/>
      <c r="P2184" s="99" t="n"/>
      <c r="Q2184" s="99" t="n"/>
      <c r="R2184" s="99" t="n"/>
      <c r="S2184" s="99" t="n"/>
      <c r="T2184" s="99" t="n"/>
      <c r="U2184" s="99" t="n"/>
      <c r="V2184" s="99" t="n"/>
      <c r="W2184" s="99" t="n"/>
      <c r="X2184" s="99" t="n"/>
      <c r="Y2184" s="99" t="n"/>
      <c r="Z2184" s="99" t="n"/>
      <c r="AA2184" s="99" t="n"/>
      <c r="AB2184" s="99" t="n"/>
      <c r="AC2184" s="99" t="n"/>
      <c r="AD2184" s="99" t="n"/>
      <c r="AE2184" s="99" t="n"/>
      <c r="AF2184" s="99" t="n"/>
      <c r="AG2184" s="99" t="n"/>
      <c r="AH2184" s="99" t="n"/>
      <c r="AI2184" s="99" t="n"/>
      <c r="AJ2184" s="99" t="n"/>
      <c r="AK2184" s="99" t="n"/>
      <c r="AL2184" s="99" t="n"/>
      <c r="AM2184" s="99" t="n"/>
      <c r="AN2184" s="99" t="n"/>
      <c r="AO2184" s="99" t="n"/>
      <c r="AP2184" s="99" t="n"/>
      <c r="AQ2184" s="99" t="n"/>
      <c r="AR2184" s="99" t="n"/>
    </row>
    <row r="2185">
      <c r="D2185" s="100" t="n"/>
      <c r="E2185" s="100" t="n"/>
      <c r="F2185" s="100" t="n"/>
      <c r="G2185" s="100" t="n"/>
      <c r="H2185" s="100" t="n"/>
      <c r="I2185" s="100" t="n"/>
      <c r="J2185" s="100" t="n"/>
      <c r="K2185" s="100" t="n"/>
      <c r="L2185" s="100" t="n"/>
      <c r="M2185" s="100" t="n"/>
      <c r="N2185" s="100" t="n"/>
      <c r="O2185" s="100" t="n"/>
      <c r="P2185" s="100" t="n"/>
      <c r="Q2185" s="100" t="n"/>
      <c r="R2185" s="100" t="n"/>
      <c r="S2185" s="100" t="n"/>
      <c r="T2185" s="100" t="n"/>
      <c r="U2185" s="100" t="n"/>
      <c r="V2185" s="100" t="n"/>
      <c r="W2185" s="100" t="n"/>
      <c r="X2185" s="100" t="n"/>
      <c r="Y2185" s="100" t="n"/>
      <c r="Z2185" s="100" t="n"/>
      <c r="AA2185" s="100" t="n"/>
      <c r="AB2185" s="100" t="n"/>
      <c r="AC2185" s="100" t="n"/>
      <c r="AD2185" s="100" t="n"/>
      <c r="AE2185" s="100" t="n"/>
      <c r="AF2185" s="100" t="n"/>
      <c r="AG2185" s="100" t="n"/>
      <c r="AH2185" s="100" t="n"/>
      <c r="AI2185" s="100" t="n"/>
      <c r="AJ2185" s="100" t="n"/>
      <c r="AK2185" s="100" t="n"/>
      <c r="AL2185" s="100" t="n"/>
      <c r="AM2185" s="100" t="n"/>
      <c r="AN2185" s="100" t="n"/>
      <c r="AO2185" s="100" t="n"/>
      <c r="AP2185" s="100" t="n"/>
      <c r="AQ2185" s="100" t="n"/>
      <c r="AR2185" s="100" t="n"/>
    </row>
    <row r="2187">
      <c r="A2187" s="6">
        <f>IF(HSCEI!$C$64="","",HSCEI!$C$64)</f>
        <v/>
      </c>
      <c r="B2187" s="96">
        <f>IF($A2187="",0,COUNT($E2188:$AR2188))</f>
        <v/>
      </c>
      <c r="C2187" s="97">
        <f>IF($B2187=0,0,MAX($E2188:$AR2188))</f>
        <v/>
      </c>
      <c r="D2187" s="98">
        <f>BDS($A2187,FLD_HIST,"headers=y","startcol=1","endcol=7","dir=h","DVD_START_DT",HIST_FROM,"DVD_END_DT",HIST_TO)</f>
        <v/>
      </c>
      <c r="E2187" s="99" t="n"/>
      <c r="F2187" s="99" t="n"/>
      <c r="G2187" s="99" t="n"/>
      <c r="H2187" s="99" t="n"/>
      <c r="I2187" s="99" t="n"/>
      <c r="J2187" s="99" t="n"/>
      <c r="K2187" s="99" t="n"/>
      <c r="L2187" s="99" t="n"/>
      <c r="M2187" s="99" t="n"/>
      <c r="N2187" s="99" t="n"/>
      <c r="O2187" s="99" t="n"/>
      <c r="P2187" s="99" t="n"/>
      <c r="Q2187" s="99" t="n"/>
      <c r="R2187" s="99" t="n"/>
      <c r="S2187" s="99" t="n"/>
      <c r="T2187" s="99" t="n"/>
      <c r="U2187" s="99" t="n"/>
      <c r="V2187" s="99" t="n"/>
      <c r="W2187" s="99" t="n"/>
      <c r="X2187" s="99" t="n"/>
      <c r="Y2187" s="99" t="n"/>
      <c r="Z2187" s="99" t="n"/>
      <c r="AA2187" s="99" t="n"/>
      <c r="AB2187" s="99" t="n"/>
      <c r="AC2187" s="99" t="n"/>
      <c r="AD2187" s="99" t="n"/>
      <c r="AE2187" s="99" t="n"/>
      <c r="AF2187" s="99" t="n"/>
      <c r="AG2187" s="99" t="n"/>
      <c r="AH2187" s="99" t="n"/>
      <c r="AI2187" s="99" t="n"/>
      <c r="AJ2187" s="99" t="n"/>
      <c r="AK2187" s="99" t="n"/>
      <c r="AL2187" s="99" t="n"/>
      <c r="AM2187" s="99" t="n"/>
      <c r="AN2187" s="99" t="n"/>
      <c r="AO2187" s="99" t="n"/>
      <c r="AP2187" s="99" t="n"/>
      <c r="AQ2187" s="99" t="n"/>
      <c r="AR2187" s="99" t="n"/>
    </row>
    <row r="2188">
      <c r="D2188" s="99" t="n"/>
      <c r="E2188" s="99" t="n"/>
      <c r="F2188" s="99" t="n"/>
      <c r="G2188" s="99" t="n"/>
      <c r="H2188" s="99" t="n"/>
      <c r="I2188" s="99" t="n"/>
      <c r="J2188" s="99" t="n"/>
      <c r="K2188" s="99" t="n"/>
      <c r="L2188" s="99" t="n"/>
      <c r="M2188" s="99" t="n"/>
      <c r="N2188" s="99" t="n"/>
      <c r="O2188" s="99" t="n"/>
      <c r="P2188" s="99" t="n"/>
      <c r="Q2188" s="99" t="n"/>
      <c r="R2188" s="99" t="n"/>
      <c r="S2188" s="99" t="n"/>
      <c r="T2188" s="99" t="n"/>
      <c r="U2188" s="99" t="n"/>
      <c r="V2188" s="99" t="n"/>
      <c r="W2188" s="99" t="n"/>
      <c r="X2188" s="99" t="n"/>
      <c r="Y2188" s="99" t="n"/>
      <c r="Z2188" s="99" t="n"/>
      <c r="AA2188" s="99" t="n"/>
      <c r="AB2188" s="99" t="n"/>
      <c r="AC2188" s="99" t="n"/>
      <c r="AD2188" s="99" t="n"/>
      <c r="AE2188" s="99" t="n"/>
      <c r="AF2188" s="99" t="n"/>
      <c r="AG2188" s="99" t="n"/>
      <c r="AH2188" s="99" t="n"/>
      <c r="AI2188" s="99" t="n"/>
      <c r="AJ2188" s="99" t="n"/>
      <c r="AK2188" s="99" t="n"/>
      <c r="AL2188" s="99" t="n"/>
      <c r="AM2188" s="99" t="n"/>
      <c r="AN2188" s="99" t="n"/>
      <c r="AO2188" s="99" t="n"/>
      <c r="AP2188" s="99" t="n"/>
      <c r="AQ2188" s="99" t="n"/>
      <c r="AR2188" s="99" t="n"/>
    </row>
    <row r="2189">
      <c r="D2189" s="99" t="n"/>
      <c r="E2189" s="99" t="n"/>
      <c r="F2189" s="99" t="n"/>
      <c r="G2189" s="99" t="n"/>
      <c r="H2189" s="99" t="n"/>
      <c r="I2189" s="99" t="n"/>
      <c r="J2189" s="99" t="n"/>
      <c r="K2189" s="99" t="n"/>
      <c r="L2189" s="99" t="n"/>
      <c r="M2189" s="99" t="n"/>
      <c r="N2189" s="99" t="n"/>
      <c r="O2189" s="99" t="n"/>
      <c r="P2189" s="99" t="n"/>
      <c r="Q2189" s="99" t="n"/>
      <c r="R2189" s="99" t="n"/>
      <c r="S2189" s="99" t="n"/>
      <c r="T2189" s="99" t="n"/>
      <c r="U2189" s="99" t="n"/>
      <c r="V2189" s="99" t="n"/>
      <c r="W2189" s="99" t="n"/>
      <c r="X2189" s="99" t="n"/>
      <c r="Y2189" s="99" t="n"/>
      <c r="Z2189" s="99" t="n"/>
      <c r="AA2189" s="99" t="n"/>
      <c r="AB2189" s="99" t="n"/>
      <c r="AC2189" s="99" t="n"/>
      <c r="AD2189" s="99" t="n"/>
      <c r="AE2189" s="99" t="n"/>
      <c r="AF2189" s="99" t="n"/>
      <c r="AG2189" s="99" t="n"/>
      <c r="AH2189" s="99" t="n"/>
      <c r="AI2189" s="99" t="n"/>
      <c r="AJ2189" s="99" t="n"/>
      <c r="AK2189" s="99" t="n"/>
      <c r="AL2189" s="99" t="n"/>
      <c r="AM2189" s="99" t="n"/>
      <c r="AN2189" s="99" t="n"/>
      <c r="AO2189" s="99" t="n"/>
      <c r="AP2189" s="99" t="n"/>
      <c r="AQ2189" s="99" t="n"/>
      <c r="AR2189" s="99" t="n"/>
    </row>
    <row r="2190">
      <c r="D2190" s="99" t="n"/>
      <c r="E2190" s="99" t="n"/>
      <c r="F2190" s="99" t="n"/>
      <c r="G2190" s="99" t="n"/>
      <c r="H2190" s="99" t="n"/>
      <c r="I2190" s="99" t="n"/>
      <c r="J2190" s="99" t="n"/>
      <c r="K2190" s="99" t="n"/>
      <c r="L2190" s="99" t="n"/>
      <c r="M2190" s="99" t="n"/>
      <c r="N2190" s="99" t="n"/>
      <c r="O2190" s="99" t="n"/>
      <c r="P2190" s="99" t="n"/>
      <c r="Q2190" s="99" t="n"/>
      <c r="R2190" s="99" t="n"/>
      <c r="S2190" s="99" t="n"/>
      <c r="T2190" s="99" t="n"/>
      <c r="U2190" s="99" t="n"/>
      <c r="V2190" s="99" t="n"/>
      <c r="W2190" s="99" t="n"/>
      <c r="X2190" s="99" t="n"/>
      <c r="Y2190" s="99" t="n"/>
      <c r="Z2190" s="99" t="n"/>
      <c r="AA2190" s="99" t="n"/>
      <c r="AB2190" s="99" t="n"/>
      <c r="AC2190" s="99" t="n"/>
      <c r="AD2190" s="99" t="n"/>
      <c r="AE2190" s="99" t="n"/>
      <c r="AF2190" s="99" t="n"/>
      <c r="AG2190" s="99" t="n"/>
      <c r="AH2190" s="99" t="n"/>
      <c r="AI2190" s="99" t="n"/>
      <c r="AJ2190" s="99" t="n"/>
      <c r="AK2190" s="99" t="n"/>
      <c r="AL2190" s="99" t="n"/>
      <c r="AM2190" s="99" t="n"/>
      <c r="AN2190" s="99" t="n"/>
      <c r="AO2190" s="99" t="n"/>
      <c r="AP2190" s="99" t="n"/>
      <c r="AQ2190" s="99" t="n"/>
      <c r="AR2190" s="99" t="n"/>
    </row>
    <row r="2191">
      <c r="D2191" s="100" t="n"/>
      <c r="E2191" s="100" t="n"/>
      <c r="F2191" s="100" t="n"/>
      <c r="G2191" s="100" t="n"/>
      <c r="H2191" s="100" t="n"/>
      <c r="I2191" s="100" t="n"/>
      <c r="J2191" s="100" t="n"/>
      <c r="K2191" s="100" t="n"/>
      <c r="L2191" s="100" t="n"/>
      <c r="M2191" s="100" t="n"/>
      <c r="N2191" s="100" t="n"/>
      <c r="O2191" s="100" t="n"/>
      <c r="P2191" s="100" t="n"/>
      <c r="Q2191" s="100" t="n"/>
      <c r="R2191" s="100" t="n"/>
      <c r="S2191" s="100" t="n"/>
      <c r="T2191" s="100" t="n"/>
      <c r="U2191" s="100" t="n"/>
      <c r="V2191" s="100" t="n"/>
      <c r="W2191" s="100" t="n"/>
      <c r="X2191" s="100" t="n"/>
      <c r="Y2191" s="100" t="n"/>
      <c r="Z2191" s="100" t="n"/>
      <c r="AA2191" s="100" t="n"/>
      <c r="AB2191" s="100" t="n"/>
      <c r="AC2191" s="100" t="n"/>
      <c r="AD2191" s="100" t="n"/>
      <c r="AE2191" s="100" t="n"/>
      <c r="AF2191" s="100" t="n"/>
      <c r="AG2191" s="100" t="n"/>
      <c r="AH2191" s="100" t="n"/>
      <c r="AI2191" s="100" t="n"/>
      <c r="AJ2191" s="100" t="n"/>
      <c r="AK2191" s="100" t="n"/>
      <c r="AL2191" s="100" t="n"/>
      <c r="AM2191" s="100" t="n"/>
      <c r="AN2191" s="100" t="n"/>
      <c r="AO2191" s="100" t="n"/>
      <c r="AP2191" s="100" t="n"/>
      <c r="AQ2191" s="100" t="n"/>
      <c r="AR2191" s="100" t="n"/>
    </row>
    <row r="2194">
      <c r="A2194" s="2">
        <f>IF($A2187="","","   projections")</f>
        <v/>
      </c>
      <c r="B2194" s="96">
        <f>IF($A2187="",0,COUNT($E2195:$AR2195))</f>
        <v/>
      </c>
      <c r="C2194" s="97">
        <f>IF($B2194=0,0,MAX($E2195:$AR2195))</f>
        <v/>
      </c>
      <c r="D2194" s="98">
        <f>BDS($A2187,FLD_PROJ,"headers=y","startcol=1","endcol=3","dir=h")</f>
        <v/>
      </c>
      <c r="E2194" s="99" t="n"/>
      <c r="F2194" s="99" t="n"/>
      <c r="G2194" s="99" t="n"/>
      <c r="H2194" s="99" t="n"/>
      <c r="I2194" s="99" t="n"/>
      <c r="J2194" s="99" t="n"/>
      <c r="K2194" s="99" t="n"/>
      <c r="L2194" s="99" t="n"/>
      <c r="M2194" s="99" t="n"/>
      <c r="N2194" s="99" t="n"/>
      <c r="O2194" s="99" t="n"/>
      <c r="P2194" s="99" t="n"/>
      <c r="Q2194" s="99" t="n"/>
      <c r="R2194" s="99" t="n"/>
      <c r="S2194" s="99" t="n"/>
      <c r="T2194" s="99" t="n"/>
      <c r="U2194" s="99" t="n"/>
      <c r="V2194" s="99" t="n"/>
      <c r="W2194" s="99" t="n"/>
      <c r="X2194" s="99" t="n"/>
      <c r="Y2194" s="99" t="n"/>
      <c r="Z2194" s="99" t="n"/>
      <c r="AA2194" s="99" t="n"/>
      <c r="AB2194" s="99" t="n"/>
      <c r="AC2194" s="99" t="n"/>
      <c r="AD2194" s="99" t="n"/>
      <c r="AE2194" s="99" t="n"/>
      <c r="AF2194" s="99" t="n"/>
      <c r="AG2194" s="99" t="n"/>
      <c r="AH2194" s="99" t="n"/>
      <c r="AI2194" s="99" t="n"/>
      <c r="AJ2194" s="99" t="n"/>
      <c r="AK2194" s="99" t="n"/>
      <c r="AL2194" s="99" t="n"/>
      <c r="AM2194" s="99" t="n"/>
      <c r="AN2194" s="99" t="n"/>
      <c r="AO2194" s="99" t="n"/>
      <c r="AP2194" s="99" t="n"/>
      <c r="AQ2194" s="99" t="n"/>
      <c r="AR2194" s="99" t="n"/>
    </row>
    <row r="2195">
      <c r="D2195" s="99" t="n"/>
      <c r="E2195" s="99" t="n"/>
      <c r="F2195" s="99" t="n"/>
      <c r="G2195" s="99" t="n"/>
      <c r="H2195" s="99" t="n"/>
      <c r="I2195" s="99" t="n"/>
      <c r="J2195" s="99" t="n"/>
      <c r="K2195" s="99" t="n"/>
      <c r="L2195" s="99" t="n"/>
      <c r="M2195" s="99" t="n"/>
      <c r="N2195" s="99" t="n"/>
      <c r="O2195" s="99" t="n"/>
      <c r="P2195" s="99" t="n"/>
      <c r="Q2195" s="99" t="n"/>
      <c r="R2195" s="99" t="n"/>
      <c r="S2195" s="99" t="n"/>
      <c r="T2195" s="99" t="n"/>
      <c r="U2195" s="99" t="n"/>
      <c r="V2195" s="99" t="n"/>
      <c r="W2195" s="99" t="n"/>
      <c r="X2195" s="99" t="n"/>
      <c r="Y2195" s="99" t="n"/>
      <c r="Z2195" s="99" t="n"/>
      <c r="AA2195" s="99" t="n"/>
      <c r="AB2195" s="99" t="n"/>
      <c r="AC2195" s="99" t="n"/>
      <c r="AD2195" s="99" t="n"/>
      <c r="AE2195" s="99" t="n"/>
      <c r="AF2195" s="99" t="n"/>
      <c r="AG2195" s="99" t="n"/>
      <c r="AH2195" s="99" t="n"/>
      <c r="AI2195" s="99" t="n"/>
      <c r="AJ2195" s="99" t="n"/>
      <c r="AK2195" s="99" t="n"/>
      <c r="AL2195" s="99" t="n"/>
      <c r="AM2195" s="99" t="n"/>
      <c r="AN2195" s="99" t="n"/>
      <c r="AO2195" s="99" t="n"/>
      <c r="AP2195" s="99" t="n"/>
      <c r="AQ2195" s="99" t="n"/>
      <c r="AR2195" s="99" t="n"/>
    </row>
    <row r="2196">
      <c r="D2196" s="100" t="n"/>
      <c r="E2196" s="100" t="n"/>
      <c r="F2196" s="100" t="n"/>
      <c r="G2196" s="100" t="n"/>
      <c r="H2196" s="100" t="n"/>
      <c r="I2196" s="100" t="n"/>
      <c r="J2196" s="100" t="n"/>
      <c r="K2196" s="100" t="n"/>
      <c r="L2196" s="100" t="n"/>
      <c r="M2196" s="100" t="n"/>
      <c r="N2196" s="100" t="n"/>
      <c r="O2196" s="100" t="n"/>
      <c r="P2196" s="100" t="n"/>
      <c r="Q2196" s="100" t="n"/>
      <c r="R2196" s="100" t="n"/>
      <c r="S2196" s="100" t="n"/>
      <c r="T2196" s="100" t="n"/>
      <c r="U2196" s="100" t="n"/>
      <c r="V2196" s="100" t="n"/>
      <c r="W2196" s="100" t="n"/>
      <c r="X2196" s="100" t="n"/>
      <c r="Y2196" s="100" t="n"/>
      <c r="Z2196" s="100" t="n"/>
      <c r="AA2196" s="100" t="n"/>
      <c r="AB2196" s="100" t="n"/>
      <c r="AC2196" s="100" t="n"/>
      <c r="AD2196" s="100" t="n"/>
      <c r="AE2196" s="100" t="n"/>
      <c r="AF2196" s="100" t="n"/>
      <c r="AG2196" s="100" t="n"/>
      <c r="AH2196" s="100" t="n"/>
      <c r="AI2196" s="100" t="n"/>
      <c r="AJ2196" s="100" t="n"/>
      <c r="AK2196" s="100" t="n"/>
      <c r="AL2196" s="100" t="n"/>
      <c r="AM2196" s="100" t="n"/>
      <c r="AN2196" s="100" t="n"/>
      <c r="AO2196" s="100" t="n"/>
      <c r="AP2196" s="100" t="n"/>
      <c r="AQ2196" s="100" t="n"/>
      <c r="AR2196" s="100" t="n"/>
    </row>
    <row r="2198">
      <c r="A2198" s="6">
        <f>IF(HSCEI!$C$65="","",HSCEI!$C$65)</f>
        <v/>
      </c>
      <c r="B2198" s="96">
        <f>IF($A2198="",0,COUNT($E2199:$AR2199))</f>
        <v/>
      </c>
      <c r="C2198" s="97">
        <f>IF($B2198=0,0,MAX($E2199:$AR2199))</f>
        <v/>
      </c>
      <c r="D2198" s="98">
        <f>BDS($A2198,FLD_HIST,"headers=y","startcol=1","endcol=7","dir=h","DVD_START_DT",HIST_FROM,"DVD_END_DT",HIST_TO)</f>
        <v/>
      </c>
      <c r="E2198" s="99" t="n"/>
      <c r="F2198" s="99" t="n"/>
      <c r="G2198" s="99" t="n"/>
      <c r="H2198" s="99" t="n"/>
      <c r="I2198" s="99" t="n"/>
      <c r="J2198" s="99" t="n"/>
      <c r="K2198" s="99" t="n"/>
      <c r="L2198" s="99" t="n"/>
      <c r="M2198" s="99" t="n"/>
      <c r="N2198" s="99" t="n"/>
      <c r="O2198" s="99" t="n"/>
      <c r="P2198" s="99" t="n"/>
      <c r="Q2198" s="99" t="n"/>
      <c r="R2198" s="99" t="n"/>
      <c r="S2198" s="99" t="n"/>
      <c r="T2198" s="99" t="n"/>
      <c r="U2198" s="99" t="n"/>
      <c r="V2198" s="99" t="n"/>
      <c r="W2198" s="99" t="n"/>
      <c r="X2198" s="99" t="n"/>
      <c r="Y2198" s="99" t="n"/>
      <c r="Z2198" s="99" t="n"/>
      <c r="AA2198" s="99" t="n"/>
      <c r="AB2198" s="99" t="n"/>
      <c r="AC2198" s="99" t="n"/>
      <c r="AD2198" s="99" t="n"/>
      <c r="AE2198" s="99" t="n"/>
      <c r="AF2198" s="99" t="n"/>
      <c r="AG2198" s="99" t="n"/>
      <c r="AH2198" s="99" t="n"/>
      <c r="AI2198" s="99" t="n"/>
      <c r="AJ2198" s="99" t="n"/>
      <c r="AK2198" s="99" t="n"/>
      <c r="AL2198" s="99" t="n"/>
      <c r="AM2198" s="99" t="n"/>
      <c r="AN2198" s="99" t="n"/>
      <c r="AO2198" s="99" t="n"/>
      <c r="AP2198" s="99" t="n"/>
      <c r="AQ2198" s="99" t="n"/>
      <c r="AR2198" s="99" t="n"/>
    </row>
    <row r="2199">
      <c r="D2199" s="99" t="n"/>
      <c r="E2199" s="99" t="n"/>
      <c r="F2199" s="99" t="n"/>
      <c r="G2199" s="99" t="n"/>
      <c r="H2199" s="99" t="n"/>
      <c r="I2199" s="99" t="n"/>
      <c r="J2199" s="99" t="n"/>
      <c r="K2199" s="99" t="n"/>
      <c r="L2199" s="99" t="n"/>
      <c r="M2199" s="99" t="n"/>
      <c r="N2199" s="99" t="n"/>
      <c r="O2199" s="99" t="n"/>
      <c r="P2199" s="99" t="n"/>
      <c r="Q2199" s="99" t="n"/>
      <c r="R2199" s="99" t="n"/>
      <c r="S2199" s="99" t="n"/>
      <c r="T2199" s="99" t="n"/>
      <c r="U2199" s="99" t="n"/>
      <c r="V2199" s="99" t="n"/>
      <c r="W2199" s="99" t="n"/>
      <c r="X2199" s="99" t="n"/>
      <c r="Y2199" s="99" t="n"/>
      <c r="Z2199" s="99" t="n"/>
      <c r="AA2199" s="99" t="n"/>
      <c r="AB2199" s="99" t="n"/>
      <c r="AC2199" s="99" t="n"/>
      <c r="AD2199" s="99" t="n"/>
      <c r="AE2199" s="99" t="n"/>
      <c r="AF2199" s="99" t="n"/>
      <c r="AG2199" s="99" t="n"/>
      <c r="AH2199" s="99" t="n"/>
      <c r="AI2199" s="99" t="n"/>
      <c r="AJ2199" s="99" t="n"/>
      <c r="AK2199" s="99" t="n"/>
      <c r="AL2199" s="99" t="n"/>
      <c r="AM2199" s="99" t="n"/>
      <c r="AN2199" s="99" t="n"/>
      <c r="AO2199" s="99" t="n"/>
      <c r="AP2199" s="99" t="n"/>
      <c r="AQ2199" s="99" t="n"/>
      <c r="AR2199" s="99" t="n"/>
    </row>
    <row r="2200">
      <c r="D2200" s="99" t="n"/>
      <c r="E2200" s="99" t="n"/>
      <c r="F2200" s="99" t="n"/>
      <c r="G2200" s="99" t="n"/>
      <c r="H2200" s="99" t="n"/>
      <c r="I2200" s="99" t="n"/>
      <c r="J2200" s="99" t="n"/>
      <c r="K2200" s="99" t="n"/>
      <c r="L2200" s="99" t="n"/>
      <c r="M2200" s="99" t="n"/>
      <c r="N2200" s="99" t="n"/>
      <c r="O2200" s="99" t="n"/>
      <c r="P2200" s="99" t="n"/>
      <c r="Q2200" s="99" t="n"/>
      <c r="R2200" s="99" t="n"/>
      <c r="S2200" s="99" t="n"/>
      <c r="T2200" s="99" t="n"/>
      <c r="U2200" s="99" t="n"/>
      <c r="V2200" s="99" t="n"/>
      <c r="W2200" s="99" t="n"/>
      <c r="X2200" s="99" t="n"/>
      <c r="Y2200" s="99" t="n"/>
      <c r="Z2200" s="99" t="n"/>
      <c r="AA2200" s="99" t="n"/>
      <c r="AB2200" s="99" t="n"/>
      <c r="AC2200" s="99" t="n"/>
      <c r="AD2200" s="99" t="n"/>
      <c r="AE2200" s="99" t="n"/>
      <c r="AF2200" s="99" t="n"/>
      <c r="AG2200" s="99" t="n"/>
      <c r="AH2200" s="99" t="n"/>
      <c r="AI2200" s="99" t="n"/>
      <c r="AJ2200" s="99" t="n"/>
      <c r="AK2200" s="99" t="n"/>
      <c r="AL2200" s="99" t="n"/>
      <c r="AM2200" s="99" t="n"/>
      <c r="AN2200" s="99" t="n"/>
      <c r="AO2200" s="99" t="n"/>
      <c r="AP2200" s="99" t="n"/>
      <c r="AQ2200" s="99" t="n"/>
      <c r="AR2200" s="99" t="n"/>
    </row>
    <row r="2201">
      <c r="D2201" s="99" t="n"/>
      <c r="E2201" s="99" t="n"/>
      <c r="F2201" s="99" t="n"/>
      <c r="G2201" s="99" t="n"/>
      <c r="H2201" s="99" t="n"/>
      <c r="I2201" s="99" t="n"/>
      <c r="J2201" s="99" t="n"/>
      <c r="K2201" s="99" t="n"/>
      <c r="L2201" s="99" t="n"/>
      <c r="M2201" s="99" t="n"/>
      <c r="N2201" s="99" t="n"/>
      <c r="O2201" s="99" t="n"/>
      <c r="P2201" s="99" t="n"/>
      <c r="Q2201" s="99" t="n"/>
      <c r="R2201" s="99" t="n"/>
      <c r="S2201" s="99" t="n"/>
      <c r="T2201" s="99" t="n"/>
      <c r="U2201" s="99" t="n"/>
      <c r="V2201" s="99" t="n"/>
      <c r="W2201" s="99" t="n"/>
      <c r="X2201" s="99" t="n"/>
      <c r="Y2201" s="99" t="n"/>
      <c r="Z2201" s="99" t="n"/>
      <c r="AA2201" s="99" t="n"/>
      <c r="AB2201" s="99" t="n"/>
      <c r="AC2201" s="99" t="n"/>
      <c r="AD2201" s="99" t="n"/>
      <c r="AE2201" s="99" t="n"/>
      <c r="AF2201" s="99" t="n"/>
      <c r="AG2201" s="99" t="n"/>
      <c r="AH2201" s="99" t="n"/>
      <c r="AI2201" s="99" t="n"/>
      <c r="AJ2201" s="99" t="n"/>
      <c r="AK2201" s="99" t="n"/>
      <c r="AL2201" s="99" t="n"/>
      <c r="AM2201" s="99" t="n"/>
      <c r="AN2201" s="99" t="n"/>
      <c r="AO2201" s="99" t="n"/>
      <c r="AP2201" s="99" t="n"/>
      <c r="AQ2201" s="99" t="n"/>
      <c r="AR2201" s="99" t="n"/>
    </row>
    <row r="2202">
      <c r="D2202" s="100" t="n"/>
      <c r="E2202" s="100" t="n"/>
      <c r="F2202" s="100" t="n"/>
      <c r="G2202" s="100" t="n"/>
      <c r="H2202" s="100" t="n"/>
      <c r="I2202" s="100" t="n"/>
      <c r="J2202" s="100" t="n"/>
      <c r="K2202" s="100" t="n"/>
      <c r="L2202" s="100" t="n"/>
      <c r="M2202" s="100" t="n"/>
      <c r="N2202" s="100" t="n"/>
      <c r="O2202" s="100" t="n"/>
      <c r="P2202" s="100" t="n"/>
      <c r="Q2202" s="100" t="n"/>
      <c r="R2202" s="100" t="n"/>
      <c r="S2202" s="100" t="n"/>
      <c r="T2202" s="100" t="n"/>
      <c r="U2202" s="100" t="n"/>
      <c r="V2202" s="100" t="n"/>
      <c r="W2202" s="100" t="n"/>
      <c r="X2202" s="100" t="n"/>
      <c r="Y2202" s="100" t="n"/>
      <c r="Z2202" s="100" t="n"/>
      <c r="AA2202" s="100" t="n"/>
      <c r="AB2202" s="100" t="n"/>
      <c r="AC2202" s="100" t="n"/>
      <c r="AD2202" s="100" t="n"/>
      <c r="AE2202" s="100" t="n"/>
      <c r="AF2202" s="100" t="n"/>
      <c r="AG2202" s="100" t="n"/>
      <c r="AH2202" s="100" t="n"/>
      <c r="AI2202" s="100" t="n"/>
      <c r="AJ2202" s="100" t="n"/>
      <c r="AK2202" s="100" t="n"/>
      <c r="AL2202" s="100" t="n"/>
      <c r="AM2202" s="100" t="n"/>
      <c r="AN2202" s="100" t="n"/>
      <c r="AO2202" s="100" t="n"/>
      <c r="AP2202" s="100" t="n"/>
      <c r="AQ2202" s="100" t="n"/>
      <c r="AR2202" s="100" t="n"/>
    </row>
    <row r="2205">
      <c r="A2205" s="2">
        <f>IF($A2198="","","   projections")</f>
        <v/>
      </c>
      <c r="B2205" s="96">
        <f>IF($A2198="",0,COUNT($E2206:$AR2206))</f>
        <v/>
      </c>
      <c r="C2205" s="97">
        <f>IF($B2205=0,0,MAX($E2206:$AR2206))</f>
        <v/>
      </c>
      <c r="D2205" s="98">
        <f>BDS($A2198,FLD_PROJ,"headers=y","startcol=1","endcol=3","dir=h")</f>
        <v/>
      </c>
      <c r="E2205" s="99" t="n"/>
      <c r="F2205" s="99" t="n"/>
      <c r="G2205" s="99" t="n"/>
      <c r="H2205" s="99" t="n"/>
      <c r="I2205" s="99" t="n"/>
      <c r="J2205" s="99" t="n"/>
      <c r="K2205" s="99" t="n"/>
      <c r="L2205" s="99" t="n"/>
      <c r="M2205" s="99" t="n"/>
      <c r="N2205" s="99" t="n"/>
      <c r="O2205" s="99" t="n"/>
      <c r="P2205" s="99" t="n"/>
      <c r="Q2205" s="99" t="n"/>
      <c r="R2205" s="99" t="n"/>
      <c r="S2205" s="99" t="n"/>
      <c r="T2205" s="99" t="n"/>
      <c r="U2205" s="99" t="n"/>
      <c r="V2205" s="99" t="n"/>
      <c r="W2205" s="99" t="n"/>
      <c r="X2205" s="99" t="n"/>
      <c r="Y2205" s="99" t="n"/>
      <c r="Z2205" s="99" t="n"/>
      <c r="AA2205" s="99" t="n"/>
      <c r="AB2205" s="99" t="n"/>
      <c r="AC2205" s="99" t="n"/>
      <c r="AD2205" s="99" t="n"/>
      <c r="AE2205" s="99" t="n"/>
      <c r="AF2205" s="99" t="n"/>
      <c r="AG2205" s="99" t="n"/>
      <c r="AH2205" s="99" t="n"/>
      <c r="AI2205" s="99" t="n"/>
      <c r="AJ2205" s="99" t="n"/>
      <c r="AK2205" s="99" t="n"/>
      <c r="AL2205" s="99" t="n"/>
      <c r="AM2205" s="99" t="n"/>
      <c r="AN2205" s="99" t="n"/>
      <c r="AO2205" s="99" t="n"/>
      <c r="AP2205" s="99" t="n"/>
      <c r="AQ2205" s="99" t="n"/>
      <c r="AR2205" s="99" t="n"/>
    </row>
    <row r="2206">
      <c r="D2206" s="99" t="n"/>
      <c r="E2206" s="99" t="n"/>
      <c r="F2206" s="99" t="n"/>
      <c r="G2206" s="99" t="n"/>
      <c r="H2206" s="99" t="n"/>
      <c r="I2206" s="99" t="n"/>
      <c r="J2206" s="99" t="n"/>
      <c r="K2206" s="99" t="n"/>
      <c r="L2206" s="99" t="n"/>
      <c r="M2206" s="99" t="n"/>
      <c r="N2206" s="99" t="n"/>
      <c r="O2206" s="99" t="n"/>
      <c r="P2206" s="99" t="n"/>
      <c r="Q2206" s="99" t="n"/>
      <c r="R2206" s="99" t="n"/>
      <c r="S2206" s="99" t="n"/>
      <c r="T2206" s="99" t="n"/>
      <c r="U2206" s="99" t="n"/>
      <c r="V2206" s="99" t="n"/>
      <c r="W2206" s="99" t="n"/>
      <c r="X2206" s="99" t="n"/>
      <c r="Y2206" s="99" t="n"/>
      <c r="Z2206" s="99" t="n"/>
      <c r="AA2206" s="99" t="n"/>
      <c r="AB2206" s="99" t="n"/>
      <c r="AC2206" s="99" t="n"/>
      <c r="AD2206" s="99" t="n"/>
      <c r="AE2206" s="99" t="n"/>
      <c r="AF2206" s="99" t="n"/>
      <c r="AG2206" s="99" t="n"/>
      <c r="AH2206" s="99" t="n"/>
      <c r="AI2206" s="99" t="n"/>
      <c r="AJ2206" s="99" t="n"/>
      <c r="AK2206" s="99" t="n"/>
      <c r="AL2206" s="99" t="n"/>
      <c r="AM2206" s="99" t="n"/>
      <c r="AN2206" s="99" t="n"/>
      <c r="AO2206" s="99" t="n"/>
      <c r="AP2206" s="99" t="n"/>
      <c r="AQ2206" s="99" t="n"/>
      <c r="AR2206" s="99" t="n"/>
    </row>
    <row r="2207">
      <c r="D2207" s="100" t="n"/>
      <c r="E2207" s="100" t="n"/>
      <c r="F2207" s="100" t="n"/>
      <c r="G2207" s="100" t="n"/>
      <c r="H2207" s="100" t="n"/>
      <c r="I2207" s="100" t="n"/>
      <c r="J2207" s="100" t="n"/>
      <c r="K2207" s="100" t="n"/>
      <c r="L2207" s="100" t="n"/>
      <c r="M2207" s="100" t="n"/>
      <c r="N2207" s="100" t="n"/>
      <c r="O2207" s="100" t="n"/>
      <c r="P2207" s="100" t="n"/>
      <c r="Q2207" s="100" t="n"/>
      <c r="R2207" s="100" t="n"/>
      <c r="S2207" s="100" t="n"/>
      <c r="T2207" s="100" t="n"/>
      <c r="U2207" s="100" t="n"/>
      <c r="V2207" s="100" t="n"/>
      <c r="W2207" s="100" t="n"/>
      <c r="X2207" s="100" t="n"/>
      <c r="Y2207" s="100" t="n"/>
      <c r="Z2207" s="100" t="n"/>
      <c r="AA2207" s="100" t="n"/>
      <c r="AB2207" s="100" t="n"/>
      <c r="AC2207" s="100" t="n"/>
      <c r="AD2207" s="100" t="n"/>
      <c r="AE2207" s="100" t="n"/>
      <c r="AF2207" s="100" t="n"/>
      <c r="AG2207" s="100" t="n"/>
      <c r="AH2207" s="100" t="n"/>
      <c r="AI2207" s="100" t="n"/>
      <c r="AJ2207" s="100" t="n"/>
      <c r="AK2207" s="100" t="n"/>
      <c r="AL2207" s="100" t="n"/>
      <c r="AM2207" s="100" t="n"/>
      <c r="AN2207" s="100" t="n"/>
      <c r="AO2207" s="100" t="n"/>
      <c r="AP2207" s="100" t="n"/>
      <c r="AQ2207" s="100" t="n"/>
      <c r="AR2207" s="100" t="n"/>
    </row>
    <row r="2209">
      <c r="A2209" s="6">
        <f>IF(HSCEI!$C$66="","",HSCEI!$C$66)</f>
        <v/>
      </c>
      <c r="B2209" s="96">
        <f>IF($A2209="",0,COUNT($E2210:$AR2210))</f>
        <v/>
      </c>
      <c r="C2209" s="97">
        <f>IF($B2209=0,0,MAX($E2210:$AR2210))</f>
        <v/>
      </c>
      <c r="D2209" s="98">
        <f>BDS($A2209,FLD_HIST,"headers=y","startcol=1","endcol=7","dir=h","DVD_START_DT",HIST_FROM,"DVD_END_DT",HIST_TO)</f>
        <v/>
      </c>
      <c r="E2209" s="99" t="n"/>
      <c r="F2209" s="99" t="n"/>
      <c r="G2209" s="99" t="n"/>
      <c r="H2209" s="99" t="n"/>
      <c r="I2209" s="99" t="n"/>
      <c r="J2209" s="99" t="n"/>
      <c r="K2209" s="99" t="n"/>
      <c r="L2209" s="99" t="n"/>
      <c r="M2209" s="99" t="n"/>
      <c r="N2209" s="99" t="n"/>
      <c r="O2209" s="99" t="n"/>
      <c r="P2209" s="99" t="n"/>
      <c r="Q2209" s="99" t="n"/>
      <c r="R2209" s="99" t="n"/>
      <c r="S2209" s="99" t="n"/>
      <c r="T2209" s="99" t="n"/>
      <c r="U2209" s="99" t="n"/>
      <c r="V2209" s="99" t="n"/>
      <c r="W2209" s="99" t="n"/>
      <c r="X2209" s="99" t="n"/>
      <c r="Y2209" s="99" t="n"/>
      <c r="Z2209" s="99" t="n"/>
      <c r="AA2209" s="99" t="n"/>
      <c r="AB2209" s="99" t="n"/>
      <c r="AC2209" s="99" t="n"/>
      <c r="AD2209" s="99" t="n"/>
      <c r="AE2209" s="99" t="n"/>
      <c r="AF2209" s="99" t="n"/>
      <c r="AG2209" s="99" t="n"/>
      <c r="AH2209" s="99" t="n"/>
      <c r="AI2209" s="99" t="n"/>
      <c r="AJ2209" s="99" t="n"/>
      <c r="AK2209" s="99" t="n"/>
      <c r="AL2209" s="99" t="n"/>
      <c r="AM2209" s="99" t="n"/>
      <c r="AN2209" s="99" t="n"/>
      <c r="AO2209" s="99" t="n"/>
      <c r="AP2209" s="99" t="n"/>
      <c r="AQ2209" s="99" t="n"/>
      <c r="AR2209" s="99" t="n"/>
    </row>
    <row r="2210">
      <c r="D2210" s="99" t="n"/>
      <c r="E2210" s="99" t="n"/>
      <c r="F2210" s="99" t="n"/>
      <c r="G2210" s="99" t="n"/>
      <c r="H2210" s="99" t="n"/>
      <c r="I2210" s="99" t="n"/>
      <c r="J2210" s="99" t="n"/>
      <c r="K2210" s="99" t="n"/>
      <c r="L2210" s="99" t="n"/>
      <c r="M2210" s="99" t="n"/>
      <c r="N2210" s="99" t="n"/>
      <c r="O2210" s="99" t="n"/>
      <c r="P2210" s="99" t="n"/>
      <c r="Q2210" s="99" t="n"/>
      <c r="R2210" s="99" t="n"/>
      <c r="S2210" s="99" t="n"/>
      <c r="T2210" s="99" t="n"/>
      <c r="U2210" s="99" t="n"/>
      <c r="V2210" s="99" t="n"/>
      <c r="W2210" s="99" t="n"/>
      <c r="X2210" s="99" t="n"/>
      <c r="Y2210" s="99" t="n"/>
      <c r="Z2210" s="99" t="n"/>
      <c r="AA2210" s="99" t="n"/>
      <c r="AB2210" s="99" t="n"/>
      <c r="AC2210" s="99" t="n"/>
      <c r="AD2210" s="99" t="n"/>
      <c r="AE2210" s="99" t="n"/>
      <c r="AF2210" s="99" t="n"/>
      <c r="AG2210" s="99" t="n"/>
      <c r="AH2210" s="99" t="n"/>
      <c r="AI2210" s="99" t="n"/>
      <c r="AJ2210" s="99" t="n"/>
      <c r="AK2210" s="99" t="n"/>
      <c r="AL2210" s="99" t="n"/>
      <c r="AM2210" s="99" t="n"/>
      <c r="AN2210" s="99" t="n"/>
      <c r="AO2210" s="99" t="n"/>
      <c r="AP2210" s="99" t="n"/>
      <c r="AQ2210" s="99" t="n"/>
      <c r="AR2210" s="99" t="n"/>
    </row>
    <row r="2211">
      <c r="D2211" s="99" t="n"/>
      <c r="E2211" s="99" t="n"/>
      <c r="F2211" s="99" t="n"/>
      <c r="G2211" s="99" t="n"/>
      <c r="H2211" s="99" t="n"/>
      <c r="I2211" s="99" t="n"/>
      <c r="J2211" s="99" t="n"/>
      <c r="K2211" s="99" t="n"/>
      <c r="L2211" s="99" t="n"/>
      <c r="M2211" s="99" t="n"/>
      <c r="N2211" s="99" t="n"/>
      <c r="O2211" s="99" t="n"/>
      <c r="P2211" s="99" t="n"/>
      <c r="Q2211" s="99" t="n"/>
      <c r="R2211" s="99" t="n"/>
      <c r="S2211" s="99" t="n"/>
      <c r="T2211" s="99" t="n"/>
      <c r="U2211" s="99" t="n"/>
      <c r="V2211" s="99" t="n"/>
      <c r="W2211" s="99" t="n"/>
      <c r="X2211" s="99" t="n"/>
      <c r="Y2211" s="99" t="n"/>
      <c r="Z2211" s="99" t="n"/>
      <c r="AA2211" s="99" t="n"/>
      <c r="AB2211" s="99" t="n"/>
      <c r="AC2211" s="99" t="n"/>
      <c r="AD2211" s="99" t="n"/>
      <c r="AE2211" s="99" t="n"/>
      <c r="AF2211" s="99" t="n"/>
      <c r="AG2211" s="99" t="n"/>
      <c r="AH2211" s="99" t="n"/>
      <c r="AI2211" s="99" t="n"/>
      <c r="AJ2211" s="99" t="n"/>
      <c r="AK2211" s="99" t="n"/>
      <c r="AL2211" s="99" t="n"/>
      <c r="AM2211" s="99" t="n"/>
      <c r="AN2211" s="99" t="n"/>
      <c r="AO2211" s="99" t="n"/>
      <c r="AP2211" s="99" t="n"/>
      <c r="AQ2211" s="99" t="n"/>
      <c r="AR2211" s="99" t="n"/>
    </row>
    <row r="2212">
      <c r="D2212" s="99" t="n"/>
      <c r="E2212" s="99" t="n"/>
      <c r="F2212" s="99" t="n"/>
      <c r="G2212" s="99" t="n"/>
      <c r="H2212" s="99" t="n"/>
      <c r="I2212" s="99" t="n"/>
      <c r="J2212" s="99" t="n"/>
      <c r="K2212" s="99" t="n"/>
      <c r="L2212" s="99" t="n"/>
      <c r="M2212" s="99" t="n"/>
      <c r="N2212" s="99" t="n"/>
      <c r="O2212" s="99" t="n"/>
      <c r="P2212" s="99" t="n"/>
      <c r="Q2212" s="99" t="n"/>
      <c r="R2212" s="99" t="n"/>
      <c r="S2212" s="99" t="n"/>
      <c r="T2212" s="99" t="n"/>
      <c r="U2212" s="99" t="n"/>
      <c r="V2212" s="99" t="n"/>
      <c r="W2212" s="99" t="n"/>
      <c r="X2212" s="99" t="n"/>
      <c r="Y2212" s="99" t="n"/>
      <c r="Z2212" s="99" t="n"/>
      <c r="AA2212" s="99" t="n"/>
      <c r="AB2212" s="99" t="n"/>
      <c r="AC2212" s="99" t="n"/>
      <c r="AD2212" s="99" t="n"/>
      <c r="AE2212" s="99" t="n"/>
      <c r="AF2212" s="99" t="n"/>
      <c r="AG2212" s="99" t="n"/>
      <c r="AH2212" s="99" t="n"/>
      <c r="AI2212" s="99" t="n"/>
      <c r="AJ2212" s="99" t="n"/>
      <c r="AK2212" s="99" t="n"/>
      <c r="AL2212" s="99" t="n"/>
      <c r="AM2212" s="99" t="n"/>
      <c r="AN2212" s="99" t="n"/>
      <c r="AO2212" s="99" t="n"/>
      <c r="AP2212" s="99" t="n"/>
      <c r="AQ2212" s="99" t="n"/>
      <c r="AR2212" s="99" t="n"/>
    </row>
    <row r="2213">
      <c r="D2213" s="100" t="n"/>
      <c r="E2213" s="100" t="n"/>
      <c r="F2213" s="100" t="n"/>
      <c r="G2213" s="100" t="n"/>
      <c r="H2213" s="100" t="n"/>
      <c r="I2213" s="100" t="n"/>
      <c r="J2213" s="100" t="n"/>
      <c r="K2213" s="100" t="n"/>
      <c r="L2213" s="100" t="n"/>
      <c r="M2213" s="100" t="n"/>
      <c r="N2213" s="100" t="n"/>
      <c r="O2213" s="100" t="n"/>
      <c r="P2213" s="100" t="n"/>
      <c r="Q2213" s="100" t="n"/>
      <c r="R2213" s="100" t="n"/>
      <c r="S2213" s="100" t="n"/>
      <c r="T2213" s="100" t="n"/>
      <c r="U2213" s="100" t="n"/>
      <c r="V2213" s="100" t="n"/>
      <c r="W2213" s="100" t="n"/>
      <c r="X2213" s="100" t="n"/>
      <c r="Y2213" s="100" t="n"/>
      <c r="Z2213" s="100" t="n"/>
      <c r="AA2213" s="100" t="n"/>
      <c r="AB2213" s="100" t="n"/>
      <c r="AC2213" s="100" t="n"/>
      <c r="AD2213" s="100" t="n"/>
      <c r="AE2213" s="100" t="n"/>
      <c r="AF2213" s="100" t="n"/>
      <c r="AG2213" s="100" t="n"/>
      <c r="AH2213" s="100" t="n"/>
      <c r="AI2213" s="100" t="n"/>
      <c r="AJ2213" s="100" t="n"/>
      <c r="AK2213" s="100" t="n"/>
      <c r="AL2213" s="100" t="n"/>
      <c r="AM2213" s="100" t="n"/>
      <c r="AN2213" s="100" t="n"/>
      <c r="AO2213" s="100" t="n"/>
      <c r="AP2213" s="100" t="n"/>
      <c r="AQ2213" s="100" t="n"/>
      <c r="AR2213" s="100" t="n"/>
    </row>
    <row r="2216">
      <c r="A2216" s="2">
        <f>IF($A2209="","","   projections")</f>
        <v/>
      </c>
      <c r="B2216" s="96">
        <f>IF($A2209="",0,COUNT($E2217:$AR2217))</f>
        <v/>
      </c>
      <c r="C2216" s="97">
        <f>IF($B2216=0,0,MAX($E2217:$AR2217))</f>
        <v/>
      </c>
      <c r="D2216" s="98">
        <f>BDS($A2209,FLD_PROJ,"headers=y","startcol=1","endcol=3","dir=h")</f>
        <v/>
      </c>
      <c r="E2216" s="99" t="n"/>
      <c r="F2216" s="99" t="n"/>
      <c r="G2216" s="99" t="n"/>
      <c r="H2216" s="99" t="n"/>
      <c r="I2216" s="99" t="n"/>
      <c r="J2216" s="99" t="n"/>
      <c r="K2216" s="99" t="n"/>
      <c r="L2216" s="99" t="n"/>
      <c r="M2216" s="99" t="n"/>
      <c r="N2216" s="99" t="n"/>
      <c r="O2216" s="99" t="n"/>
      <c r="P2216" s="99" t="n"/>
      <c r="Q2216" s="99" t="n"/>
      <c r="R2216" s="99" t="n"/>
      <c r="S2216" s="99" t="n"/>
      <c r="T2216" s="99" t="n"/>
      <c r="U2216" s="99" t="n"/>
      <c r="V2216" s="99" t="n"/>
      <c r="W2216" s="99" t="n"/>
      <c r="X2216" s="99" t="n"/>
      <c r="Y2216" s="99" t="n"/>
      <c r="Z2216" s="99" t="n"/>
      <c r="AA2216" s="99" t="n"/>
      <c r="AB2216" s="99" t="n"/>
      <c r="AC2216" s="99" t="n"/>
      <c r="AD2216" s="99" t="n"/>
      <c r="AE2216" s="99" t="n"/>
      <c r="AF2216" s="99" t="n"/>
      <c r="AG2216" s="99" t="n"/>
      <c r="AH2216" s="99" t="n"/>
      <c r="AI2216" s="99" t="n"/>
      <c r="AJ2216" s="99" t="n"/>
      <c r="AK2216" s="99" t="n"/>
      <c r="AL2216" s="99" t="n"/>
      <c r="AM2216" s="99" t="n"/>
      <c r="AN2216" s="99" t="n"/>
      <c r="AO2216" s="99" t="n"/>
      <c r="AP2216" s="99" t="n"/>
      <c r="AQ2216" s="99" t="n"/>
      <c r="AR2216" s="99" t="n"/>
    </row>
    <row r="2217">
      <c r="D2217" s="99" t="n"/>
      <c r="E2217" s="99" t="n"/>
      <c r="F2217" s="99" t="n"/>
      <c r="G2217" s="99" t="n"/>
      <c r="H2217" s="99" t="n"/>
      <c r="I2217" s="99" t="n"/>
      <c r="J2217" s="99" t="n"/>
      <c r="K2217" s="99" t="n"/>
      <c r="L2217" s="99" t="n"/>
      <c r="M2217" s="99" t="n"/>
      <c r="N2217" s="99" t="n"/>
      <c r="O2217" s="99" t="n"/>
      <c r="P2217" s="99" t="n"/>
      <c r="Q2217" s="99" t="n"/>
      <c r="R2217" s="99" t="n"/>
      <c r="S2217" s="99" t="n"/>
      <c r="T2217" s="99" t="n"/>
      <c r="U2217" s="99" t="n"/>
      <c r="V2217" s="99" t="n"/>
      <c r="W2217" s="99" t="n"/>
      <c r="X2217" s="99" t="n"/>
      <c r="Y2217" s="99" t="n"/>
      <c r="Z2217" s="99" t="n"/>
      <c r="AA2217" s="99" t="n"/>
      <c r="AB2217" s="99" t="n"/>
      <c r="AC2217" s="99" t="n"/>
      <c r="AD2217" s="99" t="n"/>
      <c r="AE2217" s="99" t="n"/>
      <c r="AF2217" s="99" t="n"/>
      <c r="AG2217" s="99" t="n"/>
      <c r="AH2217" s="99" t="n"/>
      <c r="AI2217" s="99" t="n"/>
      <c r="AJ2217" s="99" t="n"/>
      <c r="AK2217" s="99" t="n"/>
      <c r="AL2217" s="99" t="n"/>
      <c r="AM2217" s="99" t="n"/>
      <c r="AN2217" s="99" t="n"/>
      <c r="AO2217" s="99" t="n"/>
      <c r="AP2217" s="99" t="n"/>
      <c r="AQ2217" s="99" t="n"/>
      <c r="AR2217" s="99" t="n"/>
    </row>
    <row r="2218">
      <c r="D2218" s="100" t="n"/>
      <c r="E2218" s="100" t="n"/>
      <c r="F2218" s="100" t="n"/>
      <c r="G2218" s="100" t="n"/>
      <c r="H2218" s="100" t="n"/>
      <c r="I2218" s="100" t="n"/>
      <c r="J2218" s="100" t="n"/>
      <c r="K2218" s="100" t="n"/>
      <c r="L2218" s="100" t="n"/>
      <c r="M2218" s="100" t="n"/>
      <c r="N2218" s="100" t="n"/>
      <c r="O2218" s="100" t="n"/>
      <c r="P2218" s="100" t="n"/>
      <c r="Q2218" s="100" t="n"/>
      <c r="R2218" s="100" t="n"/>
      <c r="S2218" s="100" t="n"/>
      <c r="T2218" s="100" t="n"/>
      <c r="U2218" s="100" t="n"/>
      <c r="V2218" s="100" t="n"/>
      <c r="W2218" s="100" t="n"/>
      <c r="X2218" s="100" t="n"/>
      <c r="Y2218" s="100" t="n"/>
      <c r="Z2218" s="100" t="n"/>
      <c r="AA2218" s="100" t="n"/>
      <c r="AB2218" s="100" t="n"/>
      <c r="AC2218" s="100" t="n"/>
      <c r="AD2218" s="100" t="n"/>
      <c r="AE2218" s="100" t="n"/>
      <c r="AF2218" s="100" t="n"/>
      <c r="AG2218" s="100" t="n"/>
      <c r="AH2218" s="100" t="n"/>
      <c r="AI2218" s="100" t="n"/>
      <c r="AJ2218" s="100" t="n"/>
      <c r="AK2218" s="100" t="n"/>
      <c r="AL2218" s="100" t="n"/>
      <c r="AM2218" s="100" t="n"/>
      <c r="AN2218" s="100" t="n"/>
      <c r="AO2218" s="100" t="n"/>
      <c r="AP2218" s="100" t="n"/>
      <c r="AQ2218" s="100" t="n"/>
      <c r="AR2218" s="100" t="n"/>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B1:H12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16" customWidth="1" min="3" max="3"/>
    <col width="11" customWidth="1" min="4" max="4"/>
    <col width="10" customWidth="1" min="5" max="5"/>
    <col width="3" customWidth="1" min="6" max="6"/>
    <col width="11" customWidth="1" min="7" max="7"/>
    <col width="10" customWidth="1" min="8" max="8"/>
  </cols>
  <sheetData>
    <row r="1">
      <c r="B1" s="1" t="inlineStr">
        <is>
          <t>FUND HISTORY - PER-STOCK 5-YEAR PULLS.  ENGINE TAB: NEVER EDIT.</t>
        </is>
      </c>
    </row>
    <row r="2">
      <c r="B2" s="2" t="inlineStr">
        <is>
          <t>Two small pulls per stock, exactly as you tested them: NET DEBT / EQUITY via BDH ("-5AY", Per=Y - five rows of date + value) and BUYBACK YIELD via BQL (LTM buybacks / market cap at each year-end). Fundamentals reads them by matching the YEAR of the date column, so row order never matters.</t>
        </is>
      </c>
    </row>
    <row r="3">
      <c r="B3" s="2" t="inlineStr">
        <is>
          <t>'Pull fundamentals' = N on Summary blanks the security cells, which silences every request here.  Feeds: the buyback and net-debt/equity columns on Fundamentals.</t>
        </is>
      </c>
    </row>
    <row r="4">
      <c r="B4" s="2" t="inlineStr">
        <is>
          <t>BQL dates argument</t>
        </is>
      </c>
      <c r="C4" s="18">
        <f>"dates=range("&amp;TEXT(DATE(YEAR_Y-4,12,31),"yyyy-mm-dd")&amp;","&amp;TEXT(DATE(YEAR_Y-1,12,31),"yyyy-mm-dd")&amp;",frq=y)"</f>
        <v/>
      </c>
      <c r="D4" s="16" t="n"/>
      <c r="E4" s="17" t="n"/>
    </row>
    <row r="6">
      <c r="B6" s="3" t="inlineStr">
        <is>
          <t>Hang Seng Index (HSI)</t>
        </is>
      </c>
      <c r="C6" s="4" t="n"/>
      <c r="D6" s="93">
        <f>IF(COUNT($D$8:$D$607)&gt;0,"BDH shape OK - dates in column D",IF(COUNT($E$8:$E$607)&gt;0,"CHECK: BDH returned values but NO date column - tell Claude","BDH: nothing pulled yet"))</f>
        <v/>
      </c>
      <c r="E6" s="4" t="n"/>
      <c r="F6" s="4" t="n"/>
      <c r="G6" s="93">
        <f>IF(COUNT($G$8:$G$607)&gt;0,"BQL shape OK - dates in column G",IF(COUNT($H$8:$H$607)&gt;0,"CHECK: BQL returned values but NO date column - tell Claude","BQL: nothing pulled yet"))</f>
        <v/>
      </c>
      <c r="H6" s="4" t="n"/>
    </row>
    <row r="7">
      <c r="D7" s="2" t="inlineStr">
        <is>
          <t>net debt/equity (BDH)</t>
        </is>
      </c>
      <c r="G7" s="2" t="inlineStr">
        <is>
          <t>buyback yield (BQL)</t>
        </is>
      </c>
    </row>
    <row r="8">
      <c r="B8" s="2">
        <f>IF(HSI!$C$7="","",HSI!$C$7)</f>
        <v/>
      </c>
      <c r="C8" s="2">
        <f>IF(PULL_FUND="N","",IF(HSI!$C$7="","",HSI!$C$7))</f>
        <v/>
      </c>
      <c r="D8" s="101">
        <f>BDH($C8,NDE_FIELD,"-5AY","","Per=Y","cols=2;rows=5")</f>
        <v/>
      </c>
      <c r="E8" s="102" t="n"/>
      <c r="G8" s="101">
        <f>BQL($C8,BUYBACK_QUERY,$C$4,"fill=prev","showheaders=f","showids=f")</f>
        <v/>
      </c>
      <c r="H8" s="102" t="n"/>
    </row>
    <row r="9">
      <c r="D9" s="99" t="n"/>
      <c r="E9" s="102" t="n"/>
      <c r="G9" s="99" t="n"/>
      <c r="H9" s="102" t="n"/>
    </row>
    <row r="10">
      <c r="D10" s="99" t="n"/>
      <c r="E10" s="102" t="n"/>
      <c r="G10" s="99" t="n"/>
      <c r="H10" s="102" t="n"/>
    </row>
    <row r="11">
      <c r="D11" s="99" t="n"/>
      <c r="E11" s="102" t="n"/>
      <c r="G11" s="99" t="n"/>
      <c r="H11" s="102" t="n"/>
    </row>
    <row r="12">
      <c r="D12" s="99" t="n"/>
      <c r="E12" s="102" t="n"/>
      <c r="G12" s="99" t="n"/>
      <c r="H12" s="102" t="n"/>
    </row>
    <row r="14">
      <c r="B14" s="2">
        <f>IF(HSI!$C$8="","",HSI!$C$8)</f>
        <v/>
      </c>
      <c r="C14" s="2">
        <f>IF(PULL_FUND="N","",IF(HSI!$C$8="","",HSI!$C$8))</f>
        <v/>
      </c>
      <c r="D14" s="101">
        <f>BDH($C14,NDE_FIELD,"-5AY","","Per=Y","cols=2;rows=5")</f>
        <v/>
      </c>
      <c r="E14" s="102" t="n"/>
      <c r="G14" s="101">
        <f>BQL($C14,BUYBACK_QUERY,$C$4,"fill=prev","showheaders=f","showids=f")</f>
        <v/>
      </c>
      <c r="H14" s="102" t="n"/>
    </row>
    <row r="15">
      <c r="D15" s="99" t="n"/>
      <c r="E15" s="102" t="n"/>
      <c r="G15" s="99" t="n"/>
      <c r="H15" s="102" t="n"/>
    </row>
    <row r="16">
      <c r="D16" s="99" t="n"/>
      <c r="E16" s="102" t="n"/>
      <c r="G16" s="99" t="n"/>
      <c r="H16" s="102" t="n"/>
    </row>
    <row r="17">
      <c r="D17" s="99" t="n"/>
      <c r="E17" s="102" t="n"/>
      <c r="G17" s="99" t="n"/>
      <c r="H17" s="102" t="n"/>
    </row>
    <row r="18">
      <c r="D18" s="99" t="n"/>
      <c r="E18" s="102" t="n"/>
      <c r="G18" s="99" t="n"/>
      <c r="H18" s="102" t="n"/>
    </row>
    <row r="20">
      <c r="B20" s="2">
        <f>IF(HSI!$C$9="","",HSI!$C$9)</f>
        <v/>
      </c>
      <c r="C20" s="2">
        <f>IF(PULL_FUND="N","",IF(HSI!$C$9="","",HSI!$C$9))</f>
        <v/>
      </c>
      <c r="D20" s="101">
        <f>BDH($C20,NDE_FIELD,"-5AY","","Per=Y","cols=2;rows=5")</f>
        <v/>
      </c>
      <c r="E20" s="102" t="n"/>
      <c r="G20" s="101">
        <f>BQL($C20,BUYBACK_QUERY,$C$4,"fill=prev","showheaders=f","showids=f")</f>
        <v/>
      </c>
      <c r="H20" s="102" t="n"/>
    </row>
    <row r="21">
      <c r="D21" s="99" t="n"/>
      <c r="E21" s="102" t="n"/>
      <c r="G21" s="99" t="n"/>
      <c r="H21" s="102" t="n"/>
    </row>
    <row r="22">
      <c r="D22" s="99" t="n"/>
      <c r="E22" s="102" t="n"/>
      <c r="G22" s="99" t="n"/>
      <c r="H22" s="102" t="n"/>
    </row>
    <row r="23">
      <c r="D23" s="99" t="n"/>
      <c r="E23" s="102" t="n"/>
      <c r="G23" s="99" t="n"/>
      <c r="H23" s="102" t="n"/>
    </row>
    <row r="24">
      <c r="D24" s="99" t="n"/>
      <c r="E24" s="102" t="n"/>
      <c r="G24" s="99" t="n"/>
      <c r="H24" s="102" t="n"/>
    </row>
    <row r="26">
      <c r="B26" s="2">
        <f>IF(HSI!$C$10="","",HSI!$C$10)</f>
        <v/>
      </c>
      <c r="C26" s="2">
        <f>IF(PULL_FUND="N","",IF(HSI!$C$10="","",HSI!$C$10))</f>
        <v/>
      </c>
      <c r="D26" s="101">
        <f>BDH($C26,NDE_FIELD,"-5AY","","Per=Y","cols=2;rows=5")</f>
        <v/>
      </c>
      <c r="E26" s="102" t="n"/>
      <c r="G26" s="101">
        <f>BQL($C26,BUYBACK_QUERY,$C$4,"fill=prev","showheaders=f","showids=f")</f>
        <v/>
      </c>
      <c r="H26" s="102" t="n"/>
    </row>
    <row r="27">
      <c r="D27" s="99" t="n"/>
      <c r="E27" s="102" t="n"/>
      <c r="G27" s="99" t="n"/>
      <c r="H27" s="102" t="n"/>
    </row>
    <row r="28">
      <c r="D28" s="99" t="n"/>
      <c r="E28" s="102" t="n"/>
      <c r="G28" s="99" t="n"/>
      <c r="H28" s="102" t="n"/>
    </row>
    <row r="29">
      <c r="D29" s="99" t="n"/>
      <c r="E29" s="102" t="n"/>
      <c r="G29" s="99" t="n"/>
      <c r="H29" s="102" t="n"/>
    </row>
    <row r="30">
      <c r="D30" s="99" t="n"/>
      <c r="E30" s="102" t="n"/>
      <c r="G30" s="99" t="n"/>
      <c r="H30" s="102" t="n"/>
    </row>
    <row r="32">
      <c r="B32" s="2">
        <f>IF(HSI!$C$11="","",HSI!$C$11)</f>
        <v/>
      </c>
      <c r="C32" s="2">
        <f>IF(PULL_FUND="N","",IF(HSI!$C$11="","",HSI!$C$11))</f>
        <v/>
      </c>
      <c r="D32" s="101">
        <f>BDH($C32,NDE_FIELD,"-5AY","","Per=Y","cols=2;rows=5")</f>
        <v/>
      </c>
      <c r="E32" s="102" t="n"/>
      <c r="G32" s="101">
        <f>BQL($C32,BUYBACK_QUERY,$C$4,"fill=prev","showheaders=f","showids=f")</f>
        <v/>
      </c>
      <c r="H32" s="102" t="n"/>
    </row>
    <row r="33">
      <c r="D33" s="99" t="n"/>
      <c r="E33" s="102" t="n"/>
      <c r="G33" s="99" t="n"/>
      <c r="H33" s="102" t="n"/>
    </row>
    <row r="34">
      <c r="D34" s="99" t="n"/>
      <c r="E34" s="102" t="n"/>
      <c r="G34" s="99" t="n"/>
      <c r="H34" s="102" t="n"/>
    </row>
    <row r="35">
      <c r="D35" s="99" t="n"/>
      <c r="E35" s="102" t="n"/>
      <c r="G35" s="99" t="n"/>
      <c r="H35" s="102" t="n"/>
    </row>
    <row r="36">
      <c r="D36" s="99" t="n"/>
      <c r="E36" s="102" t="n"/>
      <c r="G36" s="99" t="n"/>
      <c r="H36" s="102" t="n"/>
    </row>
    <row r="38">
      <c r="B38" s="2">
        <f>IF(HSI!$C$12="","",HSI!$C$12)</f>
        <v/>
      </c>
      <c r="C38" s="2">
        <f>IF(PULL_FUND="N","",IF(HSI!$C$12="","",HSI!$C$12))</f>
        <v/>
      </c>
      <c r="D38" s="101">
        <f>BDH($C38,NDE_FIELD,"-5AY","","Per=Y","cols=2;rows=5")</f>
        <v/>
      </c>
      <c r="E38" s="102" t="n"/>
      <c r="G38" s="101">
        <f>BQL($C38,BUYBACK_QUERY,$C$4,"fill=prev","showheaders=f","showids=f")</f>
        <v/>
      </c>
      <c r="H38" s="102" t="n"/>
    </row>
    <row r="39">
      <c r="D39" s="99" t="n"/>
      <c r="E39" s="102" t="n"/>
      <c r="G39" s="99" t="n"/>
      <c r="H39" s="102" t="n"/>
    </row>
    <row r="40">
      <c r="D40" s="99" t="n"/>
      <c r="E40" s="102" t="n"/>
      <c r="G40" s="99" t="n"/>
      <c r="H40" s="102" t="n"/>
    </row>
    <row r="41">
      <c r="D41" s="99" t="n"/>
      <c r="E41" s="102" t="n"/>
      <c r="G41" s="99" t="n"/>
      <c r="H41" s="102" t="n"/>
    </row>
    <row r="42">
      <c r="D42" s="99" t="n"/>
      <c r="E42" s="102" t="n"/>
      <c r="G42" s="99" t="n"/>
      <c r="H42" s="102" t="n"/>
    </row>
    <row r="44">
      <c r="B44" s="2">
        <f>IF(HSI!$C$13="","",HSI!$C$13)</f>
        <v/>
      </c>
      <c r="C44" s="2">
        <f>IF(PULL_FUND="N","",IF(HSI!$C$13="","",HSI!$C$13))</f>
        <v/>
      </c>
      <c r="D44" s="101">
        <f>BDH($C44,NDE_FIELD,"-5AY","","Per=Y","cols=2;rows=5")</f>
        <v/>
      </c>
      <c r="E44" s="102" t="n"/>
      <c r="G44" s="101">
        <f>BQL($C44,BUYBACK_QUERY,$C$4,"fill=prev","showheaders=f","showids=f")</f>
        <v/>
      </c>
      <c r="H44" s="102" t="n"/>
    </row>
    <row r="45">
      <c r="D45" s="99" t="n"/>
      <c r="E45" s="102" t="n"/>
      <c r="G45" s="99" t="n"/>
      <c r="H45" s="102" t="n"/>
    </row>
    <row r="46">
      <c r="D46" s="99" t="n"/>
      <c r="E46" s="102" t="n"/>
      <c r="G46" s="99" t="n"/>
      <c r="H46" s="102" t="n"/>
    </row>
    <row r="47">
      <c r="D47" s="99" t="n"/>
      <c r="E47" s="102" t="n"/>
      <c r="G47" s="99" t="n"/>
      <c r="H47" s="102" t="n"/>
    </row>
    <row r="48">
      <c r="D48" s="99" t="n"/>
      <c r="E48" s="102" t="n"/>
      <c r="G48" s="99" t="n"/>
      <c r="H48" s="102" t="n"/>
    </row>
    <row r="50">
      <c r="B50" s="2">
        <f>IF(HSI!$C$14="","",HSI!$C$14)</f>
        <v/>
      </c>
      <c r="C50" s="2">
        <f>IF(PULL_FUND="N","",IF(HSI!$C$14="","",HSI!$C$14))</f>
        <v/>
      </c>
      <c r="D50" s="101">
        <f>BDH($C50,NDE_FIELD,"-5AY","","Per=Y","cols=2;rows=5")</f>
        <v/>
      </c>
      <c r="E50" s="102" t="n"/>
      <c r="G50" s="101">
        <f>BQL($C50,BUYBACK_QUERY,$C$4,"fill=prev","showheaders=f","showids=f")</f>
        <v/>
      </c>
      <c r="H50" s="102" t="n"/>
    </row>
    <row r="51">
      <c r="D51" s="99" t="n"/>
      <c r="E51" s="102" t="n"/>
      <c r="G51" s="99" t="n"/>
      <c r="H51" s="102" t="n"/>
    </row>
    <row r="52">
      <c r="D52" s="99" t="n"/>
      <c r="E52" s="102" t="n"/>
      <c r="G52" s="99" t="n"/>
      <c r="H52" s="102" t="n"/>
    </row>
    <row r="53">
      <c r="D53" s="99" t="n"/>
      <c r="E53" s="102" t="n"/>
      <c r="G53" s="99" t="n"/>
      <c r="H53" s="102" t="n"/>
    </row>
    <row r="54">
      <c r="D54" s="99" t="n"/>
      <c r="E54" s="102" t="n"/>
      <c r="G54" s="99" t="n"/>
      <c r="H54" s="102" t="n"/>
    </row>
    <row r="56">
      <c r="B56" s="2">
        <f>IF(HSI!$C$15="","",HSI!$C$15)</f>
        <v/>
      </c>
      <c r="C56" s="2">
        <f>IF(PULL_FUND="N","",IF(HSI!$C$15="","",HSI!$C$15))</f>
        <v/>
      </c>
      <c r="D56" s="101">
        <f>BDH($C56,NDE_FIELD,"-5AY","","Per=Y","cols=2;rows=5")</f>
        <v/>
      </c>
      <c r="E56" s="102" t="n"/>
      <c r="G56" s="101">
        <f>BQL($C56,BUYBACK_QUERY,$C$4,"fill=prev","showheaders=f","showids=f")</f>
        <v/>
      </c>
      <c r="H56" s="102" t="n"/>
    </row>
    <row r="57">
      <c r="D57" s="99" t="n"/>
      <c r="E57" s="102" t="n"/>
      <c r="G57" s="99" t="n"/>
      <c r="H57" s="102" t="n"/>
    </row>
    <row r="58">
      <c r="D58" s="99" t="n"/>
      <c r="E58" s="102" t="n"/>
      <c r="G58" s="99" t="n"/>
      <c r="H58" s="102" t="n"/>
    </row>
    <row r="59">
      <c r="D59" s="99" t="n"/>
      <c r="E59" s="102" t="n"/>
      <c r="G59" s="99" t="n"/>
      <c r="H59" s="102" t="n"/>
    </row>
    <row r="60">
      <c r="D60" s="99" t="n"/>
      <c r="E60" s="102" t="n"/>
      <c r="G60" s="99" t="n"/>
      <c r="H60" s="102" t="n"/>
    </row>
    <row r="62">
      <c r="B62" s="2">
        <f>IF(HSI!$C$16="","",HSI!$C$16)</f>
        <v/>
      </c>
      <c r="C62" s="2">
        <f>IF(PULL_FUND="N","",IF(HSI!$C$16="","",HSI!$C$16))</f>
        <v/>
      </c>
      <c r="D62" s="101">
        <f>BDH($C62,NDE_FIELD,"-5AY","","Per=Y","cols=2;rows=5")</f>
        <v/>
      </c>
      <c r="E62" s="102" t="n"/>
      <c r="G62" s="101">
        <f>BQL($C62,BUYBACK_QUERY,$C$4,"fill=prev","showheaders=f","showids=f")</f>
        <v/>
      </c>
      <c r="H62" s="102" t="n"/>
    </row>
    <row r="63">
      <c r="D63" s="99" t="n"/>
      <c r="E63" s="102" t="n"/>
      <c r="G63" s="99" t="n"/>
      <c r="H63" s="102" t="n"/>
    </row>
    <row r="64">
      <c r="D64" s="99" t="n"/>
      <c r="E64" s="102" t="n"/>
      <c r="G64" s="99" t="n"/>
      <c r="H64" s="102" t="n"/>
    </row>
    <row r="65">
      <c r="D65" s="99" t="n"/>
      <c r="E65" s="102" t="n"/>
      <c r="G65" s="99" t="n"/>
      <c r="H65" s="102" t="n"/>
    </row>
    <row r="66">
      <c r="D66" s="99" t="n"/>
      <c r="E66" s="102" t="n"/>
      <c r="G66" s="99" t="n"/>
      <c r="H66" s="102" t="n"/>
    </row>
    <row r="68">
      <c r="B68" s="2">
        <f>IF(HSI!$C$17="","",HSI!$C$17)</f>
        <v/>
      </c>
      <c r="C68" s="2">
        <f>IF(PULL_FUND="N","",IF(HSI!$C$17="","",HSI!$C$17))</f>
        <v/>
      </c>
      <c r="D68" s="101">
        <f>BDH($C68,NDE_FIELD,"-5AY","","Per=Y","cols=2;rows=5")</f>
        <v/>
      </c>
      <c r="E68" s="102" t="n"/>
      <c r="G68" s="101">
        <f>BQL($C68,BUYBACK_QUERY,$C$4,"fill=prev","showheaders=f","showids=f")</f>
        <v/>
      </c>
      <c r="H68" s="102" t="n"/>
    </row>
    <row r="69">
      <c r="D69" s="99" t="n"/>
      <c r="E69" s="102" t="n"/>
      <c r="G69" s="99" t="n"/>
      <c r="H69" s="102" t="n"/>
    </row>
    <row r="70">
      <c r="D70" s="99" t="n"/>
      <c r="E70" s="102" t="n"/>
      <c r="G70" s="99" t="n"/>
      <c r="H70" s="102" t="n"/>
    </row>
    <row r="71">
      <c r="D71" s="99" t="n"/>
      <c r="E71" s="102" t="n"/>
      <c r="G71" s="99" t="n"/>
      <c r="H71" s="102" t="n"/>
    </row>
    <row r="72">
      <c r="D72" s="99" t="n"/>
      <c r="E72" s="102" t="n"/>
      <c r="G72" s="99" t="n"/>
      <c r="H72" s="102" t="n"/>
    </row>
    <row r="74">
      <c r="B74" s="2">
        <f>IF(HSI!$C$18="","",HSI!$C$18)</f>
        <v/>
      </c>
      <c r="C74" s="2">
        <f>IF(PULL_FUND="N","",IF(HSI!$C$18="","",HSI!$C$18))</f>
        <v/>
      </c>
      <c r="D74" s="101">
        <f>BDH($C74,NDE_FIELD,"-5AY","","Per=Y","cols=2;rows=5")</f>
        <v/>
      </c>
      <c r="E74" s="102" t="n"/>
      <c r="G74" s="101">
        <f>BQL($C74,BUYBACK_QUERY,$C$4,"fill=prev","showheaders=f","showids=f")</f>
        <v/>
      </c>
      <c r="H74" s="102" t="n"/>
    </row>
    <row r="75">
      <c r="D75" s="99" t="n"/>
      <c r="E75" s="102" t="n"/>
      <c r="G75" s="99" t="n"/>
      <c r="H75" s="102" t="n"/>
    </row>
    <row r="76">
      <c r="D76" s="99" t="n"/>
      <c r="E76" s="102" t="n"/>
      <c r="G76" s="99" t="n"/>
      <c r="H76" s="102" t="n"/>
    </row>
    <row r="77">
      <c r="D77" s="99" t="n"/>
      <c r="E77" s="102" t="n"/>
      <c r="G77" s="99" t="n"/>
      <c r="H77" s="102" t="n"/>
    </row>
    <row r="78">
      <c r="D78" s="99" t="n"/>
      <c r="E78" s="102" t="n"/>
      <c r="G78" s="99" t="n"/>
      <c r="H78" s="102" t="n"/>
    </row>
    <row r="80">
      <c r="B80" s="2">
        <f>IF(HSI!$C$19="","",HSI!$C$19)</f>
        <v/>
      </c>
      <c r="C80" s="2">
        <f>IF(PULL_FUND="N","",IF(HSI!$C$19="","",HSI!$C$19))</f>
        <v/>
      </c>
      <c r="D80" s="101">
        <f>BDH($C80,NDE_FIELD,"-5AY","","Per=Y","cols=2;rows=5")</f>
        <v/>
      </c>
      <c r="E80" s="102" t="n"/>
      <c r="G80" s="101">
        <f>BQL($C80,BUYBACK_QUERY,$C$4,"fill=prev","showheaders=f","showids=f")</f>
        <v/>
      </c>
      <c r="H80" s="102" t="n"/>
    </row>
    <row r="81">
      <c r="D81" s="99" t="n"/>
      <c r="E81" s="102" t="n"/>
      <c r="G81" s="99" t="n"/>
      <c r="H81" s="102" t="n"/>
    </row>
    <row r="82">
      <c r="D82" s="99" t="n"/>
      <c r="E82" s="102" t="n"/>
      <c r="G82" s="99" t="n"/>
      <c r="H82" s="102" t="n"/>
    </row>
    <row r="83">
      <c r="D83" s="99" t="n"/>
      <c r="E83" s="102" t="n"/>
      <c r="G83" s="99" t="n"/>
      <c r="H83" s="102" t="n"/>
    </row>
    <row r="84">
      <c r="D84" s="99" t="n"/>
      <c r="E84" s="102" t="n"/>
      <c r="G84" s="99" t="n"/>
      <c r="H84" s="102" t="n"/>
    </row>
    <row r="86">
      <c r="B86" s="2">
        <f>IF(HSI!$C$20="","",HSI!$C$20)</f>
        <v/>
      </c>
      <c r="C86" s="2">
        <f>IF(PULL_FUND="N","",IF(HSI!$C$20="","",HSI!$C$20))</f>
        <v/>
      </c>
      <c r="D86" s="101">
        <f>BDH($C86,NDE_FIELD,"-5AY","","Per=Y","cols=2;rows=5")</f>
        <v/>
      </c>
      <c r="E86" s="102" t="n"/>
      <c r="G86" s="101">
        <f>BQL($C86,BUYBACK_QUERY,$C$4,"fill=prev","showheaders=f","showids=f")</f>
        <v/>
      </c>
      <c r="H86" s="102" t="n"/>
    </row>
    <row r="87">
      <c r="D87" s="99" t="n"/>
      <c r="E87" s="102" t="n"/>
      <c r="G87" s="99" t="n"/>
      <c r="H87" s="102" t="n"/>
    </row>
    <row r="88">
      <c r="D88" s="99" t="n"/>
      <c r="E88" s="102" t="n"/>
      <c r="G88" s="99" t="n"/>
      <c r="H88" s="102" t="n"/>
    </row>
    <row r="89">
      <c r="D89" s="99" t="n"/>
      <c r="E89" s="102" t="n"/>
      <c r="G89" s="99" t="n"/>
      <c r="H89" s="102" t="n"/>
    </row>
    <row r="90">
      <c r="D90" s="99" t="n"/>
      <c r="E90" s="102" t="n"/>
      <c r="G90" s="99" t="n"/>
      <c r="H90" s="102" t="n"/>
    </row>
    <row r="92">
      <c r="B92" s="2">
        <f>IF(HSI!$C$21="","",HSI!$C$21)</f>
        <v/>
      </c>
      <c r="C92" s="2">
        <f>IF(PULL_FUND="N","",IF(HSI!$C$21="","",HSI!$C$21))</f>
        <v/>
      </c>
      <c r="D92" s="101">
        <f>BDH($C92,NDE_FIELD,"-5AY","","Per=Y","cols=2;rows=5")</f>
        <v/>
      </c>
      <c r="E92" s="102" t="n"/>
      <c r="G92" s="101">
        <f>BQL($C92,BUYBACK_QUERY,$C$4,"fill=prev","showheaders=f","showids=f")</f>
        <v/>
      </c>
      <c r="H92" s="102" t="n"/>
    </row>
    <row r="93">
      <c r="D93" s="99" t="n"/>
      <c r="E93" s="102" t="n"/>
      <c r="G93" s="99" t="n"/>
      <c r="H93" s="102" t="n"/>
    </row>
    <row r="94">
      <c r="D94" s="99" t="n"/>
      <c r="E94" s="102" t="n"/>
      <c r="G94" s="99" t="n"/>
      <c r="H94" s="102" t="n"/>
    </row>
    <row r="95">
      <c r="D95" s="99" t="n"/>
      <c r="E95" s="102" t="n"/>
      <c r="G95" s="99" t="n"/>
      <c r="H95" s="102" t="n"/>
    </row>
    <row r="96">
      <c r="D96" s="99" t="n"/>
      <c r="E96" s="102" t="n"/>
      <c r="G96" s="99" t="n"/>
      <c r="H96" s="102" t="n"/>
    </row>
    <row r="98">
      <c r="B98" s="2">
        <f>IF(HSI!$C$22="","",HSI!$C$22)</f>
        <v/>
      </c>
      <c r="C98" s="2">
        <f>IF(PULL_FUND="N","",IF(HSI!$C$22="","",HSI!$C$22))</f>
        <v/>
      </c>
      <c r="D98" s="101">
        <f>BDH($C98,NDE_FIELD,"-5AY","","Per=Y","cols=2;rows=5")</f>
        <v/>
      </c>
      <c r="E98" s="102" t="n"/>
      <c r="G98" s="101">
        <f>BQL($C98,BUYBACK_QUERY,$C$4,"fill=prev","showheaders=f","showids=f")</f>
        <v/>
      </c>
      <c r="H98" s="102" t="n"/>
    </row>
    <row r="99">
      <c r="D99" s="99" t="n"/>
      <c r="E99" s="102" t="n"/>
      <c r="G99" s="99" t="n"/>
      <c r="H99" s="102" t="n"/>
    </row>
    <row r="100">
      <c r="D100" s="99" t="n"/>
      <c r="E100" s="102" t="n"/>
      <c r="G100" s="99" t="n"/>
      <c r="H100" s="102" t="n"/>
    </row>
    <row r="101">
      <c r="D101" s="99" t="n"/>
      <c r="E101" s="102" t="n"/>
      <c r="G101" s="99" t="n"/>
      <c r="H101" s="102" t="n"/>
    </row>
    <row r="102">
      <c r="D102" s="99" t="n"/>
      <c r="E102" s="102" t="n"/>
      <c r="G102" s="99" t="n"/>
      <c r="H102" s="102" t="n"/>
    </row>
    <row r="104">
      <c r="B104" s="2">
        <f>IF(HSI!$C$23="","",HSI!$C$23)</f>
        <v/>
      </c>
      <c r="C104" s="2">
        <f>IF(PULL_FUND="N","",IF(HSI!$C$23="","",HSI!$C$23))</f>
        <v/>
      </c>
      <c r="D104" s="101">
        <f>BDH($C104,NDE_FIELD,"-5AY","","Per=Y","cols=2;rows=5")</f>
        <v/>
      </c>
      <c r="E104" s="102" t="n"/>
      <c r="G104" s="101">
        <f>BQL($C104,BUYBACK_QUERY,$C$4,"fill=prev","showheaders=f","showids=f")</f>
        <v/>
      </c>
      <c r="H104" s="102" t="n"/>
    </row>
    <row r="105">
      <c r="D105" s="99" t="n"/>
      <c r="E105" s="102" t="n"/>
      <c r="G105" s="99" t="n"/>
      <c r="H105" s="102" t="n"/>
    </row>
    <row r="106">
      <c r="D106" s="99" t="n"/>
      <c r="E106" s="102" t="n"/>
      <c r="G106" s="99" t="n"/>
      <c r="H106" s="102" t="n"/>
    </row>
    <row r="107">
      <c r="D107" s="99" t="n"/>
      <c r="E107" s="102" t="n"/>
      <c r="G107" s="99" t="n"/>
      <c r="H107" s="102" t="n"/>
    </row>
    <row r="108">
      <c r="D108" s="99" t="n"/>
      <c r="E108" s="102" t="n"/>
      <c r="G108" s="99" t="n"/>
      <c r="H108" s="102" t="n"/>
    </row>
    <row r="110">
      <c r="B110" s="2">
        <f>IF(HSI!$C$24="","",HSI!$C$24)</f>
        <v/>
      </c>
      <c r="C110" s="2">
        <f>IF(PULL_FUND="N","",IF(HSI!$C$24="","",HSI!$C$24))</f>
        <v/>
      </c>
      <c r="D110" s="101">
        <f>BDH($C110,NDE_FIELD,"-5AY","","Per=Y","cols=2;rows=5")</f>
        <v/>
      </c>
      <c r="E110" s="102" t="n"/>
      <c r="G110" s="101">
        <f>BQL($C110,BUYBACK_QUERY,$C$4,"fill=prev","showheaders=f","showids=f")</f>
        <v/>
      </c>
      <c r="H110" s="102" t="n"/>
    </row>
    <row r="111">
      <c r="D111" s="99" t="n"/>
      <c r="E111" s="102" t="n"/>
      <c r="G111" s="99" t="n"/>
      <c r="H111" s="102" t="n"/>
    </row>
    <row r="112">
      <c r="D112" s="99" t="n"/>
      <c r="E112" s="102" t="n"/>
      <c r="G112" s="99" t="n"/>
      <c r="H112" s="102" t="n"/>
    </row>
    <row r="113">
      <c r="D113" s="99" t="n"/>
      <c r="E113" s="102" t="n"/>
      <c r="G113" s="99" t="n"/>
      <c r="H113" s="102" t="n"/>
    </row>
    <row r="114">
      <c r="D114" s="99" t="n"/>
      <c r="E114" s="102" t="n"/>
      <c r="G114" s="99" t="n"/>
      <c r="H114" s="102" t="n"/>
    </row>
    <row r="116">
      <c r="B116" s="2">
        <f>IF(HSI!$C$25="","",HSI!$C$25)</f>
        <v/>
      </c>
      <c r="C116" s="2">
        <f>IF(PULL_FUND="N","",IF(HSI!$C$25="","",HSI!$C$25))</f>
        <v/>
      </c>
      <c r="D116" s="101">
        <f>BDH($C116,NDE_FIELD,"-5AY","","Per=Y","cols=2;rows=5")</f>
        <v/>
      </c>
      <c r="E116" s="102" t="n"/>
      <c r="G116" s="101">
        <f>BQL($C116,BUYBACK_QUERY,$C$4,"fill=prev","showheaders=f","showids=f")</f>
        <v/>
      </c>
      <c r="H116" s="102" t="n"/>
    </row>
    <row r="117">
      <c r="D117" s="99" t="n"/>
      <c r="E117" s="102" t="n"/>
      <c r="G117" s="99" t="n"/>
      <c r="H117" s="102" t="n"/>
    </row>
    <row r="118">
      <c r="D118" s="99" t="n"/>
      <c r="E118" s="102" t="n"/>
      <c r="G118" s="99" t="n"/>
      <c r="H118" s="102" t="n"/>
    </row>
    <row r="119">
      <c r="D119" s="99" t="n"/>
      <c r="E119" s="102" t="n"/>
      <c r="G119" s="99" t="n"/>
      <c r="H119" s="102" t="n"/>
    </row>
    <row r="120">
      <c r="D120" s="99" t="n"/>
      <c r="E120" s="102" t="n"/>
      <c r="G120" s="99" t="n"/>
      <c r="H120" s="102" t="n"/>
    </row>
    <row r="122">
      <c r="B122" s="2">
        <f>IF(HSI!$C$26="","",HSI!$C$26)</f>
        <v/>
      </c>
      <c r="C122" s="2">
        <f>IF(PULL_FUND="N","",IF(HSI!$C$26="","",HSI!$C$26))</f>
        <v/>
      </c>
      <c r="D122" s="101">
        <f>BDH($C122,NDE_FIELD,"-5AY","","Per=Y","cols=2;rows=5")</f>
        <v/>
      </c>
      <c r="E122" s="102" t="n"/>
      <c r="G122" s="101">
        <f>BQL($C122,BUYBACK_QUERY,$C$4,"fill=prev","showheaders=f","showids=f")</f>
        <v/>
      </c>
      <c r="H122" s="102" t="n"/>
    </row>
    <row r="123">
      <c r="D123" s="99" t="n"/>
      <c r="E123" s="102" t="n"/>
      <c r="G123" s="99" t="n"/>
      <c r="H123" s="102" t="n"/>
    </row>
    <row r="124">
      <c r="D124" s="99" t="n"/>
      <c r="E124" s="102" t="n"/>
      <c r="G124" s="99" t="n"/>
      <c r="H124" s="102" t="n"/>
    </row>
    <row r="125">
      <c r="D125" s="99" t="n"/>
      <c r="E125" s="102" t="n"/>
      <c r="G125" s="99" t="n"/>
      <c r="H125" s="102" t="n"/>
    </row>
    <row r="126">
      <c r="D126" s="99" t="n"/>
      <c r="E126" s="102" t="n"/>
      <c r="G126" s="99" t="n"/>
      <c r="H126" s="102" t="n"/>
    </row>
    <row r="128">
      <c r="B128" s="2">
        <f>IF(HSI!$C$27="","",HSI!$C$27)</f>
        <v/>
      </c>
      <c r="C128" s="2">
        <f>IF(PULL_FUND="N","",IF(HSI!$C$27="","",HSI!$C$27))</f>
        <v/>
      </c>
      <c r="D128" s="101">
        <f>BDH($C128,NDE_FIELD,"-5AY","","Per=Y","cols=2;rows=5")</f>
        <v/>
      </c>
      <c r="E128" s="102" t="n"/>
      <c r="G128" s="101">
        <f>BQL($C128,BUYBACK_QUERY,$C$4,"fill=prev","showheaders=f","showids=f")</f>
        <v/>
      </c>
      <c r="H128" s="102" t="n"/>
    </row>
    <row r="129">
      <c r="D129" s="99" t="n"/>
      <c r="E129" s="102" t="n"/>
      <c r="G129" s="99" t="n"/>
      <c r="H129" s="102" t="n"/>
    </row>
    <row r="130">
      <c r="D130" s="99" t="n"/>
      <c r="E130" s="102" t="n"/>
      <c r="G130" s="99" t="n"/>
      <c r="H130" s="102" t="n"/>
    </row>
    <row r="131">
      <c r="D131" s="99" t="n"/>
      <c r="E131" s="102" t="n"/>
      <c r="G131" s="99" t="n"/>
      <c r="H131" s="102" t="n"/>
    </row>
    <row r="132">
      <c r="D132" s="99" t="n"/>
      <c r="E132" s="102" t="n"/>
      <c r="G132" s="99" t="n"/>
      <c r="H132" s="102" t="n"/>
    </row>
    <row r="134">
      <c r="B134" s="2">
        <f>IF(HSI!$C$28="","",HSI!$C$28)</f>
        <v/>
      </c>
      <c r="C134" s="2">
        <f>IF(PULL_FUND="N","",IF(HSI!$C$28="","",HSI!$C$28))</f>
        <v/>
      </c>
      <c r="D134" s="101">
        <f>BDH($C134,NDE_FIELD,"-5AY","","Per=Y","cols=2;rows=5")</f>
        <v/>
      </c>
      <c r="E134" s="102" t="n"/>
      <c r="G134" s="101">
        <f>BQL($C134,BUYBACK_QUERY,$C$4,"fill=prev","showheaders=f","showids=f")</f>
        <v/>
      </c>
      <c r="H134" s="102" t="n"/>
    </row>
    <row r="135">
      <c r="D135" s="99" t="n"/>
      <c r="E135" s="102" t="n"/>
      <c r="G135" s="99" t="n"/>
      <c r="H135" s="102" t="n"/>
    </row>
    <row r="136">
      <c r="D136" s="99" t="n"/>
      <c r="E136" s="102" t="n"/>
      <c r="G136" s="99" t="n"/>
      <c r="H136" s="102" t="n"/>
    </row>
    <row r="137">
      <c r="D137" s="99" t="n"/>
      <c r="E137" s="102" t="n"/>
      <c r="G137" s="99" t="n"/>
      <c r="H137" s="102" t="n"/>
    </row>
    <row r="138">
      <c r="D138" s="99" t="n"/>
      <c r="E138" s="102" t="n"/>
      <c r="G138" s="99" t="n"/>
      <c r="H138" s="102" t="n"/>
    </row>
    <row r="140">
      <c r="B140" s="2">
        <f>IF(HSI!$C$29="","",HSI!$C$29)</f>
        <v/>
      </c>
      <c r="C140" s="2">
        <f>IF(PULL_FUND="N","",IF(HSI!$C$29="","",HSI!$C$29))</f>
        <v/>
      </c>
      <c r="D140" s="101">
        <f>BDH($C140,NDE_FIELD,"-5AY","","Per=Y","cols=2;rows=5")</f>
        <v/>
      </c>
      <c r="E140" s="102" t="n"/>
      <c r="G140" s="101">
        <f>BQL($C140,BUYBACK_QUERY,$C$4,"fill=prev","showheaders=f","showids=f")</f>
        <v/>
      </c>
      <c r="H140" s="102" t="n"/>
    </row>
    <row r="141">
      <c r="D141" s="99" t="n"/>
      <c r="E141" s="102" t="n"/>
      <c r="G141" s="99" t="n"/>
      <c r="H141" s="102" t="n"/>
    </row>
    <row r="142">
      <c r="D142" s="99" t="n"/>
      <c r="E142" s="102" t="n"/>
      <c r="G142" s="99" t="n"/>
      <c r="H142" s="102" t="n"/>
    </row>
    <row r="143">
      <c r="D143" s="99" t="n"/>
      <c r="E143" s="102" t="n"/>
      <c r="G143" s="99" t="n"/>
      <c r="H143" s="102" t="n"/>
    </row>
    <row r="144">
      <c r="D144" s="99" t="n"/>
      <c r="E144" s="102" t="n"/>
      <c r="G144" s="99" t="n"/>
      <c r="H144" s="102" t="n"/>
    </row>
    <row r="146">
      <c r="B146" s="2">
        <f>IF(HSI!$C$30="","",HSI!$C$30)</f>
        <v/>
      </c>
      <c r="C146" s="2">
        <f>IF(PULL_FUND="N","",IF(HSI!$C$30="","",HSI!$C$30))</f>
        <v/>
      </c>
      <c r="D146" s="101">
        <f>BDH($C146,NDE_FIELD,"-5AY","","Per=Y","cols=2;rows=5")</f>
        <v/>
      </c>
      <c r="E146" s="102" t="n"/>
      <c r="G146" s="101">
        <f>BQL($C146,BUYBACK_QUERY,$C$4,"fill=prev","showheaders=f","showids=f")</f>
        <v/>
      </c>
      <c r="H146" s="102" t="n"/>
    </row>
    <row r="147">
      <c r="D147" s="99" t="n"/>
      <c r="E147" s="102" t="n"/>
      <c r="G147" s="99" t="n"/>
      <c r="H147" s="102" t="n"/>
    </row>
    <row r="148">
      <c r="D148" s="99" t="n"/>
      <c r="E148" s="102" t="n"/>
      <c r="G148" s="99" t="n"/>
      <c r="H148" s="102" t="n"/>
    </row>
    <row r="149">
      <c r="D149" s="99" t="n"/>
      <c r="E149" s="102" t="n"/>
      <c r="G149" s="99" t="n"/>
      <c r="H149" s="102" t="n"/>
    </row>
    <row r="150">
      <c r="D150" s="99" t="n"/>
      <c r="E150" s="102" t="n"/>
      <c r="G150" s="99" t="n"/>
      <c r="H150" s="102" t="n"/>
    </row>
    <row r="152">
      <c r="B152" s="2">
        <f>IF(HSI!$C$31="","",HSI!$C$31)</f>
        <v/>
      </c>
      <c r="C152" s="2">
        <f>IF(PULL_FUND="N","",IF(HSI!$C$31="","",HSI!$C$31))</f>
        <v/>
      </c>
      <c r="D152" s="101">
        <f>BDH($C152,NDE_FIELD,"-5AY","","Per=Y","cols=2;rows=5")</f>
        <v/>
      </c>
      <c r="E152" s="102" t="n"/>
      <c r="G152" s="101">
        <f>BQL($C152,BUYBACK_QUERY,$C$4,"fill=prev","showheaders=f","showids=f")</f>
        <v/>
      </c>
      <c r="H152" s="102" t="n"/>
    </row>
    <row r="153">
      <c r="D153" s="99" t="n"/>
      <c r="E153" s="102" t="n"/>
      <c r="G153" s="99" t="n"/>
      <c r="H153" s="102" t="n"/>
    </row>
    <row r="154">
      <c r="D154" s="99" t="n"/>
      <c r="E154" s="102" t="n"/>
      <c r="G154" s="99" t="n"/>
      <c r="H154" s="102" t="n"/>
    </row>
    <row r="155">
      <c r="D155" s="99" t="n"/>
      <c r="E155" s="102" t="n"/>
      <c r="G155" s="99" t="n"/>
      <c r="H155" s="102" t="n"/>
    </row>
    <row r="156">
      <c r="D156" s="99" t="n"/>
      <c r="E156" s="102" t="n"/>
      <c r="G156" s="99" t="n"/>
      <c r="H156" s="102" t="n"/>
    </row>
    <row r="158">
      <c r="B158" s="2">
        <f>IF(HSI!$C$32="","",HSI!$C$32)</f>
        <v/>
      </c>
      <c r="C158" s="2">
        <f>IF(PULL_FUND="N","",IF(HSI!$C$32="","",HSI!$C$32))</f>
        <v/>
      </c>
      <c r="D158" s="101">
        <f>BDH($C158,NDE_FIELD,"-5AY","","Per=Y","cols=2;rows=5")</f>
        <v/>
      </c>
      <c r="E158" s="102" t="n"/>
      <c r="G158" s="101">
        <f>BQL($C158,BUYBACK_QUERY,$C$4,"fill=prev","showheaders=f","showids=f")</f>
        <v/>
      </c>
      <c r="H158" s="102" t="n"/>
    </row>
    <row r="159">
      <c r="D159" s="99" t="n"/>
      <c r="E159" s="102" t="n"/>
      <c r="G159" s="99" t="n"/>
      <c r="H159" s="102" t="n"/>
    </row>
    <row r="160">
      <c r="D160" s="99" t="n"/>
      <c r="E160" s="102" t="n"/>
      <c r="G160" s="99" t="n"/>
      <c r="H160" s="102" t="n"/>
    </row>
    <row r="161">
      <c r="D161" s="99" t="n"/>
      <c r="E161" s="102" t="n"/>
      <c r="G161" s="99" t="n"/>
      <c r="H161" s="102" t="n"/>
    </row>
    <row r="162">
      <c r="D162" s="99" t="n"/>
      <c r="E162" s="102" t="n"/>
      <c r="G162" s="99" t="n"/>
      <c r="H162" s="102" t="n"/>
    </row>
    <row r="164">
      <c r="B164" s="2">
        <f>IF(HSI!$C$33="","",HSI!$C$33)</f>
        <v/>
      </c>
      <c r="C164" s="2">
        <f>IF(PULL_FUND="N","",IF(HSI!$C$33="","",HSI!$C$33))</f>
        <v/>
      </c>
      <c r="D164" s="101">
        <f>BDH($C164,NDE_FIELD,"-5AY","","Per=Y","cols=2;rows=5")</f>
        <v/>
      </c>
      <c r="E164" s="102" t="n"/>
      <c r="G164" s="101">
        <f>BQL($C164,BUYBACK_QUERY,$C$4,"fill=prev","showheaders=f","showids=f")</f>
        <v/>
      </c>
      <c r="H164" s="102" t="n"/>
    </row>
    <row r="165">
      <c r="D165" s="99" t="n"/>
      <c r="E165" s="102" t="n"/>
      <c r="G165" s="99" t="n"/>
      <c r="H165" s="102" t="n"/>
    </row>
    <row r="166">
      <c r="D166" s="99" t="n"/>
      <c r="E166" s="102" t="n"/>
      <c r="G166" s="99" t="n"/>
      <c r="H166" s="102" t="n"/>
    </row>
    <row r="167">
      <c r="D167" s="99" t="n"/>
      <c r="E167" s="102" t="n"/>
      <c r="G167" s="99" t="n"/>
      <c r="H167" s="102" t="n"/>
    </row>
    <row r="168">
      <c r="D168" s="99" t="n"/>
      <c r="E168" s="102" t="n"/>
      <c r="G168" s="99" t="n"/>
      <c r="H168" s="102" t="n"/>
    </row>
    <row r="170">
      <c r="B170" s="2">
        <f>IF(HSI!$C$34="","",HSI!$C$34)</f>
        <v/>
      </c>
      <c r="C170" s="2">
        <f>IF(PULL_FUND="N","",IF(HSI!$C$34="","",HSI!$C$34))</f>
        <v/>
      </c>
      <c r="D170" s="101">
        <f>BDH($C170,NDE_FIELD,"-5AY","","Per=Y","cols=2;rows=5")</f>
        <v/>
      </c>
      <c r="E170" s="102" t="n"/>
      <c r="G170" s="101">
        <f>BQL($C170,BUYBACK_QUERY,$C$4,"fill=prev","showheaders=f","showids=f")</f>
        <v/>
      </c>
      <c r="H170" s="102" t="n"/>
    </row>
    <row r="171">
      <c r="D171" s="99" t="n"/>
      <c r="E171" s="102" t="n"/>
      <c r="G171" s="99" t="n"/>
      <c r="H171" s="102" t="n"/>
    </row>
    <row r="172">
      <c r="D172" s="99" t="n"/>
      <c r="E172" s="102" t="n"/>
      <c r="G172" s="99" t="n"/>
      <c r="H172" s="102" t="n"/>
    </row>
    <row r="173">
      <c r="D173" s="99" t="n"/>
      <c r="E173" s="102" t="n"/>
      <c r="G173" s="99" t="n"/>
      <c r="H173" s="102" t="n"/>
    </row>
    <row r="174">
      <c r="D174" s="99" t="n"/>
      <c r="E174" s="102" t="n"/>
      <c r="G174" s="99" t="n"/>
      <c r="H174" s="102" t="n"/>
    </row>
    <row r="176">
      <c r="B176" s="2">
        <f>IF(HSI!$C$35="","",HSI!$C$35)</f>
        <v/>
      </c>
      <c r="C176" s="2">
        <f>IF(PULL_FUND="N","",IF(HSI!$C$35="","",HSI!$C$35))</f>
        <v/>
      </c>
      <c r="D176" s="101">
        <f>BDH($C176,NDE_FIELD,"-5AY","","Per=Y","cols=2;rows=5")</f>
        <v/>
      </c>
      <c r="E176" s="102" t="n"/>
      <c r="G176" s="101">
        <f>BQL($C176,BUYBACK_QUERY,$C$4,"fill=prev","showheaders=f","showids=f")</f>
        <v/>
      </c>
      <c r="H176" s="102" t="n"/>
    </row>
    <row r="177">
      <c r="D177" s="99" t="n"/>
      <c r="E177" s="102" t="n"/>
      <c r="G177" s="99" t="n"/>
      <c r="H177" s="102" t="n"/>
    </row>
    <row r="178">
      <c r="D178" s="99" t="n"/>
      <c r="E178" s="102" t="n"/>
      <c r="G178" s="99" t="n"/>
      <c r="H178" s="102" t="n"/>
    </row>
    <row r="179">
      <c r="D179" s="99" t="n"/>
      <c r="E179" s="102" t="n"/>
      <c r="G179" s="99" t="n"/>
      <c r="H179" s="102" t="n"/>
    </row>
    <row r="180">
      <c r="D180" s="99" t="n"/>
      <c r="E180" s="102" t="n"/>
      <c r="G180" s="99" t="n"/>
      <c r="H180" s="102" t="n"/>
    </row>
    <row r="182">
      <c r="B182" s="2">
        <f>IF(HSI!$C$36="","",HSI!$C$36)</f>
        <v/>
      </c>
      <c r="C182" s="2">
        <f>IF(PULL_FUND="N","",IF(HSI!$C$36="","",HSI!$C$36))</f>
        <v/>
      </c>
      <c r="D182" s="101">
        <f>BDH($C182,NDE_FIELD,"-5AY","","Per=Y","cols=2;rows=5")</f>
        <v/>
      </c>
      <c r="E182" s="102" t="n"/>
      <c r="G182" s="101">
        <f>BQL($C182,BUYBACK_QUERY,$C$4,"fill=prev","showheaders=f","showids=f")</f>
        <v/>
      </c>
      <c r="H182" s="102" t="n"/>
    </row>
    <row r="183">
      <c r="D183" s="99" t="n"/>
      <c r="E183" s="102" t="n"/>
      <c r="G183" s="99" t="n"/>
      <c r="H183" s="102" t="n"/>
    </row>
    <row r="184">
      <c r="D184" s="99" t="n"/>
      <c r="E184" s="102" t="n"/>
      <c r="G184" s="99" t="n"/>
      <c r="H184" s="102" t="n"/>
    </row>
    <row r="185">
      <c r="D185" s="99" t="n"/>
      <c r="E185" s="102" t="n"/>
      <c r="G185" s="99" t="n"/>
      <c r="H185" s="102" t="n"/>
    </row>
    <row r="186">
      <c r="D186" s="99" t="n"/>
      <c r="E186" s="102" t="n"/>
      <c r="G186" s="99" t="n"/>
      <c r="H186" s="102" t="n"/>
    </row>
    <row r="188">
      <c r="B188" s="2">
        <f>IF(HSI!$C$37="","",HSI!$C$37)</f>
        <v/>
      </c>
      <c r="C188" s="2">
        <f>IF(PULL_FUND="N","",IF(HSI!$C$37="","",HSI!$C$37))</f>
        <v/>
      </c>
      <c r="D188" s="101">
        <f>BDH($C188,NDE_FIELD,"-5AY","","Per=Y","cols=2;rows=5")</f>
        <v/>
      </c>
      <c r="E188" s="102" t="n"/>
      <c r="G188" s="101">
        <f>BQL($C188,BUYBACK_QUERY,$C$4,"fill=prev","showheaders=f","showids=f")</f>
        <v/>
      </c>
      <c r="H188" s="102" t="n"/>
    </row>
    <row r="189">
      <c r="D189" s="99" t="n"/>
      <c r="E189" s="102" t="n"/>
      <c r="G189" s="99" t="n"/>
      <c r="H189" s="102" t="n"/>
    </row>
    <row r="190">
      <c r="D190" s="99" t="n"/>
      <c r="E190" s="102" t="n"/>
      <c r="G190" s="99" t="n"/>
      <c r="H190" s="102" t="n"/>
    </row>
    <row r="191">
      <c r="D191" s="99" t="n"/>
      <c r="E191" s="102" t="n"/>
      <c r="G191" s="99" t="n"/>
      <c r="H191" s="102" t="n"/>
    </row>
    <row r="192">
      <c r="D192" s="99" t="n"/>
      <c r="E192" s="102" t="n"/>
      <c r="G192" s="99" t="n"/>
      <c r="H192" s="102" t="n"/>
    </row>
    <row r="194">
      <c r="B194" s="2">
        <f>IF(HSI!$C$38="","",HSI!$C$38)</f>
        <v/>
      </c>
      <c r="C194" s="2">
        <f>IF(PULL_FUND="N","",IF(HSI!$C$38="","",HSI!$C$38))</f>
        <v/>
      </c>
      <c r="D194" s="101">
        <f>BDH($C194,NDE_FIELD,"-5AY","","Per=Y","cols=2;rows=5")</f>
        <v/>
      </c>
      <c r="E194" s="102" t="n"/>
      <c r="G194" s="101">
        <f>BQL($C194,BUYBACK_QUERY,$C$4,"fill=prev","showheaders=f","showids=f")</f>
        <v/>
      </c>
      <c r="H194" s="102" t="n"/>
    </row>
    <row r="195">
      <c r="D195" s="99" t="n"/>
      <c r="E195" s="102" t="n"/>
      <c r="G195" s="99" t="n"/>
      <c r="H195" s="102" t="n"/>
    </row>
    <row r="196">
      <c r="D196" s="99" t="n"/>
      <c r="E196" s="102" t="n"/>
      <c r="G196" s="99" t="n"/>
      <c r="H196" s="102" t="n"/>
    </row>
    <row r="197">
      <c r="D197" s="99" t="n"/>
      <c r="E197" s="102" t="n"/>
      <c r="G197" s="99" t="n"/>
      <c r="H197" s="102" t="n"/>
    </row>
    <row r="198">
      <c r="D198" s="99" t="n"/>
      <c r="E198" s="102" t="n"/>
      <c r="G198" s="99" t="n"/>
      <c r="H198" s="102" t="n"/>
    </row>
    <row r="200">
      <c r="B200" s="2">
        <f>IF(HSI!$C$39="","",HSI!$C$39)</f>
        <v/>
      </c>
      <c r="C200" s="2">
        <f>IF(PULL_FUND="N","",IF(HSI!$C$39="","",HSI!$C$39))</f>
        <v/>
      </c>
      <c r="D200" s="101">
        <f>BDH($C200,NDE_FIELD,"-5AY","","Per=Y","cols=2;rows=5")</f>
        <v/>
      </c>
      <c r="E200" s="102" t="n"/>
      <c r="G200" s="101">
        <f>BQL($C200,BUYBACK_QUERY,$C$4,"fill=prev","showheaders=f","showids=f")</f>
        <v/>
      </c>
      <c r="H200" s="102" t="n"/>
    </row>
    <row r="201">
      <c r="D201" s="99" t="n"/>
      <c r="E201" s="102" t="n"/>
      <c r="G201" s="99" t="n"/>
      <c r="H201" s="102" t="n"/>
    </row>
    <row r="202">
      <c r="D202" s="99" t="n"/>
      <c r="E202" s="102" t="n"/>
      <c r="G202" s="99" t="n"/>
      <c r="H202" s="102" t="n"/>
    </row>
    <row r="203">
      <c r="D203" s="99" t="n"/>
      <c r="E203" s="102" t="n"/>
      <c r="G203" s="99" t="n"/>
      <c r="H203" s="102" t="n"/>
    </row>
    <row r="204">
      <c r="D204" s="99" t="n"/>
      <c r="E204" s="102" t="n"/>
      <c r="G204" s="99" t="n"/>
      <c r="H204" s="102" t="n"/>
    </row>
    <row r="206">
      <c r="B206" s="2">
        <f>IF(HSI!$C$40="","",HSI!$C$40)</f>
        <v/>
      </c>
      <c r="C206" s="2">
        <f>IF(PULL_FUND="N","",IF(HSI!$C$40="","",HSI!$C$40))</f>
        <v/>
      </c>
      <c r="D206" s="101">
        <f>BDH($C206,NDE_FIELD,"-5AY","","Per=Y","cols=2;rows=5")</f>
        <v/>
      </c>
      <c r="E206" s="102" t="n"/>
      <c r="G206" s="101">
        <f>BQL($C206,BUYBACK_QUERY,$C$4,"fill=prev","showheaders=f","showids=f")</f>
        <v/>
      </c>
      <c r="H206" s="102" t="n"/>
    </row>
    <row r="207">
      <c r="D207" s="99" t="n"/>
      <c r="E207" s="102" t="n"/>
      <c r="G207" s="99" t="n"/>
      <c r="H207" s="102" t="n"/>
    </row>
    <row r="208">
      <c r="D208" s="99" t="n"/>
      <c r="E208" s="102" t="n"/>
      <c r="G208" s="99" t="n"/>
      <c r="H208" s="102" t="n"/>
    </row>
    <row r="209">
      <c r="D209" s="99" t="n"/>
      <c r="E209" s="102" t="n"/>
      <c r="G209" s="99" t="n"/>
      <c r="H209" s="102" t="n"/>
    </row>
    <row r="210">
      <c r="D210" s="99" t="n"/>
      <c r="E210" s="102" t="n"/>
      <c r="G210" s="99" t="n"/>
      <c r="H210" s="102" t="n"/>
    </row>
    <row r="212">
      <c r="B212" s="2">
        <f>IF(HSI!$C$41="","",HSI!$C$41)</f>
        <v/>
      </c>
      <c r="C212" s="2">
        <f>IF(PULL_FUND="N","",IF(HSI!$C$41="","",HSI!$C$41))</f>
        <v/>
      </c>
      <c r="D212" s="101">
        <f>BDH($C212,NDE_FIELD,"-5AY","","Per=Y","cols=2;rows=5")</f>
        <v/>
      </c>
      <c r="E212" s="102" t="n"/>
      <c r="G212" s="101">
        <f>BQL($C212,BUYBACK_QUERY,$C$4,"fill=prev","showheaders=f","showids=f")</f>
        <v/>
      </c>
      <c r="H212" s="102" t="n"/>
    </row>
    <row r="213">
      <c r="D213" s="99" t="n"/>
      <c r="E213" s="102" t="n"/>
      <c r="G213" s="99" t="n"/>
      <c r="H213" s="102" t="n"/>
    </row>
    <row r="214">
      <c r="D214" s="99" t="n"/>
      <c r="E214" s="102" t="n"/>
      <c r="G214" s="99" t="n"/>
      <c r="H214" s="102" t="n"/>
    </row>
    <row r="215">
      <c r="D215" s="99" t="n"/>
      <c r="E215" s="102" t="n"/>
      <c r="G215" s="99" t="n"/>
      <c r="H215" s="102" t="n"/>
    </row>
    <row r="216">
      <c r="D216" s="99" t="n"/>
      <c r="E216" s="102" t="n"/>
      <c r="G216" s="99" t="n"/>
      <c r="H216" s="102" t="n"/>
    </row>
    <row r="218">
      <c r="B218" s="2">
        <f>IF(HSI!$C$42="","",HSI!$C$42)</f>
        <v/>
      </c>
      <c r="C218" s="2">
        <f>IF(PULL_FUND="N","",IF(HSI!$C$42="","",HSI!$C$42))</f>
        <v/>
      </c>
      <c r="D218" s="101">
        <f>BDH($C218,NDE_FIELD,"-5AY","","Per=Y","cols=2;rows=5")</f>
        <v/>
      </c>
      <c r="E218" s="102" t="n"/>
      <c r="G218" s="101">
        <f>BQL($C218,BUYBACK_QUERY,$C$4,"fill=prev","showheaders=f","showids=f")</f>
        <v/>
      </c>
      <c r="H218" s="102" t="n"/>
    </row>
    <row r="219">
      <c r="D219" s="99" t="n"/>
      <c r="E219" s="102" t="n"/>
      <c r="G219" s="99" t="n"/>
      <c r="H219" s="102" t="n"/>
    </row>
    <row r="220">
      <c r="D220" s="99" t="n"/>
      <c r="E220" s="102" t="n"/>
      <c r="G220" s="99" t="n"/>
      <c r="H220" s="102" t="n"/>
    </row>
    <row r="221">
      <c r="D221" s="99" t="n"/>
      <c r="E221" s="102" t="n"/>
      <c r="G221" s="99" t="n"/>
      <c r="H221" s="102" t="n"/>
    </row>
    <row r="222">
      <c r="D222" s="99" t="n"/>
      <c r="E222" s="102" t="n"/>
      <c r="G222" s="99" t="n"/>
      <c r="H222" s="102" t="n"/>
    </row>
    <row r="224">
      <c r="B224" s="2">
        <f>IF(HSI!$C$43="","",HSI!$C$43)</f>
        <v/>
      </c>
      <c r="C224" s="2">
        <f>IF(PULL_FUND="N","",IF(HSI!$C$43="","",HSI!$C$43))</f>
        <v/>
      </c>
      <c r="D224" s="101">
        <f>BDH($C224,NDE_FIELD,"-5AY","","Per=Y","cols=2;rows=5")</f>
        <v/>
      </c>
      <c r="E224" s="102" t="n"/>
      <c r="G224" s="101">
        <f>BQL($C224,BUYBACK_QUERY,$C$4,"fill=prev","showheaders=f","showids=f")</f>
        <v/>
      </c>
      <c r="H224" s="102" t="n"/>
    </row>
    <row r="225">
      <c r="D225" s="99" t="n"/>
      <c r="E225" s="102" t="n"/>
      <c r="G225" s="99" t="n"/>
      <c r="H225" s="102" t="n"/>
    </row>
    <row r="226">
      <c r="D226" s="99" t="n"/>
      <c r="E226" s="102" t="n"/>
      <c r="G226" s="99" t="n"/>
      <c r="H226" s="102" t="n"/>
    </row>
    <row r="227">
      <c r="D227" s="99" t="n"/>
      <c r="E227" s="102" t="n"/>
      <c r="G227" s="99" t="n"/>
      <c r="H227" s="102" t="n"/>
    </row>
    <row r="228">
      <c r="D228" s="99" t="n"/>
      <c r="E228" s="102" t="n"/>
      <c r="G228" s="99" t="n"/>
      <c r="H228" s="102" t="n"/>
    </row>
    <row r="230">
      <c r="B230" s="2">
        <f>IF(HSI!$C$44="","",HSI!$C$44)</f>
        <v/>
      </c>
      <c r="C230" s="2">
        <f>IF(PULL_FUND="N","",IF(HSI!$C$44="","",HSI!$C$44))</f>
        <v/>
      </c>
      <c r="D230" s="101">
        <f>BDH($C230,NDE_FIELD,"-5AY","","Per=Y","cols=2;rows=5")</f>
        <v/>
      </c>
      <c r="E230" s="102" t="n"/>
      <c r="G230" s="101">
        <f>BQL($C230,BUYBACK_QUERY,$C$4,"fill=prev","showheaders=f","showids=f")</f>
        <v/>
      </c>
      <c r="H230" s="102" t="n"/>
    </row>
    <row r="231">
      <c r="D231" s="99" t="n"/>
      <c r="E231" s="102" t="n"/>
      <c r="G231" s="99" t="n"/>
      <c r="H231" s="102" t="n"/>
    </row>
    <row r="232">
      <c r="D232" s="99" t="n"/>
      <c r="E232" s="102" t="n"/>
      <c r="G232" s="99" t="n"/>
      <c r="H232" s="102" t="n"/>
    </row>
    <row r="233">
      <c r="D233" s="99" t="n"/>
      <c r="E233" s="102" t="n"/>
      <c r="G233" s="99" t="n"/>
      <c r="H233" s="102" t="n"/>
    </row>
    <row r="234">
      <c r="D234" s="99" t="n"/>
      <c r="E234" s="102" t="n"/>
      <c r="G234" s="99" t="n"/>
      <c r="H234" s="102" t="n"/>
    </row>
    <row r="236">
      <c r="B236" s="2">
        <f>IF(HSI!$C$45="","",HSI!$C$45)</f>
        <v/>
      </c>
      <c r="C236" s="2">
        <f>IF(PULL_FUND="N","",IF(HSI!$C$45="","",HSI!$C$45))</f>
        <v/>
      </c>
      <c r="D236" s="101">
        <f>BDH($C236,NDE_FIELD,"-5AY","","Per=Y","cols=2;rows=5")</f>
        <v/>
      </c>
      <c r="E236" s="102" t="n"/>
      <c r="G236" s="101">
        <f>BQL($C236,BUYBACK_QUERY,$C$4,"fill=prev","showheaders=f","showids=f")</f>
        <v/>
      </c>
      <c r="H236" s="102" t="n"/>
    </row>
    <row r="237">
      <c r="D237" s="99" t="n"/>
      <c r="E237" s="102" t="n"/>
      <c r="G237" s="99" t="n"/>
      <c r="H237" s="102" t="n"/>
    </row>
    <row r="238">
      <c r="D238" s="99" t="n"/>
      <c r="E238" s="102" t="n"/>
      <c r="G238" s="99" t="n"/>
      <c r="H238" s="102" t="n"/>
    </row>
    <row r="239">
      <c r="D239" s="99" t="n"/>
      <c r="E239" s="102" t="n"/>
      <c r="G239" s="99" t="n"/>
      <c r="H239" s="102" t="n"/>
    </row>
    <row r="240">
      <c r="D240" s="99" t="n"/>
      <c r="E240" s="102" t="n"/>
      <c r="G240" s="99" t="n"/>
      <c r="H240" s="102" t="n"/>
    </row>
    <row r="242">
      <c r="B242" s="2">
        <f>IF(HSI!$C$46="","",HSI!$C$46)</f>
        <v/>
      </c>
      <c r="C242" s="2">
        <f>IF(PULL_FUND="N","",IF(HSI!$C$46="","",HSI!$C$46))</f>
        <v/>
      </c>
      <c r="D242" s="101">
        <f>BDH($C242,NDE_FIELD,"-5AY","","Per=Y","cols=2;rows=5")</f>
        <v/>
      </c>
      <c r="E242" s="102" t="n"/>
      <c r="G242" s="101">
        <f>BQL($C242,BUYBACK_QUERY,$C$4,"fill=prev","showheaders=f","showids=f")</f>
        <v/>
      </c>
      <c r="H242" s="102" t="n"/>
    </row>
    <row r="243">
      <c r="D243" s="99" t="n"/>
      <c r="E243" s="102" t="n"/>
      <c r="G243" s="99" t="n"/>
      <c r="H243" s="102" t="n"/>
    </row>
    <row r="244">
      <c r="D244" s="99" t="n"/>
      <c r="E244" s="102" t="n"/>
      <c r="G244" s="99" t="n"/>
      <c r="H244" s="102" t="n"/>
    </row>
    <row r="245">
      <c r="D245" s="99" t="n"/>
      <c r="E245" s="102" t="n"/>
      <c r="G245" s="99" t="n"/>
      <c r="H245" s="102" t="n"/>
    </row>
    <row r="246">
      <c r="D246" s="99" t="n"/>
      <c r="E246" s="102" t="n"/>
      <c r="G246" s="99" t="n"/>
      <c r="H246" s="102" t="n"/>
    </row>
    <row r="248">
      <c r="B248" s="2">
        <f>IF(HSI!$C$47="","",HSI!$C$47)</f>
        <v/>
      </c>
      <c r="C248" s="2">
        <f>IF(PULL_FUND="N","",IF(HSI!$C$47="","",HSI!$C$47))</f>
        <v/>
      </c>
      <c r="D248" s="101">
        <f>BDH($C248,NDE_FIELD,"-5AY","","Per=Y","cols=2;rows=5")</f>
        <v/>
      </c>
      <c r="E248" s="102" t="n"/>
      <c r="G248" s="101">
        <f>BQL($C248,BUYBACK_QUERY,$C$4,"fill=prev","showheaders=f","showids=f")</f>
        <v/>
      </c>
      <c r="H248" s="102" t="n"/>
    </row>
    <row r="249">
      <c r="D249" s="99" t="n"/>
      <c r="E249" s="102" t="n"/>
      <c r="G249" s="99" t="n"/>
      <c r="H249" s="102" t="n"/>
    </row>
    <row r="250">
      <c r="D250" s="99" t="n"/>
      <c r="E250" s="102" t="n"/>
      <c r="G250" s="99" t="n"/>
      <c r="H250" s="102" t="n"/>
    </row>
    <row r="251">
      <c r="D251" s="99" t="n"/>
      <c r="E251" s="102" t="n"/>
      <c r="G251" s="99" t="n"/>
      <c r="H251" s="102" t="n"/>
    </row>
    <row r="252">
      <c r="D252" s="99" t="n"/>
      <c r="E252" s="102" t="n"/>
      <c r="G252" s="99" t="n"/>
      <c r="H252" s="102" t="n"/>
    </row>
    <row r="254">
      <c r="B254" s="2">
        <f>IF(HSI!$C$48="","",HSI!$C$48)</f>
        <v/>
      </c>
      <c r="C254" s="2">
        <f>IF(PULL_FUND="N","",IF(HSI!$C$48="","",HSI!$C$48))</f>
        <v/>
      </c>
      <c r="D254" s="101">
        <f>BDH($C254,NDE_FIELD,"-5AY","","Per=Y","cols=2;rows=5")</f>
        <v/>
      </c>
      <c r="E254" s="102" t="n"/>
      <c r="G254" s="101">
        <f>BQL($C254,BUYBACK_QUERY,$C$4,"fill=prev","showheaders=f","showids=f")</f>
        <v/>
      </c>
      <c r="H254" s="102" t="n"/>
    </row>
    <row r="255">
      <c r="D255" s="99" t="n"/>
      <c r="E255" s="102" t="n"/>
      <c r="G255" s="99" t="n"/>
      <c r="H255" s="102" t="n"/>
    </row>
    <row r="256">
      <c r="D256" s="99" t="n"/>
      <c r="E256" s="102" t="n"/>
      <c r="G256" s="99" t="n"/>
      <c r="H256" s="102" t="n"/>
    </row>
    <row r="257">
      <c r="D257" s="99" t="n"/>
      <c r="E257" s="102" t="n"/>
      <c r="G257" s="99" t="n"/>
      <c r="H257" s="102" t="n"/>
    </row>
    <row r="258">
      <c r="D258" s="99" t="n"/>
      <c r="E258" s="102" t="n"/>
      <c r="G258" s="99" t="n"/>
      <c r="H258" s="102" t="n"/>
    </row>
    <row r="260">
      <c r="B260" s="2">
        <f>IF(HSI!$C$49="","",HSI!$C$49)</f>
        <v/>
      </c>
      <c r="C260" s="2">
        <f>IF(PULL_FUND="N","",IF(HSI!$C$49="","",HSI!$C$49))</f>
        <v/>
      </c>
      <c r="D260" s="101">
        <f>BDH($C260,NDE_FIELD,"-5AY","","Per=Y","cols=2;rows=5")</f>
        <v/>
      </c>
      <c r="E260" s="102" t="n"/>
      <c r="G260" s="101">
        <f>BQL($C260,BUYBACK_QUERY,$C$4,"fill=prev","showheaders=f","showids=f")</f>
        <v/>
      </c>
      <c r="H260" s="102" t="n"/>
    </row>
    <row r="261">
      <c r="D261" s="99" t="n"/>
      <c r="E261" s="102" t="n"/>
      <c r="G261" s="99" t="n"/>
      <c r="H261" s="102" t="n"/>
    </row>
    <row r="262">
      <c r="D262" s="99" t="n"/>
      <c r="E262" s="102" t="n"/>
      <c r="G262" s="99" t="n"/>
      <c r="H262" s="102" t="n"/>
    </row>
    <row r="263">
      <c r="D263" s="99" t="n"/>
      <c r="E263" s="102" t="n"/>
      <c r="G263" s="99" t="n"/>
      <c r="H263" s="102" t="n"/>
    </row>
    <row r="264">
      <c r="D264" s="99" t="n"/>
      <c r="E264" s="102" t="n"/>
      <c r="G264" s="99" t="n"/>
      <c r="H264" s="102" t="n"/>
    </row>
    <row r="266">
      <c r="B266" s="2">
        <f>IF(HSI!$C$50="","",HSI!$C$50)</f>
        <v/>
      </c>
      <c r="C266" s="2">
        <f>IF(PULL_FUND="N","",IF(HSI!$C$50="","",HSI!$C$50))</f>
        <v/>
      </c>
      <c r="D266" s="101">
        <f>BDH($C266,NDE_FIELD,"-5AY","","Per=Y","cols=2;rows=5")</f>
        <v/>
      </c>
      <c r="E266" s="102" t="n"/>
      <c r="G266" s="101">
        <f>BQL($C266,BUYBACK_QUERY,$C$4,"fill=prev","showheaders=f","showids=f")</f>
        <v/>
      </c>
      <c r="H266" s="102" t="n"/>
    </row>
    <row r="267">
      <c r="D267" s="99" t="n"/>
      <c r="E267" s="102" t="n"/>
      <c r="G267" s="99" t="n"/>
      <c r="H267" s="102" t="n"/>
    </row>
    <row r="268">
      <c r="D268" s="99" t="n"/>
      <c r="E268" s="102" t="n"/>
      <c r="G268" s="99" t="n"/>
      <c r="H268" s="102" t="n"/>
    </row>
    <row r="269">
      <c r="D269" s="99" t="n"/>
      <c r="E269" s="102" t="n"/>
      <c r="G269" s="99" t="n"/>
      <c r="H269" s="102" t="n"/>
    </row>
    <row r="270">
      <c r="D270" s="99" t="n"/>
      <c r="E270" s="102" t="n"/>
      <c r="G270" s="99" t="n"/>
      <c r="H270" s="102" t="n"/>
    </row>
    <row r="272">
      <c r="B272" s="2">
        <f>IF(HSI!$C$51="","",HSI!$C$51)</f>
        <v/>
      </c>
      <c r="C272" s="2">
        <f>IF(PULL_FUND="N","",IF(HSI!$C$51="","",HSI!$C$51))</f>
        <v/>
      </c>
      <c r="D272" s="101">
        <f>BDH($C272,NDE_FIELD,"-5AY","","Per=Y","cols=2;rows=5")</f>
        <v/>
      </c>
      <c r="E272" s="102" t="n"/>
      <c r="G272" s="101">
        <f>BQL($C272,BUYBACK_QUERY,$C$4,"fill=prev","showheaders=f","showids=f")</f>
        <v/>
      </c>
      <c r="H272" s="102" t="n"/>
    </row>
    <row r="273">
      <c r="D273" s="99" t="n"/>
      <c r="E273" s="102" t="n"/>
      <c r="G273" s="99" t="n"/>
      <c r="H273" s="102" t="n"/>
    </row>
    <row r="274">
      <c r="D274" s="99" t="n"/>
      <c r="E274" s="102" t="n"/>
      <c r="G274" s="99" t="n"/>
      <c r="H274" s="102" t="n"/>
    </row>
    <row r="275">
      <c r="D275" s="99" t="n"/>
      <c r="E275" s="102" t="n"/>
      <c r="G275" s="99" t="n"/>
      <c r="H275" s="102" t="n"/>
    </row>
    <row r="276">
      <c r="D276" s="99" t="n"/>
      <c r="E276" s="102" t="n"/>
      <c r="G276" s="99" t="n"/>
      <c r="H276" s="102" t="n"/>
    </row>
    <row r="278">
      <c r="B278" s="2">
        <f>IF(HSI!$C$52="","",HSI!$C$52)</f>
        <v/>
      </c>
      <c r="C278" s="2">
        <f>IF(PULL_FUND="N","",IF(HSI!$C$52="","",HSI!$C$52))</f>
        <v/>
      </c>
      <c r="D278" s="101">
        <f>BDH($C278,NDE_FIELD,"-5AY","","Per=Y","cols=2;rows=5")</f>
        <v/>
      </c>
      <c r="E278" s="102" t="n"/>
      <c r="G278" s="101">
        <f>BQL($C278,BUYBACK_QUERY,$C$4,"fill=prev","showheaders=f","showids=f")</f>
        <v/>
      </c>
      <c r="H278" s="102" t="n"/>
    </row>
    <row r="279">
      <c r="D279" s="99" t="n"/>
      <c r="E279" s="102" t="n"/>
      <c r="G279" s="99" t="n"/>
      <c r="H279" s="102" t="n"/>
    </row>
    <row r="280">
      <c r="D280" s="99" t="n"/>
      <c r="E280" s="102" t="n"/>
      <c r="G280" s="99" t="n"/>
      <c r="H280" s="102" t="n"/>
    </row>
    <row r="281">
      <c r="D281" s="99" t="n"/>
      <c r="E281" s="102" t="n"/>
      <c r="G281" s="99" t="n"/>
      <c r="H281" s="102" t="n"/>
    </row>
    <row r="282">
      <c r="D282" s="99" t="n"/>
      <c r="E282" s="102" t="n"/>
      <c r="G282" s="99" t="n"/>
      <c r="H282" s="102" t="n"/>
    </row>
    <row r="284">
      <c r="B284" s="2">
        <f>IF(HSI!$C$53="","",HSI!$C$53)</f>
        <v/>
      </c>
      <c r="C284" s="2">
        <f>IF(PULL_FUND="N","",IF(HSI!$C$53="","",HSI!$C$53))</f>
        <v/>
      </c>
      <c r="D284" s="101">
        <f>BDH($C284,NDE_FIELD,"-5AY","","Per=Y","cols=2;rows=5")</f>
        <v/>
      </c>
      <c r="E284" s="102" t="n"/>
      <c r="G284" s="101">
        <f>BQL($C284,BUYBACK_QUERY,$C$4,"fill=prev","showheaders=f","showids=f")</f>
        <v/>
      </c>
      <c r="H284" s="102" t="n"/>
    </row>
    <row r="285">
      <c r="D285" s="99" t="n"/>
      <c r="E285" s="102" t="n"/>
      <c r="G285" s="99" t="n"/>
      <c r="H285" s="102" t="n"/>
    </row>
    <row r="286">
      <c r="D286" s="99" t="n"/>
      <c r="E286" s="102" t="n"/>
      <c r="G286" s="99" t="n"/>
      <c r="H286" s="102" t="n"/>
    </row>
    <row r="287">
      <c r="D287" s="99" t="n"/>
      <c r="E287" s="102" t="n"/>
      <c r="G287" s="99" t="n"/>
      <c r="H287" s="102" t="n"/>
    </row>
    <row r="288">
      <c r="D288" s="99" t="n"/>
      <c r="E288" s="102" t="n"/>
      <c r="G288" s="99" t="n"/>
      <c r="H288" s="102" t="n"/>
    </row>
    <row r="290">
      <c r="B290" s="2">
        <f>IF(HSI!$C$54="","",HSI!$C$54)</f>
        <v/>
      </c>
      <c r="C290" s="2">
        <f>IF(PULL_FUND="N","",IF(HSI!$C$54="","",HSI!$C$54))</f>
        <v/>
      </c>
      <c r="D290" s="101">
        <f>BDH($C290,NDE_FIELD,"-5AY","","Per=Y","cols=2;rows=5")</f>
        <v/>
      </c>
      <c r="E290" s="102" t="n"/>
      <c r="G290" s="101">
        <f>BQL($C290,BUYBACK_QUERY,$C$4,"fill=prev","showheaders=f","showids=f")</f>
        <v/>
      </c>
      <c r="H290" s="102" t="n"/>
    </row>
    <row r="291">
      <c r="D291" s="99" t="n"/>
      <c r="E291" s="102" t="n"/>
      <c r="G291" s="99" t="n"/>
      <c r="H291" s="102" t="n"/>
    </row>
    <row r="292">
      <c r="D292" s="99" t="n"/>
      <c r="E292" s="102" t="n"/>
      <c r="G292" s="99" t="n"/>
      <c r="H292" s="102" t="n"/>
    </row>
    <row r="293">
      <c r="D293" s="99" t="n"/>
      <c r="E293" s="102" t="n"/>
      <c r="G293" s="99" t="n"/>
      <c r="H293" s="102" t="n"/>
    </row>
    <row r="294">
      <c r="D294" s="99" t="n"/>
      <c r="E294" s="102" t="n"/>
      <c r="G294" s="99" t="n"/>
      <c r="H294" s="102" t="n"/>
    </row>
    <row r="296">
      <c r="B296" s="2">
        <f>IF(HSI!$C$55="","",HSI!$C$55)</f>
        <v/>
      </c>
      <c r="C296" s="2">
        <f>IF(PULL_FUND="N","",IF(HSI!$C$55="","",HSI!$C$55))</f>
        <v/>
      </c>
      <c r="D296" s="101">
        <f>BDH($C296,NDE_FIELD,"-5AY","","Per=Y","cols=2;rows=5")</f>
        <v/>
      </c>
      <c r="E296" s="102" t="n"/>
      <c r="G296" s="101">
        <f>BQL($C296,BUYBACK_QUERY,$C$4,"fill=prev","showheaders=f","showids=f")</f>
        <v/>
      </c>
      <c r="H296" s="102" t="n"/>
    </row>
    <row r="297">
      <c r="D297" s="99" t="n"/>
      <c r="E297" s="102" t="n"/>
      <c r="G297" s="99" t="n"/>
      <c r="H297" s="102" t="n"/>
    </row>
    <row r="298">
      <c r="D298" s="99" t="n"/>
      <c r="E298" s="102" t="n"/>
      <c r="G298" s="99" t="n"/>
      <c r="H298" s="102" t="n"/>
    </row>
    <row r="299">
      <c r="D299" s="99" t="n"/>
      <c r="E299" s="102" t="n"/>
      <c r="G299" s="99" t="n"/>
      <c r="H299" s="102" t="n"/>
    </row>
    <row r="300">
      <c r="D300" s="99" t="n"/>
      <c r="E300" s="102" t="n"/>
      <c r="G300" s="99" t="n"/>
      <c r="H300" s="102" t="n"/>
    </row>
    <row r="302">
      <c r="B302" s="2">
        <f>IF(HSI!$C$56="","",HSI!$C$56)</f>
        <v/>
      </c>
      <c r="C302" s="2">
        <f>IF(PULL_FUND="N","",IF(HSI!$C$56="","",HSI!$C$56))</f>
        <v/>
      </c>
      <c r="D302" s="101">
        <f>BDH($C302,NDE_FIELD,"-5AY","","Per=Y","cols=2;rows=5")</f>
        <v/>
      </c>
      <c r="E302" s="102" t="n"/>
      <c r="G302" s="101">
        <f>BQL($C302,BUYBACK_QUERY,$C$4,"fill=prev","showheaders=f","showids=f")</f>
        <v/>
      </c>
      <c r="H302" s="102" t="n"/>
    </row>
    <row r="303">
      <c r="D303" s="99" t="n"/>
      <c r="E303" s="102" t="n"/>
      <c r="G303" s="99" t="n"/>
      <c r="H303" s="102" t="n"/>
    </row>
    <row r="304">
      <c r="D304" s="99" t="n"/>
      <c r="E304" s="102" t="n"/>
      <c r="G304" s="99" t="n"/>
      <c r="H304" s="102" t="n"/>
    </row>
    <row r="305">
      <c r="D305" s="99" t="n"/>
      <c r="E305" s="102" t="n"/>
      <c r="G305" s="99" t="n"/>
      <c r="H305" s="102" t="n"/>
    </row>
    <row r="306">
      <c r="D306" s="99" t="n"/>
      <c r="E306" s="102" t="n"/>
      <c r="G306" s="99" t="n"/>
      <c r="H306" s="102" t="n"/>
    </row>
    <row r="308">
      <c r="B308" s="2">
        <f>IF(HSI!$C$57="","",HSI!$C$57)</f>
        <v/>
      </c>
      <c r="C308" s="2">
        <f>IF(PULL_FUND="N","",IF(HSI!$C$57="","",HSI!$C$57))</f>
        <v/>
      </c>
      <c r="D308" s="101">
        <f>BDH($C308,NDE_FIELD,"-5AY","","Per=Y","cols=2;rows=5")</f>
        <v/>
      </c>
      <c r="E308" s="102" t="n"/>
      <c r="G308" s="101">
        <f>BQL($C308,BUYBACK_QUERY,$C$4,"fill=prev","showheaders=f","showids=f")</f>
        <v/>
      </c>
      <c r="H308" s="102" t="n"/>
    </row>
    <row r="309">
      <c r="D309" s="99" t="n"/>
      <c r="E309" s="102" t="n"/>
      <c r="G309" s="99" t="n"/>
      <c r="H309" s="102" t="n"/>
    </row>
    <row r="310">
      <c r="D310" s="99" t="n"/>
      <c r="E310" s="102" t="n"/>
      <c r="G310" s="99" t="n"/>
      <c r="H310" s="102" t="n"/>
    </row>
    <row r="311">
      <c r="D311" s="99" t="n"/>
      <c r="E311" s="102" t="n"/>
      <c r="G311" s="99" t="n"/>
      <c r="H311" s="102" t="n"/>
    </row>
    <row r="312">
      <c r="D312" s="99" t="n"/>
      <c r="E312" s="102" t="n"/>
      <c r="G312" s="99" t="n"/>
      <c r="H312" s="102" t="n"/>
    </row>
    <row r="314">
      <c r="B314" s="2">
        <f>IF(HSI!$C$58="","",HSI!$C$58)</f>
        <v/>
      </c>
      <c r="C314" s="2">
        <f>IF(PULL_FUND="N","",IF(HSI!$C$58="","",HSI!$C$58))</f>
        <v/>
      </c>
      <c r="D314" s="101">
        <f>BDH($C314,NDE_FIELD,"-5AY","","Per=Y","cols=2;rows=5")</f>
        <v/>
      </c>
      <c r="E314" s="102" t="n"/>
      <c r="G314" s="101">
        <f>BQL($C314,BUYBACK_QUERY,$C$4,"fill=prev","showheaders=f","showids=f")</f>
        <v/>
      </c>
      <c r="H314" s="102" t="n"/>
    </row>
    <row r="315">
      <c r="D315" s="99" t="n"/>
      <c r="E315" s="102" t="n"/>
      <c r="G315" s="99" t="n"/>
      <c r="H315" s="102" t="n"/>
    </row>
    <row r="316">
      <c r="D316" s="99" t="n"/>
      <c r="E316" s="102" t="n"/>
      <c r="G316" s="99" t="n"/>
      <c r="H316" s="102" t="n"/>
    </row>
    <row r="317">
      <c r="D317" s="99" t="n"/>
      <c r="E317" s="102" t="n"/>
      <c r="G317" s="99" t="n"/>
      <c r="H317" s="102" t="n"/>
    </row>
    <row r="318">
      <c r="D318" s="99" t="n"/>
      <c r="E318" s="102" t="n"/>
      <c r="G318" s="99" t="n"/>
      <c r="H318" s="102" t="n"/>
    </row>
    <row r="320">
      <c r="B320" s="2">
        <f>IF(HSI!$C$59="","",HSI!$C$59)</f>
        <v/>
      </c>
      <c r="C320" s="2">
        <f>IF(PULL_FUND="N","",IF(HSI!$C$59="","",HSI!$C$59))</f>
        <v/>
      </c>
      <c r="D320" s="101">
        <f>BDH($C320,NDE_FIELD,"-5AY","","Per=Y","cols=2;rows=5")</f>
        <v/>
      </c>
      <c r="E320" s="102" t="n"/>
      <c r="G320" s="101">
        <f>BQL($C320,BUYBACK_QUERY,$C$4,"fill=prev","showheaders=f","showids=f")</f>
        <v/>
      </c>
      <c r="H320" s="102" t="n"/>
    </row>
    <row r="321">
      <c r="D321" s="99" t="n"/>
      <c r="E321" s="102" t="n"/>
      <c r="G321" s="99" t="n"/>
      <c r="H321" s="102" t="n"/>
    </row>
    <row r="322">
      <c r="D322" s="99" t="n"/>
      <c r="E322" s="102" t="n"/>
      <c r="G322" s="99" t="n"/>
      <c r="H322" s="102" t="n"/>
    </row>
    <row r="323">
      <c r="D323" s="99" t="n"/>
      <c r="E323" s="102" t="n"/>
      <c r="G323" s="99" t="n"/>
      <c r="H323" s="102" t="n"/>
    </row>
    <row r="324">
      <c r="D324" s="99" t="n"/>
      <c r="E324" s="102" t="n"/>
      <c r="G324" s="99" t="n"/>
      <c r="H324" s="102" t="n"/>
    </row>
    <row r="326">
      <c r="B326" s="2">
        <f>IF(HSI!$C$60="","",HSI!$C$60)</f>
        <v/>
      </c>
      <c r="C326" s="2">
        <f>IF(PULL_FUND="N","",IF(HSI!$C$60="","",HSI!$C$60))</f>
        <v/>
      </c>
      <c r="D326" s="101">
        <f>BDH($C326,NDE_FIELD,"-5AY","","Per=Y","cols=2;rows=5")</f>
        <v/>
      </c>
      <c r="E326" s="102" t="n"/>
      <c r="G326" s="101">
        <f>BQL($C326,BUYBACK_QUERY,$C$4,"fill=prev","showheaders=f","showids=f")</f>
        <v/>
      </c>
      <c r="H326" s="102" t="n"/>
    </row>
    <row r="327">
      <c r="D327" s="99" t="n"/>
      <c r="E327" s="102" t="n"/>
      <c r="G327" s="99" t="n"/>
      <c r="H327" s="102" t="n"/>
    </row>
    <row r="328">
      <c r="D328" s="99" t="n"/>
      <c r="E328" s="102" t="n"/>
      <c r="G328" s="99" t="n"/>
      <c r="H328" s="102" t="n"/>
    </row>
    <row r="329">
      <c r="D329" s="99" t="n"/>
      <c r="E329" s="102" t="n"/>
      <c r="G329" s="99" t="n"/>
      <c r="H329" s="102" t="n"/>
    </row>
    <row r="330">
      <c r="D330" s="99" t="n"/>
      <c r="E330" s="102" t="n"/>
      <c r="G330" s="99" t="n"/>
      <c r="H330" s="102" t="n"/>
    </row>
    <row r="332">
      <c r="B332" s="2">
        <f>IF(HSI!$C$61="","",HSI!$C$61)</f>
        <v/>
      </c>
      <c r="C332" s="2">
        <f>IF(PULL_FUND="N","",IF(HSI!$C$61="","",HSI!$C$61))</f>
        <v/>
      </c>
      <c r="D332" s="101">
        <f>BDH($C332,NDE_FIELD,"-5AY","","Per=Y","cols=2;rows=5")</f>
        <v/>
      </c>
      <c r="E332" s="102" t="n"/>
      <c r="G332" s="101">
        <f>BQL($C332,BUYBACK_QUERY,$C$4,"fill=prev","showheaders=f","showids=f")</f>
        <v/>
      </c>
      <c r="H332" s="102" t="n"/>
    </row>
    <row r="333">
      <c r="D333" s="99" t="n"/>
      <c r="E333" s="102" t="n"/>
      <c r="G333" s="99" t="n"/>
      <c r="H333" s="102" t="n"/>
    </row>
    <row r="334">
      <c r="D334" s="99" t="n"/>
      <c r="E334" s="102" t="n"/>
      <c r="G334" s="99" t="n"/>
      <c r="H334" s="102" t="n"/>
    </row>
    <row r="335">
      <c r="D335" s="99" t="n"/>
      <c r="E335" s="102" t="n"/>
      <c r="G335" s="99" t="n"/>
      <c r="H335" s="102" t="n"/>
    </row>
    <row r="336">
      <c r="D336" s="99" t="n"/>
      <c r="E336" s="102" t="n"/>
      <c r="G336" s="99" t="n"/>
      <c r="H336" s="102" t="n"/>
    </row>
    <row r="338">
      <c r="B338" s="2">
        <f>IF(HSI!$C$62="","",HSI!$C$62)</f>
        <v/>
      </c>
      <c r="C338" s="2">
        <f>IF(PULL_FUND="N","",IF(HSI!$C$62="","",HSI!$C$62))</f>
        <v/>
      </c>
      <c r="D338" s="101">
        <f>BDH($C338,NDE_FIELD,"-5AY","","Per=Y","cols=2;rows=5")</f>
        <v/>
      </c>
      <c r="E338" s="102" t="n"/>
      <c r="G338" s="101">
        <f>BQL($C338,BUYBACK_QUERY,$C$4,"fill=prev","showheaders=f","showids=f")</f>
        <v/>
      </c>
      <c r="H338" s="102" t="n"/>
    </row>
    <row r="339">
      <c r="D339" s="99" t="n"/>
      <c r="E339" s="102" t="n"/>
      <c r="G339" s="99" t="n"/>
      <c r="H339" s="102" t="n"/>
    </row>
    <row r="340">
      <c r="D340" s="99" t="n"/>
      <c r="E340" s="102" t="n"/>
      <c r="G340" s="99" t="n"/>
      <c r="H340" s="102" t="n"/>
    </row>
    <row r="341">
      <c r="D341" s="99" t="n"/>
      <c r="E341" s="102" t="n"/>
      <c r="G341" s="99" t="n"/>
      <c r="H341" s="102" t="n"/>
    </row>
    <row r="342">
      <c r="D342" s="99" t="n"/>
      <c r="E342" s="102" t="n"/>
      <c r="G342" s="99" t="n"/>
      <c r="H342" s="102" t="n"/>
    </row>
    <row r="344">
      <c r="B344" s="2">
        <f>IF(HSI!$C$63="","",HSI!$C$63)</f>
        <v/>
      </c>
      <c r="C344" s="2">
        <f>IF(PULL_FUND="N","",IF(HSI!$C$63="","",HSI!$C$63))</f>
        <v/>
      </c>
      <c r="D344" s="101">
        <f>BDH($C344,NDE_FIELD,"-5AY","","Per=Y","cols=2;rows=5")</f>
        <v/>
      </c>
      <c r="E344" s="102" t="n"/>
      <c r="G344" s="101">
        <f>BQL($C344,BUYBACK_QUERY,$C$4,"fill=prev","showheaders=f","showids=f")</f>
        <v/>
      </c>
      <c r="H344" s="102" t="n"/>
    </row>
    <row r="345">
      <c r="D345" s="99" t="n"/>
      <c r="E345" s="102" t="n"/>
      <c r="G345" s="99" t="n"/>
      <c r="H345" s="102" t="n"/>
    </row>
    <row r="346">
      <c r="D346" s="99" t="n"/>
      <c r="E346" s="102" t="n"/>
      <c r="G346" s="99" t="n"/>
      <c r="H346" s="102" t="n"/>
    </row>
    <row r="347">
      <c r="D347" s="99" t="n"/>
      <c r="E347" s="102" t="n"/>
      <c r="G347" s="99" t="n"/>
      <c r="H347" s="102" t="n"/>
    </row>
    <row r="348">
      <c r="D348" s="99" t="n"/>
      <c r="E348" s="102" t="n"/>
      <c r="G348" s="99" t="n"/>
      <c r="H348" s="102" t="n"/>
    </row>
    <row r="350">
      <c r="B350" s="2">
        <f>IF(HSI!$C$64="","",HSI!$C$64)</f>
        <v/>
      </c>
      <c r="C350" s="2">
        <f>IF(PULL_FUND="N","",IF(HSI!$C$64="","",HSI!$C$64))</f>
        <v/>
      </c>
      <c r="D350" s="101">
        <f>BDH($C350,NDE_FIELD,"-5AY","","Per=Y","cols=2;rows=5")</f>
        <v/>
      </c>
      <c r="E350" s="102" t="n"/>
      <c r="G350" s="101">
        <f>BQL($C350,BUYBACK_QUERY,$C$4,"fill=prev","showheaders=f","showids=f")</f>
        <v/>
      </c>
      <c r="H350" s="102" t="n"/>
    </row>
    <row r="351">
      <c r="D351" s="99" t="n"/>
      <c r="E351" s="102" t="n"/>
      <c r="G351" s="99" t="n"/>
      <c r="H351" s="102" t="n"/>
    </row>
    <row r="352">
      <c r="D352" s="99" t="n"/>
      <c r="E352" s="102" t="n"/>
      <c r="G352" s="99" t="n"/>
      <c r="H352" s="102" t="n"/>
    </row>
    <row r="353">
      <c r="D353" s="99" t="n"/>
      <c r="E353" s="102" t="n"/>
      <c r="G353" s="99" t="n"/>
      <c r="H353" s="102" t="n"/>
    </row>
    <row r="354">
      <c r="D354" s="99" t="n"/>
      <c r="E354" s="102" t="n"/>
      <c r="G354" s="99" t="n"/>
      <c r="H354" s="102" t="n"/>
    </row>
    <row r="356">
      <c r="B356" s="2">
        <f>IF(HSI!$C$65="","",HSI!$C$65)</f>
        <v/>
      </c>
      <c r="C356" s="2">
        <f>IF(PULL_FUND="N","",IF(HSI!$C$65="","",HSI!$C$65))</f>
        <v/>
      </c>
      <c r="D356" s="101">
        <f>BDH($C356,NDE_FIELD,"-5AY","","Per=Y","cols=2;rows=5")</f>
        <v/>
      </c>
      <c r="E356" s="102" t="n"/>
      <c r="G356" s="101">
        <f>BQL($C356,BUYBACK_QUERY,$C$4,"fill=prev","showheaders=f","showids=f")</f>
        <v/>
      </c>
      <c r="H356" s="102" t="n"/>
    </row>
    <row r="357">
      <c r="D357" s="99" t="n"/>
      <c r="E357" s="102" t="n"/>
      <c r="G357" s="99" t="n"/>
      <c r="H357" s="102" t="n"/>
    </row>
    <row r="358">
      <c r="D358" s="99" t="n"/>
      <c r="E358" s="102" t="n"/>
      <c r="G358" s="99" t="n"/>
      <c r="H358" s="102" t="n"/>
    </row>
    <row r="359">
      <c r="D359" s="99" t="n"/>
      <c r="E359" s="102" t="n"/>
      <c r="G359" s="99" t="n"/>
      <c r="H359" s="102" t="n"/>
    </row>
    <row r="360">
      <c r="D360" s="99" t="n"/>
      <c r="E360" s="102" t="n"/>
      <c r="G360" s="99" t="n"/>
      <c r="H360" s="102" t="n"/>
    </row>
    <row r="362">
      <c r="B362" s="2">
        <f>IF(HSI!$C$66="","",HSI!$C$66)</f>
        <v/>
      </c>
      <c r="C362" s="2">
        <f>IF(PULL_FUND="N","",IF(HSI!$C$66="","",HSI!$C$66))</f>
        <v/>
      </c>
      <c r="D362" s="101">
        <f>BDH($C362,NDE_FIELD,"-5AY","","Per=Y","cols=2;rows=5")</f>
        <v/>
      </c>
      <c r="E362" s="102" t="n"/>
      <c r="G362" s="101">
        <f>BQL($C362,BUYBACK_QUERY,$C$4,"fill=prev","showheaders=f","showids=f")</f>
        <v/>
      </c>
      <c r="H362" s="102" t="n"/>
    </row>
    <row r="363">
      <c r="D363" s="99" t="n"/>
      <c r="E363" s="102" t="n"/>
      <c r="G363" s="99" t="n"/>
      <c r="H363" s="102" t="n"/>
    </row>
    <row r="364">
      <c r="D364" s="99" t="n"/>
      <c r="E364" s="102" t="n"/>
      <c r="G364" s="99" t="n"/>
      <c r="H364" s="102" t="n"/>
    </row>
    <row r="365">
      <c r="D365" s="99" t="n"/>
      <c r="E365" s="102" t="n"/>
      <c r="G365" s="99" t="n"/>
      <c r="H365" s="102" t="n"/>
    </row>
    <row r="366">
      <c r="D366" s="99" t="n"/>
      <c r="E366" s="102" t="n"/>
      <c r="G366" s="99" t="n"/>
      <c r="H366" s="102" t="n"/>
    </row>
    <row r="368">
      <c r="B368" s="2">
        <f>IF(HSI!$C$67="","",HSI!$C$67)</f>
        <v/>
      </c>
      <c r="C368" s="2">
        <f>IF(PULL_FUND="N","",IF(HSI!$C$67="","",HSI!$C$67))</f>
        <v/>
      </c>
      <c r="D368" s="101">
        <f>BDH($C368,NDE_FIELD,"-5AY","","Per=Y","cols=2;rows=5")</f>
        <v/>
      </c>
      <c r="E368" s="102" t="n"/>
      <c r="G368" s="101">
        <f>BQL($C368,BUYBACK_QUERY,$C$4,"fill=prev","showheaders=f","showids=f")</f>
        <v/>
      </c>
      <c r="H368" s="102" t="n"/>
    </row>
    <row r="369">
      <c r="D369" s="99" t="n"/>
      <c r="E369" s="102" t="n"/>
      <c r="G369" s="99" t="n"/>
      <c r="H369" s="102" t="n"/>
    </row>
    <row r="370">
      <c r="D370" s="99" t="n"/>
      <c r="E370" s="102" t="n"/>
      <c r="G370" s="99" t="n"/>
      <c r="H370" s="102" t="n"/>
    </row>
    <row r="371">
      <c r="D371" s="99" t="n"/>
      <c r="E371" s="102" t="n"/>
      <c r="G371" s="99" t="n"/>
      <c r="H371" s="102" t="n"/>
    </row>
    <row r="372">
      <c r="D372" s="99" t="n"/>
      <c r="E372" s="102" t="n"/>
      <c r="G372" s="99" t="n"/>
      <c r="H372" s="102" t="n"/>
    </row>
    <row r="374">
      <c r="B374" s="2">
        <f>IF(HSI!$C$68="","",HSI!$C$68)</f>
        <v/>
      </c>
      <c r="C374" s="2">
        <f>IF(PULL_FUND="N","",IF(HSI!$C$68="","",HSI!$C$68))</f>
        <v/>
      </c>
      <c r="D374" s="101">
        <f>BDH($C374,NDE_FIELD,"-5AY","","Per=Y","cols=2;rows=5")</f>
        <v/>
      </c>
      <c r="E374" s="102" t="n"/>
      <c r="G374" s="101">
        <f>BQL($C374,BUYBACK_QUERY,$C$4,"fill=prev","showheaders=f","showids=f")</f>
        <v/>
      </c>
      <c r="H374" s="102" t="n"/>
    </row>
    <row r="375">
      <c r="D375" s="99" t="n"/>
      <c r="E375" s="102" t="n"/>
      <c r="G375" s="99" t="n"/>
      <c r="H375" s="102" t="n"/>
    </row>
    <row r="376">
      <c r="D376" s="99" t="n"/>
      <c r="E376" s="102" t="n"/>
      <c r="G376" s="99" t="n"/>
      <c r="H376" s="102" t="n"/>
    </row>
    <row r="377">
      <c r="D377" s="99" t="n"/>
      <c r="E377" s="102" t="n"/>
      <c r="G377" s="99" t="n"/>
      <c r="H377" s="102" t="n"/>
    </row>
    <row r="378">
      <c r="D378" s="99" t="n"/>
      <c r="E378" s="102" t="n"/>
      <c r="G378" s="99" t="n"/>
      <c r="H378" s="102" t="n"/>
    </row>
    <row r="380">
      <c r="B380" s="2">
        <f>IF(HSI!$C$69="","",HSI!$C$69)</f>
        <v/>
      </c>
      <c r="C380" s="2">
        <f>IF(PULL_FUND="N","",IF(HSI!$C$69="","",HSI!$C$69))</f>
        <v/>
      </c>
      <c r="D380" s="101">
        <f>BDH($C380,NDE_FIELD,"-5AY","","Per=Y","cols=2;rows=5")</f>
        <v/>
      </c>
      <c r="E380" s="102" t="n"/>
      <c r="G380" s="101">
        <f>BQL($C380,BUYBACK_QUERY,$C$4,"fill=prev","showheaders=f","showids=f")</f>
        <v/>
      </c>
      <c r="H380" s="102" t="n"/>
    </row>
    <row r="381">
      <c r="D381" s="99" t="n"/>
      <c r="E381" s="102" t="n"/>
      <c r="G381" s="99" t="n"/>
      <c r="H381" s="102" t="n"/>
    </row>
    <row r="382">
      <c r="D382" s="99" t="n"/>
      <c r="E382" s="102" t="n"/>
      <c r="G382" s="99" t="n"/>
      <c r="H382" s="102" t="n"/>
    </row>
    <row r="383">
      <c r="D383" s="99" t="n"/>
      <c r="E383" s="102" t="n"/>
      <c r="G383" s="99" t="n"/>
      <c r="H383" s="102" t="n"/>
    </row>
    <row r="384">
      <c r="D384" s="99" t="n"/>
      <c r="E384" s="102" t="n"/>
      <c r="G384" s="99" t="n"/>
      <c r="H384" s="102" t="n"/>
    </row>
    <row r="386">
      <c r="B386" s="2">
        <f>IF(HSI!$C$70="","",HSI!$C$70)</f>
        <v/>
      </c>
      <c r="C386" s="2">
        <f>IF(PULL_FUND="N","",IF(HSI!$C$70="","",HSI!$C$70))</f>
        <v/>
      </c>
      <c r="D386" s="101">
        <f>BDH($C386,NDE_FIELD,"-5AY","","Per=Y","cols=2;rows=5")</f>
        <v/>
      </c>
      <c r="E386" s="102" t="n"/>
      <c r="G386" s="101">
        <f>BQL($C386,BUYBACK_QUERY,$C$4,"fill=prev","showheaders=f","showids=f")</f>
        <v/>
      </c>
      <c r="H386" s="102" t="n"/>
    </row>
    <row r="387">
      <c r="D387" s="99" t="n"/>
      <c r="E387" s="102" t="n"/>
      <c r="G387" s="99" t="n"/>
      <c r="H387" s="102" t="n"/>
    </row>
    <row r="388">
      <c r="D388" s="99" t="n"/>
      <c r="E388" s="102" t="n"/>
      <c r="G388" s="99" t="n"/>
      <c r="H388" s="102" t="n"/>
    </row>
    <row r="389">
      <c r="D389" s="99" t="n"/>
      <c r="E389" s="102" t="n"/>
      <c r="G389" s="99" t="n"/>
      <c r="H389" s="102" t="n"/>
    </row>
    <row r="390">
      <c r="D390" s="99" t="n"/>
      <c r="E390" s="102" t="n"/>
      <c r="G390" s="99" t="n"/>
      <c r="H390" s="102" t="n"/>
    </row>
    <row r="392">
      <c r="B392" s="2">
        <f>IF(HSI!$C$71="","",HSI!$C$71)</f>
        <v/>
      </c>
      <c r="C392" s="2">
        <f>IF(PULL_FUND="N","",IF(HSI!$C$71="","",HSI!$C$71))</f>
        <v/>
      </c>
      <c r="D392" s="101">
        <f>BDH($C392,NDE_FIELD,"-5AY","","Per=Y","cols=2;rows=5")</f>
        <v/>
      </c>
      <c r="E392" s="102" t="n"/>
      <c r="G392" s="101">
        <f>BQL($C392,BUYBACK_QUERY,$C$4,"fill=prev","showheaders=f","showids=f")</f>
        <v/>
      </c>
      <c r="H392" s="102" t="n"/>
    </row>
    <row r="393">
      <c r="D393" s="99" t="n"/>
      <c r="E393" s="102" t="n"/>
      <c r="G393" s="99" t="n"/>
      <c r="H393" s="102" t="n"/>
    </row>
    <row r="394">
      <c r="D394" s="99" t="n"/>
      <c r="E394" s="102" t="n"/>
      <c r="G394" s="99" t="n"/>
      <c r="H394" s="102" t="n"/>
    </row>
    <row r="395">
      <c r="D395" s="99" t="n"/>
      <c r="E395" s="102" t="n"/>
      <c r="G395" s="99" t="n"/>
      <c r="H395" s="102" t="n"/>
    </row>
    <row r="396">
      <c r="D396" s="99" t="n"/>
      <c r="E396" s="102" t="n"/>
      <c r="G396" s="99" t="n"/>
      <c r="H396" s="102" t="n"/>
    </row>
    <row r="398">
      <c r="B398" s="2">
        <f>IF(HSI!$C$72="","",HSI!$C$72)</f>
        <v/>
      </c>
      <c r="C398" s="2">
        <f>IF(PULL_FUND="N","",IF(HSI!$C$72="","",HSI!$C$72))</f>
        <v/>
      </c>
      <c r="D398" s="101">
        <f>BDH($C398,NDE_FIELD,"-5AY","","Per=Y","cols=2;rows=5")</f>
        <v/>
      </c>
      <c r="E398" s="102" t="n"/>
      <c r="G398" s="101">
        <f>BQL($C398,BUYBACK_QUERY,$C$4,"fill=prev","showheaders=f","showids=f")</f>
        <v/>
      </c>
      <c r="H398" s="102" t="n"/>
    </row>
    <row r="399">
      <c r="D399" s="99" t="n"/>
      <c r="E399" s="102" t="n"/>
      <c r="G399" s="99" t="n"/>
      <c r="H399" s="102" t="n"/>
    </row>
    <row r="400">
      <c r="D400" s="99" t="n"/>
      <c r="E400" s="102" t="n"/>
      <c r="G400" s="99" t="n"/>
      <c r="H400" s="102" t="n"/>
    </row>
    <row r="401">
      <c r="D401" s="99" t="n"/>
      <c r="E401" s="102" t="n"/>
      <c r="G401" s="99" t="n"/>
      <c r="H401" s="102" t="n"/>
    </row>
    <row r="402">
      <c r="D402" s="99" t="n"/>
      <c r="E402" s="102" t="n"/>
      <c r="G402" s="99" t="n"/>
      <c r="H402" s="102" t="n"/>
    </row>
    <row r="404">
      <c r="B404" s="2">
        <f>IF(HSI!$C$73="","",HSI!$C$73)</f>
        <v/>
      </c>
      <c r="C404" s="2">
        <f>IF(PULL_FUND="N","",IF(HSI!$C$73="","",HSI!$C$73))</f>
        <v/>
      </c>
      <c r="D404" s="101">
        <f>BDH($C404,NDE_FIELD,"-5AY","","Per=Y","cols=2;rows=5")</f>
        <v/>
      </c>
      <c r="E404" s="102" t="n"/>
      <c r="G404" s="101">
        <f>BQL($C404,BUYBACK_QUERY,$C$4,"fill=prev","showheaders=f","showids=f")</f>
        <v/>
      </c>
      <c r="H404" s="102" t="n"/>
    </row>
    <row r="405">
      <c r="D405" s="99" t="n"/>
      <c r="E405" s="102" t="n"/>
      <c r="G405" s="99" t="n"/>
      <c r="H405" s="102" t="n"/>
    </row>
    <row r="406">
      <c r="D406" s="99" t="n"/>
      <c r="E406" s="102" t="n"/>
      <c r="G406" s="99" t="n"/>
      <c r="H406" s="102" t="n"/>
    </row>
    <row r="407">
      <c r="D407" s="99" t="n"/>
      <c r="E407" s="102" t="n"/>
      <c r="G407" s="99" t="n"/>
      <c r="H407" s="102" t="n"/>
    </row>
    <row r="408">
      <c r="D408" s="99" t="n"/>
      <c r="E408" s="102" t="n"/>
      <c r="G408" s="99" t="n"/>
      <c r="H408" s="102" t="n"/>
    </row>
    <row r="410">
      <c r="B410" s="2">
        <f>IF(HSI!$C$74="","",HSI!$C$74)</f>
        <v/>
      </c>
      <c r="C410" s="2">
        <f>IF(PULL_FUND="N","",IF(HSI!$C$74="","",HSI!$C$74))</f>
        <v/>
      </c>
      <c r="D410" s="101">
        <f>BDH($C410,NDE_FIELD,"-5AY","","Per=Y","cols=2;rows=5")</f>
        <v/>
      </c>
      <c r="E410" s="102" t="n"/>
      <c r="G410" s="101">
        <f>BQL($C410,BUYBACK_QUERY,$C$4,"fill=prev","showheaders=f","showids=f")</f>
        <v/>
      </c>
      <c r="H410" s="102" t="n"/>
    </row>
    <row r="411">
      <c r="D411" s="99" t="n"/>
      <c r="E411" s="102" t="n"/>
      <c r="G411" s="99" t="n"/>
      <c r="H411" s="102" t="n"/>
    </row>
    <row r="412">
      <c r="D412" s="99" t="n"/>
      <c r="E412" s="102" t="n"/>
      <c r="G412" s="99" t="n"/>
      <c r="H412" s="102" t="n"/>
    </row>
    <row r="413">
      <c r="D413" s="99" t="n"/>
      <c r="E413" s="102" t="n"/>
      <c r="G413" s="99" t="n"/>
      <c r="H413" s="102" t="n"/>
    </row>
    <row r="414">
      <c r="D414" s="99" t="n"/>
      <c r="E414" s="102" t="n"/>
      <c r="G414" s="99" t="n"/>
      <c r="H414" s="102" t="n"/>
    </row>
    <row r="416">
      <c r="B416" s="2">
        <f>IF(HSI!$C$75="","",HSI!$C$75)</f>
        <v/>
      </c>
      <c r="C416" s="2">
        <f>IF(PULL_FUND="N","",IF(HSI!$C$75="","",HSI!$C$75))</f>
        <v/>
      </c>
      <c r="D416" s="101">
        <f>BDH($C416,NDE_FIELD,"-5AY","","Per=Y","cols=2;rows=5")</f>
        <v/>
      </c>
      <c r="E416" s="102" t="n"/>
      <c r="G416" s="101">
        <f>BQL($C416,BUYBACK_QUERY,$C$4,"fill=prev","showheaders=f","showids=f")</f>
        <v/>
      </c>
      <c r="H416" s="102" t="n"/>
    </row>
    <row r="417">
      <c r="D417" s="99" t="n"/>
      <c r="E417" s="102" t="n"/>
      <c r="G417" s="99" t="n"/>
      <c r="H417" s="102" t="n"/>
    </row>
    <row r="418">
      <c r="D418" s="99" t="n"/>
      <c r="E418" s="102" t="n"/>
      <c r="G418" s="99" t="n"/>
      <c r="H418" s="102" t="n"/>
    </row>
    <row r="419">
      <c r="D419" s="99" t="n"/>
      <c r="E419" s="102" t="n"/>
      <c r="G419" s="99" t="n"/>
      <c r="H419" s="102" t="n"/>
    </row>
    <row r="420">
      <c r="D420" s="99" t="n"/>
      <c r="E420" s="102" t="n"/>
      <c r="G420" s="99" t="n"/>
      <c r="H420" s="102" t="n"/>
    </row>
    <row r="422">
      <c r="B422" s="2">
        <f>IF(HSI!$C$76="","",HSI!$C$76)</f>
        <v/>
      </c>
      <c r="C422" s="2">
        <f>IF(PULL_FUND="N","",IF(HSI!$C$76="","",HSI!$C$76))</f>
        <v/>
      </c>
      <c r="D422" s="101">
        <f>BDH($C422,NDE_FIELD,"-5AY","","Per=Y","cols=2;rows=5")</f>
        <v/>
      </c>
      <c r="E422" s="102" t="n"/>
      <c r="G422" s="101">
        <f>BQL($C422,BUYBACK_QUERY,$C$4,"fill=prev","showheaders=f","showids=f")</f>
        <v/>
      </c>
      <c r="H422" s="102" t="n"/>
    </row>
    <row r="423">
      <c r="D423" s="99" t="n"/>
      <c r="E423" s="102" t="n"/>
      <c r="G423" s="99" t="n"/>
      <c r="H423" s="102" t="n"/>
    </row>
    <row r="424">
      <c r="D424" s="99" t="n"/>
      <c r="E424" s="102" t="n"/>
      <c r="G424" s="99" t="n"/>
      <c r="H424" s="102" t="n"/>
    </row>
    <row r="425">
      <c r="D425" s="99" t="n"/>
      <c r="E425" s="102" t="n"/>
      <c r="G425" s="99" t="n"/>
      <c r="H425" s="102" t="n"/>
    </row>
    <row r="426">
      <c r="D426" s="99" t="n"/>
      <c r="E426" s="102" t="n"/>
      <c r="G426" s="99" t="n"/>
      <c r="H426" s="102" t="n"/>
    </row>
    <row r="428">
      <c r="B428" s="2">
        <f>IF(HSI!$C$77="","",HSI!$C$77)</f>
        <v/>
      </c>
      <c r="C428" s="2">
        <f>IF(PULL_FUND="N","",IF(HSI!$C$77="","",HSI!$C$77))</f>
        <v/>
      </c>
      <c r="D428" s="101">
        <f>BDH($C428,NDE_FIELD,"-5AY","","Per=Y","cols=2;rows=5")</f>
        <v/>
      </c>
      <c r="E428" s="102" t="n"/>
      <c r="G428" s="101">
        <f>BQL($C428,BUYBACK_QUERY,$C$4,"fill=prev","showheaders=f","showids=f")</f>
        <v/>
      </c>
      <c r="H428" s="102" t="n"/>
    </row>
    <row r="429">
      <c r="D429" s="99" t="n"/>
      <c r="E429" s="102" t="n"/>
      <c r="G429" s="99" t="n"/>
      <c r="H429" s="102" t="n"/>
    </row>
    <row r="430">
      <c r="D430" s="99" t="n"/>
      <c r="E430" s="102" t="n"/>
      <c r="G430" s="99" t="n"/>
      <c r="H430" s="102" t="n"/>
    </row>
    <row r="431">
      <c r="D431" s="99" t="n"/>
      <c r="E431" s="102" t="n"/>
      <c r="G431" s="99" t="n"/>
      <c r="H431" s="102" t="n"/>
    </row>
    <row r="432">
      <c r="D432" s="99" t="n"/>
      <c r="E432" s="102" t="n"/>
      <c r="G432" s="99" t="n"/>
      <c r="H432" s="102" t="n"/>
    </row>
    <row r="434">
      <c r="B434" s="2">
        <f>IF(HSI!$C$78="","",HSI!$C$78)</f>
        <v/>
      </c>
      <c r="C434" s="2">
        <f>IF(PULL_FUND="N","",IF(HSI!$C$78="","",HSI!$C$78))</f>
        <v/>
      </c>
      <c r="D434" s="101">
        <f>BDH($C434,NDE_FIELD,"-5AY","","Per=Y","cols=2;rows=5")</f>
        <v/>
      </c>
      <c r="E434" s="102" t="n"/>
      <c r="G434" s="101">
        <f>BQL($C434,BUYBACK_QUERY,$C$4,"fill=prev","showheaders=f","showids=f")</f>
        <v/>
      </c>
      <c r="H434" s="102" t="n"/>
    </row>
    <row r="435">
      <c r="D435" s="99" t="n"/>
      <c r="E435" s="102" t="n"/>
      <c r="G435" s="99" t="n"/>
      <c r="H435" s="102" t="n"/>
    </row>
    <row r="436">
      <c r="D436" s="99" t="n"/>
      <c r="E436" s="102" t="n"/>
      <c r="G436" s="99" t="n"/>
      <c r="H436" s="102" t="n"/>
    </row>
    <row r="437">
      <c r="D437" s="99" t="n"/>
      <c r="E437" s="102" t="n"/>
      <c r="G437" s="99" t="n"/>
      <c r="H437" s="102" t="n"/>
    </row>
    <row r="438">
      <c r="D438" s="99" t="n"/>
      <c r="E438" s="102" t="n"/>
      <c r="G438" s="99" t="n"/>
      <c r="H438" s="102" t="n"/>
    </row>
    <row r="440">
      <c r="B440" s="2">
        <f>IF(HSI!$C$79="","",HSI!$C$79)</f>
        <v/>
      </c>
      <c r="C440" s="2">
        <f>IF(PULL_FUND="N","",IF(HSI!$C$79="","",HSI!$C$79))</f>
        <v/>
      </c>
      <c r="D440" s="101">
        <f>BDH($C440,NDE_FIELD,"-5AY","","Per=Y","cols=2;rows=5")</f>
        <v/>
      </c>
      <c r="E440" s="102" t="n"/>
      <c r="G440" s="101">
        <f>BQL($C440,BUYBACK_QUERY,$C$4,"fill=prev","showheaders=f","showids=f")</f>
        <v/>
      </c>
      <c r="H440" s="102" t="n"/>
    </row>
    <row r="441">
      <c r="D441" s="99" t="n"/>
      <c r="E441" s="102" t="n"/>
      <c r="G441" s="99" t="n"/>
      <c r="H441" s="102" t="n"/>
    </row>
    <row r="442">
      <c r="D442" s="99" t="n"/>
      <c r="E442" s="102" t="n"/>
      <c r="G442" s="99" t="n"/>
      <c r="H442" s="102" t="n"/>
    </row>
    <row r="443">
      <c r="D443" s="99" t="n"/>
      <c r="E443" s="102" t="n"/>
      <c r="G443" s="99" t="n"/>
      <c r="H443" s="102" t="n"/>
    </row>
    <row r="444">
      <c r="D444" s="99" t="n"/>
      <c r="E444" s="102" t="n"/>
      <c r="G444" s="99" t="n"/>
      <c r="H444" s="102" t="n"/>
    </row>
    <row r="446">
      <c r="B446" s="2">
        <f>IF(HSI!$C$80="","",HSI!$C$80)</f>
        <v/>
      </c>
      <c r="C446" s="2">
        <f>IF(PULL_FUND="N","",IF(HSI!$C$80="","",HSI!$C$80))</f>
        <v/>
      </c>
      <c r="D446" s="101">
        <f>BDH($C446,NDE_FIELD,"-5AY","","Per=Y","cols=2;rows=5")</f>
        <v/>
      </c>
      <c r="E446" s="102" t="n"/>
      <c r="G446" s="101">
        <f>BQL($C446,BUYBACK_QUERY,$C$4,"fill=prev","showheaders=f","showids=f")</f>
        <v/>
      </c>
      <c r="H446" s="102" t="n"/>
    </row>
    <row r="447">
      <c r="D447" s="99" t="n"/>
      <c r="E447" s="102" t="n"/>
      <c r="G447" s="99" t="n"/>
      <c r="H447" s="102" t="n"/>
    </row>
    <row r="448">
      <c r="D448" s="99" t="n"/>
      <c r="E448" s="102" t="n"/>
      <c r="G448" s="99" t="n"/>
      <c r="H448" s="102" t="n"/>
    </row>
    <row r="449">
      <c r="D449" s="99" t="n"/>
      <c r="E449" s="102" t="n"/>
      <c r="G449" s="99" t="n"/>
      <c r="H449" s="102" t="n"/>
    </row>
    <row r="450">
      <c r="D450" s="99" t="n"/>
      <c r="E450" s="102" t="n"/>
      <c r="G450" s="99" t="n"/>
      <c r="H450" s="102" t="n"/>
    </row>
    <row r="452">
      <c r="B452" s="2">
        <f>IF(HSI!$C$81="","",HSI!$C$81)</f>
        <v/>
      </c>
      <c r="C452" s="2">
        <f>IF(PULL_FUND="N","",IF(HSI!$C$81="","",HSI!$C$81))</f>
        <v/>
      </c>
      <c r="D452" s="101">
        <f>BDH($C452,NDE_FIELD,"-5AY","","Per=Y","cols=2;rows=5")</f>
        <v/>
      </c>
      <c r="E452" s="102" t="n"/>
      <c r="G452" s="101">
        <f>BQL($C452,BUYBACK_QUERY,$C$4,"fill=prev","showheaders=f","showids=f")</f>
        <v/>
      </c>
      <c r="H452" s="102" t="n"/>
    </row>
    <row r="453">
      <c r="D453" s="99" t="n"/>
      <c r="E453" s="102" t="n"/>
      <c r="G453" s="99" t="n"/>
      <c r="H453" s="102" t="n"/>
    </row>
    <row r="454">
      <c r="D454" s="99" t="n"/>
      <c r="E454" s="102" t="n"/>
      <c r="G454" s="99" t="n"/>
      <c r="H454" s="102" t="n"/>
    </row>
    <row r="455">
      <c r="D455" s="99" t="n"/>
      <c r="E455" s="102" t="n"/>
      <c r="G455" s="99" t="n"/>
      <c r="H455" s="102" t="n"/>
    </row>
    <row r="456">
      <c r="D456" s="99" t="n"/>
      <c r="E456" s="102" t="n"/>
      <c r="G456" s="99" t="n"/>
      <c r="H456" s="102" t="n"/>
    </row>
    <row r="458">
      <c r="B458" s="2">
        <f>IF(HSI!$C$82="","",HSI!$C$82)</f>
        <v/>
      </c>
      <c r="C458" s="2">
        <f>IF(PULL_FUND="N","",IF(HSI!$C$82="","",HSI!$C$82))</f>
        <v/>
      </c>
      <c r="D458" s="101">
        <f>BDH($C458,NDE_FIELD,"-5AY","","Per=Y","cols=2;rows=5")</f>
        <v/>
      </c>
      <c r="E458" s="102" t="n"/>
      <c r="G458" s="101">
        <f>BQL($C458,BUYBACK_QUERY,$C$4,"fill=prev","showheaders=f","showids=f")</f>
        <v/>
      </c>
      <c r="H458" s="102" t="n"/>
    </row>
    <row r="459">
      <c r="D459" s="99" t="n"/>
      <c r="E459" s="102" t="n"/>
      <c r="G459" s="99" t="n"/>
      <c r="H459" s="102" t="n"/>
    </row>
    <row r="460">
      <c r="D460" s="99" t="n"/>
      <c r="E460" s="102" t="n"/>
      <c r="G460" s="99" t="n"/>
      <c r="H460" s="102" t="n"/>
    </row>
    <row r="461">
      <c r="D461" s="99" t="n"/>
      <c r="E461" s="102" t="n"/>
      <c r="G461" s="99" t="n"/>
      <c r="H461" s="102" t="n"/>
    </row>
    <row r="462">
      <c r="D462" s="99" t="n"/>
      <c r="E462" s="102" t="n"/>
      <c r="G462" s="99" t="n"/>
      <c r="H462" s="102" t="n"/>
    </row>
    <row r="464">
      <c r="B464" s="2">
        <f>IF(HSI!$C$83="","",HSI!$C$83)</f>
        <v/>
      </c>
      <c r="C464" s="2">
        <f>IF(PULL_FUND="N","",IF(HSI!$C$83="","",HSI!$C$83))</f>
        <v/>
      </c>
      <c r="D464" s="101">
        <f>BDH($C464,NDE_FIELD,"-5AY","","Per=Y","cols=2;rows=5")</f>
        <v/>
      </c>
      <c r="E464" s="102" t="n"/>
      <c r="G464" s="101">
        <f>BQL($C464,BUYBACK_QUERY,$C$4,"fill=prev","showheaders=f","showids=f")</f>
        <v/>
      </c>
      <c r="H464" s="102" t="n"/>
    </row>
    <row r="465">
      <c r="D465" s="99" t="n"/>
      <c r="E465" s="102" t="n"/>
      <c r="G465" s="99" t="n"/>
      <c r="H465" s="102" t="n"/>
    </row>
    <row r="466">
      <c r="D466" s="99" t="n"/>
      <c r="E466" s="102" t="n"/>
      <c r="G466" s="99" t="n"/>
      <c r="H466" s="102" t="n"/>
    </row>
    <row r="467">
      <c r="D467" s="99" t="n"/>
      <c r="E467" s="102" t="n"/>
      <c r="G467" s="99" t="n"/>
      <c r="H467" s="102" t="n"/>
    </row>
    <row r="468">
      <c r="D468" s="99" t="n"/>
      <c r="E468" s="102" t="n"/>
      <c r="G468" s="99" t="n"/>
      <c r="H468" s="102" t="n"/>
    </row>
    <row r="470">
      <c r="B470" s="2">
        <f>IF(HSI!$C$84="","",HSI!$C$84)</f>
        <v/>
      </c>
      <c r="C470" s="2">
        <f>IF(PULL_FUND="N","",IF(HSI!$C$84="","",HSI!$C$84))</f>
        <v/>
      </c>
      <c r="D470" s="101">
        <f>BDH($C470,NDE_FIELD,"-5AY","","Per=Y","cols=2;rows=5")</f>
        <v/>
      </c>
      <c r="E470" s="102" t="n"/>
      <c r="G470" s="101">
        <f>BQL($C470,BUYBACK_QUERY,$C$4,"fill=prev","showheaders=f","showids=f")</f>
        <v/>
      </c>
      <c r="H470" s="102" t="n"/>
    </row>
    <row r="471">
      <c r="D471" s="99" t="n"/>
      <c r="E471" s="102" t="n"/>
      <c r="G471" s="99" t="n"/>
      <c r="H471" s="102" t="n"/>
    </row>
    <row r="472">
      <c r="D472" s="99" t="n"/>
      <c r="E472" s="102" t="n"/>
      <c r="G472" s="99" t="n"/>
      <c r="H472" s="102" t="n"/>
    </row>
    <row r="473">
      <c r="D473" s="99" t="n"/>
      <c r="E473" s="102" t="n"/>
      <c r="G473" s="99" t="n"/>
      <c r="H473" s="102" t="n"/>
    </row>
    <row r="474">
      <c r="D474" s="99" t="n"/>
      <c r="E474" s="102" t="n"/>
      <c r="G474" s="99" t="n"/>
      <c r="H474" s="102" t="n"/>
    </row>
    <row r="476">
      <c r="B476" s="2">
        <f>IF(HSI!$C$85="","",HSI!$C$85)</f>
        <v/>
      </c>
      <c r="C476" s="2">
        <f>IF(PULL_FUND="N","",IF(HSI!$C$85="","",HSI!$C$85))</f>
        <v/>
      </c>
      <c r="D476" s="101">
        <f>BDH($C476,NDE_FIELD,"-5AY","","Per=Y","cols=2;rows=5")</f>
        <v/>
      </c>
      <c r="E476" s="102" t="n"/>
      <c r="G476" s="101">
        <f>BQL($C476,BUYBACK_QUERY,$C$4,"fill=prev","showheaders=f","showids=f")</f>
        <v/>
      </c>
      <c r="H476" s="102" t="n"/>
    </row>
    <row r="477">
      <c r="D477" s="99" t="n"/>
      <c r="E477" s="102" t="n"/>
      <c r="G477" s="99" t="n"/>
      <c r="H477" s="102" t="n"/>
    </row>
    <row r="478">
      <c r="D478" s="99" t="n"/>
      <c r="E478" s="102" t="n"/>
      <c r="G478" s="99" t="n"/>
      <c r="H478" s="102" t="n"/>
    </row>
    <row r="479">
      <c r="D479" s="99" t="n"/>
      <c r="E479" s="102" t="n"/>
      <c r="G479" s="99" t="n"/>
      <c r="H479" s="102" t="n"/>
    </row>
    <row r="480">
      <c r="D480" s="99" t="n"/>
      <c r="E480" s="102" t="n"/>
      <c r="G480" s="99" t="n"/>
      <c r="H480" s="102" t="n"/>
    </row>
    <row r="482">
      <c r="B482" s="2">
        <f>IF(HSI!$C$86="","",HSI!$C$86)</f>
        <v/>
      </c>
      <c r="C482" s="2">
        <f>IF(PULL_FUND="N","",IF(HSI!$C$86="","",HSI!$C$86))</f>
        <v/>
      </c>
      <c r="D482" s="101">
        <f>BDH($C482,NDE_FIELD,"-5AY","","Per=Y","cols=2;rows=5")</f>
        <v/>
      </c>
      <c r="E482" s="102" t="n"/>
      <c r="G482" s="101">
        <f>BQL($C482,BUYBACK_QUERY,$C$4,"fill=prev","showheaders=f","showids=f")</f>
        <v/>
      </c>
      <c r="H482" s="102" t="n"/>
    </row>
    <row r="483">
      <c r="D483" s="99" t="n"/>
      <c r="E483" s="102" t="n"/>
      <c r="G483" s="99" t="n"/>
      <c r="H483" s="102" t="n"/>
    </row>
    <row r="484">
      <c r="D484" s="99" t="n"/>
      <c r="E484" s="102" t="n"/>
      <c r="G484" s="99" t="n"/>
      <c r="H484" s="102" t="n"/>
    </row>
    <row r="485">
      <c r="D485" s="99" t="n"/>
      <c r="E485" s="102" t="n"/>
      <c r="G485" s="99" t="n"/>
      <c r="H485" s="102" t="n"/>
    </row>
    <row r="486">
      <c r="D486" s="99" t="n"/>
      <c r="E486" s="102" t="n"/>
      <c r="G486" s="99" t="n"/>
      <c r="H486" s="102" t="n"/>
    </row>
    <row r="488">
      <c r="B488" s="2">
        <f>IF(HSI!$C$87="","",HSI!$C$87)</f>
        <v/>
      </c>
      <c r="C488" s="2">
        <f>IF(PULL_FUND="N","",IF(HSI!$C$87="","",HSI!$C$87))</f>
        <v/>
      </c>
      <c r="D488" s="101">
        <f>BDH($C488,NDE_FIELD,"-5AY","","Per=Y","cols=2;rows=5")</f>
        <v/>
      </c>
      <c r="E488" s="102" t="n"/>
      <c r="G488" s="101">
        <f>BQL($C488,BUYBACK_QUERY,$C$4,"fill=prev","showheaders=f","showids=f")</f>
        <v/>
      </c>
      <c r="H488" s="102" t="n"/>
    </row>
    <row r="489">
      <c r="D489" s="99" t="n"/>
      <c r="E489" s="102" t="n"/>
      <c r="G489" s="99" t="n"/>
      <c r="H489" s="102" t="n"/>
    </row>
    <row r="490">
      <c r="D490" s="99" t="n"/>
      <c r="E490" s="102" t="n"/>
      <c r="G490" s="99" t="n"/>
      <c r="H490" s="102" t="n"/>
    </row>
    <row r="491">
      <c r="D491" s="99" t="n"/>
      <c r="E491" s="102" t="n"/>
      <c r="G491" s="99" t="n"/>
      <c r="H491" s="102" t="n"/>
    </row>
    <row r="492">
      <c r="D492" s="99" t="n"/>
      <c r="E492" s="102" t="n"/>
      <c r="G492" s="99" t="n"/>
      <c r="H492" s="102" t="n"/>
    </row>
    <row r="494">
      <c r="B494" s="2">
        <f>IF(HSI!$C$88="","",HSI!$C$88)</f>
        <v/>
      </c>
      <c r="C494" s="2">
        <f>IF(PULL_FUND="N","",IF(HSI!$C$88="","",HSI!$C$88))</f>
        <v/>
      </c>
      <c r="D494" s="101">
        <f>BDH($C494,NDE_FIELD,"-5AY","","Per=Y","cols=2;rows=5")</f>
        <v/>
      </c>
      <c r="E494" s="102" t="n"/>
      <c r="G494" s="101">
        <f>BQL($C494,BUYBACK_QUERY,$C$4,"fill=prev","showheaders=f","showids=f")</f>
        <v/>
      </c>
      <c r="H494" s="102" t="n"/>
    </row>
    <row r="495">
      <c r="D495" s="99" t="n"/>
      <c r="E495" s="102" t="n"/>
      <c r="G495" s="99" t="n"/>
      <c r="H495" s="102" t="n"/>
    </row>
    <row r="496">
      <c r="D496" s="99" t="n"/>
      <c r="E496" s="102" t="n"/>
      <c r="G496" s="99" t="n"/>
      <c r="H496" s="102" t="n"/>
    </row>
    <row r="497">
      <c r="D497" s="99" t="n"/>
      <c r="E497" s="102" t="n"/>
      <c r="G497" s="99" t="n"/>
      <c r="H497" s="102" t="n"/>
    </row>
    <row r="498">
      <c r="D498" s="99" t="n"/>
      <c r="E498" s="102" t="n"/>
      <c r="G498" s="99" t="n"/>
      <c r="H498" s="102" t="n"/>
    </row>
    <row r="500">
      <c r="B500" s="2">
        <f>IF(HSI!$C$89="","",HSI!$C$89)</f>
        <v/>
      </c>
      <c r="C500" s="2">
        <f>IF(PULL_FUND="N","",IF(HSI!$C$89="","",HSI!$C$89))</f>
        <v/>
      </c>
      <c r="D500" s="101">
        <f>BDH($C500,NDE_FIELD,"-5AY","","Per=Y","cols=2;rows=5")</f>
        <v/>
      </c>
      <c r="E500" s="102" t="n"/>
      <c r="G500" s="101">
        <f>BQL($C500,BUYBACK_QUERY,$C$4,"fill=prev","showheaders=f","showids=f")</f>
        <v/>
      </c>
      <c r="H500" s="102" t="n"/>
    </row>
    <row r="501">
      <c r="D501" s="99" t="n"/>
      <c r="E501" s="102" t="n"/>
      <c r="G501" s="99" t="n"/>
      <c r="H501" s="102" t="n"/>
    </row>
    <row r="502">
      <c r="D502" s="99" t="n"/>
      <c r="E502" s="102" t="n"/>
      <c r="G502" s="99" t="n"/>
      <c r="H502" s="102" t="n"/>
    </row>
    <row r="503">
      <c r="D503" s="99" t="n"/>
      <c r="E503" s="102" t="n"/>
      <c r="G503" s="99" t="n"/>
      <c r="H503" s="102" t="n"/>
    </row>
    <row r="504">
      <c r="D504" s="99" t="n"/>
      <c r="E504" s="102" t="n"/>
      <c r="G504" s="99" t="n"/>
      <c r="H504" s="102" t="n"/>
    </row>
    <row r="506">
      <c r="B506" s="2">
        <f>IF(HSI!$C$90="","",HSI!$C$90)</f>
        <v/>
      </c>
      <c r="C506" s="2">
        <f>IF(PULL_FUND="N","",IF(HSI!$C$90="","",HSI!$C$90))</f>
        <v/>
      </c>
      <c r="D506" s="101">
        <f>BDH($C506,NDE_FIELD,"-5AY","","Per=Y","cols=2;rows=5")</f>
        <v/>
      </c>
      <c r="E506" s="102" t="n"/>
      <c r="G506" s="101">
        <f>BQL($C506,BUYBACK_QUERY,$C$4,"fill=prev","showheaders=f","showids=f")</f>
        <v/>
      </c>
      <c r="H506" s="102" t="n"/>
    </row>
    <row r="507">
      <c r="D507" s="99" t="n"/>
      <c r="E507" s="102" t="n"/>
      <c r="G507" s="99" t="n"/>
      <c r="H507" s="102" t="n"/>
    </row>
    <row r="508">
      <c r="D508" s="99" t="n"/>
      <c r="E508" s="102" t="n"/>
      <c r="G508" s="99" t="n"/>
      <c r="H508" s="102" t="n"/>
    </row>
    <row r="509">
      <c r="D509" s="99" t="n"/>
      <c r="E509" s="102" t="n"/>
      <c r="G509" s="99" t="n"/>
      <c r="H509" s="102" t="n"/>
    </row>
    <row r="510">
      <c r="D510" s="99" t="n"/>
      <c r="E510" s="102" t="n"/>
      <c r="G510" s="99" t="n"/>
      <c r="H510" s="102" t="n"/>
    </row>
    <row r="512">
      <c r="B512" s="2">
        <f>IF(HSI!$C$91="","",HSI!$C$91)</f>
        <v/>
      </c>
      <c r="C512" s="2">
        <f>IF(PULL_FUND="N","",IF(HSI!$C$91="","",HSI!$C$91))</f>
        <v/>
      </c>
      <c r="D512" s="101">
        <f>BDH($C512,NDE_FIELD,"-5AY","","Per=Y","cols=2;rows=5")</f>
        <v/>
      </c>
      <c r="E512" s="102" t="n"/>
      <c r="G512" s="101">
        <f>BQL($C512,BUYBACK_QUERY,$C$4,"fill=prev","showheaders=f","showids=f")</f>
        <v/>
      </c>
      <c r="H512" s="102" t="n"/>
    </row>
    <row r="513">
      <c r="D513" s="99" t="n"/>
      <c r="E513" s="102" t="n"/>
      <c r="G513" s="99" t="n"/>
      <c r="H513" s="102" t="n"/>
    </row>
    <row r="514">
      <c r="D514" s="99" t="n"/>
      <c r="E514" s="102" t="n"/>
      <c r="G514" s="99" t="n"/>
      <c r="H514" s="102" t="n"/>
    </row>
    <row r="515">
      <c r="D515" s="99" t="n"/>
      <c r="E515" s="102" t="n"/>
      <c r="G515" s="99" t="n"/>
      <c r="H515" s="102" t="n"/>
    </row>
    <row r="516">
      <c r="D516" s="99" t="n"/>
      <c r="E516" s="102" t="n"/>
      <c r="G516" s="99" t="n"/>
      <c r="H516" s="102" t="n"/>
    </row>
    <row r="518">
      <c r="B518" s="2">
        <f>IF(HSI!$C$92="","",HSI!$C$92)</f>
        <v/>
      </c>
      <c r="C518" s="2">
        <f>IF(PULL_FUND="N","",IF(HSI!$C$92="","",HSI!$C$92))</f>
        <v/>
      </c>
      <c r="D518" s="101">
        <f>BDH($C518,NDE_FIELD,"-5AY","","Per=Y","cols=2;rows=5")</f>
        <v/>
      </c>
      <c r="E518" s="102" t="n"/>
      <c r="G518" s="101">
        <f>BQL($C518,BUYBACK_QUERY,$C$4,"fill=prev","showheaders=f","showids=f")</f>
        <v/>
      </c>
      <c r="H518" s="102" t="n"/>
    </row>
    <row r="519">
      <c r="D519" s="99" t="n"/>
      <c r="E519" s="102" t="n"/>
      <c r="G519" s="99" t="n"/>
      <c r="H519" s="102" t="n"/>
    </row>
    <row r="520">
      <c r="D520" s="99" t="n"/>
      <c r="E520" s="102" t="n"/>
      <c r="G520" s="99" t="n"/>
      <c r="H520" s="102" t="n"/>
    </row>
    <row r="521">
      <c r="D521" s="99" t="n"/>
      <c r="E521" s="102" t="n"/>
      <c r="G521" s="99" t="n"/>
      <c r="H521" s="102" t="n"/>
    </row>
    <row r="522">
      <c r="D522" s="99" t="n"/>
      <c r="E522" s="102" t="n"/>
      <c r="G522" s="99" t="n"/>
      <c r="H522" s="102" t="n"/>
    </row>
    <row r="524">
      <c r="B524" s="2">
        <f>IF(HSI!$C$93="","",HSI!$C$93)</f>
        <v/>
      </c>
      <c r="C524" s="2">
        <f>IF(PULL_FUND="N","",IF(HSI!$C$93="","",HSI!$C$93))</f>
        <v/>
      </c>
      <c r="D524" s="101">
        <f>BDH($C524,NDE_FIELD,"-5AY","","Per=Y","cols=2;rows=5")</f>
        <v/>
      </c>
      <c r="E524" s="102" t="n"/>
      <c r="G524" s="101">
        <f>BQL($C524,BUYBACK_QUERY,$C$4,"fill=prev","showheaders=f","showids=f")</f>
        <v/>
      </c>
      <c r="H524" s="102" t="n"/>
    </row>
    <row r="525">
      <c r="D525" s="99" t="n"/>
      <c r="E525" s="102" t="n"/>
      <c r="G525" s="99" t="n"/>
      <c r="H525" s="102" t="n"/>
    </row>
    <row r="526">
      <c r="D526" s="99" t="n"/>
      <c r="E526" s="102" t="n"/>
      <c r="G526" s="99" t="n"/>
      <c r="H526" s="102" t="n"/>
    </row>
    <row r="527">
      <c r="D527" s="99" t="n"/>
      <c r="E527" s="102" t="n"/>
      <c r="G527" s="99" t="n"/>
      <c r="H527" s="102" t="n"/>
    </row>
    <row r="528">
      <c r="D528" s="99" t="n"/>
      <c r="E528" s="102" t="n"/>
      <c r="G528" s="99" t="n"/>
      <c r="H528" s="102" t="n"/>
    </row>
    <row r="530">
      <c r="B530" s="2">
        <f>IF(HSI!$C$94="","",HSI!$C$94)</f>
        <v/>
      </c>
      <c r="C530" s="2">
        <f>IF(PULL_FUND="N","",IF(HSI!$C$94="","",HSI!$C$94))</f>
        <v/>
      </c>
      <c r="D530" s="101">
        <f>BDH($C530,NDE_FIELD,"-5AY","","Per=Y","cols=2;rows=5")</f>
        <v/>
      </c>
      <c r="E530" s="102" t="n"/>
      <c r="G530" s="101">
        <f>BQL($C530,BUYBACK_QUERY,$C$4,"fill=prev","showheaders=f","showids=f")</f>
        <v/>
      </c>
      <c r="H530" s="102" t="n"/>
    </row>
    <row r="531">
      <c r="D531" s="99" t="n"/>
      <c r="E531" s="102" t="n"/>
      <c r="G531" s="99" t="n"/>
      <c r="H531" s="102" t="n"/>
    </row>
    <row r="532">
      <c r="D532" s="99" t="n"/>
      <c r="E532" s="102" t="n"/>
      <c r="G532" s="99" t="n"/>
      <c r="H532" s="102" t="n"/>
    </row>
    <row r="533">
      <c r="D533" s="99" t="n"/>
      <c r="E533" s="102" t="n"/>
      <c r="G533" s="99" t="n"/>
      <c r="H533" s="102" t="n"/>
    </row>
    <row r="534">
      <c r="D534" s="99" t="n"/>
      <c r="E534" s="102" t="n"/>
      <c r="G534" s="99" t="n"/>
      <c r="H534" s="102" t="n"/>
    </row>
    <row r="536">
      <c r="B536" s="2">
        <f>IF(HSI!$C$95="","",HSI!$C$95)</f>
        <v/>
      </c>
      <c r="C536" s="2">
        <f>IF(PULL_FUND="N","",IF(HSI!$C$95="","",HSI!$C$95))</f>
        <v/>
      </c>
      <c r="D536" s="101">
        <f>BDH($C536,NDE_FIELD,"-5AY","","Per=Y","cols=2;rows=5")</f>
        <v/>
      </c>
      <c r="E536" s="102" t="n"/>
      <c r="G536" s="101">
        <f>BQL($C536,BUYBACK_QUERY,$C$4,"fill=prev","showheaders=f","showids=f")</f>
        <v/>
      </c>
      <c r="H536" s="102" t="n"/>
    </row>
    <row r="537">
      <c r="D537" s="99" t="n"/>
      <c r="E537" s="102" t="n"/>
      <c r="G537" s="99" t="n"/>
      <c r="H537" s="102" t="n"/>
    </row>
    <row r="538">
      <c r="D538" s="99" t="n"/>
      <c r="E538" s="102" t="n"/>
      <c r="G538" s="99" t="n"/>
      <c r="H538" s="102" t="n"/>
    </row>
    <row r="539">
      <c r="D539" s="99" t="n"/>
      <c r="E539" s="102" t="n"/>
      <c r="G539" s="99" t="n"/>
      <c r="H539" s="102" t="n"/>
    </row>
    <row r="540">
      <c r="D540" s="99" t="n"/>
      <c r="E540" s="102" t="n"/>
      <c r="G540" s="99" t="n"/>
      <c r="H540" s="102" t="n"/>
    </row>
    <row r="542">
      <c r="B542" s="2">
        <f>IF(HSI!$C$96="","",HSI!$C$96)</f>
        <v/>
      </c>
      <c r="C542" s="2">
        <f>IF(PULL_FUND="N","",IF(HSI!$C$96="","",HSI!$C$96))</f>
        <v/>
      </c>
      <c r="D542" s="101">
        <f>BDH($C542,NDE_FIELD,"-5AY","","Per=Y","cols=2;rows=5")</f>
        <v/>
      </c>
      <c r="E542" s="102" t="n"/>
      <c r="G542" s="101">
        <f>BQL($C542,BUYBACK_QUERY,$C$4,"fill=prev","showheaders=f","showids=f")</f>
        <v/>
      </c>
      <c r="H542" s="102" t="n"/>
    </row>
    <row r="543">
      <c r="D543" s="99" t="n"/>
      <c r="E543" s="102" t="n"/>
      <c r="G543" s="99" t="n"/>
      <c r="H543" s="102" t="n"/>
    </row>
    <row r="544">
      <c r="D544" s="99" t="n"/>
      <c r="E544" s="102" t="n"/>
      <c r="G544" s="99" t="n"/>
      <c r="H544" s="102" t="n"/>
    </row>
    <row r="545">
      <c r="D545" s="99" t="n"/>
      <c r="E545" s="102" t="n"/>
      <c r="G545" s="99" t="n"/>
      <c r="H545" s="102" t="n"/>
    </row>
    <row r="546">
      <c r="D546" s="99" t="n"/>
      <c r="E546" s="102" t="n"/>
      <c r="G546" s="99" t="n"/>
      <c r="H546" s="102" t="n"/>
    </row>
    <row r="548">
      <c r="B548" s="2">
        <f>IF(HSI!$C$97="","",HSI!$C$97)</f>
        <v/>
      </c>
      <c r="C548" s="2">
        <f>IF(PULL_FUND="N","",IF(HSI!$C$97="","",HSI!$C$97))</f>
        <v/>
      </c>
      <c r="D548" s="101">
        <f>BDH($C548,NDE_FIELD,"-5AY","","Per=Y","cols=2;rows=5")</f>
        <v/>
      </c>
      <c r="E548" s="102" t="n"/>
      <c r="G548" s="101">
        <f>BQL($C548,BUYBACK_QUERY,$C$4,"fill=prev","showheaders=f","showids=f")</f>
        <v/>
      </c>
      <c r="H548" s="102" t="n"/>
    </row>
    <row r="549">
      <c r="D549" s="99" t="n"/>
      <c r="E549" s="102" t="n"/>
      <c r="G549" s="99" t="n"/>
      <c r="H549" s="102" t="n"/>
    </row>
    <row r="550">
      <c r="D550" s="99" t="n"/>
      <c r="E550" s="102" t="n"/>
      <c r="G550" s="99" t="n"/>
      <c r="H550" s="102" t="n"/>
    </row>
    <row r="551">
      <c r="D551" s="99" t="n"/>
      <c r="E551" s="102" t="n"/>
      <c r="G551" s="99" t="n"/>
      <c r="H551" s="102" t="n"/>
    </row>
    <row r="552">
      <c r="D552" s="99" t="n"/>
      <c r="E552" s="102" t="n"/>
      <c r="G552" s="99" t="n"/>
      <c r="H552" s="102" t="n"/>
    </row>
    <row r="554">
      <c r="B554" s="2">
        <f>IF(HSI!$C$98="","",HSI!$C$98)</f>
        <v/>
      </c>
      <c r="C554" s="2">
        <f>IF(PULL_FUND="N","",IF(HSI!$C$98="","",HSI!$C$98))</f>
        <v/>
      </c>
      <c r="D554" s="101">
        <f>BDH($C554,NDE_FIELD,"-5AY","","Per=Y","cols=2;rows=5")</f>
        <v/>
      </c>
      <c r="E554" s="102" t="n"/>
      <c r="G554" s="101">
        <f>BQL($C554,BUYBACK_QUERY,$C$4,"fill=prev","showheaders=f","showids=f")</f>
        <v/>
      </c>
      <c r="H554" s="102" t="n"/>
    </row>
    <row r="555">
      <c r="D555" s="99" t="n"/>
      <c r="E555" s="102" t="n"/>
      <c r="G555" s="99" t="n"/>
      <c r="H555" s="102" t="n"/>
    </row>
    <row r="556">
      <c r="D556" s="99" t="n"/>
      <c r="E556" s="102" t="n"/>
      <c r="G556" s="99" t="n"/>
      <c r="H556" s="102" t="n"/>
    </row>
    <row r="557">
      <c r="D557" s="99" t="n"/>
      <c r="E557" s="102" t="n"/>
      <c r="G557" s="99" t="n"/>
      <c r="H557" s="102" t="n"/>
    </row>
    <row r="558">
      <c r="D558" s="99" t="n"/>
      <c r="E558" s="102" t="n"/>
      <c r="G558" s="99" t="n"/>
      <c r="H558" s="102" t="n"/>
    </row>
    <row r="560">
      <c r="B560" s="2">
        <f>IF(HSI!$C$99="","",HSI!$C$99)</f>
        <v/>
      </c>
      <c r="C560" s="2">
        <f>IF(PULL_FUND="N","",IF(HSI!$C$99="","",HSI!$C$99))</f>
        <v/>
      </c>
      <c r="D560" s="101">
        <f>BDH($C560,NDE_FIELD,"-5AY","","Per=Y","cols=2;rows=5")</f>
        <v/>
      </c>
      <c r="E560" s="102" t="n"/>
      <c r="G560" s="101">
        <f>BQL($C560,BUYBACK_QUERY,$C$4,"fill=prev","showheaders=f","showids=f")</f>
        <v/>
      </c>
      <c r="H560" s="102" t="n"/>
    </row>
    <row r="561">
      <c r="D561" s="99" t="n"/>
      <c r="E561" s="102" t="n"/>
      <c r="G561" s="99" t="n"/>
      <c r="H561" s="102" t="n"/>
    </row>
    <row r="562">
      <c r="D562" s="99" t="n"/>
      <c r="E562" s="102" t="n"/>
      <c r="G562" s="99" t="n"/>
      <c r="H562" s="102" t="n"/>
    </row>
    <row r="563">
      <c r="D563" s="99" t="n"/>
      <c r="E563" s="102" t="n"/>
      <c r="G563" s="99" t="n"/>
      <c r="H563" s="102" t="n"/>
    </row>
    <row r="564">
      <c r="D564" s="99" t="n"/>
      <c r="E564" s="102" t="n"/>
      <c r="G564" s="99" t="n"/>
      <c r="H564" s="102" t="n"/>
    </row>
    <row r="566">
      <c r="B566" s="2">
        <f>IF(HSI!$C$100="","",HSI!$C$100)</f>
        <v/>
      </c>
      <c r="C566" s="2">
        <f>IF(PULL_FUND="N","",IF(HSI!$C$100="","",HSI!$C$100))</f>
        <v/>
      </c>
      <c r="D566" s="101">
        <f>BDH($C566,NDE_FIELD,"-5AY","","Per=Y","cols=2;rows=5")</f>
        <v/>
      </c>
      <c r="E566" s="102" t="n"/>
      <c r="G566" s="101">
        <f>BQL($C566,BUYBACK_QUERY,$C$4,"fill=prev","showheaders=f","showids=f")</f>
        <v/>
      </c>
      <c r="H566" s="102" t="n"/>
    </row>
    <row r="567">
      <c r="D567" s="99" t="n"/>
      <c r="E567" s="102" t="n"/>
      <c r="G567" s="99" t="n"/>
      <c r="H567" s="102" t="n"/>
    </row>
    <row r="568">
      <c r="D568" s="99" t="n"/>
      <c r="E568" s="102" t="n"/>
      <c r="G568" s="99" t="n"/>
      <c r="H568" s="102" t="n"/>
    </row>
    <row r="569">
      <c r="D569" s="99" t="n"/>
      <c r="E569" s="102" t="n"/>
      <c r="G569" s="99" t="n"/>
      <c r="H569" s="102" t="n"/>
    </row>
    <row r="570">
      <c r="D570" s="99" t="n"/>
      <c r="E570" s="102" t="n"/>
      <c r="G570" s="99" t="n"/>
      <c r="H570" s="102" t="n"/>
    </row>
    <row r="572">
      <c r="B572" s="2">
        <f>IF(HSI!$C$101="","",HSI!$C$101)</f>
        <v/>
      </c>
      <c r="C572" s="2">
        <f>IF(PULL_FUND="N","",IF(HSI!$C$101="","",HSI!$C$101))</f>
        <v/>
      </c>
      <c r="D572" s="101">
        <f>BDH($C572,NDE_FIELD,"-5AY","","Per=Y","cols=2;rows=5")</f>
        <v/>
      </c>
      <c r="E572" s="102" t="n"/>
      <c r="G572" s="101">
        <f>BQL($C572,BUYBACK_QUERY,$C$4,"fill=prev","showheaders=f","showids=f")</f>
        <v/>
      </c>
      <c r="H572" s="102" t="n"/>
    </row>
    <row r="573">
      <c r="D573" s="99" t="n"/>
      <c r="E573" s="102" t="n"/>
      <c r="G573" s="99" t="n"/>
      <c r="H573" s="102" t="n"/>
    </row>
    <row r="574">
      <c r="D574" s="99" t="n"/>
      <c r="E574" s="102" t="n"/>
      <c r="G574" s="99" t="n"/>
      <c r="H574" s="102" t="n"/>
    </row>
    <row r="575">
      <c r="D575" s="99" t="n"/>
      <c r="E575" s="102" t="n"/>
      <c r="G575" s="99" t="n"/>
      <c r="H575" s="102" t="n"/>
    </row>
    <row r="576">
      <c r="D576" s="99" t="n"/>
      <c r="E576" s="102" t="n"/>
      <c r="G576" s="99" t="n"/>
      <c r="H576" s="102" t="n"/>
    </row>
    <row r="578">
      <c r="B578" s="2">
        <f>IF(HSI!$C$102="","",HSI!$C$102)</f>
        <v/>
      </c>
      <c r="C578" s="2">
        <f>IF(PULL_FUND="N","",IF(HSI!$C$102="","",HSI!$C$102))</f>
        <v/>
      </c>
      <c r="D578" s="101">
        <f>BDH($C578,NDE_FIELD,"-5AY","","Per=Y","cols=2;rows=5")</f>
        <v/>
      </c>
      <c r="E578" s="102" t="n"/>
      <c r="G578" s="101">
        <f>BQL($C578,BUYBACK_QUERY,$C$4,"fill=prev","showheaders=f","showids=f")</f>
        <v/>
      </c>
      <c r="H578" s="102" t="n"/>
    </row>
    <row r="579">
      <c r="D579" s="99" t="n"/>
      <c r="E579" s="102" t="n"/>
      <c r="G579" s="99" t="n"/>
      <c r="H579" s="102" t="n"/>
    </row>
    <row r="580">
      <c r="D580" s="99" t="n"/>
      <c r="E580" s="102" t="n"/>
      <c r="G580" s="99" t="n"/>
      <c r="H580" s="102" t="n"/>
    </row>
    <row r="581">
      <c r="D581" s="99" t="n"/>
      <c r="E581" s="102" t="n"/>
      <c r="G581" s="99" t="n"/>
      <c r="H581" s="102" t="n"/>
    </row>
    <row r="582">
      <c r="D582" s="99" t="n"/>
      <c r="E582" s="102" t="n"/>
      <c r="G582" s="99" t="n"/>
      <c r="H582" s="102" t="n"/>
    </row>
    <row r="584">
      <c r="B584" s="2">
        <f>IF(HSI!$C$103="","",HSI!$C$103)</f>
        <v/>
      </c>
      <c r="C584" s="2">
        <f>IF(PULL_FUND="N","",IF(HSI!$C$103="","",HSI!$C$103))</f>
        <v/>
      </c>
      <c r="D584" s="101">
        <f>BDH($C584,NDE_FIELD,"-5AY","","Per=Y","cols=2;rows=5")</f>
        <v/>
      </c>
      <c r="E584" s="102" t="n"/>
      <c r="G584" s="101">
        <f>BQL($C584,BUYBACK_QUERY,$C$4,"fill=prev","showheaders=f","showids=f")</f>
        <v/>
      </c>
      <c r="H584" s="102" t="n"/>
    </row>
    <row r="585">
      <c r="D585" s="99" t="n"/>
      <c r="E585" s="102" t="n"/>
      <c r="G585" s="99" t="n"/>
      <c r="H585" s="102" t="n"/>
    </row>
    <row r="586">
      <c r="D586" s="99" t="n"/>
      <c r="E586" s="102" t="n"/>
      <c r="G586" s="99" t="n"/>
      <c r="H586" s="102" t="n"/>
    </row>
    <row r="587">
      <c r="D587" s="99" t="n"/>
      <c r="E587" s="102" t="n"/>
      <c r="G587" s="99" t="n"/>
      <c r="H587" s="102" t="n"/>
    </row>
    <row r="588">
      <c r="D588" s="99" t="n"/>
      <c r="E588" s="102" t="n"/>
      <c r="G588" s="99" t="n"/>
      <c r="H588" s="102" t="n"/>
    </row>
    <row r="590">
      <c r="B590" s="2">
        <f>IF(HSI!$C$104="","",HSI!$C$104)</f>
        <v/>
      </c>
      <c r="C590" s="2">
        <f>IF(PULL_FUND="N","",IF(HSI!$C$104="","",HSI!$C$104))</f>
        <v/>
      </c>
      <c r="D590" s="101">
        <f>BDH($C590,NDE_FIELD,"-5AY","","Per=Y","cols=2;rows=5")</f>
        <v/>
      </c>
      <c r="E590" s="102" t="n"/>
      <c r="G590" s="101">
        <f>BQL($C590,BUYBACK_QUERY,$C$4,"fill=prev","showheaders=f","showids=f")</f>
        <v/>
      </c>
      <c r="H590" s="102" t="n"/>
    </row>
    <row r="591">
      <c r="D591" s="99" t="n"/>
      <c r="E591" s="102" t="n"/>
      <c r="G591" s="99" t="n"/>
      <c r="H591" s="102" t="n"/>
    </row>
    <row r="592">
      <c r="D592" s="99" t="n"/>
      <c r="E592" s="102" t="n"/>
      <c r="G592" s="99" t="n"/>
      <c r="H592" s="102" t="n"/>
    </row>
    <row r="593">
      <c r="D593" s="99" t="n"/>
      <c r="E593" s="102" t="n"/>
      <c r="G593" s="99" t="n"/>
      <c r="H593" s="102" t="n"/>
    </row>
    <row r="594">
      <c r="D594" s="99" t="n"/>
      <c r="E594" s="102" t="n"/>
      <c r="G594" s="99" t="n"/>
      <c r="H594" s="102" t="n"/>
    </row>
    <row r="596">
      <c r="B596" s="2">
        <f>IF(HSI!$C$105="","",HSI!$C$105)</f>
        <v/>
      </c>
      <c r="C596" s="2">
        <f>IF(PULL_FUND="N","",IF(HSI!$C$105="","",HSI!$C$105))</f>
        <v/>
      </c>
      <c r="D596" s="101">
        <f>BDH($C596,NDE_FIELD,"-5AY","","Per=Y","cols=2;rows=5")</f>
        <v/>
      </c>
      <c r="E596" s="102" t="n"/>
      <c r="G596" s="101">
        <f>BQL($C596,BUYBACK_QUERY,$C$4,"fill=prev","showheaders=f","showids=f")</f>
        <v/>
      </c>
      <c r="H596" s="102" t="n"/>
    </row>
    <row r="597">
      <c r="D597" s="99" t="n"/>
      <c r="E597" s="102" t="n"/>
      <c r="G597" s="99" t="n"/>
      <c r="H597" s="102" t="n"/>
    </row>
    <row r="598">
      <c r="D598" s="99" t="n"/>
      <c r="E598" s="102" t="n"/>
      <c r="G598" s="99" t="n"/>
      <c r="H598" s="102" t="n"/>
    </row>
    <row r="599">
      <c r="D599" s="99" t="n"/>
      <c r="E599" s="102" t="n"/>
      <c r="G599" s="99" t="n"/>
      <c r="H599" s="102" t="n"/>
    </row>
    <row r="600">
      <c r="D600" s="99" t="n"/>
      <c r="E600" s="102" t="n"/>
      <c r="G600" s="99" t="n"/>
      <c r="H600" s="102" t="n"/>
    </row>
    <row r="602">
      <c r="B602" s="2">
        <f>IF(HSI!$C$106="","",HSI!$C$106)</f>
        <v/>
      </c>
      <c r="C602" s="2">
        <f>IF(PULL_FUND="N","",IF(HSI!$C$106="","",HSI!$C$106))</f>
        <v/>
      </c>
      <c r="D602" s="101">
        <f>BDH($C602,NDE_FIELD,"-5AY","","Per=Y","cols=2;rows=5")</f>
        <v/>
      </c>
      <c r="E602" s="102" t="n"/>
      <c r="G602" s="101">
        <f>BQL($C602,BUYBACK_QUERY,$C$4,"fill=prev","showheaders=f","showids=f")</f>
        <v/>
      </c>
      <c r="H602" s="102" t="n"/>
    </row>
    <row r="603">
      <c r="D603" s="99" t="n"/>
      <c r="E603" s="102" t="n"/>
      <c r="G603" s="99" t="n"/>
      <c r="H603" s="102" t="n"/>
    </row>
    <row r="604">
      <c r="D604" s="99" t="n"/>
      <c r="E604" s="102" t="n"/>
      <c r="G604" s="99" t="n"/>
      <c r="H604" s="102" t="n"/>
    </row>
    <row r="605">
      <c r="D605" s="99" t="n"/>
      <c r="E605" s="102" t="n"/>
      <c r="G605" s="99" t="n"/>
      <c r="H605" s="102" t="n"/>
    </row>
    <row r="606">
      <c r="D606" s="99" t="n"/>
      <c r="E606" s="102" t="n"/>
      <c r="G606" s="99" t="n"/>
      <c r="H606" s="102" t="n"/>
    </row>
    <row r="610">
      <c r="B610" s="3" t="inlineStr">
        <is>
          <t>Hang Seng TECH Index (HSTECH)</t>
        </is>
      </c>
      <c r="C610" s="4" t="n"/>
      <c r="D610" s="93">
        <f>IF(COUNT($D$612:$D$851)&gt;0,"BDH shape OK - dates in column D",IF(COUNT($E$612:$E$851)&gt;0,"CHECK: BDH returned values but NO date column - tell Claude","BDH: nothing pulled yet"))</f>
        <v/>
      </c>
      <c r="E610" s="4" t="n"/>
      <c r="F610" s="4" t="n"/>
      <c r="G610" s="93">
        <f>IF(COUNT($G$612:$G$851)&gt;0,"BQL shape OK - dates in column G",IF(COUNT($H$612:$H$851)&gt;0,"CHECK: BQL returned values but NO date column - tell Claude","BQL: nothing pulled yet"))</f>
        <v/>
      </c>
      <c r="H610" s="4" t="n"/>
    </row>
    <row r="611">
      <c r="D611" s="2" t="inlineStr">
        <is>
          <t>net debt/equity (BDH)</t>
        </is>
      </c>
      <c r="G611" s="2" t="inlineStr">
        <is>
          <t>buyback yield (BQL)</t>
        </is>
      </c>
    </row>
    <row r="612">
      <c r="B612" s="2">
        <f>IF(HSTECH!$C$7="","",HSTECH!$C$7)</f>
        <v/>
      </c>
      <c r="C612" s="2">
        <f>IF(PULL_FUND="N","",IF(HSTECH!$C$7="","",HSTECH!$C$7))</f>
        <v/>
      </c>
      <c r="D612" s="101">
        <f>BDH($C612,NDE_FIELD,"-5AY","","Per=Y","cols=2;rows=5")</f>
        <v/>
      </c>
      <c r="E612" s="102" t="n"/>
      <c r="G612" s="101">
        <f>BQL($C612,BUYBACK_QUERY,$C$4,"fill=prev","showheaders=f","showids=f")</f>
        <v/>
      </c>
      <c r="H612" s="102" t="n"/>
    </row>
    <row r="613">
      <c r="D613" s="99" t="n"/>
      <c r="E613" s="102" t="n"/>
      <c r="G613" s="99" t="n"/>
      <c r="H613" s="102" t="n"/>
    </row>
    <row r="614">
      <c r="D614" s="99" t="n"/>
      <c r="E614" s="102" t="n"/>
      <c r="G614" s="99" t="n"/>
      <c r="H614" s="102" t="n"/>
    </row>
    <row r="615">
      <c r="D615" s="99" t="n"/>
      <c r="E615" s="102" t="n"/>
      <c r="G615" s="99" t="n"/>
      <c r="H615" s="102" t="n"/>
    </row>
    <row r="616">
      <c r="D616" s="99" t="n"/>
      <c r="E616" s="102" t="n"/>
      <c r="G616" s="99" t="n"/>
      <c r="H616" s="102" t="n"/>
    </row>
    <row r="618">
      <c r="B618" s="2">
        <f>IF(HSTECH!$C$8="","",HSTECH!$C$8)</f>
        <v/>
      </c>
      <c r="C618" s="2">
        <f>IF(PULL_FUND="N","",IF(HSTECH!$C$8="","",HSTECH!$C$8))</f>
        <v/>
      </c>
      <c r="D618" s="101">
        <f>BDH($C618,NDE_FIELD,"-5AY","","Per=Y","cols=2;rows=5")</f>
        <v/>
      </c>
      <c r="E618" s="102" t="n"/>
      <c r="G618" s="101">
        <f>BQL($C618,BUYBACK_QUERY,$C$4,"fill=prev","showheaders=f","showids=f")</f>
        <v/>
      </c>
      <c r="H618" s="102" t="n"/>
    </row>
    <row r="619">
      <c r="D619" s="99" t="n"/>
      <c r="E619" s="102" t="n"/>
      <c r="G619" s="99" t="n"/>
      <c r="H619" s="102" t="n"/>
    </row>
    <row r="620">
      <c r="D620" s="99" t="n"/>
      <c r="E620" s="102" t="n"/>
      <c r="G620" s="99" t="n"/>
      <c r="H620" s="102" t="n"/>
    </row>
    <row r="621">
      <c r="D621" s="99" t="n"/>
      <c r="E621" s="102" t="n"/>
      <c r="G621" s="99" t="n"/>
      <c r="H621" s="102" t="n"/>
    </row>
    <row r="622">
      <c r="D622" s="99" t="n"/>
      <c r="E622" s="102" t="n"/>
      <c r="G622" s="99" t="n"/>
      <c r="H622" s="102" t="n"/>
    </row>
    <row r="624">
      <c r="B624" s="2">
        <f>IF(HSTECH!$C$9="","",HSTECH!$C$9)</f>
        <v/>
      </c>
      <c r="C624" s="2">
        <f>IF(PULL_FUND="N","",IF(HSTECH!$C$9="","",HSTECH!$C$9))</f>
        <v/>
      </c>
      <c r="D624" s="101">
        <f>BDH($C624,NDE_FIELD,"-5AY","","Per=Y","cols=2;rows=5")</f>
        <v/>
      </c>
      <c r="E624" s="102" t="n"/>
      <c r="G624" s="101">
        <f>BQL($C624,BUYBACK_QUERY,$C$4,"fill=prev","showheaders=f","showids=f")</f>
        <v/>
      </c>
      <c r="H624" s="102" t="n"/>
    </row>
    <row r="625">
      <c r="D625" s="99" t="n"/>
      <c r="E625" s="102" t="n"/>
      <c r="G625" s="99" t="n"/>
      <c r="H625" s="102" t="n"/>
    </row>
    <row r="626">
      <c r="D626" s="99" t="n"/>
      <c r="E626" s="102" t="n"/>
      <c r="G626" s="99" t="n"/>
      <c r="H626" s="102" t="n"/>
    </row>
    <row r="627">
      <c r="D627" s="99" t="n"/>
      <c r="E627" s="102" t="n"/>
      <c r="G627" s="99" t="n"/>
      <c r="H627" s="102" t="n"/>
    </row>
    <row r="628">
      <c r="D628" s="99" t="n"/>
      <c r="E628" s="102" t="n"/>
      <c r="G628" s="99" t="n"/>
      <c r="H628" s="102" t="n"/>
    </row>
    <row r="630">
      <c r="B630" s="2">
        <f>IF(HSTECH!$C$10="","",HSTECH!$C$10)</f>
        <v/>
      </c>
      <c r="C630" s="2">
        <f>IF(PULL_FUND="N","",IF(HSTECH!$C$10="","",HSTECH!$C$10))</f>
        <v/>
      </c>
      <c r="D630" s="101">
        <f>BDH($C630,NDE_FIELD,"-5AY","","Per=Y","cols=2;rows=5")</f>
        <v/>
      </c>
      <c r="E630" s="102" t="n"/>
      <c r="G630" s="101">
        <f>BQL($C630,BUYBACK_QUERY,$C$4,"fill=prev","showheaders=f","showids=f")</f>
        <v/>
      </c>
      <c r="H630" s="102" t="n"/>
    </row>
    <row r="631">
      <c r="D631" s="99" t="n"/>
      <c r="E631" s="102" t="n"/>
      <c r="G631" s="99" t="n"/>
      <c r="H631" s="102" t="n"/>
    </row>
    <row r="632">
      <c r="D632" s="99" t="n"/>
      <c r="E632" s="102" t="n"/>
      <c r="G632" s="99" t="n"/>
      <c r="H632" s="102" t="n"/>
    </row>
    <row r="633">
      <c r="D633" s="99" t="n"/>
      <c r="E633" s="102" t="n"/>
      <c r="G633" s="99" t="n"/>
      <c r="H633" s="102" t="n"/>
    </row>
    <row r="634">
      <c r="D634" s="99" t="n"/>
      <c r="E634" s="102" t="n"/>
      <c r="G634" s="99" t="n"/>
      <c r="H634" s="102" t="n"/>
    </row>
    <row r="636">
      <c r="B636" s="2">
        <f>IF(HSTECH!$C$11="","",HSTECH!$C$11)</f>
        <v/>
      </c>
      <c r="C636" s="2">
        <f>IF(PULL_FUND="N","",IF(HSTECH!$C$11="","",HSTECH!$C$11))</f>
        <v/>
      </c>
      <c r="D636" s="101">
        <f>BDH($C636,NDE_FIELD,"-5AY","","Per=Y","cols=2;rows=5")</f>
        <v/>
      </c>
      <c r="E636" s="102" t="n"/>
      <c r="G636" s="101">
        <f>BQL($C636,BUYBACK_QUERY,$C$4,"fill=prev","showheaders=f","showids=f")</f>
        <v/>
      </c>
      <c r="H636" s="102" t="n"/>
    </row>
    <row r="637">
      <c r="D637" s="99" t="n"/>
      <c r="E637" s="102" t="n"/>
      <c r="G637" s="99" t="n"/>
      <c r="H637" s="102" t="n"/>
    </row>
    <row r="638">
      <c r="D638" s="99" t="n"/>
      <c r="E638" s="102" t="n"/>
      <c r="G638" s="99" t="n"/>
      <c r="H638" s="102" t="n"/>
    </row>
    <row r="639">
      <c r="D639" s="99" t="n"/>
      <c r="E639" s="102" t="n"/>
      <c r="G639" s="99" t="n"/>
      <c r="H639" s="102" t="n"/>
    </row>
    <row r="640">
      <c r="D640" s="99" t="n"/>
      <c r="E640" s="102" t="n"/>
      <c r="G640" s="99" t="n"/>
      <c r="H640" s="102" t="n"/>
    </row>
    <row r="642">
      <c r="B642" s="2">
        <f>IF(HSTECH!$C$12="","",HSTECH!$C$12)</f>
        <v/>
      </c>
      <c r="C642" s="2">
        <f>IF(PULL_FUND="N","",IF(HSTECH!$C$12="","",HSTECH!$C$12))</f>
        <v/>
      </c>
      <c r="D642" s="101">
        <f>BDH($C642,NDE_FIELD,"-5AY","","Per=Y","cols=2;rows=5")</f>
        <v/>
      </c>
      <c r="E642" s="102" t="n"/>
      <c r="G642" s="101">
        <f>BQL($C642,BUYBACK_QUERY,$C$4,"fill=prev","showheaders=f","showids=f")</f>
        <v/>
      </c>
      <c r="H642" s="102" t="n"/>
    </row>
    <row r="643">
      <c r="D643" s="99" t="n"/>
      <c r="E643" s="102" t="n"/>
      <c r="G643" s="99" t="n"/>
      <c r="H643" s="102" t="n"/>
    </row>
    <row r="644">
      <c r="D644" s="99" t="n"/>
      <c r="E644" s="102" t="n"/>
      <c r="G644" s="99" t="n"/>
      <c r="H644" s="102" t="n"/>
    </row>
    <row r="645">
      <c r="D645" s="99" t="n"/>
      <c r="E645" s="102" t="n"/>
      <c r="G645" s="99" t="n"/>
      <c r="H645" s="102" t="n"/>
    </row>
    <row r="646">
      <c r="D646" s="99" t="n"/>
      <c r="E646" s="102" t="n"/>
      <c r="G646" s="99" t="n"/>
      <c r="H646" s="102" t="n"/>
    </row>
    <row r="648">
      <c r="B648" s="2">
        <f>IF(HSTECH!$C$13="","",HSTECH!$C$13)</f>
        <v/>
      </c>
      <c r="C648" s="2">
        <f>IF(PULL_FUND="N","",IF(HSTECH!$C$13="","",HSTECH!$C$13))</f>
        <v/>
      </c>
      <c r="D648" s="101">
        <f>BDH($C648,NDE_FIELD,"-5AY","","Per=Y","cols=2;rows=5")</f>
        <v/>
      </c>
      <c r="E648" s="102" t="n"/>
      <c r="G648" s="101">
        <f>BQL($C648,BUYBACK_QUERY,$C$4,"fill=prev","showheaders=f","showids=f")</f>
        <v/>
      </c>
      <c r="H648" s="102" t="n"/>
    </row>
    <row r="649">
      <c r="D649" s="99" t="n"/>
      <c r="E649" s="102" t="n"/>
      <c r="G649" s="99" t="n"/>
      <c r="H649" s="102" t="n"/>
    </row>
    <row r="650">
      <c r="D650" s="99" t="n"/>
      <c r="E650" s="102" t="n"/>
      <c r="G650" s="99" t="n"/>
      <c r="H650" s="102" t="n"/>
    </row>
    <row r="651">
      <c r="D651" s="99" t="n"/>
      <c r="E651" s="102" t="n"/>
      <c r="G651" s="99" t="n"/>
      <c r="H651" s="102" t="n"/>
    </row>
    <row r="652">
      <c r="D652" s="99" t="n"/>
      <c r="E652" s="102" t="n"/>
      <c r="G652" s="99" t="n"/>
      <c r="H652" s="102" t="n"/>
    </row>
    <row r="654">
      <c r="B654" s="2">
        <f>IF(HSTECH!$C$14="","",HSTECH!$C$14)</f>
        <v/>
      </c>
      <c r="C654" s="2">
        <f>IF(PULL_FUND="N","",IF(HSTECH!$C$14="","",HSTECH!$C$14))</f>
        <v/>
      </c>
      <c r="D654" s="101">
        <f>BDH($C654,NDE_FIELD,"-5AY","","Per=Y","cols=2;rows=5")</f>
        <v/>
      </c>
      <c r="E654" s="102" t="n"/>
      <c r="G654" s="101">
        <f>BQL($C654,BUYBACK_QUERY,$C$4,"fill=prev","showheaders=f","showids=f")</f>
        <v/>
      </c>
      <c r="H654" s="102" t="n"/>
    </row>
    <row r="655">
      <c r="D655" s="99" t="n"/>
      <c r="E655" s="102" t="n"/>
      <c r="G655" s="99" t="n"/>
      <c r="H655" s="102" t="n"/>
    </row>
    <row r="656">
      <c r="D656" s="99" t="n"/>
      <c r="E656" s="102" t="n"/>
      <c r="G656" s="99" t="n"/>
      <c r="H656" s="102" t="n"/>
    </row>
    <row r="657">
      <c r="D657" s="99" t="n"/>
      <c r="E657" s="102" t="n"/>
      <c r="G657" s="99" t="n"/>
      <c r="H657" s="102" t="n"/>
    </row>
    <row r="658">
      <c r="D658" s="99" t="n"/>
      <c r="E658" s="102" t="n"/>
      <c r="G658" s="99" t="n"/>
      <c r="H658" s="102" t="n"/>
    </row>
    <row r="660">
      <c r="B660" s="2">
        <f>IF(HSTECH!$C$15="","",HSTECH!$C$15)</f>
        <v/>
      </c>
      <c r="C660" s="2">
        <f>IF(PULL_FUND="N","",IF(HSTECH!$C$15="","",HSTECH!$C$15))</f>
        <v/>
      </c>
      <c r="D660" s="101">
        <f>BDH($C660,NDE_FIELD,"-5AY","","Per=Y","cols=2;rows=5")</f>
        <v/>
      </c>
      <c r="E660" s="102" t="n"/>
      <c r="G660" s="101">
        <f>BQL($C660,BUYBACK_QUERY,$C$4,"fill=prev","showheaders=f","showids=f")</f>
        <v/>
      </c>
      <c r="H660" s="102" t="n"/>
    </row>
    <row r="661">
      <c r="D661" s="99" t="n"/>
      <c r="E661" s="102" t="n"/>
      <c r="G661" s="99" t="n"/>
      <c r="H661" s="102" t="n"/>
    </row>
    <row r="662">
      <c r="D662" s="99" t="n"/>
      <c r="E662" s="102" t="n"/>
      <c r="G662" s="99" t="n"/>
      <c r="H662" s="102" t="n"/>
    </row>
    <row r="663">
      <c r="D663" s="99" t="n"/>
      <c r="E663" s="102" t="n"/>
      <c r="G663" s="99" t="n"/>
      <c r="H663" s="102" t="n"/>
    </row>
    <row r="664">
      <c r="D664" s="99" t="n"/>
      <c r="E664" s="102" t="n"/>
      <c r="G664" s="99" t="n"/>
      <c r="H664" s="102" t="n"/>
    </row>
    <row r="666">
      <c r="B666" s="2">
        <f>IF(HSTECH!$C$16="","",HSTECH!$C$16)</f>
        <v/>
      </c>
      <c r="C666" s="2">
        <f>IF(PULL_FUND="N","",IF(HSTECH!$C$16="","",HSTECH!$C$16))</f>
        <v/>
      </c>
      <c r="D666" s="101">
        <f>BDH($C666,NDE_FIELD,"-5AY","","Per=Y","cols=2;rows=5")</f>
        <v/>
      </c>
      <c r="E666" s="102" t="n"/>
      <c r="G666" s="101">
        <f>BQL($C666,BUYBACK_QUERY,$C$4,"fill=prev","showheaders=f","showids=f")</f>
        <v/>
      </c>
      <c r="H666" s="102" t="n"/>
    </row>
    <row r="667">
      <c r="D667" s="99" t="n"/>
      <c r="E667" s="102" t="n"/>
      <c r="G667" s="99" t="n"/>
      <c r="H667" s="102" t="n"/>
    </row>
    <row r="668">
      <c r="D668" s="99" t="n"/>
      <c r="E668" s="102" t="n"/>
      <c r="G668" s="99" t="n"/>
      <c r="H668" s="102" t="n"/>
    </row>
    <row r="669">
      <c r="D669" s="99" t="n"/>
      <c r="E669" s="102" t="n"/>
      <c r="G669" s="99" t="n"/>
      <c r="H669" s="102" t="n"/>
    </row>
    <row r="670">
      <c r="D670" s="99" t="n"/>
      <c r="E670" s="102" t="n"/>
      <c r="G670" s="99" t="n"/>
      <c r="H670" s="102" t="n"/>
    </row>
    <row r="672">
      <c r="B672" s="2">
        <f>IF(HSTECH!$C$17="","",HSTECH!$C$17)</f>
        <v/>
      </c>
      <c r="C672" s="2">
        <f>IF(PULL_FUND="N","",IF(HSTECH!$C$17="","",HSTECH!$C$17))</f>
        <v/>
      </c>
      <c r="D672" s="101">
        <f>BDH($C672,NDE_FIELD,"-5AY","","Per=Y","cols=2;rows=5")</f>
        <v/>
      </c>
      <c r="E672" s="102" t="n"/>
      <c r="G672" s="101">
        <f>BQL($C672,BUYBACK_QUERY,$C$4,"fill=prev","showheaders=f","showids=f")</f>
        <v/>
      </c>
      <c r="H672" s="102" t="n"/>
    </row>
    <row r="673">
      <c r="D673" s="99" t="n"/>
      <c r="E673" s="102" t="n"/>
      <c r="G673" s="99" t="n"/>
      <c r="H673" s="102" t="n"/>
    </row>
    <row r="674">
      <c r="D674" s="99" t="n"/>
      <c r="E674" s="102" t="n"/>
      <c r="G674" s="99" t="n"/>
      <c r="H674" s="102" t="n"/>
    </row>
    <row r="675">
      <c r="D675" s="99" t="n"/>
      <c r="E675" s="102" t="n"/>
      <c r="G675" s="99" t="n"/>
      <c r="H675" s="102" t="n"/>
    </row>
    <row r="676">
      <c r="D676" s="99" t="n"/>
      <c r="E676" s="102" t="n"/>
      <c r="G676" s="99" t="n"/>
      <c r="H676" s="102" t="n"/>
    </row>
    <row r="678">
      <c r="B678" s="2">
        <f>IF(HSTECH!$C$18="","",HSTECH!$C$18)</f>
        <v/>
      </c>
      <c r="C678" s="2">
        <f>IF(PULL_FUND="N","",IF(HSTECH!$C$18="","",HSTECH!$C$18))</f>
        <v/>
      </c>
      <c r="D678" s="101">
        <f>BDH($C678,NDE_FIELD,"-5AY","","Per=Y","cols=2;rows=5")</f>
        <v/>
      </c>
      <c r="E678" s="102" t="n"/>
      <c r="G678" s="101">
        <f>BQL($C678,BUYBACK_QUERY,$C$4,"fill=prev","showheaders=f","showids=f")</f>
        <v/>
      </c>
      <c r="H678" s="102" t="n"/>
    </row>
    <row r="679">
      <c r="D679" s="99" t="n"/>
      <c r="E679" s="102" t="n"/>
      <c r="G679" s="99" t="n"/>
      <c r="H679" s="102" t="n"/>
    </row>
    <row r="680">
      <c r="D680" s="99" t="n"/>
      <c r="E680" s="102" t="n"/>
      <c r="G680" s="99" t="n"/>
      <c r="H680" s="102" t="n"/>
    </row>
    <row r="681">
      <c r="D681" s="99" t="n"/>
      <c r="E681" s="102" t="n"/>
      <c r="G681" s="99" t="n"/>
      <c r="H681" s="102" t="n"/>
    </row>
    <row r="682">
      <c r="D682" s="99" t="n"/>
      <c r="E682" s="102" t="n"/>
      <c r="G682" s="99" t="n"/>
      <c r="H682" s="102" t="n"/>
    </row>
    <row r="684">
      <c r="B684" s="2">
        <f>IF(HSTECH!$C$19="","",HSTECH!$C$19)</f>
        <v/>
      </c>
      <c r="C684" s="2">
        <f>IF(PULL_FUND="N","",IF(HSTECH!$C$19="","",HSTECH!$C$19))</f>
        <v/>
      </c>
      <c r="D684" s="101">
        <f>BDH($C684,NDE_FIELD,"-5AY","","Per=Y","cols=2;rows=5")</f>
        <v/>
      </c>
      <c r="E684" s="102" t="n"/>
      <c r="G684" s="101">
        <f>BQL($C684,BUYBACK_QUERY,$C$4,"fill=prev","showheaders=f","showids=f")</f>
        <v/>
      </c>
      <c r="H684" s="102" t="n"/>
    </row>
    <row r="685">
      <c r="D685" s="99" t="n"/>
      <c r="E685" s="102" t="n"/>
      <c r="G685" s="99" t="n"/>
      <c r="H685" s="102" t="n"/>
    </row>
    <row r="686">
      <c r="D686" s="99" t="n"/>
      <c r="E686" s="102" t="n"/>
      <c r="G686" s="99" t="n"/>
      <c r="H686" s="102" t="n"/>
    </row>
    <row r="687">
      <c r="D687" s="99" t="n"/>
      <c r="E687" s="102" t="n"/>
      <c r="G687" s="99" t="n"/>
      <c r="H687" s="102" t="n"/>
    </row>
    <row r="688">
      <c r="D688" s="99" t="n"/>
      <c r="E688" s="102" t="n"/>
      <c r="G688" s="99" t="n"/>
      <c r="H688" s="102" t="n"/>
    </row>
    <row r="690">
      <c r="B690" s="2">
        <f>IF(HSTECH!$C$20="","",HSTECH!$C$20)</f>
        <v/>
      </c>
      <c r="C690" s="2">
        <f>IF(PULL_FUND="N","",IF(HSTECH!$C$20="","",HSTECH!$C$20))</f>
        <v/>
      </c>
      <c r="D690" s="101">
        <f>BDH($C690,NDE_FIELD,"-5AY","","Per=Y","cols=2;rows=5")</f>
        <v/>
      </c>
      <c r="E690" s="102" t="n"/>
      <c r="G690" s="101">
        <f>BQL($C690,BUYBACK_QUERY,$C$4,"fill=prev","showheaders=f","showids=f")</f>
        <v/>
      </c>
      <c r="H690" s="102" t="n"/>
    </row>
    <row r="691">
      <c r="D691" s="99" t="n"/>
      <c r="E691" s="102" t="n"/>
      <c r="G691" s="99" t="n"/>
      <c r="H691" s="102" t="n"/>
    </row>
    <row r="692">
      <c r="D692" s="99" t="n"/>
      <c r="E692" s="102" t="n"/>
      <c r="G692" s="99" t="n"/>
      <c r="H692" s="102" t="n"/>
    </row>
    <row r="693">
      <c r="D693" s="99" t="n"/>
      <c r="E693" s="102" t="n"/>
      <c r="G693" s="99" t="n"/>
      <c r="H693" s="102" t="n"/>
    </row>
    <row r="694">
      <c r="D694" s="99" t="n"/>
      <c r="E694" s="102" t="n"/>
      <c r="G694" s="99" t="n"/>
      <c r="H694" s="102" t="n"/>
    </row>
    <row r="696">
      <c r="B696" s="2">
        <f>IF(HSTECH!$C$21="","",HSTECH!$C$21)</f>
        <v/>
      </c>
      <c r="C696" s="2">
        <f>IF(PULL_FUND="N","",IF(HSTECH!$C$21="","",HSTECH!$C$21))</f>
        <v/>
      </c>
      <c r="D696" s="101">
        <f>BDH($C696,NDE_FIELD,"-5AY","","Per=Y","cols=2;rows=5")</f>
        <v/>
      </c>
      <c r="E696" s="102" t="n"/>
      <c r="G696" s="101">
        <f>BQL($C696,BUYBACK_QUERY,$C$4,"fill=prev","showheaders=f","showids=f")</f>
        <v/>
      </c>
      <c r="H696" s="102" t="n"/>
    </row>
    <row r="697">
      <c r="D697" s="99" t="n"/>
      <c r="E697" s="102" t="n"/>
      <c r="G697" s="99" t="n"/>
      <c r="H697" s="102" t="n"/>
    </row>
    <row r="698">
      <c r="D698" s="99" t="n"/>
      <c r="E698" s="102" t="n"/>
      <c r="G698" s="99" t="n"/>
      <c r="H698" s="102" t="n"/>
    </row>
    <row r="699">
      <c r="D699" s="99" t="n"/>
      <c r="E699" s="102" t="n"/>
      <c r="G699" s="99" t="n"/>
      <c r="H699" s="102" t="n"/>
    </row>
    <row r="700">
      <c r="D700" s="99" t="n"/>
      <c r="E700" s="102" t="n"/>
      <c r="G700" s="99" t="n"/>
      <c r="H700" s="102" t="n"/>
    </row>
    <row r="702">
      <c r="B702" s="2">
        <f>IF(HSTECH!$C$22="","",HSTECH!$C$22)</f>
        <v/>
      </c>
      <c r="C702" s="2">
        <f>IF(PULL_FUND="N","",IF(HSTECH!$C$22="","",HSTECH!$C$22))</f>
        <v/>
      </c>
      <c r="D702" s="101">
        <f>BDH($C702,NDE_FIELD,"-5AY","","Per=Y","cols=2;rows=5")</f>
        <v/>
      </c>
      <c r="E702" s="102" t="n"/>
      <c r="G702" s="101">
        <f>BQL($C702,BUYBACK_QUERY,$C$4,"fill=prev","showheaders=f","showids=f")</f>
        <v/>
      </c>
      <c r="H702" s="102" t="n"/>
    </row>
    <row r="703">
      <c r="D703" s="99" t="n"/>
      <c r="E703" s="102" t="n"/>
      <c r="G703" s="99" t="n"/>
      <c r="H703" s="102" t="n"/>
    </row>
    <row r="704">
      <c r="D704" s="99" t="n"/>
      <c r="E704" s="102" t="n"/>
      <c r="G704" s="99" t="n"/>
      <c r="H704" s="102" t="n"/>
    </row>
    <row r="705">
      <c r="D705" s="99" t="n"/>
      <c r="E705" s="102" t="n"/>
      <c r="G705" s="99" t="n"/>
      <c r="H705" s="102" t="n"/>
    </row>
    <row r="706">
      <c r="D706" s="99" t="n"/>
      <c r="E706" s="102" t="n"/>
      <c r="G706" s="99" t="n"/>
      <c r="H706" s="102" t="n"/>
    </row>
    <row r="708">
      <c r="B708" s="2">
        <f>IF(HSTECH!$C$23="","",HSTECH!$C$23)</f>
        <v/>
      </c>
      <c r="C708" s="2">
        <f>IF(PULL_FUND="N","",IF(HSTECH!$C$23="","",HSTECH!$C$23))</f>
        <v/>
      </c>
      <c r="D708" s="101">
        <f>BDH($C708,NDE_FIELD,"-5AY","","Per=Y","cols=2;rows=5")</f>
        <v/>
      </c>
      <c r="E708" s="102" t="n"/>
      <c r="G708" s="101">
        <f>BQL($C708,BUYBACK_QUERY,$C$4,"fill=prev","showheaders=f","showids=f")</f>
        <v/>
      </c>
      <c r="H708" s="102" t="n"/>
    </row>
    <row r="709">
      <c r="D709" s="99" t="n"/>
      <c r="E709" s="102" t="n"/>
      <c r="G709" s="99" t="n"/>
      <c r="H709" s="102" t="n"/>
    </row>
    <row r="710">
      <c r="D710" s="99" t="n"/>
      <c r="E710" s="102" t="n"/>
      <c r="G710" s="99" t="n"/>
      <c r="H710" s="102" t="n"/>
    </row>
    <row r="711">
      <c r="D711" s="99" t="n"/>
      <c r="E711" s="102" t="n"/>
      <c r="G711" s="99" t="n"/>
      <c r="H711" s="102" t="n"/>
    </row>
    <row r="712">
      <c r="D712" s="99" t="n"/>
      <c r="E712" s="102" t="n"/>
      <c r="G712" s="99" t="n"/>
      <c r="H712" s="102" t="n"/>
    </row>
    <row r="714">
      <c r="B714" s="2">
        <f>IF(HSTECH!$C$24="","",HSTECH!$C$24)</f>
        <v/>
      </c>
      <c r="C714" s="2">
        <f>IF(PULL_FUND="N","",IF(HSTECH!$C$24="","",HSTECH!$C$24))</f>
        <v/>
      </c>
      <c r="D714" s="101">
        <f>BDH($C714,NDE_FIELD,"-5AY","","Per=Y","cols=2;rows=5")</f>
        <v/>
      </c>
      <c r="E714" s="102" t="n"/>
      <c r="G714" s="101">
        <f>BQL($C714,BUYBACK_QUERY,$C$4,"fill=prev","showheaders=f","showids=f")</f>
        <v/>
      </c>
      <c r="H714" s="102" t="n"/>
    </row>
    <row r="715">
      <c r="D715" s="99" t="n"/>
      <c r="E715" s="102" t="n"/>
      <c r="G715" s="99" t="n"/>
      <c r="H715" s="102" t="n"/>
    </row>
    <row r="716">
      <c r="D716" s="99" t="n"/>
      <c r="E716" s="102" t="n"/>
      <c r="G716" s="99" t="n"/>
      <c r="H716" s="102" t="n"/>
    </row>
    <row r="717">
      <c r="D717" s="99" t="n"/>
      <c r="E717" s="102" t="n"/>
      <c r="G717" s="99" t="n"/>
      <c r="H717" s="102" t="n"/>
    </row>
    <row r="718">
      <c r="D718" s="99" t="n"/>
      <c r="E718" s="102" t="n"/>
      <c r="G718" s="99" t="n"/>
      <c r="H718" s="102" t="n"/>
    </row>
    <row r="720">
      <c r="B720" s="2">
        <f>IF(HSTECH!$C$25="","",HSTECH!$C$25)</f>
        <v/>
      </c>
      <c r="C720" s="2">
        <f>IF(PULL_FUND="N","",IF(HSTECH!$C$25="","",HSTECH!$C$25))</f>
        <v/>
      </c>
      <c r="D720" s="101">
        <f>BDH($C720,NDE_FIELD,"-5AY","","Per=Y","cols=2;rows=5")</f>
        <v/>
      </c>
      <c r="E720" s="102" t="n"/>
      <c r="G720" s="101">
        <f>BQL($C720,BUYBACK_QUERY,$C$4,"fill=prev","showheaders=f","showids=f")</f>
        <v/>
      </c>
      <c r="H720" s="102" t="n"/>
    </row>
    <row r="721">
      <c r="D721" s="99" t="n"/>
      <c r="E721" s="102" t="n"/>
      <c r="G721" s="99" t="n"/>
      <c r="H721" s="102" t="n"/>
    </row>
    <row r="722">
      <c r="D722" s="99" t="n"/>
      <c r="E722" s="102" t="n"/>
      <c r="G722" s="99" t="n"/>
      <c r="H722" s="102" t="n"/>
    </row>
    <row r="723">
      <c r="D723" s="99" t="n"/>
      <c r="E723" s="102" t="n"/>
      <c r="G723" s="99" t="n"/>
      <c r="H723" s="102" t="n"/>
    </row>
    <row r="724">
      <c r="D724" s="99" t="n"/>
      <c r="E724" s="102" t="n"/>
      <c r="G724" s="99" t="n"/>
      <c r="H724" s="102" t="n"/>
    </row>
    <row r="726">
      <c r="B726" s="2">
        <f>IF(HSTECH!$C$26="","",HSTECH!$C$26)</f>
        <v/>
      </c>
      <c r="C726" s="2">
        <f>IF(PULL_FUND="N","",IF(HSTECH!$C$26="","",HSTECH!$C$26))</f>
        <v/>
      </c>
      <c r="D726" s="101">
        <f>BDH($C726,NDE_FIELD,"-5AY","","Per=Y","cols=2;rows=5")</f>
        <v/>
      </c>
      <c r="E726" s="102" t="n"/>
      <c r="G726" s="101">
        <f>BQL($C726,BUYBACK_QUERY,$C$4,"fill=prev","showheaders=f","showids=f")</f>
        <v/>
      </c>
      <c r="H726" s="102" t="n"/>
    </row>
    <row r="727">
      <c r="D727" s="99" t="n"/>
      <c r="E727" s="102" t="n"/>
      <c r="G727" s="99" t="n"/>
      <c r="H727" s="102" t="n"/>
    </row>
    <row r="728">
      <c r="D728" s="99" t="n"/>
      <c r="E728" s="102" t="n"/>
      <c r="G728" s="99" t="n"/>
      <c r="H728" s="102" t="n"/>
    </row>
    <row r="729">
      <c r="D729" s="99" t="n"/>
      <c r="E729" s="102" t="n"/>
      <c r="G729" s="99" t="n"/>
      <c r="H729" s="102" t="n"/>
    </row>
    <row r="730">
      <c r="D730" s="99" t="n"/>
      <c r="E730" s="102" t="n"/>
      <c r="G730" s="99" t="n"/>
      <c r="H730" s="102" t="n"/>
    </row>
    <row r="732">
      <c r="B732" s="2">
        <f>IF(HSTECH!$C$27="","",HSTECH!$C$27)</f>
        <v/>
      </c>
      <c r="C732" s="2">
        <f>IF(PULL_FUND="N","",IF(HSTECH!$C$27="","",HSTECH!$C$27))</f>
        <v/>
      </c>
      <c r="D732" s="101">
        <f>BDH($C732,NDE_FIELD,"-5AY","","Per=Y","cols=2;rows=5")</f>
        <v/>
      </c>
      <c r="E732" s="102" t="n"/>
      <c r="G732" s="101">
        <f>BQL($C732,BUYBACK_QUERY,$C$4,"fill=prev","showheaders=f","showids=f")</f>
        <v/>
      </c>
      <c r="H732" s="102" t="n"/>
    </row>
    <row r="733">
      <c r="D733" s="99" t="n"/>
      <c r="E733" s="102" t="n"/>
      <c r="G733" s="99" t="n"/>
      <c r="H733" s="102" t="n"/>
    </row>
    <row r="734">
      <c r="D734" s="99" t="n"/>
      <c r="E734" s="102" t="n"/>
      <c r="G734" s="99" t="n"/>
      <c r="H734" s="102" t="n"/>
    </row>
    <row r="735">
      <c r="D735" s="99" t="n"/>
      <c r="E735" s="102" t="n"/>
      <c r="G735" s="99" t="n"/>
      <c r="H735" s="102" t="n"/>
    </row>
    <row r="736">
      <c r="D736" s="99" t="n"/>
      <c r="E736" s="102" t="n"/>
      <c r="G736" s="99" t="n"/>
      <c r="H736" s="102" t="n"/>
    </row>
    <row r="738">
      <c r="B738" s="2">
        <f>IF(HSTECH!$C$28="","",HSTECH!$C$28)</f>
        <v/>
      </c>
      <c r="C738" s="2">
        <f>IF(PULL_FUND="N","",IF(HSTECH!$C$28="","",HSTECH!$C$28))</f>
        <v/>
      </c>
      <c r="D738" s="101">
        <f>BDH($C738,NDE_FIELD,"-5AY","","Per=Y","cols=2;rows=5")</f>
        <v/>
      </c>
      <c r="E738" s="102" t="n"/>
      <c r="G738" s="101">
        <f>BQL($C738,BUYBACK_QUERY,$C$4,"fill=prev","showheaders=f","showids=f")</f>
        <v/>
      </c>
      <c r="H738" s="102" t="n"/>
    </row>
    <row r="739">
      <c r="D739" s="99" t="n"/>
      <c r="E739" s="102" t="n"/>
      <c r="G739" s="99" t="n"/>
      <c r="H739" s="102" t="n"/>
    </row>
    <row r="740">
      <c r="D740" s="99" t="n"/>
      <c r="E740" s="102" t="n"/>
      <c r="G740" s="99" t="n"/>
      <c r="H740" s="102" t="n"/>
    </row>
    <row r="741">
      <c r="D741" s="99" t="n"/>
      <c r="E741" s="102" t="n"/>
      <c r="G741" s="99" t="n"/>
      <c r="H741" s="102" t="n"/>
    </row>
    <row r="742">
      <c r="D742" s="99" t="n"/>
      <c r="E742" s="102" t="n"/>
      <c r="G742" s="99" t="n"/>
      <c r="H742" s="102" t="n"/>
    </row>
    <row r="744">
      <c r="B744" s="2">
        <f>IF(HSTECH!$C$29="","",HSTECH!$C$29)</f>
        <v/>
      </c>
      <c r="C744" s="2">
        <f>IF(PULL_FUND="N","",IF(HSTECH!$C$29="","",HSTECH!$C$29))</f>
        <v/>
      </c>
      <c r="D744" s="101">
        <f>BDH($C744,NDE_FIELD,"-5AY","","Per=Y","cols=2;rows=5")</f>
        <v/>
      </c>
      <c r="E744" s="102" t="n"/>
      <c r="G744" s="101">
        <f>BQL($C744,BUYBACK_QUERY,$C$4,"fill=prev","showheaders=f","showids=f")</f>
        <v/>
      </c>
      <c r="H744" s="102" t="n"/>
    </row>
    <row r="745">
      <c r="D745" s="99" t="n"/>
      <c r="E745" s="102" t="n"/>
      <c r="G745" s="99" t="n"/>
      <c r="H745" s="102" t="n"/>
    </row>
    <row r="746">
      <c r="D746" s="99" t="n"/>
      <c r="E746" s="102" t="n"/>
      <c r="G746" s="99" t="n"/>
      <c r="H746" s="102" t="n"/>
    </row>
    <row r="747">
      <c r="D747" s="99" t="n"/>
      <c r="E747" s="102" t="n"/>
      <c r="G747" s="99" t="n"/>
      <c r="H747" s="102" t="n"/>
    </row>
    <row r="748">
      <c r="D748" s="99" t="n"/>
      <c r="E748" s="102" t="n"/>
      <c r="G748" s="99" t="n"/>
      <c r="H748" s="102" t="n"/>
    </row>
    <row r="750">
      <c r="B750" s="2">
        <f>IF(HSTECH!$C$30="","",HSTECH!$C$30)</f>
        <v/>
      </c>
      <c r="C750" s="2">
        <f>IF(PULL_FUND="N","",IF(HSTECH!$C$30="","",HSTECH!$C$30))</f>
        <v/>
      </c>
      <c r="D750" s="101">
        <f>BDH($C750,NDE_FIELD,"-5AY","","Per=Y","cols=2;rows=5")</f>
        <v/>
      </c>
      <c r="E750" s="102" t="n"/>
      <c r="G750" s="101">
        <f>BQL($C750,BUYBACK_QUERY,$C$4,"fill=prev","showheaders=f","showids=f")</f>
        <v/>
      </c>
      <c r="H750" s="102" t="n"/>
    </row>
    <row r="751">
      <c r="D751" s="99" t="n"/>
      <c r="E751" s="102" t="n"/>
      <c r="G751" s="99" t="n"/>
      <c r="H751" s="102" t="n"/>
    </row>
    <row r="752">
      <c r="D752" s="99" t="n"/>
      <c r="E752" s="102" t="n"/>
      <c r="G752" s="99" t="n"/>
      <c r="H752" s="102" t="n"/>
    </row>
    <row r="753">
      <c r="D753" s="99" t="n"/>
      <c r="E753" s="102" t="n"/>
      <c r="G753" s="99" t="n"/>
      <c r="H753" s="102" t="n"/>
    </row>
    <row r="754">
      <c r="D754" s="99" t="n"/>
      <c r="E754" s="102" t="n"/>
      <c r="G754" s="99" t="n"/>
      <c r="H754" s="102" t="n"/>
    </row>
    <row r="756">
      <c r="B756" s="2">
        <f>IF(HSTECH!$C$31="","",HSTECH!$C$31)</f>
        <v/>
      </c>
      <c r="C756" s="2">
        <f>IF(PULL_FUND="N","",IF(HSTECH!$C$31="","",HSTECH!$C$31))</f>
        <v/>
      </c>
      <c r="D756" s="101">
        <f>BDH($C756,NDE_FIELD,"-5AY","","Per=Y","cols=2;rows=5")</f>
        <v/>
      </c>
      <c r="E756" s="102" t="n"/>
      <c r="G756" s="101">
        <f>BQL($C756,BUYBACK_QUERY,$C$4,"fill=prev","showheaders=f","showids=f")</f>
        <v/>
      </c>
      <c r="H756" s="102" t="n"/>
    </row>
    <row r="757">
      <c r="D757" s="99" t="n"/>
      <c r="E757" s="102" t="n"/>
      <c r="G757" s="99" t="n"/>
      <c r="H757" s="102" t="n"/>
    </row>
    <row r="758">
      <c r="D758" s="99" t="n"/>
      <c r="E758" s="102" t="n"/>
      <c r="G758" s="99" t="n"/>
      <c r="H758" s="102" t="n"/>
    </row>
    <row r="759">
      <c r="D759" s="99" t="n"/>
      <c r="E759" s="102" t="n"/>
      <c r="G759" s="99" t="n"/>
      <c r="H759" s="102" t="n"/>
    </row>
    <row r="760">
      <c r="D760" s="99" t="n"/>
      <c r="E760" s="102" t="n"/>
      <c r="G760" s="99" t="n"/>
      <c r="H760" s="102" t="n"/>
    </row>
    <row r="762">
      <c r="B762" s="2">
        <f>IF(HSTECH!$C$32="","",HSTECH!$C$32)</f>
        <v/>
      </c>
      <c r="C762" s="2">
        <f>IF(PULL_FUND="N","",IF(HSTECH!$C$32="","",HSTECH!$C$32))</f>
        <v/>
      </c>
      <c r="D762" s="101">
        <f>BDH($C762,NDE_FIELD,"-5AY","","Per=Y","cols=2;rows=5")</f>
        <v/>
      </c>
      <c r="E762" s="102" t="n"/>
      <c r="G762" s="101">
        <f>BQL($C762,BUYBACK_QUERY,$C$4,"fill=prev","showheaders=f","showids=f")</f>
        <v/>
      </c>
      <c r="H762" s="102" t="n"/>
    </row>
    <row r="763">
      <c r="D763" s="99" t="n"/>
      <c r="E763" s="102" t="n"/>
      <c r="G763" s="99" t="n"/>
      <c r="H763" s="102" t="n"/>
    </row>
    <row r="764">
      <c r="D764" s="99" t="n"/>
      <c r="E764" s="102" t="n"/>
      <c r="G764" s="99" t="n"/>
      <c r="H764" s="102" t="n"/>
    </row>
    <row r="765">
      <c r="D765" s="99" t="n"/>
      <c r="E765" s="102" t="n"/>
      <c r="G765" s="99" t="n"/>
      <c r="H765" s="102" t="n"/>
    </row>
    <row r="766">
      <c r="D766" s="99" t="n"/>
      <c r="E766" s="102" t="n"/>
      <c r="G766" s="99" t="n"/>
      <c r="H766" s="102" t="n"/>
    </row>
    <row r="768">
      <c r="B768" s="2">
        <f>IF(HSTECH!$C$33="","",HSTECH!$C$33)</f>
        <v/>
      </c>
      <c r="C768" s="2">
        <f>IF(PULL_FUND="N","",IF(HSTECH!$C$33="","",HSTECH!$C$33))</f>
        <v/>
      </c>
      <c r="D768" s="101">
        <f>BDH($C768,NDE_FIELD,"-5AY","","Per=Y","cols=2;rows=5")</f>
        <v/>
      </c>
      <c r="E768" s="102" t="n"/>
      <c r="G768" s="101">
        <f>BQL($C768,BUYBACK_QUERY,$C$4,"fill=prev","showheaders=f","showids=f")</f>
        <v/>
      </c>
      <c r="H768" s="102" t="n"/>
    </row>
    <row r="769">
      <c r="D769" s="99" t="n"/>
      <c r="E769" s="102" t="n"/>
      <c r="G769" s="99" t="n"/>
      <c r="H769" s="102" t="n"/>
    </row>
    <row r="770">
      <c r="D770" s="99" t="n"/>
      <c r="E770" s="102" t="n"/>
      <c r="G770" s="99" t="n"/>
      <c r="H770" s="102" t="n"/>
    </row>
    <row r="771">
      <c r="D771" s="99" t="n"/>
      <c r="E771" s="102" t="n"/>
      <c r="G771" s="99" t="n"/>
      <c r="H771" s="102" t="n"/>
    </row>
    <row r="772">
      <c r="D772" s="99" t="n"/>
      <c r="E772" s="102" t="n"/>
      <c r="G772" s="99" t="n"/>
      <c r="H772" s="102" t="n"/>
    </row>
    <row r="774">
      <c r="B774" s="2">
        <f>IF(HSTECH!$C$34="","",HSTECH!$C$34)</f>
        <v/>
      </c>
      <c r="C774" s="2">
        <f>IF(PULL_FUND="N","",IF(HSTECH!$C$34="","",HSTECH!$C$34))</f>
        <v/>
      </c>
      <c r="D774" s="101">
        <f>BDH($C774,NDE_FIELD,"-5AY","","Per=Y","cols=2;rows=5")</f>
        <v/>
      </c>
      <c r="E774" s="102" t="n"/>
      <c r="G774" s="101">
        <f>BQL($C774,BUYBACK_QUERY,$C$4,"fill=prev","showheaders=f","showids=f")</f>
        <v/>
      </c>
      <c r="H774" s="102" t="n"/>
    </row>
    <row r="775">
      <c r="D775" s="99" t="n"/>
      <c r="E775" s="102" t="n"/>
      <c r="G775" s="99" t="n"/>
      <c r="H775" s="102" t="n"/>
    </row>
    <row r="776">
      <c r="D776" s="99" t="n"/>
      <c r="E776" s="102" t="n"/>
      <c r="G776" s="99" t="n"/>
      <c r="H776" s="102" t="n"/>
    </row>
    <row r="777">
      <c r="D777" s="99" t="n"/>
      <c r="E777" s="102" t="n"/>
      <c r="G777" s="99" t="n"/>
      <c r="H777" s="102" t="n"/>
    </row>
    <row r="778">
      <c r="D778" s="99" t="n"/>
      <c r="E778" s="102" t="n"/>
      <c r="G778" s="99" t="n"/>
      <c r="H778" s="102" t="n"/>
    </row>
    <row r="780">
      <c r="B780" s="2">
        <f>IF(HSTECH!$C$35="","",HSTECH!$C$35)</f>
        <v/>
      </c>
      <c r="C780" s="2">
        <f>IF(PULL_FUND="N","",IF(HSTECH!$C$35="","",HSTECH!$C$35))</f>
        <v/>
      </c>
      <c r="D780" s="101">
        <f>BDH($C780,NDE_FIELD,"-5AY","","Per=Y","cols=2;rows=5")</f>
        <v/>
      </c>
      <c r="E780" s="102" t="n"/>
      <c r="G780" s="101">
        <f>BQL($C780,BUYBACK_QUERY,$C$4,"fill=prev","showheaders=f","showids=f")</f>
        <v/>
      </c>
      <c r="H780" s="102" t="n"/>
    </row>
    <row r="781">
      <c r="D781" s="99" t="n"/>
      <c r="E781" s="102" t="n"/>
      <c r="G781" s="99" t="n"/>
      <c r="H781" s="102" t="n"/>
    </row>
    <row r="782">
      <c r="D782" s="99" t="n"/>
      <c r="E782" s="102" t="n"/>
      <c r="G782" s="99" t="n"/>
      <c r="H782" s="102" t="n"/>
    </row>
    <row r="783">
      <c r="D783" s="99" t="n"/>
      <c r="E783" s="102" t="n"/>
      <c r="G783" s="99" t="n"/>
      <c r="H783" s="102" t="n"/>
    </row>
    <row r="784">
      <c r="D784" s="99" t="n"/>
      <c r="E784" s="102" t="n"/>
      <c r="G784" s="99" t="n"/>
      <c r="H784" s="102" t="n"/>
    </row>
    <row r="786">
      <c r="B786" s="2">
        <f>IF(HSTECH!$C$36="","",HSTECH!$C$36)</f>
        <v/>
      </c>
      <c r="C786" s="2">
        <f>IF(PULL_FUND="N","",IF(HSTECH!$C$36="","",HSTECH!$C$36))</f>
        <v/>
      </c>
      <c r="D786" s="101">
        <f>BDH($C786,NDE_FIELD,"-5AY","","Per=Y","cols=2;rows=5")</f>
        <v/>
      </c>
      <c r="E786" s="102" t="n"/>
      <c r="G786" s="101">
        <f>BQL($C786,BUYBACK_QUERY,$C$4,"fill=prev","showheaders=f","showids=f")</f>
        <v/>
      </c>
      <c r="H786" s="102" t="n"/>
    </row>
    <row r="787">
      <c r="D787" s="99" t="n"/>
      <c r="E787" s="102" t="n"/>
      <c r="G787" s="99" t="n"/>
      <c r="H787" s="102" t="n"/>
    </row>
    <row r="788">
      <c r="D788" s="99" t="n"/>
      <c r="E788" s="102" t="n"/>
      <c r="G788" s="99" t="n"/>
      <c r="H788" s="102" t="n"/>
    </row>
    <row r="789">
      <c r="D789" s="99" t="n"/>
      <c r="E789" s="102" t="n"/>
      <c r="G789" s="99" t="n"/>
      <c r="H789" s="102" t="n"/>
    </row>
    <row r="790">
      <c r="D790" s="99" t="n"/>
      <c r="E790" s="102" t="n"/>
      <c r="G790" s="99" t="n"/>
      <c r="H790" s="102" t="n"/>
    </row>
    <row r="792">
      <c r="B792" s="2">
        <f>IF(HSTECH!$C$37="","",HSTECH!$C$37)</f>
        <v/>
      </c>
      <c r="C792" s="2">
        <f>IF(PULL_FUND="N","",IF(HSTECH!$C$37="","",HSTECH!$C$37))</f>
        <v/>
      </c>
      <c r="D792" s="101">
        <f>BDH($C792,NDE_FIELD,"-5AY","","Per=Y","cols=2;rows=5")</f>
        <v/>
      </c>
      <c r="E792" s="102" t="n"/>
      <c r="G792" s="101">
        <f>BQL($C792,BUYBACK_QUERY,$C$4,"fill=prev","showheaders=f","showids=f")</f>
        <v/>
      </c>
      <c r="H792" s="102" t="n"/>
    </row>
    <row r="793">
      <c r="D793" s="99" t="n"/>
      <c r="E793" s="102" t="n"/>
      <c r="G793" s="99" t="n"/>
      <c r="H793" s="102" t="n"/>
    </row>
    <row r="794">
      <c r="D794" s="99" t="n"/>
      <c r="E794" s="102" t="n"/>
      <c r="G794" s="99" t="n"/>
      <c r="H794" s="102" t="n"/>
    </row>
    <row r="795">
      <c r="D795" s="99" t="n"/>
      <c r="E795" s="102" t="n"/>
      <c r="G795" s="99" t="n"/>
      <c r="H795" s="102" t="n"/>
    </row>
    <row r="796">
      <c r="D796" s="99" t="n"/>
      <c r="E796" s="102" t="n"/>
      <c r="G796" s="99" t="n"/>
      <c r="H796" s="102" t="n"/>
    </row>
    <row r="798">
      <c r="B798" s="2">
        <f>IF(HSTECH!$C$38="","",HSTECH!$C$38)</f>
        <v/>
      </c>
      <c r="C798" s="2">
        <f>IF(PULL_FUND="N","",IF(HSTECH!$C$38="","",HSTECH!$C$38))</f>
        <v/>
      </c>
      <c r="D798" s="101">
        <f>BDH($C798,NDE_FIELD,"-5AY","","Per=Y","cols=2;rows=5")</f>
        <v/>
      </c>
      <c r="E798" s="102" t="n"/>
      <c r="G798" s="101">
        <f>BQL($C798,BUYBACK_QUERY,$C$4,"fill=prev","showheaders=f","showids=f")</f>
        <v/>
      </c>
      <c r="H798" s="102" t="n"/>
    </row>
    <row r="799">
      <c r="D799" s="99" t="n"/>
      <c r="E799" s="102" t="n"/>
      <c r="G799" s="99" t="n"/>
      <c r="H799" s="102" t="n"/>
    </row>
    <row r="800">
      <c r="D800" s="99" t="n"/>
      <c r="E800" s="102" t="n"/>
      <c r="G800" s="99" t="n"/>
      <c r="H800" s="102" t="n"/>
    </row>
    <row r="801">
      <c r="D801" s="99" t="n"/>
      <c r="E801" s="102" t="n"/>
      <c r="G801" s="99" t="n"/>
      <c r="H801" s="102" t="n"/>
    </row>
    <row r="802">
      <c r="D802" s="99" t="n"/>
      <c r="E802" s="102" t="n"/>
      <c r="G802" s="99" t="n"/>
      <c r="H802" s="102" t="n"/>
    </row>
    <row r="804">
      <c r="B804" s="2">
        <f>IF(HSTECH!$C$39="","",HSTECH!$C$39)</f>
        <v/>
      </c>
      <c r="C804" s="2">
        <f>IF(PULL_FUND="N","",IF(HSTECH!$C$39="","",HSTECH!$C$39))</f>
        <v/>
      </c>
      <c r="D804" s="101">
        <f>BDH($C804,NDE_FIELD,"-5AY","","Per=Y","cols=2;rows=5")</f>
        <v/>
      </c>
      <c r="E804" s="102" t="n"/>
      <c r="G804" s="101">
        <f>BQL($C804,BUYBACK_QUERY,$C$4,"fill=prev","showheaders=f","showids=f")</f>
        <v/>
      </c>
      <c r="H804" s="102" t="n"/>
    </row>
    <row r="805">
      <c r="D805" s="99" t="n"/>
      <c r="E805" s="102" t="n"/>
      <c r="G805" s="99" t="n"/>
      <c r="H805" s="102" t="n"/>
    </row>
    <row r="806">
      <c r="D806" s="99" t="n"/>
      <c r="E806" s="102" t="n"/>
      <c r="G806" s="99" t="n"/>
      <c r="H806" s="102" t="n"/>
    </row>
    <row r="807">
      <c r="D807" s="99" t="n"/>
      <c r="E807" s="102" t="n"/>
      <c r="G807" s="99" t="n"/>
      <c r="H807" s="102" t="n"/>
    </row>
    <row r="808">
      <c r="D808" s="99" t="n"/>
      <c r="E808" s="102" t="n"/>
      <c r="G808" s="99" t="n"/>
      <c r="H808" s="102" t="n"/>
    </row>
    <row r="810">
      <c r="B810" s="2">
        <f>IF(HSTECH!$C$40="","",HSTECH!$C$40)</f>
        <v/>
      </c>
      <c r="C810" s="2">
        <f>IF(PULL_FUND="N","",IF(HSTECH!$C$40="","",HSTECH!$C$40))</f>
        <v/>
      </c>
      <c r="D810" s="101">
        <f>BDH($C810,NDE_FIELD,"-5AY","","Per=Y","cols=2;rows=5")</f>
        <v/>
      </c>
      <c r="E810" s="102" t="n"/>
      <c r="G810" s="101">
        <f>BQL($C810,BUYBACK_QUERY,$C$4,"fill=prev","showheaders=f","showids=f")</f>
        <v/>
      </c>
      <c r="H810" s="102" t="n"/>
    </row>
    <row r="811">
      <c r="D811" s="99" t="n"/>
      <c r="E811" s="102" t="n"/>
      <c r="G811" s="99" t="n"/>
      <c r="H811" s="102" t="n"/>
    </row>
    <row r="812">
      <c r="D812" s="99" t="n"/>
      <c r="E812" s="102" t="n"/>
      <c r="G812" s="99" t="n"/>
      <c r="H812" s="102" t="n"/>
    </row>
    <row r="813">
      <c r="D813" s="99" t="n"/>
      <c r="E813" s="102" t="n"/>
      <c r="G813" s="99" t="n"/>
      <c r="H813" s="102" t="n"/>
    </row>
    <row r="814">
      <c r="D814" s="99" t="n"/>
      <c r="E814" s="102" t="n"/>
      <c r="G814" s="99" t="n"/>
      <c r="H814" s="102" t="n"/>
    </row>
    <row r="816">
      <c r="B816" s="2">
        <f>IF(HSTECH!$C$41="","",HSTECH!$C$41)</f>
        <v/>
      </c>
      <c r="C816" s="2">
        <f>IF(PULL_FUND="N","",IF(HSTECH!$C$41="","",HSTECH!$C$41))</f>
        <v/>
      </c>
      <c r="D816" s="101">
        <f>BDH($C816,NDE_FIELD,"-5AY","","Per=Y","cols=2;rows=5")</f>
        <v/>
      </c>
      <c r="E816" s="102" t="n"/>
      <c r="G816" s="101">
        <f>BQL($C816,BUYBACK_QUERY,$C$4,"fill=prev","showheaders=f","showids=f")</f>
        <v/>
      </c>
      <c r="H816" s="102" t="n"/>
    </row>
    <row r="817">
      <c r="D817" s="99" t="n"/>
      <c r="E817" s="102" t="n"/>
      <c r="G817" s="99" t="n"/>
      <c r="H817" s="102" t="n"/>
    </row>
    <row r="818">
      <c r="D818" s="99" t="n"/>
      <c r="E818" s="102" t="n"/>
      <c r="G818" s="99" t="n"/>
      <c r="H818" s="102" t="n"/>
    </row>
    <row r="819">
      <c r="D819" s="99" t="n"/>
      <c r="E819" s="102" t="n"/>
      <c r="G819" s="99" t="n"/>
      <c r="H819" s="102" t="n"/>
    </row>
    <row r="820">
      <c r="D820" s="99" t="n"/>
      <c r="E820" s="102" t="n"/>
      <c r="G820" s="99" t="n"/>
      <c r="H820" s="102" t="n"/>
    </row>
    <row r="822">
      <c r="B822" s="2">
        <f>IF(HSTECH!$C$42="","",HSTECH!$C$42)</f>
        <v/>
      </c>
      <c r="C822" s="2">
        <f>IF(PULL_FUND="N","",IF(HSTECH!$C$42="","",HSTECH!$C$42))</f>
        <v/>
      </c>
      <c r="D822" s="101">
        <f>BDH($C822,NDE_FIELD,"-5AY","","Per=Y","cols=2;rows=5")</f>
        <v/>
      </c>
      <c r="E822" s="102" t="n"/>
      <c r="G822" s="101">
        <f>BQL($C822,BUYBACK_QUERY,$C$4,"fill=prev","showheaders=f","showids=f")</f>
        <v/>
      </c>
      <c r="H822" s="102" t="n"/>
    </row>
    <row r="823">
      <c r="D823" s="99" t="n"/>
      <c r="E823" s="102" t="n"/>
      <c r="G823" s="99" t="n"/>
      <c r="H823" s="102" t="n"/>
    </row>
    <row r="824">
      <c r="D824" s="99" t="n"/>
      <c r="E824" s="102" t="n"/>
      <c r="G824" s="99" t="n"/>
      <c r="H824" s="102" t="n"/>
    </row>
    <row r="825">
      <c r="D825" s="99" t="n"/>
      <c r="E825" s="102" t="n"/>
      <c r="G825" s="99" t="n"/>
      <c r="H825" s="102" t="n"/>
    </row>
    <row r="826">
      <c r="D826" s="99" t="n"/>
      <c r="E826" s="102" t="n"/>
      <c r="G826" s="99" t="n"/>
      <c r="H826" s="102" t="n"/>
    </row>
    <row r="828">
      <c r="B828" s="2">
        <f>IF(HSTECH!$C$43="","",HSTECH!$C$43)</f>
        <v/>
      </c>
      <c r="C828" s="2">
        <f>IF(PULL_FUND="N","",IF(HSTECH!$C$43="","",HSTECH!$C$43))</f>
        <v/>
      </c>
      <c r="D828" s="101">
        <f>BDH($C828,NDE_FIELD,"-5AY","","Per=Y","cols=2;rows=5")</f>
        <v/>
      </c>
      <c r="E828" s="102" t="n"/>
      <c r="G828" s="101">
        <f>BQL($C828,BUYBACK_QUERY,$C$4,"fill=prev","showheaders=f","showids=f")</f>
        <v/>
      </c>
      <c r="H828" s="102" t="n"/>
    </row>
    <row r="829">
      <c r="D829" s="99" t="n"/>
      <c r="E829" s="102" t="n"/>
      <c r="G829" s="99" t="n"/>
      <c r="H829" s="102" t="n"/>
    </row>
    <row r="830">
      <c r="D830" s="99" t="n"/>
      <c r="E830" s="102" t="n"/>
      <c r="G830" s="99" t="n"/>
      <c r="H830" s="102" t="n"/>
    </row>
    <row r="831">
      <c r="D831" s="99" t="n"/>
      <c r="E831" s="102" t="n"/>
      <c r="G831" s="99" t="n"/>
      <c r="H831" s="102" t="n"/>
    </row>
    <row r="832">
      <c r="D832" s="99" t="n"/>
      <c r="E832" s="102" t="n"/>
      <c r="G832" s="99" t="n"/>
      <c r="H832" s="102" t="n"/>
    </row>
    <row r="834">
      <c r="B834" s="2">
        <f>IF(HSTECH!$C$44="","",HSTECH!$C$44)</f>
        <v/>
      </c>
      <c r="C834" s="2">
        <f>IF(PULL_FUND="N","",IF(HSTECH!$C$44="","",HSTECH!$C$44))</f>
        <v/>
      </c>
      <c r="D834" s="101">
        <f>BDH($C834,NDE_FIELD,"-5AY","","Per=Y","cols=2;rows=5")</f>
        <v/>
      </c>
      <c r="E834" s="102" t="n"/>
      <c r="G834" s="101">
        <f>BQL($C834,BUYBACK_QUERY,$C$4,"fill=prev","showheaders=f","showids=f")</f>
        <v/>
      </c>
      <c r="H834" s="102" t="n"/>
    </row>
    <row r="835">
      <c r="D835" s="99" t="n"/>
      <c r="E835" s="102" t="n"/>
      <c r="G835" s="99" t="n"/>
      <c r="H835" s="102" t="n"/>
    </row>
    <row r="836">
      <c r="D836" s="99" t="n"/>
      <c r="E836" s="102" t="n"/>
      <c r="G836" s="99" t="n"/>
      <c r="H836" s="102" t="n"/>
    </row>
    <row r="837">
      <c r="D837" s="99" t="n"/>
      <c r="E837" s="102" t="n"/>
      <c r="G837" s="99" t="n"/>
      <c r="H837" s="102" t="n"/>
    </row>
    <row r="838">
      <c r="D838" s="99" t="n"/>
      <c r="E838" s="102" t="n"/>
      <c r="G838" s="99" t="n"/>
      <c r="H838" s="102" t="n"/>
    </row>
    <row r="840">
      <c r="B840" s="2">
        <f>IF(HSTECH!$C$45="","",HSTECH!$C$45)</f>
        <v/>
      </c>
      <c r="C840" s="2">
        <f>IF(PULL_FUND="N","",IF(HSTECH!$C$45="","",HSTECH!$C$45))</f>
        <v/>
      </c>
      <c r="D840" s="101">
        <f>BDH($C840,NDE_FIELD,"-5AY","","Per=Y","cols=2;rows=5")</f>
        <v/>
      </c>
      <c r="E840" s="102" t="n"/>
      <c r="G840" s="101">
        <f>BQL($C840,BUYBACK_QUERY,$C$4,"fill=prev","showheaders=f","showids=f")</f>
        <v/>
      </c>
      <c r="H840" s="102" t="n"/>
    </row>
    <row r="841">
      <c r="D841" s="99" t="n"/>
      <c r="E841" s="102" t="n"/>
      <c r="G841" s="99" t="n"/>
      <c r="H841" s="102" t="n"/>
    </row>
    <row r="842">
      <c r="D842" s="99" t="n"/>
      <c r="E842" s="102" t="n"/>
      <c r="G842" s="99" t="n"/>
      <c r="H842" s="102" t="n"/>
    </row>
    <row r="843">
      <c r="D843" s="99" t="n"/>
      <c r="E843" s="102" t="n"/>
      <c r="G843" s="99" t="n"/>
      <c r="H843" s="102" t="n"/>
    </row>
    <row r="844">
      <c r="D844" s="99" t="n"/>
      <c r="E844" s="102" t="n"/>
      <c r="G844" s="99" t="n"/>
      <c r="H844" s="102" t="n"/>
    </row>
    <row r="846">
      <c r="B846" s="2">
        <f>IF(HSTECH!$C$46="","",HSTECH!$C$46)</f>
        <v/>
      </c>
      <c r="C846" s="2">
        <f>IF(PULL_FUND="N","",IF(HSTECH!$C$46="","",HSTECH!$C$46))</f>
        <v/>
      </c>
      <c r="D846" s="101">
        <f>BDH($C846,NDE_FIELD,"-5AY","","Per=Y","cols=2;rows=5")</f>
        <v/>
      </c>
      <c r="E846" s="102" t="n"/>
      <c r="G846" s="101">
        <f>BQL($C846,BUYBACK_QUERY,$C$4,"fill=prev","showheaders=f","showids=f")</f>
        <v/>
      </c>
      <c r="H846" s="102" t="n"/>
    </row>
    <row r="847">
      <c r="D847" s="99" t="n"/>
      <c r="E847" s="102" t="n"/>
      <c r="G847" s="99" t="n"/>
      <c r="H847" s="102" t="n"/>
    </row>
    <row r="848">
      <c r="D848" s="99" t="n"/>
      <c r="E848" s="102" t="n"/>
      <c r="G848" s="99" t="n"/>
      <c r="H848" s="102" t="n"/>
    </row>
    <row r="849">
      <c r="D849" s="99" t="n"/>
      <c r="E849" s="102" t="n"/>
      <c r="G849" s="99" t="n"/>
      <c r="H849" s="102" t="n"/>
    </row>
    <row r="850">
      <c r="D850" s="99" t="n"/>
      <c r="E850" s="102" t="n"/>
      <c r="G850" s="99" t="n"/>
      <c r="H850" s="102" t="n"/>
    </row>
    <row r="854">
      <c r="B854" s="3" t="inlineStr">
        <is>
          <t>Hang Seng China Enterprises (HSCEI)</t>
        </is>
      </c>
      <c r="C854" s="4" t="n"/>
      <c r="D854" s="93">
        <f>IF(COUNT($D$856:$D$1215)&gt;0,"BDH shape OK - dates in column D",IF(COUNT($E$856:$E$1215)&gt;0,"CHECK: BDH returned values but NO date column - tell Claude","BDH: nothing pulled yet"))</f>
        <v/>
      </c>
      <c r="E854" s="4" t="n"/>
      <c r="F854" s="4" t="n"/>
      <c r="G854" s="93">
        <f>IF(COUNT($G$856:$G$1215)&gt;0,"BQL shape OK - dates in column G",IF(COUNT($H$856:$H$1215)&gt;0,"CHECK: BQL returned values but NO date column - tell Claude","BQL: nothing pulled yet"))</f>
        <v/>
      </c>
      <c r="H854" s="4" t="n"/>
    </row>
    <row r="855">
      <c r="D855" s="2" t="inlineStr">
        <is>
          <t>net debt/equity (BDH)</t>
        </is>
      </c>
      <c r="G855" s="2" t="inlineStr">
        <is>
          <t>buyback yield (BQL)</t>
        </is>
      </c>
    </row>
    <row r="856">
      <c r="B856" s="2">
        <f>IF(HSCEI!$C$7="","",HSCEI!$C$7)</f>
        <v/>
      </c>
      <c r="C856" s="2">
        <f>IF(PULL_FUND="N","",IF(HSCEI!$C$7="","",HSCEI!$C$7))</f>
        <v/>
      </c>
      <c r="D856" s="101">
        <f>BDH($C856,NDE_FIELD,"-5AY","","Per=Y","cols=2;rows=5")</f>
        <v/>
      </c>
      <c r="E856" s="102" t="n"/>
      <c r="G856" s="101">
        <f>BQL($C856,BUYBACK_QUERY,$C$4,"fill=prev","showheaders=f","showids=f")</f>
        <v/>
      </c>
      <c r="H856" s="102" t="n"/>
    </row>
    <row r="857">
      <c r="D857" s="99" t="n"/>
      <c r="E857" s="102" t="n"/>
      <c r="G857" s="99" t="n"/>
      <c r="H857" s="102" t="n"/>
    </row>
    <row r="858">
      <c r="D858" s="99" t="n"/>
      <c r="E858" s="102" t="n"/>
      <c r="G858" s="99" t="n"/>
      <c r="H858" s="102" t="n"/>
    </row>
    <row r="859">
      <c r="D859" s="99" t="n"/>
      <c r="E859" s="102" t="n"/>
      <c r="G859" s="99" t="n"/>
      <c r="H859" s="102" t="n"/>
    </row>
    <row r="860">
      <c r="D860" s="99" t="n"/>
      <c r="E860" s="102" t="n"/>
      <c r="G860" s="99" t="n"/>
      <c r="H860" s="102" t="n"/>
    </row>
    <row r="862">
      <c r="B862" s="2">
        <f>IF(HSCEI!$C$8="","",HSCEI!$C$8)</f>
        <v/>
      </c>
      <c r="C862" s="2">
        <f>IF(PULL_FUND="N","",IF(HSCEI!$C$8="","",HSCEI!$C$8))</f>
        <v/>
      </c>
      <c r="D862" s="101">
        <f>BDH($C862,NDE_FIELD,"-5AY","","Per=Y","cols=2;rows=5")</f>
        <v/>
      </c>
      <c r="E862" s="102" t="n"/>
      <c r="G862" s="101">
        <f>BQL($C862,BUYBACK_QUERY,$C$4,"fill=prev","showheaders=f","showids=f")</f>
        <v/>
      </c>
      <c r="H862" s="102" t="n"/>
    </row>
    <row r="863">
      <c r="D863" s="99" t="n"/>
      <c r="E863" s="102" t="n"/>
      <c r="G863" s="99" t="n"/>
      <c r="H863" s="102" t="n"/>
    </row>
    <row r="864">
      <c r="D864" s="99" t="n"/>
      <c r="E864" s="102" t="n"/>
      <c r="G864" s="99" t="n"/>
      <c r="H864" s="102" t="n"/>
    </row>
    <row r="865">
      <c r="D865" s="99" t="n"/>
      <c r="E865" s="102" t="n"/>
      <c r="G865" s="99" t="n"/>
      <c r="H865" s="102" t="n"/>
    </row>
    <row r="866">
      <c r="D866" s="99" t="n"/>
      <c r="E866" s="102" t="n"/>
      <c r="G866" s="99" t="n"/>
      <c r="H866" s="102" t="n"/>
    </row>
    <row r="868">
      <c r="B868" s="2">
        <f>IF(HSCEI!$C$9="","",HSCEI!$C$9)</f>
        <v/>
      </c>
      <c r="C868" s="2">
        <f>IF(PULL_FUND="N","",IF(HSCEI!$C$9="","",HSCEI!$C$9))</f>
        <v/>
      </c>
      <c r="D868" s="101">
        <f>BDH($C868,NDE_FIELD,"-5AY","","Per=Y","cols=2;rows=5")</f>
        <v/>
      </c>
      <c r="E868" s="102" t="n"/>
      <c r="G868" s="101">
        <f>BQL($C868,BUYBACK_QUERY,$C$4,"fill=prev","showheaders=f","showids=f")</f>
        <v/>
      </c>
      <c r="H868" s="102" t="n"/>
    </row>
    <row r="869">
      <c r="D869" s="99" t="n"/>
      <c r="E869" s="102" t="n"/>
      <c r="G869" s="99" t="n"/>
      <c r="H869" s="102" t="n"/>
    </row>
    <row r="870">
      <c r="D870" s="99" t="n"/>
      <c r="E870" s="102" t="n"/>
      <c r="G870" s="99" t="n"/>
      <c r="H870" s="102" t="n"/>
    </row>
    <row r="871">
      <c r="D871" s="99" t="n"/>
      <c r="E871" s="102" t="n"/>
      <c r="G871" s="99" t="n"/>
      <c r="H871" s="102" t="n"/>
    </row>
    <row r="872">
      <c r="D872" s="99" t="n"/>
      <c r="E872" s="102" t="n"/>
      <c r="G872" s="99" t="n"/>
      <c r="H872" s="102" t="n"/>
    </row>
    <row r="874">
      <c r="B874" s="2">
        <f>IF(HSCEI!$C$10="","",HSCEI!$C$10)</f>
        <v/>
      </c>
      <c r="C874" s="2">
        <f>IF(PULL_FUND="N","",IF(HSCEI!$C$10="","",HSCEI!$C$10))</f>
        <v/>
      </c>
      <c r="D874" s="101">
        <f>BDH($C874,NDE_FIELD,"-5AY","","Per=Y","cols=2;rows=5")</f>
        <v/>
      </c>
      <c r="E874" s="102" t="n"/>
      <c r="G874" s="101">
        <f>BQL($C874,BUYBACK_QUERY,$C$4,"fill=prev","showheaders=f","showids=f")</f>
        <v/>
      </c>
      <c r="H874" s="102" t="n"/>
    </row>
    <row r="875">
      <c r="D875" s="99" t="n"/>
      <c r="E875" s="102" t="n"/>
      <c r="G875" s="99" t="n"/>
      <c r="H875" s="102" t="n"/>
    </row>
    <row r="876">
      <c r="D876" s="99" t="n"/>
      <c r="E876" s="102" t="n"/>
      <c r="G876" s="99" t="n"/>
      <c r="H876" s="102" t="n"/>
    </row>
    <row r="877">
      <c r="D877" s="99" t="n"/>
      <c r="E877" s="102" t="n"/>
      <c r="G877" s="99" t="n"/>
      <c r="H877" s="102" t="n"/>
    </row>
    <row r="878">
      <c r="D878" s="99" t="n"/>
      <c r="E878" s="102" t="n"/>
      <c r="G878" s="99" t="n"/>
      <c r="H878" s="102" t="n"/>
    </row>
    <row r="880">
      <c r="B880" s="2">
        <f>IF(HSCEI!$C$11="","",HSCEI!$C$11)</f>
        <v/>
      </c>
      <c r="C880" s="2">
        <f>IF(PULL_FUND="N","",IF(HSCEI!$C$11="","",HSCEI!$C$11))</f>
        <v/>
      </c>
      <c r="D880" s="101">
        <f>BDH($C880,NDE_FIELD,"-5AY","","Per=Y","cols=2;rows=5")</f>
        <v/>
      </c>
      <c r="E880" s="102" t="n"/>
      <c r="G880" s="101">
        <f>BQL($C880,BUYBACK_QUERY,$C$4,"fill=prev","showheaders=f","showids=f")</f>
        <v/>
      </c>
      <c r="H880" s="102" t="n"/>
    </row>
    <row r="881">
      <c r="D881" s="99" t="n"/>
      <c r="E881" s="102" t="n"/>
      <c r="G881" s="99" t="n"/>
      <c r="H881" s="102" t="n"/>
    </row>
    <row r="882">
      <c r="D882" s="99" t="n"/>
      <c r="E882" s="102" t="n"/>
      <c r="G882" s="99" t="n"/>
      <c r="H882" s="102" t="n"/>
    </row>
    <row r="883">
      <c r="D883" s="99" t="n"/>
      <c r="E883" s="102" t="n"/>
      <c r="G883" s="99" t="n"/>
      <c r="H883" s="102" t="n"/>
    </row>
    <row r="884">
      <c r="D884" s="99" t="n"/>
      <c r="E884" s="102" t="n"/>
      <c r="G884" s="99" t="n"/>
      <c r="H884" s="102" t="n"/>
    </row>
    <row r="886">
      <c r="B886" s="2">
        <f>IF(HSCEI!$C$12="","",HSCEI!$C$12)</f>
        <v/>
      </c>
      <c r="C886" s="2">
        <f>IF(PULL_FUND="N","",IF(HSCEI!$C$12="","",HSCEI!$C$12))</f>
        <v/>
      </c>
      <c r="D886" s="101">
        <f>BDH($C886,NDE_FIELD,"-5AY","","Per=Y","cols=2;rows=5")</f>
        <v/>
      </c>
      <c r="E886" s="102" t="n"/>
      <c r="G886" s="101">
        <f>BQL($C886,BUYBACK_QUERY,$C$4,"fill=prev","showheaders=f","showids=f")</f>
        <v/>
      </c>
      <c r="H886" s="102" t="n"/>
    </row>
    <row r="887">
      <c r="D887" s="99" t="n"/>
      <c r="E887" s="102" t="n"/>
      <c r="G887" s="99" t="n"/>
      <c r="H887" s="102" t="n"/>
    </row>
    <row r="888">
      <c r="D888" s="99" t="n"/>
      <c r="E888" s="102" t="n"/>
      <c r="G888" s="99" t="n"/>
      <c r="H888" s="102" t="n"/>
    </row>
    <row r="889">
      <c r="D889" s="99" t="n"/>
      <c r="E889" s="102" t="n"/>
      <c r="G889" s="99" t="n"/>
      <c r="H889" s="102" t="n"/>
    </row>
    <row r="890">
      <c r="D890" s="99" t="n"/>
      <c r="E890" s="102" t="n"/>
      <c r="G890" s="99" t="n"/>
      <c r="H890" s="102" t="n"/>
    </row>
    <row r="892">
      <c r="B892" s="2">
        <f>IF(HSCEI!$C$13="","",HSCEI!$C$13)</f>
        <v/>
      </c>
      <c r="C892" s="2">
        <f>IF(PULL_FUND="N","",IF(HSCEI!$C$13="","",HSCEI!$C$13))</f>
        <v/>
      </c>
      <c r="D892" s="101">
        <f>BDH($C892,NDE_FIELD,"-5AY","","Per=Y","cols=2;rows=5")</f>
        <v/>
      </c>
      <c r="E892" s="102" t="n"/>
      <c r="G892" s="101">
        <f>BQL($C892,BUYBACK_QUERY,$C$4,"fill=prev","showheaders=f","showids=f")</f>
        <v/>
      </c>
      <c r="H892" s="102" t="n"/>
    </row>
    <row r="893">
      <c r="D893" s="99" t="n"/>
      <c r="E893" s="102" t="n"/>
      <c r="G893" s="99" t="n"/>
      <c r="H893" s="102" t="n"/>
    </row>
    <row r="894">
      <c r="D894" s="99" t="n"/>
      <c r="E894" s="102" t="n"/>
      <c r="G894" s="99" t="n"/>
      <c r="H894" s="102" t="n"/>
    </row>
    <row r="895">
      <c r="D895" s="99" t="n"/>
      <c r="E895" s="102" t="n"/>
      <c r="G895" s="99" t="n"/>
      <c r="H895" s="102" t="n"/>
    </row>
    <row r="896">
      <c r="D896" s="99" t="n"/>
      <c r="E896" s="102" t="n"/>
      <c r="G896" s="99" t="n"/>
      <c r="H896" s="102" t="n"/>
    </row>
    <row r="898">
      <c r="B898" s="2">
        <f>IF(HSCEI!$C$14="","",HSCEI!$C$14)</f>
        <v/>
      </c>
      <c r="C898" s="2">
        <f>IF(PULL_FUND="N","",IF(HSCEI!$C$14="","",HSCEI!$C$14))</f>
        <v/>
      </c>
      <c r="D898" s="101">
        <f>BDH($C898,NDE_FIELD,"-5AY","","Per=Y","cols=2;rows=5")</f>
        <v/>
      </c>
      <c r="E898" s="102" t="n"/>
      <c r="G898" s="101">
        <f>BQL($C898,BUYBACK_QUERY,$C$4,"fill=prev","showheaders=f","showids=f")</f>
        <v/>
      </c>
      <c r="H898" s="102" t="n"/>
    </row>
    <row r="899">
      <c r="D899" s="99" t="n"/>
      <c r="E899" s="102" t="n"/>
      <c r="G899" s="99" t="n"/>
      <c r="H899" s="102" t="n"/>
    </row>
    <row r="900">
      <c r="D900" s="99" t="n"/>
      <c r="E900" s="102" t="n"/>
      <c r="G900" s="99" t="n"/>
      <c r="H900" s="102" t="n"/>
    </row>
    <row r="901">
      <c r="D901" s="99" t="n"/>
      <c r="E901" s="102" t="n"/>
      <c r="G901" s="99" t="n"/>
      <c r="H901" s="102" t="n"/>
    </row>
    <row r="902">
      <c r="D902" s="99" t="n"/>
      <c r="E902" s="102" t="n"/>
      <c r="G902" s="99" t="n"/>
      <c r="H902" s="102" t="n"/>
    </row>
    <row r="904">
      <c r="B904" s="2">
        <f>IF(HSCEI!$C$15="","",HSCEI!$C$15)</f>
        <v/>
      </c>
      <c r="C904" s="2">
        <f>IF(PULL_FUND="N","",IF(HSCEI!$C$15="","",HSCEI!$C$15))</f>
        <v/>
      </c>
      <c r="D904" s="101">
        <f>BDH($C904,NDE_FIELD,"-5AY","","Per=Y","cols=2;rows=5")</f>
        <v/>
      </c>
      <c r="E904" s="102" t="n"/>
      <c r="G904" s="101">
        <f>BQL($C904,BUYBACK_QUERY,$C$4,"fill=prev","showheaders=f","showids=f")</f>
        <v/>
      </c>
      <c r="H904" s="102" t="n"/>
    </row>
    <row r="905">
      <c r="D905" s="99" t="n"/>
      <c r="E905" s="102" t="n"/>
      <c r="G905" s="99" t="n"/>
      <c r="H905" s="102" t="n"/>
    </row>
    <row r="906">
      <c r="D906" s="99" t="n"/>
      <c r="E906" s="102" t="n"/>
      <c r="G906" s="99" t="n"/>
      <c r="H906" s="102" t="n"/>
    </row>
    <row r="907">
      <c r="D907" s="99" t="n"/>
      <c r="E907" s="102" t="n"/>
      <c r="G907" s="99" t="n"/>
      <c r="H907" s="102" t="n"/>
    </row>
    <row r="908">
      <c r="D908" s="99" t="n"/>
      <c r="E908" s="102" t="n"/>
      <c r="G908" s="99" t="n"/>
      <c r="H908" s="102" t="n"/>
    </row>
    <row r="910">
      <c r="B910" s="2">
        <f>IF(HSCEI!$C$16="","",HSCEI!$C$16)</f>
        <v/>
      </c>
      <c r="C910" s="2">
        <f>IF(PULL_FUND="N","",IF(HSCEI!$C$16="","",HSCEI!$C$16))</f>
        <v/>
      </c>
      <c r="D910" s="101">
        <f>BDH($C910,NDE_FIELD,"-5AY","","Per=Y","cols=2;rows=5")</f>
        <v/>
      </c>
      <c r="E910" s="102" t="n"/>
      <c r="G910" s="101">
        <f>BQL($C910,BUYBACK_QUERY,$C$4,"fill=prev","showheaders=f","showids=f")</f>
        <v/>
      </c>
      <c r="H910" s="102" t="n"/>
    </row>
    <row r="911">
      <c r="D911" s="99" t="n"/>
      <c r="E911" s="102" t="n"/>
      <c r="G911" s="99" t="n"/>
      <c r="H911" s="102" t="n"/>
    </row>
    <row r="912">
      <c r="D912" s="99" t="n"/>
      <c r="E912" s="102" t="n"/>
      <c r="G912" s="99" t="n"/>
      <c r="H912" s="102" t="n"/>
    </row>
    <row r="913">
      <c r="D913" s="99" t="n"/>
      <c r="E913" s="102" t="n"/>
      <c r="G913" s="99" t="n"/>
      <c r="H913" s="102" t="n"/>
    </row>
    <row r="914">
      <c r="D914" s="99" t="n"/>
      <c r="E914" s="102" t="n"/>
      <c r="G914" s="99" t="n"/>
      <c r="H914" s="102" t="n"/>
    </row>
    <row r="916">
      <c r="B916" s="2">
        <f>IF(HSCEI!$C$17="","",HSCEI!$C$17)</f>
        <v/>
      </c>
      <c r="C916" s="2">
        <f>IF(PULL_FUND="N","",IF(HSCEI!$C$17="","",HSCEI!$C$17))</f>
        <v/>
      </c>
      <c r="D916" s="101">
        <f>BDH($C916,NDE_FIELD,"-5AY","","Per=Y","cols=2;rows=5")</f>
        <v/>
      </c>
      <c r="E916" s="102" t="n"/>
      <c r="G916" s="101">
        <f>BQL($C916,BUYBACK_QUERY,$C$4,"fill=prev","showheaders=f","showids=f")</f>
        <v/>
      </c>
      <c r="H916" s="102" t="n"/>
    </row>
    <row r="917">
      <c r="D917" s="99" t="n"/>
      <c r="E917" s="102" t="n"/>
      <c r="G917" s="99" t="n"/>
      <c r="H917" s="102" t="n"/>
    </row>
    <row r="918">
      <c r="D918" s="99" t="n"/>
      <c r="E918" s="102" t="n"/>
      <c r="G918" s="99" t="n"/>
      <c r="H918" s="102" t="n"/>
    </row>
    <row r="919">
      <c r="D919" s="99" t="n"/>
      <c r="E919" s="102" t="n"/>
      <c r="G919" s="99" t="n"/>
      <c r="H919" s="102" t="n"/>
    </row>
    <row r="920">
      <c r="D920" s="99" t="n"/>
      <c r="E920" s="102" t="n"/>
      <c r="G920" s="99" t="n"/>
      <c r="H920" s="102" t="n"/>
    </row>
    <row r="922">
      <c r="B922" s="2">
        <f>IF(HSCEI!$C$18="","",HSCEI!$C$18)</f>
        <v/>
      </c>
      <c r="C922" s="2">
        <f>IF(PULL_FUND="N","",IF(HSCEI!$C$18="","",HSCEI!$C$18))</f>
        <v/>
      </c>
      <c r="D922" s="101">
        <f>BDH($C922,NDE_FIELD,"-5AY","","Per=Y","cols=2;rows=5")</f>
        <v/>
      </c>
      <c r="E922" s="102" t="n"/>
      <c r="G922" s="101">
        <f>BQL($C922,BUYBACK_QUERY,$C$4,"fill=prev","showheaders=f","showids=f")</f>
        <v/>
      </c>
      <c r="H922" s="102" t="n"/>
    </row>
    <row r="923">
      <c r="D923" s="99" t="n"/>
      <c r="E923" s="102" t="n"/>
      <c r="G923" s="99" t="n"/>
      <c r="H923" s="102" t="n"/>
    </row>
    <row r="924">
      <c r="D924" s="99" t="n"/>
      <c r="E924" s="102" t="n"/>
      <c r="G924" s="99" t="n"/>
      <c r="H924" s="102" t="n"/>
    </row>
    <row r="925">
      <c r="D925" s="99" t="n"/>
      <c r="E925" s="102" t="n"/>
      <c r="G925" s="99" t="n"/>
      <c r="H925" s="102" t="n"/>
    </row>
    <row r="926">
      <c r="D926" s="99" t="n"/>
      <c r="E926" s="102" t="n"/>
      <c r="G926" s="99" t="n"/>
      <c r="H926" s="102" t="n"/>
    </row>
    <row r="928">
      <c r="B928" s="2">
        <f>IF(HSCEI!$C$19="","",HSCEI!$C$19)</f>
        <v/>
      </c>
      <c r="C928" s="2">
        <f>IF(PULL_FUND="N","",IF(HSCEI!$C$19="","",HSCEI!$C$19))</f>
        <v/>
      </c>
      <c r="D928" s="101">
        <f>BDH($C928,NDE_FIELD,"-5AY","","Per=Y","cols=2;rows=5")</f>
        <v/>
      </c>
      <c r="E928" s="102" t="n"/>
      <c r="G928" s="101">
        <f>BQL($C928,BUYBACK_QUERY,$C$4,"fill=prev","showheaders=f","showids=f")</f>
        <v/>
      </c>
      <c r="H928" s="102" t="n"/>
    </row>
    <row r="929">
      <c r="D929" s="99" t="n"/>
      <c r="E929" s="102" t="n"/>
      <c r="G929" s="99" t="n"/>
      <c r="H929" s="102" t="n"/>
    </row>
    <row r="930">
      <c r="D930" s="99" t="n"/>
      <c r="E930" s="102" t="n"/>
      <c r="G930" s="99" t="n"/>
      <c r="H930" s="102" t="n"/>
    </row>
    <row r="931">
      <c r="D931" s="99" t="n"/>
      <c r="E931" s="102" t="n"/>
      <c r="G931" s="99" t="n"/>
      <c r="H931" s="102" t="n"/>
    </row>
    <row r="932">
      <c r="D932" s="99" t="n"/>
      <c r="E932" s="102" t="n"/>
      <c r="G932" s="99" t="n"/>
      <c r="H932" s="102" t="n"/>
    </row>
    <row r="934">
      <c r="B934" s="2">
        <f>IF(HSCEI!$C$20="","",HSCEI!$C$20)</f>
        <v/>
      </c>
      <c r="C934" s="2">
        <f>IF(PULL_FUND="N","",IF(HSCEI!$C$20="","",HSCEI!$C$20))</f>
        <v/>
      </c>
      <c r="D934" s="101">
        <f>BDH($C934,NDE_FIELD,"-5AY","","Per=Y","cols=2;rows=5")</f>
        <v/>
      </c>
      <c r="E934" s="102" t="n"/>
      <c r="G934" s="101">
        <f>BQL($C934,BUYBACK_QUERY,$C$4,"fill=prev","showheaders=f","showids=f")</f>
        <v/>
      </c>
      <c r="H934" s="102" t="n"/>
    </row>
    <row r="935">
      <c r="D935" s="99" t="n"/>
      <c r="E935" s="102" t="n"/>
      <c r="G935" s="99" t="n"/>
      <c r="H935" s="102" t="n"/>
    </row>
    <row r="936">
      <c r="D936" s="99" t="n"/>
      <c r="E936" s="102" t="n"/>
      <c r="G936" s="99" t="n"/>
      <c r="H936" s="102" t="n"/>
    </row>
    <row r="937">
      <c r="D937" s="99" t="n"/>
      <c r="E937" s="102" t="n"/>
      <c r="G937" s="99" t="n"/>
      <c r="H937" s="102" t="n"/>
    </row>
    <row r="938">
      <c r="D938" s="99" t="n"/>
      <c r="E938" s="102" t="n"/>
      <c r="G938" s="99" t="n"/>
      <c r="H938" s="102" t="n"/>
    </row>
    <row r="940">
      <c r="B940" s="2">
        <f>IF(HSCEI!$C$21="","",HSCEI!$C$21)</f>
        <v/>
      </c>
      <c r="C940" s="2">
        <f>IF(PULL_FUND="N","",IF(HSCEI!$C$21="","",HSCEI!$C$21))</f>
        <v/>
      </c>
      <c r="D940" s="101">
        <f>BDH($C940,NDE_FIELD,"-5AY","","Per=Y","cols=2;rows=5")</f>
        <v/>
      </c>
      <c r="E940" s="102" t="n"/>
      <c r="G940" s="101">
        <f>BQL($C940,BUYBACK_QUERY,$C$4,"fill=prev","showheaders=f","showids=f")</f>
        <v/>
      </c>
      <c r="H940" s="102" t="n"/>
    </row>
    <row r="941">
      <c r="D941" s="99" t="n"/>
      <c r="E941" s="102" t="n"/>
      <c r="G941" s="99" t="n"/>
      <c r="H941" s="102" t="n"/>
    </row>
    <row r="942">
      <c r="D942" s="99" t="n"/>
      <c r="E942" s="102" t="n"/>
      <c r="G942" s="99" t="n"/>
      <c r="H942" s="102" t="n"/>
    </row>
    <row r="943">
      <c r="D943" s="99" t="n"/>
      <c r="E943" s="102" t="n"/>
      <c r="G943" s="99" t="n"/>
      <c r="H943" s="102" t="n"/>
    </row>
    <row r="944">
      <c r="D944" s="99" t="n"/>
      <c r="E944" s="102" t="n"/>
      <c r="G944" s="99" t="n"/>
      <c r="H944" s="102" t="n"/>
    </row>
    <row r="946">
      <c r="B946" s="2">
        <f>IF(HSCEI!$C$22="","",HSCEI!$C$22)</f>
        <v/>
      </c>
      <c r="C946" s="2">
        <f>IF(PULL_FUND="N","",IF(HSCEI!$C$22="","",HSCEI!$C$22))</f>
        <v/>
      </c>
      <c r="D946" s="101">
        <f>BDH($C946,NDE_FIELD,"-5AY","","Per=Y","cols=2;rows=5")</f>
        <v/>
      </c>
      <c r="E946" s="102" t="n"/>
      <c r="G946" s="101">
        <f>BQL($C946,BUYBACK_QUERY,$C$4,"fill=prev","showheaders=f","showids=f")</f>
        <v/>
      </c>
      <c r="H946" s="102" t="n"/>
    </row>
    <row r="947">
      <c r="D947" s="99" t="n"/>
      <c r="E947" s="102" t="n"/>
      <c r="G947" s="99" t="n"/>
      <c r="H947" s="102" t="n"/>
    </row>
    <row r="948">
      <c r="D948" s="99" t="n"/>
      <c r="E948" s="102" t="n"/>
      <c r="G948" s="99" t="n"/>
      <c r="H948" s="102" t="n"/>
    </row>
    <row r="949">
      <c r="D949" s="99" t="n"/>
      <c r="E949" s="102" t="n"/>
      <c r="G949" s="99" t="n"/>
      <c r="H949" s="102" t="n"/>
    </row>
    <row r="950">
      <c r="D950" s="99" t="n"/>
      <c r="E950" s="102" t="n"/>
      <c r="G950" s="99" t="n"/>
      <c r="H950" s="102" t="n"/>
    </row>
    <row r="952">
      <c r="B952" s="2">
        <f>IF(HSCEI!$C$23="","",HSCEI!$C$23)</f>
        <v/>
      </c>
      <c r="C952" s="2">
        <f>IF(PULL_FUND="N","",IF(HSCEI!$C$23="","",HSCEI!$C$23))</f>
        <v/>
      </c>
      <c r="D952" s="101">
        <f>BDH($C952,NDE_FIELD,"-5AY","","Per=Y","cols=2;rows=5")</f>
        <v/>
      </c>
      <c r="E952" s="102" t="n"/>
      <c r="G952" s="101">
        <f>BQL($C952,BUYBACK_QUERY,$C$4,"fill=prev","showheaders=f","showids=f")</f>
        <v/>
      </c>
      <c r="H952" s="102" t="n"/>
    </row>
    <row r="953">
      <c r="D953" s="99" t="n"/>
      <c r="E953" s="102" t="n"/>
      <c r="G953" s="99" t="n"/>
      <c r="H953" s="102" t="n"/>
    </row>
    <row r="954">
      <c r="D954" s="99" t="n"/>
      <c r="E954" s="102" t="n"/>
      <c r="G954" s="99" t="n"/>
      <c r="H954" s="102" t="n"/>
    </row>
    <row r="955">
      <c r="D955" s="99" t="n"/>
      <c r="E955" s="102" t="n"/>
      <c r="G955" s="99" t="n"/>
      <c r="H955" s="102" t="n"/>
    </row>
    <row r="956">
      <c r="D956" s="99" t="n"/>
      <c r="E956" s="102" t="n"/>
      <c r="G956" s="99" t="n"/>
      <c r="H956" s="102" t="n"/>
    </row>
    <row r="958">
      <c r="B958" s="2">
        <f>IF(HSCEI!$C$24="","",HSCEI!$C$24)</f>
        <v/>
      </c>
      <c r="C958" s="2">
        <f>IF(PULL_FUND="N","",IF(HSCEI!$C$24="","",HSCEI!$C$24))</f>
        <v/>
      </c>
      <c r="D958" s="101">
        <f>BDH($C958,NDE_FIELD,"-5AY","","Per=Y","cols=2;rows=5")</f>
        <v/>
      </c>
      <c r="E958" s="102" t="n"/>
      <c r="G958" s="101">
        <f>BQL($C958,BUYBACK_QUERY,$C$4,"fill=prev","showheaders=f","showids=f")</f>
        <v/>
      </c>
      <c r="H958" s="102" t="n"/>
    </row>
    <row r="959">
      <c r="D959" s="99" t="n"/>
      <c r="E959" s="102" t="n"/>
      <c r="G959" s="99" t="n"/>
      <c r="H959" s="102" t="n"/>
    </row>
    <row r="960">
      <c r="D960" s="99" t="n"/>
      <c r="E960" s="102" t="n"/>
      <c r="G960" s="99" t="n"/>
      <c r="H960" s="102" t="n"/>
    </row>
    <row r="961">
      <c r="D961" s="99" t="n"/>
      <c r="E961" s="102" t="n"/>
      <c r="G961" s="99" t="n"/>
      <c r="H961" s="102" t="n"/>
    </row>
    <row r="962">
      <c r="D962" s="99" t="n"/>
      <c r="E962" s="102" t="n"/>
      <c r="G962" s="99" t="n"/>
      <c r="H962" s="102" t="n"/>
    </row>
    <row r="964">
      <c r="B964" s="2">
        <f>IF(HSCEI!$C$25="","",HSCEI!$C$25)</f>
        <v/>
      </c>
      <c r="C964" s="2">
        <f>IF(PULL_FUND="N","",IF(HSCEI!$C$25="","",HSCEI!$C$25))</f>
        <v/>
      </c>
      <c r="D964" s="101">
        <f>BDH($C964,NDE_FIELD,"-5AY","","Per=Y","cols=2;rows=5")</f>
        <v/>
      </c>
      <c r="E964" s="102" t="n"/>
      <c r="G964" s="101">
        <f>BQL($C964,BUYBACK_QUERY,$C$4,"fill=prev","showheaders=f","showids=f")</f>
        <v/>
      </c>
      <c r="H964" s="102" t="n"/>
    </row>
    <row r="965">
      <c r="D965" s="99" t="n"/>
      <c r="E965" s="102" t="n"/>
      <c r="G965" s="99" t="n"/>
      <c r="H965" s="102" t="n"/>
    </row>
    <row r="966">
      <c r="D966" s="99" t="n"/>
      <c r="E966" s="102" t="n"/>
      <c r="G966" s="99" t="n"/>
      <c r="H966" s="102" t="n"/>
    </row>
    <row r="967">
      <c r="D967" s="99" t="n"/>
      <c r="E967" s="102" t="n"/>
      <c r="G967" s="99" t="n"/>
      <c r="H967" s="102" t="n"/>
    </row>
    <row r="968">
      <c r="D968" s="99" t="n"/>
      <c r="E968" s="102" t="n"/>
      <c r="G968" s="99" t="n"/>
      <c r="H968" s="102" t="n"/>
    </row>
    <row r="970">
      <c r="B970" s="2">
        <f>IF(HSCEI!$C$26="","",HSCEI!$C$26)</f>
        <v/>
      </c>
      <c r="C970" s="2">
        <f>IF(PULL_FUND="N","",IF(HSCEI!$C$26="","",HSCEI!$C$26))</f>
        <v/>
      </c>
      <c r="D970" s="101">
        <f>BDH($C970,NDE_FIELD,"-5AY","","Per=Y","cols=2;rows=5")</f>
        <v/>
      </c>
      <c r="E970" s="102" t="n"/>
      <c r="G970" s="101">
        <f>BQL($C970,BUYBACK_QUERY,$C$4,"fill=prev","showheaders=f","showids=f")</f>
        <v/>
      </c>
      <c r="H970" s="102" t="n"/>
    </row>
    <row r="971">
      <c r="D971" s="99" t="n"/>
      <c r="E971" s="102" t="n"/>
      <c r="G971" s="99" t="n"/>
      <c r="H971" s="102" t="n"/>
    </row>
    <row r="972">
      <c r="D972" s="99" t="n"/>
      <c r="E972" s="102" t="n"/>
      <c r="G972" s="99" t="n"/>
      <c r="H972" s="102" t="n"/>
    </row>
    <row r="973">
      <c r="D973" s="99" t="n"/>
      <c r="E973" s="102" t="n"/>
      <c r="G973" s="99" t="n"/>
      <c r="H973" s="102" t="n"/>
    </row>
    <row r="974">
      <c r="D974" s="99" t="n"/>
      <c r="E974" s="102" t="n"/>
      <c r="G974" s="99" t="n"/>
      <c r="H974" s="102" t="n"/>
    </row>
    <row r="976">
      <c r="B976" s="2">
        <f>IF(HSCEI!$C$27="","",HSCEI!$C$27)</f>
        <v/>
      </c>
      <c r="C976" s="2">
        <f>IF(PULL_FUND="N","",IF(HSCEI!$C$27="","",HSCEI!$C$27))</f>
        <v/>
      </c>
      <c r="D976" s="101">
        <f>BDH($C976,NDE_FIELD,"-5AY","","Per=Y","cols=2;rows=5")</f>
        <v/>
      </c>
      <c r="E976" s="102" t="n"/>
      <c r="G976" s="101">
        <f>BQL($C976,BUYBACK_QUERY,$C$4,"fill=prev","showheaders=f","showids=f")</f>
        <v/>
      </c>
      <c r="H976" s="102" t="n"/>
    </row>
    <row r="977">
      <c r="D977" s="99" t="n"/>
      <c r="E977" s="102" t="n"/>
      <c r="G977" s="99" t="n"/>
      <c r="H977" s="102" t="n"/>
    </row>
    <row r="978">
      <c r="D978" s="99" t="n"/>
      <c r="E978" s="102" t="n"/>
      <c r="G978" s="99" t="n"/>
      <c r="H978" s="102" t="n"/>
    </row>
    <row r="979">
      <c r="D979" s="99" t="n"/>
      <c r="E979" s="102" t="n"/>
      <c r="G979" s="99" t="n"/>
      <c r="H979" s="102" t="n"/>
    </row>
    <row r="980">
      <c r="D980" s="99" t="n"/>
      <c r="E980" s="102" t="n"/>
      <c r="G980" s="99" t="n"/>
      <c r="H980" s="102" t="n"/>
    </row>
    <row r="982">
      <c r="B982" s="2">
        <f>IF(HSCEI!$C$28="","",HSCEI!$C$28)</f>
        <v/>
      </c>
      <c r="C982" s="2">
        <f>IF(PULL_FUND="N","",IF(HSCEI!$C$28="","",HSCEI!$C$28))</f>
        <v/>
      </c>
      <c r="D982" s="101">
        <f>BDH($C982,NDE_FIELD,"-5AY","","Per=Y","cols=2;rows=5")</f>
        <v/>
      </c>
      <c r="E982" s="102" t="n"/>
      <c r="G982" s="101">
        <f>BQL($C982,BUYBACK_QUERY,$C$4,"fill=prev","showheaders=f","showids=f")</f>
        <v/>
      </c>
      <c r="H982" s="102" t="n"/>
    </row>
    <row r="983">
      <c r="D983" s="99" t="n"/>
      <c r="E983" s="102" t="n"/>
      <c r="G983" s="99" t="n"/>
      <c r="H983" s="102" t="n"/>
    </row>
    <row r="984">
      <c r="D984" s="99" t="n"/>
      <c r="E984" s="102" t="n"/>
      <c r="G984" s="99" t="n"/>
      <c r="H984" s="102" t="n"/>
    </row>
    <row r="985">
      <c r="D985" s="99" t="n"/>
      <c r="E985" s="102" t="n"/>
      <c r="G985" s="99" t="n"/>
      <c r="H985" s="102" t="n"/>
    </row>
    <row r="986">
      <c r="D986" s="99" t="n"/>
      <c r="E986" s="102" t="n"/>
      <c r="G986" s="99" t="n"/>
      <c r="H986" s="102" t="n"/>
    </row>
    <row r="988">
      <c r="B988" s="2">
        <f>IF(HSCEI!$C$29="","",HSCEI!$C$29)</f>
        <v/>
      </c>
      <c r="C988" s="2">
        <f>IF(PULL_FUND="N","",IF(HSCEI!$C$29="","",HSCEI!$C$29))</f>
        <v/>
      </c>
      <c r="D988" s="101">
        <f>BDH($C988,NDE_FIELD,"-5AY","","Per=Y","cols=2;rows=5")</f>
        <v/>
      </c>
      <c r="E988" s="102" t="n"/>
      <c r="G988" s="101">
        <f>BQL($C988,BUYBACK_QUERY,$C$4,"fill=prev","showheaders=f","showids=f")</f>
        <v/>
      </c>
      <c r="H988" s="102" t="n"/>
    </row>
    <row r="989">
      <c r="D989" s="99" t="n"/>
      <c r="E989" s="102" t="n"/>
      <c r="G989" s="99" t="n"/>
      <c r="H989" s="102" t="n"/>
    </row>
    <row r="990">
      <c r="D990" s="99" t="n"/>
      <c r="E990" s="102" t="n"/>
      <c r="G990" s="99" t="n"/>
      <c r="H990" s="102" t="n"/>
    </row>
    <row r="991">
      <c r="D991" s="99" t="n"/>
      <c r="E991" s="102" t="n"/>
      <c r="G991" s="99" t="n"/>
      <c r="H991" s="102" t="n"/>
    </row>
    <row r="992">
      <c r="D992" s="99" t="n"/>
      <c r="E992" s="102" t="n"/>
      <c r="G992" s="99" t="n"/>
      <c r="H992" s="102" t="n"/>
    </row>
    <row r="994">
      <c r="B994" s="2">
        <f>IF(HSCEI!$C$30="","",HSCEI!$C$30)</f>
        <v/>
      </c>
      <c r="C994" s="2">
        <f>IF(PULL_FUND="N","",IF(HSCEI!$C$30="","",HSCEI!$C$30))</f>
        <v/>
      </c>
      <c r="D994" s="101">
        <f>BDH($C994,NDE_FIELD,"-5AY","","Per=Y","cols=2;rows=5")</f>
        <v/>
      </c>
      <c r="E994" s="102" t="n"/>
      <c r="G994" s="101">
        <f>BQL($C994,BUYBACK_QUERY,$C$4,"fill=prev","showheaders=f","showids=f")</f>
        <v/>
      </c>
      <c r="H994" s="102" t="n"/>
    </row>
    <row r="995">
      <c r="D995" s="99" t="n"/>
      <c r="E995" s="102" t="n"/>
      <c r="G995" s="99" t="n"/>
      <c r="H995" s="102" t="n"/>
    </row>
    <row r="996">
      <c r="D996" s="99" t="n"/>
      <c r="E996" s="102" t="n"/>
      <c r="G996" s="99" t="n"/>
      <c r="H996" s="102" t="n"/>
    </row>
    <row r="997">
      <c r="D997" s="99" t="n"/>
      <c r="E997" s="102" t="n"/>
      <c r="G997" s="99" t="n"/>
      <c r="H997" s="102" t="n"/>
    </row>
    <row r="998">
      <c r="D998" s="99" t="n"/>
      <c r="E998" s="102" t="n"/>
      <c r="G998" s="99" t="n"/>
      <c r="H998" s="102" t="n"/>
    </row>
    <row r="1000">
      <c r="B1000" s="2">
        <f>IF(HSCEI!$C$31="","",HSCEI!$C$31)</f>
        <v/>
      </c>
      <c r="C1000" s="2">
        <f>IF(PULL_FUND="N","",IF(HSCEI!$C$31="","",HSCEI!$C$31))</f>
        <v/>
      </c>
      <c r="D1000" s="101">
        <f>BDH($C1000,NDE_FIELD,"-5AY","","Per=Y","cols=2;rows=5")</f>
        <v/>
      </c>
      <c r="E1000" s="102" t="n"/>
      <c r="G1000" s="101">
        <f>BQL($C1000,BUYBACK_QUERY,$C$4,"fill=prev","showheaders=f","showids=f")</f>
        <v/>
      </c>
      <c r="H1000" s="102" t="n"/>
    </row>
    <row r="1001">
      <c r="D1001" s="99" t="n"/>
      <c r="E1001" s="102" t="n"/>
      <c r="G1001" s="99" t="n"/>
      <c r="H1001" s="102" t="n"/>
    </row>
    <row r="1002">
      <c r="D1002" s="99" t="n"/>
      <c r="E1002" s="102" t="n"/>
      <c r="G1002" s="99" t="n"/>
      <c r="H1002" s="102" t="n"/>
    </row>
    <row r="1003">
      <c r="D1003" s="99" t="n"/>
      <c r="E1003" s="102" t="n"/>
      <c r="G1003" s="99" t="n"/>
      <c r="H1003" s="102" t="n"/>
    </row>
    <row r="1004">
      <c r="D1004" s="99" t="n"/>
      <c r="E1004" s="102" t="n"/>
      <c r="G1004" s="99" t="n"/>
      <c r="H1004" s="102" t="n"/>
    </row>
    <row r="1006">
      <c r="B1006" s="2">
        <f>IF(HSCEI!$C$32="","",HSCEI!$C$32)</f>
        <v/>
      </c>
      <c r="C1006" s="2">
        <f>IF(PULL_FUND="N","",IF(HSCEI!$C$32="","",HSCEI!$C$32))</f>
        <v/>
      </c>
      <c r="D1006" s="101">
        <f>BDH($C1006,NDE_FIELD,"-5AY","","Per=Y","cols=2;rows=5")</f>
        <v/>
      </c>
      <c r="E1006" s="102" t="n"/>
      <c r="G1006" s="101">
        <f>BQL($C1006,BUYBACK_QUERY,$C$4,"fill=prev","showheaders=f","showids=f")</f>
        <v/>
      </c>
      <c r="H1006" s="102" t="n"/>
    </row>
    <row r="1007">
      <c r="D1007" s="99" t="n"/>
      <c r="E1007" s="102" t="n"/>
      <c r="G1007" s="99" t="n"/>
      <c r="H1007" s="102" t="n"/>
    </row>
    <row r="1008">
      <c r="D1008" s="99" t="n"/>
      <c r="E1008" s="102" t="n"/>
      <c r="G1008" s="99" t="n"/>
      <c r="H1008" s="102" t="n"/>
    </row>
    <row r="1009">
      <c r="D1009" s="99" t="n"/>
      <c r="E1009" s="102" t="n"/>
      <c r="G1009" s="99" t="n"/>
      <c r="H1009" s="102" t="n"/>
    </row>
    <row r="1010">
      <c r="D1010" s="99" t="n"/>
      <c r="E1010" s="102" t="n"/>
      <c r="G1010" s="99" t="n"/>
      <c r="H1010" s="102" t="n"/>
    </row>
    <row r="1012">
      <c r="B1012" s="2">
        <f>IF(HSCEI!$C$33="","",HSCEI!$C$33)</f>
        <v/>
      </c>
      <c r="C1012" s="2">
        <f>IF(PULL_FUND="N","",IF(HSCEI!$C$33="","",HSCEI!$C$33))</f>
        <v/>
      </c>
      <c r="D1012" s="101">
        <f>BDH($C1012,NDE_FIELD,"-5AY","","Per=Y","cols=2;rows=5")</f>
        <v/>
      </c>
      <c r="E1012" s="102" t="n"/>
      <c r="G1012" s="101">
        <f>BQL($C1012,BUYBACK_QUERY,$C$4,"fill=prev","showheaders=f","showids=f")</f>
        <v/>
      </c>
      <c r="H1012" s="102" t="n"/>
    </row>
    <row r="1013">
      <c r="D1013" s="99" t="n"/>
      <c r="E1013" s="102" t="n"/>
      <c r="G1013" s="99" t="n"/>
      <c r="H1013" s="102" t="n"/>
    </row>
    <row r="1014">
      <c r="D1014" s="99" t="n"/>
      <c r="E1014" s="102" t="n"/>
      <c r="G1014" s="99" t="n"/>
      <c r="H1014" s="102" t="n"/>
    </row>
    <row r="1015">
      <c r="D1015" s="99" t="n"/>
      <c r="E1015" s="102" t="n"/>
      <c r="G1015" s="99" t="n"/>
      <c r="H1015" s="102" t="n"/>
    </row>
    <row r="1016">
      <c r="D1016" s="99" t="n"/>
      <c r="E1016" s="102" t="n"/>
      <c r="G1016" s="99" t="n"/>
      <c r="H1016" s="102" t="n"/>
    </row>
    <row r="1018">
      <c r="B1018" s="2">
        <f>IF(HSCEI!$C$34="","",HSCEI!$C$34)</f>
        <v/>
      </c>
      <c r="C1018" s="2">
        <f>IF(PULL_FUND="N","",IF(HSCEI!$C$34="","",HSCEI!$C$34))</f>
        <v/>
      </c>
      <c r="D1018" s="101">
        <f>BDH($C1018,NDE_FIELD,"-5AY","","Per=Y","cols=2;rows=5")</f>
        <v/>
      </c>
      <c r="E1018" s="102" t="n"/>
      <c r="G1018" s="101">
        <f>BQL($C1018,BUYBACK_QUERY,$C$4,"fill=prev","showheaders=f","showids=f")</f>
        <v/>
      </c>
      <c r="H1018" s="102" t="n"/>
    </row>
    <row r="1019">
      <c r="D1019" s="99" t="n"/>
      <c r="E1019" s="102" t="n"/>
      <c r="G1019" s="99" t="n"/>
      <c r="H1019" s="102" t="n"/>
    </row>
    <row r="1020">
      <c r="D1020" s="99" t="n"/>
      <c r="E1020" s="102" t="n"/>
      <c r="G1020" s="99" t="n"/>
      <c r="H1020" s="102" t="n"/>
    </row>
    <row r="1021">
      <c r="D1021" s="99" t="n"/>
      <c r="E1021" s="102" t="n"/>
      <c r="G1021" s="99" t="n"/>
      <c r="H1021" s="102" t="n"/>
    </row>
    <row r="1022">
      <c r="D1022" s="99" t="n"/>
      <c r="E1022" s="102" t="n"/>
      <c r="G1022" s="99" t="n"/>
      <c r="H1022" s="102" t="n"/>
    </row>
    <row r="1024">
      <c r="B1024" s="2">
        <f>IF(HSCEI!$C$35="","",HSCEI!$C$35)</f>
        <v/>
      </c>
      <c r="C1024" s="2">
        <f>IF(PULL_FUND="N","",IF(HSCEI!$C$35="","",HSCEI!$C$35))</f>
        <v/>
      </c>
      <c r="D1024" s="101">
        <f>BDH($C1024,NDE_FIELD,"-5AY","","Per=Y","cols=2;rows=5")</f>
        <v/>
      </c>
      <c r="E1024" s="102" t="n"/>
      <c r="G1024" s="101">
        <f>BQL($C1024,BUYBACK_QUERY,$C$4,"fill=prev","showheaders=f","showids=f")</f>
        <v/>
      </c>
      <c r="H1024" s="102" t="n"/>
    </row>
    <row r="1025">
      <c r="D1025" s="99" t="n"/>
      <c r="E1025" s="102" t="n"/>
      <c r="G1025" s="99" t="n"/>
      <c r="H1025" s="102" t="n"/>
    </row>
    <row r="1026">
      <c r="D1026" s="99" t="n"/>
      <c r="E1026" s="102" t="n"/>
      <c r="G1026" s="99" t="n"/>
      <c r="H1026" s="102" t="n"/>
    </row>
    <row r="1027">
      <c r="D1027" s="99" t="n"/>
      <c r="E1027" s="102" t="n"/>
      <c r="G1027" s="99" t="n"/>
      <c r="H1027" s="102" t="n"/>
    </row>
    <row r="1028">
      <c r="D1028" s="99" t="n"/>
      <c r="E1028" s="102" t="n"/>
      <c r="G1028" s="99" t="n"/>
      <c r="H1028" s="102" t="n"/>
    </row>
    <row r="1030">
      <c r="B1030" s="2">
        <f>IF(HSCEI!$C$36="","",HSCEI!$C$36)</f>
        <v/>
      </c>
      <c r="C1030" s="2">
        <f>IF(PULL_FUND="N","",IF(HSCEI!$C$36="","",HSCEI!$C$36))</f>
        <v/>
      </c>
      <c r="D1030" s="101">
        <f>BDH($C1030,NDE_FIELD,"-5AY","","Per=Y","cols=2;rows=5")</f>
        <v/>
      </c>
      <c r="E1030" s="102" t="n"/>
      <c r="G1030" s="101">
        <f>BQL($C1030,BUYBACK_QUERY,$C$4,"fill=prev","showheaders=f","showids=f")</f>
        <v/>
      </c>
      <c r="H1030" s="102" t="n"/>
    </row>
    <row r="1031">
      <c r="D1031" s="99" t="n"/>
      <c r="E1031" s="102" t="n"/>
      <c r="G1031" s="99" t="n"/>
      <c r="H1031" s="102" t="n"/>
    </row>
    <row r="1032">
      <c r="D1032" s="99" t="n"/>
      <c r="E1032" s="102" t="n"/>
      <c r="G1032" s="99" t="n"/>
      <c r="H1032" s="102" t="n"/>
    </row>
    <row r="1033">
      <c r="D1033" s="99" t="n"/>
      <c r="E1033" s="102" t="n"/>
      <c r="G1033" s="99" t="n"/>
      <c r="H1033" s="102" t="n"/>
    </row>
    <row r="1034">
      <c r="D1034" s="99" t="n"/>
      <c r="E1034" s="102" t="n"/>
      <c r="G1034" s="99" t="n"/>
      <c r="H1034" s="102" t="n"/>
    </row>
    <row r="1036">
      <c r="B1036" s="2">
        <f>IF(HSCEI!$C$37="","",HSCEI!$C$37)</f>
        <v/>
      </c>
      <c r="C1036" s="2">
        <f>IF(PULL_FUND="N","",IF(HSCEI!$C$37="","",HSCEI!$C$37))</f>
        <v/>
      </c>
      <c r="D1036" s="101">
        <f>BDH($C1036,NDE_FIELD,"-5AY","","Per=Y","cols=2;rows=5")</f>
        <v/>
      </c>
      <c r="E1036" s="102" t="n"/>
      <c r="G1036" s="101">
        <f>BQL($C1036,BUYBACK_QUERY,$C$4,"fill=prev","showheaders=f","showids=f")</f>
        <v/>
      </c>
      <c r="H1036" s="102" t="n"/>
    </row>
    <row r="1037">
      <c r="D1037" s="99" t="n"/>
      <c r="E1037" s="102" t="n"/>
      <c r="G1037" s="99" t="n"/>
      <c r="H1037" s="102" t="n"/>
    </row>
    <row r="1038">
      <c r="D1038" s="99" t="n"/>
      <c r="E1038" s="102" t="n"/>
      <c r="G1038" s="99" t="n"/>
      <c r="H1038" s="102" t="n"/>
    </row>
    <row r="1039">
      <c r="D1039" s="99" t="n"/>
      <c r="E1039" s="102" t="n"/>
      <c r="G1039" s="99" t="n"/>
      <c r="H1039" s="102" t="n"/>
    </row>
    <row r="1040">
      <c r="D1040" s="99" t="n"/>
      <c r="E1040" s="102" t="n"/>
      <c r="G1040" s="99" t="n"/>
      <c r="H1040" s="102" t="n"/>
    </row>
    <row r="1042">
      <c r="B1042" s="2">
        <f>IF(HSCEI!$C$38="","",HSCEI!$C$38)</f>
        <v/>
      </c>
      <c r="C1042" s="2">
        <f>IF(PULL_FUND="N","",IF(HSCEI!$C$38="","",HSCEI!$C$38))</f>
        <v/>
      </c>
      <c r="D1042" s="101">
        <f>BDH($C1042,NDE_FIELD,"-5AY","","Per=Y","cols=2;rows=5")</f>
        <v/>
      </c>
      <c r="E1042" s="102" t="n"/>
      <c r="G1042" s="101">
        <f>BQL($C1042,BUYBACK_QUERY,$C$4,"fill=prev","showheaders=f","showids=f")</f>
        <v/>
      </c>
      <c r="H1042" s="102" t="n"/>
    </row>
    <row r="1043">
      <c r="D1043" s="99" t="n"/>
      <c r="E1043" s="102" t="n"/>
      <c r="G1043" s="99" t="n"/>
      <c r="H1043" s="102" t="n"/>
    </row>
    <row r="1044">
      <c r="D1044" s="99" t="n"/>
      <c r="E1044" s="102" t="n"/>
      <c r="G1044" s="99" t="n"/>
      <c r="H1044" s="102" t="n"/>
    </row>
    <row r="1045">
      <c r="D1045" s="99" t="n"/>
      <c r="E1045" s="102" t="n"/>
      <c r="G1045" s="99" t="n"/>
      <c r="H1045" s="102" t="n"/>
    </row>
    <row r="1046">
      <c r="D1046" s="99" t="n"/>
      <c r="E1046" s="102" t="n"/>
      <c r="G1046" s="99" t="n"/>
      <c r="H1046" s="102" t="n"/>
    </row>
    <row r="1048">
      <c r="B1048" s="2">
        <f>IF(HSCEI!$C$39="","",HSCEI!$C$39)</f>
        <v/>
      </c>
      <c r="C1048" s="2">
        <f>IF(PULL_FUND="N","",IF(HSCEI!$C$39="","",HSCEI!$C$39))</f>
        <v/>
      </c>
      <c r="D1048" s="101">
        <f>BDH($C1048,NDE_FIELD,"-5AY","","Per=Y","cols=2;rows=5")</f>
        <v/>
      </c>
      <c r="E1048" s="102" t="n"/>
      <c r="G1048" s="101">
        <f>BQL($C1048,BUYBACK_QUERY,$C$4,"fill=prev","showheaders=f","showids=f")</f>
        <v/>
      </c>
      <c r="H1048" s="102" t="n"/>
    </row>
    <row r="1049">
      <c r="D1049" s="99" t="n"/>
      <c r="E1049" s="102" t="n"/>
      <c r="G1049" s="99" t="n"/>
      <c r="H1049" s="102" t="n"/>
    </row>
    <row r="1050">
      <c r="D1050" s="99" t="n"/>
      <c r="E1050" s="102" t="n"/>
      <c r="G1050" s="99" t="n"/>
      <c r="H1050" s="102" t="n"/>
    </row>
    <row r="1051">
      <c r="D1051" s="99" t="n"/>
      <c r="E1051" s="102" t="n"/>
      <c r="G1051" s="99" t="n"/>
      <c r="H1051" s="102" t="n"/>
    </row>
    <row r="1052">
      <c r="D1052" s="99" t="n"/>
      <c r="E1052" s="102" t="n"/>
      <c r="G1052" s="99" t="n"/>
      <c r="H1052" s="102" t="n"/>
    </row>
    <row r="1054">
      <c r="B1054" s="2">
        <f>IF(HSCEI!$C$40="","",HSCEI!$C$40)</f>
        <v/>
      </c>
      <c r="C1054" s="2">
        <f>IF(PULL_FUND="N","",IF(HSCEI!$C$40="","",HSCEI!$C$40))</f>
        <v/>
      </c>
      <c r="D1054" s="101">
        <f>BDH($C1054,NDE_FIELD,"-5AY","","Per=Y","cols=2;rows=5")</f>
        <v/>
      </c>
      <c r="E1054" s="102" t="n"/>
      <c r="G1054" s="101">
        <f>BQL($C1054,BUYBACK_QUERY,$C$4,"fill=prev","showheaders=f","showids=f")</f>
        <v/>
      </c>
      <c r="H1054" s="102" t="n"/>
    </row>
    <row r="1055">
      <c r="D1055" s="99" t="n"/>
      <c r="E1055" s="102" t="n"/>
      <c r="G1055" s="99" t="n"/>
      <c r="H1055" s="102" t="n"/>
    </row>
    <row r="1056">
      <c r="D1056" s="99" t="n"/>
      <c r="E1056" s="102" t="n"/>
      <c r="G1056" s="99" t="n"/>
      <c r="H1056" s="102" t="n"/>
    </row>
    <row r="1057">
      <c r="D1057" s="99" t="n"/>
      <c r="E1057" s="102" t="n"/>
      <c r="G1057" s="99" t="n"/>
      <c r="H1057" s="102" t="n"/>
    </row>
    <row r="1058">
      <c r="D1058" s="99" t="n"/>
      <c r="E1058" s="102" t="n"/>
      <c r="G1058" s="99" t="n"/>
      <c r="H1058" s="102" t="n"/>
    </row>
    <row r="1060">
      <c r="B1060" s="2">
        <f>IF(HSCEI!$C$41="","",HSCEI!$C$41)</f>
        <v/>
      </c>
      <c r="C1060" s="2">
        <f>IF(PULL_FUND="N","",IF(HSCEI!$C$41="","",HSCEI!$C$41))</f>
        <v/>
      </c>
      <c r="D1060" s="101">
        <f>BDH($C1060,NDE_FIELD,"-5AY","","Per=Y","cols=2;rows=5")</f>
        <v/>
      </c>
      <c r="E1060" s="102" t="n"/>
      <c r="G1060" s="101">
        <f>BQL($C1060,BUYBACK_QUERY,$C$4,"fill=prev","showheaders=f","showids=f")</f>
        <v/>
      </c>
      <c r="H1060" s="102" t="n"/>
    </row>
    <row r="1061">
      <c r="D1061" s="99" t="n"/>
      <c r="E1061" s="102" t="n"/>
      <c r="G1061" s="99" t="n"/>
      <c r="H1061" s="102" t="n"/>
    </row>
    <row r="1062">
      <c r="D1062" s="99" t="n"/>
      <c r="E1062" s="102" t="n"/>
      <c r="G1062" s="99" t="n"/>
      <c r="H1062" s="102" t="n"/>
    </row>
    <row r="1063">
      <c r="D1063" s="99" t="n"/>
      <c r="E1063" s="102" t="n"/>
      <c r="G1063" s="99" t="n"/>
      <c r="H1063" s="102" t="n"/>
    </row>
    <row r="1064">
      <c r="D1064" s="99" t="n"/>
      <c r="E1064" s="102" t="n"/>
      <c r="G1064" s="99" t="n"/>
      <c r="H1064" s="102" t="n"/>
    </row>
    <row r="1066">
      <c r="B1066" s="2">
        <f>IF(HSCEI!$C$42="","",HSCEI!$C$42)</f>
        <v/>
      </c>
      <c r="C1066" s="2">
        <f>IF(PULL_FUND="N","",IF(HSCEI!$C$42="","",HSCEI!$C$42))</f>
        <v/>
      </c>
      <c r="D1066" s="101">
        <f>BDH($C1066,NDE_FIELD,"-5AY","","Per=Y","cols=2;rows=5")</f>
        <v/>
      </c>
      <c r="E1066" s="102" t="n"/>
      <c r="G1066" s="101">
        <f>BQL($C1066,BUYBACK_QUERY,$C$4,"fill=prev","showheaders=f","showids=f")</f>
        <v/>
      </c>
      <c r="H1066" s="102" t="n"/>
    </row>
    <row r="1067">
      <c r="D1067" s="99" t="n"/>
      <c r="E1067" s="102" t="n"/>
      <c r="G1067" s="99" t="n"/>
      <c r="H1067" s="102" t="n"/>
    </row>
    <row r="1068">
      <c r="D1068" s="99" t="n"/>
      <c r="E1068" s="102" t="n"/>
      <c r="G1068" s="99" t="n"/>
      <c r="H1068" s="102" t="n"/>
    </row>
    <row r="1069">
      <c r="D1069" s="99" t="n"/>
      <c r="E1069" s="102" t="n"/>
      <c r="G1069" s="99" t="n"/>
      <c r="H1069" s="102" t="n"/>
    </row>
    <row r="1070">
      <c r="D1070" s="99" t="n"/>
      <c r="E1070" s="102" t="n"/>
      <c r="G1070" s="99" t="n"/>
      <c r="H1070" s="102" t="n"/>
    </row>
    <row r="1072">
      <c r="B1072" s="2">
        <f>IF(HSCEI!$C$43="","",HSCEI!$C$43)</f>
        <v/>
      </c>
      <c r="C1072" s="2">
        <f>IF(PULL_FUND="N","",IF(HSCEI!$C$43="","",HSCEI!$C$43))</f>
        <v/>
      </c>
      <c r="D1072" s="101">
        <f>BDH($C1072,NDE_FIELD,"-5AY","","Per=Y","cols=2;rows=5")</f>
        <v/>
      </c>
      <c r="E1072" s="102" t="n"/>
      <c r="G1072" s="101">
        <f>BQL($C1072,BUYBACK_QUERY,$C$4,"fill=prev","showheaders=f","showids=f")</f>
        <v/>
      </c>
      <c r="H1072" s="102" t="n"/>
    </row>
    <row r="1073">
      <c r="D1073" s="99" t="n"/>
      <c r="E1073" s="102" t="n"/>
      <c r="G1073" s="99" t="n"/>
      <c r="H1073" s="102" t="n"/>
    </row>
    <row r="1074">
      <c r="D1074" s="99" t="n"/>
      <c r="E1074" s="102" t="n"/>
      <c r="G1074" s="99" t="n"/>
      <c r="H1074" s="102" t="n"/>
    </row>
    <row r="1075">
      <c r="D1075" s="99" t="n"/>
      <c r="E1075" s="102" t="n"/>
      <c r="G1075" s="99" t="n"/>
      <c r="H1075" s="102" t="n"/>
    </row>
    <row r="1076">
      <c r="D1076" s="99" t="n"/>
      <c r="E1076" s="102" t="n"/>
      <c r="G1076" s="99" t="n"/>
      <c r="H1076" s="102" t="n"/>
    </row>
    <row r="1078">
      <c r="B1078" s="2">
        <f>IF(HSCEI!$C$44="","",HSCEI!$C$44)</f>
        <v/>
      </c>
      <c r="C1078" s="2">
        <f>IF(PULL_FUND="N","",IF(HSCEI!$C$44="","",HSCEI!$C$44))</f>
        <v/>
      </c>
      <c r="D1078" s="101">
        <f>BDH($C1078,NDE_FIELD,"-5AY","","Per=Y","cols=2;rows=5")</f>
        <v/>
      </c>
      <c r="E1078" s="102" t="n"/>
      <c r="G1078" s="101">
        <f>BQL($C1078,BUYBACK_QUERY,$C$4,"fill=prev","showheaders=f","showids=f")</f>
        <v/>
      </c>
      <c r="H1078" s="102" t="n"/>
    </row>
    <row r="1079">
      <c r="D1079" s="99" t="n"/>
      <c r="E1079" s="102" t="n"/>
      <c r="G1079" s="99" t="n"/>
      <c r="H1079" s="102" t="n"/>
    </row>
    <row r="1080">
      <c r="D1080" s="99" t="n"/>
      <c r="E1080" s="102" t="n"/>
      <c r="G1080" s="99" t="n"/>
      <c r="H1080" s="102" t="n"/>
    </row>
    <row r="1081">
      <c r="D1081" s="99" t="n"/>
      <c r="E1081" s="102" t="n"/>
      <c r="G1081" s="99" t="n"/>
      <c r="H1081" s="102" t="n"/>
    </row>
    <row r="1082">
      <c r="D1082" s="99" t="n"/>
      <c r="E1082" s="102" t="n"/>
      <c r="G1082" s="99" t="n"/>
      <c r="H1082" s="102" t="n"/>
    </row>
    <row r="1084">
      <c r="B1084" s="2">
        <f>IF(HSCEI!$C$45="","",HSCEI!$C$45)</f>
        <v/>
      </c>
      <c r="C1084" s="2">
        <f>IF(PULL_FUND="N","",IF(HSCEI!$C$45="","",HSCEI!$C$45))</f>
        <v/>
      </c>
      <c r="D1084" s="101">
        <f>BDH($C1084,NDE_FIELD,"-5AY","","Per=Y","cols=2;rows=5")</f>
        <v/>
      </c>
      <c r="E1084" s="102" t="n"/>
      <c r="G1084" s="101">
        <f>BQL($C1084,BUYBACK_QUERY,$C$4,"fill=prev","showheaders=f","showids=f")</f>
        <v/>
      </c>
      <c r="H1084" s="102" t="n"/>
    </row>
    <row r="1085">
      <c r="D1085" s="99" t="n"/>
      <c r="E1085" s="102" t="n"/>
      <c r="G1085" s="99" t="n"/>
      <c r="H1085" s="102" t="n"/>
    </row>
    <row r="1086">
      <c r="D1086" s="99" t="n"/>
      <c r="E1086" s="102" t="n"/>
      <c r="G1086" s="99" t="n"/>
      <c r="H1086" s="102" t="n"/>
    </row>
    <row r="1087">
      <c r="D1087" s="99" t="n"/>
      <c r="E1087" s="102" t="n"/>
      <c r="G1087" s="99" t="n"/>
      <c r="H1087" s="102" t="n"/>
    </row>
    <row r="1088">
      <c r="D1088" s="99" t="n"/>
      <c r="E1088" s="102" t="n"/>
      <c r="G1088" s="99" t="n"/>
      <c r="H1088" s="102" t="n"/>
    </row>
    <row r="1090">
      <c r="B1090" s="2">
        <f>IF(HSCEI!$C$46="","",HSCEI!$C$46)</f>
        <v/>
      </c>
      <c r="C1090" s="2">
        <f>IF(PULL_FUND="N","",IF(HSCEI!$C$46="","",HSCEI!$C$46))</f>
        <v/>
      </c>
      <c r="D1090" s="101">
        <f>BDH($C1090,NDE_FIELD,"-5AY","","Per=Y","cols=2;rows=5")</f>
        <v/>
      </c>
      <c r="E1090" s="102" t="n"/>
      <c r="G1090" s="101">
        <f>BQL($C1090,BUYBACK_QUERY,$C$4,"fill=prev","showheaders=f","showids=f")</f>
        <v/>
      </c>
      <c r="H1090" s="102" t="n"/>
    </row>
    <row r="1091">
      <c r="D1091" s="99" t="n"/>
      <c r="E1091" s="102" t="n"/>
      <c r="G1091" s="99" t="n"/>
      <c r="H1091" s="102" t="n"/>
    </row>
    <row r="1092">
      <c r="D1092" s="99" t="n"/>
      <c r="E1092" s="102" t="n"/>
      <c r="G1092" s="99" t="n"/>
      <c r="H1092" s="102" t="n"/>
    </row>
    <row r="1093">
      <c r="D1093" s="99" t="n"/>
      <c r="E1093" s="102" t="n"/>
      <c r="G1093" s="99" t="n"/>
      <c r="H1093" s="102" t="n"/>
    </row>
    <row r="1094">
      <c r="D1094" s="99" t="n"/>
      <c r="E1094" s="102" t="n"/>
      <c r="G1094" s="99" t="n"/>
      <c r="H1094" s="102" t="n"/>
    </row>
    <row r="1096">
      <c r="B1096" s="2">
        <f>IF(HSCEI!$C$47="","",HSCEI!$C$47)</f>
        <v/>
      </c>
      <c r="C1096" s="2">
        <f>IF(PULL_FUND="N","",IF(HSCEI!$C$47="","",HSCEI!$C$47))</f>
        <v/>
      </c>
      <c r="D1096" s="101">
        <f>BDH($C1096,NDE_FIELD,"-5AY","","Per=Y","cols=2;rows=5")</f>
        <v/>
      </c>
      <c r="E1096" s="102" t="n"/>
      <c r="G1096" s="101">
        <f>BQL($C1096,BUYBACK_QUERY,$C$4,"fill=prev","showheaders=f","showids=f")</f>
        <v/>
      </c>
      <c r="H1096" s="102" t="n"/>
    </row>
    <row r="1097">
      <c r="D1097" s="99" t="n"/>
      <c r="E1097" s="102" t="n"/>
      <c r="G1097" s="99" t="n"/>
      <c r="H1097" s="102" t="n"/>
    </row>
    <row r="1098">
      <c r="D1098" s="99" t="n"/>
      <c r="E1098" s="102" t="n"/>
      <c r="G1098" s="99" t="n"/>
      <c r="H1098" s="102" t="n"/>
    </row>
    <row r="1099">
      <c r="D1099" s="99" t="n"/>
      <c r="E1099" s="102" t="n"/>
      <c r="G1099" s="99" t="n"/>
      <c r="H1099" s="102" t="n"/>
    </row>
    <row r="1100">
      <c r="D1100" s="99" t="n"/>
      <c r="E1100" s="102" t="n"/>
      <c r="G1100" s="99" t="n"/>
      <c r="H1100" s="102" t="n"/>
    </row>
    <row r="1102">
      <c r="B1102" s="2">
        <f>IF(HSCEI!$C$48="","",HSCEI!$C$48)</f>
        <v/>
      </c>
      <c r="C1102" s="2">
        <f>IF(PULL_FUND="N","",IF(HSCEI!$C$48="","",HSCEI!$C$48))</f>
        <v/>
      </c>
      <c r="D1102" s="101">
        <f>BDH($C1102,NDE_FIELD,"-5AY","","Per=Y","cols=2;rows=5")</f>
        <v/>
      </c>
      <c r="E1102" s="102" t="n"/>
      <c r="G1102" s="101">
        <f>BQL($C1102,BUYBACK_QUERY,$C$4,"fill=prev","showheaders=f","showids=f")</f>
        <v/>
      </c>
      <c r="H1102" s="102" t="n"/>
    </row>
    <row r="1103">
      <c r="D1103" s="99" t="n"/>
      <c r="E1103" s="102" t="n"/>
      <c r="G1103" s="99" t="n"/>
      <c r="H1103" s="102" t="n"/>
    </row>
    <row r="1104">
      <c r="D1104" s="99" t="n"/>
      <c r="E1104" s="102" t="n"/>
      <c r="G1104" s="99" t="n"/>
      <c r="H1104" s="102" t="n"/>
    </row>
    <row r="1105">
      <c r="D1105" s="99" t="n"/>
      <c r="E1105" s="102" t="n"/>
      <c r="G1105" s="99" t="n"/>
      <c r="H1105" s="102" t="n"/>
    </row>
    <row r="1106">
      <c r="D1106" s="99" t="n"/>
      <c r="E1106" s="102" t="n"/>
      <c r="G1106" s="99" t="n"/>
      <c r="H1106" s="102" t="n"/>
    </row>
    <row r="1108">
      <c r="B1108" s="2">
        <f>IF(HSCEI!$C$49="","",HSCEI!$C$49)</f>
        <v/>
      </c>
      <c r="C1108" s="2">
        <f>IF(PULL_FUND="N","",IF(HSCEI!$C$49="","",HSCEI!$C$49))</f>
        <v/>
      </c>
      <c r="D1108" s="101">
        <f>BDH($C1108,NDE_FIELD,"-5AY","","Per=Y","cols=2;rows=5")</f>
        <v/>
      </c>
      <c r="E1108" s="102" t="n"/>
      <c r="G1108" s="101">
        <f>BQL($C1108,BUYBACK_QUERY,$C$4,"fill=prev","showheaders=f","showids=f")</f>
        <v/>
      </c>
      <c r="H1108" s="102" t="n"/>
    </row>
    <row r="1109">
      <c r="D1109" s="99" t="n"/>
      <c r="E1109" s="102" t="n"/>
      <c r="G1109" s="99" t="n"/>
      <c r="H1109" s="102" t="n"/>
    </row>
    <row r="1110">
      <c r="D1110" s="99" t="n"/>
      <c r="E1110" s="102" t="n"/>
      <c r="G1110" s="99" t="n"/>
      <c r="H1110" s="102" t="n"/>
    </row>
    <row r="1111">
      <c r="D1111" s="99" t="n"/>
      <c r="E1111" s="102" t="n"/>
      <c r="G1111" s="99" t="n"/>
      <c r="H1111" s="102" t="n"/>
    </row>
    <row r="1112">
      <c r="D1112" s="99" t="n"/>
      <c r="E1112" s="102" t="n"/>
      <c r="G1112" s="99" t="n"/>
      <c r="H1112" s="102" t="n"/>
    </row>
    <row r="1114">
      <c r="B1114" s="2">
        <f>IF(HSCEI!$C$50="","",HSCEI!$C$50)</f>
        <v/>
      </c>
      <c r="C1114" s="2">
        <f>IF(PULL_FUND="N","",IF(HSCEI!$C$50="","",HSCEI!$C$50))</f>
        <v/>
      </c>
      <c r="D1114" s="101">
        <f>BDH($C1114,NDE_FIELD,"-5AY","","Per=Y","cols=2;rows=5")</f>
        <v/>
      </c>
      <c r="E1114" s="102" t="n"/>
      <c r="G1114" s="101">
        <f>BQL($C1114,BUYBACK_QUERY,$C$4,"fill=prev","showheaders=f","showids=f")</f>
        <v/>
      </c>
      <c r="H1114" s="102" t="n"/>
    </row>
    <row r="1115">
      <c r="D1115" s="99" t="n"/>
      <c r="E1115" s="102" t="n"/>
      <c r="G1115" s="99" t="n"/>
      <c r="H1115" s="102" t="n"/>
    </row>
    <row r="1116">
      <c r="D1116" s="99" t="n"/>
      <c r="E1116" s="102" t="n"/>
      <c r="G1116" s="99" t="n"/>
      <c r="H1116" s="102" t="n"/>
    </row>
    <row r="1117">
      <c r="D1117" s="99" t="n"/>
      <c r="E1117" s="102" t="n"/>
      <c r="G1117" s="99" t="n"/>
      <c r="H1117" s="102" t="n"/>
    </row>
    <row r="1118">
      <c r="D1118" s="99" t="n"/>
      <c r="E1118" s="102" t="n"/>
      <c r="G1118" s="99" t="n"/>
      <c r="H1118" s="102" t="n"/>
    </row>
    <row r="1120">
      <c r="B1120" s="2">
        <f>IF(HSCEI!$C$51="","",HSCEI!$C$51)</f>
        <v/>
      </c>
      <c r="C1120" s="2">
        <f>IF(PULL_FUND="N","",IF(HSCEI!$C$51="","",HSCEI!$C$51))</f>
        <v/>
      </c>
      <c r="D1120" s="101">
        <f>BDH($C1120,NDE_FIELD,"-5AY","","Per=Y","cols=2;rows=5")</f>
        <v/>
      </c>
      <c r="E1120" s="102" t="n"/>
      <c r="G1120" s="101">
        <f>BQL($C1120,BUYBACK_QUERY,$C$4,"fill=prev","showheaders=f","showids=f")</f>
        <v/>
      </c>
      <c r="H1120" s="102" t="n"/>
    </row>
    <row r="1121">
      <c r="D1121" s="99" t="n"/>
      <c r="E1121" s="102" t="n"/>
      <c r="G1121" s="99" t="n"/>
      <c r="H1121" s="102" t="n"/>
    </row>
    <row r="1122">
      <c r="D1122" s="99" t="n"/>
      <c r="E1122" s="102" t="n"/>
      <c r="G1122" s="99" t="n"/>
      <c r="H1122" s="102" t="n"/>
    </row>
    <row r="1123">
      <c r="D1123" s="99" t="n"/>
      <c r="E1123" s="102" t="n"/>
      <c r="G1123" s="99" t="n"/>
      <c r="H1123" s="102" t="n"/>
    </row>
    <row r="1124">
      <c r="D1124" s="99" t="n"/>
      <c r="E1124" s="102" t="n"/>
      <c r="G1124" s="99" t="n"/>
      <c r="H1124" s="102" t="n"/>
    </row>
    <row r="1126">
      <c r="B1126" s="2">
        <f>IF(HSCEI!$C$52="","",HSCEI!$C$52)</f>
        <v/>
      </c>
      <c r="C1126" s="2">
        <f>IF(PULL_FUND="N","",IF(HSCEI!$C$52="","",HSCEI!$C$52))</f>
        <v/>
      </c>
      <c r="D1126" s="101">
        <f>BDH($C1126,NDE_FIELD,"-5AY","","Per=Y","cols=2;rows=5")</f>
        <v/>
      </c>
      <c r="E1126" s="102" t="n"/>
      <c r="G1126" s="101">
        <f>BQL($C1126,BUYBACK_QUERY,$C$4,"fill=prev","showheaders=f","showids=f")</f>
        <v/>
      </c>
      <c r="H1126" s="102" t="n"/>
    </row>
    <row r="1127">
      <c r="D1127" s="99" t="n"/>
      <c r="E1127" s="102" t="n"/>
      <c r="G1127" s="99" t="n"/>
      <c r="H1127" s="102" t="n"/>
    </row>
    <row r="1128">
      <c r="D1128" s="99" t="n"/>
      <c r="E1128" s="102" t="n"/>
      <c r="G1128" s="99" t="n"/>
      <c r="H1128" s="102" t="n"/>
    </row>
    <row r="1129">
      <c r="D1129" s="99" t="n"/>
      <c r="E1129" s="102" t="n"/>
      <c r="G1129" s="99" t="n"/>
      <c r="H1129" s="102" t="n"/>
    </row>
    <row r="1130">
      <c r="D1130" s="99" t="n"/>
      <c r="E1130" s="102" t="n"/>
      <c r="G1130" s="99" t="n"/>
      <c r="H1130" s="102" t="n"/>
    </row>
    <row r="1132">
      <c r="B1132" s="2">
        <f>IF(HSCEI!$C$53="","",HSCEI!$C$53)</f>
        <v/>
      </c>
      <c r="C1132" s="2">
        <f>IF(PULL_FUND="N","",IF(HSCEI!$C$53="","",HSCEI!$C$53))</f>
        <v/>
      </c>
      <c r="D1132" s="101">
        <f>BDH($C1132,NDE_FIELD,"-5AY","","Per=Y","cols=2;rows=5")</f>
        <v/>
      </c>
      <c r="E1132" s="102" t="n"/>
      <c r="G1132" s="101">
        <f>BQL($C1132,BUYBACK_QUERY,$C$4,"fill=prev","showheaders=f","showids=f")</f>
        <v/>
      </c>
      <c r="H1132" s="102" t="n"/>
    </row>
    <row r="1133">
      <c r="D1133" s="99" t="n"/>
      <c r="E1133" s="102" t="n"/>
      <c r="G1133" s="99" t="n"/>
      <c r="H1133" s="102" t="n"/>
    </row>
    <row r="1134">
      <c r="D1134" s="99" t="n"/>
      <c r="E1134" s="102" t="n"/>
      <c r="G1134" s="99" t="n"/>
      <c r="H1134" s="102" t="n"/>
    </row>
    <row r="1135">
      <c r="D1135" s="99" t="n"/>
      <c r="E1135" s="102" t="n"/>
      <c r="G1135" s="99" t="n"/>
      <c r="H1135" s="102" t="n"/>
    </row>
    <row r="1136">
      <c r="D1136" s="99" t="n"/>
      <c r="E1136" s="102" t="n"/>
      <c r="G1136" s="99" t="n"/>
      <c r="H1136" s="102" t="n"/>
    </row>
    <row r="1138">
      <c r="B1138" s="2">
        <f>IF(HSCEI!$C$54="","",HSCEI!$C$54)</f>
        <v/>
      </c>
      <c r="C1138" s="2">
        <f>IF(PULL_FUND="N","",IF(HSCEI!$C$54="","",HSCEI!$C$54))</f>
        <v/>
      </c>
      <c r="D1138" s="101">
        <f>BDH($C1138,NDE_FIELD,"-5AY","","Per=Y","cols=2;rows=5")</f>
        <v/>
      </c>
      <c r="E1138" s="102" t="n"/>
      <c r="G1138" s="101">
        <f>BQL($C1138,BUYBACK_QUERY,$C$4,"fill=prev","showheaders=f","showids=f")</f>
        <v/>
      </c>
      <c r="H1138" s="102" t="n"/>
    </row>
    <row r="1139">
      <c r="D1139" s="99" t="n"/>
      <c r="E1139" s="102" t="n"/>
      <c r="G1139" s="99" t="n"/>
      <c r="H1139" s="102" t="n"/>
    </row>
    <row r="1140">
      <c r="D1140" s="99" t="n"/>
      <c r="E1140" s="102" t="n"/>
      <c r="G1140" s="99" t="n"/>
      <c r="H1140" s="102" t="n"/>
    </row>
    <row r="1141">
      <c r="D1141" s="99" t="n"/>
      <c r="E1141" s="102" t="n"/>
      <c r="G1141" s="99" t="n"/>
      <c r="H1141" s="102" t="n"/>
    </row>
    <row r="1142">
      <c r="D1142" s="99" t="n"/>
      <c r="E1142" s="102" t="n"/>
      <c r="G1142" s="99" t="n"/>
      <c r="H1142" s="102" t="n"/>
    </row>
    <row r="1144">
      <c r="B1144" s="2">
        <f>IF(HSCEI!$C$55="","",HSCEI!$C$55)</f>
        <v/>
      </c>
      <c r="C1144" s="2">
        <f>IF(PULL_FUND="N","",IF(HSCEI!$C$55="","",HSCEI!$C$55))</f>
        <v/>
      </c>
      <c r="D1144" s="101">
        <f>BDH($C1144,NDE_FIELD,"-5AY","","Per=Y","cols=2;rows=5")</f>
        <v/>
      </c>
      <c r="E1144" s="102" t="n"/>
      <c r="G1144" s="101">
        <f>BQL($C1144,BUYBACK_QUERY,$C$4,"fill=prev","showheaders=f","showids=f")</f>
        <v/>
      </c>
      <c r="H1144" s="102" t="n"/>
    </row>
    <row r="1145">
      <c r="D1145" s="99" t="n"/>
      <c r="E1145" s="102" t="n"/>
      <c r="G1145" s="99" t="n"/>
      <c r="H1145" s="102" t="n"/>
    </row>
    <row r="1146">
      <c r="D1146" s="99" t="n"/>
      <c r="E1146" s="102" t="n"/>
      <c r="G1146" s="99" t="n"/>
      <c r="H1146" s="102" t="n"/>
    </row>
    <row r="1147">
      <c r="D1147" s="99" t="n"/>
      <c r="E1147" s="102" t="n"/>
      <c r="G1147" s="99" t="n"/>
      <c r="H1147" s="102" t="n"/>
    </row>
    <row r="1148">
      <c r="D1148" s="99" t="n"/>
      <c r="E1148" s="102" t="n"/>
      <c r="G1148" s="99" t="n"/>
      <c r="H1148" s="102" t="n"/>
    </row>
    <row r="1150">
      <c r="B1150" s="2">
        <f>IF(HSCEI!$C$56="","",HSCEI!$C$56)</f>
        <v/>
      </c>
      <c r="C1150" s="2">
        <f>IF(PULL_FUND="N","",IF(HSCEI!$C$56="","",HSCEI!$C$56))</f>
        <v/>
      </c>
      <c r="D1150" s="101">
        <f>BDH($C1150,NDE_FIELD,"-5AY","","Per=Y","cols=2;rows=5")</f>
        <v/>
      </c>
      <c r="E1150" s="102" t="n"/>
      <c r="G1150" s="101">
        <f>BQL($C1150,BUYBACK_QUERY,$C$4,"fill=prev","showheaders=f","showids=f")</f>
        <v/>
      </c>
      <c r="H1150" s="102" t="n"/>
    </row>
    <row r="1151">
      <c r="D1151" s="99" t="n"/>
      <c r="E1151" s="102" t="n"/>
      <c r="G1151" s="99" t="n"/>
      <c r="H1151" s="102" t="n"/>
    </row>
    <row r="1152">
      <c r="D1152" s="99" t="n"/>
      <c r="E1152" s="102" t="n"/>
      <c r="G1152" s="99" t="n"/>
      <c r="H1152" s="102" t="n"/>
    </row>
    <row r="1153">
      <c r="D1153" s="99" t="n"/>
      <c r="E1153" s="102" t="n"/>
      <c r="G1153" s="99" t="n"/>
      <c r="H1153" s="102" t="n"/>
    </row>
    <row r="1154">
      <c r="D1154" s="99" t="n"/>
      <c r="E1154" s="102" t="n"/>
      <c r="G1154" s="99" t="n"/>
      <c r="H1154" s="102" t="n"/>
    </row>
    <row r="1156">
      <c r="B1156" s="2">
        <f>IF(HSCEI!$C$57="","",HSCEI!$C$57)</f>
        <v/>
      </c>
      <c r="C1156" s="2">
        <f>IF(PULL_FUND="N","",IF(HSCEI!$C$57="","",HSCEI!$C$57))</f>
        <v/>
      </c>
      <c r="D1156" s="101">
        <f>BDH($C1156,NDE_FIELD,"-5AY","","Per=Y","cols=2;rows=5")</f>
        <v/>
      </c>
      <c r="E1156" s="102" t="n"/>
      <c r="G1156" s="101">
        <f>BQL($C1156,BUYBACK_QUERY,$C$4,"fill=prev","showheaders=f","showids=f")</f>
        <v/>
      </c>
      <c r="H1156" s="102" t="n"/>
    </row>
    <row r="1157">
      <c r="D1157" s="99" t="n"/>
      <c r="E1157" s="102" t="n"/>
      <c r="G1157" s="99" t="n"/>
      <c r="H1157" s="102" t="n"/>
    </row>
    <row r="1158">
      <c r="D1158" s="99" t="n"/>
      <c r="E1158" s="102" t="n"/>
      <c r="G1158" s="99" t="n"/>
      <c r="H1158" s="102" t="n"/>
    </row>
    <row r="1159">
      <c r="D1159" s="99" t="n"/>
      <c r="E1159" s="102" t="n"/>
      <c r="G1159" s="99" t="n"/>
      <c r="H1159" s="102" t="n"/>
    </row>
    <row r="1160">
      <c r="D1160" s="99" t="n"/>
      <c r="E1160" s="102" t="n"/>
      <c r="G1160" s="99" t="n"/>
      <c r="H1160" s="102" t="n"/>
    </row>
    <row r="1162">
      <c r="B1162" s="2">
        <f>IF(HSCEI!$C$58="","",HSCEI!$C$58)</f>
        <v/>
      </c>
      <c r="C1162" s="2">
        <f>IF(PULL_FUND="N","",IF(HSCEI!$C$58="","",HSCEI!$C$58))</f>
        <v/>
      </c>
      <c r="D1162" s="101">
        <f>BDH($C1162,NDE_FIELD,"-5AY","","Per=Y","cols=2;rows=5")</f>
        <v/>
      </c>
      <c r="E1162" s="102" t="n"/>
      <c r="G1162" s="101">
        <f>BQL($C1162,BUYBACK_QUERY,$C$4,"fill=prev","showheaders=f","showids=f")</f>
        <v/>
      </c>
      <c r="H1162" s="102" t="n"/>
    </row>
    <row r="1163">
      <c r="D1163" s="99" t="n"/>
      <c r="E1163" s="102" t="n"/>
      <c r="G1163" s="99" t="n"/>
      <c r="H1163" s="102" t="n"/>
    </row>
    <row r="1164">
      <c r="D1164" s="99" t="n"/>
      <c r="E1164" s="102" t="n"/>
      <c r="G1164" s="99" t="n"/>
      <c r="H1164" s="102" t="n"/>
    </row>
    <row r="1165">
      <c r="D1165" s="99" t="n"/>
      <c r="E1165" s="102" t="n"/>
      <c r="G1165" s="99" t="n"/>
      <c r="H1165" s="102" t="n"/>
    </row>
    <row r="1166">
      <c r="D1166" s="99" t="n"/>
      <c r="E1166" s="102" t="n"/>
      <c r="G1166" s="99" t="n"/>
      <c r="H1166" s="102" t="n"/>
    </row>
    <row r="1168">
      <c r="B1168" s="2">
        <f>IF(HSCEI!$C$59="","",HSCEI!$C$59)</f>
        <v/>
      </c>
      <c r="C1168" s="2">
        <f>IF(PULL_FUND="N","",IF(HSCEI!$C$59="","",HSCEI!$C$59))</f>
        <v/>
      </c>
      <c r="D1168" s="101">
        <f>BDH($C1168,NDE_FIELD,"-5AY","","Per=Y","cols=2;rows=5")</f>
        <v/>
      </c>
      <c r="E1168" s="102" t="n"/>
      <c r="G1168" s="101">
        <f>BQL($C1168,BUYBACK_QUERY,$C$4,"fill=prev","showheaders=f","showids=f")</f>
        <v/>
      </c>
      <c r="H1168" s="102" t="n"/>
    </row>
    <row r="1169">
      <c r="D1169" s="99" t="n"/>
      <c r="E1169" s="102" t="n"/>
      <c r="G1169" s="99" t="n"/>
      <c r="H1169" s="102" t="n"/>
    </row>
    <row r="1170">
      <c r="D1170" s="99" t="n"/>
      <c r="E1170" s="102" t="n"/>
      <c r="G1170" s="99" t="n"/>
      <c r="H1170" s="102" t="n"/>
    </row>
    <row r="1171">
      <c r="D1171" s="99" t="n"/>
      <c r="E1171" s="102" t="n"/>
      <c r="G1171" s="99" t="n"/>
      <c r="H1171" s="102" t="n"/>
    </row>
    <row r="1172">
      <c r="D1172" s="99" t="n"/>
      <c r="E1172" s="102" t="n"/>
      <c r="G1172" s="99" t="n"/>
      <c r="H1172" s="102" t="n"/>
    </row>
    <row r="1174">
      <c r="B1174" s="2">
        <f>IF(HSCEI!$C$60="","",HSCEI!$C$60)</f>
        <v/>
      </c>
      <c r="C1174" s="2">
        <f>IF(PULL_FUND="N","",IF(HSCEI!$C$60="","",HSCEI!$C$60))</f>
        <v/>
      </c>
      <c r="D1174" s="101">
        <f>BDH($C1174,NDE_FIELD,"-5AY","","Per=Y","cols=2;rows=5")</f>
        <v/>
      </c>
      <c r="E1174" s="102" t="n"/>
      <c r="G1174" s="101">
        <f>BQL($C1174,BUYBACK_QUERY,$C$4,"fill=prev","showheaders=f","showids=f")</f>
        <v/>
      </c>
      <c r="H1174" s="102" t="n"/>
    </row>
    <row r="1175">
      <c r="D1175" s="99" t="n"/>
      <c r="E1175" s="102" t="n"/>
      <c r="G1175" s="99" t="n"/>
      <c r="H1175" s="102" t="n"/>
    </row>
    <row r="1176">
      <c r="D1176" s="99" t="n"/>
      <c r="E1176" s="102" t="n"/>
      <c r="G1176" s="99" t="n"/>
      <c r="H1176" s="102" t="n"/>
    </row>
    <row r="1177">
      <c r="D1177" s="99" t="n"/>
      <c r="E1177" s="102" t="n"/>
      <c r="G1177" s="99" t="n"/>
      <c r="H1177" s="102" t="n"/>
    </row>
    <row r="1178">
      <c r="D1178" s="99" t="n"/>
      <c r="E1178" s="102" t="n"/>
      <c r="G1178" s="99" t="n"/>
      <c r="H1178" s="102" t="n"/>
    </row>
    <row r="1180">
      <c r="B1180" s="2">
        <f>IF(HSCEI!$C$61="","",HSCEI!$C$61)</f>
        <v/>
      </c>
      <c r="C1180" s="2">
        <f>IF(PULL_FUND="N","",IF(HSCEI!$C$61="","",HSCEI!$C$61))</f>
        <v/>
      </c>
      <c r="D1180" s="101">
        <f>BDH($C1180,NDE_FIELD,"-5AY","","Per=Y","cols=2;rows=5")</f>
        <v/>
      </c>
      <c r="E1180" s="102" t="n"/>
      <c r="G1180" s="101">
        <f>BQL($C1180,BUYBACK_QUERY,$C$4,"fill=prev","showheaders=f","showids=f")</f>
        <v/>
      </c>
      <c r="H1180" s="102" t="n"/>
    </row>
    <row r="1181">
      <c r="D1181" s="99" t="n"/>
      <c r="E1181" s="102" t="n"/>
      <c r="G1181" s="99" t="n"/>
      <c r="H1181" s="102" t="n"/>
    </row>
    <row r="1182">
      <c r="D1182" s="99" t="n"/>
      <c r="E1182" s="102" t="n"/>
      <c r="G1182" s="99" t="n"/>
      <c r="H1182" s="102" t="n"/>
    </row>
    <row r="1183">
      <c r="D1183" s="99" t="n"/>
      <c r="E1183" s="102" t="n"/>
      <c r="G1183" s="99" t="n"/>
      <c r="H1183" s="102" t="n"/>
    </row>
    <row r="1184">
      <c r="D1184" s="99" t="n"/>
      <c r="E1184" s="102" t="n"/>
      <c r="G1184" s="99" t="n"/>
      <c r="H1184" s="102" t="n"/>
    </row>
    <row r="1186">
      <c r="B1186" s="2">
        <f>IF(HSCEI!$C$62="","",HSCEI!$C$62)</f>
        <v/>
      </c>
      <c r="C1186" s="2">
        <f>IF(PULL_FUND="N","",IF(HSCEI!$C$62="","",HSCEI!$C$62))</f>
        <v/>
      </c>
      <c r="D1186" s="101">
        <f>BDH($C1186,NDE_FIELD,"-5AY","","Per=Y","cols=2;rows=5")</f>
        <v/>
      </c>
      <c r="E1186" s="102" t="n"/>
      <c r="G1186" s="101">
        <f>BQL($C1186,BUYBACK_QUERY,$C$4,"fill=prev","showheaders=f","showids=f")</f>
        <v/>
      </c>
      <c r="H1186" s="102" t="n"/>
    </row>
    <row r="1187">
      <c r="D1187" s="99" t="n"/>
      <c r="E1187" s="102" t="n"/>
      <c r="G1187" s="99" t="n"/>
      <c r="H1187" s="102" t="n"/>
    </row>
    <row r="1188">
      <c r="D1188" s="99" t="n"/>
      <c r="E1188" s="102" t="n"/>
      <c r="G1188" s="99" t="n"/>
      <c r="H1188" s="102" t="n"/>
    </row>
    <row r="1189">
      <c r="D1189" s="99" t="n"/>
      <c r="E1189" s="102" t="n"/>
      <c r="G1189" s="99" t="n"/>
      <c r="H1189" s="102" t="n"/>
    </row>
    <row r="1190">
      <c r="D1190" s="99" t="n"/>
      <c r="E1190" s="102" t="n"/>
      <c r="G1190" s="99" t="n"/>
      <c r="H1190" s="102" t="n"/>
    </row>
    <row r="1192">
      <c r="B1192" s="2">
        <f>IF(HSCEI!$C$63="","",HSCEI!$C$63)</f>
        <v/>
      </c>
      <c r="C1192" s="2">
        <f>IF(PULL_FUND="N","",IF(HSCEI!$C$63="","",HSCEI!$C$63))</f>
        <v/>
      </c>
      <c r="D1192" s="101">
        <f>BDH($C1192,NDE_FIELD,"-5AY","","Per=Y","cols=2;rows=5")</f>
        <v/>
      </c>
      <c r="E1192" s="102" t="n"/>
      <c r="G1192" s="101">
        <f>BQL($C1192,BUYBACK_QUERY,$C$4,"fill=prev","showheaders=f","showids=f")</f>
        <v/>
      </c>
      <c r="H1192" s="102" t="n"/>
    </row>
    <row r="1193">
      <c r="D1193" s="99" t="n"/>
      <c r="E1193" s="102" t="n"/>
      <c r="G1193" s="99" t="n"/>
      <c r="H1193" s="102" t="n"/>
    </row>
    <row r="1194">
      <c r="D1194" s="99" t="n"/>
      <c r="E1194" s="102" t="n"/>
      <c r="G1194" s="99" t="n"/>
      <c r="H1194" s="102" t="n"/>
    </row>
    <row r="1195">
      <c r="D1195" s="99" t="n"/>
      <c r="E1195" s="102" t="n"/>
      <c r="G1195" s="99" t="n"/>
      <c r="H1195" s="102" t="n"/>
    </row>
    <row r="1196">
      <c r="D1196" s="99" t="n"/>
      <c r="E1196" s="102" t="n"/>
      <c r="G1196" s="99" t="n"/>
      <c r="H1196" s="102" t="n"/>
    </row>
    <row r="1198">
      <c r="B1198" s="2">
        <f>IF(HSCEI!$C$64="","",HSCEI!$C$64)</f>
        <v/>
      </c>
      <c r="C1198" s="2">
        <f>IF(PULL_FUND="N","",IF(HSCEI!$C$64="","",HSCEI!$C$64))</f>
        <v/>
      </c>
      <c r="D1198" s="101">
        <f>BDH($C1198,NDE_FIELD,"-5AY","","Per=Y","cols=2;rows=5")</f>
        <v/>
      </c>
      <c r="E1198" s="102" t="n"/>
      <c r="G1198" s="101">
        <f>BQL($C1198,BUYBACK_QUERY,$C$4,"fill=prev","showheaders=f","showids=f")</f>
        <v/>
      </c>
      <c r="H1198" s="102" t="n"/>
    </row>
    <row r="1199">
      <c r="D1199" s="99" t="n"/>
      <c r="E1199" s="102" t="n"/>
      <c r="G1199" s="99" t="n"/>
      <c r="H1199" s="102" t="n"/>
    </row>
    <row r="1200">
      <c r="D1200" s="99" t="n"/>
      <c r="E1200" s="102" t="n"/>
      <c r="G1200" s="99" t="n"/>
      <c r="H1200" s="102" t="n"/>
    </row>
    <row r="1201">
      <c r="D1201" s="99" t="n"/>
      <c r="E1201" s="102" t="n"/>
      <c r="G1201" s="99" t="n"/>
      <c r="H1201" s="102" t="n"/>
    </row>
    <row r="1202">
      <c r="D1202" s="99" t="n"/>
      <c r="E1202" s="102" t="n"/>
      <c r="G1202" s="99" t="n"/>
      <c r="H1202" s="102" t="n"/>
    </row>
    <row r="1204">
      <c r="B1204" s="2">
        <f>IF(HSCEI!$C$65="","",HSCEI!$C$65)</f>
        <v/>
      </c>
      <c r="C1204" s="2">
        <f>IF(PULL_FUND="N","",IF(HSCEI!$C$65="","",HSCEI!$C$65))</f>
        <v/>
      </c>
      <c r="D1204" s="101">
        <f>BDH($C1204,NDE_FIELD,"-5AY","","Per=Y","cols=2;rows=5")</f>
        <v/>
      </c>
      <c r="E1204" s="102" t="n"/>
      <c r="G1204" s="101">
        <f>BQL($C1204,BUYBACK_QUERY,$C$4,"fill=prev","showheaders=f","showids=f")</f>
        <v/>
      </c>
      <c r="H1204" s="102" t="n"/>
    </row>
    <row r="1205">
      <c r="D1205" s="99" t="n"/>
      <c r="E1205" s="102" t="n"/>
      <c r="G1205" s="99" t="n"/>
      <c r="H1205" s="102" t="n"/>
    </row>
    <row r="1206">
      <c r="D1206" s="99" t="n"/>
      <c r="E1206" s="102" t="n"/>
      <c r="G1206" s="99" t="n"/>
      <c r="H1206" s="102" t="n"/>
    </row>
    <row r="1207">
      <c r="D1207" s="99" t="n"/>
      <c r="E1207" s="102" t="n"/>
      <c r="G1207" s="99" t="n"/>
      <c r="H1207" s="102" t="n"/>
    </row>
    <row r="1208">
      <c r="D1208" s="99" t="n"/>
      <c r="E1208" s="102" t="n"/>
      <c r="G1208" s="99" t="n"/>
      <c r="H1208" s="102" t="n"/>
    </row>
    <row r="1210">
      <c r="B1210" s="2">
        <f>IF(HSCEI!$C$66="","",HSCEI!$C$66)</f>
        <v/>
      </c>
      <c r="C1210" s="2">
        <f>IF(PULL_FUND="N","",IF(HSCEI!$C$66="","",HSCEI!$C$66))</f>
        <v/>
      </c>
      <c r="D1210" s="101">
        <f>BDH($C1210,NDE_FIELD,"-5AY","","Per=Y","cols=2;rows=5")</f>
        <v/>
      </c>
      <c r="E1210" s="102" t="n"/>
      <c r="G1210" s="101">
        <f>BQL($C1210,BUYBACK_QUERY,$C$4,"fill=prev","showheaders=f","showids=f")</f>
        <v/>
      </c>
      <c r="H1210" s="102" t="n"/>
    </row>
    <row r="1211">
      <c r="D1211" s="99" t="n"/>
      <c r="E1211" s="102" t="n"/>
      <c r="G1211" s="99" t="n"/>
      <c r="H1211" s="102" t="n"/>
    </row>
    <row r="1212">
      <c r="D1212" s="99" t="n"/>
      <c r="E1212" s="102" t="n"/>
      <c r="G1212" s="99" t="n"/>
      <c r="H1212" s="102" t="n"/>
    </row>
    <row r="1213">
      <c r="D1213" s="99" t="n"/>
      <c r="E1213" s="102" t="n"/>
      <c r="G1213" s="99" t="n"/>
      <c r="H1213" s="102" t="n"/>
    </row>
    <row r="1214">
      <c r="D1214" s="99" t="n"/>
      <c r="E1214" s="102" t="n"/>
      <c r="G1214" s="99" t="n"/>
      <c r="H1214" s="102" t="n"/>
    </row>
  </sheetData>
  <mergeCells count="1">
    <mergeCell ref="C4:E4"/>
  </mergeCells>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B1:GQ219"/>
  <sheetViews>
    <sheetView workbookViewId="0">
      <selection activeCell="A1" sqref="A1"/>
    </sheetView>
  </sheetViews>
  <sheetFormatPr baseColWidth="8" defaultRowHeight="15"/>
  <cols>
    <col width="3" customWidth="1" min="1" max="1"/>
    <col width="1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 width="6" customWidth="1" min="36" max="36"/>
    <col width="6" customWidth="1" min="37" max="37"/>
    <col width="6" customWidth="1" min="38" max="38"/>
    <col width="6" customWidth="1" min="39" max="39"/>
    <col width="6" customWidth="1" min="40" max="40"/>
    <col width="6" customWidth="1" min="41" max="41"/>
    <col width="6"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6" customWidth="1" min="52" max="52"/>
    <col width="6" customWidth="1" min="53" max="53"/>
    <col width="6" customWidth="1" min="54" max="54"/>
    <col width="6" customWidth="1" min="55" max="55"/>
    <col width="6" customWidth="1" min="56" max="56"/>
    <col width="6" customWidth="1" min="57" max="57"/>
    <col width="6" customWidth="1" min="58" max="58"/>
    <col width="6" customWidth="1" min="59" max="59"/>
    <col width="6" customWidth="1" min="60" max="60"/>
    <col width="6" customWidth="1" min="61" max="61"/>
    <col width="6" customWidth="1" min="62" max="62"/>
    <col width="6" customWidth="1" min="63" max="63"/>
    <col width="6" customWidth="1" min="64" max="64"/>
    <col width="6" customWidth="1" min="65" max="65"/>
    <col width="6" customWidth="1" min="66" max="66"/>
    <col width="6" customWidth="1" min="67" max="67"/>
    <col width="6" customWidth="1" min="69" max="69"/>
    <col width="6" customWidth="1" min="70" max="70"/>
    <col width="6" customWidth="1" min="71" max="71"/>
    <col width="6" customWidth="1" min="72" max="72"/>
    <col width="6" customWidth="1" min="73" max="73"/>
    <col width="6" customWidth="1" min="74" max="74"/>
    <col width="6" customWidth="1" min="75" max="75"/>
    <col width="6" customWidth="1" min="76" max="76"/>
    <col width="6" customWidth="1" min="77" max="77"/>
    <col width="6" customWidth="1" min="78" max="78"/>
    <col width="6" customWidth="1" min="79" max="79"/>
    <col width="6" customWidth="1" min="80" max="80"/>
    <col width="6" customWidth="1" min="81" max="81"/>
    <col width="6" customWidth="1" min="82" max="82"/>
    <col width="6" customWidth="1" min="83" max="83"/>
    <col width="6" customWidth="1" min="84" max="84"/>
    <col width="6" customWidth="1" min="85" max="85"/>
    <col width="6" customWidth="1" min="86" max="86"/>
    <col width="6" customWidth="1" min="87" max="87"/>
    <col width="6" customWidth="1" min="88" max="88"/>
    <col width="6" customWidth="1" min="89" max="89"/>
    <col width="6" customWidth="1" min="90" max="90"/>
    <col width="6" customWidth="1" min="91" max="91"/>
    <col width="6" customWidth="1" min="92" max="92"/>
    <col width="6" customWidth="1" min="93" max="93"/>
    <col width="6" customWidth="1" min="94" max="94"/>
    <col width="6" customWidth="1" min="95" max="95"/>
    <col width="6" customWidth="1" min="96" max="96"/>
    <col width="6" customWidth="1" min="97" max="97"/>
    <col width="6" customWidth="1" min="98" max="98"/>
    <col width="6" customWidth="1" min="99" max="99"/>
    <col width="6" customWidth="1" min="100" max="100"/>
    <col width="6" customWidth="1" min="101" max="101"/>
    <col width="6" customWidth="1" min="102" max="102"/>
    <col width="6" customWidth="1" min="103" max="103"/>
    <col width="6" customWidth="1" min="104" max="104"/>
    <col width="6" customWidth="1" min="105" max="105"/>
    <col width="6" customWidth="1" min="106" max="106"/>
    <col width="6" customWidth="1" min="107" max="107"/>
    <col width="6" customWidth="1" min="108" max="108"/>
    <col width="6" customWidth="1" min="109" max="109"/>
    <col width="6" customWidth="1" min="110" max="110"/>
    <col width="6" customWidth="1" min="111" max="111"/>
    <col width="6" customWidth="1" min="112" max="112"/>
    <col width="6" customWidth="1" min="113" max="113"/>
    <col width="6" customWidth="1" min="114" max="114"/>
    <col width="6" customWidth="1" min="115" max="115"/>
    <col width="6" customWidth="1" min="116" max="116"/>
    <col width="6" customWidth="1" min="117" max="117"/>
    <col width="6" customWidth="1" min="118" max="118"/>
    <col width="6" customWidth="1" min="119" max="119"/>
    <col width="6" customWidth="1" min="120" max="120"/>
    <col width="6" customWidth="1" min="121" max="121"/>
    <col width="6" customWidth="1" min="122" max="122"/>
    <col width="6" customWidth="1" min="123" max="123"/>
    <col width="6" customWidth="1" min="124" max="124"/>
    <col width="6" customWidth="1" min="125" max="125"/>
    <col width="6" customWidth="1" min="126" max="126"/>
    <col width="6" customWidth="1" min="127" max="127"/>
    <col width="6" customWidth="1" min="128" max="128"/>
    <col width="6" customWidth="1" min="129" max="129"/>
    <col width="6" customWidth="1" min="130" max="130"/>
    <col width="6" customWidth="1" min="131" max="131"/>
    <col width="6" customWidth="1" min="132" max="132"/>
    <col width="6" customWidth="1" min="133" max="133"/>
    <col width="3" customWidth="1" min="135" max="135"/>
    <col width="3" customWidth="1" min="136" max="136"/>
    <col width="3" customWidth="1" min="137" max="137"/>
    <col width="3" customWidth="1" min="138" max="138"/>
    <col width="3" customWidth="1" min="139" max="139"/>
    <col width="3" customWidth="1" min="140" max="140"/>
    <col width="3" customWidth="1" min="141" max="141"/>
    <col width="3" customWidth="1" min="142" max="142"/>
    <col width="3" customWidth="1" min="143" max="143"/>
    <col width="3" customWidth="1" min="144" max="144"/>
    <col width="3" customWidth="1" min="145" max="145"/>
    <col width="3" customWidth="1" min="146" max="146"/>
    <col width="3" customWidth="1" min="147" max="147"/>
    <col width="3" customWidth="1" min="148" max="148"/>
    <col width="3" customWidth="1" min="149" max="149"/>
    <col width="3" customWidth="1" min="150" max="150"/>
    <col width="3" customWidth="1" min="151" max="151"/>
    <col width="3" customWidth="1" min="152" max="152"/>
    <col width="3" customWidth="1" min="153" max="153"/>
    <col width="3" customWidth="1" min="154" max="154"/>
    <col width="3" customWidth="1" min="155" max="155"/>
    <col width="3" customWidth="1" min="156" max="156"/>
    <col width="3" customWidth="1" min="157" max="157"/>
    <col width="3" customWidth="1" min="158" max="158"/>
    <col width="3" customWidth="1" min="159" max="159"/>
    <col width="3" customWidth="1" min="160" max="160"/>
    <col width="3" customWidth="1" min="161" max="161"/>
    <col width="3" customWidth="1" min="162" max="162"/>
    <col width="3" customWidth="1" min="163" max="163"/>
    <col width="3" customWidth="1" min="164" max="164"/>
    <col width="3" customWidth="1" min="165" max="165"/>
    <col width="3" customWidth="1" min="166" max="166"/>
    <col width="3" customWidth="1" min="167" max="167"/>
    <col width="3" customWidth="1" min="168" max="168"/>
    <col width="3" customWidth="1" min="169" max="169"/>
    <col width="3" customWidth="1" min="170" max="170"/>
    <col width="3" customWidth="1" min="171" max="171"/>
    <col width="3" customWidth="1" min="172" max="172"/>
    <col width="3" customWidth="1" min="173" max="173"/>
    <col width="3" customWidth="1" min="174" max="174"/>
    <col width="3" customWidth="1" min="175" max="175"/>
    <col width="3" customWidth="1" min="176" max="176"/>
    <col width="3" customWidth="1" min="177" max="177"/>
    <col width="3" customWidth="1" min="178" max="178"/>
    <col width="3" customWidth="1" min="179" max="179"/>
    <col width="3" customWidth="1" min="180" max="180"/>
    <col width="3" customWidth="1" min="181" max="181"/>
    <col width="3" customWidth="1" min="182" max="182"/>
    <col width="3" customWidth="1" min="183" max="183"/>
    <col width="3" customWidth="1" min="184" max="184"/>
    <col width="3" customWidth="1" min="185" max="185"/>
    <col width="3" customWidth="1" min="186" max="186"/>
    <col width="3" customWidth="1" min="187" max="187"/>
    <col width="3" customWidth="1" min="188" max="188"/>
    <col width="3" customWidth="1" min="189" max="189"/>
    <col width="3" customWidth="1" min="190" max="190"/>
    <col width="3" customWidth="1" min="191" max="191"/>
    <col width="3" customWidth="1" min="192" max="192"/>
    <col width="3" customWidth="1" min="193" max="193"/>
    <col width="3" customWidth="1" min="194" max="194"/>
    <col width="3" customWidth="1" min="195" max="195"/>
    <col width="3" customWidth="1" min="196" max="196"/>
    <col width="3" customWidth="1" min="197" max="197"/>
    <col width="3" customWidth="1" min="198" max="198"/>
    <col width="3" customWidth="1" min="199" max="199"/>
  </cols>
  <sheetData>
    <row r="1">
      <c r="B1" s="1" t="inlineStr">
        <is>
          <t>EVENT GRIDS - THE ENGINE BEHIND PENDING AND FLOW.  NEVER EDIT.</t>
        </is>
      </c>
    </row>
    <row r="2">
      <c r="B2" s="2" t="inlineStr">
        <is>
          <t>One row per stock, one column per dividend event (history slots first, projection slots after). Grid 1 shows each event's DPS and grid 2 the same event in index points - those two are for your eyes. Grid 3 (far right, displayed blank on purpose) packs each event into one sortable number so Pending can rank by date and Flow can sum one day with one formula.</t>
        </is>
      </c>
    </row>
    <row r="3">
      <c r="B3" s="2" t="inlineStr">
        <is>
          <t>Packed code = ex-date x 1e9 + has-amount x 1e8 + special x 1e7 + announced x 1e6 + stock number x 1000 + slot. Paste any code into the decoder to read it back.</t>
        </is>
      </c>
    </row>
    <row r="4">
      <c r="B4" s="2" t="inlineStr">
        <is>
          <t>Reads: Dvd Calendar + the data tabs.  Feeds: Pending and Flow.  The decoder's stock # counts down each index section here (column B names it); slot &lt;= the history width means a paid dividend, above it a projection.</t>
        </is>
      </c>
    </row>
    <row r="5">
      <c r="B5" s="2" t="inlineStr">
        <is>
          <t>Window from</t>
        </is>
      </c>
      <c r="D5" s="45">
        <f>MIN(DATE(YEAR_Y,1,1),VAL_DATE)</f>
        <v/>
      </c>
      <c r="F5" s="9" t="inlineStr">
        <is>
          <t>DECODER - paste a code:</t>
        </is>
      </c>
      <c r="H5" s="13" t="n"/>
    </row>
    <row r="6">
      <c r="B6" s="2" t="inlineStr">
        <is>
          <t>Window to</t>
        </is>
      </c>
      <c r="D6" s="45">
        <f>MAX(DATE(YEAR_Y,12,31),HORIZON_DT)</f>
        <v/>
      </c>
      <c r="F6" s="2" t="inlineStr">
        <is>
          <t>date / stock # / slot</t>
        </is>
      </c>
      <c r="H6" s="103">
        <f>IF($H$5="","",INT($H$5/1000000000))</f>
        <v/>
      </c>
      <c r="I6" s="104">
        <f>IF($H$5="","",INT(($H$5-INT($H$5/1000000)*1000000)/1000))</f>
        <v/>
      </c>
      <c r="J6" s="104">
        <f>IF($H$5="","",$H$5-INT($H$5/1000)*1000)</f>
        <v/>
      </c>
    </row>
    <row r="7">
      <c r="B7" s="2" t="inlineStr">
        <is>
          <t>Valuation (serial)</t>
        </is>
      </c>
      <c r="D7" s="105">
        <f>N(VAL_DATE)</f>
        <v/>
      </c>
      <c r="F7" s="2" t="inlineStr">
        <is>
          <t>amount? / special? / announced?</t>
        </is>
      </c>
      <c r="H7" s="104">
        <f>IF($H$5="","",INT(($H$5-INT($H$5/1000000000)*1000000000)/100000000))</f>
        <v/>
      </c>
      <c r="I7" s="104">
        <f>IF($H$5="","",INT(($H$5-INT($H$5/100000000)*100000000)/10000000))</f>
        <v/>
      </c>
      <c r="J7" s="104">
        <f>IF($H$5="","",INT(($H$5-INT($H$5/10000000)*10000000)/1000000))</f>
        <v/>
      </c>
    </row>
    <row r="8">
      <c r="B8" s="2" t="inlineStr">
        <is>
          <t>Realized counts to</t>
        </is>
      </c>
      <c r="D8" s="45">
        <f>MIN(VAL_DATE,DATE(YEAR_Y,12,31))</f>
        <v/>
      </c>
    </row>
    <row r="9">
      <c r="B9" s="2" t="inlineStr">
        <is>
          <t>Projected counts after</t>
        </is>
      </c>
      <c r="D9" s="45">
        <f>MAX(VAL_DATE,DATE(YEAR_Y,1,1)-1)</f>
        <v/>
      </c>
    </row>
    <row r="10">
      <c r="B10" s="3" t="inlineStr">
        <is>
          <t>Hang Seng Index (HSI)  -  DPS per event  (slots 1-40 history, 41-65 projections)</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c r="AU10" s="4" t="n"/>
      <c r="AV10" s="4" t="n"/>
      <c r="AW10" s="4" t="n"/>
      <c r="AX10" s="4" t="n"/>
      <c r="AY10" s="4" t="n"/>
      <c r="AZ10" s="4" t="n"/>
      <c r="BA10" s="4" t="n"/>
      <c r="BB10" s="4" t="n"/>
      <c r="BC10" s="4" t="n"/>
      <c r="BD10" s="4" t="n"/>
      <c r="BE10" s="4" t="n"/>
      <c r="BF10" s="4" t="n"/>
      <c r="BG10" s="4" t="n"/>
      <c r="BH10" s="4" t="n"/>
      <c r="BI10" s="4" t="n"/>
      <c r="BJ10" s="4" t="n"/>
      <c r="BK10" s="4" t="n"/>
      <c r="BL10" s="4" t="n"/>
      <c r="BM10" s="4" t="n"/>
      <c r="BN10" s="4" t="n"/>
      <c r="BO10" s="4" t="n"/>
      <c r="BQ10" s="3" t="inlineStr">
        <is>
          <t>index points per event</t>
        </is>
      </c>
      <c r="BR10" s="4" t="n"/>
      <c r="BS10" s="4" t="n"/>
      <c r="BT10" s="4" t="n"/>
      <c r="BU10" s="4" t="n"/>
      <c r="BV10" s="4" t="n"/>
      <c r="BW10" s="4" t="n"/>
      <c r="BX10" s="4" t="n"/>
      <c r="BY10" s="4" t="n"/>
      <c r="BZ10" s="4" t="n"/>
      <c r="CA10" s="4" t="n"/>
      <c r="CB10" s="4" t="n"/>
      <c r="CC10" s="4" t="n"/>
      <c r="CD10" s="4" t="n"/>
      <c r="CE10" s="4" t="n"/>
      <c r="CF10" s="4" t="n"/>
      <c r="CG10" s="4" t="n"/>
      <c r="CH10" s="4" t="n"/>
      <c r="CI10" s="4" t="n"/>
      <c r="CJ10" s="4" t="n"/>
      <c r="CK10" s="4" t="n"/>
      <c r="CL10" s="4" t="n"/>
      <c r="CM10" s="4" t="n"/>
      <c r="CN10" s="4" t="n"/>
      <c r="CO10" s="4" t="n"/>
      <c r="CP10" s="4" t="n"/>
      <c r="CQ10" s="4" t="n"/>
      <c r="CR10" s="4" t="n"/>
      <c r="CS10" s="4" t="n"/>
      <c r="CT10" s="4" t="n"/>
      <c r="CU10" s="4" t="n"/>
      <c r="CV10" s="4" t="n"/>
      <c r="CW10" s="4" t="n"/>
      <c r="CX10" s="4" t="n"/>
      <c r="CY10" s="4" t="n"/>
      <c r="CZ10" s="4" t="n"/>
      <c r="DA10" s="4" t="n"/>
      <c r="DB10" s="4" t="n"/>
      <c r="DC10" s="4" t="n"/>
      <c r="DD10" s="4" t="n"/>
      <c r="DE10" s="4" t="n"/>
      <c r="DF10" s="4" t="n"/>
      <c r="DG10" s="4" t="n"/>
      <c r="DH10" s="4" t="n"/>
      <c r="DI10" s="4" t="n"/>
      <c r="DJ10" s="4" t="n"/>
      <c r="DK10" s="4" t="n"/>
      <c r="DL10" s="4" t="n"/>
      <c r="DM10" s="4" t="n"/>
      <c r="DN10" s="4" t="n"/>
      <c r="DO10" s="4" t="n"/>
      <c r="DP10" s="4" t="n"/>
      <c r="DQ10" s="4" t="n"/>
      <c r="DR10" s="4" t="n"/>
      <c r="DS10" s="4" t="n"/>
      <c r="DT10" s="4" t="n"/>
      <c r="DU10" s="4" t="n"/>
      <c r="DV10" s="4" t="n"/>
      <c r="DW10" s="4" t="n"/>
      <c r="DX10" s="4" t="n"/>
      <c r="DY10" s="4" t="n"/>
      <c r="DZ10" s="4" t="n"/>
      <c r="EA10" s="4" t="n"/>
      <c r="EB10" s="4" t="n"/>
      <c r="EC10" s="4" t="n"/>
      <c r="EE10" s="3" t="inlineStr">
        <is>
          <t>packed codes (blank on purpose - use the decoder)</t>
        </is>
      </c>
      <c r="EF10" s="4" t="n"/>
      <c r="EG10" s="4" t="n"/>
      <c r="EH10" s="4" t="n"/>
      <c r="EI10" s="4" t="n"/>
      <c r="EJ10" s="4" t="n"/>
      <c r="EK10" s="4" t="n"/>
      <c r="EL10" s="4" t="n"/>
      <c r="EM10" s="4" t="n"/>
      <c r="EN10" s="4" t="n"/>
      <c r="EO10" s="4" t="n"/>
      <c r="EP10" s="4" t="n"/>
      <c r="EQ10" s="4" t="n"/>
      <c r="ER10" s="4" t="n"/>
      <c r="ES10" s="4" t="n"/>
      <c r="ET10" s="4" t="n"/>
      <c r="EU10" s="4" t="n"/>
      <c r="EV10" s="4" t="n"/>
      <c r="EW10" s="4" t="n"/>
      <c r="EX10" s="4" t="n"/>
      <c r="EY10" s="4" t="n"/>
      <c r="EZ10" s="4" t="n"/>
      <c r="FA10" s="4" t="n"/>
      <c r="FB10" s="4" t="n"/>
      <c r="FC10" s="4" t="n"/>
      <c r="FD10" s="4" t="n"/>
      <c r="FE10" s="4" t="n"/>
      <c r="FF10" s="4" t="n"/>
      <c r="FG10" s="4" t="n"/>
      <c r="FH10" s="4" t="n"/>
      <c r="FI10" s="4" t="n"/>
      <c r="FJ10" s="4" t="n"/>
      <c r="FK10" s="4" t="n"/>
      <c r="FL10" s="4" t="n"/>
      <c r="FM10" s="4" t="n"/>
      <c r="FN10" s="4" t="n"/>
      <c r="FO10" s="4" t="n"/>
      <c r="FP10" s="4" t="n"/>
      <c r="FQ10" s="4" t="n"/>
      <c r="FR10" s="4" t="n"/>
      <c r="FS10" s="4" t="n"/>
      <c r="FT10" s="4" t="n"/>
      <c r="FU10" s="4" t="n"/>
      <c r="FV10" s="4" t="n"/>
      <c r="FW10" s="4" t="n"/>
      <c r="FX10" s="4" t="n"/>
      <c r="FY10" s="4" t="n"/>
      <c r="FZ10" s="4" t="n"/>
      <c r="GA10" s="4" t="n"/>
      <c r="GB10" s="4" t="n"/>
      <c r="GC10" s="4" t="n"/>
      <c r="GD10" s="4" t="n"/>
      <c r="GE10" s="4" t="n"/>
      <c r="GF10" s="4" t="n"/>
      <c r="GG10" s="4" t="n"/>
      <c r="GH10" s="4" t="n"/>
      <c r="GI10" s="4" t="n"/>
      <c r="GJ10" s="4" t="n"/>
      <c r="GK10" s="4" t="n"/>
      <c r="GL10" s="4" t="n"/>
      <c r="GM10" s="4" t="n"/>
      <c r="GN10" s="4" t="n"/>
      <c r="GO10" s="4" t="n"/>
      <c r="GP10" s="4" t="n"/>
      <c r="GQ10" s="4" t="n"/>
    </row>
    <row r="12">
      <c r="B12" s="2">
        <f>IF(HSI!$C$7="","",HSI!$C$7)</f>
        <v/>
      </c>
      <c r="C12" s="106">
        <f>IF(EE12="","",IF(ISNUMBER('Dvd Calendar'!$E$14)=FALSE,"",IF((('Dvd Calendar'!$E$16=TYPE1)*(TYPE1&lt;&gt;"")+('Dvd Calendar'!$E$16=TYPE2)*(TYPE2&lt;&gt;"")+('Dvd Calendar'!$E$16=TYPE3)*(TYPE3&lt;&gt;"")+('Dvd Calendar'!$E$16=TYPE4)*(TYPE4&lt;&gt;"")+('Dvd Calendar'!$E$16=SPECIAL_LBL)*(INC_SPECIALS="Y"))=0,"",'Dvd Calendar'!$E$14)))</f>
        <v/>
      </c>
      <c r="D12" s="106">
        <f>IF(EF12="","",IF(ISNUMBER('Dvd Calendar'!$F$14)=FALSE,"",IF((('Dvd Calendar'!$F$16=TYPE1)*(TYPE1&lt;&gt;"")+('Dvd Calendar'!$F$16=TYPE2)*(TYPE2&lt;&gt;"")+('Dvd Calendar'!$F$16=TYPE3)*(TYPE3&lt;&gt;"")+('Dvd Calendar'!$F$16=TYPE4)*(TYPE4&lt;&gt;"")+('Dvd Calendar'!$F$16=SPECIAL_LBL)*(INC_SPECIALS="Y"))=0,"",'Dvd Calendar'!$F$14)))</f>
        <v/>
      </c>
      <c r="E12" s="106">
        <f>IF(EG12="","",IF(ISNUMBER('Dvd Calendar'!$G$14)=FALSE,"",IF((('Dvd Calendar'!$G$16=TYPE1)*(TYPE1&lt;&gt;"")+('Dvd Calendar'!$G$16=TYPE2)*(TYPE2&lt;&gt;"")+('Dvd Calendar'!$G$16=TYPE3)*(TYPE3&lt;&gt;"")+('Dvd Calendar'!$G$16=TYPE4)*(TYPE4&lt;&gt;"")+('Dvd Calendar'!$G$16=SPECIAL_LBL)*(INC_SPECIALS="Y"))=0,"",'Dvd Calendar'!$G$14)))</f>
        <v/>
      </c>
      <c r="F12" s="106">
        <f>IF(EH12="","",IF(ISNUMBER('Dvd Calendar'!$H$14)=FALSE,"",IF((('Dvd Calendar'!$H$16=TYPE1)*(TYPE1&lt;&gt;"")+('Dvd Calendar'!$H$16=TYPE2)*(TYPE2&lt;&gt;"")+('Dvd Calendar'!$H$16=TYPE3)*(TYPE3&lt;&gt;"")+('Dvd Calendar'!$H$16=TYPE4)*(TYPE4&lt;&gt;"")+('Dvd Calendar'!$H$16=SPECIAL_LBL)*(INC_SPECIALS="Y"))=0,"",'Dvd Calendar'!$H$14)))</f>
        <v/>
      </c>
      <c r="G12" s="106">
        <f>IF(EI12="","",IF(ISNUMBER('Dvd Calendar'!$I$14)=FALSE,"",IF((('Dvd Calendar'!$I$16=TYPE1)*(TYPE1&lt;&gt;"")+('Dvd Calendar'!$I$16=TYPE2)*(TYPE2&lt;&gt;"")+('Dvd Calendar'!$I$16=TYPE3)*(TYPE3&lt;&gt;"")+('Dvd Calendar'!$I$16=TYPE4)*(TYPE4&lt;&gt;"")+('Dvd Calendar'!$I$16=SPECIAL_LBL)*(INC_SPECIALS="Y"))=0,"",'Dvd Calendar'!$I$14)))</f>
        <v/>
      </c>
      <c r="H12" s="106">
        <f>IF(EJ12="","",IF(ISNUMBER('Dvd Calendar'!$J$14)=FALSE,"",IF((('Dvd Calendar'!$J$16=TYPE1)*(TYPE1&lt;&gt;"")+('Dvd Calendar'!$J$16=TYPE2)*(TYPE2&lt;&gt;"")+('Dvd Calendar'!$J$16=TYPE3)*(TYPE3&lt;&gt;"")+('Dvd Calendar'!$J$16=TYPE4)*(TYPE4&lt;&gt;"")+('Dvd Calendar'!$J$16=SPECIAL_LBL)*(INC_SPECIALS="Y"))=0,"",'Dvd Calendar'!$J$14)))</f>
        <v/>
      </c>
      <c r="I12" s="106">
        <f>IF(EK12="","",IF(ISNUMBER('Dvd Calendar'!$K$14)=FALSE,"",IF((('Dvd Calendar'!$K$16=TYPE1)*(TYPE1&lt;&gt;"")+('Dvd Calendar'!$K$16=TYPE2)*(TYPE2&lt;&gt;"")+('Dvd Calendar'!$K$16=TYPE3)*(TYPE3&lt;&gt;"")+('Dvd Calendar'!$K$16=TYPE4)*(TYPE4&lt;&gt;"")+('Dvd Calendar'!$K$16=SPECIAL_LBL)*(INC_SPECIALS="Y"))=0,"",'Dvd Calendar'!$K$14)))</f>
        <v/>
      </c>
      <c r="J12" s="106">
        <f>IF(EL12="","",IF(ISNUMBER('Dvd Calendar'!$L$14)=FALSE,"",IF((('Dvd Calendar'!$L$16=TYPE1)*(TYPE1&lt;&gt;"")+('Dvd Calendar'!$L$16=TYPE2)*(TYPE2&lt;&gt;"")+('Dvd Calendar'!$L$16=TYPE3)*(TYPE3&lt;&gt;"")+('Dvd Calendar'!$L$16=TYPE4)*(TYPE4&lt;&gt;"")+('Dvd Calendar'!$L$16=SPECIAL_LBL)*(INC_SPECIALS="Y"))=0,"",'Dvd Calendar'!$L$14)))</f>
        <v/>
      </c>
      <c r="K12" s="106">
        <f>IF(EM12="","",IF(ISNUMBER('Dvd Calendar'!$M$14)=FALSE,"",IF((('Dvd Calendar'!$M$16=TYPE1)*(TYPE1&lt;&gt;"")+('Dvd Calendar'!$M$16=TYPE2)*(TYPE2&lt;&gt;"")+('Dvd Calendar'!$M$16=TYPE3)*(TYPE3&lt;&gt;"")+('Dvd Calendar'!$M$16=TYPE4)*(TYPE4&lt;&gt;"")+('Dvd Calendar'!$M$16=SPECIAL_LBL)*(INC_SPECIALS="Y"))=0,"",'Dvd Calendar'!$M$14)))</f>
        <v/>
      </c>
      <c r="L12" s="106">
        <f>IF(EN12="","",IF(ISNUMBER('Dvd Calendar'!$N$14)=FALSE,"",IF((('Dvd Calendar'!$N$16=TYPE1)*(TYPE1&lt;&gt;"")+('Dvd Calendar'!$N$16=TYPE2)*(TYPE2&lt;&gt;"")+('Dvd Calendar'!$N$16=TYPE3)*(TYPE3&lt;&gt;"")+('Dvd Calendar'!$N$16=TYPE4)*(TYPE4&lt;&gt;"")+('Dvd Calendar'!$N$16=SPECIAL_LBL)*(INC_SPECIALS="Y"))=0,"",'Dvd Calendar'!$N$14)))</f>
        <v/>
      </c>
      <c r="M12" s="106">
        <f>IF(EO12="","",IF(ISNUMBER('Dvd Calendar'!$O$14)=FALSE,"",IF((('Dvd Calendar'!$O$16=TYPE1)*(TYPE1&lt;&gt;"")+('Dvd Calendar'!$O$16=TYPE2)*(TYPE2&lt;&gt;"")+('Dvd Calendar'!$O$16=TYPE3)*(TYPE3&lt;&gt;"")+('Dvd Calendar'!$O$16=TYPE4)*(TYPE4&lt;&gt;"")+('Dvd Calendar'!$O$16=SPECIAL_LBL)*(INC_SPECIALS="Y"))=0,"",'Dvd Calendar'!$O$14)))</f>
        <v/>
      </c>
      <c r="N12" s="106">
        <f>IF(EP12="","",IF(ISNUMBER('Dvd Calendar'!$P$14)=FALSE,"",IF((('Dvd Calendar'!$P$16=TYPE1)*(TYPE1&lt;&gt;"")+('Dvd Calendar'!$P$16=TYPE2)*(TYPE2&lt;&gt;"")+('Dvd Calendar'!$P$16=TYPE3)*(TYPE3&lt;&gt;"")+('Dvd Calendar'!$P$16=TYPE4)*(TYPE4&lt;&gt;"")+('Dvd Calendar'!$P$16=SPECIAL_LBL)*(INC_SPECIALS="Y"))=0,"",'Dvd Calendar'!$P$14)))</f>
        <v/>
      </c>
      <c r="O12" s="106">
        <f>IF(EQ12="","",IF(ISNUMBER('Dvd Calendar'!$Q$14)=FALSE,"",IF((('Dvd Calendar'!$Q$16=TYPE1)*(TYPE1&lt;&gt;"")+('Dvd Calendar'!$Q$16=TYPE2)*(TYPE2&lt;&gt;"")+('Dvd Calendar'!$Q$16=TYPE3)*(TYPE3&lt;&gt;"")+('Dvd Calendar'!$Q$16=TYPE4)*(TYPE4&lt;&gt;"")+('Dvd Calendar'!$Q$16=SPECIAL_LBL)*(INC_SPECIALS="Y"))=0,"",'Dvd Calendar'!$Q$14)))</f>
        <v/>
      </c>
      <c r="P12" s="106">
        <f>IF(ER12="","",IF(ISNUMBER('Dvd Calendar'!$R$14)=FALSE,"",IF((('Dvd Calendar'!$R$16=TYPE1)*(TYPE1&lt;&gt;"")+('Dvd Calendar'!$R$16=TYPE2)*(TYPE2&lt;&gt;"")+('Dvd Calendar'!$R$16=TYPE3)*(TYPE3&lt;&gt;"")+('Dvd Calendar'!$R$16=TYPE4)*(TYPE4&lt;&gt;"")+('Dvd Calendar'!$R$16=SPECIAL_LBL)*(INC_SPECIALS="Y"))=0,"",'Dvd Calendar'!$R$14)))</f>
        <v/>
      </c>
      <c r="Q12" s="106">
        <f>IF(ES12="","",IF(ISNUMBER('Dvd Calendar'!$S$14)=FALSE,"",IF((('Dvd Calendar'!$S$16=TYPE1)*(TYPE1&lt;&gt;"")+('Dvd Calendar'!$S$16=TYPE2)*(TYPE2&lt;&gt;"")+('Dvd Calendar'!$S$16=TYPE3)*(TYPE3&lt;&gt;"")+('Dvd Calendar'!$S$16=TYPE4)*(TYPE4&lt;&gt;"")+('Dvd Calendar'!$S$16=SPECIAL_LBL)*(INC_SPECIALS="Y"))=0,"",'Dvd Calendar'!$S$14)))</f>
        <v/>
      </c>
      <c r="R12" s="106">
        <f>IF(ET12="","",IF(ISNUMBER('Dvd Calendar'!$T$14)=FALSE,"",IF((('Dvd Calendar'!$T$16=TYPE1)*(TYPE1&lt;&gt;"")+('Dvd Calendar'!$T$16=TYPE2)*(TYPE2&lt;&gt;"")+('Dvd Calendar'!$T$16=TYPE3)*(TYPE3&lt;&gt;"")+('Dvd Calendar'!$T$16=TYPE4)*(TYPE4&lt;&gt;"")+('Dvd Calendar'!$T$16=SPECIAL_LBL)*(INC_SPECIALS="Y"))=0,"",'Dvd Calendar'!$T$14)))</f>
        <v/>
      </c>
      <c r="S12" s="106">
        <f>IF(EU12="","",IF(ISNUMBER('Dvd Calendar'!$U$14)=FALSE,"",IF((('Dvd Calendar'!$U$16=TYPE1)*(TYPE1&lt;&gt;"")+('Dvd Calendar'!$U$16=TYPE2)*(TYPE2&lt;&gt;"")+('Dvd Calendar'!$U$16=TYPE3)*(TYPE3&lt;&gt;"")+('Dvd Calendar'!$U$16=TYPE4)*(TYPE4&lt;&gt;"")+('Dvd Calendar'!$U$16=SPECIAL_LBL)*(INC_SPECIALS="Y"))=0,"",'Dvd Calendar'!$U$14)))</f>
        <v/>
      </c>
      <c r="T12" s="106">
        <f>IF(EV12="","",IF(ISNUMBER('Dvd Calendar'!$V$14)=FALSE,"",IF((('Dvd Calendar'!$V$16=TYPE1)*(TYPE1&lt;&gt;"")+('Dvd Calendar'!$V$16=TYPE2)*(TYPE2&lt;&gt;"")+('Dvd Calendar'!$V$16=TYPE3)*(TYPE3&lt;&gt;"")+('Dvd Calendar'!$V$16=TYPE4)*(TYPE4&lt;&gt;"")+('Dvd Calendar'!$V$16=SPECIAL_LBL)*(INC_SPECIALS="Y"))=0,"",'Dvd Calendar'!$V$14)))</f>
        <v/>
      </c>
      <c r="U12" s="106">
        <f>IF(EW12="","",IF(ISNUMBER('Dvd Calendar'!$W$14)=FALSE,"",IF((('Dvd Calendar'!$W$16=TYPE1)*(TYPE1&lt;&gt;"")+('Dvd Calendar'!$W$16=TYPE2)*(TYPE2&lt;&gt;"")+('Dvd Calendar'!$W$16=TYPE3)*(TYPE3&lt;&gt;"")+('Dvd Calendar'!$W$16=TYPE4)*(TYPE4&lt;&gt;"")+('Dvd Calendar'!$W$16=SPECIAL_LBL)*(INC_SPECIALS="Y"))=0,"",'Dvd Calendar'!$W$14)))</f>
        <v/>
      </c>
      <c r="V12" s="106">
        <f>IF(EX12="","",IF(ISNUMBER('Dvd Calendar'!$X$14)=FALSE,"",IF((('Dvd Calendar'!$X$16=TYPE1)*(TYPE1&lt;&gt;"")+('Dvd Calendar'!$X$16=TYPE2)*(TYPE2&lt;&gt;"")+('Dvd Calendar'!$X$16=TYPE3)*(TYPE3&lt;&gt;"")+('Dvd Calendar'!$X$16=TYPE4)*(TYPE4&lt;&gt;"")+('Dvd Calendar'!$X$16=SPECIAL_LBL)*(INC_SPECIALS="Y"))=0,"",'Dvd Calendar'!$X$14)))</f>
        <v/>
      </c>
      <c r="W12" s="106">
        <f>IF(EY12="","",IF(ISNUMBER('Dvd Calendar'!$Y$14)=FALSE,"",IF((('Dvd Calendar'!$Y$16=TYPE1)*(TYPE1&lt;&gt;"")+('Dvd Calendar'!$Y$16=TYPE2)*(TYPE2&lt;&gt;"")+('Dvd Calendar'!$Y$16=TYPE3)*(TYPE3&lt;&gt;"")+('Dvd Calendar'!$Y$16=TYPE4)*(TYPE4&lt;&gt;"")+('Dvd Calendar'!$Y$16=SPECIAL_LBL)*(INC_SPECIALS="Y"))=0,"",'Dvd Calendar'!$Y$14)))</f>
        <v/>
      </c>
      <c r="X12" s="106">
        <f>IF(EZ12="","",IF(ISNUMBER('Dvd Calendar'!$Z$14)=FALSE,"",IF((('Dvd Calendar'!$Z$16=TYPE1)*(TYPE1&lt;&gt;"")+('Dvd Calendar'!$Z$16=TYPE2)*(TYPE2&lt;&gt;"")+('Dvd Calendar'!$Z$16=TYPE3)*(TYPE3&lt;&gt;"")+('Dvd Calendar'!$Z$16=TYPE4)*(TYPE4&lt;&gt;"")+('Dvd Calendar'!$Z$16=SPECIAL_LBL)*(INC_SPECIALS="Y"))=0,"",'Dvd Calendar'!$Z$14)))</f>
        <v/>
      </c>
      <c r="Y12" s="106">
        <f>IF(FA12="","",IF(ISNUMBER('Dvd Calendar'!$AA$14)=FALSE,"",IF((('Dvd Calendar'!$AA$16=TYPE1)*(TYPE1&lt;&gt;"")+('Dvd Calendar'!$AA$16=TYPE2)*(TYPE2&lt;&gt;"")+('Dvd Calendar'!$AA$16=TYPE3)*(TYPE3&lt;&gt;"")+('Dvd Calendar'!$AA$16=TYPE4)*(TYPE4&lt;&gt;"")+('Dvd Calendar'!$AA$16=SPECIAL_LBL)*(INC_SPECIALS="Y"))=0,"",'Dvd Calendar'!$AA$14)))</f>
        <v/>
      </c>
      <c r="Z12" s="106">
        <f>IF(FB12="","",IF(ISNUMBER('Dvd Calendar'!$AB$14)=FALSE,"",IF((('Dvd Calendar'!$AB$16=TYPE1)*(TYPE1&lt;&gt;"")+('Dvd Calendar'!$AB$16=TYPE2)*(TYPE2&lt;&gt;"")+('Dvd Calendar'!$AB$16=TYPE3)*(TYPE3&lt;&gt;"")+('Dvd Calendar'!$AB$16=TYPE4)*(TYPE4&lt;&gt;"")+('Dvd Calendar'!$AB$16=SPECIAL_LBL)*(INC_SPECIALS="Y"))=0,"",'Dvd Calendar'!$AB$14)))</f>
        <v/>
      </c>
      <c r="AA12" s="106">
        <f>IF(FC12="","",IF(ISNUMBER('Dvd Calendar'!$AC$14)=FALSE,"",IF((('Dvd Calendar'!$AC$16=TYPE1)*(TYPE1&lt;&gt;"")+('Dvd Calendar'!$AC$16=TYPE2)*(TYPE2&lt;&gt;"")+('Dvd Calendar'!$AC$16=TYPE3)*(TYPE3&lt;&gt;"")+('Dvd Calendar'!$AC$16=TYPE4)*(TYPE4&lt;&gt;"")+('Dvd Calendar'!$AC$16=SPECIAL_LBL)*(INC_SPECIALS="Y"))=0,"",'Dvd Calendar'!$AC$14)))</f>
        <v/>
      </c>
      <c r="AB12" s="106">
        <f>IF(FD12="","",IF(ISNUMBER('Dvd Calendar'!$AD$14)=FALSE,"",IF((('Dvd Calendar'!$AD$16=TYPE1)*(TYPE1&lt;&gt;"")+('Dvd Calendar'!$AD$16=TYPE2)*(TYPE2&lt;&gt;"")+('Dvd Calendar'!$AD$16=TYPE3)*(TYPE3&lt;&gt;"")+('Dvd Calendar'!$AD$16=TYPE4)*(TYPE4&lt;&gt;"")+('Dvd Calendar'!$AD$16=SPECIAL_LBL)*(INC_SPECIALS="Y"))=0,"",'Dvd Calendar'!$AD$14)))</f>
        <v/>
      </c>
      <c r="AC12" s="106">
        <f>IF(FE12="","",IF(ISNUMBER('Dvd Calendar'!$AE$14)=FALSE,"",IF((('Dvd Calendar'!$AE$16=TYPE1)*(TYPE1&lt;&gt;"")+('Dvd Calendar'!$AE$16=TYPE2)*(TYPE2&lt;&gt;"")+('Dvd Calendar'!$AE$16=TYPE3)*(TYPE3&lt;&gt;"")+('Dvd Calendar'!$AE$16=TYPE4)*(TYPE4&lt;&gt;"")+('Dvd Calendar'!$AE$16=SPECIAL_LBL)*(INC_SPECIALS="Y"))=0,"",'Dvd Calendar'!$AE$14)))</f>
        <v/>
      </c>
      <c r="AD12" s="106">
        <f>IF(FF12="","",IF(ISNUMBER('Dvd Calendar'!$AF$14)=FALSE,"",IF((('Dvd Calendar'!$AF$16=TYPE1)*(TYPE1&lt;&gt;"")+('Dvd Calendar'!$AF$16=TYPE2)*(TYPE2&lt;&gt;"")+('Dvd Calendar'!$AF$16=TYPE3)*(TYPE3&lt;&gt;"")+('Dvd Calendar'!$AF$16=TYPE4)*(TYPE4&lt;&gt;"")+('Dvd Calendar'!$AF$16=SPECIAL_LBL)*(INC_SPECIALS="Y"))=0,"",'Dvd Calendar'!$AF$14)))</f>
        <v/>
      </c>
      <c r="AE12" s="106">
        <f>IF(FG12="","",IF(ISNUMBER('Dvd Calendar'!$AG$14)=FALSE,"",IF((('Dvd Calendar'!$AG$16=TYPE1)*(TYPE1&lt;&gt;"")+('Dvd Calendar'!$AG$16=TYPE2)*(TYPE2&lt;&gt;"")+('Dvd Calendar'!$AG$16=TYPE3)*(TYPE3&lt;&gt;"")+('Dvd Calendar'!$AG$16=TYPE4)*(TYPE4&lt;&gt;"")+('Dvd Calendar'!$AG$16=SPECIAL_LBL)*(INC_SPECIALS="Y"))=0,"",'Dvd Calendar'!$AG$14)))</f>
        <v/>
      </c>
      <c r="AF12" s="106">
        <f>IF(FH12="","",IF(ISNUMBER('Dvd Calendar'!$AH$14)=FALSE,"",IF((('Dvd Calendar'!$AH$16=TYPE1)*(TYPE1&lt;&gt;"")+('Dvd Calendar'!$AH$16=TYPE2)*(TYPE2&lt;&gt;"")+('Dvd Calendar'!$AH$16=TYPE3)*(TYPE3&lt;&gt;"")+('Dvd Calendar'!$AH$16=TYPE4)*(TYPE4&lt;&gt;"")+('Dvd Calendar'!$AH$16=SPECIAL_LBL)*(INC_SPECIALS="Y"))=0,"",'Dvd Calendar'!$AH$14)))</f>
        <v/>
      </c>
      <c r="AG12" s="106">
        <f>IF(FI12="","",IF(ISNUMBER('Dvd Calendar'!$AI$14)=FALSE,"",IF((('Dvd Calendar'!$AI$16=TYPE1)*(TYPE1&lt;&gt;"")+('Dvd Calendar'!$AI$16=TYPE2)*(TYPE2&lt;&gt;"")+('Dvd Calendar'!$AI$16=TYPE3)*(TYPE3&lt;&gt;"")+('Dvd Calendar'!$AI$16=TYPE4)*(TYPE4&lt;&gt;"")+('Dvd Calendar'!$AI$16=SPECIAL_LBL)*(INC_SPECIALS="Y"))=0,"",'Dvd Calendar'!$AI$14)))</f>
        <v/>
      </c>
      <c r="AH12" s="106">
        <f>IF(FJ12="","",IF(ISNUMBER('Dvd Calendar'!$AJ$14)=FALSE,"",IF((('Dvd Calendar'!$AJ$16=TYPE1)*(TYPE1&lt;&gt;"")+('Dvd Calendar'!$AJ$16=TYPE2)*(TYPE2&lt;&gt;"")+('Dvd Calendar'!$AJ$16=TYPE3)*(TYPE3&lt;&gt;"")+('Dvd Calendar'!$AJ$16=TYPE4)*(TYPE4&lt;&gt;"")+('Dvd Calendar'!$AJ$16=SPECIAL_LBL)*(INC_SPECIALS="Y"))=0,"",'Dvd Calendar'!$AJ$14)))</f>
        <v/>
      </c>
      <c r="AI12" s="106">
        <f>IF(FK12="","",IF(ISNUMBER('Dvd Calendar'!$AK$14)=FALSE,"",IF((('Dvd Calendar'!$AK$16=TYPE1)*(TYPE1&lt;&gt;"")+('Dvd Calendar'!$AK$16=TYPE2)*(TYPE2&lt;&gt;"")+('Dvd Calendar'!$AK$16=TYPE3)*(TYPE3&lt;&gt;"")+('Dvd Calendar'!$AK$16=TYPE4)*(TYPE4&lt;&gt;"")+('Dvd Calendar'!$AK$16=SPECIAL_LBL)*(INC_SPECIALS="Y"))=0,"",'Dvd Calendar'!$AK$14)))</f>
        <v/>
      </c>
      <c r="AJ12" s="106">
        <f>IF(FL12="","",IF(ISNUMBER('Dvd Calendar'!$AL$14)=FALSE,"",IF((('Dvd Calendar'!$AL$16=TYPE1)*(TYPE1&lt;&gt;"")+('Dvd Calendar'!$AL$16=TYPE2)*(TYPE2&lt;&gt;"")+('Dvd Calendar'!$AL$16=TYPE3)*(TYPE3&lt;&gt;"")+('Dvd Calendar'!$AL$16=TYPE4)*(TYPE4&lt;&gt;"")+('Dvd Calendar'!$AL$16=SPECIAL_LBL)*(INC_SPECIALS="Y"))=0,"",'Dvd Calendar'!$AL$14)))</f>
        <v/>
      </c>
      <c r="AK12" s="106">
        <f>IF(FM12="","",IF(ISNUMBER('Dvd Calendar'!$AM$14)=FALSE,"",IF((('Dvd Calendar'!$AM$16=TYPE1)*(TYPE1&lt;&gt;"")+('Dvd Calendar'!$AM$16=TYPE2)*(TYPE2&lt;&gt;"")+('Dvd Calendar'!$AM$16=TYPE3)*(TYPE3&lt;&gt;"")+('Dvd Calendar'!$AM$16=TYPE4)*(TYPE4&lt;&gt;"")+('Dvd Calendar'!$AM$16=SPECIAL_LBL)*(INC_SPECIALS="Y"))=0,"",'Dvd Calendar'!$AM$14)))</f>
        <v/>
      </c>
      <c r="AL12" s="106">
        <f>IF(FN12="","",IF(ISNUMBER('Dvd Calendar'!$AN$14)=FALSE,"",IF((('Dvd Calendar'!$AN$16=TYPE1)*(TYPE1&lt;&gt;"")+('Dvd Calendar'!$AN$16=TYPE2)*(TYPE2&lt;&gt;"")+('Dvd Calendar'!$AN$16=TYPE3)*(TYPE3&lt;&gt;"")+('Dvd Calendar'!$AN$16=TYPE4)*(TYPE4&lt;&gt;"")+('Dvd Calendar'!$AN$16=SPECIAL_LBL)*(INC_SPECIALS="Y"))=0,"",'Dvd Calendar'!$AN$14)))</f>
        <v/>
      </c>
      <c r="AM12" s="106">
        <f>IF(FO12="","",IF(ISNUMBER('Dvd Calendar'!$AO$14)=FALSE,"",IF((('Dvd Calendar'!$AO$16=TYPE1)*(TYPE1&lt;&gt;"")+('Dvd Calendar'!$AO$16=TYPE2)*(TYPE2&lt;&gt;"")+('Dvd Calendar'!$AO$16=TYPE3)*(TYPE3&lt;&gt;"")+('Dvd Calendar'!$AO$16=TYPE4)*(TYPE4&lt;&gt;"")+('Dvd Calendar'!$AO$16=SPECIAL_LBL)*(INC_SPECIALS="Y"))=0,"",'Dvd Calendar'!$AO$14)))</f>
        <v/>
      </c>
      <c r="AN12" s="106">
        <f>IF(FP12="","",IF(ISNUMBER('Dvd Calendar'!$AP$14)=FALSE,"",IF((('Dvd Calendar'!$AP$16=TYPE1)*(TYPE1&lt;&gt;"")+('Dvd Calendar'!$AP$16=TYPE2)*(TYPE2&lt;&gt;"")+('Dvd Calendar'!$AP$16=TYPE3)*(TYPE3&lt;&gt;"")+('Dvd Calendar'!$AP$16=TYPE4)*(TYPE4&lt;&gt;"")+('Dvd Calendar'!$AP$16=SPECIAL_LBL)*(INC_SPECIALS="Y"))=0,"",'Dvd Calendar'!$AP$14)))</f>
        <v/>
      </c>
      <c r="AO12" s="106">
        <f>IF(FQ12="","",IF(ISNUMBER('Dvd Calendar'!$AQ$14)=FALSE,"",IF((('Dvd Calendar'!$AQ$16=TYPE1)*(TYPE1&lt;&gt;"")+('Dvd Calendar'!$AQ$16=TYPE2)*(TYPE2&lt;&gt;"")+('Dvd Calendar'!$AQ$16=TYPE3)*(TYPE3&lt;&gt;"")+('Dvd Calendar'!$AQ$16=TYPE4)*(TYPE4&lt;&gt;"")+('Dvd Calendar'!$AQ$16=SPECIAL_LBL)*(INC_SPECIALS="Y"))=0,"",'Dvd Calendar'!$AQ$14)))</f>
        <v/>
      </c>
      <c r="AP12" s="106">
        <f>IF(FR12="","",IF(ISNUMBER('Dvd Calendar'!$AR$14)=FALSE,"",IF((('Dvd Calendar'!$AR$16=TYPE1)*(TYPE1&lt;&gt;"")+('Dvd Calendar'!$AR$16=TYPE2)*(TYPE2&lt;&gt;"")+('Dvd Calendar'!$AR$16=TYPE3)*(TYPE3&lt;&gt;"")+('Dvd Calendar'!$AR$16=TYPE4)*(TYPE4&lt;&gt;"")+('Dvd Calendar'!$AR$16=SPECIAL_LBL)*(INC_SPECIALS="Y"))=0,"",'Dvd Calendar'!$AR$14)))</f>
        <v/>
      </c>
      <c r="AQ12" s="106">
        <f>IF(FS12="","",IF(ISNUMBER('Dvd Calendar'!$E$19)=FALSE,"",'Dvd Calendar'!$E$19))</f>
        <v/>
      </c>
      <c r="AR12" s="106">
        <f>IF(FT12="","",IF(ISNUMBER('Dvd Calendar'!$F$19)=FALSE,"",'Dvd Calendar'!$F$19))</f>
        <v/>
      </c>
      <c r="AS12" s="106">
        <f>IF(FU12="","",IF(ISNUMBER('Dvd Calendar'!$G$19)=FALSE,"",'Dvd Calendar'!$G$19))</f>
        <v/>
      </c>
      <c r="AT12" s="106">
        <f>IF(FV12="","",IF(ISNUMBER('Dvd Calendar'!$H$19)=FALSE,"",'Dvd Calendar'!$H$19))</f>
        <v/>
      </c>
      <c r="AU12" s="106">
        <f>IF(FW12="","",IF(ISNUMBER('Dvd Calendar'!$I$19)=FALSE,"",'Dvd Calendar'!$I$19))</f>
        <v/>
      </c>
      <c r="AV12" s="106">
        <f>IF(FX12="","",IF(ISNUMBER('Dvd Calendar'!$J$19)=FALSE,"",'Dvd Calendar'!$J$19))</f>
        <v/>
      </c>
      <c r="AW12" s="106">
        <f>IF(FY12="","",IF(ISNUMBER('Dvd Calendar'!$K$19)=FALSE,"",'Dvd Calendar'!$K$19))</f>
        <v/>
      </c>
      <c r="AX12" s="106">
        <f>IF(FZ12="","",IF(ISNUMBER('Dvd Calendar'!$L$19)=FALSE,"",'Dvd Calendar'!$L$19))</f>
        <v/>
      </c>
      <c r="AY12" s="106">
        <f>IF(GA12="","",IF(ISNUMBER('Dvd Calendar'!$M$19)=FALSE,"",'Dvd Calendar'!$M$19))</f>
        <v/>
      </c>
      <c r="AZ12" s="106">
        <f>IF(GB12="","",IF(ISNUMBER('Dvd Calendar'!$N$19)=FALSE,"",'Dvd Calendar'!$N$19))</f>
        <v/>
      </c>
      <c r="BA12" s="106">
        <f>IF(GC12="","",IF(ISNUMBER('Dvd Calendar'!$O$19)=FALSE,"",'Dvd Calendar'!$O$19))</f>
        <v/>
      </c>
      <c r="BB12" s="106">
        <f>IF(GD12="","",IF(ISNUMBER('Dvd Calendar'!$P$19)=FALSE,"",'Dvd Calendar'!$P$19))</f>
        <v/>
      </c>
      <c r="BC12" s="106">
        <f>IF(GE12="","",IF(ISNUMBER('Dvd Calendar'!$Q$19)=FALSE,"",'Dvd Calendar'!$Q$19))</f>
        <v/>
      </c>
      <c r="BD12" s="106">
        <f>IF(GF12="","",IF(ISNUMBER('Dvd Calendar'!$R$19)=FALSE,"",'Dvd Calendar'!$R$19))</f>
        <v/>
      </c>
      <c r="BE12" s="106">
        <f>IF(GG12="","",IF(ISNUMBER('Dvd Calendar'!$S$19)=FALSE,"",'Dvd Calendar'!$S$19))</f>
        <v/>
      </c>
      <c r="BF12" s="106">
        <f>IF(GH12="","",IF(ISNUMBER('Dvd Calendar'!$T$19)=FALSE,"",'Dvd Calendar'!$T$19))</f>
        <v/>
      </c>
      <c r="BG12" s="106">
        <f>IF(GI12="","",IF(ISNUMBER('Dvd Calendar'!$U$19)=FALSE,"",'Dvd Calendar'!$U$19))</f>
        <v/>
      </c>
      <c r="BH12" s="106">
        <f>IF(GJ12="","",IF(ISNUMBER('Dvd Calendar'!$V$19)=FALSE,"",'Dvd Calendar'!$V$19))</f>
        <v/>
      </c>
      <c r="BI12" s="106">
        <f>IF(GK12="","",IF(ISNUMBER('Dvd Calendar'!$W$19)=FALSE,"",'Dvd Calendar'!$W$19))</f>
        <v/>
      </c>
      <c r="BJ12" s="106">
        <f>IF(GL12="","",IF(ISNUMBER('Dvd Calendar'!$X$19)=FALSE,"",'Dvd Calendar'!$X$19))</f>
        <v/>
      </c>
      <c r="BK12" s="106">
        <f>IF(GM12="","",IF(ISNUMBER('Dvd Calendar'!$Y$19)=FALSE,"",'Dvd Calendar'!$Y$19))</f>
        <v/>
      </c>
      <c r="BL12" s="106">
        <f>IF(GN12="","",IF(ISNUMBER('Dvd Calendar'!$Z$19)=FALSE,"",'Dvd Calendar'!$Z$19))</f>
        <v/>
      </c>
      <c r="BM12" s="106">
        <f>IF(GO12="","",IF(ISNUMBER('Dvd Calendar'!$AA$19)=FALSE,"",'Dvd Calendar'!$AA$19))</f>
        <v/>
      </c>
      <c r="BN12" s="106">
        <f>IF(GP12="","",IF(ISNUMBER('Dvd Calendar'!$AB$19)=FALSE,"",'Dvd Calendar'!$AB$19))</f>
        <v/>
      </c>
      <c r="BO12" s="106">
        <f>IF(GQ12="","",IF(ISNUMBER('Dvd Calendar'!$AC$19)=FALSE,"",'Dvd Calendar'!$AC$19))</f>
        <v/>
      </c>
      <c r="BQ12" s="106">
        <f>IF(C12="","",IFERROR(C12*HSI!$B$7*HSI!$G$7/HSI!$B$3,""))</f>
        <v/>
      </c>
      <c r="BR12" s="106">
        <f>IF(D12="","",IFERROR(D12*HSI!$B$7*HSI!$G$7/HSI!$B$3,""))</f>
        <v/>
      </c>
      <c r="BS12" s="106">
        <f>IF(E12="","",IFERROR(E12*HSI!$B$7*HSI!$G$7/HSI!$B$3,""))</f>
        <v/>
      </c>
      <c r="BT12" s="106">
        <f>IF(F12="","",IFERROR(F12*HSI!$B$7*HSI!$G$7/HSI!$B$3,""))</f>
        <v/>
      </c>
      <c r="BU12" s="106">
        <f>IF(G12="","",IFERROR(G12*HSI!$B$7*HSI!$G$7/HSI!$B$3,""))</f>
        <v/>
      </c>
      <c r="BV12" s="106">
        <f>IF(H12="","",IFERROR(H12*HSI!$B$7*HSI!$G$7/HSI!$B$3,""))</f>
        <v/>
      </c>
      <c r="BW12" s="106">
        <f>IF(I12="","",IFERROR(I12*HSI!$B$7*HSI!$G$7/HSI!$B$3,""))</f>
        <v/>
      </c>
      <c r="BX12" s="106">
        <f>IF(J12="","",IFERROR(J12*HSI!$B$7*HSI!$G$7/HSI!$B$3,""))</f>
        <v/>
      </c>
      <c r="BY12" s="106">
        <f>IF(K12="","",IFERROR(K12*HSI!$B$7*HSI!$G$7/HSI!$B$3,""))</f>
        <v/>
      </c>
      <c r="BZ12" s="106">
        <f>IF(L12="","",IFERROR(L12*HSI!$B$7*HSI!$G$7/HSI!$B$3,""))</f>
        <v/>
      </c>
      <c r="CA12" s="106">
        <f>IF(M12="","",IFERROR(M12*HSI!$B$7*HSI!$G$7/HSI!$B$3,""))</f>
        <v/>
      </c>
      <c r="CB12" s="106">
        <f>IF(N12="","",IFERROR(N12*HSI!$B$7*HSI!$G$7/HSI!$B$3,""))</f>
        <v/>
      </c>
      <c r="CC12" s="106">
        <f>IF(O12="","",IFERROR(O12*HSI!$B$7*HSI!$G$7/HSI!$B$3,""))</f>
        <v/>
      </c>
      <c r="CD12" s="106">
        <f>IF(P12="","",IFERROR(P12*HSI!$B$7*HSI!$G$7/HSI!$B$3,""))</f>
        <v/>
      </c>
      <c r="CE12" s="106">
        <f>IF(Q12="","",IFERROR(Q12*HSI!$B$7*HSI!$G$7/HSI!$B$3,""))</f>
        <v/>
      </c>
      <c r="CF12" s="106">
        <f>IF(R12="","",IFERROR(R12*HSI!$B$7*HSI!$G$7/HSI!$B$3,""))</f>
        <v/>
      </c>
      <c r="CG12" s="106">
        <f>IF(S12="","",IFERROR(S12*HSI!$B$7*HSI!$G$7/HSI!$B$3,""))</f>
        <v/>
      </c>
      <c r="CH12" s="106">
        <f>IF(T12="","",IFERROR(T12*HSI!$B$7*HSI!$G$7/HSI!$B$3,""))</f>
        <v/>
      </c>
      <c r="CI12" s="106">
        <f>IF(U12="","",IFERROR(U12*HSI!$B$7*HSI!$G$7/HSI!$B$3,""))</f>
        <v/>
      </c>
      <c r="CJ12" s="106">
        <f>IF(V12="","",IFERROR(V12*HSI!$B$7*HSI!$G$7/HSI!$B$3,""))</f>
        <v/>
      </c>
      <c r="CK12" s="106">
        <f>IF(W12="","",IFERROR(W12*HSI!$B$7*HSI!$G$7/HSI!$B$3,""))</f>
        <v/>
      </c>
      <c r="CL12" s="106">
        <f>IF(X12="","",IFERROR(X12*HSI!$B$7*HSI!$G$7/HSI!$B$3,""))</f>
        <v/>
      </c>
      <c r="CM12" s="106">
        <f>IF(Y12="","",IFERROR(Y12*HSI!$B$7*HSI!$G$7/HSI!$B$3,""))</f>
        <v/>
      </c>
      <c r="CN12" s="106">
        <f>IF(Z12="","",IFERROR(Z12*HSI!$B$7*HSI!$G$7/HSI!$B$3,""))</f>
        <v/>
      </c>
      <c r="CO12" s="106">
        <f>IF(AA12="","",IFERROR(AA12*HSI!$B$7*HSI!$G$7/HSI!$B$3,""))</f>
        <v/>
      </c>
      <c r="CP12" s="106">
        <f>IF(AB12="","",IFERROR(AB12*HSI!$B$7*HSI!$G$7/HSI!$B$3,""))</f>
        <v/>
      </c>
      <c r="CQ12" s="106">
        <f>IF(AC12="","",IFERROR(AC12*HSI!$B$7*HSI!$G$7/HSI!$B$3,""))</f>
        <v/>
      </c>
      <c r="CR12" s="106">
        <f>IF(AD12="","",IFERROR(AD12*HSI!$B$7*HSI!$G$7/HSI!$B$3,""))</f>
        <v/>
      </c>
      <c r="CS12" s="106">
        <f>IF(AE12="","",IFERROR(AE12*HSI!$B$7*HSI!$G$7/HSI!$B$3,""))</f>
        <v/>
      </c>
      <c r="CT12" s="106">
        <f>IF(AF12="","",IFERROR(AF12*HSI!$B$7*HSI!$G$7/HSI!$B$3,""))</f>
        <v/>
      </c>
      <c r="CU12" s="106">
        <f>IF(AG12="","",IFERROR(AG12*HSI!$B$7*HSI!$G$7/HSI!$B$3,""))</f>
        <v/>
      </c>
      <c r="CV12" s="106">
        <f>IF(AH12="","",IFERROR(AH12*HSI!$B$7*HSI!$G$7/HSI!$B$3,""))</f>
        <v/>
      </c>
      <c r="CW12" s="106">
        <f>IF(AI12="","",IFERROR(AI12*HSI!$B$7*HSI!$G$7/HSI!$B$3,""))</f>
        <v/>
      </c>
      <c r="CX12" s="106">
        <f>IF(AJ12="","",IFERROR(AJ12*HSI!$B$7*HSI!$G$7/HSI!$B$3,""))</f>
        <v/>
      </c>
      <c r="CY12" s="106">
        <f>IF(AK12="","",IFERROR(AK12*HSI!$B$7*HSI!$G$7/HSI!$B$3,""))</f>
        <v/>
      </c>
      <c r="CZ12" s="106">
        <f>IF(AL12="","",IFERROR(AL12*HSI!$B$7*HSI!$G$7/HSI!$B$3,""))</f>
        <v/>
      </c>
      <c r="DA12" s="106">
        <f>IF(AM12="","",IFERROR(AM12*HSI!$B$7*HSI!$G$7/HSI!$B$3,""))</f>
        <v/>
      </c>
      <c r="DB12" s="106">
        <f>IF(AN12="","",IFERROR(AN12*HSI!$B$7*HSI!$G$7/HSI!$B$3,""))</f>
        <v/>
      </c>
      <c r="DC12" s="106">
        <f>IF(AO12="","",IFERROR(AO12*HSI!$B$7*HSI!$G$7/HSI!$B$3,""))</f>
        <v/>
      </c>
      <c r="DD12" s="106">
        <f>IF(AP12="","",IFERROR(AP12*HSI!$B$7*HSI!$G$7/HSI!$B$3,""))</f>
        <v/>
      </c>
      <c r="DE12" s="106">
        <f>IF(AQ12="","",IFERROR(AQ12*HSI!$B$7*HSI!$G$7/HSI!$B$3,""))</f>
        <v/>
      </c>
      <c r="DF12" s="106">
        <f>IF(AR12="","",IFERROR(AR12*HSI!$B$7*HSI!$G$7/HSI!$B$3,""))</f>
        <v/>
      </c>
      <c r="DG12" s="106">
        <f>IF(AS12="","",IFERROR(AS12*HSI!$B$7*HSI!$G$7/HSI!$B$3,""))</f>
        <v/>
      </c>
      <c r="DH12" s="106">
        <f>IF(AT12="","",IFERROR(AT12*HSI!$B$7*HSI!$G$7/HSI!$B$3,""))</f>
        <v/>
      </c>
      <c r="DI12" s="106">
        <f>IF(AU12="","",IFERROR(AU12*HSI!$B$7*HSI!$G$7/HSI!$B$3,""))</f>
        <v/>
      </c>
      <c r="DJ12" s="106">
        <f>IF(AV12="","",IFERROR(AV12*HSI!$B$7*HSI!$G$7/HSI!$B$3,""))</f>
        <v/>
      </c>
      <c r="DK12" s="106">
        <f>IF(AW12="","",IFERROR(AW12*HSI!$B$7*HSI!$G$7/HSI!$B$3,""))</f>
        <v/>
      </c>
      <c r="DL12" s="106">
        <f>IF(AX12="","",IFERROR(AX12*HSI!$B$7*HSI!$G$7/HSI!$B$3,""))</f>
        <v/>
      </c>
      <c r="DM12" s="106">
        <f>IF(AY12="","",IFERROR(AY12*HSI!$B$7*HSI!$G$7/HSI!$B$3,""))</f>
        <v/>
      </c>
      <c r="DN12" s="106">
        <f>IF(AZ12="","",IFERROR(AZ12*HSI!$B$7*HSI!$G$7/HSI!$B$3,""))</f>
        <v/>
      </c>
      <c r="DO12" s="106">
        <f>IF(BA12="","",IFERROR(BA12*HSI!$B$7*HSI!$G$7/HSI!$B$3,""))</f>
        <v/>
      </c>
      <c r="DP12" s="106">
        <f>IF(BB12="","",IFERROR(BB12*HSI!$B$7*HSI!$G$7/HSI!$B$3,""))</f>
        <v/>
      </c>
      <c r="DQ12" s="106">
        <f>IF(BC12="","",IFERROR(BC12*HSI!$B$7*HSI!$G$7/HSI!$B$3,""))</f>
        <v/>
      </c>
      <c r="DR12" s="106">
        <f>IF(BD12="","",IFERROR(BD12*HSI!$B$7*HSI!$G$7/HSI!$B$3,""))</f>
        <v/>
      </c>
      <c r="DS12" s="106">
        <f>IF(BE12="","",IFERROR(BE12*HSI!$B$7*HSI!$G$7/HSI!$B$3,""))</f>
        <v/>
      </c>
      <c r="DT12" s="106">
        <f>IF(BF12="","",IFERROR(BF12*HSI!$B$7*HSI!$G$7/HSI!$B$3,""))</f>
        <v/>
      </c>
      <c r="DU12" s="106">
        <f>IF(BG12="","",IFERROR(BG12*HSI!$B$7*HSI!$G$7/HSI!$B$3,""))</f>
        <v/>
      </c>
      <c r="DV12" s="106">
        <f>IF(BH12="","",IFERROR(BH12*HSI!$B$7*HSI!$G$7/HSI!$B$3,""))</f>
        <v/>
      </c>
      <c r="DW12" s="106">
        <f>IF(BI12="","",IFERROR(BI12*HSI!$B$7*HSI!$G$7/HSI!$B$3,""))</f>
        <v/>
      </c>
      <c r="DX12" s="106">
        <f>IF(BJ12="","",IFERROR(BJ12*HSI!$B$7*HSI!$G$7/HSI!$B$3,""))</f>
        <v/>
      </c>
      <c r="DY12" s="106">
        <f>IF(BK12="","",IFERROR(BK12*HSI!$B$7*HSI!$G$7/HSI!$B$3,""))</f>
        <v/>
      </c>
      <c r="DZ12" s="106">
        <f>IF(BL12="","",IFERROR(BL12*HSI!$B$7*HSI!$G$7/HSI!$B$3,""))</f>
        <v/>
      </c>
      <c r="EA12" s="106">
        <f>IF(BM12="","",IFERROR(BM12*HSI!$B$7*HSI!$G$7/HSI!$B$3,""))</f>
        <v/>
      </c>
      <c r="EB12" s="106">
        <f>IF(BN12="","",IFERROR(BN12*HSI!$B$7*HSI!$G$7/HSI!$B$3,""))</f>
        <v/>
      </c>
      <c r="EC12" s="106">
        <f>IF(BO12="","",IFERROR(BO12*HSI!$B$7*HSI!$G$7/HSI!$B$3,""))</f>
        <v/>
      </c>
      <c r="EE12" s="35">
        <f>IF(N('Dvd Calendar'!$E$11)=0,"",IF(('Dvd Calendar'!$E$11&gt;=GRID_FROM)*('Dvd Calendar'!$E$11&lt;=GRID_TO)*('Dvd Calendar'!$E$11&lt;=VAL_DATE)=0,"",'Dvd Calendar'!$E$11*1000000000+ISNUMBER('Dvd Calendar'!$E$14)*100000000+('Dvd Calendar'!$E$16=SPECIAL_LBL)*10000000+0*1000000+1*1000+1))</f>
        <v/>
      </c>
      <c r="EF12" s="35">
        <f>IF(N('Dvd Calendar'!$F$11)=0,"",IF(('Dvd Calendar'!$F$11&gt;=GRID_FROM)*('Dvd Calendar'!$F$11&lt;=GRID_TO)*('Dvd Calendar'!$F$11&lt;=VAL_DATE)=0,"",'Dvd Calendar'!$F$11*1000000000+ISNUMBER('Dvd Calendar'!$F$14)*100000000+('Dvd Calendar'!$F$16=SPECIAL_LBL)*10000000+0*1000000+1*1000+2))</f>
        <v/>
      </c>
      <c r="EG12" s="35">
        <f>IF(N('Dvd Calendar'!$G$11)=0,"",IF(('Dvd Calendar'!$G$11&gt;=GRID_FROM)*('Dvd Calendar'!$G$11&lt;=GRID_TO)*('Dvd Calendar'!$G$11&lt;=VAL_DATE)=0,"",'Dvd Calendar'!$G$11*1000000000+ISNUMBER('Dvd Calendar'!$G$14)*100000000+('Dvd Calendar'!$G$16=SPECIAL_LBL)*10000000+0*1000000+1*1000+3))</f>
        <v/>
      </c>
      <c r="EH12" s="35">
        <f>IF(N('Dvd Calendar'!$H$11)=0,"",IF(('Dvd Calendar'!$H$11&gt;=GRID_FROM)*('Dvd Calendar'!$H$11&lt;=GRID_TO)*('Dvd Calendar'!$H$11&lt;=VAL_DATE)=0,"",'Dvd Calendar'!$H$11*1000000000+ISNUMBER('Dvd Calendar'!$H$14)*100000000+('Dvd Calendar'!$H$16=SPECIAL_LBL)*10000000+0*1000000+1*1000+4))</f>
        <v/>
      </c>
      <c r="EI12" s="35">
        <f>IF(N('Dvd Calendar'!$I$11)=0,"",IF(('Dvd Calendar'!$I$11&gt;=GRID_FROM)*('Dvd Calendar'!$I$11&lt;=GRID_TO)*('Dvd Calendar'!$I$11&lt;=VAL_DATE)=0,"",'Dvd Calendar'!$I$11*1000000000+ISNUMBER('Dvd Calendar'!$I$14)*100000000+('Dvd Calendar'!$I$16=SPECIAL_LBL)*10000000+0*1000000+1*1000+5))</f>
        <v/>
      </c>
      <c r="EJ12" s="35">
        <f>IF(N('Dvd Calendar'!$J$11)=0,"",IF(('Dvd Calendar'!$J$11&gt;=GRID_FROM)*('Dvd Calendar'!$J$11&lt;=GRID_TO)*('Dvd Calendar'!$J$11&lt;=VAL_DATE)=0,"",'Dvd Calendar'!$J$11*1000000000+ISNUMBER('Dvd Calendar'!$J$14)*100000000+('Dvd Calendar'!$J$16=SPECIAL_LBL)*10000000+0*1000000+1*1000+6))</f>
        <v/>
      </c>
      <c r="EK12" s="35">
        <f>IF(N('Dvd Calendar'!$K$11)=0,"",IF(('Dvd Calendar'!$K$11&gt;=GRID_FROM)*('Dvd Calendar'!$K$11&lt;=GRID_TO)*('Dvd Calendar'!$K$11&lt;=VAL_DATE)=0,"",'Dvd Calendar'!$K$11*1000000000+ISNUMBER('Dvd Calendar'!$K$14)*100000000+('Dvd Calendar'!$K$16=SPECIAL_LBL)*10000000+0*1000000+1*1000+7))</f>
        <v/>
      </c>
      <c r="EL12" s="35">
        <f>IF(N('Dvd Calendar'!$L$11)=0,"",IF(('Dvd Calendar'!$L$11&gt;=GRID_FROM)*('Dvd Calendar'!$L$11&lt;=GRID_TO)*('Dvd Calendar'!$L$11&lt;=VAL_DATE)=0,"",'Dvd Calendar'!$L$11*1000000000+ISNUMBER('Dvd Calendar'!$L$14)*100000000+('Dvd Calendar'!$L$16=SPECIAL_LBL)*10000000+0*1000000+1*1000+8))</f>
        <v/>
      </c>
      <c r="EM12" s="35">
        <f>IF(N('Dvd Calendar'!$M$11)=0,"",IF(('Dvd Calendar'!$M$11&gt;=GRID_FROM)*('Dvd Calendar'!$M$11&lt;=GRID_TO)*('Dvd Calendar'!$M$11&lt;=VAL_DATE)=0,"",'Dvd Calendar'!$M$11*1000000000+ISNUMBER('Dvd Calendar'!$M$14)*100000000+('Dvd Calendar'!$M$16=SPECIAL_LBL)*10000000+0*1000000+1*1000+9))</f>
        <v/>
      </c>
      <c r="EN12" s="35">
        <f>IF(N('Dvd Calendar'!$N$11)=0,"",IF(('Dvd Calendar'!$N$11&gt;=GRID_FROM)*('Dvd Calendar'!$N$11&lt;=GRID_TO)*('Dvd Calendar'!$N$11&lt;=VAL_DATE)=0,"",'Dvd Calendar'!$N$11*1000000000+ISNUMBER('Dvd Calendar'!$N$14)*100000000+('Dvd Calendar'!$N$16=SPECIAL_LBL)*10000000+0*1000000+1*1000+10))</f>
        <v/>
      </c>
      <c r="EO12" s="35">
        <f>IF(N('Dvd Calendar'!$O$11)=0,"",IF(('Dvd Calendar'!$O$11&gt;=GRID_FROM)*('Dvd Calendar'!$O$11&lt;=GRID_TO)*('Dvd Calendar'!$O$11&lt;=VAL_DATE)=0,"",'Dvd Calendar'!$O$11*1000000000+ISNUMBER('Dvd Calendar'!$O$14)*100000000+('Dvd Calendar'!$O$16=SPECIAL_LBL)*10000000+0*1000000+1*1000+11))</f>
        <v/>
      </c>
      <c r="EP12" s="35">
        <f>IF(N('Dvd Calendar'!$P$11)=0,"",IF(('Dvd Calendar'!$P$11&gt;=GRID_FROM)*('Dvd Calendar'!$P$11&lt;=GRID_TO)*('Dvd Calendar'!$P$11&lt;=VAL_DATE)=0,"",'Dvd Calendar'!$P$11*1000000000+ISNUMBER('Dvd Calendar'!$P$14)*100000000+('Dvd Calendar'!$P$16=SPECIAL_LBL)*10000000+0*1000000+1*1000+12))</f>
        <v/>
      </c>
      <c r="EQ12" s="35">
        <f>IF(N('Dvd Calendar'!$Q$11)=0,"",IF(('Dvd Calendar'!$Q$11&gt;=GRID_FROM)*('Dvd Calendar'!$Q$11&lt;=GRID_TO)*('Dvd Calendar'!$Q$11&lt;=VAL_DATE)=0,"",'Dvd Calendar'!$Q$11*1000000000+ISNUMBER('Dvd Calendar'!$Q$14)*100000000+('Dvd Calendar'!$Q$16=SPECIAL_LBL)*10000000+0*1000000+1*1000+13))</f>
        <v/>
      </c>
      <c r="ER12" s="35">
        <f>IF(N('Dvd Calendar'!$R$11)=0,"",IF(('Dvd Calendar'!$R$11&gt;=GRID_FROM)*('Dvd Calendar'!$R$11&lt;=GRID_TO)*('Dvd Calendar'!$R$11&lt;=VAL_DATE)=0,"",'Dvd Calendar'!$R$11*1000000000+ISNUMBER('Dvd Calendar'!$R$14)*100000000+('Dvd Calendar'!$R$16=SPECIAL_LBL)*10000000+0*1000000+1*1000+14))</f>
        <v/>
      </c>
      <c r="ES12" s="35">
        <f>IF(N('Dvd Calendar'!$S$11)=0,"",IF(('Dvd Calendar'!$S$11&gt;=GRID_FROM)*('Dvd Calendar'!$S$11&lt;=GRID_TO)*('Dvd Calendar'!$S$11&lt;=VAL_DATE)=0,"",'Dvd Calendar'!$S$11*1000000000+ISNUMBER('Dvd Calendar'!$S$14)*100000000+('Dvd Calendar'!$S$16=SPECIAL_LBL)*10000000+0*1000000+1*1000+15))</f>
        <v/>
      </c>
      <c r="ET12" s="35">
        <f>IF(N('Dvd Calendar'!$T$11)=0,"",IF(('Dvd Calendar'!$T$11&gt;=GRID_FROM)*('Dvd Calendar'!$T$11&lt;=GRID_TO)*('Dvd Calendar'!$T$11&lt;=VAL_DATE)=0,"",'Dvd Calendar'!$T$11*1000000000+ISNUMBER('Dvd Calendar'!$T$14)*100000000+('Dvd Calendar'!$T$16=SPECIAL_LBL)*10000000+0*1000000+1*1000+16))</f>
        <v/>
      </c>
      <c r="EU12" s="35">
        <f>IF(N('Dvd Calendar'!$U$11)=0,"",IF(('Dvd Calendar'!$U$11&gt;=GRID_FROM)*('Dvd Calendar'!$U$11&lt;=GRID_TO)*('Dvd Calendar'!$U$11&lt;=VAL_DATE)=0,"",'Dvd Calendar'!$U$11*1000000000+ISNUMBER('Dvd Calendar'!$U$14)*100000000+('Dvd Calendar'!$U$16=SPECIAL_LBL)*10000000+0*1000000+1*1000+17))</f>
        <v/>
      </c>
      <c r="EV12" s="35">
        <f>IF(N('Dvd Calendar'!$V$11)=0,"",IF(('Dvd Calendar'!$V$11&gt;=GRID_FROM)*('Dvd Calendar'!$V$11&lt;=GRID_TO)*('Dvd Calendar'!$V$11&lt;=VAL_DATE)=0,"",'Dvd Calendar'!$V$11*1000000000+ISNUMBER('Dvd Calendar'!$V$14)*100000000+('Dvd Calendar'!$V$16=SPECIAL_LBL)*10000000+0*1000000+1*1000+18))</f>
        <v/>
      </c>
      <c r="EW12" s="35">
        <f>IF(N('Dvd Calendar'!$W$11)=0,"",IF(('Dvd Calendar'!$W$11&gt;=GRID_FROM)*('Dvd Calendar'!$W$11&lt;=GRID_TO)*('Dvd Calendar'!$W$11&lt;=VAL_DATE)=0,"",'Dvd Calendar'!$W$11*1000000000+ISNUMBER('Dvd Calendar'!$W$14)*100000000+('Dvd Calendar'!$W$16=SPECIAL_LBL)*10000000+0*1000000+1*1000+19))</f>
        <v/>
      </c>
      <c r="EX12" s="35">
        <f>IF(N('Dvd Calendar'!$X$11)=0,"",IF(('Dvd Calendar'!$X$11&gt;=GRID_FROM)*('Dvd Calendar'!$X$11&lt;=GRID_TO)*('Dvd Calendar'!$X$11&lt;=VAL_DATE)=0,"",'Dvd Calendar'!$X$11*1000000000+ISNUMBER('Dvd Calendar'!$X$14)*100000000+('Dvd Calendar'!$X$16=SPECIAL_LBL)*10000000+0*1000000+1*1000+20))</f>
        <v/>
      </c>
      <c r="EY12" s="35">
        <f>IF(N('Dvd Calendar'!$Y$11)=0,"",IF(('Dvd Calendar'!$Y$11&gt;=GRID_FROM)*('Dvd Calendar'!$Y$11&lt;=GRID_TO)*('Dvd Calendar'!$Y$11&lt;=VAL_DATE)=0,"",'Dvd Calendar'!$Y$11*1000000000+ISNUMBER('Dvd Calendar'!$Y$14)*100000000+('Dvd Calendar'!$Y$16=SPECIAL_LBL)*10000000+0*1000000+1*1000+21))</f>
        <v/>
      </c>
      <c r="EZ12" s="35">
        <f>IF(N('Dvd Calendar'!$Z$11)=0,"",IF(('Dvd Calendar'!$Z$11&gt;=GRID_FROM)*('Dvd Calendar'!$Z$11&lt;=GRID_TO)*('Dvd Calendar'!$Z$11&lt;=VAL_DATE)=0,"",'Dvd Calendar'!$Z$11*1000000000+ISNUMBER('Dvd Calendar'!$Z$14)*100000000+('Dvd Calendar'!$Z$16=SPECIAL_LBL)*10000000+0*1000000+1*1000+22))</f>
        <v/>
      </c>
      <c r="FA12" s="35">
        <f>IF(N('Dvd Calendar'!$AA$11)=0,"",IF(('Dvd Calendar'!$AA$11&gt;=GRID_FROM)*('Dvd Calendar'!$AA$11&lt;=GRID_TO)*('Dvd Calendar'!$AA$11&lt;=VAL_DATE)=0,"",'Dvd Calendar'!$AA$11*1000000000+ISNUMBER('Dvd Calendar'!$AA$14)*100000000+('Dvd Calendar'!$AA$16=SPECIAL_LBL)*10000000+0*1000000+1*1000+23))</f>
        <v/>
      </c>
      <c r="FB12" s="35">
        <f>IF(N('Dvd Calendar'!$AB$11)=0,"",IF(('Dvd Calendar'!$AB$11&gt;=GRID_FROM)*('Dvd Calendar'!$AB$11&lt;=GRID_TO)*('Dvd Calendar'!$AB$11&lt;=VAL_DATE)=0,"",'Dvd Calendar'!$AB$11*1000000000+ISNUMBER('Dvd Calendar'!$AB$14)*100000000+('Dvd Calendar'!$AB$16=SPECIAL_LBL)*10000000+0*1000000+1*1000+24))</f>
        <v/>
      </c>
      <c r="FC12" s="35">
        <f>IF(N('Dvd Calendar'!$AC$11)=0,"",IF(('Dvd Calendar'!$AC$11&gt;=GRID_FROM)*('Dvd Calendar'!$AC$11&lt;=GRID_TO)*('Dvd Calendar'!$AC$11&lt;=VAL_DATE)=0,"",'Dvd Calendar'!$AC$11*1000000000+ISNUMBER('Dvd Calendar'!$AC$14)*100000000+('Dvd Calendar'!$AC$16=SPECIAL_LBL)*10000000+0*1000000+1*1000+25))</f>
        <v/>
      </c>
      <c r="FD12" s="35">
        <f>IF(N('Dvd Calendar'!$AD$11)=0,"",IF(('Dvd Calendar'!$AD$11&gt;=GRID_FROM)*('Dvd Calendar'!$AD$11&lt;=GRID_TO)*('Dvd Calendar'!$AD$11&lt;=VAL_DATE)=0,"",'Dvd Calendar'!$AD$11*1000000000+ISNUMBER('Dvd Calendar'!$AD$14)*100000000+('Dvd Calendar'!$AD$16=SPECIAL_LBL)*10000000+0*1000000+1*1000+26))</f>
        <v/>
      </c>
      <c r="FE12" s="35">
        <f>IF(N('Dvd Calendar'!$AE$11)=0,"",IF(('Dvd Calendar'!$AE$11&gt;=GRID_FROM)*('Dvd Calendar'!$AE$11&lt;=GRID_TO)*('Dvd Calendar'!$AE$11&lt;=VAL_DATE)=0,"",'Dvd Calendar'!$AE$11*1000000000+ISNUMBER('Dvd Calendar'!$AE$14)*100000000+('Dvd Calendar'!$AE$16=SPECIAL_LBL)*10000000+0*1000000+1*1000+27))</f>
        <v/>
      </c>
      <c r="FF12" s="35">
        <f>IF(N('Dvd Calendar'!$AF$11)=0,"",IF(('Dvd Calendar'!$AF$11&gt;=GRID_FROM)*('Dvd Calendar'!$AF$11&lt;=GRID_TO)*('Dvd Calendar'!$AF$11&lt;=VAL_DATE)=0,"",'Dvd Calendar'!$AF$11*1000000000+ISNUMBER('Dvd Calendar'!$AF$14)*100000000+('Dvd Calendar'!$AF$16=SPECIAL_LBL)*10000000+0*1000000+1*1000+28))</f>
        <v/>
      </c>
      <c r="FG12" s="35">
        <f>IF(N('Dvd Calendar'!$AG$11)=0,"",IF(('Dvd Calendar'!$AG$11&gt;=GRID_FROM)*('Dvd Calendar'!$AG$11&lt;=GRID_TO)*('Dvd Calendar'!$AG$11&lt;=VAL_DATE)=0,"",'Dvd Calendar'!$AG$11*1000000000+ISNUMBER('Dvd Calendar'!$AG$14)*100000000+('Dvd Calendar'!$AG$16=SPECIAL_LBL)*10000000+0*1000000+1*1000+29))</f>
        <v/>
      </c>
      <c r="FH12" s="35">
        <f>IF(N('Dvd Calendar'!$AH$11)=0,"",IF(('Dvd Calendar'!$AH$11&gt;=GRID_FROM)*('Dvd Calendar'!$AH$11&lt;=GRID_TO)*('Dvd Calendar'!$AH$11&lt;=VAL_DATE)=0,"",'Dvd Calendar'!$AH$11*1000000000+ISNUMBER('Dvd Calendar'!$AH$14)*100000000+('Dvd Calendar'!$AH$16=SPECIAL_LBL)*10000000+0*1000000+1*1000+30))</f>
        <v/>
      </c>
      <c r="FI12" s="35">
        <f>IF(N('Dvd Calendar'!$AI$11)=0,"",IF(('Dvd Calendar'!$AI$11&gt;=GRID_FROM)*('Dvd Calendar'!$AI$11&lt;=GRID_TO)*('Dvd Calendar'!$AI$11&lt;=VAL_DATE)=0,"",'Dvd Calendar'!$AI$11*1000000000+ISNUMBER('Dvd Calendar'!$AI$14)*100000000+('Dvd Calendar'!$AI$16=SPECIAL_LBL)*10000000+0*1000000+1*1000+31))</f>
        <v/>
      </c>
      <c r="FJ12" s="35">
        <f>IF(N('Dvd Calendar'!$AJ$11)=0,"",IF(('Dvd Calendar'!$AJ$11&gt;=GRID_FROM)*('Dvd Calendar'!$AJ$11&lt;=GRID_TO)*('Dvd Calendar'!$AJ$11&lt;=VAL_DATE)=0,"",'Dvd Calendar'!$AJ$11*1000000000+ISNUMBER('Dvd Calendar'!$AJ$14)*100000000+('Dvd Calendar'!$AJ$16=SPECIAL_LBL)*10000000+0*1000000+1*1000+32))</f>
        <v/>
      </c>
      <c r="FK12" s="35">
        <f>IF(N('Dvd Calendar'!$AK$11)=0,"",IF(('Dvd Calendar'!$AK$11&gt;=GRID_FROM)*('Dvd Calendar'!$AK$11&lt;=GRID_TO)*('Dvd Calendar'!$AK$11&lt;=VAL_DATE)=0,"",'Dvd Calendar'!$AK$11*1000000000+ISNUMBER('Dvd Calendar'!$AK$14)*100000000+('Dvd Calendar'!$AK$16=SPECIAL_LBL)*10000000+0*1000000+1*1000+33))</f>
        <v/>
      </c>
      <c r="FL12" s="35">
        <f>IF(N('Dvd Calendar'!$AL$11)=0,"",IF(('Dvd Calendar'!$AL$11&gt;=GRID_FROM)*('Dvd Calendar'!$AL$11&lt;=GRID_TO)*('Dvd Calendar'!$AL$11&lt;=VAL_DATE)=0,"",'Dvd Calendar'!$AL$11*1000000000+ISNUMBER('Dvd Calendar'!$AL$14)*100000000+('Dvd Calendar'!$AL$16=SPECIAL_LBL)*10000000+0*1000000+1*1000+34))</f>
        <v/>
      </c>
      <c r="FM12" s="35">
        <f>IF(N('Dvd Calendar'!$AM$11)=0,"",IF(('Dvd Calendar'!$AM$11&gt;=GRID_FROM)*('Dvd Calendar'!$AM$11&lt;=GRID_TO)*('Dvd Calendar'!$AM$11&lt;=VAL_DATE)=0,"",'Dvd Calendar'!$AM$11*1000000000+ISNUMBER('Dvd Calendar'!$AM$14)*100000000+('Dvd Calendar'!$AM$16=SPECIAL_LBL)*10000000+0*1000000+1*1000+35))</f>
        <v/>
      </c>
      <c r="FN12" s="35">
        <f>IF(N('Dvd Calendar'!$AN$11)=0,"",IF(('Dvd Calendar'!$AN$11&gt;=GRID_FROM)*('Dvd Calendar'!$AN$11&lt;=GRID_TO)*('Dvd Calendar'!$AN$11&lt;=VAL_DATE)=0,"",'Dvd Calendar'!$AN$11*1000000000+ISNUMBER('Dvd Calendar'!$AN$14)*100000000+('Dvd Calendar'!$AN$16=SPECIAL_LBL)*10000000+0*1000000+1*1000+36))</f>
        <v/>
      </c>
      <c r="FO12" s="35">
        <f>IF(N('Dvd Calendar'!$AO$11)=0,"",IF(('Dvd Calendar'!$AO$11&gt;=GRID_FROM)*('Dvd Calendar'!$AO$11&lt;=GRID_TO)*('Dvd Calendar'!$AO$11&lt;=VAL_DATE)=0,"",'Dvd Calendar'!$AO$11*1000000000+ISNUMBER('Dvd Calendar'!$AO$14)*100000000+('Dvd Calendar'!$AO$16=SPECIAL_LBL)*10000000+0*1000000+1*1000+37))</f>
        <v/>
      </c>
      <c r="FP12" s="35">
        <f>IF(N('Dvd Calendar'!$AP$11)=0,"",IF(('Dvd Calendar'!$AP$11&gt;=GRID_FROM)*('Dvd Calendar'!$AP$11&lt;=GRID_TO)*('Dvd Calendar'!$AP$11&lt;=VAL_DATE)=0,"",'Dvd Calendar'!$AP$11*1000000000+ISNUMBER('Dvd Calendar'!$AP$14)*100000000+('Dvd Calendar'!$AP$16=SPECIAL_LBL)*10000000+0*1000000+1*1000+38))</f>
        <v/>
      </c>
      <c r="FQ12" s="35">
        <f>IF(N('Dvd Calendar'!$AQ$11)=0,"",IF(('Dvd Calendar'!$AQ$11&gt;=GRID_FROM)*('Dvd Calendar'!$AQ$11&lt;=GRID_TO)*('Dvd Calendar'!$AQ$11&lt;=VAL_DATE)=0,"",'Dvd Calendar'!$AQ$11*1000000000+ISNUMBER('Dvd Calendar'!$AQ$14)*100000000+('Dvd Calendar'!$AQ$16=SPECIAL_LBL)*10000000+0*1000000+1*1000+39))</f>
        <v/>
      </c>
      <c r="FR12" s="35">
        <f>IF(N('Dvd Calendar'!$AR$11)=0,"",IF(('Dvd Calendar'!$AR$11&gt;=GRID_FROM)*('Dvd Calendar'!$AR$11&lt;=GRID_TO)*('Dvd Calendar'!$AR$11&lt;=VAL_DATE)=0,"",'Dvd Calendar'!$AR$11*1000000000+ISNUMBER('Dvd Calendar'!$AR$14)*100000000+('Dvd Calendar'!$AR$16=SPECIAL_LBL)*10000000+0*1000000+1*1000+40))</f>
        <v/>
      </c>
      <c r="FS12" s="35">
        <f>IF(N('Dvd Calendar'!$E$18)=0,"",IF(('Dvd Calendar'!$E$18&gt;=GRID_FROM)*('Dvd Calendar'!$E$18&lt;=GRID_TO)*('Dvd Calendar'!$E$18&gt;VAL_DATE)=0,"",'Dvd Calendar'!$E$18*1000000000+ISNUMBER('Dvd Calendar'!$E$19)*100000000+0*10000000+(N('Dvd Calendar'!$E$17)&gt;0)*(N('Dvd Calendar'!$E$17)&lt;=VAL_SERIAL)*1000000+1*1000+41))</f>
        <v/>
      </c>
      <c r="FT12" s="35">
        <f>IF(N('Dvd Calendar'!$F$18)=0,"",IF(('Dvd Calendar'!$F$18&gt;=GRID_FROM)*('Dvd Calendar'!$F$18&lt;=GRID_TO)*('Dvd Calendar'!$F$18&gt;VAL_DATE)=0,"",'Dvd Calendar'!$F$18*1000000000+ISNUMBER('Dvd Calendar'!$F$19)*100000000+0*10000000+(N('Dvd Calendar'!$F$17)&gt;0)*(N('Dvd Calendar'!$F$17)&lt;=VAL_SERIAL)*1000000+1*1000+42))</f>
        <v/>
      </c>
      <c r="FU12" s="35">
        <f>IF(N('Dvd Calendar'!$G$18)=0,"",IF(('Dvd Calendar'!$G$18&gt;=GRID_FROM)*('Dvd Calendar'!$G$18&lt;=GRID_TO)*('Dvd Calendar'!$G$18&gt;VAL_DATE)=0,"",'Dvd Calendar'!$G$18*1000000000+ISNUMBER('Dvd Calendar'!$G$19)*100000000+0*10000000+(N('Dvd Calendar'!$G$17)&gt;0)*(N('Dvd Calendar'!$G$17)&lt;=VAL_SERIAL)*1000000+1*1000+43))</f>
        <v/>
      </c>
      <c r="FV12" s="35">
        <f>IF(N('Dvd Calendar'!$H$18)=0,"",IF(('Dvd Calendar'!$H$18&gt;=GRID_FROM)*('Dvd Calendar'!$H$18&lt;=GRID_TO)*('Dvd Calendar'!$H$18&gt;VAL_DATE)=0,"",'Dvd Calendar'!$H$18*1000000000+ISNUMBER('Dvd Calendar'!$H$19)*100000000+0*10000000+(N('Dvd Calendar'!$H$17)&gt;0)*(N('Dvd Calendar'!$H$17)&lt;=VAL_SERIAL)*1000000+1*1000+44))</f>
        <v/>
      </c>
      <c r="FW12" s="35">
        <f>IF(N('Dvd Calendar'!$I$18)=0,"",IF(('Dvd Calendar'!$I$18&gt;=GRID_FROM)*('Dvd Calendar'!$I$18&lt;=GRID_TO)*('Dvd Calendar'!$I$18&gt;VAL_DATE)=0,"",'Dvd Calendar'!$I$18*1000000000+ISNUMBER('Dvd Calendar'!$I$19)*100000000+0*10000000+(N('Dvd Calendar'!$I$17)&gt;0)*(N('Dvd Calendar'!$I$17)&lt;=VAL_SERIAL)*1000000+1*1000+45))</f>
        <v/>
      </c>
      <c r="FX12" s="35">
        <f>IF(N('Dvd Calendar'!$J$18)=0,"",IF(('Dvd Calendar'!$J$18&gt;=GRID_FROM)*('Dvd Calendar'!$J$18&lt;=GRID_TO)*('Dvd Calendar'!$J$18&gt;VAL_DATE)=0,"",'Dvd Calendar'!$J$18*1000000000+ISNUMBER('Dvd Calendar'!$J$19)*100000000+0*10000000+(N('Dvd Calendar'!$J$17)&gt;0)*(N('Dvd Calendar'!$J$17)&lt;=VAL_SERIAL)*1000000+1*1000+46))</f>
        <v/>
      </c>
      <c r="FY12" s="35">
        <f>IF(N('Dvd Calendar'!$K$18)=0,"",IF(('Dvd Calendar'!$K$18&gt;=GRID_FROM)*('Dvd Calendar'!$K$18&lt;=GRID_TO)*('Dvd Calendar'!$K$18&gt;VAL_DATE)=0,"",'Dvd Calendar'!$K$18*1000000000+ISNUMBER('Dvd Calendar'!$K$19)*100000000+0*10000000+(N('Dvd Calendar'!$K$17)&gt;0)*(N('Dvd Calendar'!$K$17)&lt;=VAL_SERIAL)*1000000+1*1000+47))</f>
        <v/>
      </c>
      <c r="FZ12" s="35">
        <f>IF(N('Dvd Calendar'!$L$18)=0,"",IF(('Dvd Calendar'!$L$18&gt;=GRID_FROM)*('Dvd Calendar'!$L$18&lt;=GRID_TO)*('Dvd Calendar'!$L$18&gt;VAL_DATE)=0,"",'Dvd Calendar'!$L$18*1000000000+ISNUMBER('Dvd Calendar'!$L$19)*100000000+0*10000000+(N('Dvd Calendar'!$L$17)&gt;0)*(N('Dvd Calendar'!$L$17)&lt;=VAL_SERIAL)*1000000+1*1000+48))</f>
        <v/>
      </c>
      <c r="GA12" s="35">
        <f>IF(N('Dvd Calendar'!$M$18)=0,"",IF(('Dvd Calendar'!$M$18&gt;=GRID_FROM)*('Dvd Calendar'!$M$18&lt;=GRID_TO)*('Dvd Calendar'!$M$18&gt;VAL_DATE)=0,"",'Dvd Calendar'!$M$18*1000000000+ISNUMBER('Dvd Calendar'!$M$19)*100000000+0*10000000+(N('Dvd Calendar'!$M$17)&gt;0)*(N('Dvd Calendar'!$M$17)&lt;=VAL_SERIAL)*1000000+1*1000+49))</f>
        <v/>
      </c>
      <c r="GB12" s="35">
        <f>IF(N('Dvd Calendar'!$N$18)=0,"",IF(('Dvd Calendar'!$N$18&gt;=GRID_FROM)*('Dvd Calendar'!$N$18&lt;=GRID_TO)*('Dvd Calendar'!$N$18&gt;VAL_DATE)=0,"",'Dvd Calendar'!$N$18*1000000000+ISNUMBER('Dvd Calendar'!$N$19)*100000000+0*10000000+(N('Dvd Calendar'!$N$17)&gt;0)*(N('Dvd Calendar'!$N$17)&lt;=VAL_SERIAL)*1000000+1*1000+50))</f>
        <v/>
      </c>
      <c r="GC12" s="35">
        <f>IF(N('Dvd Calendar'!$O$18)=0,"",IF(('Dvd Calendar'!$O$18&gt;=GRID_FROM)*('Dvd Calendar'!$O$18&lt;=GRID_TO)*('Dvd Calendar'!$O$18&gt;VAL_DATE)=0,"",'Dvd Calendar'!$O$18*1000000000+ISNUMBER('Dvd Calendar'!$O$19)*100000000+0*10000000+(N('Dvd Calendar'!$O$17)&gt;0)*(N('Dvd Calendar'!$O$17)&lt;=VAL_SERIAL)*1000000+1*1000+51))</f>
        <v/>
      </c>
      <c r="GD12" s="35">
        <f>IF(N('Dvd Calendar'!$P$18)=0,"",IF(('Dvd Calendar'!$P$18&gt;=GRID_FROM)*('Dvd Calendar'!$P$18&lt;=GRID_TO)*('Dvd Calendar'!$P$18&gt;VAL_DATE)=0,"",'Dvd Calendar'!$P$18*1000000000+ISNUMBER('Dvd Calendar'!$P$19)*100000000+0*10000000+(N('Dvd Calendar'!$P$17)&gt;0)*(N('Dvd Calendar'!$P$17)&lt;=VAL_SERIAL)*1000000+1*1000+52))</f>
        <v/>
      </c>
      <c r="GE12" s="35">
        <f>IF(N('Dvd Calendar'!$Q$18)=0,"",IF(('Dvd Calendar'!$Q$18&gt;=GRID_FROM)*('Dvd Calendar'!$Q$18&lt;=GRID_TO)*('Dvd Calendar'!$Q$18&gt;VAL_DATE)=0,"",'Dvd Calendar'!$Q$18*1000000000+ISNUMBER('Dvd Calendar'!$Q$19)*100000000+0*10000000+(N('Dvd Calendar'!$Q$17)&gt;0)*(N('Dvd Calendar'!$Q$17)&lt;=VAL_SERIAL)*1000000+1*1000+53))</f>
        <v/>
      </c>
      <c r="GF12" s="35">
        <f>IF(N('Dvd Calendar'!$R$18)=0,"",IF(('Dvd Calendar'!$R$18&gt;=GRID_FROM)*('Dvd Calendar'!$R$18&lt;=GRID_TO)*('Dvd Calendar'!$R$18&gt;VAL_DATE)=0,"",'Dvd Calendar'!$R$18*1000000000+ISNUMBER('Dvd Calendar'!$R$19)*100000000+0*10000000+(N('Dvd Calendar'!$R$17)&gt;0)*(N('Dvd Calendar'!$R$17)&lt;=VAL_SERIAL)*1000000+1*1000+54))</f>
        <v/>
      </c>
      <c r="GG12" s="35">
        <f>IF(N('Dvd Calendar'!$S$18)=0,"",IF(('Dvd Calendar'!$S$18&gt;=GRID_FROM)*('Dvd Calendar'!$S$18&lt;=GRID_TO)*('Dvd Calendar'!$S$18&gt;VAL_DATE)=0,"",'Dvd Calendar'!$S$18*1000000000+ISNUMBER('Dvd Calendar'!$S$19)*100000000+0*10000000+(N('Dvd Calendar'!$S$17)&gt;0)*(N('Dvd Calendar'!$S$17)&lt;=VAL_SERIAL)*1000000+1*1000+55))</f>
        <v/>
      </c>
      <c r="GH12" s="35">
        <f>IF(N('Dvd Calendar'!$T$18)=0,"",IF(('Dvd Calendar'!$T$18&gt;=GRID_FROM)*('Dvd Calendar'!$T$18&lt;=GRID_TO)*('Dvd Calendar'!$T$18&gt;VAL_DATE)=0,"",'Dvd Calendar'!$T$18*1000000000+ISNUMBER('Dvd Calendar'!$T$19)*100000000+0*10000000+(N('Dvd Calendar'!$T$17)&gt;0)*(N('Dvd Calendar'!$T$17)&lt;=VAL_SERIAL)*1000000+1*1000+56))</f>
        <v/>
      </c>
      <c r="GI12" s="35">
        <f>IF(N('Dvd Calendar'!$U$18)=0,"",IF(('Dvd Calendar'!$U$18&gt;=GRID_FROM)*('Dvd Calendar'!$U$18&lt;=GRID_TO)*('Dvd Calendar'!$U$18&gt;VAL_DATE)=0,"",'Dvd Calendar'!$U$18*1000000000+ISNUMBER('Dvd Calendar'!$U$19)*100000000+0*10000000+(N('Dvd Calendar'!$U$17)&gt;0)*(N('Dvd Calendar'!$U$17)&lt;=VAL_SERIAL)*1000000+1*1000+57))</f>
        <v/>
      </c>
      <c r="GJ12" s="35">
        <f>IF(N('Dvd Calendar'!$V$18)=0,"",IF(('Dvd Calendar'!$V$18&gt;=GRID_FROM)*('Dvd Calendar'!$V$18&lt;=GRID_TO)*('Dvd Calendar'!$V$18&gt;VAL_DATE)=0,"",'Dvd Calendar'!$V$18*1000000000+ISNUMBER('Dvd Calendar'!$V$19)*100000000+0*10000000+(N('Dvd Calendar'!$V$17)&gt;0)*(N('Dvd Calendar'!$V$17)&lt;=VAL_SERIAL)*1000000+1*1000+58))</f>
        <v/>
      </c>
      <c r="GK12" s="35">
        <f>IF(N('Dvd Calendar'!$W$18)=0,"",IF(('Dvd Calendar'!$W$18&gt;=GRID_FROM)*('Dvd Calendar'!$W$18&lt;=GRID_TO)*('Dvd Calendar'!$W$18&gt;VAL_DATE)=0,"",'Dvd Calendar'!$W$18*1000000000+ISNUMBER('Dvd Calendar'!$W$19)*100000000+0*10000000+(N('Dvd Calendar'!$W$17)&gt;0)*(N('Dvd Calendar'!$W$17)&lt;=VAL_SERIAL)*1000000+1*1000+59))</f>
        <v/>
      </c>
      <c r="GL12" s="35">
        <f>IF(N('Dvd Calendar'!$X$18)=0,"",IF(('Dvd Calendar'!$X$18&gt;=GRID_FROM)*('Dvd Calendar'!$X$18&lt;=GRID_TO)*('Dvd Calendar'!$X$18&gt;VAL_DATE)=0,"",'Dvd Calendar'!$X$18*1000000000+ISNUMBER('Dvd Calendar'!$X$19)*100000000+0*10000000+(N('Dvd Calendar'!$X$17)&gt;0)*(N('Dvd Calendar'!$X$17)&lt;=VAL_SERIAL)*1000000+1*1000+60))</f>
        <v/>
      </c>
      <c r="GM12" s="35">
        <f>IF(N('Dvd Calendar'!$Y$18)=0,"",IF(('Dvd Calendar'!$Y$18&gt;=GRID_FROM)*('Dvd Calendar'!$Y$18&lt;=GRID_TO)*('Dvd Calendar'!$Y$18&gt;VAL_DATE)=0,"",'Dvd Calendar'!$Y$18*1000000000+ISNUMBER('Dvd Calendar'!$Y$19)*100000000+0*10000000+(N('Dvd Calendar'!$Y$17)&gt;0)*(N('Dvd Calendar'!$Y$17)&lt;=VAL_SERIAL)*1000000+1*1000+61))</f>
        <v/>
      </c>
      <c r="GN12" s="35">
        <f>IF(N('Dvd Calendar'!$Z$18)=0,"",IF(('Dvd Calendar'!$Z$18&gt;=GRID_FROM)*('Dvd Calendar'!$Z$18&lt;=GRID_TO)*('Dvd Calendar'!$Z$18&gt;VAL_DATE)=0,"",'Dvd Calendar'!$Z$18*1000000000+ISNUMBER('Dvd Calendar'!$Z$19)*100000000+0*10000000+(N('Dvd Calendar'!$Z$17)&gt;0)*(N('Dvd Calendar'!$Z$17)&lt;=VAL_SERIAL)*1000000+1*1000+62))</f>
        <v/>
      </c>
      <c r="GO12" s="35">
        <f>IF(N('Dvd Calendar'!$AA$18)=0,"",IF(('Dvd Calendar'!$AA$18&gt;=GRID_FROM)*('Dvd Calendar'!$AA$18&lt;=GRID_TO)*('Dvd Calendar'!$AA$18&gt;VAL_DATE)=0,"",'Dvd Calendar'!$AA$18*1000000000+ISNUMBER('Dvd Calendar'!$AA$19)*100000000+0*10000000+(N('Dvd Calendar'!$AA$17)&gt;0)*(N('Dvd Calendar'!$AA$17)&lt;=VAL_SERIAL)*1000000+1*1000+63))</f>
        <v/>
      </c>
      <c r="GP12" s="35">
        <f>IF(N('Dvd Calendar'!$AB$18)=0,"",IF(('Dvd Calendar'!$AB$18&gt;=GRID_FROM)*('Dvd Calendar'!$AB$18&lt;=GRID_TO)*('Dvd Calendar'!$AB$18&gt;VAL_DATE)=0,"",'Dvd Calendar'!$AB$18*1000000000+ISNUMBER('Dvd Calendar'!$AB$19)*100000000+0*10000000+(N('Dvd Calendar'!$AB$17)&gt;0)*(N('Dvd Calendar'!$AB$17)&lt;=VAL_SERIAL)*1000000+1*1000+64))</f>
        <v/>
      </c>
      <c r="GQ12" s="35">
        <f>IF(N('Dvd Calendar'!$AC$18)=0,"",IF(('Dvd Calendar'!$AC$18&gt;=GRID_FROM)*('Dvd Calendar'!$AC$18&lt;=GRID_TO)*('Dvd Calendar'!$AC$18&gt;VAL_DATE)=0,"",'Dvd Calendar'!$AC$18*1000000000+ISNUMBER('Dvd Calendar'!$AC$19)*100000000+0*10000000+(N('Dvd Calendar'!$AC$17)&gt;0)*(N('Dvd Calendar'!$AC$17)&lt;=VAL_SERIAL)*1000000+1*1000+65))</f>
        <v/>
      </c>
    </row>
    <row r="13">
      <c r="B13" s="2">
        <f>IF(HSI!$C$8="","",HSI!$C$8)</f>
        <v/>
      </c>
      <c r="C13" s="106">
        <f>IF(EE13="","",IF(ISNUMBER('Dvd Calendar'!$E$25)=FALSE,"",IF((('Dvd Calendar'!$E$27=TYPE1)*(TYPE1&lt;&gt;"")+('Dvd Calendar'!$E$27=TYPE2)*(TYPE2&lt;&gt;"")+('Dvd Calendar'!$E$27=TYPE3)*(TYPE3&lt;&gt;"")+('Dvd Calendar'!$E$27=TYPE4)*(TYPE4&lt;&gt;"")+('Dvd Calendar'!$E$27=SPECIAL_LBL)*(INC_SPECIALS="Y"))=0,"",'Dvd Calendar'!$E$25)))</f>
        <v/>
      </c>
      <c r="D13" s="106">
        <f>IF(EF13="","",IF(ISNUMBER('Dvd Calendar'!$F$25)=FALSE,"",IF((('Dvd Calendar'!$F$27=TYPE1)*(TYPE1&lt;&gt;"")+('Dvd Calendar'!$F$27=TYPE2)*(TYPE2&lt;&gt;"")+('Dvd Calendar'!$F$27=TYPE3)*(TYPE3&lt;&gt;"")+('Dvd Calendar'!$F$27=TYPE4)*(TYPE4&lt;&gt;"")+('Dvd Calendar'!$F$27=SPECIAL_LBL)*(INC_SPECIALS="Y"))=0,"",'Dvd Calendar'!$F$25)))</f>
        <v/>
      </c>
      <c r="E13" s="106">
        <f>IF(EG13="","",IF(ISNUMBER('Dvd Calendar'!$G$25)=FALSE,"",IF((('Dvd Calendar'!$G$27=TYPE1)*(TYPE1&lt;&gt;"")+('Dvd Calendar'!$G$27=TYPE2)*(TYPE2&lt;&gt;"")+('Dvd Calendar'!$G$27=TYPE3)*(TYPE3&lt;&gt;"")+('Dvd Calendar'!$G$27=TYPE4)*(TYPE4&lt;&gt;"")+('Dvd Calendar'!$G$27=SPECIAL_LBL)*(INC_SPECIALS="Y"))=0,"",'Dvd Calendar'!$G$25)))</f>
        <v/>
      </c>
      <c r="F13" s="106">
        <f>IF(EH13="","",IF(ISNUMBER('Dvd Calendar'!$H$25)=FALSE,"",IF((('Dvd Calendar'!$H$27=TYPE1)*(TYPE1&lt;&gt;"")+('Dvd Calendar'!$H$27=TYPE2)*(TYPE2&lt;&gt;"")+('Dvd Calendar'!$H$27=TYPE3)*(TYPE3&lt;&gt;"")+('Dvd Calendar'!$H$27=TYPE4)*(TYPE4&lt;&gt;"")+('Dvd Calendar'!$H$27=SPECIAL_LBL)*(INC_SPECIALS="Y"))=0,"",'Dvd Calendar'!$H$25)))</f>
        <v/>
      </c>
      <c r="G13" s="106">
        <f>IF(EI13="","",IF(ISNUMBER('Dvd Calendar'!$I$25)=FALSE,"",IF((('Dvd Calendar'!$I$27=TYPE1)*(TYPE1&lt;&gt;"")+('Dvd Calendar'!$I$27=TYPE2)*(TYPE2&lt;&gt;"")+('Dvd Calendar'!$I$27=TYPE3)*(TYPE3&lt;&gt;"")+('Dvd Calendar'!$I$27=TYPE4)*(TYPE4&lt;&gt;"")+('Dvd Calendar'!$I$27=SPECIAL_LBL)*(INC_SPECIALS="Y"))=0,"",'Dvd Calendar'!$I$25)))</f>
        <v/>
      </c>
      <c r="H13" s="106">
        <f>IF(EJ13="","",IF(ISNUMBER('Dvd Calendar'!$J$25)=FALSE,"",IF((('Dvd Calendar'!$J$27=TYPE1)*(TYPE1&lt;&gt;"")+('Dvd Calendar'!$J$27=TYPE2)*(TYPE2&lt;&gt;"")+('Dvd Calendar'!$J$27=TYPE3)*(TYPE3&lt;&gt;"")+('Dvd Calendar'!$J$27=TYPE4)*(TYPE4&lt;&gt;"")+('Dvd Calendar'!$J$27=SPECIAL_LBL)*(INC_SPECIALS="Y"))=0,"",'Dvd Calendar'!$J$25)))</f>
        <v/>
      </c>
      <c r="I13" s="106">
        <f>IF(EK13="","",IF(ISNUMBER('Dvd Calendar'!$K$25)=FALSE,"",IF((('Dvd Calendar'!$K$27=TYPE1)*(TYPE1&lt;&gt;"")+('Dvd Calendar'!$K$27=TYPE2)*(TYPE2&lt;&gt;"")+('Dvd Calendar'!$K$27=TYPE3)*(TYPE3&lt;&gt;"")+('Dvd Calendar'!$K$27=TYPE4)*(TYPE4&lt;&gt;"")+('Dvd Calendar'!$K$27=SPECIAL_LBL)*(INC_SPECIALS="Y"))=0,"",'Dvd Calendar'!$K$25)))</f>
        <v/>
      </c>
      <c r="J13" s="106">
        <f>IF(EL13="","",IF(ISNUMBER('Dvd Calendar'!$L$25)=FALSE,"",IF((('Dvd Calendar'!$L$27=TYPE1)*(TYPE1&lt;&gt;"")+('Dvd Calendar'!$L$27=TYPE2)*(TYPE2&lt;&gt;"")+('Dvd Calendar'!$L$27=TYPE3)*(TYPE3&lt;&gt;"")+('Dvd Calendar'!$L$27=TYPE4)*(TYPE4&lt;&gt;"")+('Dvd Calendar'!$L$27=SPECIAL_LBL)*(INC_SPECIALS="Y"))=0,"",'Dvd Calendar'!$L$25)))</f>
        <v/>
      </c>
      <c r="K13" s="106">
        <f>IF(EM13="","",IF(ISNUMBER('Dvd Calendar'!$M$25)=FALSE,"",IF((('Dvd Calendar'!$M$27=TYPE1)*(TYPE1&lt;&gt;"")+('Dvd Calendar'!$M$27=TYPE2)*(TYPE2&lt;&gt;"")+('Dvd Calendar'!$M$27=TYPE3)*(TYPE3&lt;&gt;"")+('Dvd Calendar'!$M$27=TYPE4)*(TYPE4&lt;&gt;"")+('Dvd Calendar'!$M$27=SPECIAL_LBL)*(INC_SPECIALS="Y"))=0,"",'Dvd Calendar'!$M$25)))</f>
        <v/>
      </c>
      <c r="L13" s="106">
        <f>IF(EN13="","",IF(ISNUMBER('Dvd Calendar'!$N$25)=FALSE,"",IF((('Dvd Calendar'!$N$27=TYPE1)*(TYPE1&lt;&gt;"")+('Dvd Calendar'!$N$27=TYPE2)*(TYPE2&lt;&gt;"")+('Dvd Calendar'!$N$27=TYPE3)*(TYPE3&lt;&gt;"")+('Dvd Calendar'!$N$27=TYPE4)*(TYPE4&lt;&gt;"")+('Dvd Calendar'!$N$27=SPECIAL_LBL)*(INC_SPECIALS="Y"))=0,"",'Dvd Calendar'!$N$25)))</f>
        <v/>
      </c>
      <c r="M13" s="106">
        <f>IF(EO13="","",IF(ISNUMBER('Dvd Calendar'!$O$25)=FALSE,"",IF((('Dvd Calendar'!$O$27=TYPE1)*(TYPE1&lt;&gt;"")+('Dvd Calendar'!$O$27=TYPE2)*(TYPE2&lt;&gt;"")+('Dvd Calendar'!$O$27=TYPE3)*(TYPE3&lt;&gt;"")+('Dvd Calendar'!$O$27=TYPE4)*(TYPE4&lt;&gt;"")+('Dvd Calendar'!$O$27=SPECIAL_LBL)*(INC_SPECIALS="Y"))=0,"",'Dvd Calendar'!$O$25)))</f>
        <v/>
      </c>
      <c r="N13" s="106">
        <f>IF(EP13="","",IF(ISNUMBER('Dvd Calendar'!$P$25)=FALSE,"",IF((('Dvd Calendar'!$P$27=TYPE1)*(TYPE1&lt;&gt;"")+('Dvd Calendar'!$P$27=TYPE2)*(TYPE2&lt;&gt;"")+('Dvd Calendar'!$P$27=TYPE3)*(TYPE3&lt;&gt;"")+('Dvd Calendar'!$P$27=TYPE4)*(TYPE4&lt;&gt;"")+('Dvd Calendar'!$P$27=SPECIAL_LBL)*(INC_SPECIALS="Y"))=0,"",'Dvd Calendar'!$P$25)))</f>
        <v/>
      </c>
      <c r="O13" s="106">
        <f>IF(EQ13="","",IF(ISNUMBER('Dvd Calendar'!$Q$25)=FALSE,"",IF((('Dvd Calendar'!$Q$27=TYPE1)*(TYPE1&lt;&gt;"")+('Dvd Calendar'!$Q$27=TYPE2)*(TYPE2&lt;&gt;"")+('Dvd Calendar'!$Q$27=TYPE3)*(TYPE3&lt;&gt;"")+('Dvd Calendar'!$Q$27=TYPE4)*(TYPE4&lt;&gt;"")+('Dvd Calendar'!$Q$27=SPECIAL_LBL)*(INC_SPECIALS="Y"))=0,"",'Dvd Calendar'!$Q$25)))</f>
        <v/>
      </c>
      <c r="P13" s="106">
        <f>IF(ER13="","",IF(ISNUMBER('Dvd Calendar'!$R$25)=FALSE,"",IF((('Dvd Calendar'!$R$27=TYPE1)*(TYPE1&lt;&gt;"")+('Dvd Calendar'!$R$27=TYPE2)*(TYPE2&lt;&gt;"")+('Dvd Calendar'!$R$27=TYPE3)*(TYPE3&lt;&gt;"")+('Dvd Calendar'!$R$27=TYPE4)*(TYPE4&lt;&gt;"")+('Dvd Calendar'!$R$27=SPECIAL_LBL)*(INC_SPECIALS="Y"))=0,"",'Dvd Calendar'!$R$25)))</f>
        <v/>
      </c>
      <c r="Q13" s="106">
        <f>IF(ES13="","",IF(ISNUMBER('Dvd Calendar'!$S$25)=FALSE,"",IF((('Dvd Calendar'!$S$27=TYPE1)*(TYPE1&lt;&gt;"")+('Dvd Calendar'!$S$27=TYPE2)*(TYPE2&lt;&gt;"")+('Dvd Calendar'!$S$27=TYPE3)*(TYPE3&lt;&gt;"")+('Dvd Calendar'!$S$27=TYPE4)*(TYPE4&lt;&gt;"")+('Dvd Calendar'!$S$27=SPECIAL_LBL)*(INC_SPECIALS="Y"))=0,"",'Dvd Calendar'!$S$25)))</f>
        <v/>
      </c>
      <c r="R13" s="106">
        <f>IF(ET13="","",IF(ISNUMBER('Dvd Calendar'!$T$25)=FALSE,"",IF((('Dvd Calendar'!$T$27=TYPE1)*(TYPE1&lt;&gt;"")+('Dvd Calendar'!$T$27=TYPE2)*(TYPE2&lt;&gt;"")+('Dvd Calendar'!$T$27=TYPE3)*(TYPE3&lt;&gt;"")+('Dvd Calendar'!$T$27=TYPE4)*(TYPE4&lt;&gt;"")+('Dvd Calendar'!$T$27=SPECIAL_LBL)*(INC_SPECIALS="Y"))=0,"",'Dvd Calendar'!$T$25)))</f>
        <v/>
      </c>
      <c r="S13" s="106">
        <f>IF(EU13="","",IF(ISNUMBER('Dvd Calendar'!$U$25)=FALSE,"",IF((('Dvd Calendar'!$U$27=TYPE1)*(TYPE1&lt;&gt;"")+('Dvd Calendar'!$U$27=TYPE2)*(TYPE2&lt;&gt;"")+('Dvd Calendar'!$U$27=TYPE3)*(TYPE3&lt;&gt;"")+('Dvd Calendar'!$U$27=TYPE4)*(TYPE4&lt;&gt;"")+('Dvd Calendar'!$U$27=SPECIAL_LBL)*(INC_SPECIALS="Y"))=0,"",'Dvd Calendar'!$U$25)))</f>
        <v/>
      </c>
      <c r="T13" s="106">
        <f>IF(EV13="","",IF(ISNUMBER('Dvd Calendar'!$V$25)=FALSE,"",IF((('Dvd Calendar'!$V$27=TYPE1)*(TYPE1&lt;&gt;"")+('Dvd Calendar'!$V$27=TYPE2)*(TYPE2&lt;&gt;"")+('Dvd Calendar'!$V$27=TYPE3)*(TYPE3&lt;&gt;"")+('Dvd Calendar'!$V$27=TYPE4)*(TYPE4&lt;&gt;"")+('Dvd Calendar'!$V$27=SPECIAL_LBL)*(INC_SPECIALS="Y"))=0,"",'Dvd Calendar'!$V$25)))</f>
        <v/>
      </c>
      <c r="U13" s="106">
        <f>IF(EW13="","",IF(ISNUMBER('Dvd Calendar'!$W$25)=FALSE,"",IF((('Dvd Calendar'!$W$27=TYPE1)*(TYPE1&lt;&gt;"")+('Dvd Calendar'!$W$27=TYPE2)*(TYPE2&lt;&gt;"")+('Dvd Calendar'!$W$27=TYPE3)*(TYPE3&lt;&gt;"")+('Dvd Calendar'!$W$27=TYPE4)*(TYPE4&lt;&gt;"")+('Dvd Calendar'!$W$27=SPECIAL_LBL)*(INC_SPECIALS="Y"))=0,"",'Dvd Calendar'!$W$25)))</f>
        <v/>
      </c>
      <c r="V13" s="106">
        <f>IF(EX13="","",IF(ISNUMBER('Dvd Calendar'!$X$25)=FALSE,"",IF((('Dvd Calendar'!$X$27=TYPE1)*(TYPE1&lt;&gt;"")+('Dvd Calendar'!$X$27=TYPE2)*(TYPE2&lt;&gt;"")+('Dvd Calendar'!$X$27=TYPE3)*(TYPE3&lt;&gt;"")+('Dvd Calendar'!$X$27=TYPE4)*(TYPE4&lt;&gt;"")+('Dvd Calendar'!$X$27=SPECIAL_LBL)*(INC_SPECIALS="Y"))=0,"",'Dvd Calendar'!$X$25)))</f>
        <v/>
      </c>
      <c r="W13" s="106">
        <f>IF(EY13="","",IF(ISNUMBER('Dvd Calendar'!$Y$25)=FALSE,"",IF((('Dvd Calendar'!$Y$27=TYPE1)*(TYPE1&lt;&gt;"")+('Dvd Calendar'!$Y$27=TYPE2)*(TYPE2&lt;&gt;"")+('Dvd Calendar'!$Y$27=TYPE3)*(TYPE3&lt;&gt;"")+('Dvd Calendar'!$Y$27=TYPE4)*(TYPE4&lt;&gt;"")+('Dvd Calendar'!$Y$27=SPECIAL_LBL)*(INC_SPECIALS="Y"))=0,"",'Dvd Calendar'!$Y$25)))</f>
        <v/>
      </c>
      <c r="X13" s="106">
        <f>IF(EZ13="","",IF(ISNUMBER('Dvd Calendar'!$Z$25)=FALSE,"",IF((('Dvd Calendar'!$Z$27=TYPE1)*(TYPE1&lt;&gt;"")+('Dvd Calendar'!$Z$27=TYPE2)*(TYPE2&lt;&gt;"")+('Dvd Calendar'!$Z$27=TYPE3)*(TYPE3&lt;&gt;"")+('Dvd Calendar'!$Z$27=TYPE4)*(TYPE4&lt;&gt;"")+('Dvd Calendar'!$Z$27=SPECIAL_LBL)*(INC_SPECIALS="Y"))=0,"",'Dvd Calendar'!$Z$25)))</f>
        <v/>
      </c>
      <c r="Y13" s="106">
        <f>IF(FA13="","",IF(ISNUMBER('Dvd Calendar'!$AA$25)=FALSE,"",IF((('Dvd Calendar'!$AA$27=TYPE1)*(TYPE1&lt;&gt;"")+('Dvd Calendar'!$AA$27=TYPE2)*(TYPE2&lt;&gt;"")+('Dvd Calendar'!$AA$27=TYPE3)*(TYPE3&lt;&gt;"")+('Dvd Calendar'!$AA$27=TYPE4)*(TYPE4&lt;&gt;"")+('Dvd Calendar'!$AA$27=SPECIAL_LBL)*(INC_SPECIALS="Y"))=0,"",'Dvd Calendar'!$AA$25)))</f>
        <v/>
      </c>
      <c r="Z13" s="106">
        <f>IF(FB13="","",IF(ISNUMBER('Dvd Calendar'!$AB$25)=FALSE,"",IF((('Dvd Calendar'!$AB$27=TYPE1)*(TYPE1&lt;&gt;"")+('Dvd Calendar'!$AB$27=TYPE2)*(TYPE2&lt;&gt;"")+('Dvd Calendar'!$AB$27=TYPE3)*(TYPE3&lt;&gt;"")+('Dvd Calendar'!$AB$27=TYPE4)*(TYPE4&lt;&gt;"")+('Dvd Calendar'!$AB$27=SPECIAL_LBL)*(INC_SPECIALS="Y"))=0,"",'Dvd Calendar'!$AB$25)))</f>
        <v/>
      </c>
      <c r="AA13" s="106">
        <f>IF(FC13="","",IF(ISNUMBER('Dvd Calendar'!$AC$25)=FALSE,"",IF((('Dvd Calendar'!$AC$27=TYPE1)*(TYPE1&lt;&gt;"")+('Dvd Calendar'!$AC$27=TYPE2)*(TYPE2&lt;&gt;"")+('Dvd Calendar'!$AC$27=TYPE3)*(TYPE3&lt;&gt;"")+('Dvd Calendar'!$AC$27=TYPE4)*(TYPE4&lt;&gt;"")+('Dvd Calendar'!$AC$27=SPECIAL_LBL)*(INC_SPECIALS="Y"))=0,"",'Dvd Calendar'!$AC$25)))</f>
        <v/>
      </c>
      <c r="AB13" s="106">
        <f>IF(FD13="","",IF(ISNUMBER('Dvd Calendar'!$AD$25)=FALSE,"",IF((('Dvd Calendar'!$AD$27=TYPE1)*(TYPE1&lt;&gt;"")+('Dvd Calendar'!$AD$27=TYPE2)*(TYPE2&lt;&gt;"")+('Dvd Calendar'!$AD$27=TYPE3)*(TYPE3&lt;&gt;"")+('Dvd Calendar'!$AD$27=TYPE4)*(TYPE4&lt;&gt;"")+('Dvd Calendar'!$AD$27=SPECIAL_LBL)*(INC_SPECIALS="Y"))=0,"",'Dvd Calendar'!$AD$25)))</f>
        <v/>
      </c>
      <c r="AC13" s="106">
        <f>IF(FE13="","",IF(ISNUMBER('Dvd Calendar'!$AE$25)=FALSE,"",IF((('Dvd Calendar'!$AE$27=TYPE1)*(TYPE1&lt;&gt;"")+('Dvd Calendar'!$AE$27=TYPE2)*(TYPE2&lt;&gt;"")+('Dvd Calendar'!$AE$27=TYPE3)*(TYPE3&lt;&gt;"")+('Dvd Calendar'!$AE$27=TYPE4)*(TYPE4&lt;&gt;"")+('Dvd Calendar'!$AE$27=SPECIAL_LBL)*(INC_SPECIALS="Y"))=0,"",'Dvd Calendar'!$AE$25)))</f>
        <v/>
      </c>
      <c r="AD13" s="106">
        <f>IF(FF13="","",IF(ISNUMBER('Dvd Calendar'!$AF$25)=FALSE,"",IF((('Dvd Calendar'!$AF$27=TYPE1)*(TYPE1&lt;&gt;"")+('Dvd Calendar'!$AF$27=TYPE2)*(TYPE2&lt;&gt;"")+('Dvd Calendar'!$AF$27=TYPE3)*(TYPE3&lt;&gt;"")+('Dvd Calendar'!$AF$27=TYPE4)*(TYPE4&lt;&gt;"")+('Dvd Calendar'!$AF$27=SPECIAL_LBL)*(INC_SPECIALS="Y"))=0,"",'Dvd Calendar'!$AF$25)))</f>
        <v/>
      </c>
      <c r="AE13" s="106">
        <f>IF(FG13="","",IF(ISNUMBER('Dvd Calendar'!$AG$25)=FALSE,"",IF((('Dvd Calendar'!$AG$27=TYPE1)*(TYPE1&lt;&gt;"")+('Dvd Calendar'!$AG$27=TYPE2)*(TYPE2&lt;&gt;"")+('Dvd Calendar'!$AG$27=TYPE3)*(TYPE3&lt;&gt;"")+('Dvd Calendar'!$AG$27=TYPE4)*(TYPE4&lt;&gt;"")+('Dvd Calendar'!$AG$27=SPECIAL_LBL)*(INC_SPECIALS="Y"))=0,"",'Dvd Calendar'!$AG$25)))</f>
        <v/>
      </c>
      <c r="AF13" s="106">
        <f>IF(FH13="","",IF(ISNUMBER('Dvd Calendar'!$AH$25)=FALSE,"",IF((('Dvd Calendar'!$AH$27=TYPE1)*(TYPE1&lt;&gt;"")+('Dvd Calendar'!$AH$27=TYPE2)*(TYPE2&lt;&gt;"")+('Dvd Calendar'!$AH$27=TYPE3)*(TYPE3&lt;&gt;"")+('Dvd Calendar'!$AH$27=TYPE4)*(TYPE4&lt;&gt;"")+('Dvd Calendar'!$AH$27=SPECIAL_LBL)*(INC_SPECIALS="Y"))=0,"",'Dvd Calendar'!$AH$25)))</f>
        <v/>
      </c>
      <c r="AG13" s="106">
        <f>IF(FI13="","",IF(ISNUMBER('Dvd Calendar'!$AI$25)=FALSE,"",IF((('Dvd Calendar'!$AI$27=TYPE1)*(TYPE1&lt;&gt;"")+('Dvd Calendar'!$AI$27=TYPE2)*(TYPE2&lt;&gt;"")+('Dvd Calendar'!$AI$27=TYPE3)*(TYPE3&lt;&gt;"")+('Dvd Calendar'!$AI$27=TYPE4)*(TYPE4&lt;&gt;"")+('Dvd Calendar'!$AI$27=SPECIAL_LBL)*(INC_SPECIALS="Y"))=0,"",'Dvd Calendar'!$AI$25)))</f>
        <v/>
      </c>
      <c r="AH13" s="106">
        <f>IF(FJ13="","",IF(ISNUMBER('Dvd Calendar'!$AJ$25)=FALSE,"",IF((('Dvd Calendar'!$AJ$27=TYPE1)*(TYPE1&lt;&gt;"")+('Dvd Calendar'!$AJ$27=TYPE2)*(TYPE2&lt;&gt;"")+('Dvd Calendar'!$AJ$27=TYPE3)*(TYPE3&lt;&gt;"")+('Dvd Calendar'!$AJ$27=TYPE4)*(TYPE4&lt;&gt;"")+('Dvd Calendar'!$AJ$27=SPECIAL_LBL)*(INC_SPECIALS="Y"))=0,"",'Dvd Calendar'!$AJ$25)))</f>
        <v/>
      </c>
      <c r="AI13" s="106">
        <f>IF(FK13="","",IF(ISNUMBER('Dvd Calendar'!$AK$25)=FALSE,"",IF((('Dvd Calendar'!$AK$27=TYPE1)*(TYPE1&lt;&gt;"")+('Dvd Calendar'!$AK$27=TYPE2)*(TYPE2&lt;&gt;"")+('Dvd Calendar'!$AK$27=TYPE3)*(TYPE3&lt;&gt;"")+('Dvd Calendar'!$AK$27=TYPE4)*(TYPE4&lt;&gt;"")+('Dvd Calendar'!$AK$27=SPECIAL_LBL)*(INC_SPECIALS="Y"))=0,"",'Dvd Calendar'!$AK$25)))</f>
        <v/>
      </c>
      <c r="AJ13" s="106">
        <f>IF(FL13="","",IF(ISNUMBER('Dvd Calendar'!$AL$25)=FALSE,"",IF((('Dvd Calendar'!$AL$27=TYPE1)*(TYPE1&lt;&gt;"")+('Dvd Calendar'!$AL$27=TYPE2)*(TYPE2&lt;&gt;"")+('Dvd Calendar'!$AL$27=TYPE3)*(TYPE3&lt;&gt;"")+('Dvd Calendar'!$AL$27=TYPE4)*(TYPE4&lt;&gt;"")+('Dvd Calendar'!$AL$27=SPECIAL_LBL)*(INC_SPECIALS="Y"))=0,"",'Dvd Calendar'!$AL$25)))</f>
        <v/>
      </c>
      <c r="AK13" s="106">
        <f>IF(FM13="","",IF(ISNUMBER('Dvd Calendar'!$AM$25)=FALSE,"",IF((('Dvd Calendar'!$AM$27=TYPE1)*(TYPE1&lt;&gt;"")+('Dvd Calendar'!$AM$27=TYPE2)*(TYPE2&lt;&gt;"")+('Dvd Calendar'!$AM$27=TYPE3)*(TYPE3&lt;&gt;"")+('Dvd Calendar'!$AM$27=TYPE4)*(TYPE4&lt;&gt;"")+('Dvd Calendar'!$AM$27=SPECIAL_LBL)*(INC_SPECIALS="Y"))=0,"",'Dvd Calendar'!$AM$25)))</f>
        <v/>
      </c>
      <c r="AL13" s="106">
        <f>IF(FN13="","",IF(ISNUMBER('Dvd Calendar'!$AN$25)=FALSE,"",IF((('Dvd Calendar'!$AN$27=TYPE1)*(TYPE1&lt;&gt;"")+('Dvd Calendar'!$AN$27=TYPE2)*(TYPE2&lt;&gt;"")+('Dvd Calendar'!$AN$27=TYPE3)*(TYPE3&lt;&gt;"")+('Dvd Calendar'!$AN$27=TYPE4)*(TYPE4&lt;&gt;"")+('Dvd Calendar'!$AN$27=SPECIAL_LBL)*(INC_SPECIALS="Y"))=0,"",'Dvd Calendar'!$AN$25)))</f>
        <v/>
      </c>
      <c r="AM13" s="106">
        <f>IF(FO13="","",IF(ISNUMBER('Dvd Calendar'!$AO$25)=FALSE,"",IF((('Dvd Calendar'!$AO$27=TYPE1)*(TYPE1&lt;&gt;"")+('Dvd Calendar'!$AO$27=TYPE2)*(TYPE2&lt;&gt;"")+('Dvd Calendar'!$AO$27=TYPE3)*(TYPE3&lt;&gt;"")+('Dvd Calendar'!$AO$27=TYPE4)*(TYPE4&lt;&gt;"")+('Dvd Calendar'!$AO$27=SPECIAL_LBL)*(INC_SPECIALS="Y"))=0,"",'Dvd Calendar'!$AO$25)))</f>
        <v/>
      </c>
      <c r="AN13" s="106">
        <f>IF(FP13="","",IF(ISNUMBER('Dvd Calendar'!$AP$25)=FALSE,"",IF((('Dvd Calendar'!$AP$27=TYPE1)*(TYPE1&lt;&gt;"")+('Dvd Calendar'!$AP$27=TYPE2)*(TYPE2&lt;&gt;"")+('Dvd Calendar'!$AP$27=TYPE3)*(TYPE3&lt;&gt;"")+('Dvd Calendar'!$AP$27=TYPE4)*(TYPE4&lt;&gt;"")+('Dvd Calendar'!$AP$27=SPECIAL_LBL)*(INC_SPECIALS="Y"))=0,"",'Dvd Calendar'!$AP$25)))</f>
        <v/>
      </c>
      <c r="AO13" s="106">
        <f>IF(FQ13="","",IF(ISNUMBER('Dvd Calendar'!$AQ$25)=FALSE,"",IF((('Dvd Calendar'!$AQ$27=TYPE1)*(TYPE1&lt;&gt;"")+('Dvd Calendar'!$AQ$27=TYPE2)*(TYPE2&lt;&gt;"")+('Dvd Calendar'!$AQ$27=TYPE3)*(TYPE3&lt;&gt;"")+('Dvd Calendar'!$AQ$27=TYPE4)*(TYPE4&lt;&gt;"")+('Dvd Calendar'!$AQ$27=SPECIAL_LBL)*(INC_SPECIALS="Y"))=0,"",'Dvd Calendar'!$AQ$25)))</f>
        <v/>
      </c>
      <c r="AP13" s="106">
        <f>IF(FR13="","",IF(ISNUMBER('Dvd Calendar'!$AR$25)=FALSE,"",IF((('Dvd Calendar'!$AR$27=TYPE1)*(TYPE1&lt;&gt;"")+('Dvd Calendar'!$AR$27=TYPE2)*(TYPE2&lt;&gt;"")+('Dvd Calendar'!$AR$27=TYPE3)*(TYPE3&lt;&gt;"")+('Dvd Calendar'!$AR$27=TYPE4)*(TYPE4&lt;&gt;"")+('Dvd Calendar'!$AR$27=SPECIAL_LBL)*(INC_SPECIALS="Y"))=0,"",'Dvd Calendar'!$AR$25)))</f>
        <v/>
      </c>
      <c r="AQ13" s="106">
        <f>IF(FS13="","",IF(ISNUMBER('Dvd Calendar'!$E$30)=FALSE,"",'Dvd Calendar'!$E$30))</f>
        <v/>
      </c>
      <c r="AR13" s="106">
        <f>IF(FT13="","",IF(ISNUMBER('Dvd Calendar'!$F$30)=FALSE,"",'Dvd Calendar'!$F$30))</f>
        <v/>
      </c>
      <c r="AS13" s="106">
        <f>IF(FU13="","",IF(ISNUMBER('Dvd Calendar'!$G$30)=FALSE,"",'Dvd Calendar'!$G$30))</f>
        <v/>
      </c>
      <c r="AT13" s="106">
        <f>IF(FV13="","",IF(ISNUMBER('Dvd Calendar'!$H$30)=FALSE,"",'Dvd Calendar'!$H$30))</f>
        <v/>
      </c>
      <c r="AU13" s="106">
        <f>IF(FW13="","",IF(ISNUMBER('Dvd Calendar'!$I$30)=FALSE,"",'Dvd Calendar'!$I$30))</f>
        <v/>
      </c>
      <c r="AV13" s="106">
        <f>IF(FX13="","",IF(ISNUMBER('Dvd Calendar'!$J$30)=FALSE,"",'Dvd Calendar'!$J$30))</f>
        <v/>
      </c>
      <c r="AW13" s="106">
        <f>IF(FY13="","",IF(ISNUMBER('Dvd Calendar'!$K$30)=FALSE,"",'Dvd Calendar'!$K$30))</f>
        <v/>
      </c>
      <c r="AX13" s="106">
        <f>IF(FZ13="","",IF(ISNUMBER('Dvd Calendar'!$L$30)=FALSE,"",'Dvd Calendar'!$L$30))</f>
        <v/>
      </c>
      <c r="AY13" s="106">
        <f>IF(GA13="","",IF(ISNUMBER('Dvd Calendar'!$M$30)=FALSE,"",'Dvd Calendar'!$M$30))</f>
        <v/>
      </c>
      <c r="AZ13" s="106">
        <f>IF(GB13="","",IF(ISNUMBER('Dvd Calendar'!$N$30)=FALSE,"",'Dvd Calendar'!$N$30))</f>
        <v/>
      </c>
      <c r="BA13" s="106">
        <f>IF(GC13="","",IF(ISNUMBER('Dvd Calendar'!$O$30)=FALSE,"",'Dvd Calendar'!$O$30))</f>
        <v/>
      </c>
      <c r="BB13" s="106">
        <f>IF(GD13="","",IF(ISNUMBER('Dvd Calendar'!$P$30)=FALSE,"",'Dvd Calendar'!$P$30))</f>
        <v/>
      </c>
      <c r="BC13" s="106">
        <f>IF(GE13="","",IF(ISNUMBER('Dvd Calendar'!$Q$30)=FALSE,"",'Dvd Calendar'!$Q$30))</f>
        <v/>
      </c>
      <c r="BD13" s="106">
        <f>IF(GF13="","",IF(ISNUMBER('Dvd Calendar'!$R$30)=FALSE,"",'Dvd Calendar'!$R$30))</f>
        <v/>
      </c>
      <c r="BE13" s="106">
        <f>IF(GG13="","",IF(ISNUMBER('Dvd Calendar'!$S$30)=FALSE,"",'Dvd Calendar'!$S$30))</f>
        <v/>
      </c>
      <c r="BF13" s="106">
        <f>IF(GH13="","",IF(ISNUMBER('Dvd Calendar'!$T$30)=FALSE,"",'Dvd Calendar'!$T$30))</f>
        <v/>
      </c>
      <c r="BG13" s="106">
        <f>IF(GI13="","",IF(ISNUMBER('Dvd Calendar'!$U$30)=FALSE,"",'Dvd Calendar'!$U$30))</f>
        <v/>
      </c>
      <c r="BH13" s="106">
        <f>IF(GJ13="","",IF(ISNUMBER('Dvd Calendar'!$V$30)=FALSE,"",'Dvd Calendar'!$V$30))</f>
        <v/>
      </c>
      <c r="BI13" s="106">
        <f>IF(GK13="","",IF(ISNUMBER('Dvd Calendar'!$W$30)=FALSE,"",'Dvd Calendar'!$W$30))</f>
        <v/>
      </c>
      <c r="BJ13" s="106">
        <f>IF(GL13="","",IF(ISNUMBER('Dvd Calendar'!$X$30)=FALSE,"",'Dvd Calendar'!$X$30))</f>
        <v/>
      </c>
      <c r="BK13" s="106">
        <f>IF(GM13="","",IF(ISNUMBER('Dvd Calendar'!$Y$30)=FALSE,"",'Dvd Calendar'!$Y$30))</f>
        <v/>
      </c>
      <c r="BL13" s="106">
        <f>IF(GN13="","",IF(ISNUMBER('Dvd Calendar'!$Z$30)=FALSE,"",'Dvd Calendar'!$Z$30))</f>
        <v/>
      </c>
      <c r="BM13" s="106">
        <f>IF(GO13="","",IF(ISNUMBER('Dvd Calendar'!$AA$30)=FALSE,"",'Dvd Calendar'!$AA$30))</f>
        <v/>
      </c>
      <c r="BN13" s="106">
        <f>IF(GP13="","",IF(ISNUMBER('Dvd Calendar'!$AB$30)=FALSE,"",'Dvd Calendar'!$AB$30))</f>
        <v/>
      </c>
      <c r="BO13" s="106">
        <f>IF(GQ13="","",IF(ISNUMBER('Dvd Calendar'!$AC$30)=FALSE,"",'Dvd Calendar'!$AC$30))</f>
        <v/>
      </c>
      <c r="BQ13" s="106">
        <f>IF(C13="","",IFERROR(C13*HSI!$B$8*HSI!$G$8/HSI!$B$3,""))</f>
        <v/>
      </c>
      <c r="BR13" s="106">
        <f>IF(D13="","",IFERROR(D13*HSI!$B$8*HSI!$G$8/HSI!$B$3,""))</f>
        <v/>
      </c>
      <c r="BS13" s="106">
        <f>IF(E13="","",IFERROR(E13*HSI!$B$8*HSI!$G$8/HSI!$B$3,""))</f>
        <v/>
      </c>
      <c r="BT13" s="106">
        <f>IF(F13="","",IFERROR(F13*HSI!$B$8*HSI!$G$8/HSI!$B$3,""))</f>
        <v/>
      </c>
      <c r="BU13" s="106">
        <f>IF(G13="","",IFERROR(G13*HSI!$B$8*HSI!$G$8/HSI!$B$3,""))</f>
        <v/>
      </c>
      <c r="BV13" s="106">
        <f>IF(H13="","",IFERROR(H13*HSI!$B$8*HSI!$G$8/HSI!$B$3,""))</f>
        <v/>
      </c>
      <c r="BW13" s="106">
        <f>IF(I13="","",IFERROR(I13*HSI!$B$8*HSI!$G$8/HSI!$B$3,""))</f>
        <v/>
      </c>
      <c r="BX13" s="106">
        <f>IF(J13="","",IFERROR(J13*HSI!$B$8*HSI!$G$8/HSI!$B$3,""))</f>
        <v/>
      </c>
      <c r="BY13" s="106">
        <f>IF(K13="","",IFERROR(K13*HSI!$B$8*HSI!$G$8/HSI!$B$3,""))</f>
        <v/>
      </c>
      <c r="BZ13" s="106">
        <f>IF(L13="","",IFERROR(L13*HSI!$B$8*HSI!$G$8/HSI!$B$3,""))</f>
        <v/>
      </c>
      <c r="CA13" s="106">
        <f>IF(M13="","",IFERROR(M13*HSI!$B$8*HSI!$G$8/HSI!$B$3,""))</f>
        <v/>
      </c>
      <c r="CB13" s="106">
        <f>IF(N13="","",IFERROR(N13*HSI!$B$8*HSI!$G$8/HSI!$B$3,""))</f>
        <v/>
      </c>
      <c r="CC13" s="106">
        <f>IF(O13="","",IFERROR(O13*HSI!$B$8*HSI!$G$8/HSI!$B$3,""))</f>
        <v/>
      </c>
      <c r="CD13" s="106">
        <f>IF(P13="","",IFERROR(P13*HSI!$B$8*HSI!$G$8/HSI!$B$3,""))</f>
        <v/>
      </c>
      <c r="CE13" s="106">
        <f>IF(Q13="","",IFERROR(Q13*HSI!$B$8*HSI!$G$8/HSI!$B$3,""))</f>
        <v/>
      </c>
      <c r="CF13" s="106">
        <f>IF(R13="","",IFERROR(R13*HSI!$B$8*HSI!$G$8/HSI!$B$3,""))</f>
        <v/>
      </c>
      <c r="CG13" s="106">
        <f>IF(S13="","",IFERROR(S13*HSI!$B$8*HSI!$G$8/HSI!$B$3,""))</f>
        <v/>
      </c>
      <c r="CH13" s="106">
        <f>IF(T13="","",IFERROR(T13*HSI!$B$8*HSI!$G$8/HSI!$B$3,""))</f>
        <v/>
      </c>
      <c r="CI13" s="106">
        <f>IF(U13="","",IFERROR(U13*HSI!$B$8*HSI!$G$8/HSI!$B$3,""))</f>
        <v/>
      </c>
      <c r="CJ13" s="106">
        <f>IF(V13="","",IFERROR(V13*HSI!$B$8*HSI!$G$8/HSI!$B$3,""))</f>
        <v/>
      </c>
      <c r="CK13" s="106">
        <f>IF(W13="","",IFERROR(W13*HSI!$B$8*HSI!$G$8/HSI!$B$3,""))</f>
        <v/>
      </c>
      <c r="CL13" s="106">
        <f>IF(X13="","",IFERROR(X13*HSI!$B$8*HSI!$G$8/HSI!$B$3,""))</f>
        <v/>
      </c>
      <c r="CM13" s="106">
        <f>IF(Y13="","",IFERROR(Y13*HSI!$B$8*HSI!$G$8/HSI!$B$3,""))</f>
        <v/>
      </c>
      <c r="CN13" s="106">
        <f>IF(Z13="","",IFERROR(Z13*HSI!$B$8*HSI!$G$8/HSI!$B$3,""))</f>
        <v/>
      </c>
      <c r="CO13" s="106">
        <f>IF(AA13="","",IFERROR(AA13*HSI!$B$8*HSI!$G$8/HSI!$B$3,""))</f>
        <v/>
      </c>
      <c r="CP13" s="106">
        <f>IF(AB13="","",IFERROR(AB13*HSI!$B$8*HSI!$G$8/HSI!$B$3,""))</f>
        <v/>
      </c>
      <c r="CQ13" s="106">
        <f>IF(AC13="","",IFERROR(AC13*HSI!$B$8*HSI!$G$8/HSI!$B$3,""))</f>
        <v/>
      </c>
      <c r="CR13" s="106">
        <f>IF(AD13="","",IFERROR(AD13*HSI!$B$8*HSI!$G$8/HSI!$B$3,""))</f>
        <v/>
      </c>
      <c r="CS13" s="106">
        <f>IF(AE13="","",IFERROR(AE13*HSI!$B$8*HSI!$G$8/HSI!$B$3,""))</f>
        <v/>
      </c>
      <c r="CT13" s="106">
        <f>IF(AF13="","",IFERROR(AF13*HSI!$B$8*HSI!$G$8/HSI!$B$3,""))</f>
        <v/>
      </c>
      <c r="CU13" s="106">
        <f>IF(AG13="","",IFERROR(AG13*HSI!$B$8*HSI!$G$8/HSI!$B$3,""))</f>
        <v/>
      </c>
      <c r="CV13" s="106">
        <f>IF(AH13="","",IFERROR(AH13*HSI!$B$8*HSI!$G$8/HSI!$B$3,""))</f>
        <v/>
      </c>
      <c r="CW13" s="106">
        <f>IF(AI13="","",IFERROR(AI13*HSI!$B$8*HSI!$G$8/HSI!$B$3,""))</f>
        <v/>
      </c>
      <c r="CX13" s="106">
        <f>IF(AJ13="","",IFERROR(AJ13*HSI!$B$8*HSI!$G$8/HSI!$B$3,""))</f>
        <v/>
      </c>
      <c r="CY13" s="106">
        <f>IF(AK13="","",IFERROR(AK13*HSI!$B$8*HSI!$G$8/HSI!$B$3,""))</f>
        <v/>
      </c>
      <c r="CZ13" s="106">
        <f>IF(AL13="","",IFERROR(AL13*HSI!$B$8*HSI!$G$8/HSI!$B$3,""))</f>
        <v/>
      </c>
      <c r="DA13" s="106">
        <f>IF(AM13="","",IFERROR(AM13*HSI!$B$8*HSI!$G$8/HSI!$B$3,""))</f>
        <v/>
      </c>
      <c r="DB13" s="106">
        <f>IF(AN13="","",IFERROR(AN13*HSI!$B$8*HSI!$G$8/HSI!$B$3,""))</f>
        <v/>
      </c>
      <c r="DC13" s="106">
        <f>IF(AO13="","",IFERROR(AO13*HSI!$B$8*HSI!$G$8/HSI!$B$3,""))</f>
        <v/>
      </c>
      <c r="DD13" s="106">
        <f>IF(AP13="","",IFERROR(AP13*HSI!$B$8*HSI!$G$8/HSI!$B$3,""))</f>
        <v/>
      </c>
      <c r="DE13" s="106">
        <f>IF(AQ13="","",IFERROR(AQ13*HSI!$B$8*HSI!$G$8/HSI!$B$3,""))</f>
        <v/>
      </c>
      <c r="DF13" s="106">
        <f>IF(AR13="","",IFERROR(AR13*HSI!$B$8*HSI!$G$8/HSI!$B$3,""))</f>
        <v/>
      </c>
      <c r="DG13" s="106">
        <f>IF(AS13="","",IFERROR(AS13*HSI!$B$8*HSI!$G$8/HSI!$B$3,""))</f>
        <v/>
      </c>
      <c r="DH13" s="106">
        <f>IF(AT13="","",IFERROR(AT13*HSI!$B$8*HSI!$G$8/HSI!$B$3,""))</f>
        <v/>
      </c>
      <c r="DI13" s="106">
        <f>IF(AU13="","",IFERROR(AU13*HSI!$B$8*HSI!$G$8/HSI!$B$3,""))</f>
        <v/>
      </c>
      <c r="DJ13" s="106">
        <f>IF(AV13="","",IFERROR(AV13*HSI!$B$8*HSI!$G$8/HSI!$B$3,""))</f>
        <v/>
      </c>
      <c r="DK13" s="106">
        <f>IF(AW13="","",IFERROR(AW13*HSI!$B$8*HSI!$G$8/HSI!$B$3,""))</f>
        <v/>
      </c>
      <c r="DL13" s="106">
        <f>IF(AX13="","",IFERROR(AX13*HSI!$B$8*HSI!$G$8/HSI!$B$3,""))</f>
        <v/>
      </c>
      <c r="DM13" s="106">
        <f>IF(AY13="","",IFERROR(AY13*HSI!$B$8*HSI!$G$8/HSI!$B$3,""))</f>
        <v/>
      </c>
      <c r="DN13" s="106">
        <f>IF(AZ13="","",IFERROR(AZ13*HSI!$B$8*HSI!$G$8/HSI!$B$3,""))</f>
        <v/>
      </c>
      <c r="DO13" s="106">
        <f>IF(BA13="","",IFERROR(BA13*HSI!$B$8*HSI!$G$8/HSI!$B$3,""))</f>
        <v/>
      </c>
      <c r="DP13" s="106">
        <f>IF(BB13="","",IFERROR(BB13*HSI!$B$8*HSI!$G$8/HSI!$B$3,""))</f>
        <v/>
      </c>
      <c r="DQ13" s="106">
        <f>IF(BC13="","",IFERROR(BC13*HSI!$B$8*HSI!$G$8/HSI!$B$3,""))</f>
        <v/>
      </c>
      <c r="DR13" s="106">
        <f>IF(BD13="","",IFERROR(BD13*HSI!$B$8*HSI!$G$8/HSI!$B$3,""))</f>
        <v/>
      </c>
      <c r="DS13" s="106">
        <f>IF(BE13="","",IFERROR(BE13*HSI!$B$8*HSI!$G$8/HSI!$B$3,""))</f>
        <v/>
      </c>
      <c r="DT13" s="106">
        <f>IF(BF13="","",IFERROR(BF13*HSI!$B$8*HSI!$G$8/HSI!$B$3,""))</f>
        <v/>
      </c>
      <c r="DU13" s="106">
        <f>IF(BG13="","",IFERROR(BG13*HSI!$B$8*HSI!$G$8/HSI!$B$3,""))</f>
        <v/>
      </c>
      <c r="DV13" s="106">
        <f>IF(BH13="","",IFERROR(BH13*HSI!$B$8*HSI!$G$8/HSI!$B$3,""))</f>
        <v/>
      </c>
      <c r="DW13" s="106">
        <f>IF(BI13="","",IFERROR(BI13*HSI!$B$8*HSI!$G$8/HSI!$B$3,""))</f>
        <v/>
      </c>
      <c r="DX13" s="106">
        <f>IF(BJ13="","",IFERROR(BJ13*HSI!$B$8*HSI!$G$8/HSI!$B$3,""))</f>
        <v/>
      </c>
      <c r="DY13" s="106">
        <f>IF(BK13="","",IFERROR(BK13*HSI!$B$8*HSI!$G$8/HSI!$B$3,""))</f>
        <v/>
      </c>
      <c r="DZ13" s="106">
        <f>IF(BL13="","",IFERROR(BL13*HSI!$B$8*HSI!$G$8/HSI!$B$3,""))</f>
        <v/>
      </c>
      <c r="EA13" s="106">
        <f>IF(BM13="","",IFERROR(BM13*HSI!$B$8*HSI!$G$8/HSI!$B$3,""))</f>
        <v/>
      </c>
      <c r="EB13" s="106">
        <f>IF(BN13="","",IFERROR(BN13*HSI!$B$8*HSI!$G$8/HSI!$B$3,""))</f>
        <v/>
      </c>
      <c r="EC13" s="106">
        <f>IF(BO13="","",IFERROR(BO13*HSI!$B$8*HSI!$G$8/HSI!$B$3,""))</f>
        <v/>
      </c>
      <c r="EE13" s="35">
        <f>IF(N('Dvd Calendar'!$E$22)=0,"",IF(('Dvd Calendar'!$E$22&gt;=GRID_FROM)*('Dvd Calendar'!$E$22&lt;=GRID_TO)*('Dvd Calendar'!$E$22&lt;=VAL_DATE)=0,"",'Dvd Calendar'!$E$22*1000000000+ISNUMBER('Dvd Calendar'!$E$25)*100000000+('Dvd Calendar'!$E$27=SPECIAL_LBL)*10000000+0*1000000+2*1000+1))</f>
        <v/>
      </c>
      <c r="EF13" s="35">
        <f>IF(N('Dvd Calendar'!$F$22)=0,"",IF(('Dvd Calendar'!$F$22&gt;=GRID_FROM)*('Dvd Calendar'!$F$22&lt;=GRID_TO)*('Dvd Calendar'!$F$22&lt;=VAL_DATE)=0,"",'Dvd Calendar'!$F$22*1000000000+ISNUMBER('Dvd Calendar'!$F$25)*100000000+('Dvd Calendar'!$F$27=SPECIAL_LBL)*10000000+0*1000000+2*1000+2))</f>
        <v/>
      </c>
      <c r="EG13" s="35">
        <f>IF(N('Dvd Calendar'!$G$22)=0,"",IF(('Dvd Calendar'!$G$22&gt;=GRID_FROM)*('Dvd Calendar'!$G$22&lt;=GRID_TO)*('Dvd Calendar'!$G$22&lt;=VAL_DATE)=0,"",'Dvd Calendar'!$G$22*1000000000+ISNUMBER('Dvd Calendar'!$G$25)*100000000+('Dvd Calendar'!$G$27=SPECIAL_LBL)*10000000+0*1000000+2*1000+3))</f>
        <v/>
      </c>
      <c r="EH13" s="35">
        <f>IF(N('Dvd Calendar'!$H$22)=0,"",IF(('Dvd Calendar'!$H$22&gt;=GRID_FROM)*('Dvd Calendar'!$H$22&lt;=GRID_TO)*('Dvd Calendar'!$H$22&lt;=VAL_DATE)=0,"",'Dvd Calendar'!$H$22*1000000000+ISNUMBER('Dvd Calendar'!$H$25)*100000000+('Dvd Calendar'!$H$27=SPECIAL_LBL)*10000000+0*1000000+2*1000+4))</f>
        <v/>
      </c>
      <c r="EI13" s="35">
        <f>IF(N('Dvd Calendar'!$I$22)=0,"",IF(('Dvd Calendar'!$I$22&gt;=GRID_FROM)*('Dvd Calendar'!$I$22&lt;=GRID_TO)*('Dvd Calendar'!$I$22&lt;=VAL_DATE)=0,"",'Dvd Calendar'!$I$22*1000000000+ISNUMBER('Dvd Calendar'!$I$25)*100000000+('Dvd Calendar'!$I$27=SPECIAL_LBL)*10000000+0*1000000+2*1000+5))</f>
        <v/>
      </c>
      <c r="EJ13" s="35">
        <f>IF(N('Dvd Calendar'!$J$22)=0,"",IF(('Dvd Calendar'!$J$22&gt;=GRID_FROM)*('Dvd Calendar'!$J$22&lt;=GRID_TO)*('Dvd Calendar'!$J$22&lt;=VAL_DATE)=0,"",'Dvd Calendar'!$J$22*1000000000+ISNUMBER('Dvd Calendar'!$J$25)*100000000+('Dvd Calendar'!$J$27=SPECIAL_LBL)*10000000+0*1000000+2*1000+6))</f>
        <v/>
      </c>
      <c r="EK13" s="35">
        <f>IF(N('Dvd Calendar'!$K$22)=0,"",IF(('Dvd Calendar'!$K$22&gt;=GRID_FROM)*('Dvd Calendar'!$K$22&lt;=GRID_TO)*('Dvd Calendar'!$K$22&lt;=VAL_DATE)=0,"",'Dvd Calendar'!$K$22*1000000000+ISNUMBER('Dvd Calendar'!$K$25)*100000000+('Dvd Calendar'!$K$27=SPECIAL_LBL)*10000000+0*1000000+2*1000+7))</f>
        <v/>
      </c>
      <c r="EL13" s="35">
        <f>IF(N('Dvd Calendar'!$L$22)=0,"",IF(('Dvd Calendar'!$L$22&gt;=GRID_FROM)*('Dvd Calendar'!$L$22&lt;=GRID_TO)*('Dvd Calendar'!$L$22&lt;=VAL_DATE)=0,"",'Dvd Calendar'!$L$22*1000000000+ISNUMBER('Dvd Calendar'!$L$25)*100000000+('Dvd Calendar'!$L$27=SPECIAL_LBL)*10000000+0*1000000+2*1000+8))</f>
        <v/>
      </c>
      <c r="EM13" s="35">
        <f>IF(N('Dvd Calendar'!$M$22)=0,"",IF(('Dvd Calendar'!$M$22&gt;=GRID_FROM)*('Dvd Calendar'!$M$22&lt;=GRID_TO)*('Dvd Calendar'!$M$22&lt;=VAL_DATE)=0,"",'Dvd Calendar'!$M$22*1000000000+ISNUMBER('Dvd Calendar'!$M$25)*100000000+('Dvd Calendar'!$M$27=SPECIAL_LBL)*10000000+0*1000000+2*1000+9))</f>
        <v/>
      </c>
      <c r="EN13" s="35">
        <f>IF(N('Dvd Calendar'!$N$22)=0,"",IF(('Dvd Calendar'!$N$22&gt;=GRID_FROM)*('Dvd Calendar'!$N$22&lt;=GRID_TO)*('Dvd Calendar'!$N$22&lt;=VAL_DATE)=0,"",'Dvd Calendar'!$N$22*1000000000+ISNUMBER('Dvd Calendar'!$N$25)*100000000+('Dvd Calendar'!$N$27=SPECIAL_LBL)*10000000+0*1000000+2*1000+10))</f>
        <v/>
      </c>
      <c r="EO13" s="35">
        <f>IF(N('Dvd Calendar'!$O$22)=0,"",IF(('Dvd Calendar'!$O$22&gt;=GRID_FROM)*('Dvd Calendar'!$O$22&lt;=GRID_TO)*('Dvd Calendar'!$O$22&lt;=VAL_DATE)=0,"",'Dvd Calendar'!$O$22*1000000000+ISNUMBER('Dvd Calendar'!$O$25)*100000000+('Dvd Calendar'!$O$27=SPECIAL_LBL)*10000000+0*1000000+2*1000+11))</f>
        <v/>
      </c>
      <c r="EP13" s="35">
        <f>IF(N('Dvd Calendar'!$P$22)=0,"",IF(('Dvd Calendar'!$P$22&gt;=GRID_FROM)*('Dvd Calendar'!$P$22&lt;=GRID_TO)*('Dvd Calendar'!$P$22&lt;=VAL_DATE)=0,"",'Dvd Calendar'!$P$22*1000000000+ISNUMBER('Dvd Calendar'!$P$25)*100000000+('Dvd Calendar'!$P$27=SPECIAL_LBL)*10000000+0*1000000+2*1000+12))</f>
        <v/>
      </c>
      <c r="EQ13" s="35">
        <f>IF(N('Dvd Calendar'!$Q$22)=0,"",IF(('Dvd Calendar'!$Q$22&gt;=GRID_FROM)*('Dvd Calendar'!$Q$22&lt;=GRID_TO)*('Dvd Calendar'!$Q$22&lt;=VAL_DATE)=0,"",'Dvd Calendar'!$Q$22*1000000000+ISNUMBER('Dvd Calendar'!$Q$25)*100000000+('Dvd Calendar'!$Q$27=SPECIAL_LBL)*10000000+0*1000000+2*1000+13))</f>
        <v/>
      </c>
      <c r="ER13" s="35">
        <f>IF(N('Dvd Calendar'!$R$22)=0,"",IF(('Dvd Calendar'!$R$22&gt;=GRID_FROM)*('Dvd Calendar'!$R$22&lt;=GRID_TO)*('Dvd Calendar'!$R$22&lt;=VAL_DATE)=0,"",'Dvd Calendar'!$R$22*1000000000+ISNUMBER('Dvd Calendar'!$R$25)*100000000+('Dvd Calendar'!$R$27=SPECIAL_LBL)*10000000+0*1000000+2*1000+14))</f>
        <v/>
      </c>
      <c r="ES13" s="35">
        <f>IF(N('Dvd Calendar'!$S$22)=0,"",IF(('Dvd Calendar'!$S$22&gt;=GRID_FROM)*('Dvd Calendar'!$S$22&lt;=GRID_TO)*('Dvd Calendar'!$S$22&lt;=VAL_DATE)=0,"",'Dvd Calendar'!$S$22*1000000000+ISNUMBER('Dvd Calendar'!$S$25)*100000000+('Dvd Calendar'!$S$27=SPECIAL_LBL)*10000000+0*1000000+2*1000+15))</f>
        <v/>
      </c>
      <c r="ET13" s="35">
        <f>IF(N('Dvd Calendar'!$T$22)=0,"",IF(('Dvd Calendar'!$T$22&gt;=GRID_FROM)*('Dvd Calendar'!$T$22&lt;=GRID_TO)*('Dvd Calendar'!$T$22&lt;=VAL_DATE)=0,"",'Dvd Calendar'!$T$22*1000000000+ISNUMBER('Dvd Calendar'!$T$25)*100000000+('Dvd Calendar'!$T$27=SPECIAL_LBL)*10000000+0*1000000+2*1000+16))</f>
        <v/>
      </c>
      <c r="EU13" s="35">
        <f>IF(N('Dvd Calendar'!$U$22)=0,"",IF(('Dvd Calendar'!$U$22&gt;=GRID_FROM)*('Dvd Calendar'!$U$22&lt;=GRID_TO)*('Dvd Calendar'!$U$22&lt;=VAL_DATE)=0,"",'Dvd Calendar'!$U$22*1000000000+ISNUMBER('Dvd Calendar'!$U$25)*100000000+('Dvd Calendar'!$U$27=SPECIAL_LBL)*10000000+0*1000000+2*1000+17))</f>
        <v/>
      </c>
      <c r="EV13" s="35">
        <f>IF(N('Dvd Calendar'!$V$22)=0,"",IF(('Dvd Calendar'!$V$22&gt;=GRID_FROM)*('Dvd Calendar'!$V$22&lt;=GRID_TO)*('Dvd Calendar'!$V$22&lt;=VAL_DATE)=0,"",'Dvd Calendar'!$V$22*1000000000+ISNUMBER('Dvd Calendar'!$V$25)*100000000+('Dvd Calendar'!$V$27=SPECIAL_LBL)*10000000+0*1000000+2*1000+18))</f>
        <v/>
      </c>
      <c r="EW13" s="35">
        <f>IF(N('Dvd Calendar'!$W$22)=0,"",IF(('Dvd Calendar'!$W$22&gt;=GRID_FROM)*('Dvd Calendar'!$W$22&lt;=GRID_TO)*('Dvd Calendar'!$W$22&lt;=VAL_DATE)=0,"",'Dvd Calendar'!$W$22*1000000000+ISNUMBER('Dvd Calendar'!$W$25)*100000000+('Dvd Calendar'!$W$27=SPECIAL_LBL)*10000000+0*1000000+2*1000+19))</f>
        <v/>
      </c>
      <c r="EX13" s="35">
        <f>IF(N('Dvd Calendar'!$X$22)=0,"",IF(('Dvd Calendar'!$X$22&gt;=GRID_FROM)*('Dvd Calendar'!$X$22&lt;=GRID_TO)*('Dvd Calendar'!$X$22&lt;=VAL_DATE)=0,"",'Dvd Calendar'!$X$22*1000000000+ISNUMBER('Dvd Calendar'!$X$25)*100000000+('Dvd Calendar'!$X$27=SPECIAL_LBL)*10000000+0*1000000+2*1000+20))</f>
        <v/>
      </c>
      <c r="EY13" s="35">
        <f>IF(N('Dvd Calendar'!$Y$22)=0,"",IF(('Dvd Calendar'!$Y$22&gt;=GRID_FROM)*('Dvd Calendar'!$Y$22&lt;=GRID_TO)*('Dvd Calendar'!$Y$22&lt;=VAL_DATE)=0,"",'Dvd Calendar'!$Y$22*1000000000+ISNUMBER('Dvd Calendar'!$Y$25)*100000000+('Dvd Calendar'!$Y$27=SPECIAL_LBL)*10000000+0*1000000+2*1000+21))</f>
        <v/>
      </c>
      <c r="EZ13" s="35">
        <f>IF(N('Dvd Calendar'!$Z$22)=0,"",IF(('Dvd Calendar'!$Z$22&gt;=GRID_FROM)*('Dvd Calendar'!$Z$22&lt;=GRID_TO)*('Dvd Calendar'!$Z$22&lt;=VAL_DATE)=0,"",'Dvd Calendar'!$Z$22*1000000000+ISNUMBER('Dvd Calendar'!$Z$25)*100000000+('Dvd Calendar'!$Z$27=SPECIAL_LBL)*10000000+0*1000000+2*1000+22))</f>
        <v/>
      </c>
      <c r="FA13" s="35">
        <f>IF(N('Dvd Calendar'!$AA$22)=0,"",IF(('Dvd Calendar'!$AA$22&gt;=GRID_FROM)*('Dvd Calendar'!$AA$22&lt;=GRID_TO)*('Dvd Calendar'!$AA$22&lt;=VAL_DATE)=0,"",'Dvd Calendar'!$AA$22*1000000000+ISNUMBER('Dvd Calendar'!$AA$25)*100000000+('Dvd Calendar'!$AA$27=SPECIAL_LBL)*10000000+0*1000000+2*1000+23))</f>
        <v/>
      </c>
      <c r="FB13" s="35">
        <f>IF(N('Dvd Calendar'!$AB$22)=0,"",IF(('Dvd Calendar'!$AB$22&gt;=GRID_FROM)*('Dvd Calendar'!$AB$22&lt;=GRID_TO)*('Dvd Calendar'!$AB$22&lt;=VAL_DATE)=0,"",'Dvd Calendar'!$AB$22*1000000000+ISNUMBER('Dvd Calendar'!$AB$25)*100000000+('Dvd Calendar'!$AB$27=SPECIAL_LBL)*10000000+0*1000000+2*1000+24))</f>
        <v/>
      </c>
      <c r="FC13" s="35">
        <f>IF(N('Dvd Calendar'!$AC$22)=0,"",IF(('Dvd Calendar'!$AC$22&gt;=GRID_FROM)*('Dvd Calendar'!$AC$22&lt;=GRID_TO)*('Dvd Calendar'!$AC$22&lt;=VAL_DATE)=0,"",'Dvd Calendar'!$AC$22*1000000000+ISNUMBER('Dvd Calendar'!$AC$25)*100000000+('Dvd Calendar'!$AC$27=SPECIAL_LBL)*10000000+0*1000000+2*1000+25))</f>
        <v/>
      </c>
      <c r="FD13" s="35">
        <f>IF(N('Dvd Calendar'!$AD$22)=0,"",IF(('Dvd Calendar'!$AD$22&gt;=GRID_FROM)*('Dvd Calendar'!$AD$22&lt;=GRID_TO)*('Dvd Calendar'!$AD$22&lt;=VAL_DATE)=0,"",'Dvd Calendar'!$AD$22*1000000000+ISNUMBER('Dvd Calendar'!$AD$25)*100000000+('Dvd Calendar'!$AD$27=SPECIAL_LBL)*10000000+0*1000000+2*1000+26))</f>
        <v/>
      </c>
      <c r="FE13" s="35">
        <f>IF(N('Dvd Calendar'!$AE$22)=0,"",IF(('Dvd Calendar'!$AE$22&gt;=GRID_FROM)*('Dvd Calendar'!$AE$22&lt;=GRID_TO)*('Dvd Calendar'!$AE$22&lt;=VAL_DATE)=0,"",'Dvd Calendar'!$AE$22*1000000000+ISNUMBER('Dvd Calendar'!$AE$25)*100000000+('Dvd Calendar'!$AE$27=SPECIAL_LBL)*10000000+0*1000000+2*1000+27))</f>
        <v/>
      </c>
      <c r="FF13" s="35">
        <f>IF(N('Dvd Calendar'!$AF$22)=0,"",IF(('Dvd Calendar'!$AF$22&gt;=GRID_FROM)*('Dvd Calendar'!$AF$22&lt;=GRID_TO)*('Dvd Calendar'!$AF$22&lt;=VAL_DATE)=0,"",'Dvd Calendar'!$AF$22*1000000000+ISNUMBER('Dvd Calendar'!$AF$25)*100000000+('Dvd Calendar'!$AF$27=SPECIAL_LBL)*10000000+0*1000000+2*1000+28))</f>
        <v/>
      </c>
      <c r="FG13" s="35">
        <f>IF(N('Dvd Calendar'!$AG$22)=0,"",IF(('Dvd Calendar'!$AG$22&gt;=GRID_FROM)*('Dvd Calendar'!$AG$22&lt;=GRID_TO)*('Dvd Calendar'!$AG$22&lt;=VAL_DATE)=0,"",'Dvd Calendar'!$AG$22*1000000000+ISNUMBER('Dvd Calendar'!$AG$25)*100000000+('Dvd Calendar'!$AG$27=SPECIAL_LBL)*10000000+0*1000000+2*1000+29))</f>
        <v/>
      </c>
      <c r="FH13" s="35">
        <f>IF(N('Dvd Calendar'!$AH$22)=0,"",IF(('Dvd Calendar'!$AH$22&gt;=GRID_FROM)*('Dvd Calendar'!$AH$22&lt;=GRID_TO)*('Dvd Calendar'!$AH$22&lt;=VAL_DATE)=0,"",'Dvd Calendar'!$AH$22*1000000000+ISNUMBER('Dvd Calendar'!$AH$25)*100000000+('Dvd Calendar'!$AH$27=SPECIAL_LBL)*10000000+0*1000000+2*1000+30))</f>
        <v/>
      </c>
      <c r="FI13" s="35">
        <f>IF(N('Dvd Calendar'!$AI$22)=0,"",IF(('Dvd Calendar'!$AI$22&gt;=GRID_FROM)*('Dvd Calendar'!$AI$22&lt;=GRID_TO)*('Dvd Calendar'!$AI$22&lt;=VAL_DATE)=0,"",'Dvd Calendar'!$AI$22*1000000000+ISNUMBER('Dvd Calendar'!$AI$25)*100000000+('Dvd Calendar'!$AI$27=SPECIAL_LBL)*10000000+0*1000000+2*1000+31))</f>
        <v/>
      </c>
      <c r="FJ13" s="35">
        <f>IF(N('Dvd Calendar'!$AJ$22)=0,"",IF(('Dvd Calendar'!$AJ$22&gt;=GRID_FROM)*('Dvd Calendar'!$AJ$22&lt;=GRID_TO)*('Dvd Calendar'!$AJ$22&lt;=VAL_DATE)=0,"",'Dvd Calendar'!$AJ$22*1000000000+ISNUMBER('Dvd Calendar'!$AJ$25)*100000000+('Dvd Calendar'!$AJ$27=SPECIAL_LBL)*10000000+0*1000000+2*1000+32))</f>
        <v/>
      </c>
      <c r="FK13" s="35">
        <f>IF(N('Dvd Calendar'!$AK$22)=0,"",IF(('Dvd Calendar'!$AK$22&gt;=GRID_FROM)*('Dvd Calendar'!$AK$22&lt;=GRID_TO)*('Dvd Calendar'!$AK$22&lt;=VAL_DATE)=0,"",'Dvd Calendar'!$AK$22*1000000000+ISNUMBER('Dvd Calendar'!$AK$25)*100000000+('Dvd Calendar'!$AK$27=SPECIAL_LBL)*10000000+0*1000000+2*1000+33))</f>
        <v/>
      </c>
      <c r="FL13" s="35">
        <f>IF(N('Dvd Calendar'!$AL$22)=0,"",IF(('Dvd Calendar'!$AL$22&gt;=GRID_FROM)*('Dvd Calendar'!$AL$22&lt;=GRID_TO)*('Dvd Calendar'!$AL$22&lt;=VAL_DATE)=0,"",'Dvd Calendar'!$AL$22*1000000000+ISNUMBER('Dvd Calendar'!$AL$25)*100000000+('Dvd Calendar'!$AL$27=SPECIAL_LBL)*10000000+0*1000000+2*1000+34))</f>
        <v/>
      </c>
      <c r="FM13" s="35">
        <f>IF(N('Dvd Calendar'!$AM$22)=0,"",IF(('Dvd Calendar'!$AM$22&gt;=GRID_FROM)*('Dvd Calendar'!$AM$22&lt;=GRID_TO)*('Dvd Calendar'!$AM$22&lt;=VAL_DATE)=0,"",'Dvd Calendar'!$AM$22*1000000000+ISNUMBER('Dvd Calendar'!$AM$25)*100000000+('Dvd Calendar'!$AM$27=SPECIAL_LBL)*10000000+0*1000000+2*1000+35))</f>
        <v/>
      </c>
      <c r="FN13" s="35">
        <f>IF(N('Dvd Calendar'!$AN$22)=0,"",IF(('Dvd Calendar'!$AN$22&gt;=GRID_FROM)*('Dvd Calendar'!$AN$22&lt;=GRID_TO)*('Dvd Calendar'!$AN$22&lt;=VAL_DATE)=0,"",'Dvd Calendar'!$AN$22*1000000000+ISNUMBER('Dvd Calendar'!$AN$25)*100000000+('Dvd Calendar'!$AN$27=SPECIAL_LBL)*10000000+0*1000000+2*1000+36))</f>
        <v/>
      </c>
      <c r="FO13" s="35">
        <f>IF(N('Dvd Calendar'!$AO$22)=0,"",IF(('Dvd Calendar'!$AO$22&gt;=GRID_FROM)*('Dvd Calendar'!$AO$22&lt;=GRID_TO)*('Dvd Calendar'!$AO$22&lt;=VAL_DATE)=0,"",'Dvd Calendar'!$AO$22*1000000000+ISNUMBER('Dvd Calendar'!$AO$25)*100000000+('Dvd Calendar'!$AO$27=SPECIAL_LBL)*10000000+0*1000000+2*1000+37))</f>
        <v/>
      </c>
      <c r="FP13" s="35">
        <f>IF(N('Dvd Calendar'!$AP$22)=0,"",IF(('Dvd Calendar'!$AP$22&gt;=GRID_FROM)*('Dvd Calendar'!$AP$22&lt;=GRID_TO)*('Dvd Calendar'!$AP$22&lt;=VAL_DATE)=0,"",'Dvd Calendar'!$AP$22*1000000000+ISNUMBER('Dvd Calendar'!$AP$25)*100000000+('Dvd Calendar'!$AP$27=SPECIAL_LBL)*10000000+0*1000000+2*1000+38))</f>
        <v/>
      </c>
      <c r="FQ13" s="35">
        <f>IF(N('Dvd Calendar'!$AQ$22)=0,"",IF(('Dvd Calendar'!$AQ$22&gt;=GRID_FROM)*('Dvd Calendar'!$AQ$22&lt;=GRID_TO)*('Dvd Calendar'!$AQ$22&lt;=VAL_DATE)=0,"",'Dvd Calendar'!$AQ$22*1000000000+ISNUMBER('Dvd Calendar'!$AQ$25)*100000000+('Dvd Calendar'!$AQ$27=SPECIAL_LBL)*10000000+0*1000000+2*1000+39))</f>
        <v/>
      </c>
      <c r="FR13" s="35">
        <f>IF(N('Dvd Calendar'!$AR$22)=0,"",IF(('Dvd Calendar'!$AR$22&gt;=GRID_FROM)*('Dvd Calendar'!$AR$22&lt;=GRID_TO)*('Dvd Calendar'!$AR$22&lt;=VAL_DATE)=0,"",'Dvd Calendar'!$AR$22*1000000000+ISNUMBER('Dvd Calendar'!$AR$25)*100000000+('Dvd Calendar'!$AR$27=SPECIAL_LBL)*10000000+0*1000000+2*1000+40))</f>
        <v/>
      </c>
      <c r="FS13" s="35">
        <f>IF(N('Dvd Calendar'!$E$29)=0,"",IF(('Dvd Calendar'!$E$29&gt;=GRID_FROM)*('Dvd Calendar'!$E$29&lt;=GRID_TO)*('Dvd Calendar'!$E$29&gt;VAL_DATE)=0,"",'Dvd Calendar'!$E$29*1000000000+ISNUMBER('Dvd Calendar'!$E$30)*100000000+0*10000000+(N('Dvd Calendar'!$E$28)&gt;0)*(N('Dvd Calendar'!$E$28)&lt;=VAL_SERIAL)*1000000+2*1000+41))</f>
        <v/>
      </c>
      <c r="FT13" s="35">
        <f>IF(N('Dvd Calendar'!$F$29)=0,"",IF(('Dvd Calendar'!$F$29&gt;=GRID_FROM)*('Dvd Calendar'!$F$29&lt;=GRID_TO)*('Dvd Calendar'!$F$29&gt;VAL_DATE)=0,"",'Dvd Calendar'!$F$29*1000000000+ISNUMBER('Dvd Calendar'!$F$30)*100000000+0*10000000+(N('Dvd Calendar'!$F$28)&gt;0)*(N('Dvd Calendar'!$F$28)&lt;=VAL_SERIAL)*1000000+2*1000+42))</f>
        <v/>
      </c>
      <c r="FU13" s="35">
        <f>IF(N('Dvd Calendar'!$G$29)=0,"",IF(('Dvd Calendar'!$G$29&gt;=GRID_FROM)*('Dvd Calendar'!$G$29&lt;=GRID_TO)*('Dvd Calendar'!$G$29&gt;VAL_DATE)=0,"",'Dvd Calendar'!$G$29*1000000000+ISNUMBER('Dvd Calendar'!$G$30)*100000000+0*10000000+(N('Dvd Calendar'!$G$28)&gt;0)*(N('Dvd Calendar'!$G$28)&lt;=VAL_SERIAL)*1000000+2*1000+43))</f>
        <v/>
      </c>
      <c r="FV13" s="35">
        <f>IF(N('Dvd Calendar'!$H$29)=0,"",IF(('Dvd Calendar'!$H$29&gt;=GRID_FROM)*('Dvd Calendar'!$H$29&lt;=GRID_TO)*('Dvd Calendar'!$H$29&gt;VAL_DATE)=0,"",'Dvd Calendar'!$H$29*1000000000+ISNUMBER('Dvd Calendar'!$H$30)*100000000+0*10000000+(N('Dvd Calendar'!$H$28)&gt;0)*(N('Dvd Calendar'!$H$28)&lt;=VAL_SERIAL)*1000000+2*1000+44))</f>
        <v/>
      </c>
      <c r="FW13" s="35">
        <f>IF(N('Dvd Calendar'!$I$29)=0,"",IF(('Dvd Calendar'!$I$29&gt;=GRID_FROM)*('Dvd Calendar'!$I$29&lt;=GRID_TO)*('Dvd Calendar'!$I$29&gt;VAL_DATE)=0,"",'Dvd Calendar'!$I$29*1000000000+ISNUMBER('Dvd Calendar'!$I$30)*100000000+0*10000000+(N('Dvd Calendar'!$I$28)&gt;0)*(N('Dvd Calendar'!$I$28)&lt;=VAL_SERIAL)*1000000+2*1000+45))</f>
        <v/>
      </c>
      <c r="FX13" s="35">
        <f>IF(N('Dvd Calendar'!$J$29)=0,"",IF(('Dvd Calendar'!$J$29&gt;=GRID_FROM)*('Dvd Calendar'!$J$29&lt;=GRID_TO)*('Dvd Calendar'!$J$29&gt;VAL_DATE)=0,"",'Dvd Calendar'!$J$29*1000000000+ISNUMBER('Dvd Calendar'!$J$30)*100000000+0*10000000+(N('Dvd Calendar'!$J$28)&gt;0)*(N('Dvd Calendar'!$J$28)&lt;=VAL_SERIAL)*1000000+2*1000+46))</f>
        <v/>
      </c>
      <c r="FY13" s="35">
        <f>IF(N('Dvd Calendar'!$K$29)=0,"",IF(('Dvd Calendar'!$K$29&gt;=GRID_FROM)*('Dvd Calendar'!$K$29&lt;=GRID_TO)*('Dvd Calendar'!$K$29&gt;VAL_DATE)=0,"",'Dvd Calendar'!$K$29*1000000000+ISNUMBER('Dvd Calendar'!$K$30)*100000000+0*10000000+(N('Dvd Calendar'!$K$28)&gt;0)*(N('Dvd Calendar'!$K$28)&lt;=VAL_SERIAL)*1000000+2*1000+47))</f>
        <v/>
      </c>
      <c r="FZ13" s="35">
        <f>IF(N('Dvd Calendar'!$L$29)=0,"",IF(('Dvd Calendar'!$L$29&gt;=GRID_FROM)*('Dvd Calendar'!$L$29&lt;=GRID_TO)*('Dvd Calendar'!$L$29&gt;VAL_DATE)=0,"",'Dvd Calendar'!$L$29*1000000000+ISNUMBER('Dvd Calendar'!$L$30)*100000000+0*10000000+(N('Dvd Calendar'!$L$28)&gt;0)*(N('Dvd Calendar'!$L$28)&lt;=VAL_SERIAL)*1000000+2*1000+48))</f>
        <v/>
      </c>
      <c r="GA13" s="35">
        <f>IF(N('Dvd Calendar'!$M$29)=0,"",IF(('Dvd Calendar'!$M$29&gt;=GRID_FROM)*('Dvd Calendar'!$M$29&lt;=GRID_TO)*('Dvd Calendar'!$M$29&gt;VAL_DATE)=0,"",'Dvd Calendar'!$M$29*1000000000+ISNUMBER('Dvd Calendar'!$M$30)*100000000+0*10000000+(N('Dvd Calendar'!$M$28)&gt;0)*(N('Dvd Calendar'!$M$28)&lt;=VAL_SERIAL)*1000000+2*1000+49))</f>
        <v/>
      </c>
      <c r="GB13" s="35">
        <f>IF(N('Dvd Calendar'!$N$29)=0,"",IF(('Dvd Calendar'!$N$29&gt;=GRID_FROM)*('Dvd Calendar'!$N$29&lt;=GRID_TO)*('Dvd Calendar'!$N$29&gt;VAL_DATE)=0,"",'Dvd Calendar'!$N$29*1000000000+ISNUMBER('Dvd Calendar'!$N$30)*100000000+0*10000000+(N('Dvd Calendar'!$N$28)&gt;0)*(N('Dvd Calendar'!$N$28)&lt;=VAL_SERIAL)*1000000+2*1000+50))</f>
        <v/>
      </c>
      <c r="GC13" s="35">
        <f>IF(N('Dvd Calendar'!$O$29)=0,"",IF(('Dvd Calendar'!$O$29&gt;=GRID_FROM)*('Dvd Calendar'!$O$29&lt;=GRID_TO)*('Dvd Calendar'!$O$29&gt;VAL_DATE)=0,"",'Dvd Calendar'!$O$29*1000000000+ISNUMBER('Dvd Calendar'!$O$30)*100000000+0*10000000+(N('Dvd Calendar'!$O$28)&gt;0)*(N('Dvd Calendar'!$O$28)&lt;=VAL_SERIAL)*1000000+2*1000+51))</f>
        <v/>
      </c>
      <c r="GD13" s="35">
        <f>IF(N('Dvd Calendar'!$P$29)=0,"",IF(('Dvd Calendar'!$P$29&gt;=GRID_FROM)*('Dvd Calendar'!$P$29&lt;=GRID_TO)*('Dvd Calendar'!$P$29&gt;VAL_DATE)=0,"",'Dvd Calendar'!$P$29*1000000000+ISNUMBER('Dvd Calendar'!$P$30)*100000000+0*10000000+(N('Dvd Calendar'!$P$28)&gt;0)*(N('Dvd Calendar'!$P$28)&lt;=VAL_SERIAL)*1000000+2*1000+52))</f>
        <v/>
      </c>
      <c r="GE13" s="35">
        <f>IF(N('Dvd Calendar'!$Q$29)=0,"",IF(('Dvd Calendar'!$Q$29&gt;=GRID_FROM)*('Dvd Calendar'!$Q$29&lt;=GRID_TO)*('Dvd Calendar'!$Q$29&gt;VAL_DATE)=0,"",'Dvd Calendar'!$Q$29*1000000000+ISNUMBER('Dvd Calendar'!$Q$30)*100000000+0*10000000+(N('Dvd Calendar'!$Q$28)&gt;0)*(N('Dvd Calendar'!$Q$28)&lt;=VAL_SERIAL)*1000000+2*1000+53))</f>
        <v/>
      </c>
      <c r="GF13" s="35">
        <f>IF(N('Dvd Calendar'!$R$29)=0,"",IF(('Dvd Calendar'!$R$29&gt;=GRID_FROM)*('Dvd Calendar'!$R$29&lt;=GRID_TO)*('Dvd Calendar'!$R$29&gt;VAL_DATE)=0,"",'Dvd Calendar'!$R$29*1000000000+ISNUMBER('Dvd Calendar'!$R$30)*100000000+0*10000000+(N('Dvd Calendar'!$R$28)&gt;0)*(N('Dvd Calendar'!$R$28)&lt;=VAL_SERIAL)*1000000+2*1000+54))</f>
        <v/>
      </c>
      <c r="GG13" s="35">
        <f>IF(N('Dvd Calendar'!$S$29)=0,"",IF(('Dvd Calendar'!$S$29&gt;=GRID_FROM)*('Dvd Calendar'!$S$29&lt;=GRID_TO)*('Dvd Calendar'!$S$29&gt;VAL_DATE)=0,"",'Dvd Calendar'!$S$29*1000000000+ISNUMBER('Dvd Calendar'!$S$30)*100000000+0*10000000+(N('Dvd Calendar'!$S$28)&gt;0)*(N('Dvd Calendar'!$S$28)&lt;=VAL_SERIAL)*1000000+2*1000+55))</f>
        <v/>
      </c>
      <c r="GH13" s="35">
        <f>IF(N('Dvd Calendar'!$T$29)=0,"",IF(('Dvd Calendar'!$T$29&gt;=GRID_FROM)*('Dvd Calendar'!$T$29&lt;=GRID_TO)*('Dvd Calendar'!$T$29&gt;VAL_DATE)=0,"",'Dvd Calendar'!$T$29*1000000000+ISNUMBER('Dvd Calendar'!$T$30)*100000000+0*10000000+(N('Dvd Calendar'!$T$28)&gt;0)*(N('Dvd Calendar'!$T$28)&lt;=VAL_SERIAL)*1000000+2*1000+56))</f>
        <v/>
      </c>
      <c r="GI13" s="35">
        <f>IF(N('Dvd Calendar'!$U$29)=0,"",IF(('Dvd Calendar'!$U$29&gt;=GRID_FROM)*('Dvd Calendar'!$U$29&lt;=GRID_TO)*('Dvd Calendar'!$U$29&gt;VAL_DATE)=0,"",'Dvd Calendar'!$U$29*1000000000+ISNUMBER('Dvd Calendar'!$U$30)*100000000+0*10000000+(N('Dvd Calendar'!$U$28)&gt;0)*(N('Dvd Calendar'!$U$28)&lt;=VAL_SERIAL)*1000000+2*1000+57))</f>
        <v/>
      </c>
      <c r="GJ13" s="35">
        <f>IF(N('Dvd Calendar'!$V$29)=0,"",IF(('Dvd Calendar'!$V$29&gt;=GRID_FROM)*('Dvd Calendar'!$V$29&lt;=GRID_TO)*('Dvd Calendar'!$V$29&gt;VAL_DATE)=0,"",'Dvd Calendar'!$V$29*1000000000+ISNUMBER('Dvd Calendar'!$V$30)*100000000+0*10000000+(N('Dvd Calendar'!$V$28)&gt;0)*(N('Dvd Calendar'!$V$28)&lt;=VAL_SERIAL)*1000000+2*1000+58))</f>
        <v/>
      </c>
      <c r="GK13" s="35">
        <f>IF(N('Dvd Calendar'!$W$29)=0,"",IF(('Dvd Calendar'!$W$29&gt;=GRID_FROM)*('Dvd Calendar'!$W$29&lt;=GRID_TO)*('Dvd Calendar'!$W$29&gt;VAL_DATE)=0,"",'Dvd Calendar'!$W$29*1000000000+ISNUMBER('Dvd Calendar'!$W$30)*100000000+0*10000000+(N('Dvd Calendar'!$W$28)&gt;0)*(N('Dvd Calendar'!$W$28)&lt;=VAL_SERIAL)*1000000+2*1000+59))</f>
        <v/>
      </c>
      <c r="GL13" s="35">
        <f>IF(N('Dvd Calendar'!$X$29)=0,"",IF(('Dvd Calendar'!$X$29&gt;=GRID_FROM)*('Dvd Calendar'!$X$29&lt;=GRID_TO)*('Dvd Calendar'!$X$29&gt;VAL_DATE)=0,"",'Dvd Calendar'!$X$29*1000000000+ISNUMBER('Dvd Calendar'!$X$30)*100000000+0*10000000+(N('Dvd Calendar'!$X$28)&gt;0)*(N('Dvd Calendar'!$X$28)&lt;=VAL_SERIAL)*1000000+2*1000+60))</f>
        <v/>
      </c>
      <c r="GM13" s="35">
        <f>IF(N('Dvd Calendar'!$Y$29)=0,"",IF(('Dvd Calendar'!$Y$29&gt;=GRID_FROM)*('Dvd Calendar'!$Y$29&lt;=GRID_TO)*('Dvd Calendar'!$Y$29&gt;VAL_DATE)=0,"",'Dvd Calendar'!$Y$29*1000000000+ISNUMBER('Dvd Calendar'!$Y$30)*100000000+0*10000000+(N('Dvd Calendar'!$Y$28)&gt;0)*(N('Dvd Calendar'!$Y$28)&lt;=VAL_SERIAL)*1000000+2*1000+61))</f>
        <v/>
      </c>
      <c r="GN13" s="35">
        <f>IF(N('Dvd Calendar'!$Z$29)=0,"",IF(('Dvd Calendar'!$Z$29&gt;=GRID_FROM)*('Dvd Calendar'!$Z$29&lt;=GRID_TO)*('Dvd Calendar'!$Z$29&gt;VAL_DATE)=0,"",'Dvd Calendar'!$Z$29*1000000000+ISNUMBER('Dvd Calendar'!$Z$30)*100000000+0*10000000+(N('Dvd Calendar'!$Z$28)&gt;0)*(N('Dvd Calendar'!$Z$28)&lt;=VAL_SERIAL)*1000000+2*1000+62))</f>
        <v/>
      </c>
      <c r="GO13" s="35">
        <f>IF(N('Dvd Calendar'!$AA$29)=0,"",IF(('Dvd Calendar'!$AA$29&gt;=GRID_FROM)*('Dvd Calendar'!$AA$29&lt;=GRID_TO)*('Dvd Calendar'!$AA$29&gt;VAL_DATE)=0,"",'Dvd Calendar'!$AA$29*1000000000+ISNUMBER('Dvd Calendar'!$AA$30)*100000000+0*10000000+(N('Dvd Calendar'!$AA$28)&gt;0)*(N('Dvd Calendar'!$AA$28)&lt;=VAL_SERIAL)*1000000+2*1000+63))</f>
        <v/>
      </c>
      <c r="GP13" s="35">
        <f>IF(N('Dvd Calendar'!$AB$29)=0,"",IF(('Dvd Calendar'!$AB$29&gt;=GRID_FROM)*('Dvd Calendar'!$AB$29&lt;=GRID_TO)*('Dvd Calendar'!$AB$29&gt;VAL_DATE)=0,"",'Dvd Calendar'!$AB$29*1000000000+ISNUMBER('Dvd Calendar'!$AB$30)*100000000+0*10000000+(N('Dvd Calendar'!$AB$28)&gt;0)*(N('Dvd Calendar'!$AB$28)&lt;=VAL_SERIAL)*1000000+2*1000+64))</f>
        <v/>
      </c>
      <c r="GQ13" s="35">
        <f>IF(N('Dvd Calendar'!$AC$29)=0,"",IF(('Dvd Calendar'!$AC$29&gt;=GRID_FROM)*('Dvd Calendar'!$AC$29&lt;=GRID_TO)*('Dvd Calendar'!$AC$29&gt;VAL_DATE)=0,"",'Dvd Calendar'!$AC$29*1000000000+ISNUMBER('Dvd Calendar'!$AC$30)*100000000+0*10000000+(N('Dvd Calendar'!$AC$28)&gt;0)*(N('Dvd Calendar'!$AC$28)&lt;=VAL_SERIAL)*1000000+2*1000+65))</f>
        <v/>
      </c>
    </row>
    <row r="14">
      <c r="B14" s="2">
        <f>IF(HSI!$C$9="","",HSI!$C$9)</f>
        <v/>
      </c>
      <c r="C14" s="106">
        <f>IF(EE14="","",IF(ISNUMBER('Dvd Calendar'!$E$36)=FALSE,"",IF((('Dvd Calendar'!$E$38=TYPE1)*(TYPE1&lt;&gt;"")+('Dvd Calendar'!$E$38=TYPE2)*(TYPE2&lt;&gt;"")+('Dvd Calendar'!$E$38=TYPE3)*(TYPE3&lt;&gt;"")+('Dvd Calendar'!$E$38=TYPE4)*(TYPE4&lt;&gt;"")+('Dvd Calendar'!$E$38=SPECIAL_LBL)*(INC_SPECIALS="Y"))=0,"",'Dvd Calendar'!$E$36)))</f>
        <v/>
      </c>
      <c r="D14" s="106">
        <f>IF(EF14="","",IF(ISNUMBER('Dvd Calendar'!$F$36)=FALSE,"",IF((('Dvd Calendar'!$F$38=TYPE1)*(TYPE1&lt;&gt;"")+('Dvd Calendar'!$F$38=TYPE2)*(TYPE2&lt;&gt;"")+('Dvd Calendar'!$F$38=TYPE3)*(TYPE3&lt;&gt;"")+('Dvd Calendar'!$F$38=TYPE4)*(TYPE4&lt;&gt;"")+('Dvd Calendar'!$F$38=SPECIAL_LBL)*(INC_SPECIALS="Y"))=0,"",'Dvd Calendar'!$F$36)))</f>
        <v/>
      </c>
      <c r="E14" s="106">
        <f>IF(EG14="","",IF(ISNUMBER('Dvd Calendar'!$G$36)=FALSE,"",IF((('Dvd Calendar'!$G$38=TYPE1)*(TYPE1&lt;&gt;"")+('Dvd Calendar'!$G$38=TYPE2)*(TYPE2&lt;&gt;"")+('Dvd Calendar'!$G$38=TYPE3)*(TYPE3&lt;&gt;"")+('Dvd Calendar'!$G$38=TYPE4)*(TYPE4&lt;&gt;"")+('Dvd Calendar'!$G$38=SPECIAL_LBL)*(INC_SPECIALS="Y"))=0,"",'Dvd Calendar'!$G$36)))</f>
        <v/>
      </c>
      <c r="F14" s="106">
        <f>IF(EH14="","",IF(ISNUMBER('Dvd Calendar'!$H$36)=FALSE,"",IF((('Dvd Calendar'!$H$38=TYPE1)*(TYPE1&lt;&gt;"")+('Dvd Calendar'!$H$38=TYPE2)*(TYPE2&lt;&gt;"")+('Dvd Calendar'!$H$38=TYPE3)*(TYPE3&lt;&gt;"")+('Dvd Calendar'!$H$38=TYPE4)*(TYPE4&lt;&gt;"")+('Dvd Calendar'!$H$38=SPECIAL_LBL)*(INC_SPECIALS="Y"))=0,"",'Dvd Calendar'!$H$36)))</f>
        <v/>
      </c>
      <c r="G14" s="106">
        <f>IF(EI14="","",IF(ISNUMBER('Dvd Calendar'!$I$36)=FALSE,"",IF((('Dvd Calendar'!$I$38=TYPE1)*(TYPE1&lt;&gt;"")+('Dvd Calendar'!$I$38=TYPE2)*(TYPE2&lt;&gt;"")+('Dvd Calendar'!$I$38=TYPE3)*(TYPE3&lt;&gt;"")+('Dvd Calendar'!$I$38=TYPE4)*(TYPE4&lt;&gt;"")+('Dvd Calendar'!$I$38=SPECIAL_LBL)*(INC_SPECIALS="Y"))=0,"",'Dvd Calendar'!$I$36)))</f>
        <v/>
      </c>
      <c r="H14" s="106">
        <f>IF(EJ14="","",IF(ISNUMBER('Dvd Calendar'!$J$36)=FALSE,"",IF((('Dvd Calendar'!$J$38=TYPE1)*(TYPE1&lt;&gt;"")+('Dvd Calendar'!$J$38=TYPE2)*(TYPE2&lt;&gt;"")+('Dvd Calendar'!$J$38=TYPE3)*(TYPE3&lt;&gt;"")+('Dvd Calendar'!$J$38=TYPE4)*(TYPE4&lt;&gt;"")+('Dvd Calendar'!$J$38=SPECIAL_LBL)*(INC_SPECIALS="Y"))=0,"",'Dvd Calendar'!$J$36)))</f>
        <v/>
      </c>
      <c r="I14" s="106">
        <f>IF(EK14="","",IF(ISNUMBER('Dvd Calendar'!$K$36)=FALSE,"",IF((('Dvd Calendar'!$K$38=TYPE1)*(TYPE1&lt;&gt;"")+('Dvd Calendar'!$K$38=TYPE2)*(TYPE2&lt;&gt;"")+('Dvd Calendar'!$K$38=TYPE3)*(TYPE3&lt;&gt;"")+('Dvd Calendar'!$K$38=TYPE4)*(TYPE4&lt;&gt;"")+('Dvd Calendar'!$K$38=SPECIAL_LBL)*(INC_SPECIALS="Y"))=0,"",'Dvd Calendar'!$K$36)))</f>
        <v/>
      </c>
      <c r="J14" s="106">
        <f>IF(EL14="","",IF(ISNUMBER('Dvd Calendar'!$L$36)=FALSE,"",IF((('Dvd Calendar'!$L$38=TYPE1)*(TYPE1&lt;&gt;"")+('Dvd Calendar'!$L$38=TYPE2)*(TYPE2&lt;&gt;"")+('Dvd Calendar'!$L$38=TYPE3)*(TYPE3&lt;&gt;"")+('Dvd Calendar'!$L$38=TYPE4)*(TYPE4&lt;&gt;"")+('Dvd Calendar'!$L$38=SPECIAL_LBL)*(INC_SPECIALS="Y"))=0,"",'Dvd Calendar'!$L$36)))</f>
        <v/>
      </c>
      <c r="K14" s="106">
        <f>IF(EM14="","",IF(ISNUMBER('Dvd Calendar'!$M$36)=FALSE,"",IF((('Dvd Calendar'!$M$38=TYPE1)*(TYPE1&lt;&gt;"")+('Dvd Calendar'!$M$38=TYPE2)*(TYPE2&lt;&gt;"")+('Dvd Calendar'!$M$38=TYPE3)*(TYPE3&lt;&gt;"")+('Dvd Calendar'!$M$38=TYPE4)*(TYPE4&lt;&gt;"")+('Dvd Calendar'!$M$38=SPECIAL_LBL)*(INC_SPECIALS="Y"))=0,"",'Dvd Calendar'!$M$36)))</f>
        <v/>
      </c>
      <c r="L14" s="106">
        <f>IF(EN14="","",IF(ISNUMBER('Dvd Calendar'!$N$36)=FALSE,"",IF((('Dvd Calendar'!$N$38=TYPE1)*(TYPE1&lt;&gt;"")+('Dvd Calendar'!$N$38=TYPE2)*(TYPE2&lt;&gt;"")+('Dvd Calendar'!$N$38=TYPE3)*(TYPE3&lt;&gt;"")+('Dvd Calendar'!$N$38=TYPE4)*(TYPE4&lt;&gt;"")+('Dvd Calendar'!$N$38=SPECIAL_LBL)*(INC_SPECIALS="Y"))=0,"",'Dvd Calendar'!$N$36)))</f>
        <v/>
      </c>
      <c r="M14" s="106">
        <f>IF(EO14="","",IF(ISNUMBER('Dvd Calendar'!$O$36)=FALSE,"",IF((('Dvd Calendar'!$O$38=TYPE1)*(TYPE1&lt;&gt;"")+('Dvd Calendar'!$O$38=TYPE2)*(TYPE2&lt;&gt;"")+('Dvd Calendar'!$O$38=TYPE3)*(TYPE3&lt;&gt;"")+('Dvd Calendar'!$O$38=TYPE4)*(TYPE4&lt;&gt;"")+('Dvd Calendar'!$O$38=SPECIAL_LBL)*(INC_SPECIALS="Y"))=0,"",'Dvd Calendar'!$O$36)))</f>
        <v/>
      </c>
      <c r="N14" s="106">
        <f>IF(EP14="","",IF(ISNUMBER('Dvd Calendar'!$P$36)=FALSE,"",IF((('Dvd Calendar'!$P$38=TYPE1)*(TYPE1&lt;&gt;"")+('Dvd Calendar'!$P$38=TYPE2)*(TYPE2&lt;&gt;"")+('Dvd Calendar'!$P$38=TYPE3)*(TYPE3&lt;&gt;"")+('Dvd Calendar'!$P$38=TYPE4)*(TYPE4&lt;&gt;"")+('Dvd Calendar'!$P$38=SPECIAL_LBL)*(INC_SPECIALS="Y"))=0,"",'Dvd Calendar'!$P$36)))</f>
        <v/>
      </c>
      <c r="O14" s="106">
        <f>IF(EQ14="","",IF(ISNUMBER('Dvd Calendar'!$Q$36)=FALSE,"",IF((('Dvd Calendar'!$Q$38=TYPE1)*(TYPE1&lt;&gt;"")+('Dvd Calendar'!$Q$38=TYPE2)*(TYPE2&lt;&gt;"")+('Dvd Calendar'!$Q$38=TYPE3)*(TYPE3&lt;&gt;"")+('Dvd Calendar'!$Q$38=TYPE4)*(TYPE4&lt;&gt;"")+('Dvd Calendar'!$Q$38=SPECIAL_LBL)*(INC_SPECIALS="Y"))=0,"",'Dvd Calendar'!$Q$36)))</f>
        <v/>
      </c>
      <c r="P14" s="106">
        <f>IF(ER14="","",IF(ISNUMBER('Dvd Calendar'!$R$36)=FALSE,"",IF((('Dvd Calendar'!$R$38=TYPE1)*(TYPE1&lt;&gt;"")+('Dvd Calendar'!$R$38=TYPE2)*(TYPE2&lt;&gt;"")+('Dvd Calendar'!$R$38=TYPE3)*(TYPE3&lt;&gt;"")+('Dvd Calendar'!$R$38=TYPE4)*(TYPE4&lt;&gt;"")+('Dvd Calendar'!$R$38=SPECIAL_LBL)*(INC_SPECIALS="Y"))=0,"",'Dvd Calendar'!$R$36)))</f>
        <v/>
      </c>
      <c r="Q14" s="106">
        <f>IF(ES14="","",IF(ISNUMBER('Dvd Calendar'!$S$36)=FALSE,"",IF((('Dvd Calendar'!$S$38=TYPE1)*(TYPE1&lt;&gt;"")+('Dvd Calendar'!$S$38=TYPE2)*(TYPE2&lt;&gt;"")+('Dvd Calendar'!$S$38=TYPE3)*(TYPE3&lt;&gt;"")+('Dvd Calendar'!$S$38=TYPE4)*(TYPE4&lt;&gt;"")+('Dvd Calendar'!$S$38=SPECIAL_LBL)*(INC_SPECIALS="Y"))=0,"",'Dvd Calendar'!$S$36)))</f>
        <v/>
      </c>
      <c r="R14" s="106">
        <f>IF(ET14="","",IF(ISNUMBER('Dvd Calendar'!$T$36)=FALSE,"",IF((('Dvd Calendar'!$T$38=TYPE1)*(TYPE1&lt;&gt;"")+('Dvd Calendar'!$T$38=TYPE2)*(TYPE2&lt;&gt;"")+('Dvd Calendar'!$T$38=TYPE3)*(TYPE3&lt;&gt;"")+('Dvd Calendar'!$T$38=TYPE4)*(TYPE4&lt;&gt;"")+('Dvd Calendar'!$T$38=SPECIAL_LBL)*(INC_SPECIALS="Y"))=0,"",'Dvd Calendar'!$T$36)))</f>
        <v/>
      </c>
      <c r="S14" s="106">
        <f>IF(EU14="","",IF(ISNUMBER('Dvd Calendar'!$U$36)=FALSE,"",IF((('Dvd Calendar'!$U$38=TYPE1)*(TYPE1&lt;&gt;"")+('Dvd Calendar'!$U$38=TYPE2)*(TYPE2&lt;&gt;"")+('Dvd Calendar'!$U$38=TYPE3)*(TYPE3&lt;&gt;"")+('Dvd Calendar'!$U$38=TYPE4)*(TYPE4&lt;&gt;"")+('Dvd Calendar'!$U$38=SPECIAL_LBL)*(INC_SPECIALS="Y"))=0,"",'Dvd Calendar'!$U$36)))</f>
        <v/>
      </c>
      <c r="T14" s="106">
        <f>IF(EV14="","",IF(ISNUMBER('Dvd Calendar'!$V$36)=FALSE,"",IF((('Dvd Calendar'!$V$38=TYPE1)*(TYPE1&lt;&gt;"")+('Dvd Calendar'!$V$38=TYPE2)*(TYPE2&lt;&gt;"")+('Dvd Calendar'!$V$38=TYPE3)*(TYPE3&lt;&gt;"")+('Dvd Calendar'!$V$38=TYPE4)*(TYPE4&lt;&gt;"")+('Dvd Calendar'!$V$38=SPECIAL_LBL)*(INC_SPECIALS="Y"))=0,"",'Dvd Calendar'!$V$36)))</f>
        <v/>
      </c>
      <c r="U14" s="106">
        <f>IF(EW14="","",IF(ISNUMBER('Dvd Calendar'!$W$36)=FALSE,"",IF((('Dvd Calendar'!$W$38=TYPE1)*(TYPE1&lt;&gt;"")+('Dvd Calendar'!$W$38=TYPE2)*(TYPE2&lt;&gt;"")+('Dvd Calendar'!$W$38=TYPE3)*(TYPE3&lt;&gt;"")+('Dvd Calendar'!$W$38=TYPE4)*(TYPE4&lt;&gt;"")+('Dvd Calendar'!$W$38=SPECIAL_LBL)*(INC_SPECIALS="Y"))=0,"",'Dvd Calendar'!$W$36)))</f>
        <v/>
      </c>
      <c r="V14" s="106">
        <f>IF(EX14="","",IF(ISNUMBER('Dvd Calendar'!$X$36)=FALSE,"",IF((('Dvd Calendar'!$X$38=TYPE1)*(TYPE1&lt;&gt;"")+('Dvd Calendar'!$X$38=TYPE2)*(TYPE2&lt;&gt;"")+('Dvd Calendar'!$X$38=TYPE3)*(TYPE3&lt;&gt;"")+('Dvd Calendar'!$X$38=TYPE4)*(TYPE4&lt;&gt;"")+('Dvd Calendar'!$X$38=SPECIAL_LBL)*(INC_SPECIALS="Y"))=0,"",'Dvd Calendar'!$X$36)))</f>
        <v/>
      </c>
      <c r="W14" s="106">
        <f>IF(EY14="","",IF(ISNUMBER('Dvd Calendar'!$Y$36)=FALSE,"",IF((('Dvd Calendar'!$Y$38=TYPE1)*(TYPE1&lt;&gt;"")+('Dvd Calendar'!$Y$38=TYPE2)*(TYPE2&lt;&gt;"")+('Dvd Calendar'!$Y$38=TYPE3)*(TYPE3&lt;&gt;"")+('Dvd Calendar'!$Y$38=TYPE4)*(TYPE4&lt;&gt;"")+('Dvd Calendar'!$Y$38=SPECIAL_LBL)*(INC_SPECIALS="Y"))=0,"",'Dvd Calendar'!$Y$36)))</f>
        <v/>
      </c>
      <c r="X14" s="106">
        <f>IF(EZ14="","",IF(ISNUMBER('Dvd Calendar'!$Z$36)=FALSE,"",IF((('Dvd Calendar'!$Z$38=TYPE1)*(TYPE1&lt;&gt;"")+('Dvd Calendar'!$Z$38=TYPE2)*(TYPE2&lt;&gt;"")+('Dvd Calendar'!$Z$38=TYPE3)*(TYPE3&lt;&gt;"")+('Dvd Calendar'!$Z$38=TYPE4)*(TYPE4&lt;&gt;"")+('Dvd Calendar'!$Z$38=SPECIAL_LBL)*(INC_SPECIALS="Y"))=0,"",'Dvd Calendar'!$Z$36)))</f>
        <v/>
      </c>
      <c r="Y14" s="106">
        <f>IF(FA14="","",IF(ISNUMBER('Dvd Calendar'!$AA$36)=FALSE,"",IF((('Dvd Calendar'!$AA$38=TYPE1)*(TYPE1&lt;&gt;"")+('Dvd Calendar'!$AA$38=TYPE2)*(TYPE2&lt;&gt;"")+('Dvd Calendar'!$AA$38=TYPE3)*(TYPE3&lt;&gt;"")+('Dvd Calendar'!$AA$38=TYPE4)*(TYPE4&lt;&gt;"")+('Dvd Calendar'!$AA$38=SPECIAL_LBL)*(INC_SPECIALS="Y"))=0,"",'Dvd Calendar'!$AA$36)))</f>
        <v/>
      </c>
      <c r="Z14" s="106">
        <f>IF(FB14="","",IF(ISNUMBER('Dvd Calendar'!$AB$36)=FALSE,"",IF((('Dvd Calendar'!$AB$38=TYPE1)*(TYPE1&lt;&gt;"")+('Dvd Calendar'!$AB$38=TYPE2)*(TYPE2&lt;&gt;"")+('Dvd Calendar'!$AB$38=TYPE3)*(TYPE3&lt;&gt;"")+('Dvd Calendar'!$AB$38=TYPE4)*(TYPE4&lt;&gt;"")+('Dvd Calendar'!$AB$38=SPECIAL_LBL)*(INC_SPECIALS="Y"))=0,"",'Dvd Calendar'!$AB$36)))</f>
        <v/>
      </c>
      <c r="AA14" s="106">
        <f>IF(FC14="","",IF(ISNUMBER('Dvd Calendar'!$AC$36)=FALSE,"",IF((('Dvd Calendar'!$AC$38=TYPE1)*(TYPE1&lt;&gt;"")+('Dvd Calendar'!$AC$38=TYPE2)*(TYPE2&lt;&gt;"")+('Dvd Calendar'!$AC$38=TYPE3)*(TYPE3&lt;&gt;"")+('Dvd Calendar'!$AC$38=TYPE4)*(TYPE4&lt;&gt;"")+('Dvd Calendar'!$AC$38=SPECIAL_LBL)*(INC_SPECIALS="Y"))=0,"",'Dvd Calendar'!$AC$36)))</f>
        <v/>
      </c>
      <c r="AB14" s="106">
        <f>IF(FD14="","",IF(ISNUMBER('Dvd Calendar'!$AD$36)=FALSE,"",IF((('Dvd Calendar'!$AD$38=TYPE1)*(TYPE1&lt;&gt;"")+('Dvd Calendar'!$AD$38=TYPE2)*(TYPE2&lt;&gt;"")+('Dvd Calendar'!$AD$38=TYPE3)*(TYPE3&lt;&gt;"")+('Dvd Calendar'!$AD$38=TYPE4)*(TYPE4&lt;&gt;"")+('Dvd Calendar'!$AD$38=SPECIAL_LBL)*(INC_SPECIALS="Y"))=0,"",'Dvd Calendar'!$AD$36)))</f>
        <v/>
      </c>
      <c r="AC14" s="106">
        <f>IF(FE14="","",IF(ISNUMBER('Dvd Calendar'!$AE$36)=FALSE,"",IF((('Dvd Calendar'!$AE$38=TYPE1)*(TYPE1&lt;&gt;"")+('Dvd Calendar'!$AE$38=TYPE2)*(TYPE2&lt;&gt;"")+('Dvd Calendar'!$AE$38=TYPE3)*(TYPE3&lt;&gt;"")+('Dvd Calendar'!$AE$38=TYPE4)*(TYPE4&lt;&gt;"")+('Dvd Calendar'!$AE$38=SPECIAL_LBL)*(INC_SPECIALS="Y"))=0,"",'Dvd Calendar'!$AE$36)))</f>
        <v/>
      </c>
      <c r="AD14" s="106">
        <f>IF(FF14="","",IF(ISNUMBER('Dvd Calendar'!$AF$36)=FALSE,"",IF((('Dvd Calendar'!$AF$38=TYPE1)*(TYPE1&lt;&gt;"")+('Dvd Calendar'!$AF$38=TYPE2)*(TYPE2&lt;&gt;"")+('Dvd Calendar'!$AF$38=TYPE3)*(TYPE3&lt;&gt;"")+('Dvd Calendar'!$AF$38=TYPE4)*(TYPE4&lt;&gt;"")+('Dvd Calendar'!$AF$38=SPECIAL_LBL)*(INC_SPECIALS="Y"))=0,"",'Dvd Calendar'!$AF$36)))</f>
        <v/>
      </c>
      <c r="AE14" s="106">
        <f>IF(FG14="","",IF(ISNUMBER('Dvd Calendar'!$AG$36)=FALSE,"",IF((('Dvd Calendar'!$AG$38=TYPE1)*(TYPE1&lt;&gt;"")+('Dvd Calendar'!$AG$38=TYPE2)*(TYPE2&lt;&gt;"")+('Dvd Calendar'!$AG$38=TYPE3)*(TYPE3&lt;&gt;"")+('Dvd Calendar'!$AG$38=TYPE4)*(TYPE4&lt;&gt;"")+('Dvd Calendar'!$AG$38=SPECIAL_LBL)*(INC_SPECIALS="Y"))=0,"",'Dvd Calendar'!$AG$36)))</f>
        <v/>
      </c>
      <c r="AF14" s="106">
        <f>IF(FH14="","",IF(ISNUMBER('Dvd Calendar'!$AH$36)=FALSE,"",IF((('Dvd Calendar'!$AH$38=TYPE1)*(TYPE1&lt;&gt;"")+('Dvd Calendar'!$AH$38=TYPE2)*(TYPE2&lt;&gt;"")+('Dvd Calendar'!$AH$38=TYPE3)*(TYPE3&lt;&gt;"")+('Dvd Calendar'!$AH$38=TYPE4)*(TYPE4&lt;&gt;"")+('Dvd Calendar'!$AH$38=SPECIAL_LBL)*(INC_SPECIALS="Y"))=0,"",'Dvd Calendar'!$AH$36)))</f>
        <v/>
      </c>
      <c r="AG14" s="106">
        <f>IF(FI14="","",IF(ISNUMBER('Dvd Calendar'!$AI$36)=FALSE,"",IF((('Dvd Calendar'!$AI$38=TYPE1)*(TYPE1&lt;&gt;"")+('Dvd Calendar'!$AI$38=TYPE2)*(TYPE2&lt;&gt;"")+('Dvd Calendar'!$AI$38=TYPE3)*(TYPE3&lt;&gt;"")+('Dvd Calendar'!$AI$38=TYPE4)*(TYPE4&lt;&gt;"")+('Dvd Calendar'!$AI$38=SPECIAL_LBL)*(INC_SPECIALS="Y"))=0,"",'Dvd Calendar'!$AI$36)))</f>
        <v/>
      </c>
      <c r="AH14" s="106">
        <f>IF(FJ14="","",IF(ISNUMBER('Dvd Calendar'!$AJ$36)=FALSE,"",IF((('Dvd Calendar'!$AJ$38=TYPE1)*(TYPE1&lt;&gt;"")+('Dvd Calendar'!$AJ$38=TYPE2)*(TYPE2&lt;&gt;"")+('Dvd Calendar'!$AJ$38=TYPE3)*(TYPE3&lt;&gt;"")+('Dvd Calendar'!$AJ$38=TYPE4)*(TYPE4&lt;&gt;"")+('Dvd Calendar'!$AJ$38=SPECIAL_LBL)*(INC_SPECIALS="Y"))=0,"",'Dvd Calendar'!$AJ$36)))</f>
        <v/>
      </c>
      <c r="AI14" s="106">
        <f>IF(FK14="","",IF(ISNUMBER('Dvd Calendar'!$AK$36)=FALSE,"",IF((('Dvd Calendar'!$AK$38=TYPE1)*(TYPE1&lt;&gt;"")+('Dvd Calendar'!$AK$38=TYPE2)*(TYPE2&lt;&gt;"")+('Dvd Calendar'!$AK$38=TYPE3)*(TYPE3&lt;&gt;"")+('Dvd Calendar'!$AK$38=TYPE4)*(TYPE4&lt;&gt;"")+('Dvd Calendar'!$AK$38=SPECIAL_LBL)*(INC_SPECIALS="Y"))=0,"",'Dvd Calendar'!$AK$36)))</f>
        <v/>
      </c>
      <c r="AJ14" s="106">
        <f>IF(FL14="","",IF(ISNUMBER('Dvd Calendar'!$AL$36)=FALSE,"",IF((('Dvd Calendar'!$AL$38=TYPE1)*(TYPE1&lt;&gt;"")+('Dvd Calendar'!$AL$38=TYPE2)*(TYPE2&lt;&gt;"")+('Dvd Calendar'!$AL$38=TYPE3)*(TYPE3&lt;&gt;"")+('Dvd Calendar'!$AL$38=TYPE4)*(TYPE4&lt;&gt;"")+('Dvd Calendar'!$AL$38=SPECIAL_LBL)*(INC_SPECIALS="Y"))=0,"",'Dvd Calendar'!$AL$36)))</f>
        <v/>
      </c>
      <c r="AK14" s="106">
        <f>IF(FM14="","",IF(ISNUMBER('Dvd Calendar'!$AM$36)=FALSE,"",IF((('Dvd Calendar'!$AM$38=TYPE1)*(TYPE1&lt;&gt;"")+('Dvd Calendar'!$AM$38=TYPE2)*(TYPE2&lt;&gt;"")+('Dvd Calendar'!$AM$38=TYPE3)*(TYPE3&lt;&gt;"")+('Dvd Calendar'!$AM$38=TYPE4)*(TYPE4&lt;&gt;"")+('Dvd Calendar'!$AM$38=SPECIAL_LBL)*(INC_SPECIALS="Y"))=0,"",'Dvd Calendar'!$AM$36)))</f>
        <v/>
      </c>
      <c r="AL14" s="106">
        <f>IF(FN14="","",IF(ISNUMBER('Dvd Calendar'!$AN$36)=FALSE,"",IF((('Dvd Calendar'!$AN$38=TYPE1)*(TYPE1&lt;&gt;"")+('Dvd Calendar'!$AN$38=TYPE2)*(TYPE2&lt;&gt;"")+('Dvd Calendar'!$AN$38=TYPE3)*(TYPE3&lt;&gt;"")+('Dvd Calendar'!$AN$38=TYPE4)*(TYPE4&lt;&gt;"")+('Dvd Calendar'!$AN$38=SPECIAL_LBL)*(INC_SPECIALS="Y"))=0,"",'Dvd Calendar'!$AN$36)))</f>
        <v/>
      </c>
      <c r="AM14" s="106">
        <f>IF(FO14="","",IF(ISNUMBER('Dvd Calendar'!$AO$36)=FALSE,"",IF((('Dvd Calendar'!$AO$38=TYPE1)*(TYPE1&lt;&gt;"")+('Dvd Calendar'!$AO$38=TYPE2)*(TYPE2&lt;&gt;"")+('Dvd Calendar'!$AO$38=TYPE3)*(TYPE3&lt;&gt;"")+('Dvd Calendar'!$AO$38=TYPE4)*(TYPE4&lt;&gt;"")+('Dvd Calendar'!$AO$38=SPECIAL_LBL)*(INC_SPECIALS="Y"))=0,"",'Dvd Calendar'!$AO$36)))</f>
        <v/>
      </c>
      <c r="AN14" s="106">
        <f>IF(FP14="","",IF(ISNUMBER('Dvd Calendar'!$AP$36)=FALSE,"",IF((('Dvd Calendar'!$AP$38=TYPE1)*(TYPE1&lt;&gt;"")+('Dvd Calendar'!$AP$38=TYPE2)*(TYPE2&lt;&gt;"")+('Dvd Calendar'!$AP$38=TYPE3)*(TYPE3&lt;&gt;"")+('Dvd Calendar'!$AP$38=TYPE4)*(TYPE4&lt;&gt;"")+('Dvd Calendar'!$AP$38=SPECIAL_LBL)*(INC_SPECIALS="Y"))=0,"",'Dvd Calendar'!$AP$36)))</f>
        <v/>
      </c>
      <c r="AO14" s="106">
        <f>IF(FQ14="","",IF(ISNUMBER('Dvd Calendar'!$AQ$36)=FALSE,"",IF((('Dvd Calendar'!$AQ$38=TYPE1)*(TYPE1&lt;&gt;"")+('Dvd Calendar'!$AQ$38=TYPE2)*(TYPE2&lt;&gt;"")+('Dvd Calendar'!$AQ$38=TYPE3)*(TYPE3&lt;&gt;"")+('Dvd Calendar'!$AQ$38=TYPE4)*(TYPE4&lt;&gt;"")+('Dvd Calendar'!$AQ$38=SPECIAL_LBL)*(INC_SPECIALS="Y"))=0,"",'Dvd Calendar'!$AQ$36)))</f>
        <v/>
      </c>
      <c r="AP14" s="106">
        <f>IF(FR14="","",IF(ISNUMBER('Dvd Calendar'!$AR$36)=FALSE,"",IF((('Dvd Calendar'!$AR$38=TYPE1)*(TYPE1&lt;&gt;"")+('Dvd Calendar'!$AR$38=TYPE2)*(TYPE2&lt;&gt;"")+('Dvd Calendar'!$AR$38=TYPE3)*(TYPE3&lt;&gt;"")+('Dvd Calendar'!$AR$38=TYPE4)*(TYPE4&lt;&gt;"")+('Dvd Calendar'!$AR$38=SPECIAL_LBL)*(INC_SPECIALS="Y"))=0,"",'Dvd Calendar'!$AR$36)))</f>
        <v/>
      </c>
      <c r="AQ14" s="106">
        <f>IF(FS14="","",IF(ISNUMBER('Dvd Calendar'!$E$41)=FALSE,"",'Dvd Calendar'!$E$41))</f>
        <v/>
      </c>
      <c r="AR14" s="106">
        <f>IF(FT14="","",IF(ISNUMBER('Dvd Calendar'!$F$41)=FALSE,"",'Dvd Calendar'!$F$41))</f>
        <v/>
      </c>
      <c r="AS14" s="106">
        <f>IF(FU14="","",IF(ISNUMBER('Dvd Calendar'!$G$41)=FALSE,"",'Dvd Calendar'!$G$41))</f>
        <v/>
      </c>
      <c r="AT14" s="106">
        <f>IF(FV14="","",IF(ISNUMBER('Dvd Calendar'!$H$41)=FALSE,"",'Dvd Calendar'!$H$41))</f>
        <v/>
      </c>
      <c r="AU14" s="106">
        <f>IF(FW14="","",IF(ISNUMBER('Dvd Calendar'!$I$41)=FALSE,"",'Dvd Calendar'!$I$41))</f>
        <v/>
      </c>
      <c r="AV14" s="106">
        <f>IF(FX14="","",IF(ISNUMBER('Dvd Calendar'!$J$41)=FALSE,"",'Dvd Calendar'!$J$41))</f>
        <v/>
      </c>
      <c r="AW14" s="106">
        <f>IF(FY14="","",IF(ISNUMBER('Dvd Calendar'!$K$41)=FALSE,"",'Dvd Calendar'!$K$41))</f>
        <v/>
      </c>
      <c r="AX14" s="106">
        <f>IF(FZ14="","",IF(ISNUMBER('Dvd Calendar'!$L$41)=FALSE,"",'Dvd Calendar'!$L$41))</f>
        <v/>
      </c>
      <c r="AY14" s="106">
        <f>IF(GA14="","",IF(ISNUMBER('Dvd Calendar'!$M$41)=FALSE,"",'Dvd Calendar'!$M$41))</f>
        <v/>
      </c>
      <c r="AZ14" s="106">
        <f>IF(GB14="","",IF(ISNUMBER('Dvd Calendar'!$N$41)=FALSE,"",'Dvd Calendar'!$N$41))</f>
        <v/>
      </c>
      <c r="BA14" s="106">
        <f>IF(GC14="","",IF(ISNUMBER('Dvd Calendar'!$O$41)=FALSE,"",'Dvd Calendar'!$O$41))</f>
        <v/>
      </c>
      <c r="BB14" s="106">
        <f>IF(GD14="","",IF(ISNUMBER('Dvd Calendar'!$P$41)=FALSE,"",'Dvd Calendar'!$P$41))</f>
        <v/>
      </c>
      <c r="BC14" s="106">
        <f>IF(GE14="","",IF(ISNUMBER('Dvd Calendar'!$Q$41)=FALSE,"",'Dvd Calendar'!$Q$41))</f>
        <v/>
      </c>
      <c r="BD14" s="106">
        <f>IF(GF14="","",IF(ISNUMBER('Dvd Calendar'!$R$41)=FALSE,"",'Dvd Calendar'!$R$41))</f>
        <v/>
      </c>
      <c r="BE14" s="106">
        <f>IF(GG14="","",IF(ISNUMBER('Dvd Calendar'!$S$41)=FALSE,"",'Dvd Calendar'!$S$41))</f>
        <v/>
      </c>
      <c r="BF14" s="106">
        <f>IF(GH14="","",IF(ISNUMBER('Dvd Calendar'!$T$41)=FALSE,"",'Dvd Calendar'!$T$41))</f>
        <v/>
      </c>
      <c r="BG14" s="106">
        <f>IF(GI14="","",IF(ISNUMBER('Dvd Calendar'!$U$41)=FALSE,"",'Dvd Calendar'!$U$41))</f>
        <v/>
      </c>
      <c r="BH14" s="106">
        <f>IF(GJ14="","",IF(ISNUMBER('Dvd Calendar'!$V$41)=FALSE,"",'Dvd Calendar'!$V$41))</f>
        <v/>
      </c>
      <c r="BI14" s="106">
        <f>IF(GK14="","",IF(ISNUMBER('Dvd Calendar'!$W$41)=FALSE,"",'Dvd Calendar'!$W$41))</f>
        <v/>
      </c>
      <c r="BJ14" s="106">
        <f>IF(GL14="","",IF(ISNUMBER('Dvd Calendar'!$X$41)=FALSE,"",'Dvd Calendar'!$X$41))</f>
        <v/>
      </c>
      <c r="BK14" s="106">
        <f>IF(GM14="","",IF(ISNUMBER('Dvd Calendar'!$Y$41)=FALSE,"",'Dvd Calendar'!$Y$41))</f>
        <v/>
      </c>
      <c r="BL14" s="106">
        <f>IF(GN14="","",IF(ISNUMBER('Dvd Calendar'!$Z$41)=FALSE,"",'Dvd Calendar'!$Z$41))</f>
        <v/>
      </c>
      <c r="BM14" s="106">
        <f>IF(GO14="","",IF(ISNUMBER('Dvd Calendar'!$AA$41)=FALSE,"",'Dvd Calendar'!$AA$41))</f>
        <v/>
      </c>
      <c r="BN14" s="106">
        <f>IF(GP14="","",IF(ISNUMBER('Dvd Calendar'!$AB$41)=FALSE,"",'Dvd Calendar'!$AB$41))</f>
        <v/>
      </c>
      <c r="BO14" s="106">
        <f>IF(GQ14="","",IF(ISNUMBER('Dvd Calendar'!$AC$41)=FALSE,"",'Dvd Calendar'!$AC$41))</f>
        <v/>
      </c>
      <c r="BQ14" s="106">
        <f>IF(C14="","",IFERROR(C14*HSI!$B$9*HSI!$G$9/HSI!$B$3,""))</f>
        <v/>
      </c>
      <c r="BR14" s="106">
        <f>IF(D14="","",IFERROR(D14*HSI!$B$9*HSI!$G$9/HSI!$B$3,""))</f>
        <v/>
      </c>
      <c r="BS14" s="106">
        <f>IF(E14="","",IFERROR(E14*HSI!$B$9*HSI!$G$9/HSI!$B$3,""))</f>
        <v/>
      </c>
      <c r="BT14" s="106">
        <f>IF(F14="","",IFERROR(F14*HSI!$B$9*HSI!$G$9/HSI!$B$3,""))</f>
        <v/>
      </c>
      <c r="BU14" s="106">
        <f>IF(G14="","",IFERROR(G14*HSI!$B$9*HSI!$G$9/HSI!$B$3,""))</f>
        <v/>
      </c>
      <c r="BV14" s="106">
        <f>IF(H14="","",IFERROR(H14*HSI!$B$9*HSI!$G$9/HSI!$B$3,""))</f>
        <v/>
      </c>
      <c r="BW14" s="106">
        <f>IF(I14="","",IFERROR(I14*HSI!$B$9*HSI!$G$9/HSI!$B$3,""))</f>
        <v/>
      </c>
      <c r="BX14" s="106">
        <f>IF(J14="","",IFERROR(J14*HSI!$B$9*HSI!$G$9/HSI!$B$3,""))</f>
        <v/>
      </c>
      <c r="BY14" s="106">
        <f>IF(K14="","",IFERROR(K14*HSI!$B$9*HSI!$G$9/HSI!$B$3,""))</f>
        <v/>
      </c>
      <c r="BZ14" s="106">
        <f>IF(L14="","",IFERROR(L14*HSI!$B$9*HSI!$G$9/HSI!$B$3,""))</f>
        <v/>
      </c>
      <c r="CA14" s="106">
        <f>IF(M14="","",IFERROR(M14*HSI!$B$9*HSI!$G$9/HSI!$B$3,""))</f>
        <v/>
      </c>
      <c r="CB14" s="106">
        <f>IF(N14="","",IFERROR(N14*HSI!$B$9*HSI!$G$9/HSI!$B$3,""))</f>
        <v/>
      </c>
      <c r="CC14" s="106">
        <f>IF(O14="","",IFERROR(O14*HSI!$B$9*HSI!$G$9/HSI!$B$3,""))</f>
        <v/>
      </c>
      <c r="CD14" s="106">
        <f>IF(P14="","",IFERROR(P14*HSI!$B$9*HSI!$G$9/HSI!$B$3,""))</f>
        <v/>
      </c>
      <c r="CE14" s="106">
        <f>IF(Q14="","",IFERROR(Q14*HSI!$B$9*HSI!$G$9/HSI!$B$3,""))</f>
        <v/>
      </c>
      <c r="CF14" s="106">
        <f>IF(R14="","",IFERROR(R14*HSI!$B$9*HSI!$G$9/HSI!$B$3,""))</f>
        <v/>
      </c>
      <c r="CG14" s="106">
        <f>IF(S14="","",IFERROR(S14*HSI!$B$9*HSI!$G$9/HSI!$B$3,""))</f>
        <v/>
      </c>
      <c r="CH14" s="106">
        <f>IF(T14="","",IFERROR(T14*HSI!$B$9*HSI!$G$9/HSI!$B$3,""))</f>
        <v/>
      </c>
      <c r="CI14" s="106">
        <f>IF(U14="","",IFERROR(U14*HSI!$B$9*HSI!$G$9/HSI!$B$3,""))</f>
        <v/>
      </c>
      <c r="CJ14" s="106">
        <f>IF(V14="","",IFERROR(V14*HSI!$B$9*HSI!$G$9/HSI!$B$3,""))</f>
        <v/>
      </c>
      <c r="CK14" s="106">
        <f>IF(W14="","",IFERROR(W14*HSI!$B$9*HSI!$G$9/HSI!$B$3,""))</f>
        <v/>
      </c>
      <c r="CL14" s="106">
        <f>IF(X14="","",IFERROR(X14*HSI!$B$9*HSI!$G$9/HSI!$B$3,""))</f>
        <v/>
      </c>
      <c r="CM14" s="106">
        <f>IF(Y14="","",IFERROR(Y14*HSI!$B$9*HSI!$G$9/HSI!$B$3,""))</f>
        <v/>
      </c>
      <c r="CN14" s="106">
        <f>IF(Z14="","",IFERROR(Z14*HSI!$B$9*HSI!$G$9/HSI!$B$3,""))</f>
        <v/>
      </c>
      <c r="CO14" s="106">
        <f>IF(AA14="","",IFERROR(AA14*HSI!$B$9*HSI!$G$9/HSI!$B$3,""))</f>
        <v/>
      </c>
      <c r="CP14" s="106">
        <f>IF(AB14="","",IFERROR(AB14*HSI!$B$9*HSI!$G$9/HSI!$B$3,""))</f>
        <v/>
      </c>
      <c r="CQ14" s="106">
        <f>IF(AC14="","",IFERROR(AC14*HSI!$B$9*HSI!$G$9/HSI!$B$3,""))</f>
        <v/>
      </c>
      <c r="CR14" s="106">
        <f>IF(AD14="","",IFERROR(AD14*HSI!$B$9*HSI!$G$9/HSI!$B$3,""))</f>
        <v/>
      </c>
      <c r="CS14" s="106">
        <f>IF(AE14="","",IFERROR(AE14*HSI!$B$9*HSI!$G$9/HSI!$B$3,""))</f>
        <v/>
      </c>
      <c r="CT14" s="106">
        <f>IF(AF14="","",IFERROR(AF14*HSI!$B$9*HSI!$G$9/HSI!$B$3,""))</f>
        <v/>
      </c>
      <c r="CU14" s="106">
        <f>IF(AG14="","",IFERROR(AG14*HSI!$B$9*HSI!$G$9/HSI!$B$3,""))</f>
        <v/>
      </c>
      <c r="CV14" s="106">
        <f>IF(AH14="","",IFERROR(AH14*HSI!$B$9*HSI!$G$9/HSI!$B$3,""))</f>
        <v/>
      </c>
      <c r="CW14" s="106">
        <f>IF(AI14="","",IFERROR(AI14*HSI!$B$9*HSI!$G$9/HSI!$B$3,""))</f>
        <v/>
      </c>
      <c r="CX14" s="106">
        <f>IF(AJ14="","",IFERROR(AJ14*HSI!$B$9*HSI!$G$9/HSI!$B$3,""))</f>
        <v/>
      </c>
      <c r="CY14" s="106">
        <f>IF(AK14="","",IFERROR(AK14*HSI!$B$9*HSI!$G$9/HSI!$B$3,""))</f>
        <v/>
      </c>
      <c r="CZ14" s="106">
        <f>IF(AL14="","",IFERROR(AL14*HSI!$B$9*HSI!$G$9/HSI!$B$3,""))</f>
        <v/>
      </c>
      <c r="DA14" s="106">
        <f>IF(AM14="","",IFERROR(AM14*HSI!$B$9*HSI!$G$9/HSI!$B$3,""))</f>
        <v/>
      </c>
      <c r="DB14" s="106">
        <f>IF(AN14="","",IFERROR(AN14*HSI!$B$9*HSI!$G$9/HSI!$B$3,""))</f>
        <v/>
      </c>
      <c r="DC14" s="106">
        <f>IF(AO14="","",IFERROR(AO14*HSI!$B$9*HSI!$G$9/HSI!$B$3,""))</f>
        <v/>
      </c>
      <c r="DD14" s="106">
        <f>IF(AP14="","",IFERROR(AP14*HSI!$B$9*HSI!$G$9/HSI!$B$3,""))</f>
        <v/>
      </c>
      <c r="DE14" s="106">
        <f>IF(AQ14="","",IFERROR(AQ14*HSI!$B$9*HSI!$G$9/HSI!$B$3,""))</f>
        <v/>
      </c>
      <c r="DF14" s="106">
        <f>IF(AR14="","",IFERROR(AR14*HSI!$B$9*HSI!$G$9/HSI!$B$3,""))</f>
        <v/>
      </c>
      <c r="DG14" s="106">
        <f>IF(AS14="","",IFERROR(AS14*HSI!$B$9*HSI!$G$9/HSI!$B$3,""))</f>
        <v/>
      </c>
      <c r="DH14" s="106">
        <f>IF(AT14="","",IFERROR(AT14*HSI!$B$9*HSI!$G$9/HSI!$B$3,""))</f>
        <v/>
      </c>
      <c r="DI14" s="106">
        <f>IF(AU14="","",IFERROR(AU14*HSI!$B$9*HSI!$G$9/HSI!$B$3,""))</f>
        <v/>
      </c>
      <c r="DJ14" s="106">
        <f>IF(AV14="","",IFERROR(AV14*HSI!$B$9*HSI!$G$9/HSI!$B$3,""))</f>
        <v/>
      </c>
      <c r="DK14" s="106">
        <f>IF(AW14="","",IFERROR(AW14*HSI!$B$9*HSI!$G$9/HSI!$B$3,""))</f>
        <v/>
      </c>
      <c r="DL14" s="106">
        <f>IF(AX14="","",IFERROR(AX14*HSI!$B$9*HSI!$G$9/HSI!$B$3,""))</f>
        <v/>
      </c>
      <c r="DM14" s="106">
        <f>IF(AY14="","",IFERROR(AY14*HSI!$B$9*HSI!$G$9/HSI!$B$3,""))</f>
        <v/>
      </c>
      <c r="DN14" s="106">
        <f>IF(AZ14="","",IFERROR(AZ14*HSI!$B$9*HSI!$G$9/HSI!$B$3,""))</f>
        <v/>
      </c>
      <c r="DO14" s="106">
        <f>IF(BA14="","",IFERROR(BA14*HSI!$B$9*HSI!$G$9/HSI!$B$3,""))</f>
        <v/>
      </c>
      <c r="DP14" s="106">
        <f>IF(BB14="","",IFERROR(BB14*HSI!$B$9*HSI!$G$9/HSI!$B$3,""))</f>
        <v/>
      </c>
      <c r="DQ14" s="106">
        <f>IF(BC14="","",IFERROR(BC14*HSI!$B$9*HSI!$G$9/HSI!$B$3,""))</f>
        <v/>
      </c>
      <c r="DR14" s="106">
        <f>IF(BD14="","",IFERROR(BD14*HSI!$B$9*HSI!$G$9/HSI!$B$3,""))</f>
        <v/>
      </c>
      <c r="DS14" s="106">
        <f>IF(BE14="","",IFERROR(BE14*HSI!$B$9*HSI!$G$9/HSI!$B$3,""))</f>
        <v/>
      </c>
      <c r="DT14" s="106">
        <f>IF(BF14="","",IFERROR(BF14*HSI!$B$9*HSI!$G$9/HSI!$B$3,""))</f>
        <v/>
      </c>
      <c r="DU14" s="106">
        <f>IF(BG14="","",IFERROR(BG14*HSI!$B$9*HSI!$G$9/HSI!$B$3,""))</f>
        <v/>
      </c>
      <c r="DV14" s="106">
        <f>IF(BH14="","",IFERROR(BH14*HSI!$B$9*HSI!$G$9/HSI!$B$3,""))</f>
        <v/>
      </c>
      <c r="DW14" s="106">
        <f>IF(BI14="","",IFERROR(BI14*HSI!$B$9*HSI!$G$9/HSI!$B$3,""))</f>
        <v/>
      </c>
      <c r="DX14" s="106">
        <f>IF(BJ14="","",IFERROR(BJ14*HSI!$B$9*HSI!$G$9/HSI!$B$3,""))</f>
        <v/>
      </c>
      <c r="DY14" s="106">
        <f>IF(BK14="","",IFERROR(BK14*HSI!$B$9*HSI!$G$9/HSI!$B$3,""))</f>
        <v/>
      </c>
      <c r="DZ14" s="106">
        <f>IF(BL14="","",IFERROR(BL14*HSI!$B$9*HSI!$G$9/HSI!$B$3,""))</f>
        <v/>
      </c>
      <c r="EA14" s="106">
        <f>IF(BM14="","",IFERROR(BM14*HSI!$B$9*HSI!$G$9/HSI!$B$3,""))</f>
        <v/>
      </c>
      <c r="EB14" s="106">
        <f>IF(BN14="","",IFERROR(BN14*HSI!$B$9*HSI!$G$9/HSI!$B$3,""))</f>
        <v/>
      </c>
      <c r="EC14" s="106">
        <f>IF(BO14="","",IFERROR(BO14*HSI!$B$9*HSI!$G$9/HSI!$B$3,""))</f>
        <v/>
      </c>
      <c r="EE14" s="35">
        <f>IF(N('Dvd Calendar'!$E$33)=0,"",IF(('Dvd Calendar'!$E$33&gt;=GRID_FROM)*('Dvd Calendar'!$E$33&lt;=GRID_TO)*('Dvd Calendar'!$E$33&lt;=VAL_DATE)=0,"",'Dvd Calendar'!$E$33*1000000000+ISNUMBER('Dvd Calendar'!$E$36)*100000000+('Dvd Calendar'!$E$38=SPECIAL_LBL)*10000000+0*1000000+3*1000+1))</f>
        <v/>
      </c>
      <c r="EF14" s="35">
        <f>IF(N('Dvd Calendar'!$F$33)=0,"",IF(('Dvd Calendar'!$F$33&gt;=GRID_FROM)*('Dvd Calendar'!$F$33&lt;=GRID_TO)*('Dvd Calendar'!$F$33&lt;=VAL_DATE)=0,"",'Dvd Calendar'!$F$33*1000000000+ISNUMBER('Dvd Calendar'!$F$36)*100000000+('Dvd Calendar'!$F$38=SPECIAL_LBL)*10000000+0*1000000+3*1000+2))</f>
        <v/>
      </c>
      <c r="EG14" s="35">
        <f>IF(N('Dvd Calendar'!$G$33)=0,"",IF(('Dvd Calendar'!$G$33&gt;=GRID_FROM)*('Dvd Calendar'!$G$33&lt;=GRID_TO)*('Dvd Calendar'!$G$33&lt;=VAL_DATE)=0,"",'Dvd Calendar'!$G$33*1000000000+ISNUMBER('Dvd Calendar'!$G$36)*100000000+('Dvd Calendar'!$G$38=SPECIAL_LBL)*10000000+0*1000000+3*1000+3))</f>
        <v/>
      </c>
      <c r="EH14" s="35">
        <f>IF(N('Dvd Calendar'!$H$33)=0,"",IF(('Dvd Calendar'!$H$33&gt;=GRID_FROM)*('Dvd Calendar'!$H$33&lt;=GRID_TO)*('Dvd Calendar'!$H$33&lt;=VAL_DATE)=0,"",'Dvd Calendar'!$H$33*1000000000+ISNUMBER('Dvd Calendar'!$H$36)*100000000+('Dvd Calendar'!$H$38=SPECIAL_LBL)*10000000+0*1000000+3*1000+4))</f>
        <v/>
      </c>
      <c r="EI14" s="35">
        <f>IF(N('Dvd Calendar'!$I$33)=0,"",IF(('Dvd Calendar'!$I$33&gt;=GRID_FROM)*('Dvd Calendar'!$I$33&lt;=GRID_TO)*('Dvd Calendar'!$I$33&lt;=VAL_DATE)=0,"",'Dvd Calendar'!$I$33*1000000000+ISNUMBER('Dvd Calendar'!$I$36)*100000000+('Dvd Calendar'!$I$38=SPECIAL_LBL)*10000000+0*1000000+3*1000+5))</f>
        <v/>
      </c>
      <c r="EJ14" s="35">
        <f>IF(N('Dvd Calendar'!$J$33)=0,"",IF(('Dvd Calendar'!$J$33&gt;=GRID_FROM)*('Dvd Calendar'!$J$33&lt;=GRID_TO)*('Dvd Calendar'!$J$33&lt;=VAL_DATE)=0,"",'Dvd Calendar'!$J$33*1000000000+ISNUMBER('Dvd Calendar'!$J$36)*100000000+('Dvd Calendar'!$J$38=SPECIAL_LBL)*10000000+0*1000000+3*1000+6))</f>
        <v/>
      </c>
      <c r="EK14" s="35">
        <f>IF(N('Dvd Calendar'!$K$33)=0,"",IF(('Dvd Calendar'!$K$33&gt;=GRID_FROM)*('Dvd Calendar'!$K$33&lt;=GRID_TO)*('Dvd Calendar'!$K$33&lt;=VAL_DATE)=0,"",'Dvd Calendar'!$K$33*1000000000+ISNUMBER('Dvd Calendar'!$K$36)*100000000+('Dvd Calendar'!$K$38=SPECIAL_LBL)*10000000+0*1000000+3*1000+7))</f>
        <v/>
      </c>
      <c r="EL14" s="35">
        <f>IF(N('Dvd Calendar'!$L$33)=0,"",IF(('Dvd Calendar'!$L$33&gt;=GRID_FROM)*('Dvd Calendar'!$L$33&lt;=GRID_TO)*('Dvd Calendar'!$L$33&lt;=VAL_DATE)=0,"",'Dvd Calendar'!$L$33*1000000000+ISNUMBER('Dvd Calendar'!$L$36)*100000000+('Dvd Calendar'!$L$38=SPECIAL_LBL)*10000000+0*1000000+3*1000+8))</f>
        <v/>
      </c>
      <c r="EM14" s="35">
        <f>IF(N('Dvd Calendar'!$M$33)=0,"",IF(('Dvd Calendar'!$M$33&gt;=GRID_FROM)*('Dvd Calendar'!$M$33&lt;=GRID_TO)*('Dvd Calendar'!$M$33&lt;=VAL_DATE)=0,"",'Dvd Calendar'!$M$33*1000000000+ISNUMBER('Dvd Calendar'!$M$36)*100000000+('Dvd Calendar'!$M$38=SPECIAL_LBL)*10000000+0*1000000+3*1000+9))</f>
        <v/>
      </c>
      <c r="EN14" s="35">
        <f>IF(N('Dvd Calendar'!$N$33)=0,"",IF(('Dvd Calendar'!$N$33&gt;=GRID_FROM)*('Dvd Calendar'!$N$33&lt;=GRID_TO)*('Dvd Calendar'!$N$33&lt;=VAL_DATE)=0,"",'Dvd Calendar'!$N$33*1000000000+ISNUMBER('Dvd Calendar'!$N$36)*100000000+('Dvd Calendar'!$N$38=SPECIAL_LBL)*10000000+0*1000000+3*1000+10))</f>
        <v/>
      </c>
      <c r="EO14" s="35">
        <f>IF(N('Dvd Calendar'!$O$33)=0,"",IF(('Dvd Calendar'!$O$33&gt;=GRID_FROM)*('Dvd Calendar'!$O$33&lt;=GRID_TO)*('Dvd Calendar'!$O$33&lt;=VAL_DATE)=0,"",'Dvd Calendar'!$O$33*1000000000+ISNUMBER('Dvd Calendar'!$O$36)*100000000+('Dvd Calendar'!$O$38=SPECIAL_LBL)*10000000+0*1000000+3*1000+11))</f>
        <v/>
      </c>
      <c r="EP14" s="35">
        <f>IF(N('Dvd Calendar'!$P$33)=0,"",IF(('Dvd Calendar'!$P$33&gt;=GRID_FROM)*('Dvd Calendar'!$P$33&lt;=GRID_TO)*('Dvd Calendar'!$P$33&lt;=VAL_DATE)=0,"",'Dvd Calendar'!$P$33*1000000000+ISNUMBER('Dvd Calendar'!$P$36)*100000000+('Dvd Calendar'!$P$38=SPECIAL_LBL)*10000000+0*1000000+3*1000+12))</f>
        <v/>
      </c>
      <c r="EQ14" s="35">
        <f>IF(N('Dvd Calendar'!$Q$33)=0,"",IF(('Dvd Calendar'!$Q$33&gt;=GRID_FROM)*('Dvd Calendar'!$Q$33&lt;=GRID_TO)*('Dvd Calendar'!$Q$33&lt;=VAL_DATE)=0,"",'Dvd Calendar'!$Q$33*1000000000+ISNUMBER('Dvd Calendar'!$Q$36)*100000000+('Dvd Calendar'!$Q$38=SPECIAL_LBL)*10000000+0*1000000+3*1000+13))</f>
        <v/>
      </c>
      <c r="ER14" s="35">
        <f>IF(N('Dvd Calendar'!$R$33)=0,"",IF(('Dvd Calendar'!$R$33&gt;=GRID_FROM)*('Dvd Calendar'!$R$33&lt;=GRID_TO)*('Dvd Calendar'!$R$33&lt;=VAL_DATE)=0,"",'Dvd Calendar'!$R$33*1000000000+ISNUMBER('Dvd Calendar'!$R$36)*100000000+('Dvd Calendar'!$R$38=SPECIAL_LBL)*10000000+0*1000000+3*1000+14))</f>
        <v/>
      </c>
      <c r="ES14" s="35">
        <f>IF(N('Dvd Calendar'!$S$33)=0,"",IF(('Dvd Calendar'!$S$33&gt;=GRID_FROM)*('Dvd Calendar'!$S$33&lt;=GRID_TO)*('Dvd Calendar'!$S$33&lt;=VAL_DATE)=0,"",'Dvd Calendar'!$S$33*1000000000+ISNUMBER('Dvd Calendar'!$S$36)*100000000+('Dvd Calendar'!$S$38=SPECIAL_LBL)*10000000+0*1000000+3*1000+15))</f>
        <v/>
      </c>
      <c r="ET14" s="35">
        <f>IF(N('Dvd Calendar'!$T$33)=0,"",IF(('Dvd Calendar'!$T$33&gt;=GRID_FROM)*('Dvd Calendar'!$T$33&lt;=GRID_TO)*('Dvd Calendar'!$T$33&lt;=VAL_DATE)=0,"",'Dvd Calendar'!$T$33*1000000000+ISNUMBER('Dvd Calendar'!$T$36)*100000000+('Dvd Calendar'!$T$38=SPECIAL_LBL)*10000000+0*1000000+3*1000+16))</f>
        <v/>
      </c>
      <c r="EU14" s="35">
        <f>IF(N('Dvd Calendar'!$U$33)=0,"",IF(('Dvd Calendar'!$U$33&gt;=GRID_FROM)*('Dvd Calendar'!$U$33&lt;=GRID_TO)*('Dvd Calendar'!$U$33&lt;=VAL_DATE)=0,"",'Dvd Calendar'!$U$33*1000000000+ISNUMBER('Dvd Calendar'!$U$36)*100000000+('Dvd Calendar'!$U$38=SPECIAL_LBL)*10000000+0*1000000+3*1000+17))</f>
        <v/>
      </c>
      <c r="EV14" s="35">
        <f>IF(N('Dvd Calendar'!$V$33)=0,"",IF(('Dvd Calendar'!$V$33&gt;=GRID_FROM)*('Dvd Calendar'!$V$33&lt;=GRID_TO)*('Dvd Calendar'!$V$33&lt;=VAL_DATE)=0,"",'Dvd Calendar'!$V$33*1000000000+ISNUMBER('Dvd Calendar'!$V$36)*100000000+('Dvd Calendar'!$V$38=SPECIAL_LBL)*10000000+0*1000000+3*1000+18))</f>
        <v/>
      </c>
      <c r="EW14" s="35">
        <f>IF(N('Dvd Calendar'!$W$33)=0,"",IF(('Dvd Calendar'!$W$33&gt;=GRID_FROM)*('Dvd Calendar'!$W$33&lt;=GRID_TO)*('Dvd Calendar'!$W$33&lt;=VAL_DATE)=0,"",'Dvd Calendar'!$W$33*1000000000+ISNUMBER('Dvd Calendar'!$W$36)*100000000+('Dvd Calendar'!$W$38=SPECIAL_LBL)*10000000+0*1000000+3*1000+19))</f>
        <v/>
      </c>
      <c r="EX14" s="35">
        <f>IF(N('Dvd Calendar'!$X$33)=0,"",IF(('Dvd Calendar'!$X$33&gt;=GRID_FROM)*('Dvd Calendar'!$X$33&lt;=GRID_TO)*('Dvd Calendar'!$X$33&lt;=VAL_DATE)=0,"",'Dvd Calendar'!$X$33*1000000000+ISNUMBER('Dvd Calendar'!$X$36)*100000000+('Dvd Calendar'!$X$38=SPECIAL_LBL)*10000000+0*1000000+3*1000+20))</f>
        <v/>
      </c>
      <c r="EY14" s="35">
        <f>IF(N('Dvd Calendar'!$Y$33)=0,"",IF(('Dvd Calendar'!$Y$33&gt;=GRID_FROM)*('Dvd Calendar'!$Y$33&lt;=GRID_TO)*('Dvd Calendar'!$Y$33&lt;=VAL_DATE)=0,"",'Dvd Calendar'!$Y$33*1000000000+ISNUMBER('Dvd Calendar'!$Y$36)*100000000+('Dvd Calendar'!$Y$38=SPECIAL_LBL)*10000000+0*1000000+3*1000+21))</f>
        <v/>
      </c>
      <c r="EZ14" s="35">
        <f>IF(N('Dvd Calendar'!$Z$33)=0,"",IF(('Dvd Calendar'!$Z$33&gt;=GRID_FROM)*('Dvd Calendar'!$Z$33&lt;=GRID_TO)*('Dvd Calendar'!$Z$33&lt;=VAL_DATE)=0,"",'Dvd Calendar'!$Z$33*1000000000+ISNUMBER('Dvd Calendar'!$Z$36)*100000000+('Dvd Calendar'!$Z$38=SPECIAL_LBL)*10000000+0*1000000+3*1000+22))</f>
        <v/>
      </c>
      <c r="FA14" s="35">
        <f>IF(N('Dvd Calendar'!$AA$33)=0,"",IF(('Dvd Calendar'!$AA$33&gt;=GRID_FROM)*('Dvd Calendar'!$AA$33&lt;=GRID_TO)*('Dvd Calendar'!$AA$33&lt;=VAL_DATE)=0,"",'Dvd Calendar'!$AA$33*1000000000+ISNUMBER('Dvd Calendar'!$AA$36)*100000000+('Dvd Calendar'!$AA$38=SPECIAL_LBL)*10000000+0*1000000+3*1000+23))</f>
        <v/>
      </c>
      <c r="FB14" s="35">
        <f>IF(N('Dvd Calendar'!$AB$33)=0,"",IF(('Dvd Calendar'!$AB$33&gt;=GRID_FROM)*('Dvd Calendar'!$AB$33&lt;=GRID_TO)*('Dvd Calendar'!$AB$33&lt;=VAL_DATE)=0,"",'Dvd Calendar'!$AB$33*1000000000+ISNUMBER('Dvd Calendar'!$AB$36)*100000000+('Dvd Calendar'!$AB$38=SPECIAL_LBL)*10000000+0*1000000+3*1000+24))</f>
        <v/>
      </c>
      <c r="FC14" s="35">
        <f>IF(N('Dvd Calendar'!$AC$33)=0,"",IF(('Dvd Calendar'!$AC$33&gt;=GRID_FROM)*('Dvd Calendar'!$AC$33&lt;=GRID_TO)*('Dvd Calendar'!$AC$33&lt;=VAL_DATE)=0,"",'Dvd Calendar'!$AC$33*1000000000+ISNUMBER('Dvd Calendar'!$AC$36)*100000000+('Dvd Calendar'!$AC$38=SPECIAL_LBL)*10000000+0*1000000+3*1000+25))</f>
        <v/>
      </c>
      <c r="FD14" s="35">
        <f>IF(N('Dvd Calendar'!$AD$33)=0,"",IF(('Dvd Calendar'!$AD$33&gt;=GRID_FROM)*('Dvd Calendar'!$AD$33&lt;=GRID_TO)*('Dvd Calendar'!$AD$33&lt;=VAL_DATE)=0,"",'Dvd Calendar'!$AD$33*1000000000+ISNUMBER('Dvd Calendar'!$AD$36)*100000000+('Dvd Calendar'!$AD$38=SPECIAL_LBL)*10000000+0*1000000+3*1000+26))</f>
        <v/>
      </c>
      <c r="FE14" s="35">
        <f>IF(N('Dvd Calendar'!$AE$33)=0,"",IF(('Dvd Calendar'!$AE$33&gt;=GRID_FROM)*('Dvd Calendar'!$AE$33&lt;=GRID_TO)*('Dvd Calendar'!$AE$33&lt;=VAL_DATE)=0,"",'Dvd Calendar'!$AE$33*1000000000+ISNUMBER('Dvd Calendar'!$AE$36)*100000000+('Dvd Calendar'!$AE$38=SPECIAL_LBL)*10000000+0*1000000+3*1000+27))</f>
        <v/>
      </c>
      <c r="FF14" s="35">
        <f>IF(N('Dvd Calendar'!$AF$33)=0,"",IF(('Dvd Calendar'!$AF$33&gt;=GRID_FROM)*('Dvd Calendar'!$AF$33&lt;=GRID_TO)*('Dvd Calendar'!$AF$33&lt;=VAL_DATE)=0,"",'Dvd Calendar'!$AF$33*1000000000+ISNUMBER('Dvd Calendar'!$AF$36)*100000000+('Dvd Calendar'!$AF$38=SPECIAL_LBL)*10000000+0*1000000+3*1000+28))</f>
        <v/>
      </c>
      <c r="FG14" s="35">
        <f>IF(N('Dvd Calendar'!$AG$33)=0,"",IF(('Dvd Calendar'!$AG$33&gt;=GRID_FROM)*('Dvd Calendar'!$AG$33&lt;=GRID_TO)*('Dvd Calendar'!$AG$33&lt;=VAL_DATE)=0,"",'Dvd Calendar'!$AG$33*1000000000+ISNUMBER('Dvd Calendar'!$AG$36)*100000000+('Dvd Calendar'!$AG$38=SPECIAL_LBL)*10000000+0*1000000+3*1000+29))</f>
        <v/>
      </c>
      <c r="FH14" s="35">
        <f>IF(N('Dvd Calendar'!$AH$33)=0,"",IF(('Dvd Calendar'!$AH$33&gt;=GRID_FROM)*('Dvd Calendar'!$AH$33&lt;=GRID_TO)*('Dvd Calendar'!$AH$33&lt;=VAL_DATE)=0,"",'Dvd Calendar'!$AH$33*1000000000+ISNUMBER('Dvd Calendar'!$AH$36)*100000000+('Dvd Calendar'!$AH$38=SPECIAL_LBL)*10000000+0*1000000+3*1000+30))</f>
        <v/>
      </c>
      <c r="FI14" s="35">
        <f>IF(N('Dvd Calendar'!$AI$33)=0,"",IF(('Dvd Calendar'!$AI$33&gt;=GRID_FROM)*('Dvd Calendar'!$AI$33&lt;=GRID_TO)*('Dvd Calendar'!$AI$33&lt;=VAL_DATE)=0,"",'Dvd Calendar'!$AI$33*1000000000+ISNUMBER('Dvd Calendar'!$AI$36)*100000000+('Dvd Calendar'!$AI$38=SPECIAL_LBL)*10000000+0*1000000+3*1000+31))</f>
        <v/>
      </c>
      <c r="FJ14" s="35">
        <f>IF(N('Dvd Calendar'!$AJ$33)=0,"",IF(('Dvd Calendar'!$AJ$33&gt;=GRID_FROM)*('Dvd Calendar'!$AJ$33&lt;=GRID_TO)*('Dvd Calendar'!$AJ$33&lt;=VAL_DATE)=0,"",'Dvd Calendar'!$AJ$33*1000000000+ISNUMBER('Dvd Calendar'!$AJ$36)*100000000+('Dvd Calendar'!$AJ$38=SPECIAL_LBL)*10000000+0*1000000+3*1000+32))</f>
        <v/>
      </c>
      <c r="FK14" s="35">
        <f>IF(N('Dvd Calendar'!$AK$33)=0,"",IF(('Dvd Calendar'!$AK$33&gt;=GRID_FROM)*('Dvd Calendar'!$AK$33&lt;=GRID_TO)*('Dvd Calendar'!$AK$33&lt;=VAL_DATE)=0,"",'Dvd Calendar'!$AK$33*1000000000+ISNUMBER('Dvd Calendar'!$AK$36)*100000000+('Dvd Calendar'!$AK$38=SPECIAL_LBL)*10000000+0*1000000+3*1000+33))</f>
        <v/>
      </c>
      <c r="FL14" s="35">
        <f>IF(N('Dvd Calendar'!$AL$33)=0,"",IF(('Dvd Calendar'!$AL$33&gt;=GRID_FROM)*('Dvd Calendar'!$AL$33&lt;=GRID_TO)*('Dvd Calendar'!$AL$33&lt;=VAL_DATE)=0,"",'Dvd Calendar'!$AL$33*1000000000+ISNUMBER('Dvd Calendar'!$AL$36)*100000000+('Dvd Calendar'!$AL$38=SPECIAL_LBL)*10000000+0*1000000+3*1000+34))</f>
        <v/>
      </c>
      <c r="FM14" s="35">
        <f>IF(N('Dvd Calendar'!$AM$33)=0,"",IF(('Dvd Calendar'!$AM$33&gt;=GRID_FROM)*('Dvd Calendar'!$AM$33&lt;=GRID_TO)*('Dvd Calendar'!$AM$33&lt;=VAL_DATE)=0,"",'Dvd Calendar'!$AM$33*1000000000+ISNUMBER('Dvd Calendar'!$AM$36)*100000000+('Dvd Calendar'!$AM$38=SPECIAL_LBL)*10000000+0*1000000+3*1000+35))</f>
        <v/>
      </c>
      <c r="FN14" s="35">
        <f>IF(N('Dvd Calendar'!$AN$33)=0,"",IF(('Dvd Calendar'!$AN$33&gt;=GRID_FROM)*('Dvd Calendar'!$AN$33&lt;=GRID_TO)*('Dvd Calendar'!$AN$33&lt;=VAL_DATE)=0,"",'Dvd Calendar'!$AN$33*1000000000+ISNUMBER('Dvd Calendar'!$AN$36)*100000000+('Dvd Calendar'!$AN$38=SPECIAL_LBL)*10000000+0*1000000+3*1000+36))</f>
        <v/>
      </c>
      <c r="FO14" s="35">
        <f>IF(N('Dvd Calendar'!$AO$33)=0,"",IF(('Dvd Calendar'!$AO$33&gt;=GRID_FROM)*('Dvd Calendar'!$AO$33&lt;=GRID_TO)*('Dvd Calendar'!$AO$33&lt;=VAL_DATE)=0,"",'Dvd Calendar'!$AO$33*1000000000+ISNUMBER('Dvd Calendar'!$AO$36)*100000000+('Dvd Calendar'!$AO$38=SPECIAL_LBL)*10000000+0*1000000+3*1000+37))</f>
        <v/>
      </c>
      <c r="FP14" s="35">
        <f>IF(N('Dvd Calendar'!$AP$33)=0,"",IF(('Dvd Calendar'!$AP$33&gt;=GRID_FROM)*('Dvd Calendar'!$AP$33&lt;=GRID_TO)*('Dvd Calendar'!$AP$33&lt;=VAL_DATE)=0,"",'Dvd Calendar'!$AP$33*1000000000+ISNUMBER('Dvd Calendar'!$AP$36)*100000000+('Dvd Calendar'!$AP$38=SPECIAL_LBL)*10000000+0*1000000+3*1000+38))</f>
        <v/>
      </c>
      <c r="FQ14" s="35">
        <f>IF(N('Dvd Calendar'!$AQ$33)=0,"",IF(('Dvd Calendar'!$AQ$33&gt;=GRID_FROM)*('Dvd Calendar'!$AQ$33&lt;=GRID_TO)*('Dvd Calendar'!$AQ$33&lt;=VAL_DATE)=0,"",'Dvd Calendar'!$AQ$33*1000000000+ISNUMBER('Dvd Calendar'!$AQ$36)*100000000+('Dvd Calendar'!$AQ$38=SPECIAL_LBL)*10000000+0*1000000+3*1000+39))</f>
        <v/>
      </c>
      <c r="FR14" s="35">
        <f>IF(N('Dvd Calendar'!$AR$33)=0,"",IF(('Dvd Calendar'!$AR$33&gt;=GRID_FROM)*('Dvd Calendar'!$AR$33&lt;=GRID_TO)*('Dvd Calendar'!$AR$33&lt;=VAL_DATE)=0,"",'Dvd Calendar'!$AR$33*1000000000+ISNUMBER('Dvd Calendar'!$AR$36)*100000000+('Dvd Calendar'!$AR$38=SPECIAL_LBL)*10000000+0*1000000+3*1000+40))</f>
        <v/>
      </c>
      <c r="FS14" s="35">
        <f>IF(N('Dvd Calendar'!$E$40)=0,"",IF(('Dvd Calendar'!$E$40&gt;=GRID_FROM)*('Dvd Calendar'!$E$40&lt;=GRID_TO)*('Dvd Calendar'!$E$40&gt;VAL_DATE)=0,"",'Dvd Calendar'!$E$40*1000000000+ISNUMBER('Dvd Calendar'!$E$41)*100000000+0*10000000+(N('Dvd Calendar'!$E$39)&gt;0)*(N('Dvd Calendar'!$E$39)&lt;=VAL_SERIAL)*1000000+3*1000+41))</f>
        <v/>
      </c>
      <c r="FT14" s="35">
        <f>IF(N('Dvd Calendar'!$F$40)=0,"",IF(('Dvd Calendar'!$F$40&gt;=GRID_FROM)*('Dvd Calendar'!$F$40&lt;=GRID_TO)*('Dvd Calendar'!$F$40&gt;VAL_DATE)=0,"",'Dvd Calendar'!$F$40*1000000000+ISNUMBER('Dvd Calendar'!$F$41)*100000000+0*10000000+(N('Dvd Calendar'!$F$39)&gt;0)*(N('Dvd Calendar'!$F$39)&lt;=VAL_SERIAL)*1000000+3*1000+42))</f>
        <v/>
      </c>
      <c r="FU14" s="35">
        <f>IF(N('Dvd Calendar'!$G$40)=0,"",IF(('Dvd Calendar'!$G$40&gt;=GRID_FROM)*('Dvd Calendar'!$G$40&lt;=GRID_TO)*('Dvd Calendar'!$G$40&gt;VAL_DATE)=0,"",'Dvd Calendar'!$G$40*1000000000+ISNUMBER('Dvd Calendar'!$G$41)*100000000+0*10000000+(N('Dvd Calendar'!$G$39)&gt;0)*(N('Dvd Calendar'!$G$39)&lt;=VAL_SERIAL)*1000000+3*1000+43))</f>
        <v/>
      </c>
      <c r="FV14" s="35">
        <f>IF(N('Dvd Calendar'!$H$40)=0,"",IF(('Dvd Calendar'!$H$40&gt;=GRID_FROM)*('Dvd Calendar'!$H$40&lt;=GRID_TO)*('Dvd Calendar'!$H$40&gt;VAL_DATE)=0,"",'Dvd Calendar'!$H$40*1000000000+ISNUMBER('Dvd Calendar'!$H$41)*100000000+0*10000000+(N('Dvd Calendar'!$H$39)&gt;0)*(N('Dvd Calendar'!$H$39)&lt;=VAL_SERIAL)*1000000+3*1000+44))</f>
        <v/>
      </c>
      <c r="FW14" s="35">
        <f>IF(N('Dvd Calendar'!$I$40)=0,"",IF(('Dvd Calendar'!$I$40&gt;=GRID_FROM)*('Dvd Calendar'!$I$40&lt;=GRID_TO)*('Dvd Calendar'!$I$40&gt;VAL_DATE)=0,"",'Dvd Calendar'!$I$40*1000000000+ISNUMBER('Dvd Calendar'!$I$41)*100000000+0*10000000+(N('Dvd Calendar'!$I$39)&gt;0)*(N('Dvd Calendar'!$I$39)&lt;=VAL_SERIAL)*1000000+3*1000+45))</f>
        <v/>
      </c>
      <c r="FX14" s="35">
        <f>IF(N('Dvd Calendar'!$J$40)=0,"",IF(('Dvd Calendar'!$J$40&gt;=GRID_FROM)*('Dvd Calendar'!$J$40&lt;=GRID_TO)*('Dvd Calendar'!$J$40&gt;VAL_DATE)=0,"",'Dvd Calendar'!$J$40*1000000000+ISNUMBER('Dvd Calendar'!$J$41)*100000000+0*10000000+(N('Dvd Calendar'!$J$39)&gt;0)*(N('Dvd Calendar'!$J$39)&lt;=VAL_SERIAL)*1000000+3*1000+46))</f>
        <v/>
      </c>
      <c r="FY14" s="35">
        <f>IF(N('Dvd Calendar'!$K$40)=0,"",IF(('Dvd Calendar'!$K$40&gt;=GRID_FROM)*('Dvd Calendar'!$K$40&lt;=GRID_TO)*('Dvd Calendar'!$K$40&gt;VAL_DATE)=0,"",'Dvd Calendar'!$K$40*1000000000+ISNUMBER('Dvd Calendar'!$K$41)*100000000+0*10000000+(N('Dvd Calendar'!$K$39)&gt;0)*(N('Dvd Calendar'!$K$39)&lt;=VAL_SERIAL)*1000000+3*1000+47))</f>
        <v/>
      </c>
      <c r="FZ14" s="35">
        <f>IF(N('Dvd Calendar'!$L$40)=0,"",IF(('Dvd Calendar'!$L$40&gt;=GRID_FROM)*('Dvd Calendar'!$L$40&lt;=GRID_TO)*('Dvd Calendar'!$L$40&gt;VAL_DATE)=0,"",'Dvd Calendar'!$L$40*1000000000+ISNUMBER('Dvd Calendar'!$L$41)*100000000+0*10000000+(N('Dvd Calendar'!$L$39)&gt;0)*(N('Dvd Calendar'!$L$39)&lt;=VAL_SERIAL)*1000000+3*1000+48))</f>
        <v/>
      </c>
      <c r="GA14" s="35">
        <f>IF(N('Dvd Calendar'!$M$40)=0,"",IF(('Dvd Calendar'!$M$40&gt;=GRID_FROM)*('Dvd Calendar'!$M$40&lt;=GRID_TO)*('Dvd Calendar'!$M$40&gt;VAL_DATE)=0,"",'Dvd Calendar'!$M$40*1000000000+ISNUMBER('Dvd Calendar'!$M$41)*100000000+0*10000000+(N('Dvd Calendar'!$M$39)&gt;0)*(N('Dvd Calendar'!$M$39)&lt;=VAL_SERIAL)*1000000+3*1000+49))</f>
        <v/>
      </c>
      <c r="GB14" s="35">
        <f>IF(N('Dvd Calendar'!$N$40)=0,"",IF(('Dvd Calendar'!$N$40&gt;=GRID_FROM)*('Dvd Calendar'!$N$40&lt;=GRID_TO)*('Dvd Calendar'!$N$40&gt;VAL_DATE)=0,"",'Dvd Calendar'!$N$40*1000000000+ISNUMBER('Dvd Calendar'!$N$41)*100000000+0*10000000+(N('Dvd Calendar'!$N$39)&gt;0)*(N('Dvd Calendar'!$N$39)&lt;=VAL_SERIAL)*1000000+3*1000+50))</f>
        <v/>
      </c>
      <c r="GC14" s="35">
        <f>IF(N('Dvd Calendar'!$O$40)=0,"",IF(('Dvd Calendar'!$O$40&gt;=GRID_FROM)*('Dvd Calendar'!$O$40&lt;=GRID_TO)*('Dvd Calendar'!$O$40&gt;VAL_DATE)=0,"",'Dvd Calendar'!$O$40*1000000000+ISNUMBER('Dvd Calendar'!$O$41)*100000000+0*10000000+(N('Dvd Calendar'!$O$39)&gt;0)*(N('Dvd Calendar'!$O$39)&lt;=VAL_SERIAL)*1000000+3*1000+51))</f>
        <v/>
      </c>
      <c r="GD14" s="35">
        <f>IF(N('Dvd Calendar'!$P$40)=0,"",IF(('Dvd Calendar'!$P$40&gt;=GRID_FROM)*('Dvd Calendar'!$P$40&lt;=GRID_TO)*('Dvd Calendar'!$P$40&gt;VAL_DATE)=0,"",'Dvd Calendar'!$P$40*1000000000+ISNUMBER('Dvd Calendar'!$P$41)*100000000+0*10000000+(N('Dvd Calendar'!$P$39)&gt;0)*(N('Dvd Calendar'!$P$39)&lt;=VAL_SERIAL)*1000000+3*1000+52))</f>
        <v/>
      </c>
      <c r="GE14" s="35">
        <f>IF(N('Dvd Calendar'!$Q$40)=0,"",IF(('Dvd Calendar'!$Q$40&gt;=GRID_FROM)*('Dvd Calendar'!$Q$40&lt;=GRID_TO)*('Dvd Calendar'!$Q$40&gt;VAL_DATE)=0,"",'Dvd Calendar'!$Q$40*1000000000+ISNUMBER('Dvd Calendar'!$Q$41)*100000000+0*10000000+(N('Dvd Calendar'!$Q$39)&gt;0)*(N('Dvd Calendar'!$Q$39)&lt;=VAL_SERIAL)*1000000+3*1000+53))</f>
        <v/>
      </c>
      <c r="GF14" s="35">
        <f>IF(N('Dvd Calendar'!$R$40)=0,"",IF(('Dvd Calendar'!$R$40&gt;=GRID_FROM)*('Dvd Calendar'!$R$40&lt;=GRID_TO)*('Dvd Calendar'!$R$40&gt;VAL_DATE)=0,"",'Dvd Calendar'!$R$40*1000000000+ISNUMBER('Dvd Calendar'!$R$41)*100000000+0*10000000+(N('Dvd Calendar'!$R$39)&gt;0)*(N('Dvd Calendar'!$R$39)&lt;=VAL_SERIAL)*1000000+3*1000+54))</f>
        <v/>
      </c>
      <c r="GG14" s="35">
        <f>IF(N('Dvd Calendar'!$S$40)=0,"",IF(('Dvd Calendar'!$S$40&gt;=GRID_FROM)*('Dvd Calendar'!$S$40&lt;=GRID_TO)*('Dvd Calendar'!$S$40&gt;VAL_DATE)=0,"",'Dvd Calendar'!$S$40*1000000000+ISNUMBER('Dvd Calendar'!$S$41)*100000000+0*10000000+(N('Dvd Calendar'!$S$39)&gt;0)*(N('Dvd Calendar'!$S$39)&lt;=VAL_SERIAL)*1000000+3*1000+55))</f>
        <v/>
      </c>
      <c r="GH14" s="35">
        <f>IF(N('Dvd Calendar'!$T$40)=0,"",IF(('Dvd Calendar'!$T$40&gt;=GRID_FROM)*('Dvd Calendar'!$T$40&lt;=GRID_TO)*('Dvd Calendar'!$T$40&gt;VAL_DATE)=0,"",'Dvd Calendar'!$T$40*1000000000+ISNUMBER('Dvd Calendar'!$T$41)*100000000+0*10000000+(N('Dvd Calendar'!$T$39)&gt;0)*(N('Dvd Calendar'!$T$39)&lt;=VAL_SERIAL)*1000000+3*1000+56))</f>
        <v/>
      </c>
      <c r="GI14" s="35">
        <f>IF(N('Dvd Calendar'!$U$40)=0,"",IF(('Dvd Calendar'!$U$40&gt;=GRID_FROM)*('Dvd Calendar'!$U$40&lt;=GRID_TO)*('Dvd Calendar'!$U$40&gt;VAL_DATE)=0,"",'Dvd Calendar'!$U$40*1000000000+ISNUMBER('Dvd Calendar'!$U$41)*100000000+0*10000000+(N('Dvd Calendar'!$U$39)&gt;0)*(N('Dvd Calendar'!$U$39)&lt;=VAL_SERIAL)*1000000+3*1000+57))</f>
        <v/>
      </c>
      <c r="GJ14" s="35">
        <f>IF(N('Dvd Calendar'!$V$40)=0,"",IF(('Dvd Calendar'!$V$40&gt;=GRID_FROM)*('Dvd Calendar'!$V$40&lt;=GRID_TO)*('Dvd Calendar'!$V$40&gt;VAL_DATE)=0,"",'Dvd Calendar'!$V$40*1000000000+ISNUMBER('Dvd Calendar'!$V$41)*100000000+0*10000000+(N('Dvd Calendar'!$V$39)&gt;0)*(N('Dvd Calendar'!$V$39)&lt;=VAL_SERIAL)*1000000+3*1000+58))</f>
        <v/>
      </c>
      <c r="GK14" s="35">
        <f>IF(N('Dvd Calendar'!$W$40)=0,"",IF(('Dvd Calendar'!$W$40&gt;=GRID_FROM)*('Dvd Calendar'!$W$40&lt;=GRID_TO)*('Dvd Calendar'!$W$40&gt;VAL_DATE)=0,"",'Dvd Calendar'!$W$40*1000000000+ISNUMBER('Dvd Calendar'!$W$41)*100000000+0*10000000+(N('Dvd Calendar'!$W$39)&gt;0)*(N('Dvd Calendar'!$W$39)&lt;=VAL_SERIAL)*1000000+3*1000+59))</f>
        <v/>
      </c>
      <c r="GL14" s="35">
        <f>IF(N('Dvd Calendar'!$X$40)=0,"",IF(('Dvd Calendar'!$X$40&gt;=GRID_FROM)*('Dvd Calendar'!$X$40&lt;=GRID_TO)*('Dvd Calendar'!$X$40&gt;VAL_DATE)=0,"",'Dvd Calendar'!$X$40*1000000000+ISNUMBER('Dvd Calendar'!$X$41)*100000000+0*10000000+(N('Dvd Calendar'!$X$39)&gt;0)*(N('Dvd Calendar'!$X$39)&lt;=VAL_SERIAL)*1000000+3*1000+60))</f>
        <v/>
      </c>
      <c r="GM14" s="35">
        <f>IF(N('Dvd Calendar'!$Y$40)=0,"",IF(('Dvd Calendar'!$Y$40&gt;=GRID_FROM)*('Dvd Calendar'!$Y$40&lt;=GRID_TO)*('Dvd Calendar'!$Y$40&gt;VAL_DATE)=0,"",'Dvd Calendar'!$Y$40*1000000000+ISNUMBER('Dvd Calendar'!$Y$41)*100000000+0*10000000+(N('Dvd Calendar'!$Y$39)&gt;0)*(N('Dvd Calendar'!$Y$39)&lt;=VAL_SERIAL)*1000000+3*1000+61))</f>
        <v/>
      </c>
      <c r="GN14" s="35">
        <f>IF(N('Dvd Calendar'!$Z$40)=0,"",IF(('Dvd Calendar'!$Z$40&gt;=GRID_FROM)*('Dvd Calendar'!$Z$40&lt;=GRID_TO)*('Dvd Calendar'!$Z$40&gt;VAL_DATE)=0,"",'Dvd Calendar'!$Z$40*1000000000+ISNUMBER('Dvd Calendar'!$Z$41)*100000000+0*10000000+(N('Dvd Calendar'!$Z$39)&gt;0)*(N('Dvd Calendar'!$Z$39)&lt;=VAL_SERIAL)*1000000+3*1000+62))</f>
        <v/>
      </c>
      <c r="GO14" s="35">
        <f>IF(N('Dvd Calendar'!$AA$40)=0,"",IF(('Dvd Calendar'!$AA$40&gt;=GRID_FROM)*('Dvd Calendar'!$AA$40&lt;=GRID_TO)*('Dvd Calendar'!$AA$40&gt;VAL_DATE)=0,"",'Dvd Calendar'!$AA$40*1000000000+ISNUMBER('Dvd Calendar'!$AA$41)*100000000+0*10000000+(N('Dvd Calendar'!$AA$39)&gt;0)*(N('Dvd Calendar'!$AA$39)&lt;=VAL_SERIAL)*1000000+3*1000+63))</f>
        <v/>
      </c>
      <c r="GP14" s="35">
        <f>IF(N('Dvd Calendar'!$AB$40)=0,"",IF(('Dvd Calendar'!$AB$40&gt;=GRID_FROM)*('Dvd Calendar'!$AB$40&lt;=GRID_TO)*('Dvd Calendar'!$AB$40&gt;VAL_DATE)=0,"",'Dvd Calendar'!$AB$40*1000000000+ISNUMBER('Dvd Calendar'!$AB$41)*100000000+0*10000000+(N('Dvd Calendar'!$AB$39)&gt;0)*(N('Dvd Calendar'!$AB$39)&lt;=VAL_SERIAL)*1000000+3*1000+64))</f>
        <v/>
      </c>
      <c r="GQ14" s="35">
        <f>IF(N('Dvd Calendar'!$AC$40)=0,"",IF(('Dvd Calendar'!$AC$40&gt;=GRID_FROM)*('Dvd Calendar'!$AC$40&lt;=GRID_TO)*('Dvd Calendar'!$AC$40&gt;VAL_DATE)=0,"",'Dvd Calendar'!$AC$40*1000000000+ISNUMBER('Dvd Calendar'!$AC$41)*100000000+0*10000000+(N('Dvd Calendar'!$AC$39)&gt;0)*(N('Dvd Calendar'!$AC$39)&lt;=VAL_SERIAL)*1000000+3*1000+65))</f>
        <v/>
      </c>
    </row>
    <row r="15">
      <c r="B15" s="2">
        <f>IF(HSI!$C$10="","",HSI!$C$10)</f>
        <v/>
      </c>
      <c r="C15" s="106">
        <f>IF(EE15="","",IF(ISNUMBER('Dvd Calendar'!$E$47)=FALSE,"",IF((('Dvd Calendar'!$E$49=TYPE1)*(TYPE1&lt;&gt;"")+('Dvd Calendar'!$E$49=TYPE2)*(TYPE2&lt;&gt;"")+('Dvd Calendar'!$E$49=TYPE3)*(TYPE3&lt;&gt;"")+('Dvd Calendar'!$E$49=TYPE4)*(TYPE4&lt;&gt;"")+('Dvd Calendar'!$E$49=SPECIAL_LBL)*(INC_SPECIALS="Y"))=0,"",'Dvd Calendar'!$E$47)))</f>
        <v/>
      </c>
      <c r="D15" s="106">
        <f>IF(EF15="","",IF(ISNUMBER('Dvd Calendar'!$F$47)=FALSE,"",IF((('Dvd Calendar'!$F$49=TYPE1)*(TYPE1&lt;&gt;"")+('Dvd Calendar'!$F$49=TYPE2)*(TYPE2&lt;&gt;"")+('Dvd Calendar'!$F$49=TYPE3)*(TYPE3&lt;&gt;"")+('Dvd Calendar'!$F$49=TYPE4)*(TYPE4&lt;&gt;"")+('Dvd Calendar'!$F$49=SPECIAL_LBL)*(INC_SPECIALS="Y"))=0,"",'Dvd Calendar'!$F$47)))</f>
        <v/>
      </c>
      <c r="E15" s="106">
        <f>IF(EG15="","",IF(ISNUMBER('Dvd Calendar'!$G$47)=FALSE,"",IF((('Dvd Calendar'!$G$49=TYPE1)*(TYPE1&lt;&gt;"")+('Dvd Calendar'!$G$49=TYPE2)*(TYPE2&lt;&gt;"")+('Dvd Calendar'!$G$49=TYPE3)*(TYPE3&lt;&gt;"")+('Dvd Calendar'!$G$49=TYPE4)*(TYPE4&lt;&gt;"")+('Dvd Calendar'!$G$49=SPECIAL_LBL)*(INC_SPECIALS="Y"))=0,"",'Dvd Calendar'!$G$47)))</f>
        <v/>
      </c>
      <c r="F15" s="106">
        <f>IF(EH15="","",IF(ISNUMBER('Dvd Calendar'!$H$47)=FALSE,"",IF((('Dvd Calendar'!$H$49=TYPE1)*(TYPE1&lt;&gt;"")+('Dvd Calendar'!$H$49=TYPE2)*(TYPE2&lt;&gt;"")+('Dvd Calendar'!$H$49=TYPE3)*(TYPE3&lt;&gt;"")+('Dvd Calendar'!$H$49=TYPE4)*(TYPE4&lt;&gt;"")+('Dvd Calendar'!$H$49=SPECIAL_LBL)*(INC_SPECIALS="Y"))=0,"",'Dvd Calendar'!$H$47)))</f>
        <v/>
      </c>
      <c r="G15" s="106">
        <f>IF(EI15="","",IF(ISNUMBER('Dvd Calendar'!$I$47)=FALSE,"",IF((('Dvd Calendar'!$I$49=TYPE1)*(TYPE1&lt;&gt;"")+('Dvd Calendar'!$I$49=TYPE2)*(TYPE2&lt;&gt;"")+('Dvd Calendar'!$I$49=TYPE3)*(TYPE3&lt;&gt;"")+('Dvd Calendar'!$I$49=TYPE4)*(TYPE4&lt;&gt;"")+('Dvd Calendar'!$I$49=SPECIAL_LBL)*(INC_SPECIALS="Y"))=0,"",'Dvd Calendar'!$I$47)))</f>
        <v/>
      </c>
      <c r="H15" s="106">
        <f>IF(EJ15="","",IF(ISNUMBER('Dvd Calendar'!$J$47)=FALSE,"",IF((('Dvd Calendar'!$J$49=TYPE1)*(TYPE1&lt;&gt;"")+('Dvd Calendar'!$J$49=TYPE2)*(TYPE2&lt;&gt;"")+('Dvd Calendar'!$J$49=TYPE3)*(TYPE3&lt;&gt;"")+('Dvd Calendar'!$J$49=TYPE4)*(TYPE4&lt;&gt;"")+('Dvd Calendar'!$J$49=SPECIAL_LBL)*(INC_SPECIALS="Y"))=0,"",'Dvd Calendar'!$J$47)))</f>
        <v/>
      </c>
      <c r="I15" s="106">
        <f>IF(EK15="","",IF(ISNUMBER('Dvd Calendar'!$K$47)=FALSE,"",IF((('Dvd Calendar'!$K$49=TYPE1)*(TYPE1&lt;&gt;"")+('Dvd Calendar'!$K$49=TYPE2)*(TYPE2&lt;&gt;"")+('Dvd Calendar'!$K$49=TYPE3)*(TYPE3&lt;&gt;"")+('Dvd Calendar'!$K$49=TYPE4)*(TYPE4&lt;&gt;"")+('Dvd Calendar'!$K$49=SPECIAL_LBL)*(INC_SPECIALS="Y"))=0,"",'Dvd Calendar'!$K$47)))</f>
        <v/>
      </c>
      <c r="J15" s="106">
        <f>IF(EL15="","",IF(ISNUMBER('Dvd Calendar'!$L$47)=FALSE,"",IF((('Dvd Calendar'!$L$49=TYPE1)*(TYPE1&lt;&gt;"")+('Dvd Calendar'!$L$49=TYPE2)*(TYPE2&lt;&gt;"")+('Dvd Calendar'!$L$49=TYPE3)*(TYPE3&lt;&gt;"")+('Dvd Calendar'!$L$49=TYPE4)*(TYPE4&lt;&gt;"")+('Dvd Calendar'!$L$49=SPECIAL_LBL)*(INC_SPECIALS="Y"))=0,"",'Dvd Calendar'!$L$47)))</f>
        <v/>
      </c>
      <c r="K15" s="106">
        <f>IF(EM15="","",IF(ISNUMBER('Dvd Calendar'!$M$47)=FALSE,"",IF((('Dvd Calendar'!$M$49=TYPE1)*(TYPE1&lt;&gt;"")+('Dvd Calendar'!$M$49=TYPE2)*(TYPE2&lt;&gt;"")+('Dvd Calendar'!$M$49=TYPE3)*(TYPE3&lt;&gt;"")+('Dvd Calendar'!$M$49=TYPE4)*(TYPE4&lt;&gt;"")+('Dvd Calendar'!$M$49=SPECIAL_LBL)*(INC_SPECIALS="Y"))=0,"",'Dvd Calendar'!$M$47)))</f>
        <v/>
      </c>
      <c r="L15" s="106">
        <f>IF(EN15="","",IF(ISNUMBER('Dvd Calendar'!$N$47)=FALSE,"",IF((('Dvd Calendar'!$N$49=TYPE1)*(TYPE1&lt;&gt;"")+('Dvd Calendar'!$N$49=TYPE2)*(TYPE2&lt;&gt;"")+('Dvd Calendar'!$N$49=TYPE3)*(TYPE3&lt;&gt;"")+('Dvd Calendar'!$N$49=TYPE4)*(TYPE4&lt;&gt;"")+('Dvd Calendar'!$N$49=SPECIAL_LBL)*(INC_SPECIALS="Y"))=0,"",'Dvd Calendar'!$N$47)))</f>
        <v/>
      </c>
      <c r="M15" s="106">
        <f>IF(EO15="","",IF(ISNUMBER('Dvd Calendar'!$O$47)=FALSE,"",IF((('Dvd Calendar'!$O$49=TYPE1)*(TYPE1&lt;&gt;"")+('Dvd Calendar'!$O$49=TYPE2)*(TYPE2&lt;&gt;"")+('Dvd Calendar'!$O$49=TYPE3)*(TYPE3&lt;&gt;"")+('Dvd Calendar'!$O$49=TYPE4)*(TYPE4&lt;&gt;"")+('Dvd Calendar'!$O$49=SPECIAL_LBL)*(INC_SPECIALS="Y"))=0,"",'Dvd Calendar'!$O$47)))</f>
        <v/>
      </c>
      <c r="N15" s="106">
        <f>IF(EP15="","",IF(ISNUMBER('Dvd Calendar'!$P$47)=FALSE,"",IF((('Dvd Calendar'!$P$49=TYPE1)*(TYPE1&lt;&gt;"")+('Dvd Calendar'!$P$49=TYPE2)*(TYPE2&lt;&gt;"")+('Dvd Calendar'!$P$49=TYPE3)*(TYPE3&lt;&gt;"")+('Dvd Calendar'!$P$49=TYPE4)*(TYPE4&lt;&gt;"")+('Dvd Calendar'!$P$49=SPECIAL_LBL)*(INC_SPECIALS="Y"))=0,"",'Dvd Calendar'!$P$47)))</f>
        <v/>
      </c>
      <c r="O15" s="106">
        <f>IF(EQ15="","",IF(ISNUMBER('Dvd Calendar'!$Q$47)=FALSE,"",IF((('Dvd Calendar'!$Q$49=TYPE1)*(TYPE1&lt;&gt;"")+('Dvd Calendar'!$Q$49=TYPE2)*(TYPE2&lt;&gt;"")+('Dvd Calendar'!$Q$49=TYPE3)*(TYPE3&lt;&gt;"")+('Dvd Calendar'!$Q$49=TYPE4)*(TYPE4&lt;&gt;"")+('Dvd Calendar'!$Q$49=SPECIAL_LBL)*(INC_SPECIALS="Y"))=0,"",'Dvd Calendar'!$Q$47)))</f>
        <v/>
      </c>
      <c r="P15" s="106">
        <f>IF(ER15="","",IF(ISNUMBER('Dvd Calendar'!$R$47)=FALSE,"",IF((('Dvd Calendar'!$R$49=TYPE1)*(TYPE1&lt;&gt;"")+('Dvd Calendar'!$R$49=TYPE2)*(TYPE2&lt;&gt;"")+('Dvd Calendar'!$R$49=TYPE3)*(TYPE3&lt;&gt;"")+('Dvd Calendar'!$R$49=TYPE4)*(TYPE4&lt;&gt;"")+('Dvd Calendar'!$R$49=SPECIAL_LBL)*(INC_SPECIALS="Y"))=0,"",'Dvd Calendar'!$R$47)))</f>
        <v/>
      </c>
      <c r="Q15" s="106">
        <f>IF(ES15="","",IF(ISNUMBER('Dvd Calendar'!$S$47)=FALSE,"",IF((('Dvd Calendar'!$S$49=TYPE1)*(TYPE1&lt;&gt;"")+('Dvd Calendar'!$S$49=TYPE2)*(TYPE2&lt;&gt;"")+('Dvd Calendar'!$S$49=TYPE3)*(TYPE3&lt;&gt;"")+('Dvd Calendar'!$S$49=TYPE4)*(TYPE4&lt;&gt;"")+('Dvd Calendar'!$S$49=SPECIAL_LBL)*(INC_SPECIALS="Y"))=0,"",'Dvd Calendar'!$S$47)))</f>
        <v/>
      </c>
      <c r="R15" s="106">
        <f>IF(ET15="","",IF(ISNUMBER('Dvd Calendar'!$T$47)=FALSE,"",IF((('Dvd Calendar'!$T$49=TYPE1)*(TYPE1&lt;&gt;"")+('Dvd Calendar'!$T$49=TYPE2)*(TYPE2&lt;&gt;"")+('Dvd Calendar'!$T$49=TYPE3)*(TYPE3&lt;&gt;"")+('Dvd Calendar'!$T$49=TYPE4)*(TYPE4&lt;&gt;"")+('Dvd Calendar'!$T$49=SPECIAL_LBL)*(INC_SPECIALS="Y"))=0,"",'Dvd Calendar'!$T$47)))</f>
        <v/>
      </c>
      <c r="S15" s="106">
        <f>IF(EU15="","",IF(ISNUMBER('Dvd Calendar'!$U$47)=FALSE,"",IF((('Dvd Calendar'!$U$49=TYPE1)*(TYPE1&lt;&gt;"")+('Dvd Calendar'!$U$49=TYPE2)*(TYPE2&lt;&gt;"")+('Dvd Calendar'!$U$49=TYPE3)*(TYPE3&lt;&gt;"")+('Dvd Calendar'!$U$49=TYPE4)*(TYPE4&lt;&gt;"")+('Dvd Calendar'!$U$49=SPECIAL_LBL)*(INC_SPECIALS="Y"))=0,"",'Dvd Calendar'!$U$47)))</f>
        <v/>
      </c>
      <c r="T15" s="106">
        <f>IF(EV15="","",IF(ISNUMBER('Dvd Calendar'!$V$47)=FALSE,"",IF((('Dvd Calendar'!$V$49=TYPE1)*(TYPE1&lt;&gt;"")+('Dvd Calendar'!$V$49=TYPE2)*(TYPE2&lt;&gt;"")+('Dvd Calendar'!$V$49=TYPE3)*(TYPE3&lt;&gt;"")+('Dvd Calendar'!$V$49=TYPE4)*(TYPE4&lt;&gt;"")+('Dvd Calendar'!$V$49=SPECIAL_LBL)*(INC_SPECIALS="Y"))=0,"",'Dvd Calendar'!$V$47)))</f>
        <v/>
      </c>
      <c r="U15" s="106">
        <f>IF(EW15="","",IF(ISNUMBER('Dvd Calendar'!$W$47)=FALSE,"",IF((('Dvd Calendar'!$W$49=TYPE1)*(TYPE1&lt;&gt;"")+('Dvd Calendar'!$W$49=TYPE2)*(TYPE2&lt;&gt;"")+('Dvd Calendar'!$W$49=TYPE3)*(TYPE3&lt;&gt;"")+('Dvd Calendar'!$W$49=TYPE4)*(TYPE4&lt;&gt;"")+('Dvd Calendar'!$W$49=SPECIAL_LBL)*(INC_SPECIALS="Y"))=0,"",'Dvd Calendar'!$W$47)))</f>
        <v/>
      </c>
      <c r="V15" s="106">
        <f>IF(EX15="","",IF(ISNUMBER('Dvd Calendar'!$X$47)=FALSE,"",IF((('Dvd Calendar'!$X$49=TYPE1)*(TYPE1&lt;&gt;"")+('Dvd Calendar'!$X$49=TYPE2)*(TYPE2&lt;&gt;"")+('Dvd Calendar'!$X$49=TYPE3)*(TYPE3&lt;&gt;"")+('Dvd Calendar'!$X$49=TYPE4)*(TYPE4&lt;&gt;"")+('Dvd Calendar'!$X$49=SPECIAL_LBL)*(INC_SPECIALS="Y"))=0,"",'Dvd Calendar'!$X$47)))</f>
        <v/>
      </c>
      <c r="W15" s="106">
        <f>IF(EY15="","",IF(ISNUMBER('Dvd Calendar'!$Y$47)=FALSE,"",IF((('Dvd Calendar'!$Y$49=TYPE1)*(TYPE1&lt;&gt;"")+('Dvd Calendar'!$Y$49=TYPE2)*(TYPE2&lt;&gt;"")+('Dvd Calendar'!$Y$49=TYPE3)*(TYPE3&lt;&gt;"")+('Dvd Calendar'!$Y$49=TYPE4)*(TYPE4&lt;&gt;"")+('Dvd Calendar'!$Y$49=SPECIAL_LBL)*(INC_SPECIALS="Y"))=0,"",'Dvd Calendar'!$Y$47)))</f>
        <v/>
      </c>
      <c r="X15" s="106">
        <f>IF(EZ15="","",IF(ISNUMBER('Dvd Calendar'!$Z$47)=FALSE,"",IF((('Dvd Calendar'!$Z$49=TYPE1)*(TYPE1&lt;&gt;"")+('Dvd Calendar'!$Z$49=TYPE2)*(TYPE2&lt;&gt;"")+('Dvd Calendar'!$Z$49=TYPE3)*(TYPE3&lt;&gt;"")+('Dvd Calendar'!$Z$49=TYPE4)*(TYPE4&lt;&gt;"")+('Dvd Calendar'!$Z$49=SPECIAL_LBL)*(INC_SPECIALS="Y"))=0,"",'Dvd Calendar'!$Z$47)))</f>
        <v/>
      </c>
      <c r="Y15" s="106">
        <f>IF(FA15="","",IF(ISNUMBER('Dvd Calendar'!$AA$47)=FALSE,"",IF((('Dvd Calendar'!$AA$49=TYPE1)*(TYPE1&lt;&gt;"")+('Dvd Calendar'!$AA$49=TYPE2)*(TYPE2&lt;&gt;"")+('Dvd Calendar'!$AA$49=TYPE3)*(TYPE3&lt;&gt;"")+('Dvd Calendar'!$AA$49=TYPE4)*(TYPE4&lt;&gt;"")+('Dvd Calendar'!$AA$49=SPECIAL_LBL)*(INC_SPECIALS="Y"))=0,"",'Dvd Calendar'!$AA$47)))</f>
        <v/>
      </c>
      <c r="Z15" s="106">
        <f>IF(FB15="","",IF(ISNUMBER('Dvd Calendar'!$AB$47)=FALSE,"",IF((('Dvd Calendar'!$AB$49=TYPE1)*(TYPE1&lt;&gt;"")+('Dvd Calendar'!$AB$49=TYPE2)*(TYPE2&lt;&gt;"")+('Dvd Calendar'!$AB$49=TYPE3)*(TYPE3&lt;&gt;"")+('Dvd Calendar'!$AB$49=TYPE4)*(TYPE4&lt;&gt;"")+('Dvd Calendar'!$AB$49=SPECIAL_LBL)*(INC_SPECIALS="Y"))=0,"",'Dvd Calendar'!$AB$47)))</f>
        <v/>
      </c>
      <c r="AA15" s="106">
        <f>IF(FC15="","",IF(ISNUMBER('Dvd Calendar'!$AC$47)=FALSE,"",IF((('Dvd Calendar'!$AC$49=TYPE1)*(TYPE1&lt;&gt;"")+('Dvd Calendar'!$AC$49=TYPE2)*(TYPE2&lt;&gt;"")+('Dvd Calendar'!$AC$49=TYPE3)*(TYPE3&lt;&gt;"")+('Dvd Calendar'!$AC$49=TYPE4)*(TYPE4&lt;&gt;"")+('Dvd Calendar'!$AC$49=SPECIAL_LBL)*(INC_SPECIALS="Y"))=0,"",'Dvd Calendar'!$AC$47)))</f>
        <v/>
      </c>
      <c r="AB15" s="106">
        <f>IF(FD15="","",IF(ISNUMBER('Dvd Calendar'!$AD$47)=FALSE,"",IF((('Dvd Calendar'!$AD$49=TYPE1)*(TYPE1&lt;&gt;"")+('Dvd Calendar'!$AD$49=TYPE2)*(TYPE2&lt;&gt;"")+('Dvd Calendar'!$AD$49=TYPE3)*(TYPE3&lt;&gt;"")+('Dvd Calendar'!$AD$49=TYPE4)*(TYPE4&lt;&gt;"")+('Dvd Calendar'!$AD$49=SPECIAL_LBL)*(INC_SPECIALS="Y"))=0,"",'Dvd Calendar'!$AD$47)))</f>
        <v/>
      </c>
      <c r="AC15" s="106">
        <f>IF(FE15="","",IF(ISNUMBER('Dvd Calendar'!$AE$47)=FALSE,"",IF((('Dvd Calendar'!$AE$49=TYPE1)*(TYPE1&lt;&gt;"")+('Dvd Calendar'!$AE$49=TYPE2)*(TYPE2&lt;&gt;"")+('Dvd Calendar'!$AE$49=TYPE3)*(TYPE3&lt;&gt;"")+('Dvd Calendar'!$AE$49=TYPE4)*(TYPE4&lt;&gt;"")+('Dvd Calendar'!$AE$49=SPECIAL_LBL)*(INC_SPECIALS="Y"))=0,"",'Dvd Calendar'!$AE$47)))</f>
        <v/>
      </c>
      <c r="AD15" s="106">
        <f>IF(FF15="","",IF(ISNUMBER('Dvd Calendar'!$AF$47)=FALSE,"",IF((('Dvd Calendar'!$AF$49=TYPE1)*(TYPE1&lt;&gt;"")+('Dvd Calendar'!$AF$49=TYPE2)*(TYPE2&lt;&gt;"")+('Dvd Calendar'!$AF$49=TYPE3)*(TYPE3&lt;&gt;"")+('Dvd Calendar'!$AF$49=TYPE4)*(TYPE4&lt;&gt;"")+('Dvd Calendar'!$AF$49=SPECIAL_LBL)*(INC_SPECIALS="Y"))=0,"",'Dvd Calendar'!$AF$47)))</f>
        <v/>
      </c>
      <c r="AE15" s="106">
        <f>IF(FG15="","",IF(ISNUMBER('Dvd Calendar'!$AG$47)=FALSE,"",IF((('Dvd Calendar'!$AG$49=TYPE1)*(TYPE1&lt;&gt;"")+('Dvd Calendar'!$AG$49=TYPE2)*(TYPE2&lt;&gt;"")+('Dvd Calendar'!$AG$49=TYPE3)*(TYPE3&lt;&gt;"")+('Dvd Calendar'!$AG$49=TYPE4)*(TYPE4&lt;&gt;"")+('Dvd Calendar'!$AG$49=SPECIAL_LBL)*(INC_SPECIALS="Y"))=0,"",'Dvd Calendar'!$AG$47)))</f>
        <v/>
      </c>
      <c r="AF15" s="106">
        <f>IF(FH15="","",IF(ISNUMBER('Dvd Calendar'!$AH$47)=FALSE,"",IF((('Dvd Calendar'!$AH$49=TYPE1)*(TYPE1&lt;&gt;"")+('Dvd Calendar'!$AH$49=TYPE2)*(TYPE2&lt;&gt;"")+('Dvd Calendar'!$AH$49=TYPE3)*(TYPE3&lt;&gt;"")+('Dvd Calendar'!$AH$49=TYPE4)*(TYPE4&lt;&gt;"")+('Dvd Calendar'!$AH$49=SPECIAL_LBL)*(INC_SPECIALS="Y"))=0,"",'Dvd Calendar'!$AH$47)))</f>
        <v/>
      </c>
      <c r="AG15" s="106">
        <f>IF(FI15="","",IF(ISNUMBER('Dvd Calendar'!$AI$47)=FALSE,"",IF((('Dvd Calendar'!$AI$49=TYPE1)*(TYPE1&lt;&gt;"")+('Dvd Calendar'!$AI$49=TYPE2)*(TYPE2&lt;&gt;"")+('Dvd Calendar'!$AI$49=TYPE3)*(TYPE3&lt;&gt;"")+('Dvd Calendar'!$AI$49=TYPE4)*(TYPE4&lt;&gt;"")+('Dvd Calendar'!$AI$49=SPECIAL_LBL)*(INC_SPECIALS="Y"))=0,"",'Dvd Calendar'!$AI$47)))</f>
        <v/>
      </c>
      <c r="AH15" s="106">
        <f>IF(FJ15="","",IF(ISNUMBER('Dvd Calendar'!$AJ$47)=FALSE,"",IF((('Dvd Calendar'!$AJ$49=TYPE1)*(TYPE1&lt;&gt;"")+('Dvd Calendar'!$AJ$49=TYPE2)*(TYPE2&lt;&gt;"")+('Dvd Calendar'!$AJ$49=TYPE3)*(TYPE3&lt;&gt;"")+('Dvd Calendar'!$AJ$49=TYPE4)*(TYPE4&lt;&gt;"")+('Dvd Calendar'!$AJ$49=SPECIAL_LBL)*(INC_SPECIALS="Y"))=0,"",'Dvd Calendar'!$AJ$47)))</f>
        <v/>
      </c>
      <c r="AI15" s="106">
        <f>IF(FK15="","",IF(ISNUMBER('Dvd Calendar'!$AK$47)=FALSE,"",IF((('Dvd Calendar'!$AK$49=TYPE1)*(TYPE1&lt;&gt;"")+('Dvd Calendar'!$AK$49=TYPE2)*(TYPE2&lt;&gt;"")+('Dvd Calendar'!$AK$49=TYPE3)*(TYPE3&lt;&gt;"")+('Dvd Calendar'!$AK$49=TYPE4)*(TYPE4&lt;&gt;"")+('Dvd Calendar'!$AK$49=SPECIAL_LBL)*(INC_SPECIALS="Y"))=0,"",'Dvd Calendar'!$AK$47)))</f>
        <v/>
      </c>
      <c r="AJ15" s="106">
        <f>IF(FL15="","",IF(ISNUMBER('Dvd Calendar'!$AL$47)=FALSE,"",IF((('Dvd Calendar'!$AL$49=TYPE1)*(TYPE1&lt;&gt;"")+('Dvd Calendar'!$AL$49=TYPE2)*(TYPE2&lt;&gt;"")+('Dvd Calendar'!$AL$49=TYPE3)*(TYPE3&lt;&gt;"")+('Dvd Calendar'!$AL$49=TYPE4)*(TYPE4&lt;&gt;"")+('Dvd Calendar'!$AL$49=SPECIAL_LBL)*(INC_SPECIALS="Y"))=0,"",'Dvd Calendar'!$AL$47)))</f>
        <v/>
      </c>
      <c r="AK15" s="106">
        <f>IF(FM15="","",IF(ISNUMBER('Dvd Calendar'!$AM$47)=FALSE,"",IF((('Dvd Calendar'!$AM$49=TYPE1)*(TYPE1&lt;&gt;"")+('Dvd Calendar'!$AM$49=TYPE2)*(TYPE2&lt;&gt;"")+('Dvd Calendar'!$AM$49=TYPE3)*(TYPE3&lt;&gt;"")+('Dvd Calendar'!$AM$49=TYPE4)*(TYPE4&lt;&gt;"")+('Dvd Calendar'!$AM$49=SPECIAL_LBL)*(INC_SPECIALS="Y"))=0,"",'Dvd Calendar'!$AM$47)))</f>
        <v/>
      </c>
      <c r="AL15" s="106">
        <f>IF(FN15="","",IF(ISNUMBER('Dvd Calendar'!$AN$47)=FALSE,"",IF((('Dvd Calendar'!$AN$49=TYPE1)*(TYPE1&lt;&gt;"")+('Dvd Calendar'!$AN$49=TYPE2)*(TYPE2&lt;&gt;"")+('Dvd Calendar'!$AN$49=TYPE3)*(TYPE3&lt;&gt;"")+('Dvd Calendar'!$AN$49=TYPE4)*(TYPE4&lt;&gt;"")+('Dvd Calendar'!$AN$49=SPECIAL_LBL)*(INC_SPECIALS="Y"))=0,"",'Dvd Calendar'!$AN$47)))</f>
        <v/>
      </c>
      <c r="AM15" s="106">
        <f>IF(FO15="","",IF(ISNUMBER('Dvd Calendar'!$AO$47)=FALSE,"",IF((('Dvd Calendar'!$AO$49=TYPE1)*(TYPE1&lt;&gt;"")+('Dvd Calendar'!$AO$49=TYPE2)*(TYPE2&lt;&gt;"")+('Dvd Calendar'!$AO$49=TYPE3)*(TYPE3&lt;&gt;"")+('Dvd Calendar'!$AO$49=TYPE4)*(TYPE4&lt;&gt;"")+('Dvd Calendar'!$AO$49=SPECIAL_LBL)*(INC_SPECIALS="Y"))=0,"",'Dvd Calendar'!$AO$47)))</f>
        <v/>
      </c>
      <c r="AN15" s="106">
        <f>IF(FP15="","",IF(ISNUMBER('Dvd Calendar'!$AP$47)=FALSE,"",IF((('Dvd Calendar'!$AP$49=TYPE1)*(TYPE1&lt;&gt;"")+('Dvd Calendar'!$AP$49=TYPE2)*(TYPE2&lt;&gt;"")+('Dvd Calendar'!$AP$49=TYPE3)*(TYPE3&lt;&gt;"")+('Dvd Calendar'!$AP$49=TYPE4)*(TYPE4&lt;&gt;"")+('Dvd Calendar'!$AP$49=SPECIAL_LBL)*(INC_SPECIALS="Y"))=0,"",'Dvd Calendar'!$AP$47)))</f>
        <v/>
      </c>
      <c r="AO15" s="106">
        <f>IF(FQ15="","",IF(ISNUMBER('Dvd Calendar'!$AQ$47)=FALSE,"",IF((('Dvd Calendar'!$AQ$49=TYPE1)*(TYPE1&lt;&gt;"")+('Dvd Calendar'!$AQ$49=TYPE2)*(TYPE2&lt;&gt;"")+('Dvd Calendar'!$AQ$49=TYPE3)*(TYPE3&lt;&gt;"")+('Dvd Calendar'!$AQ$49=TYPE4)*(TYPE4&lt;&gt;"")+('Dvd Calendar'!$AQ$49=SPECIAL_LBL)*(INC_SPECIALS="Y"))=0,"",'Dvd Calendar'!$AQ$47)))</f>
        <v/>
      </c>
      <c r="AP15" s="106">
        <f>IF(FR15="","",IF(ISNUMBER('Dvd Calendar'!$AR$47)=FALSE,"",IF((('Dvd Calendar'!$AR$49=TYPE1)*(TYPE1&lt;&gt;"")+('Dvd Calendar'!$AR$49=TYPE2)*(TYPE2&lt;&gt;"")+('Dvd Calendar'!$AR$49=TYPE3)*(TYPE3&lt;&gt;"")+('Dvd Calendar'!$AR$49=TYPE4)*(TYPE4&lt;&gt;"")+('Dvd Calendar'!$AR$49=SPECIAL_LBL)*(INC_SPECIALS="Y"))=0,"",'Dvd Calendar'!$AR$47)))</f>
        <v/>
      </c>
      <c r="AQ15" s="106">
        <f>IF(FS15="","",IF(ISNUMBER('Dvd Calendar'!$E$52)=FALSE,"",'Dvd Calendar'!$E$52))</f>
        <v/>
      </c>
      <c r="AR15" s="106">
        <f>IF(FT15="","",IF(ISNUMBER('Dvd Calendar'!$F$52)=FALSE,"",'Dvd Calendar'!$F$52))</f>
        <v/>
      </c>
      <c r="AS15" s="106">
        <f>IF(FU15="","",IF(ISNUMBER('Dvd Calendar'!$G$52)=FALSE,"",'Dvd Calendar'!$G$52))</f>
        <v/>
      </c>
      <c r="AT15" s="106">
        <f>IF(FV15="","",IF(ISNUMBER('Dvd Calendar'!$H$52)=FALSE,"",'Dvd Calendar'!$H$52))</f>
        <v/>
      </c>
      <c r="AU15" s="106">
        <f>IF(FW15="","",IF(ISNUMBER('Dvd Calendar'!$I$52)=FALSE,"",'Dvd Calendar'!$I$52))</f>
        <v/>
      </c>
      <c r="AV15" s="106">
        <f>IF(FX15="","",IF(ISNUMBER('Dvd Calendar'!$J$52)=FALSE,"",'Dvd Calendar'!$J$52))</f>
        <v/>
      </c>
      <c r="AW15" s="106">
        <f>IF(FY15="","",IF(ISNUMBER('Dvd Calendar'!$K$52)=FALSE,"",'Dvd Calendar'!$K$52))</f>
        <v/>
      </c>
      <c r="AX15" s="106">
        <f>IF(FZ15="","",IF(ISNUMBER('Dvd Calendar'!$L$52)=FALSE,"",'Dvd Calendar'!$L$52))</f>
        <v/>
      </c>
      <c r="AY15" s="106">
        <f>IF(GA15="","",IF(ISNUMBER('Dvd Calendar'!$M$52)=FALSE,"",'Dvd Calendar'!$M$52))</f>
        <v/>
      </c>
      <c r="AZ15" s="106">
        <f>IF(GB15="","",IF(ISNUMBER('Dvd Calendar'!$N$52)=FALSE,"",'Dvd Calendar'!$N$52))</f>
        <v/>
      </c>
      <c r="BA15" s="106">
        <f>IF(GC15="","",IF(ISNUMBER('Dvd Calendar'!$O$52)=FALSE,"",'Dvd Calendar'!$O$52))</f>
        <v/>
      </c>
      <c r="BB15" s="106">
        <f>IF(GD15="","",IF(ISNUMBER('Dvd Calendar'!$P$52)=FALSE,"",'Dvd Calendar'!$P$52))</f>
        <v/>
      </c>
      <c r="BC15" s="106">
        <f>IF(GE15="","",IF(ISNUMBER('Dvd Calendar'!$Q$52)=FALSE,"",'Dvd Calendar'!$Q$52))</f>
        <v/>
      </c>
      <c r="BD15" s="106">
        <f>IF(GF15="","",IF(ISNUMBER('Dvd Calendar'!$R$52)=FALSE,"",'Dvd Calendar'!$R$52))</f>
        <v/>
      </c>
      <c r="BE15" s="106">
        <f>IF(GG15="","",IF(ISNUMBER('Dvd Calendar'!$S$52)=FALSE,"",'Dvd Calendar'!$S$52))</f>
        <v/>
      </c>
      <c r="BF15" s="106">
        <f>IF(GH15="","",IF(ISNUMBER('Dvd Calendar'!$T$52)=FALSE,"",'Dvd Calendar'!$T$52))</f>
        <v/>
      </c>
      <c r="BG15" s="106">
        <f>IF(GI15="","",IF(ISNUMBER('Dvd Calendar'!$U$52)=FALSE,"",'Dvd Calendar'!$U$52))</f>
        <v/>
      </c>
      <c r="BH15" s="106">
        <f>IF(GJ15="","",IF(ISNUMBER('Dvd Calendar'!$V$52)=FALSE,"",'Dvd Calendar'!$V$52))</f>
        <v/>
      </c>
      <c r="BI15" s="106">
        <f>IF(GK15="","",IF(ISNUMBER('Dvd Calendar'!$W$52)=FALSE,"",'Dvd Calendar'!$W$52))</f>
        <v/>
      </c>
      <c r="BJ15" s="106">
        <f>IF(GL15="","",IF(ISNUMBER('Dvd Calendar'!$X$52)=FALSE,"",'Dvd Calendar'!$X$52))</f>
        <v/>
      </c>
      <c r="BK15" s="106">
        <f>IF(GM15="","",IF(ISNUMBER('Dvd Calendar'!$Y$52)=FALSE,"",'Dvd Calendar'!$Y$52))</f>
        <v/>
      </c>
      <c r="BL15" s="106">
        <f>IF(GN15="","",IF(ISNUMBER('Dvd Calendar'!$Z$52)=FALSE,"",'Dvd Calendar'!$Z$52))</f>
        <v/>
      </c>
      <c r="BM15" s="106">
        <f>IF(GO15="","",IF(ISNUMBER('Dvd Calendar'!$AA$52)=FALSE,"",'Dvd Calendar'!$AA$52))</f>
        <v/>
      </c>
      <c r="BN15" s="106">
        <f>IF(GP15="","",IF(ISNUMBER('Dvd Calendar'!$AB$52)=FALSE,"",'Dvd Calendar'!$AB$52))</f>
        <v/>
      </c>
      <c r="BO15" s="106">
        <f>IF(GQ15="","",IF(ISNUMBER('Dvd Calendar'!$AC$52)=FALSE,"",'Dvd Calendar'!$AC$52))</f>
        <v/>
      </c>
      <c r="BQ15" s="106">
        <f>IF(C15="","",IFERROR(C15*HSI!$B$10*HSI!$G$10/HSI!$B$3,""))</f>
        <v/>
      </c>
      <c r="BR15" s="106">
        <f>IF(D15="","",IFERROR(D15*HSI!$B$10*HSI!$G$10/HSI!$B$3,""))</f>
        <v/>
      </c>
      <c r="BS15" s="106">
        <f>IF(E15="","",IFERROR(E15*HSI!$B$10*HSI!$G$10/HSI!$B$3,""))</f>
        <v/>
      </c>
      <c r="BT15" s="106">
        <f>IF(F15="","",IFERROR(F15*HSI!$B$10*HSI!$G$10/HSI!$B$3,""))</f>
        <v/>
      </c>
      <c r="BU15" s="106">
        <f>IF(G15="","",IFERROR(G15*HSI!$B$10*HSI!$G$10/HSI!$B$3,""))</f>
        <v/>
      </c>
      <c r="BV15" s="106">
        <f>IF(H15="","",IFERROR(H15*HSI!$B$10*HSI!$G$10/HSI!$B$3,""))</f>
        <v/>
      </c>
      <c r="BW15" s="106">
        <f>IF(I15="","",IFERROR(I15*HSI!$B$10*HSI!$G$10/HSI!$B$3,""))</f>
        <v/>
      </c>
      <c r="BX15" s="106">
        <f>IF(J15="","",IFERROR(J15*HSI!$B$10*HSI!$G$10/HSI!$B$3,""))</f>
        <v/>
      </c>
      <c r="BY15" s="106">
        <f>IF(K15="","",IFERROR(K15*HSI!$B$10*HSI!$G$10/HSI!$B$3,""))</f>
        <v/>
      </c>
      <c r="BZ15" s="106">
        <f>IF(L15="","",IFERROR(L15*HSI!$B$10*HSI!$G$10/HSI!$B$3,""))</f>
        <v/>
      </c>
      <c r="CA15" s="106">
        <f>IF(M15="","",IFERROR(M15*HSI!$B$10*HSI!$G$10/HSI!$B$3,""))</f>
        <v/>
      </c>
      <c r="CB15" s="106">
        <f>IF(N15="","",IFERROR(N15*HSI!$B$10*HSI!$G$10/HSI!$B$3,""))</f>
        <v/>
      </c>
      <c r="CC15" s="106">
        <f>IF(O15="","",IFERROR(O15*HSI!$B$10*HSI!$G$10/HSI!$B$3,""))</f>
        <v/>
      </c>
      <c r="CD15" s="106">
        <f>IF(P15="","",IFERROR(P15*HSI!$B$10*HSI!$G$10/HSI!$B$3,""))</f>
        <v/>
      </c>
      <c r="CE15" s="106">
        <f>IF(Q15="","",IFERROR(Q15*HSI!$B$10*HSI!$G$10/HSI!$B$3,""))</f>
        <v/>
      </c>
      <c r="CF15" s="106">
        <f>IF(R15="","",IFERROR(R15*HSI!$B$10*HSI!$G$10/HSI!$B$3,""))</f>
        <v/>
      </c>
      <c r="CG15" s="106">
        <f>IF(S15="","",IFERROR(S15*HSI!$B$10*HSI!$G$10/HSI!$B$3,""))</f>
        <v/>
      </c>
      <c r="CH15" s="106">
        <f>IF(T15="","",IFERROR(T15*HSI!$B$10*HSI!$G$10/HSI!$B$3,""))</f>
        <v/>
      </c>
      <c r="CI15" s="106">
        <f>IF(U15="","",IFERROR(U15*HSI!$B$10*HSI!$G$10/HSI!$B$3,""))</f>
        <v/>
      </c>
      <c r="CJ15" s="106">
        <f>IF(V15="","",IFERROR(V15*HSI!$B$10*HSI!$G$10/HSI!$B$3,""))</f>
        <v/>
      </c>
      <c r="CK15" s="106">
        <f>IF(W15="","",IFERROR(W15*HSI!$B$10*HSI!$G$10/HSI!$B$3,""))</f>
        <v/>
      </c>
      <c r="CL15" s="106">
        <f>IF(X15="","",IFERROR(X15*HSI!$B$10*HSI!$G$10/HSI!$B$3,""))</f>
        <v/>
      </c>
      <c r="CM15" s="106">
        <f>IF(Y15="","",IFERROR(Y15*HSI!$B$10*HSI!$G$10/HSI!$B$3,""))</f>
        <v/>
      </c>
      <c r="CN15" s="106">
        <f>IF(Z15="","",IFERROR(Z15*HSI!$B$10*HSI!$G$10/HSI!$B$3,""))</f>
        <v/>
      </c>
      <c r="CO15" s="106">
        <f>IF(AA15="","",IFERROR(AA15*HSI!$B$10*HSI!$G$10/HSI!$B$3,""))</f>
        <v/>
      </c>
      <c r="CP15" s="106">
        <f>IF(AB15="","",IFERROR(AB15*HSI!$B$10*HSI!$G$10/HSI!$B$3,""))</f>
        <v/>
      </c>
      <c r="CQ15" s="106">
        <f>IF(AC15="","",IFERROR(AC15*HSI!$B$10*HSI!$G$10/HSI!$B$3,""))</f>
        <v/>
      </c>
      <c r="CR15" s="106">
        <f>IF(AD15="","",IFERROR(AD15*HSI!$B$10*HSI!$G$10/HSI!$B$3,""))</f>
        <v/>
      </c>
      <c r="CS15" s="106">
        <f>IF(AE15="","",IFERROR(AE15*HSI!$B$10*HSI!$G$10/HSI!$B$3,""))</f>
        <v/>
      </c>
      <c r="CT15" s="106">
        <f>IF(AF15="","",IFERROR(AF15*HSI!$B$10*HSI!$G$10/HSI!$B$3,""))</f>
        <v/>
      </c>
      <c r="CU15" s="106">
        <f>IF(AG15="","",IFERROR(AG15*HSI!$B$10*HSI!$G$10/HSI!$B$3,""))</f>
        <v/>
      </c>
      <c r="CV15" s="106">
        <f>IF(AH15="","",IFERROR(AH15*HSI!$B$10*HSI!$G$10/HSI!$B$3,""))</f>
        <v/>
      </c>
      <c r="CW15" s="106">
        <f>IF(AI15="","",IFERROR(AI15*HSI!$B$10*HSI!$G$10/HSI!$B$3,""))</f>
        <v/>
      </c>
      <c r="CX15" s="106">
        <f>IF(AJ15="","",IFERROR(AJ15*HSI!$B$10*HSI!$G$10/HSI!$B$3,""))</f>
        <v/>
      </c>
      <c r="CY15" s="106">
        <f>IF(AK15="","",IFERROR(AK15*HSI!$B$10*HSI!$G$10/HSI!$B$3,""))</f>
        <v/>
      </c>
      <c r="CZ15" s="106">
        <f>IF(AL15="","",IFERROR(AL15*HSI!$B$10*HSI!$G$10/HSI!$B$3,""))</f>
        <v/>
      </c>
      <c r="DA15" s="106">
        <f>IF(AM15="","",IFERROR(AM15*HSI!$B$10*HSI!$G$10/HSI!$B$3,""))</f>
        <v/>
      </c>
      <c r="DB15" s="106">
        <f>IF(AN15="","",IFERROR(AN15*HSI!$B$10*HSI!$G$10/HSI!$B$3,""))</f>
        <v/>
      </c>
      <c r="DC15" s="106">
        <f>IF(AO15="","",IFERROR(AO15*HSI!$B$10*HSI!$G$10/HSI!$B$3,""))</f>
        <v/>
      </c>
      <c r="DD15" s="106">
        <f>IF(AP15="","",IFERROR(AP15*HSI!$B$10*HSI!$G$10/HSI!$B$3,""))</f>
        <v/>
      </c>
      <c r="DE15" s="106">
        <f>IF(AQ15="","",IFERROR(AQ15*HSI!$B$10*HSI!$G$10/HSI!$B$3,""))</f>
        <v/>
      </c>
      <c r="DF15" s="106">
        <f>IF(AR15="","",IFERROR(AR15*HSI!$B$10*HSI!$G$10/HSI!$B$3,""))</f>
        <v/>
      </c>
      <c r="DG15" s="106">
        <f>IF(AS15="","",IFERROR(AS15*HSI!$B$10*HSI!$G$10/HSI!$B$3,""))</f>
        <v/>
      </c>
      <c r="DH15" s="106">
        <f>IF(AT15="","",IFERROR(AT15*HSI!$B$10*HSI!$G$10/HSI!$B$3,""))</f>
        <v/>
      </c>
      <c r="DI15" s="106">
        <f>IF(AU15="","",IFERROR(AU15*HSI!$B$10*HSI!$G$10/HSI!$B$3,""))</f>
        <v/>
      </c>
      <c r="DJ15" s="106">
        <f>IF(AV15="","",IFERROR(AV15*HSI!$B$10*HSI!$G$10/HSI!$B$3,""))</f>
        <v/>
      </c>
      <c r="DK15" s="106">
        <f>IF(AW15="","",IFERROR(AW15*HSI!$B$10*HSI!$G$10/HSI!$B$3,""))</f>
        <v/>
      </c>
      <c r="DL15" s="106">
        <f>IF(AX15="","",IFERROR(AX15*HSI!$B$10*HSI!$G$10/HSI!$B$3,""))</f>
        <v/>
      </c>
      <c r="DM15" s="106">
        <f>IF(AY15="","",IFERROR(AY15*HSI!$B$10*HSI!$G$10/HSI!$B$3,""))</f>
        <v/>
      </c>
      <c r="DN15" s="106">
        <f>IF(AZ15="","",IFERROR(AZ15*HSI!$B$10*HSI!$G$10/HSI!$B$3,""))</f>
        <v/>
      </c>
      <c r="DO15" s="106">
        <f>IF(BA15="","",IFERROR(BA15*HSI!$B$10*HSI!$G$10/HSI!$B$3,""))</f>
        <v/>
      </c>
      <c r="DP15" s="106">
        <f>IF(BB15="","",IFERROR(BB15*HSI!$B$10*HSI!$G$10/HSI!$B$3,""))</f>
        <v/>
      </c>
      <c r="DQ15" s="106">
        <f>IF(BC15="","",IFERROR(BC15*HSI!$B$10*HSI!$G$10/HSI!$B$3,""))</f>
        <v/>
      </c>
      <c r="DR15" s="106">
        <f>IF(BD15="","",IFERROR(BD15*HSI!$B$10*HSI!$G$10/HSI!$B$3,""))</f>
        <v/>
      </c>
      <c r="DS15" s="106">
        <f>IF(BE15="","",IFERROR(BE15*HSI!$B$10*HSI!$G$10/HSI!$B$3,""))</f>
        <v/>
      </c>
      <c r="DT15" s="106">
        <f>IF(BF15="","",IFERROR(BF15*HSI!$B$10*HSI!$G$10/HSI!$B$3,""))</f>
        <v/>
      </c>
      <c r="DU15" s="106">
        <f>IF(BG15="","",IFERROR(BG15*HSI!$B$10*HSI!$G$10/HSI!$B$3,""))</f>
        <v/>
      </c>
      <c r="DV15" s="106">
        <f>IF(BH15="","",IFERROR(BH15*HSI!$B$10*HSI!$G$10/HSI!$B$3,""))</f>
        <v/>
      </c>
      <c r="DW15" s="106">
        <f>IF(BI15="","",IFERROR(BI15*HSI!$B$10*HSI!$G$10/HSI!$B$3,""))</f>
        <v/>
      </c>
      <c r="DX15" s="106">
        <f>IF(BJ15="","",IFERROR(BJ15*HSI!$B$10*HSI!$G$10/HSI!$B$3,""))</f>
        <v/>
      </c>
      <c r="DY15" s="106">
        <f>IF(BK15="","",IFERROR(BK15*HSI!$B$10*HSI!$G$10/HSI!$B$3,""))</f>
        <v/>
      </c>
      <c r="DZ15" s="106">
        <f>IF(BL15="","",IFERROR(BL15*HSI!$B$10*HSI!$G$10/HSI!$B$3,""))</f>
        <v/>
      </c>
      <c r="EA15" s="106">
        <f>IF(BM15="","",IFERROR(BM15*HSI!$B$10*HSI!$G$10/HSI!$B$3,""))</f>
        <v/>
      </c>
      <c r="EB15" s="106">
        <f>IF(BN15="","",IFERROR(BN15*HSI!$B$10*HSI!$G$10/HSI!$B$3,""))</f>
        <v/>
      </c>
      <c r="EC15" s="106">
        <f>IF(BO15="","",IFERROR(BO15*HSI!$B$10*HSI!$G$10/HSI!$B$3,""))</f>
        <v/>
      </c>
      <c r="EE15" s="35">
        <f>IF(N('Dvd Calendar'!$E$44)=0,"",IF(('Dvd Calendar'!$E$44&gt;=GRID_FROM)*('Dvd Calendar'!$E$44&lt;=GRID_TO)*('Dvd Calendar'!$E$44&lt;=VAL_DATE)=0,"",'Dvd Calendar'!$E$44*1000000000+ISNUMBER('Dvd Calendar'!$E$47)*100000000+('Dvd Calendar'!$E$49=SPECIAL_LBL)*10000000+0*1000000+4*1000+1))</f>
        <v/>
      </c>
      <c r="EF15" s="35">
        <f>IF(N('Dvd Calendar'!$F$44)=0,"",IF(('Dvd Calendar'!$F$44&gt;=GRID_FROM)*('Dvd Calendar'!$F$44&lt;=GRID_TO)*('Dvd Calendar'!$F$44&lt;=VAL_DATE)=0,"",'Dvd Calendar'!$F$44*1000000000+ISNUMBER('Dvd Calendar'!$F$47)*100000000+('Dvd Calendar'!$F$49=SPECIAL_LBL)*10000000+0*1000000+4*1000+2))</f>
        <v/>
      </c>
      <c r="EG15" s="35">
        <f>IF(N('Dvd Calendar'!$G$44)=0,"",IF(('Dvd Calendar'!$G$44&gt;=GRID_FROM)*('Dvd Calendar'!$G$44&lt;=GRID_TO)*('Dvd Calendar'!$G$44&lt;=VAL_DATE)=0,"",'Dvd Calendar'!$G$44*1000000000+ISNUMBER('Dvd Calendar'!$G$47)*100000000+('Dvd Calendar'!$G$49=SPECIAL_LBL)*10000000+0*1000000+4*1000+3))</f>
        <v/>
      </c>
      <c r="EH15" s="35">
        <f>IF(N('Dvd Calendar'!$H$44)=0,"",IF(('Dvd Calendar'!$H$44&gt;=GRID_FROM)*('Dvd Calendar'!$H$44&lt;=GRID_TO)*('Dvd Calendar'!$H$44&lt;=VAL_DATE)=0,"",'Dvd Calendar'!$H$44*1000000000+ISNUMBER('Dvd Calendar'!$H$47)*100000000+('Dvd Calendar'!$H$49=SPECIAL_LBL)*10000000+0*1000000+4*1000+4))</f>
        <v/>
      </c>
      <c r="EI15" s="35">
        <f>IF(N('Dvd Calendar'!$I$44)=0,"",IF(('Dvd Calendar'!$I$44&gt;=GRID_FROM)*('Dvd Calendar'!$I$44&lt;=GRID_TO)*('Dvd Calendar'!$I$44&lt;=VAL_DATE)=0,"",'Dvd Calendar'!$I$44*1000000000+ISNUMBER('Dvd Calendar'!$I$47)*100000000+('Dvd Calendar'!$I$49=SPECIAL_LBL)*10000000+0*1000000+4*1000+5))</f>
        <v/>
      </c>
      <c r="EJ15" s="35">
        <f>IF(N('Dvd Calendar'!$J$44)=0,"",IF(('Dvd Calendar'!$J$44&gt;=GRID_FROM)*('Dvd Calendar'!$J$44&lt;=GRID_TO)*('Dvd Calendar'!$J$44&lt;=VAL_DATE)=0,"",'Dvd Calendar'!$J$44*1000000000+ISNUMBER('Dvd Calendar'!$J$47)*100000000+('Dvd Calendar'!$J$49=SPECIAL_LBL)*10000000+0*1000000+4*1000+6))</f>
        <v/>
      </c>
      <c r="EK15" s="35">
        <f>IF(N('Dvd Calendar'!$K$44)=0,"",IF(('Dvd Calendar'!$K$44&gt;=GRID_FROM)*('Dvd Calendar'!$K$44&lt;=GRID_TO)*('Dvd Calendar'!$K$44&lt;=VAL_DATE)=0,"",'Dvd Calendar'!$K$44*1000000000+ISNUMBER('Dvd Calendar'!$K$47)*100000000+('Dvd Calendar'!$K$49=SPECIAL_LBL)*10000000+0*1000000+4*1000+7))</f>
        <v/>
      </c>
      <c r="EL15" s="35">
        <f>IF(N('Dvd Calendar'!$L$44)=0,"",IF(('Dvd Calendar'!$L$44&gt;=GRID_FROM)*('Dvd Calendar'!$L$44&lt;=GRID_TO)*('Dvd Calendar'!$L$44&lt;=VAL_DATE)=0,"",'Dvd Calendar'!$L$44*1000000000+ISNUMBER('Dvd Calendar'!$L$47)*100000000+('Dvd Calendar'!$L$49=SPECIAL_LBL)*10000000+0*1000000+4*1000+8))</f>
        <v/>
      </c>
      <c r="EM15" s="35">
        <f>IF(N('Dvd Calendar'!$M$44)=0,"",IF(('Dvd Calendar'!$M$44&gt;=GRID_FROM)*('Dvd Calendar'!$M$44&lt;=GRID_TO)*('Dvd Calendar'!$M$44&lt;=VAL_DATE)=0,"",'Dvd Calendar'!$M$44*1000000000+ISNUMBER('Dvd Calendar'!$M$47)*100000000+('Dvd Calendar'!$M$49=SPECIAL_LBL)*10000000+0*1000000+4*1000+9))</f>
        <v/>
      </c>
      <c r="EN15" s="35">
        <f>IF(N('Dvd Calendar'!$N$44)=0,"",IF(('Dvd Calendar'!$N$44&gt;=GRID_FROM)*('Dvd Calendar'!$N$44&lt;=GRID_TO)*('Dvd Calendar'!$N$44&lt;=VAL_DATE)=0,"",'Dvd Calendar'!$N$44*1000000000+ISNUMBER('Dvd Calendar'!$N$47)*100000000+('Dvd Calendar'!$N$49=SPECIAL_LBL)*10000000+0*1000000+4*1000+10))</f>
        <v/>
      </c>
      <c r="EO15" s="35">
        <f>IF(N('Dvd Calendar'!$O$44)=0,"",IF(('Dvd Calendar'!$O$44&gt;=GRID_FROM)*('Dvd Calendar'!$O$44&lt;=GRID_TO)*('Dvd Calendar'!$O$44&lt;=VAL_DATE)=0,"",'Dvd Calendar'!$O$44*1000000000+ISNUMBER('Dvd Calendar'!$O$47)*100000000+('Dvd Calendar'!$O$49=SPECIAL_LBL)*10000000+0*1000000+4*1000+11))</f>
        <v/>
      </c>
      <c r="EP15" s="35">
        <f>IF(N('Dvd Calendar'!$P$44)=0,"",IF(('Dvd Calendar'!$P$44&gt;=GRID_FROM)*('Dvd Calendar'!$P$44&lt;=GRID_TO)*('Dvd Calendar'!$P$44&lt;=VAL_DATE)=0,"",'Dvd Calendar'!$P$44*1000000000+ISNUMBER('Dvd Calendar'!$P$47)*100000000+('Dvd Calendar'!$P$49=SPECIAL_LBL)*10000000+0*1000000+4*1000+12))</f>
        <v/>
      </c>
      <c r="EQ15" s="35">
        <f>IF(N('Dvd Calendar'!$Q$44)=0,"",IF(('Dvd Calendar'!$Q$44&gt;=GRID_FROM)*('Dvd Calendar'!$Q$44&lt;=GRID_TO)*('Dvd Calendar'!$Q$44&lt;=VAL_DATE)=0,"",'Dvd Calendar'!$Q$44*1000000000+ISNUMBER('Dvd Calendar'!$Q$47)*100000000+('Dvd Calendar'!$Q$49=SPECIAL_LBL)*10000000+0*1000000+4*1000+13))</f>
        <v/>
      </c>
      <c r="ER15" s="35">
        <f>IF(N('Dvd Calendar'!$R$44)=0,"",IF(('Dvd Calendar'!$R$44&gt;=GRID_FROM)*('Dvd Calendar'!$R$44&lt;=GRID_TO)*('Dvd Calendar'!$R$44&lt;=VAL_DATE)=0,"",'Dvd Calendar'!$R$44*1000000000+ISNUMBER('Dvd Calendar'!$R$47)*100000000+('Dvd Calendar'!$R$49=SPECIAL_LBL)*10000000+0*1000000+4*1000+14))</f>
        <v/>
      </c>
      <c r="ES15" s="35">
        <f>IF(N('Dvd Calendar'!$S$44)=0,"",IF(('Dvd Calendar'!$S$44&gt;=GRID_FROM)*('Dvd Calendar'!$S$44&lt;=GRID_TO)*('Dvd Calendar'!$S$44&lt;=VAL_DATE)=0,"",'Dvd Calendar'!$S$44*1000000000+ISNUMBER('Dvd Calendar'!$S$47)*100000000+('Dvd Calendar'!$S$49=SPECIAL_LBL)*10000000+0*1000000+4*1000+15))</f>
        <v/>
      </c>
      <c r="ET15" s="35">
        <f>IF(N('Dvd Calendar'!$T$44)=0,"",IF(('Dvd Calendar'!$T$44&gt;=GRID_FROM)*('Dvd Calendar'!$T$44&lt;=GRID_TO)*('Dvd Calendar'!$T$44&lt;=VAL_DATE)=0,"",'Dvd Calendar'!$T$44*1000000000+ISNUMBER('Dvd Calendar'!$T$47)*100000000+('Dvd Calendar'!$T$49=SPECIAL_LBL)*10000000+0*1000000+4*1000+16))</f>
        <v/>
      </c>
      <c r="EU15" s="35">
        <f>IF(N('Dvd Calendar'!$U$44)=0,"",IF(('Dvd Calendar'!$U$44&gt;=GRID_FROM)*('Dvd Calendar'!$U$44&lt;=GRID_TO)*('Dvd Calendar'!$U$44&lt;=VAL_DATE)=0,"",'Dvd Calendar'!$U$44*1000000000+ISNUMBER('Dvd Calendar'!$U$47)*100000000+('Dvd Calendar'!$U$49=SPECIAL_LBL)*10000000+0*1000000+4*1000+17))</f>
        <v/>
      </c>
      <c r="EV15" s="35">
        <f>IF(N('Dvd Calendar'!$V$44)=0,"",IF(('Dvd Calendar'!$V$44&gt;=GRID_FROM)*('Dvd Calendar'!$V$44&lt;=GRID_TO)*('Dvd Calendar'!$V$44&lt;=VAL_DATE)=0,"",'Dvd Calendar'!$V$44*1000000000+ISNUMBER('Dvd Calendar'!$V$47)*100000000+('Dvd Calendar'!$V$49=SPECIAL_LBL)*10000000+0*1000000+4*1000+18))</f>
        <v/>
      </c>
      <c r="EW15" s="35">
        <f>IF(N('Dvd Calendar'!$W$44)=0,"",IF(('Dvd Calendar'!$W$44&gt;=GRID_FROM)*('Dvd Calendar'!$W$44&lt;=GRID_TO)*('Dvd Calendar'!$W$44&lt;=VAL_DATE)=0,"",'Dvd Calendar'!$W$44*1000000000+ISNUMBER('Dvd Calendar'!$W$47)*100000000+('Dvd Calendar'!$W$49=SPECIAL_LBL)*10000000+0*1000000+4*1000+19))</f>
        <v/>
      </c>
      <c r="EX15" s="35">
        <f>IF(N('Dvd Calendar'!$X$44)=0,"",IF(('Dvd Calendar'!$X$44&gt;=GRID_FROM)*('Dvd Calendar'!$X$44&lt;=GRID_TO)*('Dvd Calendar'!$X$44&lt;=VAL_DATE)=0,"",'Dvd Calendar'!$X$44*1000000000+ISNUMBER('Dvd Calendar'!$X$47)*100000000+('Dvd Calendar'!$X$49=SPECIAL_LBL)*10000000+0*1000000+4*1000+20))</f>
        <v/>
      </c>
      <c r="EY15" s="35">
        <f>IF(N('Dvd Calendar'!$Y$44)=0,"",IF(('Dvd Calendar'!$Y$44&gt;=GRID_FROM)*('Dvd Calendar'!$Y$44&lt;=GRID_TO)*('Dvd Calendar'!$Y$44&lt;=VAL_DATE)=0,"",'Dvd Calendar'!$Y$44*1000000000+ISNUMBER('Dvd Calendar'!$Y$47)*100000000+('Dvd Calendar'!$Y$49=SPECIAL_LBL)*10000000+0*1000000+4*1000+21))</f>
        <v/>
      </c>
      <c r="EZ15" s="35">
        <f>IF(N('Dvd Calendar'!$Z$44)=0,"",IF(('Dvd Calendar'!$Z$44&gt;=GRID_FROM)*('Dvd Calendar'!$Z$44&lt;=GRID_TO)*('Dvd Calendar'!$Z$44&lt;=VAL_DATE)=0,"",'Dvd Calendar'!$Z$44*1000000000+ISNUMBER('Dvd Calendar'!$Z$47)*100000000+('Dvd Calendar'!$Z$49=SPECIAL_LBL)*10000000+0*1000000+4*1000+22))</f>
        <v/>
      </c>
      <c r="FA15" s="35">
        <f>IF(N('Dvd Calendar'!$AA$44)=0,"",IF(('Dvd Calendar'!$AA$44&gt;=GRID_FROM)*('Dvd Calendar'!$AA$44&lt;=GRID_TO)*('Dvd Calendar'!$AA$44&lt;=VAL_DATE)=0,"",'Dvd Calendar'!$AA$44*1000000000+ISNUMBER('Dvd Calendar'!$AA$47)*100000000+('Dvd Calendar'!$AA$49=SPECIAL_LBL)*10000000+0*1000000+4*1000+23))</f>
        <v/>
      </c>
      <c r="FB15" s="35">
        <f>IF(N('Dvd Calendar'!$AB$44)=0,"",IF(('Dvd Calendar'!$AB$44&gt;=GRID_FROM)*('Dvd Calendar'!$AB$44&lt;=GRID_TO)*('Dvd Calendar'!$AB$44&lt;=VAL_DATE)=0,"",'Dvd Calendar'!$AB$44*1000000000+ISNUMBER('Dvd Calendar'!$AB$47)*100000000+('Dvd Calendar'!$AB$49=SPECIAL_LBL)*10000000+0*1000000+4*1000+24))</f>
        <v/>
      </c>
      <c r="FC15" s="35">
        <f>IF(N('Dvd Calendar'!$AC$44)=0,"",IF(('Dvd Calendar'!$AC$44&gt;=GRID_FROM)*('Dvd Calendar'!$AC$44&lt;=GRID_TO)*('Dvd Calendar'!$AC$44&lt;=VAL_DATE)=0,"",'Dvd Calendar'!$AC$44*1000000000+ISNUMBER('Dvd Calendar'!$AC$47)*100000000+('Dvd Calendar'!$AC$49=SPECIAL_LBL)*10000000+0*1000000+4*1000+25))</f>
        <v/>
      </c>
      <c r="FD15" s="35">
        <f>IF(N('Dvd Calendar'!$AD$44)=0,"",IF(('Dvd Calendar'!$AD$44&gt;=GRID_FROM)*('Dvd Calendar'!$AD$44&lt;=GRID_TO)*('Dvd Calendar'!$AD$44&lt;=VAL_DATE)=0,"",'Dvd Calendar'!$AD$44*1000000000+ISNUMBER('Dvd Calendar'!$AD$47)*100000000+('Dvd Calendar'!$AD$49=SPECIAL_LBL)*10000000+0*1000000+4*1000+26))</f>
        <v/>
      </c>
      <c r="FE15" s="35">
        <f>IF(N('Dvd Calendar'!$AE$44)=0,"",IF(('Dvd Calendar'!$AE$44&gt;=GRID_FROM)*('Dvd Calendar'!$AE$44&lt;=GRID_TO)*('Dvd Calendar'!$AE$44&lt;=VAL_DATE)=0,"",'Dvd Calendar'!$AE$44*1000000000+ISNUMBER('Dvd Calendar'!$AE$47)*100000000+('Dvd Calendar'!$AE$49=SPECIAL_LBL)*10000000+0*1000000+4*1000+27))</f>
        <v/>
      </c>
      <c r="FF15" s="35">
        <f>IF(N('Dvd Calendar'!$AF$44)=0,"",IF(('Dvd Calendar'!$AF$44&gt;=GRID_FROM)*('Dvd Calendar'!$AF$44&lt;=GRID_TO)*('Dvd Calendar'!$AF$44&lt;=VAL_DATE)=0,"",'Dvd Calendar'!$AF$44*1000000000+ISNUMBER('Dvd Calendar'!$AF$47)*100000000+('Dvd Calendar'!$AF$49=SPECIAL_LBL)*10000000+0*1000000+4*1000+28))</f>
        <v/>
      </c>
      <c r="FG15" s="35">
        <f>IF(N('Dvd Calendar'!$AG$44)=0,"",IF(('Dvd Calendar'!$AG$44&gt;=GRID_FROM)*('Dvd Calendar'!$AG$44&lt;=GRID_TO)*('Dvd Calendar'!$AG$44&lt;=VAL_DATE)=0,"",'Dvd Calendar'!$AG$44*1000000000+ISNUMBER('Dvd Calendar'!$AG$47)*100000000+('Dvd Calendar'!$AG$49=SPECIAL_LBL)*10000000+0*1000000+4*1000+29))</f>
        <v/>
      </c>
      <c r="FH15" s="35">
        <f>IF(N('Dvd Calendar'!$AH$44)=0,"",IF(('Dvd Calendar'!$AH$44&gt;=GRID_FROM)*('Dvd Calendar'!$AH$44&lt;=GRID_TO)*('Dvd Calendar'!$AH$44&lt;=VAL_DATE)=0,"",'Dvd Calendar'!$AH$44*1000000000+ISNUMBER('Dvd Calendar'!$AH$47)*100000000+('Dvd Calendar'!$AH$49=SPECIAL_LBL)*10000000+0*1000000+4*1000+30))</f>
        <v/>
      </c>
      <c r="FI15" s="35">
        <f>IF(N('Dvd Calendar'!$AI$44)=0,"",IF(('Dvd Calendar'!$AI$44&gt;=GRID_FROM)*('Dvd Calendar'!$AI$44&lt;=GRID_TO)*('Dvd Calendar'!$AI$44&lt;=VAL_DATE)=0,"",'Dvd Calendar'!$AI$44*1000000000+ISNUMBER('Dvd Calendar'!$AI$47)*100000000+('Dvd Calendar'!$AI$49=SPECIAL_LBL)*10000000+0*1000000+4*1000+31))</f>
        <v/>
      </c>
      <c r="FJ15" s="35">
        <f>IF(N('Dvd Calendar'!$AJ$44)=0,"",IF(('Dvd Calendar'!$AJ$44&gt;=GRID_FROM)*('Dvd Calendar'!$AJ$44&lt;=GRID_TO)*('Dvd Calendar'!$AJ$44&lt;=VAL_DATE)=0,"",'Dvd Calendar'!$AJ$44*1000000000+ISNUMBER('Dvd Calendar'!$AJ$47)*100000000+('Dvd Calendar'!$AJ$49=SPECIAL_LBL)*10000000+0*1000000+4*1000+32))</f>
        <v/>
      </c>
      <c r="FK15" s="35">
        <f>IF(N('Dvd Calendar'!$AK$44)=0,"",IF(('Dvd Calendar'!$AK$44&gt;=GRID_FROM)*('Dvd Calendar'!$AK$44&lt;=GRID_TO)*('Dvd Calendar'!$AK$44&lt;=VAL_DATE)=0,"",'Dvd Calendar'!$AK$44*1000000000+ISNUMBER('Dvd Calendar'!$AK$47)*100000000+('Dvd Calendar'!$AK$49=SPECIAL_LBL)*10000000+0*1000000+4*1000+33))</f>
        <v/>
      </c>
      <c r="FL15" s="35">
        <f>IF(N('Dvd Calendar'!$AL$44)=0,"",IF(('Dvd Calendar'!$AL$44&gt;=GRID_FROM)*('Dvd Calendar'!$AL$44&lt;=GRID_TO)*('Dvd Calendar'!$AL$44&lt;=VAL_DATE)=0,"",'Dvd Calendar'!$AL$44*1000000000+ISNUMBER('Dvd Calendar'!$AL$47)*100000000+('Dvd Calendar'!$AL$49=SPECIAL_LBL)*10000000+0*1000000+4*1000+34))</f>
        <v/>
      </c>
      <c r="FM15" s="35">
        <f>IF(N('Dvd Calendar'!$AM$44)=0,"",IF(('Dvd Calendar'!$AM$44&gt;=GRID_FROM)*('Dvd Calendar'!$AM$44&lt;=GRID_TO)*('Dvd Calendar'!$AM$44&lt;=VAL_DATE)=0,"",'Dvd Calendar'!$AM$44*1000000000+ISNUMBER('Dvd Calendar'!$AM$47)*100000000+('Dvd Calendar'!$AM$49=SPECIAL_LBL)*10000000+0*1000000+4*1000+35))</f>
        <v/>
      </c>
      <c r="FN15" s="35">
        <f>IF(N('Dvd Calendar'!$AN$44)=0,"",IF(('Dvd Calendar'!$AN$44&gt;=GRID_FROM)*('Dvd Calendar'!$AN$44&lt;=GRID_TO)*('Dvd Calendar'!$AN$44&lt;=VAL_DATE)=0,"",'Dvd Calendar'!$AN$44*1000000000+ISNUMBER('Dvd Calendar'!$AN$47)*100000000+('Dvd Calendar'!$AN$49=SPECIAL_LBL)*10000000+0*1000000+4*1000+36))</f>
        <v/>
      </c>
      <c r="FO15" s="35">
        <f>IF(N('Dvd Calendar'!$AO$44)=0,"",IF(('Dvd Calendar'!$AO$44&gt;=GRID_FROM)*('Dvd Calendar'!$AO$44&lt;=GRID_TO)*('Dvd Calendar'!$AO$44&lt;=VAL_DATE)=0,"",'Dvd Calendar'!$AO$44*1000000000+ISNUMBER('Dvd Calendar'!$AO$47)*100000000+('Dvd Calendar'!$AO$49=SPECIAL_LBL)*10000000+0*1000000+4*1000+37))</f>
        <v/>
      </c>
      <c r="FP15" s="35">
        <f>IF(N('Dvd Calendar'!$AP$44)=0,"",IF(('Dvd Calendar'!$AP$44&gt;=GRID_FROM)*('Dvd Calendar'!$AP$44&lt;=GRID_TO)*('Dvd Calendar'!$AP$44&lt;=VAL_DATE)=0,"",'Dvd Calendar'!$AP$44*1000000000+ISNUMBER('Dvd Calendar'!$AP$47)*100000000+('Dvd Calendar'!$AP$49=SPECIAL_LBL)*10000000+0*1000000+4*1000+38))</f>
        <v/>
      </c>
      <c r="FQ15" s="35">
        <f>IF(N('Dvd Calendar'!$AQ$44)=0,"",IF(('Dvd Calendar'!$AQ$44&gt;=GRID_FROM)*('Dvd Calendar'!$AQ$44&lt;=GRID_TO)*('Dvd Calendar'!$AQ$44&lt;=VAL_DATE)=0,"",'Dvd Calendar'!$AQ$44*1000000000+ISNUMBER('Dvd Calendar'!$AQ$47)*100000000+('Dvd Calendar'!$AQ$49=SPECIAL_LBL)*10000000+0*1000000+4*1000+39))</f>
        <v/>
      </c>
      <c r="FR15" s="35">
        <f>IF(N('Dvd Calendar'!$AR$44)=0,"",IF(('Dvd Calendar'!$AR$44&gt;=GRID_FROM)*('Dvd Calendar'!$AR$44&lt;=GRID_TO)*('Dvd Calendar'!$AR$44&lt;=VAL_DATE)=0,"",'Dvd Calendar'!$AR$44*1000000000+ISNUMBER('Dvd Calendar'!$AR$47)*100000000+('Dvd Calendar'!$AR$49=SPECIAL_LBL)*10000000+0*1000000+4*1000+40))</f>
        <v/>
      </c>
      <c r="FS15" s="35">
        <f>IF(N('Dvd Calendar'!$E$51)=0,"",IF(('Dvd Calendar'!$E$51&gt;=GRID_FROM)*('Dvd Calendar'!$E$51&lt;=GRID_TO)*('Dvd Calendar'!$E$51&gt;VAL_DATE)=0,"",'Dvd Calendar'!$E$51*1000000000+ISNUMBER('Dvd Calendar'!$E$52)*100000000+0*10000000+(N('Dvd Calendar'!$E$50)&gt;0)*(N('Dvd Calendar'!$E$50)&lt;=VAL_SERIAL)*1000000+4*1000+41))</f>
        <v/>
      </c>
      <c r="FT15" s="35">
        <f>IF(N('Dvd Calendar'!$F$51)=0,"",IF(('Dvd Calendar'!$F$51&gt;=GRID_FROM)*('Dvd Calendar'!$F$51&lt;=GRID_TO)*('Dvd Calendar'!$F$51&gt;VAL_DATE)=0,"",'Dvd Calendar'!$F$51*1000000000+ISNUMBER('Dvd Calendar'!$F$52)*100000000+0*10000000+(N('Dvd Calendar'!$F$50)&gt;0)*(N('Dvd Calendar'!$F$50)&lt;=VAL_SERIAL)*1000000+4*1000+42))</f>
        <v/>
      </c>
      <c r="FU15" s="35">
        <f>IF(N('Dvd Calendar'!$G$51)=0,"",IF(('Dvd Calendar'!$G$51&gt;=GRID_FROM)*('Dvd Calendar'!$G$51&lt;=GRID_TO)*('Dvd Calendar'!$G$51&gt;VAL_DATE)=0,"",'Dvd Calendar'!$G$51*1000000000+ISNUMBER('Dvd Calendar'!$G$52)*100000000+0*10000000+(N('Dvd Calendar'!$G$50)&gt;0)*(N('Dvd Calendar'!$G$50)&lt;=VAL_SERIAL)*1000000+4*1000+43))</f>
        <v/>
      </c>
      <c r="FV15" s="35">
        <f>IF(N('Dvd Calendar'!$H$51)=0,"",IF(('Dvd Calendar'!$H$51&gt;=GRID_FROM)*('Dvd Calendar'!$H$51&lt;=GRID_TO)*('Dvd Calendar'!$H$51&gt;VAL_DATE)=0,"",'Dvd Calendar'!$H$51*1000000000+ISNUMBER('Dvd Calendar'!$H$52)*100000000+0*10000000+(N('Dvd Calendar'!$H$50)&gt;0)*(N('Dvd Calendar'!$H$50)&lt;=VAL_SERIAL)*1000000+4*1000+44))</f>
        <v/>
      </c>
      <c r="FW15" s="35">
        <f>IF(N('Dvd Calendar'!$I$51)=0,"",IF(('Dvd Calendar'!$I$51&gt;=GRID_FROM)*('Dvd Calendar'!$I$51&lt;=GRID_TO)*('Dvd Calendar'!$I$51&gt;VAL_DATE)=0,"",'Dvd Calendar'!$I$51*1000000000+ISNUMBER('Dvd Calendar'!$I$52)*100000000+0*10000000+(N('Dvd Calendar'!$I$50)&gt;0)*(N('Dvd Calendar'!$I$50)&lt;=VAL_SERIAL)*1000000+4*1000+45))</f>
        <v/>
      </c>
      <c r="FX15" s="35">
        <f>IF(N('Dvd Calendar'!$J$51)=0,"",IF(('Dvd Calendar'!$J$51&gt;=GRID_FROM)*('Dvd Calendar'!$J$51&lt;=GRID_TO)*('Dvd Calendar'!$J$51&gt;VAL_DATE)=0,"",'Dvd Calendar'!$J$51*1000000000+ISNUMBER('Dvd Calendar'!$J$52)*100000000+0*10000000+(N('Dvd Calendar'!$J$50)&gt;0)*(N('Dvd Calendar'!$J$50)&lt;=VAL_SERIAL)*1000000+4*1000+46))</f>
        <v/>
      </c>
      <c r="FY15" s="35">
        <f>IF(N('Dvd Calendar'!$K$51)=0,"",IF(('Dvd Calendar'!$K$51&gt;=GRID_FROM)*('Dvd Calendar'!$K$51&lt;=GRID_TO)*('Dvd Calendar'!$K$51&gt;VAL_DATE)=0,"",'Dvd Calendar'!$K$51*1000000000+ISNUMBER('Dvd Calendar'!$K$52)*100000000+0*10000000+(N('Dvd Calendar'!$K$50)&gt;0)*(N('Dvd Calendar'!$K$50)&lt;=VAL_SERIAL)*1000000+4*1000+47))</f>
        <v/>
      </c>
      <c r="FZ15" s="35">
        <f>IF(N('Dvd Calendar'!$L$51)=0,"",IF(('Dvd Calendar'!$L$51&gt;=GRID_FROM)*('Dvd Calendar'!$L$51&lt;=GRID_TO)*('Dvd Calendar'!$L$51&gt;VAL_DATE)=0,"",'Dvd Calendar'!$L$51*1000000000+ISNUMBER('Dvd Calendar'!$L$52)*100000000+0*10000000+(N('Dvd Calendar'!$L$50)&gt;0)*(N('Dvd Calendar'!$L$50)&lt;=VAL_SERIAL)*1000000+4*1000+48))</f>
        <v/>
      </c>
      <c r="GA15" s="35">
        <f>IF(N('Dvd Calendar'!$M$51)=0,"",IF(('Dvd Calendar'!$M$51&gt;=GRID_FROM)*('Dvd Calendar'!$M$51&lt;=GRID_TO)*('Dvd Calendar'!$M$51&gt;VAL_DATE)=0,"",'Dvd Calendar'!$M$51*1000000000+ISNUMBER('Dvd Calendar'!$M$52)*100000000+0*10000000+(N('Dvd Calendar'!$M$50)&gt;0)*(N('Dvd Calendar'!$M$50)&lt;=VAL_SERIAL)*1000000+4*1000+49))</f>
        <v/>
      </c>
      <c r="GB15" s="35">
        <f>IF(N('Dvd Calendar'!$N$51)=0,"",IF(('Dvd Calendar'!$N$51&gt;=GRID_FROM)*('Dvd Calendar'!$N$51&lt;=GRID_TO)*('Dvd Calendar'!$N$51&gt;VAL_DATE)=0,"",'Dvd Calendar'!$N$51*1000000000+ISNUMBER('Dvd Calendar'!$N$52)*100000000+0*10000000+(N('Dvd Calendar'!$N$50)&gt;0)*(N('Dvd Calendar'!$N$50)&lt;=VAL_SERIAL)*1000000+4*1000+50))</f>
        <v/>
      </c>
      <c r="GC15" s="35">
        <f>IF(N('Dvd Calendar'!$O$51)=0,"",IF(('Dvd Calendar'!$O$51&gt;=GRID_FROM)*('Dvd Calendar'!$O$51&lt;=GRID_TO)*('Dvd Calendar'!$O$51&gt;VAL_DATE)=0,"",'Dvd Calendar'!$O$51*1000000000+ISNUMBER('Dvd Calendar'!$O$52)*100000000+0*10000000+(N('Dvd Calendar'!$O$50)&gt;0)*(N('Dvd Calendar'!$O$50)&lt;=VAL_SERIAL)*1000000+4*1000+51))</f>
        <v/>
      </c>
      <c r="GD15" s="35">
        <f>IF(N('Dvd Calendar'!$P$51)=0,"",IF(('Dvd Calendar'!$P$51&gt;=GRID_FROM)*('Dvd Calendar'!$P$51&lt;=GRID_TO)*('Dvd Calendar'!$P$51&gt;VAL_DATE)=0,"",'Dvd Calendar'!$P$51*1000000000+ISNUMBER('Dvd Calendar'!$P$52)*100000000+0*10000000+(N('Dvd Calendar'!$P$50)&gt;0)*(N('Dvd Calendar'!$P$50)&lt;=VAL_SERIAL)*1000000+4*1000+52))</f>
        <v/>
      </c>
      <c r="GE15" s="35">
        <f>IF(N('Dvd Calendar'!$Q$51)=0,"",IF(('Dvd Calendar'!$Q$51&gt;=GRID_FROM)*('Dvd Calendar'!$Q$51&lt;=GRID_TO)*('Dvd Calendar'!$Q$51&gt;VAL_DATE)=0,"",'Dvd Calendar'!$Q$51*1000000000+ISNUMBER('Dvd Calendar'!$Q$52)*100000000+0*10000000+(N('Dvd Calendar'!$Q$50)&gt;0)*(N('Dvd Calendar'!$Q$50)&lt;=VAL_SERIAL)*1000000+4*1000+53))</f>
        <v/>
      </c>
      <c r="GF15" s="35">
        <f>IF(N('Dvd Calendar'!$R$51)=0,"",IF(('Dvd Calendar'!$R$51&gt;=GRID_FROM)*('Dvd Calendar'!$R$51&lt;=GRID_TO)*('Dvd Calendar'!$R$51&gt;VAL_DATE)=0,"",'Dvd Calendar'!$R$51*1000000000+ISNUMBER('Dvd Calendar'!$R$52)*100000000+0*10000000+(N('Dvd Calendar'!$R$50)&gt;0)*(N('Dvd Calendar'!$R$50)&lt;=VAL_SERIAL)*1000000+4*1000+54))</f>
        <v/>
      </c>
      <c r="GG15" s="35">
        <f>IF(N('Dvd Calendar'!$S$51)=0,"",IF(('Dvd Calendar'!$S$51&gt;=GRID_FROM)*('Dvd Calendar'!$S$51&lt;=GRID_TO)*('Dvd Calendar'!$S$51&gt;VAL_DATE)=0,"",'Dvd Calendar'!$S$51*1000000000+ISNUMBER('Dvd Calendar'!$S$52)*100000000+0*10000000+(N('Dvd Calendar'!$S$50)&gt;0)*(N('Dvd Calendar'!$S$50)&lt;=VAL_SERIAL)*1000000+4*1000+55))</f>
        <v/>
      </c>
      <c r="GH15" s="35">
        <f>IF(N('Dvd Calendar'!$T$51)=0,"",IF(('Dvd Calendar'!$T$51&gt;=GRID_FROM)*('Dvd Calendar'!$T$51&lt;=GRID_TO)*('Dvd Calendar'!$T$51&gt;VAL_DATE)=0,"",'Dvd Calendar'!$T$51*1000000000+ISNUMBER('Dvd Calendar'!$T$52)*100000000+0*10000000+(N('Dvd Calendar'!$T$50)&gt;0)*(N('Dvd Calendar'!$T$50)&lt;=VAL_SERIAL)*1000000+4*1000+56))</f>
        <v/>
      </c>
      <c r="GI15" s="35">
        <f>IF(N('Dvd Calendar'!$U$51)=0,"",IF(('Dvd Calendar'!$U$51&gt;=GRID_FROM)*('Dvd Calendar'!$U$51&lt;=GRID_TO)*('Dvd Calendar'!$U$51&gt;VAL_DATE)=0,"",'Dvd Calendar'!$U$51*1000000000+ISNUMBER('Dvd Calendar'!$U$52)*100000000+0*10000000+(N('Dvd Calendar'!$U$50)&gt;0)*(N('Dvd Calendar'!$U$50)&lt;=VAL_SERIAL)*1000000+4*1000+57))</f>
        <v/>
      </c>
      <c r="GJ15" s="35">
        <f>IF(N('Dvd Calendar'!$V$51)=0,"",IF(('Dvd Calendar'!$V$51&gt;=GRID_FROM)*('Dvd Calendar'!$V$51&lt;=GRID_TO)*('Dvd Calendar'!$V$51&gt;VAL_DATE)=0,"",'Dvd Calendar'!$V$51*1000000000+ISNUMBER('Dvd Calendar'!$V$52)*100000000+0*10000000+(N('Dvd Calendar'!$V$50)&gt;0)*(N('Dvd Calendar'!$V$50)&lt;=VAL_SERIAL)*1000000+4*1000+58))</f>
        <v/>
      </c>
      <c r="GK15" s="35">
        <f>IF(N('Dvd Calendar'!$W$51)=0,"",IF(('Dvd Calendar'!$W$51&gt;=GRID_FROM)*('Dvd Calendar'!$W$51&lt;=GRID_TO)*('Dvd Calendar'!$W$51&gt;VAL_DATE)=0,"",'Dvd Calendar'!$W$51*1000000000+ISNUMBER('Dvd Calendar'!$W$52)*100000000+0*10000000+(N('Dvd Calendar'!$W$50)&gt;0)*(N('Dvd Calendar'!$W$50)&lt;=VAL_SERIAL)*1000000+4*1000+59))</f>
        <v/>
      </c>
      <c r="GL15" s="35">
        <f>IF(N('Dvd Calendar'!$X$51)=0,"",IF(('Dvd Calendar'!$X$51&gt;=GRID_FROM)*('Dvd Calendar'!$X$51&lt;=GRID_TO)*('Dvd Calendar'!$X$51&gt;VAL_DATE)=0,"",'Dvd Calendar'!$X$51*1000000000+ISNUMBER('Dvd Calendar'!$X$52)*100000000+0*10000000+(N('Dvd Calendar'!$X$50)&gt;0)*(N('Dvd Calendar'!$X$50)&lt;=VAL_SERIAL)*1000000+4*1000+60))</f>
        <v/>
      </c>
      <c r="GM15" s="35">
        <f>IF(N('Dvd Calendar'!$Y$51)=0,"",IF(('Dvd Calendar'!$Y$51&gt;=GRID_FROM)*('Dvd Calendar'!$Y$51&lt;=GRID_TO)*('Dvd Calendar'!$Y$51&gt;VAL_DATE)=0,"",'Dvd Calendar'!$Y$51*1000000000+ISNUMBER('Dvd Calendar'!$Y$52)*100000000+0*10000000+(N('Dvd Calendar'!$Y$50)&gt;0)*(N('Dvd Calendar'!$Y$50)&lt;=VAL_SERIAL)*1000000+4*1000+61))</f>
        <v/>
      </c>
      <c r="GN15" s="35">
        <f>IF(N('Dvd Calendar'!$Z$51)=0,"",IF(('Dvd Calendar'!$Z$51&gt;=GRID_FROM)*('Dvd Calendar'!$Z$51&lt;=GRID_TO)*('Dvd Calendar'!$Z$51&gt;VAL_DATE)=0,"",'Dvd Calendar'!$Z$51*1000000000+ISNUMBER('Dvd Calendar'!$Z$52)*100000000+0*10000000+(N('Dvd Calendar'!$Z$50)&gt;0)*(N('Dvd Calendar'!$Z$50)&lt;=VAL_SERIAL)*1000000+4*1000+62))</f>
        <v/>
      </c>
      <c r="GO15" s="35">
        <f>IF(N('Dvd Calendar'!$AA$51)=0,"",IF(('Dvd Calendar'!$AA$51&gt;=GRID_FROM)*('Dvd Calendar'!$AA$51&lt;=GRID_TO)*('Dvd Calendar'!$AA$51&gt;VAL_DATE)=0,"",'Dvd Calendar'!$AA$51*1000000000+ISNUMBER('Dvd Calendar'!$AA$52)*100000000+0*10000000+(N('Dvd Calendar'!$AA$50)&gt;0)*(N('Dvd Calendar'!$AA$50)&lt;=VAL_SERIAL)*1000000+4*1000+63))</f>
        <v/>
      </c>
      <c r="GP15" s="35">
        <f>IF(N('Dvd Calendar'!$AB$51)=0,"",IF(('Dvd Calendar'!$AB$51&gt;=GRID_FROM)*('Dvd Calendar'!$AB$51&lt;=GRID_TO)*('Dvd Calendar'!$AB$51&gt;VAL_DATE)=0,"",'Dvd Calendar'!$AB$51*1000000000+ISNUMBER('Dvd Calendar'!$AB$52)*100000000+0*10000000+(N('Dvd Calendar'!$AB$50)&gt;0)*(N('Dvd Calendar'!$AB$50)&lt;=VAL_SERIAL)*1000000+4*1000+64))</f>
        <v/>
      </c>
      <c r="GQ15" s="35">
        <f>IF(N('Dvd Calendar'!$AC$51)=0,"",IF(('Dvd Calendar'!$AC$51&gt;=GRID_FROM)*('Dvd Calendar'!$AC$51&lt;=GRID_TO)*('Dvd Calendar'!$AC$51&gt;VAL_DATE)=0,"",'Dvd Calendar'!$AC$51*1000000000+ISNUMBER('Dvd Calendar'!$AC$52)*100000000+0*10000000+(N('Dvd Calendar'!$AC$50)&gt;0)*(N('Dvd Calendar'!$AC$50)&lt;=VAL_SERIAL)*1000000+4*1000+65))</f>
        <v/>
      </c>
    </row>
    <row r="16">
      <c r="B16" s="2">
        <f>IF(HSI!$C$11="","",HSI!$C$11)</f>
        <v/>
      </c>
      <c r="C16" s="106">
        <f>IF(EE16="","",IF(ISNUMBER('Dvd Calendar'!$E$58)=FALSE,"",IF((('Dvd Calendar'!$E$60=TYPE1)*(TYPE1&lt;&gt;"")+('Dvd Calendar'!$E$60=TYPE2)*(TYPE2&lt;&gt;"")+('Dvd Calendar'!$E$60=TYPE3)*(TYPE3&lt;&gt;"")+('Dvd Calendar'!$E$60=TYPE4)*(TYPE4&lt;&gt;"")+('Dvd Calendar'!$E$60=SPECIAL_LBL)*(INC_SPECIALS="Y"))=0,"",'Dvd Calendar'!$E$58)))</f>
        <v/>
      </c>
      <c r="D16" s="106">
        <f>IF(EF16="","",IF(ISNUMBER('Dvd Calendar'!$F$58)=FALSE,"",IF((('Dvd Calendar'!$F$60=TYPE1)*(TYPE1&lt;&gt;"")+('Dvd Calendar'!$F$60=TYPE2)*(TYPE2&lt;&gt;"")+('Dvd Calendar'!$F$60=TYPE3)*(TYPE3&lt;&gt;"")+('Dvd Calendar'!$F$60=TYPE4)*(TYPE4&lt;&gt;"")+('Dvd Calendar'!$F$60=SPECIAL_LBL)*(INC_SPECIALS="Y"))=0,"",'Dvd Calendar'!$F$58)))</f>
        <v/>
      </c>
      <c r="E16" s="106">
        <f>IF(EG16="","",IF(ISNUMBER('Dvd Calendar'!$G$58)=FALSE,"",IF((('Dvd Calendar'!$G$60=TYPE1)*(TYPE1&lt;&gt;"")+('Dvd Calendar'!$G$60=TYPE2)*(TYPE2&lt;&gt;"")+('Dvd Calendar'!$G$60=TYPE3)*(TYPE3&lt;&gt;"")+('Dvd Calendar'!$G$60=TYPE4)*(TYPE4&lt;&gt;"")+('Dvd Calendar'!$G$60=SPECIAL_LBL)*(INC_SPECIALS="Y"))=0,"",'Dvd Calendar'!$G$58)))</f>
        <v/>
      </c>
      <c r="F16" s="106">
        <f>IF(EH16="","",IF(ISNUMBER('Dvd Calendar'!$H$58)=FALSE,"",IF((('Dvd Calendar'!$H$60=TYPE1)*(TYPE1&lt;&gt;"")+('Dvd Calendar'!$H$60=TYPE2)*(TYPE2&lt;&gt;"")+('Dvd Calendar'!$H$60=TYPE3)*(TYPE3&lt;&gt;"")+('Dvd Calendar'!$H$60=TYPE4)*(TYPE4&lt;&gt;"")+('Dvd Calendar'!$H$60=SPECIAL_LBL)*(INC_SPECIALS="Y"))=0,"",'Dvd Calendar'!$H$58)))</f>
        <v/>
      </c>
      <c r="G16" s="106">
        <f>IF(EI16="","",IF(ISNUMBER('Dvd Calendar'!$I$58)=FALSE,"",IF((('Dvd Calendar'!$I$60=TYPE1)*(TYPE1&lt;&gt;"")+('Dvd Calendar'!$I$60=TYPE2)*(TYPE2&lt;&gt;"")+('Dvd Calendar'!$I$60=TYPE3)*(TYPE3&lt;&gt;"")+('Dvd Calendar'!$I$60=TYPE4)*(TYPE4&lt;&gt;"")+('Dvd Calendar'!$I$60=SPECIAL_LBL)*(INC_SPECIALS="Y"))=0,"",'Dvd Calendar'!$I$58)))</f>
        <v/>
      </c>
      <c r="H16" s="106">
        <f>IF(EJ16="","",IF(ISNUMBER('Dvd Calendar'!$J$58)=FALSE,"",IF((('Dvd Calendar'!$J$60=TYPE1)*(TYPE1&lt;&gt;"")+('Dvd Calendar'!$J$60=TYPE2)*(TYPE2&lt;&gt;"")+('Dvd Calendar'!$J$60=TYPE3)*(TYPE3&lt;&gt;"")+('Dvd Calendar'!$J$60=TYPE4)*(TYPE4&lt;&gt;"")+('Dvd Calendar'!$J$60=SPECIAL_LBL)*(INC_SPECIALS="Y"))=0,"",'Dvd Calendar'!$J$58)))</f>
        <v/>
      </c>
      <c r="I16" s="106">
        <f>IF(EK16="","",IF(ISNUMBER('Dvd Calendar'!$K$58)=FALSE,"",IF((('Dvd Calendar'!$K$60=TYPE1)*(TYPE1&lt;&gt;"")+('Dvd Calendar'!$K$60=TYPE2)*(TYPE2&lt;&gt;"")+('Dvd Calendar'!$K$60=TYPE3)*(TYPE3&lt;&gt;"")+('Dvd Calendar'!$K$60=TYPE4)*(TYPE4&lt;&gt;"")+('Dvd Calendar'!$K$60=SPECIAL_LBL)*(INC_SPECIALS="Y"))=0,"",'Dvd Calendar'!$K$58)))</f>
        <v/>
      </c>
      <c r="J16" s="106">
        <f>IF(EL16="","",IF(ISNUMBER('Dvd Calendar'!$L$58)=FALSE,"",IF((('Dvd Calendar'!$L$60=TYPE1)*(TYPE1&lt;&gt;"")+('Dvd Calendar'!$L$60=TYPE2)*(TYPE2&lt;&gt;"")+('Dvd Calendar'!$L$60=TYPE3)*(TYPE3&lt;&gt;"")+('Dvd Calendar'!$L$60=TYPE4)*(TYPE4&lt;&gt;"")+('Dvd Calendar'!$L$60=SPECIAL_LBL)*(INC_SPECIALS="Y"))=0,"",'Dvd Calendar'!$L$58)))</f>
        <v/>
      </c>
      <c r="K16" s="106">
        <f>IF(EM16="","",IF(ISNUMBER('Dvd Calendar'!$M$58)=FALSE,"",IF((('Dvd Calendar'!$M$60=TYPE1)*(TYPE1&lt;&gt;"")+('Dvd Calendar'!$M$60=TYPE2)*(TYPE2&lt;&gt;"")+('Dvd Calendar'!$M$60=TYPE3)*(TYPE3&lt;&gt;"")+('Dvd Calendar'!$M$60=TYPE4)*(TYPE4&lt;&gt;"")+('Dvd Calendar'!$M$60=SPECIAL_LBL)*(INC_SPECIALS="Y"))=0,"",'Dvd Calendar'!$M$58)))</f>
        <v/>
      </c>
      <c r="L16" s="106">
        <f>IF(EN16="","",IF(ISNUMBER('Dvd Calendar'!$N$58)=FALSE,"",IF((('Dvd Calendar'!$N$60=TYPE1)*(TYPE1&lt;&gt;"")+('Dvd Calendar'!$N$60=TYPE2)*(TYPE2&lt;&gt;"")+('Dvd Calendar'!$N$60=TYPE3)*(TYPE3&lt;&gt;"")+('Dvd Calendar'!$N$60=TYPE4)*(TYPE4&lt;&gt;"")+('Dvd Calendar'!$N$60=SPECIAL_LBL)*(INC_SPECIALS="Y"))=0,"",'Dvd Calendar'!$N$58)))</f>
        <v/>
      </c>
      <c r="M16" s="106">
        <f>IF(EO16="","",IF(ISNUMBER('Dvd Calendar'!$O$58)=FALSE,"",IF((('Dvd Calendar'!$O$60=TYPE1)*(TYPE1&lt;&gt;"")+('Dvd Calendar'!$O$60=TYPE2)*(TYPE2&lt;&gt;"")+('Dvd Calendar'!$O$60=TYPE3)*(TYPE3&lt;&gt;"")+('Dvd Calendar'!$O$60=TYPE4)*(TYPE4&lt;&gt;"")+('Dvd Calendar'!$O$60=SPECIAL_LBL)*(INC_SPECIALS="Y"))=0,"",'Dvd Calendar'!$O$58)))</f>
        <v/>
      </c>
      <c r="N16" s="106">
        <f>IF(EP16="","",IF(ISNUMBER('Dvd Calendar'!$P$58)=FALSE,"",IF((('Dvd Calendar'!$P$60=TYPE1)*(TYPE1&lt;&gt;"")+('Dvd Calendar'!$P$60=TYPE2)*(TYPE2&lt;&gt;"")+('Dvd Calendar'!$P$60=TYPE3)*(TYPE3&lt;&gt;"")+('Dvd Calendar'!$P$60=TYPE4)*(TYPE4&lt;&gt;"")+('Dvd Calendar'!$P$60=SPECIAL_LBL)*(INC_SPECIALS="Y"))=0,"",'Dvd Calendar'!$P$58)))</f>
        <v/>
      </c>
      <c r="O16" s="106">
        <f>IF(EQ16="","",IF(ISNUMBER('Dvd Calendar'!$Q$58)=FALSE,"",IF((('Dvd Calendar'!$Q$60=TYPE1)*(TYPE1&lt;&gt;"")+('Dvd Calendar'!$Q$60=TYPE2)*(TYPE2&lt;&gt;"")+('Dvd Calendar'!$Q$60=TYPE3)*(TYPE3&lt;&gt;"")+('Dvd Calendar'!$Q$60=TYPE4)*(TYPE4&lt;&gt;"")+('Dvd Calendar'!$Q$60=SPECIAL_LBL)*(INC_SPECIALS="Y"))=0,"",'Dvd Calendar'!$Q$58)))</f>
        <v/>
      </c>
      <c r="P16" s="106">
        <f>IF(ER16="","",IF(ISNUMBER('Dvd Calendar'!$R$58)=FALSE,"",IF((('Dvd Calendar'!$R$60=TYPE1)*(TYPE1&lt;&gt;"")+('Dvd Calendar'!$R$60=TYPE2)*(TYPE2&lt;&gt;"")+('Dvd Calendar'!$R$60=TYPE3)*(TYPE3&lt;&gt;"")+('Dvd Calendar'!$R$60=TYPE4)*(TYPE4&lt;&gt;"")+('Dvd Calendar'!$R$60=SPECIAL_LBL)*(INC_SPECIALS="Y"))=0,"",'Dvd Calendar'!$R$58)))</f>
        <v/>
      </c>
      <c r="Q16" s="106">
        <f>IF(ES16="","",IF(ISNUMBER('Dvd Calendar'!$S$58)=FALSE,"",IF((('Dvd Calendar'!$S$60=TYPE1)*(TYPE1&lt;&gt;"")+('Dvd Calendar'!$S$60=TYPE2)*(TYPE2&lt;&gt;"")+('Dvd Calendar'!$S$60=TYPE3)*(TYPE3&lt;&gt;"")+('Dvd Calendar'!$S$60=TYPE4)*(TYPE4&lt;&gt;"")+('Dvd Calendar'!$S$60=SPECIAL_LBL)*(INC_SPECIALS="Y"))=0,"",'Dvd Calendar'!$S$58)))</f>
        <v/>
      </c>
      <c r="R16" s="106">
        <f>IF(ET16="","",IF(ISNUMBER('Dvd Calendar'!$T$58)=FALSE,"",IF((('Dvd Calendar'!$T$60=TYPE1)*(TYPE1&lt;&gt;"")+('Dvd Calendar'!$T$60=TYPE2)*(TYPE2&lt;&gt;"")+('Dvd Calendar'!$T$60=TYPE3)*(TYPE3&lt;&gt;"")+('Dvd Calendar'!$T$60=TYPE4)*(TYPE4&lt;&gt;"")+('Dvd Calendar'!$T$60=SPECIAL_LBL)*(INC_SPECIALS="Y"))=0,"",'Dvd Calendar'!$T$58)))</f>
        <v/>
      </c>
      <c r="S16" s="106">
        <f>IF(EU16="","",IF(ISNUMBER('Dvd Calendar'!$U$58)=FALSE,"",IF((('Dvd Calendar'!$U$60=TYPE1)*(TYPE1&lt;&gt;"")+('Dvd Calendar'!$U$60=TYPE2)*(TYPE2&lt;&gt;"")+('Dvd Calendar'!$U$60=TYPE3)*(TYPE3&lt;&gt;"")+('Dvd Calendar'!$U$60=TYPE4)*(TYPE4&lt;&gt;"")+('Dvd Calendar'!$U$60=SPECIAL_LBL)*(INC_SPECIALS="Y"))=0,"",'Dvd Calendar'!$U$58)))</f>
        <v/>
      </c>
      <c r="T16" s="106">
        <f>IF(EV16="","",IF(ISNUMBER('Dvd Calendar'!$V$58)=FALSE,"",IF((('Dvd Calendar'!$V$60=TYPE1)*(TYPE1&lt;&gt;"")+('Dvd Calendar'!$V$60=TYPE2)*(TYPE2&lt;&gt;"")+('Dvd Calendar'!$V$60=TYPE3)*(TYPE3&lt;&gt;"")+('Dvd Calendar'!$V$60=TYPE4)*(TYPE4&lt;&gt;"")+('Dvd Calendar'!$V$60=SPECIAL_LBL)*(INC_SPECIALS="Y"))=0,"",'Dvd Calendar'!$V$58)))</f>
        <v/>
      </c>
      <c r="U16" s="106">
        <f>IF(EW16="","",IF(ISNUMBER('Dvd Calendar'!$W$58)=FALSE,"",IF((('Dvd Calendar'!$W$60=TYPE1)*(TYPE1&lt;&gt;"")+('Dvd Calendar'!$W$60=TYPE2)*(TYPE2&lt;&gt;"")+('Dvd Calendar'!$W$60=TYPE3)*(TYPE3&lt;&gt;"")+('Dvd Calendar'!$W$60=TYPE4)*(TYPE4&lt;&gt;"")+('Dvd Calendar'!$W$60=SPECIAL_LBL)*(INC_SPECIALS="Y"))=0,"",'Dvd Calendar'!$W$58)))</f>
        <v/>
      </c>
      <c r="V16" s="106">
        <f>IF(EX16="","",IF(ISNUMBER('Dvd Calendar'!$X$58)=FALSE,"",IF((('Dvd Calendar'!$X$60=TYPE1)*(TYPE1&lt;&gt;"")+('Dvd Calendar'!$X$60=TYPE2)*(TYPE2&lt;&gt;"")+('Dvd Calendar'!$X$60=TYPE3)*(TYPE3&lt;&gt;"")+('Dvd Calendar'!$X$60=TYPE4)*(TYPE4&lt;&gt;"")+('Dvd Calendar'!$X$60=SPECIAL_LBL)*(INC_SPECIALS="Y"))=0,"",'Dvd Calendar'!$X$58)))</f>
        <v/>
      </c>
      <c r="W16" s="106">
        <f>IF(EY16="","",IF(ISNUMBER('Dvd Calendar'!$Y$58)=FALSE,"",IF((('Dvd Calendar'!$Y$60=TYPE1)*(TYPE1&lt;&gt;"")+('Dvd Calendar'!$Y$60=TYPE2)*(TYPE2&lt;&gt;"")+('Dvd Calendar'!$Y$60=TYPE3)*(TYPE3&lt;&gt;"")+('Dvd Calendar'!$Y$60=TYPE4)*(TYPE4&lt;&gt;"")+('Dvd Calendar'!$Y$60=SPECIAL_LBL)*(INC_SPECIALS="Y"))=0,"",'Dvd Calendar'!$Y$58)))</f>
        <v/>
      </c>
      <c r="X16" s="106">
        <f>IF(EZ16="","",IF(ISNUMBER('Dvd Calendar'!$Z$58)=FALSE,"",IF((('Dvd Calendar'!$Z$60=TYPE1)*(TYPE1&lt;&gt;"")+('Dvd Calendar'!$Z$60=TYPE2)*(TYPE2&lt;&gt;"")+('Dvd Calendar'!$Z$60=TYPE3)*(TYPE3&lt;&gt;"")+('Dvd Calendar'!$Z$60=TYPE4)*(TYPE4&lt;&gt;"")+('Dvd Calendar'!$Z$60=SPECIAL_LBL)*(INC_SPECIALS="Y"))=0,"",'Dvd Calendar'!$Z$58)))</f>
        <v/>
      </c>
      <c r="Y16" s="106">
        <f>IF(FA16="","",IF(ISNUMBER('Dvd Calendar'!$AA$58)=FALSE,"",IF((('Dvd Calendar'!$AA$60=TYPE1)*(TYPE1&lt;&gt;"")+('Dvd Calendar'!$AA$60=TYPE2)*(TYPE2&lt;&gt;"")+('Dvd Calendar'!$AA$60=TYPE3)*(TYPE3&lt;&gt;"")+('Dvd Calendar'!$AA$60=TYPE4)*(TYPE4&lt;&gt;"")+('Dvd Calendar'!$AA$60=SPECIAL_LBL)*(INC_SPECIALS="Y"))=0,"",'Dvd Calendar'!$AA$58)))</f>
        <v/>
      </c>
      <c r="Z16" s="106">
        <f>IF(FB16="","",IF(ISNUMBER('Dvd Calendar'!$AB$58)=FALSE,"",IF((('Dvd Calendar'!$AB$60=TYPE1)*(TYPE1&lt;&gt;"")+('Dvd Calendar'!$AB$60=TYPE2)*(TYPE2&lt;&gt;"")+('Dvd Calendar'!$AB$60=TYPE3)*(TYPE3&lt;&gt;"")+('Dvd Calendar'!$AB$60=TYPE4)*(TYPE4&lt;&gt;"")+('Dvd Calendar'!$AB$60=SPECIAL_LBL)*(INC_SPECIALS="Y"))=0,"",'Dvd Calendar'!$AB$58)))</f>
        <v/>
      </c>
      <c r="AA16" s="106">
        <f>IF(FC16="","",IF(ISNUMBER('Dvd Calendar'!$AC$58)=FALSE,"",IF((('Dvd Calendar'!$AC$60=TYPE1)*(TYPE1&lt;&gt;"")+('Dvd Calendar'!$AC$60=TYPE2)*(TYPE2&lt;&gt;"")+('Dvd Calendar'!$AC$60=TYPE3)*(TYPE3&lt;&gt;"")+('Dvd Calendar'!$AC$60=TYPE4)*(TYPE4&lt;&gt;"")+('Dvd Calendar'!$AC$60=SPECIAL_LBL)*(INC_SPECIALS="Y"))=0,"",'Dvd Calendar'!$AC$58)))</f>
        <v/>
      </c>
      <c r="AB16" s="106">
        <f>IF(FD16="","",IF(ISNUMBER('Dvd Calendar'!$AD$58)=FALSE,"",IF((('Dvd Calendar'!$AD$60=TYPE1)*(TYPE1&lt;&gt;"")+('Dvd Calendar'!$AD$60=TYPE2)*(TYPE2&lt;&gt;"")+('Dvd Calendar'!$AD$60=TYPE3)*(TYPE3&lt;&gt;"")+('Dvd Calendar'!$AD$60=TYPE4)*(TYPE4&lt;&gt;"")+('Dvd Calendar'!$AD$60=SPECIAL_LBL)*(INC_SPECIALS="Y"))=0,"",'Dvd Calendar'!$AD$58)))</f>
        <v/>
      </c>
      <c r="AC16" s="106">
        <f>IF(FE16="","",IF(ISNUMBER('Dvd Calendar'!$AE$58)=FALSE,"",IF((('Dvd Calendar'!$AE$60=TYPE1)*(TYPE1&lt;&gt;"")+('Dvd Calendar'!$AE$60=TYPE2)*(TYPE2&lt;&gt;"")+('Dvd Calendar'!$AE$60=TYPE3)*(TYPE3&lt;&gt;"")+('Dvd Calendar'!$AE$60=TYPE4)*(TYPE4&lt;&gt;"")+('Dvd Calendar'!$AE$60=SPECIAL_LBL)*(INC_SPECIALS="Y"))=0,"",'Dvd Calendar'!$AE$58)))</f>
        <v/>
      </c>
      <c r="AD16" s="106">
        <f>IF(FF16="","",IF(ISNUMBER('Dvd Calendar'!$AF$58)=FALSE,"",IF((('Dvd Calendar'!$AF$60=TYPE1)*(TYPE1&lt;&gt;"")+('Dvd Calendar'!$AF$60=TYPE2)*(TYPE2&lt;&gt;"")+('Dvd Calendar'!$AF$60=TYPE3)*(TYPE3&lt;&gt;"")+('Dvd Calendar'!$AF$60=TYPE4)*(TYPE4&lt;&gt;"")+('Dvd Calendar'!$AF$60=SPECIAL_LBL)*(INC_SPECIALS="Y"))=0,"",'Dvd Calendar'!$AF$58)))</f>
        <v/>
      </c>
      <c r="AE16" s="106">
        <f>IF(FG16="","",IF(ISNUMBER('Dvd Calendar'!$AG$58)=FALSE,"",IF((('Dvd Calendar'!$AG$60=TYPE1)*(TYPE1&lt;&gt;"")+('Dvd Calendar'!$AG$60=TYPE2)*(TYPE2&lt;&gt;"")+('Dvd Calendar'!$AG$60=TYPE3)*(TYPE3&lt;&gt;"")+('Dvd Calendar'!$AG$60=TYPE4)*(TYPE4&lt;&gt;"")+('Dvd Calendar'!$AG$60=SPECIAL_LBL)*(INC_SPECIALS="Y"))=0,"",'Dvd Calendar'!$AG$58)))</f>
        <v/>
      </c>
      <c r="AF16" s="106">
        <f>IF(FH16="","",IF(ISNUMBER('Dvd Calendar'!$AH$58)=FALSE,"",IF((('Dvd Calendar'!$AH$60=TYPE1)*(TYPE1&lt;&gt;"")+('Dvd Calendar'!$AH$60=TYPE2)*(TYPE2&lt;&gt;"")+('Dvd Calendar'!$AH$60=TYPE3)*(TYPE3&lt;&gt;"")+('Dvd Calendar'!$AH$60=TYPE4)*(TYPE4&lt;&gt;"")+('Dvd Calendar'!$AH$60=SPECIAL_LBL)*(INC_SPECIALS="Y"))=0,"",'Dvd Calendar'!$AH$58)))</f>
        <v/>
      </c>
      <c r="AG16" s="106">
        <f>IF(FI16="","",IF(ISNUMBER('Dvd Calendar'!$AI$58)=FALSE,"",IF((('Dvd Calendar'!$AI$60=TYPE1)*(TYPE1&lt;&gt;"")+('Dvd Calendar'!$AI$60=TYPE2)*(TYPE2&lt;&gt;"")+('Dvd Calendar'!$AI$60=TYPE3)*(TYPE3&lt;&gt;"")+('Dvd Calendar'!$AI$60=TYPE4)*(TYPE4&lt;&gt;"")+('Dvd Calendar'!$AI$60=SPECIAL_LBL)*(INC_SPECIALS="Y"))=0,"",'Dvd Calendar'!$AI$58)))</f>
        <v/>
      </c>
      <c r="AH16" s="106">
        <f>IF(FJ16="","",IF(ISNUMBER('Dvd Calendar'!$AJ$58)=FALSE,"",IF((('Dvd Calendar'!$AJ$60=TYPE1)*(TYPE1&lt;&gt;"")+('Dvd Calendar'!$AJ$60=TYPE2)*(TYPE2&lt;&gt;"")+('Dvd Calendar'!$AJ$60=TYPE3)*(TYPE3&lt;&gt;"")+('Dvd Calendar'!$AJ$60=TYPE4)*(TYPE4&lt;&gt;"")+('Dvd Calendar'!$AJ$60=SPECIAL_LBL)*(INC_SPECIALS="Y"))=0,"",'Dvd Calendar'!$AJ$58)))</f>
        <v/>
      </c>
      <c r="AI16" s="106">
        <f>IF(FK16="","",IF(ISNUMBER('Dvd Calendar'!$AK$58)=FALSE,"",IF((('Dvd Calendar'!$AK$60=TYPE1)*(TYPE1&lt;&gt;"")+('Dvd Calendar'!$AK$60=TYPE2)*(TYPE2&lt;&gt;"")+('Dvd Calendar'!$AK$60=TYPE3)*(TYPE3&lt;&gt;"")+('Dvd Calendar'!$AK$60=TYPE4)*(TYPE4&lt;&gt;"")+('Dvd Calendar'!$AK$60=SPECIAL_LBL)*(INC_SPECIALS="Y"))=0,"",'Dvd Calendar'!$AK$58)))</f>
        <v/>
      </c>
      <c r="AJ16" s="106">
        <f>IF(FL16="","",IF(ISNUMBER('Dvd Calendar'!$AL$58)=FALSE,"",IF((('Dvd Calendar'!$AL$60=TYPE1)*(TYPE1&lt;&gt;"")+('Dvd Calendar'!$AL$60=TYPE2)*(TYPE2&lt;&gt;"")+('Dvd Calendar'!$AL$60=TYPE3)*(TYPE3&lt;&gt;"")+('Dvd Calendar'!$AL$60=TYPE4)*(TYPE4&lt;&gt;"")+('Dvd Calendar'!$AL$60=SPECIAL_LBL)*(INC_SPECIALS="Y"))=0,"",'Dvd Calendar'!$AL$58)))</f>
        <v/>
      </c>
      <c r="AK16" s="106">
        <f>IF(FM16="","",IF(ISNUMBER('Dvd Calendar'!$AM$58)=FALSE,"",IF((('Dvd Calendar'!$AM$60=TYPE1)*(TYPE1&lt;&gt;"")+('Dvd Calendar'!$AM$60=TYPE2)*(TYPE2&lt;&gt;"")+('Dvd Calendar'!$AM$60=TYPE3)*(TYPE3&lt;&gt;"")+('Dvd Calendar'!$AM$60=TYPE4)*(TYPE4&lt;&gt;"")+('Dvd Calendar'!$AM$60=SPECIAL_LBL)*(INC_SPECIALS="Y"))=0,"",'Dvd Calendar'!$AM$58)))</f>
        <v/>
      </c>
      <c r="AL16" s="106">
        <f>IF(FN16="","",IF(ISNUMBER('Dvd Calendar'!$AN$58)=FALSE,"",IF((('Dvd Calendar'!$AN$60=TYPE1)*(TYPE1&lt;&gt;"")+('Dvd Calendar'!$AN$60=TYPE2)*(TYPE2&lt;&gt;"")+('Dvd Calendar'!$AN$60=TYPE3)*(TYPE3&lt;&gt;"")+('Dvd Calendar'!$AN$60=TYPE4)*(TYPE4&lt;&gt;"")+('Dvd Calendar'!$AN$60=SPECIAL_LBL)*(INC_SPECIALS="Y"))=0,"",'Dvd Calendar'!$AN$58)))</f>
        <v/>
      </c>
      <c r="AM16" s="106">
        <f>IF(FO16="","",IF(ISNUMBER('Dvd Calendar'!$AO$58)=FALSE,"",IF((('Dvd Calendar'!$AO$60=TYPE1)*(TYPE1&lt;&gt;"")+('Dvd Calendar'!$AO$60=TYPE2)*(TYPE2&lt;&gt;"")+('Dvd Calendar'!$AO$60=TYPE3)*(TYPE3&lt;&gt;"")+('Dvd Calendar'!$AO$60=TYPE4)*(TYPE4&lt;&gt;"")+('Dvd Calendar'!$AO$60=SPECIAL_LBL)*(INC_SPECIALS="Y"))=0,"",'Dvd Calendar'!$AO$58)))</f>
        <v/>
      </c>
      <c r="AN16" s="106">
        <f>IF(FP16="","",IF(ISNUMBER('Dvd Calendar'!$AP$58)=FALSE,"",IF((('Dvd Calendar'!$AP$60=TYPE1)*(TYPE1&lt;&gt;"")+('Dvd Calendar'!$AP$60=TYPE2)*(TYPE2&lt;&gt;"")+('Dvd Calendar'!$AP$60=TYPE3)*(TYPE3&lt;&gt;"")+('Dvd Calendar'!$AP$60=TYPE4)*(TYPE4&lt;&gt;"")+('Dvd Calendar'!$AP$60=SPECIAL_LBL)*(INC_SPECIALS="Y"))=0,"",'Dvd Calendar'!$AP$58)))</f>
        <v/>
      </c>
      <c r="AO16" s="106">
        <f>IF(FQ16="","",IF(ISNUMBER('Dvd Calendar'!$AQ$58)=FALSE,"",IF((('Dvd Calendar'!$AQ$60=TYPE1)*(TYPE1&lt;&gt;"")+('Dvd Calendar'!$AQ$60=TYPE2)*(TYPE2&lt;&gt;"")+('Dvd Calendar'!$AQ$60=TYPE3)*(TYPE3&lt;&gt;"")+('Dvd Calendar'!$AQ$60=TYPE4)*(TYPE4&lt;&gt;"")+('Dvd Calendar'!$AQ$60=SPECIAL_LBL)*(INC_SPECIALS="Y"))=0,"",'Dvd Calendar'!$AQ$58)))</f>
        <v/>
      </c>
      <c r="AP16" s="106">
        <f>IF(FR16="","",IF(ISNUMBER('Dvd Calendar'!$AR$58)=FALSE,"",IF((('Dvd Calendar'!$AR$60=TYPE1)*(TYPE1&lt;&gt;"")+('Dvd Calendar'!$AR$60=TYPE2)*(TYPE2&lt;&gt;"")+('Dvd Calendar'!$AR$60=TYPE3)*(TYPE3&lt;&gt;"")+('Dvd Calendar'!$AR$60=TYPE4)*(TYPE4&lt;&gt;"")+('Dvd Calendar'!$AR$60=SPECIAL_LBL)*(INC_SPECIALS="Y"))=0,"",'Dvd Calendar'!$AR$58)))</f>
        <v/>
      </c>
      <c r="AQ16" s="106">
        <f>IF(FS16="","",IF(ISNUMBER('Dvd Calendar'!$E$63)=FALSE,"",'Dvd Calendar'!$E$63))</f>
        <v/>
      </c>
      <c r="AR16" s="106">
        <f>IF(FT16="","",IF(ISNUMBER('Dvd Calendar'!$F$63)=FALSE,"",'Dvd Calendar'!$F$63))</f>
        <v/>
      </c>
      <c r="AS16" s="106">
        <f>IF(FU16="","",IF(ISNUMBER('Dvd Calendar'!$G$63)=FALSE,"",'Dvd Calendar'!$G$63))</f>
        <v/>
      </c>
      <c r="AT16" s="106">
        <f>IF(FV16="","",IF(ISNUMBER('Dvd Calendar'!$H$63)=FALSE,"",'Dvd Calendar'!$H$63))</f>
        <v/>
      </c>
      <c r="AU16" s="106">
        <f>IF(FW16="","",IF(ISNUMBER('Dvd Calendar'!$I$63)=FALSE,"",'Dvd Calendar'!$I$63))</f>
        <v/>
      </c>
      <c r="AV16" s="106">
        <f>IF(FX16="","",IF(ISNUMBER('Dvd Calendar'!$J$63)=FALSE,"",'Dvd Calendar'!$J$63))</f>
        <v/>
      </c>
      <c r="AW16" s="106">
        <f>IF(FY16="","",IF(ISNUMBER('Dvd Calendar'!$K$63)=FALSE,"",'Dvd Calendar'!$K$63))</f>
        <v/>
      </c>
      <c r="AX16" s="106">
        <f>IF(FZ16="","",IF(ISNUMBER('Dvd Calendar'!$L$63)=FALSE,"",'Dvd Calendar'!$L$63))</f>
        <v/>
      </c>
      <c r="AY16" s="106">
        <f>IF(GA16="","",IF(ISNUMBER('Dvd Calendar'!$M$63)=FALSE,"",'Dvd Calendar'!$M$63))</f>
        <v/>
      </c>
      <c r="AZ16" s="106">
        <f>IF(GB16="","",IF(ISNUMBER('Dvd Calendar'!$N$63)=FALSE,"",'Dvd Calendar'!$N$63))</f>
        <v/>
      </c>
      <c r="BA16" s="106">
        <f>IF(GC16="","",IF(ISNUMBER('Dvd Calendar'!$O$63)=FALSE,"",'Dvd Calendar'!$O$63))</f>
        <v/>
      </c>
      <c r="BB16" s="106">
        <f>IF(GD16="","",IF(ISNUMBER('Dvd Calendar'!$P$63)=FALSE,"",'Dvd Calendar'!$P$63))</f>
        <v/>
      </c>
      <c r="BC16" s="106">
        <f>IF(GE16="","",IF(ISNUMBER('Dvd Calendar'!$Q$63)=FALSE,"",'Dvd Calendar'!$Q$63))</f>
        <v/>
      </c>
      <c r="BD16" s="106">
        <f>IF(GF16="","",IF(ISNUMBER('Dvd Calendar'!$R$63)=FALSE,"",'Dvd Calendar'!$R$63))</f>
        <v/>
      </c>
      <c r="BE16" s="106">
        <f>IF(GG16="","",IF(ISNUMBER('Dvd Calendar'!$S$63)=FALSE,"",'Dvd Calendar'!$S$63))</f>
        <v/>
      </c>
      <c r="BF16" s="106">
        <f>IF(GH16="","",IF(ISNUMBER('Dvd Calendar'!$T$63)=FALSE,"",'Dvd Calendar'!$T$63))</f>
        <v/>
      </c>
      <c r="BG16" s="106">
        <f>IF(GI16="","",IF(ISNUMBER('Dvd Calendar'!$U$63)=FALSE,"",'Dvd Calendar'!$U$63))</f>
        <v/>
      </c>
      <c r="BH16" s="106">
        <f>IF(GJ16="","",IF(ISNUMBER('Dvd Calendar'!$V$63)=FALSE,"",'Dvd Calendar'!$V$63))</f>
        <v/>
      </c>
      <c r="BI16" s="106">
        <f>IF(GK16="","",IF(ISNUMBER('Dvd Calendar'!$W$63)=FALSE,"",'Dvd Calendar'!$W$63))</f>
        <v/>
      </c>
      <c r="BJ16" s="106">
        <f>IF(GL16="","",IF(ISNUMBER('Dvd Calendar'!$X$63)=FALSE,"",'Dvd Calendar'!$X$63))</f>
        <v/>
      </c>
      <c r="BK16" s="106">
        <f>IF(GM16="","",IF(ISNUMBER('Dvd Calendar'!$Y$63)=FALSE,"",'Dvd Calendar'!$Y$63))</f>
        <v/>
      </c>
      <c r="BL16" s="106">
        <f>IF(GN16="","",IF(ISNUMBER('Dvd Calendar'!$Z$63)=FALSE,"",'Dvd Calendar'!$Z$63))</f>
        <v/>
      </c>
      <c r="BM16" s="106">
        <f>IF(GO16="","",IF(ISNUMBER('Dvd Calendar'!$AA$63)=FALSE,"",'Dvd Calendar'!$AA$63))</f>
        <v/>
      </c>
      <c r="BN16" s="106">
        <f>IF(GP16="","",IF(ISNUMBER('Dvd Calendar'!$AB$63)=FALSE,"",'Dvd Calendar'!$AB$63))</f>
        <v/>
      </c>
      <c r="BO16" s="106">
        <f>IF(GQ16="","",IF(ISNUMBER('Dvd Calendar'!$AC$63)=FALSE,"",'Dvd Calendar'!$AC$63))</f>
        <v/>
      </c>
      <c r="BQ16" s="106">
        <f>IF(C16="","",IFERROR(C16*HSI!$B$11*HSI!$G$11/HSI!$B$3,""))</f>
        <v/>
      </c>
      <c r="BR16" s="106">
        <f>IF(D16="","",IFERROR(D16*HSI!$B$11*HSI!$G$11/HSI!$B$3,""))</f>
        <v/>
      </c>
      <c r="BS16" s="106">
        <f>IF(E16="","",IFERROR(E16*HSI!$B$11*HSI!$G$11/HSI!$B$3,""))</f>
        <v/>
      </c>
      <c r="BT16" s="106">
        <f>IF(F16="","",IFERROR(F16*HSI!$B$11*HSI!$G$11/HSI!$B$3,""))</f>
        <v/>
      </c>
      <c r="BU16" s="106">
        <f>IF(G16="","",IFERROR(G16*HSI!$B$11*HSI!$G$11/HSI!$B$3,""))</f>
        <v/>
      </c>
      <c r="BV16" s="106">
        <f>IF(H16="","",IFERROR(H16*HSI!$B$11*HSI!$G$11/HSI!$B$3,""))</f>
        <v/>
      </c>
      <c r="BW16" s="106">
        <f>IF(I16="","",IFERROR(I16*HSI!$B$11*HSI!$G$11/HSI!$B$3,""))</f>
        <v/>
      </c>
      <c r="BX16" s="106">
        <f>IF(J16="","",IFERROR(J16*HSI!$B$11*HSI!$G$11/HSI!$B$3,""))</f>
        <v/>
      </c>
      <c r="BY16" s="106">
        <f>IF(K16="","",IFERROR(K16*HSI!$B$11*HSI!$G$11/HSI!$B$3,""))</f>
        <v/>
      </c>
      <c r="BZ16" s="106">
        <f>IF(L16="","",IFERROR(L16*HSI!$B$11*HSI!$G$11/HSI!$B$3,""))</f>
        <v/>
      </c>
      <c r="CA16" s="106">
        <f>IF(M16="","",IFERROR(M16*HSI!$B$11*HSI!$G$11/HSI!$B$3,""))</f>
        <v/>
      </c>
      <c r="CB16" s="106">
        <f>IF(N16="","",IFERROR(N16*HSI!$B$11*HSI!$G$11/HSI!$B$3,""))</f>
        <v/>
      </c>
      <c r="CC16" s="106">
        <f>IF(O16="","",IFERROR(O16*HSI!$B$11*HSI!$G$11/HSI!$B$3,""))</f>
        <v/>
      </c>
      <c r="CD16" s="106">
        <f>IF(P16="","",IFERROR(P16*HSI!$B$11*HSI!$G$11/HSI!$B$3,""))</f>
        <v/>
      </c>
      <c r="CE16" s="106">
        <f>IF(Q16="","",IFERROR(Q16*HSI!$B$11*HSI!$G$11/HSI!$B$3,""))</f>
        <v/>
      </c>
      <c r="CF16" s="106">
        <f>IF(R16="","",IFERROR(R16*HSI!$B$11*HSI!$G$11/HSI!$B$3,""))</f>
        <v/>
      </c>
      <c r="CG16" s="106">
        <f>IF(S16="","",IFERROR(S16*HSI!$B$11*HSI!$G$11/HSI!$B$3,""))</f>
        <v/>
      </c>
      <c r="CH16" s="106">
        <f>IF(T16="","",IFERROR(T16*HSI!$B$11*HSI!$G$11/HSI!$B$3,""))</f>
        <v/>
      </c>
      <c r="CI16" s="106">
        <f>IF(U16="","",IFERROR(U16*HSI!$B$11*HSI!$G$11/HSI!$B$3,""))</f>
        <v/>
      </c>
      <c r="CJ16" s="106">
        <f>IF(V16="","",IFERROR(V16*HSI!$B$11*HSI!$G$11/HSI!$B$3,""))</f>
        <v/>
      </c>
      <c r="CK16" s="106">
        <f>IF(W16="","",IFERROR(W16*HSI!$B$11*HSI!$G$11/HSI!$B$3,""))</f>
        <v/>
      </c>
      <c r="CL16" s="106">
        <f>IF(X16="","",IFERROR(X16*HSI!$B$11*HSI!$G$11/HSI!$B$3,""))</f>
        <v/>
      </c>
      <c r="CM16" s="106">
        <f>IF(Y16="","",IFERROR(Y16*HSI!$B$11*HSI!$G$11/HSI!$B$3,""))</f>
        <v/>
      </c>
      <c r="CN16" s="106">
        <f>IF(Z16="","",IFERROR(Z16*HSI!$B$11*HSI!$G$11/HSI!$B$3,""))</f>
        <v/>
      </c>
      <c r="CO16" s="106">
        <f>IF(AA16="","",IFERROR(AA16*HSI!$B$11*HSI!$G$11/HSI!$B$3,""))</f>
        <v/>
      </c>
      <c r="CP16" s="106">
        <f>IF(AB16="","",IFERROR(AB16*HSI!$B$11*HSI!$G$11/HSI!$B$3,""))</f>
        <v/>
      </c>
      <c r="CQ16" s="106">
        <f>IF(AC16="","",IFERROR(AC16*HSI!$B$11*HSI!$G$11/HSI!$B$3,""))</f>
        <v/>
      </c>
      <c r="CR16" s="106">
        <f>IF(AD16="","",IFERROR(AD16*HSI!$B$11*HSI!$G$11/HSI!$B$3,""))</f>
        <v/>
      </c>
      <c r="CS16" s="106">
        <f>IF(AE16="","",IFERROR(AE16*HSI!$B$11*HSI!$G$11/HSI!$B$3,""))</f>
        <v/>
      </c>
      <c r="CT16" s="106">
        <f>IF(AF16="","",IFERROR(AF16*HSI!$B$11*HSI!$G$11/HSI!$B$3,""))</f>
        <v/>
      </c>
      <c r="CU16" s="106">
        <f>IF(AG16="","",IFERROR(AG16*HSI!$B$11*HSI!$G$11/HSI!$B$3,""))</f>
        <v/>
      </c>
      <c r="CV16" s="106">
        <f>IF(AH16="","",IFERROR(AH16*HSI!$B$11*HSI!$G$11/HSI!$B$3,""))</f>
        <v/>
      </c>
      <c r="CW16" s="106">
        <f>IF(AI16="","",IFERROR(AI16*HSI!$B$11*HSI!$G$11/HSI!$B$3,""))</f>
        <v/>
      </c>
      <c r="CX16" s="106">
        <f>IF(AJ16="","",IFERROR(AJ16*HSI!$B$11*HSI!$G$11/HSI!$B$3,""))</f>
        <v/>
      </c>
      <c r="CY16" s="106">
        <f>IF(AK16="","",IFERROR(AK16*HSI!$B$11*HSI!$G$11/HSI!$B$3,""))</f>
        <v/>
      </c>
      <c r="CZ16" s="106">
        <f>IF(AL16="","",IFERROR(AL16*HSI!$B$11*HSI!$G$11/HSI!$B$3,""))</f>
        <v/>
      </c>
      <c r="DA16" s="106">
        <f>IF(AM16="","",IFERROR(AM16*HSI!$B$11*HSI!$G$11/HSI!$B$3,""))</f>
        <v/>
      </c>
      <c r="DB16" s="106">
        <f>IF(AN16="","",IFERROR(AN16*HSI!$B$11*HSI!$G$11/HSI!$B$3,""))</f>
        <v/>
      </c>
      <c r="DC16" s="106">
        <f>IF(AO16="","",IFERROR(AO16*HSI!$B$11*HSI!$G$11/HSI!$B$3,""))</f>
        <v/>
      </c>
      <c r="DD16" s="106">
        <f>IF(AP16="","",IFERROR(AP16*HSI!$B$11*HSI!$G$11/HSI!$B$3,""))</f>
        <v/>
      </c>
      <c r="DE16" s="106">
        <f>IF(AQ16="","",IFERROR(AQ16*HSI!$B$11*HSI!$G$11/HSI!$B$3,""))</f>
        <v/>
      </c>
      <c r="DF16" s="106">
        <f>IF(AR16="","",IFERROR(AR16*HSI!$B$11*HSI!$G$11/HSI!$B$3,""))</f>
        <v/>
      </c>
      <c r="DG16" s="106">
        <f>IF(AS16="","",IFERROR(AS16*HSI!$B$11*HSI!$G$11/HSI!$B$3,""))</f>
        <v/>
      </c>
      <c r="DH16" s="106">
        <f>IF(AT16="","",IFERROR(AT16*HSI!$B$11*HSI!$G$11/HSI!$B$3,""))</f>
        <v/>
      </c>
      <c r="DI16" s="106">
        <f>IF(AU16="","",IFERROR(AU16*HSI!$B$11*HSI!$G$11/HSI!$B$3,""))</f>
        <v/>
      </c>
      <c r="DJ16" s="106">
        <f>IF(AV16="","",IFERROR(AV16*HSI!$B$11*HSI!$G$11/HSI!$B$3,""))</f>
        <v/>
      </c>
      <c r="DK16" s="106">
        <f>IF(AW16="","",IFERROR(AW16*HSI!$B$11*HSI!$G$11/HSI!$B$3,""))</f>
        <v/>
      </c>
      <c r="DL16" s="106">
        <f>IF(AX16="","",IFERROR(AX16*HSI!$B$11*HSI!$G$11/HSI!$B$3,""))</f>
        <v/>
      </c>
      <c r="DM16" s="106">
        <f>IF(AY16="","",IFERROR(AY16*HSI!$B$11*HSI!$G$11/HSI!$B$3,""))</f>
        <v/>
      </c>
      <c r="DN16" s="106">
        <f>IF(AZ16="","",IFERROR(AZ16*HSI!$B$11*HSI!$G$11/HSI!$B$3,""))</f>
        <v/>
      </c>
      <c r="DO16" s="106">
        <f>IF(BA16="","",IFERROR(BA16*HSI!$B$11*HSI!$G$11/HSI!$B$3,""))</f>
        <v/>
      </c>
      <c r="DP16" s="106">
        <f>IF(BB16="","",IFERROR(BB16*HSI!$B$11*HSI!$G$11/HSI!$B$3,""))</f>
        <v/>
      </c>
      <c r="DQ16" s="106">
        <f>IF(BC16="","",IFERROR(BC16*HSI!$B$11*HSI!$G$11/HSI!$B$3,""))</f>
        <v/>
      </c>
      <c r="DR16" s="106">
        <f>IF(BD16="","",IFERROR(BD16*HSI!$B$11*HSI!$G$11/HSI!$B$3,""))</f>
        <v/>
      </c>
      <c r="DS16" s="106">
        <f>IF(BE16="","",IFERROR(BE16*HSI!$B$11*HSI!$G$11/HSI!$B$3,""))</f>
        <v/>
      </c>
      <c r="DT16" s="106">
        <f>IF(BF16="","",IFERROR(BF16*HSI!$B$11*HSI!$G$11/HSI!$B$3,""))</f>
        <v/>
      </c>
      <c r="DU16" s="106">
        <f>IF(BG16="","",IFERROR(BG16*HSI!$B$11*HSI!$G$11/HSI!$B$3,""))</f>
        <v/>
      </c>
      <c r="DV16" s="106">
        <f>IF(BH16="","",IFERROR(BH16*HSI!$B$11*HSI!$G$11/HSI!$B$3,""))</f>
        <v/>
      </c>
      <c r="DW16" s="106">
        <f>IF(BI16="","",IFERROR(BI16*HSI!$B$11*HSI!$G$11/HSI!$B$3,""))</f>
        <v/>
      </c>
      <c r="DX16" s="106">
        <f>IF(BJ16="","",IFERROR(BJ16*HSI!$B$11*HSI!$G$11/HSI!$B$3,""))</f>
        <v/>
      </c>
      <c r="DY16" s="106">
        <f>IF(BK16="","",IFERROR(BK16*HSI!$B$11*HSI!$G$11/HSI!$B$3,""))</f>
        <v/>
      </c>
      <c r="DZ16" s="106">
        <f>IF(BL16="","",IFERROR(BL16*HSI!$B$11*HSI!$G$11/HSI!$B$3,""))</f>
        <v/>
      </c>
      <c r="EA16" s="106">
        <f>IF(BM16="","",IFERROR(BM16*HSI!$B$11*HSI!$G$11/HSI!$B$3,""))</f>
        <v/>
      </c>
      <c r="EB16" s="106">
        <f>IF(BN16="","",IFERROR(BN16*HSI!$B$11*HSI!$G$11/HSI!$B$3,""))</f>
        <v/>
      </c>
      <c r="EC16" s="106">
        <f>IF(BO16="","",IFERROR(BO16*HSI!$B$11*HSI!$G$11/HSI!$B$3,""))</f>
        <v/>
      </c>
      <c r="EE16" s="35">
        <f>IF(N('Dvd Calendar'!$E$55)=0,"",IF(('Dvd Calendar'!$E$55&gt;=GRID_FROM)*('Dvd Calendar'!$E$55&lt;=GRID_TO)*('Dvd Calendar'!$E$55&lt;=VAL_DATE)=0,"",'Dvd Calendar'!$E$55*1000000000+ISNUMBER('Dvd Calendar'!$E$58)*100000000+('Dvd Calendar'!$E$60=SPECIAL_LBL)*10000000+0*1000000+5*1000+1))</f>
        <v/>
      </c>
      <c r="EF16" s="35">
        <f>IF(N('Dvd Calendar'!$F$55)=0,"",IF(('Dvd Calendar'!$F$55&gt;=GRID_FROM)*('Dvd Calendar'!$F$55&lt;=GRID_TO)*('Dvd Calendar'!$F$55&lt;=VAL_DATE)=0,"",'Dvd Calendar'!$F$55*1000000000+ISNUMBER('Dvd Calendar'!$F$58)*100000000+('Dvd Calendar'!$F$60=SPECIAL_LBL)*10000000+0*1000000+5*1000+2))</f>
        <v/>
      </c>
      <c r="EG16" s="35">
        <f>IF(N('Dvd Calendar'!$G$55)=0,"",IF(('Dvd Calendar'!$G$55&gt;=GRID_FROM)*('Dvd Calendar'!$G$55&lt;=GRID_TO)*('Dvd Calendar'!$G$55&lt;=VAL_DATE)=0,"",'Dvd Calendar'!$G$55*1000000000+ISNUMBER('Dvd Calendar'!$G$58)*100000000+('Dvd Calendar'!$G$60=SPECIAL_LBL)*10000000+0*1000000+5*1000+3))</f>
        <v/>
      </c>
      <c r="EH16" s="35">
        <f>IF(N('Dvd Calendar'!$H$55)=0,"",IF(('Dvd Calendar'!$H$55&gt;=GRID_FROM)*('Dvd Calendar'!$H$55&lt;=GRID_TO)*('Dvd Calendar'!$H$55&lt;=VAL_DATE)=0,"",'Dvd Calendar'!$H$55*1000000000+ISNUMBER('Dvd Calendar'!$H$58)*100000000+('Dvd Calendar'!$H$60=SPECIAL_LBL)*10000000+0*1000000+5*1000+4))</f>
        <v/>
      </c>
      <c r="EI16" s="35">
        <f>IF(N('Dvd Calendar'!$I$55)=0,"",IF(('Dvd Calendar'!$I$55&gt;=GRID_FROM)*('Dvd Calendar'!$I$55&lt;=GRID_TO)*('Dvd Calendar'!$I$55&lt;=VAL_DATE)=0,"",'Dvd Calendar'!$I$55*1000000000+ISNUMBER('Dvd Calendar'!$I$58)*100000000+('Dvd Calendar'!$I$60=SPECIAL_LBL)*10000000+0*1000000+5*1000+5))</f>
        <v/>
      </c>
      <c r="EJ16" s="35">
        <f>IF(N('Dvd Calendar'!$J$55)=0,"",IF(('Dvd Calendar'!$J$55&gt;=GRID_FROM)*('Dvd Calendar'!$J$55&lt;=GRID_TO)*('Dvd Calendar'!$J$55&lt;=VAL_DATE)=0,"",'Dvd Calendar'!$J$55*1000000000+ISNUMBER('Dvd Calendar'!$J$58)*100000000+('Dvd Calendar'!$J$60=SPECIAL_LBL)*10000000+0*1000000+5*1000+6))</f>
        <v/>
      </c>
      <c r="EK16" s="35">
        <f>IF(N('Dvd Calendar'!$K$55)=0,"",IF(('Dvd Calendar'!$K$55&gt;=GRID_FROM)*('Dvd Calendar'!$K$55&lt;=GRID_TO)*('Dvd Calendar'!$K$55&lt;=VAL_DATE)=0,"",'Dvd Calendar'!$K$55*1000000000+ISNUMBER('Dvd Calendar'!$K$58)*100000000+('Dvd Calendar'!$K$60=SPECIAL_LBL)*10000000+0*1000000+5*1000+7))</f>
        <v/>
      </c>
      <c r="EL16" s="35">
        <f>IF(N('Dvd Calendar'!$L$55)=0,"",IF(('Dvd Calendar'!$L$55&gt;=GRID_FROM)*('Dvd Calendar'!$L$55&lt;=GRID_TO)*('Dvd Calendar'!$L$55&lt;=VAL_DATE)=0,"",'Dvd Calendar'!$L$55*1000000000+ISNUMBER('Dvd Calendar'!$L$58)*100000000+('Dvd Calendar'!$L$60=SPECIAL_LBL)*10000000+0*1000000+5*1000+8))</f>
        <v/>
      </c>
      <c r="EM16" s="35">
        <f>IF(N('Dvd Calendar'!$M$55)=0,"",IF(('Dvd Calendar'!$M$55&gt;=GRID_FROM)*('Dvd Calendar'!$M$55&lt;=GRID_TO)*('Dvd Calendar'!$M$55&lt;=VAL_DATE)=0,"",'Dvd Calendar'!$M$55*1000000000+ISNUMBER('Dvd Calendar'!$M$58)*100000000+('Dvd Calendar'!$M$60=SPECIAL_LBL)*10000000+0*1000000+5*1000+9))</f>
        <v/>
      </c>
      <c r="EN16" s="35">
        <f>IF(N('Dvd Calendar'!$N$55)=0,"",IF(('Dvd Calendar'!$N$55&gt;=GRID_FROM)*('Dvd Calendar'!$N$55&lt;=GRID_TO)*('Dvd Calendar'!$N$55&lt;=VAL_DATE)=0,"",'Dvd Calendar'!$N$55*1000000000+ISNUMBER('Dvd Calendar'!$N$58)*100000000+('Dvd Calendar'!$N$60=SPECIAL_LBL)*10000000+0*1000000+5*1000+10))</f>
        <v/>
      </c>
      <c r="EO16" s="35">
        <f>IF(N('Dvd Calendar'!$O$55)=0,"",IF(('Dvd Calendar'!$O$55&gt;=GRID_FROM)*('Dvd Calendar'!$O$55&lt;=GRID_TO)*('Dvd Calendar'!$O$55&lt;=VAL_DATE)=0,"",'Dvd Calendar'!$O$55*1000000000+ISNUMBER('Dvd Calendar'!$O$58)*100000000+('Dvd Calendar'!$O$60=SPECIAL_LBL)*10000000+0*1000000+5*1000+11))</f>
        <v/>
      </c>
      <c r="EP16" s="35">
        <f>IF(N('Dvd Calendar'!$P$55)=0,"",IF(('Dvd Calendar'!$P$55&gt;=GRID_FROM)*('Dvd Calendar'!$P$55&lt;=GRID_TO)*('Dvd Calendar'!$P$55&lt;=VAL_DATE)=0,"",'Dvd Calendar'!$P$55*1000000000+ISNUMBER('Dvd Calendar'!$P$58)*100000000+('Dvd Calendar'!$P$60=SPECIAL_LBL)*10000000+0*1000000+5*1000+12))</f>
        <v/>
      </c>
      <c r="EQ16" s="35">
        <f>IF(N('Dvd Calendar'!$Q$55)=0,"",IF(('Dvd Calendar'!$Q$55&gt;=GRID_FROM)*('Dvd Calendar'!$Q$55&lt;=GRID_TO)*('Dvd Calendar'!$Q$55&lt;=VAL_DATE)=0,"",'Dvd Calendar'!$Q$55*1000000000+ISNUMBER('Dvd Calendar'!$Q$58)*100000000+('Dvd Calendar'!$Q$60=SPECIAL_LBL)*10000000+0*1000000+5*1000+13))</f>
        <v/>
      </c>
      <c r="ER16" s="35">
        <f>IF(N('Dvd Calendar'!$R$55)=0,"",IF(('Dvd Calendar'!$R$55&gt;=GRID_FROM)*('Dvd Calendar'!$R$55&lt;=GRID_TO)*('Dvd Calendar'!$R$55&lt;=VAL_DATE)=0,"",'Dvd Calendar'!$R$55*1000000000+ISNUMBER('Dvd Calendar'!$R$58)*100000000+('Dvd Calendar'!$R$60=SPECIAL_LBL)*10000000+0*1000000+5*1000+14))</f>
        <v/>
      </c>
      <c r="ES16" s="35">
        <f>IF(N('Dvd Calendar'!$S$55)=0,"",IF(('Dvd Calendar'!$S$55&gt;=GRID_FROM)*('Dvd Calendar'!$S$55&lt;=GRID_TO)*('Dvd Calendar'!$S$55&lt;=VAL_DATE)=0,"",'Dvd Calendar'!$S$55*1000000000+ISNUMBER('Dvd Calendar'!$S$58)*100000000+('Dvd Calendar'!$S$60=SPECIAL_LBL)*10000000+0*1000000+5*1000+15))</f>
        <v/>
      </c>
      <c r="ET16" s="35">
        <f>IF(N('Dvd Calendar'!$T$55)=0,"",IF(('Dvd Calendar'!$T$55&gt;=GRID_FROM)*('Dvd Calendar'!$T$55&lt;=GRID_TO)*('Dvd Calendar'!$T$55&lt;=VAL_DATE)=0,"",'Dvd Calendar'!$T$55*1000000000+ISNUMBER('Dvd Calendar'!$T$58)*100000000+('Dvd Calendar'!$T$60=SPECIAL_LBL)*10000000+0*1000000+5*1000+16))</f>
        <v/>
      </c>
      <c r="EU16" s="35">
        <f>IF(N('Dvd Calendar'!$U$55)=0,"",IF(('Dvd Calendar'!$U$55&gt;=GRID_FROM)*('Dvd Calendar'!$U$55&lt;=GRID_TO)*('Dvd Calendar'!$U$55&lt;=VAL_DATE)=0,"",'Dvd Calendar'!$U$55*1000000000+ISNUMBER('Dvd Calendar'!$U$58)*100000000+('Dvd Calendar'!$U$60=SPECIAL_LBL)*10000000+0*1000000+5*1000+17))</f>
        <v/>
      </c>
      <c r="EV16" s="35">
        <f>IF(N('Dvd Calendar'!$V$55)=0,"",IF(('Dvd Calendar'!$V$55&gt;=GRID_FROM)*('Dvd Calendar'!$V$55&lt;=GRID_TO)*('Dvd Calendar'!$V$55&lt;=VAL_DATE)=0,"",'Dvd Calendar'!$V$55*1000000000+ISNUMBER('Dvd Calendar'!$V$58)*100000000+('Dvd Calendar'!$V$60=SPECIAL_LBL)*10000000+0*1000000+5*1000+18))</f>
        <v/>
      </c>
      <c r="EW16" s="35">
        <f>IF(N('Dvd Calendar'!$W$55)=0,"",IF(('Dvd Calendar'!$W$55&gt;=GRID_FROM)*('Dvd Calendar'!$W$55&lt;=GRID_TO)*('Dvd Calendar'!$W$55&lt;=VAL_DATE)=0,"",'Dvd Calendar'!$W$55*1000000000+ISNUMBER('Dvd Calendar'!$W$58)*100000000+('Dvd Calendar'!$W$60=SPECIAL_LBL)*10000000+0*1000000+5*1000+19))</f>
        <v/>
      </c>
      <c r="EX16" s="35">
        <f>IF(N('Dvd Calendar'!$X$55)=0,"",IF(('Dvd Calendar'!$X$55&gt;=GRID_FROM)*('Dvd Calendar'!$X$55&lt;=GRID_TO)*('Dvd Calendar'!$X$55&lt;=VAL_DATE)=0,"",'Dvd Calendar'!$X$55*1000000000+ISNUMBER('Dvd Calendar'!$X$58)*100000000+('Dvd Calendar'!$X$60=SPECIAL_LBL)*10000000+0*1000000+5*1000+20))</f>
        <v/>
      </c>
      <c r="EY16" s="35">
        <f>IF(N('Dvd Calendar'!$Y$55)=0,"",IF(('Dvd Calendar'!$Y$55&gt;=GRID_FROM)*('Dvd Calendar'!$Y$55&lt;=GRID_TO)*('Dvd Calendar'!$Y$55&lt;=VAL_DATE)=0,"",'Dvd Calendar'!$Y$55*1000000000+ISNUMBER('Dvd Calendar'!$Y$58)*100000000+('Dvd Calendar'!$Y$60=SPECIAL_LBL)*10000000+0*1000000+5*1000+21))</f>
        <v/>
      </c>
      <c r="EZ16" s="35">
        <f>IF(N('Dvd Calendar'!$Z$55)=0,"",IF(('Dvd Calendar'!$Z$55&gt;=GRID_FROM)*('Dvd Calendar'!$Z$55&lt;=GRID_TO)*('Dvd Calendar'!$Z$55&lt;=VAL_DATE)=0,"",'Dvd Calendar'!$Z$55*1000000000+ISNUMBER('Dvd Calendar'!$Z$58)*100000000+('Dvd Calendar'!$Z$60=SPECIAL_LBL)*10000000+0*1000000+5*1000+22))</f>
        <v/>
      </c>
      <c r="FA16" s="35">
        <f>IF(N('Dvd Calendar'!$AA$55)=0,"",IF(('Dvd Calendar'!$AA$55&gt;=GRID_FROM)*('Dvd Calendar'!$AA$55&lt;=GRID_TO)*('Dvd Calendar'!$AA$55&lt;=VAL_DATE)=0,"",'Dvd Calendar'!$AA$55*1000000000+ISNUMBER('Dvd Calendar'!$AA$58)*100000000+('Dvd Calendar'!$AA$60=SPECIAL_LBL)*10000000+0*1000000+5*1000+23))</f>
        <v/>
      </c>
      <c r="FB16" s="35">
        <f>IF(N('Dvd Calendar'!$AB$55)=0,"",IF(('Dvd Calendar'!$AB$55&gt;=GRID_FROM)*('Dvd Calendar'!$AB$55&lt;=GRID_TO)*('Dvd Calendar'!$AB$55&lt;=VAL_DATE)=0,"",'Dvd Calendar'!$AB$55*1000000000+ISNUMBER('Dvd Calendar'!$AB$58)*100000000+('Dvd Calendar'!$AB$60=SPECIAL_LBL)*10000000+0*1000000+5*1000+24))</f>
        <v/>
      </c>
      <c r="FC16" s="35">
        <f>IF(N('Dvd Calendar'!$AC$55)=0,"",IF(('Dvd Calendar'!$AC$55&gt;=GRID_FROM)*('Dvd Calendar'!$AC$55&lt;=GRID_TO)*('Dvd Calendar'!$AC$55&lt;=VAL_DATE)=0,"",'Dvd Calendar'!$AC$55*1000000000+ISNUMBER('Dvd Calendar'!$AC$58)*100000000+('Dvd Calendar'!$AC$60=SPECIAL_LBL)*10000000+0*1000000+5*1000+25))</f>
        <v/>
      </c>
      <c r="FD16" s="35">
        <f>IF(N('Dvd Calendar'!$AD$55)=0,"",IF(('Dvd Calendar'!$AD$55&gt;=GRID_FROM)*('Dvd Calendar'!$AD$55&lt;=GRID_TO)*('Dvd Calendar'!$AD$55&lt;=VAL_DATE)=0,"",'Dvd Calendar'!$AD$55*1000000000+ISNUMBER('Dvd Calendar'!$AD$58)*100000000+('Dvd Calendar'!$AD$60=SPECIAL_LBL)*10000000+0*1000000+5*1000+26))</f>
        <v/>
      </c>
      <c r="FE16" s="35">
        <f>IF(N('Dvd Calendar'!$AE$55)=0,"",IF(('Dvd Calendar'!$AE$55&gt;=GRID_FROM)*('Dvd Calendar'!$AE$55&lt;=GRID_TO)*('Dvd Calendar'!$AE$55&lt;=VAL_DATE)=0,"",'Dvd Calendar'!$AE$55*1000000000+ISNUMBER('Dvd Calendar'!$AE$58)*100000000+('Dvd Calendar'!$AE$60=SPECIAL_LBL)*10000000+0*1000000+5*1000+27))</f>
        <v/>
      </c>
      <c r="FF16" s="35">
        <f>IF(N('Dvd Calendar'!$AF$55)=0,"",IF(('Dvd Calendar'!$AF$55&gt;=GRID_FROM)*('Dvd Calendar'!$AF$55&lt;=GRID_TO)*('Dvd Calendar'!$AF$55&lt;=VAL_DATE)=0,"",'Dvd Calendar'!$AF$55*1000000000+ISNUMBER('Dvd Calendar'!$AF$58)*100000000+('Dvd Calendar'!$AF$60=SPECIAL_LBL)*10000000+0*1000000+5*1000+28))</f>
        <v/>
      </c>
      <c r="FG16" s="35">
        <f>IF(N('Dvd Calendar'!$AG$55)=0,"",IF(('Dvd Calendar'!$AG$55&gt;=GRID_FROM)*('Dvd Calendar'!$AG$55&lt;=GRID_TO)*('Dvd Calendar'!$AG$55&lt;=VAL_DATE)=0,"",'Dvd Calendar'!$AG$55*1000000000+ISNUMBER('Dvd Calendar'!$AG$58)*100000000+('Dvd Calendar'!$AG$60=SPECIAL_LBL)*10000000+0*1000000+5*1000+29))</f>
        <v/>
      </c>
      <c r="FH16" s="35">
        <f>IF(N('Dvd Calendar'!$AH$55)=0,"",IF(('Dvd Calendar'!$AH$55&gt;=GRID_FROM)*('Dvd Calendar'!$AH$55&lt;=GRID_TO)*('Dvd Calendar'!$AH$55&lt;=VAL_DATE)=0,"",'Dvd Calendar'!$AH$55*1000000000+ISNUMBER('Dvd Calendar'!$AH$58)*100000000+('Dvd Calendar'!$AH$60=SPECIAL_LBL)*10000000+0*1000000+5*1000+30))</f>
        <v/>
      </c>
      <c r="FI16" s="35">
        <f>IF(N('Dvd Calendar'!$AI$55)=0,"",IF(('Dvd Calendar'!$AI$55&gt;=GRID_FROM)*('Dvd Calendar'!$AI$55&lt;=GRID_TO)*('Dvd Calendar'!$AI$55&lt;=VAL_DATE)=0,"",'Dvd Calendar'!$AI$55*1000000000+ISNUMBER('Dvd Calendar'!$AI$58)*100000000+('Dvd Calendar'!$AI$60=SPECIAL_LBL)*10000000+0*1000000+5*1000+31))</f>
        <v/>
      </c>
      <c r="FJ16" s="35">
        <f>IF(N('Dvd Calendar'!$AJ$55)=0,"",IF(('Dvd Calendar'!$AJ$55&gt;=GRID_FROM)*('Dvd Calendar'!$AJ$55&lt;=GRID_TO)*('Dvd Calendar'!$AJ$55&lt;=VAL_DATE)=0,"",'Dvd Calendar'!$AJ$55*1000000000+ISNUMBER('Dvd Calendar'!$AJ$58)*100000000+('Dvd Calendar'!$AJ$60=SPECIAL_LBL)*10000000+0*1000000+5*1000+32))</f>
        <v/>
      </c>
      <c r="FK16" s="35">
        <f>IF(N('Dvd Calendar'!$AK$55)=0,"",IF(('Dvd Calendar'!$AK$55&gt;=GRID_FROM)*('Dvd Calendar'!$AK$55&lt;=GRID_TO)*('Dvd Calendar'!$AK$55&lt;=VAL_DATE)=0,"",'Dvd Calendar'!$AK$55*1000000000+ISNUMBER('Dvd Calendar'!$AK$58)*100000000+('Dvd Calendar'!$AK$60=SPECIAL_LBL)*10000000+0*1000000+5*1000+33))</f>
        <v/>
      </c>
      <c r="FL16" s="35">
        <f>IF(N('Dvd Calendar'!$AL$55)=0,"",IF(('Dvd Calendar'!$AL$55&gt;=GRID_FROM)*('Dvd Calendar'!$AL$55&lt;=GRID_TO)*('Dvd Calendar'!$AL$55&lt;=VAL_DATE)=0,"",'Dvd Calendar'!$AL$55*1000000000+ISNUMBER('Dvd Calendar'!$AL$58)*100000000+('Dvd Calendar'!$AL$60=SPECIAL_LBL)*10000000+0*1000000+5*1000+34))</f>
        <v/>
      </c>
      <c r="FM16" s="35">
        <f>IF(N('Dvd Calendar'!$AM$55)=0,"",IF(('Dvd Calendar'!$AM$55&gt;=GRID_FROM)*('Dvd Calendar'!$AM$55&lt;=GRID_TO)*('Dvd Calendar'!$AM$55&lt;=VAL_DATE)=0,"",'Dvd Calendar'!$AM$55*1000000000+ISNUMBER('Dvd Calendar'!$AM$58)*100000000+('Dvd Calendar'!$AM$60=SPECIAL_LBL)*10000000+0*1000000+5*1000+35))</f>
        <v/>
      </c>
      <c r="FN16" s="35">
        <f>IF(N('Dvd Calendar'!$AN$55)=0,"",IF(('Dvd Calendar'!$AN$55&gt;=GRID_FROM)*('Dvd Calendar'!$AN$55&lt;=GRID_TO)*('Dvd Calendar'!$AN$55&lt;=VAL_DATE)=0,"",'Dvd Calendar'!$AN$55*1000000000+ISNUMBER('Dvd Calendar'!$AN$58)*100000000+('Dvd Calendar'!$AN$60=SPECIAL_LBL)*10000000+0*1000000+5*1000+36))</f>
        <v/>
      </c>
      <c r="FO16" s="35">
        <f>IF(N('Dvd Calendar'!$AO$55)=0,"",IF(('Dvd Calendar'!$AO$55&gt;=GRID_FROM)*('Dvd Calendar'!$AO$55&lt;=GRID_TO)*('Dvd Calendar'!$AO$55&lt;=VAL_DATE)=0,"",'Dvd Calendar'!$AO$55*1000000000+ISNUMBER('Dvd Calendar'!$AO$58)*100000000+('Dvd Calendar'!$AO$60=SPECIAL_LBL)*10000000+0*1000000+5*1000+37))</f>
        <v/>
      </c>
      <c r="FP16" s="35">
        <f>IF(N('Dvd Calendar'!$AP$55)=0,"",IF(('Dvd Calendar'!$AP$55&gt;=GRID_FROM)*('Dvd Calendar'!$AP$55&lt;=GRID_TO)*('Dvd Calendar'!$AP$55&lt;=VAL_DATE)=0,"",'Dvd Calendar'!$AP$55*1000000000+ISNUMBER('Dvd Calendar'!$AP$58)*100000000+('Dvd Calendar'!$AP$60=SPECIAL_LBL)*10000000+0*1000000+5*1000+38))</f>
        <v/>
      </c>
      <c r="FQ16" s="35">
        <f>IF(N('Dvd Calendar'!$AQ$55)=0,"",IF(('Dvd Calendar'!$AQ$55&gt;=GRID_FROM)*('Dvd Calendar'!$AQ$55&lt;=GRID_TO)*('Dvd Calendar'!$AQ$55&lt;=VAL_DATE)=0,"",'Dvd Calendar'!$AQ$55*1000000000+ISNUMBER('Dvd Calendar'!$AQ$58)*100000000+('Dvd Calendar'!$AQ$60=SPECIAL_LBL)*10000000+0*1000000+5*1000+39))</f>
        <v/>
      </c>
      <c r="FR16" s="35">
        <f>IF(N('Dvd Calendar'!$AR$55)=0,"",IF(('Dvd Calendar'!$AR$55&gt;=GRID_FROM)*('Dvd Calendar'!$AR$55&lt;=GRID_TO)*('Dvd Calendar'!$AR$55&lt;=VAL_DATE)=0,"",'Dvd Calendar'!$AR$55*1000000000+ISNUMBER('Dvd Calendar'!$AR$58)*100000000+('Dvd Calendar'!$AR$60=SPECIAL_LBL)*10000000+0*1000000+5*1000+40))</f>
        <v/>
      </c>
      <c r="FS16" s="35">
        <f>IF(N('Dvd Calendar'!$E$62)=0,"",IF(('Dvd Calendar'!$E$62&gt;=GRID_FROM)*('Dvd Calendar'!$E$62&lt;=GRID_TO)*('Dvd Calendar'!$E$62&gt;VAL_DATE)=0,"",'Dvd Calendar'!$E$62*1000000000+ISNUMBER('Dvd Calendar'!$E$63)*100000000+0*10000000+(N('Dvd Calendar'!$E$61)&gt;0)*(N('Dvd Calendar'!$E$61)&lt;=VAL_SERIAL)*1000000+5*1000+41))</f>
        <v/>
      </c>
      <c r="FT16" s="35">
        <f>IF(N('Dvd Calendar'!$F$62)=0,"",IF(('Dvd Calendar'!$F$62&gt;=GRID_FROM)*('Dvd Calendar'!$F$62&lt;=GRID_TO)*('Dvd Calendar'!$F$62&gt;VAL_DATE)=0,"",'Dvd Calendar'!$F$62*1000000000+ISNUMBER('Dvd Calendar'!$F$63)*100000000+0*10000000+(N('Dvd Calendar'!$F$61)&gt;0)*(N('Dvd Calendar'!$F$61)&lt;=VAL_SERIAL)*1000000+5*1000+42))</f>
        <v/>
      </c>
      <c r="FU16" s="35">
        <f>IF(N('Dvd Calendar'!$G$62)=0,"",IF(('Dvd Calendar'!$G$62&gt;=GRID_FROM)*('Dvd Calendar'!$G$62&lt;=GRID_TO)*('Dvd Calendar'!$G$62&gt;VAL_DATE)=0,"",'Dvd Calendar'!$G$62*1000000000+ISNUMBER('Dvd Calendar'!$G$63)*100000000+0*10000000+(N('Dvd Calendar'!$G$61)&gt;0)*(N('Dvd Calendar'!$G$61)&lt;=VAL_SERIAL)*1000000+5*1000+43))</f>
        <v/>
      </c>
      <c r="FV16" s="35">
        <f>IF(N('Dvd Calendar'!$H$62)=0,"",IF(('Dvd Calendar'!$H$62&gt;=GRID_FROM)*('Dvd Calendar'!$H$62&lt;=GRID_TO)*('Dvd Calendar'!$H$62&gt;VAL_DATE)=0,"",'Dvd Calendar'!$H$62*1000000000+ISNUMBER('Dvd Calendar'!$H$63)*100000000+0*10000000+(N('Dvd Calendar'!$H$61)&gt;0)*(N('Dvd Calendar'!$H$61)&lt;=VAL_SERIAL)*1000000+5*1000+44))</f>
        <v/>
      </c>
      <c r="FW16" s="35">
        <f>IF(N('Dvd Calendar'!$I$62)=0,"",IF(('Dvd Calendar'!$I$62&gt;=GRID_FROM)*('Dvd Calendar'!$I$62&lt;=GRID_TO)*('Dvd Calendar'!$I$62&gt;VAL_DATE)=0,"",'Dvd Calendar'!$I$62*1000000000+ISNUMBER('Dvd Calendar'!$I$63)*100000000+0*10000000+(N('Dvd Calendar'!$I$61)&gt;0)*(N('Dvd Calendar'!$I$61)&lt;=VAL_SERIAL)*1000000+5*1000+45))</f>
        <v/>
      </c>
      <c r="FX16" s="35">
        <f>IF(N('Dvd Calendar'!$J$62)=0,"",IF(('Dvd Calendar'!$J$62&gt;=GRID_FROM)*('Dvd Calendar'!$J$62&lt;=GRID_TO)*('Dvd Calendar'!$J$62&gt;VAL_DATE)=0,"",'Dvd Calendar'!$J$62*1000000000+ISNUMBER('Dvd Calendar'!$J$63)*100000000+0*10000000+(N('Dvd Calendar'!$J$61)&gt;0)*(N('Dvd Calendar'!$J$61)&lt;=VAL_SERIAL)*1000000+5*1000+46))</f>
        <v/>
      </c>
      <c r="FY16" s="35">
        <f>IF(N('Dvd Calendar'!$K$62)=0,"",IF(('Dvd Calendar'!$K$62&gt;=GRID_FROM)*('Dvd Calendar'!$K$62&lt;=GRID_TO)*('Dvd Calendar'!$K$62&gt;VAL_DATE)=0,"",'Dvd Calendar'!$K$62*1000000000+ISNUMBER('Dvd Calendar'!$K$63)*100000000+0*10000000+(N('Dvd Calendar'!$K$61)&gt;0)*(N('Dvd Calendar'!$K$61)&lt;=VAL_SERIAL)*1000000+5*1000+47))</f>
        <v/>
      </c>
      <c r="FZ16" s="35">
        <f>IF(N('Dvd Calendar'!$L$62)=0,"",IF(('Dvd Calendar'!$L$62&gt;=GRID_FROM)*('Dvd Calendar'!$L$62&lt;=GRID_TO)*('Dvd Calendar'!$L$62&gt;VAL_DATE)=0,"",'Dvd Calendar'!$L$62*1000000000+ISNUMBER('Dvd Calendar'!$L$63)*100000000+0*10000000+(N('Dvd Calendar'!$L$61)&gt;0)*(N('Dvd Calendar'!$L$61)&lt;=VAL_SERIAL)*1000000+5*1000+48))</f>
        <v/>
      </c>
      <c r="GA16" s="35">
        <f>IF(N('Dvd Calendar'!$M$62)=0,"",IF(('Dvd Calendar'!$M$62&gt;=GRID_FROM)*('Dvd Calendar'!$M$62&lt;=GRID_TO)*('Dvd Calendar'!$M$62&gt;VAL_DATE)=0,"",'Dvd Calendar'!$M$62*1000000000+ISNUMBER('Dvd Calendar'!$M$63)*100000000+0*10000000+(N('Dvd Calendar'!$M$61)&gt;0)*(N('Dvd Calendar'!$M$61)&lt;=VAL_SERIAL)*1000000+5*1000+49))</f>
        <v/>
      </c>
      <c r="GB16" s="35">
        <f>IF(N('Dvd Calendar'!$N$62)=0,"",IF(('Dvd Calendar'!$N$62&gt;=GRID_FROM)*('Dvd Calendar'!$N$62&lt;=GRID_TO)*('Dvd Calendar'!$N$62&gt;VAL_DATE)=0,"",'Dvd Calendar'!$N$62*1000000000+ISNUMBER('Dvd Calendar'!$N$63)*100000000+0*10000000+(N('Dvd Calendar'!$N$61)&gt;0)*(N('Dvd Calendar'!$N$61)&lt;=VAL_SERIAL)*1000000+5*1000+50))</f>
        <v/>
      </c>
      <c r="GC16" s="35">
        <f>IF(N('Dvd Calendar'!$O$62)=0,"",IF(('Dvd Calendar'!$O$62&gt;=GRID_FROM)*('Dvd Calendar'!$O$62&lt;=GRID_TO)*('Dvd Calendar'!$O$62&gt;VAL_DATE)=0,"",'Dvd Calendar'!$O$62*1000000000+ISNUMBER('Dvd Calendar'!$O$63)*100000000+0*10000000+(N('Dvd Calendar'!$O$61)&gt;0)*(N('Dvd Calendar'!$O$61)&lt;=VAL_SERIAL)*1000000+5*1000+51))</f>
        <v/>
      </c>
      <c r="GD16" s="35">
        <f>IF(N('Dvd Calendar'!$P$62)=0,"",IF(('Dvd Calendar'!$P$62&gt;=GRID_FROM)*('Dvd Calendar'!$P$62&lt;=GRID_TO)*('Dvd Calendar'!$P$62&gt;VAL_DATE)=0,"",'Dvd Calendar'!$P$62*1000000000+ISNUMBER('Dvd Calendar'!$P$63)*100000000+0*10000000+(N('Dvd Calendar'!$P$61)&gt;0)*(N('Dvd Calendar'!$P$61)&lt;=VAL_SERIAL)*1000000+5*1000+52))</f>
        <v/>
      </c>
      <c r="GE16" s="35">
        <f>IF(N('Dvd Calendar'!$Q$62)=0,"",IF(('Dvd Calendar'!$Q$62&gt;=GRID_FROM)*('Dvd Calendar'!$Q$62&lt;=GRID_TO)*('Dvd Calendar'!$Q$62&gt;VAL_DATE)=0,"",'Dvd Calendar'!$Q$62*1000000000+ISNUMBER('Dvd Calendar'!$Q$63)*100000000+0*10000000+(N('Dvd Calendar'!$Q$61)&gt;0)*(N('Dvd Calendar'!$Q$61)&lt;=VAL_SERIAL)*1000000+5*1000+53))</f>
        <v/>
      </c>
      <c r="GF16" s="35">
        <f>IF(N('Dvd Calendar'!$R$62)=0,"",IF(('Dvd Calendar'!$R$62&gt;=GRID_FROM)*('Dvd Calendar'!$R$62&lt;=GRID_TO)*('Dvd Calendar'!$R$62&gt;VAL_DATE)=0,"",'Dvd Calendar'!$R$62*1000000000+ISNUMBER('Dvd Calendar'!$R$63)*100000000+0*10000000+(N('Dvd Calendar'!$R$61)&gt;0)*(N('Dvd Calendar'!$R$61)&lt;=VAL_SERIAL)*1000000+5*1000+54))</f>
        <v/>
      </c>
      <c r="GG16" s="35">
        <f>IF(N('Dvd Calendar'!$S$62)=0,"",IF(('Dvd Calendar'!$S$62&gt;=GRID_FROM)*('Dvd Calendar'!$S$62&lt;=GRID_TO)*('Dvd Calendar'!$S$62&gt;VAL_DATE)=0,"",'Dvd Calendar'!$S$62*1000000000+ISNUMBER('Dvd Calendar'!$S$63)*100000000+0*10000000+(N('Dvd Calendar'!$S$61)&gt;0)*(N('Dvd Calendar'!$S$61)&lt;=VAL_SERIAL)*1000000+5*1000+55))</f>
        <v/>
      </c>
      <c r="GH16" s="35">
        <f>IF(N('Dvd Calendar'!$T$62)=0,"",IF(('Dvd Calendar'!$T$62&gt;=GRID_FROM)*('Dvd Calendar'!$T$62&lt;=GRID_TO)*('Dvd Calendar'!$T$62&gt;VAL_DATE)=0,"",'Dvd Calendar'!$T$62*1000000000+ISNUMBER('Dvd Calendar'!$T$63)*100000000+0*10000000+(N('Dvd Calendar'!$T$61)&gt;0)*(N('Dvd Calendar'!$T$61)&lt;=VAL_SERIAL)*1000000+5*1000+56))</f>
        <v/>
      </c>
      <c r="GI16" s="35">
        <f>IF(N('Dvd Calendar'!$U$62)=0,"",IF(('Dvd Calendar'!$U$62&gt;=GRID_FROM)*('Dvd Calendar'!$U$62&lt;=GRID_TO)*('Dvd Calendar'!$U$62&gt;VAL_DATE)=0,"",'Dvd Calendar'!$U$62*1000000000+ISNUMBER('Dvd Calendar'!$U$63)*100000000+0*10000000+(N('Dvd Calendar'!$U$61)&gt;0)*(N('Dvd Calendar'!$U$61)&lt;=VAL_SERIAL)*1000000+5*1000+57))</f>
        <v/>
      </c>
      <c r="GJ16" s="35">
        <f>IF(N('Dvd Calendar'!$V$62)=0,"",IF(('Dvd Calendar'!$V$62&gt;=GRID_FROM)*('Dvd Calendar'!$V$62&lt;=GRID_TO)*('Dvd Calendar'!$V$62&gt;VAL_DATE)=0,"",'Dvd Calendar'!$V$62*1000000000+ISNUMBER('Dvd Calendar'!$V$63)*100000000+0*10000000+(N('Dvd Calendar'!$V$61)&gt;0)*(N('Dvd Calendar'!$V$61)&lt;=VAL_SERIAL)*1000000+5*1000+58))</f>
        <v/>
      </c>
      <c r="GK16" s="35">
        <f>IF(N('Dvd Calendar'!$W$62)=0,"",IF(('Dvd Calendar'!$W$62&gt;=GRID_FROM)*('Dvd Calendar'!$W$62&lt;=GRID_TO)*('Dvd Calendar'!$W$62&gt;VAL_DATE)=0,"",'Dvd Calendar'!$W$62*1000000000+ISNUMBER('Dvd Calendar'!$W$63)*100000000+0*10000000+(N('Dvd Calendar'!$W$61)&gt;0)*(N('Dvd Calendar'!$W$61)&lt;=VAL_SERIAL)*1000000+5*1000+59))</f>
        <v/>
      </c>
      <c r="GL16" s="35">
        <f>IF(N('Dvd Calendar'!$X$62)=0,"",IF(('Dvd Calendar'!$X$62&gt;=GRID_FROM)*('Dvd Calendar'!$X$62&lt;=GRID_TO)*('Dvd Calendar'!$X$62&gt;VAL_DATE)=0,"",'Dvd Calendar'!$X$62*1000000000+ISNUMBER('Dvd Calendar'!$X$63)*100000000+0*10000000+(N('Dvd Calendar'!$X$61)&gt;0)*(N('Dvd Calendar'!$X$61)&lt;=VAL_SERIAL)*1000000+5*1000+60))</f>
        <v/>
      </c>
      <c r="GM16" s="35">
        <f>IF(N('Dvd Calendar'!$Y$62)=0,"",IF(('Dvd Calendar'!$Y$62&gt;=GRID_FROM)*('Dvd Calendar'!$Y$62&lt;=GRID_TO)*('Dvd Calendar'!$Y$62&gt;VAL_DATE)=0,"",'Dvd Calendar'!$Y$62*1000000000+ISNUMBER('Dvd Calendar'!$Y$63)*100000000+0*10000000+(N('Dvd Calendar'!$Y$61)&gt;0)*(N('Dvd Calendar'!$Y$61)&lt;=VAL_SERIAL)*1000000+5*1000+61))</f>
        <v/>
      </c>
      <c r="GN16" s="35">
        <f>IF(N('Dvd Calendar'!$Z$62)=0,"",IF(('Dvd Calendar'!$Z$62&gt;=GRID_FROM)*('Dvd Calendar'!$Z$62&lt;=GRID_TO)*('Dvd Calendar'!$Z$62&gt;VAL_DATE)=0,"",'Dvd Calendar'!$Z$62*1000000000+ISNUMBER('Dvd Calendar'!$Z$63)*100000000+0*10000000+(N('Dvd Calendar'!$Z$61)&gt;0)*(N('Dvd Calendar'!$Z$61)&lt;=VAL_SERIAL)*1000000+5*1000+62))</f>
        <v/>
      </c>
      <c r="GO16" s="35">
        <f>IF(N('Dvd Calendar'!$AA$62)=0,"",IF(('Dvd Calendar'!$AA$62&gt;=GRID_FROM)*('Dvd Calendar'!$AA$62&lt;=GRID_TO)*('Dvd Calendar'!$AA$62&gt;VAL_DATE)=0,"",'Dvd Calendar'!$AA$62*1000000000+ISNUMBER('Dvd Calendar'!$AA$63)*100000000+0*10000000+(N('Dvd Calendar'!$AA$61)&gt;0)*(N('Dvd Calendar'!$AA$61)&lt;=VAL_SERIAL)*1000000+5*1000+63))</f>
        <v/>
      </c>
      <c r="GP16" s="35">
        <f>IF(N('Dvd Calendar'!$AB$62)=0,"",IF(('Dvd Calendar'!$AB$62&gt;=GRID_FROM)*('Dvd Calendar'!$AB$62&lt;=GRID_TO)*('Dvd Calendar'!$AB$62&gt;VAL_DATE)=0,"",'Dvd Calendar'!$AB$62*1000000000+ISNUMBER('Dvd Calendar'!$AB$63)*100000000+0*10000000+(N('Dvd Calendar'!$AB$61)&gt;0)*(N('Dvd Calendar'!$AB$61)&lt;=VAL_SERIAL)*1000000+5*1000+64))</f>
        <v/>
      </c>
      <c r="GQ16" s="35">
        <f>IF(N('Dvd Calendar'!$AC$62)=0,"",IF(('Dvd Calendar'!$AC$62&gt;=GRID_FROM)*('Dvd Calendar'!$AC$62&lt;=GRID_TO)*('Dvd Calendar'!$AC$62&gt;VAL_DATE)=0,"",'Dvd Calendar'!$AC$62*1000000000+ISNUMBER('Dvd Calendar'!$AC$63)*100000000+0*10000000+(N('Dvd Calendar'!$AC$61)&gt;0)*(N('Dvd Calendar'!$AC$61)&lt;=VAL_SERIAL)*1000000+5*1000+65))</f>
        <v/>
      </c>
    </row>
    <row r="17">
      <c r="B17" s="2">
        <f>IF(HSI!$C$12="","",HSI!$C$12)</f>
        <v/>
      </c>
      <c r="C17" s="106">
        <f>IF(EE17="","",IF(ISNUMBER('Dvd Calendar'!$E$69)=FALSE,"",IF((('Dvd Calendar'!$E$71=TYPE1)*(TYPE1&lt;&gt;"")+('Dvd Calendar'!$E$71=TYPE2)*(TYPE2&lt;&gt;"")+('Dvd Calendar'!$E$71=TYPE3)*(TYPE3&lt;&gt;"")+('Dvd Calendar'!$E$71=TYPE4)*(TYPE4&lt;&gt;"")+('Dvd Calendar'!$E$71=SPECIAL_LBL)*(INC_SPECIALS="Y"))=0,"",'Dvd Calendar'!$E$69)))</f>
        <v/>
      </c>
      <c r="D17" s="106">
        <f>IF(EF17="","",IF(ISNUMBER('Dvd Calendar'!$F$69)=FALSE,"",IF((('Dvd Calendar'!$F$71=TYPE1)*(TYPE1&lt;&gt;"")+('Dvd Calendar'!$F$71=TYPE2)*(TYPE2&lt;&gt;"")+('Dvd Calendar'!$F$71=TYPE3)*(TYPE3&lt;&gt;"")+('Dvd Calendar'!$F$71=TYPE4)*(TYPE4&lt;&gt;"")+('Dvd Calendar'!$F$71=SPECIAL_LBL)*(INC_SPECIALS="Y"))=0,"",'Dvd Calendar'!$F$69)))</f>
        <v/>
      </c>
      <c r="E17" s="106">
        <f>IF(EG17="","",IF(ISNUMBER('Dvd Calendar'!$G$69)=FALSE,"",IF((('Dvd Calendar'!$G$71=TYPE1)*(TYPE1&lt;&gt;"")+('Dvd Calendar'!$G$71=TYPE2)*(TYPE2&lt;&gt;"")+('Dvd Calendar'!$G$71=TYPE3)*(TYPE3&lt;&gt;"")+('Dvd Calendar'!$G$71=TYPE4)*(TYPE4&lt;&gt;"")+('Dvd Calendar'!$G$71=SPECIAL_LBL)*(INC_SPECIALS="Y"))=0,"",'Dvd Calendar'!$G$69)))</f>
        <v/>
      </c>
      <c r="F17" s="106">
        <f>IF(EH17="","",IF(ISNUMBER('Dvd Calendar'!$H$69)=FALSE,"",IF((('Dvd Calendar'!$H$71=TYPE1)*(TYPE1&lt;&gt;"")+('Dvd Calendar'!$H$71=TYPE2)*(TYPE2&lt;&gt;"")+('Dvd Calendar'!$H$71=TYPE3)*(TYPE3&lt;&gt;"")+('Dvd Calendar'!$H$71=TYPE4)*(TYPE4&lt;&gt;"")+('Dvd Calendar'!$H$71=SPECIAL_LBL)*(INC_SPECIALS="Y"))=0,"",'Dvd Calendar'!$H$69)))</f>
        <v/>
      </c>
      <c r="G17" s="106">
        <f>IF(EI17="","",IF(ISNUMBER('Dvd Calendar'!$I$69)=FALSE,"",IF((('Dvd Calendar'!$I$71=TYPE1)*(TYPE1&lt;&gt;"")+('Dvd Calendar'!$I$71=TYPE2)*(TYPE2&lt;&gt;"")+('Dvd Calendar'!$I$71=TYPE3)*(TYPE3&lt;&gt;"")+('Dvd Calendar'!$I$71=TYPE4)*(TYPE4&lt;&gt;"")+('Dvd Calendar'!$I$71=SPECIAL_LBL)*(INC_SPECIALS="Y"))=0,"",'Dvd Calendar'!$I$69)))</f>
        <v/>
      </c>
      <c r="H17" s="106">
        <f>IF(EJ17="","",IF(ISNUMBER('Dvd Calendar'!$J$69)=FALSE,"",IF((('Dvd Calendar'!$J$71=TYPE1)*(TYPE1&lt;&gt;"")+('Dvd Calendar'!$J$71=TYPE2)*(TYPE2&lt;&gt;"")+('Dvd Calendar'!$J$71=TYPE3)*(TYPE3&lt;&gt;"")+('Dvd Calendar'!$J$71=TYPE4)*(TYPE4&lt;&gt;"")+('Dvd Calendar'!$J$71=SPECIAL_LBL)*(INC_SPECIALS="Y"))=0,"",'Dvd Calendar'!$J$69)))</f>
        <v/>
      </c>
      <c r="I17" s="106">
        <f>IF(EK17="","",IF(ISNUMBER('Dvd Calendar'!$K$69)=FALSE,"",IF((('Dvd Calendar'!$K$71=TYPE1)*(TYPE1&lt;&gt;"")+('Dvd Calendar'!$K$71=TYPE2)*(TYPE2&lt;&gt;"")+('Dvd Calendar'!$K$71=TYPE3)*(TYPE3&lt;&gt;"")+('Dvd Calendar'!$K$71=TYPE4)*(TYPE4&lt;&gt;"")+('Dvd Calendar'!$K$71=SPECIAL_LBL)*(INC_SPECIALS="Y"))=0,"",'Dvd Calendar'!$K$69)))</f>
        <v/>
      </c>
      <c r="J17" s="106">
        <f>IF(EL17="","",IF(ISNUMBER('Dvd Calendar'!$L$69)=FALSE,"",IF((('Dvd Calendar'!$L$71=TYPE1)*(TYPE1&lt;&gt;"")+('Dvd Calendar'!$L$71=TYPE2)*(TYPE2&lt;&gt;"")+('Dvd Calendar'!$L$71=TYPE3)*(TYPE3&lt;&gt;"")+('Dvd Calendar'!$L$71=TYPE4)*(TYPE4&lt;&gt;"")+('Dvd Calendar'!$L$71=SPECIAL_LBL)*(INC_SPECIALS="Y"))=0,"",'Dvd Calendar'!$L$69)))</f>
        <v/>
      </c>
      <c r="K17" s="106">
        <f>IF(EM17="","",IF(ISNUMBER('Dvd Calendar'!$M$69)=FALSE,"",IF((('Dvd Calendar'!$M$71=TYPE1)*(TYPE1&lt;&gt;"")+('Dvd Calendar'!$M$71=TYPE2)*(TYPE2&lt;&gt;"")+('Dvd Calendar'!$M$71=TYPE3)*(TYPE3&lt;&gt;"")+('Dvd Calendar'!$M$71=TYPE4)*(TYPE4&lt;&gt;"")+('Dvd Calendar'!$M$71=SPECIAL_LBL)*(INC_SPECIALS="Y"))=0,"",'Dvd Calendar'!$M$69)))</f>
        <v/>
      </c>
      <c r="L17" s="106">
        <f>IF(EN17="","",IF(ISNUMBER('Dvd Calendar'!$N$69)=FALSE,"",IF((('Dvd Calendar'!$N$71=TYPE1)*(TYPE1&lt;&gt;"")+('Dvd Calendar'!$N$71=TYPE2)*(TYPE2&lt;&gt;"")+('Dvd Calendar'!$N$71=TYPE3)*(TYPE3&lt;&gt;"")+('Dvd Calendar'!$N$71=TYPE4)*(TYPE4&lt;&gt;"")+('Dvd Calendar'!$N$71=SPECIAL_LBL)*(INC_SPECIALS="Y"))=0,"",'Dvd Calendar'!$N$69)))</f>
        <v/>
      </c>
      <c r="M17" s="106">
        <f>IF(EO17="","",IF(ISNUMBER('Dvd Calendar'!$O$69)=FALSE,"",IF((('Dvd Calendar'!$O$71=TYPE1)*(TYPE1&lt;&gt;"")+('Dvd Calendar'!$O$71=TYPE2)*(TYPE2&lt;&gt;"")+('Dvd Calendar'!$O$71=TYPE3)*(TYPE3&lt;&gt;"")+('Dvd Calendar'!$O$71=TYPE4)*(TYPE4&lt;&gt;"")+('Dvd Calendar'!$O$71=SPECIAL_LBL)*(INC_SPECIALS="Y"))=0,"",'Dvd Calendar'!$O$69)))</f>
        <v/>
      </c>
      <c r="N17" s="106">
        <f>IF(EP17="","",IF(ISNUMBER('Dvd Calendar'!$P$69)=FALSE,"",IF((('Dvd Calendar'!$P$71=TYPE1)*(TYPE1&lt;&gt;"")+('Dvd Calendar'!$P$71=TYPE2)*(TYPE2&lt;&gt;"")+('Dvd Calendar'!$P$71=TYPE3)*(TYPE3&lt;&gt;"")+('Dvd Calendar'!$P$71=TYPE4)*(TYPE4&lt;&gt;"")+('Dvd Calendar'!$P$71=SPECIAL_LBL)*(INC_SPECIALS="Y"))=0,"",'Dvd Calendar'!$P$69)))</f>
        <v/>
      </c>
      <c r="O17" s="106">
        <f>IF(EQ17="","",IF(ISNUMBER('Dvd Calendar'!$Q$69)=FALSE,"",IF((('Dvd Calendar'!$Q$71=TYPE1)*(TYPE1&lt;&gt;"")+('Dvd Calendar'!$Q$71=TYPE2)*(TYPE2&lt;&gt;"")+('Dvd Calendar'!$Q$71=TYPE3)*(TYPE3&lt;&gt;"")+('Dvd Calendar'!$Q$71=TYPE4)*(TYPE4&lt;&gt;"")+('Dvd Calendar'!$Q$71=SPECIAL_LBL)*(INC_SPECIALS="Y"))=0,"",'Dvd Calendar'!$Q$69)))</f>
        <v/>
      </c>
      <c r="P17" s="106">
        <f>IF(ER17="","",IF(ISNUMBER('Dvd Calendar'!$R$69)=FALSE,"",IF((('Dvd Calendar'!$R$71=TYPE1)*(TYPE1&lt;&gt;"")+('Dvd Calendar'!$R$71=TYPE2)*(TYPE2&lt;&gt;"")+('Dvd Calendar'!$R$71=TYPE3)*(TYPE3&lt;&gt;"")+('Dvd Calendar'!$R$71=TYPE4)*(TYPE4&lt;&gt;"")+('Dvd Calendar'!$R$71=SPECIAL_LBL)*(INC_SPECIALS="Y"))=0,"",'Dvd Calendar'!$R$69)))</f>
        <v/>
      </c>
      <c r="Q17" s="106">
        <f>IF(ES17="","",IF(ISNUMBER('Dvd Calendar'!$S$69)=FALSE,"",IF((('Dvd Calendar'!$S$71=TYPE1)*(TYPE1&lt;&gt;"")+('Dvd Calendar'!$S$71=TYPE2)*(TYPE2&lt;&gt;"")+('Dvd Calendar'!$S$71=TYPE3)*(TYPE3&lt;&gt;"")+('Dvd Calendar'!$S$71=TYPE4)*(TYPE4&lt;&gt;"")+('Dvd Calendar'!$S$71=SPECIAL_LBL)*(INC_SPECIALS="Y"))=0,"",'Dvd Calendar'!$S$69)))</f>
        <v/>
      </c>
      <c r="R17" s="106">
        <f>IF(ET17="","",IF(ISNUMBER('Dvd Calendar'!$T$69)=FALSE,"",IF((('Dvd Calendar'!$T$71=TYPE1)*(TYPE1&lt;&gt;"")+('Dvd Calendar'!$T$71=TYPE2)*(TYPE2&lt;&gt;"")+('Dvd Calendar'!$T$71=TYPE3)*(TYPE3&lt;&gt;"")+('Dvd Calendar'!$T$71=TYPE4)*(TYPE4&lt;&gt;"")+('Dvd Calendar'!$T$71=SPECIAL_LBL)*(INC_SPECIALS="Y"))=0,"",'Dvd Calendar'!$T$69)))</f>
        <v/>
      </c>
      <c r="S17" s="106">
        <f>IF(EU17="","",IF(ISNUMBER('Dvd Calendar'!$U$69)=FALSE,"",IF((('Dvd Calendar'!$U$71=TYPE1)*(TYPE1&lt;&gt;"")+('Dvd Calendar'!$U$71=TYPE2)*(TYPE2&lt;&gt;"")+('Dvd Calendar'!$U$71=TYPE3)*(TYPE3&lt;&gt;"")+('Dvd Calendar'!$U$71=TYPE4)*(TYPE4&lt;&gt;"")+('Dvd Calendar'!$U$71=SPECIAL_LBL)*(INC_SPECIALS="Y"))=0,"",'Dvd Calendar'!$U$69)))</f>
        <v/>
      </c>
      <c r="T17" s="106">
        <f>IF(EV17="","",IF(ISNUMBER('Dvd Calendar'!$V$69)=FALSE,"",IF((('Dvd Calendar'!$V$71=TYPE1)*(TYPE1&lt;&gt;"")+('Dvd Calendar'!$V$71=TYPE2)*(TYPE2&lt;&gt;"")+('Dvd Calendar'!$V$71=TYPE3)*(TYPE3&lt;&gt;"")+('Dvd Calendar'!$V$71=TYPE4)*(TYPE4&lt;&gt;"")+('Dvd Calendar'!$V$71=SPECIAL_LBL)*(INC_SPECIALS="Y"))=0,"",'Dvd Calendar'!$V$69)))</f>
        <v/>
      </c>
      <c r="U17" s="106">
        <f>IF(EW17="","",IF(ISNUMBER('Dvd Calendar'!$W$69)=FALSE,"",IF((('Dvd Calendar'!$W$71=TYPE1)*(TYPE1&lt;&gt;"")+('Dvd Calendar'!$W$71=TYPE2)*(TYPE2&lt;&gt;"")+('Dvd Calendar'!$W$71=TYPE3)*(TYPE3&lt;&gt;"")+('Dvd Calendar'!$W$71=TYPE4)*(TYPE4&lt;&gt;"")+('Dvd Calendar'!$W$71=SPECIAL_LBL)*(INC_SPECIALS="Y"))=0,"",'Dvd Calendar'!$W$69)))</f>
        <v/>
      </c>
      <c r="V17" s="106">
        <f>IF(EX17="","",IF(ISNUMBER('Dvd Calendar'!$X$69)=FALSE,"",IF((('Dvd Calendar'!$X$71=TYPE1)*(TYPE1&lt;&gt;"")+('Dvd Calendar'!$X$71=TYPE2)*(TYPE2&lt;&gt;"")+('Dvd Calendar'!$X$71=TYPE3)*(TYPE3&lt;&gt;"")+('Dvd Calendar'!$X$71=TYPE4)*(TYPE4&lt;&gt;"")+('Dvd Calendar'!$X$71=SPECIAL_LBL)*(INC_SPECIALS="Y"))=0,"",'Dvd Calendar'!$X$69)))</f>
        <v/>
      </c>
      <c r="W17" s="106">
        <f>IF(EY17="","",IF(ISNUMBER('Dvd Calendar'!$Y$69)=FALSE,"",IF((('Dvd Calendar'!$Y$71=TYPE1)*(TYPE1&lt;&gt;"")+('Dvd Calendar'!$Y$71=TYPE2)*(TYPE2&lt;&gt;"")+('Dvd Calendar'!$Y$71=TYPE3)*(TYPE3&lt;&gt;"")+('Dvd Calendar'!$Y$71=TYPE4)*(TYPE4&lt;&gt;"")+('Dvd Calendar'!$Y$71=SPECIAL_LBL)*(INC_SPECIALS="Y"))=0,"",'Dvd Calendar'!$Y$69)))</f>
        <v/>
      </c>
      <c r="X17" s="106">
        <f>IF(EZ17="","",IF(ISNUMBER('Dvd Calendar'!$Z$69)=FALSE,"",IF((('Dvd Calendar'!$Z$71=TYPE1)*(TYPE1&lt;&gt;"")+('Dvd Calendar'!$Z$71=TYPE2)*(TYPE2&lt;&gt;"")+('Dvd Calendar'!$Z$71=TYPE3)*(TYPE3&lt;&gt;"")+('Dvd Calendar'!$Z$71=TYPE4)*(TYPE4&lt;&gt;"")+('Dvd Calendar'!$Z$71=SPECIAL_LBL)*(INC_SPECIALS="Y"))=0,"",'Dvd Calendar'!$Z$69)))</f>
        <v/>
      </c>
      <c r="Y17" s="106">
        <f>IF(FA17="","",IF(ISNUMBER('Dvd Calendar'!$AA$69)=FALSE,"",IF((('Dvd Calendar'!$AA$71=TYPE1)*(TYPE1&lt;&gt;"")+('Dvd Calendar'!$AA$71=TYPE2)*(TYPE2&lt;&gt;"")+('Dvd Calendar'!$AA$71=TYPE3)*(TYPE3&lt;&gt;"")+('Dvd Calendar'!$AA$71=TYPE4)*(TYPE4&lt;&gt;"")+('Dvd Calendar'!$AA$71=SPECIAL_LBL)*(INC_SPECIALS="Y"))=0,"",'Dvd Calendar'!$AA$69)))</f>
        <v/>
      </c>
      <c r="Z17" s="106">
        <f>IF(FB17="","",IF(ISNUMBER('Dvd Calendar'!$AB$69)=FALSE,"",IF((('Dvd Calendar'!$AB$71=TYPE1)*(TYPE1&lt;&gt;"")+('Dvd Calendar'!$AB$71=TYPE2)*(TYPE2&lt;&gt;"")+('Dvd Calendar'!$AB$71=TYPE3)*(TYPE3&lt;&gt;"")+('Dvd Calendar'!$AB$71=TYPE4)*(TYPE4&lt;&gt;"")+('Dvd Calendar'!$AB$71=SPECIAL_LBL)*(INC_SPECIALS="Y"))=0,"",'Dvd Calendar'!$AB$69)))</f>
        <v/>
      </c>
      <c r="AA17" s="106">
        <f>IF(FC17="","",IF(ISNUMBER('Dvd Calendar'!$AC$69)=FALSE,"",IF((('Dvd Calendar'!$AC$71=TYPE1)*(TYPE1&lt;&gt;"")+('Dvd Calendar'!$AC$71=TYPE2)*(TYPE2&lt;&gt;"")+('Dvd Calendar'!$AC$71=TYPE3)*(TYPE3&lt;&gt;"")+('Dvd Calendar'!$AC$71=TYPE4)*(TYPE4&lt;&gt;"")+('Dvd Calendar'!$AC$71=SPECIAL_LBL)*(INC_SPECIALS="Y"))=0,"",'Dvd Calendar'!$AC$69)))</f>
        <v/>
      </c>
      <c r="AB17" s="106">
        <f>IF(FD17="","",IF(ISNUMBER('Dvd Calendar'!$AD$69)=FALSE,"",IF((('Dvd Calendar'!$AD$71=TYPE1)*(TYPE1&lt;&gt;"")+('Dvd Calendar'!$AD$71=TYPE2)*(TYPE2&lt;&gt;"")+('Dvd Calendar'!$AD$71=TYPE3)*(TYPE3&lt;&gt;"")+('Dvd Calendar'!$AD$71=TYPE4)*(TYPE4&lt;&gt;"")+('Dvd Calendar'!$AD$71=SPECIAL_LBL)*(INC_SPECIALS="Y"))=0,"",'Dvd Calendar'!$AD$69)))</f>
        <v/>
      </c>
      <c r="AC17" s="106">
        <f>IF(FE17="","",IF(ISNUMBER('Dvd Calendar'!$AE$69)=FALSE,"",IF((('Dvd Calendar'!$AE$71=TYPE1)*(TYPE1&lt;&gt;"")+('Dvd Calendar'!$AE$71=TYPE2)*(TYPE2&lt;&gt;"")+('Dvd Calendar'!$AE$71=TYPE3)*(TYPE3&lt;&gt;"")+('Dvd Calendar'!$AE$71=TYPE4)*(TYPE4&lt;&gt;"")+('Dvd Calendar'!$AE$71=SPECIAL_LBL)*(INC_SPECIALS="Y"))=0,"",'Dvd Calendar'!$AE$69)))</f>
        <v/>
      </c>
      <c r="AD17" s="106">
        <f>IF(FF17="","",IF(ISNUMBER('Dvd Calendar'!$AF$69)=FALSE,"",IF((('Dvd Calendar'!$AF$71=TYPE1)*(TYPE1&lt;&gt;"")+('Dvd Calendar'!$AF$71=TYPE2)*(TYPE2&lt;&gt;"")+('Dvd Calendar'!$AF$71=TYPE3)*(TYPE3&lt;&gt;"")+('Dvd Calendar'!$AF$71=TYPE4)*(TYPE4&lt;&gt;"")+('Dvd Calendar'!$AF$71=SPECIAL_LBL)*(INC_SPECIALS="Y"))=0,"",'Dvd Calendar'!$AF$69)))</f>
        <v/>
      </c>
      <c r="AE17" s="106">
        <f>IF(FG17="","",IF(ISNUMBER('Dvd Calendar'!$AG$69)=FALSE,"",IF((('Dvd Calendar'!$AG$71=TYPE1)*(TYPE1&lt;&gt;"")+('Dvd Calendar'!$AG$71=TYPE2)*(TYPE2&lt;&gt;"")+('Dvd Calendar'!$AG$71=TYPE3)*(TYPE3&lt;&gt;"")+('Dvd Calendar'!$AG$71=TYPE4)*(TYPE4&lt;&gt;"")+('Dvd Calendar'!$AG$71=SPECIAL_LBL)*(INC_SPECIALS="Y"))=0,"",'Dvd Calendar'!$AG$69)))</f>
        <v/>
      </c>
      <c r="AF17" s="106">
        <f>IF(FH17="","",IF(ISNUMBER('Dvd Calendar'!$AH$69)=FALSE,"",IF((('Dvd Calendar'!$AH$71=TYPE1)*(TYPE1&lt;&gt;"")+('Dvd Calendar'!$AH$71=TYPE2)*(TYPE2&lt;&gt;"")+('Dvd Calendar'!$AH$71=TYPE3)*(TYPE3&lt;&gt;"")+('Dvd Calendar'!$AH$71=TYPE4)*(TYPE4&lt;&gt;"")+('Dvd Calendar'!$AH$71=SPECIAL_LBL)*(INC_SPECIALS="Y"))=0,"",'Dvd Calendar'!$AH$69)))</f>
        <v/>
      </c>
      <c r="AG17" s="106">
        <f>IF(FI17="","",IF(ISNUMBER('Dvd Calendar'!$AI$69)=FALSE,"",IF((('Dvd Calendar'!$AI$71=TYPE1)*(TYPE1&lt;&gt;"")+('Dvd Calendar'!$AI$71=TYPE2)*(TYPE2&lt;&gt;"")+('Dvd Calendar'!$AI$71=TYPE3)*(TYPE3&lt;&gt;"")+('Dvd Calendar'!$AI$71=TYPE4)*(TYPE4&lt;&gt;"")+('Dvd Calendar'!$AI$71=SPECIAL_LBL)*(INC_SPECIALS="Y"))=0,"",'Dvd Calendar'!$AI$69)))</f>
        <v/>
      </c>
      <c r="AH17" s="106">
        <f>IF(FJ17="","",IF(ISNUMBER('Dvd Calendar'!$AJ$69)=FALSE,"",IF((('Dvd Calendar'!$AJ$71=TYPE1)*(TYPE1&lt;&gt;"")+('Dvd Calendar'!$AJ$71=TYPE2)*(TYPE2&lt;&gt;"")+('Dvd Calendar'!$AJ$71=TYPE3)*(TYPE3&lt;&gt;"")+('Dvd Calendar'!$AJ$71=TYPE4)*(TYPE4&lt;&gt;"")+('Dvd Calendar'!$AJ$71=SPECIAL_LBL)*(INC_SPECIALS="Y"))=0,"",'Dvd Calendar'!$AJ$69)))</f>
        <v/>
      </c>
      <c r="AI17" s="106">
        <f>IF(FK17="","",IF(ISNUMBER('Dvd Calendar'!$AK$69)=FALSE,"",IF((('Dvd Calendar'!$AK$71=TYPE1)*(TYPE1&lt;&gt;"")+('Dvd Calendar'!$AK$71=TYPE2)*(TYPE2&lt;&gt;"")+('Dvd Calendar'!$AK$71=TYPE3)*(TYPE3&lt;&gt;"")+('Dvd Calendar'!$AK$71=TYPE4)*(TYPE4&lt;&gt;"")+('Dvd Calendar'!$AK$71=SPECIAL_LBL)*(INC_SPECIALS="Y"))=0,"",'Dvd Calendar'!$AK$69)))</f>
        <v/>
      </c>
      <c r="AJ17" s="106">
        <f>IF(FL17="","",IF(ISNUMBER('Dvd Calendar'!$AL$69)=FALSE,"",IF((('Dvd Calendar'!$AL$71=TYPE1)*(TYPE1&lt;&gt;"")+('Dvd Calendar'!$AL$71=TYPE2)*(TYPE2&lt;&gt;"")+('Dvd Calendar'!$AL$71=TYPE3)*(TYPE3&lt;&gt;"")+('Dvd Calendar'!$AL$71=TYPE4)*(TYPE4&lt;&gt;"")+('Dvd Calendar'!$AL$71=SPECIAL_LBL)*(INC_SPECIALS="Y"))=0,"",'Dvd Calendar'!$AL$69)))</f>
        <v/>
      </c>
      <c r="AK17" s="106">
        <f>IF(FM17="","",IF(ISNUMBER('Dvd Calendar'!$AM$69)=FALSE,"",IF((('Dvd Calendar'!$AM$71=TYPE1)*(TYPE1&lt;&gt;"")+('Dvd Calendar'!$AM$71=TYPE2)*(TYPE2&lt;&gt;"")+('Dvd Calendar'!$AM$71=TYPE3)*(TYPE3&lt;&gt;"")+('Dvd Calendar'!$AM$71=TYPE4)*(TYPE4&lt;&gt;"")+('Dvd Calendar'!$AM$71=SPECIAL_LBL)*(INC_SPECIALS="Y"))=0,"",'Dvd Calendar'!$AM$69)))</f>
        <v/>
      </c>
      <c r="AL17" s="106">
        <f>IF(FN17="","",IF(ISNUMBER('Dvd Calendar'!$AN$69)=FALSE,"",IF((('Dvd Calendar'!$AN$71=TYPE1)*(TYPE1&lt;&gt;"")+('Dvd Calendar'!$AN$71=TYPE2)*(TYPE2&lt;&gt;"")+('Dvd Calendar'!$AN$71=TYPE3)*(TYPE3&lt;&gt;"")+('Dvd Calendar'!$AN$71=TYPE4)*(TYPE4&lt;&gt;"")+('Dvd Calendar'!$AN$71=SPECIAL_LBL)*(INC_SPECIALS="Y"))=0,"",'Dvd Calendar'!$AN$69)))</f>
        <v/>
      </c>
      <c r="AM17" s="106">
        <f>IF(FO17="","",IF(ISNUMBER('Dvd Calendar'!$AO$69)=FALSE,"",IF((('Dvd Calendar'!$AO$71=TYPE1)*(TYPE1&lt;&gt;"")+('Dvd Calendar'!$AO$71=TYPE2)*(TYPE2&lt;&gt;"")+('Dvd Calendar'!$AO$71=TYPE3)*(TYPE3&lt;&gt;"")+('Dvd Calendar'!$AO$71=TYPE4)*(TYPE4&lt;&gt;"")+('Dvd Calendar'!$AO$71=SPECIAL_LBL)*(INC_SPECIALS="Y"))=0,"",'Dvd Calendar'!$AO$69)))</f>
        <v/>
      </c>
      <c r="AN17" s="106">
        <f>IF(FP17="","",IF(ISNUMBER('Dvd Calendar'!$AP$69)=FALSE,"",IF((('Dvd Calendar'!$AP$71=TYPE1)*(TYPE1&lt;&gt;"")+('Dvd Calendar'!$AP$71=TYPE2)*(TYPE2&lt;&gt;"")+('Dvd Calendar'!$AP$71=TYPE3)*(TYPE3&lt;&gt;"")+('Dvd Calendar'!$AP$71=TYPE4)*(TYPE4&lt;&gt;"")+('Dvd Calendar'!$AP$71=SPECIAL_LBL)*(INC_SPECIALS="Y"))=0,"",'Dvd Calendar'!$AP$69)))</f>
        <v/>
      </c>
      <c r="AO17" s="106">
        <f>IF(FQ17="","",IF(ISNUMBER('Dvd Calendar'!$AQ$69)=FALSE,"",IF((('Dvd Calendar'!$AQ$71=TYPE1)*(TYPE1&lt;&gt;"")+('Dvd Calendar'!$AQ$71=TYPE2)*(TYPE2&lt;&gt;"")+('Dvd Calendar'!$AQ$71=TYPE3)*(TYPE3&lt;&gt;"")+('Dvd Calendar'!$AQ$71=TYPE4)*(TYPE4&lt;&gt;"")+('Dvd Calendar'!$AQ$71=SPECIAL_LBL)*(INC_SPECIALS="Y"))=0,"",'Dvd Calendar'!$AQ$69)))</f>
        <v/>
      </c>
      <c r="AP17" s="106">
        <f>IF(FR17="","",IF(ISNUMBER('Dvd Calendar'!$AR$69)=FALSE,"",IF((('Dvd Calendar'!$AR$71=TYPE1)*(TYPE1&lt;&gt;"")+('Dvd Calendar'!$AR$71=TYPE2)*(TYPE2&lt;&gt;"")+('Dvd Calendar'!$AR$71=TYPE3)*(TYPE3&lt;&gt;"")+('Dvd Calendar'!$AR$71=TYPE4)*(TYPE4&lt;&gt;"")+('Dvd Calendar'!$AR$71=SPECIAL_LBL)*(INC_SPECIALS="Y"))=0,"",'Dvd Calendar'!$AR$69)))</f>
        <v/>
      </c>
      <c r="AQ17" s="106">
        <f>IF(FS17="","",IF(ISNUMBER('Dvd Calendar'!$E$74)=FALSE,"",'Dvd Calendar'!$E$74))</f>
        <v/>
      </c>
      <c r="AR17" s="106">
        <f>IF(FT17="","",IF(ISNUMBER('Dvd Calendar'!$F$74)=FALSE,"",'Dvd Calendar'!$F$74))</f>
        <v/>
      </c>
      <c r="AS17" s="106">
        <f>IF(FU17="","",IF(ISNUMBER('Dvd Calendar'!$G$74)=FALSE,"",'Dvd Calendar'!$G$74))</f>
        <v/>
      </c>
      <c r="AT17" s="106">
        <f>IF(FV17="","",IF(ISNUMBER('Dvd Calendar'!$H$74)=FALSE,"",'Dvd Calendar'!$H$74))</f>
        <v/>
      </c>
      <c r="AU17" s="106">
        <f>IF(FW17="","",IF(ISNUMBER('Dvd Calendar'!$I$74)=FALSE,"",'Dvd Calendar'!$I$74))</f>
        <v/>
      </c>
      <c r="AV17" s="106">
        <f>IF(FX17="","",IF(ISNUMBER('Dvd Calendar'!$J$74)=FALSE,"",'Dvd Calendar'!$J$74))</f>
        <v/>
      </c>
      <c r="AW17" s="106">
        <f>IF(FY17="","",IF(ISNUMBER('Dvd Calendar'!$K$74)=FALSE,"",'Dvd Calendar'!$K$74))</f>
        <v/>
      </c>
      <c r="AX17" s="106">
        <f>IF(FZ17="","",IF(ISNUMBER('Dvd Calendar'!$L$74)=FALSE,"",'Dvd Calendar'!$L$74))</f>
        <v/>
      </c>
      <c r="AY17" s="106">
        <f>IF(GA17="","",IF(ISNUMBER('Dvd Calendar'!$M$74)=FALSE,"",'Dvd Calendar'!$M$74))</f>
        <v/>
      </c>
      <c r="AZ17" s="106">
        <f>IF(GB17="","",IF(ISNUMBER('Dvd Calendar'!$N$74)=FALSE,"",'Dvd Calendar'!$N$74))</f>
        <v/>
      </c>
      <c r="BA17" s="106">
        <f>IF(GC17="","",IF(ISNUMBER('Dvd Calendar'!$O$74)=FALSE,"",'Dvd Calendar'!$O$74))</f>
        <v/>
      </c>
      <c r="BB17" s="106">
        <f>IF(GD17="","",IF(ISNUMBER('Dvd Calendar'!$P$74)=FALSE,"",'Dvd Calendar'!$P$74))</f>
        <v/>
      </c>
      <c r="BC17" s="106">
        <f>IF(GE17="","",IF(ISNUMBER('Dvd Calendar'!$Q$74)=FALSE,"",'Dvd Calendar'!$Q$74))</f>
        <v/>
      </c>
      <c r="BD17" s="106">
        <f>IF(GF17="","",IF(ISNUMBER('Dvd Calendar'!$R$74)=FALSE,"",'Dvd Calendar'!$R$74))</f>
        <v/>
      </c>
      <c r="BE17" s="106">
        <f>IF(GG17="","",IF(ISNUMBER('Dvd Calendar'!$S$74)=FALSE,"",'Dvd Calendar'!$S$74))</f>
        <v/>
      </c>
      <c r="BF17" s="106">
        <f>IF(GH17="","",IF(ISNUMBER('Dvd Calendar'!$T$74)=FALSE,"",'Dvd Calendar'!$T$74))</f>
        <v/>
      </c>
      <c r="BG17" s="106">
        <f>IF(GI17="","",IF(ISNUMBER('Dvd Calendar'!$U$74)=FALSE,"",'Dvd Calendar'!$U$74))</f>
        <v/>
      </c>
      <c r="BH17" s="106">
        <f>IF(GJ17="","",IF(ISNUMBER('Dvd Calendar'!$V$74)=FALSE,"",'Dvd Calendar'!$V$74))</f>
        <v/>
      </c>
      <c r="BI17" s="106">
        <f>IF(GK17="","",IF(ISNUMBER('Dvd Calendar'!$W$74)=FALSE,"",'Dvd Calendar'!$W$74))</f>
        <v/>
      </c>
      <c r="BJ17" s="106">
        <f>IF(GL17="","",IF(ISNUMBER('Dvd Calendar'!$X$74)=FALSE,"",'Dvd Calendar'!$X$74))</f>
        <v/>
      </c>
      <c r="BK17" s="106">
        <f>IF(GM17="","",IF(ISNUMBER('Dvd Calendar'!$Y$74)=FALSE,"",'Dvd Calendar'!$Y$74))</f>
        <v/>
      </c>
      <c r="BL17" s="106">
        <f>IF(GN17="","",IF(ISNUMBER('Dvd Calendar'!$Z$74)=FALSE,"",'Dvd Calendar'!$Z$74))</f>
        <v/>
      </c>
      <c r="BM17" s="106">
        <f>IF(GO17="","",IF(ISNUMBER('Dvd Calendar'!$AA$74)=FALSE,"",'Dvd Calendar'!$AA$74))</f>
        <v/>
      </c>
      <c r="BN17" s="106">
        <f>IF(GP17="","",IF(ISNUMBER('Dvd Calendar'!$AB$74)=FALSE,"",'Dvd Calendar'!$AB$74))</f>
        <v/>
      </c>
      <c r="BO17" s="106">
        <f>IF(GQ17="","",IF(ISNUMBER('Dvd Calendar'!$AC$74)=FALSE,"",'Dvd Calendar'!$AC$74))</f>
        <v/>
      </c>
      <c r="BQ17" s="106">
        <f>IF(C17="","",IFERROR(C17*HSI!$B$12*HSI!$G$12/HSI!$B$3,""))</f>
        <v/>
      </c>
      <c r="BR17" s="106">
        <f>IF(D17="","",IFERROR(D17*HSI!$B$12*HSI!$G$12/HSI!$B$3,""))</f>
        <v/>
      </c>
      <c r="BS17" s="106">
        <f>IF(E17="","",IFERROR(E17*HSI!$B$12*HSI!$G$12/HSI!$B$3,""))</f>
        <v/>
      </c>
      <c r="BT17" s="106">
        <f>IF(F17="","",IFERROR(F17*HSI!$B$12*HSI!$G$12/HSI!$B$3,""))</f>
        <v/>
      </c>
      <c r="BU17" s="106">
        <f>IF(G17="","",IFERROR(G17*HSI!$B$12*HSI!$G$12/HSI!$B$3,""))</f>
        <v/>
      </c>
      <c r="BV17" s="106">
        <f>IF(H17="","",IFERROR(H17*HSI!$B$12*HSI!$G$12/HSI!$B$3,""))</f>
        <v/>
      </c>
      <c r="BW17" s="106">
        <f>IF(I17="","",IFERROR(I17*HSI!$B$12*HSI!$G$12/HSI!$B$3,""))</f>
        <v/>
      </c>
      <c r="BX17" s="106">
        <f>IF(J17="","",IFERROR(J17*HSI!$B$12*HSI!$G$12/HSI!$B$3,""))</f>
        <v/>
      </c>
      <c r="BY17" s="106">
        <f>IF(K17="","",IFERROR(K17*HSI!$B$12*HSI!$G$12/HSI!$B$3,""))</f>
        <v/>
      </c>
      <c r="BZ17" s="106">
        <f>IF(L17="","",IFERROR(L17*HSI!$B$12*HSI!$G$12/HSI!$B$3,""))</f>
        <v/>
      </c>
      <c r="CA17" s="106">
        <f>IF(M17="","",IFERROR(M17*HSI!$B$12*HSI!$G$12/HSI!$B$3,""))</f>
        <v/>
      </c>
      <c r="CB17" s="106">
        <f>IF(N17="","",IFERROR(N17*HSI!$B$12*HSI!$G$12/HSI!$B$3,""))</f>
        <v/>
      </c>
      <c r="CC17" s="106">
        <f>IF(O17="","",IFERROR(O17*HSI!$B$12*HSI!$G$12/HSI!$B$3,""))</f>
        <v/>
      </c>
      <c r="CD17" s="106">
        <f>IF(P17="","",IFERROR(P17*HSI!$B$12*HSI!$G$12/HSI!$B$3,""))</f>
        <v/>
      </c>
      <c r="CE17" s="106">
        <f>IF(Q17="","",IFERROR(Q17*HSI!$B$12*HSI!$G$12/HSI!$B$3,""))</f>
        <v/>
      </c>
      <c r="CF17" s="106">
        <f>IF(R17="","",IFERROR(R17*HSI!$B$12*HSI!$G$12/HSI!$B$3,""))</f>
        <v/>
      </c>
      <c r="CG17" s="106">
        <f>IF(S17="","",IFERROR(S17*HSI!$B$12*HSI!$G$12/HSI!$B$3,""))</f>
        <v/>
      </c>
      <c r="CH17" s="106">
        <f>IF(T17="","",IFERROR(T17*HSI!$B$12*HSI!$G$12/HSI!$B$3,""))</f>
        <v/>
      </c>
      <c r="CI17" s="106">
        <f>IF(U17="","",IFERROR(U17*HSI!$B$12*HSI!$G$12/HSI!$B$3,""))</f>
        <v/>
      </c>
      <c r="CJ17" s="106">
        <f>IF(V17="","",IFERROR(V17*HSI!$B$12*HSI!$G$12/HSI!$B$3,""))</f>
        <v/>
      </c>
      <c r="CK17" s="106">
        <f>IF(W17="","",IFERROR(W17*HSI!$B$12*HSI!$G$12/HSI!$B$3,""))</f>
        <v/>
      </c>
      <c r="CL17" s="106">
        <f>IF(X17="","",IFERROR(X17*HSI!$B$12*HSI!$G$12/HSI!$B$3,""))</f>
        <v/>
      </c>
      <c r="CM17" s="106">
        <f>IF(Y17="","",IFERROR(Y17*HSI!$B$12*HSI!$G$12/HSI!$B$3,""))</f>
        <v/>
      </c>
      <c r="CN17" s="106">
        <f>IF(Z17="","",IFERROR(Z17*HSI!$B$12*HSI!$G$12/HSI!$B$3,""))</f>
        <v/>
      </c>
      <c r="CO17" s="106">
        <f>IF(AA17="","",IFERROR(AA17*HSI!$B$12*HSI!$G$12/HSI!$B$3,""))</f>
        <v/>
      </c>
      <c r="CP17" s="106">
        <f>IF(AB17="","",IFERROR(AB17*HSI!$B$12*HSI!$G$12/HSI!$B$3,""))</f>
        <v/>
      </c>
      <c r="CQ17" s="106">
        <f>IF(AC17="","",IFERROR(AC17*HSI!$B$12*HSI!$G$12/HSI!$B$3,""))</f>
        <v/>
      </c>
      <c r="CR17" s="106">
        <f>IF(AD17="","",IFERROR(AD17*HSI!$B$12*HSI!$G$12/HSI!$B$3,""))</f>
        <v/>
      </c>
      <c r="CS17" s="106">
        <f>IF(AE17="","",IFERROR(AE17*HSI!$B$12*HSI!$G$12/HSI!$B$3,""))</f>
        <v/>
      </c>
      <c r="CT17" s="106">
        <f>IF(AF17="","",IFERROR(AF17*HSI!$B$12*HSI!$G$12/HSI!$B$3,""))</f>
        <v/>
      </c>
      <c r="CU17" s="106">
        <f>IF(AG17="","",IFERROR(AG17*HSI!$B$12*HSI!$G$12/HSI!$B$3,""))</f>
        <v/>
      </c>
      <c r="CV17" s="106">
        <f>IF(AH17="","",IFERROR(AH17*HSI!$B$12*HSI!$G$12/HSI!$B$3,""))</f>
        <v/>
      </c>
      <c r="CW17" s="106">
        <f>IF(AI17="","",IFERROR(AI17*HSI!$B$12*HSI!$G$12/HSI!$B$3,""))</f>
        <v/>
      </c>
      <c r="CX17" s="106">
        <f>IF(AJ17="","",IFERROR(AJ17*HSI!$B$12*HSI!$G$12/HSI!$B$3,""))</f>
        <v/>
      </c>
      <c r="CY17" s="106">
        <f>IF(AK17="","",IFERROR(AK17*HSI!$B$12*HSI!$G$12/HSI!$B$3,""))</f>
        <v/>
      </c>
      <c r="CZ17" s="106">
        <f>IF(AL17="","",IFERROR(AL17*HSI!$B$12*HSI!$G$12/HSI!$B$3,""))</f>
        <v/>
      </c>
      <c r="DA17" s="106">
        <f>IF(AM17="","",IFERROR(AM17*HSI!$B$12*HSI!$G$12/HSI!$B$3,""))</f>
        <v/>
      </c>
      <c r="DB17" s="106">
        <f>IF(AN17="","",IFERROR(AN17*HSI!$B$12*HSI!$G$12/HSI!$B$3,""))</f>
        <v/>
      </c>
      <c r="DC17" s="106">
        <f>IF(AO17="","",IFERROR(AO17*HSI!$B$12*HSI!$G$12/HSI!$B$3,""))</f>
        <v/>
      </c>
      <c r="DD17" s="106">
        <f>IF(AP17="","",IFERROR(AP17*HSI!$B$12*HSI!$G$12/HSI!$B$3,""))</f>
        <v/>
      </c>
      <c r="DE17" s="106">
        <f>IF(AQ17="","",IFERROR(AQ17*HSI!$B$12*HSI!$G$12/HSI!$B$3,""))</f>
        <v/>
      </c>
      <c r="DF17" s="106">
        <f>IF(AR17="","",IFERROR(AR17*HSI!$B$12*HSI!$G$12/HSI!$B$3,""))</f>
        <v/>
      </c>
      <c r="DG17" s="106">
        <f>IF(AS17="","",IFERROR(AS17*HSI!$B$12*HSI!$G$12/HSI!$B$3,""))</f>
        <v/>
      </c>
      <c r="DH17" s="106">
        <f>IF(AT17="","",IFERROR(AT17*HSI!$B$12*HSI!$G$12/HSI!$B$3,""))</f>
        <v/>
      </c>
      <c r="DI17" s="106">
        <f>IF(AU17="","",IFERROR(AU17*HSI!$B$12*HSI!$G$12/HSI!$B$3,""))</f>
        <v/>
      </c>
      <c r="DJ17" s="106">
        <f>IF(AV17="","",IFERROR(AV17*HSI!$B$12*HSI!$G$12/HSI!$B$3,""))</f>
        <v/>
      </c>
      <c r="DK17" s="106">
        <f>IF(AW17="","",IFERROR(AW17*HSI!$B$12*HSI!$G$12/HSI!$B$3,""))</f>
        <v/>
      </c>
      <c r="DL17" s="106">
        <f>IF(AX17="","",IFERROR(AX17*HSI!$B$12*HSI!$G$12/HSI!$B$3,""))</f>
        <v/>
      </c>
      <c r="DM17" s="106">
        <f>IF(AY17="","",IFERROR(AY17*HSI!$B$12*HSI!$G$12/HSI!$B$3,""))</f>
        <v/>
      </c>
      <c r="DN17" s="106">
        <f>IF(AZ17="","",IFERROR(AZ17*HSI!$B$12*HSI!$G$12/HSI!$B$3,""))</f>
        <v/>
      </c>
      <c r="DO17" s="106">
        <f>IF(BA17="","",IFERROR(BA17*HSI!$B$12*HSI!$G$12/HSI!$B$3,""))</f>
        <v/>
      </c>
      <c r="DP17" s="106">
        <f>IF(BB17="","",IFERROR(BB17*HSI!$B$12*HSI!$G$12/HSI!$B$3,""))</f>
        <v/>
      </c>
      <c r="DQ17" s="106">
        <f>IF(BC17="","",IFERROR(BC17*HSI!$B$12*HSI!$G$12/HSI!$B$3,""))</f>
        <v/>
      </c>
      <c r="DR17" s="106">
        <f>IF(BD17="","",IFERROR(BD17*HSI!$B$12*HSI!$G$12/HSI!$B$3,""))</f>
        <v/>
      </c>
      <c r="DS17" s="106">
        <f>IF(BE17="","",IFERROR(BE17*HSI!$B$12*HSI!$G$12/HSI!$B$3,""))</f>
        <v/>
      </c>
      <c r="DT17" s="106">
        <f>IF(BF17="","",IFERROR(BF17*HSI!$B$12*HSI!$G$12/HSI!$B$3,""))</f>
        <v/>
      </c>
      <c r="DU17" s="106">
        <f>IF(BG17="","",IFERROR(BG17*HSI!$B$12*HSI!$G$12/HSI!$B$3,""))</f>
        <v/>
      </c>
      <c r="DV17" s="106">
        <f>IF(BH17="","",IFERROR(BH17*HSI!$B$12*HSI!$G$12/HSI!$B$3,""))</f>
        <v/>
      </c>
      <c r="DW17" s="106">
        <f>IF(BI17="","",IFERROR(BI17*HSI!$B$12*HSI!$G$12/HSI!$B$3,""))</f>
        <v/>
      </c>
      <c r="DX17" s="106">
        <f>IF(BJ17="","",IFERROR(BJ17*HSI!$B$12*HSI!$G$12/HSI!$B$3,""))</f>
        <v/>
      </c>
      <c r="DY17" s="106">
        <f>IF(BK17="","",IFERROR(BK17*HSI!$B$12*HSI!$G$12/HSI!$B$3,""))</f>
        <v/>
      </c>
      <c r="DZ17" s="106">
        <f>IF(BL17="","",IFERROR(BL17*HSI!$B$12*HSI!$G$12/HSI!$B$3,""))</f>
        <v/>
      </c>
      <c r="EA17" s="106">
        <f>IF(BM17="","",IFERROR(BM17*HSI!$B$12*HSI!$G$12/HSI!$B$3,""))</f>
        <v/>
      </c>
      <c r="EB17" s="106">
        <f>IF(BN17="","",IFERROR(BN17*HSI!$B$12*HSI!$G$12/HSI!$B$3,""))</f>
        <v/>
      </c>
      <c r="EC17" s="106">
        <f>IF(BO17="","",IFERROR(BO17*HSI!$B$12*HSI!$G$12/HSI!$B$3,""))</f>
        <v/>
      </c>
      <c r="EE17" s="35">
        <f>IF(N('Dvd Calendar'!$E$66)=0,"",IF(('Dvd Calendar'!$E$66&gt;=GRID_FROM)*('Dvd Calendar'!$E$66&lt;=GRID_TO)*('Dvd Calendar'!$E$66&lt;=VAL_DATE)=0,"",'Dvd Calendar'!$E$66*1000000000+ISNUMBER('Dvd Calendar'!$E$69)*100000000+('Dvd Calendar'!$E$71=SPECIAL_LBL)*10000000+0*1000000+6*1000+1))</f>
        <v/>
      </c>
      <c r="EF17" s="35">
        <f>IF(N('Dvd Calendar'!$F$66)=0,"",IF(('Dvd Calendar'!$F$66&gt;=GRID_FROM)*('Dvd Calendar'!$F$66&lt;=GRID_TO)*('Dvd Calendar'!$F$66&lt;=VAL_DATE)=0,"",'Dvd Calendar'!$F$66*1000000000+ISNUMBER('Dvd Calendar'!$F$69)*100000000+('Dvd Calendar'!$F$71=SPECIAL_LBL)*10000000+0*1000000+6*1000+2))</f>
        <v/>
      </c>
      <c r="EG17" s="35">
        <f>IF(N('Dvd Calendar'!$G$66)=0,"",IF(('Dvd Calendar'!$G$66&gt;=GRID_FROM)*('Dvd Calendar'!$G$66&lt;=GRID_TO)*('Dvd Calendar'!$G$66&lt;=VAL_DATE)=0,"",'Dvd Calendar'!$G$66*1000000000+ISNUMBER('Dvd Calendar'!$G$69)*100000000+('Dvd Calendar'!$G$71=SPECIAL_LBL)*10000000+0*1000000+6*1000+3))</f>
        <v/>
      </c>
      <c r="EH17" s="35">
        <f>IF(N('Dvd Calendar'!$H$66)=0,"",IF(('Dvd Calendar'!$H$66&gt;=GRID_FROM)*('Dvd Calendar'!$H$66&lt;=GRID_TO)*('Dvd Calendar'!$H$66&lt;=VAL_DATE)=0,"",'Dvd Calendar'!$H$66*1000000000+ISNUMBER('Dvd Calendar'!$H$69)*100000000+('Dvd Calendar'!$H$71=SPECIAL_LBL)*10000000+0*1000000+6*1000+4))</f>
        <v/>
      </c>
      <c r="EI17" s="35">
        <f>IF(N('Dvd Calendar'!$I$66)=0,"",IF(('Dvd Calendar'!$I$66&gt;=GRID_FROM)*('Dvd Calendar'!$I$66&lt;=GRID_TO)*('Dvd Calendar'!$I$66&lt;=VAL_DATE)=0,"",'Dvd Calendar'!$I$66*1000000000+ISNUMBER('Dvd Calendar'!$I$69)*100000000+('Dvd Calendar'!$I$71=SPECIAL_LBL)*10000000+0*1000000+6*1000+5))</f>
        <v/>
      </c>
      <c r="EJ17" s="35">
        <f>IF(N('Dvd Calendar'!$J$66)=0,"",IF(('Dvd Calendar'!$J$66&gt;=GRID_FROM)*('Dvd Calendar'!$J$66&lt;=GRID_TO)*('Dvd Calendar'!$J$66&lt;=VAL_DATE)=0,"",'Dvd Calendar'!$J$66*1000000000+ISNUMBER('Dvd Calendar'!$J$69)*100000000+('Dvd Calendar'!$J$71=SPECIAL_LBL)*10000000+0*1000000+6*1000+6))</f>
        <v/>
      </c>
      <c r="EK17" s="35">
        <f>IF(N('Dvd Calendar'!$K$66)=0,"",IF(('Dvd Calendar'!$K$66&gt;=GRID_FROM)*('Dvd Calendar'!$K$66&lt;=GRID_TO)*('Dvd Calendar'!$K$66&lt;=VAL_DATE)=0,"",'Dvd Calendar'!$K$66*1000000000+ISNUMBER('Dvd Calendar'!$K$69)*100000000+('Dvd Calendar'!$K$71=SPECIAL_LBL)*10000000+0*1000000+6*1000+7))</f>
        <v/>
      </c>
      <c r="EL17" s="35">
        <f>IF(N('Dvd Calendar'!$L$66)=0,"",IF(('Dvd Calendar'!$L$66&gt;=GRID_FROM)*('Dvd Calendar'!$L$66&lt;=GRID_TO)*('Dvd Calendar'!$L$66&lt;=VAL_DATE)=0,"",'Dvd Calendar'!$L$66*1000000000+ISNUMBER('Dvd Calendar'!$L$69)*100000000+('Dvd Calendar'!$L$71=SPECIAL_LBL)*10000000+0*1000000+6*1000+8))</f>
        <v/>
      </c>
      <c r="EM17" s="35">
        <f>IF(N('Dvd Calendar'!$M$66)=0,"",IF(('Dvd Calendar'!$M$66&gt;=GRID_FROM)*('Dvd Calendar'!$M$66&lt;=GRID_TO)*('Dvd Calendar'!$M$66&lt;=VAL_DATE)=0,"",'Dvd Calendar'!$M$66*1000000000+ISNUMBER('Dvd Calendar'!$M$69)*100000000+('Dvd Calendar'!$M$71=SPECIAL_LBL)*10000000+0*1000000+6*1000+9))</f>
        <v/>
      </c>
      <c r="EN17" s="35">
        <f>IF(N('Dvd Calendar'!$N$66)=0,"",IF(('Dvd Calendar'!$N$66&gt;=GRID_FROM)*('Dvd Calendar'!$N$66&lt;=GRID_TO)*('Dvd Calendar'!$N$66&lt;=VAL_DATE)=0,"",'Dvd Calendar'!$N$66*1000000000+ISNUMBER('Dvd Calendar'!$N$69)*100000000+('Dvd Calendar'!$N$71=SPECIAL_LBL)*10000000+0*1000000+6*1000+10))</f>
        <v/>
      </c>
      <c r="EO17" s="35">
        <f>IF(N('Dvd Calendar'!$O$66)=0,"",IF(('Dvd Calendar'!$O$66&gt;=GRID_FROM)*('Dvd Calendar'!$O$66&lt;=GRID_TO)*('Dvd Calendar'!$O$66&lt;=VAL_DATE)=0,"",'Dvd Calendar'!$O$66*1000000000+ISNUMBER('Dvd Calendar'!$O$69)*100000000+('Dvd Calendar'!$O$71=SPECIAL_LBL)*10000000+0*1000000+6*1000+11))</f>
        <v/>
      </c>
      <c r="EP17" s="35">
        <f>IF(N('Dvd Calendar'!$P$66)=0,"",IF(('Dvd Calendar'!$P$66&gt;=GRID_FROM)*('Dvd Calendar'!$P$66&lt;=GRID_TO)*('Dvd Calendar'!$P$66&lt;=VAL_DATE)=0,"",'Dvd Calendar'!$P$66*1000000000+ISNUMBER('Dvd Calendar'!$P$69)*100000000+('Dvd Calendar'!$P$71=SPECIAL_LBL)*10000000+0*1000000+6*1000+12))</f>
        <v/>
      </c>
      <c r="EQ17" s="35">
        <f>IF(N('Dvd Calendar'!$Q$66)=0,"",IF(('Dvd Calendar'!$Q$66&gt;=GRID_FROM)*('Dvd Calendar'!$Q$66&lt;=GRID_TO)*('Dvd Calendar'!$Q$66&lt;=VAL_DATE)=0,"",'Dvd Calendar'!$Q$66*1000000000+ISNUMBER('Dvd Calendar'!$Q$69)*100000000+('Dvd Calendar'!$Q$71=SPECIAL_LBL)*10000000+0*1000000+6*1000+13))</f>
        <v/>
      </c>
      <c r="ER17" s="35">
        <f>IF(N('Dvd Calendar'!$R$66)=0,"",IF(('Dvd Calendar'!$R$66&gt;=GRID_FROM)*('Dvd Calendar'!$R$66&lt;=GRID_TO)*('Dvd Calendar'!$R$66&lt;=VAL_DATE)=0,"",'Dvd Calendar'!$R$66*1000000000+ISNUMBER('Dvd Calendar'!$R$69)*100000000+('Dvd Calendar'!$R$71=SPECIAL_LBL)*10000000+0*1000000+6*1000+14))</f>
        <v/>
      </c>
      <c r="ES17" s="35">
        <f>IF(N('Dvd Calendar'!$S$66)=0,"",IF(('Dvd Calendar'!$S$66&gt;=GRID_FROM)*('Dvd Calendar'!$S$66&lt;=GRID_TO)*('Dvd Calendar'!$S$66&lt;=VAL_DATE)=0,"",'Dvd Calendar'!$S$66*1000000000+ISNUMBER('Dvd Calendar'!$S$69)*100000000+('Dvd Calendar'!$S$71=SPECIAL_LBL)*10000000+0*1000000+6*1000+15))</f>
        <v/>
      </c>
      <c r="ET17" s="35">
        <f>IF(N('Dvd Calendar'!$T$66)=0,"",IF(('Dvd Calendar'!$T$66&gt;=GRID_FROM)*('Dvd Calendar'!$T$66&lt;=GRID_TO)*('Dvd Calendar'!$T$66&lt;=VAL_DATE)=0,"",'Dvd Calendar'!$T$66*1000000000+ISNUMBER('Dvd Calendar'!$T$69)*100000000+('Dvd Calendar'!$T$71=SPECIAL_LBL)*10000000+0*1000000+6*1000+16))</f>
        <v/>
      </c>
      <c r="EU17" s="35">
        <f>IF(N('Dvd Calendar'!$U$66)=0,"",IF(('Dvd Calendar'!$U$66&gt;=GRID_FROM)*('Dvd Calendar'!$U$66&lt;=GRID_TO)*('Dvd Calendar'!$U$66&lt;=VAL_DATE)=0,"",'Dvd Calendar'!$U$66*1000000000+ISNUMBER('Dvd Calendar'!$U$69)*100000000+('Dvd Calendar'!$U$71=SPECIAL_LBL)*10000000+0*1000000+6*1000+17))</f>
        <v/>
      </c>
      <c r="EV17" s="35">
        <f>IF(N('Dvd Calendar'!$V$66)=0,"",IF(('Dvd Calendar'!$V$66&gt;=GRID_FROM)*('Dvd Calendar'!$V$66&lt;=GRID_TO)*('Dvd Calendar'!$V$66&lt;=VAL_DATE)=0,"",'Dvd Calendar'!$V$66*1000000000+ISNUMBER('Dvd Calendar'!$V$69)*100000000+('Dvd Calendar'!$V$71=SPECIAL_LBL)*10000000+0*1000000+6*1000+18))</f>
        <v/>
      </c>
      <c r="EW17" s="35">
        <f>IF(N('Dvd Calendar'!$W$66)=0,"",IF(('Dvd Calendar'!$W$66&gt;=GRID_FROM)*('Dvd Calendar'!$W$66&lt;=GRID_TO)*('Dvd Calendar'!$W$66&lt;=VAL_DATE)=0,"",'Dvd Calendar'!$W$66*1000000000+ISNUMBER('Dvd Calendar'!$W$69)*100000000+('Dvd Calendar'!$W$71=SPECIAL_LBL)*10000000+0*1000000+6*1000+19))</f>
        <v/>
      </c>
      <c r="EX17" s="35">
        <f>IF(N('Dvd Calendar'!$X$66)=0,"",IF(('Dvd Calendar'!$X$66&gt;=GRID_FROM)*('Dvd Calendar'!$X$66&lt;=GRID_TO)*('Dvd Calendar'!$X$66&lt;=VAL_DATE)=0,"",'Dvd Calendar'!$X$66*1000000000+ISNUMBER('Dvd Calendar'!$X$69)*100000000+('Dvd Calendar'!$X$71=SPECIAL_LBL)*10000000+0*1000000+6*1000+20))</f>
        <v/>
      </c>
      <c r="EY17" s="35">
        <f>IF(N('Dvd Calendar'!$Y$66)=0,"",IF(('Dvd Calendar'!$Y$66&gt;=GRID_FROM)*('Dvd Calendar'!$Y$66&lt;=GRID_TO)*('Dvd Calendar'!$Y$66&lt;=VAL_DATE)=0,"",'Dvd Calendar'!$Y$66*1000000000+ISNUMBER('Dvd Calendar'!$Y$69)*100000000+('Dvd Calendar'!$Y$71=SPECIAL_LBL)*10000000+0*1000000+6*1000+21))</f>
        <v/>
      </c>
      <c r="EZ17" s="35">
        <f>IF(N('Dvd Calendar'!$Z$66)=0,"",IF(('Dvd Calendar'!$Z$66&gt;=GRID_FROM)*('Dvd Calendar'!$Z$66&lt;=GRID_TO)*('Dvd Calendar'!$Z$66&lt;=VAL_DATE)=0,"",'Dvd Calendar'!$Z$66*1000000000+ISNUMBER('Dvd Calendar'!$Z$69)*100000000+('Dvd Calendar'!$Z$71=SPECIAL_LBL)*10000000+0*1000000+6*1000+22))</f>
        <v/>
      </c>
      <c r="FA17" s="35">
        <f>IF(N('Dvd Calendar'!$AA$66)=0,"",IF(('Dvd Calendar'!$AA$66&gt;=GRID_FROM)*('Dvd Calendar'!$AA$66&lt;=GRID_TO)*('Dvd Calendar'!$AA$66&lt;=VAL_DATE)=0,"",'Dvd Calendar'!$AA$66*1000000000+ISNUMBER('Dvd Calendar'!$AA$69)*100000000+('Dvd Calendar'!$AA$71=SPECIAL_LBL)*10000000+0*1000000+6*1000+23))</f>
        <v/>
      </c>
      <c r="FB17" s="35">
        <f>IF(N('Dvd Calendar'!$AB$66)=0,"",IF(('Dvd Calendar'!$AB$66&gt;=GRID_FROM)*('Dvd Calendar'!$AB$66&lt;=GRID_TO)*('Dvd Calendar'!$AB$66&lt;=VAL_DATE)=0,"",'Dvd Calendar'!$AB$66*1000000000+ISNUMBER('Dvd Calendar'!$AB$69)*100000000+('Dvd Calendar'!$AB$71=SPECIAL_LBL)*10000000+0*1000000+6*1000+24))</f>
        <v/>
      </c>
      <c r="FC17" s="35">
        <f>IF(N('Dvd Calendar'!$AC$66)=0,"",IF(('Dvd Calendar'!$AC$66&gt;=GRID_FROM)*('Dvd Calendar'!$AC$66&lt;=GRID_TO)*('Dvd Calendar'!$AC$66&lt;=VAL_DATE)=0,"",'Dvd Calendar'!$AC$66*1000000000+ISNUMBER('Dvd Calendar'!$AC$69)*100000000+('Dvd Calendar'!$AC$71=SPECIAL_LBL)*10000000+0*1000000+6*1000+25))</f>
        <v/>
      </c>
      <c r="FD17" s="35">
        <f>IF(N('Dvd Calendar'!$AD$66)=0,"",IF(('Dvd Calendar'!$AD$66&gt;=GRID_FROM)*('Dvd Calendar'!$AD$66&lt;=GRID_TO)*('Dvd Calendar'!$AD$66&lt;=VAL_DATE)=0,"",'Dvd Calendar'!$AD$66*1000000000+ISNUMBER('Dvd Calendar'!$AD$69)*100000000+('Dvd Calendar'!$AD$71=SPECIAL_LBL)*10000000+0*1000000+6*1000+26))</f>
        <v/>
      </c>
      <c r="FE17" s="35">
        <f>IF(N('Dvd Calendar'!$AE$66)=0,"",IF(('Dvd Calendar'!$AE$66&gt;=GRID_FROM)*('Dvd Calendar'!$AE$66&lt;=GRID_TO)*('Dvd Calendar'!$AE$66&lt;=VAL_DATE)=0,"",'Dvd Calendar'!$AE$66*1000000000+ISNUMBER('Dvd Calendar'!$AE$69)*100000000+('Dvd Calendar'!$AE$71=SPECIAL_LBL)*10000000+0*1000000+6*1000+27))</f>
        <v/>
      </c>
      <c r="FF17" s="35">
        <f>IF(N('Dvd Calendar'!$AF$66)=0,"",IF(('Dvd Calendar'!$AF$66&gt;=GRID_FROM)*('Dvd Calendar'!$AF$66&lt;=GRID_TO)*('Dvd Calendar'!$AF$66&lt;=VAL_DATE)=0,"",'Dvd Calendar'!$AF$66*1000000000+ISNUMBER('Dvd Calendar'!$AF$69)*100000000+('Dvd Calendar'!$AF$71=SPECIAL_LBL)*10000000+0*1000000+6*1000+28))</f>
        <v/>
      </c>
      <c r="FG17" s="35">
        <f>IF(N('Dvd Calendar'!$AG$66)=0,"",IF(('Dvd Calendar'!$AG$66&gt;=GRID_FROM)*('Dvd Calendar'!$AG$66&lt;=GRID_TO)*('Dvd Calendar'!$AG$66&lt;=VAL_DATE)=0,"",'Dvd Calendar'!$AG$66*1000000000+ISNUMBER('Dvd Calendar'!$AG$69)*100000000+('Dvd Calendar'!$AG$71=SPECIAL_LBL)*10000000+0*1000000+6*1000+29))</f>
        <v/>
      </c>
      <c r="FH17" s="35">
        <f>IF(N('Dvd Calendar'!$AH$66)=0,"",IF(('Dvd Calendar'!$AH$66&gt;=GRID_FROM)*('Dvd Calendar'!$AH$66&lt;=GRID_TO)*('Dvd Calendar'!$AH$66&lt;=VAL_DATE)=0,"",'Dvd Calendar'!$AH$66*1000000000+ISNUMBER('Dvd Calendar'!$AH$69)*100000000+('Dvd Calendar'!$AH$71=SPECIAL_LBL)*10000000+0*1000000+6*1000+30))</f>
        <v/>
      </c>
      <c r="FI17" s="35">
        <f>IF(N('Dvd Calendar'!$AI$66)=0,"",IF(('Dvd Calendar'!$AI$66&gt;=GRID_FROM)*('Dvd Calendar'!$AI$66&lt;=GRID_TO)*('Dvd Calendar'!$AI$66&lt;=VAL_DATE)=0,"",'Dvd Calendar'!$AI$66*1000000000+ISNUMBER('Dvd Calendar'!$AI$69)*100000000+('Dvd Calendar'!$AI$71=SPECIAL_LBL)*10000000+0*1000000+6*1000+31))</f>
        <v/>
      </c>
      <c r="FJ17" s="35">
        <f>IF(N('Dvd Calendar'!$AJ$66)=0,"",IF(('Dvd Calendar'!$AJ$66&gt;=GRID_FROM)*('Dvd Calendar'!$AJ$66&lt;=GRID_TO)*('Dvd Calendar'!$AJ$66&lt;=VAL_DATE)=0,"",'Dvd Calendar'!$AJ$66*1000000000+ISNUMBER('Dvd Calendar'!$AJ$69)*100000000+('Dvd Calendar'!$AJ$71=SPECIAL_LBL)*10000000+0*1000000+6*1000+32))</f>
        <v/>
      </c>
      <c r="FK17" s="35">
        <f>IF(N('Dvd Calendar'!$AK$66)=0,"",IF(('Dvd Calendar'!$AK$66&gt;=GRID_FROM)*('Dvd Calendar'!$AK$66&lt;=GRID_TO)*('Dvd Calendar'!$AK$66&lt;=VAL_DATE)=0,"",'Dvd Calendar'!$AK$66*1000000000+ISNUMBER('Dvd Calendar'!$AK$69)*100000000+('Dvd Calendar'!$AK$71=SPECIAL_LBL)*10000000+0*1000000+6*1000+33))</f>
        <v/>
      </c>
      <c r="FL17" s="35">
        <f>IF(N('Dvd Calendar'!$AL$66)=0,"",IF(('Dvd Calendar'!$AL$66&gt;=GRID_FROM)*('Dvd Calendar'!$AL$66&lt;=GRID_TO)*('Dvd Calendar'!$AL$66&lt;=VAL_DATE)=0,"",'Dvd Calendar'!$AL$66*1000000000+ISNUMBER('Dvd Calendar'!$AL$69)*100000000+('Dvd Calendar'!$AL$71=SPECIAL_LBL)*10000000+0*1000000+6*1000+34))</f>
        <v/>
      </c>
      <c r="FM17" s="35">
        <f>IF(N('Dvd Calendar'!$AM$66)=0,"",IF(('Dvd Calendar'!$AM$66&gt;=GRID_FROM)*('Dvd Calendar'!$AM$66&lt;=GRID_TO)*('Dvd Calendar'!$AM$66&lt;=VAL_DATE)=0,"",'Dvd Calendar'!$AM$66*1000000000+ISNUMBER('Dvd Calendar'!$AM$69)*100000000+('Dvd Calendar'!$AM$71=SPECIAL_LBL)*10000000+0*1000000+6*1000+35))</f>
        <v/>
      </c>
      <c r="FN17" s="35">
        <f>IF(N('Dvd Calendar'!$AN$66)=0,"",IF(('Dvd Calendar'!$AN$66&gt;=GRID_FROM)*('Dvd Calendar'!$AN$66&lt;=GRID_TO)*('Dvd Calendar'!$AN$66&lt;=VAL_DATE)=0,"",'Dvd Calendar'!$AN$66*1000000000+ISNUMBER('Dvd Calendar'!$AN$69)*100000000+('Dvd Calendar'!$AN$71=SPECIAL_LBL)*10000000+0*1000000+6*1000+36))</f>
        <v/>
      </c>
      <c r="FO17" s="35">
        <f>IF(N('Dvd Calendar'!$AO$66)=0,"",IF(('Dvd Calendar'!$AO$66&gt;=GRID_FROM)*('Dvd Calendar'!$AO$66&lt;=GRID_TO)*('Dvd Calendar'!$AO$66&lt;=VAL_DATE)=0,"",'Dvd Calendar'!$AO$66*1000000000+ISNUMBER('Dvd Calendar'!$AO$69)*100000000+('Dvd Calendar'!$AO$71=SPECIAL_LBL)*10000000+0*1000000+6*1000+37))</f>
        <v/>
      </c>
      <c r="FP17" s="35">
        <f>IF(N('Dvd Calendar'!$AP$66)=0,"",IF(('Dvd Calendar'!$AP$66&gt;=GRID_FROM)*('Dvd Calendar'!$AP$66&lt;=GRID_TO)*('Dvd Calendar'!$AP$66&lt;=VAL_DATE)=0,"",'Dvd Calendar'!$AP$66*1000000000+ISNUMBER('Dvd Calendar'!$AP$69)*100000000+('Dvd Calendar'!$AP$71=SPECIAL_LBL)*10000000+0*1000000+6*1000+38))</f>
        <v/>
      </c>
      <c r="FQ17" s="35">
        <f>IF(N('Dvd Calendar'!$AQ$66)=0,"",IF(('Dvd Calendar'!$AQ$66&gt;=GRID_FROM)*('Dvd Calendar'!$AQ$66&lt;=GRID_TO)*('Dvd Calendar'!$AQ$66&lt;=VAL_DATE)=0,"",'Dvd Calendar'!$AQ$66*1000000000+ISNUMBER('Dvd Calendar'!$AQ$69)*100000000+('Dvd Calendar'!$AQ$71=SPECIAL_LBL)*10000000+0*1000000+6*1000+39))</f>
        <v/>
      </c>
      <c r="FR17" s="35">
        <f>IF(N('Dvd Calendar'!$AR$66)=0,"",IF(('Dvd Calendar'!$AR$66&gt;=GRID_FROM)*('Dvd Calendar'!$AR$66&lt;=GRID_TO)*('Dvd Calendar'!$AR$66&lt;=VAL_DATE)=0,"",'Dvd Calendar'!$AR$66*1000000000+ISNUMBER('Dvd Calendar'!$AR$69)*100000000+('Dvd Calendar'!$AR$71=SPECIAL_LBL)*10000000+0*1000000+6*1000+40))</f>
        <v/>
      </c>
      <c r="FS17" s="35">
        <f>IF(N('Dvd Calendar'!$E$73)=0,"",IF(('Dvd Calendar'!$E$73&gt;=GRID_FROM)*('Dvd Calendar'!$E$73&lt;=GRID_TO)*('Dvd Calendar'!$E$73&gt;VAL_DATE)=0,"",'Dvd Calendar'!$E$73*1000000000+ISNUMBER('Dvd Calendar'!$E$74)*100000000+0*10000000+(N('Dvd Calendar'!$E$72)&gt;0)*(N('Dvd Calendar'!$E$72)&lt;=VAL_SERIAL)*1000000+6*1000+41))</f>
        <v/>
      </c>
      <c r="FT17" s="35">
        <f>IF(N('Dvd Calendar'!$F$73)=0,"",IF(('Dvd Calendar'!$F$73&gt;=GRID_FROM)*('Dvd Calendar'!$F$73&lt;=GRID_TO)*('Dvd Calendar'!$F$73&gt;VAL_DATE)=0,"",'Dvd Calendar'!$F$73*1000000000+ISNUMBER('Dvd Calendar'!$F$74)*100000000+0*10000000+(N('Dvd Calendar'!$F$72)&gt;0)*(N('Dvd Calendar'!$F$72)&lt;=VAL_SERIAL)*1000000+6*1000+42))</f>
        <v/>
      </c>
      <c r="FU17" s="35">
        <f>IF(N('Dvd Calendar'!$G$73)=0,"",IF(('Dvd Calendar'!$G$73&gt;=GRID_FROM)*('Dvd Calendar'!$G$73&lt;=GRID_TO)*('Dvd Calendar'!$G$73&gt;VAL_DATE)=0,"",'Dvd Calendar'!$G$73*1000000000+ISNUMBER('Dvd Calendar'!$G$74)*100000000+0*10000000+(N('Dvd Calendar'!$G$72)&gt;0)*(N('Dvd Calendar'!$G$72)&lt;=VAL_SERIAL)*1000000+6*1000+43))</f>
        <v/>
      </c>
      <c r="FV17" s="35">
        <f>IF(N('Dvd Calendar'!$H$73)=0,"",IF(('Dvd Calendar'!$H$73&gt;=GRID_FROM)*('Dvd Calendar'!$H$73&lt;=GRID_TO)*('Dvd Calendar'!$H$73&gt;VAL_DATE)=0,"",'Dvd Calendar'!$H$73*1000000000+ISNUMBER('Dvd Calendar'!$H$74)*100000000+0*10000000+(N('Dvd Calendar'!$H$72)&gt;0)*(N('Dvd Calendar'!$H$72)&lt;=VAL_SERIAL)*1000000+6*1000+44))</f>
        <v/>
      </c>
      <c r="FW17" s="35">
        <f>IF(N('Dvd Calendar'!$I$73)=0,"",IF(('Dvd Calendar'!$I$73&gt;=GRID_FROM)*('Dvd Calendar'!$I$73&lt;=GRID_TO)*('Dvd Calendar'!$I$73&gt;VAL_DATE)=0,"",'Dvd Calendar'!$I$73*1000000000+ISNUMBER('Dvd Calendar'!$I$74)*100000000+0*10000000+(N('Dvd Calendar'!$I$72)&gt;0)*(N('Dvd Calendar'!$I$72)&lt;=VAL_SERIAL)*1000000+6*1000+45))</f>
        <v/>
      </c>
      <c r="FX17" s="35">
        <f>IF(N('Dvd Calendar'!$J$73)=0,"",IF(('Dvd Calendar'!$J$73&gt;=GRID_FROM)*('Dvd Calendar'!$J$73&lt;=GRID_TO)*('Dvd Calendar'!$J$73&gt;VAL_DATE)=0,"",'Dvd Calendar'!$J$73*1000000000+ISNUMBER('Dvd Calendar'!$J$74)*100000000+0*10000000+(N('Dvd Calendar'!$J$72)&gt;0)*(N('Dvd Calendar'!$J$72)&lt;=VAL_SERIAL)*1000000+6*1000+46))</f>
        <v/>
      </c>
      <c r="FY17" s="35">
        <f>IF(N('Dvd Calendar'!$K$73)=0,"",IF(('Dvd Calendar'!$K$73&gt;=GRID_FROM)*('Dvd Calendar'!$K$73&lt;=GRID_TO)*('Dvd Calendar'!$K$73&gt;VAL_DATE)=0,"",'Dvd Calendar'!$K$73*1000000000+ISNUMBER('Dvd Calendar'!$K$74)*100000000+0*10000000+(N('Dvd Calendar'!$K$72)&gt;0)*(N('Dvd Calendar'!$K$72)&lt;=VAL_SERIAL)*1000000+6*1000+47))</f>
        <v/>
      </c>
      <c r="FZ17" s="35">
        <f>IF(N('Dvd Calendar'!$L$73)=0,"",IF(('Dvd Calendar'!$L$73&gt;=GRID_FROM)*('Dvd Calendar'!$L$73&lt;=GRID_TO)*('Dvd Calendar'!$L$73&gt;VAL_DATE)=0,"",'Dvd Calendar'!$L$73*1000000000+ISNUMBER('Dvd Calendar'!$L$74)*100000000+0*10000000+(N('Dvd Calendar'!$L$72)&gt;0)*(N('Dvd Calendar'!$L$72)&lt;=VAL_SERIAL)*1000000+6*1000+48))</f>
        <v/>
      </c>
      <c r="GA17" s="35">
        <f>IF(N('Dvd Calendar'!$M$73)=0,"",IF(('Dvd Calendar'!$M$73&gt;=GRID_FROM)*('Dvd Calendar'!$M$73&lt;=GRID_TO)*('Dvd Calendar'!$M$73&gt;VAL_DATE)=0,"",'Dvd Calendar'!$M$73*1000000000+ISNUMBER('Dvd Calendar'!$M$74)*100000000+0*10000000+(N('Dvd Calendar'!$M$72)&gt;0)*(N('Dvd Calendar'!$M$72)&lt;=VAL_SERIAL)*1000000+6*1000+49))</f>
        <v/>
      </c>
      <c r="GB17" s="35">
        <f>IF(N('Dvd Calendar'!$N$73)=0,"",IF(('Dvd Calendar'!$N$73&gt;=GRID_FROM)*('Dvd Calendar'!$N$73&lt;=GRID_TO)*('Dvd Calendar'!$N$73&gt;VAL_DATE)=0,"",'Dvd Calendar'!$N$73*1000000000+ISNUMBER('Dvd Calendar'!$N$74)*100000000+0*10000000+(N('Dvd Calendar'!$N$72)&gt;0)*(N('Dvd Calendar'!$N$72)&lt;=VAL_SERIAL)*1000000+6*1000+50))</f>
        <v/>
      </c>
      <c r="GC17" s="35">
        <f>IF(N('Dvd Calendar'!$O$73)=0,"",IF(('Dvd Calendar'!$O$73&gt;=GRID_FROM)*('Dvd Calendar'!$O$73&lt;=GRID_TO)*('Dvd Calendar'!$O$73&gt;VAL_DATE)=0,"",'Dvd Calendar'!$O$73*1000000000+ISNUMBER('Dvd Calendar'!$O$74)*100000000+0*10000000+(N('Dvd Calendar'!$O$72)&gt;0)*(N('Dvd Calendar'!$O$72)&lt;=VAL_SERIAL)*1000000+6*1000+51))</f>
        <v/>
      </c>
      <c r="GD17" s="35">
        <f>IF(N('Dvd Calendar'!$P$73)=0,"",IF(('Dvd Calendar'!$P$73&gt;=GRID_FROM)*('Dvd Calendar'!$P$73&lt;=GRID_TO)*('Dvd Calendar'!$P$73&gt;VAL_DATE)=0,"",'Dvd Calendar'!$P$73*1000000000+ISNUMBER('Dvd Calendar'!$P$74)*100000000+0*10000000+(N('Dvd Calendar'!$P$72)&gt;0)*(N('Dvd Calendar'!$P$72)&lt;=VAL_SERIAL)*1000000+6*1000+52))</f>
        <v/>
      </c>
      <c r="GE17" s="35">
        <f>IF(N('Dvd Calendar'!$Q$73)=0,"",IF(('Dvd Calendar'!$Q$73&gt;=GRID_FROM)*('Dvd Calendar'!$Q$73&lt;=GRID_TO)*('Dvd Calendar'!$Q$73&gt;VAL_DATE)=0,"",'Dvd Calendar'!$Q$73*1000000000+ISNUMBER('Dvd Calendar'!$Q$74)*100000000+0*10000000+(N('Dvd Calendar'!$Q$72)&gt;0)*(N('Dvd Calendar'!$Q$72)&lt;=VAL_SERIAL)*1000000+6*1000+53))</f>
        <v/>
      </c>
      <c r="GF17" s="35">
        <f>IF(N('Dvd Calendar'!$R$73)=0,"",IF(('Dvd Calendar'!$R$73&gt;=GRID_FROM)*('Dvd Calendar'!$R$73&lt;=GRID_TO)*('Dvd Calendar'!$R$73&gt;VAL_DATE)=0,"",'Dvd Calendar'!$R$73*1000000000+ISNUMBER('Dvd Calendar'!$R$74)*100000000+0*10000000+(N('Dvd Calendar'!$R$72)&gt;0)*(N('Dvd Calendar'!$R$72)&lt;=VAL_SERIAL)*1000000+6*1000+54))</f>
        <v/>
      </c>
      <c r="GG17" s="35">
        <f>IF(N('Dvd Calendar'!$S$73)=0,"",IF(('Dvd Calendar'!$S$73&gt;=GRID_FROM)*('Dvd Calendar'!$S$73&lt;=GRID_TO)*('Dvd Calendar'!$S$73&gt;VAL_DATE)=0,"",'Dvd Calendar'!$S$73*1000000000+ISNUMBER('Dvd Calendar'!$S$74)*100000000+0*10000000+(N('Dvd Calendar'!$S$72)&gt;0)*(N('Dvd Calendar'!$S$72)&lt;=VAL_SERIAL)*1000000+6*1000+55))</f>
        <v/>
      </c>
      <c r="GH17" s="35">
        <f>IF(N('Dvd Calendar'!$T$73)=0,"",IF(('Dvd Calendar'!$T$73&gt;=GRID_FROM)*('Dvd Calendar'!$T$73&lt;=GRID_TO)*('Dvd Calendar'!$T$73&gt;VAL_DATE)=0,"",'Dvd Calendar'!$T$73*1000000000+ISNUMBER('Dvd Calendar'!$T$74)*100000000+0*10000000+(N('Dvd Calendar'!$T$72)&gt;0)*(N('Dvd Calendar'!$T$72)&lt;=VAL_SERIAL)*1000000+6*1000+56))</f>
        <v/>
      </c>
      <c r="GI17" s="35">
        <f>IF(N('Dvd Calendar'!$U$73)=0,"",IF(('Dvd Calendar'!$U$73&gt;=GRID_FROM)*('Dvd Calendar'!$U$73&lt;=GRID_TO)*('Dvd Calendar'!$U$73&gt;VAL_DATE)=0,"",'Dvd Calendar'!$U$73*1000000000+ISNUMBER('Dvd Calendar'!$U$74)*100000000+0*10000000+(N('Dvd Calendar'!$U$72)&gt;0)*(N('Dvd Calendar'!$U$72)&lt;=VAL_SERIAL)*1000000+6*1000+57))</f>
        <v/>
      </c>
      <c r="GJ17" s="35">
        <f>IF(N('Dvd Calendar'!$V$73)=0,"",IF(('Dvd Calendar'!$V$73&gt;=GRID_FROM)*('Dvd Calendar'!$V$73&lt;=GRID_TO)*('Dvd Calendar'!$V$73&gt;VAL_DATE)=0,"",'Dvd Calendar'!$V$73*1000000000+ISNUMBER('Dvd Calendar'!$V$74)*100000000+0*10000000+(N('Dvd Calendar'!$V$72)&gt;0)*(N('Dvd Calendar'!$V$72)&lt;=VAL_SERIAL)*1000000+6*1000+58))</f>
        <v/>
      </c>
      <c r="GK17" s="35">
        <f>IF(N('Dvd Calendar'!$W$73)=0,"",IF(('Dvd Calendar'!$W$73&gt;=GRID_FROM)*('Dvd Calendar'!$W$73&lt;=GRID_TO)*('Dvd Calendar'!$W$73&gt;VAL_DATE)=0,"",'Dvd Calendar'!$W$73*1000000000+ISNUMBER('Dvd Calendar'!$W$74)*100000000+0*10000000+(N('Dvd Calendar'!$W$72)&gt;0)*(N('Dvd Calendar'!$W$72)&lt;=VAL_SERIAL)*1000000+6*1000+59))</f>
        <v/>
      </c>
      <c r="GL17" s="35">
        <f>IF(N('Dvd Calendar'!$X$73)=0,"",IF(('Dvd Calendar'!$X$73&gt;=GRID_FROM)*('Dvd Calendar'!$X$73&lt;=GRID_TO)*('Dvd Calendar'!$X$73&gt;VAL_DATE)=0,"",'Dvd Calendar'!$X$73*1000000000+ISNUMBER('Dvd Calendar'!$X$74)*100000000+0*10000000+(N('Dvd Calendar'!$X$72)&gt;0)*(N('Dvd Calendar'!$X$72)&lt;=VAL_SERIAL)*1000000+6*1000+60))</f>
        <v/>
      </c>
      <c r="GM17" s="35">
        <f>IF(N('Dvd Calendar'!$Y$73)=0,"",IF(('Dvd Calendar'!$Y$73&gt;=GRID_FROM)*('Dvd Calendar'!$Y$73&lt;=GRID_TO)*('Dvd Calendar'!$Y$73&gt;VAL_DATE)=0,"",'Dvd Calendar'!$Y$73*1000000000+ISNUMBER('Dvd Calendar'!$Y$74)*100000000+0*10000000+(N('Dvd Calendar'!$Y$72)&gt;0)*(N('Dvd Calendar'!$Y$72)&lt;=VAL_SERIAL)*1000000+6*1000+61))</f>
        <v/>
      </c>
      <c r="GN17" s="35">
        <f>IF(N('Dvd Calendar'!$Z$73)=0,"",IF(('Dvd Calendar'!$Z$73&gt;=GRID_FROM)*('Dvd Calendar'!$Z$73&lt;=GRID_TO)*('Dvd Calendar'!$Z$73&gt;VAL_DATE)=0,"",'Dvd Calendar'!$Z$73*1000000000+ISNUMBER('Dvd Calendar'!$Z$74)*100000000+0*10000000+(N('Dvd Calendar'!$Z$72)&gt;0)*(N('Dvd Calendar'!$Z$72)&lt;=VAL_SERIAL)*1000000+6*1000+62))</f>
        <v/>
      </c>
      <c r="GO17" s="35">
        <f>IF(N('Dvd Calendar'!$AA$73)=0,"",IF(('Dvd Calendar'!$AA$73&gt;=GRID_FROM)*('Dvd Calendar'!$AA$73&lt;=GRID_TO)*('Dvd Calendar'!$AA$73&gt;VAL_DATE)=0,"",'Dvd Calendar'!$AA$73*1000000000+ISNUMBER('Dvd Calendar'!$AA$74)*100000000+0*10000000+(N('Dvd Calendar'!$AA$72)&gt;0)*(N('Dvd Calendar'!$AA$72)&lt;=VAL_SERIAL)*1000000+6*1000+63))</f>
        <v/>
      </c>
      <c r="GP17" s="35">
        <f>IF(N('Dvd Calendar'!$AB$73)=0,"",IF(('Dvd Calendar'!$AB$73&gt;=GRID_FROM)*('Dvd Calendar'!$AB$73&lt;=GRID_TO)*('Dvd Calendar'!$AB$73&gt;VAL_DATE)=0,"",'Dvd Calendar'!$AB$73*1000000000+ISNUMBER('Dvd Calendar'!$AB$74)*100000000+0*10000000+(N('Dvd Calendar'!$AB$72)&gt;0)*(N('Dvd Calendar'!$AB$72)&lt;=VAL_SERIAL)*1000000+6*1000+64))</f>
        <v/>
      </c>
      <c r="GQ17" s="35">
        <f>IF(N('Dvd Calendar'!$AC$73)=0,"",IF(('Dvd Calendar'!$AC$73&gt;=GRID_FROM)*('Dvd Calendar'!$AC$73&lt;=GRID_TO)*('Dvd Calendar'!$AC$73&gt;VAL_DATE)=0,"",'Dvd Calendar'!$AC$73*1000000000+ISNUMBER('Dvd Calendar'!$AC$74)*100000000+0*10000000+(N('Dvd Calendar'!$AC$72)&gt;0)*(N('Dvd Calendar'!$AC$72)&lt;=VAL_SERIAL)*1000000+6*1000+65))</f>
        <v/>
      </c>
    </row>
    <row r="18">
      <c r="B18" s="2">
        <f>IF(HSI!$C$13="","",HSI!$C$13)</f>
        <v/>
      </c>
      <c r="C18" s="106">
        <f>IF(EE18="","",IF(ISNUMBER('Dvd Calendar'!$E$80)=FALSE,"",IF((('Dvd Calendar'!$E$82=TYPE1)*(TYPE1&lt;&gt;"")+('Dvd Calendar'!$E$82=TYPE2)*(TYPE2&lt;&gt;"")+('Dvd Calendar'!$E$82=TYPE3)*(TYPE3&lt;&gt;"")+('Dvd Calendar'!$E$82=TYPE4)*(TYPE4&lt;&gt;"")+('Dvd Calendar'!$E$82=SPECIAL_LBL)*(INC_SPECIALS="Y"))=0,"",'Dvd Calendar'!$E$80)))</f>
        <v/>
      </c>
      <c r="D18" s="106">
        <f>IF(EF18="","",IF(ISNUMBER('Dvd Calendar'!$F$80)=FALSE,"",IF((('Dvd Calendar'!$F$82=TYPE1)*(TYPE1&lt;&gt;"")+('Dvd Calendar'!$F$82=TYPE2)*(TYPE2&lt;&gt;"")+('Dvd Calendar'!$F$82=TYPE3)*(TYPE3&lt;&gt;"")+('Dvd Calendar'!$F$82=TYPE4)*(TYPE4&lt;&gt;"")+('Dvd Calendar'!$F$82=SPECIAL_LBL)*(INC_SPECIALS="Y"))=0,"",'Dvd Calendar'!$F$80)))</f>
        <v/>
      </c>
      <c r="E18" s="106">
        <f>IF(EG18="","",IF(ISNUMBER('Dvd Calendar'!$G$80)=FALSE,"",IF((('Dvd Calendar'!$G$82=TYPE1)*(TYPE1&lt;&gt;"")+('Dvd Calendar'!$G$82=TYPE2)*(TYPE2&lt;&gt;"")+('Dvd Calendar'!$G$82=TYPE3)*(TYPE3&lt;&gt;"")+('Dvd Calendar'!$G$82=TYPE4)*(TYPE4&lt;&gt;"")+('Dvd Calendar'!$G$82=SPECIAL_LBL)*(INC_SPECIALS="Y"))=0,"",'Dvd Calendar'!$G$80)))</f>
        <v/>
      </c>
      <c r="F18" s="106">
        <f>IF(EH18="","",IF(ISNUMBER('Dvd Calendar'!$H$80)=FALSE,"",IF((('Dvd Calendar'!$H$82=TYPE1)*(TYPE1&lt;&gt;"")+('Dvd Calendar'!$H$82=TYPE2)*(TYPE2&lt;&gt;"")+('Dvd Calendar'!$H$82=TYPE3)*(TYPE3&lt;&gt;"")+('Dvd Calendar'!$H$82=TYPE4)*(TYPE4&lt;&gt;"")+('Dvd Calendar'!$H$82=SPECIAL_LBL)*(INC_SPECIALS="Y"))=0,"",'Dvd Calendar'!$H$80)))</f>
        <v/>
      </c>
      <c r="G18" s="106">
        <f>IF(EI18="","",IF(ISNUMBER('Dvd Calendar'!$I$80)=FALSE,"",IF((('Dvd Calendar'!$I$82=TYPE1)*(TYPE1&lt;&gt;"")+('Dvd Calendar'!$I$82=TYPE2)*(TYPE2&lt;&gt;"")+('Dvd Calendar'!$I$82=TYPE3)*(TYPE3&lt;&gt;"")+('Dvd Calendar'!$I$82=TYPE4)*(TYPE4&lt;&gt;"")+('Dvd Calendar'!$I$82=SPECIAL_LBL)*(INC_SPECIALS="Y"))=0,"",'Dvd Calendar'!$I$80)))</f>
        <v/>
      </c>
      <c r="H18" s="106">
        <f>IF(EJ18="","",IF(ISNUMBER('Dvd Calendar'!$J$80)=FALSE,"",IF((('Dvd Calendar'!$J$82=TYPE1)*(TYPE1&lt;&gt;"")+('Dvd Calendar'!$J$82=TYPE2)*(TYPE2&lt;&gt;"")+('Dvd Calendar'!$J$82=TYPE3)*(TYPE3&lt;&gt;"")+('Dvd Calendar'!$J$82=TYPE4)*(TYPE4&lt;&gt;"")+('Dvd Calendar'!$J$82=SPECIAL_LBL)*(INC_SPECIALS="Y"))=0,"",'Dvd Calendar'!$J$80)))</f>
        <v/>
      </c>
      <c r="I18" s="106">
        <f>IF(EK18="","",IF(ISNUMBER('Dvd Calendar'!$K$80)=FALSE,"",IF((('Dvd Calendar'!$K$82=TYPE1)*(TYPE1&lt;&gt;"")+('Dvd Calendar'!$K$82=TYPE2)*(TYPE2&lt;&gt;"")+('Dvd Calendar'!$K$82=TYPE3)*(TYPE3&lt;&gt;"")+('Dvd Calendar'!$K$82=TYPE4)*(TYPE4&lt;&gt;"")+('Dvd Calendar'!$K$82=SPECIAL_LBL)*(INC_SPECIALS="Y"))=0,"",'Dvd Calendar'!$K$80)))</f>
        <v/>
      </c>
      <c r="J18" s="106">
        <f>IF(EL18="","",IF(ISNUMBER('Dvd Calendar'!$L$80)=FALSE,"",IF((('Dvd Calendar'!$L$82=TYPE1)*(TYPE1&lt;&gt;"")+('Dvd Calendar'!$L$82=TYPE2)*(TYPE2&lt;&gt;"")+('Dvd Calendar'!$L$82=TYPE3)*(TYPE3&lt;&gt;"")+('Dvd Calendar'!$L$82=TYPE4)*(TYPE4&lt;&gt;"")+('Dvd Calendar'!$L$82=SPECIAL_LBL)*(INC_SPECIALS="Y"))=0,"",'Dvd Calendar'!$L$80)))</f>
        <v/>
      </c>
      <c r="K18" s="106">
        <f>IF(EM18="","",IF(ISNUMBER('Dvd Calendar'!$M$80)=FALSE,"",IF((('Dvd Calendar'!$M$82=TYPE1)*(TYPE1&lt;&gt;"")+('Dvd Calendar'!$M$82=TYPE2)*(TYPE2&lt;&gt;"")+('Dvd Calendar'!$M$82=TYPE3)*(TYPE3&lt;&gt;"")+('Dvd Calendar'!$M$82=TYPE4)*(TYPE4&lt;&gt;"")+('Dvd Calendar'!$M$82=SPECIAL_LBL)*(INC_SPECIALS="Y"))=0,"",'Dvd Calendar'!$M$80)))</f>
        <v/>
      </c>
      <c r="L18" s="106">
        <f>IF(EN18="","",IF(ISNUMBER('Dvd Calendar'!$N$80)=FALSE,"",IF((('Dvd Calendar'!$N$82=TYPE1)*(TYPE1&lt;&gt;"")+('Dvd Calendar'!$N$82=TYPE2)*(TYPE2&lt;&gt;"")+('Dvd Calendar'!$N$82=TYPE3)*(TYPE3&lt;&gt;"")+('Dvd Calendar'!$N$82=TYPE4)*(TYPE4&lt;&gt;"")+('Dvd Calendar'!$N$82=SPECIAL_LBL)*(INC_SPECIALS="Y"))=0,"",'Dvd Calendar'!$N$80)))</f>
        <v/>
      </c>
      <c r="M18" s="106">
        <f>IF(EO18="","",IF(ISNUMBER('Dvd Calendar'!$O$80)=FALSE,"",IF((('Dvd Calendar'!$O$82=TYPE1)*(TYPE1&lt;&gt;"")+('Dvd Calendar'!$O$82=TYPE2)*(TYPE2&lt;&gt;"")+('Dvd Calendar'!$O$82=TYPE3)*(TYPE3&lt;&gt;"")+('Dvd Calendar'!$O$82=TYPE4)*(TYPE4&lt;&gt;"")+('Dvd Calendar'!$O$82=SPECIAL_LBL)*(INC_SPECIALS="Y"))=0,"",'Dvd Calendar'!$O$80)))</f>
        <v/>
      </c>
      <c r="N18" s="106">
        <f>IF(EP18="","",IF(ISNUMBER('Dvd Calendar'!$P$80)=FALSE,"",IF((('Dvd Calendar'!$P$82=TYPE1)*(TYPE1&lt;&gt;"")+('Dvd Calendar'!$P$82=TYPE2)*(TYPE2&lt;&gt;"")+('Dvd Calendar'!$P$82=TYPE3)*(TYPE3&lt;&gt;"")+('Dvd Calendar'!$P$82=TYPE4)*(TYPE4&lt;&gt;"")+('Dvd Calendar'!$P$82=SPECIAL_LBL)*(INC_SPECIALS="Y"))=0,"",'Dvd Calendar'!$P$80)))</f>
        <v/>
      </c>
      <c r="O18" s="106">
        <f>IF(EQ18="","",IF(ISNUMBER('Dvd Calendar'!$Q$80)=FALSE,"",IF((('Dvd Calendar'!$Q$82=TYPE1)*(TYPE1&lt;&gt;"")+('Dvd Calendar'!$Q$82=TYPE2)*(TYPE2&lt;&gt;"")+('Dvd Calendar'!$Q$82=TYPE3)*(TYPE3&lt;&gt;"")+('Dvd Calendar'!$Q$82=TYPE4)*(TYPE4&lt;&gt;"")+('Dvd Calendar'!$Q$82=SPECIAL_LBL)*(INC_SPECIALS="Y"))=0,"",'Dvd Calendar'!$Q$80)))</f>
        <v/>
      </c>
      <c r="P18" s="106">
        <f>IF(ER18="","",IF(ISNUMBER('Dvd Calendar'!$R$80)=FALSE,"",IF((('Dvd Calendar'!$R$82=TYPE1)*(TYPE1&lt;&gt;"")+('Dvd Calendar'!$R$82=TYPE2)*(TYPE2&lt;&gt;"")+('Dvd Calendar'!$R$82=TYPE3)*(TYPE3&lt;&gt;"")+('Dvd Calendar'!$R$82=TYPE4)*(TYPE4&lt;&gt;"")+('Dvd Calendar'!$R$82=SPECIAL_LBL)*(INC_SPECIALS="Y"))=0,"",'Dvd Calendar'!$R$80)))</f>
        <v/>
      </c>
      <c r="Q18" s="106">
        <f>IF(ES18="","",IF(ISNUMBER('Dvd Calendar'!$S$80)=FALSE,"",IF((('Dvd Calendar'!$S$82=TYPE1)*(TYPE1&lt;&gt;"")+('Dvd Calendar'!$S$82=TYPE2)*(TYPE2&lt;&gt;"")+('Dvd Calendar'!$S$82=TYPE3)*(TYPE3&lt;&gt;"")+('Dvd Calendar'!$S$82=TYPE4)*(TYPE4&lt;&gt;"")+('Dvd Calendar'!$S$82=SPECIAL_LBL)*(INC_SPECIALS="Y"))=0,"",'Dvd Calendar'!$S$80)))</f>
        <v/>
      </c>
      <c r="R18" s="106">
        <f>IF(ET18="","",IF(ISNUMBER('Dvd Calendar'!$T$80)=FALSE,"",IF((('Dvd Calendar'!$T$82=TYPE1)*(TYPE1&lt;&gt;"")+('Dvd Calendar'!$T$82=TYPE2)*(TYPE2&lt;&gt;"")+('Dvd Calendar'!$T$82=TYPE3)*(TYPE3&lt;&gt;"")+('Dvd Calendar'!$T$82=TYPE4)*(TYPE4&lt;&gt;"")+('Dvd Calendar'!$T$82=SPECIAL_LBL)*(INC_SPECIALS="Y"))=0,"",'Dvd Calendar'!$T$80)))</f>
        <v/>
      </c>
      <c r="S18" s="106">
        <f>IF(EU18="","",IF(ISNUMBER('Dvd Calendar'!$U$80)=FALSE,"",IF((('Dvd Calendar'!$U$82=TYPE1)*(TYPE1&lt;&gt;"")+('Dvd Calendar'!$U$82=TYPE2)*(TYPE2&lt;&gt;"")+('Dvd Calendar'!$U$82=TYPE3)*(TYPE3&lt;&gt;"")+('Dvd Calendar'!$U$82=TYPE4)*(TYPE4&lt;&gt;"")+('Dvd Calendar'!$U$82=SPECIAL_LBL)*(INC_SPECIALS="Y"))=0,"",'Dvd Calendar'!$U$80)))</f>
        <v/>
      </c>
      <c r="T18" s="106">
        <f>IF(EV18="","",IF(ISNUMBER('Dvd Calendar'!$V$80)=FALSE,"",IF((('Dvd Calendar'!$V$82=TYPE1)*(TYPE1&lt;&gt;"")+('Dvd Calendar'!$V$82=TYPE2)*(TYPE2&lt;&gt;"")+('Dvd Calendar'!$V$82=TYPE3)*(TYPE3&lt;&gt;"")+('Dvd Calendar'!$V$82=TYPE4)*(TYPE4&lt;&gt;"")+('Dvd Calendar'!$V$82=SPECIAL_LBL)*(INC_SPECIALS="Y"))=0,"",'Dvd Calendar'!$V$80)))</f>
        <v/>
      </c>
      <c r="U18" s="106">
        <f>IF(EW18="","",IF(ISNUMBER('Dvd Calendar'!$W$80)=FALSE,"",IF((('Dvd Calendar'!$W$82=TYPE1)*(TYPE1&lt;&gt;"")+('Dvd Calendar'!$W$82=TYPE2)*(TYPE2&lt;&gt;"")+('Dvd Calendar'!$W$82=TYPE3)*(TYPE3&lt;&gt;"")+('Dvd Calendar'!$W$82=TYPE4)*(TYPE4&lt;&gt;"")+('Dvd Calendar'!$W$82=SPECIAL_LBL)*(INC_SPECIALS="Y"))=0,"",'Dvd Calendar'!$W$80)))</f>
        <v/>
      </c>
      <c r="V18" s="106">
        <f>IF(EX18="","",IF(ISNUMBER('Dvd Calendar'!$X$80)=FALSE,"",IF((('Dvd Calendar'!$X$82=TYPE1)*(TYPE1&lt;&gt;"")+('Dvd Calendar'!$X$82=TYPE2)*(TYPE2&lt;&gt;"")+('Dvd Calendar'!$X$82=TYPE3)*(TYPE3&lt;&gt;"")+('Dvd Calendar'!$X$82=TYPE4)*(TYPE4&lt;&gt;"")+('Dvd Calendar'!$X$82=SPECIAL_LBL)*(INC_SPECIALS="Y"))=0,"",'Dvd Calendar'!$X$80)))</f>
        <v/>
      </c>
      <c r="W18" s="106">
        <f>IF(EY18="","",IF(ISNUMBER('Dvd Calendar'!$Y$80)=FALSE,"",IF((('Dvd Calendar'!$Y$82=TYPE1)*(TYPE1&lt;&gt;"")+('Dvd Calendar'!$Y$82=TYPE2)*(TYPE2&lt;&gt;"")+('Dvd Calendar'!$Y$82=TYPE3)*(TYPE3&lt;&gt;"")+('Dvd Calendar'!$Y$82=TYPE4)*(TYPE4&lt;&gt;"")+('Dvd Calendar'!$Y$82=SPECIAL_LBL)*(INC_SPECIALS="Y"))=0,"",'Dvd Calendar'!$Y$80)))</f>
        <v/>
      </c>
      <c r="X18" s="106">
        <f>IF(EZ18="","",IF(ISNUMBER('Dvd Calendar'!$Z$80)=FALSE,"",IF((('Dvd Calendar'!$Z$82=TYPE1)*(TYPE1&lt;&gt;"")+('Dvd Calendar'!$Z$82=TYPE2)*(TYPE2&lt;&gt;"")+('Dvd Calendar'!$Z$82=TYPE3)*(TYPE3&lt;&gt;"")+('Dvd Calendar'!$Z$82=TYPE4)*(TYPE4&lt;&gt;"")+('Dvd Calendar'!$Z$82=SPECIAL_LBL)*(INC_SPECIALS="Y"))=0,"",'Dvd Calendar'!$Z$80)))</f>
        <v/>
      </c>
      <c r="Y18" s="106">
        <f>IF(FA18="","",IF(ISNUMBER('Dvd Calendar'!$AA$80)=FALSE,"",IF((('Dvd Calendar'!$AA$82=TYPE1)*(TYPE1&lt;&gt;"")+('Dvd Calendar'!$AA$82=TYPE2)*(TYPE2&lt;&gt;"")+('Dvd Calendar'!$AA$82=TYPE3)*(TYPE3&lt;&gt;"")+('Dvd Calendar'!$AA$82=TYPE4)*(TYPE4&lt;&gt;"")+('Dvd Calendar'!$AA$82=SPECIAL_LBL)*(INC_SPECIALS="Y"))=0,"",'Dvd Calendar'!$AA$80)))</f>
        <v/>
      </c>
      <c r="Z18" s="106">
        <f>IF(FB18="","",IF(ISNUMBER('Dvd Calendar'!$AB$80)=FALSE,"",IF((('Dvd Calendar'!$AB$82=TYPE1)*(TYPE1&lt;&gt;"")+('Dvd Calendar'!$AB$82=TYPE2)*(TYPE2&lt;&gt;"")+('Dvd Calendar'!$AB$82=TYPE3)*(TYPE3&lt;&gt;"")+('Dvd Calendar'!$AB$82=TYPE4)*(TYPE4&lt;&gt;"")+('Dvd Calendar'!$AB$82=SPECIAL_LBL)*(INC_SPECIALS="Y"))=0,"",'Dvd Calendar'!$AB$80)))</f>
        <v/>
      </c>
      <c r="AA18" s="106">
        <f>IF(FC18="","",IF(ISNUMBER('Dvd Calendar'!$AC$80)=FALSE,"",IF((('Dvd Calendar'!$AC$82=TYPE1)*(TYPE1&lt;&gt;"")+('Dvd Calendar'!$AC$82=TYPE2)*(TYPE2&lt;&gt;"")+('Dvd Calendar'!$AC$82=TYPE3)*(TYPE3&lt;&gt;"")+('Dvd Calendar'!$AC$82=TYPE4)*(TYPE4&lt;&gt;"")+('Dvd Calendar'!$AC$82=SPECIAL_LBL)*(INC_SPECIALS="Y"))=0,"",'Dvd Calendar'!$AC$80)))</f>
        <v/>
      </c>
      <c r="AB18" s="106">
        <f>IF(FD18="","",IF(ISNUMBER('Dvd Calendar'!$AD$80)=FALSE,"",IF((('Dvd Calendar'!$AD$82=TYPE1)*(TYPE1&lt;&gt;"")+('Dvd Calendar'!$AD$82=TYPE2)*(TYPE2&lt;&gt;"")+('Dvd Calendar'!$AD$82=TYPE3)*(TYPE3&lt;&gt;"")+('Dvd Calendar'!$AD$82=TYPE4)*(TYPE4&lt;&gt;"")+('Dvd Calendar'!$AD$82=SPECIAL_LBL)*(INC_SPECIALS="Y"))=0,"",'Dvd Calendar'!$AD$80)))</f>
        <v/>
      </c>
      <c r="AC18" s="106">
        <f>IF(FE18="","",IF(ISNUMBER('Dvd Calendar'!$AE$80)=FALSE,"",IF((('Dvd Calendar'!$AE$82=TYPE1)*(TYPE1&lt;&gt;"")+('Dvd Calendar'!$AE$82=TYPE2)*(TYPE2&lt;&gt;"")+('Dvd Calendar'!$AE$82=TYPE3)*(TYPE3&lt;&gt;"")+('Dvd Calendar'!$AE$82=TYPE4)*(TYPE4&lt;&gt;"")+('Dvd Calendar'!$AE$82=SPECIAL_LBL)*(INC_SPECIALS="Y"))=0,"",'Dvd Calendar'!$AE$80)))</f>
        <v/>
      </c>
      <c r="AD18" s="106">
        <f>IF(FF18="","",IF(ISNUMBER('Dvd Calendar'!$AF$80)=FALSE,"",IF((('Dvd Calendar'!$AF$82=TYPE1)*(TYPE1&lt;&gt;"")+('Dvd Calendar'!$AF$82=TYPE2)*(TYPE2&lt;&gt;"")+('Dvd Calendar'!$AF$82=TYPE3)*(TYPE3&lt;&gt;"")+('Dvd Calendar'!$AF$82=TYPE4)*(TYPE4&lt;&gt;"")+('Dvd Calendar'!$AF$82=SPECIAL_LBL)*(INC_SPECIALS="Y"))=0,"",'Dvd Calendar'!$AF$80)))</f>
        <v/>
      </c>
      <c r="AE18" s="106">
        <f>IF(FG18="","",IF(ISNUMBER('Dvd Calendar'!$AG$80)=FALSE,"",IF((('Dvd Calendar'!$AG$82=TYPE1)*(TYPE1&lt;&gt;"")+('Dvd Calendar'!$AG$82=TYPE2)*(TYPE2&lt;&gt;"")+('Dvd Calendar'!$AG$82=TYPE3)*(TYPE3&lt;&gt;"")+('Dvd Calendar'!$AG$82=TYPE4)*(TYPE4&lt;&gt;"")+('Dvd Calendar'!$AG$82=SPECIAL_LBL)*(INC_SPECIALS="Y"))=0,"",'Dvd Calendar'!$AG$80)))</f>
        <v/>
      </c>
      <c r="AF18" s="106">
        <f>IF(FH18="","",IF(ISNUMBER('Dvd Calendar'!$AH$80)=FALSE,"",IF((('Dvd Calendar'!$AH$82=TYPE1)*(TYPE1&lt;&gt;"")+('Dvd Calendar'!$AH$82=TYPE2)*(TYPE2&lt;&gt;"")+('Dvd Calendar'!$AH$82=TYPE3)*(TYPE3&lt;&gt;"")+('Dvd Calendar'!$AH$82=TYPE4)*(TYPE4&lt;&gt;"")+('Dvd Calendar'!$AH$82=SPECIAL_LBL)*(INC_SPECIALS="Y"))=0,"",'Dvd Calendar'!$AH$80)))</f>
        <v/>
      </c>
      <c r="AG18" s="106">
        <f>IF(FI18="","",IF(ISNUMBER('Dvd Calendar'!$AI$80)=FALSE,"",IF((('Dvd Calendar'!$AI$82=TYPE1)*(TYPE1&lt;&gt;"")+('Dvd Calendar'!$AI$82=TYPE2)*(TYPE2&lt;&gt;"")+('Dvd Calendar'!$AI$82=TYPE3)*(TYPE3&lt;&gt;"")+('Dvd Calendar'!$AI$82=TYPE4)*(TYPE4&lt;&gt;"")+('Dvd Calendar'!$AI$82=SPECIAL_LBL)*(INC_SPECIALS="Y"))=0,"",'Dvd Calendar'!$AI$80)))</f>
        <v/>
      </c>
      <c r="AH18" s="106">
        <f>IF(FJ18="","",IF(ISNUMBER('Dvd Calendar'!$AJ$80)=FALSE,"",IF((('Dvd Calendar'!$AJ$82=TYPE1)*(TYPE1&lt;&gt;"")+('Dvd Calendar'!$AJ$82=TYPE2)*(TYPE2&lt;&gt;"")+('Dvd Calendar'!$AJ$82=TYPE3)*(TYPE3&lt;&gt;"")+('Dvd Calendar'!$AJ$82=TYPE4)*(TYPE4&lt;&gt;"")+('Dvd Calendar'!$AJ$82=SPECIAL_LBL)*(INC_SPECIALS="Y"))=0,"",'Dvd Calendar'!$AJ$80)))</f>
        <v/>
      </c>
      <c r="AI18" s="106">
        <f>IF(FK18="","",IF(ISNUMBER('Dvd Calendar'!$AK$80)=FALSE,"",IF((('Dvd Calendar'!$AK$82=TYPE1)*(TYPE1&lt;&gt;"")+('Dvd Calendar'!$AK$82=TYPE2)*(TYPE2&lt;&gt;"")+('Dvd Calendar'!$AK$82=TYPE3)*(TYPE3&lt;&gt;"")+('Dvd Calendar'!$AK$82=TYPE4)*(TYPE4&lt;&gt;"")+('Dvd Calendar'!$AK$82=SPECIAL_LBL)*(INC_SPECIALS="Y"))=0,"",'Dvd Calendar'!$AK$80)))</f>
        <v/>
      </c>
      <c r="AJ18" s="106">
        <f>IF(FL18="","",IF(ISNUMBER('Dvd Calendar'!$AL$80)=FALSE,"",IF((('Dvd Calendar'!$AL$82=TYPE1)*(TYPE1&lt;&gt;"")+('Dvd Calendar'!$AL$82=TYPE2)*(TYPE2&lt;&gt;"")+('Dvd Calendar'!$AL$82=TYPE3)*(TYPE3&lt;&gt;"")+('Dvd Calendar'!$AL$82=TYPE4)*(TYPE4&lt;&gt;"")+('Dvd Calendar'!$AL$82=SPECIAL_LBL)*(INC_SPECIALS="Y"))=0,"",'Dvd Calendar'!$AL$80)))</f>
        <v/>
      </c>
      <c r="AK18" s="106">
        <f>IF(FM18="","",IF(ISNUMBER('Dvd Calendar'!$AM$80)=FALSE,"",IF((('Dvd Calendar'!$AM$82=TYPE1)*(TYPE1&lt;&gt;"")+('Dvd Calendar'!$AM$82=TYPE2)*(TYPE2&lt;&gt;"")+('Dvd Calendar'!$AM$82=TYPE3)*(TYPE3&lt;&gt;"")+('Dvd Calendar'!$AM$82=TYPE4)*(TYPE4&lt;&gt;"")+('Dvd Calendar'!$AM$82=SPECIAL_LBL)*(INC_SPECIALS="Y"))=0,"",'Dvd Calendar'!$AM$80)))</f>
        <v/>
      </c>
      <c r="AL18" s="106">
        <f>IF(FN18="","",IF(ISNUMBER('Dvd Calendar'!$AN$80)=FALSE,"",IF((('Dvd Calendar'!$AN$82=TYPE1)*(TYPE1&lt;&gt;"")+('Dvd Calendar'!$AN$82=TYPE2)*(TYPE2&lt;&gt;"")+('Dvd Calendar'!$AN$82=TYPE3)*(TYPE3&lt;&gt;"")+('Dvd Calendar'!$AN$82=TYPE4)*(TYPE4&lt;&gt;"")+('Dvd Calendar'!$AN$82=SPECIAL_LBL)*(INC_SPECIALS="Y"))=0,"",'Dvd Calendar'!$AN$80)))</f>
        <v/>
      </c>
      <c r="AM18" s="106">
        <f>IF(FO18="","",IF(ISNUMBER('Dvd Calendar'!$AO$80)=FALSE,"",IF((('Dvd Calendar'!$AO$82=TYPE1)*(TYPE1&lt;&gt;"")+('Dvd Calendar'!$AO$82=TYPE2)*(TYPE2&lt;&gt;"")+('Dvd Calendar'!$AO$82=TYPE3)*(TYPE3&lt;&gt;"")+('Dvd Calendar'!$AO$82=TYPE4)*(TYPE4&lt;&gt;"")+('Dvd Calendar'!$AO$82=SPECIAL_LBL)*(INC_SPECIALS="Y"))=0,"",'Dvd Calendar'!$AO$80)))</f>
        <v/>
      </c>
      <c r="AN18" s="106">
        <f>IF(FP18="","",IF(ISNUMBER('Dvd Calendar'!$AP$80)=FALSE,"",IF((('Dvd Calendar'!$AP$82=TYPE1)*(TYPE1&lt;&gt;"")+('Dvd Calendar'!$AP$82=TYPE2)*(TYPE2&lt;&gt;"")+('Dvd Calendar'!$AP$82=TYPE3)*(TYPE3&lt;&gt;"")+('Dvd Calendar'!$AP$82=TYPE4)*(TYPE4&lt;&gt;"")+('Dvd Calendar'!$AP$82=SPECIAL_LBL)*(INC_SPECIALS="Y"))=0,"",'Dvd Calendar'!$AP$80)))</f>
        <v/>
      </c>
      <c r="AO18" s="106">
        <f>IF(FQ18="","",IF(ISNUMBER('Dvd Calendar'!$AQ$80)=FALSE,"",IF((('Dvd Calendar'!$AQ$82=TYPE1)*(TYPE1&lt;&gt;"")+('Dvd Calendar'!$AQ$82=TYPE2)*(TYPE2&lt;&gt;"")+('Dvd Calendar'!$AQ$82=TYPE3)*(TYPE3&lt;&gt;"")+('Dvd Calendar'!$AQ$82=TYPE4)*(TYPE4&lt;&gt;"")+('Dvd Calendar'!$AQ$82=SPECIAL_LBL)*(INC_SPECIALS="Y"))=0,"",'Dvd Calendar'!$AQ$80)))</f>
        <v/>
      </c>
      <c r="AP18" s="106">
        <f>IF(FR18="","",IF(ISNUMBER('Dvd Calendar'!$AR$80)=FALSE,"",IF((('Dvd Calendar'!$AR$82=TYPE1)*(TYPE1&lt;&gt;"")+('Dvd Calendar'!$AR$82=TYPE2)*(TYPE2&lt;&gt;"")+('Dvd Calendar'!$AR$82=TYPE3)*(TYPE3&lt;&gt;"")+('Dvd Calendar'!$AR$82=TYPE4)*(TYPE4&lt;&gt;"")+('Dvd Calendar'!$AR$82=SPECIAL_LBL)*(INC_SPECIALS="Y"))=0,"",'Dvd Calendar'!$AR$80)))</f>
        <v/>
      </c>
      <c r="AQ18" s="106">
        <f>IF(FS18="","",IF(ISNUMBER('Dvd Calendar'!$E$85)=FALSE,"",'Dvd Calendar'!$E$85))</f>
        <v/>
      </c>
      <c r="AR18" s="106">
        <f>IF(FT18="","",IF(ISNUMBER('Dvd Calendar'!$F$85)=FALSE,"",'Dvd Calendar'!$F$85))</f>
        <v/>
      </c>
      <c r="AS18" s="106">
        <f>IF(FU18="","",IF(ISNUMBER('Dvd Calendar'!$G$85)=FALSE,"",'Dvd Calendar'!$G$85))</f>
        <v/>
      </c>
      <c r="AT18" s="106">
        <f>IF(FV18="","",IF(ISNUMBER('Dvd Calendar'!$H$85)=FALSE,"",'Dvd Calendar'!$H$85))</f>
        <v/>
      </c>
      <c r="AU18" s="106">
        <f>IF(FW18="","",IF(ISNUMBER('Dvd Calendar'!$I$85)=FALSE,"",'Dvd Calendar'!$I$85))</f>
        <v/>
      </c>
      <c r="AV18" s="106">
        <f>IF(FX18="","",IF(ISNUMBER('Dvd Calendar'!$J$85)=FALSE,"",'Dvd Calendar'!$J$85))</f>
        <v/>
      </c>
      <c r="AW18" s="106">
        <f>IF(FY18="","",IF(ISNUMBER('Dvd Calendar'!$K$85)=FALSE,"",'Dvd Calendar'!$K$85))</f>
        <v/>
      </c>
      <c r="AX18" s="106">
        <f>IF(FZ18="","",IF(ISNUMBER('Dvd Calendar'!$L$85)=FALSE,"",'Dvd Calendar'!$L$85))</f>
        <v/>
      </c>
      <c r="AY18" s="106">
        <f>IF(GA18="","",IF(ISNUMBER('Dvd Calendar'!$M$85)=FALSE,"",'Dvd Calendar'!$M$85))</f>
        <v/>
      </c>
      <c r="AZ18" s="106">
        <f>IF(GB18="","",IF(ISNUMBER('Dvd Calendar'!$N$85)=FALSE,"",'Dvd Calendar'!$N$85))</f>
        <v/>
      </c>
      <c r="BA18" s="106">
        <f>IF(GC18="","",IF(ISNUMBER('Dvd Calendar'!$O$85)=FALSE,"",'Dvd Calendar'!$O$85))</f>
        <v/>
      </c>
      <c r="BB18" s="106">
        <f>IF(GD18="","",IF(ISNUMBER('Dvd Calendar'!$P$85)=FALSE,"",'Dvd Calendar'!$P$85))</f>
        <v/>
      </c>
      <c r="BC18" s="106">
        <f>IF(GE18="","",IF(ISNUMBER('Dvd Calendar'!$Q$85)=FALSE,"",'Dvd Calendar'!$Q$85))</f>
        <v/>
      </c>
      <c r="BD18" s="106">
        <f>IF(GF18="","",IF(ISNUMBER('Dvd Calendar'!$R$85)=FALSE,"",'Dvd Calendar'!$R$85))</f>
        <v/>
      </c>
      <c r="BE18" s="106">
        <f>IF(GG18="","",IF(ISNUMBER('Dvd Calendar'!$S$85)=FALSE,"",'Dvd Calendar'!$S$85))</f>
        <v/>
      </c>
      <c r="BF18" s="106">
        <f>IF(GH18="","",IF(ISNUMBER('Dvd Calendar'!$T$85)=FALSE,"",'Dvd Calendar'!$T$85))</f>
        <v/>
      </c>
      <c r="BG18" s="106">
        <f>IF(GI18="","",IF(ISNUMBER('Dvd Calendar'!$U$85)=FALSE,"",'Dvd Calendar'!$U$85))</f>
        <v/>
      </c>
      <c r="BH18" s="106">
        <f>IF(GJ18="","",IF(ISNUMBER('Dvd Calendar'!$V$85)=FALSE,"",'Dvd Calendar'!$V$85))</f>
        <v/>
      </c>
      <c r="BI18" s="106">
        <f>IF(GK18="","",IF(ISNUMBER('Dvd Calendar'!$W$85)=FALSE,"",'Dvd Calendar'!$W$85))</f>
        <v/>
      </c>
      <c r="BJ18" s="106">
        <f>IF(GL18="","",IF(ISNUMBER('Dvd Calendar'!$X$85)=FALSE,"",'Dvd Calendar'!$X$85))</f>
        <v/>
      </c>
      <c r="BK18" s="106">
        <f>IF(GM18="","",IF(ISNUMBER('Dvd Calendar'!$Y$85)=FALSE,"",'Dvd Calendar'!$Y$85))</f>
        <v/>
      </c>
      <c r="BL18" s="106">
        <f>IF(GN18="","",IF(ISNUMBER('Dvd Calendar'!$Z$85)=FALSE,"",'Dvd Calendar'!$Z$85))</f>
        <v/>
      </c>
      <c r="BM18" s="106">
        <f>IF(GO18="","",IF(ISNUMBER('Dvd Calendar'!$AA$85)=FALSE,"",'Dvd Calendar'!$AA$85))</f>
        <v/>
      </c>
      <c r="BN18" s="106">
        <f>IF(GP18="","",IF(ISNUMBER('Dvd Calendar'!$AB$85)=FALSE,"",'Dvd Calendar'!$AB$85))</f>
        <v/>
      </c>
      <c r="BO18" s="106">
        <f>IF(GQ18="","",IF(ISNUMBER('Dvd Calendar'!$AC$85)=FALSE,"",'Dvd Calendar'!$AC$85))</f>
        <v/>
      </c>
      <c r="BQ18" s="106">
        <f>IF(C18="","",IFERROR(C18*HSI!$B$13*HSI!$G$13/HSI!$B$3,""))</f>
        <v/>
      </c>
      <c r="BR18" s="106">
        <f>IF(D18="","",IFERROR(D18*HSI!$B$13*HSI!$G$13/HSI!$B$3,""))</f>
        <v/>
      </c>
      <c r="BS18" s="106">
        <f>IF(E18="","",IFERROR(E18*HSI!$B$13*HSI!$G$13/HSI!$B$3,""))</f>
        <v/>
      </c>
      <c r="BT18" s="106">
        <f>IF(F18="","",IFERROR(F18*HSI!$B$13*HSI!$G$13/HSI!$B$3,""))</f>
        <v/>
      </c>
      <c r="BU18" s="106">
        <f>IF(G18="","",IFERROR(G18*HSI!$B$13*HSI!$G$13/HSI!$B$3,""))</f>
        <v/>
      </c>
      <c r="BV18" s="106">
        <f>IF(H18="","",IFERROR(H18*HSI!$B$13*HSI!$G$13/HSI!$B$3,""))</f>
        <v/>
      </c>
      <c r="BW18" s="106">
        <f>IF(I18="","",IFERROR(I18*HSI!$B$13*HSI!$G$13/HSI!$B$3,""))</f>
        <v/>
      </c>
      <c r="BX18" s="106">
        <f>IF(J18="","",IFERROR(J18*HSI!$B$13*HSI!$G$13/HSI!$B$3,""))</f>
        <v/>
      </c>
      <c r="BY18" s="106">
        <f>IF(K18="","",IFERROR(K18*HSI!$B$13*HSI!$G$13/HSI!$B$3,""))</f>
        <v/>
      </c>
      <c r="BZ18" s="106">
        <f>IF(L18="","",IFERROR(L18*HSI!$B$13*HSI!$G$13/HSI!$B$3,""))</f>
        <v/>
      </c>
      <c r="CA18" s="106">
        <f>IF(M18="","",IFERROR(M18*HSI!$B$13*HSI!$G$13/HSI!$B$3,""))</f>
        <v/>
      </c>
      <c r="CB18" s="106">
        <f>IF(N18="","",IFERROR(N18*HSI!$B$13*HSI!$G$13/HSI!$B$3,""))</f>
        <v/>
      </c>
      <c r="CC18" s="106">
        <f>IF(O18="","",IFERROR(O18*HSI!$B$13*HSI!$G$13/HSI!$B$3,""))</f>
        <v/>
      </c>
      <c r="CD18" s="106">
        <f>IF(P18="","",IFERROR(P18*HSI!$B$13*HSI!$G$13/HSI!$B$3,""))</f>
        <v/>
      </c>
      <c r="CE18" s="106">
        <f>IF(Q18="","",IFERROR(Q18*HSI!$B$13*HSI!$G$13/HSI!$B$3,""))</f>
        <v/>
      </c>
      <c r="CF18" s="106">
        <f>IF(R18="","",IFERROR(R18*HSI!$B$13*HSI!$G$13/HSI!$B$3,""))</f>
        <v/>
      </c>
      <c r="CG18" s="106">
        <f>IF(S18="","",IFERROR(S18*HSI!$B$13*HSI!$G$13/HSI!$B$3,""))</f>
        <v/>
      </c>
      <c r="CH18" s="106">
        <f>IF(T18="","",IFERROR(T18*HSI!$B$13*HSI!$G$13/HSI!$B$3,""))</f>
        <v/>
      </c>
      <c r="CI18" s="106">
        <f>IF(U18="","",IFERROR(U18*HSI!$B$13*HSI!$G$13/HSI!$B$3,""))</f>
        <v/>
      </c>
      <c r="CJ18" s="106">
        <f>IF(V18="","",IFERROR(V18*HSI!$B$13*HSI!$G$13/HSI!$B$3,""))</f>
        <v/>
      </c>
      <c r="CK18" s="106">
        <f>IF(W18="","",IFERROR(W18*HSI!$B$13*HSI!$G$13/HSI!$B$3,""))</f>
        <v/>
      </c>
      <c r="CL18" s="106">
        <f>IF(X18="","",IFERROR(X18*HSI!$B$13*HSI!$G$13/HSI!$B$3,""))</f>
        <v/>
      </c>
      <c r="CM18" s="106">
        <f>IF(Y18="","",IFERROR(Y18*HSI!$B$13*HSI!$G$13/HSI!$B$3,""))</f>
        <v/>
      </c>
      <c r="CN18" s="106">
        <f>IF(Z18="","",IFERROR(Z18*HSI!$B$13*HSI!$G$13/HSI!$B$3,""))</f>
        <v/>
      </c>
      <c r="CO18" s="106">
        <f>IF(AA18="","",IFERROR(AA18*HSI!$B$13*HSI!$G$13/HSI!$B$3,""))</f>
        <v/>
      </c>
      <c r="CP18" s="106">
        <f>IF(AB18="","",IFERROR(AB18*HSI!$B$13*HSI!$G$13/HSI!$B$3,""))</f>
        <v/>
      </c>
      <c r="CQ18" s="106">
        <f>IF(AC18="","",IFERROR(AC18*HSI!$B$13*HSI!$G$13/HSI!$B$3,""))</f>
        <v/>
      </c>
      <c r="CR18" s="106">
        <f>IF(AD18="","",IFERROR(AD18*HSI!$B$13*HSI!$G$13/HSI!$B$3,""))</f>
        <v/>
      </c>
      <c r="CS18" s="106">
        <f>IF(AE18="","",IFERROR(AE18*HSI!$B$13*HSI!$G$13/HSI!$B$3,""))</f>
        <v/>
      </c>
      <c r="CT18" s="106">
        <f>IF(AF18="","",IFERROR(AF18*HSI!$B$13*HSI!$G$13/HSI!$B$3,""))</f>
        <v/>
      </c>
      <c r="CU18" s="106">
        <f>IF(AG18="","",IFERROR(AG18*HSI!$B$13*HSI!$G$13/HSI!$B$3,""))</f>
        <v/>
      </c>
      <c r="CV18" s="106">
        <f>IF(AH18="","",IFERROR(AH18*HSI!$B$13*HSI!$G$13/HSI!$B$3,""))</f>
        <v/>
      </c>
      <c r="CW18" s="106">
        <f>IF(AI18="","",IFERROR(AI18*HSI!$B$13*HSI!$G$13/HSI!$B$3,""))</f>
        <v/>
      </c>
      <c r="CX18" s="106">
        <f>IF(AJ18="","",IFERROR(AJ18*HSI!$B$13*HSI!$G$13/HSI!$B$3,""))</f>
        <v/>
      </c>
      <c r="CY18" s="106">
        <f>IF(AK18="","",IFERROR(AK18*HSI!$B$13*HSI!$G$13/HSI!$B$3,""))</f>
        <v/>
      </c>
      <c r="CZ18" s="106">
        <f>IF(AL18="","",IFERROR(AL18*HSI!$B$13*HSI!$G$13/HSI!$B$3,""))</f>
        <v/>
      </c>
      <c r="DA18" s="106">
        <f>IF(AM18="","",IFERROR(AM18*HSI!$B$13*HSI!$G$13/HSI!$B$3,""))</f>
        <v/>
      </c>
      <c r="DB18" s="106">
        <f>IF(AN18="","",IFERROR(AN18*HSI!$B$13*HSI!$G$13/HSI!$B$3,""))</f>
        <v/>
      </c>
      <c r="DC18" s="106">
        <f>IF(AO18="","",IFERROR(AO18*HSI!$B$13*HSI!$G$13/HSI!$B$3,""))</f>
        <v/>
      </c>
      <c r="DD18" s="106">
        <f>IF(AP18="","",IFERROR(AP18*HSI!$B$13*HSI!$G$13/HSI!$B$3,""))</f>
        <v/>
      </c>
      <c r="DE18" s="106">
        <f>IF(AQ18="","",IFERROR(AQ18*HSI!$B$13*HSI!$G$13/HSI!$B$3,""))</f>
        <v/>
      </c>
      <c r="DF18" s="106">
        <f>IF(AR18="","",IFERROR(AR18*HSI!$B$13*HSI!$G$13/HSI!$B$3,""))</f>
        <v/>
      </c>
      <c r="DG18" s="106">
        <f>IF(AS18="","",IFERROR(AS18*HSI!$B$13*HSI!$G$13/HSI!$B$3,""))</f>
        <v/>
      </c>
      <c r="DH18" s="106">
        <f>IF(AT18="","",IFERROR(AT18*HSI!$B$13*HSI!$G$13/HSI!$B$3,""))</f>
        <v/>
      </c>
      <c r="DI18" s="106">
        <f>IF(AU18="","",IFERROR(AU18*HSI!$B$13*HSI!$G$13/HSI!$B$3,""))</f>
        <v/>
      </c>
      <c r="DJ18" s="106">
        <f>IF(AV18="","",IFERROR(AV18*HSI!$B$13*HSI!$G$13/HSI!$B$3,""))</f>
        <v/>
      </c>
      <c r="DK18" s="106">
        <f>IF(AW18="","",IFERROR(AW18*HSI!$B$13*HSI!$G$13/HSI!$B$3,""))</f>
        <v/>
      </c>
      <c r="DL18" s="106">
        <f>IF(AX18="","",IFERROR(AX18*HSI!$B$13*HSI!$G$13/HSI!$B$3,""))</f>
        <v/>
      </c>
      <c r="DM18" s="106">
        <f>IF(AY18="","",IFERROR(AY18*HSI!$B$13*HSI!$G$13/HSI!$B$3,""))</f>
        <v/>
      </c>
      <c r="DN18" s="106">
        <f>IF(AZ18="","",IFERROR(AZ18*HSI!$B$13*HSI!$G$13/HSI!$B$3,""))</f>
        <v/>
      </c>
      <c r="DO18" s="106">
        <f>IF(BA18="","",IFERROR(BA18*HSI!$B$13*HSI!$G$13/HSI!$B$3,""))</f>
        <v/>
      </c>
      <c r="DP18" s="106">
        <f>IF(BB18="","",IFERROR(BB18*HSI!$B$13*HSI!$G$13/HSI!$B$3,""))</f>
        <v/>
      </c>
      <c r="DQ18" s="106">
        <f>IF(BC18="","",IFERROR(BC18*HSI!$B$13*HSI!$G$13/HSI!$B$3,""))</f>
        <v/>
      </c>
      <c r="DR18" s="106">
        <f>IF(BD18="","",IFERROR(BD18*HSI!$B$13*HSI!$G$13/HSI!$B$3,""))</f>
        <v/>
      </c>
      <c r="DS18" s="106">
        <f>IF(BE18="","",IFERROR(BE18*HSI!$B$13*HSI!$G$13/HSI!$B$3,""))</f>
        <v/>
      </c>
      <c r="DT18" s="106">
        <f>IF(BF18="","",IFERROR(BF18*HSI!$B$13*HSI!$G$13/HSI!$B$3,""))</f>
        <v/>
      </c>
      <c r="DU18" s="106">
        <f>IF(BG18="","",IFERROR(BG18*HSI!$B$13*HSI!$G$13/HSI!$B$3,""))</f>
        <v/>
      </c>
      <c r="DV18" s="106">
        <f>IF(BH18="","",IFERROR(BH18*HSI!$B$13*HSI!$G$13/HSI!$B$3,""))</f>
        <v/>
      </c>
      <c r="DW18" s="106">
        <f>IF(BI18="","",IFERROR(BI18*HSI!$B$13*HSI!$G$13/HSI!$B$3,""))</f>
        <v/>
      </c>
      <c r="DX18" s="106">
        <f>IF(BJ18="","",IFERROR(BJ18*HSI!$B$13*HSI!$G$13/HSI!$B$3,""))</f>
        <v/>
      </c>
      <c r="DY18" s="106">
        <f>IF(BK18="","",IFERROR(BK18*HSI!$B$13*HSI!$G$13/HSI!$B$3,""))</f>
        <v/>
      </c>
      <c r="DZ18" s="106">
        <f>IF(BL18="","",IFERROR(BL18*HSI!$B$13*HSI!$G$13/HSI!$B$3,""))</f>
        <v/>
      </c>
      <c r="EA18" s="106">
        <f>IF(BM18="","",IFERROR(BM18*HSI!$B$13*HSI!$G$13/HSI!$B$3,""))</f>
        <v/>
      </c>
      <c r="EB18" s="106">
        <f>IF(BN18="","",IFERROR(BN18*HSI!$B$13*HSI!$G$13/HSI!$B$3,""))</f>
        <v/>
      </c>
      <c r="EC18" s="106">
        <f>IF(BO18="","",IFERROR(BO18*HSI!$B$13*HSI!$G$13/HSI!$B$3,""))</f>
        <v/>
      </c>
      <c r="EE18" s="35">
        <f>IF(N('Dvd Calendar'!$E$77)=0,"",IF(('Dvd Calendar'!$E$77&gt;=GRID_FROM)*('Dvd Calendar'!$E$77&lt;=GRID_TO)*('Dvd Calendar'!$E$77&lt;=VAL_DATE)=0,"",'Dvd Calendar'!$E$77*1000000000+ISNUMBER('Dvd Calendar'!$E$80)*100000000+('Dvd Calendar'!$E$82=SPECIAL_LBL)*10000000+0*1000000+7*1000+1))</f>
        <v/>
      </c>
      <c r="EF18" s="35">
        <f>IF(N('Dvd Calendar'!$F$77)=0,"",IF(('Dvd Calendar'!$F$77&gt;=GRID_FROM)*('Dvd Calendar'!$F$77&lt;=GRID_TO)*('Dvd Calendar'!$F$77&lt;=VAL_DATE)=0,"",'Dvd Calendar'!$F$77*1000000000+ISNUMBER('Dvd Calendar'!$F$80)*100000000+('Dvd Calendar'!$F$82=SPECIAL_LBL)*10000000+0*1000000+7*1000+2))</f>
        <v/>
      </c>
      <c r="EG18" s="35">
        <f>IF(N('Dvd Calendar'!$G$77)=0,"",IF(('Dvd Calendar'!$G$77&gt;=GRID_FROM)*('Dvd Calendar'!$G$77&lt;=GRID_TO)*('Dvd Calendar'!$G$77&lt;=VAL_DATE)=0,"",'Dvd Calendar'!$G$77*1000000000+ISNUMBER('Dvd Calendar'!$G$80)*100000000+('Dvd Calendar'!$G$82=SPECIAL_LBL)*10000000+0*1000000+7*1000+3))</f>
        <v/>
      </c>
      <c r="EH18" s="35">
        <f>IF(N('Dvd Calendar'!$H$77)=0,"",IF(('Dvd Calendar'!$H$77&gt;=GRID_FROM)*('Dvd Calendar'!$H$77&lt;=GRID_TO)*('Dvd Calendar'!$H$77&lt;=VAL_DATE)=0,"",'Dvd Calendar'!$H$77*1000000000+ISNUMBER('Dvd Calendar'!$H$80)*100000000+('Dvd Calendar'!$H$82=SPECIAL_LBL)*10000000+0*1000000+7*1000+4))</f>
        <v/>
      </c>
      <c r="EI18" s="35">
        <f>IF(N('Dvd Calendar'!$I$77)=0,"",IF(('Dvd Calendar'!$I$77&gt;=GRID_FROM)*('Dvd Calendar'!$I$77&lt;=GRID_TO)*('Dvd Calendar'!$I$77&lt;=VAL_DATE)=0,"",'Dvd Calendar'!$I$77*1000000000+ISNUMBER('Dvd Calendar'!$I$80)*100000000+('Dvd Calendar'!$I$82=SPECIAL_LBL)*10000000+0*1000000+7*1000+5))</f>
        <v/>
      </c>
      <c r="EJ18" s="35">
        <f>IF(N('Dvd Calendar'!$J$77)=0,"",IF(('Dvd Calendar'!$J$77&gt;=GRID_FROM)*('Dvd Calendar'!$J$77&lt;=GRID_TO)*('Dvd Calendar'!$J$77&lt;=VAL_DATE)=0,"",'Dvd Calendar'!$J$77*1000000000+ISNUMBER('Dvd Calendar'!$J$80)*100000000+('Dvd Calendar'!$J$82=SPECIAL_LBL)*10000000+0*1000000+7*1000+6))</f>
        <v/>
      </c>
      <c r="EK18" s="35">
        <f>IF(N('Dvd Calendar'!$K$77)=0,"",IF(('Dvd Calendar'!$K$77&gt;=GRID_FROM)*('Dvd Calendar'!$K$77&lt;=GRID_TO)*('Dvd Calendar'!$K$77&lt;=VAL_DATE)=0,"",'Dvd Calendar'!$K$77*1000000000+ISNUMBER('Dvd Calendar'!$K$80)*100000000+('Dvd Calendar'!$K$82=SPECIAL_LBL)*10000000+0*1000000+7*1000+7))</f>
        <v/>
      </c>
      <c r="EL18" s="35">
        <f>IF(N('Dvd Calendar'!$L$77)=0,"",IF(('Dvd Calendar'!$L$77&gt;=GRID_FROM)*('Dvd Calendar'!$L$77&lt;=GRID_TO)*('Dvd Calendar'!$L$77&lt;=VAL_DATE)=0,"",'Dvd Calendar'!$L$77*1000000000+ISNUMBER('Dvd Calendar'!$L$80)*100000000+('Dvd Calendar'!$L$82=SPECIAL_LBL)*10000000+0*1000000+7*1000+8))</f>
        <v/>
      </c>
      <c r="EM18" s="35">
        <f>IF(N('Dvd Calendar'!$M$77)=0,"",IF(('Dvd Calendar'!$M$77&gt;=GRID_FROM)*('Dvd Calendar'!$M$77&lt;=GRID_TO)*('Dvd Calendar'!$M$77&lt;=VAL_DATE)=0,"",'Dvd Calendar'!$M$77*1000000000+ISNUMBER('Dvd Calendar'!$M$80)*100000000+('Dvd Calendar'!$M$82=SPECIAL_LBL)*10000000+0*1000000+7*1000+9))</f>
        <v/>
      </c>
      <c r="EN18" s="35">
        <f>IF(N('Dvd Calendar'!$N$77)=0,"",IF(('Dvd Calendar'!$N$77&gt;=GRID_FROM)*('Dvd Calendar'!$N$77&lt;=GRID_TO)*('Dvd Calendar'!$N$77&lt;=VAL_DATE)=0,"",'Dvd Calendar'!$N$77*1000000000+ISNUMBER('Dvd Calendar'!$N$80)*100000000+('Dvd Calendar'!$N$82=SPECIAL_LBL)*10000000+0*1000000+7*1000+10))</f>
        <v/>
      </c>
      <c r="EO18" s="35">
        <f>IF(N('Dvd Calendar'!$O$77)=0,"",IF(('Dvd Calendar'!$O$77&gt;=GRID_FROM)*('Dvd Calendar'!$O$77&lt;=GRID_TO)*('Dvd Calendar'!$O$77&lt;=VAL_DATE)=0,"",'Dvd Calendar'!$O$77*1000000000+ISNUMBER('Dvd Calendar'!$O$80)*100000000+('Dvd Calendar'!$O$82=SPECIAL_LBL)*10000000+0*1000000+7*1000+11))</f>
        <v/>
      </c>
      <c r="EP18" s="35">
        <f>IF(N('Dvd Calendar'!$P$77)=0,"",IF(('Dvd Calendar'!$P$77&gt;=GRID_FROM)*('Dvd Calendar'!$P$77&lt;=GRID_TO)*('Dvd Calendar'!$P$77&lt;=VAL_DATE)=0,"",'Dvd Calendar'!$P$77*1000000000+ISNUMBER('Dvd Calendar'!$P$80)*100000000+('Dvd Calendar'!$P$82=SPECIAL_LBL)*10000000+0*1000000+7*1000+12))</f>
        <v/>
      </c>
      <c r="EQ18" s="35">
        <f>IF(N('Dvd Calendar'!$Q$77)=0,"",IF(('Dvd Calendar'!$Q$77&gt;=GRID_FROM)*('Dvd Calendar'!$Q$77&lt;=GRID_TO)*('Dvd Calendar'!$Q$77&lt;=VAL_DATE)=0,"",'Dvd Calendar'!$Q$77*1000000000+ISNUMBER('Dvd Calendar'!$Q$80)*100000000+('Dvd Calendar'!$Q$82=SPECIAL_LBL)*10000000+0*1000000+7*1000+13))</f>
        <v/>
      </c>
      <c r="ER18" s="35">
        <f>IF(N('Dvd Calendar'!$R$77)=0,"",IF(('Dvd Calendar'!$R$77&gt;=GRID_FROM)*('Dvd Calendar'!$R$77&lt;=GRID_TO)*('Dvd Calendar'!$R$77&lt;=VAL_DATE)=0,"",'Dvd Calendar'!$R$77*1000000000+ISNUMBER('Dvd Calendar'!$R$80)*100000000+('Dvd Calendar'!$R$82=SPECIAL_LBL)*10000000+0*1000000+7*1000+14))</f>
        <v/>
      </c>
      <c r="ES18" s="35">
        <f>IF(N('Dvd Calendar'!$S$77)=0,"",IF(('Dvd Calendar'!$S$77&gt;=GRID_FROM)*('Dvd Calendar'!$S$77&lt;=GRID_TO)*('Dvd Calendar'!$S$77&lt;=VAL_DATE)=0,"",'Dvd Calendar'!$S$77*1000000000+ISNUMBER('Dvd Calendar'!$S$80)*100000000+('Dvd Calendar'!$S$82=SPECIAL_LBL)*10000000+0*1000000+7*1000+15))</f>
        <v/>
      </c>
      <c r="ET18" s="35">
        <f>IF(N('Dvd Calendar'!$T$77)=0,"",IF(('Dvd Calendar'!$T$77&gt;=GRID_FROM)*('Dvd Calendar'!$T$77&lt;=GRID_TO)*('Dvd Calendar'!$T$77&lt;=VAL_DATE)=0,"",'Dvd Calendar'!$T$77*1000000000+ISNUMBER('Dvd Calendar'!$T$80)*100000000+('Dvd Calendar'!$T$82=SPECIAL_LBL)*10000000+0*1000000+7*1000+16))</f>
        <v/>
      </c>
      <c r="EU18" s="35">
        <f>IF(N('Dvd Calendar'!$U$77)=0,"",IF(('Dvd Calendar'!$U$77&gt;=GRID_FROM)*('Dvd Calendar'!$U$77&lt;=GRID_TO)*('Dvd Calendar'!$U$77&lt;=VAL_DATE)=0,"",'Dvd Calendar'!$U$77*1000000000+ISNUMBER('Dvd Calendar'!$U$80)*100000000+('Dvd Calendar'!$U$82=SPECIAL_LBL)*10000000+0*1000000+7*1000+17))</f>
        <v/>
      </c>
      <c r="EV18" s="35">
        <f>IF(N('Dvd Calendar'!$V$77)=0,"",IF(('Dvd Calendar'!$V$77&gt;=GRID_FROM)*('Dvd Calendar'!$V$77&lt;=GRID_TO)*('Dvd Calendar'!$V$77&lt;=VAL_DATE)=0,"",'Dvd Calendar'!$V$77*1000000000+ISNUMBER('Dvd Calendar'!$V$80)*100000000+('Dvd Calendar'!$V$82=SPECIAL_LBL)*10000000+0*1000000+7*1000+18))</f>
        <v/>
      </c>
      <c r="EW18" s="35">
        <f>IF(N('Dvd Calendar'!$W$77)=0,"",IF(('Dvd Calendar'!$W$77&gt;=GRID_FROM)*('Dvd Calendar'!$W$77&lt;=GRID_TO)*('Dvd Calendar'!$W$77&lt;=VAL_DATE)=0,"",'Dvd Calendar'!$W$77*1000000000+ISNUMBER('Dvd Calendar'!$W$80)*100000000+('Dvd Calendar'!$W$82=SPECIAL_LBL)*10000000+0*1000000+7*1000+19))</f>
        <v/>
      </c>
      <c r="EX18" s="35">
        <f>IF(N('Dvd Calendar'!$X$77)=0,"",IF(('Dvd Calendar'!$X$77&gt;=GRID_FROM)*('Dvd Calendar'!$X$77&lt;=GRID_TO)*('Dvd Calendar'!$X$77&lt;=VAL_DATE)=0,"",'Dvd Calendar'!$X$77*1000000000+ISNUMBER('Dvd Calendar'!$X$80)*100000000+('Dvd Calendar'!$X$82=SPECIAL_LBL)*10000000+0*1000000+7*1000+20))</f>
        <v/>
      </c>
      <c r="EY18" s="35">
        <f>IF(N('Dvd Calendar'!$Y$77)=0,"",IF(('Dvd Calendar'!$Y$77&gt;=GRID_FROM)*('Dvd Calendar'!$Y$77&lt;=GRID_TO)*('Dvd Calendar'!$Y$77&lt;=VAL_DATE)=0,"",'Dvd Calendar'!$Y$77*1000000000+ISNUMBER('Dvd Calendar'!$Y$80)*100000000+('Dvd Calendar'!$Y$82=SPECIAL_LBL)*10000000+0*1000000+7*1000+21))</f>
        <v/>
      </c>
      <c r="EZ18" s="35">
        <f>IF(N('Dvd Calendar'!$Z$77)=0,"",IF(('Dvd Calendar'!$Z$77&gt;=GRID_FROM)*('Dvd Calendar'!$Z$77&lt;=GRID_TO)*('Dvd Calendar'!$Z$77&lt;=VAL_DATE)=0,"",'Dvd Calendar'!$Z$77*1000000000+ISNUMBER('Dvd Calendar'!$Z$80)*100000000+('Dvd Calendar'!$Z$82=SPECIAL_LBL)*10000000+0*1000000+7*1000+22))</f>
        <v/>
      </c>
      <c r="FA18" s="35">
        <f>IF(N('Dvd Calendar'!$AA$77)=0,"",IF(('Dvd Calendar'!$AA$77&gt;=GRID_FROM)*('Dvd Calendar'!$AA$77&lt;=GRID_TO)*('Dvd Calendar'!$AA$77&lt;=VAL_DATE)=0,"",'Dvd Calendar'!$AA$77*1000000000+ISNUMBER('Dvd Calendar'!$AA$80)*100000000+('Dvd Calendar'!$AA$82=SPECIAL_LBL)*10000000+0*1000000+7*1000+23))</f>
        <v/>
      </c>
      <c r="FB18" s="35">
        <f>IF(N('Dvd Calendar'!$AB$77)=0,"",IF(('Dvd Calendar'!$AB$77&gt;=GRID_FROM)*('Dvd Calendar'!$AB$77&lt;=GRID_TO)*('Dvd Calendar'!$AB$77&lt;=VAL_DATE)=0,"",'Dvd Calendar'!$AB$77*1000000000+ISNUMBER('Dvd Calendar'!$AB$80)*100000000+('Dvd Calendar'!$AB$82=SPECIAL_LBL)*10000000+0*1000000+7*1000+24))</f>
        <v/>
      </c>
      <c r="FC18" s="35">
        <f>IF(N('Dvd Calendar'!$AC$77)=0,"",IF(('Dvd Calendar'!$AC$77&gt;=GRID_FROM)*('Dvd Calendar'!$AC$77&lt;=GRID_TO)*('Dvd Calendar'!$AC$77&lt;=VAL_DATE)=0,"",'Dvd Calendar'!$AC$77*1000000000+ISNUMBER('Dvd Calendar'!$AC$80)*100000000+('Dvd Calendar'!$AC$82=SPECIAL_LBL)*10000000+0*1000000+7*1000+25))</f>
        <v/>
      </c>
      <c r="FD18" s="35">
        <f>IF(N('Dvd Calendar'!$AD$77)=0,"",IF(('Dvd Calendar'!$AD$77&gt;=GRID_FROM)*('Dvd Calendar'!$AD$77&lt;=GRID_TO)*('Dvd Calendar'!$AD$77&lt;=VAL_DATE)=0,"",'Dvd Calendar'!$AD$77*1000000000+ISNUMBER('Dvd Calendar'!$AD$80)*100000000+('Dvd Calendar'!$AD$82=SPECIAL_LBL)*10000000+0*1000000+7*1000+26))</f>
        <v/>
      </c>
      <c r="FE18" s="35">
        <f>IF(N('Dvd Calendar'!$AE$77)=0,"",IF(('Dvd Calendar'!$AE$77&gt;=GRID_FROM)*('Dvd Calendar'!$AE$77&lt;=GRID_TO)*('Dvd Calendar'!$AE$77&lt;=VAL_DATE)=0,"",'Dvd Calendar'!$AE$77*1000000000+ISNUMBER('Dvd Calendar'!$AE$80)*100000000+('Dvd Calendar'!$AE$82=SPECIAL_LBL)*10000000+0*1000000+7*1000+27))</f>
        <v/>
      </c>
      <c r="FF18" s="35">
        <f>IF(N('Dvd Calendar'!$AF$77)=0,"",IF(('Dvd Calendar'!$AF$77&gt;=GRID_FROM)*('Dvd Calendar'!$AF$77&lt;=GRID_TO)*('Dvd Calendar'!$AF$77&lt;=VAL_DATE)=0,"",'Dvd Calendar'!$AF$77*1000000000+ISNUMBER('Dvd Calendar'!$AF$80)*100000000+('Dvd Calendar'!$AF$82=SPECIAL_LBL)*10000000+0*1000000+7*1000+28))</f>
        <v/>
      </c>
      <c r="FG18" s="35">
        <f>IF(N('Dvd Calendar'!$AG$77)=0,"",IF(('Dvd Calendar'!$AG$77&gt;=GRID_FROM)*('Dvd Calendar'!$AG$77&lt;=GRID_TO)*('Dvd Calendar'!$AG$77&lt;=VAL_DATE)=0,"",'Dvd Calendar'!$AG$77*1000000000+ISNUMBER('Dvd Calendar'!$AG$80)*100000000+('Dvd Calendar'!$AG$82=SPECIAL_LBL)*10000000+0*1000000+7*1000+29))</f>
        <v/>
      </c>
      <c r="FH18" s="35">
        <f>IF(N('Dvd Calendar'!$AH$77)=0,"",IF(('Dvd Calendar'!$AH$77&gt;=GRID_FROM)*('Dvd Calendar'!$AH$77&lt;=GRID_TO)*('Dvd Calendar'!$AH$77&lt;=VAL_DATE)=0,"",'Dvd Calendar'!$AH$77*1000000000+ISNUMBER('Dvd Calendar'!$AH$80)*100000000+('Dvd Calendar'!$AH$82=SPECIAL_LBL)*10000000+0*1000000+7*1000+30))</f>
        <v/>
      </c>
      <c r="FI18" s="35">
        <f>IF(N('Dvd Calendar'!$AI$77)=0,"",IF(('Dvd Calendar'!$AI$77&gt;=GRID_FROM)*('Dvd Calendar'!$AI$77&lt;=GRID_TO)*('Dvd Calendar'!$AI$77&lt;=VAL_DATE)=0,"",'Dvd Calendar'!$AI$77*1000000000+ISNUMBER('Dvd Calendar'!$AI$80)*100000000+('Dvd Calendar'!$AI$82=SPECIAL_LBL)*10000000+0*1000000+7*1000+31))</f>
        <v/>
      </c>
      <c r="FJ18" s="35">
        <f>IF(N('Dvd Calendar'!$AJ$77)=0,"",IF(('Dvd Calendar'!$AJ$77&gt;=GRID_FROM)*('Dvd Calendar'!$AJ$77&lt;=GRID_TO)*('Dvd Calendar'!$AJ$77&lt;=VAL_DATE)=0,"",'Dvd Calendar'!$AJ$77*1000000000+ISNUMBER('Dvd Calendar'!$AJ$80)*100000000+('Dvd Calendar'!$AJ$82=SPECIAL_LBL)*10000000+0*1000000+7*1000+32))</f>
        <v/>
      </c>
      <c r="FK18" s="35">
        <f>IF(N('Dvd Calendar'!$AK$77)=0,"",IF(('Dvd Calendar'!$AK$77&gt;=GRID_FROM)*('Dvd Calendar'!$AK$77&lt;=GRID_TO)*('Dvd Calendar'!$AK$77&lt;=VAL_DATE)=0,"",'Dvd Calendar'!$AK$77*1000000000+ISNUMBER('Dvd Calendar'!$AK$80)*100000000+('Dvd Calendar'!$AK$82=SPECIAL_LBL)*10000000+0*1000000+7*1000+33))</f>
        <v/>
      </c>
      <c r="FL18" s="35">
        <f>IF(N('Dvd Calendar'!$AL$77)=0,"",IF(('Dvd Calendar'!$AL$77&gt;=GRID_FROM)*('Dvd Calendar'!$AL$77&lt;=GRID_TO)*('Dvd Calendar'!$AL$77&lt;=VAL_DATE)=0,"",'Dvd Calendar'!$AL$77*1000000000+ISNUMBER('Dvd Calendar'!$AL$80)*100000000+('Dvd Calendar'!$AL$82=SPECIAL_LBL)*10000000+0*1000000+7*1000+34))</f>
        <v/>
      </c>
      <c r="FM18" s="35">
        <f>IF(N('Dvd Calendar'!$AM$77)=0,"",IF(('Dvd Calendar'!$AM$77&gt;=GRID_FROM)*('Dvd Calendar'!$AM$77&lt;=GRID_TO)*('Dvd Calendar'!$AM$77&lt;=VAL_DATE)=0,"",'Dvd Calendar'!$AM$77*1000000000+ISNUMBER('Dvd Calendar'!$AM$80)*100000000+('Dvd Calendar'!$AM$82=SPECIAL_LBL)*10000000+0*1000000+7*1000+35))</f>
        <v/>
      </c>
      <c r="FN18" s="35">
        <f>IF(N('Dvd Calendar'!$AN$77)=0,"",IF(('Dvd Calendar'!$AN$77&gt;=GRID_FROM)*('Dvd Calendar'!$AN$77&lt;=GRID_TO)*('Dvd Calendar'!$AN$77&lt;=VAL_DATE)=0,"",'Dvd Calendar'!$AN$77*1000000000+ISNUMBER('Dvd Calendar'!$AN$80)*100000000+('Dvd Calendar'!$AN$82=SPECIAL_LBL)*10000000+0*1000000+7*1000+36))</f>
        <v/>
      </c>
      <c r="FO18" s="35">
        <f>IF(N('Dvd Calendar'!$AO$77)=0,"",IF(('Dvd Calendar'!$AO$77&gt;=GRID_FROM)*('Dvd Calendar'!$AO$77&lt;=GRID_TO)*('Dvd Calendar'!$AO$77&lt;=VAL_DATE)=0,"",'Dvd Calendar'!$AO$77*1000000000+ISNUMBER('Dvd Calendar'!$AO$80)*100000000+('Dvd Calendar'!$AO$82=SPECIAL_LBL)*10000000+0*1000000+7*1000+37))</f>
        <v/>
      </c>
      <c r="FP18" s="35">
        <f>IF(N('Dvd Calendar'!$AP$77)=0,"",IF(('Dvd Calendar'!$AP$77&gt;=GRID_FROM)*('Dvd Calendar'!$AP$77&lt;=GRID_TO)*('Dvd Calendar'!$AP$77&lt;=VAL_DATE)=0,"",'Dvd Calendar'!$AP$77*1000000000+ISNUMBER('Dvd Calendar'!$AP$80)*100000000+('Dvd Calendar'!$AP$82=SPECIAL_LBL)*10000000+0*1000000+7*1000+38))</f>
        <v/>
      </c>
      <c r="FQ18" s="35">
        <f>IF(N('Dvd Calendar'!$AQ$77)=0,"",IF(('Dvd Calendar'!$AQ$77&gt;=GRID_FROM)*('Dvd Calendar'!$AQ$77&lt;=GRID_TO)*('Dvd Calendar'!$AQ$77&lt;=VAL_DATE)=0,"",'Dvd Calendar'!$AQ$77*1000000000+ISNUMBER('Dvd Calendar'!$AQ$80)*100000000+('Dvd Calendar'!$AQ$82=SPECIAL_LBL)*10000000+0*1000000+7*1000+39))</f>
        <v/>
      </c>
      <c r="FR18" s="35">
        <f>IF(N('Dvd Calendar'!$AR$77)=0,"",IF(('Dvd Calendar'!$AR$77&gt;=GRID_FROM)*('Dvd Calendar'!$AR$77&lt;=GRID_TO)*('Dvd Calendar'!$AR$77&lt;=VAL_DATE)=0,"",'Dvd Calendar'!$AR$77*1000000000+ISNUMBER('Dvd Calendar'!$AR$80)*100000000+('Dvd Calendar'!$AR$82=SPECIAL_LBL)*10000000+0*1000000+7*1000+40))</f>
        <v/>
      </c>
      <c r="FS18" s="35">
        <f>IF(N('Dvd Calendar'!$E$84)=0,"",IF(('Dvd Calendar'!$E$84&gt;=GRID_FROM)*('Dvd Calendar'!$E$84&lt;=GRID_TO)*('Dvd Calendar'!$E$84&gt;VAL_DATE)=0,"",'Dvd Calendar'!$E$84*1000000000+ISNUMBER('Dvd Calendar'!$E$85)*100000000+0*10000000+(N('Dvd Calendar'!$E$83)&gt;0)*(N('Dvd Calendar'!$E$83)&lt;=VAL_SERIAL)*1000000+7*1000+41))</f>
        <v/>
      </c>
      <c r="FT18" s="35">
        <f>IF(N('Dvd Calendar'!$F$84)=0,"",IF(('Dvd Calendar'!$F$84&gt;=GRID_FROM)*('Dvd Calendar'!$F$84&lt;=GRID_TO)*('Dvd Calendar'!$F$84&gt;VAL_DATE)=0,"",'Dvd Calendar'!$F$84*1000000000+ISNUMBER('Dvd Calendar'!$F$85)*100000000+0*10000000+(N('Dvd Calendar'!$F$83)&gt;0)*(N('Dvd Calendar'!$F$83)&lt;=VAL_SERIAL)*1000000+7*1000+42))</f>
        <v/>
      </c>
      <c r="FU18" s="35">
        <f>IF(N('Dvd Calendar'!$G$84)=0,"",IF(('Dvd Calendar'!$G$84&gt;=GRID_FROM)*('Dvd Calendar'!$G$84&lt;=GRID_TO)*('Dvd Calendar'!$G$84&gt;VAL_DATE)=0,"",'Dvd Calendar'!$G$84*1000000000+ISNUMBER('Dvd Calendar'!$G$85)*100000000+0*10000000+(N('Dvd Calendar'!$G$83)&gt;0)*(N('Dvd Calendar'!$G$83)&lt;=VAL_SERIAL)*1000000+7*1000+43))</f>
        <v/>
      </c>
      <c r="FV18" s="35">
        <f>IF(N('Dvd Calendar'!$H$84)=0,"",IF(('Dvd Calendar'!$H$84&gt;=GRID_FROM)*('Dvd Calendar'!$H$84&lt;=GRID_TO)*('Dvd Calendar'!$H$84&gt;VAL_DATE)=0,"",'Dvd Calendar'!$H$84*1000000000+ISNUMBER('Dvd Calendar'!$H$85)*100000000+0*10000000+(N('Dvd Calendar'!$H$83)&gt;0)*(N('Dvd Calendar'!$H$83)&lt;=VAL_SERIAL)*1000000+7*1000+44))</f>
        <v/>
      </c>
      <c r="FW18" s="35">
        <f>IF(N('Dvd Calendar'!$I$84)=0,"",IF(('Dvd Calendar'!$I$84&gt;=GRID_FROM)*('Dvd Calendar'!$I$84&lt;=GRID_TO)*('Dvd Calendar'!$I$84&gt;VAL_DATE)=0,"",'Dvd Calendar'!$I$84*1000000000+ISNUMBER('Dvd Calendar'!$I$85)*100000000+0*10000000+(N('Dvd Calendar'!$I$83)&gt;0)*(N('Dvd Calendar'!$I$83)&lt;=VAL_SERIAL)*1000000+7*1000+45))</f>
        <v/>
      </c>
      <c r="FX18" s="35">
        <f>IF(N('Dvd Calendar'!$J$84)=0,"",IF(('Dvd Calendar'!$J$84&gt;=GRID_FROM)*('Dvd Calendar'!$J$84&lt;=GRID_TO)*('Dvd Calendar'!$J$84&gt;VAL_DATE)=0,"",'Dvd Calendar'!$J$84*1000000000+ISNUMBER('Dvd Calendar'!$J$85)*100000000+0*10000000+(N('Dvd Calendar'!$J$83)&gt;0)*(N('Dvd Calendar'!$J$83)&lt;=VAL_SERIAL)*1000000+7*1000+46))</f>
        <v/>
      </c>
      <c r="FY18" s="35">
        <f>IF(N('Dvd Calendar'!$K$84)=0,"",IF(('Dvd Calendar'!$K$84&gt;=GRID_FROM)*('Dvd Calendar'!$K$84&lt;=GRID_TO)*('Dvd Calendar'!$K$84&gt;VAL_DATE)=0,"",'Dvd Calendar'!$K$84*1000000000+ISNUMBER('Dvd Calendar'!$K$85)*100000000+0*10000000+(N('Dvd Calendar'!$K$83)&gt;0)*(N('Dvd Calendar'!$K$83)&lt;=VAL_SERIAL)*1000000+7*1000+47))</f>
        <v/>
      </c>
      <c r="FZ18" s="35">
        <f>IF(N('Dvd Calendar'!$L$84)=0,"",IF(('Dvd Calendar'!$L$84&gt;=GRID_FROM)*('Dvd Calendar'!$L$84&lt;=GRID_TO)*('Dvd Calendar'!$L$84&gt;VAL_DATE)=0,"",'Dvd Calendar'!$L$84*1000000000+ISNUMBER('Dvd Calendar'!$L$85)*100000000+0*10000000+(N('Dvd Calendar'!$L$83)&gt;0)*(N('Dvd Calendar'!$L$83)&lt;=VAL_SERIAL)*1000000+7*1000+48))</f>
        <v/>
      </c>
      <c r="GA18" s="35">
        <f>IF(N('Dvd Calendar'!$M$84)=0,"",IF(('Dvd Calendar'!$M$84&gt;=GRID_FROM)*('Dvd Calendar'!$M$84&lt;=GRID_TO)*('Dvd Calendar'!$M$84&gt;VAL_DATE)=0,"",'Dvd Calendar'!$M$84*1000000000+ISNUMBER('Dvd Calendar'!$M$85)*100000000+0*10000000+(N('Dvd Calendar'!$M$83)&gt;0)*(N('Dvd Calendar'!$M$83)&lt;=VAL_SERIAL)*1000000+7*1000+49))</f>
        <v/>
      </c>
      <c r="GB18" s="35">
        <f>IF(N('Dvd Calendar'!$N$84)=0,"",IF(('Dvd Calendar'!$N$84&gt;=GRID_FROM)*('Dvd Calendar'!$N$84&lt;=GRID_TO)*('Dvd Calendar'!$N$84&gt;VAL_DATE)=0,"",'Dvd Calendar'!$N$84*1000000000+ISNUMBER('Dvd Calendar'!$N$85)*100000000+0*10000000+(N('Dvd Calendar'!$N$83)&gt;0)*(N('Dvd Calendar'!$N$83)&lt;=VAL_SERIAL)*1000000+7*1000+50))</f>
        <v/>
      </c>
      <c r="GC18" s="35">
        <f>IF(N('Dvd Calendar'!$O$84)=0,"",IF(('Dvd Calendar'!$O$84&gt;=GRID_FROM)*('Dvd Calendar'!$O$84&lt;=GRID_TO)*('Dvd Calendar'!$O$84&gt;VAL_DATE)=0,"",'Dvd Calendar'!$O$84*1000000000+ISNUMBER('Dvd Calendar'!$O$85)*100000000+0*10000000+(N('Dvd Calendar'!$O$83)&gt;0)*(N('Dvd Calendar'!$O$83)&lt;=VAL_SERIAL)*1000000+7*1000+51))</f>
        <v/>
      </c>
      <c r="GD18" s="35">
        <f>IF(N('Dvd Calendar'!$P$84)=0,"",IF(('Dvd Calendar'!$P$84&gt;=GRID_FROM)*('Dvd Calendar'!$P$84&lt;=GRID_TO)*('Dvd Calendar'!$P$84&gt;VAL_DATE)=0,"",'Dvd Calendar'!$P$84*1000000000+ISNUMBER('Dvd Calendar'!$P$85)*100000000+0*10000000+(N('Dvd Calendar'!$P$83)&gt;0)*(N('Dvd Calendar'!$P$83)&lt;=VAL_SERIAL)*1000000+7*1000+52))</f>
        <v/>
      </c>
      <c r="GE18" s="35">
        <f>IF(N('Dvd Calendar'!$Q$84)=0,"",IF(('Dvd Calendar'!$Q$84&gt;=GRID_FROM)*('Dvd Calendar'!$Q$84&lt;=GRID_TO)*('Dvd Calendar'!$Q$84&gt;VAL_DATE)=0,"",'Dvd Calendar'!$Q$84*1000000000+ISNUMBER('Dvd Calendar'!$Q$85)*100000000+0*10000000+(N('Dvd Calendar'!$Q$83)&gt;0)*(N('Dvd Calendar'!$Q$83)&lt;=VAL_SERIAL)*1000000+7*1000+53))</f>
        <v/>
      </c>
      <c r="GF18" s="35">
        <f>IF(N('Dvd Calendar'!$R$84)=0,"",IF(('Dvd Calendar'!$R$84&gt;=GRID_FROM)*('Dvd Calendar'!$R$84&lt;=GRID_TO)*('Dvd Calendar'!$R$84&gt;VAL_DATE)=0,"",'Dvd Calendar'!$R$84*1000000000+ISNUMBER('Dvd Calendar'!$R$85)*100000000+0*10000000+(N('Dvd Calendar'!$R$83)&gt;0)*(N('Dvd Calendar'!$R$83)&lt;=VAL_SERIAL)*1000000+7*1000+54))</f>
        <v/>
      </c>
      <c r="GG18" s="35">
        <f>IF(N('Dvd Calendar'!$S$84)=0,"",IF(('Dvd Calendar'!$S$84&gt;=GRID_FROM)*('Dvd Calendar'!$S$84&lt;=GRID_TO)*('Dvd Calendar'!$S$84&gt;VAL_DATE)=0,"",'Dvd Calendar'!$S$84*1000000000+ISNUMBER('Dvd Calendar'!$S$85)*100000000+0*10000000+(N('Dvd Calendar'!$S$83)&gt;0)*(N('Dvd Calendar'!$S$83)&lt;=VAL_SERIAL)*1000000+7*1000+55))</f>
        <v/>
      </c>
      <c r="GH18" s="35">
        <f>IF(N('Dvd Calendar'!$T$84)=0,"",IF(('Dvd Calendar'!$T$84&gt;=GRID_FROM)*('Dvd Calendar'!$T$84&lt;=GRID_TO)*('Dvd Calendar'!$T$84&gt;VAL_DATE)=0,"",'Dvd Calendar'!$T$84*1000000000+ISNUMBER('Dvd Calendar'!$T$85)*100000000+0*10000000+(N('Dvd Calendar'!$T$83)&gt;0)*(N('Dvd Calendar'!$T$83)&lt;=VAL_SERIAL)*1000000+7*1000+56))</f>
        <v/>
      </c>
      <c r="GI18" s="35">
        <f>IF(N('Dvd Calendar'!$U$84)=0,"",IF(('Dvd Calendar'!$U$84&gt;=GRID_FROM)*('Dvd Calendar'!$U$84&lt;=GRID_TO)*('Dvd Calendar'!$U$84&gt;VAL_DATE)=0,"",'Dvd Calendar'!$U$84*1000000000+ISNUMBER('Dvd Calendar'!$U$85)*100000000+0*10000000+(N('Dvd Calendar'!$U$83)&gt;0)*(N('Dvd Calendar'!$U$83)&lt;=VAL_SERIAL)*1000000+7*1000+57))</f>
        <v/>
      </c>
      <c r="GJ18" s="35">
        <f>IF(N('Dvd Calendar'!$V$84)=0,"",IF(('Dvd Calendar'!$V$84&gt;=GRID_FROM)*('Dvd Calendar'!$V$84&lt;=GRID_TO)*('Dvd Calendar'!$V$84&gt;VAL_DATE)=0,"",'Dvd Calendar'!$V$84*1000000000+ISNUMBER('Dvd Calendar'!$V$85)*100000000+0*10000000+(N('Dvd Calendar'!$V$83)&gt;0)*(N('Dvd Calendar'!$V$83)&lt;=VAL_SERIAL)*1000000+7*1000+58))</f>
        <v/>
      </c>
      <c r="GK18" s="35">
        <f>IF(N('Dvd Calendar'!$W$84)=0,"",IF(('Dvd Calendar'!$W$84&gt;=GRID_FROM)*('Dvd Calendar'!$W$84&lt;=GRID_TO)*('Dvd Calendar'!$W$84&gt;VAL_DATE)=0,"",'Dvd Calendar'!$W$84*1000000000+ISNUMBER('Dvd Calendar'!$W$85)*100000000+0*10000000+(N('Dvd Calendar'!$W$83)&gt;0)*(N('Dvd Calendar'!$W$83)&lt;=VAL_SERIAL)*1000000+7*1000+59))</f>
        <v/>
      </c>
      <c r="GL18" s="35">
        <f>IF(N('Dvd Calendar'!$X$84)=0,"",IF(('Dvd Calendar'!$X$84&gt;=GRID_FROM)*('Dvd Calendar'!$X$84&lt;=GRID_TO)*('Dvd Calendar'!$X$84&gt;VAL_DATE)=0,"",'Dvd Calendar'!$X$84*1000000000+ISNUMBER('Dvd Calendar'!$X$85)*100000000+0*10000000+(N('Dvd Calendar'!$X$83)&gt;0)*(N('Dvd Calendar'!$X$83)&lt;=VAL_SERIAL)*1000000+7*1000+60))</f>
        <v/>
      </c>
      <c r="GM18" s="35">
        <f>IF(N('Dvd Calendar'!$Y$84)=0,"",IF(('Dvd Calendar'!$Y$84&gt;=GRID_FROM)*('Dvd Calendar'!$Y$84&lt;=GRID_TO)*('Dvd Calendar'!$Y$84&gt;VAL_DATE)=0,"",'Dvd Calendar'!$Y$84*1000000000+ISNUMBER('Dvd Calendar'!$Y$85)*100000000+0*10000000+(N('Dvd Calendar'!$Y$83)&gt;0)*(N('Dvd Calendar'!$Y$83)&lt;=VAL_SERIAL)*1000000+7*1000+61))</f>
        <v/>
      </c>
      <c r="GN18" s="35">
        <f>IF(N('Dvd Calendar'!$Z$84)=0,"",IF(('Dvd Calendar'!$Z$84&gt;=GRID_FROM)*('Dvd Calendar'!$Z$84&lt;=GRID_TO)*('Dvd Calendar'!$Z$84&gt;VAL_DATE)=0,"",'Dvd Calendar'!$Z$84*1000000000+ISNUMBER('Dvd Calendar'!$Z$85)*100000000+0*10000000+(N('Dvd Calendar'!$Z$83)&gt;0)*(N('Dvd Calendar'!$Z$83)&lt;=VAL_SERIAL)*1000000+7*1000+62))</f>
        <v/>
      </c>
      <c r="GO18" s="35">
        <f>IF(N('Dvd Calendar'!$AA$84)=0,"",IF(('Dvd Calendar'!$AA$84&gt;=GRID_FROM)*('Dvd Calendar'!$AA$84&lt;=GRID_TO)*('Dvd Calendar'!$AA$84&gt;VAL_DATE)=0,"",'Dvd Calendar'!$AA$84*1000000000+ISNUMBER('Dvd Calendar'!$AA$85)*100000000+0*10000000+(N('Dvd Calendar'!$AA$83)&gt;0)*(N('Dvd Calendar'!$AA$83)&lt;=VAL_SERIAL)*1000000+7*1000+63))</f>
        <v/>
      </c>
      <c r="GP18" s="35">
        <f>IF(N('Dvd Calendar'!$AB$84)=0,"",IF(('Dvd Calendar'!$AB$84&gt;=GRID_FROM)*('Dvd Calendar'!$AB$84&lt;=GRID_TO)*('Dvd Calendar'!$AB$84&gt;VAL_DATE)=0,"",'Dvd Calendar'!$AB$84*1000000000+ISNUMBER('Dvd Calendar'!$AB$85)*100000000+0*10000000+(N('Dvd Calendar'!$AB$83)&gt;0)*(N('Dvd Calendar'!$AB$83)&lt;=VAL_SERIAL)*1000000+7*1000+64))</f>
        <v/>
      </c>
      <c r="GQ18" s="35">
        <f>IF(N('Dvd Calendar'!$AC$84)=0,"",IF(('Dvd Calendar'!$AC$84&gt;=GRID_FROM)*('Dvd Calendar'!$AC$84&lt;=GRID_TO)*('Dvd Calendar'!$AC$84&gt;VAL_DATE)=0,"",'Dvd Calendar'!$AC$84*1000000000+ISNUMBER('Dvd Calendar'!$AC$85)*100000000+0*10000000+(N('Dvd Calendar'!$AC$83)&gt;0)*(N('Dvd Calendar'!$AC$83)&lt;=VAL_SERIAL)*1000000+7*1000+65))</f>
        <v/>
      </c>
    </row>
    <row r="19">
      <c r="B19" s="2">
        <f>IF(HSI!$C$14="","",HSI!$C$14)</f>
        <v/>
      </c>
      <c r="C19" s="106">
        <f>IF(EE19="","",IF(ISNUMBER('Dvd Calendar'!$E$91)=FALSE,"",IF((('Dvd Calendar'!$E$93=TYPE1)*(TYPE1&lt;&gt;"")+('Dvd Calendar'!$E$93=TYPE2)*(TYPE2&lt;&gt;"")+('Dvd Calendar'!$E$93=TYPE3)*(TYPE3&lt;&gt;"")+('Dvd Calendar'!$E$93=TYPE4)*(TYPE4&lt;&gt;"")+('Dvd Calendar'!$E$93=SPECIAL_LBL)*(INC_SPECIALS="Y"))=0,"",'Dvd Calendar'!$E$91)))</f>
        <v/>
      </c>
      <c r="D19" s="106">
        <f>IF(EF19="","",IF(ISNUMBER('Dvd Calendar'!$F$91)=FALSE,"",IF((('Dvd Calendar'!$F$93=TYPE1)*(TYPE1&lt;&gt;"")+('Dvd Calendar'!$F$93=TYPE2)*(TYPE2&lt;&gt;"")+('Dvd Calendar'!$F$93=TYPE3)*(TYPE3&lt;&gt;"")+('Dvd Calendar'!$F$93=TYPE4)*(TYPE4&lt;&gt;"")+('Dvd Calendar'!$F$93=SPECIAL_LBL)*(INC_SPECIALS="Y"))=0,"",'Dvd Calendar'!$F$91)))</f>
        <v/>
      </c>
      <c r="E19" s="106">
        <f>IF(EG19="","",IF(ISNUMBER('Dvd Calendar'!$G$91)=FALSE,"",IF((('Dvd Calendar'!$G$93=TYPE1)*(TYPE1&lt;&gt;"")+('Dvd Calendar'!$G$93=TYPE2)*(TYPE2&lt;&gt;"")+('Dvd Calendar'!$G$93=TYPE3)*(TYPE3&lt;&gt;"")+('Dvd Calendar'!$G$93=TYPE4)*(TYPE4&lt;&gt;"")+('Dvd Calendar'!$G$93=SPECIAL_LBL)*(INC_SPECIALS="Y"))=0,"",'Dvd Calendar'!$G$91)))</f>
        <v/>
      </c>
      <c r="F19" s="106">
        <f>IF(EH19="","",IF(ISNUMBER('Dvd Calendar'!$H$91)=FALSE,"",IF((('Dvd Calendar'!$H$93=TYPE1)*(TYPE1&lt;&gt;"")+('Dvd Calendar'!$H$93=TYPE2)*(TYPE2&lt;&gt;"")+('Dvd Calendar'!$H$93=TYPE3)*(TYPE3&lt;&gt;"")+('Dvd Calendar'!$H$93=TYPE4)*(TYPE4&lt;&gt;"")+('Dvd Calendar'!$H$93=SPECIAL_LBL)*(INC_SPECIALS="Y"))=0,"",'Dvd Calendar'!$H$91)))</f>
        <v/>
      </c>
      <c r="G19" s="106">
        <f>IF(EI19="","",IF(ISNUMBER('Dvd Calendar'!$I$91)=FALSE,"",IF((('Dvd Calendar'!$I$93=TYPE1)*(TYPE1&lt;&gt;"")+('Dvd Calendar'!$I$93=TYPE2)*(TYPE2&lt;&gt;"")+('Dvd Calendar'!$I$93=TYPE3)*(TYPE3&lt;&gt;"")+('Dvd Calendar'!$I$93=TYPE4)*(TYPE4&lt;&gt;"")+('Dvd Calendar'!$I$93=SPECIAL_LBL)*(INC_SPECIALS="Y"))=0,"",'Dvd Calendar'!$I$91)))</f>
        <v/>
      </c>
      <c r="H19" s="106">
        <f>IF(EJ19="","",IF(ISNUMBER('Dvd Calendar'!$J$91)=FALSE,"",IF((('Dvd Calendar'!$J$93=TYPE1)*(TYPE1&lt;&gt;"")+('Dvd Calendar'!$J$93=TYPE2)*(TYPE2&lt;&gt;"")+('Dvd Calendar'!$J$93=TYPE3)*(TYPE3&lt;&gt;"")+('Dvd Calendar'!$J$93=TYPE4)*(TYPE4&lt;&gt;"")+('Dvd Calendar'!$J$93=SPECIAL_LBL)*(INC_SPECIALS="Y"))=0,"",'Dvd Calendar'!$J$91)))</f>
        <v/>
      </c>
      <c r="I19" s="106">
        <f>IF(EK19="","",IF(ISNUMBER('Dvd Calendar'!$K$91)=FALSE,"",IF((('Dvd Calendar'!$K$93=TYPE1)*(TYPE1&lt;&gt;"")+('Dvd Calendar'!$K$93=TYPE2)*(TYPE2&lt;&gt;"")+('Dvd Calendar'!$K$93=TYPE3)*(TYPE3&lt;&gt;"")+('Dvd Calendar'!$K$93=TYPE4)*(TYPE4&lt;&gt;"")+('Dvd Calendar'!$K$93=SPECIAL_LBL)*(INC_SPECIALS="Y"))=0,"",'Dvd Calendar'!$K$91)))</f>
        <v/>
      </c>
      <c r="J19" s="106">
        <f>IF(EL19="","",IF(ISNUMBER('Dvd Calendar'!$L$91)=FALSE,"",IF((('Dvd Calendar'!$L$93=TYPE1)*(TYPE1&lt;&gt;"")+('Dvd Calendar'!$L$93=TYPE2)*(TYPE2&lt;&gt;"")+('Dvd Calendar'!$L$93=TYPE3)*(TYPE3&lt;&gt;"")+('Dvd Calendar'!$L$93=TYPE4)*(TYPE4&lt;&gt;"")+('Dvd Calendar'!$L$93=SPECIAL_LBL)*(INC_SPECIALS="Y"))=0,"",'Dvd Calendar'!$L$91)))</f>
        <v/>
      </c>
      <c r="K19" s="106">
        <f>IF(EM19="","",IF(ISNUMBER('Dvd Calendar'!$M$91)=FALSE,"",IF((('Dvd Calendar'!$M$93=TYPE1)*(TYPE1&lt;&gt;"")+('Dvd Calendar'!$M$93=TYPE2)*(TYPE2&lt;&gt;"")+('Dvd Calendar'!$M$93=TYPE3)*(TYPE3&lt;&gt;"")+('Dvd Calendar'!$M$93=TYPE4)*(TYPE4&lt;&gt;"")+('Dvd Calendar'!$M$93=SPECIAL_LBL)*(INC_SPECIALS="Y"))=0,"",'Dvd Calendar'!$M$91)))</f>
        <v/>
      </c>
      <c r="L19" s="106">
        <f>IF(EN19="","",IF(ISNUMBER('Dvd Calendar'!$N$91)=FALSE,"",IF((('Dvd Calendar'!$N$93=TYPE1)*(TYPE1&lt;&gt;"")+('Dvd Calendar'!$N$93=TYPE2)*(TYPE2&lt;&gt;"")+('Dvd Calendar'!$N$93=TYPE3)*(TYPE3&lt;&gt;"")+('Dvd Calendar'!$N$93=TYPE4)*(TYPE4&lt;&gt;"")+('Dvd Calendar'!$N$93=SPECIAL_LBL)*(INC_SPECIALS="Y"))=0,"",'Dvd Calendar'!$N$91)))</f>
        <v/>
      </c>
      <c r="M19" s="106">
        <f>IF(EO19="","",IF(ISNUMBER('Dvd Calendar'!$O$91)=FALSE,"",IF((('Dvd Calendar'!$O$93=TYPE1)*(TYPE1&lt;&gt;"")+('Dvd Calendar'!$O$93=TYPE2)*(TYPE2&lt;&gt;"")+('Dvd Calendar'!$O$93=TYPE3)*(TYPE3&lt;&gt;"")+('Dvd Calendar'!$O$93=TYPE4)*(TYPE4&lt;&gt;"")+('Dvd Calendar'!$O$93=SPECIAL_LBL)*(INC_SPECIALS="Y"))=0,"",'Dvd Calendar'!$O$91)))</f>
        <v/>
      </c>
      <c r="N19" s="106">
        <f>IF(EP19="","",IF(ISNUMBER('Dvd Calendar'!$P$91)=FALSE,"",IF((('Dvd Calendar'!$P$93=TYPE1)*(TYPE1&lt;&gt;"")+('Dvd Calendar'!$P$93=TYPE2)*(TYPE2&lt;&gt;"")+('Dvd Calendar'!$P$93=TYPE3)*(TYPE3&lt;&gt;"")+('Dvd Calendar'!$P$93=TYPE4)*(TYPE4&lt;&gt;"")+('Dvd Calendar'!$P$93=SPECIAL_LBL)*(INC_SPECIALS="Y"))=0,"",'Dvd Calendar'!$P$91)))</f>
        <v/>
      </c>
      <c r="O19" s="106">
        <f>IF(EQ19="","",IF(ISNUMBER('Dvd Calendar'!$Q$91)=FALSE,"",IF((('Dvd Calendar'!$Q$93=TYPE1)*(TYPE1&lt;&gt;"")+('Dvd Calendar'!$Q$93=TYPE2)*(TYPE2&lt;&gt;"")+('Dvd Calendar'!$Q$93=TYPE3)*(TYPE3&lt;&gt;"")+('Dvd Calendar'!$Q$93=TYPE4)*(TYPE4&lt;&gt;"")+('Dvd Calendar'!$Q$93=SPECIAL_LBL)*(INC_SPECIALS="Y"))=0,"",'Dvd Calendar'!$Q$91)))</f>
        <v/>
      </c>
      <c r="P19" s="106">
        <f>IF(ER19="","",IF(ISNUMBER('Dvd Calendar'!$R$91)=FALSE,"",IF((('Dvd Calendar'!$R$93=TYPE1)*(TYPE1&lt;&gt;"")+('Dvd Calendar'!$R$93=TYPE2)*(TYPE2&lt;&gt;"")+('Dvd Calendar'!$R$93=TYPE3)*(TYPE3&lt;&gt;"")+('Dvd Calendar'!$R$93=TYPE4)*(TYPE4&lt;&gt;"")+('Dvd Calendar'!$R$93=SPECIAL_LBL)*(INC_SPECIALS="Y"))=0,"",'Dvd Calendar'!$R$91)))</f>
        <v/>
      </c>
      <c r="Q19" s="106">
        <f>IF(ES19="","",IF(ISNUMBER('Dvd Calendar'!$S$91)=FALSE,"",IF((('Dvd Calendar'!$S$93=TYPE1)*(TYPE1&lt;&gt;"")+('Dvd Calendar'!$S$93=TYPE2)*(TYPE2&lt;&gt;"")+('Dvd Calendar'!$S$93=TYPE3)*(TYPE3&lt;&gt;"")+('Dvd Calendar'!$S$93=TYPE4)*(TYPE4&lt;&gt;"")+('Dvd Calendar'!$S$93=SPECIAL_LBL)*(INC_SPECIALS="Y"))=0,"",'Dvd Calendar'!$S$91)))</f>
        <v/>
      </c>
      <c r="R19" s="106">
        <f>IF(ET19="","",IF(ISNUMBER('Dvd Calendar'!$T$91)=FALSE,"",IF((('Dvd Calendar'!$T$93=TYPE1)*(TYPE1&lt;&gt;"")+('Dvd Calendar'!$T$93=TYPE2)*(TYPE2&lt;&gt;"")+('Dvd Calendar'!$T$93=TYPE3)*(TYPE3&lt;&gt;"")+('Dvd Calendar'!$T$93=TYPE4)*(TYPE4&lt;&gt;"")+('Dvd Calendar'!$T$93=SPECIAL_LBL)*(INC_SPECIALS="Y"))=0,"",'Dvd Calendar'!$T$91)))</f>
        <v/>
      </c>
      <c r="S19" s="106">
        <f>IF(EU19="","",IF(ISNUMBER('Dvd Calendar'!$U$91)=FALSE,"",IF((('Dvd Calendar'!$U$93=TYPE1)*(TYPE1&lt;&gt;"")+('Dvd Calendar'!$U$93=TYPE2)*(TYPE2&lt;&gt;"")+('Dvd Calendar'!$U$93=TYPE3)*(TYPE3&lt;&gt;"")+('Dvd Calendar'!$U$93=TYPE4)*(TYPE4&lt;&gt;"")+('Dvd Calendar'!$U$93=SPECIAL_LBL)*(INC_SPECIALS="Y"))=0,"",'Dvd Calendar'!$U$91)))</f>
        <v/>
      </c>
      <c r="T19" s="106">
        <f>IF(EV19="","",IF(ISNUMBER('Dvd Calendar'!$V$91)=FALSE,"",IF((('Dvd Calendar'!$V$93=TYPE1)*(TYPE1&lt;&gt;"")+('Dvd Calendar'!$V$93=TYPE2)*(TYPE2&lt;&gt;"")+('Dvd Calendar'!$V$93=TYPE3)*(TYPE3&lt;&gt;"")+('Dvd Calendar'!$V$93=TYPE4)*(TYPE4&lt;&gt;"")+('Dvd Calendar'!$V$93=SPECIAL_LBL)*(INC_SPECIALS="Y"))=0,"",'Dvd Calendar'!$V$91)))</f>
        <v/>
      </c>
      <c r="U19" s="106">
        <f>IF(EW19="","",IF(ISNUMBER('Dvd Calendar'!$W$91)=FALSE,"",IF((('Dvd Calendar'!$W$93=TYPE1)*(TYPE1&lt;&gt;"")+('Dvd Calendar'!$W$93=TYPE2)*(TYPE2&lt;&gt;"")+('Dvd Calendar'!$W$93=TYPE3)*(TYPE3&lt;&gt;"")+('Dvd Calendar'!$W$93=TYPE4)*(TYPE4&lt;&gt;"")+('Dvd Calendar'!$W$93=SPECIAL_LBL)*(INC_SPECIALS="Y"))=0,"",'Dvd Calendar'!$W$91)))</f>
        <v/>
      </c>
      <c r="V19" s="106">
        <f>IF(EX19="","",IF(ISNUMBER('Dvd Calendar'!$X$91)=FALSE,"",IF((('Dvd Calendar'!$X$93=TYPE1)*(TYPE1&lt;&gt;"")+('Dvd Calendar'!$X$93=TYPE2)*(TYPE2&lt;&gt;"")+('Dvd Calendar'!$X$93=TYPE3)*(TYPE3&lt;&gt;"")+('Dvd Calendar'!$X$93=TYPE4)*(TYPE4&lt;&gt;"")+('Dvd Calendar'!$X$93=SPECIAL_LBL)*(INC_SPECIALS="Y"))=0,"",'Dvd Calendar'!$X$91)))</f>
        <v/>
      </c>
      <c r="W19" s="106">
        <f>IF(EY19="","",IF(ISNUMBER('Dvd Calendar'!$Y$91)=FALSE,"",IF((('Dvd Calendar'!$Y$93=TYPE1)*(TYPE1&lt;&gt;"")+('Dvd Calendar'!$Y$93=TYPE2)*(TYPE2&lt;&gt;"")+('Dvd Calendar'!$Y$93=TYPE3)*(TYPE3&lt;&gt;"")+('Dvd Calendar'!$Y$93=TYPE4)*(TYPE4&lt;&gt;"")+('Dvd Calendar'!$Y$93=SPECIAL_LBL)*(INC_SPECIALS="Y"))=0,"",'Dvd Calendar'!$Y$91)))</f>
        <v/>
      </c>
      <c r="X19" s="106">
        <f>IF(EZ19="","",IF(ISNUMBER('Dvd Calendar'!$Z$91)=FALSE,"",IF((('Dvd Calendar'!$Z$93=TYPE1)*(TYPE1&lt;&gt;"")+('Dvd Calendar'!$Z$93=TYPE2)*(TYPE2&lt;&gt;"")+('Dvd Calendar'!$Z$93=TYPE3)*(TYPE3&lt;&gt;"")+('Dvd Calendar'!$Z$93=TYPE4)*(TYPE4&lt;&gt;"")+('Dvd Calendar'!$Z$93=SPECIAL_LBL)*(INC_SPECIALS="Y"))=0,"",'Dvd Calendar'!$Z$91)))</f>
        <v/>
      </c>
      <c r="Y19" s="106">
        <f>IF(FA19="","",IF(ISNUMBER('Dvd Calendar'!$AA$91)=FALSE,"",IF((('Dvd Calendar'!$AA$93=TYPE1)*(TYPE1&lt;&gt;"")+('Dvd Calendar'!$AA$93=TYPE2)*(TYPE2&lt;&gt;"")+('Dvd Calendar'!$AA$93=TYPE3)*(TYPE3&lt;&gt;"")+('Dvd Calendar'!$AA$93=TYPE4)*(TYPE4&lt;&gt;"")+('Dvd Calendar'!$AA$93=SPECIAL_LBL)*(INC_SPECIALS="Y"))=0,"",'Dvd Calendar'!$AA$91)))</f>
        <v/>
      </c>
      <c r="Z19" s="106">
        <f>IF(FB19="","",IF(ISNUMBER('Dvd Calendar'!$AB$91)=FALSE,"",IF((('Dvd Calendar'!$AB$93=TYPE1)*(TYPE1&lt;&gt;"")+('Dvd Calendar'!$AB$93=TYPE2)*(TYPE2&lt;&gt;"")+('Dvd Calendar'!$AB$93=TYPE3)*(TYPE3&lt;&gt;"")+('Dvd Calendar'!$AB$93=TYPE4)*(TYPE4&lt;&gt;"")+('Dvd Calendar'!$AB$93=SPECIAL_LBL)*(INC_SPECIALS="Y"))=0,"",'Dvd Calendar'!$AB$91)))</f>
        <v/>
      </c>
      <c r="AA19" s="106">
        <f>IF(FC19="","",IF(ISNUMBER('Dvd Calendar'!$AC$91)=FALSE,"",IF((('Dvd Calendar'!$AC$93=TYPE1)*(TYPE1&lt;&gt;"")+('Dvd Calendar'!$AC$93=TYPE2)*(TYPE2&lt;&gt;"")+('Dvd Calendar'!$AC$93=TYPE3)*(TYPE3&lt;&gt;"")+('Dvd Calendar'!$AC$93=TYPE4)*(TYPE4&lt;&gt;"")+('Dvd Calendar'!$AC$93=SPECIAL_LBL)*(INC_SPECIALS="Y"))=0,"",'Dvd Calendar'!$AC$91)))</f>
        <v/>
      </c>
      <c r="AB19" s="106">
        <f>IF(FD19="","",IF(ISNUMBER('Dvd Calendar'!$AD$91)=FALSE,"",IF((('Dvd Calendar'!$AD$93=TYPE1)*(TYPE1&lt;&gt;"")+('Dvd Calendar'!$AD$93=TYPE2)*(TYPE2&lt;&gt;"")+('Dvd Calendar'!$AD$93=TYPE3)*(TYPE3&lt;&gt;"")+('Dvd Calendar'!$AD$93=TYPE4)*(TYPE4&lt;&gt;"")+('Dvd Calendar'!$AD$93=SPECIAL_LBL)*(INC_SPECIALS="Y"))=0,"",'Dvd Calendar'!$AD$91)))</f>
        <v/>
      </c>
      <c r="AC19" s="106">
        <f>IF(FE19="","",IF(ISNUMBER('Dvd Calendar'!$AE$91)=FALSE,"",IF((('Dvd Calendar'!$AE$93=TYPE1)*(TYPE1&lt;&gt;"")+('Dvd Calendar'!$AE$93=TYPE2)*(TYPE2&lt;&gt;"")+('Dvd Calendar'!$AE$93=TYPE3)*(TYPE3&lt;&gt;"")+('Dvd Calendar'!$AE$93=TYPE4)*(TYPE4&lt;&gt;"")+('Dvd Calendar'!$AE$93=SPECIAL_LBL)*(INC_SPECIALS="Y"))=0,"",'Dvd Calendar'!$AE$91)))</f>
        <v/>
      </c>
      <c r="AD19" s="106">
        <f>IF(FF19="","",IF(ISNUMBER('Dvd Calendar'!$AF$91)=FALSE,"",IF((('Dvd Calendar'!$AF$93=TYPE1)*(TYPE1&lt;&gt;"")+('Dvd Calendar'!$AF$93=TYPE2)*(TYPE2&lt;&gt;"")+('Dvd Calendar'!$AF$93=TYPE3)*(TYPE3&lt;&gt;"")+('Dvd Calendar'!$AF$93=TYPE4)*(TYPE4&lt;&gt;"")+('Dvd Calendar'!$AF$93=SPECIAL_LBL)*(INC_SPECIALS="Y"))=0,"",'Dvd Calendar'!$AF$91)))</f>
        <v/>
      </c>
      <c r="AE19" s="106">
        <f>IF(FG19="","",IF(ISNUMBER('Dvd Calendar'!$AG$91)=FALSE,"",IF((('Dvd Calendar'!$AG$93=TYPE1)*(TYPE1&lt;&gt;"")+('Dvd Calendar'!$AG$93=TYPE2)*(TYPE2&lt;&gt;"")+('Dvd Calendar'!$AG$93=TYPE3)*(TYPE3&lt;&gt;"")+('Dvd Calendar'!$AG$93=TYPE4)*(TYPE4&lt;&gt;"")+('Dvd Calendar'!$AG$93=SPECIAL_LBL)*(INC_SPECIALS="Y"))=0,"",'Dvd Calendar'!$AG$91)))</f>
        <v/>
      </c>
      <c r="AF19" s="106">
        <f>IF(FH19="","",IF(ISNUMBER('Dvd Calendar'!$AH$91)=FALSE,"",IF((('Dvd Calendar'!$AH$93=TYPE1)*(TYPE1&lt;&gt;"")+('Dvd Calendar'!$AH$93=TYPE2)*(TYPE2&lt;&gt;"")+('Dvd Calendar'!$AH$93=TYPE3)*(TYPE3&lt;&gt;"")+('Dvd Calendar'!$AH$93=TYPE4)*(TYPE4&lt;&gt;"")+('Dvd Calendar'!$AH$93=SPECIAL_LBL)*(INC_SPECIALS="Y"))=0,"",'Dvd Calendar'!$AH$91)))</f>
        <v/>
      </c>
      <c r="AG19" s="106">
        <f>IF(FI19="","",IF(ISNUMBER('Dvd Calendar'!$AI$91)=FALSE,"",IF((('Dvd Calendar'!$AI$93=TYPE1)*(TYPE1&lt;&gt;"")+('Dvd Calendar'!$AI$93=TYPE2)*(TYPE2&lt;&gt;"")+('Dvd Calendar'!$AI$93=TYPE3)*(TYPE3&lt;&gt;"")+('Dvd Calendar'!$AI$93=TYPE4)*(TYPE4&lt;&gt;"")+('Dvd Calendar'!$AI$93=SPECIAL_LBL)*(INC_SPECIALS="Y"))=0,"",'Dvd Calendar'!$AI$91)))</f>
        <v/>
      </c>
      <c r="AH19" s="106">
        <f>IF(FJ19="","",IF(ISNUMBER('Dvd Calendar'!$AJ$91)=FALSE,"",IF((('Dvd Calendar'!$AJ$93=TYPE1)*(TYPE1&lt;&gt;"")+('Dvd Calendar'!$AJ$93=TYPE2)*(TYPE2&lt;&gt;"")+('Dvd Calendar'!$AJ$93=TYPE3)*(TYPE3&lt;&gt;"")+('Dvd Calendar'!$AJ$93=TYPE4)*(TYPE4&lt;&gt;"")+('Dvd Calendar'!$AJ$93=SPECIAL_LBL)*(INC_SPECIALS="Y"))=0,"",'Dvd Calendar'!$AJ$91)))</f>
        <v/>
      </c>
      <c r="AI19" s="106">
        <f>IF(FK19="","",IF(ISNUMBER('Dvd Calendar'!$AK$91)=FALSE,"",IF((('Dvd Calendar'!$AK$93=TYPE1)*(TYPE1&lt;&gt;"")+('Dvd Calendar'!$AK$93=TYPE2)*(TYPE2&lt;&gt;"")+('Dvd Calendar'!$AK$93=TYPE3)*(TYPE3&lt;&gt;"")+('Dvd Calendar'!$AK$93=TYPE4)*(TYPE4&lt;&gt;"")+('Dvd Calendar'!$AK$93=SPECIAL_LBL)*(INC_SPECIALS="Y"))=0,"",'Dvd Calendar'!$AK$91)))</f>
        <v/>
      </c>
      <c r="AJ19" s="106">
        <f>IF(FL19="","",IF(ISNUMBER('Dvd Calendar'!$AL$91)=FALSE,"",IF((('Dvd Calendar'!$AL$93=TYPE1)*(TYPE1&lt;&gt;"")+('Dvd Calendar'!$AL$93=TYPE2)*(TYPE2&lt;&gt;"")+('Dvd Calendar'!$AL$93=TYPE3)*(TYPE3&lt;&gt;"")+('Dvd Calendar'!$AL$93=TYPE4)*(TYPE4&lt;&gt;"")+('Dvd Calendar'!$AL$93=SPECIAL_LBL)*(INC_SPECIALS="Y"))=0,"",'Dvd Calendar'!$AL$91)))</f>
        <v/>
      </c>
      <c r="AK19" s="106">
        <f>IF(FM19="","",IF(ISNUMBER('Dvd Calendar'!$AM$91)=FALSE,"",IF((('Dvd Calendar'!$AM$93=TYPE1)*(TYPE1&lt;&gt;"")+('Dvd Calendar'!$AM$93=TYPE2)*(TYPE2&lt;&gt;"")+('Dvd Calendar'!$AM$93=TYPE3)*(TYPE3&lt;&gt;"")+('Dvd Calendar'!$AM$93=TYPE4)*(TYPE4&lt;&gt;"")+('Dvd Calendar'!$AM$93=SPECIAL_LBL)*(INC_SPECIALS="Y"))=0,"",'Dvd Calendar'!$AM$91)))</f>
        <v/>
      </c>
      <c r="AL19" s="106">
        <f>IF(FN19="","",IF(ISNUMBER('Dvd Calendar'!$AN$91)=FALSE,"",IF((('Dvd Calendar'!$AN$93=TYPE1)*(TYPE1&lt;&gt;"")+('Dvd Calendar'!$AN$93=TYPE2)*(TYPE2&lt;&gt;"")+('Dvd Calendar'!$AN$93=TYPE3)*(TYPE3&lt;&gt;"")+('Dvd Calendar'!$AN$93=TYPE4)*(TYPE4&lt;&gt;"")+('Dvd Calendar'!$AN$93=SPECIAL_LBL)*(INC_SPECIALS="Y"))=0,"",'Dvd Calendar'!$AN$91)))</f>
        <v/>
      </c>
      <c r="AM19" s="106">
        <f>IF(FO19="","",IF(ISNUMBER('Dvd Calendar'!$AO$91)=FALSE,"",IF((('Dvd Calendar'!$AO$93=TYPE1)*(TYPE1&lt;&gt;"")+('Dvd Calendar'!$AO$93=TYPE2)*(TYPE2&lt;&gt;"")+('Dvd Calendar'!$AO$93=TYPE3)*(TYPE3&lt;&gt;"")+('Dvd Calendar'!$AO$93=TYPE4)*(TYPE4&lt;&gt;"")+('Dvd Calendar'!$AO$93=SPECIAL_LBL)*(INC_SPECIALS="Y"))=0,"",'Dvd Calendar'!$AO$91)))</f>
        <v/>
      </c>
      <c r="AN19" s="106">
        <f>IF(FP19="","",IF(ISNUMBER('Dvd Calendar'!$AP$91)=FALSE,"",IF((('Dvd Calendar'!$AP$93=TYPE1)*(TYPE1&lt;&gt;"")+('Dvd Calendar'!$AP$93=TYPE2)*(TYPE2&lt;&gt;"")+('Dvd Calendar'!$AP$93=TYPE3)*(TYPE3&lt;&gt;"")+('Dvd Calendar'!$AP$93=TYPE4)*(TYPE4&lt;&gt;"")+('Dvd Calendar'!$AP$93=SPECIAL_LBL)*(INC_SPECIALS="Y"))=0,"",'Dvd Calendar'!$AP$91)))</f>
        <v/>
      </c>
      <c r="AO19" s="106">
        <f>IF(FQ19="","",IF(ISNUMBER('Dvd Calendar'!$AQ$91)=FALSE,"",IF((('Dvd Calendar'!$AQ$93=TYPE1)*(TYPE1&lt;&gt;"")+('Dvd Calendar'!$AQ$93=TYPE2)*(TYPE2&lt;&gt;"")+('Dvd Calendar'!$AQ$93=TYPE3)*(TYPE3&lt;&gt;"")+('Dvd Calendar'!$AQ$93=TYPE4)*(TYPE4&lt;&gt;"")+('Dvd Calendar'!$AQ$93=SPECIAL_LBL)*(INC_SPECIALS="Y"))=0,"",'Dvd Calendar'!$AQ$91)))</f>
        <v/>
      </c>
      <c r="AP19" s="106">
        <f>IF(FR19="","",IF(ISNUMBER('Dvd Calendar'!$AR$91)=FALSE,"",IF((('Dvd Calendar'!$AR$93=TYPE1)*(TYPE1&lt;&gt;"")+('Dvd Calendar'!$AR$93=TYPE2)*(TYPE2&lt;&gt;"")+('Dvd Calendar'!$AR$93=TYPE3)*(TYPE3&lt;&gt;"")+('Dvd Calendar'!$AR$93=TYPE4)*(TYPE4&lt;&gt;"")+('Dvd Calendar'!$AR$93=SPECIAL_LBL)*(INC_SPECIALS="Y"))=0,"",'Dvd Calendar'!$AR$91)))</f>
        <v/>
      </c>
      <c r="AQ19" s="106">
        <f>IF(FS19="","",IF(ISNUMBER('Dvd Calendar'!$E$96)=FALSE,"",'Dvd Calendar'!$E$96))</f>
        <v/>
      </c>
      <c r="AR19" s="106">
        <f>IF(FT19="","",IF(ISNUMBER('Dvd Calendar'!$F$96)=FALSE,"",'Dvd Calendar'!$F$96))</f>
        <v/>
      </c>
      <c r="AS19" s="106">
        <f>IF(FU19="","",IF(ISNUMBER('Dvd Calendar'!$G$96)=FALSE,"",'Dvd Calendar'!$G$96))</f>
        <v/>
      </c>
      <c r="AT19" s="106">
        <f>IF(FV19="","",IF(ISNUMBER('Dvd Calendar'!$H$96)=FALSE,"",'Dvd Calendar'!$H$96))</f>
        <v/>
      </c>
      <c r="AU19" s="106">
        <f>IF(FW19="","",IF(ISNUMBER('Dvd Calendar'!$I$96)=FALSE,"",'Dvd Calendar'!$I$96))</f>
        <v/>
      </c>
      <c r="AV19" s="106">
        <f>IF(FX19="","",IF(ISNUMBER('Dvd Calendar'!$J$96)=FALSE,"",'Dvd Calendar'!$J$96))</f>
        <v/>
      </c>
      <c r="AW19" s="106">
        <f>IF(FY19="","",IF(ISNUMBER('Dvd Calendar'!$K$96)=FALSE,"",'Dvd Calendar'!$K$96))</f>
        <v/>
      </c>
      <c r="AX19" s="106">
        <f>IF(FZ19="","",IF(ISNUMBER('Dvd Calendar'!$L$96)=FALSE,"",'Dvd Calendar'!$L$96))</f>
        <v/>
      </c>
      <c r="AY19" s="106">
        <f>IF(GA19="","",IF(ISNUMBER('Dvd Calendar'!$M$96)=FALSE,"",'Dvd Calendar'!$M$96))</f>
        <v/>
      </c>
      <c r="AZ19" s="106">
        <f>IF(GB19="","",IF(ISNUMBER('Dvd Calendar'!$N$96)=FALSE,"",'Dvd Calendar'!$N$96))</f>
        <v/>
      </c>
      <c r="BA19" s="106">
        <f>IF(GC19="","",IF(ISNUMBER('Dvd Calendar'!$O$96)=FALSE,"",'Dvd Calendar'!$O$96))</f>
        <v/>
      </c>
      <c r="BB19" s="106">
        <f>IF(GD19="","",IF(ISNUMBER('Dvd Calendar'!$P$96)=FALSE,"",'Dvd Calendar'!$P$96))</f>
        <v/>
      </c>
      <c r="BC19" s="106">
        <f>IF(GE19="","",IF(ISNUMBER('Dvd Calendar'!$Q$96)=FALSE,"",'Dvd Calendar'!$Q$96))</f>
        <v/>
      </c>
      <c r="BD19" s="106">
        <f>IF(GF19="","",IF(ISNUMBER('Dvd Calendar'!$R$96)=FALSE,"",'Dvd Calendar'!$R$96))</f>
        <v/>
      </c>
      <c r="BE19" s="106">
        <f>IF(GG19="","",IF(ISNUMBER('Dvd Calendar'!$S$96)=FALSE,"",'Dvd Calendar'!$S$96))</f>
        <v/>
      </c>
      <c r="BF19" s="106">
        <f>IF(GH19="","",IF(ISNUMBER('Dvd Calendar'!$T$96)=FALSE,"",'Dvd Calendar'!$T$96))</f>
        <v/>
      </c>
      <c r="BG19" s="106">
        <f>IF(GI19="","",IF(ISNUMBER('Dvd Calendar'!$U$96)=FALSE,"",'Dvd Calendar'!$U$96))</f>
        <v/>
      </c>
      <c r="BH19" s="106">
        <f>IF(GJ19="","",IF(ISNUMBER('Dvd Calendar'!$V$96)=FALSE,"",'Dvd Calendar'!$V$96))</f>
        <v/>
      </c>
      <c r="BI19" s="106">
        <f>IF(GK19="","",IF(ISNUMBER('Dvd Calendar'!$W$96)=FALSE,"",'Dvd Calendar'!$W$96))</f>
        <v/>
      </c>
      <c r="BJ19" s="106">
        <f>IF(GL19="","",IF(ISNUMBER('Dvd Calendar'!$X$96)=FALSE,"",'Dvd Calendar'!$X$96))</f>
        <v/>
      </c>
      <c r="BK19" s="106">
        <f>IF(GM19="","",IF(ISNUMBER('Dvd Calendar'!$Y$96)=FALSE,"",'Dvd Calendar'!$Y$96))</f>
        <v/>
      </c>
      <c r="BL19" s="106">
        <f>IF(GN19="","",IF(ISNUMBER('Dvd Calendar'!$Z$96)=FALSE,"",'Dvd Calendar'!$Z$96))</f>
        <v/>
      </c>
      <c r="BM19" s="106">
        <f>IF(GO19="","",IF(ISNUMBER('Dvd Calendar'!$AA$96)=FALSE,"",'Dvd Calendar'!$AA$96))</f>
        <v/>
      </c>
      <c r="BN19" s="106">
        <f>IF(GP19="","",IF(ISNUMBER('Dvd Calendar'!$AB$96)=FALSE,"",'Dvd Calendar'!$AB$96))</f>
        <v/>
      </c>
      <c r="BO19" s="106">
        <f>IF(GQ19="","",IF(ISNUMBER('Dvd Calendar'!$AC$96)=FALSE,"",'Dvd Calendar'!$AC$96))</f>
        <v/>
      </c>
      <c r="BQ19" s="106">
        <f>IF(C19="","",IFERROR(C19*HSI!$B$14*HSI!$G$14/HSI!$B$3,""))</f>
        <v/>
      </c>
      <c r="BR19" s="106">
        <f>IF(D19="","",IFERROR(D19*HSI!$B$14*HSI!$G$14/HSI!$B$3,""))</f>
        <v/>
      </c>
      <c r="BS19" s="106">
        <f>IF(E19="","",IFERROR(E19*HSI!$B$14*HSI!$G$14/HSI!$B$3,""))</f>
        <v/>
      </c>
      <c r="BT19" s="106">
        <f>IF(F19="","",IFERROR(F19*HSI!$B$14*HSI!$G$14/HSI!$B$3,""))</f>
        <v/>
      </c>
      <c r="BU19" s="106">
        <f>IF(G19="","",IFERROR(G19*HSI!$B$14*HSI!$G$14/HSI!$B$3,""))</f>
        <v/>
      </c>
      <c r="BV19" s="106">
        <f>IF(H19="","",IFERROR(H19*HSI!$B$14*HSI!$G$14/HSI!$B$3,""))</f>
        <v/>
      </c>
      <c r="BW19" s="106">
        <f>IF(I19="","",IFERROR(I19*HSI!$B$14*HSI!$G$14/HSI!$B$3,""))</f>
        <v/>
      </c>
      <c r="BX19" s="106">
        <f>IF(J19="","",IFERROR(J19*HSI!$B$14*HSI!$G$14/HSI!$B$3,""))</f>
        <v/>
      </c>
      <c r="BY19" s="106">
        <f>IF(K19="","",IFERROR(K19*HSI!$B$14*HSI!$G$14/HSI!$B$3,""))</f>
        <v/>
      </c>
      <c r="BZ19" s="106">
        <f>IF(L19="","",IFERROR(L19*HSI!$B$14*HSI!$G$14/HSI!$B$3,""))</f>
        <v/>
      </c>
      <c r="CA19" s="106">
        <f>IF(M19="","",IFERROR(M19*HSI!$B$14*HSI!$G$14/HSI!$B$3,""))</f>
        <v/>
      </c>
      <c r="CB19" s="106">
        <f>IF(N19="","",IFERROR(N19*HSI!$B$14*HSI!$G$14/HSI!$B$3,""))</f>
        <v/>
      </c>
      <c r="CC19" s="106">
        <f>IF(O19="","",IFERROR(O19*HSI!$B$14*HSI!$G$14/HSI!$B$3,""))</f>
        <v/>
      </c>
      <c r="CD19" s="106">
        <f>IF(P19="","",IFERROR(P19*HSI!$B$14*HSI!$G$14/HSI!$B$3,""))</f>
        <v/>
      </c>
      <c r="CE19" s="106">
        <f>IF(Q19="","",IFERROR(Q19*HSI!$B$14*HSI!$G$14/HSI!$B$3,""))</f>
        <v/>
      </c>
      <c r="CF19" s="106">
        <f>IF(R19="","",IFERROR(R19*HSI!$B$14*HSI!$G$14/HSI!$B$3,""))</f>
        <v/>
      </c>
      <c r="CG19" s="106">
        <f>IF(S19="","",IFERROR(S19*HSI!$B$14*HSI!$G$14/HSI!$B$3,""))</f>
        <v/>
      </c>
      <c r="CH19" s="106">
        <f>IF(T19="","",IFERROR(T19*HSI!$B$14*HSI!$G$14/HSI!$B$3,""))</f>
        <v/>
      </c>
      <c r="CI19" s="106">
        <f>IF(U19="","",IFERROR(U19*HSI!$B$14*HSI!$G$14/HSI!$B$3,""))</f>
        <v/>
      </c>
      <c r="CJ19" s="106">
        <f>IF(V19="","",IFERROR(V19*HSI!$B$14*HSI!$G$14/HSI!$B$3,""))</f>
        <v/>
      </c>
      <c r="CK19" s="106">
        <f>IF(W19="","",IFERROR(W19*HSI!$B$14*HSI!$G$14/HSI!$B$3,""))</f>
        <v/>
      </c>
      <c r="CL19" s="106">
        <f>IF(X19="","",IFERROR(X19*HSI!$B$14*HSI!$G$14/HSI!$B$3,""))</f>
        <v/>
      </c>
      <c r="CM19" s="106">
        <f>IF(Y19="","",IFERROR(Y19*HSI!$B$14*HSI!$G$14/HSI!$B$3,""))</f>
        <v/>
      </c>
      <c r="CN19" s="106">
        <f>IF(Z19="","",IFERROR(Z19*HSI!$B$14*HSI!$G$14/HSI!$B$3,""))</f>
        <v/>
      </c>
      <c r="CO19" s="106">
        <f>IF(AA19="","",IFERROR(AA19*HSI!$B$14*HSI!$G$14/HSI!$B$3,""))</f>
        <v/>
      </c>
      <c r="CP19" s="106">
        <f>IF(AB19="","",IFERROR(AB19*HSI!$B$14*HSI!$G$14/HSI!$B$3,""))</f>
        <v/>
      </c>
      <c r="CQ19" s="106">
        <f>IF(AC19="","",IFERROR(AC19*HSI!$B$14*HSI!$G$14/HSI!$B$3,""))</f>
        <v/>
      </c>
      <c r="CR19" s="106">
        <f>IF(AD19="","",IFERROR(AD19*HSI!$B$14*HSI!$G$14/HSI!$B$3,""))</f>
        <v/>
      </c>
      <c r="CS19" s="106">
        <f>IF(AE19="","",IFERROR(AE19*HSI!$B$14*HSI!$G$14/HSI!$B$3,""))</f>
        <v/>
      </c>
      <c r="CT19" s="106">
        <f>IF(AF19="","",IFERROR(AF19*HSI!$B$14*HSI!$G$14/HSI!$B$3,""))</f>
        <v/>
      </c>
      <c r="CU19" s="106">
        <f>IF(AG19="","",IFERROR(AG19*HSI!$B$14*HSI!$G$14/HSI!$B$3,""))</f>
        <v/>
      </c>
      <c r="CV19" s="106">
        <f>IF(AH19="","",IFERROR(AH19*HSI!$B$14*HSI!$G$14/HSI!$B$3,""))</f>
        <v/>
      </c>
      <c r="CW19" s="106">
        <f>IF(AI19="","",IFERROR(AI19*HSI!$B$14*HSI!$G$14/HSI!$B$3,""))</f>
        <v/>
      </c>
      <c r="CX19" s="106">
        <f>IF(AJ19="","",IFERROR(AJ19*HSI!$B$14*HSI!$G$14/HSI!$B$3,""))</f>
        <v/>
      </c>
      <c r="CY19" s="106">
        <f>IF(AK19="","",IFERROR(AK19*HSI!$B$14*HSI!$G$14/HSI!$B$3,""))</f>
        <v/>
      </c>
      <c r="CZ19" s="106">
        <f>IF(AL19="","",IFERROR(AL19*HSI!$B$14*HSI!$G$14/HSI!$B$3,""))</f>
        <v/>
      </c>
      <c r="DA19" s="106">
        <f>IF(AM19="","",IFERROR(AM19*HSI!$B$14*HSI!$G$14/HSI!$B$3,""))</f>
        <v/>
      </c>
      <c r="DB19" s="106">
        <f>IF(AN19="","",IFERROR(AN19*HSI!$B$14*HSI!$G$14/HSI!$B$3,""))</f>
        <v/>
      </c>
      <c r="DC19" s="106">
        <f>IF(AO19="","",IFERROR(AO19*HSI!$B$14*HSI!$G$14/HSI!$B$3,""))</f>
        <v/>
      </c>
      <c r="DD19" s="106">
        <f>IF(AP19="","",IFERROR(AP19*HSI!$B$14*HSI!$G$14/HSI!$B$3,""))</f>
        <v/>
      </c>
      <c r="DE19" s="106">
        <f>IF(AQ19="","",IFERROR(AQ19*HSI!$B$14*HSI!$G$14/HSI!$B$3,""))</f>
        <v/>
      </c>
      <c r="DF19" s="106">
        <f>IF(AR19="","",IFERROR(AR19*HSI!$B$14*HSI!$G$14/HSI!$B$3,""))</f>
        <v/>
      </c>
      <c r="DG19" s="106">
        <f>IF(AS19="","",IFERROR(AS19*HSI!$B$14*HSI!$G$14/HSI!$B$3,""))</f>
        <v/>
      </c>
      <c r="DH19" s="106">
        <f>IF(AT19="","",IFERROR(AT19*HSI!$B$14*HSI!$G$14/HSI!$B$3,""))</f>
        <v/>
      </c>
      <c r="DI19" s="106">
        <f>IF(AU19="","",IFERROR(AU19*HSI!$B$14*HSI!$G$14/HSI!$B$3,""))</f>
        <v/>
      </c>
      <c r="DJ19" s="106">
        <f>IF(AV19="","",IFERROR(AV19*HSI!$B$14*HSI!$G$14/HSI!$B$3,""))</f>
        <v/>
      </c>
      <c r="DK19" s="106">
        <f>IF(AW19="","",IFERROR(AW19*HSI!$B$14*HSI!$G$14/HSI!$B$3,""))</f>
        <v/>
      </c>
      <c r="DL19" s="106">
        <f>IF(AX19="","",IFERROR(AX19*HSI!$B$14*HSI!$G$14/HSI!$B$3,""))</f>
        <v/>
      </c>
      <c r="DM19" s="106">
        <f>IF(AY19="","",IFERROR(AY19*HSI!$B$14*HSI!$G$14/HSI!$B$3,""))</f>
        <v/>
      </c>
      <c r="DN19" s="106">
        <f>IF(AZ19="","",IFERROR(AZ19*HSI!$B$14*HSI!$G$14/HSI!$B$3,""))</f>
        <v/>
      </c>
      <c r="DO19" s="106">
        <f>IF(BA19="","",IFERROR(BA19*HSI!$B$14*HSI!$G$14/HSI!$B$3,""))</f>
        <v/>
      </c>
      <c r="DP19" s="106">
        <f>IF(BB19="","",IFERROR(BB19*HSI!$B$14*HSI!$G$14/HSI!$B$3,""))</f>
        <v/>
      </c>
      <c r="DQ19" s="106">
        <f>IF(BC19="","",IFERROR(BC19*HSI!$B$14*HSI!$G$14/HSI!$B$3,""))</f>
        <v/>
      </c>
      <c r="DR19" s="106">
        <f>IF(BD19="","",IFERROR(BD19*HSI!$B$14*HSI!$G$14/HSI!$B$3,""))</f>
        <v/>
      </c>
      <c r="DS19" s="106">
        <f>IF(BE19="","",IFERROR(BE19*HSI!$B$14*HSI!$G$14/HSI!$B$3,""))</f>
        <v/>
      </c>
      <c r="DT19" s="106">
        <f>IF(BF19="","",IFERROR(BF19*HSI!$B$14*HSI!$G$14/HSI!$B$3,""))</f>
        <v/>
      </c>
      <c r="DU19" s="106">
        <f>IF(BG19="","",IFERROR(BG19*HSI!$B$14*HSI!$G$14/HSI!$B$3,""))</f>
        <v/>
      </c>
      <c r="DV19" s="106">
        <f>IF(BH19="","",IFERROR(BH19*HSI!$B$14*HSI!$G$14/HSI!$B$3,""))</f>
        <v/>
      </c>
      <c r="DW19" s="106">
        <f>IF(BI19="","",IFERROR(BI19*HSI!$B$14*HSI!$G$14/HSI!$B$3,""))</f>
        <v/>
      </c>
      <c r="DX19" s="106">
        <f>IF(BJ19="","",IFERROR(BJ19*HSI!$B$14*HSI!$G$14/HSI!$B$3,""))</f>
        <v/>
      </c>
      <c r="DY19" s="106">
        <f>IF(BK19="","",IFERROR(BK19*HSI!$B$14*HSI!$G$14/HSI!$B$3,""))</f>
        <v/>
      </c>
      <c r="DZ19" s="106">
        <f>IF(BL19="","",IFERROR(BL19*HSI!$B$14*HSI!$G$14/HSI!$B$3,""))</f>
        <v/>
      </c>
      <c r="EA19" s="106">
        <f>IF(BM19="","",IFERROR(BM19*HSI!$B$14*HSI!$G$14/HSI!$B$3,""))</f>
        <v/>
      </c>
      <c r="EB19" s="106">
        <f>IF(BN19="","",IFERROR(BN19*HSI!$B$14*HSI!$G$14/HSI!$B$3,""))</f>
        <v/>
      </c>
      <c r="EC19" s="106">
        <f>IF(BO19="","",IFERROR(BO19*HSI!$B$14*HSI!$G$14/HSI!$B$3,""))</f>
        <v/>
      </c>
      <c r="EE19" s="35">
        <f>IF(N('Dvd Calendar'!$E$88)=0,"",IF(('Dvd Calendar'!$E$88&gt;=GRID_FROM)*('Dvd Calendar'!$E$88&lt;=GRID_TO)*('Dvd Calendar'!$E$88&lt;=VAL_DATE)=0,"",'Dvd Calendar'!$E$88*1000000000+ISNUMBER('Dvd Calendar'!$E$91)*100000000+('Dvd Calendar'!$E$93=SPECIAL_LBL)*10000000+0*1000000+8*1000+1))</f>
        <v/>
      </c>
      <c r="EF19" s="35">
        <f>IF(N('Dvd Calendar'!$F$88)=0,"",IF(('Dvd Calendar'!$F$88&gt;=GRID_FROM)*('Dvd Calendar'!$F$88&lt;=GRID_TO)*('Dvd Calendar'!$F$88&lt;=VAL_DATE)=0,"",'Dvd Calendar'!$F$88*1000000000+ISNUMBER('Dvd Calendar'!$F$91)*100000000+('Dvd Calendar'!$F$93=SPECIAL_LBL)*10000000+0*1000000+8*1000+2))</f>
        <v/>
      </c>
      <c r="EG19" s="35">
        <f>IF(N('Dvd Calendar'!$G$88)=0,"",IF(('Dvd Calendar'!$G$88&gt;=GRID_FROM)*('Dvd Calendar'!$G$88&lt;=GRID_TO)*('Dvd Calendar'!$G$88&lt;=VAL_DATE)=0,"",'Dvd Calendar'!$G$88*1000000000+ISNUMBER('Dvd Calendar'!$G$91)*100000000+('Dvd Calendar'!$G$93=SPECIAL_LBL)*10000000+0*1000000+8*1000+3))</f>
        <v/>
      </c>
      <c r="EH19" s="35">
        <f>IF(N('Dvd Calendar'!$H$88)=0,"",IF(('Dvd Calendar'!$H$88&gt;=GRID_FROM)*('Dvd Calendar'!$H$88&lt;=GRID_TO)*('Dvd Calendar'!$H$88&lt;=VAL_DATE)=0,"",'Dvd Calendar'!$H$88*1000000000+ISNUMBER('Dvd Calendar'!$H$91)*100000000+('Dvd Calendar'!$H$93=SPECIAL_LBL)*10000000+0*1000000+8*1000+4))</f>
        <v/>
      </c>
      <c r="EI19" s="35">
        <f>IF(N('Dvd Calendar'!$I$88)=0,"",IF(('Dvd Calendar'!$I$88&gt;=GRID_FROM)*('Dvd Calendar'!$I$88&lt;=GRID_TO)*('Dvd Calendar'!$I$88&lt;=VAL_DATE)=0,"",'Dvd Calendar'!$I$88*1000000000+ISNUMBER('Dvd Calendar'!$I$91)*100000000+('Dvd Calendar'!$I$93=SPECIAL_LBL)*10000000+0*1000000+8*1000+5))</f>
        <v/>
      </c>
      <c r="EJ19" s="35">
        <f>IF(N('Dvd Calendar'!$J$88)=0,"",IF(('Dvd Calendar'!$J$88&gt;=GRID_FROM)*('Dvd Calendar'!$J$88&lt;=GRID_TO)*('Dvd Calendar'!$J$88&lt;=VAL_DATE)=0,"",'Dvd Calendar'!$J$88*1000000000+ISNUMBER('Dvd Calendar'!$J$91)*100000000+('Dvd Calendar'!$J$93=SPECIAL_LBL)*10000000+0*1000000+8*1000+6))</f>
        <v/>
      </c>
      <c r="EK19" s="35">
        <f>IF(N('Dvd Calendar'!$K$88)=0,"",IF(('Dvd Calendar'!$K$88&gt;=GRID_FROM)*('Dvd Calendar'!$K$88&lt;=GRID_TO)*('Dvd Calendar'!$K$88&lt;=VAL_DATE)=0,"",'Dvd Calendar'!$K$88*1000000000+ISNUMBER('Dvd Calendar'!$K$91)*100000000+('Dvd Calendar'!$K$93=SPECIAL_LBL)*10000000+0*1000000+8*1000+7))</f>
        <v/>
      </c>
      <c r="EL19" s="35">
        <f>IF(N('Dvd Calendar'!$L$88)=0,"",IF(('Dvd Calendar'!$L$88&gt;=GRID_FROM)*('Dvd Calendar'!$L$88&lt;=GRID_TO)*('Dvd Calendar'!$L$88&lt;=VAL_DATE)=0,"",'Dvd Calendar'!$L$88*1000000000+ISNUMBER('Dvd Calendar'!$L$91)*100000000+('Dvd Calendar'!$L$93=SPECIAL_LBL)*10000000+0*1000000+8*1000+8))</f>
        <v/>
      </c>
      <c r="EM19" s="35">
        <f>IF(N('Dvd Calendar'!$M$88)=0,"",IF(('Dvd Calendar'!$M$88&gt;=GRID_FROM)*('Dvd Calendar'!$M$88&lt;=GRID_TO)*('Dvd Calendar'!$M$88&lt;=VAL_DATE)=0,"",'Dvd Calendar'!$M$88*1000000000+ISNUMBER('Dvd Calendar'!$M$91)*100000000+('Dvd Calendar'!$M$93=SPECIAL_LBL)*10000000+0*1000000+8*1000+9))</f>
        <v/>
      </c>
      <c r="EN19" s="35">
        <f>IF(N('Dvd Calendar'!$N$88)=0,"",IF(('Dvd Calendar'!$N$88&gt;=GRID_FROM)*('Dvd Calendar'!$N$88&lt;=GRID_TO)*('Dvd Calendar'!$N$88&lt;=VAL_DATE)=0,"",'Dvd Calendar'!$N$88*1000000000+ISNUMBER('Dvd Calendar'!$N$91)*100000000+('Dvd Calendar'!$N$93=SPECIAL_LBL)*10000000+0*1000000+8*1000+10))</f>
        <v/>
      </c>
      <c r="EO19" s="35">
        <f>IF(N('Dvd Calendar'!$O$88)=0,"",IF(('Dvd Calendar'!$O$88&gt;=GRID_FROM)*('Dvd Calendar'!$O$88&lt;=GRID_TO)*('Dvd Calendar'!$O$88&lt;=VAL_DATE)=0,"",'Dvd Calendar'!$O$88*1000000000+ISNUMBER('Dvd Calendar'!$O$91)*100000000+('Dvd Calendar'!$O$93=SPECIAL_LBL)*10000000+0*1000000+8*1000+11))</f>
        <v/>
      </c>
      <c r="EP19" s="35">
        <f>IF(N('Dvd Calendar'!$P$88)=0,"",IF(('Dvd Calendar'!$P$88&gt;=GRID_FROM)*('Dvd Calendar'!$P$88&lt;=GRID_TO)*('Dvd Calendar'!$P$88&lt;=VAL_DATE)=0,"",'Dvd Calendar'!$P$88*1000000000+ISNUMBER('Dvd Calendar'!$P$91)*100000000+('Dvd Calendar'!$P$93=SPECIAL_LBL)*10000000+0*1000000+8*1000+12))</f>
        <v/>
      </c>
      <c r="EQ19" s="35">
        <f>IF(N('Dvd Calendar'!$Q$88)=0,"",IF(('Dvd Calendar'!$Q$88&gt;=GRID_FROM)*('Dvd Calendar'!$Q$88&lt;=GRID_TO)*('Dvd Calendar'!$Q$88&lt;=VAL_DATE)=0,"",'Dvd Calendar'!$Q$88*1000000000+ISNUMBER('Dvd Calendar'!$Q$91)*100000000+('Dvd Calendar'!$Q$93=SPECIAL_LBL)*10000000+0*1000000+8*1000+13))</f>
        <v/>
      </c>
      <c r="ER19" s="35">
        <f>IF(N('Dvd Calendar'!$R$88)=0,"",IF(('Dvd Calendar'!$R$88&gt;=GRID_FROM)*('Dvd Calendar'!$R$88&lt;=GRID_TO)*('Dvd Calendar'!$R$88&lt;=VAL_DATE)=0,"",'Dvd Calendar'!$R$88*1000000000+ISNUMBER('Dvd Calendar'!$R$91)*100000000+('Dvd Calendar'!$R$93=SPECIAL_LBL)*10000000+0*1000000+8*1000+14))</f>
        <v/>
      </c>
      <c r="ES19" s="35">
        <f>IF(N('Dvd Calendar'!$S$88)=0,"",IF(('Dvd Calendar'!$S$88&gt;=GRID_FROM)*('Dvd Calendar'!$S$88&lt;=GRID_TO)*('Dvd Calendar'!$S$88&lt;=VAL_DATE)=0,"",'Dvd Calendar'!$S$88*1000000000+ISNUMBER('Dvd Calendar'!$S$91)*100000000+('Dvd Calendar'!$S$93=SPECIAL_LBL)*10000000+0*1000000+8*1000+15))</f>
        <v/>
      </c>
      <c r="ET19" s="35">
        <f>IF(N('Dvd Calendar'!$T$88)=0,"",IF(('Dvd Calendar'!$T$88&gt;=GRID_FROM)*('Dvd Calendar'!$T$88&lt;=GRID_TO)*('Dvd Calendar'!$T$88&lt;=VAL_DATE)=0,"",'Dvd Calendar'!$T$88*1000000000+ISNUMBER('Dvd Calendar'!$T$91)*100000000+('Dvd Calendar'!$T$93=SPECIAL_LBL)*10000000+0*1000000+8*1000+16))</f>
        <v/>
      </c>
      <c r="EU19" s="35">
        <f>IF(N('Dvd Calendar'!$U$88)=0,"",IF(('Dvd Calendar'!$U$88&gt;=GRID_FROM)*('Dvd Calendar'!$U$88&lt;=GRID_TO)*('Dvd Calendar'!$U$88&lt;=VAL_DATE)=0,"",'Dvd Calendar'!$U$88*1000000000+ISNUMBER('Dvd Calendar'!$U$91)*100000000+('Dvd Calendar'!$U$93=SPECIAL_LBL)*10000000+0*1000000+8*1000+17))</f>
        <v/>
      </c>
      <c r="EV19" s="35">
        <f>IF(N('Dvd Calendar'!$V$88)=0,"",IF(('Dvd Calendar'!$V$88&gt;=GRID_FROM)*('Dvd Calendar'!$V$88&lt;=GRID_TO)*('Dvd Calendar'!$V$88&lt;=VAL_DATE)=0,"",'Dvd Calendar'!$V$88*1000000000+ISNUMBER('Dvd Calendar'!$V$91)*100000000+('Dvd Calendar'!$V$93=SPECIAL_LBL)*10000000+0*1000000+8*1000+18))</f>
        <v/>
      </c>
      <c r="EW19" s="35">
        <f>IF(N('Dvd Calendar'!$W$88)=0,"",IF(('Dvd Calendar'!$W$88&gt;=GRID_FROM)*('Dvd Calendar'!$W$88&lt;=GRID_TO)*('Dvd Calendar'!$W$88&lt;=VAL_DATE)=0,"",'Dvd Calendar'!$W$88*1000000000+ISNUMBER('Dvd Calendar'!$W$91)*100000000+('Dvd Calendar'!$W$93=SPECIAL_LBL)*10000000+0*1000000+8*1000+19))</f>
        <v/>
      </c>
      <c r="EX19" s="35">
        <f>IF(N('Dvd Calendar'!$X$88)=0,"",IF(('Dvd Calendar'!$X$88&gt;=GRID_FROM)*('Dvd Calendar'!$X$88&lt;=GRID_TO)*('Dvd Calendar'!$X$88&lt;=VAL_DATE)=0,"",'Dvd Calendar'!$X$88*1000000000+ISNUMBER('Dvd Calendar'!$X$91)*100000000+('Dvd Calendar'!$X$93=SPECIAL_LBL)*10000000+0*1000000+8*1000+20))</f>
        <v/>
      </c>
      <c r="EY19" s="35">
        <f>IF(N('Dvd Calendar'!$Y$88)=0,"",IF(('Dvd Calendar'!$Y$88&gt;=GRID_FROM)*('Dvd Calendar'!$Y$88&lt;=GRID_TO)*('Dvd Calendar'!$Y$88&lt;=VAL_DATE)=0,"",'Dvd Calendar'!$Y$88*1000000000+ISNUMBER('Dvd Calendar'!$Y$91)*100000000+('Dvd Calendar'!$Y$93=SPECIAL_LBL)*10000000+0*1000000+8*1000+21))</f>
        <v/>
      </c>
      <c r="EZ19" s="35">
        <f>IF(N('Dvd Calendar'!$Z$88)=0,"",IF(('Dvd Calendar'!$Z$88&gt;=GRID_FROM)*('Dvd Calendar'!$Z$88&lt;=GRID_TO)*('Dvd Calendar'!$Z$88&lt;=VAL_DATE)=0,"",'Dvd Calendar'!$Z$88*1000000000+ISNUMBER('Dvd Calendar'!$Z$91)*100000000+('Dvd Calendar'!$Z$93=SPECIAL_LBL)*10000000+0*1000000+8*1000+22))</f>
        <v/>
      </c>
      <c r="FA19" s="35">
        <f>IF(N('Dvd Calendar'!$AA$88)=0,"",IF(('Dvd Calendar'!$AA$88&gt;=GRID_FROM)*('Dvd Calendar'!$AA$88&lt;=GRID_TO)*('Dvd Calendar'!$AA$88&lt;=VAL_DATE)=0,"",'Dvd Calendar'!$AA$88*1000000000+ISNUMBER('Dvd Calendar'!$AA$91)*100000000+('Dvd Calendar'!$AA$93=SPECIAL_LBL)*10000000+0*1000000+8*1000+23))</f>
        <v/>
      </c>
      <c r="FB19" s="35">
        <f>IF(N('Dvd Calendar'!$AB$88)=0,"",IF(('Dvd Calendar'!$AB$88&gt;=GRID_FROM)*('Dvd Calendar'!$AB$88&lt;=GRID_TO)*('Dvd Calendar'!$AB$88&lt;=VAL_DATE)=0,"",'Dvd Calendar'!$AB$88*1000000000+ISNUMBER('Dvd Calendar'!$AB$91)*100000000+('Dvd Calendar'!$AB$93=SPECIAL_LBL)*10000000+0*1000000+8*1000+24))</f>
        <v/>
      </c>
      <c r="FC19" s="35">
        <f>IF(N('Dvd Calendar'!$AC$88)=0,"",IF(('Dvd Calendar'!$AC$88&gt;=GRID_FROM)*('Dvd Calendar'!$AC$88&lt;=GRID_TO)*('Dvd Calendar'!$AC$88&lt;=VAL_DATE)=0,"",'Dvd Calendar'!$AC$88*1000000000+ISNUMBER('Dvd Calendar'!$AC$91)*100000000+('Dvd Calendar'!$AC$93=SPECIAL_LBL)*10000000+0*1000000+8*1000+25))</f>
        <v/>
      </c>
      <c r="FD19" s="35">
        <f>IF(N('Dvd Calendar'!$AD$88)=0,"",IF(('Dvd Calendar'!$AD$88&gt;=GRID_FROM)*('Dvd Calendar'!$AD$88&lt;=GRID_TO)*('Dvd Calendar'!$AD$88&lt;=VAL_DATE)=0,"",'Dvd Calendar'!$AD$88*1000000000+ISNUMBER('Dvd Calendar'!$AD$91)*100000000+('Dvd Calendar'!$AD$93=SPECIAL_LBL)*10000000+0*1000000+8*1000+26))</f>
        <v/>
      </c>
      <c r="FE19" s="35">
        <f>IF(N('Dvd Calendar'!$AE$88)=0,"",IF(('Dvd Calendar'!$AE$88&gt;=GRID_FROM)*('Dvd Calendar'!$AE$88&lt;=GRID_TO)*('Dvd Calendar'!$AE$88&lt;=VAL_DATE)=0,"",'Dvd Calendar'!$AE$88*1000000000+ISNUMBER('Dvd Calendar'!$AE$91)*100000000+('Dvd Calendar'!$AE$93=SPECIAL_LBL)*10000000+0*1000000+8*1000+27))</f>
        <v/>
      </c>
      <c r="FF19" s="35">
        <f>IF(N('Dvd Calendar'!$AF$88)=0,"",IF(('Dvd Calendar'!$AF$88&gt;=GRID_FROM)*('Dvd Calendar'!$AF$88&lt;=GRID_TO)*('Dvd Calendar'!$AF$88&lt;=VAL_DATE)=0,"",'Dvd Calendar'!$AF$88*1000000000+ISNUMBER('Dvd Calendar'!$AF$91)*100000000+('Dvd Calendar'!$AF$93=SPECIAL_LBL)*10000000+0*1000000+8*1000+28))</f>
        <v/>
      </c>
      <c r="FG19" s="35">
        <f>IF(N('Dvd Calendar'!$AG$88)=0,"",IF(('Dvd Calendar'!$AG$88&gt;=GRID_FROM)*('Dvd Calendar'!$AG$88&lt;=GRID_TO)*('Dvd Calendar'!$AG$88&lt;=VAL_DATE)=0,"",'Dvd Calendar'!$AG$88*1000000000+ISNUMBER('Dvd Calendar'!$AG$91)*100000000+('Dvd Calendar'!$AG$93=SPECIAL_LBL)*10000000+0*1000000+8*1000+29))</f>
        <v/>
      </c>
      <c r="FH19" s="35">
        <f>IF(N('Dvd Calendar'!$AH$88)=0,"",IF(('Dvd Calendar'!$AH$88&gt;=GRID_FROM)*('Dvd Calendar'!$AH$88&lt;=GRID_TO)*('Dvd Calendar'!$AH$88&lt;=VAL_DATE)=0,"",'Dvd Calendar'!$AH$88*1000000000+ISNUMBER('Dvd Calendar'!$AH$91)*100000000+('Dvd Calendar'!$AH$93=SPECIAL_LBL)*10000000+0*1000000+8*1000+30))</f>
        <v/>
      </c>
      <c r="FI19" s="35">
        <f>IF(N('Dvd Calendar'!$AI$88)=0,"",IF(('Dvd Calendar'!$AI$88&gt;=GRID_FROM)*('Dvd Calendar'!$AI$88&lt;=GRID_TO)*('Dvd Calendar'!$AI$88&lt;=VAL_DATE)=0,"",'Dvd Calendar'!$AI$88*1000000000+ISNUMBER('Dvd Calendar'!$AI$91)*100000000+('Dvd Calendar'!$AI$93=SPECIAL_LBL)*10000000+0*1000000+8*1000+31))</f>
        <v/>
      </c>
      <c r="FJ19" s="35">
        <f>IF(N('Dvd Calendar'!$AJ$88)=0,"",IF(('Dvd Calendar'!$AJ$88&gt;=GRID_FROM)*('Dvd Calendar'!$AJ$88&lt;=GRID_TO)*('Dvd Calendar'!$AJ$88&lt;=VAL_DATE)=0,"",'Dvd Calendar'!$AJ$88*1000000000+ISNUMBER('Dvd Calendar'!$AJ$91)*100000000+('Dvd Calendar'!$AJ$93=SPECIAL_LBL)*10000000+0*1000000+8*1000+32))</f>
        <v/>
      </c>
      <c r="FK19" s="35">
        <f>IF(N('Dvd Calendar'!$AK$88)=0,"",IF(('Dvd Calendar'!$AK$88&gt;=GRID_FROM)*('Dvd Calendar'!$AK$88&lt;=GRID_TO)*('Dvd Calendar'!$AK$88&lt;=VAL_DATE)=0,"",'Dvd Calendar'!$AK$88*1000000000+ISNUMBER('Dvd Calendar'!$AK$91)*100000000+('Dvd Calendar'!$AK$93=SPECIAL_LBL)*10000000+0*1000000+8*1000+33))</f>
        <v/>
      </c>
      <c r="FL19" s="35">
        <f>IF(N('Dvd Calendar'!$AL$88)=0,"",IF(('Dvd Calendar'!$AL$88&gt;=GRID_FROM)*('Dvd Calendar'!$AL$88&lt;=GRID_TO)*('Dvd Calendar'!$AL$88&lt;=VAL_DATE)=0,"",'Dvd Calendar'!$AL$88*1000000000+ISNUMBER('Dvd Calendar'!$AL$91)*100000000+('Dvd Calendar'!$AL$93=SPECIAL_LBL)*10000000+0*1000000+8*1000+34))</f>
        <v/>
      </c>
      <c r="FM19" s="35">
        <f>IF(N('Dvd Calendar'!$AM$88)=0,"",IF(('Dvd Calendar'!$AM$88&gt;=GRID_FROM)*('Dvd Calendar'!$AM$88&lt;=GRID_TO)*('Dvd Calendar'!$AM$88&lt;=VAL_DATE)=0,"",'Dvd Calendar'!$AM$88*1000000000+ISNUMBER('Dvd Calendar'!$AM$91)*100000000+('Dvd Calendar'!$AM$93=SPECIAL_LBL)*10000000+0*1000000+8*1000+35))</f>
        <v/>
      </c>
      <c r="FN19" s="35">
        <f>IF(N('Dvd Calendar'!$AN$88)=0,"",IF(('Dvd Calendar'!$AN$88&gt;=GRID_FROM)*('Dvd Calendar'!$AN$88&lt;=GRID_TO)*('Dvd Calendar'!$AN$88&lt;=VAL_DATE)=0,"",'Dvd Calendar'!$AN$88*1000000000+ISNUMBER('Dvd Calendar'!$AN$91)*100000000+('Dvd Calendar'!$AN$93=SPECIAL_LBL)*10000000+0*1000000+8*1000+36))</f>
        <v/>
      </c>
      <c r="FO19" s="35">
        <f>IF(N('Dvd Calendar'!$AO$88)=0,"",IF(('Dvd Calendar'!$AO$88&gt;=GRID_FROM)*('Dvd Calendar'!$AO$88&lt;=GRID_TO)*('Dvd Calendar'!$AO$88&lt;=VAL_DATE)=0,"",'Dvd Calendar'!$AO$88*1000000000+ISNUMBER('Dvd Calendar'!$AO$91)*100000000+('Dvd Calendar'!$AO$93=SPECIAL_LBL)*10000000+0*1000000+8*1000+37))</f>
        <v/>
      </c>
      <c r="FP19" s="35">
        <f>IF(N('Dvd Calendar'!$AP$88)=0,"",IF(('Dvd Calendar'!$AP$88&gt;=GRID_FROM)*('Dvd Calendar'!$AP$88&lt;=GRID_TO)*('Dvd Calendar'!$AP$88&lt;=VAL_DATE)=0,"",'Dvd Calendar'!$AP$88*1000000000+ISNUMBER('Dvd Calendar'!$AP$91)*100000000+('Dvd Calendar'!$AP$93=SPECIAL_LBL)*10000000+0*1000000+8*1000+38))</f>
        <v/>
      </c>
      <c r="FQ19" s="35">
        <f>IF(N('Dvd Calendar'!$AQ$88)=0,"",IF(('Dvd Calendar'!$AQ$88&gt;=GRID_FROM)*('Dvd Calendar'!$AQ$88&lt;=GRID_TO)*('Dvd Calendar'!$AQ$88&lt;=VAL_DATE)=0,"",'Dvd Calendar'!$AQ$88*1000000000+ISNUMBER('Dvd Calendar'!$AQ$91)*100000000+('Dvd Calendar'!$AQ$93=SPECIAL_LBL)*10000000+0*1000000+8*1000+39))</f>
        <v/>
      </c>
      <c r="FR19" s="35">
        <f>IF(N('Dvd Calendar'!$AR$88)=0,"",IF(('Dvd Calendar'!$AR$88&gt;=GRID_FROM)*('Dvd Calendar'!$AR$88&lt;=GRID_TO)*('Dvd Calendar'!$AR$88&lt;=VAL_DATE)=0,"",'Dvd Calendar'!$AR$88*1000000000+ISNUMBER('Dvd Calendar'!$AR$91)*100000000+('Dvd Calendar'!$AR$93=SPECIAL_LBL)*10000000+0*1000000+8*1000+40))</f>
        <v/>
      </c>
      <c r="FS19" s="35">
        <f>IF(N('Dvd Calendar'!$E$95)=0,"",IF(('Dvd Calendar'!$E$95&gt;=GRID_FROM)*('Dvd Calendar'!$E$95&lt;=GRID_TO)*('Dvd Calendar'!$E$95&gt;VAL_DATE)=0,"",'Dvd Calendar'!$E$95*1000000000+ISNUMBER('Dvd Calendar'!$E$96)*100000000+0*10000000+(N('Dvd Calendar'!$E$94)&gt;0)*(N('Dvd Calendar'!$E$94)&lt;=VAL_SERIAL)*1000000+8*1000+41))</f>
        <v/>
      </c>
      <c r="FT19" s="35">
        <f>IF(N('Dvd Calendar'!$F$95)=0,"",IF(('Dvd Calendar'!$F$95&gt;=GRID_FROM)*('Dvd Calendar'!$F$95&lt;=GRID_TO)*('Dvd Calendar'!$F$95&gt;VAL_DATE)=0,"",'Dvd Calendar'!$F$95*1000000000+ISNUMBER('Dvd Calendar'!$F$96)*100000000+0*10000000+(N('Dvd Calendar'!$F$94)&gt;0)*(N('Dvd Calendar'!$F$94)&lt;=VAL_SERIAL)*1000000+8*1000+42))</f>
        <v/>
      </c>
      <c r="FU19" s="35">
        <f>IF(N('Dvd Calendar'!$G$95)=0,"",IF(('Dvd Calendar'!$G$95&gt;=GRID_FROM)*('Dvd Calendar'!$G$95&lt;=GRID_TO)*('Dvd Calendar'!$G$95&gt;VAL_DATE)=0,"",'Dvd Calendar'!$G$95*1000000000+ISNUMBER('Dvd Calendar'!$G$96)*100000000+0*10000000+(N('Dvd Calendar'!$G$94)&gt;0)*(N('Dvd Calendar'!$G$94)&lt;=VAL_SERIAL)*1000000+8*1000+43))</f>
        <v/>
      </c>
      <c r="FV19" s="35">
        <f>IF(N('Dvd Calendar'!$H$95)=0,"",IF(('Dvd Calendar'!$H$95&gt;=GRID_FROM)*('Dvd Calendar'!$H$95&lt;=GRID_TO)*('Dvd Calendar'!$H$95&gt;VAL_DATE)=0,"",'Dvd Calendar'!$H$95*1000000000+ISNUMBER('Dvd Calendar'!$H$96)*100000000+0*10000000+(N('Dvd Calendar'!$H$94)&gt;0)*(N('Dvd Calendar'!$H$94)&lt;=VAL_SERIAL)*1000000+8*1000+44))</f>
        <v/>
      </c>
      <c r="FW19" s="35">
        <f>IF(N('Dvd Calendar'!$I$95)=0,"",IF(('Dvd Calendar'!$I$95&gt;=GRID_FROM)*('Dvd Calendar'!$I$95&lt;=GRID_TO)*('Dvd Calendar'!$I$95&gt;VAL_DATE)=0,"",'Dvd Calendar'!$I$95*1000000000+ISNUMBER('Dvd Calendar'!$I$96)*100000000+0*10000000+(N('Dvd Calendar'!$I$94)&gt;0)*(N('Dvd Calendar'!$I$94)&lt;=VAL_SERIAL)*1000000+8*1000+45))</f>
        <v/>
      </c>
      <c r="FX19" s="35">
        <f>IF(N('Dvd Calendar'!$J$95)=0,"",IF(('Dvd Calendar'!$J$95&gt;=GRID_FROM)*('Dvd Calendar'!$J$95&lt;=GRID_TO)*('Dvd Calendar'!$J$95&gt;VAL_DATE)=0,"",'Dvd Calendar'!$J$95*1000000000+ISNUMBER('Dvd Calendar'!$J$96)*100000000+0*10000000+(N('Dvd Calendar'!$J$94)&gt;0)*(N('Dvd Calendar'!$J$94)&lt;=VAL_SERIAL)*1000000+8*1000+46))</f>
        <v/>
      </c>
      <c r="FY19" s="35">
        <f>IF(N('Dvd Calendar'!$K$95)=0,"",IF(('Dvd Calendar'!$K$95&gt;=GRID_FROM)*('Dvd Calendar'!$K$95&lt;=GRID_TO)*('Dvd Calendar'!$K$95&gt;VAL_DATE)=0,"",'Dvd Calendar'!$K$95*1000000000+ISNUMBER('Dvd Calendar'!$K$96)*100000000+0*10000000+(N('Dvd Calendar'!$K$94)&gt;0)*(N('Dvd Calendar'!$K$94)&lt;=VAL_SERIAL)*1000000+8*1000+47))</f>
        <v/>
      </c>
      <c r="FZ19" s="35">
        <f>IF(N('Dvd Calendar'!$L$95)=0,"",IF(('Dvd Calendar'!$L$95&gt;=GRID_FROM)*('Dvd Calendar'!$L$95&lt;=GRID_TO)*('Dvd Calendar'!$L$95&gt;VAL_DATE)=0,"",'Dvd Calendar'!$L$95*1000000000+ISNUMBER('Dvd Calendar'!$L$96)*100000000+0*10000000+(N('Dvd Calendar'!$L$94)&gt;0)*(N('Dvd Calendar'!$L$94)&lt;=VAL_SERIAL)*1000000+8*1000+48))</f>
        <v/>
      </c>
      <c r="GA19" s="35">
        <f>IF(N('Dvd Calendar'!$M$95)=0,"",IF(('Dvd Calendar'!$M$95&gt;=GRID_FROM)*('Dvd Calendar'!$M$95&lt;=GRID_TO)*('Dvd Calendar'!$M$95&gt;VAL_DATE)=0,"",'Dvd Calendar'!$M$95*1000000000+ISNUMBER('Dvd Calendar'!$M$96)*100000000+0*10000000+(N('Dvd Calendar'!$M$94)&gt;0)*(N('Dvd Calendar'!$M$94)&lt;=VAL_SERIAL)*1000000+8*1000+49))</f>
        <v/>
      </c>
      <c r="GB19" s="35">
        <f>IF(N('Dvd Calendar'!$N$95)=0,"",IF(('Dvd Calendar'!$N$95&gt;=GRID_FROM)*('Dvd Calendar'!$N$95&lt;=GRID_TO)*('Dvd Calendar'!$N$95&gt;VAL_DATE)=0,"",'Dvd Calendar'!$N$95*1000000000+ISNUMBER('Dvd Calendar'!$N$96)*100000000+0*10000000+(N('Dvd Calendar'!$N$94)&gt;0)*(N('Dvd Calendar'!$N$94)&lt;=VAL_SERIAL)*1000000+8*1000+50))</f>
        <v/>
      </c>
      <c r="GC19" s="35">
        <f>IF(N('Dvd Calendar'!$O$95)=0,"",IF(('Dvd Calendar'!$O$95&gt;=GRID_FROM)*('Dvd Calendar'!$O$95&lt;=GRID_TO)*('Dvd Calendar'!$O$95&gt;VAL_DATE)=0,"",'Dvd Calendar'!$O$95*1000000000+ISNUMBER('Dvd Calendar'!$O$96)*100000000+0*10000000+(N('Dvd Calendar'!$O$94)&gt;0)*(N('Dvd Calendar'!$O$94)&lt;=VAL_SERIAL)*1000000+8*1000+51))</f>
        <v/>
      </c>
      <c r="GD19" s="35">
        <f>IF(N('Dvd Calendar'!$P$95)=0,"",IF(('Dvd Calendar'!$P$95&gt;=GRID_FROM)*('Dvd Calendar'!$P$95&lt;=GRID_TO)*('Dvd Calendar'!$P$95&gt;VAL_DATE)=0,"",'Dvd Calendar'!$P$95*1000000000+ISNUMBER('Dvd Calendar'!$P$96)*100000000+0*10000000+(N('Dvd Calendar'!$P$94)&gt;0)*(N('Dvd Calendar'!$P$94)&lt;=VAL_SERIAL)*1000000+8*1000+52))</f>
        <v/>
      </c>
      <c r="GE19" s="35">
        <f>IF(N('Dvd Calendar'!$Q$95)=0,"",IF(('Dvd Calendar'!$Q$95&gt;=GRID_FROM)*('Dvd Calendar'!$Q$95&lt;=GRID_TO)*('Dvd Calendar'!$Q$95&gt;VAL_DATE)=0,"",'Dvd Calendar'!$Q$95*1000000000+ISNUMBER('Dvd Calendar'!$Q$96)*100000000+0*10000000+(N('Dvd Calendar'!$Q$94)&gt;0)*(N('Dvd Calendar'!$Q$94)&lt;=VAL_SERIAL)*1000000+8*1000+53))</f>
        <v/>
      </c>
      <c r="GF19" s="35">
        <f>IF(N('Dvd Calendar'!$R$95)=0,"",IF(('Dvd Calendar'!$R$95&gt;=GRID_FROM)*('Dvd Calendar'!$R$95&lt;=GRID_TO)*('Dvd Calendar'!$R$95&gt;VAL_DATE)=0,"",'Dvd Calendar'!$R$95*1000000000+ISNUMBER('Dvd Calendar'!$R$96)*100000000+0*10000000+(N('Dvd Calendar'!$R$94)&gt;0)*(N('Dvd Calendar'!$R$94)&lt;=VAL_SERIAL)*1000000+8*1000+54))</f>
        <v/>
      </c>
      <c r="GG19" s="35">
        <f>IF(N('Dvd Calendar'!$S$95)=0,"",IF(('Dvd Calendar'!$S$95&gt;=GRID_FROM)*('Dvd Calendar'!$S$95&lt;=GRID_TO)*('Dvd Calendar'!$S$95&gt;VAL_DATE)=0,"",'Dvd Calendar'!$S$95*1000000000+ISNUMBER('Dvd Calendar'!$S$96)*100000000+0*10000000+(N('Dvd Calendar'!$S$94)&gt;0)*(N('Dvd Calendar'!$S$94)&lt;=VAL_SERIAL)*1000000+8*1000+55))</f>
        <v/>
      </c>
      <c r="GH19" s="35">
        <f>IF(N('Dvd Calendar'!$T$95)=0,"",IF(('Dvd Calendar'!$T$95&gt;=GRID_FROM)*('Dvd Calendar'!$T$95&lt;=GRID_TO)*('Dvd Calendar'!$T$95&gt;VAL_DATE)=0,"",'Dvd Calendar'!$T$95*1000000000+ISNUMBER('Dvd Calendar'!$T$96)*100000000+0*10000000+(N('Dvd Calendar'!$T$94)&gt;0)*(N('Dvd Calendar'!$T$94)&lt;=VAL_SERIAL)*1000000+8*1000+56))</f>
        <v/>
      </c>
      <c r="GI19" s="35">
        <f>IF(N('Dvd Calendar'!$U$95)=0,"",IF(('Dvd Calendar'!$U$95&gt;=GRID_FROM)*('Dvd Calendar'!$U$95&lt;=GRID_TO)*('Dvd Calendar'!$U$95&gt;VAL_DATE)=0,"",'Dvd Calendar'!$U$95*1000000000+ISNUMBER('Dvd Calendar'!$U$96)*100000000+0*10000000+(N('Dvd Calendar'!$U$94)&gt;0)*(N('Dvd Calendar'!$U$94)&lt;=VAL_SERIAL)*1000000+8*1000+57))</f>
        <v/>
      </c>
      <c r="GJ19" s="35">
        <f>IF(N('Dvd Calendar'!$V$95)=0,"",IF(('Dvd Calendar'!$V$95&gt;=GRID_FROM)*('Dvd Calendar'!$V$95&lt;=GRID_TO)*('Dvd Calendar'!$V$95&gt;VAL_DATE)=0,"",'Dvd Calendar'!$V$95*1000000000+ISNUMBER('Dvd Calendar'!$V$96)*100000000+0*10000000+(N('Dvd Calendar'!$V$94)&gt;0)*(N('Dvd Calendar'!$V$94)&lt;=VAL_SERIAL)*1000000+8*1000+58))</f>
        <v/>
      </c>
      <c r="GK19" s="35">
        <f>IF(N('Dvd Calendar'!$W$95)=0,"",IF(('Dvd Calendar'!$W$95&gt;=GRID_FROM)*('Dvd Calendar'!$W$95&lt;=GRID_TO)*('Dvd Calendar'!$W$95&gt;VAL_DATE)=0,"",'Dvd Calendar'!$W$95*1000000000+ISNUMBER('Dvd Calendar'!$W$96)*100000000+0*10000000+(N('Dvd Calendar'!$W$94)&gt;0)*(N('Dvd Calendar'!$W$94)&lt;=VAL_SERIAL)*1000000+8*1000+59))</f>
        <v/>
      </c>
      <c r="GL19" s="35">
        <f>IF(N('Dvd Calendar'!$X$95)=0,"",IF(('Dvd Calendar'!$X$95&gt;=GRID_FROM)*('Dvd Calendar'!$X$95&lt;=GRID_TO)*('Dvd Calendar'!$X$95&gt;VAL_DATE)=0,"",'Dvd Calendar'!$X$95*1000000000+ISNUMBER('Dvd Calendar'!$X$96)*100000000+0*10000000+(N('Dvd Calendar'!$X$94)&gt;0)*(N('Dvd Calendar'!$X$94)&lt;=VAL_SERIAL)*1000000+8*1000+60))</f>
        <v/>
      </c>
      <c r="GM19" s="35">
        <f>IF(N('Dvd Calendar'!$Y$95)=0,"",IF(('Dvd Calendar'!$Y$95&gt;=GRID_FROM)*('Dvd Calendar'!$Y$95&lt;=GRID_TO)*('Dvd Calendar'!$Y$95&gt;VAL_DATE)=0,"",'Dvd Calendar'!$Y$95*1000000000+ISNUMBER('Dvd Calendar'!$Y$96)*100000000+0*10000000+(N('Dvd Calendar'!$Y$94)&gt;0)*(N('Dvd Calendar'!$Y$94)&lt;=VAL_SERIAL)*1000000+8*1000+61))</f>
        <v/>
      </c>
      <c r="GN19" s="35">
        <f>IF(N('Dvd Calendar'!$Z$95)=0,"",IF(('Dvd Calendar'!$Z$95&gt;=GRID_FROM)*('Dvd Calendar'!$Z$95&lt;=GRID_TO)*('Dvd Calendar'!$Z$95&gt;VAL_DATE)=0,"",'Dvd Calendar'!$Z$95*1000000000+ISNUMBER('Dvd Calendar'!$Z$96)*100000000+0*10000000+(N('Dvd Calendar'!$Z$94)&gt;0)*(N('Dvd Calendar'!$Z$94)&lt;=VAL_SERIAL)*1000000+8*1000+62))</f>
        <v/>
      </c>
      <c r="GO19" s="35">
        <f>IF(N('Dvd Calendar'!$AA$95)=0,"",IF(('Dvd Calendar'!$AA$95&gt;=GRID_FROM)*('Dvd Calendar'!$AA$95&lt;=GRID_TO)*('Dvd Calendar'!$AA$95&gt;VAL_DATE)=0,"",'Dvd Calendar'!$AA$95*1000000000+ISNUMBER('Dvd Calendar'!$AA$96)*100000000+0*10000000+(N('Dvd Calendar'!$AA$94)&gt;0)*(N('Dvd Calendar'!$AA$94)&lt;=VAL_SERIAL)*1000000+8*1000+63))</f>
        <v/>
      </c>
      <c r="GP19" s="35">
        <f>IF(N('Dvd Calendar'!$AB$95)=0,"",IF(('Dvd Calendar'!$AB$95&gt;=GRID_FROM)*('Dvd Calendar'!$AB$95&lt;=GRID_TO)*('Dvd Calendar'!$AB$95&gt;VAL_DATE)=0,"",'Dvd Calendar'!$AB$95*1000000000+ISNUMBER('Dvd Calendar'!$AB$96)*100000000+0*10000000+(N('Dvd Calendar'!$AB$94)&gt;0)*(N('Dvd Calendar'!$AB$94)&lt;=VAL_SERIAL)*1000000+8*1000+64))</f>
        <v/>
      </c>
      <c r="GQ19" s="35">
        <f>IF(N('Dvd Calendar'!$AC$95)=0,"",IF(('Dvd Calendar'!$AC$95&gt;=GRID_FROM)*('Dvd Calendar'!$AC$95&lt;=GRID_TO)*('Dvd Calendar'!$AC$95&gt;VAL_DATE)=0,"",'Dvd Calendar'!$AC$95*1000000000+ISNUMBER('Dvd Calendar'!$AC$96)*100000000+0*10000000+(N('Dvd Calendar'!$AC$94)&gt;0)*(N('Dvd Calendar'!$AC$94)&lt;=VAL_SERIAL)*1000000+8*1000+65))</f>
        <v/>
      </c>
    </row>
    <row r="20">
      <c r="B20" s="2">
        <f>IF(HSI!$C$15="","",HSI!$C$15)</f>
        <v/>
      </c>
      <c r="C20" s="106">
        <f>IF(EE20="","",IF(ISNUMBER('Dvd Calendar'!$E$102)=FALSE,"",IF((('Dvd Calendar'!$E$104=TYPE1)*(TYPE1&lt;&gt;"")+('Dvd Calendar'!$E$104=TYPE2)*(TYPE2&lt;&gt;"")+('Dvd Calendar'!$E$104=TYPE3)*(TYPE3&lt;&gt;"")+('Dvd Calendar'!$E$104=TYPE4)*(TYPE4&lt;&gt;"")+('Dvd Calendar'!$E$104=SPECIAL_LBL)*(INC_SPECIALS="Y"))=0,"",'Dvd Calendar'!$E$102)))</f>
        <v/>
      </c>
      <c r="D20" s="106">
        <f>IF(EF20="","",IF(ISNUMBER('Dvd Calendar'!$F$102)=FALSE,"",IF((('Dvd Calendar'!$F$104=TYPE1)*(TYPE1&lt;&gt;"")+('Dvd Calendar'!$F$104=TYPE2)*(TYPE2&lt;&gt;"")+('Dvd Calendar'!$F$104=TYPE3)*(TYPE3&lt;&gt;"")+('Dvd Calendar'!$F$104=TYPE4)*(TYPE4&lt;&gt;"")+('Dvd Calendar'!$F$104=SPECIAL_LBL)*(INC_SPECIALS="Y"))=0,"",'Dvd Calendar'!$F$102)))</f>
        <v/>
      </c>
      <c r="E20" s="106">
        <f>IF(EG20="","",IF(ISNUMBER('Dvd Calendar'!$G$102)=FALSE,"",IF((('Dvd Calendar'!$G$104=TYPE1)*(TYPE1&lt;&gt;"")+('Dvd Calendar'!$G$104=TYPE2)*(TYPE2&lt;&gt;"")+('Dvd Calendar'!$G$104=TYPE3)*(TYPE3&lt;&gt;"")+('Dvd Calendar'!$G$104=TYPE4)*(TYPE4&lt;&gt;"")+('Dvd Calendar'!$G$104=SPECIAL_LBL)*(INC_SPECIALS="Y"))=0,"",'Dvd Calendar'!$G$102)))</f>
        <v/>
      </c>
      <c r="F20" s="106">
        <f>IF(EH20="","",IF(ISNUMBER('Dvd Calendar'!$H$102)=FALSE,"",IF((('Dvd Calendar'!$H$104=TYPE1)*(TYPE1&lt;&gt;"")+('Dvd Calendar'!$H$104=TYPE2)*(TYPE2&lt;&gt;"")+('Dvd Calendar'!$H$104=TYPE3)*(TYPE3&lt;&gt;"")+('Dvd Calendar'!$H$104=TYPE4)*(TYPE4&lt;&gt;"")+('Dvd Calendar'!$H$104=SPECIAL_LBL)*(INC_SPECIALS="Y"))=0,"",'Dvd Calendar'!$H$102)))</f>
        <v/>
      </c>
      <c r="G20" s="106">
        <f>IF(EI20="","",IF(ISNUMBER('Dvd Calendar'!$I$102)=FALSE,"",IF((('Dvd Calendar'!$I$104=TYPE1)*(TYPE1&lt;&gt;"")+('Dvd Calendar'!$I$104=TYPE2)*(TYPE2&lt;&gt;"")+('Dvd Calendar'!$I$104=TYPE3)*(TYPE3&lt;&gt;"")+('Dvd Calendar'!$I$104=TYPE4)*(TYPE4&lt;&gt;"")+('Dvd Calendar'!$I$104=SPECIAL_LBL)*(INC_SPECIALS="Y"))=0,"",'Dvd Calendar'!$I$102)))</f>
        <v/>
      </c>
      <c r="H20" s="106">
        <f>IF(EJ20="","",IF(ISNUMBER('Dvd Calendar'!$J$102)=FALSE,"",IF((('Dvd Calendar'!$J$104=TYPE1)*(TYPE1&lt;&gt;"")+('Dvd Calendar'!$J$104=TYPE2)*(TYPE2&lt;&gt;"")+('Dvd Calendar'!$J$104=TYPE3)*(TYPE3&lt;&gt;"")+('Dvd Calendar'!$J$104=TYPE4)*(TYPE4&lt;&gt;"")+('Dvd Calendar'!$J$104=SPECIAL_LBL)*(INC_SPECIALS="Y"))=0,"",'Dvd Calendar'!$J$102)))</f>
        <v/>
      </c>
      <c r="I20" s="106">
        <f>IF(EK20="","",IF(ISNUMBER('Dvd Calendar'!$K$102)=FALSE,"",IF((('Dvd Calendar'!$K$104=TYPE1)*(TYPE1&lt;&gt;"")+('Dvd Calendar'!$K$104=TYPE2)*(TYPE2&lt;&gt;"")+('Dvd Calendar'!$K$104=TYPE3)*(TYPE3&lt;&gt;"")+('Dvd Calendar'!$K$104=TYPE4)*(TYPE4&lt;&gt;"")+('Dvd Calendar'!$K$104=SPECIAL_LBL)*(INC_SPECIALS="Y"))=0,"",'Dvd Calendar'!$K$102)))</f>
        <v/>
      </c>
      <c r="J20" s="106">
        <f>IF(EL20="","",IF(ISNUMBER('Dvd Calendar'!$L$102)=FALSE,"",IF((('Dvd Calendar'!$L$104=TYPE1)*(TYPE1&lt;&gt;"")+('Dvd Calendar'!$L$104=TYPE2)*(TYPE2&lt;&gt;"")+('Dvd Calendar'!$L$104=TYPE3)*(TYPE3&lt;&gt;"")+('Dvd Calendar'!$L$104=TYPE4)*(TYPE4&lt;&gt;"")+('Dvd Calendar'!$L$104=SPECIAL_LBL)*(INC_SPECIALS="Y"))=0,"",'Dvd Calendar'!$L$102)))</f>
        <v/>
      </c>
      <c r="K20" s="106">
        <f>IF(EM20="","",IF(ISNUMBER('Dvd Calendar'!$M$102)=FALSE,"",IF((('Dvd Calendar'!$M$104=TYPE1)*(TYPE1&lt;&gt;"")+('Dvd Calendar'!$M$104=TYPE2)*(TYPE2&lt;&gt;"")+('Dvd Calendar'!$M$104=TYPE3)*(TYPE3&lt;&gt;"")+('Dvd Calendar'!$M$104=TYPE4)*(TYPE4&lt;&gt;"")+('Dvd Calendar'!$M$104=SPECIAL_LBL)*(INC_SPECIALS="Y"))=0,"",'Dvd Calendar'!$M$102)))</f>
        <v/>
      </c>
      <c r="L20" s="106">
        <f>IF(EN20="","",IF(ISNUMBER('Dvd Calendar'!$N$102)=FALSE,"",IF((('Dvd Calendar'!$N$104=TYPE1)*(TYPE1&lt;&gt;"")+('Dvd Calendar'!$N$104=TYPE2)*(TYPE2&lt;&gt;"")+('Dvd Calendar'!$N$104=TYPE3)*(TYPE3&lt;&gt;"")+('Dvd Calendar'!$N$104=TYPE4)*(TYPE4&lt;&gt;"")+('Dvd Calendar'!$N$104=SPECIAL_LBL)*(INC_SPECIALS="Y"))=0,"",'Dvd Calendar'!$N$102)))</f>
        <v/>
      </c>
      <c r="M20" s="106">
        <f>IF(EO20="","",IF(ISNUMBER('Dvd Calendar'!$O$102)=FALSE,"",IF((('Dvd Calendar'!$O$104=TYPE1)*(TYPE1&lt;&gt;"")+('Dvd Calendar'!$O$104=TYPE2)*(TYPE2&lt;&gt;"")+('Dvd Calendar'!$O$104=TYPE3)*(TYPE3&lt;&gt;"")+('Dvd Calendar'!$O$104=TYPE4)*(TYPE4&lt;&gt;"")+('Dvd Calendar'!$O$104=SPECIAL_LBL)*(INC_SPECIALS="Y"))=0,"",'Dvd Calendar'!$O$102)))</f>
        <v/>
      </c>
      <c r="N20" s="106">
        <f>IF(EP20="","",IF(ISNUMBER('Dvd Calendar'!$P$102)=FALSE,"",IF((('Dvd Calendar'!$P$104=TYPE1)*(TYPE1&lt;&gt;"")+('Dvd Calendar'!$P$104=TYPE2)*(TYPE2&lt;&gt;"")+('Dvd Calendar'!$P$104=TYPE3)*(TYPE3&lt;&gt;"")+('Dvd Calendar'!$P$104=TYPE4)*(TYPE4&lt;&gt;"")+('Dvd Calendar'!$P$104=SPECIAL_LBL)*(INC_SPECIALS="Y"))=0,"",'Dvd Calendar'!$P$102)))</f>
        <v/>
      </c>
      <c r="O20" s="106">
        <f>IF(EQ20="","",IF(ISNUMBER('Dvd Calendar'!$Q$102)=FALSE,"",IF((('Dvd Calendar'!$Q$104=TYPE1)*(TYPE1&lt;&gt;"")+('Dvd Calendar'!$Q$104=TYPE2)*(TYPE2&lt;&gt;"")+('Dvd Calendar'!$Q$104=TYPE3)*(TYPE3&lt;&gt;"")+('Dvd Calendar'!$Q$104=TYPE4)*(TYPE4&lt;&gt;"")+('Dvd Calendar'!$Q$104=SPECIAL_LBL)*(INC_SPECIALS="Y"))=0,"",'Dvd Calendar'!$Q$102)))</f>
        <v/>
      </c>
      <c r="P20" s="106">
        <f>IF(ER20="","",IF(ISNUMBER('Dvd Calendar'!$R$102)=FALSE,"",IF((('Dvd Calendar'!$R$104=TYPE1)*(TYPE1&lt;&gt;"")+('Dvd Calendar'!$R$104=TYPE2)*(TYPE2&lt;&gt;"")+('Dvd Calendar'!$R$104=TYPE3)*(TYPE3&lt;&gt;"")+('Dvd Calendar'!$R$104=TYPE4)*(TYPE4&lt;&gt;"")+('Dvd Calendar'!$R$104=SPECIAL_LBL)*(INC_SPECIALS="Y"))=0,"",'Dvd Calendar'!$R$102)))</f>
        <v/>
      </c>
      <c r="Q20" s="106">
        <f>IF(ES20="","",IF(ISNUMBER('Dvd Calendar'!$S$102)=FALSE,"",IF((('Dvd Calendar'!$S$104=TYPE1)*(TYPE1&lt;&gt;"")+('Dvd Calendar'!$S$104=TYPE2)*(TYPE2&lt;&gt;"")+('Dvd Calendar'!$S$104=TYPE3)*(TYPE3&lt;&gt;"")+('Dvd Calendar'!$S$104=TYPE4)*(TYPE4&lt;&gt;"")+('Dvd Calendar'!$S$104=SPECIAL_LBL)*(INC_SPECIALS="Y"))=0,"",'Dvd Calendar'!$S$102)))</f>
        <v/>
      </c>
      <c r="R20" s="106">
        <f>IF(ET20="","",IF(ISNUMBER('Dvd Calendar'!$T$102)=FALSE,"",IF((('Dvd Calendar'!$T$104=TYPE1)*(TYPE1&lt;&gt;"")+('Dvd Calendar'!$T$104=TYPE2)*(TYPE2&lt;&gt;"")+('Dvd Calendar'!$T$104=TYPE3)*(TYPE3&lt;&gt;"")+('Dvd Calendar'!$T$104=TYPE4)*(TYPE4&lt;&gt;"")+('Dvd Calendar'!$T$104=SPECIAL_LBL)*(INC_SPECIALS="Y"))=0,"",'Dvd Calendar'!$T$102)))</f>
        <v/>
      </c>
      <c r="S20" s="106">
        <f>IF(EU20="","",IF(ISNUMBER('Dvd Calendar'!$U$102)=FALSE,"",IF((('Dvd Calendar'!$U$104=TYPE1)*(TYPE1&lt;&gt;"")+('Dvd Calendar'!$U$104=TYPE2)*(TYPE2&lt;&gt;"")+('Dvd Calendar'!$U$104=TYPE3)*(TYPE3&lt;&gt;"")+('Dvd Calendar'!$U$104=TYPE4)*(TYPE4&lt;&gt;"")+('Dvd Calendar'!$U$104=SPECIAL_LBL)*(INC_SPECIALS="Y"))=0,"",'Dvd Calendar'!$U$102)))</f>
        <v/>
      </c>
      <c r="T20" s="106">
        <f>IF(EV20="","",IF(ISNUMBER('Dvd Calendar'!$V$102)=FALSE,"",IF((('Dvd Calendar'!$V$104=TYPE1)*(TYPE1&lt;&gt;"")+('Dvd Calendar'!$V$104=TYPE2)*(TYPE2&lt;&gt;"")+('Dvd Calendar'!$V$104=TYPE3)*(TYPE3&lt;&gt;"")+('Dvd Calendar'!$V$104=TYPE4)*(TYPE4&lt;&gt;"")+('Dvd Calendar'!$V$104=SPECIAL_LBL)*(INC_SPECIALS="Y"))=0,"",'Dvd Calendar'!$V$102)))</f>
        <v/>
      </c>
      <c r="U20" s="106">
        <f>IF(EW20="","",IF(ISNUMBER('Dvd Calendar'!$W$102)=FALSE,"",IF((('Dvd Calendar'!$W$104=TYPE1)*(TYPE1&lt;&gt;"")+('Dvd Calendar'!$W$104=TYPE2)*(TYPE2&lt;&gt;"")+('Dvd Calendar'!$W$104=TYPE3)*(TYPE3&lt;&gt;"")+('Dvd Calendar'!$W$104=TYPE4)*(TYPE4&lt;&gt;"")+('Dvd Calendar'!$W$104=SPECIAL_LBL)*(INC_SPECIALS="Y"))=0,"",'Dvd Calendar'!$W$102)))</f>
        <v/>
      </c>
      <c r="V20" s="106">
        <f>IF(EX20="","",IF(ISNUMBER('Dvd Calendar'!$X$102)=FALSE,"",IF((('Dvd Calendar'!$X$104=TYPE1)*(TYPE1&lt;&gt;"")+('Dvd Calendar'!$X$104=TYPE2)*(TYPE2&lt;&gt;"")+('Dvd Calendar'!$X$104=TYPE3)*(TYPE3&lt;&gt;"")+('Dvd Calendar'!$X$104=TYPE4)*(TYPE4&lt;&gt;"")+('Dvd Calendar'!$X$104=SPECIAL_LBL)*(INC_SPECIALS="Y"))=0,"",'Dvd Calendar'!$X$102)))</f>
        <v/>
      </c>
      <c r="W20" s="106">
        <f>IF(EY20="","",IF(ISNUMBER('Dvd Calendar'!$Y$102)=FALSE,"",IF((('Dvd Calendar'!$Y$104=TYPE1)*(TYPE1&lt;&gt;"")+('Dvd Calendar'!$Y$104=TYPE2)*(TYPE2&lt;&gt;"")+('Dvd Calendar'!$Y$104=TYPE3)*(TYPE3&lt;&gt;"")+('Dvd Calendar'!$Y$104=TYPE4)*(TYPE4&lt;&gt;"")+('Dvd Calendar'!$Y$104=SPECIAL_LBL)*(INC_SPECIALS="Y"))=0,"",'Dvd Calendar'!$Y$102)))</f>
        <v/>
      </c>
      <c r="X20" s="106">
        <f>IF(EZ20="","",IF(ISNUMBER('Dvd Calendar'!$Z$102)=FALSE,"",IF((('Dvd Calendar'!$Z$104=TYPE1)*(TYPE1&lt;&gt;"")+('Dvd Calendar'!$Z$104=TYPE2)*(TYPE2&lt;&gt;"")+('Dvd Calendar'!$Z$104=TYPE3)*(TYPE3&lt;&gt;"")+('Dvd Calendar'!$Z$104=TYPE4)*(TYPE4&lt;&gt;"")+('Dvd Calendar'!$Z$104=SPECIAL_LBL)*(INC_SPECIALS="Y"))=0,"",'Dvd Calendar'!$Z$102)))</f>
        <v/>
      </c>
      <c r="Y20" s="106">
        <f>IF(FA20="","",IF(ISNUMBER('Dvd Calendar'!$AA$102)=FALSE,"",IF((('Dvd Calendar'!$AA$104=TYPE1)*(TYPE1&lt;&gt;"")+('Dvd Calendar'!$AA$104=TYPE2)*(TYPE2&lt;&gt;"")+('Dvd Calendar'!$AA$104=TYPE3)*(TYPE3&lt;&gt;"")+('Dvd Calendar'!$AA$104=TYPE4)*(TYPE4&lt;&gt;"")+('Dvd Calendar'!$AA$104=SPECIAL_LBL)*(INC_SPECIALS="Y"))=0,"",'Dvd Calendar'!$AA$102)))</f>
        <v/>
      </c>
      <c r="Z20" s="106">
        <f>IF(FB20="","",IF(ISNUMBER('Dvd Calendar'!$AB$102)=FALSE,"",IF((('Dvd Calendar'!$AB$104=TYPE1)*(TYPE1&lt;&gt;"")+('Dvd Calendar'!$AB$104=TYPE2)*(TYPE2&lt;&gt;"")+('Dvd Calendar'!$AB$104=TYPE3)*(TYPE3&lt;&gt;"")+('Dvd Calendar'!$AB$104=TYPE4)*(TYPE4&lt;&gt;"")+('Dvd Calendar'!$AB$104=SPECIAL_LBL)*(INC_SPECIALS="Y"))=0,"",'Dvd Calendar'!$AB$102)))</f>
        <v/>
      </c>
      <c r="AA20" s="106">
        <f>IF(FC20="","",IF(ISNUMBER('Dvd Calendar'!$AC$102)=FALSE,"",IF((('Dvd Calendar'!$AC$104=TYPE1)*(TYPE1&lt;&gt;"")+('Dvd Calendar'!$AC$104=TYPE2)*(TYPE2&lt;&gt;"")+('Dvd Calendar'!$AC$104=TYPE3)*(TYPE3&lt;&gt;"")+('Dvd Calendar'!$AC$104=TYPE4)*(TYPE4&lt;&gt;"")+('Dvd Calendar'!$AC$104=SPECIAL_LBL)*(INC_SPECIALS="Y"))=0,"",'Dvd Calendar'!$AC$102)))</f>
        <v/>
      </c>
      <c r="AB20" s="106">
        <f>IF(FD20="","",IF(ISNUMBER('Dvd Calendar'!$AD$102)=FALSE,"",IF((('Dvd Calendar'!$AD$104=TYPE1)*(TYPE1&lt;&gt;"")+('Dvd Calendar'!$AD$104=TYPE2)*(TYPE2&lt;&gt;"")+('Dvd Calendar'!$AD$104=TYPE3)*(TYPE3&lt;&gt;"")+('Dvd Calendar'!$AD$104=TYPE4)*(TYPE4&lt;&gt;"")+('Dvd Calendar'!$AD$104=SPECIAL_LBL)*(INC_SPECIALS="Y"))=0,"",'Dvd Calendar'!$AD$102)))</f>
        <v/>
      </c>
      <c r="AC20" s="106">
        <f>IF(FE20="","",IF(ISNUMBER('Dvd Calendar'!$AE$102)=FALSE,"",IF((('Dvd Calendar'!$AE$104=TYPE1)*(TYPE1&lt;&gt;"")+('Dvd Calendar'!$AE$104=TYPE2)*(TYPE2&lt;&gt;"")+('Dvd Calendar'!$AE$104=TYPE3)*(TYPE3&lt;&gt;"")+('Dvd Calendar'!$AE$104=TYPE4)*(TYPE4&lt;&gt;"")+('Dvd Calendar'!$AE$104=SPECIAL_LBL)*(INC_SPECIALS="Y"))=0,"",'Dvd Calendar'!$AE$102)))</f>
        <v/>
      </c>
      <c r="AD20" s="106">
        <f>IF(FF20="","",IF(ISNUMBER('Dvd Calendar'!$AF$102)=FALSE,"",IF((('Dvd Calendar'!$AF$104=TYPE1)*(TYPE1&lt;&gt;"")+('Dvd Calendar'!$AF$104=TYPE2)*(TYPE2&lt;&gt;"")+('Dvd Calendar'!$AF$104=TYPE3)*(TYPE3&lt;&gt;"")+('Dvd Calendar'!$AF$104=TYPE4)*(TYPE4&lt;&gt;"")+('Dvd Calendar'!$AF$104=SPECIAL_LBL)*(INC_SPECIALS="Y"))=0,"",'Dvd Calendar'!$AF$102)))</f>
        <v/>
      </c>
      <c r="AE20" s="106">
        <f>IF(FG20="","",IF(ISNUMBER('Dvd Calendar'!$AG$102)=FALSE,"",IF((('Dvd Calendar'!$AG$104=TYPE1)*(TYPE1&lt;&gt;"")+('Dvd Calendar'!$AG$104=TYPE2)*(TYPE2&lt;&gt;"")+('Dvd Calendar'!$AG$104=TYPE3)*(TYPE3&lt;&gt;"")+('Dvd Calendar'!$AG$104=TYPE4)*(TYPE4&lt;&gt;"")+('Dvd Calendar'!$AG$104=SPECIAL_LBL)*(INC_SPECIALS="Y"))=0,"",'Dvd Calendar'!$AG$102)))</f>
        <v/>
      </c>
      <c r="AF20" s="106">
        <f>IF(FH20="","",IF(ISNUMBER('Dvd Calendar'!$AH$102)=FALSE,"",IF((('Dvd Calendar'!$AH$104=TYPE1)*(TYPE1&lt;&gt;"")+('Dvd Calendar'!$AH$104=TYPE2)*(TYPE2&lt;&gt;"")+('Dvd Calendar'!$AH$104=TYPE3)*(TYPE3&lt;&gt;"")+('Dvd Calendar'!$AH$104=TYPE4)*(TYPE4&lt;&gt;"")+('Dvd Calendar'!$AH$104=SPECIAL_LBL)*(INC_SPECIALS="Y"))=0,"",'Dvd Calendar'!$AH$102)))</f>
        <v/>
      </c>
      <c r="AG20" s="106">
        <f>IF(FI20="","",IF(ISNUMBER('Dvd Calendar'!$AI$102)=FALSE,"",IF((('Dvd Calendar'!$AI$104=TYPE1)*(TYPE1&lt;&gt;"")+('Dvd Calendar'!$AI$104=TYPE2)*(TYPE2&lt;&gt;"")+('Dvd Calendar'!$AI$104=TYPE3)*(TYPE3&lt;&gt;"")+('Dvd Calendar'!$AI$104=TYPE4)*(TYPE4&lt;&gt;"")+('Dvd Calendar'!$AI$104=SPECIAL_LBL)*(INC_SPECIALS="Y"))=0,"",'Dvd Calendar'!$AI$102)))</f>
        <v/>
      </c>
      <c r="AH20" s="106">
        <f>IF(FJ20="","",IF(ISNUMBER('Dvd Calendar'!$AJ$102)=FALSE,"",IF((('Dvd Calendar'!$AJ$104=TYPE1)*(TYPE1&lt;&gt;"")+('Dvd Calendar'!$AJ$104=TYPE2)*(TYPE2&lt;&gt;"")+('Dvd Calendar'!$AJ$104=TYPE3)*(TYPE3&lt;&gt;"")+('Dvd Calendar'!$AJ$104=TYPE4)*(TYPE4&lt;&gt;"")+('Dvd Calendar'!$AJ$104=SPECIAL_LBL)*(INC_SPECIALS="Y"))=0,"",'Dvd Calendar'!$AJ$102)))</f>
        <v/>
      </c>
      <c r="AI20" s="106">
        <f>IF(FK20="","",IF(ISNUMBER('Dvd Calendar'!$AK$102)=FALSE,"",IF((('Dvd Calendar'!$AK$104=TYPE1)*(TYPE1&lt;&gt;"")+('Dvd Calendar'!$AK$104=TYPE2)*(TYPE2&lt;&gt;"")+('Dvd Calendar'!$AK$104=TYPE3)*(TYPE3&lt;&gt;"")+('Dvd Calendar'!$AK$104=TYPE4)*(TYPE4&lt;&gt;"")+('Dvd Calendar'!$AK$104=SPECIAL_LBL)*(INC_SPECIALS="Y"))=0,"",'Dvd Calendar'!$AK$102)))</f>
        <v/>
      </c>
      <c r="AJ20" s="106">
        <f>IF(FL20="","",IF(ISNUMBER('Dvd Calendar'!$AL$102)=FALSE,"",IF((('Dvd Calendar'!$AL$104=TYPE1)*(TYPE1&lt;&gt;"")+('Dvd Calendar'!$AL$104=TYPE2)*(TYPE2&lt;&gt;"")+('Dvd Calendar'!$AL$104=TYPE3)*(TYPE3&lt;&gt;"")+('Dvd Calendar'!$AL$104=TYPE4)*(TYPE4&lt;&gt;"")+('Dvd Calendar'!$AL$104=SPECIAL_LBL)*(INC_SPECIALS="Y"))=0,"",'Dvd Calendar'!$AL$102)))</f>
        <v/>
      </c>
      <c r="AK20" s="106">
        <f>IF(FM20="","",IF(ISNUMBER('Dvd Calendar'!$AM$102)=FALSE,"",IF((('Dvd Calendar'!$AM$104=TYPE1)*(TYPE1&lt;&gt;"")+('Dvd Calendar'!$AM$104=TYPE2)*(TYPE2&lt;&gt;"")+('Dvd Calendar'!$AM$104=TYPE3)*(TYPE3&lt;&gt;"")+('Dvd Calendar'!$AM$104=TYPE4)*(TYPE4&lt;&gt;"")+('Dvd Calendar'!$AM$104=SPECIAL_LBL)*(INC_SPECIALS="Y"))=0,"",'Dvd Calendar'!$AM$102)))</f>
        <v/>
      </c>
      <c r="AL20" s="106">
        <f>IF(FN20="","",IF(ISNUMBER('Dvd Calendar'!$AN$102)=FALSE,"",IF((('Dvd Calendar'!$AN$104=TYPE1)*(TYPE1&lt;&gt;"")+('Dvd Calendar'!$AN$104=TYPE2)*(TYPE2&lt;&gt;"")+('Dvd Calendar'!$AN$104=TYPE3)*(TYPE3&lt;&gt;"")+('Dvd Calendar'!$AN$104=TYPE4)*(TYPE4&lt;&gt;"")+('Dvd Calendar'!$AN$104=SPECIAL_LBL)*(INC_SPECIALS="Y"))=0,"",'Dvd Calendar'!$AN$102)))</f>
        <v/>
      </c>
      <c r="AM20" s="106">
        <f>IF(FO20="","",IF(ISNUMBER('Dvd Calendar'!$AO$102)=FALSE,"",IF((('Dvd Calendar'!$AO$104=TYPE1)*(TYPE1&lt;&gt;"")+('Dvd Calendar'!$AO$104=TYPE2)*(TYPE2&lt;&gt;"")+('Dvd Calendar'!$AO$104=TYPE3)*(TYPE3&lt;&gt;"")+('Dvd Calendar'!$AO$104=TYPE4)*(TYPE4&lt;&gt;"")+('Dvd Calendar'!$AO$104=SPECIAL_LBL)*(INC_SPECIALS="Y"))=0,"",'Dvd Calendar'!$AO$102)))</f>
        <v/>
      </c>
      <c r="AN20" s="106">
        <f>IF(FP20="","",IF(ISNUMBER('Dvd Calendar'!$AP$102)=FALSE,"",IF((('Dvd Calendar'!$AP$104=TYPE1)*(TYPE1&lt;&gt;"")+('Dvd Calendar'!$AP$104=TYPE2)*(TYPE2&lt;&gt;"")+('Dvd Calendar'!$AP$104=TYPE3)*(TYPE3&lt;&gt;"")+('Dvd Calendar'!$AP$104=TYPE4)*(TYPE4&lt;&gt;"")+('Dvd Calendar'!$AP$104=SPECIAL_LBL)*(INC_SPECIALS="Y"))=0,"",'Dvd Calendar'!$AP$102)))</f>
        <v/>
      </c>
      <c r="AO20" s="106">
        <f>IF(FQ20="","",IF(ISNUMBER('Dvd Calendar'!$AQ$102)=FALSE,"",IF((('Dvd Calendar'!$AQ$104=TYPE1)*(TYPE1&lt;&gt;"")+('Dvd Calendar'!$AQ$104=TYPE2)*(TYPE2&lt;&gt;"")+('Dvd Calendar'!$AQ$104=TYPE3)*(TYPE3&lt;&gt;"")+('Dvd Calendar'!$AQ$104=TYPE4)*(TYPE4&lt;&gt;"")+('Dvd Calendar'!$AQ$104=SPECIAL_LBL)*(INC_SPECIALS="Y"))=0,"",'Dvd Calendar'!$AQ$102)))</f>
        <v/>
      </c>
      <c r="AP20" s="106">
        <f>IF(FR20="","",IF(ISNUMBER('Dvd Calendar'!$AR$102)=FALSE,"",IF((('Dvd Calendar'!$AR$104=TYPE1)*(TYPE1&lt;&gt;"")+('Dvd Calendar'!$AR$104=TYPE2)*(TYPE2&lt;&gt;"")+('Dvd Calendar'!$AR$104=TYPE3)*(TYPE3&lt;&gt;"")+('Dvd Calendar'!$AR$104=TYPE4)*(TYPE4&lt;&gt;"")+('Dvd Calendar'!$AR$104=SPECIAL_LBL)*(INC_SPECIALS="Y"))=0,"",'Dvd Calendar'!$AR$102)))</f>
        <v/>
      </c>
      <c r="AQ20" s="106">
        <f>IF(FS20="","",IF(ISNUMBER('Dvd Calendar'!$E$107)=FALSE,"",'Dvd Calendar'!$E$107))</f>
        <v/>
      </c>
      <c r="AR20" s="106">
        <f>IF(FT20="","",IF(ISNUMBER('Dvd Calendar'!$F$107)=FALSE,"",'Dvd Calendar'!$F$107))</f>
        <v/>
      </c>
      <c r="AS20" s="106">
        <f>IF(FU20="","",IF(ISNUMBER('Dvd Calendar'!$G$107)=FALSE,"",'Dvd Calendar'!$G$107))</f>
        <v/>
      </c>
      <c r="AT20" s="106">
        <f>IF(FV20="","",IF(ISNUMBER('Dvd Calendar'!$H$107)=FALSE,"",'Dvd Calendar'!$H$107))</f>
        <v/>
      </c>
      <c r="AU20" s="106">
        <f>IF(FW20="","",IF(ISNUMBER('Dvd Calendar'!$I$107)=FALSE,"",'Dvd Calendar'!$I$107))</f>
        <v/>
      </c>
      <c r="AV20" s="106">
        <f>IF(FX20="","",IF(ISNUMBER('Dvd Calendar'!$J$107)=FALSE,"",'Dvd Calendar'!$J$107))</f>
        <v/>
      </c>
      <c r="AW20" s="106">
        <f>IF(FY20="","",IF(ISNUMBER('Dvd Calendar'!$K$107)=FALSE,"",'Dvd Calendar'!$K$107))</f>
        <v/>
      </c>
      <c r="AX20" s="106">
        <f>IF(FZ20="","",IF(ISNUMBER('Dvd Calendar'!$L$107)=FALSE,"",'Dvd Calendar'!$L$107))</f>
        <v/>
      </c>
      <c r="AY20" s="106">
        <f>IF(GA20="","",IF(ISNUMBER('Dvd Calendar'!$M$107)=FALSE,"",'Dvd Calendar'!$M$107))</f>
        <v/>
      </c>
      <c r="AZ20" s="106">
        <f>IF(GB20="","",IF(ISNUMBER('Dvd Calendar'!$N$107)=FALSE,"",'Dvd Calendar'!$N$107))</f>
        <v/>
      </c>
      <c r="BA20" s="106">
        <f>IF(GC20="","",IF(ISNUMBER('Dvd Calendar'!$O$107)=FALSE,"",'Dvd Calendar'!$O$107))</f>
        <v/>
      </c>
      <c r="BB20" s="106">
        <f>IF(GD20="","",IF(ISNUMBER('Dvd Calendar'!$P$107)=FALSE,"",'Dvd Calendar'!$P$107))</f>
        <v/>
      </c>
      <c r="BC20" s="106">
        <f>IF(GE20="","",IF(ISNUMBER('Dvd Calendar'!$Q$107)=FALSE,"",'Dvd Calendar'!$Q$107))</f>
        <v/>
      </c>
      <c r="BD20" s="106">
        <f>IF(GF20="","",IF(ISNUMBER('Dvd Calendar'!$R$107)=FALSE,"",'Dvd Calendar'!$R$107))</f>
        <v/>
      </c>
      <c r="BE20" s="106">
        <f>IF(GG20="","",IF(ISNUMBER('Dvd Calendar'!$S$107)=FALSE,"",'Dvd Calendar'!$S$107))</f>
        <v/>
      </c>
      <c r="BF20" s="106">
        <f>IF(GH20="","",IF(ISNUMBER('Dvd Calendar'!$T$107)=FALSE,"",'Dvd Calendar'!$T$107))</f>
        <v/>
      </c>
      <c r="BG20" s="106">
        <f>IF(GI20="","",IF(ISNUMBER('Dvd Calendar'!$U$107)=FALSE,"",'Dvd Calendar'!$U$107))</f>
        <v/>
      </c>
      <c r="BH20" s="106">
        <f>IF(GJ20="","",IF(ISNUMBER('Dvd Calendar'!$V$107)=FALSE,"",'Dvd Calendar'!$V$107))</f>
        <v/>
      </c>
      <c r="BI20" s="106">
        <f>IF(GK20="","",IF(ISNUMBER('Dvd Calendar'!$W$107)=FALSE,"",'Dvd Calendar'!$W$107))</f>
        <v/>
      </c>
      <c r="BJ20" s="106">
        <f>IF(GL20="","",IF(ISNUMBER('Dvd Calendar'!$X$107)=FALSE,"",'Dvd Calendar'!$X$107))</f>
        <v/>
      </c>
      <c r="BK20" s="106">
        <f>IF(GM20="","",IF(ISNUMBER('Dvd Calendar'!$Y$107)=FALSE,"",'Dvd Calendar'!$Y$107))</f>
        <v/>
      </c>
      <c r="BL20" s="106">
        <f>IF(GN20="","",IF(ISNUMBER('Dvd Calendar'!$Z$107)=FALSE,"",'Dvd Calendar'!$Z$107))</f>
        <v/>
      </c>
      <c r="BM20" s="106">
        <f>IF(GO20="","",IF(ISNUMBER('Dvd Calendar'!$AA$107)=FALSE,"",'Dvd Calendar'!$AA$107))</f>
        <v/>
      </c>
      <c r="BN20" s="106">
        <f>IF(GP20="","",IF(ISNUMBER('Dvd Calendar'!$AB$107)=FALSE,"",'Dvd Calendar'!$AB$107))</f>
        <v/>
      </c>
      <c r="BO20" s="106">
        <f>IF(GQ20="","",IF(ISNUMBER('Dvd Calendar'!$AC$107)=FALSE,"",'Dvd Calendar'!$AC$107))</f>
        <v/>
      </c>
      <c r="BQ20" s="106">
        <f>IF(C20="","",IFERROR(C20*HSI!$B$15*HSI!$G$15/HSI!$B$3,""))</f>
        <v/>
      </c>
      <c r="BR20" s="106">
        <f>IF(D20="","",IFERROR(D20*HSI!$B$15*HSI!$G$15/HSI!$B$3,""))</f>
        <v/>
      </c>
      <c r="BS20" s="106">
        <f>IF(E20="","",IFERROR(E20*HSI!$B$15*HSI!$G$15/HSI!$B$3,""))</f>
        <v/>
      </c>
      <c r="BT20" s="106">
        <f>IF(F20="","",IFERROR(F20*HSI!$B$15*HSI!$G$15/HSI!$B$3,""))</f>
        <v/>
      </c>
      <c r="BU20" s="106">
        <f>IF(G20="","",IFERROR(G20*HSI!$B$15*HSI!$G$15/HSI!$B$3,""))</f>
        <v/>
      </c>
      <c r="BV20" s="106">
        <f>IF(H20="","",IFERROR(H20*HSI!$B$15*HSI!$G$15/HSI!$B$3,""))</f>
        <v/>
      </c>
      <c r="BW20" s="106">
        <f>IF(I20="","",IFERROR(I20*HSI!$B$15*HSI!$G$15/HSI!$B$3,""))</f>
        <v/>
      </c>
      <c r="BX20" s="106">
        <f>IF(J20="","",IFERROR(J20*HSI!$B$15*HSI!$G$15/HSI!$B$3,""))</f>
        <v/>
      </c>
      <c r="BY20" s="106">
        <f>IF(K20="","",IFERROR(K20*HSI!$B$15*HSI!$G$15/HSI!$B$3,""))</f>
        <v/>
      </c>
      <c r="BZ20" s="106">
        <f>IF(L20="","",IFERROR(L20*HSI!$B$15*HSI!$G$15/HSI!$B$3,""))</f>
        <v/>
      </c>
      <c r="CA20" s="106">
        <f>IF(M20="","",IFERROR(M20*HSI!$B$15*HSI!$G$15/HSI!$B$3,""))</f>
        <v/>
      </c>
      <c r="CB20" s="106">
        <f>IF(N20="","",IFERROR(N20*HSI!$B$15*HSI!$G$15/HSI!$B$3,""))</f>
        <v/>
      </c>
      <c r="CC20" s="106">
        <f>IF(O20="","",IFERROR(O20*HSI!$B$15*HSI!$G$15/HSI!$B$3,""))</f>
        <v/>
      </c>
      <c r="CD20" s="106">
        <f>IF(P20="","",IFERROR(P20*HSI!$B$15*HSI!$G$15/HSI!$B$3,""))</f>
        <v/>
      </c>
      <c r="CE20" s="106">
        <f>IF(Q20="","",IFERROR(Q20*HSI!$B$15*HSI!$G$15/HSI!$B$3,""))</f>
        <v/>
      </c>
      <c r="CF20" s="106">
        <f>IF(R20="","",IFERROR(R20*HSI!$B$15*HSI!$G$15/HSI!$B$3,""))</f>
        <v/>
      </c>
      <c r="CG20" s="106">
        <f>IF(S20="","",IFERROR(S20*HSI!$B$15*HSI!$G$15/HSI!$B$3,""))</f>
        <v/>
      </c>
      <c r="CH20" s="106">
        <f>IF(T20="","",IFERROR(T20*HSI!$B$15*HSI!$G$15/HSI!$B$3,""))</f>
        <v/>
      </c>
      <c r="CI20" s="106">
        <f>IF(U20="","",IFERROR(U20*HSI!$B$15*HSI!$G$15/HSI!$B$3,""))</f>
        <v/>
      </c>
      <c r="CJ20" s="106">
        <f>IF(V20="","",IFERROR(V20*HSI!$B$15*HSI!$G$15/HSI!$B$3,""))</f>
        <v/>
      </c>
      <c r="CK20" s="106">
        <f>IF(W20="","",IFERROR(W20*HSI!$B$15*HSI!$G$15/HSI!$B$3,""))</f>
        <v/>
      </c>
      <c r="CL20" s="106">
        <f>IF(X20="","",IFERROR(X20*HSI!$B$15*HSI!$G$15/HSI!$B$3,""))</f>
        <v/>
      </c>
      <c r="CM20" s="106">
        <f>IF(Y20="","",IFERROR(Y20*HSI!$B$15*HSI!$G$15/HSI!$B$3,""))</f>
        <v/>
      </c>
      <c r="CN20" s="106">
        <f>IF(Z20="","",IFERROR(Z20*HSI!$B$15*HSI!$G$15/HSI!$B$3,""))</f>
        <v/>
      </c>
      <c r="CO20" s="106">
        <f>IF(AA20="","",IFERROR(AA20*HSI!$B$15*HSI!$G$15/HSI!$B$3,""))</f>
        <v/>
      </c>
      <c r="CP20" s="106">
        <f>IF(AB20="","",IFERROR(AB20*HSI!$B$15*HSI!$G$15/HSI!$B$3,""))</f>
        <v/>
      </c>
      <c r="CQ20" s="106">
        <f>IF(AC20="","",IFERROR(AC20*HSI!$B$15*HSI!$G$15/HSI!$B$3,""))</f>
        <v/>
      </c>
      <c r="CR20" s="106">
        <f>IF(AD20="","",IFERROR(AD20*HSI!$B$15*HSI!$G$15/HSI!$B$3,""))</f>
        <v/>
      </c>
      <c r="CS20" s="106">
        <f>IF(AE20="","",IFERROR(AE20*HSI!$B$15*HSI!$G$15/HSI!$B$3,""))</f>
        <v/>
      </c>
      <c r="CT20" s="106">
        <f>IF(AF20="","",IFERROR(AF20*HSI!$B$15*HSI!$G$15/HSI!$B$3,""))</f>
        <v/>
      </c>
      <c r="CU20" s="106">
        <f>IF(AG20="","",IFERROR(AG20*HSI!$B$15*HSI!$G$15/HSI!$B$3,""))</f>
        <v/>
      </c>
      <c r="CV20" s="106">
        <f>IF(AH20="","",IFERROR(AH20*HSI!$B$15*HSI!$G$15/HSI!$B$3,""))</f>
        <v/>
      </c>
      <c r="CW20" s="106">
        <f>IF(AI20="","",IFERROR(AI20*HSI!$B$15*HSI!$G$15/HSI!$B$3,""))</f>
        <v/>
      </c>
      <c r="CX20" s="106">
        <f>IF(AJ20="","",IFERROR(AJ20*HSI!$B$15*HSI!$G$15/HSI!$B$3,""))</f>
        <v/>
      </c>
      <c r="CY20" s="106">
        <f>IF(AK20="","",IFERROR(AK20*HSI!$B$15*HSI!$G$15/HSI!$B$3,""))</f>
        <v/>
      </c>
      <c r="CZ20" s="106">
        <f>IF(AL20="","",IFERROR(AL20*HSI!$B$15*HSI!$G$15/HSI!$B$3,""))</f>
        <v/>
      </c>
      <c r="DA20" s="106">
        <f>IF(AM20="","",IFERROR(AM20*HSI!$B$15*HSI!$G$15/HSI!$B$3,""))</f>
        <v/>
      </c>
      <c r="DB20" s="106">
        <f>IF(AN20="","",IFERROR(AN20*HSI!$B$15*HSI!$G$15/HSI!$B$3,""))</f>
        <v/>
      </c>
      <c r="DC20" s="106">
        <f>IF(AO20="","",IFERROR(AO20*HSI!$B$15*HSI!$G$15/HSI!$B$3,""))</f>
        <v/>
      </c>
      <c r="DD20" s="106">
        <f>IF(AP20="","",IFERROR(AP20*HSI!$B$15*HSI!$G$15/HSI!$B$3,""))</f>
        <v/>
      </c>
      <c r="DE20" s="106">
        <f>IF(AQ20="","",IFERROR(AQ20*HSI!$B$15*HSI!$G$15/HSI!$B$3,""))</f>
        <v/>
      </c>
      <c r="DF20" s="106">
        <f>IF(AR20="","",IFERROR(AR20*HSI!$B$15*HSI!$G$15/HSI!$B$3,""))</f>
        <v/>
      </c>
      <c r="DG20" s="106">
        <f>IF(AS20="","",IFERROR(AS20*HSI!$B$15*HSI!$G$15/HSI!$B$3,""))</f>
        <v/>
      </c>
      <c r="DH20" s="106">
        <f>IF(AT20="","",IFERROR(AT20*HSI!$B$15*HSI!$G$15/HSI!$B$3,""))</f>
        <v/>
      </c>
      <c r="DI20" s="106">
        <f>IF(AU20="","",IFERROR(AU20*HSI!$B$15*HSI!$G$15/HSI!$B$3,""))</f>
        <v/>
      </c>
      <c r="DJ20" s="106">
        <f>IF(AV20="","",IFERROR(AV20*HSI!$B$15*HSI!$G$15/HSI!$B$3,""))</f>
        <v/>
      </c>
      <c r="DK20" s="106">
        <f>IF(AW20="","",IFERROR(AW20*HSI!$B$15*HSI!$G$15/HSI!$B$3,""))</f>
        <v/>
      </c>
      <c r="DL20" s="106">
        <f>IF(AX20="","",IFERROR(AX20*HSI!$B$15*HSI!$G$15/HSI!$B$3,""))</f>
        <v/>
      </c>
      <c r="DM20" s="106">
        <f>IF(AY20="","",IFERROR(AY20*HSI!$B$15*HSI!$G$15/HSI!$B$3,""))</f>
        <v/>
      </c>
      <c r="DN20" s="106">
        <f>IF(AZ20="","",IFERROR(AZ20*HSI!$B$15*HSI!$G$15/HSI!$B$3,""))</f>
        <v/>
      </c>
      <c r="DO20" s="106">
        <f>IF(BA20="","",IFERROR(BA20*HSI!$B$15*HSI!$G$15/HSI!$B$3,""))</f>
        <v/>
      </c>
      <c r="DP20" s="106">
        <f>IF(BB20="","",IFERROR(BB20*HSI!$B$15*HSI!$G$15/HSI!$B$3,""))</f>
        <v/>
      </c>
      <c r="DQ20" s="106">
        <f>IF(BC20="","",IFERROR(BC20*HSI!$B$15*HSI!$G$15/HSI!$B$3,""))</f>
        <v/>
      </c>
      <c r="DR20" s="106">
        <f>IF(BD20="","",IFERROR(BD20*HSI!$B$15*HSI!$G$15/HSI!$B$3,""))</f>
        <v/>
      </c>
      <c r="DS20" s="106">
        <f>IF(BE20="","",IFERROR(BE20*HSI!$B$15*HSI!$G$15/HSI!$B$3,""))</f>
        <v/>
      </c>
      <c r="DT20" s="106">
        <f>IF(BF20="","",IFERROR(BF20*HSI!$B$15*HSI!$G$15/HSI!$B$3,""))</f>
        <v/>
      </c>
      <c r="DU20" s="106">
        <f>IF(BG20="","",IFERROR(BG20*HSI!$B$15*HSI!$G$15/HSI!$B$3,""))</f>
        <v/>
      </c>
      <c r="DV20" s="106">
        <f>IF(BH20="","",IFERROR(BH20*HSI!$B$15*HSI!$G$15/HSI!$B$3,""))</f>
        <v/>
      </c>
      <c r="DW20" s="106">
        <f>IF(BI20="","",IFERROR(BI20*HSI!$B$15*HSI!$G$15/HSI!$B$3,""))</f>
        <v/>
      </c>
      <c r="DX20" s="106">
        <f>IF(BJ20="","",IFERROR(BJ20*HSI!$B$15*HSI!$G$15/HSI!$B$3,""))</f>
        <v/>
      </c>
      <c r="DY20" s="106">
        <f>IF(BK20="","",IFERROR(BK20*HSI!$B$15*HSI!$G$15/HSI!$B$3,""))</f>
        <v/>
      </c>
      <c r="DZ20" s="106">
        <f>IF(BL20="","",IFERROR(BL20*HSI!$B$15*HSI!$G$15/HSI!$B$3,""))</f>
        <v/>
      </c>
      <c r="EA20" s="106">
        <f>IF(BM20="","",IFERROR(BM20*HSI!$B$15*HSI!$G$15/HSI!$B$3,""))</f>
        <v/>
      </c>
      <c r="EB20" s="106">
        <f>IF(BN20="","",IFERROR(BN20*HSI!$B$15*HSI!$G$15/HSI!$B$3,""))</f>
        <v/>
      </c>
      <c r="EC20" s="106">
        <f>IF(BO20="","",IFERROR(BO20*HSI!$B$15*HSI!$G$15/HSI!$B$3,""))</f>
        <v/>
      </c>
      <c r="EE20" s="35">
        <f>IF(N('Dvd Calendar'!$E$99)=0,"",IF(('Dvd Calendar'!$E$99&gt;=GRID_FROM)*('Dvd Calendar'!$E$99&lt;=GRID_TO)*('Dvd Calendar'!$E$99&lt;=VAL_DATE)=0,"",'Dvd Calendar'!$E$99*1000000000+ISNUMBER('Dvd Calendar'!$E$102)*100000000+('Dvd Calendar'!$E$104=SPECIAL_LBL)*10000000+0*1000000+9*1000+1))</f>
        <v/>
      </c>
      <c r="EF20" s="35">
        <f>IF(N('Dvd Calendar'!$F$99)=0,"",IF(('Dvd Calendar'!$F$99&gt;=GRID_FROM)*('Dvd Calendar'!$F$99&lt;=GRID_TO)*('Dvd Calendar'!$F$99&lt;=VAL_DATE)=0,"",'Dvd Calendar'!$F$99*1000000000+ISNUMBER('Dvd Calendar'!$F$102)*100000000+('Dvd Calendar'!$F$104=SPECIAL_LBL)*10000000+0*1000000+9*1000+2))</f>
        <v/>
      </c>
      <c r="EG20" s="35">
        <f>IF(N('Dvd Calendar'!$G$99)=0,"",IF(('Dvd Calendar'!$G$99&gt;=GRID_FROM)*('Dvd Calendar'!$G$99&lt;=GRID_TO)*('Dvd Calendar'!$G$99&lt;=VAL_DATE)=0,"",'Dvd Calendar'!$G$99*1000000000+ISNUMBER('Dvd Calendar'!$G$102)*100000000+('Dvd Calendar'!$G$104=SPECIAL_LBL)*10000000+0*1000000+9*1000+3))</f>
        <v/>
      </c>
      <c r="EH20" s="35">
        <f>IF(N('Dvd Calendar'!$H$99)=0,"",IF(('Dvd Calendar'!$H$99&gt;=GRID_FROM)*('Dvd Calendar'!$H$99&lt;=GRID_TO)*('Dvd Calendar'!$H$99&lt;=VAL_DATE)=0,"",'Dvd Calendar'!$H$99*1000000000+ISNUMBER('Dvd Calendar'!$H$102)*100000000+('Dvd Calendar'!$H$104=SPECIAL_LBL)*10000000+0*1000000+9*1000+4))</f>
        <v/>
      </c>
      <c r="EI20" s="35">
        <f>IF(N('Dvd Calendar'!$I$99)=0,"",IF(('Dvd Calendar'!$I$99&gt;=GRID_FROM)*('Dvd Calendar'!$I$99&lt;=GRID_TO)*('Dvd Calendar'!$I$99&lt;=VAL_DATE)=0,"",'Dvd Calendar'!$I$99*1000000000+ISNUMBER('Dvd Calendar'!$I$102)*100000000+('Dvd Calendar'!$I$104=SPECIAL_LBL)*10000000+0*1000000+9*1000+5))</f>
        <v/>
      </c>
      <c r="EJ20" s="35">
        <f>IF(N('Dvd Calendar'!$J$99)=0,"",IF(('Dvd Calendar'!$J$99&gt;=GRID_FROM)*('Dvd Calendar'!$J$99&lt;=GRID_TO)*('Dvd Calendar'!$J$99&lt;=VAL_DATE)=0,"",'Dvd Calendar'!$J$99*1000000000+ISNUMBER('Dvd Calendar'!$J$102)*100000000+('Dvd Calendar'!$J$104=SPECIAL_LBL)*10000000+0*1000000+9*1000+6))</f>
        <v/>
      </c>
      <c r="EK20" s="35">
        <f>IF(N('Dvd Calendar'!$K$99)=0,"",IF(('Dvd Calendar'!$K$99&gt;=GRID_FROM)*('Dvd Calendar'!$K$99&lt;=GRID_TO)*('Dvd Calendar'!$K$99&lt;=VAL_DATE)=0,"",'Dvd Calendar'!$K$99*1000000000+ISNUMBER('Dvd Calendar'!$K$102)*100000000+('Dvd Calendar'!$K$104=SPECIAL_LBL)*10000000+0*1000000+9*1000+7))</f>
        <v/>
      </c>
      <c r="EL20" s="35">
        <f>IF(N('Dvd Calendar'!$L$99)=0,"",IF(('Dvd Calendar'!$L$99&gt;=GRID_FROM)*('Dvd Calendar'!$L$99&lt;=GRID_TO)*('Dvd Calendar'!$L$99&lt;=VAL_DATE)=0,"",'Dvd Calendar'!$L$99*1000000000+ISNUMBER('Dvd Calendar'!$L$102)*100000000+('Dvd Calendar'!$L$104=SPECIAL_LBL)*10000000+0*1000000+9*1000+8))</f>
        <v/>
      </c>
      <c r="EM20" s="35">
        <f>IF(N('Dvd Calendar'!$M$99)=0,"",IF(('Dvd Calendar'!$M$99&gt;=GRID_FROM)*('Dvd Calendar'!$M$99&lt;=GRID_TO)*('Dvd Calendar'!$M$99&lt;=VAL_DATE)=0,"",'Dvd Calendar'!$M$99*1000000000+ISNUMBER('Dvd Calendar'!$M$102)*100000000+('Dvd Calendar'!$M$104=SPECIAL_LBL)*10000000+0*1000000+9*1000+9))</f>
        <v/>
      </c>
      <c r="EN20" s="35">
        <f>IF(N('Dvd Calendar'!$N$99)=0,"",IF(('Dvd Calendar'!$N$99&gt;=GRID_FROM)*('Dvd Calendar'!$N$99&lt;=GRID_TO)*('Dvd Calendar'!$N$99&lt;=VAL_DATE)=0,"",'Dvd Calendar'!$N$99*1000000000+ISNUMBER('Dvd Calendar'!$N$102)*100000000+('Dvd Calendar'!$N$104=SPECIAL_LBL)*10000000+0*1000000+9*1000+10))</f>
        <v/>
      </c>
      <c r="EO20" s="35">
        <f>IF(N('Dvd Calendar'!$O$99)=0,"",IF(('Dvd Calendar'!$O$99&gt;=GRID_FROM)*('Dvd Calendar'!$O$99&lt;=GRID_TO)*('Dvd Calendar'!$O$99&lt;=VAL_DATE)=0,"",'Dvd Calendar'!$O$99*1000000000+ISNUMBER('Dvd Calendar'!$O$102)*100000000+('Dvd Calendar'!$O$104=SPECIAL_LBL)*10000000+0*1000000+9*1000+11))</f>
        <v/>
      </c>
      <c r="EP20" s="35">
        <f>IF(N('Dvd Calendar'!$P$99)=0,"",IF(('Dvd Calendar'!$P$99&gt;=GRID_FROM)*('Dvd Calendar'!$P$99&lt;=GRID_TO)*('Dvd Calendar'!$P$99&lt;=VAL_DATE)=0,"",'Dvd Calendar'!$P$99*1000000000+ISNUMBER('Dvd Calendar'!$P$102)*100000000+('Dvd Calendar'!$P$104=SPECIAL_LBL)*10000000+0*1000000+9*1000+12))</f>
        <v/>
      </c>
      <c r="EQ20" s="35">
        <f>IF(N('Dvd Calendar'!$Q$99)=0,"",IF(('Dvd Calendar'!$Q$99&gt;=GRID_FROM)*('Dvd Calendar'!$Q$99&lt;=GRID_TO)*('Dvd Calendar'!$Q$99&lt;=VAL_DATE)=0,"",'Dvd Calendar'!$Q$99*1000000000+ISNUMBER('Dvd Calendar'!$Q$102)*100000000+('Dvd Calendar'!$Q$104=SPECIAL_LBL)*10000000+0*1000000+9*1000+13))</f>
        <v/>
      </c>
      <c r="ER20" s="35">
        <f>IF(N('Dvd Calendar'!$R$99)=0,"",IF(('Dvd Calendar'!$R$99&gt;=GRID_FROM)*('Dvd Calendar'!$R$99&lt;=GRID_TO)*('Dvd Calendar'!$R$99&lt;=VAL_DATE)=0,"",'Dvd Calendar'!$R$99*1000000000+ISNUMBER('Dvd Calendar'!$R$102)*100000000+('Dvd Calendar'!$R$104=SPECIAL_LBL)*10000000+0*1000000+9*1000+14))</f>
        <v/>
      </c>
      <c r="ES20" s="35">
        <f>IF(N('Dvd Calendar'!$S$99)=0,"",IF(('Dvd Calendar'!$S$99&gt;=GRID_FROM)*('Dvd Calendar'!$S$99&lt;=GRID_TO)*('Dvd Calendar'!$S$99&lt;=VAL_DATE)=0,"",'Dvd Calendar'!$S$99*1000000000+ISNUMBER('Dvd Calendar'!$S$102)*100000000+('Dvd Calendar'!$S$104=SPECIAL_LBL)*10000000+0*1000000+9*1000+15))</f>
        <v/>
      </c>
      <c r="ET20" s="35">
        <f>IF(N('Dvd Calendar'!$T$99)=0,"",IF(('Dvd Calendar'!$T$99&gt;=GRID_FROM)*('Dvd Calendar'!$T$99&lt;=GRID_TO)*('Dvd Calendar'!$T$99&lt;=VAL_DATE)=0,"",'Dvd Calendar'!$T$99*1000000000+ISNUMBER('Dvd Calendar'!$T$102)*100000000+('Dvd Calendar'!$T$104=SPECIAL_LBL)*10000000+0*1000000+9*1000+16))</f>
        <v/>
      </c>
      <c r="EU20" s="35">
        <f>IF(N('Dvd Calendar'!$U$99)=0,"",IF(('Dvd Calendar'!$U$99&gt;=GRID_FROM)*('Dvd Calendar'!$U$99&lt;=GRID_TO)*('Dvd Calendar'!$U$99&lt;=VAL_DATE)=0,"",'Dvd Calendar'!$U$99*1000000000+ISNUMBER('Dvd Calendar'!$U$102)*100000000+('Dvd Calendar'!$U$104=SPECIAL_LBL)*10000000+0*1000000+9*1000+17))</f>
        <v/>
      </c>
      <c r="EV20" s="35">
        <f>IF(N('Dvd Calendar'!$V$99)=0,"",IF(('Dvd Calendar'!$V$99&gt;=GRID_FROM)*('Dvd Calendar'!$V$99&lt;=GRID_TO)*('Dvd Calendar'!$V$99&lt;=VAL_DATE)=0,"",'Dvd Calendar'!$V$99*1000000000+ISNUMBER('Dvd Calendar'!$V$102)*100000000+('Dvd Calendar'!$V$104=SPECIAL_LBL)*10000000+0*1000000+9*1000+18))</f>
        <v/>
      </c>
      <c r="EW20" s="35">
        <f>IF(N('Dvd Calendar'!$W$99)=0,"",IF(('Dvd Calendar'!$W$99&gt;=GRID_FROM)*('Dvd Calendar'!$W$99&lt;=GRID_TO)*('Dvd Calendar'!$W$99&lt;=VAL_DATE)=0,"",'Dvd Calendar'!$W$99*1000000000+ISNUMBER('Dvd Calendar'!$W$102)*100000000+('Dvd Calendar'!$W$104=SPECIAL_LBL)*10000000+0*1000000+9*1000+19))</f>
        <v/>
      </c>
      <c r="EX20" s="35">
        <f>IF(N('Dvd Calendar'!$X$99)=0,"",IF(('Dvd Calendar'!$X$99&gt;=GRID_FROM)*('Dvd Calendar'!$X$99&lt;=GRID_TO)*('Dvd Calendar'!$X$99&lt;=VAL_DATE)=0,"",'Dvd Calendar'!$X$99*1000000000+ISNUMBER('Dvd Calendar'!$X$102)*100000000+('Dvd Calendar'!$X$104=SPECIAL_LBL)*10000000+0*1000000+9*1000+20))</f>
        <v/>
      </c>
      <c r="EY20" s="35">
        <f>IF(N('Dvd Calendar'!$Y$99)=0,"",IF(('Dvd Calendar'!$Y$99&gt;=GRID_FROM)*('Dvd Calendar'!$Y$99&lt;=GRID_TO)*('Dvd Calendar'!$Y$99&lt;=VAL_DATE)=0,"",'Dvd Calendar'!$Y$99*1000000000+ISNUMBER('Dvd Calendar'!$Y$102)*100000000+('Dvd Calendar'!$Y$104=SPECIAL_LBL)*10000000+0*1000000+9*1000+21))</f>
        <v/>
      </c>
      <c r="EZ20" s="35">
        <f>IF(N('Dvd Calendar'!$Z$99)=0,"",IF(('Dvd Calendar'!$Z$99&gt;=GRID_FROM)*('Dvd Calendar'!$Z$99&lt;=GRID_TO)*('Dvd Calendar'!$Z$99&lt;=VAL_DATE)=0,"",'Dvd Calendar'!$Z$99*1000000000+ISNUMBER('Dvd Calendar'!$Z$102)*100000000+('Dvd Calendar'!$Z$104=SPECIAL_LBL)*10000000+0*1000000+9*1000+22))</f>
        <v/>
      </c>
      <c r="FA20" s="35">
        <f>IF(N('Dvd Calendar'!$AA$99)=0,"",IF(('Dvd Calendar'!$AA$99&gt;=GRID_FROM)*('Dvd Calendar'!$AA$99&lt;=GRID_TO)*('Dvd Calendar'!$AA$99&lt;=VAL_DATE)=0,"",'Dvd Calendar'!$AA$99*1000000000+ISNUMBER('Dvd Calendar'!$AA$102)*100000000+('Dvd Calendar'!$AA$104=SPECIAL_LBL)*10000000+0*1000000+9*1000+23))</f>
        <v/>
      </c>
      <c r="FB20" s="35">
        <f>IF(N('Dvd Calendar'!$AB$99)=0,"",IF(('Dvd Calendar'!$AB$99&gt;=GRID_FROM)*('Dvd Calendar'!$AB$99&lt;=GRID_TO)*('Dvd Calendar'!$AB$99&lt;=VAL_DATE)=0,"",'Dvd Calendar'!$AB$99*1000000000+ISNUMBER('Dvd Calendar'!$AB$102)*100000000+('Dvd Calendar'!$AB$104=SPECIAL_LBL)*10000000+0*1000000+9*1000+24))</f>
        <v/>
      </c>
      <c r="FC20" s="35">
        <f>IF(N('Dvd Calendar'!$AC$99)=0,"",IF(('Dvd Calendar'!$AC$99&gt;=GRID_FROM)*('Dvd Calendar'!$AC$99&lt;=GRID_TO)*('Dvd Calendar'!$AC$99&lt;=VAL_DATE)=0,"",'Dvd Calendar'!$AC$99*1000000000+ISNUMBER('Dvd Calendar'!$AC$102)*100000000+('Dvd Calendar'!$AC$104=SPECIAL_LBL)*10000000+0*1000000+9*1000+25))</f>
        <v/>
      </c>
      <c r="FD20" s="35">
        <f>IF(N('Dvd Calendar'!$AD$99)=0,"",IF(('Dvd Calendar'!$AD$99&gt;=GRID_FROM)*('Dvd Calendar'!$AD$99&lt;=GRID_TO)*('Dvd Calendar'!$AD$99&lt;=VAL_DATE)=0,"",'Dvd Calendar'!$AD$99*1000000000+ISNUMBER('Dvd Calendar'!$AD$102)*100000000+('Dvd Calendar'!$AD$104=SPECIAL_LBL)*10000000+0*1000000+9*1000+26))</f>
        <v/>
      </c>
      <c r="FE20" s="35">
        <f>IF(N('Dvd Calendar'!$AE$99)=0,"",IF(('Dvd Calendar'!$AE$99&gt;=GRID_FROM)*('Dvd Calendar'!$AE$99&lt;=GRID_TO)*('Dvd Calendar'!$AE$99&lt;=VAL_DATE)=0,"",'Dvd Calendar'!$AE$99*1000000000+ISNUMBER('Dvd Calendar'!$AE$102)*100000000+('Dvd Calendar'!$AE$104=SPECIAL_LBL)*10000000+0*1000000+9*1000+27))</f>
        <v/>
      </c>
      <c r="FF20" s="35">
        <f>IF(N('Dvd Calendar'!$AF$99)=0,"",IF(('Dvd Calendar'!$AF$99&gt;=GRID_FROM)*('Dvd Calendar'!$AF$99&lt;=GRID_TO)*('Dvd Calendar'!$AF$99&lt;=VAL_DATE)=0,"",'Dvd Calendar'!$AF$99*1000000000+ISNUMBER('Dvd Calendar'!$AF$102)*100000000+('Dvd Calendar'!$AF$104=SPECIAL_LBL)*10000000+0*1000000+9*1000+28))</f>
        <v/>
      </c>
      <c r="FG20" s="35">
        <f>IF(N('Dvd Calendar'!$AG$99)=0,"",IF(('Dvd Calendar'!$AG$99&gt;=GRID_FROM)*('Dvd Calendar'!$AG$99&lt;=GRID_TO)*('Dvd Calendar'!$AG$99&lt;=VAL_DATE)=0,"",'Dvd Calendar'!$AG$99*1000000000+ISNUMBER('Dvd Calendar'!$AG$102)*100000000+('Dvd Calendar'!$AG$104=SPECIAL_LBL)*10000000+0*1000000+9*1000+29))</f>
        <v/>
      </c>
      <c r="FH20" s="35">
        <f>IF(N('Dvd Calendar'!$AH$99)=0,"",IF(('Dvd Calendar'!$AH$99&gt;=GRID_FROM)*('Dvd Calendar'!$AH$99&lt;=GRID_TO)*('Dvd Calendar'!$AH$99&lt;=VAL_DATE)=0,"",'Dvd Calendar'!$AH$99*1000000000+ISNUMBER('Dvd Calendar'!$AH$102)*100000000+('Dvd Calendar'!$AH$104=SPECIAL_LBL)*10000000+0*1000000+9*1000+30))</f>
        <v/>
      </c>
      <c r="FI20" s="35">
        <f>IF(N('Dvd Calendar'!$AI$99)=0,"",IF(('Dvd Calendar'!$AI$99&gt;=GRID_FROM)*('Dvd Calendar'!$AI$99&lt;=GRID_TO)*('Dvd Calendar'!$AI$99&lt;=VAL_DATE)=0,"",'Dvd Calendar'!$AI$99*1000000000+ISNUMBER('Dvd Calendar'!$AI$102)*100000000+('Dvd Calendar'!$AI$104=SPECIAL_LBL)*10000000+0*1000000+9*1000+31))</f>
        <v/>
      </c>
      <c r="FJ20" s="35">
        <f>IF(N('Dvd Calendar'!$AJ$99)=0,"",IF(('Dvd Calendar'!$AJ$99&gt;=GRID_FROM)*('Dvd Calendar'!$AJ$99&lt;=GRID_TO)*('Dvd Calendar'!$AJ$99&lt;=VAL_DATE)=0,"",'Dvd Calendar'!$AJ$99*1000000000+ISNUMBER('Dvd Calendar'!$AJ$102)*100000000+('Dvd Calendar'!$AJ$104=SPECIAL_LBL)*10000000+0*1000000+9*1000+32))</f>
        <v/>
      </c>
      <c r="FK20" s="35">
        <f>IF(N('Dvd Calendar'!$AK$99)=0,"",IF(('Dvd Calendar'!$AK$99&gt;=GRID_FROM)*('Dvd Calendar'!$AK$99&lt;=GRID_TO)*('Dvd Calendar'!$AK$99&lt;=VAL_DATE)=0,"",'Dvd Calendar'!$AK$99*1000000000+ISNUMBER('Dvd Calendar'!$AK$102)*100000000+('Dvd Calendar'!$AK$104=SPECIAL_LBL)*10000000+0*1000000+9*1000+33))</f>
        <v/>
      </c>
      <c r="FL20" s="35">
        <f>IF(N('Dvd Calendar'!$AL$99)=0,"",IF(('Dvd Calendar'!$AL$99&gt;=GRID_FROM)*('Dvd Calendar'!$AL$99&lt;=GRID_TO)*('Dvd Calendar'!$AL$99&lt;=VAL_DATE)=0,"",'Dvd Calendar'!$AL$99*1000000000+ISNUMBER('Dvd Calendar'!$AL$102)*100000000+('Dvd Calendar'!$AL$104=SPECIAL_LBL)*10000000+0*1000000+9*1000+34))</f>
        <v/>
      </c>
      <c r="FM20" s="35">
        <f>IF(N('Dvd Calendar'!$AM$99)=0,"",IF(('Dvd Calendar'!$AM$99&gt;=GRID_FROM)*('Dvd Calendar'!$AM$99&lt;=GRID_TO)*('Dvd Calendar'!$AM$99&lt;=VAL_DATE)=0,"",'Dvd Calendar'!$AM$99*1000000000+ISNUMBER('Dvd Calendar'!$AM$102)*100000000+('Dvd Calendar'!$AM$104=SPECIAL_LBL)*10000000+0*1000000+9*1000+35))</f>
        <v/>
      </c>
      <c r="FN20" s="35">
        <f>IF(N('Dvd Calendar'!$AN$99)=0,"",IF(('Dvd Calendar'!$AN$99&gt;=GRID_FROM)*('Dvd Calendar'!$AN$99&lt;=GRID_TO)*('Dvd Calendar'!$AN$99&lt;=VAL_DATE)=0,"",'Dvd Calendar'!$AN$99*1000000000+ISNUMBER('Dvd Calendar'!$AN$102)*100000000+('Dvd Calendar'!$AN$104=SPECIAL_LBL)*10000000+0*1000000+9*1000+36))</f>
        <v/>
      </c>
      <c r="FO20" s="35">
        <f>IF(N('Dvd Calendar'!$AO$99)=0,"",IF(('Dvd Calendar'!$AO$99&gt;=GRID_FROM)*('Dvd Calendar'!$AO$99&lt;=GRID_TO)*('Dvd Calendar'!$AO$99&lt;=VAL_DATE)=0,"",'Dvd Calendar'!$AO$99*1000000000+ISNUMBER('Dvd Calendar'!$AO$102)*100000000+('Dvd Calendar'!$AO$104=SPECIAL_LBL)*10000000+0*1000000+9*1000+37))</f>
        <v/>
      </c>
      <c r="FP20" s="35">
        <f>IF(N('Dvd Calendar'!$AP$99)=0,"",IF(('Dvd Calendar'!$AP$99&gt;=GRID_FROM)*('Dvd Calendar'!$AP$99&lt;=GRID_TO)*('Dvd Calendar'!$AP$99&lt;=VAL_DATE)=0,"",'Dvd Calendar'!$AP$99*1000000000+ISNUMBER('Dvd Calendar'!$AP$102)*100000000+('Dvd Calendar'!$AP$104=SPECIAL_LBL)*10000000+0*1000000+9*1000+38))</f>
        <v/>
      </c>
      <c r="FQ20" s="35">
        <f>IF(N('Dvd Calendar'!$AQ$99)=0,"",IF(('Dvd Calendar'!$AQ$99&gt;=GRID_FROM)*('Dvd Calendar'!$AQ$99&lt;=GRID_TO)*('Dvd Calendar'!$AQ$99&lt;=VAL_DATE)=0,"",'Dvd Calendar'!$AQ$99*1000000000+ISNUMBER('Dvd Calendar'!$AQ$102)*100000000+('Dvd Calendar'!$AQ$104=SPECIAL_LBL)*10000000+0*1000000+9*1000+39))</f>
        <v/>
      </c>
      <c r="FR20" s="35">
        <f>IF(N('Dvd Calendar'!$AR$99)=0,"",IF(('Dvd Calendar'!$AR$99&gt;=GRID_FROM)*('Dvd Calendar'!$AR$99&lt;=GRID_TO)*('Dvd Calendar'!$AR$99&lt;=VAL_DATE)=0,"",'Dvd Calendar'!$AR$99*1000000000+ISNUMBER('Dvd Calendar'!$AR$102)*100000000+('Dvd Calendar'!$AR$104=SPECIAL_LBL)*10000000+0*1000000+9*1000+40))</f>
        <v/>
      </c>
      <c r="FS20" s="35">
        <f>IF(N('Dvd Calendar'!$E$106)=0,"",IF(('Dvd Calendar'!$E$106&gt;=GRID_FROM)*('Dvd Calendar'!$E$106&lt;=GRID_TO)*('Dvd Calendar'!$E$106&gt;VAL_DATE)=0,"",'Dvd Calendar'!$E$106*1000000000+ISNUMBER('Dvd Calendar'!$E$107)*100000000+0*10000000+(N('Dvd Calendar'!$E$105)&gt;0)*(N('Dvd Calendar'!$E$105)&lt;=VAL_SERIAL)*1000000+9*1000+41))</f>
        <v/>
      </c>
      <c r="FT20" s="35">
        <f>IF(N('Dvd Calendar'!$F$106)=0,"",IF(('Dvd Calendar'!$F$106&gt;=GRID_FROM)*('Dvd Calendar'!$F$106&lt;=GRID_TO)*('Dvd Calendar'!$F$106&gt;VAL_DATE)=0,"",'Dvd Calendar'!$F$106*1000000000+ISNUMBER('Dvd Calendar'!$F$107)*100000000+0*10000000+(N('Dvd Calendar'!$F$105)&gt;0)*(N('Dvd Calendar'!$F$105)&lt;=VAL_SERIAL)*1000000+9*1000+42))</f>
        <v/>
      </c>
      <c r="FU20" s="35">
        <f>IF(N('Dvd Calendar'!$G$106)=0,"",IF(('Dvd Calendar'!$G$106&gt;=GRID_FROM)*('Dvd Calendar'!$G$106&lt;=GRID_TO)*('Dvd Calendar'!$G$106&gt;VAL_DATE)=0,"",'Dvd Calendar'!$G$106*1000000000+ISNUMBER('Dvd Calendar'!$G$107)*100000000+0*10000000+(N('Dvd Calendar'!$G$105)&gt;0)*(N('Dvd Calendar'!$G$105)&lt;=VAL_SERIAL)*1000000+9*1000+43))</f>
        <v/>
      </c>
      <c r="FV20" s="35">
        <f>IF(N('Dvd Calendar'!$H$106)=0,"",IF(('Dvd Calendar'!$H$106&gt;=GRID_FROM)*('Dvd Calendar'!$H$106&lt;=GRID_TO)*('Dvd Calendar'!$H$106&gt;VAL_DATE)=0,"",'Dvd Calendar'!$H$106*1000000000+ISNUMBER('Dvd Calendar'!$H$107)*100000000+0*10000000+(N('Dvd Calendar'!$H$105)&gt;0)*(N('Dvd Calendar'!$H$105)&lt;=VAL_SERIAL)*1000000+9*1000+44))</f>
        <v/>
      </c>
      <c r="FW20" s="35">
        <f>IF(N('Dvd Calendar'!$I$106)=0,"",IF(('Dvd Calendar'!$I$106&gt;=GRID_FROM)*('Dvd Calendar'!$I$106&lt;=GRID_TO)*('Dvd Calendar'!$I$106&gt;VAL_DATE)=0,"",'Dvd Calendar'!$I$106*1000000000+ISNUMBER('Dvd Calendar'!$I$107)*100000000+0*10000000+(N('Dvd Calendar'!$I$105)&gt;0)*(N('Dvd Calendar'!$I$105)&lt;=VAL_SERIAL)*1000000+9*1000+45))</f>
        <v/>
      </c>
      <c r="FX20" s="35">
        <f>IF(N('Dvd Calendar'!$J$106)=0,"",IF(('Dvd Calendar'!$J$106&gt;=GRID_FROM)*('Dvd Calendar'!$J$106&lt;=GRID_TO)*('Dvd Calendar'!$J$106&gt;VAL_DATE)=0,"",'Dvd Calendar'!$J$106*1000000000+ISNUMBER('Dvd Calendar'!$J$107)*100000000+0*10000000+(N('Dvd Calendar'!$J$105)&gt;0)*(N('Dvd Calendar'!$J$105)&lt;=VAL_SERIAL)*1000000+9*1000+46))</f>
        <v/>
      </c>
      <c r="FY20" s="35">
        <f>IF(N('Dvd Calendar'!$K$106)=0,"",IF(('Dvd Calendar'!$K$106&gt;=GRID_FROM)*('Dvd Calendar'!$K$106&lt;=GRID_TO)*('Dvd Calendar'!$K$106&gt;VAL_DATE)=0,"",'Dvd Calendar'!$K$106*1000000000+ISNUMBER('Dvd Calendar'!$K$107)*100000000+0*10000000+(N('Dvd Calendar'!$K$105)&gt;0)*(N('Dvd Calendar'!$K$105)&lt;=VAL_SERIAL)*1000000+9*1000+47))</f>
        <v/>
      </c>
      <c r="FZ20" s="35">
        <f>IF(N('Dvd Calendar'!$L$106)=0,"",IF(('Dvd Calendar'!$L$106&gt;=GRID_FROM)*('Dvd Calendar'!$L$106&lt;=GRID_TO)*('Dvd Calendar'!$L$106&gt;VAL_DATE)=0,"",'Dvd Calendar'!$L$106*1000000000+ISNUMBER('Dvd Calendar'!$L$107)*100000000+0*10000000+(N('Dvd Calendar'!$L$105)&gt;0)*(N('Dvd Calendar'!$L$105)&lt;=VAL_SERIAL)*1000000+9*1000+48))</f>
        <v/>
      </c>
      <c r="GA20" s="35">
        <f>IF(N('Dvd Calendar'!$M$106)=0,"",IF(('Dvd Calendar'!$M$106&gt;=GRID_FROM)*('Dvd Calendar'!$M$106&lt;=GRID_TO)*('Dvd Calendar'!$M$106&gt;VAL_DATE)=0,"",'Dvd Calendar'!$M$106*1000000000+ISNUMBER('Dvd Calendar'!$M$107)*100000000+0*10000000+(N('Dvd Calendar'!$M$105)&gt;0)*(N('Dvd Calendar'!$M$105)&lt;=VAL_SERIAL)*1000000+9*1000+49))</f>
        <v/>
      </c>
      <c r="GB20" s="35">
        <f>IF(N('Dvd Calendar'!$N$106)=0,"",IF(('Dvd Calendar'!$N$106&gt;=GRID_FROM)*('Dvd Calendar'!$N$106&lt;=GRID_TO)*('Dvd Calendar'!$N$106&gt;VAL_DATE)=0,"",'Dvd Calendar'!$N$106*1000000000+ISNUMBER('Dvd Calendar'!$N$107)*100000000+0*10000000+(N('Dvd Calendar'!$N$105)&gt;0)*(N('Dvd Calendar'!$N$105)&lt;=VAL_SERIAL)*1000000+9*1000+50))</f>
        <v/>
      </c>
      <c r="GC20" s="35">
        <f>IF(N('Dvd Calendar'!$O$106)=0,"",IF(('Dvd Calendar'!$O$106&gt;=GRID_FROM)*('Dvd Calendar'!$O$106&lt;=GRID_TO)*('Dvd Calendar'!$O$106&gt;VAL_DATE)=0,"",'Dvd Calendar'!$O$106*1000000000+ISNUMBER('Dvd Calendar'!$O$107)*100000000+0*10000000+(N('Dvd Calendar'!$O$105)&gt;0)*(N('Dvd Calendar'!$O$105)&lt;=VAL_SERIAL)*1000000+9*1000+51))</f>
        <v/>
      </c>
      <c r="GD20" s="35">
        <f>IF(N('Dvd Calendar'!$P$106)=0,"",IF(('Dvd Calendar'!$P$106&gt;=GRID_FROM)*('Dvd Calendar'!$P$106&lt;=GRID_TO)*('Dvd Calendar'!$P$106&gt;VAL_DATE)=0,"",'Dvd Calendar'!$P$106*1000000000+ISNUMBER('Dvd Calendar'!$P$107)*100000000+0*10000000+(N('Dvd Calendar'!$P$105)&gt;0)*(N('Dvd Calendar'!$P$105)&lt;=VAL_SERIAL)*1000000+9*1000+52))</f>
        <v/>
      </c>
      <c r="GE20" s="35">
        <f>IF(N('Dvd Calendar'!$Q$106)=0,"",IF(('Dvd Calendar'!$Q$106&gt;=GRID_FROM)*('Dvd Calendar'!$Q$106&lt;=GRID_TO)*('Dvd Calendar'!$Q$106&gt;VAL_DATE)=0,"",'Dvd Calendar'!$Q$106*1000000000+ISNUMBER('Dvd Calendar'!$Q$107)*100000000+0*10000000+(N('Dvd Calendar'!$Q$105)&gt;0)*(N('Dvd Calendar'!$Q$105)&lt;=VAL_SERIAL)*1000000+9*1000+53))</f>
        <v/>
      </c>
      <c r="GF20" s="35">
        <f>IF(N('Dvd Calendar'!$R$106)=0,"",IF(('Dvd Calendar'!$R$106&gt;=GRID_FROM)*('Dvd Calendar'!$R$106&lt;=GRID_TO)*('Dvd Calendar'!$R$106&gt;VAL_DATE)=0,"",'Dvd Calendar'!$R$106*1000000000+ISNUMBER('Dvd Calendar'!$R$107)*100000000+0*10000000+(N('Dvd Calendar'!$R$105)&gt;0)*(N('Dvd Calendar'!$R$105)&lt;=VAL_SERIAL)*1000000+9*1000+54))</f>
        <v/>
      </c>
      <c r="GG20" s="35">
        <f>IF(N('Dvd Calendar'!$S$106)=0,"",IF(('Dvd Calendar'!$S$106&gt;=GRID_FROM)*('Dvd Calendar'!$S$106&lt;=GRID_TO)*('Dvd Calendar'!$S$106&gt;VAL_DATE)=0,"",'Dvd Calendar'!$S$106*1000000000+ISNUMBER('Dvd Calendar'!$S$107)*100000000+0*10000000+(N('Dvd Calendar'!$S$105)&gt;0)*(N('Dvd Calendar'!$S$105)&lt;=VAL_SERIAL)*1000000+9*1000+55))</f>
        <v/>
      </c>
      <c r="GH20" s="35">
        <f>IF(N('Dvd Calendar'!$T$106)=0,"",IF(('Dvd Calendar'!$T$106&gt;=GRID_FROM)*('Dvd Calendar'!$T$106&lt;=GRID_TO)*('Dvd Calendar'!$T$106&gt;VAL_DATE)=0,"",'Dvd Calendar'!$T$106*1000000000+ISNUMBER('Dvd Calendar'!$T$107)*100000000+0*10000000+(N('Dvd Calendar'!$T$105)&gt;0)*(N('Dvd Calendar'!$T$105)&lt;=VAL_SERIAL)*1000000+9*1000+56))</f>
        <v/>
      </c>
      <c r="GI20" s="35">
        <f>IF(N('Dvd Calendar'!$U$106)=0,"",IF(('Dvd Calendar'!$U$106&gt;=GRID_FROM)*('Dvd Calendar'!$U$106&lt;=GRID_TO)*('Dvd Calendar'!$U$106&gt;VAL_DATE)=0,"",'Dvd Calendar'!$U$106*1000000000+ISNUMBER('Dvd Calendar'!$U$107)*100000000+0*10000000+(N('Dvd Calendar'!$U$105)&gt;0)*(N('Dvd Calendar'!$U$105)&lt;=VAL_SERIAL)*1000000+9*1000+57))</f>
        <v/>
      </c>
      <c r="GJ20" s="35">
        <f>IF(N('Dvd Calendar'!$V$106)=0,"",IF(('Dvd Calendar'!$V$106&gt;=GRID_FROM)*('Dvd Calendar'!$V$106&lt;=GRID_TO)*('Dvd Calendar'!$V$106&gt;VAL_DATE)=0,"",'Dvd Calendar'!$V$106*1000000000+ISNUMBER('Dvd Calendar'!$V$107)*100000000+0*10000000+(N('Dvd Calendar'!$V$105)&gt;0)*(N('Dvd Calendar'!$V$105)&lt;=VAL_SERIAL)*1000000+9*1000+58))</f>
        <v/>
      </c>
      <c r="GK20" s="35">
        <f>IF(N('Dvd Calendar'!$W$106)=0,"",IF(('Dvd Calendar'!$W$106&gt;=GRID_FROM)*('Dvd Calendar'!$W$106&lt;=GRID_TO)*('Dvd Calendar'!$W$106&gt;VAL_DATE)=0,"",'Dvd Calendar'!$W$106*1000000000+ISNUMBER('Dvd Calendar'!$W$107)*100000000+0*10000000+(N('Dvd Calendar'!$W$105)&gt;0)*(N('Dvd Calendar'!$W$105)&lt;=VAL_SERIAL)*1000000+9*1000+59))</f>
        <v/>
      </c>
      <c r="GL20" s="35">
        <f>IF(N('Dvd Calendar'!$X$106)=0,"",IF(('Dvd Calendar'!$X$106&gt;=GRID_FROM)*('Dvd Calendar'!$X$106&lt;=GRID_TO)*('Dvd Calendar'!$X$106&gt;VAL_DATE)=0,"",'Dvd Calendar'!$X$106*1000000000+ISNUMBER('Dvd Calendar'!$X$107)*100000000+0*10000000+(N('Dvd Calendar'!$X$105)&gt;0)*(N('Dvd Calendar'!$X$105)&lt;=VAL_SERIAL)*1000000+9*1000+60))</f>
        <v/>
      </c>
      <c r="GM20" s="35">
        <f>IF(N('Dvd Calendar'!$Y$106)=0,"",IF(('Dvd Calendar'!$Y$106&gt;=GRID_FROM)*('Dvd Calendar'!$Y$106&lt;=GRID_TO)*('Dvd Calendar'!$Y$106&gt;VAL_DATE)=0,"",'Dvd Calendar'!$Y$106*1000000000+ISNUMBER('Dvd Calendar'!$Y$107)*100000000+0*10000000+(N('Dvd Calendar'!$Y$105)&gt;0)*(N('Dvd Calendar'!$Y$105)&lt;=VAL_SERIAL)*1000000+9*1000+61))</f>
        <v/>
      </c>
      <c r="GN20" s="35">
        <f>IF(N('Dvd Calendar'!$Z$106)=0,"",IF(('Dvd Calendar'!$Z$106&gt;=GRID_FROM)*('Dvd Calendar'!$Z$106&lt;=GRID_TO)*('Dvd Calendar'!$Z$106&gt;VAL_DATE)=0,"",'Dvd Calendar'!$Z$106*1000000000+ISNUMBER('Dvd Calendar'!$Z$107)*100000000+0*10000000+(N('Dvd Calendar'!$Z$105)&gt;0)*(N('Dvd Calendar'!$Z$105)&lt;=VAL_SERIAL)*1000000+9*1000+62))</f>
        <v/>
      </c>
      <c r="GO20" s="35">
        <f>IF(N('Dvd Calendar'!$AA$106)=0,"",IF(('Dvd Calendar'!$AA$106&gt;=GRID_FROM)*('Dvd Calendar'!$AA$106&lt;=GRID_TO)*('Dvd Calendar'!$AA$106&gt;VAL_DATE)=0,"",'Dvd Calendar'!$AA$106*1000000000+ISNUMBER('Dvd Calendar'!$AA$107)*100000000+0*10000000+(N('Dvd Calendar'!$AA$105)&gt;0)*(N('Dvd Calendar'!$AA$105)&lt;=VAL_SERIAL)*1000000+9*1000+63))</f>
        <v/>
      </c>
      <c r="GP20" s="35">
        <f>IF(N('Dvd Calendar'!$AB$106)=0,"",IF(('Dvd Calendar'!$AB$106&gt;=GRID_FROM)*('Dvd Calendar'!$AB$106&lt;=GRID_TO)*('Dvd Calendar'!$AB$106&gt;VAL_DATE)=0,"",'Dvd Calendar'!$AB$106*1000000000+ISNUMBER('Dvd Calendar'!$AB$107)*100000000+0*10000000+(N('Dvd Calendar'!$AB$105)&gt;0)*(N('Dvd Calendar'!$AB$105)&lt;=VAL_SERIAL)*1000000+9*1000+64))</f>
        <v/>
      </c>
      <c r="GQ20" s="35">
        <f>IF(N('Dvd Calendar'!$AC$106)=0,"",IF(('Dvd Calendar'!$AC$106&gt;=GRID_FROM)*('Dvd Calendar'!$AC$106&lt;=GRID_TO)*('Dvd Calendar'!$AC$106&gt;VAL_DATE)=0,"",'Dvd Calendar'!$AC$106*1000000000+ISNUMBER('Dvd Calendar'!$AC$107)*100000000+0*10000000+(N('Dvd Calendar'!$AC$105)&gt;0)*(N('Dvd Calendar'!$AC$105)&lt;=VAL_SERIAL)*1000000+9*1000+65))</f>
        <v/>
      </c>
    </row>
    <row r="21">
      <c r="B21" s="2">
        <f>IF(HSI!$C$16="","",HSI!$C$16)</f>
        <v/>
      </c>
      <c r="C21" s="106">
        <f>IF(EE21="","",IF(ISNUMBER('Dvd Calendar'!$E$113)=FALSE,"",IF((('Dvd Calendar'!$E$115=TYPE1)*(TYPE1&lt;&gt;"")+('Dvd Calendar'!$E$115=TYPE2)*(TYPE2&lt;&gt;"")+('Dvd Calendar'!$E$115=TYPE3)*(TYPE3&lt;&gt;"")+('Dvd Calendar'!$E$115=TYPE4)*(TYPE4&lt;&gt;"")+('Dvd Calendar'!$E$115=SPECIAL_LBL)*(INC_SPECIALS="Y"))=0,"",'Dvd Calendar'!$E$113)))</f>
        <v/>
      </c>
      <c r="D21" s="106">
        <f>IF(EF21="","",IF(ISNUMBER('Dvd Calendar'!$F$113)=FALSE,"",IF((('Dvd Calendar'!$F$115=TYPE1)*(TYPE1&lt;&gt;"")+('Dvd Calendar'!$F$115=TYPE2)*(TYPE2&lt;&gt;"")+('Dvd Calendar'!$F$115=TYPE3)*(TYPE3&lt;&gt;"")+('Dvd Calendar'!$F$115=TYPE4)*(TYPE4&lt;&gt;"")+('Dvd Calendar'!$F$115=SPECIAL_LBL)*(INC_SPECIALS="Y"))=0,"",'Dvd Calendar'!$F$113)))</f>
        <v/>
      </c>
      <c r="E21" s="106">
        <f>IF(EG21="","",IF(ISNUMBER('Dvd Calendar'!$G$113)=FALSE,"",IF((('Dvd Calendar'!$G$115=TYPE1)*(TYPE1&lt;&gt;"")+('Dvd Calendar'!$G$115=TYPE2)*(TYPE2&lt;&gt;"")+('Dvd Calendar'!$G$115=TYPE3)*(TYPE3&lt;&gt;"")+('Dvd Calendar'!$G$115=TYPE4)*(TYPE4&lt;&gt;"")+('Dvd Calendar'!$G$115=SPECIAL_LBL)*(INC_SPECIALS="Y"))=0,"",'Dvd Calendar'!$G$113)))</f>
        <v/>
      </c>
      <c r="F21" s="106">
        <f>IF(EH21="","",IF(ISNUMBER('Dvd Calendar'!$H$113)=FALSE,"",IF((('Dvd Calendar'!$H$115=TYPE1)*(TYPE1&lt;&gt;"")+('Dvd Calendar'!$H$115=TYPE2)*(TYPE2&lt;&gt;"")+('Dvd Calendar'!$H$115=TYPE3)*(TYPE3&lt;&gt;"")+('Dvd Calendar'!$H$115=TYPE4)*(TYPE4&lt;&gt;"")+('Dvd Calendar'!$H$115=SPECIAL_LBL)*(INC_SPECIALS="Y"))=0,"",'Dvd Calendar'!$H$113)))</f>
        <v/>
      </c>
      <c r="G21" s="106">
        <f>IF(EI21="","",IF(ISNUMBER('Dvd Calendar'!$I$113)=FALSE,"",IF((('Dvd Calendar'!$I$115=TYPE1)*(TYPE1&lt;&gt;"")+('Dvd Calendar'!$I$115=TYPE2)*(TYPE2&lt;&gt;"")+('Dvd Calendar'!$I$115=TYPE3)*(TYPE3&lt;&gt;"")+('Dvd Calendar'!$I$115=TYPE4)*(TYPE4&lt;&gt;"")+('Dvd Calendar'!$I$115=SPECIAL_LBL)*(INC_SPECIALS="Y"))=0,"",'Dvd Calendar'!$I$113)))</f>
        <v/>
      </c>
      <c r="H21" s="106">
        <f>IF(EJ21="","",IF(ISNUMBER('Dvd Calendar'!$J$113)=FALSE,"",IF((('Dvd Calendar'!$J$115=TYPE1)*(TYPE1&lt;&gt;"")+('Dvd Calendar'!$J$115=TYPE2)*(TYPE2&lt;&gt;"")+('Dvd Calendar'!$J$115=TYPE3)*(TYPE3&lt;&gt;"")+('Dvd Calendar'!$J$115=TYPE4)*(TYPE4&lt;&gt;"")+('Dvd Calendar'!$J$115=SPECIAL_LBL)*(INC_SPECIALS="Y"))=0,"",'Dvd Calendar'!$J$113)))</f>
        <v/>
      </c>
      <c r="I21" s="106">
        <f>IF(EK21="","",IF(ISNUMBER('Dvd Calendar'!$K$113)=FALSE,"",IF((('Dvd Calendar'!$K$115=TYPE1)*(TYPE1&lt;&gt;"")+('Dvd Calendar'!$K$115=TYPE2)*(TYPE2&lt;&gt;"")+('Dvd Calendar'!$K$115=TYPE3)*(TYPE3&lt;&gt;"")+('Dvd Calendar'!$K$115=TYPE4)*(TYPE4&lt;&gt;"")+('Dvd Calendar'!$K$115=SPECIAL_LBL)*(INC_SPECIALS="Y"))=0,"",'Dvd Calendar'!$K$113)))</f>
        <v/>
      </c>
      <c r="J21" s="106">
        <f>IF(EL21="","",IF(ISNUMBER('Dvd Calendar'!$L$113)=FALSE,"",IF((('Dvd Calendar'!$L$115=TYPE1)*(TYPE1&lt;&gt;"")+('Dvd Calendar'!$L$115=TYPE2)*(TYPE2&lt;&gt;"")+('Dvd Calendar'!$L$115=TYPE3)*(TYPE3&lt;&gt;"")+('Dvd Calendar'!$L$115=TYPE4)*(TYPE4&lt;&gt;"")+('Dvd Calendar'!$L$115=SPECIAL_LBL)*(INC_SPECIALS="Y"))=0,"",'Dvd Calendar'!$L$113)))</f>
        <v/>
      </c>
      <c r="K21" s="106">
        <f>IF(EM21="","",IF(ISNUMBER('Dvd Calendar'!$M$113)=FALSE,"",IF((('Dvd Calendar'!$M$115=TYPE1)*(TYPE1&lt;&gt;"")+('Dvd Calendar'!$M$115=TYPE2)*(TYPE2&lt;&gt;"")+('Dvd Calendar'!$M$115=TYPE3)*(TYPE3&lt;&gt;"")+('Dvd Calendar'!$M$115=TYPE4)*(TYPE4&lt;&gt;"")+('Dvd Calendar'!$M$115=SPECIAL_LBL)*(INC_SPECIALS="Y"))=0,"",'Dvd Calendar'!$M$113)))</f>
        <v/>
      </c>
      <c r="L21" s="106">
        <f>IF(EN21="","",IF(ISNUMBER('Dvd Calendar'!$N$113)=FALSE,"",IF((('Dvd Calendar'!$N$115=TYPE1)*(TYPE1&lt;&gt;"")+('Dvd Calendar'!$N$115=TYPE2)*(TYPE2&lt;&gt;"")+('Dvd Calendar'!$N$115=TYPE3)*(TYPE3&lt;&gt;"")+('Dvd Calendar'!$N$115=TYPE4)*(TYPE4&lt;&gt;"")+('Dvd Calendar'!$N$115=SPECIAL_LBL)*(INC_SPECIALS="Y"))=0,"",'Dvd Calendar'!$N$113)))</f>
        <v/>
      </c>
      <c r="M21" s="106">
        <f>IF(EO21="","",IF(ISNUMBER('Dvd Calendar'!$O$113)=FALSE,"",IF((('Dvd Calendar'!$O$115=TYPE1)*(TYPE1&lt;&gt;"")+('Dvd Calendar'!$O$115=TYPE2)*(TYPE2&lt;&gt;"")+('Dvd Calendar'!$O$115=TYPE3)*(TYPE3&lt;&gt;"")+('Dvd Calendar'!$O$115=TYPE4)*(TYPE4&lt;&gt;"")+('Dvd Calendar'!$O$115=SPECIAL_LBL)*(INC_SPECIALS="Y"))=0,"",'Dvd Calendar'!$O$113)))</f>
        <v/>
      </c>
      <c r="N21" s="106">
        <f>IF(EP21="","",IF(ISNUMBER('Dvd Calendar'!$P$113)=FALSE,"",IF((('Dvd Calendar'!$P$115=TYPE1)*(TYPE1&lt;&gt;"")+('Dvd Calendar'!$P$115=TYPE2)*(TYPE2&lt;&gt;"")+('Dvd Calendar'!$P$115=TYPE3)*(TYPE3&lt;&gt;"")+('Dvd Calendar'!$P$115=TYPE4)*(TYPE4&lt;&gt;"")+('Dvd Calendar'!$P$115=SPECIAL_LBL)*(INC_SPECIALS="Y"))=0,"",'Dvd Calendar'!$P$113)))</f>
        <v/>
      </c>
      <c r="O21" s="106">
        <f>IF(EQ21="","",IF(ISNUMBER('Dvd Calendar'!$Q$113)=FALSE,"",IF((('Dvd Calendar'!$Q$115=TYPE1)*(TYPE1&lt;&gt;"")+('Dvd Calendar'!$Q$115=TYPE2)*(TYPE2&lt;&gt;"")+('Dvd Calendar'!$Q$115=TYPE3)*(TYPE3&lt;&gt;"")+('Dvd Calendar'!$Q$115=TYPE4)*(TYPE4&lt;&gt;"")+('Dvd Calendar'!$Q$115=SPECIAL_LBL)*(INC_SPECIALS="Y"))=0,"",'Dvd Calendar'!$Q$113)))</f>
        <v/>
      </c>
      <c r="P21" s="106">
        <f>IF(ER21="","",IF(ISNUMBER('Dvd Calendar'!$R$113)=FALSE,"",IF((('Dvd Calendar'!$R$115=TYPE1)*(TYPE1&lt;&gt;"")+('Dvd Calendar'!$R$115=TYPE2)*(TYPE2&lt;&gt;"")+('Dvd Calendar'!$R$115=TYPE3)*(TYPE3&lt;&gt;"")+('Dvd Calendar'!$R$115=TYPE4)*(TYPE4&lt;&gt;"")+('Dvd Calendar'!$R$115=SPECIAL_LBL)*(INC_SPECIALS="Y"))=0,"",'Dvd Calendar'!$R$113)))</f>
        <v/>
      </c>
      <c r="Q21" s="106">
        <f>IF(ES21="","",IF(ISNUMBER('Dvd Calendar'!$S$113)=FALSE,"",IF((('Dvd Calendar'!$S$115=TYPE1)*(TYPE1&lt;&gt;"")+('Dvd Calendar'!$S$115=TYPE2)*(TYPE2&lt;&gt;"")+('Dvd Calendar'!$S$115=TYPE3)*(TYPE3&lt;&gt;"")+('Dvd Calendar'!$S$115=TYPE4)*(TYPE4&lt;&gt;"")+('Dvd Calendar'!$S$115=SPECIAL_LBL)*(INC_SPECIALS="Y"))=0,"",'Dvd Calendar'!$S$113)))</f>
        <v/>
      </c>
      <c r="R21" s="106">
        <f>IF(ET21="","",IF(ISNUMBER('Dvd Calendar'!$T$113)=FALSE,"",IF((('Dvd Calendar'!$T$115=TYPE1)*(TYPE1&lt;&gt;"")+('Dvd Calendar'!$T$115=TYPE2)*(TYPE2&lt;&gt;"")+('Dvd Calendar'!$T$115=TYPE3)*(TYPE3&lt;&gt;"")+('Dvd Calendar'!$T$115=TYPE4)*(TYPE4&lt;&gt;"")+('Dvd Calendar'!$T$115=SPECIAL_LBL)*(INC_SPECIALS="Y"))=0,"",'Dvd Calendar'!$T$113)))</f>
        <v/>
      </c>
      <c r="S21" s="106">
        <f>IF(EU21="","",IF(ISNUMBER('Dvd Calendar'!$U$113)=FALSE,"",IF((('Dvd Calendar'!$U$115=TYPE1)*(TYPE1&lt;&gt;"")+('Dvd Calendar'!$U$115=TYPE2)*(TYPE2&lt;&gt;"")+('Dvd Calendar'!$U$115=TYPE3)*(TYPE3&lt;&gt;"")+('Dvd Calendar'!$U$115=TYPE4)*(TYPE4&lt;&gt;"")+('Dvd Calendar'!$U$115=SPECIAL_LBL)*(INC_SPECIALS="Y"))=0,"",'Dvd Calendar'!$U$113)))</f>
        <v/>
      </c>
      <c r="T21" s="106">
        <f>IF(EV21="","",IF(ISNUMBER('Dvd Calendar'!$V$113)=FALSE,"",IF((('Dvd Calendar'!$V$115=TYPE1)*(TYPE1&lt;&gt;"")+('Dvd Calendar'!$V$115=TYPE2)*(TYPE2&lt;&gt;"")+('Dvd Calendar'!$V$115=TYPE3)*(TYPE3&lt;&gt;"")+('Dvd Calendar'!$V$115=TYPE4)*(TYPE4&lt;&gt;"")+('Dvd Calendar'!$V$115=SPECIAL_LBL)*(INC_SPECIALS="Y"))=0,"",'Dvd Calendar'!$V$113)))</f>
        <v/>
      </c>
      <c r="U21" s="106">
        <f>IF(EW21="","",IF(ISNUMBER('Dvd Calendar'!$W$113)=FALSE,"",IF((('Dvd Calendar'!$W$115=TYPE1)*(TYPE1&lt;&gt;"")+('Dvd Calendar'!$W$115=TYPE2)*(TYPE2&lt;&gt;"")+('Dvd Calendar'!$W$115=TYPE3)*(TYPE3&lt;&gt;"")+('Dvd Calendar'!$W$115=TYPE4)*(TYPE4&lt;&gt;"")+('Dvd Calendar'!$W$115=SPECIAL_LBL)*(INC_SPECIALS="Y"))=0,"",'Dvd Calendar'!$W$113)))</f>
        <v/>
      </c>
      <c r="V21" s="106">
        <f>IF(EX21="","",IF(ISNUMBER('Dvd Calendar'!$X$113)=FALSE,"",IF((('Dvd Calendar'!$X$115=TYPE1)*(TYPE1&lt;&gt;"")+('Dvd Calendar'!$X$115=TYPE2)*(TYPE2&lt;&gt;"")+('Dvd Calendar'!$X$115=TYPE3)*(TYPE3&lt;&gt;"")+('Dvd Calendar'!$X$115=TYPE4)*(TYPE4&lt;&gt;"")+('Dvd Calendar'!$X$115=SPECIAL_LBL)*(INC_SPECIALS="Y"))=0,"",'Dvd Calendar'!$X$113)))</f>
        <v/>
      </c>
      <c r="W21" s="106">
        <f>IF(EY21="","",IF(ISNUMBER('Dvd Calendar'!$Y$113)=FALSE,"",IF((('Dvd Calendar'!$Y$115=TYPE1)*(TYPE1&lt;&gt;"")+('Dvd Calendar'!$Y$115=TYPE2)*(TYPE2&lt;&gt;"")+('Dvd Calendar'!$Y$115=TYPE3)*(TYPE3&lt;&gt;"")+('Dvd Calendar'!$Y$115=TYPE4)*(TYPE4&lt;&gt;"")+('Dvd Calendar'!$Y$115=SPECIAL_LBL)*(INC_SPECIALS="Y"))=0,"",'Dvd Calendar'!$Y$113)))</f>
        <v/>
      </c>
      <c r="X21" s="106">
        <f>IF(EZ21="","",IF(ISNUMBER('Dvd Calendar'!$Z$113)=FALSE,"",IF((('Dvd Calendar'!$Z$115=TYPE1)*(TYPE1&lt;&gt;"")+('Dvd Calendar'!$Z$115=TYPE2)*(TYPE2&lt;&gt;"")+('Dvd Calendar'!$Z$115=TYPE3)*(TYPE3&lt;&gt;"")+('Dvd Calendar'!$Z$115=TYPE4)*(TYPE4&lt;&gt;"")+('Dvd Calendar'!$Z$115=SPECIAL_LBL)*(INC_SPECIALS="Y"))=0,"",'Dvd Calendar'!$Z$113)))</f>
        <v/>
      </c>
      <c r="Y21" s="106">
        <f>IF(FA21="","",IF(ISNUMBER('Dvd Calendar'!$AA$113)=FALSE,"",IF((('Dvd Calendar'!$AA$115=TYPE1)*(TYPE1&lt;&gt;"")+('Dvd Calendar'!$AA$115=TYPE2)*(TYPE2&lt;&gt;"")+('Dvd Calendar'!$AA$115=TYPE3)*(TYPE3&lt;&gt;"")+('Dvd Calendar'!$AA$115=TYPE4)*(TYPE4&lt;&gt;"")+('Dvd Calendar'!$AA$115=SPECIAL_LBL)*(INC_SPECIALS="Y"))=0,"",'Dvd Calendar'!$AA$113)))</f>
        <v/>
      </c>
      <c r="Z21" s="106">
        <f>IF(FB21="","",IF(ISNUMBER('Dvd Calendar'!$AB$113)=FALSE,"",IF((('Dvd Calendar'!$AB$115=TYPE1)*(TYPE1&lt;&gt;"")+('Dvd Calendar'!$AB$115=TYPE2)*(TYPE2&lt;&gt;"")+('Dvd Calendar'!$AB$115=TYPE3)*(TYPE3&lt;&gt;"")+('Dvd Calendar'!$AB$115=TYPE4)*(TYPE4&lt;&gt;"")+('Dvd Calendar'!$AB$115=SPECIAL_LBL)*(INC_SPECIALS="Y"))=0,"",'Dvd Calendar'!$AB$113)))</f>
        <v/>
      </c>
      <c r="AA21" s="106">
        <f>IF(FC21="","",IF(ISNUMBER('Dvd Calendar'!$AC$113)=FALSE,"",IF((('Dvd Calendar'!$AC$115=TYPE1)*(TYPE1&lt;&gt;"")+('Dvd Calendar'!$AC$115=TYPE2)*(TYPE2&lt;&gt;"")+('Dvd Calendar'!$AC$115=TYPE3)*(TYPE3&lt;&gt;"")+('Dvd Calendar'!$AC$115=TYPE4)*(TYPE4&lt;&gt;"")+('Dvd Calendar'!$AC$115=SPECIAL_LBL)*(INC_SPECIALS="Y"))=0,"",'Dvd Calendar'!$AC$113)))</f>
        <v/>
      </c>
      <c r="AB21" s="106">
        <f>IF(FD21="","",IF(ISNUMBER('Dvd Calendar'!$AD$113)=FALSE,"",IF((('Dvd Calendar'!$AD$115=TYPE1)*(TYPE1&lt;&gt;"")+('Dvd Calendar'!$AD$115=TYPE2)*(TYPE2&lt;&gt;"")+('Dvd Calendar'!$AD$115=TYPE3)*(TYPE3&lt;&gt;"")+('Dvd Calendar'!$AD$115=TYPE4)*(TYPE4&lt;&gt;"")+('Dvd Calendar'!$AD$115=SPECIAL_LBL)*(INC_SPECIALS="Y"))=0,"",'Dvd Calendar'!$AD$113)))</f>
        <v/>
      </c>
      <c r="AC21" s="106">
        <f>IF(FE21="","",IF(ISNUMBER('Dvd Calendar'!$AE$113)=FALSE,"",IF((('Dvd Calendar'!$AE$115=TYPE1)*(TYPE1&lt;&gt;"")+('Dvd Calendar'!$AE$115=TYPE2)*(TYPE2&lt;&gt;"")+('Dvd Calendar'!$AE$115=TYPE3)*(TYPE3&lt;&gt;"")+('Dvd Calendar'!$AE$115=TYPE4)*(TYPE4&lt;&gt;"")+('Dvd Calendar'!$AE$115=SPECIAL_LBL)*(INC_SPECIALS="Y"))=0,"",'Dvd Calendar'!$AE$113)))</f>
        <v/>
      </c>
      <c r="AD21" s="106">
        <f>IF(FF21="","",IF(ISNUMBER('Dvd Calendar'!$AF$113)=FALSE,"",IF((('Dvd Calendar'!$AF$115=TYPE1)*(TYPE1&lt;&gt;"")+('Dvd Calendar'!$AF$115=TYPE2)*(TYPE2&lt;&gt;"")+('Dvd Calendar'!$AF$115=TYPE3)*(TYPE3&lt;&gt;"")+('Dvd Calendar'!$AF$115=TYPE4)*(TYPE4&lt;&gt;"")+('Dvd Calendar'!$AF$115=SPECIAL_LBL)*(INC_SPECIALS="Y"))=0,"",'Dvd Calendar'!$AF$113)))</f>
        <v/>
      </c>
      <c r="AE21" s="106">
        <f>IF(FG21="","",IF(ISNUMBER('Dvd Calendar'!$AG$113)=FALSE,"",IF((('Dvd Calendar'!$AG$115=TYPE1)*(TYPE1&lt;&gt;"")+('Dvd Calendar'!$AG$115=TYPE2)*(TYPE2&lt;&gt;"")+('Dvd Calendar'!$AG$115=TYPE3)*(TYPE3&lt;&gt;"")+('Dvd Calendar'!$AG$115=TYPE4)*(TYPE4&lt;&gt;"")+('Dvd Calendar'!$AG$115=SPECIAL_LBL)*(INC_SPECIALS="Y"))=0,"",'Dvd Calendar'!$AG$113)))</f>
        <v/>
      </c>
      <c r="AF21" s="106">
        <f>IF(FH21="","",IF(ISNUMBER('Dvd Calendar'!$AH$113)=FALSE,"",IF((('Dvd Calendar'!$AH$115=TYPE1)*(TYPE1&lt;&gt;"")+('Dvd Calendar'!$AH$115=TYPE2)*(TYPE2&lt;&gt;"")+('Dvd Calendar'!$AH$115=TYPE3)*(TYPE3&lt;&gt;"")+('Dvd Calendar'!$AH$115=TYPE4)*(TYPE4&lt;&gt;"")+('Dvd Calendar'!$AH$115=SPECIAL_LBL)*(INC_SPECIALS="Y"))=0,"",'Dvd Calendar'!$AH$113)))</f>
        <v/>
      </c>
      <c r="AG21" s="106">
        <f>IF(FI21="","",IF(ISNUMBER('Dvd Calendar'!$AI$113)=FALSE,"",IF((('Dvd Calendar'!$AI$115=TYPE1)*(TYPE1&lt;&gt;"")+('Dvd Calendar'!$AI$115=TYPE2)*(TYPE2&lt;&gt;"")+('Dvd Calendar'!$AI$115=TYPE3)*(TYPE3&lt;&gt;"")+('Dvd Calendar'!$AI$115=TYPE4)*(TYPE4&lt;&gt;"")+('Dvd Calendar'!$AI$115=SPECIAL_LBL)*(INC_SPECIALS="Y"))=0,"",'Dvd Calendar'!$AI$113)))</f>
        <v/>
      </c>
      <c r="AH21" s="106">
        <f>IF(FJ21="","",IF(ISNUMBER('Dvd Calendar'!$AJ$113)=FALSE,"",IF((('Dvd Calendar'!$AJ$115=TYPE1)*(TYPE1&lt;&gt;"")+('Dvd Calendar'!$AJ$115=TYPE2)*(TYPE2&lt;&gt;"")+('Dvd Calendar'!$AJ$115=TYPE3)*(TYPE3&lt;&gt;"")+('Dvd Calendar'!$AJ$115=TYPE4)*(TYPE4&lt;&gt;"")+('Dvd Calendar'!$AJ$115=SPECIAL_LBL)*(INC_SPECIALS="Y"))=0,"",'Dvd Calendar'!$AJ$113)))</f>
        <v/>
      </c>
      <c r="AI21" s="106">
        <f>IF(FK21="","",IF(ISNUMBER('Dvd Calendar'!$AK$113)=FALSE,"",IF((('Dvd Calendar'!$AK$115=TYPE1)*(TYPE1&lt;&gt;"")+('Dvd Calendar'!$AK$115=TYPE2)*(TYPE2&lt;&gt;"")+('Dvd Calendar'!$AK$115=TYPE3)*(TYPE3&lt;&gt;"")+('Dvd Calendar'!$AK$115=TYPE4)*(TYPE4&lt;&gt;"")+('Dvd Calendar'!$AK$115=SPECIAL_LBL)*(INC_SPECIALS="Y"))=0,"",'Dvd Calendar'!$AK$113)))</f>
        <v/>
      </c>
      <c r="AJ21" s="106">
        <f>IF(FL21="","",IF(ISNUMBER('Dvd Calendar'!$AL$113)=FALSE,"",IF((('Dvd Calendar'!$AL$115=TYPE1)*(TYPE1&lt;&gt;"")+('Dvd Calendar'!$AL$115=TYPE2)*(TYPE2&lt;&gt;"")+('Dvd Calendar'!$AL$115=TYPE3)*(TYPE3&lt;&gt;"")+('Dvd Calendar'!$AL$115=TYPE4)*(TYPE4&lt;&gt;"")+('Dvd Calendar'!$AL$115=SPECIAL_LBL)*(INC_SPECIALS="Y"))=0,"",'Dvd Calendar'!$AL$113)))</f>
        <v/>
      </c>
      <c r="AK21" s="106">
        <f>IF(FM21="","",IF(ISNUMBER('Dvd Calendar'!$AM$113)=FALSE,"",IF((('Dvd Calendar'!$AM$115=TYPE1)*(TYPE1&lt;&gt;"")+('Dvd Calendar'!$AM$115=TYPE2)*(TYPE2&lt;&gt;"")+('Dvd Calendar'!$AM$115=TYPE3)*(TYPE3&lt;&gt;"")+('Dvd Calendar'!$AM$115=TYPE4)*(TYPE4&lt;&gt;"")+('Dvd Calendar'!$AM$115=SPECIAL_LBL)*(INC_SPECIALS="Y"))=0,"",'Dvd Calendar'!$AM$113)))</f>
        <v/>
      </c>
      <c r="AL21" s="106">
        <f>IF(FN21="","",IF(ISNUMBER('Dvd Calendar'!$AN$113)=FALSE,"",IF((('Dvd Calendar'!$AN$115=TYPE1)*(TYPE1&lt;&gt;"")+('Dvd Calendar'!$AN$115=TYPE2)*(TYPE2&lt;&gt;"")+('Dvd Calendar'!$AN$115=TYPE3)*(TYPE3&lt;&gt;"")+('Dvd Calendar'!$AN$115=TYPE4)*(TYPE4&lt;&gt;"")+('Dvd Calendar'!$AN$115=SPECIAL_LBL)*(INC_SPECIALS="Y"))=0,"",'Dvd Calendar'!$AN$113)))</f>
        <v/>
      </c>
      <c r="AM21" s="106">
        <f>IF(FO21="","",IF(ISNUMBER('Dvd Calendar'!$AO$113)=FALSE,"",IF((('Dvd Calendar'!$AO$115=TYPE1)*(TYPE1&lt;&gt;"")+('Dvd Calendar'!$AO$115=TYPE2)*(TYPE2&lt;&gt;"")+('Dvd Calendar'!$AO$115=TYPE3)*(TYPE3&lt;&gt;"")+('Dvd Calendar'!$AO$115=TYPE4)*(TYPE4&lt;&gt;"")+('Dvd Calendar'!$AO$115=SPECIAL_LBL)*(INC_SPECIALS="Y"))=0,"",'Dvd Calendar'!$AO$113)))</f>
        <v/>
      </c>
      <c r="AN21" s="106">
        <f>IF(FP21="","",IF(ISNUMBER('Dvd Calendar'!$AP$113)=FALSE,"",IF((('Dvd Calendar'!$AP$115=TYPE1)*(TYPE1&lt;&gt;"")+('Dvd Calendar'!$AP$115=TYPE2)*(TYPE2&lt;&gt;"")+('Dvd Calendar'!$AP$115=TYPE3)*(TYPE3&lt;&gt;"")+('Dvd Calendar'!$AP$115=TYPE4)*(TYPE4&lt;&gt;"")+('Dvd Calendar'!$AP$115=SPECIAL_LBL)*(INC_SPECIALS="Y"))=0,"",'Dvd Calendar'!$AP$113)))</f>
        <v/>
      </c>
      <c r="AO21" s="106">
        <f>IF(FQ21="","",IF(ISNUMBER('Dvd Calendar'!$AQ$113)=FALSE,"",IF((('Dvd Calendar'!$AQ$115=TYPE1)*(TYPE1&lt;&gt;"")+('Dvd Calendar'!$AQ$115=TYPE2)*(TYPE2&lt;&gt;"")+('Dvd Calendar'!$AQ$115=TYPE3)*(TYPE3&lt;&gt;"")+('Dvd Calendar'!$AQ$115=TYPE4)*(TYPE4&lt;&gt;"")+('Dvd Calendar'!$AQ$115=SPECIAL_LBL)*(INC_SPECIALS="Y"))=0,"",'Dvd Calendar'!$AQ$113)))</f>
        <v/>
      </c>
      <c r="AP21" s="106">
        <f>IF(FR21="","",IF(ISNUMBER('Dvd Calendar'!$AR$113)=FALSE,"",IF((('Dvd Calendar'!$AR$115=TYPE1)*(TYPE1&lt;&gt;"")+('Dvd Calendar'!$AR$115=TYPE2)*(TYPE2&lt;&gt;"")+('Dvd Calendar'!$AR$115=TYPE3)*(TYPE3&lt;&gt;"")+('Dvd Calendar'!$AR$115=TYPE4)*(TYPE4&lt;&gt;"")+('Dvd Calendar'!$AR$115=SPECIAL_LBL)*(INC_SPECIALS="Y"))=0,"",'Dvd Calendar'!$AR$113)))</f>
        <v/>
      </c>
      <c r="AQ21" s="106">
        <f>IF(FS21="","",IF(ISNUMBER('Dvd Calendar'!$E$118)=FALSE,"",'Dvd Calendar'!$E$118))</f>
        <v/>
      </c>
      <c r="AR21" s="106">
        <f>IF(FT21="","",IF(ISNUMBER('Dvd Calendar'!$F$118)=FALSE,"",'Dvd Calendar'!$F$118))</f>
        <v/>
      </c>
      <c r="AS21" s="106">
        <f>IF(FU21="","",IF(ISNUMBER('Dvd Calendar'!$G$118)=FALSE,"",'Dvd Calendar'!$G$118))</f>
        <v/>
      </c>
      <c r="AT21" s="106">
        <f>IF(FV21="","",IF(ISNUMBER('Dvd Calendar'!$H$118)=FALSE,"",'Dvd Calendar'!$H$118))</f>
        <v/>
      </c>
      <c r="AU21" s="106">
        <f>IF(FW21="","",IF(ISNUMBER('Dvd Calendar'!$I$118)=FALSE,"",'Dvd Calendar'!$I$118))</f>
        <v/>
      </c>
      <c r="AV21" s="106">
        <f>IF(FX21="","",IF(ISNUMBER('Dvd Calendar'!$J$118)=FALSE,"",'Dvd Calendar'!$J$118))</f>
        <v/>
      </c>
      <c r="AW21" s="106">
        <f>IF(FY21="","",IF(ISNUMBER('Dvd Calendar'!$K$118)=FALSE,"",'Dvd Calendar'!$K$118))</f>
        <v/>
      </c>
      <c r="AX21" s="106">
        <f>IF(FZ21="","",IF(ISNUMBER('Dvd Calendar'!$L$118)=FALSE,"",'Dvd Calendar'!$L$118))</f>
        <v/>
      </c>
      <c r="AY21" s="106">
        <f>IF(GA21="","",IF(ISNUMBER('Dvd Calendar'!$M$118)=FALSE,"",'Dvd Calendar'!$M$118))</f>
        <v/>
      </c>
      <c r="AZ21" s="106">
        <f>IF(GB21="","",IF(ISNUMBER('Dvd Calendar'!$N$118)=FALSE,"",'Dvd Calendar'!$N$118))</f>
        <v/>
      </c>
      <c r="BA21" s="106">
        <f>IF(GC21="","",IF(ISNUMBER('Dvd Calendar'!$O$118)=FALSE,"",'Dvd Calendar'!$O$118))</f>
        <v/>
      </c>
      <c r="BB21" s="106">
        <f>IF(GD21="","",IF(ISNUMBER('Dvd Calendar'!$P$118)=FALSE,"",'Dvd Calendar'!$P$118))</f>
        <v/>
      </c>
      <c r="BC21" s="106">
        <f>IF(GE21="","",IF(ISNUMBER('Dvd Calendar'!$Q$118)=FALSE,"",'Dvd Calendar'!$Q$118))</f>
        <v/>
      </c>
      <c r="BD21" s="106">
        <f>IF(GF21="","",IF(ISNUMBER('Dvd Calendar'!$R$118)=FALSE,"",'Dvd Calendar'!$R$118))</f>
        <v/>
      </c>
      <c r="BE21" s="106">
        <f>IF(GG21="","",IF(ISNUMBER('Dvd Calendar'!$S$118)=FALSE,"",'Dvd Calendar'!$S$118))</f>
        <v/>
      </c>
      <c r="BF21" s="106">
        <f>IF(GH21="","",IF(ISNUMBER('Dvd Calendar'!$T$118)=FALSE,"",'Dvd Calendar'!$T$118))</f>
        <v/>
      </c>
      <c r="BG21" s="106">
        <f>IF(GI21="","",IF(ISNUMBER('Dvd Calendar'!$U$118)=FALSE,"",'Dvd Calendar'!$U$118))</f>
        <v/>
      </c>
      <c r="BH21" s="106">
        <f>IF(GJ21="","",IF(ISNUMBER('Dvd Calendar'!$V$118)=FALSE,"",'Dvd Calendar'!$V$118))</f>
        <v/>
      </c>
      <c r="BI21" s="106">
        <f>IF(GK21="","",IF(ISNUMBER('Dvd Calendar'!$W$118)=FALSE,"",'Dvd Calendar'!$W$118))</f>
        <v/>
      </c>
      <c r="BJ21" s="106">
        <f>IF(GL21="","",IF(ISNUMBER('Dvd Calendar'!$X$118)=FALSE,"",'Dvd Calendar'!$X$118))</f>
        <v/>
      </c>
      <c r="BK21" s="106">
        <f>IF(GM21="","",IF(ISNUMBER('Dvd Calendar'!$Y$118)=FALSE,"",'Dvd Calendar'!$Y$118))</f>
        <v/>
      </c>
      <c r="BL21" s="106">
        <f>IF(GN21="","",IF(ISNUMBER('Dvd Calendar'!$Z$118)=FALSE,"",'Dvd Calendar'!$Z$118))</f>
        <v/>
      </c>
      <c r="BM21" s="106">
        <f>IF(GO21="","",IF(ISNUMBER('Dvd Calendar'!$AA$118)=FALSE,"",'Dvd Calendar'!$AA$118))</f>
        <v/>
      </c>
      <c r="BN21" s="106">
        <f>IF(GP21="","",IF(ISNUMBER('Dvd Calendar'!$AB$118)=FALSE,"",'Dvd Calendar'!$AB$118))</f>
        <v/>
      </c>
      <c r="BO21" s="106">
        <f>IF(GQ21="","",IF(ISNUMBER('Dvd Calendar'!$AC$118)=FALSE,"",'Dvd Calendar'!$AC$118))</f>
        <v/>
      </c>
      <c r="BQ21" s="106">
        <f>IF(C21="","",IFERROR(C21*HSI!$B$16*HSI!$G$16/HSI!$B$3,""))</f>
        <v/>
      </c>
      <c r="BR21" s="106">
        <f>IF(D21="","",IFERROR(D21*HSI!$B$16*HSI!$G$16/HSI!$B$3,""))</f>
        <v/>
      </c>
      <c r="BS21" s="106">
        <f>IF(E21="","",IFERROR(E21*HSI!$B$16*HSI!$G$16/HSI!$B$3,""))</f>
        <v/>
      </c>
      <c r="BT21" s="106">
        <f>IF(F21="","",IFERROR(F21*HSI!$B$16*HSI!$G$16/HSI!$B$3,""))</f>
        <v/>
      </c>
      <c r="BU21" s="106">
        <f>IF(G21="","",IFERROR(G21*HSI!$B$16*HSI!$G$16/HSI!$B$3,""))</f>
        <v/>
      </c>
      <c r="BV21" s="106">
        <f>IF(H21="","",IFERROR(H21*HSI!$B$16*HSI!$G$16/HSI!$B$3,""))</f>
        <v/>
      </c>
      <c r="BW21" s="106">
        <f>IF(I21="","",IFERROR(I21*HSI!$B$16*HSI!$G$16/HSI!$B$3,""))</f>
        <v/>
      </c>
      <c r="BX21" s="106">
        <f>IF(J21="","",IFERROR(J21*HSI!$B$16*HSI!$G$16/HSI!$B$3,""))</f>
        <v/>
      </c>
      <c r="BY21" s="106">
        <f>IF(K21="","",IFERROR(K21*HSI!$B$16*HSI!$G$16/HSI!$B$3,""))</f>
        <v/>
      </c>
      <c r="BZ21" s="106">
        <f>IF(L21="","",IFERROR(L21*HSI!$B$16*HSI!$G$16/HSI!$B$3,""))</f>
        <v/>
      </c>
      <c r="CA21" s="106">
        <f>IF(M21="","",IFERROR(M21*HSI!$B$16*HSI!$G$16/HSI!$B$3,""))</f>
        <v/>
      </c>
      <c r="CB21" s="106">
        <f>IF(N21="","",IFERROR(N21*HSI!$B$16*HSI!$G$16/HSI!$B$3,""))</f>
        <v/>
      </c>
      <c r="CC21" s="106">
        <f>IF(O21="","",IFERROR(O21*HSI!$B$16*HSI!$G$16/HSI!$B$3,""))</f>
        <v/>
      </c>
      <c r="CD21" s="106">
        <f>IF(P21="","",IFERROR(P21*HSI!$B$16*HSI!$G$16/HSI!$B$3,""))</f>
        <v/>
      </c>
      <c r="CE21" s="106">
        <f>IF(Q21="","",IFERROR(Q21*HSI!$B$16*HSI!$G$16/HSI!$B$3,""))</f>
        <v/>
      </c>
      <c r="CF21" s="106">
        <f>IF(R21="","",IFERROR(R21*HSI!$B$16*HSI!$G$16/HSI!$B$3,""))</f>
        <v/>
      </c>
      <c r="CG21" s="106">
        <f>IF(S21="","",IFERROR(S21*HSI!$B$16*HSI!$G$16/HSI!$B$3,""))</f>
        <v/>
      </c>
      <c r="CH21" s="106">
        <f>IF(T21="","",IFERROR(T21*HSI!$B$16*HSI!$G$16/HSI!$B$3,""))</f>
        <v/>
      </c>
      <c r="CI21" s="106">
        <f>IF(U21="","",IFERROR(U21*HSI!$B$16*HSI!$G$16/HSI!$B$3,""))</f>
        <v/>
      </c>
      <c r="CJ21" s="106">
        <f>IF(V21="","",IFERROR(V21*HSI!$B$16*HSI!$G$16/HSI!$B$3,""))</f>
        <v/>
      </c>
      <c r="CK21" s="106">
        <f>IF(W21="","",IFERROR(W21*HSI!$B$16*HSI!$G$16/HSI!$B$3,""))</f>
        <v/>
      </c>
      <c r="CL21" s="106">
        <f>IF(X21="","",IFERROR(X21*HSI!$B$16*HSI!$G$16/HSI!$B$3,""))</f>
        <v/>
      </c>
      <c r="CM21" s="106">
        <f>IF(Y21="","",IFERROR(Y21*HSI!$B$16*HSI!$G$16/HSI!$B$3,""))</f>
        <v/>
      </c>
      <c r="CN21" s="106">
        <f>IF(Z21="","",IFERROR(Z21*HSI!$B$16*HSI!$G$16/HSI!$B$3,""))</f>
        <v/>
      </c>
      <c r="CO21" s="106">
        <f>IF(AA21="","",IFERROR(AA21*HSI!$B$16*HSI!$G$16/HSI!$B$3,""))</f>
        <v/>
      </c>
      <c r="CP21" s="106">
        <f>IF(AB21="","",IFERROR(AB21*HSI!$B$16*HSI!$G$16/HSI!$B$3,""))</f>
        <v/>
      </c>
      <c r="CQ21" s="106">
        <f>IF(AC21="","",IFERROR(AC21*HSI!$B$16*HSI!$G$16/HSI!$B$3,""))</f>
        <v/>
      </c>
      <c r="CR21" s="106">
        <f>IF(AD21="","",IFERROR(AD21*HSI!$B$16*HSI!$G$16/HSI!$B$3,""))</f>
        <v/>
      </c>
      <c r="CS21" s="106">
        <f>IF(AE21="","",IFERROR(AE21*HSI!$B$16*HSI!$G$16/HSI!$B$3,""))</f>
        <v/>
      </c>
      <c r="CT21" s="106">
        <f>IF(AF21="","",IFERROR(AF21*HSI!$B$16*HSI!$G$16/HSI!$B$3,""))</f>
        <v/>
      </c>
      <c r="CU21" s="106">
        <f>IF(AG21="","",IFERROR(AG21*HSI!$B$16*HSI!$G$16/HSI!$B$3,""))</f>
        <v/>
      </c>
      <c r="CV21" s="106">
        <f>IF(AH21="","",IFERROR(AH21*HSI!$B$16*HSI!$G$16/HSI!$B$3,""))</f>
        <v/>
      </c>
      <c r="CW21" s="106">
        <f>IF(AI21="","",IFERROR(AI21*HSI!$B$16*HSI!$G$16/HSI!$B$3,""))</f>
        <v/>
      </c>
      <c r="CX21" s="106">
        <f>IF(AJ21="","",IFERROR(AJ21*HSI!$B$16*HSI!$G$16/HSI!$B$3,""))</f>
        <v/>
      </c>
      <c r="CY21" s="106">
        <f>IF(AK21="","",IFERROR(AK21*HSI!$B$16*HSI!$G$16/HSI!$B$3,""))</f>
        <v/>
      </c>
      <c r="CZ21" s="106">
        <f>IF(AL21="","",IFERROR(AL21*HSI!$B$16*HSI!$G$16/HSI!$B$3,""))</f>
        <v/>
      </c>
      <c r="DA21" s="106">
        <f>IF(AM21="","",IFERROR(AM21*HSI!$B$16*HSI!$G$16/HSI!$B$3,""))</f>
        <v/>
      </c>
      <c r="DB21" s="106">
        <f>IF(AN21="","",IFERROR(AN21*HSI!$B$16*HSI!$G$16/HSI!$B$3,""))</f>
        <v/>
      </c>
      <c r="DC21" s="106">
        <f>IF(AO21="","",IFERROR(AO21*HSI!$B$16*HSI!$G$16/HSI!$B$3,""))</f>
        <v/>
      </c>
      <c r="DD21" s="106">
        <f>IF(AP21="","",IFERROR(AP21*HSI!$B$16*HSI!$G$16/HSI!$B$3,""))</f>
        <v/>
      </c>
      <c r="DE21" s="106">
        <f>IF(AQ21="","",IFERROR(AQ21*HSI!$B$16*HSI!$G$16/HSI!$B$3,""))</f>
        <v/>
      </c>
      <c r="DF21" s="106">
        <f>IF(AR21="","",IFERROR(AR21*HSI!$B$16*HSI!$G$16/HSI!$B$3,""))</f>
        <v/>
      </c>
      <c r="DG21" s="106">
        <f>IF(AS21="","",IFERROR(AS21*HSI!$B$16*HSI!$G$16/HSI!$B$3,""))</f>
        <v/>
      </c>
      <c r="DH21" s="106">
        <f>IF(AT21="","",IFERROR(AT21*HSI!$B$16*HSI!$G$16/HSI!$B$3,""))</f>
        <v/>
      </c>
      <c r="DI21" s="106">
        <f>IF(AU21="","",IFERROR(AU21*HSI!$B$16*HSI!$G$16/HSI!$B$3,""))</f>
        <v/>
      </c>
      <c r="DJ21" s="106">
        <f>IF(AV21="","",IFERROR(AV21*HSI!$B$16*HSI!$G$16/HSI!$B$3,""))</f>
        <v/>
      </c>
      <c r="DK21" s="106">
        <f>IF(AW21="","",IFERROR(AW21*HSI!$B$16*HSI!$G$16/HSI!$B$3,""))</f>
        <v/>
      </c>
      <c r="DL21" s="106">
        <f>IF(AX21="","",IFERROR(AX21*HSI!$B$16*HSI!$G$16/HSI!$B$3,""))</f>
        <v/>
      </c>
      <c r="DM21" s="106">
        <f>IF(AY21="","",IFERROR(AY21*HSI!$B$16*HSI!$G$16/HSI!$B$3,""))</f>
        <v/>
      </c>
      <c r="DN21" s="106">
        <f>IF(AZ21="","",IFERROR(AZ21*HSI!$B$16*HSI!$G$16/HSI!$B$3,""))</f>
        <v/>
      </c>
      <c r="DO21" s="106">
        <f>IF(BA21="","",IFERROR(BA21*HSI!$B$16*HSI!$G$16/HSI!$B$3,""))</f>
        <v/>
      </c>
      <c r="DP21" s="106">
        <f>IF(BB21="","",IFERROR(BB21*HSI!$B$16*HSI!$G$16/HSI!$B$3,""))</f>
        <v/>
      </c>
      <c r="DQ21" s="106">
        <f>IF(BC21="","",IFERROR(BC21*HSI!$B$16*HSI!$G$16/HSI!$B$3,""))</f>
        <v/>
      </c>
      <c r="DR21" s="106">
        <f>IF(BD21="","",IFERROR(BD21*HSI!$B$16*HSI!$G$16/HSI!$B$3,""))</f>
        <v/>
      </c>
      <c r="DS21" s="106">
        <f>IF(BE21="","",IFERROR(BE21*HSI!$B$16*HSI!$G$16/HSI!$B$3,""))</f>
        <v/>
      </c>
      <c r="DT21" s="106">
        <f>IF(BF21="","",IFERROR(BF21*HSI!$B$16*HSI!$G$16/HSI!$B$3,""))</f>
        <v/>
      </c>
      <c r="DU21" s="106">
        <f>IF(BG21="","",IFERROR(BG21*HSI!$B$16*HSI!$G$16/HSI!$B$3,""))</f>
        <v/>
      </c>
      <c r="DV21" s="106">
        <f>IF(BH21="","",IFERROR(BH21*HSI!$B$16*HSI!$G$16/HSI!$B$3,""))</f>
        <v/>
      </c>
      <c r="DW21" s="106">
        <f>IF(BI21="","",IFERROR(BI21*HSI!$B$16*HSI!$G$16/HSI!$B$3,""))</f>
        <v/>
      </c>
      <c r="DX21" s="106">
        <f>IF(BJ21="","",IFERROR(BJ21*HSI!$B$16*HSI!$G$16/HSI!$B$3,""))</f>
        <v/>
      </c>
      <c r="DY21" s="106">
        <f>IF(BK21="","",IFERROR(BK21*HSI!$B$16*HSI!$G$16/HSI!$B$3,""))</f>
        <v/>
      </c>
      <c r="DZ21" s="106">
        <f>IF(BL21="","",IFERROR(BL21*HSI!$B$16*HSI!$G$16/HSI!$B$3,""))</f>
        <v/>
      </c>
      <c r="EA21" s="106">
        <f>IF(BM21="","",IFERROR(BM21*HSI!$B$16*HSI!$G$16/HSI!$B$3,""))</f>
        <v/>
      </c>
      <c r="EB21" s="106">
        <f>IF(BN21="","",IFERROR(BN21*HSI!$B$16*HSI!$G$16/HSI!$B$3,""))</f>
        <v/>
      </c>
      <c r="EC21" s="106">
        <f>IF(BO21="","",IFERROR(BO21*HSI!$B$16*HSI!$G$16/HSI!$B$3,""))</f>
        <v/>
      </c>
      <c r="EE21" s="35">
        <f>IF(N('Dvd Calendar'!$E$110)=0,"",IF(('Dvd Calendar'!$E$110&gt;=GRID_FROM)*('Dvd Calendar'!$E$110&lt;=GRID_TO)*('Dvd Calendar'!$E$110&lt;=VAL_DATE)=0,"",'Dvd Calendar'!$E$110*1000000000+ISNUMBER('Dvd Calendar'!$E$113)*100000000+('Dvd Calendar'!$E$115=SPECIAL_LBL)*10000000+0*1000000+10*1000+1))</f>
        <v/>
      </c>
      <c r="EF21" s="35">
        <f>IF(N('Dvd Calendar'!$F$110)=0,"",IF(('Dvd Calendar'!$F$110&gt;=GRID_FROM)*('Dvd Calendar'!$F$110&lt;=GRID_TO)*('Dvd Calendar'!$F$110&lt;=VAL_DATE)=0,"",'Dvd Calendar'!$F$110*1000000000+ISNUMBER('Dvd Calendar'!$F$113)*100000000+('Dvd Calendar'!$F$115=SPECIAL_LBL)*10000000+0*1000000+10*1000+2))</f>
        <v/>
      </c>
      <c r="EG21" s="35">
        <f>IF(N('Dvd Calendar'!$G$110)=0,"",IF(('Dvd Calendar'!$G$110&gt;=GRID_FROM)*('Dvd Calendar'!$G$110&lt;=GRID_TO)*('Dvd Calendar'!$G$110&lt;=VAL_DATE)=0,"",'Dvd Calendar'!$G$110*1000000000+ISNUMBER('Dvd Calendar'!$G$113)*100000000+('Dvd Calendar'!$G$115=SPECIAL_LBL)*10000000+0*1000000+10*1000+3))</f>
        <v/>
      </c>
      <c r="EH21" s="35">
        <f>IF(N('Dvd Calendar'!$H$110)=0,"",IF(('Dvd Calendar'!$H$110&gt;=GRID_FROM)*('Dvd Calendar'!$H$110&lt;=GRID_TO)*('Dvd Calendar'!$H$110&lt;=VAL_DATE)=0,"",'Dvd Calendar'!$H$110*1000000000+ISNUMBER('Dvd Calendar'!$H$113)*100000000+('Dvd Calendar'!$H$115=SPECIAL_LBL)*10000000+0*1000000+10*1000+4))</f>
        <v/>
      </c>
      <c r="EI21" s="35">
        <f>IF(N('Dvd Calendar'!$I$110)=0,"",IF(('Dvd Calendar'!$I$110&gt;=GRID_FROM)*('Dvd Calendar'!$I$110&lt;=GRID_TO)*('Dvd Calendar'!$I$110&lt;=VAL_DATE)=0,"",'Dvd Calendar'!$I$110*1000000000+ISNUMBER('Dvd Calendar'!$I$113)*100000000+('Dvd Calendar'!$I$115=SPECIAL_LBL)*10000000+0*1000000+10*1000+5))</f>
        <v/>
      </c>
      <c r="EJ21" s="35">
        <f>IF(N('Dvd Calendar'!$J$110)=0,"",IF(('Dvd Calendar'!$J$110&gt;=GRID_FROM)*('Dvd Calendar'!$J$110&lt;=GRID_TO)*('Dvd Calendar'!$J$110&lt;=VAL_DATE)=0,"",'Dvd Calendar'!$J$110*1000000000+ISNUMBER('Dvd Calendar'!$J$113)*100000000+('Dvd Calendar'!$J$115=SPECIAL_LBL)*10000000+0*1000000+10*1000+6))</f>
        <v/>
      </c>
      <c r="EK21" s="35">
        <f>IF(N('Dvd Calendar'!$K$110)=0,"",IF(('Dvd Calendar'!$K$110&gt;=GRID_FROM)*('Dvd Calendar'!$K$110&lt;=GRID_TO)*('Dvd Calendar'!$K$110&lt;=VAL_DATE)=0,"",'Dvd Calendar'!$K$110*1000000000+ISNUMBER('Dvd Calendar'!$K$113)*100000000+('Dvd Calendar'!$K$115=SPECIAL_LBL)*10000000+0*1000000+10*1000+7))</f>
        <v/>
      </c>
      <c r="EL21" s="35">
        <f>IF(N('Dvd Calendar'!$L$110)=0,"",IF(('Dvd Calendar'!$L$110&gt;=GRID_FROM)*('Dvd Calendar'!$L$110&lt;=GRID_TO)*('Dvd Calendar'!$L$110&lt;=VAL_DATE)=0,"",'Dvd Calendar'!$L$110*1000000000+ISNUMBER('Dvd Calendar'!$L$113)*100000000+('Dvd Calendar'!$L$115=SPECIAL_LBL)*10000000+0*1000000+10*1000+8))</f>
        <v/>
      </c>
      <c r="EM21" s="35">
        <f>IF(N('Dvd Calendar'!$M$110)=0,"",IF(('Dvd Calendar'!$M$110&gt;=GRID_FROM)*('Dvd Calendar'!$M$110&lt;=GRID_TO)*('Dvd Calendar'!$M$110&lt;=VAL_DATE)=0,"",'Dvd Calendar'!$M$110*1000000000+ISNUMBER('Dvd Calendar'!$M$113)*100000000+('Dvd Calendar'!$M$115=SPECIAL_LBL)*10000000+0*1000000+10*1000+9))</f>
        <v/>
      </c>
      <c r="EN21" s="35">
        <f>IF(N('Dvd Calendar'!$N$110)=0,"",IF(('Dvd Calendar'!$N$110&gt;=GRID_FROM)*('Dvd Calendar'!$N$110&lt;=GRID_TO)*('Dvd Calendar'!$N$110&lt;=VAL_DATE)=0,"",'Dvd Calendar'!$N$110*1000000000+ISNUMBER('Dvd Calendar'!$N$113)*100000000+('Dvd Calendar'!$N$115=SPECIAL_LBL)*10000000+0*1000000+10*1000+10))</f>
        <v/>
      </c>
      <c r="EO21" s="35">
        <f>IF(N('Dvd Calendar'!$O$110)=0,"",IF(('Dvd Calendar'!$O$110&gt;=GRID_FROM)*('Dvd Calendar'!$O$110&lt;=GRID_TO)*('Dvd Calendar'!$O$110&lt;=VAL_DATE)=0,"",'Dvd Calendar'!$O$110*1000000000+ISNUMBER('Dvd Calendar'!$O$113)*100000000+('Dvd Calendar'!$O$115=SPECIAL_LBL)*10000000+0*1000000+10*1000+11))</f>
        <v/>
      </c>
      <c r="EP21" s="35">
        <f>IF(N('Dvd Calendar'!$P$110)=0,"",IF(('Dvd Calendar'!$P$110&gt;=GRID_FROM)*('Dvd Calendar'!$P$110&lt;=GRID_TO)*('Dvd Calendar'!$P$110&lt;=VAL_DATE)=0,"",'Dvd Calendar'!$P$110*1000000000+ISNUMBER('Dvd Calendar'!$P$113)*100000000+('Dvd Calendar'!$P$115=SPECIAL_LBL)*10000000+0*1000000+10*1000+12))</f>
        <v/>
      </c>
      <c r="EQ21" s="35">
        <f>IF(N('Dvd Calendar'!$Q$110)=0,"",IF(('Dvd Calendar'!$Q$110&gt;=GRID_FROM)*('Dvd Calendar'!$Q$110&lt;=GRID_TO)*('Dvd Calendar'!$Q$110&lt;=VAL_DATE)=0,"",'Dvd Calendar'!$Q$110*1000000000+ISNUMBER('Dvd Calendar'!$Q$113)*100000000+('Dvd Calendar'!$Q$115=SPECIAL_LBL)*10000000+0*1000000+10*1000+13))</f>
        <v/>
      </c>
      <c r="ER21" s="35">
        <f>IF(N('Dvd Calendar'!$R$110)=0,"",IF(('Dvd Calendar'!$R$110&gt;=GRID_FROM)*('Dvd Calendar'!$R$110&lt;=GRID_TO)*('Dvd Calendar'!$R$110&lt;=VAL_DATE)=0,"",'Dvd Calendar'!$R$110*1000000000+ISNUMBER('Dvd Calendar'!$R$113)*100000000+('Dvd Calendar'!$R$115=SPECIAL_LBL)*10000000+0*1000000+10*1000+14))</f>
        <v/>
      </c>
      <c r="ES21" s="35">
        <f>IF(N('Dvd Calendar'!$S$110)=0,"",IF(('Dvd Calendar'!$S$110&gt;=GRID_FROM)*('Dvd Calendar'!$S$110&lt;=GRID_TO)*('Dvd Calendar'!$S$110&lt;=VAL_DATE)=0,"",'Dvd Calendar'!$S$110*1000000000+ISNUMBER('Dvd Calendar'!$S$113)*100000000+('Dvd Calendar'!$S$115=SPECIAL_LBL)*10000000+0*1000000+10*1000+15))</f>
        <v/>
      </c>
      <c r="ET21" s="35">
        <f>IF(N('Dvd Calendar'!$T$110)=0,"",IF(('Dvd Calendar'!$T$110&gt;=GRID_FROM)*('Dvd Calendar'!$T$110&lt;=GRID_TO)*('Dvd Calendar'!$T$110&lt;=VAL_DATE)=0,"",'Dvd Calendar'!$T$110*1000000000+ISNUMBER('Dvd Calendar'!$T$113)*100000000+('Dvd Calendar'!$T$115=SPECIAL_LBL)*10000000+0*1000000+10*1000+16))</f>
        <v/>
      </c>
      <c r="EU21" s="35">
        <f>IF(N('Dvd Calendar'!$U$110)=0,"",IF(('Dvd Calendar'!$U$110&gt;=GRID_FROM)*('Dvd Calendar'!$U$110&lt;=GRID_TO)*('Dvd Calendar'!$U$110&lt;=VAL_DATE)=0,"",'Dvd Calendar'!$U$110*1000000000+ISNUMBER('Dvd Calendar'!$U$113)*100000000+('Dvd Calendar'!$U$115=SPECIAL_LBL)*10000000+0*1000000+10*1000+17))</f>
        <v/>
      </c>
      <c r="EV21" s="35">
        <f>IF(N('Dvd Calendar'!$V$110)=0,"",IF(('Dvd Calendar'!$V$110&gt;=GRID_FROM)*('Dvd Calendar'!$V$110&lt;=GRID_TO)*('Dvd Calendar'!$V$110&lt;=VAL_DATE)=0,"",'Dvd Calendar'!$V$110*1000000000+ISNUMBER('Dvd Calendar'!$V$113)*100000000+('Dvd Calendar'!$V$115=SPECIAL_LBL)*10000000+0*1000000+10*1000+18))</f>
        <v/>
      </c>
      <c r="EW21" s="35">
        <f>IF(N('Dvd Calendar'!$W$110)=0,"",IF(('Dvd Calendar'!$W$110&gt;=GRID_FROM)*('Dvd Calendar'!$W$110&lt;=GRID_TO)*('Dvd Calendar'!$W$110&lt;=VAL_DATE)=0,"",'Dvd Calendar'!$W$110*1000000000+ISNUMBER('Dvd Calendar'!$W$113)*100000000+('Dvd Calendar'!$W$115=SPECIAL_LBL)*10000000+0*1000000+10*1000+19))</f>
        <v/>
      </c>
      <c r="EX21" s="35">
        <f>IF(N('Dvd Calendar'!$X$110)=0,"",IF(('Dvd Calendar'!$X$110&gt;=GRID_FROM)*('Dvd Calendar'!$X$110&lt;=GRID_TO)*('Dvd Calendar'!$X$110&lt;=VAL_DATE)=0,"",'Dvd Calendar'!$X$110*1000000000+ISNUMBER('Dvd Calendar'!$X$113)*100000000+('Dvd Calendar'!$X$115=SPECIAL_LBL)*10000000+0*1000000+10*1000+20))</f>
        <v/>
      </c>
      <c r="EY21" s="35">
        <f>IF(N('Dvd Calendar'!$Y$110)=0,"",IF(('Dvd Calendar'!$Y$110&gt;=GRID_FROM)*('Dvd Calendar'!$Y$110&lt;=GRID_TO)*('Dvd Calendar'!$Y$110&lt;=VAL_DATE)=0,"",'Dvd Calendar'!$Y$110*1000000000+ISNUMBER('Dvd Calendar'!$Y$113)*100000000+('Dvd Calendar'!$Y$115=SPECIAL_LBL)*10000000+0*1000000+10*1000+21))</f>
        <v/>
      </c>
      <c r="EZ21" s="35">
        <f>IF(N('Dvd Calendar'!$Z$110)=0,"",IF(('Dvd Calendar'!$Z$110&gt;=GRID_FROM)*('Dvd Calendar'!$Z$110&lt;=GRID_TO)*('Dvd Calendar'!$Z$110&lt;=VAL_DATE)=0,"",'Dvd Calendar'!$Z$110*1000000000+ISNUMBER('Dvd Calendar'!$Z$113)*100000000+('Dvd Calendar'!$Z$115=SPECIAL_LBL)*10000000+0*1000000+10*1000+22))</f>
        <v/>
      </c>
      <c r="FA21" s="35">
        <f>IF(N('Dvd Calendar'!$AA$110)=0,"",IF(('Dvd Calendar'!$AA$110&gt;=GRID_FROM)*('Dvd Calendar'!$AA$110&lt;=GRID_TO)*('Dvd Calendar'!$AA$110&lt;=VAL_DATE)=0,"",'Dvd Calendar'!$AA$110*1000000000+ISNUMBER('Dvd Calendar'!$AA$113)*100000000+('Dvd Calendar'!$AA$115=SPECIAL_LBL)*10000000+0*1000000+10*1000+23))</f>
        <v/>
      </c>
      <c r="FB21" s="35">
        <f>IF(N('Dvd Calendar'!$AB$110)=0,"",IF(('Dvd Calendar'!$AB$110&gt;=GRID_FROM)*('Dvd Calendar'!$AB$110&lt;=GRID_TO)*('Dvd Calendar'!$AB$110&lt;=VAL_DATE)=0,"",'Dvd Calendar'!$AB$110*1000000000+ISNUMBER('Dvd Calendar'!$AB$113)*100000000+('Dvd Calendar'!$AB$115=SPECIAL_LBL)*10000000+0*1000000+10*1000+24))</f>
        <v/>
      </c>
      <c r="FC21" s="35">
        <f>IF(N('Dvd Calendar'!$AC$110)=0,"",IF(('Dvd Calendar'!$AC$110&gt;=GRID_FROM)*('Dvd Calendar'!$AC$110&lt;=GRID_TO)*('Dvd Calendar'!$AC$110&lt;=VAL_DATE)=0,"",'Dvd Calendar'!$AC$110*1000000000+ISNUMBER('Dvd Calendar'!$AC$113)*100000000+('Dvd Calendar'!$AC$115=SPECIAL_LBL)*10000000+0*1000000+10*1000+25))</f>
        <v/>
      </c>
      <c r="FD21" s="35">
        <f>IF(N('Dvd Calendar'!$AD$110)=0,"",IF(('Dvd Calendar'!$AD$110&gt;=GRID_FROM)*('Dvd Calendar'!$AD$110&lt;=GRID_TO)*('Dvd Calendar'!$AD$110&lt;=VAL_DATE)=0,"",'Dvd Calendar'!$AD$110*1000000000+ISNUMBER('Dvd Calendar'!$AD$113)*100000000+('Dvd Calendar'!$AD$115=SPECIAL_LBL)*10000000+0*1000000+10*1000+26))</f>
        <v/>
      </c>
      <c r="FE21" s="35">
        <f>IF(N('Dvd Calendar'!$AE$110)=0,"",IF(('Dvd Calendar'!$AE$110&gt;=GRID_FROM)*('Dvd Calendar'!$AE$110&lt;=GRID_TO)*('Dvd Calendar'!$AE$110&lt;=VAL_DATE)=0,"",'Dvd Calendar'!$AE$110*1000000000+ISNUMBER('Dvd Calendar'!$AE$113)*100000000+('Dvd Calendar'!$AE$115=SPECIAL_LBL)*10000000+0*1000000+10*1000+27))</f>
        <v/>
      </c>
      <c r="FF21" s="35">
        <f>IF(N('Dvd Calendar'!$AF$110)=0,"",IF(('Dvd Calendar'!$AF$110&gt;=GRID_FROM)*('Dvd Calendar'!$AF$110&lt;=GRID_TO)*('Dvd Calendar'!$AF$110&lt;=VAL_DATE)=0,"",'Dvd Calendar'!$AF$110*1000000000+ISNUMBER('Dvd Calendar'!$AF$113)*100000000+('Dvd Calendar'!$AF$115=SPECIAL_LBL)*10000000+0*1000000+10*1000+28))</f>
        <v/>
      </c>
      <c r="FG21" s="35">
        <f>IF(N('Dvd Calendar'!$AG$110)=0,"",IF(('Dvd Calendar'!$AG$110&gt;=GRID_FROM)*('Dvd Calendar'!$AG$110&lt;=GRID_TO)*('Dvd Calendar'!$AG$110&lt;=VAL_DATE)=0,"",'Dvd Calendar'!$AG$110*1000000000+ISNUMBER('Dvd Calendar'!$AG$113)*100000000+('Dvd Calendar'!$AG$115=SPECIAL_LBL)*10000000+0*1000000+10*1000+29))</f>
        <v/>
      </c>
      <c r="FH21" s="35">
        <f>IF(N('Dvd Calendar'!$AH$110)=0,"",IF(('Dvd Calendar'!$AH$110&gt;=GRID_FROM)*('Dvd Calendar'!$AH$110&lt;=GRID_TO)*('Dvd Calendar'!$AH$110&lt;=VAL_DATE)=0,"",'Dvd Calendar'!$AH$110*1000000000+ISNUMBER('Dvd Calendar'!$AH$113)*100000000+('Dvd Calendar'!$AH$115=SPECIAL_LBL)*10000000+0*1000000+10*1000+30))</f>
        <v/>
      </c>
      <c r="FI21" s="35">
        <f>IF(N('Dvd Calendar'!$AI$110)=0,"",IF(('Dvd Calendar'!$AI$110&gt;=GRID_FROM)*('Dvd Calendar'!$AI$110&lt;=GRID_TO)*('Dvd Calendar'!$AI$110&lt;=VAL_DATE)=0,"",'Dvd Calendar'!$AI$110*1000000000+ISNUMBER('Dvd Calendar'!$AI$113)*100000000+('Dvd Calendar'!$AI$115=SPECIAL_LBL)*10000000+0*1000000+10*1000+31))</f>
        <v/>
      </c>
      <c r="FJ21" s="35">
        <f>IF(N('Dvd Calendar'!$AJ$110)=0,"",IF(('Dvd Calendar'!$AJ$110&gt;=GRID_FROM)*('Dvd Calendar'!$AJ$110&lt;=GRID_TO)*('Dvd Calendar'!$AJ$110&lt;=VAL_DATE)=0,"",'Dvd Calendar'!$AJ$110*1000000000+ISNUMBER('Dvd Calendar'!$AJ$113)*100000000+('Dvd Calendar'!$AJ$115=SPECIAL_LBL)*10000000+0*1000000+10*1000+32))</f>
        <v/>
      </c>
      <c r="FK21" s="35">
        <f>IF(N('Dvd Calendar'!$AK$110)=0,"",IF(('Dvd Calendar'!$AK$110&gt;=GRID_FROM)*('Dvd Calendar'!$AK$110&lt;=GRID_TO)*('Dvd Calendar'!$AK$110&lt;=VAL_DATE)=0,"",'Dvd Calendar'!$AK$110*1000000000+ISNUMBER('Dvd Calendar'!$AK$113)*100000000+('Dvd Calendar'!$AK$115=SPECIAL_LBL)*10000000+0*1000000+10*1000+33))</f>
        <v/>
      </c>
      <c r="FL21" s="35">
        <f>IF(N('Dvd Calendar'!$AL$110)=0,"",IF(('Dvd Calendar'!$AL$110&gt;=GRID_FROM)*('Dvd Calendar'!$AL$110&lt;=GRID_TO)*('Dvd Calendar'!$AL$110&lt;=VAL_DATE)=0,"",'Dvd Calendar'!$AL$110*1000000000+ISNUMBER('Dvd Calendar'!$AL$113)*100000000+('Dvd Calendar'!$AL$115=SPECIAL_LBL)*10000000+0*1000000+10*1000+34))</f>
        <v/>
      </c>
      <c r="FM21" s="35">
        <f>IF(N('Dvd Calendar'!$AM$110)=0,"",IF(('Dvd Calendar'!$AM$110&gt;=GRID_FROM)*('Dvd Calendar'!$AM$110&lt;=GRID_TO)*('Dvd Calendar'!$AM$110&lt;=VAL_DATE)=0,"",'Dvd Calendar'!$AM$110*1000000000+ISNUMBER('Dvd Calendar'!$AM$113)*100000000+('Dvd Calendar'!$AM$115=SPECIAL_LBL)*10000000+0*1000000+10*1000+35))</f>
        <v/>
      </c>
      <c r="FN21" s="35">
        <f>IF(N('Dvd Calendar'!$AN$110)=0,"",IF(('Dvd Calendar'!$AN$110&gt;=GRID_FROM)*('Dvd Calendar'!$AN$110&lt;=GRID_TO)*('Dvd Calendar'!$AN$110&lt;=VAL_DATE)=0,"",'Dvd Calendar'!$AN$110*1000000000+ISNUMBER('Dvd Calendar'!$AN$113)*100000000+('Dvd Calendar'!$AN$115=SPECIAL_LBL)*10000000+0*1000000+10*1000+36))</f>
        <v/>
      </c>
      <c r="FO21" s="35">
        <f>IF(N('Dvd Calendar'!$AO$110)=0,"",IF(('Dvd Calendar'!$AO$110&gt;=GRID_FROM)*('Dvd Calendar'!$AO$110&lt;=GRID_TO)*('Dvd Calendar'!$AO$110&lt;=VAL_DATE)=0,"",'Dvd Calendar'!$AO$110*1000000000+ISNUMBER('Dvd Calendar'!$AO$113)*100000000+('Dvd Calendar'!$AO$115=SPECIAL_LBL)*10000000+0*1000000+10*1000+37))</f>
        <v/>
      </c>
      <c r="FP21" s="35">
        <f>IF(N('Dvd Calendar'!$AP$110)=0,"",IF(('Dvd Calendar'!$AP$110&gt;=GRID_FROM)*('Dvd Calendar'!$AP$110&lt;=GRID_TO)*('Dvd Calendar'!$AP$110&lt;=VAL_DATE)=0,"",'Dvd Calendar'!$AP$110*1000000000+ISNUMBER('Dvd Calendar'!$AP$113)*100000000+('Dvd Calendar'!$AP$115=SPECIAL_LBL)*10000000+0*1000000+10*1000+38))</f>
        <v/>
      </c>
      <c r="FQ21" s="35">
        <f>IF(N('Dvd Calendar'!$AQ$110)=0,"",IF(('Dvd Calendar'!$AQ$110&gt;=GRID_FROM)*('Dvd Calendar'!$AQ$110&lt;=GRID_TO)*('Dvd Calendar'!$AQ$110&lt;=VAL_DATE)=0,"",'Dvd Calendar'!$AQ$110*1000000000+ISNUMBER('Dvd Calendar'!$AQ$113)*100000000+('Dvd Calendar'!$AQ$115=SPECIAL_LBL)*10000000+0*1000000+10*1000+39))</f>
        <v/>
      </c>
      <c r="FR21" s="35">
        <f>IF(N('Dvd Calendar'!$AR$110)=0,"",IF(('Dvd Calendar'!$AR$110&gt;=GRID_FROM)*('Dvd Calendar'!$AR$110&lt;=GRID_TO)*('Dvd Calendar'!$AR$110&lt;=VAL_DATE)=0,"",'Dvd Calendar'!$AR$110*1000000000+ISNUMBER('Dvd Calendar'!$AR$113)*100000000+('Dvd Calendar'!$AR$115=SPECIAL_LBL)*10000000+0*1000000+10*1000+40))</f>
        <v/>
      </c>
      <c r="FS21" s="35">
        <f>IF(N('Dvd Calendar'!$E$117)=0,"",IF(('Dvd Calendar'!$E$117&gt;=GRID_FROM)*('Dvd Calendar'!$E$117&lt;=GRID_TO)*('Dvd Calendar'!$E$117&gt;VAL_DATE)=0,"",'Dvd Calendar'!$E$117*1000000000+ISNUMBER('Dvd Calendar'!$E$118)*100000000+0*10000000+(N('Dvd Calendar'!$E$116)&gt;0)*(N('Dvd Calendar'!$E$116)&lt;=VAL_SERIAL)*1000000+10*1000+41))</f>
        <v/>
      </c>
      <c r="FT21" s="35">
        <f>IF(N('Dvd Calendar'!$F$117)=0,"",IF(('Dvd Calendar'!$F$117&gt;=GRID_FROM)*('Dvd Calendar'!$F$117&lt;=GRID_TO)*('Dvd Calendar'!$F$117&gt;VAL_DATE)=0,"",'Dvd Calendar'!$F$117*1000000000+ISNUMBER('Dvd Calendar'!$F$118)*100000000+0*10000000+(N('Dvd Calendar'!$F$116)&gt;0)*(N('Dvd Calendar'!$F$116)&lt;=VAL_SERIAL)*1000000+10*1000+42))</f>
        <v/>
      </c>
      <c r="FU21" s="35">
        <f>IF(N('Dvd Calendar'!$G$117)=0,"",IF(('Dvd Calendar'!$G$117&gt;=GRID_FROM)*('Dvd Calendar'!$G$117&lt;=GRID_TO)*('Dvd Calendar'!$G$117&gt;VAL_DATE)=0,"",'Dvd Calendar'!$G$117*1000000000+ISNUMBER('Dvd Calendar'!$G$118)*100000000+0*10000000+(N('Dvd Calendar'!$G$116)&gt;0)*(N('Dvd Calendar'!$G$116)&lt;=VAL_SERIAL)*1000000+10*1000+43))</f>
        <v/>
      </c>
      <c r="FV21" s="35">
        <f>IF(N('Dvd Calendar'!$H$117)=0,"",IF(('Dvd Calendar'!$H$117&gt;=GRID_FROM)*('Dvd Calendar'!$H$117&lt;=GRID_TO)*('Dvd Calendar'!$H$117&gt;VAL_DATE)=0,"",'Dvd Calendar'!$H$117*1000000000+ISNUMBER('Dvd Calendar'!$H$118)*100000000+0*10000000+(N('Dvd Calendar'!$H$116)&gt;0)*(N('Dvd Calendar'!$H$116)&lt;=VAL_SERIAL)*1000000+10*1000+44))</f>
        <v/>
      </c>
      <c r="FW21" s="35">
        <f>IF(N('Dvd Calendar'!$I$117)=0,"",IF(('Dvd Calendar'!$I$117&gt;=GRID_FROM)*('Dvd Calendar'!$I$117&lt;=GRID_TO)*('Dvd Calendar'!$I$117&gt;VAL_DATE)=0,"",'Dvd Calendar'!$I$117*1000000000+ISNUMBER('Dvd Calendar'!$I$118)*100000000+0*10000000+(N('Dvd Calendar'!$I$116)&gt;0)*(N('Dvd Calendar'!$I$116)&lt;=VAL_SERIAL)*1000000+10*1000+45))</f>
        <v/>
      </c>
      <c r="FX21" s="35">
        <f>IF(N('Dvd Calendar'!$J$117)=0,"",IF(('Dvd Calendar'!$J$117&gt;=GRID_FROM)*('Dvd Calendar'!$J$117&lt;=GRID_TO)*('Dvd Calendar'!$J$117&gt;VAL_DATE)=0,"",'Dvd Calendar'!$J$117*1000000000+ISNUMBER('Dvd Calendar'!$J$118)*100000000+0*10000000+(N('Dvd Calendar'!$J$116)&gt;0)*(N('Dvd Calendar'!$J$116)&lt;=VAL_SERIAL)*1000000+10*1000+46))</f>
        <v/>
      </c>
      <c r="FY21" s="35">
        <f>IF(N('Dvd Calendar'!$K$117)=0,"",IF(('Dvd Calendar'!$K$117&gt;=GRID_FROM)*('Dvd Calendar'!$K$117&lt;=GRID_TO)*('Dvd Calendar'!$K$117&gt;VAL_DATE)=0,"",'Dvd Calendar'!$K$117*1000000000+ISNUMBER('Dvd Calendar'!$K$118)*100000000+0*10000000+(N('Dvd Calendar'!$K$116)&gt;0)*(N('Dvd Calendar'!$K$116)&lt;=VAL_SERIAL)*1000000+10*1000+47))</f>
        <v/>
      </c>
      <c r="FZ21" s="35">
        <f>IF(N('Dvd Calendar'!$L$117)=0,"",IF(('Dvd Calendar'!$L$117&gt;=GRID_FROM)*('Dvd Calendar'!$L$117&lt;=GRID_TO)*('Dvd Calendar'!$L$117&gt;VAL_DATE)=0,"",'Dvd Calendar'!$L$117*1000000000+ISNUMBER('Dvd Calendar'!$L$118)*100000000+0*10000000+(N('Dvd Calendar'!$L$116)&gt;0)*(N('Dvd Calendar'!$L$116)&lt;=VAL_SERIAL)*1000000+10*1000+48))</f>
        <v/>
      </c>
      <c r="GA21" s="35">
        <f>IF(N('Dvd Calendar'!$M$117)=0,"",IF(('Dvd Calendar'!$M$117&gt;=GRID_FROM)*('Dvd Calendar'!$M$117&lt;=GRID_TO)*('Dvd Calendar'!$M$117&gt;VAL_DATE)=0,"",'Dvd Calendar'!$M$117*1000000000+ISNUMBER('Dvd Calendar'!$M$118)*100000000+0*10000000+(N('Dvd Calendar'!$M$116)&gt;0)*(N('Dvd Calendar'!$M$116)&lt;=VAL_SERIAL)*1000000+10*1000+49))</f>
        <v/>
      </c>
      <c r="GB21" s="35">
        <f>IF(N('Dvd Calendar'!$N$117)=0,"",IF(('Dvd Calendar'!$N$117&gt;=GRID_FROM)*('Dvd Calendar'!$N$117&lt;=GRID_TO)*('Dvd Calendar'!$N$117&gt;VAL_DATE)=0,"",'Dvd Calendar'!$N$117*1000000000+ISNUMBER('Dvd Calendar'!$N$118)*100000000+0*10000000+(N('Dvd Calendar'!$N$116)&gt;0)*(N('Dvd Calendar'!$N$116)&lt;=VAL_SERIAL)*1000000+10*1000+50))</f>
        <v/>
      </c>
      <c r="GC21" s="35">
        <f>IF(N('Dvd Calendar'!$O$117)=0,"",IF(('Dvd Calendar'!$O$117&gt;=GRID_FROM)*('Dvd Calendar'!$O$117&lt;=GRID_TO)*('Dvd Calendar'!$O$117&gt;VAL_DATE)=0,"",'Dvd Calendar'!$O$117*1000000000+ISNUMBER('Dvd Calendar'!$O$118)*100000000+0*10000000+(N('Dvd Calendar'!$O$116)&gt;0)*(N('Dvd Calendar'!$O$116)&lt;=VAL_SERIAL)*1000000+10*1000+51))</f>
        <v/>
      </c>
      <c r="GD21" s="35">
        <f>IF(N('Dvd Calendar'!$P$117)=0,"",IF(('Dvd Calendar'!$P$117&gt;=GRID_FROM)*('Dvd Calendar'!$P$117&lt;=GRID_TO)*('Dvd Calendar'!$P$117&gt;VAL_DATE)=0,"",'Dvd Calendar'!$P$117*1000000000+ISNUMBER('Dvd Calendar'!$P$118)*100000000+0*10000000+(N('Dvd Calendar'!$P$116)&gt;0)*(N('Dvd Calendar'!$P$116)&lt;=VAL_SERIAL)*1000000+10*1000+52))</f>
        <v/>
      </c>
      <c r="GE21" s="35">
        <f>IF(N('Dvd Calendar'!$Q$117)=0,"",IF(('Dvd Calendar'!$Q$117&gt;=GRID_FROM)*('Dvd Calendar'!$Q$117&lt;=GRID_TO)*('Dvd Calendar'!$Q$117&gt;VAL_DATE)=0,"",'Dvd Calendar'!$Q$117*1000000000+ISNUMBER('Dvd Calendar'!$Q$118)*100000000+0*10000000+(N('Dvd Calendar'!$Q$116)&gt;0)*(N('Dvd Calendar'!$Q$116)&lt;=VAL_SERIAL)*1000000+10*1000+53))</f>
        <v/>
      </c>
      <c r="GF21" s="35">
        <f>IF(N('Dvd Calendar'!$R$117)=0,"",IF(('Dvd Calendar'!$R$117&gt;=GRID_FROM)*('Dvd Calendar'!$R$117&lt;=GRID_TO)*('Dvd Calendar'!$R$117&gt;VAL_DATE)=0,"",'Dvd Calendar'!$R$117*1000000000+ISNUMBER('Dvd Calendar'!$R$118)*100000000+0*10000000+(N('Dvd Calendar'!$R$116)&gt;0)*(N('Dvd Calendar'!$R$116)&lt;=VAL_SERIAL)*1000000+10*1000+54))</f>
        <v/>
      </c>
      <c r="GG21" s="35">
        <f>IF(N('Dvd Calendar'!$S$117)=0,"",IF(('Dvd Calendar'!$S$117&gt;=GRID_FROM)*('Dvd Calendar'!$S$117&lt;=GRID_TO)*('Dvd Calendar'!$S$117&gt;VAL_DATE)=0,"",'Dvd Calendar'!$S$117*1000000000+ISNUMBER('Dvd Calendar'!$S$118)*100000000+0*10000000+(N('Dvd Calendar'!$S$116)&gt;0)*(N('Dvd Calendar'!$S$116)&lt;=VAL_SERIAL)*1000000+10*1000+55))</f>
        <v/>
      </c>
      <c r="GH21" s="35">
        <f>IF(N('Dvd Calendar'!$T$117)=0,"",IF(('Dvd Calendar'!$T$117&gt;=GRID_FROM)*('Dvd Calendar'!$T$117&lt;=GRID_TO)*('Dvd Calendar'!$T$117&gt;VAL_DATE)=0,"",'Dvd Calendar'!$T$117*1000000000+ISNUMBER('Dvd Calendar'!$T$118)*100000000+0*10000000+(N('Dvd Calendar'!$T$116)&gt;0)*(N('Dvd Calendar'!$T$116)&lt;=VAL_SERIAL)*1000000+10*1000+56))</f>
        <v/>
      </c>
      <c r="GI21" s="35">
        <f>IF(N('Dvd Calendar'!$U$117)=0,"",IF(('Dvd Calendar'!$U$117&gt;=GRID_FROM)*('Dvd Calendar'!$U$117&lt;=GRID_TO)*('Dvd Calendar'!$U$117&gt;VAL_DATE)=0,"",'Dvd Calendar'!$U$117*1000000000+ISNUMBER('Dvd Calendar'!$U$118)*100000000+0*10000000+(N('Dvd Calendar'!$U$116)&gt;0)*(N('Dvd Calendar'!$U$116)&lt;=VAL_SERIAL)*1000000+10*1000+57))</f>
        <v/>
      </c>
      <c r="GJ21" s="35">
        <f>IF(N('Dvd Calendar'!$V$117)=0,"",IF(('Dvd Calendar'!$V$117&gt;=GRID_FROM)*('Dvd Calendar'!$V$117&lt;=GRID_TO)*('Dvd Calendar'!$V$117&gt;VAL_DATE)=0,"",'Dvd Calendar'!$V$117*1000000000+ISNUMBER('Dvd Calendar'!$V$118)*100000000+0*10000000+(N('Dvd Calendar'!$V$116)&gt;0)*(N('Dvd Calendar'!$V$116)&lt;=VAL_SERIAL)*1000000+10*1000+58))</f>
        <v/>
      </c>
      <c r="GK21" s="35">
        <f>IF(N('Dvd Calendar'!$W$117)=0,"",IF(('Dvd Calendar'!$W$117&gt;=GRID_FROM)*('Dvd Calendar'!$W$117&lt;=GRID_TO)*('Dvd Calendar'!$W$117&gt;VAL_DATE)=0,"",'Dvd Calendar'!$W$117*1000000000+ISNUMBER('Dvd Calendar'!$W$118)*100000000+0*10000000+(N('Dvd Calendar'!$W$116)&gt;0)*(N('Dvd Calendar'!$W$116)&lt;=VAL_SERIAL)*1000000+10*1000+59))</f>
        <v/>
      </c>
      <c r="GL21" s="35">
        <f>IF(N('Dvd Calendar'!$X$117)=0,"",IF(('Dvd Calendar'!$X$117&gt;=GRID_FROM)*('Dvd Calendar'!$X$117&lt;=GRID_TO)*('Dvd Calendar'!$X$117&gt;VAL_DATE)=0,"",'Dvd Calendar'!$X$117*1000000000+ISNUMBER('Dvd Calendar'!$X$118)*100000000+0*10000000+(N('Dvd Calendar'!$X$116)&gt;0)*(N('Dvd Calendar'!$X$116)&lt;=VAL_SERIAL)*1000000+10*1000+60))</f>
        <v/>
      </c>
      <c r="GM21" s="35">
        <f>IF(N('Dvd Calendar'!$Y$117)=0,"",IF(('Dvd Calendar'!$Y$117&gt;=GRID_FROM)*('Dvd Calendar'!$Y$117&lt;=GRID_TO)*('Dvd Calendar'!$Y$117&gt;VAL_DATE)=0,"",'Dvd Calendar'!$Y$117*1000000000+ISNUMBER('Dvd Calendar'!$Y$118)*100000000+0*10000000+(N('Dvd Calendar'!$Y$116)&gt;0)*(N('Dvd Calendar'!$Y$116)&lt;=VAL_SERIAL)*1000000+10*1000+61))</f>
        <v/>
      </c>
      <c r="GN21" s="35">
        <f>IF(N('Dvd Calendar'!$Z$117)=0,"",IF(('Dvd Calendar'!$Z$117&gt;=GRID_FROM)*('Dvd Calendar'!$Z$117&lt;=GRID_TO)*('Dvd Calendar'!$Z$117&gt;VAL_DATE)=0,"",'Dvd Calendar'!$Z$117*1000000000+ISNUMBER('Dvd Calendar'!$Z$118)*100000000+0*10000000+(N('Dvd Calendar'!$Z$116)&gt;0)*(N('Dvd Calendar'!$Z$116)&lt;=VAL_SERIAL)*1000000+10*1000+62))</f>
        <v/>
      </c>
      <c r="GO21" s="35">
        <f>IF(N('Dvd Calendar'!$AA$117)=0,"",IF(('Dvd Calendar'!$AA$117&gt;=GRID_FROM)*('Dvd Calendar'!$AA$117&lt;=GRID_TO)*('Dvd Calendar'!$AA$117&gt;VAL_DATE)=0,"",'Dvd Calendar'!$AA$117*1000000000+ISNUMBER('Dvd Calendar'!$AA$118)*100000000+0*10000000+(N('Dvd Calendar'!$AA$116)&gt;0)*(N('Dvd Calendar'!$AA$116)&lt;=VAL_SERIAL)*1000000+10*1000+63))</f>
        <v/>
      </c>
      <c r="GP21" s="35">
        <f>IF(N('Dvd Calendar'!$AB$117)=0,"",IF(('Dvd Calendar'!$AB$117&gt;=GRID_FROM)*('Dvd Calendar'!$AB$117&lt;=GRID_TO)*('Dvd Calendar'!$AB$117&gt;VAL_DATE)=0,"",'Dvd Calendar'!$AB$117*1000000000+ISNUMBER('Dvd Calendar'!$AB$118)*100000000+0*10000000+(N('Dvd Calendar'!$AB$116)&gt;0)*(N('Dvd Calendar'!$AB$116)&lt;=VAL_SERIAL)*1000000+10*1000+64))</f>
        <v/>
      </c>
      <c r="GQ21" s="35">
        <f>IF(N('Dvd Calendar'!$AC$117)=0,"",IF(('Dvd Calendar'!$AC$117&gt;=GRID_FROM)*('Dvd Calendar'!$AC$117&lt;=GRID_TO)*('Dvd Calendar'!$AC$117&gt;VAL_DATE)=0,"",'Dvd Calendar'!$AC$117*1000000000+ISNUMBER('Dvd Calendar'!$AC$118)*100000000+0*10000000+(N('Dvd Calendar'!$AC$116)&gt;0)*(N('Dvd Calendar'!$AC$116)&lt;=VAL_SERIAL)*1000000+10*1000+65))</f>
        <v/>
      </c>
    </row>
    <row r="22">
      <c r="B22" s="2">
        <f>IF(HSI!$C$17="","",HSI!$C$17)</f>
        <v/>
      </c>
      <c r="C22" s="106">
        <f>IF(EE22="","",IF(ISNUMBER('Dvd Calendar'!$E$124)=FALSE,"",IF((('Dvd Calendar'!$E$126=TYPE1)*(TYPE1&lt;&gt;"")+('Dvd Calendar'!$E$126=TYPE2)*(TYPE2&lt;&gt;"")+('Dvd Calendar'!$E$126=TYPE3)*(TYPE3&lt;&gt;"")+('Dvd Calendar'!$E$126=TYPE4)*(TYPE4&lt;&gt;"")+('Dvd Calendar'!$E$126=SPECIAL_LBL)*(INC_SPECIALS="Y"))=0,"",'Dvd Calendar'!$E$124)))</f>
        <v/>
      </c>
      <c r="D22" s="106">
        <f>IF(EF22="","",IF(ISNUMBER('Dvd Calendar'!$F$124)=FALSE,"",IF((('Dvd Calendar'!$F$126=TYPE1)*(TYPE1&lt;&gt;"")+('Dvd Calendar'!$F$126=TYPE2)*(TYPE2&lt;&gt;"")+('Dvd Calendar'!$F$126=TYPE3)*(TYPE3&lt;&gt;"")+('Dvd Calendar'!$F$126=TYPE4)*(TYPE4&lt;&gt;"")+('Dvd Calendar'!$F$126=SPECIAL_LBL)*(INC_SPECIALS="Y"))=0,"",'Dvd Calendar'!$F$124)))</f>
        <v/>
      </c>
      <c r="E22" s="106">
        <f>IF(EG22="","",IF(ISNUMBER('Dvd Calendar'!$G$124)=FALSE,"",IF((('Dvd Calendar'!$G$126=TYPE1)*(TYPE1&lt;&gt;"")+('Dvd Calendar'!$G$126=TYPE2)*(TYPE2&lt;&gt;"")+('Dvd Calendar'!$G$126=TYPE3)*(TYPE3&lt;&gt;"")+('Dvd Calendar'!$G$126=TYPE4)*(TYPE4&lt;&gt;"")+('Dvd Calendar'!$G$126=SPECIAL_LBL)*(INC_SPECIALS="Y"))=0,"",'Dvd Calendar'!$G$124)))</f>
        <v/>
      </c>
      <c r="F22" s="106">
        <f>IF(EH22="","",IF(ISNUMBER('Dvd Calendar'!$H$124)=FALSE,"",IF((('Dvd Calendar'!$H$126=TYPE1)*(TYPE1&lt;&gt;"")+('Dvd Calendar'!$H$126=TYPE2)*(TYPE2&lt;&gt;"")+('Dvd Calendar'!$H$126=TYPE3)*(TYPE3&lt;&gt;"")+('Dvd Calendar'!$H$126=TYPE4)*(TYPE4&lt;&gt;"")+('Dvd Calendar'!$H$126=SPECIAL_LBL)*(INC_SPECIALS="Y"))=0,"",'Dvd Calendar'!$H$124)))</f>
        <v/>
      </c>
      <c r="G22" s="106">
        <f>IF(EI22="","",IF(ISNUMBER('Dvd Calendar'!$I$124)=FALSE,"",IF((('Dvd Calendar'!$I$126=TYPE1)*(TYPE1&lt;&gt;"")+('Dvd Calendar'!$I$126=TYPE2)*(TYPE2&lt;&gt;"")+('Dvd Calendar'!$I$126=TYPE3)*(TYPE3&lt;&gt;"")+('Dvd Calendar'!$I$126=TYPE4)*(TYPE4&lt;&gt;"")+('Dvd Calendar'!$I$126=SPECIAL_LBL)*(INC_SPECIALS="Y"))=0,"",'Dvd Calendar'!$I$124)))</f>
        <v/>
      </c>
      <c r="H22" s="106">
        <f>IF(EJ22="","",IF(ISNUMBER('Dvd Calendar'!$J$124)=FALSE,"",IF((('Dvd Calendar'!$J$126=TYPE1)*(TYPE1&lt;&gt;"")+('Dvd Calendar'!$J$126=TYPE2)*(TYPE2&lt;&gt;"")+('Dvd Calendar'!$J$126=TYPE3)*(TYPE3&lt;&gt;"")+('Dvd Calendar'!$J$126=TYPE4)*(TYPE4&lt;&gt;"")+('Dvd Calendar'!$J$126=SPECIAL_LBL)*(INC_SPECIALS="Y"))=0,"",'Dvd Calendar'!$J$124)))</f>
        <v/>
      </c>
      <c r="I22" s="106">
        <f>IF(EK22="","",IF(ISNUMBER('Dvd Calendar'!$K$124)=FALSE,"",IF((('Dvd Calendar'!$K$126=TYPE1)*(TYPE1&lt;&gt;"")+('Dvd Calendar'!$K$126=TYPE2)*(TYPE2&lt;&gt;"")+('Dvd Calendar'!$K$126=TYPE3)*(TYPE3&lt;&gt;"")+('Dvd Calendar'!$K$126=TYPE4)*(TYPE4&lt;&gt;"")+('Dvd Calendar'!$K$126=SPECIAL_LBL)*(INC_SPECIALS="Y"))=0,"",'Dvd Calendar'!$K$124)))</f>
        <v/>
      </c>
      <c r="J22" s="106">
        <f>IF(EL22="","",IF(ISNUMBER('Dvd Calendar'!$L$124)=FALSE,"",IF((('Dvd Calendar'!$L$126=TYPE1)*(TYPE1&lt;&gt;"")+('Dvd Calendar'!$L$126=TYPE2)*(TYPE2&lt;&gt;"")+('Dvd Calendar'!$L$126=TYPE3)*(TYPE3&lt;&gt;"")+('Dvd Calendar'!$L$126=TYPE4)*(TYPE4&lt;&gt;"")+('Dvd Calendar'!$L$126=SPECIAL_LBL)*(INC_SPECIALS="Y"))=0,"",'Dvd Calendar'!$L$124)))</f>
        <v/>
      </c>
      <c r="K22" s="106">
        <f>IF(EM22="","",IF(ISNUMBER('Dvd Calendar'!$M$124)=FALSE,"",IF((('Dvd Calendar'!$M$126=TYPE1)*(TYPE1&lt;&gt;"")+('Dvd Calendar'!$M$126=TYPE2)*(TYPE2&lt;&gt;"")+('Dvd Calendar'!$M$126=TYPE3)*(TYPE3&lt;&gt;"")+('Dvd Calendar'!$M$126=TYPE4)*(TYPE4&lt;&gt;"")+('Dvd Calendar'!$M$126=SPECIAL_LBL)*(INC_SPECIALS="Y"))=0,"",'Dvd Calendar'!$M$124)))</f>
        <v/>
      </c>
      <c r="L22" s="106">
        <f>IF(EN22="","",IF(ISNUMBER('Dvd Calendar'!$N$124)=FALSE,"",IF((('Dvd Calendar'!$N$126=TYPE1)*(TYPE1&lt;&gt;"")+('Dvd Calendar'!$N$126=TYPE2)*(TYPE2&lt;&gt;"")+('Dvd Calendar'!$N$126=TYPE3)*(TYPE3&lt;&gt;"")+('Dvd Calendar'!$N$126=TYPE4)*(TYPE4&lt;&gt;"")+('Dvd Calendar'!$N$126=SPECIAL_LBL)*(INC_SPECIALS="Y"))=0,"",'Dvd Calendar'!$N$124)))</f>
        <v/>
      </c>
      <c r="M22" s="106">
        <f>IF(EO22="","",IF(ISNUMBER('Dvd Calendar'!$O$124)=FALSE,"",IF((('Dvd Calendar'!$O$126=TYPE1)*(TYPE1&lt;&gt;"")+('Dvd Calendar'!$O$126=TYPE2)*(TYPE2&lt;&gt;"")+('Dvd Calendar'!$O$126=TYPE3)*(TYPE3&lt;&gt;"")+('Dvd Calendar'!$O$126=TYPE4)*(TYPE4&lt;&gt;"")+('Dvd Calendar'!$O$126=SPECIAL_LBL)*(INC_SPECIALS="Y"))=0,"",'Dvd Calendar'!$O$124)))</f>
        <v/>
      </c>
      <c r="N22" s="106">
        <f>IF(EP22="","",IF(ISNUMBER('Dvd Calendar'!$P$124)=FALSE,"",IF((('Dvd Calendar'!$P$126=TYPE1)*(TYPE1&lt;&gt;"")+('Dvd Calendar'!$P$126=TYPE2)*(TYPE2&lt;&gt;"")+('Dvd Calendar'!$P$126=TYPE3)*(TYPE3&lt;&gt;"")+('Dvd Calendar'!$P$126=TYPE4)*(TYPE4&lt;&gt;"")+('Dvd Calendar'!$P$126=SPECIAL_LBL)*(INC_SPECIALS="Y"))=0,"",'Dvd Calendar'!$P$124)))</f>
        <v/>
      </c>
      <c r="O22" s="106">
        <f>IF(EQ22="","",IF(ISNUMBER('Dvd Calendar'!$Q$124)=FALSE,"",IF((('Dvd Calendar'!$Q$126=TYPE1)*(TYPE1&lt;&gt;"")+('Dvd Calendar'!$Q$126=TYPE2)*(TYPE2&lt;&gt;"")+('Dvd Calendar'!$Q$126=TYPE3)*(TYPE3&lt;&gt;"")+('Dvd Calendar'!$Q$126=TYPE4)*(TYPE4&lt;&gt;"")+('Dvd Calendar'!$Q$126=SPECIAL_LBL)*(INC_SPECIALS="Y"))=0,"",'Dvd Calendar'!$Q$124)))</f>
        <v/>
      </c>
      <c r="P22" s="106">
        <f>IF(ER22="","",IF(ISNUMBER('Dvd Calendar'!$R$124)=FALSE,"",IF((('Dvd Calendar'!$R$126=TYPE1)*(TYPE1&lt;&gt;"")+('Dvd Calendar'!$R$126=TYPE2)*(TYPE2&lt;&gt;"")+('Dvd Calendar'!$R$126=TYPE3)*(TYPE3&lt;&gt;"")+('Dvd Calendar'!$R$126=TYPE4)*(TYPE4&lt;&gt;"")+('Dvd Calendar'!$R$126=SPECIAL_LBL)*(INC_SPECIALS="Y"))=0,"",'Dvd Calendar'!$R$124)))</f>
        <v/>
      </c>
      <c r="Q22" s="106">
        <f>IF(ES22="","",IF(ISNUMBER('Dvd Calendar'!$S$124)=FALSE,"",IF((('Dvd Calendar'!$S$126=TYPE1)*(TYPE1&lt;&gt;"")+('Dvd Calendar'!$S$126=TYPE2)*(TYPE2&lt;&gt;"")+('Dvd Calendar'!$S$126=TYPE3)*(TYPE3&lt;&gt;"")+('Dvd Calendar'!$S$126=TYPE4)*(TYPE4&lt;&gt;"")+('Dvd Calendar'!$S$126=SPECIAL_LBL)*(INC_SPECIALS="Y"))=0,"",'Dvd Calendar'!$S$124)))</f>
        <v/>
      </c>
      <c r="R22" s="106">
        <f>IF(ET22="","",IF(ISNUMBER('Dvd Calendar'!$T$124)=FALSE,"",IF((('Dvd Calendar'!$T$126=TYPE1)*(TYPE1&lt;&gt;"")+('Dvd Calendar'!$T$126=TYPE2)*(TYPE2&lt;&gt;"")+('Dvd Calendar'!$T$126=TYPE3)*(TYPE3&lt;&gt;"")+('Dvd Calendar'!$T$126=TYPE4)*(TYPE4&lt;&gt;"")+('Dvd Calendar'!$T$126=SPECIAL_LBL)*(INC_SPECIALS="Y"))=0,"",'Dvd Calendar'!$T$124)))</f>
        <v/>
      </c>
      <c r="S22" s="106">
        <f>IF(EU22="","",IF(ISNUMBER('Dvd Calendar'!$U$124)=FALSE,"",IF((('Dvd Calendar'!$U$126=TYPE1)*(TYPE1&lt;&gt;"")+('Dvd Calendar'!$U$126=TYPE2)*(TYPE2&lt;&gt;"")+('Dvd Calendar'!$U$126=TYPE3)*(TYPE3&lt;&gt;"")+('Dvd Calendar'!$U$126=TYPE4)*(TYPE4&lt;&gt;"")+('Dvd Calendar'!$U$126=SPECIAL_LBL)*(INC_SPECIALS="Y"))=0,"",'Dvd Calendar'!$U$124)))</f>
        <v/>
      </c>
      <c r="T22" s="106">
        <f>IF(EV22="","",IF(ISNUMBER('Dvd Calendar'!$V$124)=FALSE,"",IF((('Dvd Calendar'!$V$126=TYPE1)*(TYPE1&lt;&gt;"")+('Dvd Calendar'!$V$126=TYPE2)*(TYPE2&lt;&gt;"")+('Dvd Calendar'!$V$126=TYPE3)*(TYPE3&lt;&gt;"")+('Dvd Calendar'!$V$126=TYPE4)*(TYPE4&lt;&gt;"")+('Dvd Calendar'!$V$126=SPECIAL_LBL)*(INC_SPECIALS="Y"))=0,"",'Dvd Calendar'!$V$124)))</f>
        <v/>
      </c>
      <c r="U22" s="106">
        <f>IF(EW22="","",IF(ISNUMBER('Dvd Calendar'!$W$124)=FALSE,"",IF((('Dvd Calendar'!$W$126=TYPE1)*(TYPE1&lt;&gt;"")+('Dvd Calendar'!$W$126=TYPE2)*(TYPE2&lt;&gt;"")+('Dvd Calendar'!$W$126=TYPE3)*(TYPE3&lt;&gt;"")+('Dvd Calendar'!$W$126=TYPE4)*(TYPE4&lt;&gt;"")+('Dvd Calendar'!$W$126=SPECIAL_LBL)*(INC_SPECIALS="Y"))=0,"",'Dvd Calendar'!$W$124)))</f>
        <v/>
      </c>
      <c r="V22" s="106">
        <f>IF(EX22="","",IF(ISNUMBER('Dvd Calendar'!$X$124)=FALSE,"",IF((('Dvd Calendar'!$X$126=TYPE1)*(TYPE1&lt;&gt;"")+('Dvd Calendar'!$X$126=TYPE2)*(TYPE2&lt;&gt;"")+('Dvd Calendar'!$X$126=TYPE3)*(TYPE3&lt;&gt;"")+('Dvd Calendar'!$X$126=TYPE4)*(TYPE4&lt;&gt;"")+('Dvd Calendar'!$X$126=SPECIAL_LBL)*(INC_SPECIALS="Y"))=0,"",'Dvd Calendar'!$X$124)))</f>
        <v/>
      </c>
      <c r="W22" s="106">
        <f>IF(EY22="","",IF(ISNUMBER('Dvd Calendar'!$Y$124)=FALSE,"",IF((('Dvd Calendar'!$Y$126=TYPE1)*(TYPE1&lt;&gt;"")+('Dvd Calendar'!$Y$126=TYPE2)*(TYPE2&lt;&gt;"")+('Dvd Calendar'!$Y$126=TYPE3)*(TYPE3&lt;&gt;"")+('Dvd Calendar'!$Y$126=TYPE4)*(TYPE4&lt;&gt;"")+('Dvd Calendar'!$Y$126=SPECIAL_LBL)*(INC_SPECIALS="Y"))=0,"",'Dvd Calendar'!$Y$124)))</f>
        <v/>
      </c>
      <c r="X22" s="106">
        <f>IF(EZ22="","",IF(ISNUMBER('Dvd Calendar'!$Z$124)=FALSE,"",IF((('Dvd Calendar'!$Z$126=TYPE1)*(TYPE1&lt;&gt;"")+('Dvd Calendar'!$Z$126=TYPE2)*(TYPE2&lt;&gt;"")+('Dvd Calendar'!$Z$126=TYPE3)*(TYPE3&lt;&gt;"")+('Dvd Calendar'!$Z$126=TYPE4)*(TYPE4&lt;&gt;"")+('Dvd Calendar'!$Z$126=SPECIAL_LBL)*(INC_SPECIALS="Y"))=0,"",'Dvd Calendar'!$Z$124)))</f>
        <v/>
      </c>
      <c r="Y22" s="106">
        <f>IF(FA22="","",IF(ISNUMBER('Dvd Calendar'!$AA$124)=FALSE,"",IF((('Dvd Calendar'!$AA$126=TYPE1)*(TYPE1&lt;&gt;"")+('Dvd Calendar'!$AA$126=TYPE2)*(TYPE2&lt;&gt;"")+('Dvd Calendar'!$AA$126=TYPE3)*(TYPE3&lt;&gt;"")+('Dvd Calendar'!$AA$126=TYPE4)*(TYPE4&lt;&gt;"")+('Dvd Calendar'!$AA$126=SPECIAL_LBL)*(INC_SPECIALS="Y"))=0,"",'Dvd Calendar'!$AA$124)))</f>
        <v/>
      </c>
      <c r="Z22" s="106">
        <f>IF(FB22="","",IF(ISNUMBER('Dvd Calendar'!$AB$124)=FALSE,"",IF((('Dvd Calendar'!$AB$126=TYPE1)*(TYPE1&lt;&gt;"")+('Dvd Calendar'!$AB$126=TYPE2)*(TYPE2&lt;&gt;"")+('Dvd Calendar'!$AB$126=TYPE3)*(TYPE3&lt;&gt;"")+('Dvd Calendar'!$AB$126=TYPE4)*(TYPE4&lt;&gt;"")+('Dvd Calendar'!$AB$126=SPECIAL_LBL)*(INC_SPECIALS="Y"))=0,"",'Dvd Calendar'!$AB$124)))</f>
        <v/>
      </c>
      <c r="AA22" s="106">
        <f>IF(FC22="","",IF(ISNUMBER('Dvd Calendar'!$AC$124)=FALSE,"",IF((('Dvd Calendar'!$AC$126=TYPE1)*(TYPE1&lt;&gt;"")+('Dvd Calendar'!$AC$126=TYPE2)*(TYPE2&lt;&gt;"")+('Dvd Calendar'!$AC$126=TYPE3)*(TYPE3&lt;&gt;"")+('Dvd Calendar'!$AC$126=TYPE4)*(TYPE4&lt;&gt;"")+('Dvd Calendar'!$AC$126=SPECIAL_LBL)*(INC_SPECIALS="Y"))=0,"",'Dvd Calendar'!$AC$124)))</f>
        <v/>
      </c>
      <c r="AB22" s="106">
        <f>IF(FD22="","",IF(ISNUMBER('Dvd Calendar'!$AD$124)=FALSE,"",IF((('Dvd Calendar'!$AD$126=TYPE1)*(TYPE1&lt;&gt;"")+('Dvd Calendar'!$AD$126=TYPE2)*(TYPE2&lt;&gt;"")+('Dvd Calendar'!$AD$126=TYPE3)*(TYPE3&lt;&gt;"")+('Dvd Calendar'!$AD$126=TYPE4)*(TYPE4&lt;&gt;"")+('Dvd Calendar'!$AD$126=SPECIAL_LBL)*(INC_SPECIALS="Y"))=0,"",'Dvd Calendar'!$AD$124)))</f>
        <v/>
      </c>
      <c r="AC22" s="106">
        <f>IF(FE22="","",IF(ISNUMBER('Dvd Calendar'!$AE$124)=FALSE,"",IF((('Dvd Calendar'!$AE$126=TYPE1)*(TYPE1&lt;&gt;"")+('Dvd Calendar'!$AE$126=TYPE2)*(TYPE2&lt;&gt;"")+('Dvd Calendar'!$AE$126=TYPE3)*(TYPE3&lt;&gt;"")+('Dvd Calendar'!$AE$126=TYPE4)*(TYPE4&lt;&gt;"")+('Dvd Calendar'!$AE$126=SPECIAL_LBL)*(INC_SPECIALS="Y"))=0,"",'Dvd Calendar'!$AE$124)))</f>
        <v/>
      </c>
      <c r="AD22" s="106">
        <f>IF(FF22="","",IF(ISNUMBER('Dvd Calendar'!$AF$124)=FALSE,"",IF((('Dvd Calendar'!$AF$126=TYPE1)*(TYPE1&lt;&gt;"")+('Dvd Calendar'!$AF$126=TYPE2)*(TYPE2&lt;&gt;"")+('Dvd Calendar'!$AF$126=TYPE3)*(TYPE3&lt;&gt;"")+('Dvd Calendar'!$AF$126=TYPE4)*(TYPE4&lt;&gt;"")+('Dvd Calendar'!$AF$126=SPECIAL_LBL)*(INC_SPECIALS="Y"))=0,"",'Dvd Calendar'!$AF$124)))</f>
        <v/>
      </c>
      <c r="AE22" s="106">
        <f>IF(FG22="","",IF(ISNUMBER('Dvd Calendar'!$AG$124)=FALSE,"",IF((('Dvd Calendar'!$AG$126=TYPE1)*(TYPE1&lt;&gt;"")+('Dvd Calendar'!$AG$126=TYPE2)*(TYPE2&lt;&gt;"")+('Dvd Calendar'!$AG$126=TYPE3)*(TYPE3&lt;&gt;"")+('Dvd Calendar'!$AG$126=TYPE4)*(TYPE4&lt;&gt;"")+('Dvd Calendar'!$AG$126=SPECIAL_LBL)*(INC_SPECIALS="Y"))=0,"",'Dvd Calendar'!$AG$124)))</f>
        <v/>
      </c>
      <c r="AF22" s="106">
        <f>IF(FH22="","",IF(ISNUMBER('Dvd Calendar'!$AH$124)=FALSE,"",IF((('Dvd Calendar'!$AH$126=TYPE1)*(TYPE1&lt;&gt;"")+('Dvd Calendar'!$AH$126=TYPE2)*(TYPE2&lt;&gt;"")+('Dvd Calendar'!$AH$126=TYPE3)*(TYPE3&lt;&gt;"")+('Dvd Calendar'!$AH$126=TYPE4)*(TYPE4&lt;&gt;"")+('Dvd Calendar'!$AH$126=SPECIAL_LBL)*(INC_SPECIALS="Y"))=0,"",'Dvd Calendar'!$AH$124)))</f>
        <v/>
      </c>
      <c r="AG22" s="106">
        <f>IF(FI22="","",IF(ISNUMBER('Dvd Calendar'!$AI$124)=FALSE,"",IF((('Dvd Calendar'!$AI$126=TYPE1)*(TYPE1&lt;&gt;"")+('Dvd Calendar'!$AI$126=TYPE2)*(TYPE2&lt;&gt;"")+('Dvd Calendar'!$AI$126=TYPE3)*(TYPE3&lt;&gt;"")+('Dvd Calendar'!$AI$126=TYPE4)*(TYPE4&lt;&gt;"")+('Dvd Calendar'!$AI$126=SPECIAL_LBL)*(INC_SPECIALS="Y"))=0,"",'Dvd Calendar'!$AI$124)))</f>
        <v/>
      </c>
      <c r="AH22" s="106">
        <f>IF(FJ22="","",IF(ISNUMBER('Dvd Calendar'!$AJ$124)=FALSE,"",IF((('Dvd Calendar'!$AJ$126=TYPE1)*(TYPE1&lt;&gt;"")+('Dvd Calendar'!$AJ$126=TYPE2)*(TYPE2&lt;&gt;"")+('Dvd Calendar'!$AJ$126=TYPE3)*(TYPE3&lt;&gt;"")+('Dvd Calendar'!$AJ$126=TYPE4)*(TYPE4&lt;&gt;"")+('Dvd Calendar'!$AJ$126=SPECIAL_LBL)*(INC_SPECIALS="Y"))=0,"",'Dvd Calendar'!$AJ$124)))</f>
        <v/>
      </c>
      <c r="AI22" s="106">
        <f>IF(FK22="","",IF(ISNUMBER('Dvd Calendar'!$AK$124)=FALSE,"",IF((('Dvd Calendar'!$AK$126=TYPE1)*(TYPE1&lt;&gt;"")+('Dvd Calendar'!$AK$126=TYPE2)*(TYPE2&lt;&gt;"")+('Dvd Calendar'!$AK$126=TYPE3)*(TYPE3&lt;&gt;"")+('Dvd Calendar'!$AK$126=TYPE4)*(TYPE4&lt;&gt;"")+('Dvd Calendar'!$AK$126=SPECIAL_LBL)*(INC_SPECIALS="Y"))=0,"",'Dvd Calendar'!$AK$124)))</f>
        <v/>
      </c>
      <c r="AJ22" s="106">
        <f>IF(FL22="","",IF(ISNUMBER('Dvd Calendar'!$AL$124)=FALSE,"",IF((('Dvd Calendar'!$AL$126=TYPE1)*(TYPE1&lt;&gt;"")+('Dvd Calendar'!$AL$126=TYPE2)*(TYPE2&lt;&gt;"")+('Dvd Calendar'!$AL$126=TYPE3)*(TYPE3&lt;&gt;"")+('Dvd Calendar'!$AL$126=TYPE4)*(TYPE4&lt;&gt;"")+('Dvd Calendar'!$AL$126=SPECIAL_LBL)*(INC_SPECIALS="Y"))=0,"",'Dvd Calendar'!$AL$124)))</f>
        <v/>
      </c>
      <c r="AK22" s="106">
        <f>IF(FM22="","",IF(ISNUMBER('Dvd Calendar'!$AM$124)=FALSE,"",IF((('Dvd Calendar'!$AM$126=TYPE1)*(TYPE1&lt;&gt;"")+('Dvd Calendar'!$AM$126=TYPE2)*(TYPE2&lt;&gt;"")+('Dvd Calendar'!$AM$126=TYPE3)*(TYPE3&lt;&gt;"")+('Dvd Calendar'!$AM$126=TYPE4)*(TYPE4&lt;&gt;"")+('Dvd Calendar'!$AM$126=SPECIAL_LBL)*(INC_SPECIALS="Y"))=0,"",'Dvd Calendar'!$AM$124)))</f>
        <v/>
      </c>
      <c r="AL22" s="106">
        <f>IF(FN22="","",IF(ISNUMBER('Dvd Calendar'!$AN$124)=FALSE,"",IF((('Dvd Calendar'!$AN$126=TYPE1)*(TYPE1&lt;&gt;"")+('Dvd Calendar'!$AN$126=TYPE2)*(TYPE2&lt;&gt;"")+('Dvd Calendar'!$AN$126=TYPE3)*(TYPE3&lt;&gt;"")+('Dvd Calendar'!$AN$126=TYPE4)*(TYPE4&lt;&gt;"")+('Dvd Calendar'!$AN$126=SPECIAL_LBL)*(INC_SPECIALS="Y"))=0,"",'Dvd Calendar'!$AN$124)))</f>
        <v/>
      </c>
      <c r="AM22" s="106">
        <f>IF(FO22="","",IF(ISNUMBER('Dvd Calendar'!$AO$124)=FALSE,"",IF((('Dvd Calendar'!$AO$126=TYPE1)*(TYPE1&lt;&gt;"")+('Dvd Calendar'!$AO$126=TYPE2)*(TYPE2&lt;&gt;"")+('Dvd Calendar'!$AO$126=TYPE3)*(TYPE3&lt;&gt;"")+('Dvd Calendar'!$AO$126=TYPE4)*(TYPE4&lt;&gt;"")+('Dvd Calendar'!$AO$126=SPECIAL_LBL)*(INC_SPECIALS="Y"))=0,"",'Dvd Calendar'!$AO$124)))</f>
        <v/>
      </c>
      <c r="AN22" s="106">
        <f>IF(FP22="","",IF(ISNUMBER('Dvd Calendar'!$AP$124)=FALSE,"",IF((('Dvd Calendar'!$AP$126=TYPE1)*(TYPE1&lt;&gt;"")+('Dvd Calendar'!$AP$126=TYPE2)*(TYPE2&lt;&gt;"")+('Dvd Calendar'!$AP$126=TYPE3)*(TYPE3&lt;&gt;"")+('Dvd Calendar'!$AP$126=TYPE4)*(TYPE4&lt;&gt;"")+('Dvd Calendar'!$AP$126=SPECIAL_LBL)*(INC_SPECIALS="Y"))=0,"",'Dvd Calendar'!$AP$124)))</f>
        <v/>
      </c>
      <c r="AO22" s="106">
        <f>IF(FQ22="","",IF(ISNUMBER('Dvd Calendar'!$AQ$124)=FALSE,"",IF((('Dvd Calendar'!$AQ$126=TYPE1)*(TYPE1&lt;&gt;"")+('Dvd Calendar'!$AQ$126=TYPE2)*(TYPE2&lt;&gt;"")+('Dvd Calendar'!$AQ$126=TYPE3)*(TYPE3&lt;&gt;"")+('Dvd Calendar'!$AQ$126=TYPE4)*(TYPE4&lt;&gt;"")+('Dvd Calendar'!$AQ$126=SPECIAL_LBL)*(INC_SPECIALS="Y"))=0,"",'Dvd Calendar'!$AQ$124)))</f>
        <v/>
      </c>
      <c r="AP22" s="106">
        <f>IF(FR22="","",IF(ISNUMBER('Dvd Calendar'!$AR$124)=FALSE,"",IF((('Dvd Calendar'!$AR$126=TYPE1)*(TYPE1&lt;&gt;"")+('Dvd Calendar'!$AR$126=TYPE2)*(TYPE2&lt;&gt;"")+('Dvd Calendar'!$AR$126=TYPE3)*(TYPE3&lt;&gt;"")+('Dvd Calendar'!$AR$126=TYPE4)*(TYPE4&lt;&gt;"")+('Dvd Calendar'!$AR$126=SPECIAL_LBL)*(INC_SPECIALS="Y"))=0,"",'Dvd Calendar'!$AR$124)))</f>
        <v/>
      </c>
      <c r="AQ22" s="106">
        <f>IF(FS22="","",IF(ISNUMBER('Dvd Calendar'!$E$129)=FALSE,"",'Dvd Calendar'!$E$129))</f>
        <v/>
      </c>
      <c r="AR22" s="106">
        <f>IF(FT22="","",IF(ISNUMBER('Dvd Calendar'!$F$129)=FALSE,"",'Dvd Calendar'!$F$129))</f>
        <v/>
      </c>
      <c r="AS22" s="106">
        <f>IF(FU22="","",IF(ISNUMBER('Dvd Calendar'!$G$129)=FALSE,"",'Dvd Calendar'!$G$129))</f>
        <v/>
      </c>
      <c r="AT22" s="106">
        <f>IF(FV22="","",IF(ISNUMBER('Dvd Calendar'!$H$129)=FALSE,"",'Dvd Calendar'!$H$129))</f>
        <v/>
      </c>
      <c r="AU22" s="106">
        <f>IF(FW22="","",IF(ISNUMBER('Dvd Calendar'!$I$129)=FALSE,"",'Dvd Calendar'!$I$129))</f>
        <v/>
      </c>
      <c r="AV22" s="106">
        <f>IF(FX22="","",IF(ISNUMBER('Dvd Calendar'!$J$129)=FALSE,"",'Dvd Calendar'!$J$129))</f>
        <v/>
      </c>
      <c r="AW22" s="106">
        <f>IF(FY22="","",IF(ISNUMBER('Dvd Calendar'!$K$129)=FALSE,"",'Dvd Calendar'!$K$129))</f>
        <v/>
      </c>
      <c r="AX22" s="106">
        <f>IF(FZ22="","",IF(ISNUMBER('Dvd Calendar'!$L$129)=FALSE,"",'Dvd Calendar'!$L$129))</f>
        <v/>
      </c>
      <c r="AY22" s="106">
        <f>IF(GA22="","",IF(ISNUMBER('Dvd Calendar'!$M$129)=FALSE,"",'Dvd Calendar'!$M$129))</f>
        <v/>
      </c>
      <c r="AZ22" s="106">
        <f>IF(GB22="","",IF(ISNUMBER('Dvd Calendar'!$N$129)=FALSE,"",'Dvd Calendar'!$N$129))</f>
        <v/>
      </c>
      <c r="BA22" s="106">
        <f>IF(GC22="","",IF(ISNUMBER('Dvd Calendar'!$O$129)=FALSE,"",'Dvd Calendar'!$O$129))</f>
        <v/>
      </c>
      <c r="BB22" s="106">
        <f>IF(GD22="","",IF(ISNUMBER('Dvd Calendar'!$P$129)=FALSE,"",'Dvd Calendar'!$P$129))</f>
        <v/>
      </c>
      <c r="BC22" s="106">
        <f>IF(GE22="","",IF(ISNUMBER('Dvd Calendar'!$Q$129)=FALSE,"",'Dvd Calendar'!$Q$129))</f>
        <v/>
      </c>
      <c r="BD22" s="106">
        <f>IF(GF22="","",IF(ISNUMBER('Dvd Calendar'!$R$129)=FALSE,"",'Dvd Calendar'!$R$129))</f>
        <v/>
      </c>
      <c r="BE22" s="106">
        <f>IF(GG22="","",IF(ISNUMBER('Dvd Calendar'!$S$129)=FALSE,"",'Dvd Calendar'!$S$129))</f>
        <v/>
      </c>
      <c r="BF22" s="106">
        <f>IF(GH22="","",IF(ISNUMBER('Dvd Calendar'!$T$129)=FALSE,"",'Dvd Calendar'!$T$129))</f>
        <v/>
      </c>
      <c r="BG22" s="106">
        <f>IF(GI22="","",IF(ISNUMBER('Dvd Calendar'!$U$129)=FALSE,"",'Dvd Calendar'!$U$129))</f>
        <v/>
      </c>
      <c r="BH22" s="106">
        <f>IF(GJ22="","",IF(ISNUMBER('Dvd Calendar'!$V$129)=FALSE,"",'Dvd Calendar'!$V$129))</f>
        <v/>
      </c>
      <c r="BI22" s="106">
        <f>IF(GK22="","",IF(ISNUMBER('Dvd Calendar'!$W$129)=FALSE,"",'Dvd Calendar'!$W$129))</f>
        <v/>
      </c>
      <c r="BJ22" s="106">
        <f>IF(GL22="","",IF(ISNUMBER('Dvd Calendar'!$X$129)=FALSE,"",'Dvd Calendar'!$X$129))</f>
        <v/>
      </c>
      <c r="BK22" s="106">
        <f>IF(GM22="","",IF(ISNUMBER('Dvd Calendar'!$Y$129)=FALSE,"",'Dvd Calendar'!$Y$129))</f>
        <v/>
      </c>
      <c r="BL22" s="106">
        <f>IF(GN22="","",IF(ISNUMBER('Dvd Calendar'!$Z$129)=FALSE,"",'Dvd Calendar'!$Z$129))</f>
        <v/>
      </c>
      <c r="BM22" s="106">
        <f>IF(GO22="","",IF(ISNUMBER('Dvd Calendar'!$AA$129)=FALSE,"",'Dvd Calendar'!$AA$129))</f>
        <v/>
      </c>
      <c r="BN22" s="106">
        <f>IF(GP22="","",IF(ISNUMBER('Dvd Calendar'!$AB$129)=FALSE,"",'Dvd Calendar'!$AB$129))</f>
        <v/>
      </c>
      <c r="BO22" s="106">
        <f>IF(GQ22="","",IF(ISNUMBER('Dvd Calendar'!$AC$129)=FALSE,"",'Dvd Calendar'!$AC$129))</f>
        <v/>
      </c>
      <c r="BQ22" s="106">
        <f>IF(C22="","",IFERROR(C22*HSI!$B$17*HSI!$G$17/HSI!$B$3,""))</f>
        <v/>
      </c>
      <c r="BR22" s="106">
        <f>IF(D22="","",IFERROR(D22*HSI!$B$17*HSI!$G$17/HSI!$B$3,""))</f>
        <v/>
      </c>
      <c r="BS22" s="106">
        <f>IF(E22="","",IFERROR(E22*HSI!$B$17*HSI!$G$17/HSI!$B$3,""))</f>
        <v/>
      </c>
      <c r="BT22" s="106">
        <f>IF(F22="","",IFERROR(F22*HSI!$B$17*HSI!$G$17/HSI!$B$3,""))</f>
        <v/>
      </c>
      <c r="BU22" s="106">
        <f>IF(G22="","",IFERROR(G22*HSI!$B$17*HSI!$G$17/HSI!$B$3,""))</f>
        <v/>
      </c>
      <c r="BV22" s="106">
        <f>IF(H22="","",IFERROR(H22*HSI!$B$17*HSI!$G$17/HSI!$B$3,""))</f>
        <v/>
      </c>
      <c r="BW22" s="106">
        <f>IF(I22="","",IFERROR(I22*HSI!$B$17*HSI!$G$17/HSI!$B$3,""))</f>
        <v/>
      </c>
      <c r="BX22" s="106">
        <f>IF(J22="","",IFERROR(J22*HSI!$B$17*HSI!$G$17/HSI!$B$3,""))</f>
        <v/>
      </c>
      <c r="BY22" s="106">
        <f>IF(K22="","",IFERROR(K22*HSI!$B$17*HSI!$G$17/HSI!$B$3,""))</f>
        <v/>
      </c>
      <c r="BZ22" s="106">
        <f>IF(L22="","",IFERROR(L22*HSI!$B$17*HSI!$G$17/HSI!$B$3,""))</f>
        <v/>
      </c>
      <c r="CA22" s="106">
        <f>IF(M22="","",IFERROR(M22*HSI!$B$17*HSI!$G$17/HSI!$B$3,""))</f>
        <v/>
      </c>
      <c r="CB22" s="106">
        <f>IF(N22="","",IFERROR(N22*HSI!$B$17*HSI!$G$17/HSI!$B$3,""))</f>
        <v/>
      </c>
      <c r="CC22" s="106">
        <f>IF(O22="","",IFERROR(O22*HSI!$B$17*HSI!$G$17/HSI!$B$3,""))</f>
        <v/>
      </c>
      <c r="CD22" s="106">
        <f>IF(P22="","",IFERROR(P22*HSI!$B$17*HSI!$G$17/HSI!$B$3,""))</f>
        <v/>
      </c>
      <c r="CE22" s="106">
        <f>IF(Q22="","",IFERROR(Q22*HSI!$B$17*HSI!$G$17/HSI!$B$3,""))</f>
        <v/>
      </c>
      <c r="CF22" s="106">
        <f>IF(R22="","",IFERROR(R22*HSI!$B$17*HSI!$G$17/HSI!$B$3,""))</f>
        <v/>
      </c>
      <c r="CG22" s="106">
        <f>IF(S22="","",IFERROR(S22*HSI!$B$17*HSI!$G$17/HSI!$B$3,""))</f>
        <v/>
      </c>
      <c r="CH22" s="106">
        <f>IF(T22="","",IFERROR(T22*HSI!$B$17*HSI!$G$17/HSI!$B$3,""))</f>
        <v/>
      </c>
      <c r="CI22" s="106">
        <f>IF(U22="","",IFERROR(U22*HSI!$B$17*HSI!$G$17/HSI!$B$3,""))</f>
        <v/>
      </c>
      <c r="CJ22" s="106">
        <f>IF(V22="","",IFERROR(V22*HSI!$B$17*HSI!$G$17/HSI!$B$3,""))</f>
        <v/>
      </c>
      <c r="CK22" s="106">
        <f>IF(W22="","",IFERROR(W22*HSI!$B$17*HSI!$G$17/HSI!$B$3,""))</f>
        <v/>
      </c>
      <c r="CL22" s="106">
        <f>IF(X22="","",IFERROR(X22*HSI!$B$17*HSI!$G$17/HSI!$B$3,""))</f>
        <v/>
      </c>
      <c r="CM22" s="106">
        <f>IF(Y22="","",IFERROR(Y22*HSI!$B$17*HSI!$G$17/HSI!$B$3,""))</f>
        <v/>
      </c>
      <c r="CN22" s="106">
        <f>IF(Z22="","",IFERROR(Z22*HSI!$B$17*HSI!$G$17/HSI!$B$3,""))</f>
        <v/>
      </c>
      <c r="CO22" s="106">
        <f>IF(AA22="","",IFERROR(AA22*HSI!$B$17*HSI!$G$17/HSI!$B$3,""))</f>
        <v/>
      </c>
      <c r="CP22" s="106">
        <f>IF(AB22="","",IFERROR(AB22*HSI!$B$17*HSI!$G$17/HSI!$B$3,""))</f>
        <v/>
      </c>
      <c r="CQ22" s="106">
        <f>IF(AC22="","",IFERROR(AC22*HSI!$B$17*HSI!$G$17/HSI!$B$3,""))</f>
        <v/>
      </c>
      <c r="CR22" s="106">
        <f>IF(AD22="","",IFERROR(AD22*HSI!$B$17*HSI!$G$17/HSI!$B$3,""))</f>
        <v/>
      </c>
      <c r="CS22" s="106">
        <f>IF(AE22="","",IFERROR(AE22*HSI!$B$17*HSI!$G$17/HSI!$B$3,""))</f>
        <v/>
      </c>
      <c r="CT22" s="106">
        <f>IF(AF22="","",IFERROR(AF22*HSI!$B$17*HSI!$G$17/HSI!$B$3,""))</f>
        <v/>
      </c>
      <c r="CU22" s="106">
        <f>IF(AG22="","",IFERROR(AG22*HSI!$B$17*HSI!$G$17/HSI!$B$3,""))</f>
        <v/>
      </c>
      <c r="CV22" s="106">
        <f>IF(AH22="","",IFERROR(AH22*HSI!$B$17*HSI!$G$17/HSI!$B$3,""))</f>
        <v/>
      </c>
      <c r="CW22" s="106">
        <f>IF(AI22="","",IFERROR(AI22*HSI!$B$17*HSI!$G$17/HSI!$B$3,""))</f>
        <v/>
      </c>
      <c r="CX22" s="106">
        <f>IF(AJ22="","",IFERROR(AJ22*HSI!$B$17*HSI!$G$17/HSI!$B$3,""))</f>
        <v/>
      </c>
      <c r="CY22" s="106">
        <f>IF(AK22="","",IFERROR(AK22*HSI!$B$17*HSI!$G$17/HSI!$B$3,""))</f>
        <v/>
      </c>
      <c r="CZ22" s="106">
        <f>IF(AL22="","",IFERROR(AL22*HSI!$B$17*HSI!$G$17/HSI!$B$3,""))</f>
        <v/>
      </c>
      <c r="DA22" s="106">
        <f>IF(AM22="","",IFERROR(AM22*HSI!$B$17*HSI!$G$17/HSI!$B$3,""))</f>
        <v/>
      </c>
      <c r="DB22" s="106">
        <f>IF(AN22="","",IFERROR(AN22*HSI!$B$17*HSI!$G$17/HSI!$B$3,""))</f>
        <v/>
      </c>
      <c r="DC22" s="106">
        <f>IF(AO22="","",IFERROR(AO22*HSI!$B$17*HSI!$G$17/HSI!$B$3,""))</f>
        <v/>
      </c>
      <c r="DD22" s="106">
        <f>IF(AP22="","",IFERROR(AP22*HSI!$B$17*HSI!$G$17/HSI!$B$3,""))</f>
        <v/>
      </c>
      <c r="DE22" s="106">
        <f>IF(AQ22="","",IFERROR(AQ22*HSI!$B$17*HSI!$G$17/HSI!$B$3,""))</f>
        <v/>
      </c>
      <c r="DF22" s="106">
        <f>IF(AR22="","",IFERROR(AR22*HSI!$B$17*HSI!$G$17/HSI!$B$3,""))</f>
        <v/>
      </c>
      <c r="DG22" s="106">
        <f>IF(AS22="","",IFERROR(AS22*HSI!$B$17*HSI!$G$17/HSI!$B$3,""))</f>
        <v/>
      </c>
      <c r="DH22" s="106">
        <f>IF(AT22="","",IFERROR(AT22*HSI!$B$17*HSI!$G$17/HSI!$B$3,""))</f>
        <v/>
      </c>
      <c r="DI22" s="106">
        <f>IF(AU22="","",IFERROR(AU22*HSI!$B$17*HSI!$G$17/HSI!$B$3,""))</f>
        <v/>
      </c>
      <c r="DJ22" s="106">
        <f>IF(AV22="","",IFERROR(AV22*HSI!$B$17*HSI!$G$17/HSI!$B$3,""))</f>
        <v/>
      </c>
      <c r="DK22" s="106">
        <f>IF(AW22="","",IFERROR(AW22*HSI!$B$17*HSI!$G$17/HSI!$B$3,""))</f>
        <v/>
      </c>
      <c r="DL22" s="106">
        <f>IF(AX22="","",IFERROR(AX22*HSI!$B$17*HSI!$G$17/HSI!$B$3,""))</f>
        <v/>
      </c>
      <c r="DM22" s="106">
        <f>IF(AY22="","",IFERROR(AY22*HSI!$B$17*HSI!$G$17/HSI!$B$3,""))</f>
        <v/>
      </c>
      <c r="DN22" s="106">
        <f>IF(AZ22="","",IFERROR(AZ22*HSI!$B$17*HSI!$G$17/HSI!$B$3,""))</f>
        <v/>
      </c>
      <c r="DO22" s="106">
        <f>IF(BA22="","",IFERROR(BA22*HSI!$B$17*HSI!$G$17/HSI!$B$3,""))</f>
        <v/>
      </c>
      <c r="DP22" s="106">
        <f>IF(BB22="","",IFERROR(BB22*HSI!$B$17*HSI!$G$17/HSI!$B$3,""))</f>
        <v/>
      </c>
      <c r="DQ22" s="106">
        <f>IF(BC22="","",IFERROR(BC22*HSI!$B$17*HSI!$G$17/HSI!$B$3,""))</f>
        <v/>
      </c>
      <c r="DR22" s="106">
        <f>IF(BD22="","",IFERROR(BD22*HSI!$B$17*HSI!$G$17/HSI!$B$3,""))</f>
        <v/>
      </c>
      <c r="DS22" s="106">
        <f>IF(BE22="","",IFERROR(BE22*HSI!$B$17*HSI!$G$17/HSI!$B$3,""))</f>
        <v/>
      </c>
      <c r="DT22" s="106">
        <f>IF(BF22="","",IFERROR(BF22*HSI!$B$17*HSI!$G$17/HSI!$B$3,""))</f>
        <v/>
      </c>
      <c r="DU22" s="106">
        <f>IF(BG22="","",IFERROR(BG22*HSI!$B$17*HSI!$G$17/HSI!$B$3,""))</f>
        <v/>
      </c>
      <c r="DV22" s="106">
        <f>IF(BH22="","",IFERROR(BH22*HSI!$B$17*HSI!$G$17/HSI!$B$3,""))</f>
        <v/>
      </c>
      <c r="DW22" s="106">
        <f>IF(BI22="","",IFERROR(BI22*HSI!$B$17*HSI!$G$17/HSI!$B$3,""))</f>
        <v/>
      </c>
      <c r="DX22" s="106">
        <f>IF(BJ22="","",IFERROR(BJ22*HSI!$B$17*HSI!$G$17/HSI!$B$3,""))</f>
        <v/>
      </c>
      <c r="DY22" s="106">
        <f>IF(BK22="","",IFERROR(BK22*HSI!$B$17*HSI!$G$17/HSI!$B$3,""))</f>
        <v/>
      </c>
      <c r="DZ22" s="106">
        <f>IF(BL22="","",IFERROR(BL22*HSI!$B$17*HSI!$G$17/HSI!$B$3,""))</f>
        <v/>
      </c>
      <c r="EA22" s="106">
        <f>IF(BM22="","",IFERROR(BM22*HSI!$B$17*HSI!$G$17/HSI!$B$3,""))</f>
        <v/>
      </c>
      <c r="EB22" s="106">
        <f>IF(BN22="","",IFERROR(BN22*HSI!$B$17*HSI!$G$17/HSI!$B$3,""))</f>
        <v/>
      </c>
      <c r="EC22" s="106">
        <f>IF(BO22="","",IFERROR(BO22*HSI!$B$17*HSI!$G$17/HSI!$B$3,""))</f>
        <v/>
      </c>
      <c r="EE22" s="35">
        <f>IF(N('Dvd Calendar'!$E$121)=0,"",IF(('Dvd Calendar'!$E$121&gt;=GRID_FROM)*('Dvd Calendar'!$E$121&lt;=GRID_TO)*('Dvd Calendar'!$E$121&lt;=VAL_DATE)=0,"",'Dvd Calendar'!$E$121*1000000000+ISNUMBER('Dvd Calendar'!$E$124)*100000000+('Dvd Calendar'!$E$126=SPECIAL_LBL)*10000000+0*1000000+11*1000+1))</f>
        <v/>
      </c>
      <c r="EF22" s="35">
        <f>IF(N('Dvd Calendar'!$F$121)=0,"",IF(('Dvd Calendar'!$F$121&gt;=GRID_FROM)*('Dvd Calendar'!$F$121&lt;=GRID_TO)*('Dvd Calendar'!$F$121&lt;=VAL_DATE)=0,"",'Dvd Calendar'!$F$121*1000000000+ISNUMBER('Dvd Calendar'!$F$124)*100000000+('Dvd Calendar'!$F$126=SPECIAL_LBL)*10000000+0*1000000+11*1000+2))</f>
        <v/>
      </c>
      <c r="EG22" s="35">
        <f>IF(N('Dvd Calendar'!$G$121)=0,"",IF(('Dvd Calendar'!$G$121&gt;=GRID_FROM)*('Dvd Calendar'!$G$121&lt;=GRID_TO)*('Dvd Calendar'!$G$121&lt;=VAL_DATE)=0,"",'Dvd Calendar'!$G$121*1000000000+ISNUMBER('Dvd Calendar'!$G$124)*100000000+('Dvd Calendar'!$G$126=SPECIAL_LBL)*10000000+0*1000000+11*1000+3))</f>
        <v/>
      </c>
      <c r="EH22" s="35">
        <f>IF(N('Dvd Calendar'!$H$121)=0,"",IF(('Dvd Calendar'!$H$121&gt;=GRID_FROM)*('Dvd Calendar'!$H$121&lt;=GRID_TO)*('Dvd Calendar'!$H$121&lt;=VAL_DATE)=0,"",'Dvd Calendar'!$H$121*1000000000+ISNUMBER('Dvd Calendar'!$H$124)*100000000+('Dvd Calendar'!$H$126=SPECIAL_LBL)*10000000+0*1000000+11*1000+4))</f>
        <v/>
      </c>
      <c r="EI22" s="35">
        <f>IF(N('Dvd Calendar'!$I$121)=0,"",IF(('Dvd Calendar'!$I$121&gt;=GRID_FROM)*('Dvd Calendar'!$I$121&lt;=GRID_TO)*('Dvd Calendar'!$I$121&lt;=VAL_DATE)=0,"",'Dvd Calendar'!$I$121*1000000000+ISNUMBER('Dvd Calendar'!$I$124)*100000000+('Dvd Calendar'!$I$126=SPECIAL_LBL)*10000000+0*1000000+11*1000+5))</f>
        <v/>
      </c>
      <c r="EJ22" s="35">
        <f>IF(N('Dvd Calendar'!$J$121)=0,"",IF(('Dvd Calendar'!$J$121&gt;=GRID_FROM)*('Dvd Calendar'!$J$121&lt;=GRID_TO)*('Dvd Calendar'!$J$121&lt;=VAL_DATE)=0,"",'Dvd Calendar'!$J$121*1000000000+ISNUMBER('Dvd Calendar'!$J$124)*100000000+('Dvd Calendar'!$J$126=SPECIAL_LBL)*10000000+0*1000000+11*1000+6))</f>
        <v/>
      </c>
      <c r="EK22" s="35">
        <f>IF(N('Dvd Calendar'!$K$121)=0,"",IF(('Dvd Calendar'!$K$121&gt;=GRID_FROM)*('Dvd Calendar'!$K$121&lt;=GRID_TO)*('Dvd Calendar'!$K$121&lt;=VAL_DATE)=0,"",'Dvd Calendar'!$K$121*1000000000+ISNUMBER('Dvd Calendar'!$K$124)*100000000+('Dvd Calendar'!$K$126=SPECIAL_LBL)*10000000+0*1000000+11*1000+7))</f>
        <v/>
      </c>
      <c r="EL22" s="35">
        <f>IF(N('Dvd Calendar'!$L$121)=0,"",IF(('Dvd Calendar'!$L$121&gt;=GRID_FROM)*('Dvd Calendar'!$L$121&lt;=GRID_TO)*('Dvd Calendar'!$L$121&lt;=VAL_DATE)=0,"",'Dvd Calendar'!$L$121*1000000000+ISNUMBER('Dvd Calendar'!$L$124)*100000000+('Dvd Calendar'!$L$126=SPECIAL_LBL)*10000000+0*1000000+11*1000+8))</f>
        <v/>
      </c>
      <c r="EM22" s="35">
        <f>IF(N('Dvd Calendar'!$M$121)=0,"",IF(('Dvd Calendar'!$M$121&gt;=GRID_FROM)*('Dvd Calendar'!$M$121&lt;=GRID_TO)*('Dvd Calendar'!$M$121&lt;=VAL_DATE)=0,"",'Dvd Calendar'!$M$121*1000000000+ISNUMBER('Dvd Calendar'!$M$124)*100000000+('Dvd Calendar'!$M$126=SPECIAL_LBL)*10000000+0*1000000+11*1000+9))</f>
        <v/>
      </c>
      <c r="EN22" s="35">
        <f>IF(N('Dvd Calendar'!$N$121)=0,"",IF(('Dvd Calendar'!$N$121&gt;=GRID_FROM)*('Dvd Calendar'!$N$121&lt;=GRID_TO)*('Dvd Calendar'!$N$121&lt;=VAL_DATE)=0,"",'Dvd Calendar'!$N$121*1000000000+ISNUMBER('Dvd Calendar'!$N$124)*100000000+('Dvd Calendar'!$N$126=SPECIAL_LBL)*10000000+0*1000000+11*1000+10))</f>
        <v/>
      </c>
      <c r="EO22" s="35">
        <f>IF(N('Dvd Calendar'!$O$121)=0,"",IF(('Dvd Calendar'!$O$121&gt;=GRID_FROM)*('Dvd Calendar'!$O$121&lt;=GRID_TO)*('Dvd Calendar'!$O$121&lt;=VAL_DATE)=0,"",'Dvd Calendar'!$O$121*1000000000+ISNUMBER('Dvd Calendar'!$O$124)*100000000+('Dvd Calendar'!$O$126=SPECIAL_LBL)*10000000+0*1000000+11*1000+11))</f>
        <v/>
      </c>
      <c r="EP22" s="35">
        <f>IF(N('Dvd Calendar'!$P$121)=0,"",IF(('Dvd Calendar'!$P$121&gt;=GRID_FROM)*('Dvd Calendar'!$P$121&lt;=GRID_TO)*('Dvd Calendar'!$P$121&lt;=VAL_DATE)=0,"",'Dvd Calendar'!$P$121*1000000000+ISNUMBER('Dvd Calendar'!$P$124)*100000000+('Dvd Calendar'!$P$126=SPECIAL_LBL)*10000000+0*1000000+11*1000+12))</f>
        <v/>
      </c>
      <c r="EQ22" s="35">
        <f>IF(N('Dvd Calendar'!$Q$121)=0,"",IF(('Dvd Calendar'!$Q$121&gt;=GRID_FROM)*('Dvd Calendar'!$Q$121&lt;=GRID_TO)*('Dvd Calendar'!$Q$121&lt;=VAL_DATE)=0,"",'Dvd Calendar'!$Q$121*1000000000+ISNUMBER('Dvd Calendar'!$Q$124)*100000000+('Dvd Calendar'!$Q$126=SPECIAL_LBL)*10000000+0*1000000+11*1000+13))</f>
        <v/>
      </c>
      <c r="ER22" s="35">
        <f>IF(N('Dvd Calendar'!$R$121)=0,"",IF(('Dvd Calendar'!$R$121&gt;=GRID_FROM)*('Dvd Calendar'!$R$121&lt;=GRID_TO)*('Dvd Calendar'!$R$121&lt;=VAL_DATE)=0,"",'Dvd Calendar'!$R$121*1000000000+ISNUMBER('Dvd Calendar'!$R$124)*100000000+('Dvd Calendar'!$R$126=SPECIAL_LBL)*10000000+0*1000000+11*1000+14))</f>
        <v/>
      </c>
      <c r="ES22" s="35">
        <f>IF(N('Dvd Calendar'!$S$121)=0,"",IF(('Dvd Calendar'!$S$121&gt;=GRID_FROM)*('Dvd Calendar'!$S$121&lt;=GRID_TO)*('Dvd Calendar'!$S$121&lt;=VAL_DATE)=0,"",'Dvd Calendar'!$S$121*1000000000+ISNUMBER('Dvd Calendar'!$S$124)*100000000+('Dvd Calendar'!$S$126=SPECIAL_LBL)*10000000+0*1000000+11*1000+15))</f>
        <v/>
      </c>
      <c r="ET22" s="35">
        <f>IF(N('Dvd Calendar'!$T$121)=0,"",IF(('Dvd Calendar'!$T$121&gt;=GRID_FROM)*('Dvd Calendar'!$T$121&lt;=GRID_TO)*('Dvd Calendar'!$T$121&lt;=VAL_DATE)=0,"",'Dvd Calendar'!$T$121*1000000000+ISNUMBER('Dvd Calendar'!$T$124)*100000000+('Dvd Calendar'!$T$126=SPECIAL_LBL)*10000000+0*1000000+11*1000+16))</f>
        <v/>
      </c>
      <c r="EU22" s="35">
        <f>IF(N('Dvd Calendar'!$U$121)=0,"",IF(('Dvd Calendar'!$U$121&gt;=GRID_FROM)*('Dvd Calendar'!$U$121&lt;=GRID_TO)*('Dvd Calendar'!$U$121&lt;=VAL_DATE)=0,"",'Dvd Calendar'!$U$121*1000000000+ISNUMBER('Dvd Calendar'!$U$124)*100000000+('Dvd Calendar'!$U$126=SPECIAL_LBL)*10000000+0*1000000+11*1000+17))</f>
        <v/>
      </c>
      <c r="EV22" s="35">
        <f>IF(N('Dvd Calendar'!$V$121)=0,"",IF(('Dvd Calendar'!$V$121&gt;=GRID_FROM)*('Dvd Calendar'!$V$121&lt;=GRID_TO)*('Dvd Calendar'!$V$121&lt;=VAL_DATE)=0,"",'Dvd Calendar'!$V$121*1000000000+ISNUMBER('Dvd Calendar'!$V$124)*100000000+('Dvd Calendar'!$V$126=SPECIAL_LBL)*10000000+0*1000000+11*1000+18))</f>
        <v/>
      </c>
      <c r="EW22" s="35">
        <f>IF(N('Dvd Calendar'!$W$121)=0,"",IF(('Dvd Calendar'!$W$121&gt;=GRID_FROM)*('Dvd Calendar'!$W$121&lt;=GRID_TO)*('Dvd Calendar'!$W$121&lt;=VAL_DATE)=0,"",'Dvd Calendar'!$W$121*1000000000+ISNUMBER('Dvd Calendar'!$W$124)*100000000+('Dvd Calendar'!$W$126=SPECIAL_LBL)*10000000+0*1000000+11*1000+19))</f>
        <v/>
      </c>
      <c r="EX22" s="35">
        <f>IF(N('Dvd Calendar'!$X$121)=0,"",IF(('Dvd Calendar'!$X$121&gt;=GRID_FROM)*('Dvd Calendar'!$X$121&lt;=GRID_TO)*('Dvd Calendar'!$X$121&lt;=VAL_DATE)=0,"",'Dvd Calendar'!$X$121*1000000000+ISNUMBER('Dvd Calendar'!$X$124)*100000000+('Dvd Calendar'!$X$126=SPECIAL_LBL)*10000000+0*1000000+11*1000+20))</f>
        <v/>
      </c>
      <c r="EY22" s="35">
        <f>IF(N('Dvd Calendar'!$Y$121)=0,"",IF(('Dvd Calendar'!$Y$121&gt;=GRID_FROM)*('Dvd Calendar'!$Y$121&lt;=GRID_TO)*('Dvd Calendar'!$Y$121&lt;=VAL_DATE)=0,"",'Dvd Calendar'!$Y$121*1000000000+ISNUMBER('Dvd Calendar'!$Y$124)*100000000+('Dvd Calendar'!$Y$126=SPECIAL_LBL)*10000000+0*1000000+11*1000+21))</f>
        <v/>
      </c>
      <c r="EZ22" s="35">
        <f>IF(N('Dvd Calendar'!$Z$121)=0,"",IF(('Dvd Calendar'!$Z$121&gt;=GRID_FROM)*('Dvd Calendar'!$Z$121&lt;=GRID_TO)*('Dvd Calendar'!$Z$121&lt;=VAL_DATE)=0,"",'Dvd Calendar'!$Z$121*1000000000+ISNUMBER('Dvd Calendar'!$Z$124)*100000000+('Dvd Calendar'!$Z$126=SPECIAL_LBL)*10000000+0*1000000+11*1000+22))</f>
        <v/>
      </c>
      <c r="FA22" s="35">
        <f>IF(N('Dvd Calendar'!$AA$121)=0,"",IF(('Dvd Calendar'!$AA$121&gt;=GRID_FROM)*('Dvd Calendar'!$AA$121&lt;=GRID_TO)*('Dvd Calendar'!$AA$121&lt;=VAL_DATE)=0,"",'Dvd Calendar'!$AA$121*1000000000+ISNUMBER('Dvd Calendar'!$AA$124)*100000000+('Dvd Calendar'!$AA$126=SPECIAL_LBL)*10000000+0*1000000+11*1000+23))</f>
        <v/>
      </c>
      <c r="FB22" s="35">
        <f>IF(N('Dvd Calendar'!$AB$121)=0,"",IF(('Dvd Calendar'!$AB$121&gt;=GRID_FROM)*('Dvd Calendar'!$AB$121&lt;=GRID_TO)*('Dvd Calendar'!$AB$121&lt;=VAL_DATE)=0,"",'Dvd Calendar'!$AB$121*1000000000+ISNUMBER('Dvd Calendar'!$AB$124)*100000000+('Dvd Calendar'!$AB$126=SPECIAL_LBL)*10000000+0*1000000+11*1000+24))</f>
        <v/>
      </c>
      <c r="FC22" s="35">
        <f>IF(N('Dvd Calendar'!$AC$121)=0,"",IF(('Dvd Calendar'!$AC$121&gt;=GRID_FROM)*('Dvd Calendar'!$AC$121&lt;=GRID_TO)*('Dvd Calendar'!$AC$121&lt;=VAL_DATE)=0,"",'Dvd Calendar'!$AC$121*1000000000+ISNUMBER('Dvd Calendar'!$AC$124)*100000000+('Dvd Calendar'!$AC$126=SPECIAL_LBL)*10000000+0*1000000+11*1000+25))</f>
        <v/>
      </c>
      <c r="FD22" s="35">
        <f>IF(N('Dvd Calendar'!$AD$121)=0,"",IF(('Dvd Calendar'!$AD$121&gt;=GRID_FROM)*('Dvd Calendar'!$AD$121&lt;=GRID_TO)*('Dvd Calendar'!$AD$121&lt;=VAL_DATE)=0,"",'Dvd Calendar'!$AD$121*1000000000+ISNUMBER('Dvd Calendar'!$AD$124)*100000000+('Dvd Calendar'!$AD$126=SPECIAL_LBL)*10000000+0*1000000+11*1000+26))</f>
        <v/>
      </c>
      <c r="FE22" s="35">
        <f>IF(N('Dvd Calendar'!$AE$121)=0,"",IF(('Dvd Calendar'!$AE$121&gt;=GRID_FROM)*('Dvd Calendar'!$AE$121&lt;=GRID_TO)*('Dvd Calendar'!$AE$121&lt;=VAL_DATE)=0,"",'Dvd Calendar'!$AE$121*1000000000+ISNUMBER('Dvd Calendar'!$AE$124)*100000000+('Dvd Calendar'!$AE$126=SPECIAL_LBL)*10000000+0*1000000+11*1000+27))</f>
        <v/>
      </c>
      <c r="FF22" s="35">
        <f>IF(N('Dvd Calendar'!$AF$121)=0,"",IF(('Dvd Calendar'!$AF$121&gt;=GRID_FROM)*('Dvd Calendar'!$AF$121&lt;=GRID_TO)*('Dvd Calendar'!$AF$121&lt;=VAL_DATE)=0,"",'Dvd Calendar'!$AF$121*1000000000+ISNUMBER('Dvd Calendar'!$AF$124)*100000000+('Dvd Calendar'!$AF$126=SPECIAL_LBL)*10000000+0*1000000+11*1000+28))</f>
        <v/>
      </c>
      <c r="FG22" s="35">
        <f>IF(N('Dvd Calendar'!$AG$121)=0,"",IF(('Dvd Calendar'!$AG$121&gt;=GRID_FROM)*('Dvd Calendar'!$AG$121&lt;=GRID_TO)*('Dvd Calendar'!$AG$121&lt;=VAL_DATE)=0,"",'Dvd Calendar'!$AG$121*1000000000+ISNUMBER('Dvd Calendar'!$AG$124)*100000000+('Dvd Calendar'!$AG$126=SPECIAL_LBL)*10000000+0*1000000+11*1000+29))</f>
        <v/>
      </c>
      <c r="FH22" s="35">
        <f>IF(N('Dvd Calendar'!$AH$121)=0,"",IF(('Dvd Calendar'!$AH$121&gt;=GRID_FROM)*('Dvd Calendar'!$AH$121&lt;=GRID_TO)*('Dvd Calendar'!$AH$121&lt;=VAL_DATE)=0,"",'Dvd Calendar'!$AH$121*1000000000+ISNUMBER('Dvd Calendar'!$AH$124)*100000000+('Dvd Calendar'!$AH$126=SPECIAL_LBL)*10000000+0*1000000+11*1000+30))</f>
        <v/>
      </c>
      <c r="FI22" s="35">
        <f>IF(N('Dvd Calendar'!$AI$121)=0,"",IF(('Dvd Calendar'!$AI$121&gt;=GRID_FROM)*('Dvd Calendar'!$AI$121&lt;=GRID_TO)*('Dvd Calendar'!$AI$121&lt;=VAL_DATE)=0,"",'Dvd Calendar'!$AI$121*1000000000+ISNUMBER('Dvd Calendar'!$AI$124)*100000000+('Dvd Calendar'!$AI$126=SPECIAL_LBL)*10000000+0*1000000+11*1000+31))</f>
        <v/>
      </c>
      <c r="FJ22" s="35">
        <f>IF(N('Dvd Calendar'!$AJ$121)=0,"",IF(('Dvd Calendar'!$AJ$121&gt;=GRID_FROM)*('Dvd Calendar'!$AJ$121&lt;=GRID_TO)*('Dvd Calendar'!$AJ$121&lt;=VAL_DATE)=0,"",'Dvd Calendar'!$AJ$121*1000000000+ISNUMBER('Dvd Calendar'!$AJ$124)*100000000+('Dvd Calendar'!$AJ$126=SPECIAL_LBL)*10000000+0*1000000+11*1000+32))</f>
        <v/>
      </c>
      <c r="FK22" s="35">
        <f>IF(N('Dvd Calendar'!$AK$121)=0,"",IF(('Dvd Calendar'!$AK$121&gt;=GRID_FROM)*('Dvd Calendar'!$AK$121&lt;=GRID_TO)*('Dvd Calendar'!$AK$121&lt;=VAL_DATE)=0,"",'Dvd Calendar'!$AK$121*1000000000+ISNUMBER('Dvd Calendar'!$AK$124)*100000000+('Dvd Calendar'!$AK$126=SPECIAL_LBL)*10000000+0*1000000+11*1000+33))</f>
        <v/>
      </c>
      <c r="FL22" s="35">
        <f>IF(N('Dvd Calendar'!$AL$121)=0,"",IF(('Dvd Calendar'!$AL$121&gt;=GRID_FROM)*('Dvd Calendar'!$AL$121&lt;=GRID_TO)*('Dvd Calendar'!$AL$121&lt;=VAL_DATE)=0,"",'Dvd Calendar'!$AL$121*1000000000+ISNUMBER('Dvd Calendar'!$AL$124)*100000000+('Dvd Calendar'!$AL$126=SPECIAL_LBL)*10000000+0*1000000+11*1000+34))</f>
        <v/>
      </c>
      <c r="FM22" s="35">
        <f>IF(N('Dvd Calendar'!$AM$121)=0,"",IF(('Dvd Calendar'!$AM$121&gt;=GRID_FROM)*('Dvd Calendar'!$AM$121&lt;=GRID_TO)*('Dvd Calendar'!$AM$121&lt;=VAL_DATE)=0,"",'Dvd Calendar'!$AM$121*1000000000+ISNUMBER('Dvd Calendar'!$AM$124)*100000000+('Dvd Calendar'!$AM$126=SPECIAL_LBL)*10000000+0*1000000+11*1000+35))</f>
        <v/>
      </c>
      <c r="FN22" s="35">
        <f>IF(N('Dvd Calendar'!$AN$121)=0,"",IF(('Dvd Calendar'!$AN$121&gt;=GRID_FROM)*('Dvd Calendar'!$AN$121&lt;=GRID_TO)*('Dvd Calendar'!$AN$121&lt;=VAL_DATE)=0,"",'Dvd Calendar'!$AN$121*1000000000+ISNUMBER('Dvd Calendar'!$AN$124)*100000000+('Dvd Calendar'!$AN$126=SPECIAL_LBL)*10000000+0*1000000+11*1000+36))</f>
        <v/>
      </c>
      <c r="FO22" s="35">
        <f>IF(N('Dvd Calendar'!$AO$121)=0,"",IF(('Dvd Calendar'!$AO$121&gt;=GRID_FROM)*('Dvd Calendar'!$AO$121&lt;=GRID_TO)*('Dvd Calendar'!$AO$121&lt;=VAL_DATE)=0,"",'Dvd Calendar'!$AO$121*1000000000+ISNUMBER('Dvd Calendar'!$AO$124)*100000000+('Dvd Calendar'!$AO$126=SPECIAL_LBL)*10000000+0*1000000+11*1000+37))</f>
        <v/>
      </c>
      <c r="FP22" s="35">
        <f>IF(N('Dvd Calendar'!$AP$121)=0,"",IF(('Dvd Calendar'!$AP$121&gt;=GRID_FROM)*('Dvd Calendar'!$AP$121&lt;=GRID_TO)*('Dvd Calendar'!$AP$121&lt;=VAL_DATE)=0,"",'Dvd Calendar'!$AP$121*1000000000+ISNUMBER('Dvd Calendar'!$AP$124)*100000000+('Dvd Calendar'!$AP$126=SPECIAL_LBL)*10000000+0*1000000+11*1000+38))</f>
        <v/>
      </c>
      <c r="FQ22" s="35">
        <f>IF(N('Dvd Calendar'!$AQ$121)=0,"",IF(('Dvd Calendar'!$AQ$121&gt;=GRID_FROM)*('Dvd Calendar'!$AQ$121&lt;=GRID_TO)*('Dvd Calendar'!$AQ$121&lt;=VAL_DATE)=0,"",'Dvd Calendar'!$AQ$121*1000000000+ISNUMBER('Dvd Calendar'!$AQ$124)*100000000+('Dvd Calendar'!$AQ$126=SPECIAL_LBL)*10000000+0*1000000+11*1000+39))</f>
        <v/>
      </c>
      <c r="FR22" s="35">
        <f>IF(N('Dvd Calendar'!$AR$121)=0,"",IF(('Dvd Calendar'!$AR$121&gt;=GRID_FROM)*('Dvd Calendar'!$AR$121&lt;=GRID_TO)*('Dvd Calendar'!$AR$121&lt;=VAL_DATE)=0,"",'Dvd Calendar'!$AR$121*1000000000+ISNUMBER('Dvd Calendar'!$AR$124)*100000000+('Dvd Calendar'!$AR$126=SPECIAL_LBL)*10000000+0*1000000+11*1000+40))</f>
        <v/>
      </c>
      <c r="FS22" s="35">
        <f>IF(N('Dvd Calendar'!$E$128)=0,"",IF(('Dvd Calendar'!$E$128&gt;=GRID_FROM)*('Dvd Calendar'!$E$128&lt;=GRID_TO)*('Dvd Calendar'!$E$128&gt;VAL_DATE)=0,"",'Dvd Calendar'!$E$128*1000000000+ISNUMBER('Dvd Calendar'!$E$129)*100000000+0*10000000+(N('Dvd Calendar'!$E$127)&gt;0)*(N('Dvd Calendar'!$E$127)&lt;=VAL_SERIAL)*1000000+11*1000+41))</f>
        <v/>
      </c>
      <c r="FT22" s="35">
        <f>IF(N('Dvd Calendar'!$F$128)=0,"",IF(('Dvd Calendar'!$F$128&gt;=GRID_FROM)*('Dvd Calendar'!$F$128&lt;=GRID_TO)*('Dvd Calendar'!$F$128&gt;VAL_DATE)=0,"",'Dvd Calendar'!$F$128*1000000000+ISNUMBER('Dvd Calendar'!$F$129)*100000000+0*10000000+(N('Dvd Calendar'!$F$127)&gt;0)*(N('Dvd Calendar'!$F$127)&lt;=VAL_SERIAL)*1000000+11*1000+42))</f>
        <v/>
      </c>
      <c r="FU22" s="35">
        <f>IF(N('Dvd Calendar'!$G$128)=0,"",IF(('Dvd Calendar'!$G$128&gt;=GRID_FROM)*('Dvd Calendar'!$G$128&lt;=GRID_TO)*('Dvd Calendar'!$G$128&gt;VAL_DATE)=0,"",'Dvd Calendar'!$G$128*1000000000+ISNUMBER('Dvd Calendar'!$G$129)*100000000+0*10000000+(N('Dvd Calendar'!$G$127)&gt;0)*(N('Dvd Calendar'!$G$127)&lt;=VAL_SERIAL)*1000000+11*1000+43))</f>
        <v/>
      </c>
      <c r="FV22" s="35">
        <f>IF(N('Dvd Calendar'!$H$128)=0,"",IF(('Dvd Calendar'!$H$128&gt;=GRID_FROM)*('Dvd Calendar'!$H$128&lt;=GRID_TO)*('Dvd Calendar'!$H$128&gt;VAL_DATE)=0,"",'Dvd Calendar'!$H$128*1000000000+ISNUMBER('Dvd Calendar'!$H$129)*100000000+0*10000000+(N('Dvd Calendar'!$H$127)&gt;0)*(N('Dvd Calendar'!$H$127)&lt;=VAL_SERIAL)*1000000+11*1000+44))</f>
        <v/>
      </c>
      <c r="FW22" s="35">
        <f>IF(N('Dvd Calendar'!$I$128)=0,"",IF(('Dvd Calendar'!$I$128&gt;=GRID_FROM)*('Dvd Calendar'!$I$128&lt;=GRID_TO)*('Dvd Calendar'!$I$128&gt;VAL_DATE)=0,"",'Dvd Calendar'!$I$128*1000000000+ISNUMBER('Dvd Calendar'!$I$129)*100000000+0*10000000+(N('Dvd Calendar'!$I$127)&gt;0)*(N('Dvd Calendar'!$I$127)&lt;=VAL_SERIAL)*1000000+11*1000+45))</f>
        <v/>
      </c>
      <c r="FX22" s="35">
        <f>IF(N('Dvd Calendar'!$J$128)=0,"",IF(('Dvd Calendar'!$J$128&gt;=GRID_FROM)*('Dvd Calendar'!$J$128&lt;=GRID_TO)*('Dvd Calendar'!$J$128&gt;VAL_DATE)=0,"",'Dvd Calendar'!$J$128*1000000000+ISNUMBER('Dvd Calendar'!$J$129)*100000000+0*10000000+(N('Dvd Calendar'!$J$127)&gt;0)*(N('Dvd Calendar'!$J$127)&lt;=VAL_SERIAL)*1000000+11*1000+46))</f>
        <v/>
      </c>
      <c r="FY22" s="35">
        <f>IF(N('Dvd Calendar'!$K$128)=0,"",IF(('Dvd Calendar'!$K$128&gt;=GRID_FROM)*('Dvd Calendar'!$K$128&lt;=GRID_TO)*('Dvd Calendar'!$K$128&gt;VAL_DATE)=0,"",'Dvd Calendar'!$K$128*1000000000+ISNUMBER('Dvd Calendar'!$K$129)*100000000+0*10000000+(N('Dvd Calendar'!$K$127)&gt;0)*(N('Dvd Calendar'!$K$127)&lt;=VAL_SERIAL)*1000000+11*1000+47))</f>
        <v/>
      </c>
      <c r="FZ22" s="35">
        <f>IF(N('Dvd Calendar'!$L$128)=0,"",IF(('Dvd Calendar'!$L$128&gt;=GRID_FROM)*('Dvd Calendar'!$L$128&lt;=GRID_TO)*('Dvd Calendar'!$L$128&gt;VAL_DATE)=0,"",'Dvd Calendar'!$L$128*1000000000+ISNUMBER('Dvd Calendar'!$L$129)*100000000+0*10000000+(N('Dvd Calendar'!$L$127)&gt;0)*(N('Dvd Calendar'!$L$127)&lt;=VAL_SERIAL)*1000000+11*1000+48))</f>
        <v/>
      </c>
      <c r="GA22" s="35">
        <f>IF(N('Dvd Calendar'!$M$128)=0,"",IF(('Dvd Calendar'!$M$128&gt;=GRID_FROM)*('Dvd Calendar'!$M$128&lt;=GRID_TO)*('Dvd Calendar'!$M$128&gt;VAL_DATE)=0,"",'Dvd Calendar'!$M$128*1000000000+ISNUMBER('Dvd Calendar'!$M$129)*100000000+0*10000000+(N('Dvd Calendar'!$M$127)&gt;0)*(N('Dvd Calendar'!$M$127)&lt;=VAL_SERIAL)*1000000+11*1000+49))</f>
        <v/>
      </c>
      <c r="GB22" s="35">
        <f>IF(N('Dvd Calendar'!$N$128)=0,"",IF(('Dvd Calendar'!$N$128&gt;=GRID_FROM)*('Dvd Calendar'!$N$128&lt;=GRID_TO)*('Dvd Calendar'!$N$128&gt;VAL_DATE)=0,"",'Dvd Calendar'!$N$128*1000000000+ISNUMBER('Dvd Calendar'!$N$129)*100000000+0*10000000+(N('Dvd Calendar'!$N$127)&gt;0)*(N('Dvd Calendar'!$N$127)&lt;=VAL_SERIAL)*1000000+11*1000+50))</f>
        <v/>
      </c>
      <c r="GC22" s="35">
        <f>IF(N('Dvd Calendar'!$O$128)=0,"",IF(('Dvd Calendar'!$O$128&gt;=GRID_FROM)*('Dvd Calendar'!$O$128&lt;=GRID_TO)*('Dvd Calendar'!$O$128&gt;VAL_DATE)=0,"",'Dvd Calendar'!$O$128*1000000000+ISNUMBER('Dvd Calendar'!$O$129)*100000000+0*10000000+(N('Dvd Calendar'!$O$127)&gt;0)*(N('Dvd Calendar'!$O$127)&lt;=VAL_SERIAL)*1000000+11*1000+51))</f>
        <v/>
      </c>
      <c r="GD22" s="35">
        <f>IF(N('Dvd Calendar'!$P$128)=0,"",IF(('Dvd Calendar'!$P$128&gt;=GRID_FROM)*('Dvd Calendar'!$P$128&lt;=GRID_TO)*('Dvd Calendar'!$P$128&gt;VAL_DATE)=0,"",'Dvd Calendar'!$P$128*1000000000+ISNUMBER('Dvd Calendar'!$P$129)*100000000+0*10000000+(N('Dvd Calendar'!$P$127)&gt;0)*(N('Dvd Calendar'!$P$127)&lt;=VAL_SERIAL)*1000000+11*1000+52))</f>
        <v/>
      </c>
      <c r="GE22" s="35">
        <f>IF(N('Dvd Calendar'!$Q$128)=0,"",IF(('Dvd Calendar'!$Q$128&gt;=GRID_FROM)*('Dvd Calendar'!$Q$128&lt;=GRID_TO)*('Dvd Calendar'!$Q$128&gt;VAL_DATE)=0,"",'Dvd Calendar'!$Q$128*1000000000+ISNUMBER('Dvd Calendar'!$Q$129)*100000000+0*10000000+(N('Dvd Calendar'!$Q$127)&gt;0)*(N('Dvd Calendar'!$Q$127)&lt;=VAL_SERIAL)*1000000+11*1000+53))</f>
        <v/>
      </c>
      <c r="GF22" s="35">
        <f>IF(N('Dvd Calendar'!$R$128)=0,"",IF(('Dvd Calendar'!$R$128&gt;=GRID_FROM)*('Dvd Calendar'!$R$128&lt;=GRID_TO)*('Dvd Calendar'!$R$128&gt;VAL_DATE)=0,"",'Dvd Calendar'!$R$128*1000000000+ISNUMBER('Dvd Calendar'!$R$129)*100000000+0*10000000+(N('Dvd Calendar'!$R$127)&gt;0)*(N('Dvd Calendar'!$R$127)&lt;=VAL_SERIAL)*1000000+11*1000+54))</f>
        <v/>
      </c>
      <c r="GG22" s="35">
        <f>IF(N('Dvd Calendar'!$S$128)=0,"",IF(('Dvd Calendar'!$S$128&gt;=GRID_FROM)*('Dvd Calendar'!$S$128&lt;=GRID_TO)*('Dvd Calendar'!$S$128&gt;VAL_DATE)=0,"",'Dvd Calendar'!$S$128*1000000000+ISNUMBER('Dvd Calendar'!$S$129)*100000000+0*10000000+(N('Dvd Calendar'!$S$127)&gt;0)*(N('Dvd Calendar'!$S$127)&lt;=VAL_SERIAL)*1000000+11*1000+55))</f>
        <v/>
      </c>
      <c r="GH22" s="35">
        <f>IF(N('Dvd Calendar'!$T$128)=0,"",IF(('Dvd Calendar'!$T$128&gt;=GRID_FROM)*('Dvd Calendar'!$T$128&lt;=GRID_TO)*('Dvd Calendar'!$T$128&gt;VAL_DATE)=0,"",'Dvd Calendar'!$T$128*1000000000+ISNUMBER('Dvd Calendar'!$T$129)*100000000+0*10000000+(N('Dvd Calendar'!$T$127)&gt;0)*(N('Dvd Calendar'!$T$127)&lt;=VAL_SERIAL)*1000000+11*1000+56))</f>
        <v/>
      </c>
      <c r="GI22" s="35">
        <f>IF(N('Dvd Calendar'!$U$128)=0,"",IF(('Dvd Calendar'!$U$128&gt;=GRID_FROM)*('Dvd Calendar'!$U$128&lt;=GRID_TO)*('Dvd Calendar'!$U$128&gt;VAL_DATE)=0,"",'Dvd Calendar'!$U$128*1000000000+ISNUMBER('Dvd Calendar'!$U$129)*100000000+0*10000000+(N('Dvd Calendar'!$U$127)&gt;0)*(N('Dvd Calendar'!$U$127)&lt;=VAL_SERIAL)*1000000+11*1000+57))</f>
        <v/>
      </c>
      <c r="GJ22" s="35">
        <f>IF(N('Dvd Calendar'!$V$128)=0,"",IF(('Dvd Calendar'!$V$128&gt;=GRID_FROM)*('Dvd Calendar'!$V$128&lt;=GRID_TO)*('Dvd Calendar'!$V$128&gt;VAL_DATE)=0,"",'Dvd Calendar'!$V$128*1000000000+ISNUMBER('Dvd Calendar'!$V$129)*100000000+0*10000000+(N('Dvd Calendar'!$V$127)&gt;0)*(N('Dvd Calendar'!$V$127)&lt;=VAL_SERIAL)*1000000+11*1000+58))</f>
        <v/>
      </c>
      <c r="GK22" s="35">
        <f>IF(N('Dvd Calendar'!$W$128)=0,"",IF(('Dvd Calendar'!$W$128&gt;=GRID_FROM)*('Dvd Calendar'!$W$128&lt;=GRID_TO)*('Dvd Calendar'!$W$128&gt;VAL_DATE)=0,"",'Dvd Calendar'!$W$128*1000000000+ISNUMBER('Dvd Calendar'!$W$129)*100000000+0*10000000+(N('Dvd Calendar'!$W$127)&gt;0)*(N('Dvd Calendar'!$W$127)&lt;=VAL_SERIAL)*1000000+11*1000+59))</f>
        <v/>
      </c>
      <c r="GL22" s="35">
        <f>IF(N('Dvd Calendar'!$X$128)=0,"",IF(('Dvd Calendar'!$X$128&gt;=GRID_FROM)*('Dvd Calendar'!$X$128&lt;=GRID_TO)*('Dvd Calendar'!$X$128&gt;VAL_DATE)=0,"",'Dvd Calendar'!$X$128*1000000000+ISNUMBER('Dvd Calendar'!$X$129)*100000000+0*10000000+(N('Dvd Calendar'!$X$127)&gt;0)*(N('Dvd Calendar'!$X$127)&lt;=VAL_SERIAL)*1000000+11*1000+60))</f>
        <v/>
      </c>
      <c r="GM22" s="35">
        <f>IF(N('Dvd Calendar'!$Y$128)=0,"",IF(('Dvd Calendar'!$Y$128&gt;=GRID_FROM)*('Dvd Calendar'!$Y$128&lt;=GRID_TO)*('Dvd Calendar'!$Y$128&gt;VAL_DATE)=0,"",'Dvd Calendar'!$Y$128*1000000000+ISNUMBER('Dvd Calendar'!$Y$129)*100000000+0*10000000+(N('Dvd Calendar'!$Y$127)&gt;0)*(N('Dvd Calendar'!$Y$127)&lt;=VAL_SERIAL)*1000000+11*1000+61))</f>
        <v/>
      </c>
      <c r="GN22" s="35">
        <f>IF(N('Dvd Calendar'!$Z$128)=0,"",IF(('Dvd Calendar'!$Z$128&gt;=GRID_FROM)*('Dvd Calendar'!$Z$128&lt;=GRID_TO)*('Dvd Calendar'!$Z$128&gt;VAL_DATE)=0,"",'Dvd Calendar'!$Z$128*1000000000+ISNUMBER('Dvd Calendar'!$Z$129)*100000000+0*10000000+(N('Dvd Calendar'!$Z$127)&gt;0)*(N('Dvd Calendar'!$Z$127)&lt;=VAL_SERIAL)*1000000+11*1000+62))</f>
        <v/>
      </c>
      <c r="GO22" s="35">
        <f>IF(N('Dvd Calendar'!$AA$128)=0,"",IF(('Dvd Calendar'!$AA$128&gt;=GRID_FROM)*('Dvd Calendar'!$AA$128&lt;=GRID_TO)*('Dvd Calendar'!$AA$128&gt;VAL_DATE)=0,"",'Dvd Calendar'!$AA$128*1000000000+ISNUMBER('Dvd Calendar'!$AA$129)*100000000+0*10000000+(N('Dvd Calendar'!$AA$127)&gt;0)*(N('Dvd Calendar'!$AA$127)&lt;=VAL_SERIAL)*1000000+11*1000+63))</f>
        <v/>
      </c>
      <c r="GP22" s="35">
        <f>IF(N('Dvd Calendar'!$AB$128)=0,"",IF(('Dvd Calendar'!$AB$128&gt;=GRID_FROM)*('Dvd Calendar'!$AB$128&lt;=GRID_TO)*('Dvd Calendar'!$AB$128&gt;VAL_DATE)=0,"",'Dvd Calendar'!$AB$128*1000000000+ISNUMBER('Dvd Calendar'!$AB$129)*100000000+0*10000000+(N('Dvd Calendar'!$AB$127)&gt;0)*(N('Dvd Calendar'!$AB$127)&lt;=VAL_SERIAL)*1000000+11*1000+64))</f>
        <v/>
      </c>
      <c r="GQ22" s="35">
        <f>IF(N('Dvd Calendar'!$AC$128)=0,"",IF(('Dvd Calendar'!$AC$128&gt;=GRID_FROM)*('Dvd Calendar'!$AC$128&lt;=GRID_TO)*('Dvd Calendar'!$AC$128&gt;VAL_DATE)=0,"",'Dvd Calendar'!$AC$128*1000000000+ISNUMBER('Dvd Calendar'!$AC$129)*100000000+0*10000000+(N('Dvd Calendar'!$AC$127)&gt;0)*(N('Dvd Calendar'!$AC$127)&lt;=VAL_SERIAL)*1000000+11*1000+65))</f>
        <v/>
      </c>
    </row>
    <row r="23">
      <c r="B23" s="2">
        <f>IF(HSI!$C$18="","",HSI!$C$18)</f>
        <v/>
      </c>
      <c r="C23" s="106">
        <f>IF(EE23="","",IF(ISNUMBER('Dvd Calendar'!$E$135)=FALSE,"",IF((('Dvd Calendar'!$E$137=TYPE1)*(TYPE1&lt;&gt;"")+('Dvd Calendar'!$E$137=TYPE2)*(TYPE2&lt;&gt;"")+('Dvd Calendar'!$E$137=TYPE3)*(TYPE3&lt;&gt;"")+('Dvd Calendar'!$E$137=TYPE4)*(TYPE4&lt;&gt;"")+('Dvd Calendar'!$E$137=SPECIAL_LBL)*(INC_SPECIALS="Y"))=0,"",'Dvd Calendar'!$E$135)))</f>
        <v/>
      </c>
      <c r="D23" s="106">
        <f>IF(EF23="","",IF(ISNUMBER('Dvd Calendar'!$F$135)=FALSE,"",IF((('Dvd Calendar'!$F$137=TYPE1)*(TYPE1&lt;&gt;"")+('Dvd Calendar'!$F$137=TYPE2)*(TYPE2&lt;&gt;"")+('Dvd Calendar'!$F$137=TYPE3)*(TYPE3&lt;&gt;"")+('Dvd Calendar'!$F$137=TYPE4)*(TYPE4&lt;&gt;"")+('Dvd Calendar'!$F$137=SPECIAL_LBL)*(INC_SPECIALS="Y"))=0,"",'Dvd Calendar'!$F$135)))</f>
        <v/>
      </c>
      <c r="E23" s="106">
        <f>IF(EG23="","",IF(ISNUMBER('Dvd Calendar'!$G$135)=FALSE,"",IF((('Dvd Calendar'!$G$137=TYPE1)*(TYPE1&lt;&gt;"")+('Dvd Calendar'!$G$137=TYPE2)*(TYPE2&lt;&gt;"")+('Dvd Calendar'!$G$137=TYPE3)*(TYPE3&lt;&gt;"")+('Dvd Calendar'!$G$137=TYPE4)*(TYPE4&lt;&gt;"")+('Dvd Calendar'!$G$137=SPECIAL_LBL)*(INC_SPECIALS="Y"))=0,"",'Dvd Calendar'!$G$135)))</f>
        <v/>
      </c>
      <c r="F23" s="106">
        <f>IF(EH23="","",IF(ISNUMBER('Dvd Calendar'!$H$135)=FALSE,"",IF((('Dvd Calendar'!$H$137=TYPE1)*(TYPE1&lt;&gt;"")+('Dvd Calendar'!$H$137=TYPE2)*(TYPE2&lt;&gt;"")+('Dvd Calendar'!$H$137=TYPE3)*(TYPE3&lt;&gt;"")+('Dvd Calendar'!$H$137=TYPE4)*(TYPE4&lt;&gt;"")+('Dvd Calendar'!$H$137=SPECIAL_LBL)*(INC_SPECIALS="Y"))=0,"",'Dvd Calendar'!$H$135)))</f>
        <v/>
      </c>
      <c r="G23" s="106">
        <f>IF(EI23="","",IF(ISNUMBER('Dvd Calendar'!$I$135)=FALSE,"",IF((('Dvd Calendar'!$I$137=TYPE1)*(TYPE1&lt;&gt;"")+('Dvd Calendar'!$I$137=TYPE2)*(TYPE2&lt;&gt;"")+('Dvd Calendar'!$I$137=TYPE3)*(TYPE3&lt;&gt;"")+('Dvd Calendar'!$I$137=TYPE4)*(TYPE4&lt;&gt;"")+('Dvd Calendar'!$I$137=SPECIAL_LBL)*(INC_SPECIALS="Y"))=0,"",'Dvd Calendar'!$I$135)))</f>
        <v/>
      </c>
      <c r="H23" s="106">
        <f>IF(EJ23="","",IF(ISNUMBER('Dvd Calendar'!$J$135)=FALSE,"",IF((('Dvd Calendar'!$J$137=TYPE1)*(TYPE1&lt;&gt;"")+('Dvd Calendar'!$J$137=TYPE2)*(TYPE2&lt;&gt;"")+('Dvd Calendar'!$J$137=TYPE3)*(TYPE3&lt;&gt;"")+('Dvd Calendar'!$J$137=TYPE4)*(TYPE4&lt;&gt;"")+('Dvd Calendar'!$J$137=SPECIAL_LBL)*(INC_SPECIALS="Y"))=0,"",'Dvd Calendar'!$J$135)))</f>
        <v/>
      </c>
      <c r="I23" s="106">
        <f>IF(EK23="","",IF(ISNUMBER('Dvd Calendar'!$K$135)=FALSE,"",IF((('Dvd Calendar'!$K$137=TYPE1)*(TYPE1&lt;&gt;"")+('Dvd Calendar'!$K$137=TYPE2)*(TYPE2&lt;&gt;"")+('Dvd Calendar'!$K$137=TYPE3)*(TYPE3&lt;&gt;"")+('Dvd Calendar'!$K$137=TYPE4)*(TYPE4&lt;&gt;"")+('Dvd Calendar'!$K$137=SPECIAL_LBL)*(INC_SPECIALS="Y"))=0,"",'Dvd Calendar'!$K$135)))</f>
        <v/>
      </c>
      <c r="J23" s="106">
        <f>IF(EL23="","",IF(ISNUMBER('Dvd Calendar'!$L$135)=FALSE,"",IF((('Dvd Calendar'!$L$137=TYPE1)*(TYPE1&lt;&gt;"")+('Dvd Calendar'!$L$137=TYPE2)*(TYPE2&lt;&gt;"")+('Dvd Calendar'!$L$137=TYPE3)*(TYPE3&lt;&gt;"")+('Dvd Calendar'!$L$137=TYPE4)*(TYPE4&lt;&gt;"")+('Dvd Calendar'!$L$137=SPECIAL_LBL)*(INC_SPECIALS="Y"))=0,"",'Dvd Calendar'!$L$135)))</f>
        <v/>
      </c>
      <c r="K23" s="106">
        <f>IF(EM23="","",IF(ISNUMBER('Dvd Calendar'!$M$135)=FALSE,"",IF((('Dvd Calendar'!$M$137=TYPE1)*(TYPE1&lt;&gt;"")+('Dvd Calendar'!$M$137=TYPE2)*(TYPE2&lt;&gt;"")+('Dvd Calendar'!$M$137=TYPE3)*(TYPE3&lt;&gt;"")+('Dvd Calendar'!$M$137=TYPE4)*(TYPE4&lt;&gt;"")+('Dvd Calendar'!$M$137=SPECIAL_LBL)*(INC_SPECIALS="Y"))=0,"",'Dvd Calendar'!$M$135)))</f>
        <v/>
      </c>
      <c r="L23" s="106">
        <f>IF(EN23="","",IF(ISNUMBER('Dvd Calendar'!$N$135)=FALSE,"",IF((('Dvd Calendar'!$N$137=TYPE1)*(TYPE1&lt;&gt;"")+('Dvd Calendar'!$N$137=TYPE2)*(TYPE2&lt;&gt;"")+('Dvd Calendar'!$N$137=TYPE3)*(TYPE3&lt;&gt;"")+('Dvd Calendar'!$N$137=TYPE4)*(TYPE4&lt;&gt;"")+('Dvd Calendar'!$N$137=SPECIAL_LBL)*(INC_SPECIALS="Y"))=0,"",'Dvd Calendar'!$N$135)))</f>
        <v/>
      </c>
      <c r="M23" s="106">
        <f>IF(EO23="","",IF(ISNUMBER('Dvd Calendar'!$O$135)=FALSE,"",IF((('Dvd Calendar'!$O$137=TYPE1)*(TYPE1&lt;&gt;"")+('Dvd Calendar'!$O$137=TYPE2)*(TYPE2&lt;&gt;"")+('Dvd Calendar'!$O$137=TYPE3)*(TYPE3&lt;&gt;"")+('Dvd Calendar'!$O$137=TYPE4)*(TYPE4&lt;&gt;"")+('Dvd Calendar'!$O$137=SPECIAL_LBL)*(INC_SPECIALS="Y"))=0,"",'Dvd Calendar'!$O$135)))</f>
        <v/>
      </c>
      <c r="N23" s="106">
        <f>IF(EP23="","",IF(ISNUMBER('Dvd Calendar'!$P$135)=FALSE,"",IF((('Dvd Calendar'!$P$137=TYPE1)*(TYPE1&lt;&gt;"")+('Dvd Calendar'!$P$137=TYPE2)*(TYPE2&lt;&gt;"")+('Dvd Calendar'!$P$137=TYPE3)*(TYPE3&lt;&gt;"")+('Dvd Calendar'!$P$137=TYPE4)*(TYPE4&lt;&gt;"")+('Dvd Calendar'!$P$137=SPECIAL_LBL)*(INC_SPECIALS="Y"))=0,"",'Dvd Calendar'!$P$135)))</f>
        <v/>
      </c>
      <c r="O23" s="106">
        <f>IF(EQ23="","",IF(ISNUMBER('Dvd Calendar'!$Q$135)=FALSE,"",IF((('Dvd Calendar'!$Q$137=TYPE1)*(TYPE1&lt;&gt;"")+('Dvd Calendar'!$Q$137=TYPE2)*(TYPE2&lt;&gt;"")+('Dvd Calendar'!$Q$137=TYPE3)*(TYPE3&lt;&gt;"")+('Dvd Calendar'!$Q$137=TYPE4)*(TYPE4&lt;&gt;"")+('Dvd Calendar'!$Q$137=SPECIAL_LBL)*(INC_SPECIALS="Y"))=0,"",'Dvd Calendar'!$Q$135)))</f>
        <v/>
      </c>
      <c r="P23" s="106">
        <f>IF(ER23="","",IF(ISNUMBER('Dvd Calendar'!$R$135)=FALSE,"",IF((('Dvd Calendar'!$R$137=TYPE1)*(TYPE1&lt;&gt;"")+('Dvd Calendar'!$R$137=TYPE2)*(TYPE2&lt;&gt;"")+('Dvd Calendar'!$R$137=TYPE3)*(TYPE3&lt;&gt;"")+('Dvd Calendar'!$R$137=TYPE4)*(TYPE4&lt;&gt;"")+('Dvd Calendar'!$R$137=SPECIAL_LBL)*(INC_SPECIALS="Y"))=0,"",'Dvd Calendar'!$R$135)))</f>
        <v/>
      </c>
      <c r="Q23" s="106">
        <f>IF(ES23="","",IF(ISNUMBER('Dvd Calendar'!$S$135)=FALSE,"",IF((('Dvd Calendar'!$S$137=TYPE1)*(TYPE1&lt;&gt;"")+('Dvd Calendar'!$S$137=TYPE2)*(TYPE2&lt;&gt;"")+('Dvd Calendar'!$S$137=TYPE3)*(TYPE3&lt;&gt;"")+('Dvd Calendar'!$S$137=TYPE4)*(TYPE4&lt;&gt;"")+('Dvd Calendar'!$S$137=SPECIAL_LBL)*(INC_SPECIALS="Y"))=0,"",'Dvd Calendar'!$S$135)))</f>
        <v/>
      </c>
      <c r="R23" s="106">
        <f>IF(ET23="","",IF(ISNUMBER('Dvd Calendar'!$T$135)=FALSE,"",IF((('Dvd Calendar'!$T$137=TYPE1)*(TYPE1&lt;&gt;"")+('Dvd Calendar'!$T$137=TYPE2)*(TYPE2&lt;&gt;"")+('Dvd Calendar'!$T$137=TYPE3)*(TYPE3&lt;&gt;"")+('Dvd Calendar'!$T$137=TYPE4)*(TYPE4&lt;&gt;"")+('Dvd Calendar'!$T$137=SPECIAL_LBL)*(INC_SPECIALS="Y"))=0,"",'Dvd Calendar'!$T$135)))</f>
        <v/>
      </c>
      <c r="S23" s="106">
        <f>IF(EU23="","",IF(ISNUMBER('Dvd Calendar'!$U$135)=FALSE,"",IF((('Dvd Calendar'!$U$137=TYPE1)*(TYPE1&lt;&gt;"")+('Dvd Calendar'!$U$137=TYPE2)*(TYPE2&lt;&gt;"")+('Dvd Calendar'!$U$137=TYPE3)*(TYPE3&lt;&gt;"")+('Dvd Calendar'!$U$137=TYPE4)*(TYPE4&lt;&gt;"")+('Dvd Calendar'!$U$137=SPECIAL_LBL)*(INC_SPECIALS="Y"))=0,"",'Dvd Calendar'!$U$135)))</f>
        <v/>
      </c>
      <c r="T23" s="106">
        <f>IF(EV23="","",IF(ISNUMBER('Dvd Calendar'!$V$135)=FALSE,"",IF((('Dvd Calendar'!$V$137=TYPE1)*(TYPE1&lt;&gt;"")+('Dvd Calendar'!$V$137=TYPE2)*(TYPE2&lt;&gt;"")+('Dvd Calendar'!$V$137=TYPE3)*(TYPE3&lt;&gt;"")+('Dvd Calendar'!$V$137=TYPE4)*(TYPE4&lt;&gt;"")+('Dvd Calendar'!$V$137=SPECIAL_LBL)*(INC_SPECIALS="Y"))=0,"",'Dvd Calendar'!$V$135)))</f>
        <v/>
      </c>
      <c r="U23" s="106">
        <f>IF(EW23="","",IF(ISNUMBER('Dvd Calendar'!$W$135)=FALSE,"",IF((('Dvd Calendar'!$W$137=TYPE1)*(TYPE1&lt;&gt;"")+('Dvd Calendar'!$W$137=TYPE2)*(TYPE2&lt;&gt;"")+('Dvd Calendar'!$W$137=TYPE3)*(TYPE3&lt;&gt;"")+('Dvd Calendar'!$W$137=TYPE4)*(TYPE4&lt;&gt;"")+('Dvd Calendar'!$W$137=SPECIAL_LBL)*(INC_SPECIALS="Y"))=0,"",'Dvd Calendar'!$W$135)))</f>
        <v/>
      </c>
      <c r="V23" s="106">
        <f>IF(EX23="","",IF(ISNUMBER('Dvd Calendar'!$X$135)=FALSE,"",IF((('Dvd Calendar'!$X$137=TYPE1)*(TYPE1&lt;&gt;"")+('Dvd Calendar'!$X$137=TYPE2)*(TYPE2&lt;&gt;"")+('Dvd Calendar'!$X$137=TYPE3)*(TYPE3&lt;&gt;"")+('Dvd Calendar'!$X$137=TYPE4)*(TYPE4&lt;&gt;"")+('Dvd Calendar'!$X$137=SPECIAL_LBL)*(INC_SPECIALS="Y"))=0,"",'Dvd Calendar'!$X$135)))</f>
        <v/>
      </c>
      <c r="W23" s="106">
        <f>IF(EY23="","",IF(ISNUMBER('Dvd Calendar'!$Y$135)=FALSE,"",IF((('Dvd Calendar'!$Y$137=TYPE1)*(TYPE1&lt;&gt;"")+('Dvd Calendar'!$Y$137=TYPE2)*(TYPE2&lt;&gt;"")+('Dvd Calendar'!$Y$137=TYPE3)*(TYPE3&lt;&gt;"")+('Dvd Calendar'!$Y$137=TYPE4)*(TYPE4&lt;&gt;"")+('Dvd Calendar'!$Y$137=SPECIAL_LBL)*(INC_SPECIALS="Y"))=0,"",'Dvd Calendar'!$Y$135)))</f>
        <v/>
      </c>
      <c r="X23" s="106">
        <f>IF(EZ23="","",IF(ISNUMBER('Dvd Calendar'!$Z$135)=FALSE,"",IF((('Dvd Calendar'!$Z$137=TYPE1)*(TYPE1&lt;&gt;"")+('Dvd Calendar'!$Z$137=TYPE2)*(TYPE2&lt;&gt;"")+('Dvd Calendar'!$Z$137=TYPE3)*(TYPE3&lt;&gt;"")+('Dvd Calendar'!$Z$137=TYPE4)*(TYPE4&lt;&gt;"")+('Dvd Calendar'!$Z$137=SPECIAL_LBL)*(INC_SPECIALS="Y"))=0,"",'Dvd Calendar'!$Z$135)))</f>
        <v/>
      </c>
      <c r="Y23" s="106">
        <f>IF(FA23="","",IF(ISNUMBER('Dvd Calendar'!$AA$135)=FALSE,"",IF((('Dvd Calendar'!$AA$137=TYPE1)*(TYPE1&lt;&gt;"")+('Dvd Calendar'!$AA$137=TYPE2)*(TYPE2&lt;&gt;"")+('Dvd Calendar'!$AA$137=TYPE3)*(TYPE3&lt;&gt;"")+('Dvd Calendar'!$AA$137=TYPE4)*(TYPE4&lt;&gt;"")+('Dvd Calendar'!$AA$137=SPECIAL_LBL)*(INC_SPECIALS="Y"))=0,"",'Dvd Calendar'!$AA$135)))</f>
        <v/>
      </c>
      <c r="Z23" s="106">
        <f>IF(FB23="","",IF(ISNUMBER('Dvd Calendar'!$AB$135)=FALSE,"",IF((('Dvd Calendar'!$AB$137=TYPE1)*(TYPE1&lt;&gt;"")+('Dvd Calendar'!$AB$137=TYPE2)*(TYPE2&lt;&gt;"")+('Dvd Calendar'!$AB$137=TYPE3)*(TYPE3&lt;&gt;"")+('Dvd Calendar'!$AB$137=TYPE4)*(TYPE4&lt;&gt;"")+('Dvd Calendar'!$AB$137=SPECIAL_LBL)*(INC_SPECIALS="Y"))=0,"",'Dvd Calendar'!$AB$135)))</f>
        <v/>
      </c>
      <c r="AA23" s="106">
        <f>IF(FC23="","",IF(ISNUMBER('Dvd Calendar'!$AC$135)=FALSE,"",IF((('Dvd Calendar'!$AC$137=TYPE1)*(TYPE1&lt;&gt;"")+('Dvd Calendar'!$AC$137=TYPE2)*(TYPE2&lt;&gt;"")+('Dvd Calendar'!$AC$137=TYPE3)*(TYPE3&lt;&gt;"")+('Dvd Calendar'!$AC$137=TYPE4)*(TYPE4&lt;&gt;"")+('Dvd Calendar'!$AC$137=SPECIAL_LBL)*(INC_SPECIALS="Y"))=0,"",'Dvd Calendar'!$AC$135)))</f>
        <v/>
      </c>
      <c r="AB23" s="106">
        <f>IF(FD23="","",IF(ISNUMBER('Dvd Calendar'!$AD$135)=FALSE,"",IF((('Dvd Calendar'!$AD$137=TYPE1)*(TYPE1&lt;&gt;"")+('Dvd Calendar'!$AD$137=TYPE2)*(TYPE2&lt;&gt;"")+('Dvd Calendar'!$AD$137=TYPE3)*(TYPE3&lt;&gt;"")+('Dvd Calendar'!$AD$137=TYPE4)*(TYPE4&lt;&gt;"")+('Dvd Calendar'!$AD$137=SPECIAL_LBL)*(INC_SPECIALS="Y"))=0,"",'Dvd Calendar'!$AD$135)))</f>
        <v/>
      </c>
      <c r="AC23" s="106">
        <f>IF(FE23="","",IF(ISNUMBER('Dvd Calendar'!$AE$135)=FALSE,"",IF((('Dvd Calendar'!$AE$137=TYPE1)*(TYPE1&lt;&gt;"")+('Dvd Calendar'!$AE$137=TYPE2)*(TYPE2&lt;&gt;"")+('Dvd Calendar'!$AE$137=TYPE3)*(TYPE3&lt;&gt;"")+('Dvd Calendar'!$AE$137=TYPE4)*(TYPE4&lt;&gt;"")+('Dvd Calendar'!$AE$137=SPECIAL_LBL)*(INC_SPECIALS="Y"))=0,"",'Dvd Calendar'!$AE$135)))</f>
        <v/>
      </c>
      <c r="AD23" s="106">
        <f>IF(FF23="","",IF(ISNUMBER('Dvd Calendar'!$AF$135)=FALSE,"",IF((('Dvd Calendar'!$AF$137=TYPE1)*(TYPE1&lt;&gt;"")+('Dvd Calendar'!$AF$137=TYPE2)*(TYPE2&lt;&gt;"")+('Dvd Calendar'!$AF$137=TYPE3)*(TYPE3&lt;&gt;"")+('Dvd Calendar'!$AF$137=TYPE4)*(TYPE4&lt;&gt;"")+('Dvd Calendar'!$AF$137=SPECIAL_LBL)*(INC_SPECIALS="Y"))=0,"",'Dvd Calendar'!$AF$135)))</f>
        <v/>
      </c>
      <c r="AE23" s="106">
        <f>IF(FG23="","",IF(ISNUMBER('Dvd Calendar'!$AG$135)=FALSE,"",IF((('Dvd Calendar'!$AG$137=TYPE1)*(TYPE1&lt;&gt;"")+('Dvd Calendar'!$AG$137=TYPE2)*(TYPE2&lt;&gt;"")+('Dvd Calendar'!$AG$137=TYPE3)*(TYPE3&lt;&gt;"")+('Dvd Calendar'!$AG$137=TYPE4)*(TYPE4&lt;&gt;"")+('Dvd Calendar'!$AG$137=SPECIAL_LBL)*(INC_SPECIALS="Y"))=0,"",'Dvd Calendar'!$AG$135)))</f>
        <v/>
      </c>
      <c r="AF23" s="106">
        <f>IF(FH23="","",IF(ISNUMBER('Dvd Calendar'!$AH$135)=FALSE,"",IF((('Dvd Calendar'!$AH$137=TYPE1)*(TYPE1&lt;&gt;"")+('Dvd Calendar'!$AH$137=TYPE2)*(TYPE2&lt;&gt;"")+('Dvd Calendar'!$AH$137=TYPE3)*(TYPE3&lt;&gt;"")+('Dvd Calendar'!$AH$137=TYPE4)*(TYPE4&lt;&gt;"")+('Dvd Calendar'!$AH$137=SPECIAL_LBL)*(INC_SPECIALS="Y"))=0,"",'Dvd Calendar'!$AH$135)))</f>
        <v/>
      </c>
      <c r="AG23" s="106">
        <f>IF(FI23="","",IF(ISNUMBER('Dvd Calendar'!$AI$135)=FALSE,"",IF((('Dvd Calendar'!$AI$137=TYPE1)*(TYPE1&lt;&gt;"")+('Dvd Calendar'!$AI$137=TYPE2)*(TYPE2&lt;&gt;"")+('Dvd Calendar'!$AI$137=TYPE3)*(TYPE3&lt;&gt;"")+('Dvd Calendar'!$AI$137=TYPE4)*(TYPE4&lt;&gt;"")+('Dvd Calendar'!$AI$137=SPECIAL_LBL)*(INC_SPECIALS="Y"))=0,"",'Dvd Calendar'!$AI$135)))</f>
        <v/>
      </c>
      <c r="AH23" s="106">
        <f>IF(FJ23="","",IF(ISNUMBER('Dvd Calendar'!$AJ$135)=FALSE,"",IF((('Dvd Calendar'!$AJ$137=TYPE1)*(TYPE1&lt;&gt;"")+('Dvd Calendar'!$AJ$137=TYPE2)*(TYPE2&lt;&gt;"")+('Dvd Calendar'!$AJ$137=TYPE3)*(TYPE3&lt;&gt;"")+('Dvd Calendar'!$AJ$137=TYPE4)*(TYPE4&lt;&gt;"")+('Dvd Calendar'!$AJ$137=SPECIAL_LBL)*(INC_SPECIALS="Y"))=0,"",'Dvd Calendar'!$AJ$135)))</f>
        <v/>
      </c>
      <c r="AI23" s="106">
        <f>IF(FK23="","",IF(ISNUMBER('Dvd Calendar'!$AK$135)=FALSE,"",IF((('Dvd Calendar'!$AK$137=TYPE1)*(TYPE1&lt;&gt;"")+('Dvd Calendar'!$AK$137=TYPE2)*(TYPE2&lt;&gt;"")+('Dvd Calendar'!$AK$137=TYPE3)*(TYPE3&lt;&gt;"")+('Dvd Calendar'!$AK$137=TYPE4)*(TYPE4&lt;&gt;"")+('Dvd Calendar'!$AK$137=SPECIAL_LBL)*(INC_SPECIALS="Y"))=0,"",'Dvd Calendar'!$AK$135)))</f>
        <v/>
      </c>
      <c r="AJ23" s="106">
        <f>IF(FL23="","",IF(ISNUMBER('Dvd Calendar'!$AL$135)=FALSE,"",IF((('Dvd Calendar'!$AL$137=TYPE1)*(TYPE1&lt;&gt;"")+('Dvd Calendar'!$AL$137=TYPE2)*(TYPE2&lt;&gt;"")+('Dvd Calendar'!$AL$137=TYPE3)*(TYPE3&lt;&gt;"")+('Dvd Calendar'!$AL$137=TYPE4)*(TYPE4&lt;&gt;"")+('Dvd Calendar'!$AL$137=SPECIAL_LBL)*(INC_SPECIALS="Y"))=0,"",'Dvd Calendar'!$AL$135)))</f>
        <v/>
      </c>
      <c r="AK23" s="106">
        <f>IF(FM23="","",IF(ISNUMBER('Dvd Calendar'!$AM$135)=FALSE,"",IF((('Dvd Calendar'!$AM$137=TYPE1)*(TYPE1&lt;&gt;"")+('Dvd Calendar'!$AM$137=TYPE2)*(TYPE2&lt;&gt;"")+('Dvd Calendar'!$AM$137=TYPE3)*(TYPE3&lt;&gt;"")+('Dvd Calendar'!$AM$137=TYPE4)*(TYPE4&lt;&gt;"")+('Dvd Calendar'!$AM$137=SPECIAL_LBL)*(INC_SPECIALS="Y"))=0,"",'Dvd Calendar'!$AM$135)))</f>
        <v/>
      </c>
      <c r="AL23" s="106">
        <f>IF(FN23="","",IF(ISNUMBER('Dvd Calendar'!$AN$135)=FALSE,"",IF((('Dvd Calendar'!$AN$137=TYPE1)*(TYPE1&lt;&gt;"")+('Dvd Calendar'!$AN$137=TYPE2)*(TYPE2&lt;&gt;"")+('Dvd Calendar'!$AN$137=TYPE3)*(TYPE3&lt;&gt;"")+('Dvd Calendar'!$AN$137=TYPE4)*(TYPE4&lt;&gt;"")+('Dvd Calendar'!$AN$137=SPECIAL_LBL)*(INC_SPECIALS="Y"))=0,"",'Dvd Calendar'!$AN$135)))</f>
        <v/>
      </c>
      <c r="AM23" s="106">
        <f>IF(FO23="","",IF(ISNUMBER('Dvd Calendar'!$AO$135)=FALSE,"",IF((('Dvd Calendar'!$AO$137=TYPE1)*(TYPE1&lt;&gt;"")+('Dvd Calendar'!$AO$137=TYPE2)*(TYPE2&lt;&gt;"")+('Dvd Calendar'!$AO$137=TYPE3)*(TYPE3&lt;&gt;"")+('Dvd Calendar'!$AO$137=TYPE4)*(TYPE4&lt;&gt;"")+('Dvd Calendar'!$AO$137=SPECIAL_LBL)*(INC_SPECIALS="Y"))=0,"",'Dvd Calendar'!$AO$135)))</f>
        <v/>
      </c>
      <c r="AN23" s="106">
        <f>IF(FP23="","",IF(ISNUMBER('Dvd Calendar'!$AP$135)=FALSE,"",IF((('Dvd Calendar'!$AP$137=TYPE1)*(TYPE1&lt;&gt;"")+('Dvd Calendar'!$AP$137=TYPE2)*(TYPE2&lt;&gt;"")+('Dvd Calendar'!$AP$137=TYPE3)*(TYPE3&lt;&gt;"")+('Dvd Calendar'!$AP$137=TYPE4)*(TYPE4&lt;&gt;"")+('Dvd Calendar'!$AP$137=SPECIAL_LBL)*(INC_SPECIALS="Y"))=0,"",'Dvd Calendar'!$AP$135)))</f>
        <v/>
      </c>
      <c r="AO23" s="106">
        <f>IF(FQ23="","",IF(ISNUMBER('Dvd Calendar'!$AQ$135)=FALSE,"",IF((('Dvd Calendar'!$AQ$137=TYPE1)*(TYPE1&lt;&gt;"")+('Dvd Calendar'!$AQ$137=TYPE2)*(TYPE2&lt;&gt;"")+('Dvd Calendar'!$AQ$137=TYPE3)*(TYPE3&lt;&gt;"")+('Dvd Calendar'!$AQ$137=TYPE4)*(TYPE4&lt;&gt;"")+('Dvd Calendar'!$AQ$137=SPECIAL_LBL)*(INC_SPECIALS="Y"))=0,"",'Dvd Calendar'!$AQ$135)))</f>
        <v/>
      </c>
      <c r="AP23" s="106">
        <f>IF(FR23="","",IF(ISNUMBER('Dvd Calendar'!$AR$135)=FALSE,"",IF((('Dvd Calendar'!$AR$137=TYPE1)*(TYPE1&lt;&gt;"")+('Dvd Calendar'!$AR$137=TYPE2)*(TYPE2&lt;&gt;"")+('Dvd Calendar'!$AR$137=TYPE3)*(TYPE3&lt;&gt;"")+('Dvd Calendar'!$AR$137=TYPE4)*(TYPE4&lt;&gt;"")+('Dvd Calendar'!$AR$137=SPECIAL_LBL)*(INC_SPECIALS="Y"))=0,"",'Dvd Calendar'!$AR$135)))</f>
        <v/>
      </c>
      <c r="AQ23" s="106">
        <f>IF(FS23="","",IF(ISNUMBER('Dvd Calendar'!$E$140)=FALSE,"",'Dvd Calendar'!$E$140))</f>
        <v/>
      </c>
      <c r="AR23" s="106">
        <f>IF(FT23="","",IF(ISNUMBER('Dvd Calendar'!$F$140)=FALSE,"",'Dvd Calendar'!$F$140))</f>
        <v/>
      </c>
      <c r="AS23" s="106">
        <f>IF(FU23="","",IF(ISNUMBER('Dvd Calendar'!$G$140)=FALSE,"",'Dvd Calendar'!$G$140))</f>
        <v/>
      </c>
      <c r="AT23" s="106">
        <f>IF(FV23="","",IF(ISNUMBER('Dvd Calendar'!$H$140)=FALSE,"",'Dvd Calendar'!$H$140))</f>
        <v/>
      </c>
      <c r="AU23" s="106">
        <f>IF(FW23="","",IF(ISNUMBER('Dvd Calendar'!$I$140)=FALSE,"",'Dvd Calendar'!$I$140))</f>
        <v/>
      </c>
      <c r="AV23" s="106">
        <f>IF(FX23="","",IF(ISNUMBER('Dvd Calendar'!$J$140)=FALSE,"",'Dvd Calendar'!$J$140))</f>
        <v/>
      </c>
      <c r="AW23" s="106">
        <f>IF(FY23="","",IF(ISNUMBER('Dvd Calendar'!$K$140)=FALSE,"",'Dvd Calendar'!$K$140))</f>
        <v/>
      </c>
      <c r="AX23" s="106">
        <f>IF(FZ23="","",IF(ISNUMBER('Dvd Calendar'!$L$140)=FALSE,"",'Dvd Calendar'!$L$140))</f>
        <v/>
      </c>
      <c r="AY23" s="106">
        <f>IF(GA23="","",IF(ISNUMBER('Dvd Calendar'!$M$140)=FALSE,"",'Dvd Calendar'!$M$140))</f>
        <v/>
      </c>
      <c r="AZ23" s="106">
        <f>IF(GB23="","",IF(ISNUMBER('Dvd Calendar'!$N$140)=FALSE,"",'Dvd Calendar'!$N$140))</f>
        <v/>
      </c>
      <c r="BA23" s="106">
        <f>IF(GC23="","",IF(ISNUMBER('Dvd Calendar'!$O$140)=FALSE,"",'Dvd Calendar'!$O$140))</f>
        <v/>
      </c>
      <c r="BB23" s="106">
        <f>IF(GD23="","",IF(ISNUMBER('Dvd Calendar'!$P$140)=FALSE,"",'Dvd Calendar'!$P$140))</f>
        <v/>
      </c>
      <c r="BC23" s="106">
        <f>IF(GE23="","",IF(ISNUMBER('Dvd Calendar'!$Q$140)=FALSE,"",'Dvd Calendar'!$Q$140))</f>
        <v/>
      </c>
      <c r="BD23" s="106">
        <f>IF(GF23="","",IF(ISNUMBER('Dvd Calendar'!$R$140)=FALSE,"",'Dvd Calendar'!$R$140))</f>
        <v/>
      </c>
      <c r="BE23" s="106">
        <f>IF(GG23="","",IF(ISNUMBER('Dvd Calendar'!$S$140)=FALSE,"",'Dvd Calendar'!$S$140))</f>
        <v/>
      </c>
      <c r="BF23" s="106">
        <f>IF(GH23="","",IF(ISNUMBER('Dvd Calendar'!$T$140)=FALSE,"",'Dvd Calendar'!$T$140))</f>
        <v/>
      </c>
      <c r="BG23" s="106">
        <f>IF(GI23="","",IF(ISNUMBER('Dvd Calendar'!$U$140)=FALSE,"",'Dvd Calendar'!$U$140))</f>
        <v/>
      </c>
      <c r="BH23" s="106">
        <f>IF(GJ23="","",IF(ISNUMBER('Dvd Calendar'!$V$140)=FALSE,"",'Dvd Calendar'!$V$140))</f>
        <v/>
      </c>
      <c r="BI23" s="106">
        <f>IF(GK23="","",IF(ISNUMBER('Dvd Calendar'!$W$140)=FALSE,"",'Dvd Calendar'!$W$140))</f>
        <v/>
      </c>
      <c r="BJ23" s="106">
        <f>IF(GL23="","",IF(ISNUMBER('Dvd Calendar'!$X$140)=FALSE,"",'Dvd Calendar'!$X$140))</f>
        <v/>
      </c>
      <c r="BK23" s="106">
        <f>IF(GM23="","",IF(ISNUMBER('Dvd Calendar'!$Y$140)=FALSE,"",'Dvd Calendar'!$Y$140))</f>
        <v/>
      </c>
      <c r="BL23" s="106">
        <f>IF(GN23="","",IF(ISNUMBER('Dvd Calendar'!$Z$140)=FALSE,"",'Dvd Calendar'!$Z$140))</f>
        <v/>
      </c>
      <c r="BM23" s="106">
        <f>IF(GO23="","",IF(ISNUMBER('Dvd Calendar'!$AA$140)=FALSE,"",'Dvd Calendar'!$AA$140))</f>
        <v/>
      </c>
      <c r="BN23" s="106">
        <f>IF(GP23="","",IF(ISNUMBER('Dvd Calendar'!$AB$140)=FALSE,"",'Dvd Calendar'!$AB$140))</f>
        <v/>
      </c>
      <c r="BO23" s="106">
        <f>IF(GQ23="","",IF(ISNUMBER('Dvd Calendar'!$AC$140)=FALSE,"",'Dvd Calendar'!$AC$140))</f>
        <v/>
      </c>
      <c r="BQ23" s="106">
        <f>IF(C23="","",IFERROR(C23*HSI!$B$18*HSI!$G$18/HSI!$B$3,""))</f>
        <v/>
      </c>
      <c r="BR23" s="106">
        <f>IF(D23="","",IFERROR(D23*HSI!$B$18*HSI!$G$18/HSI!$B$3,""))</f>
        <v/>
      </c>
      <c r="BS23" s="106">
        <f>IF(E23="","",IFERROR(E23*HSI!$B$18*HSI!$G$18/HSI!$B$3,""))</f>
        <v/>
      </c>
      <c r="BT23" s="106">
        <f>IF(F23="","",IFERROR(F23*HSI!$B$18*HSI!$G$18/HSI!$B$3,""))</f>
        <v/>
      </c>
      <c r="BU23" s="106">
        <f>IF(G23="","",IFERROR(G23*HSI!$B$18*HSI!$G$18/HSI!$B$3,""))</f>
        <v/>
      </c>
      <c r="BV23" s="106">
        <f>IF(H23="","",IFERROR(H23*HSI!$B$18*HSI!$G$18/HSI!$B$3,""))</f>
        <v/>
      </c>
      <c r="BW23" s="106">
        <f>IF(I23="","",IFERROR(I23*HSI!$B$18*HSI!$G$18/HSI!$B$3,""))</f>
        <v/>
      </c>
      <c r="BX23" s="106">
        <f>IF(J23="","",IFERROR(J23*HSI!$B$18*HSI!$G$18/HSI!$B$3,""))</f>
        <v/>
      </c>
      <c r="BY23" s="106">
        <f>IF(K23="","",IFERROR(K23*HSI!$B$18*HSI!$G$18/HSI!$B$3,""))</f>
        <v/>
      </c>
      <c r="BZ23" s="106">
        <f>IF(L23="","",IFERROR(L23*HSI!$B$18*HSI!$G$18/HSI!$B$3,""))</f>
        <v/>
      </c>
      <c r="CA23" s="106">
        <f>IF(M23="","",IFERROR(M23*HSI!$B$18*HSI!$G$18/HSI!$B$3,""))</f>
        <v/>
      </c>
      <c r="CB23" s="106">
        <f>IF(N23="","",IFERROR(N23*HSI!$B$18*HSI!$G$18/HSI!$B$3,""))</f>
        <v/>
      </c>
      <c r="CC23" s="106">
        <f>IF(O23="","",IFERROR(O23*HSI!$B$18*HSI!$G$18/HSI!$B$3,""))</f>
        <v/>
      </c>
      <c r="CD23" s="106">
        <f>IF(P23="","",IFERROR(P23*HSI!$B$18*HSI!$G$18/HSI!$B$3,""))</f>
        <v/>
      </c>
      <c r="CE23" s="106">
        <f>IF(Q23="","",IFERROR(Q23*HSI!$B$18*HSI!$G$18/HSI!$B$3,""))</f>
        <v/>
      </c>
      <c r="CF23" s="106">
        <f>IF(R23="","",IFERROR(R23*HSI!$B$18*HSI!$G$18/HSI!$B$3,""))</f>
        <v/>
      </c>
      <c r="CG23" s="106">
        <f>IF(S23="","",IFERROR(S23*HSI!$B$18*HSI!$G$18/HSI!$B$3,""))</f>
        <v/>
      </c>
      <c r="CH23" s="106">
        <f>IF(T23="","",IFERROR(T23*HSI!$B$18*HSI!$G$18/HSI!$B$3,""))</f>
        <v/>
      </c>
      <c r="CI23" s="106">
        <f>IF(U23="","",IFERROR(U23*HSI!$B$18*HSI!$G$18/HSI!$B$3,""))</f>
        <v/>
      </c>
      <c r="CJ23" s="106">
        <f>IF(V23="","",IFERROR(V23*HSI!$B$18*HSI!$G$18/HSI!$B$3,""))</f>
        <v/>
      </c>
      <c r="CK23" s="106">
        <f>IF(W23="","",IFERROR(W23*HSI!$B$18*HSI!$G$18/HSI!$B$3,""))</f>
        <v/>
      </c>
      <c r="CL23" s="106">
        <f>IF(X23="","",IFERROR(X23*HSI!$B$18*HSI!$G$18/HSI!$B$3,""))</f>
        <v/>
      </c>
      <c r="CM23" s="106">
        <f>IF(Y23="","",IFERROR(Y23*HSI!$B$18*HSI!$G$18/HSI!$B$3,""))</f>
        <v/>
      </c>
      <c r="CN23" s="106">
        <f>IF(Z23="","",IFERROR(Z23*HSI!$B$18*HSI!$G$18/HSI!$B$3,""))</f>
        <v/>
      </c>
      <c r="CO23" s="106">
        <f>IF(AA23="","",IFERROR(AA23*HSI!$B$18*HSI!$G$18/HSI!$B$3,""))</f>
        <v/>
      </c>
      <c r="CP23" s="106">
        <f>IF(AB23="","",IFERROR(AB23*HSI!$B$18*HSI!$G$18/HSI!$B$3,""))</f>
        <v/>
      </c>
      <c r="CQ23" s="106">
        <f>IF(AC23="","",IFERROR(AC23*HSI!$B$18*HSI!$G$18/HSI!$B$3,""))</f>
        <v/>
      </c>
      <c r="CR23" s="106">
        <f>IF(AD23="","",IFERROR(AD23*HSI!$B$18*HSI!$G$18/HSI!$B$3,""))</f>
        <v/>
      </c>
      <c r="CS23" s="106">
        <f>IF(AE23="","",IFERROR(AE23*HSI!$B$18*HSI!$G$18/HSI!$B$3,""))</f>
        <v/>
      </c>
      <c r="CT23" s="106">
        <f>IF(AF23="","",IFERROR(AF23*HSI!$B$18*HSI!$G$18/HSI!$B$3,""))</f>
        <v/>
      </c>
      <c r="CU23" s="106">
        <f>IF(AG23="","",IFERROR(AG23*HSI!$B$18*HSI!$G$18/HSI!$B$3,""))</f>
        <v/>
      </c>
      <c r="CV23" s="106">
        <f>IF(AH23="","",IFERROR(AH23*HSI!$B$18*HSI!$G$18/HSI!$B$3,""))</f>
        <v/>
      </c>
      <c r="CW23" s="106">
        <f>IF(AI23="","",IFERROR(AI23*HSI!$B$18*HSI!$G$18/HSI!$B$3,""))</f>
        <v/>
      </c>
      <c r="CX23" s="106">
        <f>IF(AJ23="","",IFERROR(AJ23*HSI!$B$18*HSI!$G$18/HSI!$B$3,""))</f>
        <v/>
      </c>
      <c r="CY23" s="106">
        <f>IF(AK23="","",IFERROR(AK23*HSI!$B$18*HSI!$G$18/HSI!$B$3,""))</f>
        <v/>
      </c>
      <c r="CZ23" s="106">
        <f>IF(AL23="","",IFERROR(AL23*HSI!$B$18*HSI!$G$18/HSI!$B$3,""))</f>
        <v/>
      </c>
      <c r="DA23" s="106">
        <f>IF(AM23="","",IFERROR(AM23*HSI!$B$18*HSI!$G$18/HSI!$B$3,""))</f>
        <v/>
      </c>
      <c r="DB23" s="106">
        <f>IF(AN23="","",IFERROR(AN23*HSI!$B$18*HSI!$G$18/HSI!$B$3,""))</f>
        <v/>
      </c>
      <c r="DC23" s="106">
        <f>IF(AO23="","",IFERROR(AO23*HSI!$B$18*HSI!$G$18/HSI!$B$3,""))</f>
        <v/>
      </c>
      <c r="DD23" s="106">
        <f>IF(AP23="","",IFERROR(AP23*HSI!$B$18*HSI!$G$18/HSI!$B$3,""))</f>
        <v/>
      </c>
      <c r="DE23" s="106">
        <f>IF(AQ23="","",IFERROR(AQ23*HSI!$B$18*HSI!$G$18/HSI!$B$3,""))</f>
        <v/>
      </c>
      <c r="DF23" s="106">
        <f>IF(AR23="","",IFERROR(AR23*HSI!$B$18*HSI!$G$18/HSI!$B$3,""))</f>
        <v/>
      </c>
      <c r="DG23" s="106">
        <f>IF(AS23="","",IFERROR(AS23*HSI!$B$18*HSI!$G$18/HSI!$B$3,""))</f>
        <v/>
      </c>
      <c r="DH23" s="106">
        <f>IF(AT23="","",IFERROR(AT23*HSI!$B$18*HSI!$G$18/HSI!$B$3,""))</f>
        <v/>
      </c>
      <c r="DI23" s="106">
        <f>IF(AU23="","",IFERROR(AU23*HSI!$B$18*HSI!$G$18/HSI!$B$3,""))</f>
        <v/>
      </c>
      <c r="DJ23" s="106">
        <f>IF(AV23="","",IFERROR(AV23*HSI!$B$18*HSI!$G$18/HSI!$B$3,""))</f>
        <v/>
      </c>
      <c r="DK23" s="106">
        <f>IF(AW23="","",IFERROR(AW23*HSI!$B$18*HSI!$G$18/HSI!$B$3,""))</f>
        <v/>
      </c>
      <c r="DL23" s="106">
        <f>IF(AX23="","",IFERROR(AX23*HSI!$B$18*HSI!$G$18/HSI!$B$3,""))</f>
        <v/>
      </c>
      <c r="DM23" s="106">
        <f>IF(AY23="","",IFERROR(AY23*HSI!$B$18*HSI!$G$18/HSI!$B$3,""))</f>
        <v/>
      </c>
      <c r="DN23" s="106">
        <f>IF(AZ23="","",IFERROR(AZ23*HSI!$B$18*HSI!$G$18/HSI!$B$3,""))</f>
        <v/>
      </c>
      <c r="DO23" s="106">
        <f>IF(BA23="","",IFERROR(BA23*HSI!$B$18*HSI!$G$18/HSI!$B$3,""))</f>
        <v/>
      </c>
      <c r="DP23" s="106">
        <f>IF(BB23="","",IFERROR(BB23*HSI!$B$18*HSI!$G$18/HSI!$B$3,""))</f>
        <v/>
      </c>
      <c r="DQ23" s="106">
        <f>IF(BC23="","",IFERROR(BC23*HSI!$B$18*HSI!$G$18/HSI!$B$3,""))</f>
        <v/>
      </c>
      <c r="DR23" s="106">
        <f>IF(BD23="","",IFERROR(BD23*HSI!$B$18*HSI!$G$18/HSI!$B$3,""))</f>
        <v/>
      </c>
      <c r="DS23" s="106">
        <f>IF(BE23="","",IFERROR(BE23*HSI!$B$18*HSI!$G$18/HSI!$B$3,""))</f>
        <v/>
      </c>
      <c r="DT23" s="106">
        <f>IF(BF23="","",IFERROR(BF23*HSI!$B$18*HSI!$G$18/HSI!$B$3,""))</f>
        <v/>
      </c>
      <c r="DU23" s="106">
        <f>IF(BG23="","",IFERROR(BG23*HSI!$B$18*HSI!$G$18/HSI!$B$3,""))</f>
        <v/>
      </c>
      <c r="DV23" s="106">
        <f>IF(BH23="","",IFERROR(BH23*HSI!$B$18*HSI!$G$18/HSI!$B$3,""))</f>
        <v/>
      </c>
      <c r="DW23" s="106">
        <f>IF(BI23="","",IFERROR(BI23*HSI!$B$18*HSI!$G$18/HSI!$B$3,""))</f>
        <v/>
      </c>
      <c r="DX23" s="106">
        <f>IF(BJ23="","",IFERROR(BJ23*HSI!$B$18*HSI!$G$18/HSI!$B$3,""))</f>
        <v/>
      </c>
      <c r="DY23" s="106">
        <f>IF(BK23="","",IFERROR(BK23*HSI!$B$18*HSI!$G$18/HSI!$B$3,""))</f>
        <v/>
      </c>
      <c r="DZ23" s="106">
        <f>IF(BL23="","",IFERROR(BL23*HSI!$B$18*HSI!$G$18/HSI!$B$3,""))</f>
        <v/>
      </c>
      <c r="EA23" s="106">
        <f>IF(BM23="","",IFERROR(BM23*HSI!$B$18*HSI!$G$18/HSI!$B$3,""))</f>
        <v/>
      </c>
      <c r="EB23" s="106">
        <f>IF(BN23="","",IFERROR(BN23*HSI!$B$18*HSI!$G$18/HSI!$B$3,""))</f>
        <v/>
      </c>
      <c r="EC23" s="106">
        <f>IF(BO23="","",IFERROR(BO23*HSI!$B$18*HSI!$G$18/HSI!$B$3,""))</f>
        <v/>
      </c>
      <c r="EE23" s="35">
        <f>IF(N('Dvd Calendar'!$E$132)=0,"",IF(('Dvd Calendar'!$E$132&gt;=GRID_FROM)*('Dvd Calendar'!$E$132&lt;=GRID_TO)*('Dvd Calendar'!$E$132&lt;=VAL_DATE)=0,"",'Dvd Calendar'!$E$132*1000000000+ISNUMBER('Dvd Calendar'!$E$135)*100000000+('Dvd Calendar'!$E$137=SPECIAL_LBL)*10000000+0*1000000+12*1000+1))</f>
        <v/>
      </c>
      <c r="EF23" s="35">
        <f>IF(N('Dvd Calendar'!$F$132)=0,"",IF(('Dvd Calendar'!$F$132&gt;=GRID_FROM)*('Dvd Calendar'!$F$132&lt;=GRID_TO)*('Dvd Calendar'!$F$132&lt;=VAL_DATE)=0,"",'Dvd Calendar'!$F$132*1000000000+ISNUMBER('Dvd Calendar'!$F$135)*100000000+('Dvd Calendar'!$F$137=SPECIAL_LBL)*10000000+0*1000000+12*1000+2))</f>
        <v/>
      </c>
      <c r="EG23" s="35">
        <f>IF(N('Dvd Calendar'!$G$132)=0,"",IF(('Dvd Calendar'!$G$132&gt;=GRID_FROM)*('Dvd Calendar'!$G$132&lt;=GRID_TO)*('Dvd Calendar'!$G$132&lt;=VAL_DATE)=0,"",'Dvd Calendar'!$G$132*1000000000+ISNUMBER('Dvd Calendar'!$G$135)*100000000+('Dvd Calendar'!$G$137=SPECIAL_LBL)*10000000+0*1000000+12*1000+3))</f>
        <v/>
      </c>
      <c r="EH23" s="35">
        <f>IF(N('Dvd Calendar'!$H$132)=0,"",IF(('Dvd Calendar'!$H$132&gt;=GRID_FROM)*('Dvd Calendar'!$H$132&lt;=GRID_TO)*('Dvd Calendar'!$H$132&lt;=VAL_DATE)=0,"",'Dvd Calendar'!$H$132*1000000000+ISNUMBER('Dvd Calendar'!$H$135)*100000000+('Dvd Calendar'!$H$137=SPECIAL_LBL)*10000000+0*1000000+12*1000+4))</f>
        <v/>
      </c>
      <c r="EI23" s="35">
        <f>IF(N('Dvd Calendar'!$I$132)=0,"",IF(('Dvd Calendar'!$I$132&gt;=GRID_FROM)*('Dvd Calendar'!$I$132&lt;=GRID_TO)*('Dvd Calendar'!$I$132&lt;=VAL_DATE)=0,"",'Dvd Calendar'!$I$132*1000000000+ISNUMBER('Dvd Calendar'!$I$135)*100000000+('Dvd Calendar'!$I$137=SPECIAL_LBL)*10000000+0*1000000+12*1000+5))</f>
        <v/>
      </c>
      <c r="EJ23" s="35">
        <f>IF(N('Dvd Calendar'!$J$132)=0,"",IF(('Dvd Calendar'!$J$132&gt;=GRID_FROM)*('Dvd Calendar'!$J$132&lt;=GRID_TO)*('Dvd Calendar'!$J$132&lt;=VAL_DATE)=0,"",'Dvd Calendar'!$J$132*1000000000+ISNUMBER('Dvd Calendar'!$J$135)*100000000+('Dvd Calendar'!$J$137=SPECIAL_LBL)*10000000+0*1000000+12*1000+6))</f>
        <v/>
      </c>
      <c r="EK23" s="35">
        <f>IF(N('Dvd Calendar'!$K$132)=0,"",IF(('Dvd Calendar'!$K$132&gt;=GRID_FROM)*('Dvd Calendar'!$K$132&lt;=GRID_TO)*('Dvd Calendar'!$K$132&lt;=VAL_DATE)=0,"",'Dvd Calendar'!$K$132*1000000000+ISNUMBER('Dvd Calendar'!$K$135)*100000000+('Dvd Calendar'!$K$137=SPECIAL_LBL)*10000000+0*1000000+12*1000+7))</f>
        <v/>
      </c>
      <c r="EL23" s="35">
        <f>IF(N('Dvd Calendar'!$L$132)=0,"",IF(('Dvd Calendar'!$L$132&gt;=GRID_FROM)*('Dvd Calendar'!$L$132&lt;=GRID_TO)*('Dvd Calendar'!$L$132&lt;=VAL_DATE)=0,"",'Dvd Calendar'!$L$132*1000000000+ISNUMBER('Dvd Calendar'!$L$135)*100000000+('Dvd Calendar'!$L$137=SPECIAL_LBL)*10000000+0*1000000+12*1000+8))</f>
        <v/>
      </c>
      <c r="EM23" s="35">
        <f>IF(N('Dvd Calendar'!$M$132)=0,"",IF(('Dvd Calendar'!$M$132&gt;=GRID_FROM)*('Dvd Calendar'!$M$132&lt;=GRID_TO)*('Dvd Calendar'!$M$132&lt;=VAL_DATE)=0,"",'Dvd Calendar'!$M$132*1000000000+ISNUMBER('Dvd Calendar'!$M$135)*100000000+('Dvd Calendar'!$M$137=SPECIAL_LBL)*10000000+0*1000000+12*1000+9))</f>
        <v/>
      </c>
      <c r="EN23" s="35">
        <f>IF(N('Dvd Calendar'!$N$132)=0,"",IF(('Dvd Calendar'!$N$132&gt;=GRID_FROM)*('Dvd Calendar'!$N$132&lt;=GRID_TO)*('Dvd Calendar'!$N$132&lt;=VAL_DATE)=0,"",'Dvd Calendar'!$N$132*1000000000+ISNUMBER('Dvd Calendar'!$N$135)*100000000+('Dvd Calendar'!$N$137=SPECIAL_LBL)*10000000+0*1000000+12*1000+10))</f>
        <v/>
      </c>
      <c r="EO23" s="35">
        <f>IF(N('Dvd Calendar'!$O$132)=0,"",IF(('Dvd Calendar'!$O$132&gt;=GRID_FROM)*('Dvd Calendar'!$O$132&lt;=GRID_TO)*('Dvd Calendar'!$O$132&lt;=VAL_DATE)=0,"",'Dvd Calendar'!$O$132*1000000000+ISNUMBER('Dvd Calendar'!$O$135)*100000000+('Dvd Calendar'!$O$137=SPECIAL_LBL)*10000000+0*1000000+12*1000+11))</f>
        <v/>
      </c>
      <c r="EP23" s="35">
        <f>IF(N('Dvd Calendar'!$P$132)=0,"",IF(('Dvd Calendar'!$P$132&gt;=GRID_FROM)*('Dvd Calendar'!$P$132&lt;=GRID_TO)*('Dvd Calendar'!$P$132&lt;=VAL_DATE)=0,"",'Dvd Calendar'!$P$132*1000000000+ISNUMBER('Dvd Calendar'!$P$135)*100000000+('Dvd Calendar'!$P$137=SPECIAL_LBL)*10000000+0*1000000+12*1000+12))</f>
        <v/>
      </c>
      <c r="EQ23" s="35">
        <f>IF(N('Dvd Calendar'!$Q$132)=0,"",IF(('Dvd Calendar'!$Q$132&gt;=GRID_FROM)*('Dvd Calendar'!$Q$132&lt;=GRID_TO)*('Dvd Calendar'!$Q$132&lt;=VAL_DATE)=0,"",'Dvd Calendar'!$Q$132*1000000000+ISNUMBER('Dvd Calendar'!$Q$135)*100000000+('Dvd Calendar'!$Q$137=SPECIAL_LBL)*10000000+0*1000000+12*1000+13))</f>
        <v/>
      </c>
      <c r="ER23" s="35">
        <f>IF(N('Dvd Calendar'!$R$132)=0,"",IF(('Dvd Calendar'!$R$132&gt;=GRID_FROM)*('Dvd Calendar'!$R$132&lt;=GRID_TO)*('Dvd Calendar'!$R$132&lt;=VAL_DATE)=0,"",'Dvd Calendar'!$R$132*1000000000+ISNUMBER('Dvd Calendar'!$R$135)*100000000+('Dvd Calendar'!$R$137=SPECIAL_LBL)*10000000+0*1000000+12*1000+14))</f>
        <v/>
      </c>
      <c r="ES23" s="35">
        <f>IF(N('Dvd Calendar'!$S$132)=0,"",IF(('Dvd Calendar'!$S$132&gt;=GRID_FROM)*('Dvd Calendar'!$S$132&lt;=GRID_TO)*('Dvd Calendar'!$S$132&lt;=VAL_DATE)=0,"",'Dvd Calendar'!$S$132*1000000000+ISNUMBER('Dvd Calendar'!$S$135)*100000000+('Dvd Calendar'!$S$137=SPECIAL_LBL)*10000000+0*1000000+12*1000+15))</f>
        <v/>
      </c>
      <c r="ET23" s="35">
        <f>IF(N('Dvd Calendar'!$T$132)=0,"",IF(('Dvd Calendar'!$T$132&gt;=GRID_FROM)*('Dvd Calendar'!$T$132&lt;=GRID_TO)*('Dvd Calendar'!$T$132&lt;=VAL_DATE)=0,"",'Dvd Calendar'!$T$132*1000000000+ISNUMBER('Dvd Calendar'!$T$135)*100000000+('Dvd Calendar'!$T$137=SPECIAL_LBL)*10000000+0*1000000+12*1000+16))</f>
        <v/>
      </c>
      <c r="EU23" s="35">
        <f>IF(N('Dvd Calendar'!$U$132)=0,"",IF(('Dvd Calendar'!$U$132&gt;=GRID_FROM)*('Dvd Calendar'!$U$132&lt;=GRID_TO)*('Dvd Calendar'!$U$132&lt;=VAL_DATE)=0,"",'Dvd Calendar'!$U$132*1000000000+ISNUMBER('Dvd Calendar'!$U$135)*100000000+('Dvd Calendar'!$U$137=SPECIAL_LBL)*10000000+0*1000000+12*1000+17))</f>
        <v/>
      </c>
      <c r="EV23" s="35">
        <f>IF(N('Dvd Calendar'!$V$132)=0,"",IF(('Dvd Calendar'!$V$132&gt;=GRID_FROM)*('Dvd Calendar'!$V$132&lt;=GRID_TO)*('Dvd Calendar'!$V$132&lt;=VAL_DATE)=0,"",'Dvd Calendar'!$V$132*1000000000+ISNUMBER('Dvd Calendar'!$V$135)*100000000+('Dvd Calendar'!$V$137=SPECIAL_LBL)*10000000+0*1000000+12*1000+18))</f>
        <v/>
      </c>
      <c r="EW23" s="35">
        <f>IF(N('Dvd Calendar'!$W$132)=0,"",IF(('Dvd Calendar'!$W$132&gt;=GRID_FROM)*('Dvd Calendar'!$W$132&lt;=GRID_TO)*('Dvd Calendar'!$W$132&lt;=VAL_DATE)=0,"",'Dvd Calendar'!$W$132*1000000000+ISNUMBER('Dvd Calendar'!$W$135)*100000000+('Dvd Calendar'!$W$137=SPECIAL_LBL)*10000000+0*1000000+12*1000+19))</f>
        <v/>
      </c>
      <c r="EX23" s="35">
        <f>IF(N('Dvd Calendar'!$X$132)=0,"",IF(('Dvd Calendar'!$X$132&gt;=GRID_FROM)*('Dvd Calendar'!$X$132&lt;=GRID_TO)*('Dvd Calendar'!$X$132&lt;=VAL_DATE)=0,"",'Dvd Calendar'!$X$132*1000000000+ISNUMBER('Dvd Calendar'!$X$135)*100000000+('Dvd Calendar'!$X$137=SPECIAL_LBL)*10000000+0*1000000+12*1000+20))</f>
        <v/>
      </c>
      <c r="EY23" s="35">
        <f>IF(N('Dvd Calendar'!$Y$132)=0,"",IF(('Dvd Calendar'!$Y$132&gt;=GRID_FROM)*('Dvd Calendar'!$Y$132&lt;=GRID_TO)*('Dvd Calendar'!$Y$132&lt;=VAL_DATE)=0,"",'Dvd Calendar'!$Y$132*1000000000+ISNUMBER('Dvd Calendar'!$Y$135)*100000000+('Dvd Calendar'!$Y$137=SPECIAL_LBL)*10000000+0*1000000+12*1000+21))</f>
        <v/>
      </c>
      <c r="EZ23" s="35">
        <f>IF(N('Dvd Calendar'!$Z$132)=0,"",IF(('Dvd Calendar'!$Z$132&gt;=GRID_FROM)*('Dvd Calendar'!$Z$132&lt;=GRID_TO)*('Dvd Calendar'!$Z$132&lt;=VAL_DATE)=0,"",'Dvd Calendar'!$Z$132*1000000000+ISNUMBER('Dvd Calendar'!$Z$135)*100000000+('Dvd Calendar'!$Z$137=SPECIAL_LBL)*10000000+0*1000000+12*1000+22))</f>
        <v/>
      </c>
      <c r="FA23" s="35">
        <f>IF(N('Dvd Calendar'!$AA$132)=0,"",IF(('Dvd Calendar'!$AA$132&gt;=GRID_FROM)*('Dvd Calendar'!$AA$132&lt;=GRID_TO)*('Dvd Calendar'!$AA$132&lt;=VAL_DATE)=0,"",'Dvd Calendar'!$AA$132*1000000000+ISNUMBER('Dvd Calendar'!$AA$135)*100000000+('Dvd Calendar'!$AA$137=SPECIAL_LBL)*10000000+0*1000000+12*1000+23))</f>
        <v/>
      </c>
      <c r="FB23" s="35">
        <f>IF(N('Dvd Calendar'!$AB$132)=0,"",IF(('Dvd Calendar'!$AB$132&gt;=GRID_FROM)*('Dvd Calendar'!$AB$132&lt;=GRID_TO)*('Dvd Calendar'!$AB$132&lt;=VAL_DATE)=0,"",'Dvd Calendar'!$AB$132*1000000000+ISNUMBER('Dvd Calendar'!$AB$135)*100000000+('Dvd Calendar'!$AB$137=SPECIAL_LBL)*10000000+0*1000000+12*1000+24))</f>
        <v/>
      </c>
      <c r="FC23" s="35">
        <f>IF(N('Dvd Calendar'!$AC$132)=0,"",IF(('Dvd Calendar'!$AC$132&gt;=GRID_FROM)*('Dvd Calendar'!$AC$132&lt;=GRID_TO)*('Dvd Calendar'!$AC$132&lt;=VAL_DATE)=0,"",'Dvd Calendar'!$AC$132*1000000000+ISNUMBER('Dvd Calendar'!$AC$135)*100000000+('Dvd Calendar'!$AC$137=SPECIAL_LBL)*10000000+0*1000000+12*1000+25))</f>
        <v/>
      </c>
      <c r="FD23" s="35">
        <f>IF(N('Dvd Calendar'!$AD$132)=0,"",IF(('Dvd Calendar'!$AD$132&gt;=GRID_FROM)*('Dvd Calendar'!$AD$132&lt;=GRID_TO)*('Dvd Calendar'!$AD$132&lt;=VAL_DATE)=0,"",'Dvd Calendar'!$AD$132*1000000000+ISNUMBER('Dvd Calendar'!$AD$135)*100000000+('Dvd Calendar'!$AD$137=SPECIAL_LBL)*10000000+0*1000000+12*1000+26))</f>
        <v/>
      </c>
      <c r="FE23" s="35">
        <f>IF(N('Dvd Calendar'!$AE$132)=0,"",IF(('Dvd Calendar'!$AE$132&gt;=GRID_FROM)*('Dvd Calendar'!$AE$132&lt;=GRID_TO)*('Dvd Calendar'!$AE$132&lt;=VAL_DATE)=0,"",'Dvd Calendar'!$AE$132*1000000000+ISNUMBER('Dvd Calendar'!$AE$135)*100000000+('Dvd Calendar'!$AE$137=SPECIAL_LBL)*10000000+0*1000000+12*1000+27))</f>
        <v/>
      </c>
      <c r="FF23" s="35">
        <f>IF(N('Dvd Calendar'!$AF$132)=0,"",IF(('Dvd Calendar'!$AF$132&gt;=GRID_FROM)*('Dvd Calendar'!$AF$132&lt;=GRID_TO)*('Dvd Calendar'!$AF$132&lt;=VAL_DATE)=0,"",'Dvd Calendar'!$AF$132*1000000000+ISNUMBER('Dvd Calendar'!$AF$135)*100000000+('Dvd Calendar'!$AF$137=SPECIAL_LBL)*10000000+0*1000000+12*1000+28))</f>
        <v/>
      </c>
      <c r="FG23" s="35">
        <f>IF(N('Dvd Calendar'!$AG$132)=0,"",IF(('Dvd Calendar'!$AG$132&gt;=GRID_FROM)*('Dvd Calendar'!$AG$132&lt;=GRID_TO)*('Dvd Calendar'!$AG$132&lt;=VAL_DATE)=0,"",'Dvd Calendar'!$AG$132*1000000000+ISNUMBER('Dvd Calendar'!$AG$135)*100000000+('Dvd Calendar'!$AG$137=SPECIAL_LBL)*10000000+0*1000000+12*1000+29))</f>
        <v/>
      </c>
      <c r="FH23" s="35">
        <f>IF(N('Dvd Calendar'!$AH$132)=0,"",IF(('Dvd Calendar'!$AH$132&gt;=GRID_FROM)*('Dvd Calendar'!$AH$132&lt;=GRID_TO)*('Dvd Calendar'!$AH$132&lt;=VAL_DATE)=0,"",'Dvd Calendar'!$AH$132*1000000000+ISNUMBER('Dvd Calendar'!$AH$135)*100000000+('Dvd Calendar'!$AH$137=SPECIAL_LBL)*10000000+0*1000000+12*1000+30))</f>
        <v/>
      </c>
      <c r="FI23" s="35">
        <f>IF(N('Dvd Calendar'!$AI$132)=0,"",IF(('Dvd Calendar'!$AI$132&gt;=GRID_FROM)*('Dvd Calendar'!$AI$132&lt;=GRID_TO)*('Dvd Calendar'!$AI$132&lt;=VAL_DATE)=0,"",'Dvd Calendar'!$AI$132*1000000000+ISNUMBER('Dvd Calendar'!$AI$135)*100000000+('Dvd Calendar'!$AI$137=SPECIAL_LBL)*10000000+0*1000000+12*1000+31))</f>
        <v/>
      </c>
      <c r="FJ23" s="35">
        <f>IF(N('Dvd Calendar'!$AJ$132)=0,"",IF(('Dvd Calendar'!$AJ$132&gt;=GRID_FROM)*('Dvd Calendar'!$AJ$132&lt;=GRID_TO)*('Dvd Calendar'!$AJ$132&lt;=VAL_DATE)=0,"",'Dvd Calendar'!$AJ$132*1000000000+ISNUMBER('Dvd Calendar'!$AJ$135)*100000000+('Dvd Calendar'!$AJ$137=SPECIAL_LBL)*10000000+0*1000000+12*1000+32))</f>
        <v/>
      </c>
      <c r="FK23" s="35">
        <f>IF(N('Dvd Calendar'!$AK$132)=0,"",IF(('Dvd Calendar'!$AK$132&gt;=GRID_FROM)*('Dvd Calendar'!$AK$132&lt;=GRID_TO)*('Dvd Calendar'!$AK$132&lt;=VAL_DATE)=0,"",'Dvd Calendar'!$AK$132*1000000000+ISNUMBER('Dvd Calendar'!$AK$135)*100000000+('Dvd Calendar'!$AK$137=SPECIAL_LBL)*10000000+0*1000000+12*1000+33))</f>
        <v/>
      </c>
      <c r="FL23" s="35">
        <f>IF(N('Dvd Calendar'!$AL$132)=0,"",IF(('Dvd Calendar'!$AL$132&gt;=GRID_FROM)*('Dvd Calendar'!$AL$132&lt;=GRID_TO)*('Dvd Calendar'!$AL$132&lt;=VAL_DATE)=0,"",'Dvd Calendar'!$AL$132*1000000000+ISNUMBER('Dvd Calendar'!$AL$135)*100000000+('Dvd Calendar'!$AL$137=SPECIAL_LBL)*10000000+0*1000000+12*1000+34))</f>
        <v/>
      </c>
      <c r="FM23" s="35">
        <f>IF(N('Dvd Calendar'!$AM$132)=0,"",IF(('Dvd Calendar'!$AM$132&gt;=GRID_FROM)*('Dvd Calendar'!$AM$132&lt;=GRID_TO)*('Dvd Calendar'!$AM$132&lt;=VAL_DATE)=0,"",'Dvd Calendar'!$AM$132*1000000000+ISNUMBER('Dvd Calendar'!$AM$135)*100000000+('Dvd Calendar'!$AM$137=SPECIAL_LBL)*10000000+0*1000000+12*1000+35))</f>
        <v/>
      </c>
      <c r="FN23" s="35">
        <f>IF(N('Dvd Calendar'!$AN$132)=0,"",IF(('Dvd Calendar'!$AN$132&gt;=GRID_FROM)*('Dvd Calendar'!$AN$132&lt;=GRID_TO)*('Dvd Calendar'!$AN$132&lt;=VAL_DATE)=0,"",'Dvd Calendar'!$AN$132*1000000000+ISNUMBER('Dvd Calendar'!$AN$135)*100000000+('Dvd Calendar'!$AN$137=SPECIAL_LBL)*10000000+0*1000000+12*1000+36))</f>
        <v/>
      </c>
      <c r="FO23" s="35">
        <f>IF(N('Dvd Calendar'!$AO$132)=0,"",IF(('Dvd Calendar'!$AO$132&gt;=GRID_FROM)*('Dvd Calendar'!$AO$132&lt;=GRID_TO)*('Dvd Calendar'!$AO$132&lt;=VAL_DATE)=0,"",'Dvd Calendar'!$AO$132*1000000000+ISNUMBER('Dvd Calendar'!$AO$135)*100000000+('Dvd Calendar'!$AO$137=SPECIAL_LBL)*10000000+0*1000000+12*1000+37))</f>
        <v/>
      </c>
      <c r="FP23" s="35">
        <f>IF(N('Dvd Calendar'!$AP$132)=0,"",IF(('Dvd Calendar'!$AP$132&gt;=GRID_FROM)*('Dvd Calendar'!$AP$132&lt;=GRID_TO)*('Dvd Calendar'!$AP$132&lt;=VAL_DATE)=0,"",'Dvd Calendar'!$AP$132*1000000000+ISNUMBER('Dvd Calendar'!$AP$135)*100000000+('Dvd Calendar'!$AP$137=SPECIAL_LBL)*10000000+0*1000000+12*1000+38))</f>
        <v/>
      </c>
      <c r="FQ23" s="35">
        <f>IF(N('Dvd Calendar'!$AQ$132)=0,"",IF(('Dvd Calendar'!$AQ$132&gt;=GRID_FROM)*('Dvd Calendar'!$AQ$132&lt;=GRID_TO)*('Dvd Calendar'!$AQ$132&lt;=VAL_DATE)=0,"",'Dvd Calendar'!$AQ$132*1000000000+ISNUMBER('Dvd Calendar'!$AQ$135)*100000000+('Dvd Calendar'!$AQ$137=SPECIAL_LBL)*10000000+0*1000000+12*1000+39))</f>
        <v/>
      </c>
      <c r="FR23" s="35">
        <f>IF(N('Dvd Calendar'!$AR$132)=0,"",IF(('Dvd Calendar'!$AR$132&gt;=GRID_FROM)*('Dvd Calendar'!$AR$132&lt;=GRID_TO)*('Dvd Calendar'!$AR$132&lt;=VAL_DATE)=0,"",'Dvd Calendar'!$AR$132*1000000000+ISNUMBER('Dvd Calendar'!$AR$135)*100000000+('Dvd Calendar'!$AR$137=SPECIAL_LBL)*10000000+0*1000000+12*1000+40))</f>
        <v/>
      </c>
      <c r="FS23" s="35">
        <f>IF(N('Dvd Calendar'!$E$139)=0,"",IF(('Dvd Calendar'!$E$139&gt;=GRID_FROM)*('Dvd Calendar'!$E$139&lt;=GRID_TO)*('Dvd Calendar'!$E$139&gt;VAL_DATE)=0,"",'Dvd Calendar'!$E$139*1000000000+ISNUMBER('Dvd Calendar'!$E$140)*100000000+0*10000000+(N('Dvd Calendar'!$E$138)&gt;0)*(N('Dvd Calendar'!$E$138)&lt;=VAL_SERIAL)*1000000+12*1000+41))</f>
        <v/>
      </c>
      <c r="FT23" s="35">
        <f>IF(N('Dvd Calendar'!$F$139)=0,"",IF(('Dvd Calendar'!$F$139&gt;=GRID_FROM)*('Dvd Calendar'!$F$139&lt;=GRID_TO)*('Dvd Calendar'!$F$139&gt;VAL_DATE)=0,"",'Dvd Calendar'!$F$139*1000000000+ISNUMBER('Dvd Calendar'!$F$140)*100000000+0*10000000+(N('Dvd Calendar'!$F$138)&gt;0)*(N('Dvd Calendar'!$F$138)&lt;=VAL_SERIAL)*1000000+12*1000+42))</f>
        <v/>
      </c>
      <c r="FU23" s="35">
        <f>IF(N('Dvd Calendar'!$G$139)=0,"",IF(('Dvd Calendar'!$G$139&gt;=GRID_FROM)*('Dvd Calendar'!$G$139&lt;=GRID_TO)*('Dvd Calendar'!$G$139&gt;VAL_DATE)=0,"",'Dvd Calendar'!$G$139*1000000000+ISNUMBER('Dvd Calendar'!$G$140)*100000000+0*10000000+(N('Dvd Calendar'!$G$138)&gt;0)*(N('Dvd Calendar'!$G$138)&lt;=VAL_SERIAL)*1000000+12*1000+43))</f>
        <v/>
      </c>
      <c r="FV23" s="35">
        <f>IF(N('Dvd Calendar'!$H$139)=0,"",IF(('Dvd Calendar'!$H$139&gt;=GRID_FROM)*('Dvd Calendar'!$H$139&lt;=GRID_TO)*('Dvd Calendar'!$H$139&gt;VAL_DATE)=0,"",'Dvd Calendar'!$H$139*1000000000+ISNUMBER('Dvd Calendar'!$H$140)*100000000+0*10000000+(N('Dvd Calendar'!$H$138)&gt;0)*(N('Dvd Calendar'!$H$138)&lt;=VAL_SERIAL)*1000000+12*1000+44))</f>
        <v/>
      </c>
      <c r="FW23" s="35">
        <f>IF(N('Dvd Calendar'!$I$139)=0,"",IF(('Dvd Calendar'!$I$139&gt;=GRID_FROM)*('Dvd Calendar'!$I$139&lt;=GRID_TO)*('Dvd Calendar'!$I$139&gt;VAL_DATE)=0,"",'Dvd Calendar'!$I$139*1000000000+ISNUMBER('Dvd Calendar'!$I$140)*100000000+0*10000000+(N('Dvd Calendar'!$I$138)&gt;0)*(N('Dvd Calendar'!$I$138)&lt;=VAL_SERIAL)*1000000+12*1000+45))</f>
        <v/>
      </c>
      <c r="FX23" s="35">
        <f>IF(N('Dvd Calendar'!$J$139)=0,"",IF(('Dvd Calendar'!$J$139&gt;=GRID_FROM)*('Dvd Calendar'!$J$139&lt;=GRID_TO)*('Dvd Calendar'!$J$139&gt;VAL_DATE)=0,"",'Dvd Calendar'!$J$139*1000000000+ISNUMBER('Dvd Calendar'!$J$140)*100000000+0*10000000+(N('Dvd Calendar'!$J$138)&gt;0)*(N('Dvd Calendar'!$J$138)&lt;=VAL_SERIAL)*1000000+12*1000+46))</f>
        <v/>
      </c>
      <c r="FY23" s="35">
        <f>IF(N('Dvd Calendar'!$K$139)=0,"",IF(('Dvd Calendar'!$K$139&gt;=GRID_FROM)*('Dvd Calendar'!$K$139&lt;=GRID_TO)*('Dvd Calendar'!$K$139&gt;VAL_DATE)=0,"",'Dvd Calendar'!$K$139*1000000000+ISNUMBER('Dvd Calendar'!$K$140)*100000000+0*10000000+(N('Dvd Calendar'!$K$138)&gt;0)*(N('Dvd Calendar'!$K$138)&lt;=VAL_SERIAL)*1000000+12*1000+47))</f>
        <v/>
      </c>
      <c r="FZ23" s="35">
        <f>IF(N('Dvd Calendar'!$L$139)=0,"",IF(('Dvd Calendar'!$L$139&gt;=GRID_FROM)*('Dvd Calendar'!$L$139&lt;=GRID_TO)*('Dvd Calendar'!$L$139&gt;VAL_DATE)=0,"",'Dvd Calendar'!$L$139*1000000000+ISNUMBER('Dvd Calendar'!$L$140)*100000000+0*10000000+(N('Dvd Calendar'!$L$138)&gt;0)*(N('Dvd Calendar'!$L$138)&lt;=VAL_SERIAL)*1000000+12*1000+48))</f>
        <v/>
      </c>
      <c r="GA23" s="35">
        <f>IF(N('Dvd Calendar'!$M$139)=0,"",IF(('Dvd Calendar'!$M$139&gt;=GRID_FROM)*('Dvd Calendar'!$M$139&lt;=GRID_TO)*('Dvd Calendar'!$M$139&gt;VAL_DATE)=0,"",'Dvd Calendar'!$M$139*1000000000+ISNUMBER('Dvd Calendar'!$M$140)*100000000+0*10000000+(N('Dvd Calendar'!$M$138)&gt;0)*(N('Dvd Calendar'!$M$138)&lt;=VAL_SERIAL)*1000000+12*1000+49))</f>
        <v/>
      </c>
      <c r="GB23" s="35">
        <f>IF(N('Dvd Calendar'!$N$139)=0,"",IF(('Dvd Calendar'!$N$139&gt;=GRID_FROM)*('Dvd Calendar'!$N$139&lt;=GRID_TO)*('Dvd Calendar'!$N$139&gt;VAL_DATE)=0,"",'Dvd Calendar'!$N$139*1000000000+ISNUMBER('Dvd Calendar'!$N$140)*100000000+0*10000000+(N('Dvd Calendar'!$N$138)&gt;0)*(N('Dvd Calendar'!$N$138)&lt;=VAL_SERIAL)*1000000+12*1000+50))</f>
        <v/>
      </c>
      <c r="GC23" s="35">
        <f>IF(N('Dvd Calendar'!$O$139)=0,"",IF(('Dvd Calendar'!$O$139&gt;=GRID_FROM)*('Dvd Calendar'!$O$139&lt;=GRID_TO)*('Dvd Calendar'!$O$139&gt;VAL_DATE)=0,"",'Dvd Calendar'!$O$139*1000000000+ISNUMBER('Dvd Calendar'!$O$140)*100000000+0*10000000+(N('Dvd Calendar'!$O$138)&gt;0)*(N('Dvd Calendar'!$O$138)&lt;=VAL_SERIAL)*1000000+12*1000+51))</f>
        <v/>
      </c>
      <c r="GD23" s="35">
        <f>IF(N('Dvd Calendar'!$P$139)=0,"",IF(('Dvd Calendar'!$P$139&gt;=GRID_FROM)*('Dvd Calendar'!$P$139&lt;=GRID_TO)*('Dvd Calendar'!$P$139&gt;VAL_DATE)=0,"",'Dvd Calendar'!$P$139*1000000000+ISNUMBER('Dvd Calendar'!$P$140)*100000000+0*10000000+(N('Dvd Calendar'!$P$138)&gt;0)*(N('Dvd Calendar'!$P$138)&lt;=VAL_SERIAL)*1000000+12*1000+52))</f>
        <v/>
      </c>
      <c r="GE23" s="35">
        <f>IF(N('Dvd Calendar'!$Q$139)=0,"",IF(('Dvd Calendar'!$Q$139&gt;=GRID_FROM)*('Dvd Calendar'!$Q$139&lt;=GRID_TO)*('Dvd Calendar'!$Q$139&gt;VAL_DATE)=0,"",'Dvd Calendar'!$Q$139*1000000000+ISNUMBER('Dvd Calendar'!$Q$140)*100000000+0*10000000+(N('Dvd Calendar'!$Q$138)&gt;0)*(N('Dvd Calendar'!$Q$138)&lt;=VAL_SERIAL)*1000000+12*1000+53))</f>
        <v/>
      </c>
      <c r="GF23" s="35">
        <f>IF(N('Dvd Calendar'!$R$139)=0,"",IF(('Dvd Calendar'!$R$139&gt;=GRID_FROM)*('Dvd Calendar'!$R$139&lt;=GRID_TO)*('Dvd Calendar'!$R$139&gt;VAL_DATE)=0,"",'Dvd Calendar'!$R$139*1000000000+ISNUMBER('Dvd Calendar'!$R$140)*100000000+0*10000000+(N('Dvd Calendar'!$R$138)&gt;0)*(N('Dvd Calendar'!$R$138)&lt;=VAL_SERIAL)*1000000+12*1000+54))</f>
        <v/>
      </c>
      <c r="GG23" s="35">
        <f>IF(N('Dvd Calendar'!$S$139)=0,"",IF(('Dvd Calendar'!$S$139&gt;=GRID_FROM)*('Dvd Calendar'!$S$139&lt;=GRID_TO)*('Dvd Calendar'!$S$139&gt;VAL_DATE)=0,"",'Dvd Calendar'!$S$139*1000000000+ISNUMBER('Dvd Calendar'!$S$140)*100000000+0*10000000+(N('Dvd Calendar'!$S$138)&gt;0)*(N('Dvd Calendar'!$S$138)&lt;=VAL_SERIAL)*1000000+12*1000+55))</f>
        <v/>
      </c>
      <c r="GH23" s="35">
        <f>IF(N('Dvd Calendar'!$T$139)=0,"",IF(('Dvd Calendar'!$T$139&gt;=GRID_FROM)*('Dvd Calendar'!$T$139&lt;=GRID_TO)*('Dvd Calendar'!$T$139&gt;VAL_DATE)=0,"",'Dvd Calendar'!$T$139*1000000000+ISNUMBER('Dvd Calendar'!$T$140)*100000000+0*10000000+(N('Dvd Calendar'!$T$138)&gt;0)*(N('Dvd Calendar'!$T$138)&lt;=VAL_SERIAL)*1000000+12*1000+56))</f>
        <v/>
      </c>
      <c r="GI23" s="35">
        <f>IF(N('Dvd Calendar'!$U$139)=0,"",IF(('Dvd Calendar'!$U$139&gt;=GRID_FROM)*('Dvd Calendar'!$U$139&lt;=GRID_TO)*('Dvd Calendar'!$U$139&gt;VAL_DATE)=0,"",'Dvd Calendar'!$U$139*1000000000+ISNUMBER('Dvd Calendar'!$U$140)*100000000+0*10000000+(N('Dvd Calendar'!$U$138)&gt;0)*(N('Dvd Calendar'!$U$138)&lt;=VAL_SERIAL)*1000000+12*1000+57))</f>
        <v/>
      </c>
      <c r="GJ23" s="35">
        <f>IF(N('Dvd Calendar'!$V$139)=0,"",IF(('Dvd Calendar'!$V$139&gt;=GRID_FROM)*('Dvd Calendar'!$V$139&lt;=GRID_TO)*('Dvd Calendar'!$V$139&gt;VAL_DATE)=0,"",'Dvd Calendar'!$V$139*1000000000+ISNUMBER('Dvd Calendar'!$V$140)*100000000+0*10000000+(N('Dvd Calendar'!$V$138)&gt;0)*(N('Dvd Calendar'!$V$138)&lt;=VAL_SERIAL)*1000000+12*1000+58))</f>
        <v/>
      </c>
      <c r="GK23" s="35">
        <f>IF(N('Dvd Calendar'!$W$139)=0,"",IF(('Dvd Calendar'!$W$139&gt;=GRID_FROM)*('Dvd Calendar'!$W$139&lt;=GRID_TO)*('Dvd Calendar'!$W$139&gt;VAL_DATE)=0,"",'Dvd Calendar'!$W$139*1000000000+ISNUMBER('Dvd Calendar'!$W$140)*100000000+0*10000000+(N('Dvd Calendar'!$W$138)&gt;0)*(N('Dvd Calendar'!$W$138)&lt;=VAL_SERIAL)*1000000+12*1000+59))</f>
        <v/>
      </c>
      <c r="GL23" s="35">
        <f>IF(N('Dvd Calendar'!$X$139)=0,"",IF(('Dvd Calendar'!$X$139&gt;=GRID_FROM)*('Dvd Calendar'!$X$139&lt;=GRID_TO)*('Dvd Calendar'!$X$139&gt;VAL_DATE)=0,"",'Dvd Calendar'!$X$139*1000000000+ISNUMBER('Dvd Calendar'!$X$140)*100000000+0*10000000+(N('Dvd Calendar'!$X$138)&gt;0)*(N('Dvd Calendar'!$X$138)&lt;=VAL_SERIAL)*1000000+12*1000+60))</f>
        <v/>
      </c>
      <c r="GM23" s="35">
        <f>IF(N('Dvd Calendar'!$Y$139)=0,"",IF(('Dvd Calendar'!$Y$139&gt;=GRID_FROM)*('Dvd Calendar'!$Y$139&lt;=GRID_TO)*('Dvd Calendar'!$Y$139&gt;VAL_DATE)=0,"",'Dvd Calendar'!$Y$139*1000000000+ISNUMBER('Dvd Calendar'!$Y$140)*100000000+0*10000000+(N('Dvd Calendar'!$Y$138)&gt;0)*(N('Dvd Calendar'!$Y$138)&lt;=VAL_SERIAL)*1000000+12*1000+61))</f>
        <v/>
      </c>
      <c r="GN23" s="35">
        <f>IF(N('Dvd Calendar'!$Z$139)=0,"",IF(('Dvd Calendar'!$Z$139&gt;=GRID_FROM)*('Dvd Calendar'!$Z$139&lt;=GRID_TO)*('Dvd Calendar'!$Z$139&gt;VAL_DATE)=0,"",'Dvd Calendar'!$Z$139*1000000000+ISNUMBER('Dvd Calendar'!$Z$140)*100000000+0*10000000+(N('Dvd Calendar'!$Z$138)&gt;0)*(N('Dvd Calendar'!$Z$138)&lt;=VAL_SERIAL)*1000000+12*1000+62))</f>
        <v/>
      </c>
      <c r="GO23" s="35">
        <f>IF(N('Dvd Calendar'!$AA$139)=0,"",IF(('Dvd Calendar'!$AA$139&gt;=GRID_FROM)*('Dvd Calendar'!$AA$139&lt;=GRID_TO)*('Dvd Calendar'!$AA$139&gt;VAL_DATE)=0,"",'Dvd Calendar'!$AA$139*1000000000+ISNUMBER('Dvd Calendar'!$AA$140)*100000000+0*10000000+(N('Dvd Calendar'!$AA$138)&gt;0)*(N('Dvd Calendar'!$AA$138)&lt;=VAL_SERIAL)*1000000+12*1000+63))</f>
        <v/>
      </c>
      <c r="GP23" s="35">
        <f>IF(N('Dvd Calendar'!$AB$139)=0,"",IF(('Dvd Calendar'!$AB$139&gt;=GRID_FROM)*('Dvd Calendar'!$AB$139&lt;=GRID_TO)*('Dvd Calendar'!$AB$139&gt;VAL_DATE)=0,"",'Dvd Calendar'!$AB$139*1000000000+ISNUMBER('Dvd Calendar'!$AB$140)*100000000+0*10000000+(N('Dvd Calendar'!$AB$138)&gt;0)*(N('Dvd Calendar'!$AB$138)&lt;=VAL_SERIAL)*1000000+12*1000+64))</f>
        <v/>
      </c>
      <c r="GQ23" s="35">
        <f>IF(N('Dvd Calendar'!$AC$139)=0,"",IF(('Dvd Calendar'!$AC$139&gt;=GRID_FROM)*('Dvd Calendar'!$AC$139&lt;=GRID_TO)*('Dvd Calendar'!$AC$139&gt;VAL_DATE)=0,"",'Dvd Calendar'!$AC$139*1000000000+ISNUMBER('Dvd Calendar'!$AC$140)*100000000+0*10000000+(N('Dvd Calendar'!$AC$138)&gt;0)*(N('Dvd Calendar'!$AC$138)&lt;=VAL_SERIAL)*1000000+12*1000+65))</f>
        <v/>
      </c>
    </row>
    <row r="24">
      <c r="B24" s="2">
        <f>IF(HSI!$C$19="","",HSI!$C$19)</f>
        <v/>
      </c>
      <c r="C24" s="106">
        <f>IF(EE24="","",IF(ISNUMBER('Dvd Calendar'!$E$146)=FALSE,"",IF((('Dvd Calendar'!$E$148=TYPE1)*(TYPE1&lt;&gt;"")+('Dvd Calendar'!$E$148=TYPE2)*(TYPE2&lt;&gt;"")+('Dvd Calendar'!$E$148=TYPE3)*(TYPE3&lt;&gt;"")+('Dvd Calendar'!$E$148=TYPE4)*(TYPE4&lt;&gt;"")+('Dvd Calendar'!$E$148=SPECIAL_LBL)*(INC_SPECIALS="Y"))=0,"",'Dvd Calendar'!$E$146)))</f>
        <v/>
      </c>
      <c r="D24" s="106">
        <f>IF(EF24="","",IF(ISNUMBER('Dvd Calendar'!$F$146)=FALSE,"",IF((('Dvd Calendar'!$F$148=TYPE1)*(TYPE1&lt;&gt;"")+('Dvd Calendar'!$F$148=TYPE2)*(TYPE2&lt;&gt;"")+('Dvd Calendar'!$F$148=TYPE3)*(TYPE3&lt;&gt;"")+('Dvd Calendar'!$F$148=TYPE4)*(TYPE4&lt;&gt;"")+('Dvd Calendar'!$F$148=SPECIAL_LBL)*(INC_SPECIALS="Y"))=0,"",'Dvd Calendar'!$F$146)))</f>
        <v/>
      </c>
      <c r="E24" s="106">
        <f>IF(EG24="","",IF(ISNUMBER('Dvd Calendar'!$G$146)=FALSE,"",IF((('Dvd Calendar'!$G$148=TYPE1)*(TYPE1&lt;&gt;"")+('Dvd Calendar'!$G$148=TYPE2)*(TYPE2&lt;&gt;"")+('Dvd Calendar'!$G$148=TYPE3)*(TYPE3&lt;&gt;"")+('Dvd Calendar'!$G$148=TYPE4)*(TYPE4&lt;&gt;"")+('Dvd Calendar'!$G$148=SPECIAL_LBL)*(INC_SPECIALS="Y"))=0,"",'Dvd Calendar'!$G$146)))</f>
        <v/>
      </c>
      <c r="F24" s="106">
        <f>IF(EH24="","",IF(ISNUMBER('Dvd Calendar'!$H$146)=FALSE,"",IF((('Dvd Calendar'!$H$148=TYPE1)*(TYPE1&lt;&gt;"")+('Dvd Calendar'!$H$148=TYPE2)*(TYPE2&lt;&gt;"")+('Dvd Calendar'!$H$148=TYPE3)*(TYPE3&lt;&gt;"")+('Dvd Calendar'!$H$148=TYPE4)*(TYPE4&lt;&gt;"")+('Dvd Calendar'!$H$148=SPECIAL_LBL)*(INC_SPECIALS="Y"))=0,"",'Dvd Calendar'!$H$146)))</f>
        <v/>
      </c>
      <c r="G24" s="106">
        <f>IF(EI24="","",IF(ISNUMBER('Dvd Calendar'!$I$146)=FALSE,"",IF((('Dvd Calendar'!$I$148=TYPE1)*(TYPE1&lt;&gt;"")+('Dvd Calendar'!$I$148=TYPE2)*(TYPE2&lt;&gt;"")+('Dvd Calendar'!$I$148=TYPE3)*(TYPE3&lt;&gt;"")+('Dvd Calendar'!$I$148=TYPE4)*(TYPE4&lt;&gt;"")+('Dvd Calendar'!$I$148=SPECIAL_LBL)*(INC_SPECIALS="Y"))=0,"",'Dvd Calendar'!$I$146)))</f>
        <v/>
      </c>
      <c r="H24" s="106">
        <f>IF(EJ24="","",IF(ISNUMBER('Dvd Calendar'!$J$146)=FALSE,"",IF((('Dvd Calendar'!$J$148=TYPE1)*(TYPE1&lt;&gt;"")+('Dvd Calendar'!$J$148=TYPE2)*(TYPE2&lt;&gt;"")+('Dvd Calendar'!$J$148=TYPE3)*(TYPE3&lt;&gt;"")+('Dvd Calendar'!$J$148=TYPE4)*(TYPE4&lt;&gt;"")+('Dvd Calendar'!$J$148=SPECIAL_LBL)*(INC_SPECIALS="Y"))=0,"",'Dvd Calendar'!$J$146)))</f>
        <v/>
      </c>
      <c r="I24" s="106">
        <f>IF(EK24="","",IF(ISNUMBER('Dvd Calendar'!$K$146)=FALSE,"",IF((('Dvd Calendar'!$K$148=TYPE1)*(TYPE1&lt;&gt;"")+('Dvd Calendar'!$K$148=TYPE2)*(TYPE2&lt;&gt;"")+('Dvd Calendar'!$K$148=TYPE3)*(TYPE3&lt;&gt;"")+('Dvd Calendar'!$K$148=TYPE4)*(TYPE4&lt;&gt;"")+('Dvd Calendar'!$K$148=SPECIAL_LBL)*(INC_SPECIALS="Y"))=0,"",'Dvd Calendar'!$K$146)))</f>
        <v/>
      </c>
      <c r="J24" s="106">
        <f>IF(EL24="","",IF(ISNUMBER('Dvd Calendar'!$L$146)=FALSE,"",IF((('Dvd Calendar'!$L$148=TYPE1)*(TYPE1&lt;&gt;"")+('Dvd Calendar'!$L$148=TYPE2)*(TYPE2&lt;&gt;"")+('Dvd Calendar'!$L$148=TYPE3)*(TYPE3&lt;&gt;"")+('Dvd Calendar'!$L$148=TYPE4)*(TYPE4&lt;&gt;"")+('Dvd Calendar'!$L$148=SPECIAL_LBL)*(INC_SPECIALS="Y"))=0,"",'Dvd Calendar'!$L$146)))</f>
        <v/>
      </c>
      <c r="K24" s="106">
        <f>IF(EM24="","",IF(ISNUMBER('Dvd Calendar'!$M$146)=FALSE,"",IF((('Dvd Calendar'!$M$148=TYPE1)*(TYPE1&lt;&gt;"")+('Dvd Calendar'!$M$148=TYPE2)*(TYPE2&lt;&gt;"")+('Dvd Calendar'!$M$148=TYPE3)*(TYPE3&lt;&gt;"")+('Dvd Calendar'!$M$148=TYPE4)*(TYPE4&lt;&gt;"")+('Dvd Calendar'!$M$148=SPECIAL_LBL)*(INC_SPECIALS="Y"))=0,"",'Dvd Calendar'!$M$146)))</f>
        <v/>
      </c>
      <c r="L24" s="106">
        <f>IF(EN24="","",IF(ISNUMBER('Dvd Calendar'!$N$146)=FALSE,"",IF((('Dvd Calendar'!$N$148=TYPE1)*(TYPE1&lt;&gt;"")+('Dvd Calendar'!$N$148=TYPE2)*(TYPE2&lt;&gt;"")+('Dvd Calendar'!$N$148=TYPE3)*(TYPE3&lt;&gt;"")+('Dvd Calendar'!$N$148=TYPE4)*(TYPE4&lt;&gt;"")+('Dvd Calendar'!$N$148=SPECIAL_LBL)*(INC_SPECIALS="Y"))=0,"",'Dvd Calendar'!$N$146)))</f>
        <v/>
      </c>
      <c r="M24" s="106">
        <f>IF(EO24="","",IF(ISNUMBER('Dvd Calendar'!$O$146)=FALSE,"",IF((('Dvd Calendar'!$O$148=TYPE1)*(TYPE1&lt;&gt;"")+('Dvd Calendar'!$O$148=TYPE2)*(TYPE2&lt;&gt;"")+('Dvd Calendar'!$O$148=TYPE3)*(TYPE3&lt;&gt;"")+('Dvd Calendar'!$O$148=TYPE4)*(TYPE4&lt;&gt;"")+('Dvd Calendar'!$O$148=SPECIAL_LBL)*(INC_SPECIALS="Y"))=0,"",'Dvd Calendar'!$O$146)))</f>
        <v/>
      </c>
      <c r="N24" s="106">
        <f>IF(EP24="","",IF(ISNUMBER('Dvd Calendar'!$P$146)=FALSE,"",IF((('Dvd Calendar'!$P$148=TYPE1)*(TYPE1&lt;&gt;"")+('Dvd Calendar'!$P$148=TYPE2)*(TYPE2&lt;&gt;"")+('Dvd Calendar'!$P$148=TYPE3)*(TYPE3&lt;&gt;"")+('Dvd Calendar'!$P$148=TYPE4)*(TYPE4&lt;&gt;"")+('Dvd Calendar'!$P$148=SPECIAL_LBL)*(INC_SPECIALS="Y"))=0,"",'Dvd Calendar'!$P$146)))</f>
        <v/>
      </c>
      <c r="O24" s="106">
        <f>IF(EQ24="","",IF(ISNUMBER('Dvd Calendar'!$Q$146)=FALSE,"",IF((('Dvd Calendar'!$Q$148=TYPE1)*(TYPE1&lt;&gt;"")+('Dvd Calendar'!$Q$148=TYPE2)*(TYPE2&lt;&gt;"")+('Dvd Calendar'!$Q$148=TYPE3)*(TYPE3&lt;&gt;"")+('Dvd Calendar'!$Q$148=TYPE4)*(TYPE4&lt;&gt;"")+('Dvd Calendar'!$Q$148=SPECIAL_LBL)*(INC_SPECIALS="Y"))=0,"",'Dvd Calendar'!$Q$146)))</f>
        <v/>
      </c>
      <c r="P24" s="106">
        <f>IF(ER24="","",IF(ISNUMBER('Dvd Calendar'!$R$146)=FALSE,"",IF((('Dvd Calendar'!$R$148=TYPE1)*(TYPE1&lt;&gt;"")+('Dvd Calendar'!$R$148=TYPE2)*(TYPE2&lt;&gt;"")+('Dvd Calendar'!$R$148=TYPE3)*(TYPE3&lt;&gt;"")+('Dvd Calendar'!$R$148=TYPE4)*(TYPE4&lt;&gt;"")+('Dvd Calendar'!$R$148=SPECIAL_LBL)*(INC_SPECIALS="Y"))=0,"",'Dvd Calendar'!$R$146)))</f>
        <v/>
      </c>
      <c r="Q24" s="106">
        <f>IF(ES24="","",IF(ISNUMBER('Dvd Calendar'!$S$146)=FALSE,"",IF((('Dvd Calendar'!$S$148=TYPE1)*(TYPE1&lt;&gt;"")+('Dvd Calendar'!$S$148=TYPE2)*(TYPE2&lt;&gt;"")+('Dvd Calendar'!$S$148=TYPE3)*(TYPE3&lt;&gt;"")+('Dvd Calendar'!$S$148=TYPE4)*(TYPE4&lt;&gt;"")+('Dvd Calendar'!$S$148=SPECIAL_LBL)*(INC_SPECIALS="Y"))=0,"",'Dvd Calendar'!$S$146)))</f>
        <v/>
      </c>
      <c r="R24" s="106">
        <f>IF(ET24="","",IF(ISNUMBER('Dvd Calendar'!$T$146)=FALSE,"",IF((('Dvd Calendar'!$T$148=TYPE1)*(TYPE1&lt;&gt;"")+('Dvd Calendar'!$T$148=TYPE2)*(TYPE2&lt;&gt;"")+('Dvd Calendar'!$T$148=TYPE3)*(TYPE3&lt;&gt;"")+('Dvd Calendar'!$T$148=TYPE4)*(TYPE4&lt;&gt;"")+('Dvd Calendar'!$T$148=SPECIAL_LBL)*(INC_SPECIALS="Y"))=0,"",'Dvd Calendar'!$T$146)))</f>
        <v/>
      </c>
      <c r="S24" s="106">
        <f>IF(EU24="","",IF(ISNUMBER('Dvd Calendar'!$U$146)=FALSE,"",IF((('Dvd Calendar'!$U$148=TYPE1)*(TYPE1&lt;&gt;"")+('Dvd Calendar'!$U$148=TYPE2)*(TYPE2&lt;&gt;"")+('Dvd Calendar'!$U$148=TYPE3)*(TYPE3&lt;&gt;"")+('Dvd Calendar'!$U$148=TYPE4)*(TYPE4&lt;&gt;"")+('Dvd Calendar'!$U$148=SPECIAL_LBL)*(INC_SPECIALS="Y"))=0,"",'Dvd Calendar'!$U$146)))</f>
        <v/>
      </c>
      <c r="T24" s="106">
        <f>IF(EV24="","",IF(ISNUMBER('Dvd Calendar'!$V$146)=FALSE,"",IF((('Dvd Calendar'!$V$148=TYPE1)*(TYPE1&lt;&gt;"")+('Dvd Calendar'!$V$148=TYPE2)*(TYPE2&lt;&gt;"")+('Dvd Calendar'!$V$148=TYPE3)*(TYPE3&lt;&gt;"")+('Dvd Calendar'!$V$148=TYPE4)*(TYPE4&lt;&gt;"")+('Dvd Calendar'!$V$148=SPECIAL_LBL)*(INC_SPECIALS="Y"))=0,"",'Dvd Calendar'!$V$146)))</f>
        <v/>
      </c>
      <c r="U24" s="106">
        <f>IF(EW24="","",IF(ISNUMBER('Dvd Calendar'!$W$146)=FALSE,"",IF((('Dvd Calendar'!$W$148=TYPE1)*(TYPE1&lt;&gt;"")+('Dvd Calendar'!$W$148=TYPE2)*(TYPE2&lt;&gt;"")+('Dvd Calendar'!$W$148=TYPE3)*(TYPE3&lt;&gt;"")+('Dvd Calendar'!$W$148=TYPE4)*(TYPE4&lt;&gt;"")+('Dvd Calendar'!$W$148=SPECIAL_LBL)*(INC_SPECIALS="Y"))=0,"",'Dvd Calendar'!$W$146)))</f>
        <v/>
      </c>
      <c r="V24" s="106">
        <f>IF(EX24="","",IF(ISNUMBER('Dvd Calendar'!$X$146)=FALSE,"",IF((('Dvd Calendar'!$X$148=TYPE1)*(TYPE1&lt;&gt;"")+('Dvd Calendar'!$X$148=TYPE2)*(TYPE2&lt;&gt;"")+('Dvd Calendar'!$X$148=TYPE3)*(TYPE3&lt;&gt;"")+('Dvd Calendar'!$X$148=TYPE4)*(TYPE4&lt;&gt;"")+('Dvd Calendar'!$X$148=SPECIAL_LBL)*(INC_SPECIALS="Y"))=0,"",'Dvd Calendar'!$X$146)))</f>
        <v/>
      </c>
      <c r="W24" s="106">
        <f>IF(EY24="","",IF(ISNUMBER('Dvd Calendar'!$Y$146)=FALSE,"",IF((('Dvd Calendar'!$Y$148=TYPE1)*(TYPE1&lt;&gt;"")+('Dvd Calendar'!$Y$148=TYPE2)*(TYPE2&lt;&gt;"")+('Dvd Calendar'!$Y$148=TYPE3)*(TYPE3&lt;&gt;"")+('Dvd Calendar'!$Y$148=TYPE4)*(TYPE4&lt;&gt;"")+('Dvd Calendar'!$Y$148=SPECIAL_LBL)*(INC_SPECIALS="Y"))=0,"",'Dvd Calendar'!$Y$146)))</f>
        <v/>
      </c>
      <c r="X24" s="106">
        <f>IF(EZ24="","",IF(ISNUMBER('Dvd Calendar'!$Z$146)=FALSE,"",IF((('Dvd Calendar'!$Z$148=TYPE1)*(TYPE1&lt;&gt;"")+('Dvd Calendar'!$Z$148=TYPE2)*(TYPE2&lt;&gt;"")+('Dvd Calendar'!$Z$148=TYPE3)*(TYPE3&lt;&gt;"")+('Dvd Calendar'!$Z$148=TYPE4)*(TYPE4&lt;&gt;"")+('Dvd Calendar'!$Z$148=SPECIAL_LBL)*(INC_SPECIALS="Y"))=0,"",'Dvd Calendar'!$Z$146)))</f>
        <v/>
      </c>
      <c r="Y24" s="106">
        <f>IF(FA24="","",IF(ISNUMBER('Dvd Calendar'!$AA$146)=FALSE,"",IF((('Dvd Calendar'!$AA$148=TYPE1)*(TYPE1&lt;&gt;"")+('Dvd Calendar'!$AA$148=TYPE2)*(TYPE2&lt;&gt;"")+('Dvd Calendar'!$AA$148=TYPE3)*(TYPE3&lt;&gt;"")+('Dvd Calendar'!$AA$148=TYPE4)*(TYPE4&lt;&gt;"")+('Dvd Calendar'!$AA$148=SPECIAL_LBL)*(INC_SPECIALS="Y"))=0,"",'Dvd Calendar'!$AA$146)))</f>
        <v/>
      </c>
      <c r="Z24" s="106">
        <f>IF(FB24="","",IF(ISNUMBER('Dvd Calendar'!$AB$146)=FALSE,"",IF((('Dvd Calendar'!$AB$148=TYPE1)*(TYPE1&lt;&gt;"")+('Dvd Calendar'!$AB$148=TYPE2)*(TYPE2&lt;&gt;"")+('Dvd Calendar'!$AB$148=TYPE3)*(TYPE3&lt;&gt;"")+('Dvd Calendar'!$AB$148=TYPE4)*(TYPE4&lt;&gt;"")+('Dvd Calendar'!$AB$148=SPECIAL_LBL)*(INC_SPECIALS="Y"))=0,"",'Dvd Calendar'!$AB$146)))</f>
        <v/>
      </c>
      <c r="AA24" s="106">
        <f>IF(FC24="","",IF(ISNUMBER('Dvd Calendar'!$AC$146)=FALSE,"",IF((('Dvd Calendar'!$AC$148=TYPE1)*(TYPE1&lt;&gt;"")+('Dvd Calendar'!$AC$148=TYPE2)*(TYPE2&lt;&gt;"")+('Dvd Calendar'!$AC$148=TYPE3)*(TYPE3&lt;&gt;"")+('Dvd Calendar'!$AC$148=TYPE4)*(TYPE4&lt;&gt;"")+('Dvd Calendar'!$AC$148=SPECIAL_LBL)*(INC_SPECIALS="Y"))=0,"",'Dvd Calendar'!$AC$146)))</f>
        <v/>
      </c>
      <c r="AB24" s="106">
        <f>IF(FD24="","",IF(ISNUMBER('Dvd Calendar'!$AD$146)=FALSE,"",IF((('Dvd Calendar'!$AD$148=TYPE1)*(TYPE1&lt;&gt;"")+('Dvd Calendar'!$AD$148=TYPE2)*(TYPE2&lt;&gt;"")+('Dvd Calendar'!$AD$148=TYPE3)*(TYPE3&lt;&gt;"")+('Dvd Calendar'!$AD$148=TYPE4)*(TYPE4&lt;&gt;"")+('Dvd Calendar'!$AD$148=SPECIAL_LBL)*(INC_SPECIALS="Y"))=0,"",'Dvd Calendar'!$AD$146)))</f>
        <v/>
      </c>
      <c r="AC24" s="106">
        <f>IF(FE24="","",IF(ISNUMBER('Dvd Calendar'!$AE$146)=FALSE,"",IF((('Dvd Calendar'!$AE$148=TYPE1)*(TYPE1&lt;&gt;"")+('Dvd Calendar'!$AE$148=TYPE2)*(TYPE2&lt;&gt;"")+('Dvd Calendar'!$AE$148=TYPE3)*(TYPE3&lt;&gt;"")+('Dvd Calendar'!$AE$148=TYPE4)*(TYPE4&lt;&gt;"")+('Dvd Calendar'!$AE$148=SPECIAL_LBL)*(INC_SPECIALS="Y"))=0,"",'Dvd Calendar'!$AE$146)))</f>
        <v/>
      </c>
      <c r="AD24" s="106">
        <f>IF(FF24="","",IF(ISNUMBER('Dvd Calendar'!$AF$146)=FALSE,"",IF((('Dvd Calendar'!$AF$148=TYPE1)*(TYPE1&lt;&gt;"")+('Dvd Calendar'!$AF$148=TYPE2)*(TYPE2&lt;&gt;"")+('Dvd Calendar'!$AF$148=TYPE3)*(TYPE3&lt;&gt;"")+('Dvd Calendar'!$AF$148=TYPE4)*(TYPE4&lt;&gt;"")+('Dvd Calendar'!$AF$148=SPECIAL_LBL)*(INC_SPECIALS="Y"))=0,"",'Dvd Calendar'!$AF$146)))</f>
        <v/>
      </c>
      <c r="AE24" s="106">
        <f>IF(FG24="","",IF(ISNUMBER('Dvd Calendar'!$AG$146)=FALSE,"",IF((('Dvd Calendar'!$AG$148=TYPE1)*(TYPE1&lt;&gt;"")+('Dvd Calendar'!$AG$148=TYPE2)*(TYPE2&lt;&gt;"")+('Dvd Calendar'!$AG$148=TYPE3)*(TYPE3&lt;&gt;"")+('Dvd Calendar'!$AG$148=TYPE4)*(TYPE4&lt;&gt;"")+('Dvd Calendar'!$AG$148=SPECIAL_LBL)*(INC_SPECIALS="Y"))=0,"",'Dvd Calendar'!$AG$146)))</f>
        <v/>
      </c>
      <c r="AF24" s="106">
        <f>IF(FH24="","",IF(ISNUMBER('Dvd Calendar'!$AH$146)=FALSE,"",IF((('Dvd Calendar'!$AH$148=TYPE1)*(TYPE1&lt;&gt;"")+('Dvd Calendar'!$AH$148=TYPE2)*(TYPE2&lt;&gt;"")+('Dvd Calendar'!$AH$148=TYPE3)*(TYPE3&lt;&gt;"")+('Dvd Calendar'!$AH$148=TYPE4)*(TYPE4&lt;&gt;"")+('Dvd Calendar'!$AH$148=SPECIAL_LBL)*(INC_SPECIALS="Y"))=0,"",'Dvd Calendar'!$AH$146)))</f>
        <v/>
      </c>
      <c r="AG24" s="106">
        <f>IF(FI24="","",IF(ISNUMBER('Dvd Calendar'!$AI$146)=FALSE,"",IF((('Dvd Calendar'!$AI$148=TYPE1)*(TYPE1&lt;&gt;"")+('Dvd Calendar'!$AI$148=TYPE2)*(TYPE2&lt;&gt;"")+('Dvd Calendar'!$AI$148=TYPE3)*(TYPE3&lt;&gt;"")+('Dvd Calendar'!$AI$148=TYPE4)*(TYPE4&lt;&gt;"")+('Dvd Calendar'!$AI$148=SPECIAL_LBL)*(INC_SPECIALS="Y"))=0,"",'Dvd Calendar'!$AI$146)))</f>
        <v/>
      </c>
      <c r="AH24" s="106">
        <f>IF(FJ24="","",IF(ISNUMBER('Dvd Calendar'!$AJ$146)=FALSE,"",IF((('Dvd Calendar'!$AJ$148=TYPE1)*(TYPE1&lt;&gt;"")+('Dvd Calendar'!$AJ$148=TYPE2)*(TYPE2&lt;&gt;"")+('Dvd Calendar'!$AJ$148=TYPE3)*(TYPE3&lt;&gt;"")+('Dvd Calendar'!$AJ$148=TYPE4)*(TYPE4&lt;&gt;"")+('Dvd Calendar'!$AJ$148=SPECIAL_LBL)*(INC_SPECIALS="Y"))=0,"",'Dvd Calendar'!$AJ$146)))</f>
        <v/>
      </c>
      <c r="AI24" s="106">
        <f>IF(FK24="","",IF(ISNUMBER('Dvd Calendar'!$AK$146)=FALSE,"",IF((('Dvd Calendar'!$AK$148=TYPE1)*(TYPE1&lt;&gt;"")+('Dvd Calendar'!$AK$148=TYPE2)*(TYPE2&lt;&gt;"")+('Dvd Calendar'!$AK$148=TYPE3)*(TYPE3&lt;&gt;"")+('Dvd Calendar'!$AK$148=TYPE4)*(TYPE4&lt;&gt;"")+('Dvd Calendar'!$AK$148=SPECIAL_LBL)*(INC_SPECIALS="Y"))=0,"",'Dvd Calendar'!$AK$146)))</f>
        <v/>
      </c>
      <c r="AJ24" s="106">
        <f>IF(FL24="","",IF(ISNUMBER('Dvd Calendar'!$AL$146)=FALSE,"",IF((('Dvd Calendar'!$AL$148=TYPE1)*(TYPE1&lt;&gt;"")+('Dvd Calendar'!$AL$148=TYPE2)*(TYPE2&lt;&gt;"")+('Dvd Calendar'!$AL$148=TYPE3)*(TYPE3&lt;&gt;"")+('Dvd Calendar'!$AL$148=TYPE4)*(TYPE4&lt;&gt;"")+('Dvd Calendar'!$AL$148=SPECIAL_LBL)*(INC_SPECIALS="Y"))=0,"",'Dvd Calendar'!$AL$146)))</f>
        <v/>
      </c>
      <c r="AK24" s="106">
        <f>IF(FM24="","",IF(ISNUMBER('Dvd Calendar'!$AM$146)=FALSE,"",IF((('Dvd Calendar'!$AM$148=TYPE1)*(TYPE1&lt;&gt;"")+('Dvd Calendar'!$AM$148=TYPE2)*(TYPE2&lt;&gt;"")+('Dvd Calendar'!$AM$148=TYPE3)*(TYPE3&lt;&gt;"")+('Dvd Calendar'!$AM$148=TYPE4)*(TYPE4&lt;&gt;"")+('Dvd Calendar'!$AM$148=SPECIAL_LBL)*(INC_SPECIALS="Y"))=0,"",'Dvd Calendar'!$AM$146)))</f>
        <v/>
      </c>
      <c r="AL24" s="106">
        <f>IF(FN24="","",IF(ISNUMBER('Dvd Calendar'!$AN$146)=FALSE,"",IF((('Dvd Calendar'!$AN$148=TYPE1)*(TYPE1&lt;&gt;"")+('Dvd Calendar'!$AN$148=TYPE2)*(TYPE2&lt;&gt;"")+('Dvd Calendar'!$AN$148=TYPE3)*(TYPE3&lt;&gt;"")+('Dvd Calendar'!$AN$148=TYPE4)*(TYPE4&lt;&gt;"")+('Dvd Calendar'!$AN$148=SPECIAL_LBL)*(INC_SPECIALS="Y"))=0,"",'Dvd Calendar'!$AN$146)))</f>
        <v/>
      </c>
      <c r="AM24" s="106">
        <f>IF(FO24="","",IF(ISNUMBER('Dvd Calendar'!$AO$146)=FALSE,"",IF((('Dvd Calendar'!$AO$148=TYPE1)*(TYPE1&lt;&gt;"")+('Dvd Calendar'!$AO$148=TYPE2)*(TYPE2&lt;&gt;"")+('Dvd Calendar'!$AO$148=TYPE3)*(TYPE3&lt;&gt;"")+('Dvd Calendar'!$AO$148=TYPE4)*(TYPE4&lt;&gt;"")+('Dvd Calendar'!$AO$148=SPECIAL_LBL)*(INC_SPECIALS="Y"))=0,"",'Dvd Calendar'!$AO$146)))</f>
        <v/>
      </c>
      <c r="AN24" s="106">
        <f>IF(FP24="","",IF(ISNUMBER('Dvd Calendar'!$AP$146)=FALSE,"",IF((('Dvd Calendar'!$AP$148=TYPE1)*(TYPE1&lt;&gt;"")+('Dvd Calendar'!$AP$148=TYPE2)*(TYPE2&lt;&gt;"")+('Dvd Calendar'!$AP$148=TYPE3)*(TYPE3&lt;&gt;"")+('Dvd Calendar'!$AP$148=TYPE4)*(TYPE4&lt;&gt;"")+('Dvd Calendar'!$AP$148=SPECIAL_LBL)*(INC_SPECIALS="Y"))=0,"",'Dvd Calendar'!$AP$146)))</f>
        <v/>
      </c>
      <c r="AO24" s="106">
        <f>IF(FQ24="","",IF(ISNUMBER('Dvd Calendar'!$AQ$146)=FALSE,"",IF((('Dvd Calendar'!$AQ$148=TYPE1)*(TYPE1&lt;&gt;"")+('Dvd Calendar'!$AQ$148=TYPE2)*(TYPE2&lt;&gt;"")+('Dvd Calendar'!$AQ$148=TYPE3)*(TYPE3&lt;&gt;"")+('Dvd Calendar'!$AQ$148=TYPE4)*(TYPE4&lt;&gt;"")+('Dvd Calendar'!$AQ$148=SPECIAL_LBL)*(INC_SPECIALS="Y"))=0,"",'Dvd Calendar'!$AQ$146)))</f>
        <v/>
      </c>
      <c r="AP24" s="106">
        <f>IF(FR24="","",IF(ISNUMBER('Dvd Calendar'!$AR$146)=FALSE,"",IF((('Dvd Calendar'!$AR$148=TYPE1)*(TYPE1&lt;&gt;"")+('Dvd Calendar'!$AR$148=TYPE2)*(TYPE2&lt;&gt;"")+('Dvd Calendar'!$AR$148=TYPE3)*(TYPE3&lt;&gt;"")+('Dvd Calendar'!$AR$148=TYPE4)*(TYPE4&lt;&gt;"")+('Dvd Calendar'!$AR$148=SPECIAL_LBL)*(INC_SPECIALS="Y"))=0,"",'Dvd Calendar'!$AR$146)))</f>
        <v/>
      </c>
      <c r="AQ24" s="106">
        <f>IF(FS24="","",IF(ISNUMBER('Dvd Calendar'!$E$151)=FALSE,"",'Dvd Calendar'!$E$151))</f>
        <v/>
      </c>
      <c r="AR24" s="106">
        <f>IF(FT24="","",IF(ISNUMBER('Dvd Calendar'!$F$151)=FALSE,"",'Dvd Calendar'!$F$151))</f>
        <v/>
      </c>
      <c r="AS24" s="106">
        <f>IF(FU24="","",IF(ISNUMBER('Dvd Calendar'!$G$151)=FALSE,"",'Dvd Calendar'!$G$151))</f>
        <v/>
      </c>
      <c r="AT24" s="106">
        <f>IF(FV24="","",IF(ISNUMBER('Dvd Calendar'!$H$151)=FALSE,"",'Dvd Calendar'!$H$151))</f>
        <v/>
      </c>
      <c r="AU24" s="106">
        <f>IF(FW24="","",IF(ISNUMBER('Dvd Calendar'!$I$151)=FALSE,"",'Dvd Calendar'!$I$151))</f>
        <v/>
      </c>
      <c r="AV24" s="106">
        <f>IF(FX24="","",IF(ISNUMBER('Dvd Calendar'!$J$151)=FALSE,"",'Dvd Calendar'!$J$151))</f>
        <v/>
      </c>
      <c r="AW24" s="106">
        <f>IF(FY24="","",IF(ISNUMBER('Dvd Calendar'!$K$151)=FALSE,"",'Dvd Calendar'!$K$151))</f>
        <v/>
      </c>
      <c r="AX24" s="106">
        <f>IF(FZ24="","",IF(ISNUMBER('Dvd Calendar'!$L$151)=FALSE,"",'Dvd Calendar'!$L$151))</f>
        <v/>
      </c>
      <c r="AY24" s="106">
        <f>IF(GA24="","",IF(ISNUMBER('Dvd Calendar'!$M$151)=FALSE,"",'Dvd Calendar'!$M$151))</f>
        <v/>
      </c>
      <c r="AZ24" s="106">
        <f>IF(GB24="","",IF(ISNUMBER('Dvd Calendar'!$N$151)=FALSE,"",'Dvd Calendar'!$N$151))</f>
        <v/>
      </c>
      <c r="BA24" s="106">
        <f>IF(GC24="","",IF(ISNUMBER('Dvd Calendar'!$O$151)=FALSE,"",'Dvd Calendar'!$O$151))</f>
        <v/>
      </c>
      <c r="BB24" s="106">
        <f>IF(GD24="","",IF(ISNUMBER('Dvd Calendar'!$P$151)=FALSE,"",'Dvd Calendar'!$P$151))</f>
        <v/>
      </c>
      <c r="BC24" s="106">
        <f>IF(GE24="","",IF(ISNUMBER('Dvd Calendar'!$Q$151)=FALSE,"",'Dvd Calendar'!$Q$151))</f>
        <v/>
      </c>
      <c r="BD24" s="106">
        <f>IF(GF24="","",IF(ISNUMBER('Dvd Calendar'!$R$151)=FALSE,"",'Dvd Calendar'!$R$151))</f>
        <v/>
      </c>
      <c r="BE24" s="106">
        <f>IF(GG24="","",IF(ISNUMBER('Dvd Calendar'!$S$151)=FALSE,"",'Dvd Calendar'!$S$151))</f>
        <v/>
      </c>
      <c r="BF24" s="106">
        <f>IF(GH24="","",IF(ISNUMBER('Dvd Calendar'!$T$151)=FALSE,"",'Dvd Calendar'!$T$151))</f>
        <v/>
      </c>
      <c r="BG24" s="106">
        <f>IF(GI24="","",IF(ISNUMBER('Dvd Calendar'!$U$151)=FALSE,"",'Dvd Calendar'!$U$151))</f>
        <v/>
      </c>
      <c r="BH24" s="106">
        <f>IF(GJ24="","",IF(ISNUMBER('Dvd Calendar'!$V$151)=FALSE,"",'Dvd Calendar'!$V$151))</f>
        <v/>
      </c>
      <c r="BI24" s="106">
        <f>IF(GK24="","",IF(ISNUMBER('Dvd Calendar'!$W$151)=FALSE,"",'Dvd Calendar'!$W$151))</f>
        <v/>
      </c>
      <c r="BJ24" s="106">
        <f>IF(GL24="","",IF(ISNUMBER('Dvd Calendar'!$X$151)=FALSE,"",'Dvd Calendar'!$X$151))</f>
        <v/>
      </c>
      <c r="BK24" s="106">
        <f>IF(GM24="","",IF(ISNUMBER('Dvd Calendar'!$Y$151)=FALSE,"",'Dvd Calendar'!$Y$151))</f>
        <v/>
      </c>
      <c r="BL24" s="106">
        <f>IF(GN24="","",IF(ISNUMBER('Dvd Calendar'!$Z$151)=FALSE,"",'Dvd Calendar'!$Z$151))</f>
        <v/>
      </c>
      <c r="BM24" s="106">
        <f>IF(GO24="","",IF(ISNUMBER('Dvd Calendar'!$AA$151)=FALSE,"",'Dvd Calendar'!$AA$151))</f>
        <v/>
      </c>
      <c r="BN24" s="106">
        <f>IF(GP24="","",IF(ISNUMBER('Dvd Calendar'!$AB$151)=FALSE,"",'Dvd Calendar'!$AB$151))</f>
        <v/>
      </c>
      <c r="BO24" s="106">
        <f>IF(GQ24="","",IF(ISNUMBER('Dvd Calendar'!$AC$151)=FALSE,"",'Dvd Calendar'!$AC$151))</f>
        <v/>
      </c>
      <c r="BQ24" s="106">
        <f>IF(C24="","",IFERROR(C24*HSI!$B$19*HSI!$G$19/HSI!$B$3,""))</f>
        <v/>
      </c>
      <c r="BR24" s="106">
        <f>IF(D24="","",IFERROR(D24*HSI!$B$19*HSI!$G$19/HSI!$B$3,""))</f>
        <v/>
      </c>
      <c r="BS24" s="106">
        <f>IF(E24="","",IFERROR(E24*HSI!$B$19*HSI!$G$19/HSI!$B$3,""))</f>
        <v/>
      </c>
      <c r="BT24" s="106">
        <f>IF(F24="","",IFERROR(F24*HSI!$B$19*HSI!$G$19/HSI!$B$3,""))</f>
        <v/>
      </c>
      <c r="BU24" s="106">
        <f>IF(G24="","",IFERROR(G24*HSI!$B$19*HSI!$G$19/HSI!$B$3,""))</f>
        <v/>
      </c>
      <c r="BV24" s="106">
        <f>IF(H24="","",IFERROR(H24*HSI!$B$19*HSI!$G$19/HSI!$B$3,""))</f>
        <v/>
      </c>
      <c r="BW24" s="106">
        <f>IF(I24="","",IFERROR(I24*HSI!$B$19*HSI!$G$19/HSI!$B$3,""))</f>
        <v/>
      </c>
      <c r="BX24" s="106">
        <f>IF(J24="","",IFERROR(J24*HSI!$B$19*HSI!$G$19/HSI!$B$3,""))</f>
        <v/>
      </c>
      <c r="BY24" s="106">
        <f>IF(K24="","",IFERROR(K24*HSI!$B$19*HSI!$G$19/HSI!$B$3,""))</f>
        <v/>
      </c>
      <c r="BZ24" s="106">
        <f>IF(L24="","",IFERROR(L24*HSI!$B$19*HSI!$G$19/HSI!$B$3,""))</f>
        <v/>
      </c>
      <c r="CA24" s="106">
        <f>IF(M24="","",IFERROR(M24*HSI!$B$19*HSI!$G$19/HSI!$B$3,""))</f>
        <v/>
      </c>
      <c r="CB24" s="106">
        <f>IF(N24="","",IFERROR(N24*HSI!$B$19*HSI!$G$19/HSI!$B$3,""))</f>
        <v/>
      </c>
      <c r="CC24" s="106">
        <f>IF(O24="","",IFERROR(O24*HSI!$B$19*HSI!$G$19/HSI!$B$3,""))</f>
        <v/>
      </c>
      <c r="CD24" s="106">
        <f>IF(P24="","",IFERROR(P24*HSI!$B$19*HSI!$G$19/HSI!$B$3,""))</f>
        <v/>
      </c>
      <c r="CE24" s="106">
        <f>IF(Q24="","",IFERROR(Q24*HSI!$B$19*HSI!$G$19/HSI!$B$3,""))</f>
        <v/>
      </c>
      <c r="CF24" s="106">
        <f>IF(R24="","",IFERROR(R24*HSI!$B$19*HSI!$G$19/HSI!$B$3,""))</f>
        <v/>
      </c>
      <c r="CG24" s="106">
        <f>IF(S24="","",IFERROR(S24*HSI!$B$19*HSI!$G$19/HSI!$B$3,""))</f>
        <v/>
      </c>
      <c r="CH24" s="106">
        <f>IF(T24="","",IFERROR(T24*HSI!$B$19*HSI!$G$19/HSI!$B$3,""))</f>
        <v/>
      </c>
      <c r="CI24" s="106">
        <f>IF(U24="","",IFERROR(U24*HSI!$B$19*HSI!$G$19/HSI!$B$3,""))</f>
        <v/>
      </c>
      <c r="CJ24" s="106">
        <f>IF(V24="","",IFERROR(V24*HSI!$B$19*HSI!$G$19/HSI!$B$3,""))</f>
        <v/>
      </c>
      <c r="CK24" s="106">
        <f>IF(W24="","",IFERROR(W24*HSI!$B$19*HSI!$G$19/HSI!$B$3,""))</f>
        <v/>
      </c>
      <c r="CL24" s="106">
        <f>IF(X24="","",IFERROR(X24*HSI!$B$19*HSI!$G$19/HSI!$B$3,""))</f>
        <v/>
      </c>
      <c r="CM24" s="106">
        <f>IF(Y24="","",IFERROR(Y24*HSI!$B$19*HSI!$G$19/HSI!$B$3,""))</f>
        <v/>
      </c>
      <c r="CN24" s="106">
        <f>IF(Z24="","",IFERROR(Z24*HSI!$B$19*HSI!$G$19/HSI!$B$3,""))</f>
        <v/>
      </c>
      <c r="CO24" s="106">
        <f>IF(AA24="","",IFERROR(AA24*HSI!$B$19*HSI!$G$19/HSI!$B$3,""))</f>
        <v/>
      </c>
      <c r="CP24" s="106">
        <f>IF(AB24="","",IFERROR(AB24*HSI!$B$19*HSI!$G$19/HSI!$B$3,""))</f>
        <v/>
      </c>
      <c r="CQ24" s="106">
        <f>IF(AC24="","",IFERROR(AC24*HSI!$B$19*HSI!$G$19/HSI!$B$3,""))</f>
        <v/>
      </c>
      <c r="CR24" s="106">
        <f>IF(AD24="","",IFERROR(AD24*HSI!$B$19*HSI!$G$19/HSI!$B$3,""))</f>
        <v/>
      </c>
      <c r="CS24" s="106">
        <f>IF(AE24="","",IFERROR(AE24*HSI!$B$19*HSI!$G$19/HSI!$B$3,""))</f>
        <v/>
      </c>
      <c r="CT24" s="106">
        <f>IF(AF24="","",IFERROR(AF24*HSI!$B$19*HSI!$G$19/HSI!$B$3,""))</f>
        <v/>
      </c>
      <c r="CU24" s="106">
        <f>IF(AG24="","",IFERROR(AG24*HSI!$B$19*HSI!$G$19/HSI!$B$3,""))</f>
        <v/>
      </c>
      <c r="CV24" s="106">
        <f>IF(AH24="","",IFERROR(AH24*HSI!$B$19*HSI!$G$19/HSI!$B$3,""))</f>
        <v/>
      </c>
      <c r="CW24" s="106">
        <f>IF(AI24="","",IFERROR(AI24*HSI!$B$19*HSI!$G$19/HSI!$B$3,""))</f>
        <v/>
      </c>
      <c r="CX24" s="106">
        <f>IF(AJ24="","",IFERROR(AJ24*HSI!$B$19*HSI!$G$19/HSI!$B$3,""))</f>
        <v/>
      </c>
      <c r="CY24" s="106">
        <f>IF(AK24="","",IFERROR(AK24*HSI!$B$19*HSI!$G$19/HSI!$B$3,""))</f>
        <v/>
      </c>
      <c r="CZ24" s="106">
        <f>IF(AL24="","",IFERROR(AL24*HSI!$B$19*HSI!$G$19/HSI!$B$3,""))</f>
        <v/>
      </c>
      <c r="DA24" s="106">
        <f>IF(AM24="","",IFERROR(AM24*HSI!$B$19*HSI!$G$19/HSI!$B$3,""))</f>
        <v/>
      </c>
      <c r="DB24" s="106">
        <f>IF(AN24="","",IFERROR(AN24*HSI!$B$19*HSI!$G$19/HSI!$B$3,""))</f>
        <v/>
      </c>
      <c r="DC24" s="106">
        <f>IF(AO24="","",IFERROR(AO24*HSI!$B$19*HSI!$G$19/HSI!$B$3,""))</f>
        <v/>
      </c>
      <c r="DD24" s="106">
        <f>IF(AP24="","",IFERROR(AP24*HSI!$B$19*HSI!$G$19/HSI!$B$3,""))</f>
        <v/>
      </c>
      <c r="DE24" s="106">
        <f>IF(AQ24="","",IFERROR(AQ24*HSI!$B$19*HSI!$G$19/HSI!$B$3,""))</f>
        <v/>
      </c>
      <c r="DF24" s="106">
        <f>IF(AR24="","",IFERROR(AR24*HSI!$B$19*HSI!$G$19/HSI!$B$3,""))</f>
        <v/>
      </c>
      <c r="DG24" s="106">
        <f>IF(AS24="","",IFERROR(AS24*HSI!$B$19*HSI!$G$19/HSI!$B$3,""))</f>
        <v/>
      </c>
      <c r="DH24" s="106">
        <f>IF(AT24="","",IFERROR(AT24*HSI!$B$19*HSI!$G$19/HSI!$B$3,""))</f>
        <v/>
      </c>
      <c r="DI24" s="106">
        <f>IF(AU24="","",IFERROR(AU24*HSI!$B$19*HSI!$G$19/HSI!$B$3,""))</f>
        <v/>
      </c>
      <c r="DJ24" s="106">
        <f>IF(AV24="","",IFERROR(AV24*HSI!$B$19*HSI!$G$19/HSI!$B$3,""))</f>
        <v/>
      </c>
      <c r="DK24" s="106">
        <f>IF(AW24="","",IFERROR(AW24*HSI!$B$19*HSI!$G$19/HSI!$B$3,""))</f>
        <v/>
      </c>
      <c r="DL24" s="106">
        <f>IF(AX24="","",IFERROR(AX24*HSI!$B$19*HSI!$G$19/HSI!$B$3,""))</f>
        <v/>
      </c>
      <c r="DM24" s="106">
        <f>IF(AY24="","",IFERROR(AY24*HSI!$B$19*HSI!$G$19/HSI!$B$3,""))</f>
        <v/>
      </c>
      <c r="DN24" s="106">
        <f>IF(AZ24="","",IFERROR(AZ24*HSI!$B$19*HSI!$G$19/HSI!$B$3,""))</f>
        <v/>
      </c>
      <c r="DO24" s="106">
        <f>IF(BA24="","",IFERROR(BA24*HSI!$B$19*HSI!$G$19/HSI!$B$3,""))</f>
        <v/>
      </c>
      <c r="DP24" s="106">
        <f>IF(BB24="","",IFERROR(BB24*HSI!$B$19*HSI!$G$19/HSI!$B$3,""))</f>
        <v/>
      </c>
      <c r="DQ24" s="106">
        <f>IF(BC24="","",IFERROR(BC24*HSI!$B$19*HSI!$G$19/HSI!$B$3,""))</f>
        <v/>
      </c>
      <c r="DR24" s="106">
        <f>IF(BD24="","",IFERROR(BD24*HSI!$B$19*HSI!$G$19/HSI!$B$3,""))</f>
        <v/>
      </c>
      <c r="DS24" s="106">
        <f>IF(BE24="","",IFERROR(BE24*HSI!$B$19*HSI!$G$19/HSI!$B$3,""))</f>
        <v/>
      </c>
      <c r="DT24" s="106">
        <f>IF(BF24="","",IFERROR(BF24*HSI!$B$19*HSI!$G$19/HSI!$B$3,""))</f>
        <v/>
      </c>
      <c r="DU24" s="106">
        <f>IF(BG24="","",IFERROR(BG24*HSI!$B$19*HSI!$G$19/HSI!$B$3,""))</f>
        <v/>
      </c>
      <c r="DV24" s="106">
        <f>IF(BH24="","",IFERROR(BH24*HSI!$B$19*HSI!$G$19/HSI!$B$3,""))</f>
        <v/>
      </c>
      <c r="DW24" s="106">
        <f>IF(BI24="","",IFERROR(BI24*HSI!$B$19*HSI!$G$19/HSI!$B$3,""))</f>
        <v/>
      </c>
      <c r="DX24" s="106">
        <f>IF(BJ24="","",IFERROR(BJ24*HSI!$B$19*HSI!$G$19/HSI!$B$3,""))</f>
        <v/>
      </c>
      <c r="DY24" s="106">
        <f>IF(BK24="","",IFERROR(BK24*HSI!$B$19*HSI!$G$19/HSI!$B$3,""))</f>
        <v/>
      </c>
      <c r="DZ24" s="106">
        <f>IF(BL24="","",IFERROR(BL24*HSI!$B$19*HSI!$G$19/HSI!$B$3,""))</f>
        <v/>
      </c>
      <c r="EA24" s="106">
        <f>IF(BM24="","",IFERROR(BM24*HSI!$B$19*HSI!$G$19/HSI!$B$3,""))</f>
        <v/>
      </c>
      <c r="EB24" s="106">
        <f>IF(BN24="","",IFERROR(BN24*HSI!$B$19*HSI!$G$19/HSI!$B$3,""))</f>
        <v/>
      </c>
      <c r="EC24" s="106">
        <f>IF(BO24="","",IFERROR(BO24*HSI!$B$19*HSI!$G$19/HSI!$B$3,""))</f>
        <v/>
      </c>
      <c r="EE24" s="35">
        <f>IF(N('Dvd Calendar'!$E$143)=0,"",IF(('Dvd Calendar'!$E$143&gt;=GRID_FROM)*('Dvd Calendar'!$E$143&lt;=GRID_TO)*('Dvd Calendar'!$E$143&lt;=VAL_DATE)=0,"",'Dvd Calendar'!$E$143*1000000000+ISNUMBER('Dvd Calendar'!$E$146)*100000000+('Dvd Calendar'!$E$148=SPECIAL_LBL)*10000000+0*1000000+13*1000+1))</f>
        <v/>
      </c>
      <c r="EF24" s="35">
        <f>IF(N('Dvd Calendar'!$F$143)=0,"",IF(('Dvd Calendar'!$F$143&gt;=GRID_FROM)*('Dvd Calendar'!$F$143&lt;=GRID_TO)*('Dvd Calendar'!$F$143&lt;=VAL_DATE)=0,"",'Dvd Calendar'!$F$143*1000000000+ISNUMBER('Dvd Calendar'!$F$146)*100000000+('Dvd Calendar'!$F$148=SPECIAL_LBL)*10000000+0*1000000+13*1000+2))</f>
        <v/>
      </c>
      <c r="EG24" s="35">
        <f>IF(N('Dvd Calendar'!$G$143)=0,"",IF(('Dvd Calendar'!$G$143&gt;=GRID_FROM)*('Dvd Calendar'!$G$143&lt;=GRID_TO)*('Dvd Calendar'!$G$143&lt;=VAL_DATE)=0,"",'Dvd Calendar'!$G$143*1000000000+ISNUMBER('Dvd Calendar'!$G$146)*100000000+('Dvd Calendar'!$G$148=SPECIAL_LBL)*10000000+0*1000000+13*1000+3))</f>
        <v/>
      </c>
      <c r="EH24" s="35">
        <f>IF(N('Dvd Calendar'!$H$143)=0,"",IF(('Dvd Calendar'!$H$143&gt;=GRID_FROM)*('Dvd Calendar'!$H$143&lt;=GRID_TO)*('Dvd Calendar'!$H$143&lt;=VAL_DATE)=0,"",'Dvd Calendar'!$H$143*1000000000+ISNUMBER('Dvd Calendar'!$H$146)*100000000+('Dvd Calendar'!$H$148=SPECIAL_LBL)*10000000+0*1000000+13*1000+4))</f>
        <v/>
      </c>
      <c r="EI24" s="35">
        <f>IF(N('Dvd Calendar'!$I$143)=0,"",IF(('Dvd Calendar'!$I$143&gt;=GRID_FROM)*('Dvd Calendar'!$I$143&lt;=GRID_TO)*('Dvd Calendar'!$I$143&lt;=VAL_DATE)=0,"",'Dvd Calendar'!$I$143*1000000000+ISNUMBER('Dvd Calendar'!$I$146)*100000000+('Dvd Calendar'!$I$148=SPECIAL_LBL)*10000000+0*1000000+13*1000+5))</f>
        <v/>
      </c>
      <c r="EJ24" s="35">
        <f>IF(N('Dvd Calendar'!$J$143)=0,"",IF(('Dvd Calendar'!$J$143&gt;=GRID_FROM)*('Dvd Calendar'!$J$143&lt;=GRID_TO)*('Dvd Calendar'!$J$143&lt;=VAL_DATE)=0,"",'Dvd Calendar'!$J$143*1000000000+ISNUMBER('Dvd Calendar'!$J$146)*100000000+('Dvd Calendar'!$J$148=SPECIAL_LBL)*10000000+0*1000000+13*1000+6))</f>
        <v/>
      </c>
      <c r="EK24" s="35">
        <f>IF(N('Dvd Calendar'!$K$143)=0,"",IF(('Dvd Calendar'!$K$143&gt;=GRID_FROM)*('Dvd Calendar'!$K$143&lt;=GRID_TO)*('Dvd Calendar'!$K$143&lt;=VAL_DATE)=0,"",'Dvd Calendar'!$K$143*1000000000+ISNUMBER('Dvd Calendar'!$K$146)*100000000+('Dvd Calendar'!$K$148=SPECIAL_LBL)*10000000+0*1000000+13*1000+7))</f>
        <v/>
      </c>
      <c r="EL24" s="35">
        <f>IF(N('Dvd Calendar'!$L$143)=0,"",IF(('Dvd Calendar'!$L$143&gt;=GRID_FROM)*('Dvd Calendar'!$L$143&lt;=GRID_TO)*('Dvd Calendar'!$L$143&lt;=VAL_DATE)=0,"",'Dvd Calendar'!$L$143*1000000000+ISNUMBER('Dvd Calendar'!$L$146)*100000000+('Dvd Calendar'!$L$148=SPECIAL_LBL)*10000000+0*1000000+13*1000+8))</f>
        <v/>
      </c>
      <c r="EM24" s="35">
        <f>IF(N('Dvd Calendar'!$M$143)=0,"",IF(('Dvd Calendar'!$M$143&gt;=GRID_FROM)*('Dvd Calendar'!$M$143&lt;=GRID_TO)*('Dvd Calendar'!$M$143&lt;=VAL_DATE)=0,"",'Dvd Calendar'!$M$143*1000000000+ISNUMBER('Dvd Calendar'!$M$146)*100000000+('Dvd Calendar'!$M$148=SPECIAL_LBL)*10000000+0*1000000+13*1000+9))</f>
        <v/>
      </c>
      <c r="EN24" s="35">
        <f>IF(N('Dvd Calendar'!$N$143)=0,"",IF(('Dvd Calendar'!$N$143&gt;=GRID_FROM)*('Dvd Calendar'!$N$143&lt;=GRID_TO)*('Dvd Calendar'!$N$143&lt;=VAL_DATE)=0,"",'Dvd Calendar'!$N$143*1000000000+ISNUMBER('Dvd Calendar'!$N$146)*100000000+('Dvd Calendar'!$N$148=SPECIAL_LBL)*10000000+0*1000000+13*1000+10))</f>
        <v/>
      </c>
      <c r="EO24" s="35">
        <f>IF(N('Dvd Calendar'!$O$143)=0,"",IF(('Dvd Calendar'!$O$143&gt;=GRID_FROM)*('Dvd Calendar'!$O$143&lt;=GRID_TO)*('Dvd Calendar'!$O$143&lt;=VAL_DATE)=0,"",'Dvd Calendar'!$O$143*1000000000+ISNUMBER('Dvd Calendar'!$O$146)*100000000+('Dvd Calendar'!$O$148=SPECIAL_LBL)*10000000+0*1000000+13*1000+11))</f>
        <v/>
      </c>
      <c r="EP24" s="35">
        <f>IF(N('Dvd Calendar'!$P$143)=0,"",IF(('Dvd Calendar'!$P$143&gt;=GRID_FROM)*('Dvd Calendar'!$P$143&lt;=GRID_TO)*('Dvd Calendar'!$P$143&lt;=VAL_DATE)=0,"",'Dvd Calendar'!$P$143*1000000000+ISNUMBER('Dvd Calendar'!$P$146)*100000000+('Dvd Calendar'!$P$148=SPECIAL_LBL)*10000000+0*1000000+13*1000+12))</f>
        <v/>
      </c>
      <c r="EQ24" s="35">
        <f>IF(N('Dvd Calendar'!$Q$143)=0,"",IF(('Dvd Calendar'!$Q$143&gt;=GRID_FROM)*('Dvd Calendar'!$Q$143&lt;=GRID_TO)*('Dvd Calendar'!$Q$143&lt;=VAL_DATE)=0,"",'Dvd Calendar'!$Q$143*1000000000+ISNUMBER('Dvd Calendar'!$Q$146)*100000000+('Dvd Calendar'!$Q$148=SPECIAL_LBL)*10000000+0*1000000+13*1000+13))</f>
        <v/>
      </c>
      <c r="ER24" s="35">
        <f>IF(N('Dvd Calendar'!$R$143)=0,"",IF(('Dvd Calendar'!$R$143&gt;=GRID_FROM)*('Dvd Calendar'!$R$143&lt;=GRID_TO)*('Dvd Calendar'!$R$143&lt;=VAL_DATE)=0,"",'Dvd Calendar'!$R$143*1000000000+ISNUMBER('Dvd Calendar'!$R$146)*100000000+('Dvd Calendar'!$R$148=SPECIAL_LBL)*10000000+0*1000000+13*1000+14))</f>
        <v/>
      </c>
      <c r="ES24" s="35">
        <f>IF(N('Dvd Calendar'!$S$143)=0,"",IF(('Dvd Calendar'!$S$143&gt;=GRID_FROM)*('Dvd Calendar'!$S$143&lt;=GRID_TO)*('Dvd Calendar'!$S$143&lt;=VAL_DATE)=0,"",'Dvd Calendar'!$S$143*1000000000+ISNUMBER('Dvd Calendar'!$S$146)*100000000+('Dvd Calendar'!$S$148=SPECIAL_LBL)*10000000+0*1000000+13*1000+15))</f>
        <v/>
      </c>
      <c r="ET24" s="35">
        <f>IF(N('Dvd Calendar'!$T$143)=0,"",IF(('Dvd Calendar'!$T$143&gt;=GRID_FROM)*('Dvd Calendar'!$T$143&lt;=GRID_TO)*('Dvd Calendar'!$T$143&lt;=VAL_DATE)=0,"",'Dvd Calendar'!$T$143*1000000000+ISNUMBER('Dvd Calendar'!$T$146)*100000000+('Dvd Calendar'!$T$148=SPECIAL_LBL)*10000000+0*1000000+13*1000+16))</f>
        <v/>
      </c>
      <c r="EU24" s="35">
        <f>IF(N('Dvd Calendar'!$U$143)=0,"",IF(('Dvd Calendar'!$U$143&gt;=GRID_FROM)*('Dvd Calendar'!$U$143&lt;=GRID_TO)*('Dvd Calendar'!$U$143&lt;=VAL_DATE)=0,"",'Dvd Calendar'!$U$143*1000000000+ISNUMBER('Dvd Calendar'!$U$146)*100000000+('Dvd Calendar'!$U$148=SPECIAL_LBL)*10000000+0*1000000+13*1000+17))</f>
        <v/>
      </c>
      <c r="EV24" s="35">
        <f>IF(N('Dvd Calendar'!$V$143)=0,"",IF(('Dvd Calendar'!$V$143&gt;=GRID_FROM)*('Dvd Calendar'!$V$143&lt;=GRID_TO)*('Dvd Calendar'!$V$143&lt;=VAL_DATE)=0,"",'Dvd Calendar'!$V$143*1000000000+ISNUMBER('Dvd Calendar'!$V$146)*100000000+('Dvd Calendar'!$V$148=SPECIAL_LBL)*10000000+0*1000000+13*1000+18))</f>
        <v/>
      </c>
      <c r="EW24" s="35">
        <f>IF(N('Dvd Calendar'!$W$143)=0,"",IF(('Dvd Calendar'!$W$143&gt;=GRID_FROM)*('Dvd Calendar'!$W$143&lt;=GRID_TO)*('Dvd Calendar'!$W$143&lt;=VAL_DATE)=0,"",'Dvd Calendar'!$W$143*1000000000+ISNUMBER('Dvd Calendar'!$W$146)*100000000+('Dvd Calendar'!$W$148=SPECIAL_LBL)*10000000+0*1000000+13*1000+19))</f>
        <v/>
      </c>
      <c r="EX24" s="35">
        <f>IF(N('Dvd Calendar'!$X$143)=0,"",IF(('Dvd Calendar'!$X$143&gt;=GRID_FROM)*('Dvd Calendar'!$X$143&lt;=GRID_TO)*('Dvd Calendar'!$X$143&lt;=VAL_DATE)=0,"",'Dvd Calendar'!$X$143*1000000000+ISNUMBER('Dvd Calendar'!$X$146)*100000000+('Dvd Calendar'!$X$148=SPECIAL_LBL)*10000000+0*1000000+13*1000+20))</f>
        <v/>
      </c>
      <c r="EY24" s="35">
        <f>IF(N('Dvd Calendar'!$Y$143)=0,"",IF(('Dvd Calendar'!$Y$143&gt;=GRID_FROM)*('Dvd Calendar'!$Y$143&lt;=GRID_TO)*('Dvd Calendar'!$Y$143&lt;=VAL_DATE)=0,"",'Dvd Calendar'!$Y$143*1000000000+ISNUMBER('Dvd Calendar'!$Y$146)*100000000+('Dvd Calendar'!$Y$148=SPECIAL_LBL)*10000000+0*1000000+13*1000+21))</f>
        <v/>
      </c>
      <c r="EZ24" s="35">
        <f>IF(N('Dvd Calendar'!$Z$143)=0,"",IF(('Dvd Calendar'!$Z$143&gt;=GRID_FROM)*('Dvd Calendar'!$Z$143&lt;=GRID_TO)*('Dvd Calendar'!$Z$143&lt;=VAL_DATE)=0,"",'Dvd Calendar'!$Z$143*1000000000+ISNUMBER('Dvd Calendar'!$Z$146)*100000000+('Dvd Calendar'!$Z$148=SPECIAL_LBL)*10000000+0*1000000+13*1000+22))</f>
        <v/>
      </c>
      <c r="FA24" s="35">
        <f>IF(N('Dvd Calendar'!$AA$143)=0,"",IF(('Dvd Calendar'!$AA$143&gt;=GRID_FROM)*('Dvd Calendar'!$AA$143&lt;=GRID_TO)*('Dvd Calendar'!$AA$143&lt;=VAL_DATE)=0,"",'Dvd Calendar'!$AA$143*1000000000+ISNUMBER('Dvd Calendar'!$AA$146)*100000000+('Dvd Calendar'!$AA$148=SPECIAL_LBL)*10000000+0*1000000+13*1000+23))</f>
        <v/>
      </c>
      <c r="FB24" s="35">
        <f>IF(N('Dvd Calendar'!$AB$143)=0,"",IF(('Dvd Calendar'!$AB$143&gt;=GRID_FROM)*('Dvd Calendar'!$AB$143&lt;=GRID_TO)*('Dvd Calendar'!$AB$143&lt;=VAL_DATE)=0,"",'Dvd Calendar'!$AB$143*1000000000+ISNUMBER('Dvd Calendar'!$AB$146)*100000000+('Dvd Calendar'!$AB$148=SPECIAL_LBL)*10000000+0*1000000+13*1000+24))</f>
        <v/>
      </c>
      <c r="FC24" s="35">
        <f>IF(N('Dvd Calendar'!$AC$143)=0,"",IF(('Dvd Calendar'!$AC$143&gt;=GRID_FROM)*('Dvd Calendar'!$AC$143&lt;=GRID_TO)*('Dvd Calendar'!$AC$143&lt;=VAL_DATE)=0,"",'Dvd Calendar'!$AC$143*1000000000+ISNUMBER('Dvd Calendar'!$AC$146)*100000000+('Dvd Calendar'!$AC$148=SPECIAL_LBL)*10000000+0*1000000+13*1000+25))</f>
        <v/>
      </c>
      <c r="FD24" s="35">
        <f>IF(N('Dvd Calendar'!$AD$143)=0,"",IF(('Dvd Calendar'!$AD$143&gt;=GRID_FROM)*('Dvd Calendar'!$AD$143&lt;=GRID_TO)*('Dvd Calendar'!$AD$143&lt;=VAL_DATE)=0,"",'Dvd Calendar'!$AD$143*1000000000+ISNUMBER('Dvd Calendar'!$AD$146)*100000000+('Dvd Calendar'!$AD$148=SPECIAL_LBL)*10000000+0*1000000+13*1000+26))</f>
        <v/>
      </c>
      <c r="FE24" s="35">
        <f>IF(N('Dvd Calendar'!$AE$143)=0,"",IF(('Dvd Calendar'!$AE$143&gt;=GRID_FROM)*('Dvd Calendar'!$AE$143&lt;=GRID_TO)*('Dvd Calendar'!$AE$143&lt;=VAL_DATE)=0,"",'Dvd Calendar'!$AE$143*1000000000+ISNUMBER('Dvd Calendar'!$AE$146)*100000000+('Dvd Calendar'!$AE$148=SPECIAL_LBL)*10000000+0*1000000+13*1000+27))</f>
        <v/>
      </c>
      <c r="FF24" s="35">
        <f>IF(N('Dvd Calendar'!$AF$143)=0,"",IF(('Dvd Calendar'!$AF$143&gt;=GRID_FROM)*('Dvd Calendar'!$AF$143&lt;=GRID_TO)*('Dvd Calendar'!$AF$143&lt;=VAL_DATE)=0,"",'Dvd Calendar'!$AF$143*1000000000+ISNUMBER('Dvd Calendar'!$AF$146)*100000000+('Dvd Calendar'!$AF$148=SPECIAL_LBL)*10000000+0*1000000+13*1000+28))</f>
        <v/>
      </c>
      <c r="FG24" s="35">
        <f>IF(N('Dvd Calendar'!$AG$143)=0,"",IF(('Dvd Calendar'!$AG$143&gt;=GRID_FROM)*('Dvd Calendar'!$AG$143&lt;=GRID_TO)*('Dvd Calendar'!$AG$143&lt;=VAL_DATE)=0,"",'Dvd Calendar'!$AG$143*1000000000+ISNUMBER('Dvd Calendar'!$AG$146)*100000000+('Dvd Calendar'!$AG$148=SPECIAL_LBL)*10000000+0*1000000+13*1000+29))</f>
        <v/>
      </c>
      <c r="FH24" s="35">
        <f>IF(N('Dvd Calendar'!$AH$143)=0,"",IF(('Dvd Calendar'!$AH$143&gt;=GRID_FROM)*('Dvd Calendar'!$AH$143&lt;=GRID_TO)*('Dvd Calendar'!$AH$143&lt;=VAL_DATE)=0,"",'Dvd Calendar'!$AH$143*1000000000+ISNUMBER('Dvd Calendar'!$AH$146)*100000000+('Dvd Calendar'!$AH$148=SPECIAL_LBL)*10000000+0*1000000+13*1000+30))</f>
        <v/>
      </c>
      <c r="FI24" s="35">
        <f>IF(N('Dvd Calendar'!$AI$143)=0,"",IF(('Dvd Calendar'!$AI$143&gt;=GRID_FROM)*('Dvd Calendar'!$AI$143&lt;=GRID_TO)*('Dvd Calendar'!$AI$143&lt;=VAL_DATE)=0,"",'Dvd Calendar'!$AI$143*1000000000+ISNUMBER('Dvd Calendar'!$AI$146)*100000000+('Dvd Calendar'!$AI$148=SPECIAL_LBL)*10000000+0*1000000+13*1000+31))</f>
        <v/>
      </c>
      <c r="FJ24" s="35">
        <f>IF(N('Dvd Calendar'!$AJ$143)=0,"",IF(('Dvd Calendar'!$AJ$143&gt;=GRID_FROM)*('Dvd Calendar'!$AJ$143&lt;=GRID_TO)*('Dvd Calendar'!$AJ$143&lt;=VAL_DATE)=0,"",'Dvd Calendar'!$AJ$143*1000000000+ISNUMBER('Dvd Calendar'!$AJ$146)*100000000+('Dvd Calendar'!$AJ$148=SPECIAL_LBL)*10000000+0*1000000+13*1000+32))</f>
        <v/>
      </c>
      <c r="FK24" s="35">
        <f>IF(N('Dvd Calendar'!$AK$143)=0,"",IF(('Dvd Calendar'!$AK$143&gt;=GRID_FROM)*('Dvd Calendar'!$AK$143&lt;=GRID_TO)*('Dvd Calendar'!$AK$143&lt;=VAL_DATE)=0,"",'Dvd Calendar'!$AK$143*1000000000+ISNUMBER('Dvd Calendar'!$AK$146)*100000000+('Dvd Calendar'!$AK$148=SPECIAL_LBL)*10000000+0*1000000+13*1000+33))</f>
        <v/>
      </c>
      <c r="FL24" s="35">
        <f>IF(N('Dvd Calendar'!$AL$143)=0,"",IF(('Dvd Calendar'!$AL$143&gt;=GRID_FROM)*('Dvd Calendar'!$AL$143&lt;=GRID_TO)*('Dvd Calendar'!$AL$143&lt;=VAL_DATE)=0,"",'Dvd Calendar'!$AL$143*1000000000+ISNUMBER('Dvd Calendar'!$AL$146)*100000000+('Dvd Calendar'!$AL$148=SPECIAL_LBL)*10000000+0*1000000+13*1000+34))</f>
        <v/>
      </c>
      <c r="FM24" s="35">
        <f>IF(N('Dvd Calendar'!$AM$143)=0,"",IF(('Dvd Calendar'!$AM$143&gt;=GRID_FROM)*('Dvd Calendar'!$AM$143&lt;=GRID_TO)*('Dvd Calendar'!$AM$143&lt;=VAL_DATE)=0,"",'Dvd Calendar'!$AM$143*1000000000+ISNUMBER('Dvd Calendar'!$AM$146)*100000000+('Dvd Calendar'!$AM$148=SPECIAL_LBL)*10000000+0*1000000+13*1000+35))</f>
        <v/>
      </c>
      <c r="FN24" s="35">
        <f>IF(N('Dvd Calendar'!$AN$143)=0,"",IF(('Dvd Calendar'!$AN$143&gt;=GRID_FROM)*('Dvd Calendar'!$AN$143&lt;=GRID_TO)*('Dvd Calendar'!$AN$143&lt;=VAL_DATE)=0,"",'Dvd Calendar'!$AN$143*1000000000+ISNUMBER('Dvd Calendar'!$AN$146)*100000000+('Dvd Calendar'!$AN$148=SPECIAL_LBL)*10000000+0*1000000+13*1000+36))</f>
        <v/>
      </c>
      <c r="FO24" s="35">
        <f>IF(N('Dvd Calendar'!$AO$143)=0,"",IF(('Dvd Calendar'!$AO$143&gt;=GRID_FROM)*('Dvd Calendar'!$AO$143&lt;=GRID_TO)*('Dvd Calendar'!$AO$143&lt;=VAL_DATE)=0,"",'Dvd Calendar'!$AO$143*1000000000+ISNUMBER('Dvd Calendar'!$AO$146)*100000000+('Dvd Calendar'!$AO$148=SPECIAL_LBL)*10000000+0*1000000+13*1000+37))</f>
        <v/>
      </c>
      <c r="FP24" s="35">
        <f>IF(N('Dvd Calendar'!$AP$143)=0,"",IF(('Dvd Calendar'!$AP$143&gt;=GRID_FROM)*('Dvd Calendar'!$AP$143&lt;=GRID_TO)*('Dvd Calendar'!$AP$143&lt;=VAL_DATE)=0,"",'Dvd Calendar'!$AP$143*1000000000+ISNUMBER('Dvd Calendar'!$AP$146)*100000000+('Dvd Calendar'!$AP$148=SPECIAL_LBL)*10000000+0*1000000+13*1000+38))</f>
        <v/>
      </c>
      <c r="FQ24" s="35">
        <f>IF(N('Dvd Calendar'!$AQ$143)=0,"",IF(('Dvd Calendar'!$AQ$143&gt;=GRID_FROM)*('Dvd Calendar'!$AQ$143&lt;=GRID_TO)*('Dvd Calendar'!$AQ$143&lt;=VAL_DATE)=0,"",'Dvd Calendar'!$AQ$143*1000000000+ISNUMBER('Dvd Calendar'!$AQ$146)*100000000+('Dvd Calendar'!$AQ$148=SPECIAL_LBL)*10000000+0*1000000+13*1000+39))</f>
        <v/>
      </c>
      <c r="FR24" s="35">
        <f>IF(N('Dvd Calendar'!$AR$143)=0,"",IF(('Dvd Calendar'!$AR$143&gt;=GRID_FROM)*('Dvd Calendar'!$AR$143&lt;=GRID_TO)*('Dvd Calendar'!$AR$143&lt;=VAL_DATE)=0,"",'Dvd Calendar'!$AR$143*1000000000+ISNUMBER('Dvd Calendar'!$AR$146)*100000000+('Dvd Calendar'!$AR$148=SPECIAL_LBL)*10000000+0*1000000+13*1000+40))</f>
        <v/>
      </c>
      <c r="FS24" s="35">
        <f>IF(N('Dvd Calendar'!$E$150)=0,"",IF(('Dvd Calendar'!$E$150&gt;=GRID_FROM)*('Dvd Calendar'!$E$150&lt;=GRID_TO)*('Dvd Calendar'!$E$150&gt;VAL_DATE)=0,"",'Dvd Calendar'!$E$150*1000000000+ISNUMBER('Dvd Calendar'!$E$151)*100000000+0*10000000+(N('Dvd Calendar'!$E$149)&gt;0)*(N('Dvd Calendar'!$E$149)&lt;=VAL_SERIAL)*1000000+13*1000+41))</f>
        <v/>
      </c>
      <c r="FT24" s="35">
        <f>IF(N('Dvd Calendar'!$F$150)=0,"",IF(('Dvd Calendar'!$F$150&gt;=GRID_FROM)*('Dvd Calendar'!$F$150&lt;=GRID_TO)*('Dvd Calendar'!$F$150&gt;VAL_DATE)=0,"",'Dvd Calendar'!$F$150*1000000000+ISNUMBER('Dvd Calendar'!$F$151)*100000000+0*10000000+(N('Dvd Calendar'!$F$149)&gt;0)*(N('Dvd Calendar'!$F$149)&lt;=VAL_SERIAL)*1000000+13*1000+42))</f>
        <v/>
      </c>
      <c r="FU24" s="35">
        <f>IF(N('Dvd Calendar'!$G$150)=0,"",IF(('Dvd Calendar'!$G$150&gt;=GRID_FROM)*('Dvd Calendar'!$G$150&lt;=GRID_TO)*('Dvd Calendar'!$G$150&gt;VAL_DATE)=0,"",'Dvd Calendar'!$G$150*1000000000+ISNUMBER('Dvd Calendar'!$G$151)*100000000+0*10000000+(N('Dvd Calendar'!$G$149)&gt;0)*(N('Dvd Calendar'!$G$149)&lt;=VAL_SERIAL)*1000000+13*1000+43))</f>
        <v/>
      </c>
      <c r="FV24" s="35">
        <f>IF(N('Dvd Calendar'!$H$150)=0,"",IF(('Dvd Calendar'!$H$150&gt;=GRID_FROM)*('Dvd Calendar'!$H$150&lt;=GRID_TO)*('Dvd Calendar'!$H$150&gt;VAL_DATE)=0,"",'Dvd Calendar'!$H$150*1000000000+ISNUMBER('Dvd Calendar'!$H$151)*100000000+0*10000000+(N('Dvd Calendar'!$H$149)&gt;0)*(N('Dvd Calendar'!$H$149)&lt;=VAL_SERIAL)*1000000+13*1000+44))</f>
        <v/>
      </c>
      <c r="FW24" s="35">
        <f>IF(N('Dvd Calendar'!$I$150)=0,"",IF(('Dvd Calendar'!$I$150&gt;=GRID_FROM)*('Dvd Calendar'!$I$150&lt;=GRID_TO)*('Dvd Calendar'!$I$150&gt;VAL_DATE)=0,"",'Dvd Calendar'!$I$150*1000000000+ISNUMBER('Dvd Calendar'!$I$151)*100000000+0*10000000+(N('Dvd Calendar'!$I$149)&gt;0)*(N('Dvd Calendar'!$I$149)&lt;=VAL_SERIAL)*1000000+13*1000+45))</f>
        <v/>
      </c>
      <c r="FX24" s="35">
        <f>IF(N('Dvd Calendar'!$J$150)=0,"",IF(('Dvd Calendar'!$J$150&gt;=GRID_FROM)*('Dvd Calendar'!$J$150&lt;=GRID_TO)*('Dvd Calendar'!$J$150&gt;VAL_DATE)=0,"",'Dvd Calendar'!$J$150*1000000000+ISNUMBER('Dvd Calendar'!$J$151)*100000000+0*10000000+(N('Dvd Calendar'!$J$149)&gt;0)*(N('Dvd Calendar'!$J$149)&lt;=VAL_SERIAL)*1000000+13*1000+46))</f>
        <v/>
      </c>
      <c r="FY24" s="35">
        <f>IF(N('Dvd Calendar'!$K$150)=0,"",IF(('Dvd Calendar'!$K$150&gt;=GRID_FROM)*('Dvd Calendar'!$K$150&lt;=GRID_TO)*('Dvd Calendar'!$K$150&gt;VAL_DATE)=0,"",'Dvd Calendar'!$K$150*1000000000+ISNUMBER('Dvd Calendar'!$K$151)*100000000+0*10000000+(N('Dvd Calendar'!$K$149)&gt;0)*(N('Dvd Calendar'!$K$149)&lt;=VAL_SERIAL)*1000000+13*1000+47))</f>
        <v/>
      </c>
      <c r="FZ24" s="35">
        <f>IF(N('Dvd Calendar'!$L$150)=0,"",IF(('Dvd Calendar'!$L$150&gt;=GRID_FROM)*('Dvd Calendar'!$L$150&lt;=GRID_TO)*('Dvd Calendar'!$L$150&gt;VAL_DATE)=0,"",'Dvd Calendar'!$L$150*1000000000+ISNUMBER('Dvd Calendar'!$L$151)*100000000+0*10000000+(N('Dvd Calendar'!$L$149)&gt;0)*(N('Dvd Calendar'!$L$149)&lt;=VAL_SERIAL)*1000000+13*1000+48))</f>
        <v/>
      </c>
      <c r="GA24" s="35">
        <f>IF(N('Dvd Calendar'!$M$150)=0,"",IF(('Dvd Calendar'!$M$150&gt;=GRID_FROM)*('Dvd Calendar'!$M$150&lt;=GRID_TO)*('Dvd Calendar'!$M$150&gt;VAL_DATE)=0,"",'Dvd Calendar'!$M$150*1000000000+ISNUMBER('Dvd Calendar'!$M$151)*100000000+0*10000000+(N('Dvd Calendar'!$M$149)&gt;0)*(N('Dvd Calendar'!$M$149)&lt;=VAL_SERIAL)*1000000+13*1000+49))</f>
        <v/>
      </c>
      <c r="GB24" s="35">
        <f>IF(N('Dvd Calendar'!$N$150)=0,"",IF(('Dvd Calendar'!$N$150&gt;=GRID_FROM)*('Dvd Calendar'!$N$150&lt;=GRID_TO)*('Dvd Calendar'!$N$150&gt;VAL_DATE)=0,"",'Dvd Calendar'!$N$150*1000000000+ISNUMBER('Dvd Calendar'!$N$151)*100000000+0*10000000+(N('Dvd Calendar'!$N$149)&gt;0)*(N('Dvd Calendar'!$N$149)&lt;=VAL_SERIAL)*1000000+13*1000+50))</f>
        <v/>
      </c>
      <c r="GC24" s="35">
        <f>IF(N('Dvd Calendar'!$O$150)=0,"",IF(('Dvd Calendar'!$O$150&gt;=GRID_FROM)*('Dvd Calendar'!$O$150&lt;=GRID_TO)*('Dvd Calendar'!$O$150&gt;VAL_DATE)=0,"",'Dvd Calendar'!$O$150*1000000000+ISNUMBER('Dvd Calendar'!$O$151)*100000000+0*10000000+(N('Dvd Calendar'!$O$149)&gt;0)*(N('Dvd Calendar'!$O$149)&lt;=VAL_SERIAL)*1000000+13*1000+51))</f>
        <v/>
      </c>
      <c r="GD24" s="35">
        <f>IF(N('Dvd Calendar'!$P$150)=0,"",IF(('Dvd Calendar'!$P$150&gt;=GRID_FROM)*('Dvd Calendar'!$P$150&lt;=GRID_TO)*('Dvd Calendar'!$P$150&gt;VAL_DATE)=0,"",'Dvd Calendar'!$P$150*1000000000+ISNUMBER('Dvd Calendar'!$P$151)*100000000+0*10000000+(N('Dvd Calendar'!$P$149)&gt;0)*(N('Dvd Calendar'!$P$149)&lt;=VAL_SERIAL)*1000000+13*1000+52))</f>
        <v/>
      </c>
      <c r="GE24" s="35">
        <f>IF(N('Dvd Calendar'!$Q$150)=0,"",IF(('Dvd Calendar'!$Q$150&gt;=GRID_FROM)*('Dvd Calendar'!$Q$150&lt;=GRID_TO)*('Dvd Calendar'!$Q$150&gt;VAL_DATE)=0,"",'Dvd Calendar'!$Q$150*1000000000+ISNUMBER('Dvd Calendar'!$Q$151)*100000000+0*10000000+(N('Dvd Calendar'!$Q$149)&gt;0)*(N('Dvd Calendar'!$Q$149)&lt;=VAL_SERIAL)*1000000+13*1000+53))</f>
        <v/>
      </c>
      <c r="GF24" s="35">
        <f>IF(N('Dvd Calendar'!$R$150)=0,"",IF(('Dvd Calendar'!$R$150&gt;=GRID_FROM)*('Dvd Calendar'!$R$150&lt;=GRID_TO)*('Dvd Calendar'!$R$150&gt;VAL_DATE)=0,"",'Dvd Calendar'!$R$150*1000000000+ISNUMBER('Dvd Calendar'!$R$151)*100000000+0*10000000+(N('Dvd Calendar'!$R$149)&gt;0)*(N('Dvd Calendar'!$R$149)&lt;=VAL_SERIAL)*1000000+13*1000+54))</f>
        <v/>
      </c>
      <c r="GG24" s="35">
        <f>IF(N('Dvd Calendar'!$S$150)=0,"",IF(('Dvd Calendar'!$S$150&gt;=GRID_FROM)*('Dvd Calendar'!$S$150&lt;=GRID_TO)*('Dvd Calendar'!$S$150&gt;VAL_DATE)=0,"",'Dvd Calendar'!$S$150*1000000000+ISNUMBER('Dvd Calendar'!$S$151)*100000000+0*10000000+(N('Dvd Calendar'!$S$149)&gt;0)*(N('Dvd Calendar'!$S$149)&lt;=VAL_SERIAL)*1000000+13*1000+55))</f>
        <v/>
      </c>
      <c r="GH24" s="35">
        <f>IF(N('Dvd Calendar'!$T$150)=0,"",IF(('Dvd Calendar'!$T$150&gt;=GRID_FROM)*('Dvd Calendar'!$T$150&lt;=GRID_TO)*('Dvd Calendar'!$T$150&gt;VAL_DATE)=0,"",'Dvd Calendar'!$T$150*1000000000+ISNUMBER('Dvd Calendar'!$T$151)*100000000+0*10000000+(N('Dvd Calendar'!$T$149)&gt;0)*(N('Dvd Calendar'!$T$149)&lt;=VAL_SERIAL)*1000000+13*1000+56))</f>
        <v/>
      </c>
      <c r="GI24" s="35">
        <f>IF(N('Dvd Calendar'!$U$150)=0,"",IF(('Dvd Calendar'!$U$150&gt;=GRID_FROM)*('Dvd Calendar'!$U$150&lt;=GRID_TO)*('Dvd Calendar'!$U$150&gt;VAL_DATE)=0,"",'Dvd Calendar'!$U$150*1000000000+ISNUMBER('Dvd Calendar'!$U$151)*100000000+0*10000000+(N('Dvd Calendar'!$U$149)&gt;0)*(N('Dvd Calendar'!$U$149)&lt;=VAL_SERIAL)*1000000+13*1000+57))</f>
        <v/>
      </c>
      <c r="GJ24" s="35">
        <f>IF(N('Dvd Calendar'!$V$150)=0,"",IF(('Dvd Calendar'!$V$150&gt;=GRID_FROM)*('Dvd Calendar'!$V$150&lt;=GRID_TO)*('Dvd Calendar'!$V$150&gt;VAL_DATE)=0,"",'Dvd Calendar'!$V$150*1000000000+ISNUMBER('Dvd Calendar'!$V$151)*100000000+0*10000000+(N('Dvd Calendar'!$V$149)&gt;0)*(N('Dvd Calendar'!$V$149)&lt;=VAL_SERIAL)*1000000+13*1000+58))</f>
        <v/>
      </c>
      <c r="GK24" s="35">
        <f>IF(N('Dvd Calendar'!$W$150)=0,"",IF(('Dvd Calendar'!$W$150&gt;=GRID_FROM)*('Dvd Calendar'!$W$150&lt;=GRID_TO)*('Dvd Calendar'!$W$150&gt;VAL_DATE)=0,"",'Dvd Calendar'!$W$150*1000000000+ISNUMBER('Dvd Calendar'!$W$151)*100000000+0*10000000+(N('Dvd Calendar'!$W$149)&gt;0)*(N('Dvd Calendar'!$W$149)&lt;=VAL_SERIAL)*1000000+13*1000+59))</f>
        <v/>
      </c>
      <c r="GL24" s="35">
        <f>IF(N('Dvd Calendar'!$X$150)=0,"",IF(('Dvd Calendar'!$X$150&gt;=GRID_FROM)*('Dvd Calendar'!$X$150&lt;=GRID_TO)*('Dvd Calendar'!$X$150&gt;VAL_DATE)=0,"",'Dvd Calendar'!$X$150*1000000000+ISNUMBER('Dvd Calendar'!$X$151)*100000000+0*10000000+(N('Dvd Calendar'!$X$149)&gt;0)*(N('Dvd Calendar'!$X$149)&lt;=VAL_SERIAL)*1000000+13*1000+60))</f>
        <v/>
      </c>
      <c r="GM24" s="35">
        <f>IF(N('Dvd Calendar'!$Y$150)=0,"",IF(('Dvd Calendar'!$Y$150&gt;=GRID_FROM)*('Dvd Calendar'!$Y$150&lt;=GRID_TO)*('Dvd Calendar'!$Y$150&gt;VAL_DATE)=0,"",'Dvd Calendar'!$Y$150*1000000000+ISNUMBER('Dvd Calendar'!$Y$151)*100000000+0*10000000+(N('Dvd Calendar'!$Y$149)&gt;0)*(N('Dvd Calendar'!$Y$149)&lt;=VAL_SERIAL)*1000000+13*1000+61))</f>
        <v/>
      </c>
      <c r="GN24" s="35">
        <f>IF(N('Dvd Calendar'!$Z$150)=0,"",IF(('Dvd Calendar'!$Z$150&gt;=GRID_FROM)*('Dvd Calendar'!$Z$150&lt;=GRID_TO)*('Dvd Calendar'!$Z$150&gt;VAL_DATE)=0,"",'Dvd Calendar'!$Z$150*1000000000+ISNUMBER('Dvd Calendar'!$Z$151)*100000000+0*10000000+(N('Dvd Calendar'!$Z$149)&gt;0)*(N('Dvd Calendar'!$Z$149)&lt;=VAL_SERIAL)*1000000+13*1000+62))</f>
        <v/>
      </c>
      <c r="GO24" s="35">
        <f>IF(N('Dvd Calendar'!$AA$150)=0,"",IF(('Dvd Calendar'!$AA$150&gt;=GRID_FROM)*('Dvd Calendar'!$AA$150&lt;=GRID_TO)*('Dvd Calendar'!$AA$150&gt;VAL_DATE)=0,"",'Dvd Calendar'!$AA$150*1000000000+ISNUMBER('Dvd Calendar'!$AA$151)*100000000+0*10000000+(N('Dvd Calendar'!$AA$149)&gt;0)*(N('Dvd Calendar'!$AA$149)&lt;=VAL_SERIAL)*1000000+13*1000+63))</f>
        <v/>
      </c>
      <c r="GP24" s="35">
        <f>IF(N('Dvd Calendar'!$AB$150)=0,"",IF(('Dvd Calendar'!$AB$150&gt;=GRID_FROM)*('Dvd Calendar'!$AB$150&lt;=GRID_TO)*('Dvd Calendar'!$AB$150&gt;VAL_DATE)=0,"",'Dvd Calendar'!$AB$150*1000000000+ISNUMBER('Dvd Calendar'!$AB$151)*100000000+0*10000000+(N('Dvd Calendar'!$AB$149)&gt;0)*(N('Dvd Calendar'!$AB$149)&lt;=VAL_SERIAL)*1000000+13*1000+64))</f>
        <v/>
      </c>
      <c r="GQ24" s="35">
        <f>IF(N('Dvd Calendar'!$AC$150)=0,"",IF(('Dvd Calendar'!$AC$150&gt;=GRID_FROM)*('Dvd Calendar'!$AC$150&lt;=GRID_TO)*('Dvd Calendar'!$AC$150&gt;VAL_DATE)=0,"",'Dvd Calendar'!$AC$150*1000000000+ISNUMBER('Dvd Calendar'!$AC$151)*100000000+0*10000000+(N('Dvd Calendar'!$AC$149)&gt;0)*(N('Dvd Calendar'!$AC$149)&lt;=VAL_SERIAL)*1000000+13*1000+65))</f>
        <v/>
      </c>
    </row>
    <row r="25">
      <c r="B25" s="2">
        <f>IF(HSI!$C$20="","",HSI!$C$20)</f>
        <v/>
      </c>
      <c r="C25" s="106">
        <f>IF(EE25="","",IF(ISNUMBER('Dvd Calendar'!$E$157)=FALSE,"",IF((('Dvd Calendar'!$E$159=TYPE1)*(TYPE1&lt;&gt;"")+('Dvd Calendar'!$E$159=TYPE2)*(TYPE2&lt;&gt;"")+('Dvd Calendar'!$E$159=TYPE3)*(TYPE3&lt;&gt;"")+('Dvd Calendar'!$E$159=TYPE4)*(TYPE4&lt;&gt;"")+('Dvd Calendar'!$E$159=SPECIAL_LBL)*(INC_SPECIALS="Y"))=0,"",'Dvd Calendar'!$E$157)))</f>
        <v/>
      </c>
      <c r="D25" s="106">
        <f>IF(EF25="","",IF(ISNUMBER('Dvd Calendar'!$F$157)=FALSE,"",IF((('Dvd Calendar'!$F$159=TYPE1)*(TYPE1&lt;&gt;"")+('Dvd Calendar'!$F$159=TYPE2)*(TYPE2&lt;&gt;"")+('Dvd Calendar'!$F$159=TYPE3)*(TYPE3&lt;&gt;"")+('Dvd Calendar'!$F$159=TYPE4)*(TYPE4&lt;&gt;"")+('Dvd Calendar'!$F$159=SPECIAL_LBL)*(INC_SPECIALS="Y"))=0,"",'Dvd Calendar'!$F$157)))</f>
        <v/>
      </c>
      <c r="E25" s="106">
        <f>IF(EG25="","",IF(ISNUMBER('Dvd Calendar'!$G$157)=FALSE,"",IF((('Dvd Calendar'!$G$159=TYPE1)*(TYPE1&lt;&gt;"")+('Dvd Calendar'!$G$159=TYPE2)*(TYPE2&lt;&gt;"")+('Dvd Calendar'!$G$159=TYPE3)*(TYPE3&lt;&gt;"")+('Dvd Calendar'!$G$159=TYPE4)*(TYPE4&lt;&gt;"")+('Dvd Calendar'!$G$159=SPECIAL_LBL)*(INC_SPECIALS="Y"))=0,"",'Dvd Calendar'!$G$157)))</f>
        <v/>
      </c>
      <c r="F25" s="106">
        <f>IF(EH25="","",IF(ISNUMBER('Dvd Calendar'!$H$157)=FALSE,"",IF((('Dvd Calendar'!$H$159=TYPE1)*(TYPE1&lt;&gt;"")+('Dvd Calendar'!$H$159=TYPE2)*(TYPE2&lt;&gt;"")+('Dvd Calendar'!$H$159=TYPE3)*(TYPE3&lt;&gt;"")+('Dvd Calendar'!$H$159=TYPE4)*(TYPE4&lt;&gt;"")+('Dvd Calendar'!$H$159=SPECIAL_LBL)*(INC_SPECIALS="Y"))=0,"",'Dvd Calendar'!$H$157)))</f>
        <v/>
      </c>
      <c r="G25" s="106">
        <f>IF(EI25="","",IF(ISNUMBER('Dvd Calendar'!$I$157)=FALSE,"",IF((('Dvd Calendar'!$I$159=TYPE1)*(TYPE1&lt;&gt;"")+('Dvd Calendar'!$I$159=TYPE2)*(TYPE2&lt;&gt;"")+('Dvd Calendar'!$I$159=TYPE3)*(TYPE3&lt;&gt;"")+('Dvd Calendar'!$I$159=TYPE4)*(TYPE4&lt;&gt;"")+('Dvd Calendar'!$I$159=SPECIAL_LBL)*(INC_SPECIALS="Y"))=0,"",'Dvd Calendar'!$I$157)))</f>
        <v/>
      </c>
      <c r="H25" s="106">
        <f>IF(EJ25="","",IF(ISNUMBER('Dvd Calendar'!$J$157)=FALSE,"",IF((('Dvd Calendar'!$J$159=TYPE1)*(TYPE1&lt;&gt;"")+('Dvd Calendar'!$J$159=TYPE2)*(TYPE2&lt;&gt;"")+('Dvd Calendar'!$J$159=TYPE3)*(TYPE3&lt;&gt;"")+('Dvd Calendar'!$J$159=TYPE4)*(TYPE4&lt;&gt;"")+('Dvd Calendar'!$J$159=SPECIAL_LBL)*(INC_SPECIALS="Y"))=0,"",'Dvd Calendar'!$J$157)))</f>
        <v/>
      </c>
      <c r="I25" s="106">
        <f>IF(EK25="","",IF(ISNUMBER('Dvd Calendar'!$K$157)=FALSE,"",IF((('Dvd Calendar'!$K$159=TYPE1)*(TYPE1&lt;&gt;"")+('Dvd Calendar'!$K$159=TYPE2)*(TYPE2&lt;&gt;"")+('Dvd Calendar'!$K$159=TYPE3)*(TYPE3&lt;&gt;"")+('Dvd Calendar'!$K$159=TYPE4)*(TYPE4&lt;&gt;"")+('Dvd Calendar'!$K$159=SPECIAL_LBL)*(INC_SPECIALS="Y"))=0,"",'Dvd Calendar'!$K$157)))</f>
        <v/>
      </c>
      <c r="J25" s="106">
        <f>IF(EL25="","",IF(ISNUMBER('Dvd Calendar'!$L$157)=FALSE,"",IF((('Dvd Calendar'!$L$159=TYPE1)*(TYPE1&lt;&gt;"")+('Dvd Calendar'!$L$159=TYPE2)*(TYPE2&lt;&gt;"")+('Dvd Calendar'!$L$159=TYPE3)*(TYPE3&lt;&gt;"")+('Dvd Calendar'!$L$159=TYPE4)*(TYPE4&lt;&gt;"")+('Dvd Calendar'!$L$159=SPECIAL_LBL)*(INC_SPECIALS="Y"))=0,"",'Dvd Calendar'!$L$157)))</f>
        <v/>
      </c>
      <c r="K25" s="106">
        <f>IF(EM25="","",IF(ISNUMBER('Dvd Calendar'!$M$157)=FALSE,"",IF((('Dvd Calendar'!$M$159=TYPE1)*(TYPE1&lt;&gt;"")+('Dvd Calendar'!$M$159=TYPE2)*(TYPE2&lt;&gt;"")+('Dvd Calendar'!$M$159=TYPE3)*(TYPE3&lt;&gt;"")+('Dvd Calendar'!$M$159=TYPE4)*(TYPE4&lt;&gt;"")+('Dvd Calendar'!$M$159=SPECIAL_LBL)*(INC_SPECIALS="Y"))=0,"",'Dvd Calendar'!$M$157)))</f>
        <v/>
      </c>
      <c r="L25" s="106">
        <f>IF(EN25="","",IF(ISNUMBER('Dvd Calendar'!$N$157)=FALSE,"",IF((('Dvd Calendar'!$N$159=TYPE1)*(TYPE1&lt;&gt;"")+('Dvd Calendar'!$N$159=TYPE2)*(TYPE2&lt;&gt;"")+('Dvd Calendar'!$N$159=TYPE3)*(TYPE3&lt;&gt;"")+('Dvd Calendar'!$N$159=TYPE4)*(TYPE4&lt;&gt;"")+('Dvd Calendar'!$N$159=SPECIAL_LBL)*(INC_SPECIALS="Y"))=0,"",'Dvd Calendar'!$N$157)))</f>
        <v/>
      </c>
      <c r="M25" s="106">
        <f>IF(EO25="","",IF(ISNUMBER('Dvd Calendar'!$O$157)=FALSE,"",IF((('Dvd Calendar'!$O$159=TYPE1)*(TYPE1&lt;&gt;"")+('Dvd Calendar'!$O$159=TYPE2)*(TYPE2&lt;&gt;"")+('Dvd Calendar'!$O$159=TYPE3)*(TYPE3&lt;&gt;"")+('Dvd Calendar'!$O$159=TYPE4)*(TYPE4&lt;&gt;"")+('Dvd Calendar'!$O$159=SPECIAL_LBL)*(INC_SPECIALS="Y"))=0,"",'Dvd Calendar'!$O$157)))</f>
        <v/>
      </c>
      <c r="N25" s="106">
        <f>IF(EP25="","",IF(ISNUMBER('Dvd Calendar'!$P$157)=FALSE,"",IF((('Dvd Calendar'!$P$159=TYPE1)*(TYPE1&lt;&gt;"")+('Dvd Calendar'!$P$159=TYPE2)*(TYPE2&lt;&gt;"")+('Dvd Calendar'!$P$159=TYPE3)*(TYPE3&lt;&gt;"")+('Dvd Calendar'!$P$159=TYPE4)*(TYPE4&lt;&gt;"")+('Dvd Calendar'!$P$159=SPECIAL_LBL)*(INC_SPECIALS="Y"))=0,"",'Dvd Calendar'!$P$157)))</f>
        <v/>
      </c>
      <c r="O25" s="106">
        <f>IF(EQ25="","",IF(ISNUMBER('Dvd Calendar'!$Q$157)=FALSE,"",IF((('Dvd Calendar'!$Q$159=TYPE1)*(TYPE1&lt;&gt;"")+('Dvd Calendar'!$Q$159=TYPE2)*(TYPE2&lt;&gt;"")+('Dvd Calendar'!$Q$159=TYPE3)*(TYPE3&lt;&gt;"")+('Dvd Calendar'!$Q$159=TYPE4)*(TYPE4&lt;&gt;"")+('Dvd Calendar'!$Q$159=SPECIAL_LBL)*(INC_SPECIALS="Y"))=0,"",'Dvd Calendar'!$Q$157)))</f>
        <v/>
      </c>
      <c r="P25" s="106">
        <f>IF(ER25="","",IF(ISNUMBER('Dvd Calendar'!$R$157)=FALSE,"",IF((('Dvd Calendar'!$R$159=TYPE1)*(TYPE1&lt;&gt;"")+('Dvd Calendar'!$R$159=TYPE2)*(TYPE2&lt;&gt;"")+('Dvd Calendar'!$R$159=TYPE3)*(TYPE3&lt;&gt;"")+('Dvd Calendar'!$R$159=TYPE4)*(TYPE4&lt;&gt;"")+('Dvd Calendar'!$R$159=SPECIAL_LBL)*(INC_SPECIALS="Y"))=0,"",'Dvd Calendar'!$R$157)))</f>
        <v/>
      </c>
      <c r="Q25" s="106">
        <f>IF(ES25="","",IF(ISNUMBER('Dvd Calendar'!$S$157)=FALSE,"",IF((('Dvd Calendar'!$S$159=TYPE1)*(TYPE1&lt;&gt;"")+('Dvd Calendar'!$S$159=TYPE2)*(TYPE2&lt;&gt;"")+('Dvd Calendar'!$S$159=TYPE3)*(TYPE3&lt;&gt;"")+('Dvd Calendar'!$S$159=TYPE4)*(TYPE4&lt;&gt;"")+('Dvd Calendar'!$S$159=SPECIAL_LBL)*(INC_SPECIALS="Y"))=0,"",'Dvd Calendar'!$S$157)))</f>
        <v/>
      </c>
      <c r="R25" s="106">
        <f>IF(ET25="","",IF(ISNUMBER('Dvd Calendar'!$T$157)=FALSE,"",IF((('Dvd Calendar'!$T$159=TYPE1)*(TYPE1&lt;&gt;"")+('Dvd Calendar'!$T$159=TYPE2)*(TYPE2&lt;&gt;"")+('Dvd Calendar'!$T$159=TYPE3)*(TYPE3&lt;&gt;"")+('Dvd Calendar'!$T$159=TYPE4)*(TYPE4&lt;&gt;"")+('Dvd Calendar'!$T$159=SPECIAL_LBL)*(INC_SPECIALS="Y"))=0,"",'Dvd Calendar'!$T$157)))</f>
        <v/>
      </c>
      <c r="S25" s="106">
        <f>IF(EU25="","",IF(ISNUMBER('Dvd Calendar'!$U$157)=FALSE,"",IF((('Dvd Calendar'!$U$159=TYPE1)*(TYPE1&lt;&gt;"")+('Dvd Calendar'!$U$159=TYPE2)*(TYPE2&lt;&gt;"")+('Dvd Calendar'!$U$159=TYPE3)*(TYPE3&lt;&gt;"")+('Dvd Calendar'!$U$159=TYPE4)*(TYPE4&lt;&gt;"")+('Dvd Calendar'!$U$159=SPECIAL_LBL)*(INC_SPECIALS="Y"))=0,"",'Dvd Calendar'!$U$157)))</f>
        <v/>
      </c>
      <c r="T25" s="106">
        <f>IF(EV25="","",IF(ISNUMBER('Dvd Calendar'!$V$157)=FALSE,"",IF((('Dvd Calendar'!$V$159=TYPE1)*(TYPE1&lt;&gt;"")+('Dvd Calendar'!$V$159=TYPE2)*(TYPE2&lt;&gt;"")+('Dvd Calendar'!$V$159=TYPE3)*(TYPE3&lt;&gt;"")+('Dvd Calendar'!$V$159=TYPE4)*(TYPE4&lt;&gt;"")+('Dvd Calendar'!$V$159=SPECIAL_LBL)*(INC_SPECIALS="Y"))=0,"",'Dvd Calendar'!$V$157)))</f>
        <v/>
      </c>
      <c r="U25" s="106">
        <f>IF(EW25="","",IF(ISNUMBER('Dvd Calendar'!$W$157)=FALSE,"",IF((('Dvd Calendar'!$W$159=TYPE1)*(TYPE1&lt;&gt;"")+('Dvd Calendar'!$W$159=TYPE2)*(TYPE2&lt;&gt;"")+('Dvd Calendar'!$W$159=TYPE3)*(TYPE3&lt;&gt;"")+('Dvd Calendar'!$W$159=TYPE4)*(TYPE4&lt;&gt;"")+('Dvd Calendar'!$W$159=SPECIAL_LBL)*(INC_SPECIALS="Y"))=0,"",'Dvd Calendar'!$W$157)))</f>
        <v/>
      </c>
      <c r="V25" s="106">
        <f>IF(EX25="","",IF(ISNUMBER('Dvd Calendar'!$X$157)=FALSE,"",IF((('Dvd Calendar'!$X$159=TYPE1)*(TYPE1&lt;&gt;"")+('Dvd Calendar'!$X$159=TYPE2)*(TYPE2&lt;&gt;"")+('Dvd Calendar'!$X$159=TYPE3)*(TYPE3&lt;&gt;"")+('Dvd Calendar'!$X$159=TYPE4)*(TYPE4&lt;&gt;"")+('Dvd Calendar'!$X$159=SPECIAL_LBL)*(INC_SPECIALS="Y"))=0,"",'Dvd Calendar'!$X$157)))</f>
        <v/>
      </c>
      <c r="W25" s="106">
        <f>IF(EY25="","",IF(ISNUMBER('Dvd Calendar'!$Y$157)=FALSE,"",IF((('Dvd Calendar'!$Y$159=TYPE1)*(TYPE1&lt;&gt;"")+('Dvd Calendar'!$Y$159=TYPE2)*(TYPE2&lt;&gt;"")+('Dvd Calendar'!$Y$159=TYPE3)*(TYPE3&lt;&gt;"")+('Dvd Calendar'!$Y$159=TYPE4)*(TYPE4&lt;&gt;"")+('Dvd Calendar'!$Y$159=SPECIAL_LBL)*(INC_SPECIALS="Y"))=0,"",'Dvd Calendar'!$Y$157)))</f>
        <v/>
      </c>
      <c r="X25" s="106">
        <f>IF(EZ25="","",IF(ISNUMBER('Dvd Calendar'!$Z$157)=FALSE,"",IF((('Dvd Calendar'!$Z$159=TYPE1)*(TYPE1&lt;&gt;"")+('Dvd Calendar'!$Z$159=TYPE2)*(TYPE2&lt;&gt;"")+('Dvd Calendar'!$Z$159=TYPE3)*(TYPE3&lt;&gt;"")+('Dvd Calendar'!$Z$159=TYPE4)*(TYPE4&lt;&gt;"")+('Dvd Calendar'!$Z$159=SPECIAL_LBL)*(INC_SPECIALS="Y"))=0,"",'Dvd Calendar'!$Z$157)))</f>
        <v/>
      </c>
      <c r="Y25" s="106">
        <f>IF(FA25="","",IF(ISNUMBER('Dvd Calendar'!$AA$157)=FALSE,"",IF((('Dvd Calendar'!$AA$159=TYPE1)*(TYPE1&lt;&gt;"")+('Dvd Calendar'!$AA$159=TYPE2)*(TYPE2&lt;&gt;"")+('Dvd Calendar'!$AA$159=TYPE3)*(TYPE3&lt;&gt;"")+('Dvd Calendar'!$AA$159=TYPE4)*(TYPE4&lt;&gt;"")+('Dvd Calendar'!$AA$159=SPECIAL_LBL)*(INC_SPECIALS="Y"))=0,"",'Dvd Calendar'!$AA$157)))</f>
        <v/>
      </c>
      <c r="Z25" s="106">
        <f>IF(FB25="","",IF(ISNUMBER('Dvd Calendar'!$AB$157)=FALSE,"",IF((('Dvd Calendar'!$AB$159=TYPE1)*(TYPE1&lt;&gt;"")+('Dvd Calendar'!$AB$159=TYPE2)*(TYPE2&lt;&gt;"")+('Dvd Calendar'!$AB$159=TYPE3)*(TYPE3&lt;&gt;"")+('Dvd Calendar'!$AB$159=TYPE4)*(TYPE4&lt;&gt;"")+('Dvd Calendar'!$AB$159=SPECIAL_LBL)*(INC_SPECIALS="Y"))=0,"",'Dvd Calendar'!$AB$157)))</f>
        <v/>
      </c>
      <c r="AA25" s="106">
        <f>IF(FC25="","",IF(ISNUMBER('Dvd Calendar'!$AC$157)=FALSE,"",IF((('Dvd Calendar'!$AC$159=TYPE1)*(TYPE1&lt;&gt;"")+('Dvd Calendar'!$AC$159=TYPE2)*(TYPE2&lt;&gt;"")+('Dvd Calendar'!$AC$159=TYPE3)*(TYPE3&lt;&gt;"")+('Dvd Calendar'!$AC$159=TYPE4)*(TYPE4&lt;&gt;"")+('Dvd Calendar'!$AC$159=SPECIAL_LBL)*(INC_SPECIALS="Y"))=0,"",'Dvd Calendar'!$AC$157)))</f>
        <v/>
      </c>
      <c r="AB25" s="106">
        <f>IF(FD25="","",IF(ISNUMBER('Dvd Calendar'!$AD$157)=FALSE,"",IF((('Dvd Calendar'!$AD$159=TYPE1)*(TYPE1&lt;&gt;"")+('Dvd Calendar'!$AD$159=TYPE2)*(TYPE2&lt;&gt;"")+('Dvd Calendar'!$AD$159=TYPE3)*(TYPE3&lt;&gt;"")+('Dvd Calendar'!$AD$159=TYPE4)*(TYPE4&lt;&gt;"")+('Dvd Calendar'!$AD$159=SPECIAL_LBL)*(INC_SPECIALS="Y"))=0,"",'Dvd Calendar'!$AD$157)))</f>
        <v/>
      </c>
      <c r="AC25" s="106">
        <f>IF(FE25="","",IF(ISNUMBER('Dvd Calendar'!$AE$157)=FALSE,"",IF((('Dvd Calendar'!$AE$159=TYPE1)*(TYPE1&lt;&gt;"")+('Dvd Calendar'!$AE$159=TYPE2)*(TYPE2&lt;&gt;"")+('Dvd Calendar'!$AE$159=TYPE3)*(TYPE3&lt;&gt;"")+('Dvd Calendar'!$AE$159=TYPE4)*(TYPE4&lt;&gt;"")+('Dvd Calendar'!$AE$159=SPECIAL_LBL)*(INC_SPECIALS="Y"))=0,"",'Dvd Calendar'!$AE$157)))</f>
        <v/>
      </c>
      <c r="AD25" s="106">
        <f>IF(FF25="","",IF(ISNUMBER('Dvd Calendar'!$AF$157)=FALSE,"",IF((('Dvd Calendar'!$AF$159=TYPE1)*(TYPE1&lt;&gt;"")+('Dvd Calendar'!$AF$159=TYPE2)*(TYPE2&lt;&gt;"")+('Dvd Calendar'!$AF$159=TYPE3)*(TYPE3&lt;&gt;"")+('Dvd Calendar'!$AF$159=TYPE4)*(TYPE4&lt;&gt;"")+('Dvd Calendar'!$AF$159=SPECIAL_LBL)*(INC_SPECIALS="Y"))=0,"",'Dvd Calendar'!$AF$157)))</f>
        <v/>
      </c>
      <c r="AE25" s="106">
        <f>IF(FG25="","",IF(ISNUMBER('Dvd Calendar'!$AG$157)=FALSE,"",IF((('Dvd Calendar'!$AG$159=TYPE1)*(TYPE1&lt;&gt;"")+('Dvd Calendar'!$AG$159=TYPE2)*(TYPE2&lt;&gt;"")+('Dvd Calendar'!$AG$159=TYPE3)*(TYPE3&lt;&gt;"")+('Dvd Calendar'!$AG$159=TYPE4)*(TYPE4&lt;&gt;"")+('Dvd Calendar'!$AG$159=SPECIAL_LBL)*(INC_SPECIALS="Y"))=0,"",'Dvd Calendar'!$AG$157)))</f>
        <v/>
      </c>
      <c r="AF25" s="106">
        <f>IF(FH25="","",IF(ISNUMBER('Dvd Calendar'!$AH$157)=FALSE,"",IF((('Dvd Calendar'!$AH$159=TYPE1)*(TYPE1&lt;&gt;"")+('Dvd Calendar'!$AH$159=TYPE2)*(TYPE2&lt;&gt;"")+('Dvd Calendar'!$AH$159=TYPE3)*(TYPE3&lt;&gt;"")+('Dvd Calendar'!$AH$159=TYPE4)*(TYPE4&lt;&gt;"")+('Dvd Calendar'!$AH$159=SPECIAL_LBL)*(INC_SPECIALS="Y"))=0,"",'Dvd Calendar'!$AH$157)))</f>
        <v/>
      </c>
      <c r="AG25" s="106">
        <f>IF(FI25="","",IF(ISNUMBER('Dvd Calendar'!$AI$157)=FALSE,"",IF((('Dvd Calendar'!$AI$159=TYPE1)*(TYPE1&lt;&gt;"")+('Dvd Calendar'!$AI$159=TYPE2)*(TYPE2&lt;&gt;"")+('Dvd Calendar'!$AI$159=TYPE3)*(TYPE3&lt;&gt;"")+('Dvd Calendar'!$AI$159=TYPE4)*(TYPE4&lt;&gt;"")+('Dvd Calendar'!$AI$159=SPECIAL_LBL)*(INC_SPECIALS="Y"))=0,"",'Dvd Calendar'!$AI$157)))</f>
        <v/>
      </c>
      <c r="AH25" s="106">
        <f>IF(FJ25="","",IF(ISNUMBER('Dvd Calendar'!$AJ$157)=FALSE,"",IF((('Dvd Calendar'!$AJ$159=TYPE1)*(TYPE1&lt;&gt;"")+('Dvd Calendar'!$AJ$159=TYPE2)*(TYPE2&lt;&gt;"")+('Dvd Calendar'!$AJ$159=TYPE3)*(TYPE3&lt;&gt;"")+('Dvd Calendar'!$AJ$159=TYPE4)*(TYPE4&lt;&gt;"")+('Dvd Calendar'!$AJ$159=SPECIAL_LBL)*(INC_SPECIALS="Y"))=0,"",'Dvd Calendar'!$AJ$157)))</f>
        <v/>
      </c>
      <c r="AI25" s="106">
        <f>IF(FK25="","",IF(ISNUMBER('Dvd Calendar'!$AK$157)=FALSE,"",IF((('Dvd Calendar'!$AK$159=TYPE1)*(TYPE1&lt;&gt;"")+('Dvd Calendar'!$AK$159=TYPE2)*(TYPE2&lt;&gt;"")+('Dvd Calendar'!$AK$159=TYPE3)*(TYPE3&lt;&gt;"")+('Dvd Calendar'!$AK$159=TYPE4)*(TYPE4&lt;&gt;"")+('Dvd Calendar'!$AK$159=SPECIAL_LBL)*(INC_SPECIALS="Y"))=0,"",'Dvd Calendar'!$AK$157)))</f>
        <v/>
      </c>
      <c r="AJ25" s="106">
        <f>IF(FL25="","",IF(ISNUMBER('Dvd Calendar'!$AL$157)=FALSE,"",IF((('Dvd Calendar'!$AL$159=TYPE1)*(TYPE1&lt;&gt;"")+('Dvd Calendar'!$AL$159=TYPE2)*(TYPE2&lt;&gt;"")+('Dvd Calendar'!$AL$159=TYPE3)*(TYPE3&lt;&gt;"")+('Dvd Calendar'!$AL$159=TYPE4)*(TYPE4&lt;&gt;"")+('Dvd Calendar'!$AL$159=SPECIAL_LBL)*(INC_SPECIALS="Y"))=0,"",'Dvd Calendar'!$AL$157)))</f>
        <v/>
      </c>
      <c r="AK25" s="106">
        <f>IF(FM25="","",IF(ISNUMBER('Dvd Calendar'!$AM$157)=FALSE,"",IF((('Dvd Calendar'!$AM$159=TYPE1)*(TYPE1&lt;&gt;"")+('Dvd Calendar'!$AM$159=TYPE2)*(TYPE2&lt;&gt;"")+('Dvd Calendar'!$AM$159=TYPE3)*(TYPE3&lt;&gt;"")+('Dvd Calendar'!$AM$159=TYPE4)*(TYPE4&lt;&gt;"")+('Dvd Calendar'!$AM$159=SPECIAL_LBL)*(INC_SPECIALS="Y"))=0,"",'Dvd Calendar'!$AM$157)))</f>
        <v/>
      </c>
      <c r="AL25" s="106">
        <f>IF(FN25="","",IF(ISNUMBER('Dvd Calendar'!$AN$157)=FALSE,"",IF((('Dvd Calendar'!$AN$159=TYPE1)*(TYPE1&lt;&gt;"")+('Dvd Calendar'!$AN$159=TYPE2)*(TYPE2&lt;&gt;"")+('Dvd Calendar'!$AN$159=TYPE3)*(TYPE3&lt;&gt;"")+('Dvd Calendar'!$AN$159=TYPE4)*(TYPE4&lt;&gt;"")+('Dvd Calendar'!$AN$159=SPECIAL_LBL)*(INC_SPECIALS="Y"))=0,"",'Dvd Calendar'!$AN$157)))</f>
        <v/>
      </c>
      <c r="AM25" s="106">
        <f>IF(FO25="","",IF(ISNUMBER('Dvd Calendar'!$AO$157)=FALSE,"",IF((('Dvd Calendar'!$AO$159=TYPE1)*(TYPE1&lt;&gt;"")+('Dvd Calendar'!$AO$159=TYPE2)*(TYPE2&lt;&gt;"")+('Dvd Calendar'!$AO$159=TYPE3)*(TYPE3&lt;&gt;"")+('Dvd Calendar'!$AO$159=TYPE4)*(TYPE4&lt;&gt;"")+('Dvd Calendar'!$AO$159=SPECIAL_LBL)*(INC_SPECIALS="Y"))=0,"",'Dvd Calendar'!$AO$157)))</f>
        <v/>
      </c>
      <c r="AN25" s="106">
        <f>IF(FP25="","",IF(ISNUMBER('Dvd Calendar'!$AP$157)=FALSE,"",IF((('Dvd Calendar'!$AP$159=TYPE1)*(TYPE1&lt;&gt;"")+('Dvd Calendar'!$AP$159=TYPE2)*(TYPE2&lt;&gt;"")+('Dvd Calendar'!$AP$159=TYPE3)*(TYPE3&lt;&gt;"")+('Dvd Calendar'!$AP$159=TYPE4)*(TYPE4&lt;&gt;"")+('Dvd Calendar'!$AP$159=SPECIAL_LBL)*(INC_SPECIALS="Y"))=0,"",'Dvd Calendar'!$AP$157)))</f>
        <v/>
      </c>
      <c r="AO25" s="106">
        <f>IF(FQ25="","",IF(ISNUMBER('Dvd Calendar'!$AQ$157)=FALSE,"",IF((('Dvd Calendar'!$AQ$159=TYPE1)*(TYPE1&lt;&gt;"")+('Dvd Calendar'!$AQ$159=TYPE2)*(TYPE2&lt;&gt;"")+('Dvd Calendar'!$AQ$159=TYPE3)*(TYPE3&lt;&gt;"")+('Dvd Calendar'!$AQ$159=TYPE4)*(TYPE4&lt;&gt;"")+('Dvd Calendar'!$AQ$159=SPECIAL_LBL)*(INC_SPECIALS="Y"))=0,"",'Dvd Calendar'!$AQ$157)))</f>
        <v/>
      </c>
      <c r="AP25" s="106">
        <f>IF(FR25="","",IF(ISNUMBER('Dvd Calendar'!$AR$157)=FALSE,"",IF((('Dvd Calendar'!$AR$159=TYPE1)*(TYPE1&lt;&gt;"")+('Dvd Calendar'!$AR$159=TYPE2)*(TYPE2&lt;&gt;"")+('Dvd Calendar'!$AR$159=TYPE3)*(TYPE3&lt;&gt;"")+('Dvd Calendar'!$AR$159=TYPE4)*(TYPE4&lt;&gt;"")+('Dvd Calendar'!$AR$159=SPECIAL_LBL)*(INC_SPECIALS="Y"))=0,"",'Dvd Calendar'!$AR$157)))</f>
        <v/>
      </c>
      <c r="AQ25" s="106">
        <f>IF(FS25="","",IF(ISNUMBER('Dvd Calendar'!$E$162)=FALSE,"",'Dvd Calendar'!$E$162))</f>
        <v/>
      </c>
      <c r="AR25" s="106">
        <f>IF(FT25="","",IF(ISNUMBER('Dvd Calendar'!$F$162)=FALSE,"",'Dvd Calendar'!$F$162))</f>
        <v/>
      </c>
      <c r="AS25" s="106">
        <f>IF(FU25="","",IF(ISNUMBER('Dvd Calendar'!$G$162)=FALSE,"",'Dvd Calendar'!$G$162))</f>
        <v/>
      </c>
      <c r="AT25" s="106">
        <f>IF(FV25="","",IF(ISNUMBER('Dvd Calendar'!$H$162)=FALSE,"",'Dvd Calendar'!$H$162))</f>
        <v/>
      </c>
      <c r="AU25" s="106">
        <f>IF(FW25="","",IF(ISNUMBER('Dvd Calendar'!$I$162)=FALSE,"",'Dvd Calendar'!$I$162))</f>
        <v/>
      </c>
      <c r="AV25" s="106">
        <f>IF(FX25="","",IF(ISNUMBER('Dvd Calendar'!$J$162)=FALSE,"",'Dvd Calendar'!$J$162))</f>
        <v/>
      </c>
      <c r="AW25" s="106">
        <f>IF(FY25="","",IF(ISNUMBER('Dvd Calendar'!$K$162)=FALSE,"",'Dvd Calendar'!$K$162))</f>
        <v/>
      </c>
      <c r="AX25" s="106">
        <f>IF(FZ25="","",IF(ISNUMBER('Dvd Calendar'!$L$162)=FALSE,"",'Dvd Calendar'!$L$162))</f>
        <v/>
      </c>
      <c r="AY25" s="106">
        <f>IF(GA25="","",IF(ISNUMBER('Dvd Calendar'!$M$162)=FALSE,"",'Dvd Calendar'!$M$162))</f>
        <v/>
      </c>
      <c r="AZ25" s="106">
        <f>IF(GB25="","",IF(ISNUMBER('Dvd Calendar'!$N$162)=FALSE,"",'Dvd Calendar'!$N$162))</f>
        <v/>
      </c>
      <c r="BA25" s="106">
        <f>IF(GC25="","",IF(ISNUMBER('Dvd Calendar'!$O$162)=FALSE,"",'Dvd Calendar'!$O$162))</f>
        <v/>
      </c>
      <c r="BB25" s="106">
        <f>IF(GD25="","",IF(ISNUMBER('Dvd Calendar'!$P$162)=FALSE,"",'Dvd Calendar'!$P$162))</f>
        <v/>
      </c>
      <c r="BC25" s="106">
        <f>IF(GE25="","",IF(ISNUMBER('Dvd Calendar'!$Q$162)=FALSE,"",'Dvd Calendar'!$Q$162))</f>
        <v/>
      </c>
      <c r="BD25" s="106">
        <f>IF(GF25="","",IF(ISNUMBER('Dvd Calendar'!$R$162)=FALSE,"",'Dvd Calendar'!$R$162))</f>
        <v/>
      </c>
      <c r="BE25" s="106">
        <f>IF(GG25="","",IF(ISNUMBER('Dvd Calendar'!$S$162)=FALSE,"",'Dvd Calendar'!$S$162))</f>
        <v/>
      </c>
      <c r="BF25" s="106">
        <f>IF(GH25="","",IF(ISNUMBER('Dvd Calendar'!$T$162)=FALSE,"",'Dvd Calendar'!$T$162))</f>
        <v/>
      </c>
      <c r="BG25" s="106">
        <f>IF(GI25="","",IF(ISNUMBER('Dvd Calendar'!$U$162)=FALSE,"",'Dvd Calendar'!$U$162))</f>
        <v/>
      </c>
      <c r="BH25" s="106">
        <f>IF(GJ25="","",IF(ISNUMBER('Dvd Calendar'!$V$162)=FALSE,"",'Dvd Calendar'!$V$162))</f>
        <v/>
      </c>
      <c r="BI25" s="106">
        <f>IF(GK25="","",IF(ISNUMBER('Dvd Calendar'!$W$162)=FALSE,"",'Dvd Calendar'!$W$162))</f>
        <v/>
      </c>
      <c r="BJ25" s="106">
        <f>IF(GL25="","",IF(ISNUMBER('Dvd Calendar'!$X$162)=FALSE,"",'Dvd Calendar'!$X$162))</f>
        <v/>
      </c>
      <c r="BK25" s="106">
        <f>IF(GM25="","",IF(ISNUMBER('Dvd Calendar'!$Y$162)=FALSE,"",'Dvd Calendar'!$Y$162))</f>
        <v/>
      </c>
      <c r="BL25" s="106">
        <f>IF(GN25="","",IF(ISNUMBER('Dvd Calendar'!$Z$162)=FALSE,"",'Dvd Calendar'!$Z$162))</f>
        <v/>
      </c>
      <c r="BM25" s="106">
        <f>IF(GO25="","",IF(ISNUMBER('Dvd Calendar'!$AA$162)=FALSE,"",'Dvd Calendar'!$AA$162))</f>
        <v/>
      </c>
      <c r="BN25" s="106">
        <f>IF(GP25="","",IF(ISNUMBER('Dvd Calendar'!$AB$162)=FALSE,"",'Dvd Calendar'!$AB$162))</f>
        <v/>
      </c>
      <c r="BO25" s="106">
        <f>IF(GQ25="","",IF(ISNUMBER('Dvd Calendar'!$AC$162)=FALSE,"",'Dvd Calendar'!$AC$162))</f>
        <v/>
      </c>
      <c r="BQ25" s="106">
        <f>IF(C25="","",IFERROR(C25*HSI!$B$20*HSI!$G$20/HSI!$B$3,""))</f>
        <v/>
      </c>
      <c r="BR25" s="106">
        <f>IF(D25="","",IFERROR(D25*HSI!$B$20*HSI!$G$20/HSI!$B$3,""))</f>
        <v/>
      </c>
      <c r="BS25" s="106">
        <f>IF(E25="","",IFERROR(E25*HSI!$B$20*HSI!$G$20/HSI!$B$3,""))</f>
        <v/>
      </c>
      <c r="BT25" s="106">
        <f>IF(F25="","",IFERROR(F25*HSI!$B$20*HSI!$G$20/HSI!$B$3,""))</f>
        <v/>
      </c>
      <c r="BU25" s="106">
        <f>IF(G25="","",IFERROR(G25*HSI!$B$20*HSI!$G$20/HSI!$B$3,""))</f>
        <v/>
      </c>
      <c r="BV25" s="106">
        <f>IF(H25="","",IFERROR(H25*HSI!$B$20*HSI!$G$20/HSI!$B$3,""))</f>
        <v/>
      </c>
      <c r="BW25" s="106">
        <f>IF(I25="","",IFERROR(I25*HSI!$B$20*HSI!$G$20/HSI!$B$3,""))</f>
        <v/>
      </c>
      <c r="BX25" s="106">
        <f>IF(J25="","",IFERROR(J25*HSI!$B$20*HSI!$G$20/HSI!$B$3,""))</f>
        <v/>
      </c>
      <c r="BY25" s="106">
        <f>IF(K25="","",IFERROR(K25*HSI!$B$20*HSI!$G$20/HSI!$B$3,""))</f>
        <v/>
      </c>
      <c r="BZ25" s="106">
        <f>IF(L25="","",IFERROR(L25*HSI!$B$20*HSI!$G$20/HSI!$B$3,""))</f>
        <v/>
      </c>
      <c r="CA25" s="106">
        <f>IF(M25="","",IFERROR(M25*HSI!$B$20*HSI!$G$20/HSI!$B$3,""))</f>
        <v/>
      </c>
      <c r="CB25" s="106">
        <f>IF(N25="","",IFERROR(N25*HSI!$B$20*HSI!$G$20/HSI!$B$3,""))</f>
        <v/>
      </c>
      <c r="CC25" s="106">
        <f>IF(O25="","",IFERROR(O25*HSI!$B$20*HSI!$G$20/HSI!$B$3,""))</f>
        <v/>
      </c>
      <c r="CD25" s="106">
        <f>IF(P25="","",IFERROR(P25*HSI!$B$20*HSI!$G$20/HSI!$B$3,""))</f>
        <v/>
      </c>
      <c r="CE25" s="106">
        <f>IF(Q25="","",IFERROR(Q25*HSI!$B$20*HSI!$G$20/HSI!$B$3,""))</f>
        <v/>
      </c>
      <c r="CF25" s="106">
        <f>IF(R25="","",IFERROR(R25*HSI!$B$20*HSI!$G$20/HSI!$B$3,""))</f>
        <v/>
      </c>
      <c r="CG25" s="106">
        <f>IF(S25="","",IFERROR(S25*HSI!$B$20*HSI!$G$20/HSI!$B$3,""))</f>
        <v/>
      </c>
      <c r="CH25" s="106">
        <f>IF(T25="","",IFERROR(T25*HSI!$B$20*HSI!$G$20/HSI!$B$3,""))</f>
        <v/>
      </c>
      <c r="CI25" s="106">
        <f>IF(U25="","",IFERROR(U25*HSI!$B$20*HSI!$G$20/HSI!$B$3,""))</f>
        <v/>
      </c>
      <c r="CJ25" s="106">
        <f>IF(V25="","",IFERROR(V25*HSI!$B$20*HSI!$G$20/HSI!$B$3,""))</f>
        <v/>
      </c>
      <c r="CK25" s="106">
        <f>IF(W25="","",IFERROR(W25*HSI!$B$20*HSI!$G$20/HSI!$B$3,""))</f>
        <v/>
      </c>
      <c r="CL25" s="106">
        <f>IF(X25="","",IFERROR(X25*HSI!$B$20*HSI!$G$20/HSI!$B$3,""))</f>
        <v/>
      </c>
      <c r="CM25" s="106">
        <f>IF(Y25="","",IFERROR(Y25*HSI!$B$20*HSI!$G$20/HSI!$B$3,""))</f>
        <v/>
      </c>
      <c r="CN25" s="106">
        <f>IF(Z25="","",IFERROR(Z25*HSI!$B$20*HSI!$G$20/HSI!$B$3,""))</f>
        <v/>
      </c>
      <c r="CO25" s="106">
        <f>IF(AA25="","",IFERROR(AA25*HSI!$B$20*HSI!$G$20/HSI!$B$3,""))</f>
        <v/>
      </c>
      <c r="CP25" s="106">
        <f>IF(AB25="","",IFERROR(AB25*HSI!$B$20*HSI!$G$20/HSI!$B$3,""))</f>
        <v/>
      </c>
      <c r="CQ25" s="106">
        <f>IF(AC25="","",IFERROR(AC25*HSI!$B$20*HSI!$G$20/HSI!$B$3,""))</f>
        <v/>
      </c>
      <c r="CR25" s="106">
        <f>IF(AD25="","",IFERROR(AD25*HSI!$B$20*HSI!$G$20/HSI!$B$3,""))</f>
        <v/>
      </c>
      <c r="CS25" s="106">
        <f>IF(AE25="","",IFERROR(AE25*HSI!$B$20*HSI!$G$20/HSI!$B$3,""))</f>
        <v/>
      </c>
      <c r="CT25" s="106">
        <f>IF(AF25="","",IFERROR(AF25*HSI!$B$20*HSI!$G$20/HSI!$B$3,""))</f>
        <v/>
      </c>
      <c r="CU25" s="106">
        <f>IF(AG25="","",IFERROR(AG25*HSI!$B$20*HSI!$G$20/HSI!$B$3,""))</f>
        <v/>
      </c>
      <c r="CV25" s="106">
        <f>IF(AH25="","",IFERROR(AH25*HSI!$B$20*HSI!$G$20/HSI!$B$3,""))</f>
        <v/>
      </c>
      <c r="CW25" s="106">
        <f>IF(AI25="","",IFERROR(AI25*HSI!$B$20*HSI!$G$20/HSI!$B$3,""))</f>
        <v/>
      </c>
      <c r="CX25" s="106">
        <f>IF(AJ25="","",IFERROR(AJ25*HSI!$B$20*HSI!$G$20/HSI!$B$3,""))</f>
        <v/>
      </c>
      <c r="CY25" s="106">
        <f>IF(AK25="","",IFERROR(AK25*HSI!$B$20*HSI!$G$20/HSI!$B$3,""))</f>
        <v/>
      </c>
      <c r="CZ25" s="106">
        <f>IF(AL25="","",IFERROR(AL25*HSI!$B$20*HSI!$G$20/HSI!$B$3,""))</f>
        <v/>
      </c>
      <c r="DA25" s="106">
        <f>IF(AM25="","",IFERROR(AM25*HSI!$B$20*HSI!$G$20/HSI!$B$3,""))</f>
        <v/>
      </c>
      <c r="DB25" s="106">
        <f>IF(AN25="","",IFERROR(AN25*HSI!$B$20*HSI!$G$20/HSI!$B$3,""))</f>
        <v/>
      </c>
      <c r="DC25" s="106">
        <f>IF(AO25="","",IFERROR(AO25*HSI!$B$20*HSI!$G$20/HSI!$B$3,""))</f>
        <v/>
      </c>
      <c r="DD25" s="106">
        <f>IF(AP25="","",IFERROR(AP25*HSI!$B$20*HSI!$G$20/HSI!$B$3,""))</f>
        <v/>
      </c>
      <c r="DE25" s="106">
        <f>IF(AQ25="","",IFERROR(AQ25*HSI!$B$20*HSI!$G$20/HSI!$B$3,""))</f>
        <v/>
      </c>
      <c r="DF25" s="106">
        <f>IF(AR25="","",IFERROR(AR25*HSI!$B$20*HSI!$G$20/HSI!$B$3,""))</f>
        <v/>
      </c>
      <c r="DG25" s="106">
        <f>IF(AS25="","",IFERROR(AS25*HSI!$B$20*HSI!$G$20/HSI!$B$3,""))</f>
        <v/>
      </c>
      <c r="DH25" s="106">
        <f>IF(AT25="","",IFERROR(AT25*HSI!$B$20*HSI!$G$20/HSI!$B$3,""))</f>
        <v/>
      </c>
      <c r="DI25" s="106">
        <f>IF(AU25="","",IFERROR(AU25*HSI!$B$20*HSI!$G$20/HSI!$B$3,""))</f>
        <v/>
      </c>
      <c r="DJ25" s="106">
        <f>IF(AV25="","",IFERROR(AV25*HSI!$B$20*HSI!$G$20/HSI!$B$3,""))</f>
        <v/>
      </c>
      <c r="DK25" s="106">
        <f>IF(AW25="","",IFERROR(AW25*HSI!$B$20*HSI!$G$20/HSI!$B$3,""))</f>
        <v/>
      </c>
      <c r="DL25" s="106">
        <f>IF(AX25="","",IFERROR(AX25*HSI!$B$20*HSI!$G$20/HSI!$B$3,""))</f>
        <v/>
      </c>
      <c r="DM25" s="106">
        <f>IF(AY25="","",IFERROR(AY25*HSI!$B$20*HSI!$G$20/HSI!$B$3,""))</f>
        <v/>
      </c>
      <c r="DN25" s="106">
        <f>IF(AZ25="","",IFERROR(AZ25*HSI!$B$20*HSI!$G$20/HSI!$B$3,""))</f>
        <v/>
      </c>
      <c r="DO25" s="106">
        <f>IF(BA25="","",IFERROR(BA25*HSI!$B$20*HSI!$G$20/HSI!$B$3,""))</f>
        <v/>
      </c>
      <c r="DP25" s="106">
        <f>IF(BB25="","",IFERROR(BB25*HSI!$B$20*HSI!$G$20/HSI!$B$3,""))</f>
        <v/>
      </c>
      <c r="DQ25" s="106">
        <f>IF(BC25="","",IFERROR(BC25*HSI!$B$20*HSI!$G$20/HSI!$B$3,""))</f>
        <v/>
      </c>
      <c r="DR25" s="106">
        <f>IF(BD25="","",IFERROR(BD25*HSI!$B$20*HSI!$G$20/HSI!$B$3,""))</f>
        <v/>
      </c>
      <c r="DS25" s="106">
        <f>IF(BE25="","",IFERROR(BE25*HSI!$B$20*HSI!$G$20/HSI!$B$3,""))</f>
        <v/>
      </c>
      <c r="DT25" s="106">
        <f>IF(BF25="","",IFERROR(BF25*HSI!$B$20*HSI!$G$20/HSI!$B$3,""))</f>
        <v/>
      </c>
      <c r="DU25" s="106">
        <f>IF(BG25="","",IFERROR(BG25*HSI!$B$20*HSI!$G$20/HSI!$B$3,""))</f>
        <v/>
      </c>
      <c r="DV25" s="106">
        <f>IF(BH25="","",IFERROR(BH25*HSI!$B$20*HSI!$G$20/HSI!$B$3,""))</f>
        <v/>
      </c>
      <c r="DW25" s="106">
        <f>IF(BI25="","",IFERROR(BI25*HSI!$B$20*HSI!$G$20/HSI!$B$3,""))</f>
        <v/>
      </c>
      <c r="DX25" s="106">
        <f>IF(BJ25="","",IFERROR(BJ25*HSI!$B$20*HSI!$G$20/HSI!$B$3,""))</f>
        <v/>
      </c>
      <c r="DY25" s="106">
        <f>IF(BK25="","",IFERROR(BK25*HSI!$B$20*HSI!$G$20/HSI!$B$3,""))</f>
        <v/>
      </c>
      <c r="DZ25" s="106">
        <f>IF(BL25="","",IFERROR(BL25*HSI!$B$20*HSI!$G$20/HSI!$B$3,""))</f>
        <v/>
      </c>
      <c r="EA25" s="106">
        <f>IF(BM25="","",IFERROR(BM25*HSI!$B$20*HSI!$G$20/HSI!$B$3,""))</f>
        <v/>
      </c>
      <c r="EB25" s="106">
        <f>IF(BN25="","",IFERROR(BN25*HSI!$B$20*HSI!$G$20/HSI!$B$3,""))</f>
        <v/>
      </c>
      <c r="EC25" s="106">
        <f>IF(BO25="","",IFERROR(BO25*HSI!$B$20*HSI!$G$20/HSI!$B$3,""))</f>
        <v/>
      </c>
      <c r="EE25" s="35">
        <f>IF(N('Dvd Calendar'!$E$154)=0,"",IF(('Dvd Calendar'!$E$154&gt;=GRID_FROM)*('Dvd Calendar'!$E$154&lt;=GRID_TO)*('Dvd Calendar'!$E$154&lt;=VAL_DATE)=0,"",'Dvd Calendar'!$E$154*1000000000+ISNUMBER('Dvd Calendar'!$E$157)*100000000+('Dvd Calendar'!$E$159=SPECIAL_LBL)*10000000+0*1000000+14*1000+1))</f>
        <v/>
      </c>
      <c r="EF25" s="35">
        <f>IF(N('Dvd Calendar'!$F$154)=0,"",IF(('Dvd Calendar'!$F$154&gt;=GRID_FROM)*('Dvd Calendar'!$F$154&lt;=GRID_TO)*('Dvd Calendar'!$F$154&lt;=VAL_DATE)=0,"",'Dvd Calendar'!$F$154*1000000000+ISNUMBER('Dvd Calendar'!$F$157)*100000000+('Dvd Calendar'!$F$159=SPECIAL_LBL)*10000000+0*1000000+14*1000+2))</f>
        <v/>
      </c>
      <c r="EG25" s="35">
        <f>IF(N('Dvd Calendar'!$G$154)=0,"",IF(('Dvd Calendar'!$G$154&gt;=GRID_FROM)*('Dvd Calendar'!$G$154&lt;=GRID_TO)*('Dvd Calendar'!$G$154&lt;=VAL_DATE)=0,"",'Dvd Calendar'!$G$154*1000000000+ISNUMBER('Dvd Calendar'!$G$157)*100000000+('Dvd Calendar'!$G$159=SPECIAL_LBL)*10000000+0*1000000+14*1000+3))</f>
        <v/>
      </c>
      <c r="EH25" s="35">
        <f>IF(N('Dvd Calendar'!$H$154)=0,"",IF(('Dvd Calendar'!$H$154&gt;=GRID_FROM)*('Dvd Calendar'!$H$154&lt;=GRID_TO)*('Dvd Calendar'!$H$154&lt;=VAL_DATE)=0,"",'Dvd Calendar'!$H$154*1000000000+ISNUMBER('Dvd Calendar'!$H$157)*100000000+('Dvd Calendar'!$H$159=SPECIAL_LBL)*10000000+0*1000000+14*1000+4))</f>
        <v/>
      </c>
      <c r="EI25" s="35">
        <f>IF(N('Dvd Calendar'!$I$154)=0,"",IF(('Dvd Calendar'!$I$154&gt;=GRID_FROM)*('Dvd Calendar'!$I$154&lt;=GRID_TO)*('Dvd Calendar'!$I$154&lt;=VAL_DATE)=0,"",'Dvd Calendar'!$I$154*1000000000+ISNUMBER('Dvd Calendar'!$I$157)*100000000+('Dvd Calendar'!$I$159=SPECIAL_LBL)*10000000+0*1000000+14*1000+5))</f>
        <v/>
      </c>
      <c r="EJ25" s="35">
        <f>IF(N('Dvd Calendar'!$J$154)=0,"",IF(('Dvd Calendar'!$J$154&gt;=GRID_FROM)*('Dvd Calendar'!$J$154&lt;=GRID_TO)*('Dvd Calendar'!$J$154&lt;=VAL_DATE)=0,"",'Dvd Calendar'!$J$154*1000000000+ISNUMBER('Dvd Calendar'!$J$157)*100000000+('Dvd Calendar'!$J$159=SPECIAL_LBL)*10000000+0*1000000+14*1000+6))</f>
        <v/>
      </c>
      <c r="EK25" s="35">
        <f>IF(N('Dvd Calendar'!$K$154)=0,"",IF(('Dvd Calendar'!$K$154&gt;=GRID_FROM)*('Dvd Calendar'!$K$154&lt;=GRID_TO)*('Dvd Calendar'!$K$154&lt;=VAL_DATE)=0,"",'Dvd Calendar'!$K$154*1000000000+ISNUMBER('Dvd Calendar'!$K$157)*100000000+('Dvd Calendar'!$K$159=SPECIAL_LBL)*10000000+0*1000000+14*1000+7))</f>
        <v/>
      </c>
      <c r="EL25" s="35">
        <f>IF(N('Dvd Calendar'!$L$154)=0,"",IF(('Dvd Calendar'!$L$154&gt;=GRID_FROM)*('Dvd Calendar'!$L$154&lt;=GRID_TO)*('Dvd Calendar'!$L$154&lt;=VAL_DATE)=0,"",'Dvd Calendar'!$L$154*1000000000+ISNUMBER('Dvd Calendar'!$L$157)*100000000+('Dvd Calendar'!$L$159=SPECIAL_LBL)*10000000+0*1000000+14*1000+8))</f>
        <v/>
      </c>
      <c r="EM25" s="35">
        <f>IF(N('Dvd Calendar'!$M$154)=0,"",IF(('Dvd Calendar'!$M$154&gt;=GRID_FROM)*('Dvd Calendar'!$M$154&lt;=GRID_TO)*('Dvd Calendar'!$M$154&lt;=VAL_DATE)=0,"",'Dvd Calendar'!$M$154*1000000000+ISNUMBER('Dvd Calendar'!$M$157)*100000000+('Dvd Calendar'!$M$159=SPECIAL_LBL)*10000000+0*1000000+14*1000+9))</f>
        <v/>
      </c>
      <c r="EN25" s="35">
        <f>IF(N('Dvd Calendar'!$N$154)=0,"",IF(('Dvd Calendar'!$N$154&gt;=GRID_FROM)*('Dvd Calendar'!$N$154&lt;=GRID_TO)*('Dvd Calendar'!$N$154&lt;=VAL_DATE)=0,"",'Dvd Calendar'!$N$154*1000000000+ISNUMBER('Dvd Calendar'!$N$157)*100000000+('Dvd Calendar'!$N$159=SPECIAL_LBL)*10000000+0*1000000+14*1000+10))</f>
        <v/>
      </c>
      <c r="EO25" s="35">
        <f>IF(N('Dvd Calendar'!$O$154)=0,"",IF(('Dvd Calendar'!$O$154&gt;=GRID_FROM)*('Dvd Calendar'!$O$154&lt;=GRID_TO)*('Dvd Calendar'!$O$154&lt;=VAL_DATE)=0,"",'Dvd Calendar'!$O$154*1000000000+ISNUMBER('Dvd Calendar'!$O$157)*100000000+('Dvd Calendar'!$O$159=SPECIAL_LBL)*10000000+0*1000000+14*1000+11))</f>
        <v/>
      </c>
      <c r="EP25" s="35">
        <f>IF(N('Dvd Calendar'!$P$154)=0,"",IF(('Dvd Calendar'!$P$154&gt;=GRID_FROM)*('Dvd Calendar'!$P$154&lt;=GRID_TO)*('Dvd Calendar'!$P$154&lt;=VAL_DATE)=0,"",'Dvd Calendar'!$P$154*1000000000+ISNUMBER('Dvd Calendar'!$P$157)*100000000+('Dvd Calendar'!$P$159=SPECIAL_LBL)*10000000+0*1000000+14*1000+12))</f>
        <v/>
      </c>
      <c r="EQ25" s="35">
        <f>IF(N('Dvd Calendar'!$Q$154)=0,"",IF(('Dvd Calendar'!$Q$154&gt;=GRID_FROM)*('Dvd Calendar'!$Q$154&lt;=GRID_TO)*('Dvd Calendar'!$Q$154&lt;=VAL_DATE)=0,"",'Dvd Calendar'!$Q$154*1000000000+ISNUMBER('Dvd Calendar'!$Q$157)*100000000+('Dvd Calendar'!$Q$159=SPECIAL_LBL)*10000000+0*1000000+14*1000+13))</f>
        <v/>
      </c>
      <c r="ER25" s="35">
        <f>IF(N('Dvd Calendar'!$R$154)=0,"",IF(('Dvd Calendar'!$R$154&gt;=GRID_FROM)*('Dvd Calendar'!$R$154&lt;=GRID_TO)*('Dvd Calendar'!$R$154&lt;=VAL_DATE)=0,"",'Dvd Calendar'!$R$154*1000000000+ISNUMBER('Dvd Calendar'!$R$157)*100000000+('Dvd Calendar'!$R$159=SPECIAL_LBL)*10000000+0*1000000+14*1000+14))</f>
        <v/>
      </c>
      <c r="ES25" s="35">
        <f>IF(N('Dvd Calendar'!$S$154)=0,"",IF(('Dvd Calendar'!$S$154&gt;=GRID_FROM)*('Dvd Calendar'!$S$154&lt;=GRID_TO)*('Dvd Calendar'!$S$154&lt;=VAL_DATE)=0,"",'Dvd Calendar'!$S$154*1000000000+ISNUMBER('Dvd Calendar'!$S$157)*100000000+('Dvd Calendar'!$S$159=SPECIAL_LBL)*10000000+0*1000000+14*1000+15))</f>
        <v/>
      </c>
      <c r="ET25" s="35">
        <f>IF(N('Dvd Calendar'!$T$154)=0,"",IF(('Dvd Calendar'!$T$154&gt;=GRID_FROM)*('Dvd Calendar'!$T$154&lt;=GRID_TO)*('Dvd Calendar'!$T$154&lt;=VAL_DATE)=0,"",'Dvd Calendar'!$T$154*1000000000+ISNUMBER('Dvd Calendar'!$T$157)*100000000+('Dvd Calendar'!$T$159=SPECIAL_LBL)*10000000+0*1000000+14*1000+16))</f>
        <v/>
      </c>
      <c r="EU25" s="35">
        <f>IF(N('Dvd Calendar'!$U$154)=0,"",IF(('Dvd Calendar'!$U$154&gt;=GRID_FROM)*('Dvd Calendar'!$U$154&lt;=GRID_TO)*('Dvd Calendar'!$U$154&lt;=VAL_DATE)=0,"",'Dvd Calendar'!$U$154*1000000000+ISNUMBER('Dvd Calendar'!$U$157)*100000000+('Dvd Calendar'!$U$159=SPECIAL_LBL)*10000000+0*1000000+14*1000+17))</f>
        <v/>
      </c>
      <c r="EV25" s="35">
        <f>IF(N('Dvd Calendar'!$V$154)=0,"",IF(('Dvd Calendar'!$V$154&gt;=GRID_FROM)*('Dvd Calendar'!$V$154&lt;=GRID_TO)*('Dvd Calendar'!$V$154&lt;=VAL_DATE)=0,"",'Dvd Calendar'!$V$154*1000000000+ISNUMBER('Dvd Calendar'!$V$157)*100000000+('Dvd Calendar'!$V$159=SPECIAL_LBL)*10000000+0*1000000+14*1000+18))</f>
        <v/>
      </c>
      <c r="EW25" s="35">
        <f>IF(N('Dvd Calendar'!$W$154)=0,"",IF(('Dvd Calendar'!$W$154&gt;=GRID_FROM)*('Dvd Calendar'!$W$154&lt;=GRID_TO)*('Dvd Calendar'!$W$154&lt;=VAL_DATE)=0,"",'Dvd Calendar'!$W$154*1000000000+ISNUMBER('Dvd Calendar'!$W$157)*100000000+('Dvd Calendar'!$W$159=SPECIAL_LBL)*10000000+0*1000000+14*1000+19))</f>
        <v/>
      </c>
      <c r="EX25" s="35">
        <f>IF(N('Dvd Calendar'!$X$154)=0,"",IF(('Dvd Calendar'!$X$154&gt;=GRID_FROM)*('Dvd Calendar'!$X$154&lt;=GRID_TO)*('Dvd Calendar'!$X$154&lt;=VAL_DATE)=0,"",'Dvd Calendar'!$X$154*1000000000+ISNUMBER('Dvd Calendar'!$X$157)*100000000+('Dvd Calendar'!$X$159=SPECIAL_LBL)*10000000+0*1000000+14*1000+20))</f>
        <v/>
      </c>
      <c r="EY25" s="35">
        <f>IF(N('Dvd Calendar'!$Y$154)=0,"",IF(('Dvd Calendar'!$Y$154&gt;=GRID_FROM)*('Dvd Calendar'!$Y$154&lt;=GRID_TO)*('Dvd Calendar'!$Y$154&lt;=VAL_DATE)=0,"",'Dvd Calendar'!$Y$154*1000000000+ISNUMBER('Dvd Calendar'!$Y$157)*100000000+('Dvd Calendar'!$Y$159=SPECIAL_LBL)*10000000+0*1000000+14*1000+21))</f>
        <v/>
      </c>
      <c r="EZ25" s="35">
        <f>IF(N('Dvd Calendar'!$Z$154)=0,"",IF(('Dvd Calendar'!$Z$154&gt;=GRID_FROM)*('Dvd Calendar'!$Z$154&lt;=GRID_TO)*('Dvd Calendar'!$Z$154&lt;=VAL_DATE)=0,"",'Dvd Calendar'!$Z$154*1000000000+ISNUMBER('Dvd Calendar'!$Z$157)*100000000+('Dvd Calendar'!$Z$159=SPECIAL_LBL)*10000000+0*1000000+14*1000+22))</f>
        <v/>
      </c>
      <c r="FA25" s="35">
        <f>IF(N('Dvd Calendar'!$AA$154)=0,"",IF(('Dvd Calendar'!$AA$154&gt;=GRID_FROM)*('Dvd Calendar'!$AA$154&lt;=GRID_TO)*('Dvd Calendar'!$AA$154&lt;=VAL_DATE)=0,"",'Dvd Calendar'!$AA$154*1000000000+ISNUMBER('Dvd Calendar'!$AA$157)*100000000+('Dvd Calendar'!$AA$159=SPECIAL_LBL)*10000000+0*1000000+14*1000+23))</f>
        <v/>
      </c>
      <c r="FB25" s="35">
        <f>IF(N('Dvd Calendar'!$AB$154)=0,"",IF(('Dvd Calendar'!$AB$154&gt;=GRID_FROM)*('Dvd Calendar'!$AB$154&lt;=GRID_TO)*('Dvd Calendar'!$AB$154&lt;=VAL_DATE)=0,"",'Dvd Calendar'!$AB$154*1000000000+ISNUMBER('Dvd Calendar'!$AB$157)*100000000+('Dvd Calendar'!$AB$159=SPECIAL_LBL)*10000000+0*1000000+14*1000+24))</f>
        <v/>
      </c>
      <c r="FC25" s="35">
        <f>IF(N('Dvd Calendar'!$AC$154)=0,"",IF(('Dvd Calendar'!$AC$154&gt;=GRID_FROM)*('Dvd Calendar'!$AC$154&lt;=GRID_TO)*('Dvd Calendar'!$AC$154&lt;=VAL_DATE)=0,"",'Dvd Calendar'!$AC$154*1000000000+ISNUMBER('Dvd Calendar'!$AC$157)*100000000+('Dvd Calendar'!$AC$159=SPECIAL_LBL)*10000000+0*1000000+14*1000+25))</f>
        <v/>
      </c>
      <c r="FD25" s="35">
        <f>IF(N('Dvd Calendar'!$AD$154)=0,"",IF(('Dvd Calendar'!$AD$154&gt;=GRID_FROM)*('Dvd Calendar'!$AD$154&lt;=GRID_TO)*('Dvd Calendar'!$AD$154&lt;=VAL_DATE)=0,"",'Dvd Calendar'!$AD$154*1000000000+ISNUMBER('Dvd Calendar'!$AD$157)*100000000+('Dvd Calendar'!$AD$159=SPECIAL_LBL)*10000000+0*1000000+14*1000+26))</f>
        <v/>
      </c>
      <c r="FE25" s="35">
        <f>IF(N('Dvd Calendar'!$AE$154)=0,"",IF(('Dvd Calendar'!$AE$154&gt;=GRID_FROM)*('Dvd Calendar'!$AE$154&lt;=GRID_TO)*('Dvd Calendar'!$AE$154&lt;=VAL_DATE)=0,"",'Dvd Calendar'!$AE$154*1000000000+ISNUMBER('Dvd Calendar'!$AE$157)*100000000+('Dvd Calendar'!$AE$159=SPECIAL_LBL)*10000000+0*1000000+14*1000+27))</f>
        <v/>
      </c>
      <c r="FF25" s="35">
        <f>IF(N('Dvd Calendar'!$AF$154)=0,"",IF(('Dvd Calendar'!$AF$154&gt;=GRID_FROM)*('Dvd Calendar'!$AF$154&lt;=GRID_TO)*('Dvd Calendar'!$AF$154&lt;=VAL_DATE)=0,"",'Dvd Calendar'!$AF$154*1000000000+ISNUMBER('Dvd Calendar'!$AF$157)*100000000+('Dvd Calendar'!$AF$159=SPECIAL_LBL)*10000000+0*1000000+14*1000+28))</f>
        <v/>
      </c>
      <c r="FG25" s="35">
        <f>IF(N('Dvd Calendar'!$AG$154)=0,"",IF(('Dvd Calendar'!$AG$154&gt;=GRID_FROM)*('Dvd Calendar'!$AG$154&lt;=GRID_TO)*('Dvd Calendar'!$AG$154&lt;=VAL_DATE)=0,"",'Dvd Calendar'!$AG$154*1000000000+ISNUMBER('Dvd Calendar'!$AG$157)*100000000+('Dvd Calendar'!$AG$159=SPECIAL_LBL)*10000000+0*1000000+14*1000+29))</f>
        <v/>
      </c>
      <c r="FH25" s="35">
        <f>IF(N('Dvd Calendar'!$AH$154)=0,"",IF(('Dvd Calendar'!$AH$154&gt;=GRID_FROM)*('Dvd Calendar'!$AH$154&lt;=GRID_TO)*('Dvd Calendar'!$AH$154&lt;=VAL_DATE)=0,"",'Dvd Calendar'!$AH$154*1000000000+ISNUMBER('Dvd Calendar'!$AH$157)*100000000+('Dvd Calendar'!$AH$159=SPECIAL_LBL)*10000000+0*1000000+14*1000+30))</f>
        <v/>
      </c>
      <c r="FI25" s="35">
        <f>IF(N('Dvd Calendar'!$AI$154)=0,"",IF(('Dvd Calendar'!$AI$154&gt;=GRID_FROM)*('Dvd Calendar'!$AI$154&lt;=GRID_TO)*('Dvd Calendar'!$AI$154&lt;=VAL_DATE)=0,"",'Dvd Calendar'!$AI$154*1000000000+ISNUMBER('Dvd Calendar'!$AI$157)*100000000+('Dvd Calendar'!$AI$159=SPECIAL_LBL)*10000000+0*1000000+14*1000+31))</f>
        <v/>
      </c>
      <c r="FJ25" s="35">
        <f>IF(N('Dvd Calendar'!$AJ$154)=0,"",IF(('Dvd Calendar'!$AJ$154&gt;=GRID_FROM)*('Dvd Calendar'!$AJ$154&lt;=GRID_TO)*('Dvd Calendar'!$AJ$154&lt;=VAL_DATE)=0,"",'Dvd Calendar'!$AJ$154*1000000000+ISNUMBER('Dvd Calendar'!$AJ$157)*100000000+('Dvd Calendar'!$AJ$159=SPECIAL_LBL)*10000000+0*1000000+14*1000+32))</f>
        <v/>
      </c>
      <c r="FK25" s="35">
        <f>IF(N('Dvd Calendar'!$AK$154)=0,"",IF(('Dvd Calendar'!$AK$154&gt;=GRID_FROM)*('Dvd Calendar'!$AK$154&lt;=GRID_TO)*('Dvd Calendar'!$AK$154&lt;=VAL_DATE)=0,"",'Dvd Calendar'!$AK$154*1000000000+ISNUMBER('Dvd Calendar'!$AK$157)*100000000+('Dvd Calendar'!$AK$159=SPECIAL_LBL)*10000000+0*1000000+14*1000+33))</f>
        <v/>
      </c>
      <c r="FL25" s="35">
        <f>IF(N('Dvd Calendar'!$AL$154)=0,"",IF(('Dvd Calendar'!$AL$154&gt;=GRID_FROM)*('Dvd Calendar'!$AL$154&lt;=GRID_TO)*('Dvd Calendar'!$AL$154&lt;=VAL_DATE)=0,"",'Dvd Calendar'!$AL$154*1000000000+ISNUMBER('Dvd Calendar'!$AL$157)*100000000+('Dvd Calendar'!$AL$159=SPECIAL_LBL)*10000000+0*1000000+14*1000+34))</f>
        <v/>
      </c>
      <c r="FM25" s="35">
        <f>IF(N('Dvd Calendar'!$AM$154)=0,"",IF(('Dvd Calendar'!$AM$154&gt;=GRID_FROM)*('Dvd Calendar'!$AM$154&lt;=GRID_TO)*('Dvd Calendar'!$AM$154&lt;=VAL_DATE)=0,"",'Dvd Calendar'!$AM$154*1000000000+ISNUMBER('Dvd Calendar'!$AM$157)*100000000+('Dvd Calendar'!$AM$159=SPECIAL_LBL)*10000000+0*1000000+14*1000+35))</f>
        <v/>
      </c>
      <c r="FN25" s="35">
        <f>IF(N('Dvd Calendar'!$AN$154)=0,"",IF(('Dvd Calendar'!$AN$154&gt;=GRID_FROM)*('Dvd Calendar'!$AN$154&lt;=GRID_TO)*('Dvd Calendar'!$AN$154&lt;=VAL_DATE)=0,"",'Dvd Calendar'!$AN$154*1000000000+ISNUMBER('Dvd Calendar'!$AN$157)*100000000+('Dvd Calendar'!$AN$159=SPECIAL_LBL)*10000000+0*1000000+14*1000+36))</f>
        <v/>
      </c>
      <c r="FO25" s="35">
        <f>IF(N('Dvd Calendar'!$AO$154)=0,"",IF(('Dvd Calendar'!$AO$154&gt;=GRID_FROM)*('Dvd Calendar'!$AO$154&lt;=GRID_TO)*('Dvd Calendar'!$AO$154&lt;=VAL_DATE)=0,"",'Dvd Calendar'!$AO$154*1000000000+ISNUMBER('Dvd Calendar'!$AO$157)*100000000+('Dvd Calendar'!$AO$159=SPECIAL_LBL)*10000000+0*1000000+14*1000+37))</f>
        <v/>
      </c>
      <c r="FP25" s="35">
        <f>IF(N('Dvd Calendar'!$AP$154)=0,"",IF(('Dvd Calendar'!$AP$154&gt;=GRID_FROM)*('Dvd Calendar'!$AP$154&lt;=GRID_TO)*('Dvd Calendar'!$AP$154&lt;=VAL_DATE)=0,"",'Dvd Calendar'!$AP$154*1000000000+ISNUMBER('Dvd Calendar'!$AP$157)*100000000+('Dvd Calendar'!$AP$159=SPECIAL_LBL)*10000000+0*1000000+14*1000+38))</f>
        <v/>
      </c>
      <c r="FQ25" s="35">
        <f>IF(N('Dvd Calendar'!$AQ$154)=0,"",IF(('Dvd Calendar'!$AQ$154&gt;=GRID_FROM)*('Dvd Calendar'!$AQ$154&lt;=GRID_TO)*('Dvd Calendar'!$AQ$154&lt;=VAL_DATE)=0,"",'Dvd Calendar'!$AQ$154*1000000000+ISNUMBER('Dvd Calendar'!$AQ$157)*100000000+('Dvd Calendar'!$AQ$159=SPECIAL_LBL)*10000000+0*1000000+14*1000+39))</f>
        <v/>
      </c>
      <c r="FR25" s="35">
        <f>IF(N('Dvd Calendar'!$AR$154)=0,"",IF(('Dvd Calendar'!$AR$154&gt;=GRID_FROM)*('Dvd Calendar'!$AR$154&lt;=GRID_TO)*('Dvd Calendar'!$AR$154&lt;=VAL_DATE)=0,"",'Dvd Calendar'!$AR$154*1000000000+ISNUMBER('Dvd Calendar'!$AR$157)*100000000+('Dvd Calendar'!$AR$159=SPECIAL_LBL)*10000000+0*1000000+14*1000+40))</f>
        <v/>
      </c>
      <c r="FS25" s="35">
        <f>IF(N('Dvd Calendar'!$E$161)=0,"",IF(('Dvd Calendar'!$E$161&gt;=GRID_FROM)*('Dvd Calendar'!$E$161&lt;=GRID_TO)*('Dvd Calendar'!$E$161&gt;VAL_DATE)=0,"",'Dvd Calendar'!$E$161*1000000000+ISNUMBER('Dvd Calendar'!$E$162)*100000000+0*10000000+(N('Dvd Calendar'!$E$160)&gt;0)*(N('Dvd Calendar'!$E$160)&lt;=VAL_SERIAL)*1000000+14*1000+41))</f>
        <v/>
      </c>
      <c r="FT25" s="35">
        <f>IF(N('Dvd Calendar'!$F$161)=0,"",IF(('Dvd Calendar'!$F$161&gt;=GRID_FROM)*('Dvd Calendar'!$F$161&lt;=GRID_TO)*('Dvd Calendar'!$F$161&gt;VAL_DATE)=0,"",'Dvd Calendar'!$F$161*1000000000+ISNUMBER('Dvd Calendar'!$F$162)*100000000+0*10000000+(N('Dvd Calendar'!$F$160)&gt;0)*(N('Dvd Calendar'!$F$160)&lt;=VAL_SERIAL)*1000000+14*1000+42))</f>
        <v/>
      </c>
      <c r="FU25" s="35">
        <f>IF(N('Dvd Calendar'!$G$161)=0,"",IF(('Dvd Calendar'!$G$161&gt;=GRID_FROM)*('Dvd Calendar'!$G$161&lt;=GRID_TO)*('Dvd Calendar'!$G$161&gt;VAL_DATE)=0,"",'Dvd Calendar'!$G$161*1000000000+ISNUMBER('Dvd Calendar'!$G$162)*100000000+0*10000000+(N('Dvd Calendar'!$G$160)&gt;0)*(N('Dvd Calendar'!$G$160)&lt;=VAL_SERIAL)*1000000+14*1000+43))</f>
        <v/>
      </c>
      <c r="FV25" s="35">
        <f>IF(N('Dvd Calendar'!$H$161)=0,"",IF(('Dvd Calendar'!$H$161&gt;=GRID_FROM)*('Dvd Calendar'!$H$161&lt;=GRID_TO)*('Dvd Calendar'!$H$161&gt;VAL_DATE)=0,"",'Dvd Calendar'!$H$161*1000000000+ISNUMBER('Dvd Calendar'!$H$162)*100000000+0*10000000+(N('Dvd Calendar'!$H$160)&gt;0)*(N('Dvd Calendar'!$H$160)&lt;=VAL_SERIAL)*1000000+14*1000+44))</f>
        <v/>
      </c>
      <c r="FW25" s="35">
        <f>IF(N('Dvd Calendar'!$I$161)=0,"",IF(('Dvd Calendar'!$I$161&gt;=GRID_FROM)*('Dvd Calendar'!$I$161&lt;=GRID_TO)*('Dvd Calendar'!$I$161&gt;VAL_DATE)=0,"",'Dvd Calendar'!$I$161*1000000000+ISNUMBER('Dvd Calendar'!$I$162)*100000000+0*10000000+(N('Dvd Calendar'!$I$160)&gt;0)*(N('Dvd Calendar'!$I$160)&lt;=VAL_SERIAL)*1000000+14*1000+45))</f>
        <v/>
      </c>
      <c r="FX25" s="35">
        <f>IF(N('Dvd Calendar'!$J$161)=0,"",IF(('Dvd Calendar'!$J$161&gt;=GRID_FROM)*('Dvd Calendar'!$J$161&lt;=GRID_TO)*('Dvd Calendar'!$J$161&gt;VAL_DATE)=0,"",'Dvd Calendar'!$J$161*1000000000+ISNUMBER('Dvd Calendar'!$J$162)*100000000+0*10000000+(N('Dvd Calendar'!$J$160)&gt;0)*(N('Dvd Calendar'!$J$160)&lt;=VAL_SERIAL)*1000000+14*1000+46))</f>
        <v/>
      </c>
      <c r="FY25" s="35">
        <f>IF(N('Dvd Calendar'!$K$161)=0,"",IF(('Dvd Calendar'!$K$161&gt;=GRID_FROM)*('Dvd Calendar'!$K$161&lt;=GRID_TO)*('Dvd Calendar'!$K$161&gt;VAL_DATE)=0,"",'Dvd Calendar'!$K$161*1000000000+ISNUMBER('Dvd Calendar'!$K$162)*100000000+0*10000000+(N('Dvd Calendar'!$K$160)&gt;0)*(N('Dvd Calendar'!$K$160)&lt;=VAL_SERIAL)*1000000+14*1000+47))</f>
        <v/>
      </c>
      <c r="FZ25" s="35">
        <f>IF(N('Dvd Calendar'!$L$161)=0,"",IF(('Dvd Calendar'!$L$161&gt;=GRID_FROM)*('Dvd Calendar'!$L$161&lt;=GRID_TO)*('Dvd Calendar'!$L$161&gt;VAL_DATE)=0,"",'Dvd Calendar'!$L$161*1000000000+ISNUMBER('Dvd Calendar'!$L$162)*100000000+0*10000000+(N('Dvd Calendar'!$L$160)&gt;0)*(N('Dvd Calendar'!$L$160)&lt;=VAL_SERIAL)*1000000+14*1000+48))</f>
        <v/>
      </c>
      <c r="GA25" s="35">
        <f>IF(N('Dvd Calendar'!$M$161)=0,"",IF(('Dvd Calendar'!$M$161&gt;=GRID_FROM)*('Dvd Calendar'!$M$161&lt;=GRID_TO)*('Dvd Calendar'!$M$161&gt;VAL_DATE)=0,"",'Dvd Calendar'!$M$161*1000000000+ISNUMBER('Dvd Calendar'!$M$162)*100000000+0*10000000+(N('Dvd Calendar'!$M$160)&gt;0)*(N('Dvd Calendar'!$M$160)&lt;=VAL_SERIAL)*1000000+14*1000+49))</f>
        <v/>
      </c>
      <c r="GB25" s="35">
        <f>IF(N('Dvd Calendar'!$N$161)=0,"",IF(('Dvd Calendar'!$N$161&gt;=GRID_FROM)*('Dvd Calendar'!$N$161&lt;=GRID_TO)*('Dvd Calendar'!$N$161&gt;VAL_DATE)=0,"",'Dvd Calendar'!$N$161*1000000000+ISNUMBER('Dvd Calendar'!$N$162)*100000000+0*10000000+(N('Dvd Calendar'!$N$160)&gt;0)*(N('Dvd Calendar'!$N$160)&lt;=VAL_SERIAL)*1000000+14*1000+50))</f>
        <v/>
      </c>
      <c r="GC25" s="35">
        <f>IF(N('Dvd Calendar'!$O$161)=0,"",IF(('Dvd Calendar'!$O$161&gt;=GRID_FROM)*('Dvd Calendar'!$O$161&lt;=GRID_TO)*('Dvd Calendar'!$O$161&gt;VAL_DATE)=0,"",'Dvd Calendar'!$O$161*1000000000+ISNUMBER('Dvd Calendar'!$O$162)*100000000+0*10000000+(N('Dvd Calendar'!$O$160)&gt;0)*(N('Dvd Calendar'!$O$160)&lt;=VAL_SERIAL)*1000000+14*1000+51))</f>
        <v/>
      </c>
      <c r="GD25" s="35">
        <f>IF(N('Dvd Calendar'!$P$161)=0,"",IF(('Dvd Calendar'!$P$161&gt;=GRID_FROM)*('Dvd Calendar'!$P$161&lt;=GRID_TO)*('Dvd Calendar'!$P$161&gt;VAL_DATE)=0,"",'Dvd Calendar'!$P$161*1000000000+ISNUMBER('Dvd Calendar'!$P$162)*100000000+0*10000000+(N('Dvd Calendar'!$P$160)&gt;0)*(N('Dvd Calendar'!$P$160)&lt;=VAL_SERIAL)*1000000+14*1000+52))</f>
        <v/>
      </c>
      <c r="GE25" s="35">
        <f>IF(N('Dvd Calendar'!$Q$161)=0,"",IF(('Dvd Calendar'!$Q$161&gt;=GRID_FROM)*('Dvd Calendar'!$Q$161&lt;=GRID_TO)*('Dvd Calendar'!$Q$161&gt;VAL_DATE)=0,"",'Dvd Calendar'!$Q$161*1000000000+ISNUMBER('Dvd Calendar'!$Q$162)*100000000+0*10000000+(N('Dvd Calendar'!$Q$160)&gt;0)*(N('Dvd Calendar'!$Q$160)&lt;=VAL_SERIAL)*1000000+14*1000+53))</f>
        <v/>
      </c>
      <c r="GF25" s="35">
        <f>IF(N('Dvd Calendar'!$R$161)=0,"",IF(('Dvd Calendar'!$R$161&gt;=GRID_FROM)*('Dvd Calendar'!$R$161&lt;=GRID_TO)*('Dvd Calendar'!$R$161&gt;VAL_DATE)=0,"",'Dvd Calendar'!$R$161*1000000000+ISNUMBER('Dvd Calendar'!$R$162)*100000000+0*10000000+(N('Dvd Calendar'!$R$160)&gt;0)*(N('Dvd Calendar'!$R$160)&lt;=VAL_SERIAL)*1000000+14*1000+54))</f>
        <v/>
      </c>
      <c r="GG25" s="35">
        <f>IF(N('Dvd Calendar'!$S$161)=0,"",IF(('Dvd Calendar'!$S$161&gt;=GRID_FROM)*('Dvd Calendar'!$S$161&lt;=GRID_TO)*('Dvd Calendar'!$S$161&gt;VAL_DATE)=0,"",'Dvd Calendar'!$S$161*1000000000+ISNUMBER('Dvd Calendar'!$S$162)*100000000+0*10000000+(N('Dvd Calendar'!$S$160)&gt;0)*(N('Dvd Calendar'!$S$160)&lt;=VAL_SERIAL)*1000000+14*1000+55))</f>
        <v/>
      </c>
      <c r="GH25" s="35">
        <f>IF(N('Dvd Calendar'!$T$161)=0,"",IF(('Dvd Calendar'!$T$161&gt;=GRID_FROM)*('Dvd Calendar'!$T$161&lt;=GRID_TO)*('Dvd Calendar'!$T$161&gt;VAL_DATE)=0,"",'Dvd Calendar'!$T$161*1000000000+ISNUMBER('Dvd Calendar'!$T$162)*100000000+0*10000000+(N('Dvd Calendar'!$T$160)&gt;0)*(N('Dvd Calendar'!$T$160)&lt;=VAL_SERIAL)*1000000+14*1000+56))</f>
        <v/>
      </c>
      <c r="GI25" s="35">
        <f>IF(N('Dvd Calendar'!$U$161)=0,"",IF(('Dvd Calendar'!$U$161&gt;=GRID_FROM)*('Dvd Calendar'!$U$161&lt;=GRID_TO)*('Dvd Calendar'!$U$161&gt;VAL_DATE)=0,"",'Dvd Calendar'!$U$161*1000000000+ISNUMBER('Dvd Calendar'!$U$162)*100000000+0*10000000+(N('Dvd Calendar'!$U$160)&gt;0)*(N('Dvd Calendar'!$U$160)&lt;=VAL_SERIAL)*1000000+14*1000+57))</f>
        <v/>
      </c>
      <c r="GJ25" s="35">
        <f>IF(N('Dvd Calendar'!$V$161)=0,"",IF(('Dvd Calendar'!$V$161&gt;=GRID_FROM)*('Dvd Calendar'!$V$161&lt;=GRID_TO)*('Dvd Calendar'!$V$161&gt;VAL_DATE)=0,"",'Dvd Calendar'!$V$161*1000000000+ISNUMBER('Dvd Calendar'!$V$162)*100000000+0*10000000+(N('Dvd Calendar'!$V$160)&gt;0)*(N('Dvd Calendar'!$V$160)&lt;=VAL_SERIAL)*1000000+14*1000+58))</f>
        <v/>
      </c>
      <c r="GK25" s="35">
        <f>IF(N('Dvd Calendar'!$W$161)=0,"",IF(('Dvd Calendar'!$W$161&gt;=GRID_FROM)*('Dvd Calendar'!$W$161&lt;=GRID_TO)*('Dvd Calendar'!$W$161&gt;VAL_DATE)=0,"",'Dvd Calendar'!$W$161*1000000000+ISNUMBER('Dvd Calendar'!$W$162)*100000000+0*10000000+(N('Dvd Calendar'!$W$160)&gt;0)*(N('Dvd Calendar'!$W$160)&lt;=VAL_SERIAL)*1000000+14*1000+59))</f>
        <v/>
      </c>
      <c r="GL25" s="35">
        <f>IF(N('Dvd Calendar'!$X$161)=0,"",IF(('Dvd Calendar'!$X$161&gt;=GRID_FROM)*('Dvd Calendar'!$X$161&lt;=GRID_TO)*('Dvd Calendar'!$X$161&gt;VAL_DATE)=0,"",'Dvd Calendar'!$X$161*1000000000+ISNUMBER('Dvd Calendar'!$X$162)*100000000+0*10000000+(N('Dvd Calendar'!$X$160)&gt;0)*(N('Dvd Calendar'!$X$160)&lt;=VAL_SERIAL)*1000000+14*1000+60))</f>
        <v/>
      </c>
      <c r="GM25" s="35">
        <f>IF(N('Dvd Calendar'!$Y$161)=0,"",IF(('Dvd Calendar'!$Y$161&gt;=GRID_FROM)*('Dvd Calendar'!$Y$161&lt;=GRID_TO)*('Dvd Calendar'!$Y$161&gt;VAL_DATE)=0,"",'Dvd Calendar'!$Y$161*1000000000+ISNUMBER('Dvd Calendar'!$Y$162)*100000000+0*10000000+(N('Dvd Calendar'!$Y$160)&gt;0)*(N('Dvd Calendar'!$Y$160)&lt;=VAL_SERIAL)*1000000+14*1000+61))</f>
        <v/>
      </c>
      <c r="GN25" s="35">
        <f>IF(N('Dvd Calendar'!$Z$161)=0,"",IF(('Dvd Calendar'!$Z$161&gt;=GRID_FROM)*('Dvd Calendar'!$Z$161&lt;=GRID_TO)*('Dvd Calendar'!$Z$161&gt;VAL_DATE)=0,"",'Dvd Calendar'!$Z$161*1000000000+ISNUMBER('Dvd Calendar'!$Z$162)*100000000+0*10000000+(N('Dvd Calendar'!$Z$160)&gt;0)*(N('Dvd Calendar'!$Z$160)&lt;=VAL_SERIAL)*1000000+14*1000+62))</f>
        <v/>
      </c>
      <c r="GO25" s="35">
        <f>IF(N('Dvd Calendar'!$AA$161)=0,"",IF(('Dvd Calendar'!$AA$161&gt;=GRID_FROM)*('Dvd Calendar'!$AA$161&lt;=GRID_TO)*('Dvd Calendar'!$AA$161&gt;VAL_DATE)=0,"",'Dvd Calendar'!$AA$161*1000000000+ISNUMBER('Dvd Calendar'!$AA$162)*100000000+0*10000000+(N('Dvd Calendar'!$AA$160)&gt;0)*(N('Dvd Calendar'!$AA$160)&lt;=VAL_SERIAL)*1000000+14*1000+63))</f>
        <v/>
      </c>
      <c r="GP25" s="35">
        <f>IF(N('Dvd Calendar'!$AB$161)=0,"",IF(('Dvd Calendar'!$AB$161&gt;=GRID_FROM)*('Dvd Calendar'!$AB$161&lt;=GRID_TO)*('Dvd Calendar'!$AB$161&gt;VAL_DATE)=0,"",'Dvd Calendar'!$AB$161*1000000000+ISNUMBER('Dvd Calendar'!$AB$162)*100000000+0*10000000+(N('Dvd Calendar'!$AB$160)&gt;0)*(N('Dvd Calendar'!$AB$160)&lt;=VAL_SERIAL)*1000000+14*1000+64))</f>
        <v/>
      </c>
      <c r="GQ25" s="35">
        <f>IF(N('Dvd Calendar'!$AC$161)=0,"",IF(('Dvd Calendar'!$AC$161&gt;=GRID_FROM)*('Dvd Calendar'!$AC$161&lt;=GRID_TO)*('Dvd Calendar'!$AC$161&gt;VAL_DATE)=0,"",'Dvd Calendar'!$AC$161*1000000000+ISNUMBER('Dvd Calendar'!$AC$162)*100000000+0*10000000+(N('Dvd Calendar'!$AC$160)&gt;0)*(N('Dvd Calendar'!$AC$160)&lt;=VAL_SERIAL)*1000000+14*1000+65))</f>
        <v/>
      </c>
    </row>
    <row r="26">
      <c r="B26" s="2">
        <f>IF(HSI!$C$21="","",HSI!$C$21)</f>
        <v/>
      </c>
      <c r="C26" s="106">
        <f>IF(EE26="","",IF(ISNUMBER('Dvd Calendar'!$E$168)=FALSE,"",IF((('Dvd Calendar'!$E$170=TYPE1)*(TYPE1&lt;&gt;"")+('Dvd Calendar'!$E$170=TYPE2)*(TYPE2&lt;&gt;"")+('Dvd Calendar'!$E$170=TYPE3)*(TYPE3&lt;&gt;"")+('Dvd Calendar'!$E$170=TYPE4)*(TYPE4&lt;&gt;"")+('Dvd Calendar'!$E$170=SPECIAL_LBL)*(INC_SPECIALS="Y"))=0,"",'Dvd Calendar'!$E$168)))</f>
        <v/>
      </c>
      <c r="D26" s="106">
        <f>IF(EF26="","",IF(ISNUMBER('Dvd Calendar'!$F$168)=FALSE,"",IF((('Dvd Calendar'!$F$170=TYPE1)*(TYPE1&lt;&gt;"")+('Dvd Calendar'!$F$170=TYPE2)*(TYPE2&lt;&gt;"")+('Dvd Calendar'!$F$170=TYPE3)*(TYPE3&lt;&gt;"")+('Dvd Calendar'!$F$170=TYPE4)*(TYPE4&lt;&gt;"")+('Dvd Calendar'!$F$170=SPECIAL_LBL)*(INC_SPECIALS="Y"))=0,"",'Dvd Calendar'!$F$168)))</f>
        <v/>
      </c>
      <c r="E26" s="106">
        <f>IF(EG26="","",IF(ISNUMBER('Dvd Calendar'!$G$168)=FALSE,"",IF((('Dvd Calendar'!$G$170=TYPE1)*(TYPE1&lt;&gt;"")+('Dvd Calendar'!$G$170=TYPE2)*(TYPE2&lt;&gt;"")+('Dvd Calendar'!$G$170=TYPE3)*(TYPE3&lt;&gt;"")+('Dvd Calendar'!$G$170=TYPE4)*(TYPE4&lt;&gt;"")+('Dvd Calendar'!$G$170=SPECIAL_LBL)*(INC_SPECIALS="Y"))=0,"",'Dvd Calendar'!$G$168)))</f>
        <v/>
      </c>
      <c r="F26" s="106">
        <f>IF(EH26="","",IF(ISNUMBER('Dvd Calendar'!$H$168)=FALSE,"",IF((('Dvd Calendar'!$H$170=TYPE1)*(TYPE1&lt;&gt;"")+('Dvd Calendar'!$H$170=TYPE2)*(TYPE2&lt;&gt;"")+('Dvd Calendar'!$H$170=TYPE3)*(TYPE3&lt;&gt;"")+('Dvd Calendar'!$H$170=TYPE4)*(TYPE4&lt;&gt;"")+('Dvd Calendar'!$H$170=SPECIAL_LBL)*(INC_SPECIALS="Y"))=0,"",'Dvd Calendar'!$H$168)))</f>
        <v/>
      </c>
      <c r="G26" s="106">
        <f>IF(EI26="","",IF(ISNUMBER('Dvd Calendar'!$I$168)=FALSE,"",IF((('Dvd Calendar'!$I$170=TYPE1)*(TYPE1&lt;&gt;"")+('Dvd Calendar'!$I$170=TYPE2)*(TYPE2&lt;&gt;"")+('Dvd Calendar'!$I$170=TYPE3)*(TYPE3&lt;&gt;"")+('Dvd Calendar'!$I$170=TYPE4)*(TYPE4&lt;&gt;"")+('Dvd Calendar'!$I$170=SPECIAL_LBL)*(INC_SPECIALS="Y"))=0,"",'Dvd Calendar'!$I$168)))</f>
        <v/>
      </c>
      <c r="H26" s="106">
        <f>IF(EJ26="","",IF(ISNUMBER('Dvd Calendar'!$J$168)=FALSE,"",IF((('Dvd Calendar'!$J$170=TYPE1)*(TYPE1&lt;&gt;"")+('Dvd Calendar'!$J$170=TYPE2)*(TYPE2&lt;&gt;"")+('Dvd Calendar'!$J$170=TYPE3)*(TYPE3&lt;&gt;"")+('Dvd Calendar'!$J$170=TYPE4)*(TYPE4&lt;&gt;"")+('Dvd Calendar'!$J$170=SPECIAL_LBL)*(INC_SPECIALS="Y"))=0,"",'Dvd Calendar'!$J$168)))</f>
        <v/>
      </c>
      <c r="I26" s="106">
        <f>IF(EK26="","",IF(ISNUMBER('Dvd Calendar'!$K$168)=FALSE,"",IF((('Dvd Calendar'!$K$170=TYPE1)*(TYPE1&lt;&gt;"")+('Dvd Calendar'!$K$170=TYPE2)*(TYPE2&lt;&gt;"")+('Dvd Calendar'!$K$170=TYPE3)*(TYPE3&lt;&gt;"")+('Dvd Calendar'!$K$170=TYPE4)*(TYPE4&lt;&gt;"")+('Dvd Calendar'!$K$170=SPECIAL_LBL)*(INC_SPECIALS="Y"))=0,"",'Dvd Calendar'!$K$168)))</f>
        <v/>
      </c>
      <c r="J26" s="106">
        <f>IF(EL26="","",IF(ISNUMBER('Dvd Calendar'!$L$168)=FALSE,"",IF((('Dvd Calendar'!$L$170=TYPE1)*(TYPE1&lt;&gt;"")+('Dvd Calendar'!$L$170=TYPE2)*(TYPE2&lt;&gt;"")+('Dvd Calendar'!$L$170=TYPE3)*(TYPE3&lt;&gt;"")+('Dvd Calendar'!$L$170=TYPE4)*(TYPE4&lt;&gt;"")+('Dvd Calendar'!$L$170=SPECIAL_LBL)*(INC_SPECIALS="Y"))=0,"",'Dvd Calendar'!$L$168)))</f>
        <v/>
      </c>
      <c r="K26" s="106">
        <f>IF(EM26="","",IF(ISNUMBER('Dvd Calendar'!$M$168)=FALSE,"",IF((('Dvd Calendar'!$M$170=TYPE1)*(TYPE1&lt;&gt;"")+('Dvd Calendar'!$M$170=TYPE2)*(TYPE2&lt;&gt;"")+('Dvd Calendar'!$M$170=TYPE3)*(TYPE3&lt;&gt;"")+('Dvd Calendar'!$M$170=TYPE4)*(TYPE4&lt;&gt;"")+('Dvd Calendar'!$M$170=SPECIAL_LBL)*(INC_SPECIALS="Y"))=0,"",'Dvd Calendar'!$M$168)))</f>
        <v/>
      </c>
      <c r="L26" s="106">
        <f>IF(EN26="","",IF(ISNUMBER('Dvd Calendar'!$N$168)=FALSE,"",IF((('Dvd Calendar'!$N$170=TYPE1)*(TYPE1&lt;&gt;"")+('Dvd Calendar'!$N$170=TYPE2)*(TYPE2&lt;&gt;"")+('Dvd Calendar'!$N$170=TYPE3)*(TYPE3&lt;&gt;"")+('Dvd Calendar'!$N$170=TYPE4)*(TYPE4&lt;&gt;"")+('Dvd Calendar'!$N$170=SPECIAL_LBL)*(INC_SPECIALS="Y"))=0,"",'Dvd Calendar'!$N$168)))</f>
        <v/>
      </c>
      <c r="M26" s="106">
        <f>IF(EO26="","",IF(ISNUMBER('Dvd Calendar'!$O$168)=FALSE,"",IF((('Dvd Calendar'!$O$170=TYPE1)*(TYPE1&lt;&gt;"")+('Dvd Calendar'!$O$170=TYPE2)*(TYPE2&lt;&gt;"")+('Dvd Calendar'!$O$170=TYPE3)*(TYPE3&lt;&gt;"")+('Dvd Calendar'!$O$170=TYPE4)*(TYPE4&lt;&gt;"")+('Dvd Calendar'!$O$170=SPECIAL_LBL)*(INC_SPECIALS="Y"))=0,"",'Dvd Calendar'!$O$168)))</f>
        <v/>
      </c>
      <c r="N26" s="106">
        <f>IF(EP26="","",IF(ISNUMBER('Dvd Calendar'!$P$168)=FALSE,"",IF((('Dvd Calendar'!$P$170=TYPE1)*(TYPE1&lt;&gt;"")+('Dvd Calendar'!$P$170=TYPE2)*(TYPE2&lt;&gt;"")+('Dvd Calendar'!$P$170=TYPE3)*(TYPE3&lt;&gt;"")+('Dvd Calendar'!$P$170=TYPE4)*(TYPE4&lt;&gt;"")+('Dvd Calendar'!$P$170=SPECIAL_LBL)*(INC_SPECIALS="Y"))=0,"",'Dvd Calendar'!$P$168)))</f>
        <v/>
      </c>
      <c r="O26" s="106">
        <f>IF(EQ26="","",IF(ISNUMBER('Dvd Calendar'!$Q$168)=FALSE,"",IF((('Dvd Calendar'!$Q$170=TYPE1)*(TYPE1&lt;&gt;"")+('Dvd Calendar'!$Q$170=TYPE2)*(TYPE2&lt;&gt;"")+('Dvd Calendar'!$Q$170=TYPE3)*(TYPE3&lt;&gt;"")+('Dvd Calendar'!$Q$170=TYPE4)*(TYPE4&lt;&gt;"")+('Dvd Calendar'!$Q$170=SPECIAL_LBL)*(INC_SPECIALS="Y"))=0,"",'Dvd Calendar'!$Q$168)))</f>
        <v/>
      </c>
      <c r="P26" s="106">
        <f>IF(ER26="","",IF(ISNUMBER('Dvd Calendar'!$R$168)=FALSE,"",IF((('Dvd Calendar'!$R$170=TYPE1)*(TYPE1&lt;&gt;"")+('Dvd Calendar'!$R$170=TYPE2)*(TYPE2&lt;&gt;"")+('Dvd Calendar'!$R$170=TYPE3)*(TYPE3&lt;&gt;"")+('Dvd Calendar'!$R$170=TYPE4)*(TYPE4&lt;&gt;"")+('Dvd Calendar'!$R$170=SPECIAL_LBL)*(INC_SPECIALS="Y"))=0,"",'Dvd Calendar'!$R$168)))</f>
        <v/>
      </c>
      <c r="Q26" s="106">
        <f>IF(ES26="","",IF(ISNUMBER('Dvd Calendar'!$S$168)=FALSE,"",IF((('Dvd Calendar'!$S$170=TYPE1)*(TYPE1&lt;&gt;"")+('Dvd Calendar'!$S$170=TYPE2)*(TYPE2&lt;&gt;"")+('Dvd Calendar'!$S$170=TYPE3)*(TYPE3&lt;&gt;"")+('Dvd Calendar'!$S$170=TYPE4)*(TYPE4&lt;&gt;"")+('Dvd Calendar'!$S$170=SPECIAL_LBL)*(INC_SPECIALS="Y"))=0,"",'Dvd Calendar'!$S$168)))</f>
        <v/>
      </c>
      <c r="R26" s="106">
        <f>IF(ET26="","",IF(ISNUMBER('Dvd Calendar'!$T$168)=FALSE,"",IF((('Dvd Calendar'!$T$170=TYPE1)*(TYPE1&lt;&gt;"")+('Dvd Calendar'!$T$170=TYPE2)*(TYPE2&lt;&gt;"")+('Dvd Calendar'!$T$170=TYPE3)*(TYPE3&lt;&gt;"")+('Dvd Calendar'!$T$170=TYPE4)*(TYPE4&lt;&gt;"")+('Dvd Calendar'!$T$170=SPECIAL_LBL)*(INC_SPECIALS="Y"))=0,"",'Dvd Calendar'!$T$168)))</f>
        <v/>
      </c>
      <c r="S26" s="106">
        <f>IF(EU26="","",IF(ISNUMBER('Dvd Calendar'!$U$168)=FALSE,"",IF((('Dvd Calendar'!$U$170=TYPE1)*(TYPE1&lt;&gt;"")+('Dvd Calendar'!$U$170=TYPE2)*(TYPE2&lt;&gt;"")+('Dvd Calendar'!$U$170=TYPE3)*(TYPE3&lt;&gt;"")+('Dvd Calendar'!$U$170=TYPE4)*(TYPE4&lt;&gt;"")+('Dvd Calendar'!$U$170=SPECIAL_LBL)*(INC_SPECIALS="Y"))=0,"",'Dvd Calendar'!$U$168)))</f>
        <v/>
      </c>
      <c r="T26" s="106">
        <f>IF(EV26="","",IF(ISNUMBER('Dvd Calendar'!$V$168)=FALSE,"",IF((('Dvd Calendar'!$V$170=TYPE1)*(TYPE1&lt;&gt;"")+('Dvd Calendar'!$V$170=TYPE2)*(TYPE2&lt;&gt;"")+('Dvd Calendar'!$V$170=TYPE3)*(TYPE3&lt;&gt;"")+('Dvd Calendar'!$V$170=TYPE4)*(TYPE4&lt;&gt;"")+('Dvd Calendar'!$V$170=SPECIAL_LBL)*(INC_SPECIALS="Y"))=0,"",'Dvd Calendar'!$V$168)))</f>
        <v/>
      </c>
      <c r="U26" s="106">
        <f>IF(EW26="","",IF(ISNUMBER('Dvd Calendar'!$W$168)=FALSE,"",IF((('Dvd Calendar'!$W$170=TYPE1)*(TYPE1&lt;&gt;"")+('Dvd Calendar'!$W$170=TYPE2)*(TYPE2&lt;&gt;"")+('Dvd Calendar'!$W$170=TYPE3)*(TYPE3&lt;&gt;"")+('Dvd Calendar'!$W$170=TYPE4)*(TYPE4&lt;&gt;"")+('Dvd Calendar'!$W$170=SPECIAL_LBL)*(INC_SPECIALS="Y"))=0,"",'Dvd Calendar'!$W$168)))</f>
        <v/>
      </c>
      <c r="V26" s="106">
        <f>IF(EX26="","",IF(ISNUMBER('Dvd Calendar'!$X$168)=FALSE,"",IF((('Dvd Calendar'!$X$170=TYPE1)*(TYPE1&lt;&gt;"")+('Dvd Calendar'!$X$170=TYPE2)*(TYPE2&lt;&gt;"")+('Dvd Calendar'!$X$170=TYPE3)*(TYPE3&lt;&gt;"")+('Dvd Calendar'!$X$170=TYPE4)*(TYPE4&lt;&gt;"")+('Dvd Calendar'!$X$170=SPECIAL_LBL)*(INC_SPECIALS="Y"))=0,"",'Dvd Calendar'!$X$168)))</f>
        <v/>
      </c>
      <c r="W26" s="106">
        <f>IF(EY26="","",IF(ISNUMBER('Dvd Calendar'!$Y$168)=FALSE,"",IF((('Dvd Calendar'!$Y$170=TYPE1)*(TYPE1&lt;&gt;"")+('Dvd Calendar'!$Y$170=TYPE2)*(TYPE2&lt;&gt;"")+('Dvd Calendar'!$Y$170=TYPE3)*(TYPE3&lt;&gt;"")+('Dvd Calendar'!$Y$170=TYPE4)*(TYPE4&lt;&gt;"")+('Dvd Calendar'!$Y$170=SPECIAL_LBL)*(INC_SPECIALS="Y"))=0,"",'Dvd Calendar'!$Y$168)))</f>
        <v/>
      </c>
      <c r="X26" s="106">
        <f>IF(EZ26="","",IF(ISNUMBER('Dvd Calendar'!$Z$168)=FALSE,"",IF((('Dvd Calendar'!$Z$170=TYPE1)*(TYPE1&lt;&gt;"")+('Dvd Calendar'!$Z$170=TYPE2)*(TYPE2&lt;&gt;"")+('Dvd Calendar'!$Z$170=TYPE3)*(TYPE3&lt;&gt;"")+('Dvd Calendar'!$Z$170=TYPE4)*(TYPE4&lt;&gt;"")+('Dvd Calendar'!$Z$170=SPECIAL_LBL)*(INC_SPECIALS="Y"))=0,"",'Dvd Calendar'!$Z$168)))</f>
        <v/>
      </c>
      <c r="Y26" s="106">
        <f>IF(FA26="","",IF(ISNUMBER('Dvd Calendar'!$AA$168)=FALSE,"",IF((('Dvd Calendar'!$AA$170=TYPE1)*(TYPE1&lt;&gt;"")+('Dvd Calendar'!$AA$170=TYPE2)*(TYPE2&lt;&gt;"")+('Dvd Calendar'!$AA$170=TYPE3)*(TYPE3&lt;&gt;"")+('Dvd Calendar'!$AA$170=TYPE4)*(TYPE4&lt;&gt;"")+('Dvd Calendar'!$AA$170=SPECIAL_LBL)*(INC_SPECIALS="Y"))=0,"",'Dvd Calendar'!$AA$168)))</f>
        <v/>
      </c>
      <c r="Z26" s="106">
        <f>IF(FB26="","",IF(ISNUMBER('Dvd Calendar'!$AB$168)=FALSE,"",IF((('Dvd Calendar'!$AB$170=TYPE1)*(TYPE1&lt;&gt;"")+('Dvd Calendar'!$AB$170=TYPE2)*(TYPE2&lt;&gt;"")+('Dvd Calendar'!$AB$170=TYPE3)*(TYPE3&lt;&gt;"")+('Dvd Calendar'!$AB$170=TYPE4)*(TYPE4&lt;&gt;"")+('Dvd Calendar'!$AB$170=SPECIAL_LBL)*(INC_SPECIALS="Y"))=0,"",'Dvd Calendar'!$AB$168)))</f>
        <v/>
      </c>
      <c r="AA26" s="106">
        <f>IF(FC26="","",IF(ISNUMBER('Dvd Calendar'!$AC$168)=FALSE,"",IF((('Dvd Calendar'!$AC$170=TYPE1)*(TYPE1&lt;&gt;"")+('Dvd Calendar'!$AC$170=TYPE2)*(TYPE2&lt;&gt;"")+('Dvd Calendar'!$AC$170=TYPE3)*(TYPE3&lt;&gt;"")+('Dvd Calendar'!$AC$170=TYPE4)*(TYPE4&lt;&gt;"")+('Dvd Calendar'!$AC$170=SPECIAL_LBL)*(INC_SPECIALS="Y"))=0,"",'Dvd Calendar'!$AC$168)))</f>
        <v/>
      </c>
      <c r="AB26" s="106">
        <f>IF(FD26="","",IF(ISNUMBER('Dvd Calendar'!$AD$168)=FALSE,"",IF((('Dvd Calendar'!$AD$170=TYPE1)*(TYPE1&lt;&gt;"")+('Dvd Calendar'!$AD$170=TYPE2)*(TYPE2&lt;&gt;"")+('Dvd Calendar'!$AD$170=TYPE3)*(TYPE3&lt;&gt;"")+('Dvd Calendar'!$AD$170=TYPE4)*(TYPE4&lt;&gt;"")+('Dvd Calendar'!$AD$170=SPECIAL_LBL)*(INC_SPECIALS="Y"))=0,"",'Dvd Calendar'!$AD$168)))</f>
        <v/>
      </c>
      <c r="AC26" s="106">
        <f>IF(FE26="","",IF(ISNUMBER('Dvd Calendar'!$AE$168)=FALSE,"",IF((('Dvd Calendar'!$AE$170=TYPE1)*(TYPE1&lt;&gt;"")+('Dvd Calendar'!$AE$170=TYPE2)*(TYPE2&lt;&gt;"")+('Dvd Calendar'!$AE$170=TYPE3)*(TYPE3&lt;&gt;"")+('Dvd Calendar'!$AE$170=TYPE4)*(TYPE4&lt;&gt;"")+('Dvd Calendar'!$AE$170=SPECIAL_LBL)*(INC_SPECIALS="Y"))=0,"",'Dvd Calendar'!$AE$168)))</f>
        <v/>
      </c>
      <c r="AD26" s="106">
        <f>IF(FF26="","",IF(ISNUMBER('Dvd Calendar'!$AF$168)=FALSE,"",IF((('Dvd Calendar'!$AF$170=TYPE1)*(TYPE1&lt;&gt;"")+('Dvd Calendar'!$AF$170=TYPE2)*(TYPE2&lt;&gt;"")+('Dvd Calendar'!$AF$170=TYPE3)*(TYPE3&lt;&gt;"")+('Dvd Calendar'!$AF$170=TYPE4)*(TYPE4&lt;&gt;"")+('Dvd Calendar'!$AF$170=SPECIAL_LBL)*(INC_SPECIALS="Y"))=0,"",'Dvd Calendar'!$AF$168)))</f>
        <v/>
      </c>
      <c r="AE26" s="106">
        <f>IF(FG26="","",IF(ISNUMBER('Dvd Calendar'!$AG$168)=FALSE,"",IF((('Dvd Calendar'!$AG$170=TYPE1)*(TYPE1&lt;&gt;"")+('Dvd Calendar'!$AG$170=TYPE2)*(TYPE2&lt;&gt;"")+('Dvd Calendar'!$AG$170=TYPE3)*(TYPE3&lt;&gt;"")+('Dvd Calendar'!$AG$170=TYPE4)*(TYPE4&lt;&gt;"")+('Dvd Calendar'!$AG$170=SPECIAL_LBL)*(INC_SPECIALS="Y"))=0,"",'Dvd Calendar'!$AG$168)))</f>
        <v/>
      </c>
      <c r="AF26" s="106">
        <f>IF(FH26="","",IF(ISNUMBER('Dvd Calendar'!$AH$168)=FALSE,"",IF((('Dvd Calendar'!$AH$170=TYPE1)*(TYPE1&lt;&gt;"")+('Dvd Calendar'!$AH$170=TYPE2)*(TYPE2&lt;&gt;"")+('Dvd Calendar'!$AH$170=TYPE3)*(TYPE3&lt;&gt;"")+('Dvd Calendar'!$AH$170=TYPE4)*(TYPE4&lt;&gt;"")+('Dvd Calendar'!$AH$170=SPECIAL_LBL)*(INC_SPECIALS="Y"))=0,"",'Dvd Calendar'!$AH$168)))</f>
        <v/>
      </c>
      <c r="AG26" s="106">
        <f>IF(FI26="","",IF(ISNUMBER('Dvd Calendar'!$AI$168)=FALSE,"",IF((('Dvd Calendar'!$AI$170=TYPE1)*(TYPE1&lt;&gt;"")+('Dvd Calendar'!$AI$170=TYPE2)*(TYPE2&lt;&gt;"")+('Dvd Calendar'!$AI$170=TYPE3)*(TYPE3&lt;&gt;"")+('Dvd Calendar'!$AI$170=TYPE4)*(TYPE4&lt;&gt;"")+('Dvd Calendar'!$AI$170=SPECIAL_LBL)*(INC_SPECIALS="Y"))=0,"",'Dvd Calendar'!$AI$168)))</f>
        <v/>
      </c>
      <c r="AH26" s="106">
        <f>IF(FJ26="","",IF(ISNUMBER('Dvd Calendar'!$AJ$168)=FALSE,"",IF((('Dvd Calendar'!$AJ$170=TYPE1)*(TYPE1&lt;&gt;"")+('Dvd Calendar'!$AJ$170=TYPE2)*(TYPE2&lt;&gt;"")+('Dvd Calendar'!$AJ$170=TYPE3)*(TYPE3&lt;&gt;"")+('Dvd Calendar'!$AJ$170=TYPE4)*(TYPE4&lt;&gt;"")+('Dvd Calendar'!$AJ$170=SPECIAL_LBL)*(INC_SPECIALS="Y"))=0,"",'Dvd Calendar'!$AJ$168)))</f>
        <v/>
      </c>
      <c r="AI26" s="106">
        <f>IF(FK26="","",IF(ISNUMBER('Dvd Calendar'!$AK$168)=FALSE,"",IF((('Dvd Calendar'!$AK$170=TYPE1)*(TYPE1&lt;&gt;"")+('Dvd Calendar'!$AK$170=TYPE2)*(TYPE2&lt;&gt;"")+('Dvd Calendar'!$AK$170=TYPE3)*(TYPE3&lt;&gt;"")+('Dvd Calendar'!$AK$170=TYPE4)*(TYPE4&lt;&gt;"")+('Dvd Calendar'!$AK$170=SPECIAL_LBL)*(INC_SPECIALS="Y"))=0,"",'Dvd Calendar'!$AK$168)))</f>
        <v/>
      </c>
      <c r="AJ26" s="106">
        <f>IF(FL26="","",IF(ISNUMBER('Dvd Calendar'!$AL$168)=FALSE,"",IF((('Dvd Calendar'!$AL$170=TYPE1)*(TYPE1&lt;&gt;"")+('Dvd Calendar'!$AL$170=TYPE2)*(TYPE2&lt;&gt;"")+('Dvd Calendar'!$AL$170=TYPE3)*(TYPE3&lt;&gt;"")+('Dvd Calendar'!$AL$170=TYPE4)*(TYPE4&lt;&gt;"")+('Dvd Calendar'!$AL$170=SPECIAL_LBL)*(INC_SPECIALS="Y"))=0,"",'Dvd Calendar'!$AL$168)))</f>
        <v/>
      </c>
      <c r="AK26" s="106">
        <f>IF(FM26="","",IF(ISNUMBER('Dvd Calendar'!$AM$168)=FALSE,"",IF((('Dvd Calendar'!$AM$170=TYPE1)*(TYPE1&lt;&gt;"")+('Dvd Calendar'!$AM$170=TYPE2)*(TYPE2&lt;&gt;"")+('Dvd Calendar'!$AM$170=TYPE3)*(TYPE3&lt;&gt;"")+('Dvd Calendar'!$AM$170=TYPE4)*(TYPE4&lt;&gt;"")+('Dvd Calendar'!$AM$170=SPECIAL_LBL)*(INC_SPECIALS="Y"))=0,"",'Dvd Calendar'!$AM$168)))</f>
        <v/>
      </c>
      <c r="AL26" s="106">
        <f>IF(FN26="","",IF(ISNUMBER('Dvd Calendar'!$AN$168)=FALSE,"",IF((('Dvd Calendar'!$AN$170=TYPE1)*(TYPE1&lt;&gt;"")+('Dvd Calendar'!$AN$170=TYPE2)*(TYPE2&lt;&gt;"")+('Dvd Calendar'!$AN$170=TYPE3)*(TYPE3&lt;&gt;"")+('Dvd Calendar'!$AN$170=TYPE4)*(TYPE4&lt;&gt;"")+('Dvd Calendar'!$AN$170=SPECIAL_LBL)*(INC_SPECIALS="Y"))=0,"",'Dvd Calendar'!$AN$168)))</f>
        <v/>
      </c>
      <c r="AM26" s="106">
        <f>IF(FO26="","",IF(ISNUMBER('Dvd Calendar'!$AO$168)=FALSE,"",IF((('Dvd Calendar'!$AO$170=TYPE1)*(TYPE1&lt;&gt;"")+('Dvd Calendar'!$AO$170=TYPE2)*(TYPE2&lt;&gt;"")+('Dvd Calendar'!$AO$170=TYPE3)*(TYPE3&lt;&gt;"")+('Dvd Calendar'!$AO$170=TYPE4)*(TYPE4&lt;&gt;"")+('Dvd Calendar'!$AO$170=SPECIAL_LBL)*(INC_SPECIALS="Y"))=0,"",'Dvd Calendar'!$AO$168)))</f>
        <v/>
      </c>
      <c r="AN26" s="106">
        <f>IF(FP26="","",IF(ISNUMBER('Dvd Calendar'!$AP$168)=FALSE,"",IF((('Dvd Calendar'!$AP$170=TYPE1)*(TYPE1&lt;&gt;"")+('Dvd Calendar'!$AP$170=TYPE2)*(TYPE2&lt;&gt;"")+('Dvd Calendar'!$AP$170=TYPE3)*(TYPE3&lt;&gt;"")+('Dvd Calendar'!$AP$170=TYPE4)*(TYPE4&lt;&gt;"")+('Dvd Calendar'!$AP$170=SPECIAL_LBL)*(INC_SPECIALS="Y"))=0,"",'Dvd Calendar'!$AP$168)))</f>
        <v/>
      </c>
      <c r="AO26" s="106">
        <f>IF(FQ26="","",IF(ISNUMBER('Dvd Calendar'!$AQ$168)=FALSE,"",IF((('Dvd Calendar'!$AQ$170=TYPE1)*(TYPE1&lt;&gt;"")+('Dvd Calendar'!$AQ$170=TYPE2)*(TYPE2&lt;&gt;"")+('Dvd Calendar'!$AQ$170=TYPE3)*(TYPE3&lt;&gt;"")+('Dvd Calendar'!$AQ$170=TYPE4)*(TYPE4&lt;&gt;"")+('Dvd Calendar'!$AQ$170=SPECIAL_LBL)*(INC_SPECIALS="Y"))=0,"",'Dvd Calendar'!$AQ$168)))</f>
        <v/>
      </c>
      <c r="AP26" s="106">
        <f>IF(FR26="","",IF(ISNUMBER('Dvd Calendar'!$AR$168)=FALSE,"",IF((('Dvd Calendar'!$AR$170=TYPE1)*(TYPE1&lt;&gt;"")+('Dvd Calendar'!$AR$170=TYPE2)*(TYPE2&lt;&gt;"")+('Dvd Calendar'!$AR$170=TYPE3)*(TYPE3&lt;&gt;"")+('Dvd Calendar'!$AR$170=TYPE4)*(TYPE4&lt;&gt;"")+('Dvd Calendar'!$AR$170=SPECIAL_LBL)*(INC_SPECIALS="Y"))=0,"",'Dvd Calendar'!$AR$168)))</f>
        <v/>
      </c>
      <c r="AQ26" s="106">
        <f>IF(FS26="","",IF(ISNUMBER('Dvd Calendar'!$E$173)=FALSE,"",'Dvd Calendar'!$E$173))</f>
        <v/>
      </c>
      <c r="AR26" s="106">
        <f>IF(FT26="","",IF(ISNUMBER('Dvd Calendar'!$F$173)=FALSE,"",'Dvd Calendar'!$F$173))</f>
        <v/>
      </c>
      <c r="AS26" s="106">
        <f>IF(FU26="","",IF(ISNUMBER('Dvd Calendar'!$G$173)=FALSE,"",'Dvd Calendar'!$G$173))</f>
        <v/>
      </c>
      <c r="AT26" s="106">
        <f>IF(FV26="","",IF(ISNUMBER('Dvd Calendar'!$H$173)=FALSE,"",'Dvd Calendar'!$H$173))</f>
        <v/>
      </c>
      <c r="AU26" s="106">
        <f>IF(FW26="","",IF(ISNUMBER('Dvd Calendar'!$I$173)=FALSE,"",'Dvd Calendar'!$I$173))</f>
        <v/>
      </c>
      <c r="AV26" s="106">
        <f>IF(FX26="","",IF(ISNUMBER('Dvd Calendar'!$J$173)=FALSE,"",'Dvd Calendar'!$J$173))</f>
        <v/>
      </c>
      <c r="AW26" s="106">
        <f>IF(FY26="","",IF(ISNUMBER('Dvd Calendar'!$K$173)=FALSE,"",'Dvd Calendar'!$K$173))</f>
        <v/>
      </c>
      <c r="AX26" s="106">
        <f>IF(FZ26="","",IF(ISNUMBER('Dvd Calendar'!$L$173)=FALSE,"",'Dvd Calendar'!$L$173))</f>
        <v/>
      </c>
      <c r="AY26" s="106">
        <f>IF(GA26="","",IF(ISNUMBER('Dvd Calendar'!$M$173)=FALSE,"",'Dvd Calendar'!$M$173))</f>
        <v/>
      </c>
      <c r="AZ26" s="106">
        <f>IF(GB26="","",IF(ISNUMBER('Dvd Calendar'!$N$173)=FALSE,"",'Dvd Calendar'!$N$173))</f>
        <v/>
      </c>
      <c r="BA26" s="106">
        <f>IF(GC26="","",IF(ISNUMBER('Dvd Calendar'!$O$173)=FALSE,"",'Dvd Calendar'!$O$173))</f>
        <v/>
      </c>
      <c r="BB26" s="106">
        <f>IF(GD26="","",IF(ISNUMBER('Dvd Calendar'!$P$173)=FALSE,"",'Dvd Calendar'!$P$173))</f>
        <v/>
      </c>
      <c r="BC26" s="106">
        <f>IF(GE26="","",IF(ISNUMBER('Dvd Calendar'!$Q$173)=FALSE,"",'Dvd Calendar'!$Q$173))</f>
        <v/>
      </c>
      <c r="BD26" s="106">
        <f>IF(GF26="","",IF(ISNUMBER('Dvd Calendar'!$R$173)=FALSE,"",'Dvd Calendar'!$R$173))</f>
        <v/>
      </c>
      <c r="BE26" s="106">
        <f>IF(GG26="","",IF(ISNUMBER('Dvd Calendar'!$S$173)=FALSE,"",'Dvd Calendar'!$S$173))</f>
        <v/>
      </c>
      <c r="BF26" s="106">
        <f>IF(GH26="","",IF(ISNUMBER('Dvd Calendar'!$T$173)=FALSE,"",'Dvd Calendar'!$T$173))</f>
        <v/>
      </c>
      <c r="BG26" s="106">
        <f>IF(GI26="","",IF(ISNUMBER('Dvd Calendar'!$U$173)=FALSE,"",'Dvd Calendar'!$U$173))</f>
        <v/>
      </c>
      <c r="BH26" s="106">
        <f>IF(GJ26="","",IF(ISNUMBER('Dvd Calendar'!$V$173)=FALSE,"",'Dvd Calendar'!$V$173))</f>
        <v/>
      </c>
      <c r="BI26" s="106">
        <f>IF(GK26="","",IF(ISNUMBER('Dvd Calendar'!$W$173)=FALSE,"",'Dvd Calendar'!$W$173))</f>
        <v/>
      </c>
      <c r="BJ26" s="106">
        <f>IF(GL26="","",IF(ISNUMBER('Dvd Calendar'!$X$173)=FALSE,"",'Dvd Calendar'!$X$173))</f>
        <v/>
      </c>
      <c r="BK26" s="106">
        <f>IF(GM26="","",IF(ISNUMBER('Dvd Calendar'!$Y$173)=FALSE,"",'Dvd Calendar'!$Y$173))</f>
        <v/>
      </c>
      <c r="BL26" s="106">
        <f>IF(GN26="","",IF(ISNUMBER('Dvd Calendar'!$Z$173)=FALSE,"",'Dvd Calendar'!$Z$173))</f>
        <v/>
      </c>
      <c r="BM26" s="106">
        <f>IF(GO26="","",IF(ISNUMBER('Dvd Calendar'!$AA$173)=FALSE,"",'Dvd Calendar'!$AA$173))</f>
        <v/>
      </c>
      <c r="BN26" s="106">
        <f>IF(GP26="","",IF(ISNUMBER('Dvd Calendar'!$AB$173)=FALSE,"",'Dvd Calendar'!$AB$173))</f>
        <v/>
      </c>
      <c r="BO26" s="106">
        <f>IF(GQ26="","",IF(ISNUMBER('Dvd Calendar'!$AC$173)=FALSE,"",'Dvd Calendar'!$AC$173))</f>
        <v/>
      </c>
      <c r="BQ26" s="106">
        <f>IF(C26="","",IFERROR(C26*HSI!$B$21*HSI!$G$21/HSI!$B$3,""))</f>
        <v/>
      </c>
      <c r="BR26" s="106">
        <f>IF(D26="","",IFERROR(D26*HSI!$B$21*HSI!$G$21/HSI!$B$3,""))</f>
        <v/>
      </c>
      <c r="BS26" s="106">
        <f>IF(E26="","",IFERROR(E26*HSI!$B$21*HSI!$G$21/HSI!$B$3,""))</f>
        <v/>
      </c>
      <c r="BT26" s="106">
        <f>IF(F26="","",IFERROR(F26*HSI!$B$21*HSI!$G$21/HSI!$B$3,""))</f>
        <v/>
      </c>
      <c r="BU26" s="106">
        <f>IF(G26="","",IFERROR(G26*HSI!$B$21*HSI!$G$21/HSI!$B$3,""))</f>
        <v/>
      </c>
      <c r="BV26" s="106">
        <f>IF(H26="","",IFERROR(H26*HSI!$B$21*HSI!$G$21/HSI!$B$3,""))</f>
        <v/>
      </c>
      <c r="BW26" s="106">
        <f>IF(I26="","",IFERROR(I26*HSI!$B$21*HSI!$G$21/HSI!$B$3,""))</f>
        <v/>
      </c>
      <c r="BX26" s="106">
        <f>IF(J26="","",IFERROR(J26*HSI!$B$21*HSI!$G$21/HSI!$B$3,""))</f>
        <v/>
      </c>
      <c r="BY26" s="106">
        <f>IF(K26="","",IFERROR(K26*HSI!$B$21*HSI!$G$21/HSI!$B$3,""))</f>
        <v/>
      </c>
      <c r="BZ26" s="106">
        <f>IF(L26="","",IFERROR(L26*HSI!$B$21*HSI!$G$21/HSI!$B$3,""))</f>
        <v/>
      </c>
      <c r="CA26" s="106">
        <f>IF(M26="","",IFERROR(M26*HSI!$B$21*HSI!$G$21/HSI!$B$3,""))</f>
        <v/>
      </c>
      <c r="CB26" s="106">
        <f>IF(N26="","",IFERROR(N26*HSI!$B$21*HSI!$G$21/HSI!$B$3,""))</f>
        <v/>
      </c>
      <c r="CC26" s="106">
        <f>IF(O26="","",IFERROR(O26*HSI!$B$21*HSI!$G$21/HSI!$B$3,""))</f>
        <v/>
      </c>
      <c r="CD26" s="106">
        <f>IF(P26="","",IFERROR(P26*HSI!$B$21*HSI!$G$21/HSI!$B$3,""))</f>
        <v/>
      </c>
      <c r="CE26" s="106">
        <f>IF(Q26="","",IFERROR(Q26*HSI!$B$21*HSI!$G$21/HSI!$B$3,""))</f>
        <v/>
      </c>
      <c r="CF26" s="106">
        <f>IF(R26="","",IFERROR(R26*HSI!$B$21*HSI!$G$21/HSI!$B$3,""))</f>
        <v/>
      </c>
      <c r="CG26" s="106">
        <f>IF(S26="","",IFERROR(S26*HSI!$B$21*HSI!$G$21/HSI!$B$3,""))</f>
        <v/>
      </c>
      <c r="CH26" s="106">
        <f>IF(T26="","",IFERROR(T26*HSI!$B$21*HSI!$G$21/HSI!$B$3,""))</f>
        <v/>
      </c>
      <c r="CI26" s="106">
        <f>IF(U26="","",IFERROR(U26*HSI!$B$21*HSI!$G$21/HSI!$B$3,""))</f>
        <v/>
      </c>
      <c r="CJ26" s="106">
        <f>IF(V26="","",IFERROR(V26*HSI!$B$21*HSI!$G$21/HSI!$B$3,""))</f>
        <v/>
      </c>
      <c r="CK26" s="106">
        <f>IF(W26="","",IFERROR(W26*HSI!$B$21*HSI!$G$21/HSI!$B$3,""))</f>
        <v/>
      </c>
      <c r="CL26" s="106">
        <f>IF(X26="","",IFERROR(X26*HSI!$B$21*HSI!$G$21/HSI!$B$3,""))</f>
        <v/>
      </c>
      <c r="CM26" s="106">
        <f>IF(Y26="","",IFERROR(Y26*HSI!$B$21*HSI!$G$21/HSI!$B$3,""))</f>
        <v/>
      </c>
      <c r="CN26" s="106">
        <f>IF(Z26="","",IFERROR(Z26*HSI!$B$21*HSI!$G$21/HSI!$B$3,""))</f>
        <v/>
      </c>
      <c r="CO26" s="106">
        <f>IF(AA26="","",IFERROR(AA26*HSI!$B$21*HSI!$G$21/HSI!$B$3,""))</f>
        <v/>
      </c>
      <c r="CP26" s="106">
        <f>IF(AB26="","",IFERROR(AB26*HSI!$B$21*HSI!$G$21/HSI!$B$3,""))</f>
        <v/>
      </c>
      <c r="CQ26" s="106">
        <f>IF(AC26="","",IFERROR(AC26*HSI!$B$21*HSI!$G$21/HSI!$B$3,""))</f>
        <v/>
      </c>
      <c r="CR26" s="106">
        <f>IF(AD26="","",IFERROR(AD26*HSI!$B$21*HSI!$G$21/HSI!$B$3,""))</f>
        <v/>
      </c>
      <c r="CS26" s="106">
        <f>IF(AE26="","",IFERROR(AE26*HSI!$B$21*HSI!$G$21/HSI!$B$3,""))</f>
        <v/>
      </c>
      <c r="CT26" s="106">
        <f>IF(AF26="","",IFERROR(AF26*HSI!$B$21*HSI!$G$21/HSI!$B$3,""))</f>
        <v/>
      </c>
      <c r="CU26" s="106">
        <f>IF(AG26="","",IFERROR(AG26*HSI!$B$21*HSI!$G$21/HSI!$B$3,""))</f>
        <v/>
      </c>
      <c r="CV26" s="106">
        <f>IF(AH26="","",IFERROR(AH26*HSI!$B$21*HSI!$G$21/HSI!$B$3,""))</f>
        <v/>
      </c>
      <c r="CW26" s="106">
        <f>IF(AI26="","",IFERROR(AI26*HSI!$B$21*HSI!$G$21/HSI!$B$3,""))</f>
        <v/>
      </c>
      <c r="CX26" s="106">
        <f>IF(AJ26="","",IFERROR(AJ26*HSI!$B$21*HSI!$G$21/HSI!$B$3,""))</f>
        <v/>
      </c>
      <c r="CY26" s="106">
        <f>IF(AK26="","",IFERROR(AK26*HSI!$B$21*HSI!$G$21/HSI!$B$3,""))</f>
        <v/>
      </c>
      <c r="CZ26" s="106">
        <f>IF(AL26="","",IFERROR(AL26*HSI!$B$21*HSI!$G$21/HSI!$B$3,""))</f>
        <v/>
      </c>
      <c r="DA26" s="106">
        <f>IF(AM26="","",IFERROR(AM26*HSI!$B$21*HSI!$G$21/HSI!$B$3,""))</f>
        <v/>
      </c>
      <c r="DB26" s="106">
        <f>IF(AN26="","",IFERROR(AN26*HSI!$B$21*HSI!$G$21/HSI!$B$3,""))</f>
        <v/>
      </c>
      <c r="DC26" s="106">
        <f>IF(AO26="","",IFERROR(AO26*HSI!$B$21*HSI!$G$21/HSI!$B$3,""))</f>
        <v/>
      </c>
      <c r="DD26" s="106">
        <f>IF(AP26="","",IFERROR(AP26*HSI!$B$21*HSI!$G$21/HSI!$B$3,""))</f>
        <v/>
      </c>
      <c r="DE26" s="106">
        <f>IF(AQ26="","",IFERROR(AQ26*HSI!$B$21*HSI!$G$21/HSI!$B$3,""))</f>
        <v/>
      </c>
      <c r="DF26" s="106">
        <f>IF(AR26="","",IFERROR(AR26*HSI!$B$21*HSI!$G$21/HSI!$B$3,""))</f>
        <v/>
      </c>
      <c r="DG26" s="106">
        <f>IF(AS26="","",IFERROR(AS26*HSI!$B$21*HSI!$G$21/HSI!$B$3,""))</f>
        <v/>
      </c>
      <c r="DH26" s="106">
        <f>IF(AT26="","",IFERROR(AT26*HSI!$B$21*HSI!$G$21/HSI!$B$3,""))</f>
        <v/>
      </c>
      <c r="DI26" s="106">
        <f>IF(AU26="","",IFERROR(AU26*HSI!$B$21*HSI!$G$21/HSI!$B$3,""))</f>
        <v/>
      </c>
      <c r="DJ26" s="106">
        <f>IF(AV26="","",IFERROR(AV26*HSI!$B$21*HSI!$G$21/HSI!$B$3,""))</f>
        <v/>
      </c>
      <c r="DK26" s="106">
        <f>IF(AW26="","",IFERROR(AW26*HSI!$B$21*HSI!$G$21/HSI!$B$3,""))</f>
        <v/>
      </c>
      <c r="DL26" s="106">
        <f>IF(AX26="","",IFERROR(AX26*HSI!$B$21*HSI!$G$21/HSI!$B$3,""))</f>
        <v/>
      </c>
      <c r="DM26" s="106">
        <f>IF(AY26="","",IFERROR(AY26*HSI!$B$21*HSI!$G$21/HSI!$B$3,""))</f>
        <v/>
      </c>
      <c r="DN26" s="106">
        <f>IF(AZ26="","",IFERROR(AZ26*HSI!$B$21*HSI!$G$21/HSI!$B$3,""))</f>
        <v/>
      </c>
      <c r="DO26" s="106">
        <f>IF(BA26="","",IFERROR(BA26*HSI!$B$21*HSI!$G$21/HSI!$B$3,""))</f>
        <v/>
      </c>
      <c r="DP26" s="106">
        <f>IF(BB26="","",IFERROR(BB26*HSI!$B$21*HSI!$G$21/HSI!$B$3,""))</f>
        <v/>
      </c>
      <c r="DQ26" s="106">
        <f>IF(BC26="","",IFERROR(BC26*HSI!$B$21*HSI!$G$21/HSI!$B$3,""))</f>
        <v/>
      </c>
      <c r="DR26" s="106">
        <f>IF(BD26="","",IFERROR(BD26*HSI!$B$21*HSI!$G$21/HSI!$B$3,""))</f>
        <v/>
      </c>
      <c r="DS26" s="106">
        <f>IF(BE26="","",IFERROR(BE26*HSI!$B$21*HSI!$G$21/HSI!$B$3,""))</f>
        <v/>
      </c>
      <c r="DT26" s="106">
        <f>IF(BF26="","",IFERROR(BF26*HSI!$B$21*HSI!$G$21/HSI!$B$3,""))</f>
        <v/>
      </c>
      <c r="DU26" s="106">
        <f>IF(BG26="","",IFERROR(BG26*HSI!$B$21*HSI!$G$21/HSI!$B$3,""))</f>
        <v/>
      </c>
      <c r="DV26" s="106">
        <f>IF(BH26="","",IFERROR(BH26*HSI!$B$21*HSI!$G$21/HSI!$B$3,""))</f>
        <v/>
      </c>
      <c r="DW26" s="106">
        <f>IF(BI26="","",IFERROR(BI26*HSI!$B$21*HSI!$G$21/HSI!$B$3,""))</f>
        <v/>
      </c>
      <c r="DX26" s="106">
        <f>IF(BJ26="","",IFERROR(BJ26*HSI!$B$21*HSI!$G$21/HSI!$B$3,""))</f>
        <v/>
      </c>
      <c r="DY26" s="106">
        <f>IF(BK26="","",IFERROR(BK26*HSI!$B$21*HSI!$G$21/HSI!$B$3,""))</f>
        <v/>
      </c>
      <c r="DZ26" s="106">
        <f>IF(BL26="","",IFERROR(BL26*HSI!$B$21*HSI!$G$21/HSI!$B$3,""))</f>
        <v/>
      </c>
      <c r="EA26" s="106">
        <f>IF(BM26="","",IFERROR(BM26*HSI!$B$21*HSI!$G$21/HSI!$B$3,""))</f>
        <v/>
      </c>
      <c r="EB26" s="106">
        <f>IF(BN26="","",IFERROR(BN26*HSI!$B$21*HSI!$G$21/HSI!$B$3,""))</f>
        <v/>
      </c>
      <c r="EC26" s="106">
        <f>IF(BO26="","",IFERROR(BO26*HSI!$B$21*HSI!$G$21/HSI!$B$3,""))</f>
        <v/>
      </c>
      <c r="EE26" s="35">
        <f>IF(N('Dvd Calendar'!$E$165)=0,"",IF(('Dvd Calendar'!$E$165&gt;=GRID_FROM)*('Dvd Calendar'!$E$165&lt;=GRID_TO)*('Dvd Calendar'!$E$165&lt;=VAL_DATE)=0,"",'Dvd Calendar'!$E$165*1000000000+ISNUMBER('Dvd Calendar'!$E$168)*100000000+('Dvd Calendar'!$E$170=SPECIAL_LBL)*10000000+0*1000000+15*1000+1))</f>
        <v/>
      </c>
      <c r="EF26" s="35">
        <f>IF(N('Dvd Calendar'!$F$165)=0,"",IF(('Dvd Calendar'!$F$165&gt;=GRID_FROM)*('Dvd Calendar'!$F$165&lt;=GRID_TO)*('Dvd Calendar'!$F$165&lt;=VAL_DATE)=0,"",'Dvd Calendar'!$F$165*1000000000+ISNUMBER('Dvd Calendar'!$F$168)*100000000+('Dvd Calendar'!$F$170=SPECIAL_LBL)*10000000+0*1000000+15*1000+2))</f>
        <v/>
      </c>
      <c r="EG26" s="35">
        <f>IF(N('Dvd Calendar'!$G$165)=0,"",IF(('Dvd Calendar'!$G$165&gt;=GRID_FROM)*('Dvd Calendar'!$G$165&lt;=GRID_TO)*('Dvd Calendar'!$G$165&lt;=VAL_DATE)=0,"",'Dvd Calendar'!$G$165*1000000000+ISNUMBER('Dvd Calendar'!$G$168)*100000000+('Dvd Calendar'!$G$170=SPECIAL_LBL)*10000000+0*1000000+15*1000+3))</f>
        <v/>
      </c>
      <c r="EH26" s="35">
        <f>IF(N('Dvd Calendar'!$H$165)=0,"",IF(('Dvd Calendar'!$H$165&gt;=GRID_FROM)*('Dvd Calendar'!$H$165&lt;=GRID_TO)*('Dvd Calendar'!$H$165&lt;=VAL_DATE)=0,"",'Dvd Calendar'!$H$165*1000000000+ISNUMBER('Dvd Calendar'!$H$168)*100000000+('Dvd Calendar'!$H$170=SPECIAL_LBL)*10000000+0*1000000+15*1000+4))</f>
        <v/>
      </c>
      <c r="EI26" s="35">
        <f>IF(N('Dvd Calendar'!$I$165)=0,"",IF(('Dvd Calendar'!$I$165&gt;=GRID_FROM)*('Dvd Calendar'!$I$165&lt;=GRID_TO)*('Dvd Calendar'!$I$165&lt;=VAL_DATE)=0,"",'Dvd Calendar'!$I$165*1000000000+ISNUMBER('Dvd Calendar'!$I$168)*100000000+('Dvd Calendar'!$I$170=SPECIAL_LBL)*10000000+0*1000000+15*1000+5))</f>
        <v/>
      </c>
      <c r="EJ26" s="35">
        <f>IF(N('Dvd Calendar'!$J$165)=0,"",IF(('Dvd Calendar'!$J$165&gt;=GRID_FROM)*('Dvd Calendar'!$J$165&lt;=GRID_TO)*('Dvd Calendar'!$J$165&lt;=VAL_DATE)=0,"",'Dvd Calendar'!$J$165*1000000000+ISNUMBER('Dvd Calendar'!$J$168)*100000000+('Dvd Calendar'!$J$170=SPECIAL_LBL)*10000000+0*1000000+15*1000+6))</f>
        <v/>
      </c>
      <c r="EK26" s="35">
        <f>IF(N('Dvd Calendar'!$K$165)=0,"",IF(('Dvd Calendar'!$K$165&gt;=GRID_FROM)*('Dvd Calendar'!$K$165&lt;=GRID_TO)*('Dvd Calendar'!$K$165&lt;=VAL_DATE)=0,"",'Dvd Calendar'!$K$165*1000000000+ISNUMBER('Dvd Calendar'!$K$168)*100000000+('Dvd Calendar'!$K$170=SPECIAL_LBL)*10000000+0*1000000+15*1000+7))</f>
        <v/>
      </c>
      <c r="EL26" s="35">
        <f>IF(N('Dvd Calendar'!$L$165)=0,"",IF(('Dvd Calendar'!$L$165&gt;=GRID_FROM)*('Dvd Calendar'!$L$165&lt;=GRID_TO)*('Dvd Calendar'!$L$165&lt;=VAL_DATE)=0,"",'Dvd Calendar'!$L$165*1000000000+ISNUMBER('Dvd Calendar'!$L$168)*100000000+('Dvd Calendar'!$L$170=SPECIAL_LBL)*10000000+0*1000000+15*1000+8))</f>
        <v/>
      </c>
      <c r="EM26" s="35">
        <f>IF(N('Dvd Calendar'!$M$165)=0,"",IF(('Dvd Calendar'!$M$165&gt;=GRID_FROM)*('Dvd Calendar'!$M$165&lt;=GRID_TO)*('Dvd Calendar'!$M$165&lt;=VAL_DATE)=0,"",'Dvd Calendar'!$M$165*1000000000+ISNUMBER('Dvd Calendar'!$M$168)*100000000+('Dvd Calendar'!$M$170=SPECIAL_LBL)*10000000+0*1000000+15*1000+9))</f>
        <v/>
      </c>
      <c r="EN26" s="35">
        <f>IF(N('Dvd Calendar'!$N$165)=0,"",IF(('Dvd Calendar'!$N$165&gt;=GRID_FROM)*('Dvd Calendar'!$N$165&lt;=GRID_TO)*('Dvd Calendar'!$N$165&lt;=VAL_DATE)=0,"",'Dvd Calendar'!$N$165*1000000000+ISNUMBER('Dvd Calendar'!$N$168)*100000000+('Dvd Calendar'!$N$170=SPECIAL_LBL)*10000000+0*1000000+15*1000+10))</f>
        <v/>
      </c>
      <c r="EO26" s="35">
        <f>IF(N('Dvd Calendar'!$O$165)=0,"",IF(('Dvd Calendar'!$O$165&gt;=GRID_FROM)*('Dvd Calendar'!$O$165&lt;=GRID_TO)*('Dvd Calendar'!$O$165&lt;=VAL_DATE)=0,"",'Dvd Calendar'!$O$165*1000000000+ISNUMBER('Dvd Calendar'!$O$168)*100000000+('Dvd Calendar'!$O$170=SPECIAL_LBL)*10000000+0*1000000+15*1000+11))</f>
        <v/>
      </c>
      <c r="EP26" s="35">
        <f>IF(N('Dvd Calendar'!$P$165)=0,"",IF(('Dvd Calendar'!$P$165&gt;=GRID_FROM)*('Dvd Calendar'!$P$165&lt;=GRID_TO)*('Dvd Calendar'!$P$165&lt;=VAL_DATE)=0,"",'Dvd Calendar'!$P$165*1000000000+ISNUMBER('Dvd Calendar'!$P$168)*100000000+('Dvd Calendar'!$P$170=SPECIAL_LBL)*10000000+0*1000000+15*1000+12))</f>
        <v/>
      </c>
      <c r="EQ26" s="35">
        <f>IF(N('Dvd Calendar'!$Q$165)=0,"",IF(('Dvd Calendar'!$Q$165&gt;=GRID_FROM)*('Dvd Calendar'!$Q$165&lt;=GRID_TO)*('Dvd Calendar'!$Q$165&lt;=VAL_DATE)=0,"",'Dvd Calendar'!$Q$165*1000000000+ISNUMBER('Dvd Calendar'!$Q$168)*100000000+('Dvd Calendar'!$Q$170=SPECIAL_LBL)*10000000+0*1000000+15*1000+13))</f>
        <v/>
      </c>
      <c r="ER26" s="35">
        <f>IF(N('Dvd Calendar'!$R$165)=0,"",IF(('Dvd Calendar'!$R$165&gt;=GRID_FROM)*('Dvd Calendar'!$R$165&lt;=GRID_TO)*('Dvd Calendar'!$R$165&lt;=VAL_DATE)=0,"",'Dvd Calendar'!$R$165*1000000000+ISNUMBER('Dvd Calendar'!$R$168)*100000000+('Dvd Calendar'!$R$170=SPECIAL_LBL)*10000000+0*1000000+15*1000+14))</f>
        <v/>
      </c>
      <c r="ES26" s="35">
        <f>IF(N('Dvd Calendar'!$S$165)=0,"",IF(('Dvd Calendar'!$S$165&gt;=GRID_FROM)*('Dvd Calendar'!$S$165&lt;=GRID_TO)*('Dvd Calendar'!$S$165&lt;=VAL_DATE)=0,"",'Dvd Calendar'!$S$165*1000000000+ISNUMBER('Dvd Calendar'!$S$168)*100000000+('Dvd Calendar'!$S$170=SPECIAL_LBL)*10000000+0*1000000+15*1000+15))</f>
        <v/>
      </c>
      <c r="ET26" s="35">
        <f>IF(N('Dvd Calendar'!$T$165)=0,"",IF(('Dvd Calendar'!$T$165&gt;=GRID_FROM)*('Dvd Calendar'!$T$165&lt;=GRID_TO)*('Dvd Calendar'!$T$165&lt;=VAL_DATE)=0,"",'Dvd Calendar'!$T$165*1000000000+ISNUMBER('Dvd Calendar'!$T$168)*100000000+('Dvd Calendar'!$T$170=SPECIAL_LBL)*10000000+0*1000000+15*1000+16))</f>
        <v/>
      </c>
      <c r="EU26" s="35">
        <f>IF(N('Dvd Calendar'!$U$165)=0,"",IF(('Dvd Calendar'!$U$165&gt;=GRID_FROM)*('Dvd Calendar'!$U$165&lt;=GRID_TO)*('Dvd Calendar'!$U$165&lt;=VAL_DATE)=0,"",'Dvd Calendar'!$U$165*1000000000+ISNUMBER('Dvd Calendar'!$U$168)*100000000+('Dvd Calendar'!$U$170=SPECIAL_LBL)*10000000+0*1000000+15*1000+17))</f>
        <v/>
      </c>
      <c r="EV26" s="35">
        <f>IF(N('Dvd Calendar'!$V$165)=0,"",IF(('Dvd Calendar'!$V$165&gt;=GRID_FROM)*('Dvd Calendar'!$V$165&lt;=GRID_TO)*('Dvd Calendar'!$V$165&lt;=VAL_DATE)=0,"",'Dvd Calendar'!$V$165*1000000000+ISNUMBER('Dvd Calendar'!$V$168)*100000000+('Dvd Calendar'!$V$170=SPECIAL_LBL)*10000000+0*1000000+15*1000+18))</f>
        <v/>
      </c>
      <c r="EW26" s="35">
        <f>IF(N('Dvd Calendar'!$W$165)=0,"",IF(('Dvd Calendar'!$W$165&gt;=GRID_FROM)*('Dvd Calendar'!$W$165&lt;=GRID_TO)*('Dvd Calendar'!$W$165&lt;=VAL_DATE)=0,"",'Dvd Calendar'!$W$165*1000000000+ISNUMBER('Dvd Calendar'!$W$168)*100000000+('Dvd Calendar'!$W$170=SPECIAL_LBL)*10000000+0*1000000+15*1000+19))</f>
        <v/>
      </c>
      <c r="EX26" s="35">
        <f>IF(N('Dvd Calendar'!$X$165)=0,"",IF(('Dvd Calendar'!$X$165&gt;=GRID_FROM)*('Dvd Calendar'!$X$165&lt;=GRID_TO)*('Dvd Calendar'!$X$165&lt;=VAL_DATE)=0,"",'Dvd Calendar'!$X$165*1000000000+ISNUMBER('Dvd Calendar'!$X$168)*100000000+('Dvd Calendar'!$X$170=SPECIAL_LBL)*10000000+0*1000000+15*1000+20))</f>
        <v/>
      </c>
      <c r="EY26" s="35">
        <f>IF(N('Dvd Calendar'!$Y$165)=0,"",IF(('Dvd Calendar'!$Y$165&gt;=GRID_FROM)*('Dvd Calendar'!$Y$165&lt;=GRID_TO)*('Dvd Calendar'!$Y$165&lt;=VAL_DATE)=0,"",'Dvd Calendar'!$Y$165*1000000000+ISNUMBER('Dvd Calendar'!$Y$168)*100000000+('Dvd Calendar'!$Y$170=SPECIAL_LBL)*10000000+0*1000000+15*1000+21))</f>
        <v/>
      </c>
      <c r="EZ26" s="35">
        <f>IF(N('Dvd Calendar'!$Z$165)=0,"",IF(('Dvd Calendar'!$Z$165&gt;=GRID_FROM)*('Dvd Calendar'!$Z$165&lt;=GRID_TO)*('Dvd Calendar'!$Z$165&lt;=VAL_DATE)=0,"",'Dvd Calendar'!$Z$165*1000000000+ISNUMBER('Dvd Calendar'!$Z$168)*100000000+('Dvd Calendar'!$Z$170=SPECIAL_LBL)*10000000+0*1000000+15*1000+22))</f>
        <v/>
      </c>
      <c r="FA26" s="35">
        <f>IF(N('Dvd Calendar'!$AA$165)=0,"",IF(('Dvd Calendar'!$AA$165&gt;=GRID_FROM)*('Dvd Calendar'!$AA$165&lt;=GRID_TO)*('Dvd Calendar'!$AA$165&lt;=VAL_DATE)=0,"",'Dvd Calendar'!$AA$165*1000000000+ISNUMBER('Dvd Calendar'!$AA$168)*100000000+('Dvd Calendar'!$AA$170=SPECIAL_LBL)*10000000+0*1000000+15*1000+23))</f>
        <v/>
      </c>
      <c r="FB26" s="35">
        <f>IF(N('Dvd Calendar'!$AB$165)=0,"",IF(('Dvd Calendar'!$AB$165&gt;=GRID_FROM)*('Dvd Calendar'!$AB$165&lt;=GRID_TO)*('Dvd Calendar'!$AB$165&lt;=VAL_DATE)=0,"",'Dvd Calendar'!$AB$165*1000000000+ISNUMBER('Dvd Calendar'!$AB$168)*100000000+('Dvd Calendar'!$AB$170=SPECIAL_LBL)*10000000+0*1000000+15*1000+24))</f>
        <v/>
      </c>
      <c r="FC26" s="35">
        <f>IF(N('Dvd Calendar'!$AC$165)=0,"",IF(('Dvd Calendar'!$AC$165&gt;=GRID_FROM)*('Dvd Calendar'!$AC$165&lt;=GRID_TO)*('Dvd Calendar'!$AC$165&lt;=VAL_DATE)=0,"",'Dvd Calendar'!$AC$165*1000000000+ISNUMBER('Dvd Calendar'!$AC$168)*100000000+('Dvd Calendar'!$AC$170=SPECIAL_LBL)*10000000+0*1000000+15*1000+25))</f>
        <v/>
      </c>
      <c r="FD26" s="35">
        <f>IF(N('Dvd Calendar'!$AD$165)=0,"",IF(('Dvd Calendar'!$AD$165&gt;=GRID_FROM)*('Dvd Calendar'!$AD$165&lt;=GRID_TO)*('Dvd Calendar'!$AD$165&lt;=VAL_DATE)=0,"",'Dvd Calendar'!$AD$165*1000000000+ISNUMBER('Dvd Calendar'!$AD$168)*100000000+('Dvd Calendar'!$AD$170=SPECIAL_LBL)*10000000+0*1000000+15*1000+26))</f>
        <v/>
      </c>
      <c r="FE26" s="35">
        <f>IF(N('Dvd Calendar'!$AE$165)=0,"",IF(('Dvd Calendar'!$AE$165&gt;=GRID_FROM)*('Dvd Calendar'!$AE$165&lt;=GRID_TO)*('Dvd Calendar'!$AE$165&lt;=VAL_DATE)=0,"",'Dvd Calendar'!$AE$165*1000000000+ISNUMBER('Dvd Calendar'!$AE$168)*100000000+('Dvd Calendar'!$AE$170=SPECIAL_LBL)*10000000+0*1000000+15*1000+27))</f>
        <v/>
      </c>
      <c r="FF26" s="35">
        <f>IF(N('Dvd Calendar'!$AF$165)=0,"",IF(('Dvd Calendar'!$AF$165&gt;=GRID_FROM)*('Dvd Calendar'!$AF$165&lt;=GRID_TO)*('Dvd Calendar'!$AF$165&lt;=VAL_DATE)=0,"",'Dvd Calendar'!$AF$165*1000000000+ISNUMBER('Dvd Calendar'!$AF$168)*100000000+('Dvd Calendar'!$AF$170=SPECIAL_LBL)*10000000+0*1000000+15*1000+28))</f>
        <v/>
      </c>
      <c r="FG26" s="35">
        <f>IF(N('Dvd Calendar'!$AG$165)=0,"",IF(('Dvd Calendar'!$AG$165&gt;=GRID_FROM)*('Dvd Calendar'!$AG$165&lt;=GRID_TO)*('Dvd Calendar'!$AG$165&lt;=VAL_DATE)=0,"",'Dvd Calendar'!$AG$165*1000000000+ISNUMBER('Dvd Calendar'!$AG$168)*100000000+('Dvd Calendar'!$AG$170=SPECIAL_LBL)*10000000+0*1000000+15*1000+29))</f>
        <v/>
      </c>
      <c r="FH26" s="35">
        <f>IF(N('Dvd Calendar'!$AH$165)=0,"",IF(('Dvd Calendar'!$AH$165&gt;=GRID_FROM)*('Dvd Calendar'!$AH$165&lt;=GRID_TO)*('Dvd Calendar'!$AH$165&lt;=VAL_DATE)=0,"",'Dvd Calendar'!$AH$165*1000000000+ISNUMBER('Dvd Calendar'!$AH$168)*100000000+('Dvd Calendar'!$AH$170=SPECIAL_LBL)*10000000+0*1000000+15*1000+30))</f>
        <v/>
      </c>
      <c r="FI26" s="35">
        <f>IF(N('Dvd Calendar'!$AI$165)=0,"",IF(('Dvd Calendar'!$AI$165&gt;=GRID_FROM)*('Dvd Calendar'!$AI$165&lt;=GRID_TO)*('Dvd Calendar'!$AI$165&lt;=VAL_DATE)=0,"",'Dvd Calendar'!$AI$165*1000000000+ISNUMBER('Dvd Calendar'!$AI$168)*100000000+('Dvd Calendar'!$AI$170=SPECIAL_LBL)*10000000+0*1000000+15*1000+31))</f>
        <v/>
      </c>
      <c r="FJ26" s="35">
        <f>IF(N('Dvd Calendar'!$AJ$165)=0,"",IF(('Dvd Calendar'!$AJ$165&gt;=GRID_FROM)*('Dvd Calendar'!$AJ$165&lt;=GRID_TO)*('Dvd Calendar'!$AJ$165&lt;=VAL_DATE)=0,"",'Dvd Calendar'!$AJ$165*1000000000+ISNUMBER('Dvd Calendar'!$AJ$168)*100000000+('Dvd Calendar'!$AJ$170=SPECIAL_LBL)*10000000+0*1000000+15*1000+32))</f>
        <v/>
      </c>
      <c r="FK26" s="35">
        <f>IF(N('Dvd Calendar'!$AK$165)=0,"",IF(('Dvd Calendar'!$AK$165&gt;=GRID_FROM)*('Dvd Calendar'!$AK$165&lt;=GRID_TO)*('Dvd Calendar'!$AK$165&lt;=VAL_DATE)=0,"",'Dvd Calendar'!$AK$165*1000000000+ISNUMBER('Dvd Calendar'!$AK$168)*100000000+('Dvd Calendar'!$AK$170=SPECIAL_LBL)*10000000+0*1000000+15*1000+33))</f>
        <v/>
      </c>
      <c r="FL26" s="35">
        <f>IF(N('Dvd Calendar'!$AL$165)=0,"",IF(('Dvd Calendar'!$AL$165&gt;=GRID_FROM)*('Dvd Calendar'!$AL$165&lt;=GRID_TO)*('Dvd Calendar'!$AL$165&lt;=VAL_DATE)=0,"",'Dvd Calendar'!$AL$165*1000000000+ISNUMBER('Dvd Calendar'!$AL$168)*100000000+('Dvd Calendar'!$AL$170=SPECIAL_LBL)*10000000+0*1000000+15*1000+34))</f>
        <v/>
      </c>
      <c r="FM26" s="35">
        <f>IF(N('Dvd Calendar'!$AM$165)=0,"",IF(('Dvd Calendar'!$AM$165&gt;=GRID_FROM)*('Dvd Calendar'!$AM$165&lt;=GRID_TO)*('Dvd Calendar'!$AM$165&lt;=VAL_DATE)=0,"",'Dvd Calendar'!$AM$165*1000000000+ISNUMBER('Dvd Calendar'!$AM$168)*100000000+('Dvd Calendar'!$AM$170=SPECIAL_LBL)*10000000+0*1000000+15*1000+35))</f>
        <v/>
      </c>
      <c r="FN26" s="35">
        <f>IF(N('Dvd Calendar'!$AN$165)=0,"",IF(('Dvd Calendar'!$AN$165&gt;=GRID_FROM)*('Dvd Calendar'!$AN$165&lt;=GRID_TO)*('Dvd Calendar'!$AN$165&lt;=VAL_DATE)=0,"",'Dvd Calendar'!$AN$165*1000000000+ISNUMBER('Dvd Calendar'!$AN$168)*100000000+('Dvd Calendar'!$AN$170=SPECIAL_LBL)*10000000+0*1000000+15*1000+36))</f>
        <v/>
      </c>
      <c r="FO26" s="35">
        <f>IF(N('Dvd Calendar'!$AO$165)=0,"",IF(('Dvd Calendar'!$AO$165&gt;=GRID_FROM)*('Dvd Calendar'!$AO$165&lt;=GRID_TO)*('Dvd Calendar'!$AO$165&lt;=VAL_DATE)=0,"",'Dvd Calendar'!$AO$165*1000000000+ISNUMBER('Dvd Calendar'!$AO$168)*100000000+('Dvd Calendar'!$AO$170=SPECIAL_LBL)*10000000+0*1000000+15*1000+37))</f>
        <v/>
      </c>
      <c r="FP26" s="35">
        <f>IF(N('Dvd Calendar'!$AP$165)=0,"",IF(('Dvd Calendar'!$AP$165&gt;=GRID_FROM)*('Dvd Calendar'!$AP$165&lt;=GRID_TO)*('Dvd Calendar'!$AP$165&lt;=VAL_DATE)=0,"",'Dvd Calendar'!$AP$165*1000000000+ISNUMBER('Dvd Calendar'!$AP$168)*100000000+('Dvd Calendar'!$AP$170=SPECIAL_LBL)*10000000+0*1000000+15*1000+38))</f>
        <v/>
      </c>
      <c r="FQ26" s="35">
        <f>IF(N('Dvd Calendar'!$AQ$165)=0,"",IF(('Dvd Calendar'!$AQ$165&gt;=GRID_FROM)*('Dvd Calendar'!$AQ$165&lt;=GRID_TO)*('Dvd Calendar'!$AQ$165&lt;=VAL_DATE)=0,"",'Dvd Calendar'!$AQ$165*1000000000+ISNUMBER('Dvd Calendar'!$AQ$168)*100000000+('Dvd Calendar'!$AQ$170=SPECIAL_LBL)*10000000+0*1000000+15*1000+39))</f>
        <v/>
      </c>
      <c r="FR26" s="35">
        <f>IF(N('Dvd Calendar'!$AR$165)=0,"",IF(('Dvd Calendar'!$AR$165&gt;=GRID_FROM)*('Dvd Calendar'!$AR$165&lt;=GRID_TO)*('Dvd Calendar'!$AR$165&lt;=VAL_DATE)=0,"",'Dvd Calendar'!$AR$165*1000000000+ISNUMBER('Dvd Calendar'!$AR$168)*100000000+('Dvd Calendar'!$AR$170=SPECIAL_LBL)*10000000+0*1000000+15*1000+40))</f>
        <v/>
      </c>
      <c r="FS26" s="35">
        <f>IF(N('Dvd Calendar'!$E$172)=0,"",IF(('Dvd Calendar'!$E$172&gt;=GRID_FROM)*('Dvd Calendar'!$E$172&lt;=GRID_TO)*('Dvd Calendar'!$E$172&gt;VAL_DATE)=0,"",'Dvd Calendar'!$E$172*1000000000+ISNUMBER('Dvd Calendar'!$E$173)*100000000+0*10000000+(N('Dvd Calendar'!$E$171)&gt;0)*(N('Dvd Calendar'!$E$171)&lt;=VAL_SERIAL)*1000000+15*1000+41))</f>
        <v/>
      </c>
      <c r="FT26" s="35">
        <f>IF(N('Dvd Calendar'!$F$172)=0,"",IF(('Dvd Calendar'!$F$172&gt;=GRID_FROM)*('Dvd Calendar'!$F$172&lt;=GRID_TO)*('Dvd Calendar'!$F$172&gt;VAL_DATE)=0,"",'Dvd Calendar'!$F$172*1000000000+ISNUMBER('Dvd Calendar'!$F$173)*100000000+0*10000000+(N('Dvd Calendar'!$F$171)&gt;0)*(N('Dvd Calendar'!$F$171)&lt;=VAL_SERIAL)*1000000+15*1000+42))</f>
        <v/>
      </c>
      <c r="FU26" s="35">
        <f>IF(N('Dvd Calendar'!$G$172)=0,"",IF(('Dvd Calendar'!$G$172&gt;=GRID_FROM)*('Dvd Calendar'!$G$172&lt;=GRID_TO)*('Dvd Calendar'!$G$172&gt;VAL_DATE)=0,"",'Dvd Calendar'!$G$172*1000000000+ISNUMBER('Dvd Calendar'!$G$173)*100000000+0*10000000+(N('Dvd Calendar'!$G$171)&gt;0)*(N('Dvd Calendar'!$G$171)&lt;=VAL_SERIAL)*1000000+15*1000+43))</f>
        <v/>
      </c>
      <c r="FV26" s="35">
        <f>IF(N('Dvd Calendar'!$H$172)=0,"",IF(('Dvd Calendar'!$H$172&gt;=GRID_FROM)*('Dvd Calendar'!$H$172&lt;=GRID_TO)*('Dvd Calendar'!$H$172&gt;VAL_DATE)=0,"",'Dvd Calendar'!$H$172*1000000000+ISNUMBER('Dvd Calendar'!$H$173)*100000000+0*10000000+(N('Dvd Calendar'!$H$171)&gt;0)*(N('Dvd Calendar'!$H$171)&lt;=VAL_SERIAL)*1000000+15*1000+44))</f>
        <v/>
      </c>
      <c r="FW26" s="35">
        <f>IF(N('Dvd Calendar'!$I$172)=0,"",IF(('Dvd Calendar'!$I$172&gt;=GRID_FROM)*('Dvd Calendar'!$I$172&lt;=GRID_TO)*('Dvd Calendar'!$I$172&gt;VAL_DATE)=0,"",'Dvd Calendar'!$I$172*1000000000+ISNUMBER('Dvd Calendar'!$I$173)*100000000+0*10000000+(N('Dvd Calendar'!$I$171)&gt;0)*(N('Dvd Calendar'!$I$171)&lt;=VAL_SERIAL)*1000000+15*1000+45))</f>
        <v/>
      </c>
      <c r="FX26" s="35">
        <f>IF(N('Dvd Calendar'!$J$172)=0,"",IF(('Dvd Calendar'!$J$172&gt;=GRID_FROM)*('Dvd Calendar'!$J$172&lt;=GRID_TO)*('Dvd Calendar'!$J$172&gt;VAL_DATE)=0,"",'Dvd Calendar'!$J$172*1000000000+ISNUMBER('Dvd Calendar'!$J$173)*100000000+0*10000000+(N('Dvd Calendar'!$J$171)&gt;0)*(N('Dvd Calendar'!$J$171)&lt;=VAL_SERIAL)*1000000+15*1000+46))</f>
        <v/>
      </c>
      <c r="FY26" s="35">
        <f>IF(N('Dvd Calendar'!$K$172)=0,"",IF(('Dvd Calendar'!$K$172&gt;=GRID_FROM)*('Dvd Calendar'!$K$172&lt;=GRID_TO)*('Dvd Calendar'!$K$172&gt;VAL_DATE)=0,"",'Dvd Calendar'!$K$172*1000000000+ISNUMBER('Dvd Calendar'!$K$173)*100000000+0*10000000+(N('Dvd Calendar'!$K$171)&gt;0)*(N('Dvd Calendar'!$K$171)&lt;=VAL_SERIAL)*1000000+15*1000+47))</f>
        <v/>
      </c>
      <c r="FZ26" s="35">
        <f>IF(N('Dvd Calendar'!$L$172)=0,"",IF(('Dvd Calendar'!$L$172&gt;=GRID_FROM)*('Dvd Calendar'!$L$172&lt;=GRID_TO)*('Dvd Calendar'!$L$172&gt;VAL_DATE)=0,"",'Dvd Calendar'!$L$172*1000000000+ISNUMBER('Dvd Calendar'!$L$173)*100000000+0*10000000+(N('Dvd Calendar'!$L$171)&gt;0)*(N('Dvd Calendar'!$L$171)&lt;=VAL_SERIAL)*1000000+15*1000+48))</f>
        <v/>
      </c>
      <c r="GA26" s="35">
        <f>IF(N('Dvd Calendar'!$M$172)=0,"",IF(('Dvd Calendar'!$M$172&gt;=GRID_FROM)*('Dvd Calendar'!$M$172&lt;=GRID_TO)*('Dvd Calendar'!$M$172&gt;VAL_DATE)=0,"",'Dvd Calendar'!$M$172*1000000000+ISNUMBER('Dvd Calendar'!$M$173)*100000000+0*10000000+(N('Dvd Calendar'!$M$171)&gt;0)*(N('Dvd Calendar'!$M$171)&lt;=VAL_SERIAL)*1000000+15*1000+49))</f>
        <v/>
      </c>
      <c r="GB26" s="35">
        <f>IF(N('Dvd Calendar'!$N$172)=0,"",IF(('Dvd Calendar'!$N$172&gt;=GRID_FROM)*('Dvd Calendar'!$N$172&lt;=GRID_TO)*('Dvd Calendar'!$N$172&gt;VAL_DATE)=0,"",'Dvd Calendar'!$N$172*1000000000+ISNUMBER('Dvd Calendar'!$N$173)*100000000+0*10000000+(N('Dvd Calendar'!$N$171)&gt;0)*(N('Dvd Calendar'!$N$171)&lt;=VAL_SERIAL)*1000000+15*1000+50))</f>
        <v/>
      </c>
      <c r="GC26" s="35">
        <f>IF(N('Dvd Calendar'!$O$172)=0,"",IF(('Dvd Calendar'!$O$172&gt;=GRID_FROM)*('Dvd Calendar'!$O$172&lt;=GRID_TO)*('Dvd Calendar'!$O$172&gt;VAL_DATE)=0,"",'Dvd Calendar'!$O$172*1000000000+ISNUMBER('Dvd Calendar'!$O$173)*100000000+0*10000000+(N('Dvd Calendar'!$O$171)&gt;0)*(N('Dvd Calendar'!$O$171)&lt;=VAL_SERIAL)*1000000+15*1000+51))</f>
        <v/>
      </c>
      <c r="GD26" s="35">
        <f>IF(N('Dvd Calendar'!$P$172)=0,"",IF(('Dvd Calendar'!$P$172&gt;=GRID_FROM)*('Dvd Calendar'!$P$172&lt;=GRID_TO)*('Dvd Calendar'!$P$172&gt;VAL_DATE)=0,"",'Dvd Calendar'!$P$172*1000000000+ISNUMBER('Dvd Calendar'!$P$173)*100000000+0*10000000+(N('Dvd Calendar'!$P$171)&gt;0)*(N('Dvd Calendar'!$P$171)&lt;=VAL_SERIAL)*1000000+15*1000+52))</f>
        <v/>
      </c>
      <c r="GE26" s="35">
        <f>IF(N('Dvd Calendar'!$Q$172)=0,"",IF(('Dvd Calendar'!$Q$172&gt;=GRID_FROM)*('Dvd Calendar'!$Q$172&lt;=GRID_TO)*('Dvd Calendar'!$Q$172&gt;VAL_DATE)=0,"",'Dvd Calendar'!$Q$172*1000000000+ISNUMBER('Dvd Calendar'!$Q$173)*100000000+0*10000000+(N('Dvd Calendar'!$Q$171)&gt;0)*(N('Dvd Calendar'!$Q$171)&lt;=VAL_SERIAL)*1000000+15*1000+53))</f>
        <v/>
      </c>
      <c r="GF26" s="35">
        <f>IF(N('Dvd Calendar'!$R$172)=0,"",IF(('Dvd Calendar'!$R$172&gt;=GRID_FROM)*('Dvd Calendar'!$R$172&lt;=GRID_TO)*('Dvd Calendar'!$R$172&gt;VAL_DATE)=0,"",'Dvd Calendar'!$R$172*1000000000+ISNUMBER('Dvd Calendar'!$R$173)*100000000+0*10000000+(N('Dvd Calendar'!$R$171)&gt;0)*(N('Dvd Calendar'!$R$171)&lt;=VAL_SERIAL)*1000000+15*1000+54))</f>
        <v/>
      </c>
      <c r="GG26" s="35">
        <f>IF(N('Dvd Calendar'!$S$172)=0,"",IF(('Dvd Calendar'!$S$172&gt;=GRID_FROM)*('Dvd Calendar'!$S$172&lt;=GRID_TO)*('Dvd Calendar'!$S$172&gt;VAL_DATE)=0,"",'Dvd Calendar'!$S$172*1000000000+ISNUMBER('Dvd Calendar'!$S$173)*100000000+0*10000000+(N('Dvd Calendar'!$S$171)&gt;0)*(N('Dvd Calendar'!$S$171)&lt;=VAL_SERIAL)*1000000+15*1000+55))</f>
        <v/>
      </c>
      <c r="GH26" s="35">
        <f>IF(N('Dvd Calendar'!$T$172)=0,"",IF(('Dvd Calendar'!$T$172&gt;=GRID_FROM)*('Dvd Calendar'!$T$172&lt;=GRID_TO)*('Dvd Calendar'!$T$172&gt;VAL_DATE)=0,"",'Dvd Calendar'!$T$172*1000000000+ISNUMBER('Dvd Calendar'!$T$173)*100000000+0*10000000+(N('Dvd Calendar'!$T$171)&gt;0)*(N('Dvd Calendar'!$T$171)&lt;=VAL_SERIAL)*1000000+15*1000+56))</f>
        <v/>
      </c>
      <c r="GI26" s="35">
        <f>IF(N('Dvd Calendar'!$U$172)=0,"",IF(('Dvd Calendar'!$U$172&gt;=GRID_FROM)*('Dvd Calendar'!$U$172&lt;=GRID_TO)*('Dvd Calendar'!$U$172&gt;VAL_DATE)=0,"",'Dvd Calendar'!$U$172*1000000000+ISNUMBER('Dvd Calendar'!$U$173)*100000000+0*10000000+(N('Dvd Calendar'!$U$171)&gt;0)*(N('Dvd Calendar'!$U$171)&lt;=VAL_SERIAL)*1000000+15*1000+57))</f>
        <v/>
      </c>
      <c r="GJ26" s="35">
        <f>IF(N('Dvd Calendar'!$V$172)=0,"",IF(('Dvd Calendar'!$V$172&gt;=GRID_FROM)*('Dvd Calendar'!$V$172&lt;=GRID_TO)*('Dvd Calendar'!$V$172&gt;VAL_DATE)=0,"",'Dvd Calendar'!$V$172*1000000000+ISNUMBER('Dvd Calendar'!$V$173)*100000000+0*10000000+(N('Dvd Calendar'!$V$171)&gt;0)*(N('Dvd Calendar'!$V$171)&lt;=VAL_SERIAL)*1000000+15*1000+58))</f>
        <v/>
      </c>
      <c r="GK26" s="35">
        <f>IF(N('Dvd Calendar'!$W$172)=0,"",IF(('Dvd Calendar'!$W$172&gt;=GRID_FROM)*('Dvd Calendar'!$W$172&lt;=GRID_TO)*('Dvd Calendar'!$W$172&gt;VAL_DATE)=0,"",'Dvd Calendar'!$W$172*1000000000+ISNUMBER('Dvd Calendar'!$W$173)*100000000+0*10000000+(N('Dvd Calendar'!$W$171)&gt;0)*(N('Dvd Calendar'!$W$171)&lt;=VAL_SERIAL)*1000000+15*1000+59))</f>
        <v/>
      </c>
      <c r="GL26" s="35">
        <f>IF(N('Dvd Calendar'!$X$172)=0,"",IF(('Dvd Calendar'!$X$172&gt;=GRID_FROM)*('Dvd Calendar'!$X$172&lt;=GRID_TO)*('Dvd Calendar'!$X$172&gt;VAL_DATE)=0,"",'Dvd Calendar'!$X$172*1000000000+ISNUMBER('Dvd Calendar'!$X$173)*100000000+0*10000000+(N('Dvd Calendar'!$X$171)&gt;0)*(N('Dvd Calendar'!$X$171)&lt;=VAL_SERIAL)*1000000+15*1000+60))</f>
        <v/>
      </c>
      <c r="GM26" s="35">
        <f>IF(N('Dvd Calendar'!$Y$172)=0,"",IF(('Dvd Calendar'!$Y$172&gt;=GRID_FROM)*('Dvd Calendar'!$Y$172&lt;=GRID_TO)*('Dvd Calendar'!$Y$172&gt;VAL_DATE)=0,"",'Dvd Calendar'!$Y$172*1000000000+ISNUMBER('Dvd Calendar'!$Y$173)*100000000+0*10000000+(N('Dvd Calendar'!$Y$171)&gt;0)*(N('Dvd Calendar'!$Y$171)&lt;=VAL_SERIAL)*1000000+15*1000+61))</f>
        <v/>
      </c>
      <c r="GN26" s="35">
        <f>IF(N('Dvd Calendar'!$Z$172)=0,"",IF(('Dvd Calendar'!$Z$172&gt;=GRID_FROM)*('Dvd Calendar'!$Z$172&lt;=GRID_TO)*('Dvd Calendar'!$Z$172&gt;VAL_DATE)=0,"",'Dvd Calendar'!$Z$172*1000000000+ISNUMBER('Dvd Calendar'!$Z$173)*100000000+0*10000000+(N('Dvd Calendar'!$Z$171)&gt;0)*(N('Dvd Calendar'!$Z$171)&lt;=VAL_SERIAL)*1000000+15*1000+62))</f>
        <v/>
      </c>
      <c r="GO26" s="35">
        <f>IF(N('Dvd Calendar'!$AA$172)=0,"",IF(('Dvd Calendar'!$AA$172&gt;=GRID_FROM)*('Dvd Calendar'!$AA$172&lt;=GRID_TO)*('Dvd Calendar'!$AA$172&gt;VAL_DATE)=0,"",'Dvd Calendar'!$AA$172*1000000000+ISNUMBER('Dvd Calendar'!$AA$173)*100000000+0*10000000+(N('Dvd Calendar'!$AA$171)&gt;0)*(N('Dvd Calendar'!$AA$171)&lt;=VAL_SERIAL)*1000000+15*1000+63))</f>
        <v/>
      </c>
      <c r="GP26" s="35">
        <f>IF(N('Dvd Calendar'!$AB$172)=0,"",IF(('Dvd Calendar'!$AB$172&gt;=GRID_FROM)*('Dvd Calendar'!$AB$172&lt;=GRID_TO)*('Dvd Calendar'!$AB$172&gt;VAL_DATE)=0,"",'Dvd Calendar'!$AB$172*1000000000+ISNUMBER('Dvd Calendar'!$AB$173)*100000000+0*10000000+(N('Dvd Calendar'!$AB$171)&gt;0)*(N('Dvd Calendar'!$AB$171)&lt;=VAL_SERIAL)*1000000+15*1000+64))</f>
        <v/>
      </c>
      <c r="GQ26" s="35">
        <f>IF(N('Dvd Calendar'!$AC$172)=0,"",IF(('Dvd Calendar'!$AC$172&gt;=GRID_FROM)*('Dvd Calendar'!$AC$172&lt;=GRID_TO)*('Dvd Calendar'!$AC$172&gt;VAL_DATE)=0,"",'Dvd Calendar'!$AC$172*1000000000+ISNUMBER('Dvd Calendar'!$AC$173)*100000000+0*10000000+(N('Dvd Calendar'!$AC$171)&gt;0)*(N('Dvd Calendar'!$AC$171)&lt;=VAL_SERIAL)*1000000+15*1000+65))</f>
        <v/>
      </c>
    </row>
    <row r="27">
      <c r="B27" s="2">
        <f>IF(HSI!$C$22="","",HSI!$C$22)</f>
        <v/>
      </c>
      <c r="C27" s="106">
        <f>IF(EE27="","",IF(ISNUMBER('Dvd Calendar'!$E$179)=FALSE,"",IF((('Dvd Calendar'!$E$181=TYPE1)*(TYPE1&lt;&gt;"")+('Dvd Calendar'!$E$181=TYPE2)*(TYPE2&lt;&gt;"")+('Dvd Calendar'!$E$181=TYPE3)*(TYPE3&lt;&gt;"")+('Dvd Calendar'!$E$181=TYPE4)*(TYPE4&lt;&gt;"")+('Dvd Calendar'!$E$181=SPECIAL_LBL)*(INC_SPECIALS="Y"))=0,"",'Dvd Calendar'!$E$179)))</f>
        <v/>
      </c>
      <c r="D27" s="106">
        <f>IF(EF27="","",IF(ISNUMBER('Dvd Calendar'!$F$179)=FALSE,"",IF((('Dvd Calendar'!$F$181=TYPE1)*(TYPE1&lt;&gt;"")+('Dvd Calendar'!$F$181=TYPE2)*(TYPE2&lt;&gt;"")+('Dvd Calendar'!$F$181=TYPE3)*(TYPE3&lt;&gt;"")+('Dvd Calendar'!$F$181=TYPE4)*(TYPE4&lt;&gt;"")+('Dvd Calendar'!$F$181=SPECIAL_LBL)*(INC_SPECIALS="Y"))=0,"",'Dvd Calendar'!$F$179)))</f>
        <v/>
      </c>
      <c r="E27" s="106">
        <f>IF(EG27="","",IF(ISNUMBER('Dvd Calendar'!$G$179)=FALSE,"",IF((('Dvd Calendar'!$G$181=TYPE1)*(TYPE1&lt;&gt;"")+('Dvd Calendar'!$G$181=TYPE2)*(TYPE2&lt;&gt;"")+('Dvd Calendar'!$G$181=TYPE3)*(TYPE3&lt;&gt;"")+('Dvd Calendar'!$G$181=TYPE4)*(TYPE4&lt;&gt;"")+('Dvd Calendar'!$G$181=SPECIAL_LBL)*(INC_SPECIALS="Y"))=0,"",'Dvd Calendar'!$G$179)))</f>
        <v/>
      </c>
      <c r="F27" s="106">
        <f>IF(EH27="","",IF(ISNUMBER('Dvd Calendar'!$H$179)=FALSE,"",IF((('Dvd Calendar'!$H$181=TYPE1)*(TYPE1&lt;&gt;"")+('Dvd Calendar'!$H$181=TYPE2)*(TYPE2&lt;&gt;"")+('Dvd Calendar'!$H$181=TYPE3)*(TYPE3&lt;&gt;"")+('Dvd Calendar'!$H$181=TYPE4)*(TYPE4&lt;&gt;"")+('Dvd Calendar'!$H$181=SPECIAL_LBL)*(INC_SPECIALS="Y"))=0,"",'Dvd Calendar'!$H$179)))</f>
        <v/>
      </c>
      <c r="G27" s="106">
        <f>IF(EI27="","",IF(ISNUMBER('Dvd Calendar'!$I$179)=FALSE,"",IF((('Dvd Calendar'!$I$181=TYPE1)*(TYPE1&lt;&gt;"")+('Dvd Calendar'!$I$181=TYPE2)*(TYPE2&lt;&gt;"")+('Dvd Calendar'!$I$181=TYPE3)*(TYPE3&lt;&gt;"")+('Dvd Calendar'!$I$181=TYPE4)*(TYPE4&lt;&gt;"")+('Dvd Calendar'!$I$181=SPECIAL_LBL)*(INC_SPECIALS="Y"))=0,"",'Dvd Calendar'!$I$179)))</f>
        <v/>
      </c>
      <c r="H27" s="106">
        <f>IF(EJ27="","",IF(ISNUMBER('Dvd Calendar'!$J$179)=FALSE,"",IF((('Dvd Calendar'!$J$181=TYPE1)*(TYPE1&lt;&gt;"")+('Dvd Calendar'!$J$181=TYPE2)*(TYPE2&lt;&gt;"")+('Dvd Calendar'!$J$181=TYPE3)*(TYPE3&lt;&gt;"")+('Dvd Calendar'!$J$181=TYPE4)*(TYPE4&lt;&gt;"")+('Dvd Calendar'!$J$181=SPECIAL_LBL)*(INC_SPECIALS="Y"))=0,"",'Dvd Calendar'!$J$179)))</f>
        <v/>
      </c>
      <c r="I27" s="106">
        <f>IF(EK27="","",IF(ISNUMBER('Dvd Calendar'!$K$179)=FALSE,"",IF((('Dvd Calendar'!$K$181=TYPE1)*(TYPE1&lt;&gt;"")+('Dvd Calendar'!$K$181=TYPE2)*(TYPE2&lt;&gt;"")+('Dvd Calendar'!$K$181=TYPE3)*(TYPE3&lt;&gt;"")+('Dvd Calendar'!$K$181=TYPE4)*(TYPE4&lt;&gt;"")+('Dvd Calendar'!$K$181=SPECIAL_LBL)*(INC_SPECIALS="Y"))=0,"",'Dvd Calendar'!$K$179)))</f>
        <v/>
      </c>
      <c r="J27" s="106">
        <f>IF(EL27="","",IF(ISNUMBER('Dvd Calendar'!$L$179)=FALSE,"",IF((('Dvd Calendar'!$L$181=TYPE1)*(TYPE1&lt;&gt;"")+('Dvd Calendar'!$L$181=TYPE2)*(TYPE2&lt;&gt;"")+('Dvd Calendar'!$L$181=TYPE3)*(TYPE3&lt;&gt;"")+('Dvd Calendar'!$L$181=TYPE4)*(TYPE4&lt;&gt;"")+('Dvd Calendar'!$L$181=SPECIAL_LBL)*(INC_SPECIALS="Y"))=0,"",'Dvd Calendar'!$L$179)))</f>
        <v/>
      </c>
      <c r="K27" s="106">
        <f>IF(EM27="","",IF(ISNUMBER('Dvd Calendar'!$M$179)=FALSE,"",IF((('Dvd Calendar'!$M$181=TYPE1)*(TYPE1&lt;&gt;"")+('Dvd Calendar'!$M$181=TYPE2)*(TYPE2&lt;&gt;"")+('Dvd Calendar'!$M$181=TYPE3)*(TYPE3&lt;&gt;"")+('Dvd Calendar'!$M$181=TYPE4)*(TYPE4&lt;&gt;"")+('Dvd Calendar'!$M$181=SPECIAL_LBL)*(INC_SPECIALS="Y"))=0,"",'Dvd Calendar'!$M$179)))</f>
        <v/>
      </c>
      <c r="L27" s="106">
        <f>IF(EN27="","",IF(ISNUMBER('Dvd Calendar'!$N$179)=FALSE,"",IF((('Dvd Calendar'!$N$181=TYPE1)*(TYPE1&lt;&gt;"")+('Dvd Calendar'!$N$181=TYPE2)*(TYPE2&lt;&gt;"")+('Dvd Calendar'!$N$181=TYPE3)*(TYPE3&lt;&gt;"")+('Dvd Calendar'!$N$181=TYPE4)*(TYPE4&lt;&gt;"")+('Dvd Calendar'!$N$181=SPECIAL_LBL)*(INC_SPECIALS="Y"))=0,"",'Dvd Calendar'!$N$179)))</f>
        <v/>
      </c>
      <c r="M27" s="106">
        <f>IF(EO27="","",IF(ISNUMBER('Dvd Calendar'!$O$179)=FALSE,"",IF((('Dvd Calendar'!$O$181=TYPE1)*(TYPE1&lt;&gt;"")+('Dvd Calendar'!$O$181=TYPE2)*(TYPE2&lt;&gt;"")+('Dvd Calendar'!$O$181=TYPE3)*(TYPE3&lt;&gt;"")+('Dvd Calendar'!$O$181=TYPE4)*(TYPE4&lt;&gt;"")+('Dvd Calendar'!$O$181=SPECIAL_LBL)*(INC_SPECIALS="Y"))=0,"",'Dvd Calendar'!$O$179)))</f>
        <v/>
      </c>
      <c r="N27" s="106">
        <f>IF(EP27="","",IF(ISNUMBER('Dvd Calendar'!$P$179)=FALSE,"",IF((('Dvd Calendar'!$P$181=TYPE1)*(TYPE1&lt;&gt;"")+('Dvd Calendar'!$P$181=TYPE2)*(TYPE2&lt;&gt;"")+('Dvd Calendar'!$P$181=TYPE3)*(TYPE3&lt;&gt;"")+('Dvd Calendar'!$P$181=TYPE4)*(TYPE4&lt;&gt;"")+('Dvd Calendar'!$P$181=SPECIAL_LBL)*(INC_SPECIALS="Y"))=0,"",'Dvd Calendar'!$P$179)))</f>
        <v/>
      </c>
      <c r="O27" s="106">
        <f>IF(EQ27="","",IF(ISNUMBER('Dvd Calendar'!$Q$179)=FALSE,"",IF((('Dvd Calendar'!$Q$181=TYPE1)*(TYPE1&lt;&gt;"")+('Dvd Calendar'!$Q$181=TYPE2)*(TYPE2&lt;&gt;"")+('Dvd Calendar'!$Q$181=TYPE3)*(TYPE3&lt;&gt;"")+('Dvd Calendar'!$Q$181=TYPE4)*(TYPE4&lt;&gt;"")+('Dvd Calendar'!$Q$181=SPECIAL_LBL)*(INC_SPECIALS="Y"))=0,"",'Dvd Calendar'!$Q$179)))</f>
        <v/>
      </c>
      <c r="P27" s="106">
        <f>IF(ER27="","",IF(ISNUMBER('Dvd Calendar'!$R$179)=FALSE,"",IF((('Dvd Calendar'!$R$181=TYPE1)*(TYPE1&lt;&gt;"")+('Dvd Calendar'!$R$181=TYPE2)*(TYPE2&lt;&gt;"")+('Dvd Calendar'!$R$181=TYPE3)*(TYPE3&lt;&gt;"")+('Dvd Calendar'!$R$181=TYPE4)*(TYPE4&lt;&gt;"")+('Dvd Calendar'!$R$181=SPECIAL_LBL)*(INC_SPECIALS="Y"))=0,"",'Dvd Calendar'!$R$179)))</f>
        <v/>
      </c>
      <c r="Q27" s="106">
        <f>IF(ES27="","",IF(ISNUMBER('Dvd Calendar'!$S$179)=FALSE,"",IF((('Dvd Calendar'!$S$181=TYPE1)*(TYPE1&lt;&gt;"")+('Dvd Calendar'!$S$181=TYPE2)*(TYPE2&lt;&gt;"")+('Dvd Calendar'!$S$181=TYPE3)*(TYPE3&lt;&gt;"")+('Dvd Calendar'!$S$181=TYPE4)*(TYPE4&lt;&gt;"")+('Dvd Calendar'!$S$181=SPECIAL_LBL)*(INC_SPECIALS="Y"))=0,"",'Dvd Calendar'!$S$179)))</f>
        <v/>
      </c>
      <c r="R27" s="106">
        <f>IF(ET27="","",IF(ISNUMBER('Dvd Calendar'!$T$179)=FALSE,"",IF((('Dvd Calendar'!$T$181=TYPE1)*(TYPE1&lt;&gt;"")+('Dvd Calendar'!$T$181=TYPE2)*(TYPE2&lt;&gt;"")+('Dvd Calendar'!$T$181=TYPE3)*(TYPE3&lt;&gt;"")+('Dvd Calendar'!$T$181=TYPE4)*(TYPE4&lt;&gt;"")+('Dvd Calendar'!$T$181=SPECIAL_LBL)*(INC_SPECIALS="Y"))=0,"",'Dvd Calendar'!$T$179)))</f>
        <v/>
      </c>
      <c r="S27" s="106">
        <f>IF(EU27="","",IF(ISNUMBER('Dvd Calendar'!$U$179)=FALSE,"",IF((('Dvd Calendar'!$U$181=TYPE1)*(TYPE1&lt;&gt;"")+('Dvd Calendar'!$U$181=TYPE2)*(TYPE2&lt;&gt;"")+('Dvd Calendar'!$U$181=TYPE3)*(TYPE3&lt;&gt;"")+('Dvd Calendar'!$U$181=TYPE4)*(TYPE4&lt;&gt;"")+('Dvd Calendar'!$U$181=SPECIAL_LBL)*(INC_SPECIALS="Y"))=0,"",'Dvd Calendar'!$U$179)))</f>
        <v/>
      </c>
      <c r="T27" s="106">
        <f>IF(EV27="","",IF(ISNUMBER('Dvd Calendar'!$V$179)=FALSE,"",IF((('Dvd Calendar'!$V$181=TYPE1)*(TYPE1&lt;&gt;"")+('Dvd Calendar'!$V$181=TYPE2)*(TYPE2&lt;&gt;"")+('Dvd Calendar'!$V$181=TYPE3)*(TYPE3&lt;&gt;"")+('Dvd Calendar'!$V$181=TYPE4)*(TYPE4&lt;&gt;"")+('Dvd Calendar'!$V$181=SPECIAL_LBL)*(INC_SPECIALS="Y"))=0,"",'Dvd Calendar'!$V$179)))</f>
        <v/>
      </c>
      <c r="U27" s="106">
        <f>IF(EW27="","",IF(ISNUMBER('Dvd Calendar'!$W$179)=FALSE,"",IF((('Dvd Calendar'!$W$181=TYPE1)*(TYPE1&lt;&gt;"")+('Dvd Calendar'!$W$181=TYPE2)*(TYPE2&lt;&gt;"")+('Dvd Calendar'!$W$181=TYPE3)*(TYPE3&lt;&gt;"")+('Dvd Calendar'!$W$181=TYPE4)*(TYPE4&lt;&gt;"")+('Dvd Calendar'!$W$181=SPECIAL_LBL)*(INC_SPECIALS="Y"))=0,"",'Dvd Calendar'!$W$179)))</f>
        <v/>
      </c>
      <c r="V27" s="106">
        <f>IF(EX27="","",IF(ISNUMBER('Dvd Calendar'!$X$179)=FALSE,"",IF((('Dvd Calendar'!$X$181=TYPE1)*(TYPE1&lt;&gt;"")+('Dvd Calendar'!$X$181=TYPE2)*(TYPE2&lt;&gt;"")+('Dvd Calendar'!$X$181=TYPE3)*(TYPE3&lt;&gt;"")+('Dvd Calendar'!$X$181=TYPE4)*(TYPE4&lt;&gt;"")+('Dvd Calendar'!$X$181=SPECIAL_LBL)*(INC_SPECIALS="Y"))=0,"",'Dvd Calendar'!$X$179)))</f>
        <v/>
      </c>
      <c r="W27" s="106">
        <f>IF(EY27="","",IF(ISNUMBER('Dvd Calendar'!$Y$179)=FALSE,"",IF((('Dvd Calendar'!$Y$181=TYPE1)*(TYPE1&lt;&gt;"")+('Dvd Calendar'!$Y$181=TYPE2)*(TYPE2&lt;&gt;"")+('Dvd Calendar'!$Y$181=TYPE3)*(TYPE3&lt;&gt;"")+('Dvd Calendar'!$Y$181=TYPE4)*(TYPE4&lt;&gt;"")+('Dvd Calendar'!$Y$181=SPECIAL_LBL)*(INC_SPECIALS="Y"))=0,"",'Dvd Calendar'!$Y$179)))</f>
        <v/>
      </c>
      <c r="X27" s="106">
        <f>IF(EZ27="","",IF(ISNUMBER('Dvd Calendar'!$Z$179)=FALSE,"",IF((('Dvd Calendar'!$Z$181=TYPE1)*(TYPE1&lt;&gt;"")+('Dvd Calendar'!$Z$181=TYPE2)*(TYPE2&lt;&gt;"")+('Dvd Calendar'!$Z$181=TYPE3)*(TYPE3&lt;&gt;"")+('Dvd Calendar'!$Z$181=TYPE4)*(TYPE4&lt;&gt;"")+('Dvd Calendar'!$Z$181=SPECIAL_LBL)*(INC_SPECIALS="Y"))=0,"",'Dvd Calendar'!$Z$179)))</f>
        <v/>
      </c>
      <c r="Y27" s="106">
        <f>IF(FA27="","",IF(ISNUMBER('Dvd Calendar'!$AA$179)=FALSE,"",IF((('Dvd Calendar'!$AA$181=TYPE1)*(TYPE1&lt;&gt;"")+('Dvd Calendar'!$AA$181=TYPE2)*(TYPE2&lt;&gt;"")+('Dvd Calendar'!$AA$181=TYPE3)*(TYPE3&lt;&gt;"")+('Dvd Calendar'!$AA$181=TYPE4)*(TYPE4&lt;&gt;"")+('Dvd Calendar'!$AA$181=SPECIAL_LBL)*(INC_SPECIALS="Y"))=0,"",'Dvd Calendar'!$AA$179)))</f>
        <v/>
      </c>
      <c r="Z27" s="106">
        <f>IF(FB27="","",IF(ISNUMBER('Dvd Calendar'!$AB$179)=FALSE,"",IF((('Dvd Calendar'!$AB$181=TYPE1)*(TYPE1&lt;&gt;"")+('Dvd Calendar'!$AB$181=TYPE2)*(TYPE2&lt;&gt;"")+('Dvd Calendar'!$AB$181=TYPE3)*(TYPE3&lt;&gt;"")+('Dvd Calendar'!$AB$181=TYPE4)*(TYPE4&lt;&gt;"")+('Dvd Calendar'!$AB$181=SPECIAL_LBL)*(INC_SPECIALS="Y"))=0,"",'Dvd Calendar'!$AB$179)))</f>
        <v/>
      </c>
      <c r="AA27" s="106">
        <f>IF(FC27="","",IF(ISNUMBER('Dvd Calendar'!$AC$179)=FALSE,"",IF((('Dvd Calendar'!$AC$181=TYPE1)*(TYPE1&lt;&gt;"")+('Dvd Calendar'!$AC$181=TYPE2)*(TYPE2&lt;&gt;"")+('Dvd Calendar'!$AC$181=TYPE3)*(TYPE3&lt;&gt;"")+('Dvd Calendar'!$AC$181=TYPE4)*(TYPE4&lt;&gt;"")+('Dvd Calendar'!$AC$181=SPECIAL_LBL)*(INC_SPECIALS="Y"))=0,"",'Dvd Calendar'!$AC$179)))</f>
        <v/>
      </c>
      <c r="AB27" s="106">
        <f>IF(FD27="","",IF(ISNUMBER('Dvd Calendar'!$AD$179)=FALSE,"",IF((('Dvd Calendar'!$AD$181=TYPE1)*(TYPE1&lt;&gt;"")+('Dvd Calendar'!$AD$181=TYPE2)*(TYPE2&lt;&gt;"")+('Dvd Calendar'!$AD$181=TYPE3)*(TYPE3&lt;&gt;"")+('Dvd Calendar'!$AD$181=TYPE4)*(TYPE4&lt;&gt;"")+('Dvd Calendar'!$AD$181=SPECIAL_LBL)*(INC_SPECIALS="Y"))=0,"",'Dvd Calendar'!$AD$179)))</f>
        <v/>
      </c>
      <c r="AC27" s="106">
        <f>IF(FE27="","",IF(ISNUMBER('Dvd Calendar'!$AE$179)=FALSE,"",IF((('Dvd Calendar'!$AE$181=TYPE1)*(TYPE1&lt;&gt;"")+('Dvd Calendar'!$AE$181=TYPE2)*(TYPE2&lt;&gt;"")+('Dvd Calendar'!$AE$181=TYPE3)*(TYPE3&lt;&gt;"")+('Dvd Calendar'!$AE$181=TYPE4)*(TYPE4&lt;&gt;"")+('Dvd Calendar'!$AE$181=SPECIAL_LBL)*(INC_SPECIALS="Y"))=0,"",'Dvd Calendar'!$AE$179)))</f>
        <v/>
      </c>
      <c r="AD27" s="106">
        <f>IF(FF27="","",IF(ISNUMBER('Dvd Calendar'!$AF$179)=FALSE,"",IF((('Dvd Calendar'!$AF$181=TYPE1)*(TYPE1&lt;&gt;"")+('Dvd Calendar'!$AF$181=TYPE2)*(TYPE2&lt;&gt;"")+('Dvd Calendar'!$AF$181=TYPE3)*(TYPE3&lt;&gt;"")+('Dvd Calendar'!$AF$181=TYPE4)*(TYPE4&lt;&gt;"")+('Dvd Calendar'!$AF$181=SPECIAL_LBL)*(INC_SPECIALS="Y"))=0,"",'Dvd Calendar'!$AF$179)))</f>
        <v/>
      </c>
      <c r="AE27" s="106">
        <f>IF(FG27="","",IF(ISNUMBER('Dvd Calendar'!$AG$179)=FALSE,"",IF((('Dvd Calendar'!$AG$181=TYPE1)*(TYPE1&lt;&gt;"")+('Dvd Calendar'!$AG$181=TYPE2)*(TYPE2&lt;&gt;"")+('Dvd Calendar'!$AG$181=TYPE3)*(TYPE3&lt;&gt;"")+('Dvd Calendar'!$AG$181=TYPE4)*(TYPE4&lt;&gt;"")+('Dvd Calendar'!$AG$181=SPECIAL_LBL)*(INC_SPECIALS="Y"))=0,"",'Dvd Calendar'!$AG$179)))</f>
        <v/>
      </c>
      <c r="AF27" s="106">
        <f>IF(FH27="","",IF(ISNUMBER('Dvd Calendar'!$AH$179)=FALSE,"",IF((('Dvd Calendar'!$AH$181=TYPE1)*(TYPE1&lt;&gt;"")+('Dvd Calendar'!$AH$181=TYPE2)*(TYPE2&lt;&gt;"")+('Dvd Calendar'!$AH$181=TYPE3)*(TYPE3&lt;&gt;"")+('Dvd Calendar'!$AH$181=TYPE4)*(TYPE4&lt;&gt;"")+('Dvd Calendar'!$AH$181=SPECIAL_LBL)*(INC_SPECIALS="Y"))=0,"",'Dvd Calendar'!$AH$179)))</f>
        <v/>
      </c>
      <c r="AG27" s="106">
        <f>IF(FI27="","",IF(ISNUMBER('Dvd Calendar'!$AI$179)=FALSE,"",IF((('Dvd Calendar'!$AI$181=TYPE1)*(TYPE1&lt;&gt;"")+('Dvd Calendar'!$AI$181=TYPE2)*(TYPE2&lt;&gt;"")+('Dvd Calendar'!$AI$181=TYPE3)*(TYPE3&lt;&gt;"")+('Dvd Calendar'!$AI$181=TYPE4)*(TYPE4&lt;&gt;"")+('Dvd Calendar'!$AI$181=SPECIAL_LBL)*(INC_SPECIALS="Y"))=0,"",'Dvd Calendar'!$AI$179)))</f>
        <v/>
      </c>
      <c r="AH27" s="106">
        <f>IF(FJ27="","",IF(ISNUMBER('Dvd Calendar'!$AJ$179)=FALSE,"",IF((('Dvd Calendar'!$AJ$181=TYPE1)*(TYPE1&lt;&gt;"")+('Dvd Calendar'!$AJ$181=TYPE2)*(TYPE2&lt;&gt;"")+('Dvd Calendar'!$AJ$181=TYPE3)*(TYPE3&lt;&gt;"")+('Dvd Calendar'!$AJ$181=TYPE4)*(TYPE4&lt;&gt;"")+('Dvd Calendar'!$AJ$181=SPECIAL_LBL)*(INC_SPECIALS="Y"))=0,"",'Dvd Calendar'!$AJ$179)))</f>
        <v/>
      </c>
      <c r="AI27" s="106">
        <f>IF(FK27="","",IF(ISNUMBER('Dvd Calendar'!$AK$179)=FALSE,"",IF((('Dvd Calendar'!$AK$181=TYPE1)*(TYPE1&lt;&gt;"")+('Dvd Calendar'!$AK$181=TYPE2)*(TYPE2&lt;&gt;"")+('Dvd Calendar'!$AK$181=TYPE3)*(TYPE3&lt;&gt;"")+('Dvd Calendar'!$AK$181=TYPE4)*(TYPE4&lt;&gt;"")+('Dvd Calendar'!$AK$181=SPECIAL_LBL)*(INC_SPECIALS="Y"))=0,"",'Dvd Calendar'!$AK$179)))</f>
        <v/>
      </c>
      <c r="AJ27" s="106">
        <f>IF(FL27="","",IF(ISNUMBER('Dvd Calendar'!$AL$179)=FALSE,"",IF((('Dvd Calendar'!$AL$181=TYPE1)*(TYPE1&lt;&gt;"")+('Dvd Calendar'!$AL$181=TYPE2)*(TYPE2&lt;&gt;"")+('Dvd Calendar'!$AL$181=TYPE3)*(TYPE3&lt;&gt;"")+('Dvd Calendar'!$AL$181=TYPE4)*(TYPE4&lt;&gt;"")+('Dvd Calendar'!$AL$181=SPECIAL_LBL)*(INC_SPECIALS="Y"))=0,"",'Dvd Calendar'!$AL$179)))</f>
        <v/>
      </c>
      <c r="AK27" s="106">
        <f>IF(FM27="","",IF(ISNUMBER('Dvd Calendar'!$AM$179)=FALSE,"",IF((('Dvd Calendar'!$AM$181=TYPE1)*(TYPE1&lt;&gt;"")+('Dvd Calendar'!$AM$181=TYPE2)*(TYPE2&lt;&gt;"")+('Dvd Calendar'!$AM$181=TYPE3)*(TYPE3&lt;&gt;"")+('Dvd Calendar'!$AM$181=TYPE4)*(TYPE4&lt;&gt;"")+('Dvd Calendar'!$AM$181=SPECIAL_LBL)*(INC_SPECIALS="Y"))=0,"",'Dvd Calendar'!$AM$179)))</f>
        <v/>
      </c>
      <c r="AL27" s="106">
        <f>IF(FN27="","",IF(ISNUMBER('Dvd Calendar'!$AN$179)=FALSE,"",IF((('Dvd Calendar'!$AN$181=TYPE1)*(TYPE1&lt;&gt;"")+('Dvd Calendar'!$AN$181=TYPE2)*(TYPE2&lt;&gt;"")+('Dvd Calendar'!$AN$181=TYPE3)*(TYPE3&lt;&gt;"")+('Dvd Calendar'!$AN$181=TYPE4)*(TYPE4&lt;&gt;"")+('Dvd Calendar'!$AN$181=SPECIAL_LBL)*(INC_SPECIALS="Y"))=0,"",'Dvd Calendar'!$AN$179)))</f>
        <v/>
      </c>
      <c r="AM27" s="106">
        <f>IF(FO27="","",IF(ISNUMBER('Dvd Calendar'!$AO$179)=FALSE,"",IF((('Dvd Calendar'!$AO$181=TYPE1)*(TYPE1&lt;&gt;"")+('Dvd Calendar'!$AO$181=TYPE2)*(TYPE2&lt;&gt;"")+('Dvd Calendar'!$AO$181=TYPE3)*(TYPE3&lt;&gt;"")+('Dvd Calendar'!$AO$181=TYPE4)*(TYPE4&lt;&gt;"")+('Dvd Calendar'!$AO$181=SPECIAL_LBL)*(INC_SPECIALS="Y"))=0,"",'Dvd Calendar'!$AO$179)))</f>
        <v/>
      </c>
      <c r="AN27" s="106">
        <f>IF(FP27="","",IF(ISNUMBER('Dvd Calendar'!$AP$179)=FALSE,"",IF((('Dvd Calendar'!$AP$181=TYPE1)*(TYPE1&lt;&gt;"")+('Dvd Calendar'!$AP$181=TYPE2)*(TYPE2&lt;&gt;"")+('Dvd Calendar'!$AP$181=TYPE3)*(TYPE3&lt;&gt;"")+('Dvd Calendar'!$AP$181=TYPE4)*(TYPE4&lt;&gt;"")+('Dvd Calendar'!$AP$181=SPECIAL_LBL)*(INC_SPECIALS="Y"))=0,"",'Dvd Calendar'!$AP$179)))</f>
        <v/>
      </c>
      <c r="AO27" s="106">
        <f>IF(FQ27="","",IF(ISNUMBER('Dvd Calendar'!$AQ$179)=FALSE,"",IF((('Dvd Calendar'!$AQ$181=TYPE1)*(TYPE1&lt;&gt;"")+('Dvd Calendar'!$AQ$181=TYPE2)*(TYPE2&lt;&gt;"")+('Dvd Calendar'!$AQ$181=TYPE3)*(TYPE3&lt;&gt;"")+('Dvd Calendar'!$AQ$181=TYPE4)*(TYPE4&lt;&gt;"")+('Dvd Calendar'!$AQ$181=SPECIAL_LBL)*(INC_SPECIALS="Y"))=0,"",'Dvd Calendar'!$AQ$179)))</f>
        <v/>
      </c>
      <c r="AP27" s="106">
        <f>IF(FR27="","",IF(ISNUMBER('Dvd Calendar'!$AR$179)=FALSE,"",IF((('Dvd Calendar'!$AR$181=TYPE1)*(TYPE1&lt;&gt;"")+('Dvd Calendar'!$AR$181=TYPE2)*(TYPE2&lt;&gt;"")+('Dvd Calendar'!$AR$181=TYPE3)*(TYPE3&lt;&gt;"")+('Dvd Calendar'!$AR$181=TYPE4)*(TYPE4&lt;&gt;"")+('Dvd Calendar'!$AR$181=SPECIAL_LBL)*(INC_SPECIALS="Y"))=0,"",'Dvd Calendar'!$AR$179)))</f>
        <v/>
      </c>
      <c r="AQ27" s="106">
        <f>IF(FS27="","",IF(ISNUMBER('Dvd Calendar'!$E$184)=FALSE,"",'Dvd Calendar'!$E$184))</f>
        <v/>
      </c>
      <c r="AR27" s="106">
        <f>IF(FT27="","",IF(ISNUMBER('Dvd Calendar'!$F$184)=FALSE,"",'Dvd Calendar'!$F$184))</f>
        <v/>
      </c>
      <c r="AS27" s="106">
        <f>IF(FU27="","",IF(ISNUMBER('Dvd Calendar'!$G$184)=FALSE,"",'Dvd Calendar'!$G$184))</f>
        <v/>
      </c>
      <c r="AT27" s="106">
        <f>IF(FV27="","",IF(ISNUMBER('Dvd Calendar'!$H$184)=FALSE,"",'Dvd Calendar'!$H$184))</f>
        <v/>
      </c>
      <c r="AU27" s="106">
        <f>IF(FW27="","",IF(ISNUMBER('Dvd Calendar'!$I$184)=FALSE,"",'Dvd Calendar'!$I$184))</f>
        <v/>
      </c>
      <c r="AV27" s="106">
        <f>IF(FX27="","",IF(ISNUMBER('Dvd Calendar'!$J$184)=FALSE,"",'Dvd Calendar'!$J$184))</f>
        <v/>
      </c>
      <c r="AW27" s="106">
        <f>IF(FY27="","",IF(ISNUMBER('Dvd Calendar'!$K$184)=FALSE,"",'Dvd Calendar'!$K$184))</f>
        <v/>
      </c>
      <c r="AX27" s="106">
        <f>IF(FZ27="","",IF(ISNUMBER('Dvd Calendar'!$L$184)=FALSE,"",'Dvd Calendar'!$L$184))</f>
        <v/>
      </c>
      <c r="AY27" s="106">
        <f>IF(GA27="","",IF(ISNUMBER('Dvd Calendar'!$M$184)=FALSE,"",'Dvd Calendar'!$M$184))</f>
        <v/>
      </c>
      <c r="AZ27" s="106">
        <f>IF(GB27="","",IF(ISNUMBER('Dvd Calendar'!$N$184)=FALSE,"",'Dvd Calendar'!$N$184))</f>
        <v/>
      </c>
      <c r="BA27" s="106">
        <f>IF(GC27="","",IF(ISNUMBER('Dvd Calendar'!$O$184)=FALSE,"",'Dvd Calendar'!$O$184))</f>
        <v/>
      </c>
      <c r="BB27" s="106">
        <f>IF(GD27="","",IF(ISNUMBER('Dvd Calendar'!$P$184)=FALSE,"",'Dvd Calendar'!$P$184))</f>
        <v/>
      </c>
      <c r="BC27" s="106">
        <f>IF(GE27="","",IF(ISNUMBER('Dvd Calendar'!$Q$184)=FALSE,"",'Dvd Calendar'!$Q$184))</f>
        <v/>
      </c>
      <c r="BD27" s="106">
        <f>IF(GF27="","",IF(ISNUMBER('Dvd Calendar'!$R$184)=FALSE,"",'Dvd Calendar'!$R$184))</f>
        <v/>
      </c>
      <c r="BE27" s="106">
        <f>IF(GG27="","",IF(ISNUMBER('Dvd Calendar'!$S$184)=FALSE,"",'Dvd Calendar'!$S$184))</f>
        <v/>
      </c>
      <c r="BF27" s="106">
        <f>IF(GH27="","",IF(ISNUMBER('Dvd Calendar'!$T$184)=FALSE,"",'Dvd Calendar'!$T$184))</f>
        <v/>
      </c>
      <c r="BG27" s="106">
        <f>IF(GI27="","",IF(ISNUMBER('Dvd Calendar'!$U$184)=FALSE,"",'Dvd Calendar'!$U$184))</f>
        <v/>
      </c>
      <c r="BH27" s="106">
        <f>IF(GJ27="","",IF(ISNUMBER('Dvd Calendar'!$V$184)=FALSE,"",'Dvd Calendar'!$V$184))</f>
        <v/>
      </c>
      <c r="BI27" s="106">
        <f>IF(GK27="","",IF(ISNUMBER('Dvd Calendar'!$W$184)=FALSE,"",'Dvd Calendar'!$W$184))</f>
        <v/>
      </c>
      <c r="BJ27" s="106">
        <f>IF(GL27="","",IF(ISNUMBER('Dvd Calendar'!$X$184)=FALSE,"",'Dvd Calendar'!$X$184))</f>
        <v/>
      </c>
      <c r="BK27" s="106">
        <f>IF(GM27="","",IF(ISNUMBER('Dvd Calendar'!$Y$184)=FALSE,"",'Dvd Calendar'!$Y$184))</f>
        <v/>
      </c>
      <c r="BL27" s="106">
        <f>IF(GN27="","",IF(ISNUMBER('Dvd Calendar'!$Z$184)=FALSE,"",'Dvd Calendar'!$Z$184))</f>
        <v/>
      </c>
      <c r="BM27" s="106">
        <f>IF(GO27="","",IF(ISNUMBER('Dvd Calendar'!$AA$184)=FALSE,"",'Dvd Calendar'!$AA$184))</f>
        <v/>
      </c>
      <c r="BN27" s="106">
        <f>IF(GP27="","",IF(ISNUMBER('Dvd Calendar'!$AB$184)=FALSE,"",'Dvd Calendar'!$AB$184))</f>
        <v/>
      </c>
      <c r="BO27" s="106">
        <f>IF(GQ27="","",IF(ISNUMBER('Dvd Calendar'!$AC$184)=FALSE,"",'Dvd Calendar'!$AC$184))</f>
        <v/>
      </c>
      <c r="BQ27" s="106">
        <f>IF(C27="","",IFERROR(C27*HSI!$B$22*HSI!$G$22/HSI!$B$3,""))</f>
        <v/>
      </c>
      <c r="BR27" s="106">
        <f>IF(D27="","",IFERROR(D27*HSI!$B$22*HSI!$G$22/HSI!$B$3,""))</f>
        <v/>
      </c>
      <c r="BS27" s="106">
        <f>IF(E27="","",IFERROR(E27*HSI!$B$22*HSI!$G$22/HSI!$B$3,""))</f>
        <v/>
      </c>
      <c r="BT27" s="106">
        <f>IF(F27="","",IFERROR(F27*HSI!$B$22*HSI!$G$22/HSI!$B$3,""))</f>
        <v/>
      </c>
      <c r="BU27" s="106">
        <f>IF(G27="","",IFERROR(G27*HSI!$B$22*HSI!$G$22/HSI!$B$3,""))</f>
        <v/>
      </c>
      <c r="BV27" s="106">
        <f>IF(H27="","",IFERROR(H27*HSI!$B$22*HSI!$G$22/HSI!$B$3,""))</f>
        <v/>
      </c>
      <c r="BW27" s="106">
        <f>IF(I27="","",IFERROR(I27*HSI!$B$22*HSI!$G$22/HSI!$B$3,""))</f>
        <v/>
      </c>
      <c r="BX27" s="106">
        <f>IF(J27="","",IFERROR(J27*HSI!$B$22*HSI!$G$22/HSI!$B$3,""))</f>
        <v/>
      </c>
      <c r="BY27" s="106">
        <f>IF(K27="","",IFERROR(K27*HSI!$B$22*HSI!$G$22/HSI!$B$3,""))</f>
        <v/>
      </c>
      <c r="BZ27" s="106">
        <f>IF(L27="","",IFERROR(L27*HSI!$B$22*HSI!$G$22/HSI!$B$3,""))</f>
        <v/>
      </c>
      <c r="CA27" s="106">
        <f>IF(M27="","",IFERROR(M27*HSI!$B$22*HSI!$G$22/HSI!$B$3,""))</f>
        <v/>
      </c>
      <c r="CB27" s="106">
        <f>IF(N27="","",IFERROR(N27*HSI!$B$22*HSI!$G$22/HSI!$B$3,""))</f>
        <v/>
      </c>
      <c r="CC27" s="106">
        <f>IF(O27="","",IFERROR(O27*HSI!$B$22*HSI!$G$22/HSI!$B$3,""))</f>
        <v/>
      </c>
      <c r="CD27" s="106">
        <f>IF(P27="","",IFERROR(P27*HSI!$B$22*HSI!$G$22/HSI!$B$3,""))</f>
        <v/>
      </c>
      <c r="CE27" s="106">
        <f>IF(Q27="","",IFERROR(Q27*HSI!$B$22*HSI!$G$22/HSI!$B$3,""))</f>
        <v/>
      </c>
      <c r="CF27" s="106">
        <f>IF(R27="","",IFERROR(R27*HSI!$B$22*HSI!$G$22/HSI!$B$3,""))</f>
        <v/>
      </c>
      <c r="CG27" s="106">
        <f>IF(S27="","",IFERROR(S27*HSI!$B$22*HSI!$G$22/HSI!$B$3,""))</f>
        <v/>
      </c>
      <c r="CH27" s="106">
        <f>IF(T27="","",IFERROR(T27*HSI!$B$22*HSI!$G$22/HSI!$B$3,""))</f>
        <v/>
      </c>
      <c r="CI27" s="106">
        <f>IF(U27="","",IFERROR(U27*HSI!$B$22*HSI!$G$22/HSI!$B$3,""))</f>
        <v/>
      </c>
      <c r="CJ27" s="106">
        <f>IF(V27="","",IFERROR(V27*HSI!$B$22*HSI!$G$22/HSI!$B$3,""))</f>
        <v/>
      </c>
      <c r="CK27" s="106">
        <f>IF(W27="","",IFERROR(W27*HSI!$B$22*HSI!$G$22/HSI!$B$3,""))</f>
        <v/>
      </c>
      <c r="CL27" s="106">
        <f>IF(X27="","",IFERROR(X27*HSI!$B$22*HSI!$G$22/HSI!$B$3,""))</f>
        <v/>
      </c>
      <c r="CM27" s="106">
        <f>IF(Y27="","",IFERROR(Y27*HSI!$B$22*HSI!$G$22/HSI!$B$3,""))</f>
        <v/>
      </c>
      <c r="CN27" s="106">
        <f>IF(Z27="","",IFERROR(Z27*HSI!$B$22*HSI!$G$22/HSI!$B$3,""))</f>
        <v/>
      </c>
      <c r="CO27" s="106">
        <f>IF(AA27="","",IFERROR(AA27*HSI!$B$22*HSI!$G$22/HSI!$B$3,""))</f>
        <v/>
      </c>
      <c r="CP27" s="106">
        <f>IF(AB27="","",IFERROR(AB27*HSI!$B$22*HSI!$G$22/HSI!$B$3,""))</f>
        <v/>
      </c>
      <c r="CQ27" s="106">
        <f>IF(AC27="","",IFERROR(AC27*HSI!$B$22*HSI!$G$22/HSI!$B$3,""))</f>
        <v/>
      </c>
      <c r="CR27" s="106">
        <f>IF(AD27="","",IFERROR(AD27*HSI!$B$22*HSI!$G$22/HSI!$B$3,""))</f>
        <v/>
      </c>
      <c r="CS27" s="106">
        <f>IF(AE27="","",IFERROR(AE27*HSI!$B$22*HSI!$G$22/HSI!$B$3,""))</f>
        <v/>
      </c>
      <c r="CT27" s="106">
        <f>IF(AF27="","",IFERROR(AF27*HSI!$B$22*HSI!$G$22/HSI!$B$3,""))</f>
        <v/>
      </c>
      <c r="CU27" s="106">
        <f>IF(AG27="","",IFERROR(AG27*HSI!$B$22*HSI!$G$22/HSI!$B$3,""))</f>
        <v/>
      </c>
      <c r="CV27" s="106">
        <f>IF(AH27="","",IFERROR(AH27*HSI!$B$22*HSI!$G$22/HSI!$B$3,""))</f>
        <v/>
      </c>
      <c r="CW27" s="106">
        <f>IF(AI27="","",IFERROR(AI27*HSI!$B$22*HSI!$G$22/HSI!$B$3,""))</f>
        <v/>
      </c>
      <c r="CX27" s="106">
        <f>IF(AJ27="","",IFERROR(AJ27*HSI!$B$22*HSI!$G$22/HSI!$B$3,""))</f>
        <v/>
      </c>
      <c r="CY27" s="106">
        <f>IF(AK27="","",IFERROR(AK27*HSI!$B$22*HSI!$G$22/HSI!$B$3,""))</f>
        <v/>
      </c>
      <c r="CZ27" s="106">
        <f>IF(AL27="","",IFERROR(AL27*HSI!$B$22*HSI!$G$22/HSI!$B$3,""))</f>
        <v/>
      </c>
      <c r="DA27" s="106">
        <f>IF(AM27="","",IFERROR(AM27*HSI!$B$22*HSI!$G$22/HSI!$B$3,""))</f>
        <v/>
      </c>
      <c r="DB27" s="106">
        <f>IF(AN27="","",IFERROR(AN27*HSI!$B$22*HSI!$G$22/HSI!$B$3,""))</f>
        <v/>
      </c>
      <c r="DC27" s="106">
        <f>IF(AO27="","",IFERROR(AO27*HSI!$B$22*HSI!$G$22/HSI!$B$3,""))</f>
        <v/>
      </c>
      <c r="DD27" s="106">
        <f>IF(AP27="","",IFERROR(AP27*HSI!$B$22*HSI!$G$22/HSI!$B$3,""))</f>
        <v/>
      </c>
      <c r="DE27" s="106">
        <f>IF(AQ27="","",IFERROR(AQ27*HSI!$B$22*HSI!$G$22/HSI!$B$3,""))</f>
        <v/>
      </c>
      <c r="DF27" s="106">
        <f>IF(AR27="","",IFERROR(AR27*HSI!$B$22*HSI!$G$22/HSI!$B$3,""))</f>
        <v/>
      </c>
      <c r="DG27" s="106">
        <f>IF(AS27="","",IFERROR(AS27*HSI!$B$22*HSI!$G$22/HSI!$B$3,""))</f>
        <v/>
      </c>
      <c r="DH27" s="106">
        <f>IF(AT27="","",IFERROR(AT27*HSI!$B$22*HSI!$G$22/HSI!$B$3,""))</f>
        <v/>
      </c>
      <c r="DI27" s="106">
        <f>IF(AU27="","",IFERROR(AU27*HSI!$B$22*HSI!$G$22/HSI!$B$3,""))</f>
        <v/>
      </c>
      <c r="DJ27" s="106">
        <f>IF(AV27="","",IFERROR(AV27*HSI!$B$22*HSI!$G$22/HSI!$B$3,""))</f>
        <v/>
      </c>
      <c r="DK27" s="106">
        <f>IF(AW27="","",IFERROR(AW27*HSI!$B$22*HSI!$G$22/HSI!$B$3,""))</f>
        <v/>
      </c>
      <c r="DL27" s="106">
        <f>IF(AX27="","",IFERROR(AX27*HSI!$B$22*HSI!$G$22/HSI!$B$3,""))</f>
        <v/>
      </c>
      <c r="DM27" s="106">
        <f>IF(AY27="","",IFERROR(AY27*HSI!$B$22*HSI!$G$22/HSI!$B$3,""))</f>
        <v/>
      </c>
      <c r="DN27" s="106">
        <f>IF(AZ27="","",IFERROR(AZ27*HSI!$B$22*HSI!$G$22/HSI!$B$3,""))</f>
        <v/>
      </c>
      <c r="DO27" s="106">
        <f>IF(BA27="","",IFERROR(BA27*HSI!$B$22*HSI!$G$22/HSI!$B$3,""))</f>
        <v/>
      </c>
      <c r="DP27" s="106">
        <f>IF(BB27="","",IFERROR(BB27*HSI!$B$22*HSI!$G$22/HSI!$B$3,""))</f>
        <v/>
      </c>
      <c r="DQ27" s="106">
        <f>IF(BC27="","",IFERROR(BC27*HSI!$B$22*HSI!$G$22/HSI!$B$3,""))</f>
        <v/>
      </c>
      <c r="DR27" s="106">
        <f>IF(BD27="","",IFERROR(BD27*HSI!$B$22*HSI!$G$22/HSI!$B$3,""))</f>
        <v/>
      </c>
      <c r="DS27" s="106">
        <f>IF(BE27="","",IFERROR(BE27*HSI!$B$22*HSI!$G$22/HSI!$B$3,""))</f>
        <v/>
      </c>
      <c r="DT27" s="106">
        <f>IF(BF27="","",IFERROR(BF27*HSI!$B$22*HSI!$G$22/HSI!$B$3,""))</f>
        <v/>
      </c>
      <c r="DU27" s="106">
        <f>IF(BG27="","",IFERROR(BG27*HSI!$B$22*HSI!$G$22/HSI!$B$3,""))</f>
        <v/>
      </c>
      <c r="DV27" s="106">
        <f>IF(BH27="","",IFERROR(BH27*HSI!$B$22*HSI!$G$22/HSI!$B$3,""))</f>
        <v/>
      </c>
      <c r="DW27" s="106">
        <f>IF(BI27="","",IFERROR(BI27*HSI!$B$22*HSI!$G$22/HSI!$B$3,""))</f>
        <v/>
      </c>
      <c r="DX27" s="106">
        <f>IF(BJ27="","",IFERROR(BJ27*HSI!$B$22*HSI!$G$22/HSI!$B$3,""))</f>
        <v/>
      </c>
      <c r="DY27" s="106">
        <f>IF(BK27="","",IFERROR(BK27*HSI!$B$22*HSI!$G$22/HSI!$B$3,""))</f>
        <v/>
      </c>
      <c r="DZ27" s="106">
        <f>IF(BL27="","",IFERROR(BL27*HSI!$B$22*HSI!$G$22/HSI!$B$3,""))</f>
        <v/>
      </c>
      <c r="EA27" s="106">
        <f>IF(BM27="","",IFERROR(BM27*HSI!$B$22*HSI!$G$22/HSI!$B$3,""))</f>
        <v/>
      </c>
      <c r="EB27" s="106">
        <f>IF(BN27="","",IFERROR(BN27*HSI!$B$22*HSI!$G$22/HSI!$B$3,""))</f>
        <v/>
      </c>
      <c r="EC27" s="106">
        <f>IF(BO27="","",IFERROR(BO27*HSI!$B$22*HSI!$G$22/HSI!$B$3,""))</f>
        <v/>
      </c>
      <c r="EE27" s="35">
        <f>IF(N('Dvd Calendar'!$E$176)=0,"",IF(('Dvd Calendar'!$E$176&gt;=GRID_FROM)*('Dvd Calendar'!$E$176&lt;=GRID_TO)*('Dvd Calendar'!$E$176&lt;=VAL_DATE)=0,"",'Dvd Calendar'!$E$176*1000000000+ISNUMBER('Dvd Calendar'!$E$179)*100000000+('Dvd Calendar'!$E$181=SPECIAL_LBL)*10000000+0*1000000+16*1000+1))</f>
        <v/>
      </c>
      <c r="EF27" s="35">
        <f>IF(N('Dvd Calendar'!$F$176)=0,"",IF(('Dvd Calendar'!$F$176&gt;=GRID_FROM)*('Dvd Calendar'!$F$176&lt;=GRID_TO)*('Dvd Calendar'!$F$176&lt;=VAL_DATE)=0,"",'Dvd Calendar'!$F$176*1000000000+ISNUMBER('Dvd Calendar'!$F$179)*100000000+('Dvd Calendar'!$F$181=SPECIAL_LBL)*10000000+0*1000000+16*1000+2))</f>
        <v/>
      </c>
      <c r="EG27" s="35">
        <f>IF(N('Dvd Calendar'!$G$176)=0,"",IF(('Dvd Calendar'!$G$176&gt;=GRID_FROM)*('Dvd Calendar'!$G$176&lt;=GRID_TO)*('Dvd Calendar'!$G$176&lt;=VAL_DATE)=0,"",'Dvd Calendar'!$G$176*1000000000+ISNUMBER('Dvd Calendar'!$G$179)*100000000+('Dvd Calendar'!$G$181=SPECIAL_LBL)*10000000+0*1000000+16*1000+3))</f>
        <v/>
      </c>
      <c r="EH27" s="35">
        <f>IF(N('Dvd Calendar'!$H$176)=0,"",IF(('Dvd Calendar'!$H$176&gt;=GRID_FROM)*('Dvd Calendar'!$H$176&lt;=GRID_TO)*('Dvd Calendar'!$H$176&lt;=VAL_DATE)=0,"",'Dvd Calendar'!$H$176*1000000000+ISNUMBER('Dvd Calendar'!$H$179)*100000000+('Dvd Calendar'!$H$181=SPECIAL_LBL)*10000000+0*1000000+16*1000+4))</f>
        <v/>
      </c>
      <c r="EI27" s="35">
        <f>IF(N('Dvd Calendar'!$I$176)=0,"",IF(('Dvd Calendar'!$I$176&gt;=GRID_FROM)*('Dvd Calendar'!$I$176&lt;=GRID_TO)*('Dvd Calendar'!$I$176&lt;=VAL_DATE)=0,"",'Dvd Calendar'!$I$176*1000000000+ISNUMBER('Dvd Calendar'!$I$179)*100000000+('Dvd Calendar'!$I$181=SPECIAL_LBL)*10000000+0*1000000+16*1000+5))</f>
        <v/>
      </c>
      <c r="EJ27" s="35">
        <f>IF(N('Dvd Calendar'!$J$176)=0,"",IF(('Dvd Calendar'!$J$176&gt;=GRID_FROM)*('Dvd Calendar'!$J$176&lt;=GRID_TO)*('Dvd Calendar'!$J$176&lt;=VAL_DATE)=0,"",'Dvd Calendar'!$J$176*1000000000+ISNUMBER('Dvd Calendar'!$J$179)*100000000+('Dvd Calendar'!$J$181=SPECIAL_LBL)*10000000+0*1000000+16*1000+6))</f>
        <v/>
      </c>
      <c r="EK27" s="35">
        <f>IF(N('Dvd Calendar'!$K$176)=0,"",IF(('Dvd Calendar'!$K$176&gt;=GRID_FROM)*('Dvd Calendar'!$K$176&lt;=GRID_TO)*('Dvd Calendar'!$K$176&lt;=VAL_DATE)=0,"",'Dvd Calendar'!$K$176*1000000000+ISNUMBER('Dvd Calendar'!$K$179)*100000000+('Dvd Calendar'!$K$181=SPECIAL_LBL)*10000000+0*1000000+16*1000+7))</f>
        <v/>
      </c>
      <c r="EL27" s="35">
        <f>IF(N('Dvd Calendar'!$L$176)=0,"",IF(('Dvd Calendar'!$L$176&gt;=GRID_FROM)*('Dvd Calendar'!$L$176&lt;=GRID_TO)*('Dvd Calendar'!$L$176&lt;=VAL_DATE)=0,"",'Dvd Calendar'!$L$176*1000000000+ISNUMBER('Dvd Calendar'!$L$179)*100000000+('Dvd Calendar'!$L$181=SPECIAL_LBL)*10000000+0*1000000+16*1000+8))</f>
        <v/>
      </c>
      <c r="EM27" s="35">
        <f>IF(N('Dvd Calendar'!$M$176)=0,"",IF(('Dvd Calendar'!$M$176&gt;=GRID_FROM)*('Dvd Calendar'!$M$176&lt;=GRID_TO)*('Dvd Calendar'!$M$176&lt;=VAL_DATE)=0,"",'Dvd Calendar'!$M$176*1000000000+ISNUMBER('Dvd Calendar'!$M$179)*100000000+('Dvd Calendar'!$M$181=SPECIAL_LBL)*10000000+0*1000000+16*1000+9))</f>
        <v/>
      </c>
      <c r="EN27" s="35">
        <f>IF(N('Dvd Calendar'!$N$176)=0,"",IF(('Dvd Calendar'!$N$176&gt;=GRID_FROM)*('Dvd Calendar'!$N$176&lt;=GRID_TO)*('Dvd Calendar'!$N$176&lt;=VAL_DATE)=0,"",'Dvd Calendar'!$N$176*1000000000+ISNUMBER('Dvd Calendar'!$N$179)*100000000+('Dvd Calendar'!$N$181=SPECIAL_LBL)*10000000+0*1000000+16*1000+10))</f>
        <v/>
      </c>
      <c r="EO27" s="35">
        <f>IF(N('Dvd Calendar'!$O$176)=0,"",IF(('Dvd Calendar'!$O$176&gt;=GRID_FROM)*('Dvd Calendar'!$O$176&lt;=GRID_TO)*('Dvd Calendar'!$O$176&lt;=VAL_DATE)=0,"",'Dvd Calendar'!$O$176*1000000000+ISNUMBER('Dvd Calendar'!$O$179)*100000000+('Dvd Calendar'!$O$181=SPECIAL_LBL)*10000000+0*1000000+16*1000+11))</f>
        <v/>
      </c>
      <c r="EP27" s="35">
        <f>IF(N('Dvd Calendar'!$P$176)=0,"",IF(('Dvd Calendar'!$P$176&gt;=GRID_FROM)*('Dvd Calendar'!$P$176&lt;=GRID_TO)*('Dvd Calendar'!$P$176&lt;=VAL_DATE)=0,"",'Dvd Calendar'!$P$176*1000000000+ISNUMBER('Dvd Calendar'!$P$179)*100000000+('Dvd Calendar'!$P$181=SPECIAL_LBL)*10000000+0*1000000+16*1000+12))</f>
        <v/>
      </c>
      <c r="EQ27" s="35">
        <f>IF(N('Dvd Calendar'!$Q$176)=0,"",IF(('Dvd Calendar'!$Q$176&gt;=GRID_FROM)*('Dvd Calendar'!$Q$176&lt;=GRID_TO)*('Dvd Calendar'!$Q$176&lt;=VAL_DATE)=0,"",'Dvd Calendar'!$Q$176*1000000000+ISNUMBER('Dvd Calendar'!$Q$179)*100000000+('Dvd Calendar'!$Q$181=SPECIAL_LBL)*10000000+0*1000000+16*1000+13))</f>
        <v/>
      </c>
      <c r="ER27" s="35">
        <f>IF(N('Dvd Calendar'!$R$176)=0,"",IF(('Dvd Calendar'!$R$176&gt;=GRID_FROM)*('Dvd Calendar'!$R$176&lt;=GRID_TO)*('Dvd Calendar'!$R$176&lt;=VAL_DATE)=0,"",'Dvd Calendar'!$R$176*1000000000+ISNUMBER('Dvd Calendar'!$R$179)*100000000+('Dvd Calendar'!$R$181=SPECIAL_LBL)*10000000+0*1000000+16*1000+14))</f>
        <v/>
      </c>
      <c r="ES27" s="35">
        <f>IF(N('Dvd Calendar'!$S$176)=0,"",IF(('Dvd Calendar'!$S$176&gt;=GRID_FROM)*('Dvd Calendar'!$S$176&lt;=GRID_TO)*('Dvd Calendar'!$S$176&lt;=VAL_DATE)=0,"",'Dvd Calendar'!$S$176*1000000000+ISNUMBER('Dvd Calendar'!$S$179)*100000000+('Dvd Calendar'!$S$181=SPECIAL_LBL)*10000000+0*1000000+16*1000+15))</f>
        <v/>
      </c>
      <c r="ET27" s="35">
        <f>IF(N('Dvd Calendar'!$T$176)=0,"",IF(('Dvd Calendar'!$T$176&gt;=GRID_FROM)*('Dvd Calendar'!$T$176&lt;=GRID_TO)*('Dvd Calendar'!$T$176&lt;=VAL_DATE)=0,"",'Dvd Calendar'!$T$176*1000000000+ISNUMBER('Dvd Calendar'!$T$179)*100000000+('Dvd Calendar'!$T$181=SPECIAL_LBL)*10000000+0*1000000+16*1000+16))</f>
        <v/>
      </c>
      <c r="EU27" s="35">
        <f>IF(N('Dvd Calendar'!$U$176)=0,"",IF(('Dvd Calendar'!$U$176&gt;=GRID_FROM)*('Dvd Calendar'!$U$176&lt;=GRID_TO)*('Dvd Calendar'!$U$176&lt;=VAL_DATE)=0,"",'Dvd Calendar'!$U$176*1000000000+ISNUMBER('Dvd Calendar'!$U$179)*100000000+('Dvd Calendar'!$U$181=SPECIAL_LBL)*10000000+0*1000000+16*1000+17))</f>
        <v/>
      </c>
      <c r="EV27" s="35">
        <f>IF(N('Dvd Calendar'!$V$176)=0,"",IF(('Dvd Calendar'!$V$176&gt;=GRID_FROM)*('Dvd Calendar'!$V$176&lt;=GRID_TO)*('Dvd Calendar'!$V$176&lt;=VAL_DATE)=0,"",'Dvd Calendar'!$V$176*1000000000+ISNUMBER('Dvd Calendar'!$V$179)*100000000+('Dvd Calendar'!$V$181=SPECIAL_LBL)*10000000+0*1000000+16*1000+18))</f>
        <v/>
      </c>
      <c r="EW27" s="35">
        <f>IF(N('Dvd Calendar'!$W$176)=0,"",IF(('Dvd Calendar'!$W$176&gt;=GRID_FROM)*('Dvd Calendar'!$W$176&lt;=GRID_TO)*('Dvd Calendar'!$W$176&lt;=VAL_DATE)=0,"",'Dvd Calendar'!$W$176*1000000000+ISNUMBER('Dvd Calendar'!$W$179)*100000000+('Dvd Calendar'!$W$181=SPECIAL_LBL)*10000000+0*1000000+16*1000+19))</f>
        <v/>
      </c>
      <c r="EX27" s="35">
        <f>IF(N('Dvd Calendar'!$X$176)=0,"",IF(('Dvd Calendar'!$X$176&gt;=GRID_FROM)*('Dvd Calendar'!$X$176&lt;=GRID_TO)*('Dvd Calendar'!$X$176&lt;=VAL_DATE)=0,"",'Dvd Calendar'!$X$176*1000000000+ISNUMBER('Dvd Calendar'!$X$179)*100000000+('Dvd Calendar'!$X$181=SPECIAL_LBL)*10000000+0*1000000+16*1000+20))</f>
        <v/>
      </c>
      <c r="EY27" s="35">
        <f>IF(N('Dvd Calendar'!$Y$176)=0,"",IF(('Dvd Calendar'!$Y$176&gt;=GRID_FROM)*('Dvd Calendar'!$Y$176&lt;=GRID_TO)*('Dvd Calendar'!$Y$176&lt;=VAL_DATE)=0,"",'Dvd Calendar'!$Y$176*1000000000+ISNUMBER('Dvd Calendar'!$Y$179)*100000000+('Dvd Calendar'!$Y$181=SPECIAL_LBL)*10000000+0*1000000+16*1000+21))</f>
        <v/>
      </c>
      <c r="EZ27" s="35">
        <f>IF(N('Dvd Calendar'!$Z$176)=0,"",IF(('Dvd Calendar'!$Z$176&gt;=GRID_FROM)*('Dvd Calendar'!$Z$176&lt;=GRID_TO)*('Dvd Calendar'!$Z$176&lt;=VAL_DATE)=0,"",'Dvd Calendar'!$Z$176*1000000000+ISNUMBER('Dvd Calendar'!$Z$179)*100000000+('Dvd Calendar'!$Z$181=SPECIAL_LBL)*10000000+0*1000000+16*1000+22))</f>
        <v/>
      </c>
      <c r="FA27" s="35">
        <f>IF(N('Dvd Calendar'!$AA$176)=0,"",IF(('Dvd Calendar'!$AA$176&gt;=GRID_FROM)*('Dvd Calendar'!$AA$176&lt;=GRID_TO)*('Dvd Calendar'!$AA$176&lt;=VAL_DATE)=0,"",'Dvd Calendar'!$AA$176*1000000000+ISNUMBER('Dvd Calendar'!$AA$179)*100000000+('Dvd Calendar'!$AA$181=SPECIAL_LBL)*10000000+0*1000000+16*1000+23))</f>
        <v/>
      </c>
      <c r="FB27" s="35">
        <f>IF(N('Dvd Calendar'!$AB$176)=0,"",IF(('Dvd Calendar'!$AB$176&gt;=GRID_FROM)*('Dvd Calendar'!$AB$176&lt;=GRID_TO)*('Dvd Calendar'!$AB$176&lt;=VAL_DATE)=0,"",'Dvd Calendar'!$AB$176*1000000000+ISNUMBER('Dvd Calendar'!$AB$179)*100000000+('Dvd Calendar'!$AB$181=SPECIAL_LBL)*10000000+0*1000000+16*1000+24))</f>
        <v/>
      </c>
      <c r="FC27" s="35">
        <f>IF(N('Dvd Calendar'!$AC$176)=0,"",IF(('Dvd Calendar'!$AC$176&gt;=GRID_FROM)*('Dvd Calendar'!$AC$176&lt;=GRID_TO)*('Dvd Calendar'!$AC$176&lt;=VAL_DATE)=0,"",'Dvd Calendar'!$AC$176*1000000000+ISNUMBER('Dvd Calendar'!$AC$179)*100000000+('Dvd Calendar'!$AC$181=SPECIAL_LBL)*10000000+0*1000000+16*1000+25))</f>
        <v/>
      </c>
      <c r="FD27" s="35">
        <f>IF(N('Dvd Calendar'!$AD$176)=0,"",IF(('Dvd Calendar'!$AD$176&gt;=GRID_FROM)*('Dvd Calendar'!$AD$176&lt;=GRID_TO)*('Dvd Calendar'!$AD$176&lt;=VAL_DATE)=0,"",'Dvd Calendar'!$AD$176*1000000000+ISNUMBER('Dvd Calendar'!$AD$179)*100000000+('Dvd Calendar'!$AD$181=SPECIAL_LBL)*10000000+0*1000000+16*1000+26))</f>
        <v/>
      </c>
      <c r="FE27" s="35">
        <f>IF(N('Dvd Calendar'!$AE$176)=0,"",IF(('Dvd Calendar'!$AE$176&gt;=GRID_FROM)*('Dvd Calendar'!$AE$176&lt;=GRID_TO)*('Dvd Calendar'!$AE$176&lt;=VAL_DATE)=0,"",'Dvd Calendar'!$AE$176*1000000000+ISNUMBER('Dvd Calendar'!$AE$179)*100000000+('Dvd Calendar'!$AE$181=SPECIAL_LBL)*10000000+0*1000000+16*1000+27))</f>
        <v/>
      </c>
      <c r="FF27" s="35">
        <f>IF(N('Dvd Calendar'!$AF$176)=0,"",IF(('Dvd Calendar'!$AF$176&gt;=GRID_FROM)*('Dvd Calendar'!$AF$176&lt;=GRID_TO)*('Dvd Calendar'!$AF$176&lt;=VAL_DATE)=0,"",'Dvd Calendar'!$AF$176*1000000000+ISNUMBER('Dvd Calendar'!$AF$179)*100000000+('Dvd Calendar'!$AF$181=SPECIAL_LBL)*10000000+0*1000000+16*1000+28))</f>
        <v/>
      </c>
      <c r="FG27" s="35">
        <f>IF(N('Dvd Calendar'!$AG$176)=0,"",IF(('Dvd Calendar'!$AG$176&gt;=GRID_FROM)*('Dvd Calendar'!$AG$176&lt;=GRID_TO)*('Dvd Calendar'!$AG$176&lt;=VAL_DATE)=0,"",'Dvd Calendar'!$AG$176*1000000000+ISNUMBER('Dvd Calendar'!$AG$179)*100000000+('Dvd Calendar'!$AG$181=SPECIAL_LBL)*10000000+0*1000000+16*1000+29))</f>
        <v/>
      </c>
      <c r="FH27" s="35">
        <f>IF(N('Dvd Calendar'!$AH$176)=0,"",IF(('Dvd Calendar'!$AH$176&gt;=GRID_FROM)*('Dvd Calendar'!$AH$176&lt;=GRID_TO)*('Dvd Calendar'!$AH$176&lt;=VAL_DATE)=0,"",'Dvd Calendar'!$AH$176*1000000000+ISNUMBER('Dvd Calendar'!$AH$179)*100000000+('Dvd Calendar'!$AH$181=SPECIAL_LBL)*10000000+0*1000000+16*1000+30))</f>
        <v/>
      </c>
      <c r="FI27" s="35">
        <f>IF(N('Dvd Calendar'!$AI$176)=0,"",IF(('Dvd Calendar'!$AI$176&gt;=GRID_FROM)*('Dvd Calendar'!$AI$176&lt;=GRID_TO)*('Dvd Calendar'!$AI$176&lt;=VAL_DATE)=0,"",'Dvd Calendar'!$AI$176*1000000000+ISNUMBER('Dvd Calendar'!$AI$179)*100000000+('Dvd Calendar'!$AI$181=SPECIAL_LBL)*10000000+0*1000000+16*1000+31))</f>
        <v/>
      </c>
      <c r="FJ27" s="35">
        <f>IF(N('Dvd Calendar'!$AJ$176)=0,"",IF(('Dvd Calendar'!$AJ$176&gt;=GRID_FROM)*('Dvd Calendar'!$AJ$176&lt;=GRID_TO)*('Dvd Calendar'!$AJ$176&lt;=VAL_DATE)=0,"",'Dvd Calendar'!$AJ$176*1000000000+ISNUMBER('Dvd Calendar'!$AJ$179)*100000000+('Dvd Calendar'!$AJ$181=SPECIAL_LBL)*10000000+0*1000000+16*1000+32))</f>
        <v/>
      </c>
      <c r="FK27" s="35">
        <f>IF(N('Dvd Calendar'!$AK$176)=0,"",IF(('Dvd Calendar'!$AK$176&gt;=GRID_FROM)*('Dvd Calendar'!$AK$176&lt;=GRID_TO)*('Dvd Calendar'!$AK$176&lt;=VAL_DATE)=0,"",'Dvd Calendar'!$AK$176*1000000000+ISNUMBER('Dvd Calendar'!$AK$179)*100000000+('Dvd Calendar'!$AK$181=SPECIAL_LBL)*10000000+0*1000000+16*1000+33))</f>
        <v/>
      </c>
      <c r="FL27" s="35">
        <f>IF(N('Dvd Calendar'!$AL$176)=0,"",IF(('Dvd Calendar'!$AL$176&gt;=GRID_FROM)*('Dvd Calendar'!$AL$176&lt;=GRID_TO)*('Dvd Calendar'!$AL$176&lt;=VAL_DATE)=0,"",'Dvd Calendar'!$AL$176*1000000000+ISNUMBER('Dvd Calendar'!$AL$179)*100000000+('Dvd Calendar'!$AL$181=SPECIAL_LBL)*10000000+0*1000000+16*1000+34))</f>
        <v/>
      </c>
      <c r="FM27" s="35">
        <f>IF(N('Dvd Calendar'!$AM$176)=0,"",IF(('Dvd Calendar'!$AM$176&gt;=GRID_FROM)*('Dvd Calendar'!$AM$176&lt;=GRID_TO)*('Dvd Calendar'!$AM$176&lt;=VAL_DATE)=0,"",'Dvd Calendar'!$AM$176*1000000000+ISNUMBER('Dvd Calendar'!$AM$179)*100000000+('Dvd Calendar'!$AM$181=SPECIAL_LBL)*10000000+0*1000000+16*1000+35))</f>
        <v/>
      </c>
      <c r="FN27" s="35">
        <f>IF(N('Dvd Calendar'!$AN$176)=0,"",IF(('Dvd Calendar'!$AN$176&gt;=GRID_FROM)*('Dvd Calendar'!$AN$176&lt;=GRID_TO)*('Dvd Calendar'!$AN$176&lt;=VAL_DATE)=0,"",'Dvd Calendar'!$AN$176*1000000000+ISNUMBER('Dvd Calendar'!$AN$179)*100000000+('Dvd Calendar'!$AN$181=SPECIAL_LBL)*10000000+0*1000000+16*1000+36))</f>
        <v/>
      </c>
      <c r="FO27" s="35">
        <f>IF(N('Dvd Calendar'!$AO$176)=0,"",IF(('Dvd Calendar'!$AO$176&gt;=GRID_FROM)*('Dvd Calendar'!$AO$176&lt;=GRID_TO)*('Dvd Calendar'!$AO$176&lt;=VAL_DATE)=0,"",'Dvd Calendar'!$AO$176*1000000000+ISNUMBER('Dvd Calendar'!$AO$179)*100000000+('Dvd Calendar'!$AO$181=SPECIAL_LBL)*10000000+0*1000000+16*1000+37))</f>
        <v/>
      </c>
      <c r="FP27" s="35">
        <f>IF(N('Dvd Calendar'!$AP$176)=0,"",IF(('Dvd Calendar'!$AP$176&gt;=GRID_FROM)*('Dvd Calendar'!$AP$176&lt;=GRID_TO)*('Dvd Calendar'!$AP$176&lt;=VAL_DATE)=0,"",'Dvd Calendar'!$AP$176*1000000000+ISNUMBER('Dvd Calendar'!$AP$179)*100000000+('Dvd Calendar'!$AP$181=SPECIAL_LBL)*10000000+0*1000000+16*1000+38))</f>
        <v/>
      </c>
      <c r="FQ27" s="35">
        <f>IF(N('Dvd Calendar'!$AQ$176)=0,"",IF(('Dvd Calendar'!$AQ$176&gt;=GRID_FROM)*('Dvd Calendar'!$AQ$176&lt;=GRID_TO)*('Dvd Calendar'!$AQ$176&lt;=VAL_DATE)=0,"",'Dvd Calendar'!$AQ$176*1000000000+ISNUMBER('Dvd Calendar'!$AQ$179)*100000000+('Dvd Calendar'!$AQ$181=SPECIAL_LBL)*10000000+0*1000000+16*1000+39))</f>
        <v/>
      </c>
      <c r="FR27" s="35">
        <f>IF(N('Dvd Calendar'!$AR$176)=0,"",IF(('Dvd Calendar'!$AR$176&gt;=GRID_FROM)*('Dvd Calendar'!$AR$176&lt;=GRID_TO)*('Dvd Calendar'!$AR$176&lt;=VAL_DATE)=0,"",'Dvd Calendar'!$AR$176*1000000000+ISNUMBER('Dvd Calendar'!$AR$179)*100000000+('Dvd Calendar'!$AR$181=SPECIAL_LBL)*10000000+0*1000000+16*1000+40))</f>
        <v/>
      </c>
      <c r="FS27" s="35">
        <f>IF(N('Dvd Calendar'!$E$183)=0,"",IF(('Dvd Calendar'!$E$183&gt;=GRID_FROM)*('Dvd Calendar'!$E$183&lt;=GRID_TO)*('Dvd Calendar'!$E$183&gt;VAL_DATE)=0,"",'Dvd Calendar'!$E$183*1000000000+ISNUMBER('Dvd Calendar'!$E$184)*100000000+0*10000000+(N('Dvd Calendar'!$E$182)&gt;0)*(N('Dvd Calendar'!$E$182)&lt;=VAL_SERIAL)*1000000+16*1000+41))</f>
        <v/>
      </c>
      <c r="FT27" s="35">
        <f>IF(N('Dvd Calendar'!$F$183)=0,"",IF(('Dvd Calendar'!$F$183&gt;=GRID_FROM)*('Dvd Calendar'!$F$183&lt;=GRID_TO)*('Dvd Calendar'!$F$183&gt;VAL_DATE)=0,"",'Dvd Calendar'!$F$183*1000000000+ISNUMBER('Dvd Calendar'!$F$184)*100000000+0*10000000+(N('Dvd Calendar'!$F$182)&gt;0)*(N('Dvd Calendar'!$F$182)&lt;=VAL_SERIAL)*1000000+16*1000+42))</f>
        <v/>
      </c>
      <c r="FU27" s="35">
        <f>IF(N('Dvd Calendar'!$G$183)=0,"",IF(('Dvd Calendar'!$G$183&gt;=GRID_FROM)*('Dvd Calendar'!$G$183&lt;=GRID_TO)*('Dvd Calendar'!$G$183&gt;VAL_DATE)=0,"",'Dvd Calendar'!$G$183*1000000000+ISNUMBER('Dvd Calendar'!$G$184)*100000000+0*10000000+(N('Dvd Calendar'!$G$182)&gt;0)*(N('Dvd Calendar'!$G$182)&lt;=VAL_SERIAL)*1000000+16*1000+43))</f>
        <v/>
      </c>
      <c r="FV27" s="35">
        <f>IF(N('Dvd Calendar'!$H$183)=0,"",IF(('Dvd Calendar'!$H$183&gt;=GRID_FROM)*('Dvd Calendar'!$H$183&lt;=GRID_TO)*('Dvd Calendar'!$H$183&gt;VAL_DATE)=0,"",'Dvd Calendar'!$H$183*1000000000+ISNUMBER('Dvd Calendar'!$H$184)*100000000+0*10000000+(N('Dvd Calendar'!$H$182)&gt;0)*(N('Dvd Calendar'!$H$182)&lt;=VAL_SERIAL)*1000000+16*1000+44))</f>
        <v/>
      </c>
      <c r="FW27" s="35">
        <f>IF(N('Dvd Calendar'!$I$183)=0,"",IF(('Dvd Calendar'!$I$183&gt;=GRID_FROM)*('Dvd Calendar'!$I$183&lt;=GRID_TO)*('Dvd Calendar'!$I$183&gt;VAL_DATE)=0,"",'Dvd Calendar'!$I$183*1000000000+ISNUMBER('Dvd Calendar'!$I$184)*100000000+0*10000000+(N('Dvd Calendar'!$I$182)&gt;0)*(N('Dvd Calendar'!$I$182)&lt;=VAL_SERIAL)*1000000+16*1000+45))</f>
        <v/>
      </c>
      <c r="FX27" s="35">
        <f>IF(N('Dvd Calendar'!$J$183)=0,"",IF(('Dvd Calendar'!$J$183&gt;=GRID_FROM)*('Dvd Calendar'!$J$183&lt;=GRID_TO)*('Dvd Calendar'!$J$183&gt;VAL_DATE)=0,"",'Dvd Calendar'!$J$183*1000000000+ISNUMBER('Dvd Calendar'!$J$184)*100000000+0*10000000+(N('Dvd Calendar'!$J$182)&gt;0)*(N('Dvd Calendar'!$J$182)&lt;=VAL_SERIAL)*1000000+16*1000+46))</f>
        <v/>
      </c>
      <c r="FY27" s="35">
        <f>IF(N('Dvd Calendar'!$K$183)=0,"",IF(('Dvd Calendar'!$K$183&gt;=GRID_FROM)*('Dvd Calendar'!$K$183&lt;=GRID_TO)*('Dvd Calendar'!$K$183&gt;VAL_DATE)=0,"",'Dvd Calendar'!$K$183*1000000000+ISNUMBER('Dvd Calendar'!$K$184)*100000000+0*10000000+(N('Dvd Calendar'!$K$182)&gt;0)*(N('Dvd Calendar'!$K$182)&lt;=VAL_SERIAL)*1000000+16*1000+47))</f>
        <v/>
      </c>
      <c r="FZ27" s="35">
        <f>IF(N('Dvd Calendar'!$L$183)=0,"",IF(('Dvd Calendar'!$L$183&gt;=GRID_FROM)*('Dvd Calendar'!$L$183&lt;=GRID_TO)*('Dvd Calendar'!$L$183&gt;VAL_DATE)=0,"",'Dvd Calendar'!$L$183*1000000000+ISNUMBER('Dvd Calendar'!$L$184)*100000000+0*10000000+(N('Dvd Calendar'!$L$182)&gt;0)*(N('Dvd Calendar'!$L$182)&lt;=VAL_SERIAL)*1000000+16*1000+48))</f>
        <v/>
      </c>
      <c r="GA27" s="35">
        <f>IF(N('Dvd Calendar'!$M$183)=0,"",IF(('Dvd Calendar'!$M$183&gt;=GRID_FROM)*('Dvd Calendar'!$M$183&lt;=GRID_TO)*('Dvd Calendar'!$M$183&gt;VAL_DATE)=0,"",'Dvd Calendar'!$M$183*1000000000+ISNUMBER('Dvd Calendar'!$M$184)*100000000+0*10000000+(N('Dvd Calendar'!$M$182)&gt;0)*(N('Dvd Calendar'!$M$182)&lt;=VAL_SERIAL)*1000000+16*1000+49))</f>
        <v/>
      </c>
      <c r="GB27" s="35">
        <f>IF(N('Dvd Calendar'!$N$183)=0,"",IF(('Dvd Calendar'!$N$183&gt;=GRID_FROM)*('Dvd Calendar'!$N$183&lt;=GRID_TO)*('Dvd Calendar'!$N$183&gt;VAL_DATE)=0,"",'Dvd Calendar'!$N$183*1000000000+ISNUMBER('Dvd Calendar'!$N$184)*100000000+0*10000000+(N('Dvd Calendar'!$N$182)&gt;0)*(N('Dvd Calendar'!$N$182)&lt;=VAL_SERIAL)*1000000+16*1000+50))</f>
        <v/>
      </c>
      <c r="GC27" s="35">
        <f>IF(N('Dvd Calendar'!$O$183)=0,"",IF(('Dvd Calendar'!$O$183&gt;=GRID_FROM)*('Dvd Calendar'!$O$183&lt;=GRID_TO)*('Dvd Calendar'!$O$183&gt;VAL_DATE)=0,"",'Dvd Calendar'!$O$183*1000000000+ISNUMBER('Dvd Calendar'!$O$184)*100000000+0*10000000+(N('Dvd Calendar'!$O$182)&gt;0)*(N('Dvd Calendar'!$O$182)&lt;=VAL_SERIAL)*1000000+16*1000+51))</f>
        <v/>
      </c>
      <c r="GD27" s="35">
        <f>IF(N('Dvd Calendar'!$P$183)=0,"",IF(('Dvd Calendar'!$P$183&gt;=GRID_FROM)*('Dvd Calendar'!$P$183&lt;=GRID_TO)*('Dvd Calendar'!$P$183&gt;VAL_DATE)=0,"",'Dvd Calendar'!$P$183*1000000000+ISNUMBER('Dvd Calendar'!$P$184)*100000000+0*10000000+(N('Dvd Calendar'!$P$182)&gt;0)*(N('Dvd Calendar'!$P$182)&lt;=VAL_SERIAL)*1000000+16*1000+52))</f>
        <v/>
      </c>
      <c r="GE27" s="35">
        <f>IF(N('Dvd Calendar'!$Q$183)=0,"",IF(('Dvd Calendar'!$Q$183&gt;=GRID_FROM)*('Dvd Calendar'!$Q$183&lt;=GRID_TO)*('Dvd Calendar'!$Q$183&gt;VAL_DATE)=0,"",'Dvd Calendar'!$Q$183*1000000000+ISNUMBER('Dvd Calendar'!$Q$184)*100000000+0*10000000+(N('Dvd Calendar'!$Q$182)&gt;0)*(N('Dvd Calendar'!$Q$182)&lt;=VAL_SERIAL)*1000000+16*1000+53))</f>
        <v/>
      </c>
      <c r="GF27" s="35">
        <f>IF(N('Dvd Calendar'!$R$183)=0,"",IF(('Dvd Calendar'!$R$183&gt;=GRID_FROM)*('Dvd Calendar'!$R$183&lt;=GRID_TO)*('Dvd Calendar'!$R$183&gt;VAL_DATE)=0,"",'Dvd Calendar'!$R$183*1000000000+ISNUMBER('Dvd Calendar'!$R$184)*100000000+0*10000000+(N('Dvd Calendar'!$R$182)&gt;0)*(N('Dvd Calendar'!$R$182)&lt;=VAL_SERIAL)*1000000+16*1000+54))</f>
        <v/>
      </c>
      <c r="GG27" s="35">
        <f>IF(N('Dvd Calendar'!$S$183)=0,"",IF(('Dvd Calendar'!$S$183&gt;=GRID_FROM)*('Dvd Calendar'!$S$183&lt;=GRID_TO)*('Dvd Calendar'!$S$183&gt;VAL_DATE)=0,"",'Dvd Calendar'!$S$183*1000000000+ISNUMBER('Dvd Calendar'!$S$184)*100000000+0*10000000+(N('Dvd Calendar'!$S$182)&gt;0)*(N('Dvd Calendar'!$S$182)&lt;=VAL_SERIAL)*1000000+16*1000+55))</f>
        <v/>
      </c>
      <c r="GH27" s="35">
        <f>IF(N('Dvd Calendar'!$T$183)=0,"",IF(('Dvd Calendar'!$T$183&gt;=GRID_FROM)*('Dvd Calendar'!$T$183&lt;=GRID_TO)*('Dvd Calendar'!$T$183&gt;VAL_DATE)=0,"",'Dvd Calendar'!$T$183*1000000000+ISNUMBER('Dvd Calendar'!$T$184)*100000000+0*10000000+(N('Dvd Calendar'!$T$182)&gt;0)*(N('Dvd Calendar'!$T$182)&lt;=VAL_SERIAL)*1000000+16*1000+56))</f>
        <v/>
      </c>
      <c r="GI27" s="35">
        <f>IF(N('Dvd Calendar'!$U$183)=0,"",IF(('Dvd Calendar'!$U$183&gt;=GRID_FROM)*('Dvd Calendar'!$U$183&lt;=GRID_TO)*('Dvd Calendar'!$U$183&gt;VAL_DATE)=0,"",'Dvd Calendar'!$U$183*1000000000+ISNUMBER('Dvd Calendar'!$U$184)*100000000+0*10000000+(N('Dvd Calendar'!$U$182)&gt;0)*(N('Dvd Calendar'!$U$182)&lt;=VAL_SERIAL)*1000000+16*1000+57))</f>
        <v/>
      </c>
      <c r="GJ27" s="35">
        <f>IF(N('Dvd Calendar'!$V$183)=0,"",IF(('Dvd Calendar'!$V$183&gt;=GRID_FROM)*('Dvd Calendar'!$V$183&lt;=GRID_TO)*('Dvd Calendar'!$V$183&gt;VAL_DATE)=0,"",'Dvd Calendar'!$V$183*1000000000+ISNUMBER('Dvd Calendar'!$V$184)*100000000+0*10000000+(N('Dvd Calendar'!$V$182)&gt;0)*(N('Dvd Calendar'!$V$182)&lt;=VAL_SERIAL)*1000000+16*1000+58))</f>
        <v/>
      </c>
      <c r="GK27" s="35">
        <f>IF(N('Dvd Calendar'!$W$183)=0,"",IF(('Dvd Calendar'!$W$183&gt;=GRID_FROM)*('Dvd Calendar'!$W$183&lt;=GRID_TO)*('Dvd Calendar'!$W$183&gt;VAL_DATE)=0,"",'Dvd Calendar'!$W$183*1000000000+ISNUMBER('Dvd Calendar'!$W$184)*100000000+0*10000000+(N('Dvd Calendar'!$W$182)&gt;0)*(N('Dvd Calendar'!$W$182)&lt;=VAL_SERIAL)*1000000+16*1000+59))</f>
        <v/>
      </c>
      <c r="GL27" s="35">
        <f>IF(N('Dvd Calendar'!$X$183)=0,"",IF(('Dvd Calendar'!$X$183&gt;=GRID_FROM)*('Dvd Calendar'!$X$183&lt;=GRID_TO)*('Dvd Calendar'!$X$183&gt;VAL_DATE)=0,"",'Dvd Calendar'!$X$183*1000000000+ISNUMBER('Dvd Calendar'!$X$184)*100000000+0*10000000+(N('Dvd Calendar'!$X$182)&gt;0)*(N('Dvd Calendar'!$X$182)&lt;=VAL_SERIAL)*1000000+16*1000+60))</f>
        <v/>
      </c>
      <c r="GM27" s="35">
        <f>IF(N('Dvd Calendar'!$Y$183)=0,"",IF(('Dvd Calendar'!$Y$183&gt;=GRID_FROM)*('Dvd Calendar'!$Y$183&lt;=GRID_TO)*('Dvd Calendar'!$Y$183&gt;VAL_DATE)=0,"",'Dvd Calendar'!$Y$183*1000000000+ISNUMBER('Dvd Calendar'!$Y$184)*100000000+0*10000000+(N('Dvd Calendar'!$Y$182)&gt;0)*(N('Dvd Calendar'!$Y$182)&lt;=VAL_SERIAL)*1000000+16*1000+61))</f>
        <v/>
      </c>
      <c r="GN27" s="35">
        <f>IF(N('Dvd Calendar'!$Z$183)=0,"",IF(('Dvd Calendar'!$Z$183&gt;=GRID_FROM)*('Dvd Calendar'!$Z$183&lt;=GRID_TO)*('Dvd Calendar'!$Z$183&gt;VAL_DATE)=0,"",'Dvd Calendar'!$Z$183*1000000000+ISNUMBER('Dvd Calendar'!$Z$184)*100000000+0*10000000+(N('Dvd Calendar'!$Z$182)&gt;0)*(N('Dvd Calendar'!$Z$182)&lt;=VAL_SERIAL)*1000000+16*1000+62))</f>
        <v/>
      </c>
      <c r="GO27" s="35">
        <f>IF(N('Dvd Calendar'!$AA$183)=0,"",IF(('Dvd Calendar'!$AA$183&gt;=GRID_FROM)*('Dvd Calendar'!$AA$183&lt;=GRID_TO)*('Dvd Calendar'!$AA$183&gt;VAL_DATE)=0,"",'Dvd Calendar'!$AA$183*1000000000+ISNUMBER('Dvd Calendar'!$AA$184)*100000000+0*10000000+(N('Dvd Calendar'!$AA$182)&gt;0)*(N('Dvd Calendar'!$AA$182)&lt;=VAL_SERIAL)*1000000+16*1000+63))</f>
        <v/>
      </c>
      <c r="GP27" s="35">
        <f>IF(N('Dvd Calendar'!$AB$183)=0,"",IF(('Dvd Calendar'!$AB$183&gt;=GRID_FROM)*('Dvd Calendar'!$AB$183&lt;=GRID_TO)*('Dvd Calendar'!$AB$183&gt;VAL_DATE)=0,"",'Dvd Calendar'!$AB$183*1000000000+ISNUMBER('Dvd Calendar'!$AB$184)*100000000+0*10000000+(N('Dvd Calendar'!$AB$182)&gt;0)*(N('Dvd Calendar'!$AB$182)&lt;=VAL_SERIAL)*1000000+16*1000+64))</f>
        <v/>
      </c>
      <c r="GQ27" s="35">
        <f>IF(N('Dvd Calendar'!$AC$183)=0,"",IF(('Dvd Calendar'!$AC$183&gt;=GRID_FROM)*('Dvd Calendar'!$AC$183&lt;=GRID_TO)*('Dvd Calendar'!$AC$183&gt;VAL_DATE)=0,"",'Dvd Calendar'!$AC$183*1000000000+ISNUMBER('Dvd Calendar'!$AC$184)*100000000+0*10000000+(N('Dvd Calendar'!$AC$182)&gt;0)*(N('Dvd Calendar'!$AC$182)&lt;=VAL_SERIAL)*1000000+16*1000+65))</f>
        <v/>
      </c>
    </row>
    <row r="28">
      <c r="B28" s="2">
        <f>IF(HSI!$C$23="","",HSI!$C$23)</f>
        <v/>
      </c>
      <c r="C28" s="106">
        <f>IF(EE28="","",IF(ISNUMBER('Dvd Calendar'!$E$190)=FALSE,"",IF((('Dvd Calendar'!$E$192=TYPE1)*(TYPE1&lt;&gt;"")+('Dvd Calendar'!$E$192=TYPE2)*(TYPE2&lt;&gt;"")+('Dvd Calendar'!$E$192=TYPE3)*(TYPE3&lt;&gt;"")+('Dvd Calendar'!$E$192=TYPE4)*(TYPE4&lt;&gt;"")+('Dvd Calendar'!$E$192=SPECIAL_LBL)*(INC_SPECIALS="Y"))=0,"",'Dvd Calendar'!$E$190)))</f>
        <v/>
      </c>
      <c r="D28" s="106">
        <f>IF(EF28="","",IF(ISNUMBER('Dvd Calendar'!$F$190)=FALSE,"",IF((('Dvd Calendar'!$F$192=TYPE1)*(TYPE1&lt;&gt;"")+('Dvd Calendar'!$F$192=TYPE2)*(TYPE2&lt;&gt;"")+('Dvd Calendar'!$F$192=TYPE3)*(TYPE3&lt;&gt;"")+('Dvd Calendar'!$F$192=TYPE4)*(TYPE4&lt;&gt;"")+('Dvd Calendar'!$F$192=SPECIAL_LBL)*(INC_SPECIALS="Y"))=0,"",'Dvd Calendar'!$F$190)))</f>
        <v/>
      </c>
      <c r="E28" s="106">
        <f>IF(EG28="","",IF(ISNUMBER('Dvd Calendar'!$G$190)=FALSE,"",IF((('Dvd Calendar'!$G$192=TYPE1)*(TYPE1&lt;&gt;"")+('Dvd Calendar'!$G$192=TYPE2)*(TYPE2&lt;&gt;"")+('Dvd Calendar'!$G$192=TYPE3)*(TYPE3&lt;&gt;"")+('Dvd Calendar'!$G$192=TYPE4)*(TYPE4&lt;&gt;"")+('Dvd Calendar'!$G$192=SPECIAL_LBL)*(INC_SPECIALS="Y"))=0,"",'Dvd Calendar'!$G$190)))</f>
        <v/>
      </c>
      <c r="F28" s="106">
        <f>IF(EH28="","",IF(ISNUMBER('Dvd Calendar'!$H$190)=FALSE,"",IF((('Dvd Calendar'!$H$192=TYPE1)*(TYPE1&lt;&gt;"")+('Dvd Calendar'!$H$192=TYPE2)*(TYPE2&lt;&gt;"")+('Dvd Calendar'!$H$192=TYPE3)*(TYPE3&lt;&gt;"")+('Dvd Calendar'!$H$192=TYPE4)*(TYPE4&lt;&gt;"")+('Dvd Calendar'!$H$192=SPECIAL_LBL)*(INC_SPECIALS="Y"))=0,"",'Dvd Calendar'!$H$190)))</f>
        <v/>
      </c>
      <c r="G28" s="106">
        <f>IF(EI28="","",IF(ISNUMBER('Dvd Calendar'!$I$190)=FALSE,"",IF((('Dvd Calendar'!$I$192=TYPE1)*(TYPE1&lt;&gt;"")+('Dvd Calendar'!$I$192=TYPE2)*(TYPE2&lt;&gt;"")+('Dvd Calendar'!$I$192=TYPE3)*(TYPE3&lt;&gt;"")+('Dvd Calendar'!$I$192=TYPE4)*(TYPE4&lt;&gt;"")+('Dvd Calendar'!$I$192=SPECIAL_LBL)*(INC_SPECIALS="Y"))=0,"",'Dvd Calendar'!$I$190)))</f>
        <v/>
      </c>
      <c r="H28" s="106">
        <f>IF(EJ28="","",IF(ISNUMBER('Dvd Calendar'!$J$190)=FALSE,"",IF((('Dvd Calendar'!$J$192=TYPE1)*(TYPE1&lt;&gt;"")+('Dvd Calendar'!$J$192=TYPE2)*(TYPE2&lt;&gt;"")+('Dvd Calendar'!$J$192=TYPE3)*(TYPE3&lt;&gt;"")+('Dvd Calendar'!$J$192=TYPE4)*(TYPE4&lt;&gt;"")+('Dvd Calendar'!$J$192=SPECIAL_LBL)*(INC_SPECIALS="Y"))=0,"",'Dvd Calendar'!$J$190)))</f>
        <v/>
      </c>
      <c r="I28" s="106">
        <f>IF(EK28="","",IF(ISNUMBER('Dvd Calendar'!$K$190)=FALSE,"",IF((('Dvd Calendar'!$K$192=TYPE1)*(TYPE1&lt;&gt;"")+('Dvd Calendar'!$K$192=TYPE2)*(TYPE2&lt;&gt;"")+('Dvd Calendar'!$K$192=TYPE3)*(TYPE3&lt;&gt;"")+('Dvd Calendar'!$K$192=TYPE4)*(TYPE4&lt;&gt;"")+('Dvd Calendar'!$K$192=SPECIAL_LBL)*(INC_SPECIALS="Y"))=0,"",'Dvd Calendar'!$K$190)))</f>
        <v/>
      </c>
      <c r="J28" s="106">
        <f>IF(EL28="","",IF(ISNUMBER('Dvd Calendar'!$L$190)=FALSE,"",IF((('Dvd Calendar'!$L$192=TYPE1)*(TYPE1&lt;&gt;"")+('Dvd Calendar'!$L$192=TYPE2)*(TYPE2&lt;&gt;"")+('Dvd Calendar'!$L$192=TYPE3)*(TYPE3&lt;&gt;"")+('Dvd Calendar'!$L$192=TYPE4)*(TYPE4&lt;&gt;"")+('Dvd Calendar'!$L$192=SPECIAL_LBL)*(INC_SPECIALS="Y"))=0,"",'Dvd Calendar'!$L$190)))</f>
        <v/>
      </c>
      <c r="K28" s="106">
        <f>IF(EM28="","",IF(ISNUMBER('Dvd Calendar'!$M$190)=FALSE,"",IF((('Dvd Calendar'!$M$192=TYPE1)*(TYPE1&lt;&gt;"")+('Dvd Calendar'!$M$192=TYPE2)*(TYPE2&lt;&gt;"")+('Dvd Calendar'!$M$192=TYPE3)*(TYPE3&lt;&gt;"")+('Dvd Calendar'!$M$192=TYPE4)*(TYPE4&lt;&gt;"")+('Dvd Calendar'!$M$192=SPECIAL_LBL)*(INC_SPECIALS="Y"))=0,"",'Dvd Calendar'!$M$190)))</f>
        <v/>
      </c>
      <c r="L28" s="106">
        <f>IF(EN28="","",IF(ISNUMBER('Dvd Calendar'!$N$190)=FALSE,"",IF((('Dvd Calendar'!$N$192=TYPE1)*(TYPE1&lt;&gt;"")+('Dvd Calendar'!$N$192=TYPE2)*(TYPE2&lt;&gt;"")+('Dvd Calendar'!$N$192=TYPE3)*(TYPE3&lt;&gt;"")+('Dvd Calendar'!$N$192=TYPE4)*(TYPE4&lt;&gt;"")+('Dvd Calendar'!$N$192=SPECIAL_LBL)*(INC_SPECIALS="Y"))=0,"",'Dvd Calendar'!$N$190)))</f>
        <v/>
      </c>
      <c r="M28" s="106">
        <f>IF(EO28="","",IF(ISNUMBER('Dvd Calendar'!$O$190)=FALSE,"",IF((('Dvd Calendar'!$O$192=TYPE1)*(TYPE1&lt;&gt;"")+('Dvd Calendar'!$O$192=TYPE2)*(TYPE2&lt;&gt;"")+('Dvd Calendar'!$O$192=TYPE3)*(TYPE3&lt;&gt;"")+('Dvd Calendar'!$O$192=TYPE4)*(TYPE4&lt;&gt;"")+('Dvd Calendar'!$O$192=SPECIAL_LBL)*(INC_SPECIALS="Y"))=0,"",'Dvd Calendar'!$O$190)))</f>
        <v/>
      </c>
      <c r="N28" s="106">
        <f>IF(EP28="","",IF(ISNUMBER('Dvd Calendar'!$P$190)=FALSE,"",IF((('Dvd Calendar'!$P$192=TYPE1)*(TYPE1&lt;&gt;"")+('Dvd Calendar'!$P$192=TYPE2)*(TYPE2&lt;&gt;"")+('Dvd Calendar'!$P$192=TYPE3)*(TYPE3&lt;&gt;"")+('Dvd Calendar'!$P$192=TYPE4)*(TYPE4&lt;&gt;"")+('Dvd Calendar'!$P$192=SPECIAL_LBL)*(INC_SPECIALS="Y"))=0,"",'Dvd Calendar'!$P$190)))</f>
        <v/>
      </c>
      <c r="O28" s="106">
        <f>IF(EQ28="","",IF(ISNUMBER('Dvd Calendar'!$Q$190)=FALSE,"",IF((('Dvd Calendar'!$Q$192=TYPE1)*(TYPE1&lt;&gt;"")+('Dvd Calendar'!$Q$192=TYPE2)*(TYPE2&lt;&gt;"")+('Dvd Calendar'!$Q$192=TYPE3)*(TYPE3&lt;&gt;"")+('Dvd Calendar'!$Q$192=TYPE4)*(TYPE4&lt;&gt;"")+('Dvd Calendar'!$Q$192=SPECIAL_LBL)*(INC_SPECIALS="Y"))=0,"",'Dvd Calendar'!$Q$190)))</f>
        <v/>
      </c>
      <c r="P28" s="106">
        <f>IF(ER28="","",IF(ISNUMBER('Dvd Calendar'!$R$190)=FALSE,"",IF((('Dvd Calendar'!$R$192=TYPE1)*(TYPE1&lt;&gt;"")+('Dvd Calendar'!$R$192=TYPE2)*(TYPE2&lt;&gt;"")+('Dvd Calendar'!$R$192=TYPE3)*(TYPE3&lt;&gt;"")+('Dvd Calendar'!$R$192=TYPE4)*(TYPE4&lt;&gt;"")+('Dvd Calendar'!$R$192=SPECIAL_LBL)*(INC_SPECIALS="Y"))=0,"",'Dvd Calendar'!$R$190)))</f>
        <v/>
      </c>
      <c r="Q28" s="106">
        <f>IF(ES28="","",IF(ISNUMBER('Dvd Calendar'!$S$190)=FALSE,"",IF((('Dvd Calendar'!$S$192=TYPE1)*(TYPE1&lt;&gt;"")+('Dvd Calendar'!$S$192=TYPE2)*(TYPE2&lt;&gt;"")+('Dvd Calendar'!$S$192=TYPE3)*(TYPE3&lt;&gt;"")+('Dvd Calendar'!$S$192=TYPE4)*(TYPE4&lt;&gt;"")+('Dvd Calendar'!$S$192=SPECIAL_LBL)*(INC_SPECIALS="Y"))=0,"",'Dvd Calendar'!$S$190)))</f>
        <v/>
      </c>
      <c r="R28" s="106">
        <f>IF(ET28="","",IF(ISNUMBER('Dvd Calendar'!$T$190)=FALSE,"",IF((('Dvd Calendar'!$T$192=TYPE1)*(TYPE1&lt;&gt;"")+('Dvd Calendar'!$T$192=TYPE2)*(TYPE2&lt;&gt;"")+('Dvd Calendar'!$T$192=TYPE3)*(TYPE3&lt;&gt;"")+('Dvd Calendar'!$T$192=TYPE4)*(TYPE4&lt;&gt;"")+('Dvd Calendar'!$T$192=SPECIAL_LBL)*(INC_SPECIALS="Y"))=0,"",'Dvd Calendar'!$T$190)))</f>
        <v/>
      </c>
      <c r="S28" s="106">
        <f>IF(EU28="","",IF(ISNUMBER('Dvd Calendar'!$U$190)=FALSE,"",IF((('Dvd Calendar'!$U$192=TYPE1)*(TYPE1&lt;&gt;"")+('Dvd Calendar'!$U$192=TYPE2)*(TYPE2&lt;&gt;"")+('Dvd Calendar'!$U$192=TYPE3)*(TYPE3&lt;&gt;"")+('Dvd Calendar'!$U$192=TYPE4)*(TYPE4&lt;&gt;"")+('Dvd Calendar'!$U$192=SPECIAL_LBL)*(INC_SPECIALS="Y"))=0,"",'Dvd Calendar'!$U$190)))</f>
        <v/>
      </c>
      <c r="T28" s="106">
        <f>IF(EV28="","",IF(ISNUMBER('Dvd Calendar'!$V$190)=FALSE,"",IF((('Dvd Calendar'!$V$192=TYPE1)*(TYPE1&lt;&gt;"")+('Dvd Calendar'!$V$192=TYPE2)*(TYPE2&lt;&gt;"")+('Dvd Calendar'!$V$192=TYPE3)*(TYPE3&lt;&gt;"")+('Dvd Calendar'!$V$192=TYPE4)*(TYPE4&lt;&gt;"")+('Dvd Calendar'!$V$192=SPECIAL_LBL)*(INC_SPECIALS="Y"))=0,"",'Dvd Calendar'!$V$190)))</f>
        <v/>
      </c>
      <c r="U28" s="106">
        <f>IF(EW28="","",IF(ISNUMBER('Dvd Calendar'!$W$190)=FALSE,"",IF((('Dvd Calendar'!$W$192=TYPE1)*(TYPE1&lt;&gt;"")+('Dvd Calendar'!$W$192=TYPE2)*(TYPE2&lt;&gt;"")+('Dvd Calendar'!$W$192=TYPE3)*(TYPE3&lt;&gt;"")+('Dvd Calendar'!$W$192=TYPE4)*(TYPE4&lt;&gt;"")+('Dvd Calendar'!$W$192=SPECIAL_LBL)*(INC_SPECIALS="Y"))=0,"",'Dvd Calendar'!$W$190)))</f>
        <v/>
      </c>
      <c r="V28" s="106">
        <f>IF(EX28="","",IF(ISNUMBER('Dvd Calendar'!$X$190)=FALSE,"",IF((('Dvd Calendar'!$X$192=TYPE1)*(TYPE1&lt;&gt;"")+('Dvd Calendar'!$X$192=TYPE2)*(TYPE2&lt;&gt;"")+('Dvd Calendar'!$X$192=TYPE3)*(TYPE3&lt;&gt;"")+('Dvd Calendar'!$X$192=TYPE4)*(TYPE4&lt;&gt;"")+('Dvd Calendar'!$X$192=SPECIAL_LBL)*(INC_SPECIALS="Y"))=0,"",'Dvd Calendar'!$X$190)))</f>
        <v/>
      </c>
      <c r="W28" s="106">
        <f>IF(EY28="","",IF(ISNUMBER('Dvd Calendar'!$Y$190)=FALSE,"",IF((('Dvd Calendar'!$Y$192=TYPE1)*(TYPE1&lt;&gt;"")+('Dvd Calendar'!$Y$192=TYPE2)*(TYPE2&lt;&gt;"")+('Dvd Calendar'!$Y$192=TYPE3)*(TYPE3&lt;&gt;"")+('Dvd Calendar'!$Y$192=TYPE4)*(TYPE4&lt;&gt;"")+('Dvd Calendar'!$Y$192=SPECIAL_LBL)*(INC_SPECIALS="Y"))=0,"",'Dvd Calendar'!$Y$190)))</f>
        <v/>
      </c>
      <c r="X28" s="106">
        <f>IF(EZ28="","",IF(ISNUMBER('Dvd Calendar'!$Z$190)=FALSE,"",IF((('Dvd Calendar'!$Z$192=TYPE1)*(TYPE1&lt;&gt;"")+('Dvd Calendar'!$Z$192=TYPE2)*(TYPE2&lt;&gt;"")+('Dvd Calendar'!$Z$192=TYPE3)*(TYPE3&lt;&gt;"")+('Dvd Calendar'!$Z$192=TYPE4)*(TYPE4&lt;&gt;"")+('Dvd Calendar'!$Z$192=SPECIAL_LBL)*(INC_SPECIALS="Y"))=0,"",'Dvd Calendar'!$Z$190)))</f>
        <v/>
      </c>
      <c r="Y28" s="106">
        <f>IF(FA28="","",IF(ISNUMBER('Dvd Calendar'!$AA$190)=FALSE,"",IF((('Dvd Calendar'!$AA$192=TYPE1)*(TYPE1&lt;&gt;"")+('Dvd Calendar'!$AA$192=TYPE2)*(TYPE2&lt;&gt;"")+('Dvd Calendar'!$AA$192=TYPE3)*(TYPE3&lt;&gt;"")+('Dvd Calendar'!$AA$192=TYPE4)*(TYPE4&lt;&gt;"")+('Dvd Calendar'!$AA$192=SPECIAL_LBL)*(INC_SPECIALS="Y"))=0,"",'Dvd Calendar'!$AA$190)))</f>
        <v/>
      </c>
      <c r="Z28" s="106">
        <f>IF(FB28="","",IF(ISNUMBER('Dvd Calendar'!$AB$190)=FALSE,"",IF((('Dvd Calendar'!$AB$192=TYPE1)*(TYPE1&lt;&gt;"")+('Dvd Calendar'!$AB$192=TYPE2)*(TYPE2&lt;&gt;"")+('Dvd Calendar'!$AB$192=TYPE3)*(TYPE3&lt;&gt;"")+('Dvd Calendar'!$AB$192=TYPE4)*(TYPE4&lt;&gt;"")+('Dvd Calendar'!$AB$192=SPECIAL_LBL)*(INC_SPECIALS="Y"))=0,"",'Dvd Calendar'!$AB$190)))</f>
        <v/>
      </c>
      <c r="AA28" s="106">
        <f>IF(FC28="","",IF(ISNUMBER('Dvd Calendar'!$AC$190)=FALSE,"",IF((('Dvd Calendar'!$AC$192=TYPE1)*(TYPE1&lt;&gt;"")+('Dvd Calendar'!$AC$192=TYPE2)*(TYPE2&lt;&gt;"")+('Dvd Calendar'!$AC$192=TYPE3)*(TYPE3&lt;&gt;"")+('Dvd Calendar'!$AC$192=TYPE4)*(TYPE4&lt;&gt;"")+('Dvd Calendar'!$AC$192=SPECIAL_LBL)*(INC_SPECIALS="Y"))=0,"",'Dvd Calendar'!$AC$190)))</f>
        <v/>
      </c>
      <c r="AB28" s="106">
        <f>IF(FD28="","",IF(ISNUMBER('Dvd Calendar'!$AD$190)=FALSE,"",IF((('Dvd Calendar'!$AD$192=TYPE1)*(TYPE1&lt;&gt;"")+('Dvd Calendar'!$AD$192=TYPE2)*(TYPE2&lt;&gt;"")+('Dvd Calendar'!$AD$192=TYPE3)*(TYPE3&lt;&gt;"")+('Dvd Calendar'!$AD$192=TYPE4)*(TYPE4&lt;&gt;"")+('Dvd Calendar'!$AD$192=SPECIAL_LBL)*(INC_SPECIALS="Y"))=0,"",'Dvd Calendar'!$AD$190)))</f>
        <v/>
      </c>
      <c r="AC28" s="106">
        <f>IF(FE28="","",IF(ISNUMBER('Dvd Calendar'!$AE$190)=FALSE,"",IF((('Dvd Calendar'!$AE$192=TYPE1)*(TYPE1&lt;&gt;"")+('Dvd Calendar'!$AE$192=TYPE2)*(TYPE2&lt;&gt;"")+('Dvd Calendar'!$AE$192=TYPE3)*(TYPE3&lt;&gt;"")+('Dvd Calendar'!$AE$192=TYPE4)*(TYPE4&lt;&gt;"")+('Dvd Calendar'!$AE$192=SPECIAL_LBL)*(INC_SPECIALS="Y"))=0,"",'Dvd Calendar'!$AE$190)))</f>
        <v/>
      </c>
      <c r="AD28" s="106">
        <f>IF(FF28="","",IF(ISNUMBER('Dvd Calendar'!$AF$190)=FALSE,"",IF((('Dvd Calendar'!$AF$192=TYPE1)*(TYPE1&lt;&gt;"")+('Dvd Calendar'!$AF$192=TYPE2)*(TYPE2&lt;&gt;"")+('Dvd Calendar'!$AF$192=TYPE3)*(TYPE3&lt;&gt;"")+('Dvd Calendar'!$AF$192=TYPE4)*(TYPE4&lt;&gt;"")+('Dvd Calendar'!$AF$192=SPECIAL_LBL)*(INC_SPECIALS="Y"))=0,"",'Dvd Calendar'!$AF$190)))</f>
        <v/>
      </c>
      <c r="AE28" s="106">
        <f>IF(FG28="","",IF(ISNUMBER('Dvd Calendar'!$AG$190)=FALSE,"",IF((('Dvd Calendar'!$AG$192=TYPE1)*(TYPE1&lt;&gt;"")+('Dvd Calendar'!$AG$192=TYPE2)*(TYPE2&lt;&gt;"")+('Dvd Calendar'!$AG$192=TYPE3)*(TYPE3&lt;&gt;"")+('Dvd Calendar'!$AG$192=TYPE4)*(TYPE4&lt;&gt;"")+('Dvd Calendar'!$AG$192=SPECIAL_LBL)*(INC_SPECIALS="Y"))=0,"",'Dvd Calendar'!$AG$190)))</f>
        <v/>
      </c>
      <c r="AF28" s="106">
        <f>IF(FH28="","",IF(ISNUMBER('Dvd Calendar'!$AH$190)=FALSE,"",IF((('Dvd Calendar'!$AH$192=TYPE1)*(TYPE1&lt;&gt;"")+('Dvd Calendar'!$AH$192=TYPE2)*(TYPE2&lt;&gt;"")+('Dvd Calendar'!$AH$192=TYPE3)*(TYPE3&lt;&gt;"")+('Dvd Calendar'!$AH$192=TYPE4)*(TYPE4&lt;&gt;"")+('Dvd Calendar'!$AH$192=SPECIAL_LBL)*(INC_SPECIALS="Y"))=0,"",'Dvd Calendar'!$AH$190)))</f>
        <v/>
      </c>
      <c r="AG28" s="106">
        <f>IF(FI28="","",IF(ISNUMBER('Dvd Calendar'!$AI$190)=FALSE,"",IF((('Dvd Calendar'!$AI$192=TYPE1)*(TYPE1&lt;&gt;"")+('Dvd Calendar'!$AI$192=TYPE2)*(TYPE2&lt;&gt;"")+('Dvd Calendar'!$AI$192=TYPE3)*(TYPE3&lt;&gt;"")+('Dvd Calendar'!$AI$192=TYPE4)*(TYPE4&lt;&gt;"")+('Dvd Calendar'!$AI$192=SPECIAL_LBL)*(INC_SPECIALS="Y"))=0,"",'Dvd Calendar'!$AI$190)))</f>
        <v/>
      </c>
      <c r="AH28" s="106">
        <f>IF(FJ28="","",IF(ISNUMBER('Dvd Calendar'!$AJ$190)=FALSE,"",IF((('Dvd Calendar'!$AJ$192=TYPE1)*(TYPE1&lt;&gt;"")+('Dvd Calendar'!$AJ$192=TYPE2)*(TYPE2&lt;&gt;"")+('Dvd Calendar'!$AJ$192=TYPE3)*(TYPE3&lt;&gt;"")+('Dvd Calendar'!$AJ$192=TYPE4)*(TYPE4&lt;&gt;"")+('Dvd Calendar'!$AJ$192=SPECIAL_LBL)*(INC_SPECIALS="Y"))=0,"",'Dvd Calendar'!$AJ$190)))</f>
        <v/>
      </c>
      <c r="AI28" s="106">
        <f>IF(FK28="","",IF(ISNUMBER('Dvd Calendar'!$AK$190)=FALSE,"",IF((('Dvd Calendar'!$AK$192=TYPE1)*(TYPE1&lt;&gt;"")+('Dvd Calendar'!$AK$192=TYPE2)*(TYPE2&lt;&gt;"")+('Dvd Calendar'!$AK$192=TYPE3)*(TYPE3&lt;&gt;"")+('Dvd Calendar'!$AK$192=TYPE4)*(TYPE4&lt;&gt;"")+('Dvd Calendar'!$AK$192=SPECIAL_LBL)*(INC_SPECIALS="Y"))=0,"",'Dvd Calendar'!$AK$190)))</f>
        <v/>
      </c>
      <c r="AJ28" s="106">
        <f>IF(FL28="","",IF(ISNUMBER('Dvd Calendar'!$AL$190)=FALSE,"",IF((('Dvd Calendar'!$AL$192=TYPE1)*(TYPE1&lt;&gt;"")+('Dvd Calendar'!$AL$192=TYPE2)*(TYPE2&lt;&gt;"")+('Dvd Calendar'!$AL$192=TYPE3)*(TYPE3&lt;&gt;"")+('Dvd Calendar'!$AL$192=TYPE4)*(TYPE4&lt;&gt;"")+('Dvd Calendar'!$AL$192=SPECIAL_LBL)*(INC_SPECIALS="Y"))=0,"",'Dvd Calendar'!$AL$190)))</f>
        <v/>
      </c>
      <c r="AK28" s="106">
        <f>IF(FM28="","",IF(ISNUMBER('Dvd Calendar'!$AM$190)=FALSE,"",IF((('Dvd Calendar'!$AM$192=TYPE1)*(TYPE1&lt;&gt;"")+('Dvd Calendar'!$AM$192=TYPE2)*(TYPE2&lt;&gt;"")+('Dvd Calendar'!$AM$192=TYPE3)*(TYPE3&lt;&gt;"")+('Dvd Calendar'!$AM$192=TYPE4)*(TYPE4&lt;&gt;"")+('Dvd Calendar'!$AM$192=SPECIAL_LBL)*(INC_SPECIALS="Y"))=0,"",'Dvd Calendar'!$AM$190)))</f>
        <v/>
      </c>
      <c r="AL28" s="106">
        <f>IF(FN28="","",IF(ISNUMBER('Dvd Calendar'!$AN$190)=FALSE,"",IF((('Dvd Calendar'!$AN$192=TYPE1)*(TYPE1&lt;&gt;"")+('Dvd Calendar'!$AN$192=TYPE2)*(TYPE2&lt;&gt;"")+('Dvd Calendar'!$AN$192=TYPE3)*(TYPE3&lt;&gt;"")+('Dvd Calendar'!$AN$192=TYPE4)*(TYPE4&lt;&gt;"")+('Dvd Calendar'!$AN$192=SPECIAL_LBL)*(INC_SPECIALS="Y"))=0,"",'Dvd Calendar'!$AN$190)))</f>
        <v/>
      </c>
      <c r="AM28" s="106">
        <f>IF(FO28="","",IF(ISNUMBER('Dvd Calendar'!$AO$190)=FALSE,"",IF((('Dvd Calendar'!$AO$192=TYPE1)*(TYPE1&lt;&gt;"")+('Dvd Calendar'!$AO$192=TYPE2)*(TYPE2&lt;&gt;"")+('Dvd Calendar'!$AO$192=TYPE3)*(TYPE3&lt;&gt;"")+('Dvd Calendar'!$AO$192=TYPE4)*(TYPE4&lt;&gt;"")+('Dvd Calendar'!$AO$192=SPECIAL_LBL)*(INC_SPECIALS="Y"))=0,"",'Dvd Calendar'!$AO$190)))</f>
        <v/>
      </c>
      <c r="AN28" s="106">
        <f>IF(FP28="","",IF(ISNUMBER('Dvd Calendar'!$AP$190)=FALSE,"",IF((('Dvd Calendar'!$AP$192=TYPE1)*(TYPE1&lt;&gt;"")+('Dvd Calendar'!$AP$192=TYPE2)*(TYPE2&lt;&gt;"")+('Dvd Calendar'!$AP$192=TYPE3)*(TYPE3&lt;&gt;"")+('Dvd Calendar'!$AP$192=TYPE4)*(TYPE4&lt;&gt;"")+('Dvd Calendar'!$AP$192=SPECIAL_LBL)*(INC_SPECIALS="Y"))=0,"",'Dvd Calendar'!$AP$190)))</f>
        <v/>
      </c>
      <c r="AO28" s="106">
        <f>IF(FQ28="","",IF(ISNUMBER('Dvd Calendar'!$AQ$190)=FALSE,"",IF((('Dvd Calendar'!$AQ$192=TYPE1)*(TYPE1&lt;&gt;"")+('Dvd Calendar'!$AQ$192=TYPE2)*(TYPE2&lt;&gt;"")+('Dvd Calendar'!$AQ$192=TYPE3)*(TYPE3&lt;&gt;"")+('Dvd Calendar'!$AQ$192=TYPE4)*(TYPE4&lt;&gt;"")+('Dvd Calendar'!$AQ$192=SPECIAL_LBL)*(INC_SPECIALS="Y"))=0,"",'Dvd Calendar'!$AQ$190)))</f>
        <v/>
      </c>
      <c r="AP28" s="106">
        <f>IF(FR28="","",IF(ISNUMBER('Dvd Calendar'!$AR$190)=FALSE,"",IF((('Dvd Calendar'!$AR$192=TYPE1)*(TYPE1&lt;&gt;"")+('Dvd Calendar'!$AR$192=TYPE2)*(TYPE2&lt;&gt;"")+('Dvd Calendar'!$AR$192=TYPE3)*(TYPE3&lt;&gt;"")+('Dvd Calendar'!$AR$192=TYPE4)*(TYPE4&lt;&gt;"")+('Dvd Calendar'!$AR$192=SPECIAL_LBL)*(INC_SPECIALS="Y"))=0,"",'Dvd Calendar'!$AR$190)))</f>
        <v/>
      </c>
      <c r="AQ28" s="106">
        <f>IF(FS28="","",IF(ISNUMBER('Dvd Calendar'!$E$195)=FALSE,"",'Dvd Calendar'!$E$195))</f>
        <v/>
      </c>
      <c r="AR28" s="106">
        <f>IF(FT28="","",IF(ISNUMBER('Dvd Calendar'!$F$195)=FALSE,"",'Dvd Calendar'!$F$195))</f>
        <v/>
      </c>
      <c r="AS28" s="106">
        <f>IF(FU28="","",IF(ISNUMBER('Dvd Calendar'!$G$195)=FALSE,"",'Dvd Calendar'!$G$195))</f>
        <v/>
      </c>
      <c r="AT28" s="106">
        <f>IF(FV28="","",IF(ISNUMBER('Dvd Calendar'!$H$195)=FALSE,"",'Dvd Calendar'!$H$195))</f>
        <v/>
      </c>
      <c r="AU28" s="106">
        <f>IF(FW28="","",IF(ISNUMBER('Dvd Calendar'!$I$195)=FALSE,"",'Dvd Calendar'!$I$195))</f>
        <v/>
      </c>
      <c r="AV28" s="106">
        <f>IF(FX28="","",IF(ISNUMBER('Dvd Calendar'!$J$195)=FALSE,"",'Dvd Calendar'!$J$195))</f>
        <v/>
      </c>
      <c r="AW28" s="106">
        <f>IF(FY28="","",IF(ISNUMBER('Dvd Calendar'!$K$195)=FALSE,"",'Dvd Calendar'!$K$195))</f>
        <v/>
      </c>
      <c r="AX28" s="106">
        <f>IF(FZ28="","",IF(ISNUMBER('Dvd Calendar'!$L$195)=FALSE,"",'Dvd Calendar'!$L$195))</f>
        <v/>
      </c>
      <c r="AY28" s="106">
        <f>IF(GA28="","",IF(ISNUMBER('Dvd Calendar'!$M$195)=FALSE,"",'Dvd Calendar'!$M$195))</f>
        <v/>
      </c>
      <c r="AZ28" s="106">
        <f>IF(GB28="","",IF(ISNUMBER('Dvd Calendar'!$N$195)=FALSE,"",'Dvd Calendar'!$N$195))</f>
        <v/>
      </c>
      <c r="BA28" s="106">
        <f>IF(GC28="","",IF(ISNUMBER('Dvd Calendar'!$O$195)=FALSE,"",'Dvd Calendar'!$O$195))</f>
        <v/>
      </c>
      <c r="BB28" s="106">
        <f>IF(GD28="","",IF(ISNUMBER('Dvd Calendar'!$P$195)=FALSE,"",'Dvd Calendar'!$P$195))</f>
        <v/>
      </c>
      <c r="BC28" s="106">
        <f>IF(GE28="","",IF(ISNUMBER('Dvd Calendar'!$Q$195)=FALSE,"",'Dvd Calendar'!$Q$195))</f>
        <v/>
      </c>
      <c r="BD28" s="106">
        <f>IF(GF28="","",IF(ISNUMBER('Dvd Calendar'!$R$195)=FALSE,"",'Dvd Calendar'!$R$195))</f>
        <v/>
      </c>
      <c r="BE28" s="106">
        <f>IF(GG28="","",IF(ISNUMBER('Dvd Calendar'!$S$195)=FALSE,"",'Dvd Calendar'!$S$195))</f>
        <v/>
      </c>
      <c r="BF28" s="106">
        <f>IF(GH28="","",IF(ISNUMBER('Dvd Calendar'!$T$195)=FALSE,"",'Dvd Calendar'!$T$195))</f>
        <v/>
      </c>
      <c r="BG28" s="106">
        <f>IF(GI28="","",IF(ISNUMBER('Dvd Calendar'!$U$195)=FALSE,"",'Dvd Calendar'!$U$195))</f>
        <v/>
      </c>
      <c r="BH28" s="106">
        <f>IF(GJ28="","",IF(ISNUMBER('Dvd Calendar'!$V$195)=FALSE,"",'Dvd Calendar'!$V$195))</f>
        <v/>
      </c>
      <c r="BI28" s="106">
        <f>IF(GK28="","",IF(ISNUMBER('Dvd Calendar'!$W$195)=FALSE,"",'Dvd Calendar'!$W$195))</f>
        <v/>
      </c>
      <c r="BJ28" s="106">
        <f>IF(GL28="","",IF(ISNUMBER('Dvd Calendar'!$X$195)=FALSE,"",'Dvd Calendar'!$X$195))</f>
        <v/>
      </c>
      <c r="BK28" s="106">
        <f>IF(GM28="","",IF(ISNUMBER('Dvd Calendar'!$Y$195)=FALSE,"",'Dvd Calendar'!$Y$195))</f>
        <v/>
      </c>
      <c r="BL28" s="106">
        <f>IF(GN28="","",IF(ISNUMBER('Dvd Calendar'!$Z$195)=FALSE,"",'Dvd Calendar'!$Z$195))</f>
        <v/>
      </c>
      <c r="BM28" s="106">
        <f>IF(GO28="","",IF(ISNUMBER('Dvd Calendar'!$AA$195)=FALSE,"",'Dvd Calendar'!$AA$195))</f>
        <v/>
      </c>
      <c r="BN28" s="106">
        <f>IF(GP28="","",IF(ISNUMBER('Dvd Calendar'!$AB$195)=FALSE,"",'Dvd Calendar'!$AB$195))</f>
        <v/>
      </c>
      <c r="BO28" s="106">
        <f>IF(GQ28="","",IF(ISNUMBER('Dvd Calendar'!$AC$195)=FALSE,"",'Dvd Calendar'!$AC$195))</f>
        <v/>
      </c>
      <c r="BQ28" s="106">
        <f>IF(C28="","",IFERROR(C28*HSI!$B$23*HSI!$G$23/HSI!$B$3,""))</f>
        <v/>
      </c>
      <c r="BR28" s="106">
        <f>IF(D28="","",IFERROR(D28*HSI!$B$23*HSI!$G$23/HSI!$B$3,""))</f>
        <v/>
      </c>
      <c r="BS28" s="106">
        <f>IF(E28="","",IFERROR(E28*HSI!$B$23*HSI!$G$23/HSI!$B$3,""))</f>
        <v/>
      </c>
      <c r="BT28" s="106">
        <f>IF(F28="","",IFERROR(F28*HSI!$B$23*HSI!$G$23/HSI!$B$3,""))</f>
        <v/>
      </c>
      <c r="BU28" s="106">
        <f>IF(G28="","",IFERROR(G28*HSI!$B$23*HSI!$G$23/HSI!$B$3,""))</f>
        <v/>
      </c>
      <c r="BV28" s="106">
        <f>IF(H28="","",IFERROR(H28*HSI!$B$23*HSI!$G$23/HSI!$B$3,""))</f>
        <v/>
      </c>
      <c r="BW28" s="106">
        <f>IF(I28="","",IFERROR(I28*HSI!$B$23*HSI!$G$23/HSI!$B$3,""))</f>
        <v/>
      </c>
      <c r="BX28" s="106">
        <f>IF(J28="","",IFERROR(J28*HSI!$B$23*HSI!$G$23/HSI!$B$3,""))</f>
        <v/>
      </c>
      <c r="BY28" s="106">
        <f>IF(K28="","",IFERROR(K28*HSI!$B$23*HSI!$G$23/HSI!$B$3,""))</f>
        <v/>
      </c>
      <c r="BZ28" s="106">
        <f>IF(L28="","",IFERROR(L28*HSI!$B$23*HSI!$G$23/HSI!$B$3,""))</f>
        <v/>
      </c>
      <c r="CA28" s="106">
        <f>IF(M28="","",IFERROR(M28*HSI!$B$23*HSI!$G$23/HSI!$B$3,""))</f>
        <v/>
      </c>
      <c r="CB28" s="106">
        <f>IF(N28="","",IFERROR(N28*HSI!$B$23*HSI!$G$23/HSI!$B$3,""))</f>
        <v/>
      </c>
      <c r="CC28" s="106">
        <f>IF(O28="","",IFERROR(O28*HSI!$B$23*HSI!$G$23/HSI!$B$3,""))</f>
        <v/>
      </c>
      <c r="CD28" s="106">
        <f>IF(P28="","",IFERROR(P28*HSI!$B$23*HSI!$G$23/HSI!$B$3,""))</f>
        <v/>
      </c>
      <c r="CE28" s="106">
        <f>IF(Q28="","",IFERROR(Q28*HSI!$B$23*HSI!$G$23/HSI!$B$3,""))</f>
        <v/>
      </c>
      <c r="CF28" s="106">
        <f>IF(R28="","",IFERROR(R28*HSI!$B$23*HSI!$G$23/HSI!$B$3,""))</f>
        <v/>
      </c>
      <c r="CG28" s="106">
        <f>IF(S28="","",IFERROR(S28*HSI!$B$23*HSI!$G$23/HSI!$B$3,""))</f>
        <v/>
      </c>
      <c r="CH28" s="106">
        <f>IF(T28="","",IFERROR(T28*HSI!$B$23*HSI!$G$23/HSI!$B$3,""))</f>
        <v/>
      </c>
      <c r="CI28" s="106">
        <f>IF(U28="","",IFERROR(U28*HSI!$B$23*HSI!$G$23/HSI!$B$3,""))</f>
        <v/>
      </c>
      <c r="CJ28" s="106">
        <f>IF(V28="","",IFERROR(V28*HSI!$B$23*HSI!$G$23/HSI!$B$3,""))</f>
        <v/>
      </c>
      <c r="CK28" s="106">
        <f>IF(W28="","",IFERROR(W28*HSI!$B$23*HSI!$G$23/HSI!$B$3,""))</f>
        <v/>
      </c>
      <c r="CL28" s="106">
        <f>IF(X28="","",IFERROR(X28*HSI!$B$23*HSI!$G$23/HSI!$B$3,""))</f>
        <v/>
      </c>
      <c r="CM28" s="106">
        <f>IF(Y28="","",IFERROR(Y28*HSI!$B$23*HSI!$G$23/HSI!$B$3,""))</f>
        <v/>
      </c>
      <c r="CN28" s="106">
        <f>IF(Z28="","",IFERROR(Z28*HSI!$B$23*HSI!$G$23/HSI!$B$3,""))</f>
        <v/>
      </c>
      <c r="CO28" s="106">
        <f>IF(AA28="","",IFERROR(AA28*HSI!$B$23*HSI!$G$23/HSI!$B$3,""))</f>
        <v/>
      </c>
      <c r="CP28" s="106">
        <f>IF(AB28="","",IFERROR(AB28*HSI!$B$23*HSI!$G$23/HSI!$B$3,""))</f>
        <v/>
      </c>
      <c r="CQ28" s="106">
        <f>IF(AC28="","",IFERROR(AC28*HSI!$B$23*HSI!$G$23/HSI!$B$3,""))</f>
        <v/>
      </c>
      <c r="CR28" s="106">
        <f>IF(AD28="","",IFERROR(AD28*HSI!$B$23*HSI!$G$23/HSI!$B$3,""))</f>
        <v/>
      </c>
      <c r="CS28" s="106">
        <f>IF(AE28="","",IFERROR(AE28*HSI!$B$23*HSI!$G$23/HSI!$B$3,""))</f>
        <v/>
      </c>
      <c r="CT28" s="106">
        <f>IF(AF28="","",IFERROR(AF28*HSI!$B$23*HSI!$G$23/HSI!$B$3,""))</f>
        <v/>
      </c>
      <c r="CU28" s="106">
        <f>IF(AG28="","",IFERROR(AG28*HSI!$B$23*HSI!$G$23/HSI!$B$3,""))</f>
        <v/>
      </c>
      <c r="CV28" s="106">
        <f>IF(AH28="","",IFERROR(AH28*HSI!$B$23*HSI!$G$23/HSI!$B$3,""))</f>
        <v/>
      </c>
      <c r="CW28" s="106">
        <f>IF(AI28="","",IFERROR(AI28*HSI!$B$23*HSI!$G$23/HSI!$B$3,""))</f>
        <v/>
      </c>
      <c r="CX28" s="106">
        <f>IF(AJ28="","",IFERROR(AJ28*HSI!$B$23*HSI!$G$23/HSI!$B$3,""))</f>
        <v/>
      </c>
      <c r="CY28" s="106">
        <f>IF(AK28="","",IFERROR(AK28*HSI!$B$23*HSI!$G$23/HSI!$B$3,""))</f>
        <v/>
      </c>
      <c r="CZ28" s="106">
        <f>IF(AL28="","",IFERROR(AL28*HSI!$B$23*HSI!$G$23/HSI!$B$3,""))</f>
        <v/>
      </c>
      <c r="DA28" s="106">
        <f>IF(AM28="","",IFERROR(AM28*HSI!$B$23*HSI!$G$23/HSI!$B$3,""))</f>
        <v/>
      </c>
      <c r="DB28" s="106">
        <f>IF(AN28="","",IFERROR(AN28*HSI!$B$23*HSI!$G$23/HSI!$B$3,""))</f>
        <v/>
      </c>
      <c r="DC28" s="106">
        <f>IF(AO28="","",IFERROR(AO28*HSI!$B$23*HSI!$G$23/HSI!$B$3,""))</f>
        <v/>
      </c>
      <c r="DD28" s="106">
        <f>IF(AP28="","",IFERROR(AP28*HSI!$B$23*HSI!$G$23/HSI!$B$3,""))</f>
        <v/>
      </c>
      <c r="DE28" s="106">
        <f>IF(AQ28="","",IFERROR(AQ28*HSI!$B$23*HSI!$G$23/HSI!$B$3,""))</f>
        <v/>
      </c>
      <c r="DF28" s="106">
        <f>IF(AR28="","",IFERROR(AR28*HSI!$B$23*HSI!$G$23/HSI!$B$3,""))</f>
        <v/>
      </c>
      <c r="DG28" s="106">
        <f>IF(AS28="","",IFERROR(AS28*HSI!$B$23*HSI!$G$23/HSI!$B$3,""))</f>
        <v/>
      </c>
      <c r="DH28" s="106">
        <f>IF(AT28="","",IFERROR(AT28*HSI!$B$23*HSI!$G$23/HSI!$B$3,""))</f>
        <v/>
      </c>
      <c r="DI28" s="106">
        <f>IF(AU28="","",IFERROR(AU28*HSI!$B$23*HSI!$G$23/HSI!$B$3,""))</f>
        <v/>
      </c>
      <c r="DJ28" s="106">
        <f>IF(AV28="","",IFERROR(AV28*HSI!$B$23*HSI!$G$23/HSI!$B$3,""))</f>
        <v/>
      </c>
      <c r="DK28" s="106">
        <f>IF(AW28="","",IFERROR(AW28*HSI!$B$23*HSI!$G$23/HSI!$B$3,""))</f>
        <v/>
      </c>
      <c r="DL28" s="106">
        <f>IF(AX28="","",IFERROR(AX28*HSI!$B$23*HSI!$G$23/HSI!$B$3,""))</f>
        <v/>
      </c>
      <c r="DM28" s="106">
        <f>IF(AY28="","",IFERROR(AY28*HSI!$B$23*HSI!$G$23/HSI!$B$3,""))</f>
        <v/>
      </c>
      <c r="DN28" s="106">
        <f>IF(AZ28="","",IFERROR(AZ28*HSI!$B$23*HSI!$G$23/HSI!$B$3,""))</f>
        <v/>
      </c>
      <c r="DO28" s="106">
        <f>IF(BA28="","",IFERROR(BA28*HSI!$B$23*HSI!$G$23/HSI!$B$3,""))</f>
        <v/>
      </c>
      <c r="DP28" s="106">
        <f>IF(BB28="","",IFERROR(BB28*HSI!$B$23*HSI!$G$23/HSI!$B$3,""))</f>
        <v/>
      </c>
      <c r="DQ28" s="106">
        <f>IF(BC28="","",IFERROR(BC28*HSI!$B$23*HSI!$G$23/HSI!$B$3,""))</f>
        <v/>
      </c>
      <c r="DR28" s="106">
        <f>IF(BD28="","",IFERROR(BD28*HSI!$B$23*HSI!$G$23/HSI!$B$3,""))</f>
        <v/>
      </c>
      <c r="DS28" s="106">
        <f>IF(BE28="","",IFERROR(BE28*HSI!$B$23*HSI!$G$23/HSI!$B$3,""))</f>
        <v/>
      </c>
      <c r="DT28" s="106">
        <f>IF(BF28="","",IFERROR(BF28*HSI!$B$23*HSI!$G$23/HSI!$B$3,""))</f>
        <v/>
      </c>
      <c r="DU28" s="106">
        <f>IF(BG28="","",IFERROR(BG28*HSI!$B$23*HSI!$G$23/HSI!$B$3,""))</f>
        <v/>
      </c>
      <c r="DV28" s="106">
        <f>IF(BH28="","",IFERROR(BH28*HSI!$B$23*HSI!$G$23/HSI!$B$3,""))</f>
        <v/>
      </c>
      <c r="DW28" s="106">
        <f>IF(BI28="","",IFERROR(BI28*HSI!$B$23*HSI!$G$23/HSI!$B$3,""))</f>
        <v/>
      </c>
      <c r="DX28" s="106">
        <f>IF(BJ28="","",IFERROR(BJ28*HSI!$B$23*HSI!$G$23/HSI!$B$3,""))</f>
        <v/>
      </c>
      <c r="DY28" s="106">
        <f>IF(BK28="","",IFERROR(BK28*HSI!$B$23*HSI!$G$23/HSI!$B$3,""))</f>
        <v/>
      </c>
      <c r="DZ28" s="106">
        <f>IF(BL28="","",IFERROR(BL28*HSI!$B$23*HSI!$G$23/HSI!$B$3,""))</f>
        <v/>
      </c>
      <c r="EA28" s="106">
        <f>IF(BM28="","",IFERROR(BM28*HSI!$B$23*HSI!$G$23/HSI!$B$3,""))</f>
        <v/>
      </c>
      <c r="EB28" s="106">
        <f>IF(BN28="","",IFERROR(BN28*HSI!$B$23*HSI!$G$23/HSI!$B$3,""))</f>
        <v/>
      </c>
      <c r="EC28" s="106">
        <f>IF(BO28="","",IFERROR(BO28*HSI!$B$23*HSI!$G$23/HSI!$B$3,""))</f>
        <v/>
      </c>
      <c r="EE28" s="35">
        <f>IF(N('Dvd Calendar'!$E$187)=0,"",IF(('Dvd Calendar'!$E$187&gt;=GRID_FROM)*('Dvd Calendar'!$E$187&lt;=GRID_TO)*('Dvd Calendar'!$E$187&lt;=VAL_DATE)=0,"",'Dvd Calendar'!$E$187*1000000000+ISNUMBER('Dvd Calendar'!$E$190)*100000000+('Dvd Calendar'!$E$192=SPECIAL_LBL)*10000000+0*1000000+17*1000+1))</f>
        <v/>
      </c>
      <c r="EF28" s="35">
        <f>IF(N('Dvd Calendar'!$F$187)=0,"",IF(('Dvd Calendar'!$F$187&gt;=GRID_FROM)*('Dvd Calendar'!$F$187&lt;=GRID_TO)*('Dvd Calendar'!$F$187&lt;=VAL_DATE)=0,"",'Dvd Calendar'!$F$187*1000000000+ISNUMBER('Dvd Calendar'!$F$190)*100000000+('Dvd Calendar'!$F$192=SPECIAL_LBL)*10000000+0*1000000+17*1000+2))</f>
        <v/>
      </c>
      <c r="EG28" s="35">
        <f>IF(N('Dvd Calendar'!$G$187)=0,"",IF(('Dvd Calendar'!$G$187&gt;=GRID_FROM)*('Dvd Calendar'!$G$187&lt;=GRID_TO)*('Dvd Calendar'!$G$187&lt;=VAL_DATE)=0,"",'Dvd Calendar'!$G$187*1000000000+ISNUMBER('Dvd Calendar'!$G$190)*100000000+('Dvd Calendar'!$G$192=SPECIAL_LBL)*10000000+0*1000000+17*1000+3))</f>
        <v/>
      </c>
      <c r="EH28" s="35">
        <f>IF(N('Dvd Calendar'!$H$187)=0,"",IF(('Dvd Calendar'!$H$187&gt;=GRID_FROM)*('Dvd Calendar'!$H$187&lt;=GRID_TO)*('Dvd Calendar'!$H$187&lt;=VAL_DATE)=0,"",'Dvd Calendar'!$H$187*1000000000+ISNUMBER('Dvd Calendar'!$H$190)*100000000+('Dvd Calendar'!$H$192=SPECIAL_LBL)*10000000+0*1000000+17*1000+4))</f>
        <v/>
      </c>
      <c r="EI28" s="35">
        <f>IF(N('Dvd Calendar'!$I$187)=0,"",IF(('Dvd Calendar'!$I$187&gt;=GRID_FROM)*('Dvd Calendar'!$I$187&lt;=GRID_TO)*('Dvd Calendar'!$I$187&lt;=VAL_DATE)=0,"",'Dvd Calendar'!$I$187*1000000000+ISNUMBER('Dvd Calendar'!$I$190)*100000000+('Dvd Calendar'!$I$192=SPECIAL_LBL)*10000000+0*1000000+17*1000+5))</f>
        <v/>
      </c>
      <c r="EJ28" s="35">
        <f>IF(N('Dvd Calendar'!$J$187)=0,"",IF(('Dvd Calendar'!$J$187&gt;=GRID_FROM)*('Dvd Calendar'!$J$187&lt;=GRID_TO)*('Dvd Calendar'!$J$187&lt;=VAL_DATE)=0,"",'Dvd Calendar'!$J$187*1000000000+ISNUMBER('Dvd Calendar'!$J$190)*100000000+('Dvd Calendar'!$J$192=SPECIAL_LBL)*10000000+0*1000000+17*1000+6))</f>
        <v/>
      </c>
      <c r="EK28" s="35">
        <f>IF(N('Dvd Calendar'!$K$187)=0,"",IF(('Dvd Calendar'!$K$187&gt;=GRID_FROM)*('Dvd Calendar'!$K$187&lt;=GRID_TO)*('Dvd Calendar'!$K$187&lt;=VAL_DATE)=0,"",'Dvd Calendar'!$K$187*1000000000+ISNUMBER('Dvd Calendar'!$K$190)*100000000+('Dvd Calendar'!$K$192=SPECIAL_LBL)*10000000+0*1000000+17*1000+7))</f>
        <v/>
      </c>
      <c r="EL28" s="35">
        <f>IF(N('Dvd Calendar'!$L$187)=0,"",IF(('Dvd Calendar'!$L$187&gt;=GRID_FROM)*('Dvd Calendar'!$L$187&lt;=GRID_TO)*('Dvd Calendar'!$L$187&lt;=VAL_DATE)=0,"",'Dvd Calendar'!$L$187*1000000000+ISNUMBER('Dvd Calendar'!$L$190)*100000000+('Dvd Calendar'!$L$192=SPECIAL_LBL)*10000000+0*1000000+17*1000+8))</f>
        <v/>
      </c>
      <c r="EM28" s="35">
        <f>IF(N('Dvd Calendar'!$M$187)=0,"",IF(('Dvd Calendar'!$M$187&gt;=GRID_FROM)*('Dvd Calendar'!$M$187&lt;=GRID_TO)*('Dvd Calendar'!$M$187&lt;=VAL_DATE)=0,"",'Dvd Calendar'!$M$187*1000000000+ISNUMBER('Dvd Calendar'!$M$190)*100000000+('Dvd Calendar'!$M$192=SPECIAL_LBL)*10000000+0*1000000+17*1000+9))</f>
        <v/>
      </c>
      <c r="EN28" s="35">
        <f>IF(N('Dvd Calendar'!$N$187)=0,"",IF(('Dvd Calendar'!$N$187&gt;=GRID_FROM)*('Dvd Calendar'!$N$187&lt;=GRID_TO)*('Dvd Calendar'!$N$187&lt;=VAL_DATE)=0,"",'Dvd Calendar'!$N$187*1000000000+ISNUMBER('Dvd Calendar'!$N$190)*100000000+('Dvd Calendar'!$N$192=SPECIAL_LBL)*10000000+0*1000000+17*1000+10))</f>
        <v/>
      </c>
      <c r="EO28" s="35">
        <f>IF(N('Dvd Calendar'!$O$187)=0,"",IF(('Dvd Calendar'!$O$187&gt;=GRID_FROM)*('Dvd Calendar'!$O$187&lt;=GRID_TO)*('Dvd Calendar'!$O$187&lt;=VAL_DATE)=0,"",'Dvd Calendar'!$O$187*1000000000+ISNUMBER('Dvd Calendar'!$O$190)*100000000+('Dvd Calendar'!$O$192=SPECIAL_LBL)*10000000+0*1000000+17*1000+11))</f>
        <v/>
      </c>
      <c r="EP28" s="35">
        <f>IF(N('Dvd Calendar'!$P$187)=0,"",IF(('Dvd Calendar'!$P$187&gt;=GRID_FROM)*('Dvd Calendar'!$P$187&lt;=GRID_TO)*('Dvd Calendar'!$P$187&lt;=VAL_DATE)=0,"",'Dvd Calendar'!$P$187*1000000000+ISNUMBER('Dvd Calendar'!$P$190)*100000000+('Dvd Calendar'!$P$192=SPECIAL_LBL)*10000000+0*1000000+17*1000+12))</f>
        <v/>
      </c>
      <c r="EQ28" s="35">
        <f>IF(N('Dvd Calendar'!$Q$187)=0,"",IF(('Dvd Calendar'!$Q$187&gt;=GRID_FROM)*('Dvd Calendar'!$Q$187&lt;=GRID_TO)*('Dvd Calendar'!$Q$187&lt;=VAL_DATE)=0,"",'Dvd Calendar'!$Q$187*1000000000+ISNUMBER('Dvd Calendar'!$Q$190)*100000000+('Dvd Calendar'!$Q$192=SPECIAL_LBL)*10000000+0*1000000+17*1000+13))</f>
        <v/>
      </c>
      <c r="ER28" s="35">
        <f>IF(N('Dvd Calendar'!$R$187)=0,"",IF(('Dvd Calendar'!$R$187&gt;=GRID_FROM)*('Dvd Calendar'!$R$187&lt;=GRID_TO)*('Dvd Calendar'!$R$187&lt;=VAL_DATE)=0,"",'Dvd Calendar'!$R$187*1000000000+ISNUMBER('Dvd Calendar'!$R$190)*100000000+('Dvd Calendar'!$R$192=SPECIAL_LBL)*10000000+0*1000000+17*1000+14))</f>
        <v/>
      </c>
      <c r="ES28" s="35">
        <f>IF(N('Dvd Calendar'!$S$187)=0,"",IF(('Dvd Calendar'!$S$187&gt;=GRID_FROM)*('Dvd Calendar'!$S$187&lt;=GRID_TO)*('Dvd Calendar'!$S$187&lt;=VAL_DATE)=0,"",'Dvd Calendar'!$S$187*1000000000+ISNUMBER('Dvd Calendar'!$S$190)*100000000+('Dvd Calendar'!$S$192=SPECIAL_LBL)*10000000+0*1000000+17*1000+15))</f>
        <v/>
      </c>
      <c r="ET28" s="35">
        <f>IF(N('Dvd Calendar'!$T$187)=0,"",IF(('Dvd Calendar'!$T$187&gt;=GRID_FROM)*('Dvd Calendar'!$T$187&lt;=GRID_TO)*('Dvd Calendar'!$T$187&lt;=VAL_DATE)=0,"",'Dvd Calendar'!$T$187*1000000000+ISNUMBER('Dvd Calendar'!$T$190)*100000000+('Dvd Calendar'!$T$192=SPECIAL_LBL)*10000000+0*1000000+17*1000+16))</f>
        <v/>
      </c>
      <c r="EU28" s="35">
        <f>IF(N('Dvd Calendar'!$U$187)=0,"",IF(('Dvd Calendar'!$U$187&gt;=GRID_FROM)*('Dvd Calendar'!$U$187&lt;=GRID_TO)*('Dvd Calendar'!$U$187&lt;=VAL_DATE)=0,"",'Dvd Calendar'!$U$187*1000000000+ISNUMBER('Dvd Calendar'!$U$190)*100000000+('Dvd Calendar'!$U$192=SPECIAL_LBL)*10000000+0*1000000+17*1000+17))</f>
        <v/>
      </c>
      <c r="EV28" s="35">
        <f>IF(N('Dvd Calendar'!$V$187)=0,"",IF(('Dvd Calendar'!$V$187&gt;=GRID_FROM)*('Dvd Calendar'!$V$187&lt;=GRID_TO)*('Dvd Calendar'!$V$187&lt;=VAL_DATE)=0,"",'Dvd Calendar'!$V$187*1000000000+ISNUMBER('Dvd Calendar'!$V$190)*100000000+('Dvd Calendar'!$V$192=SPECIAL_LBL)*10000000+0*1000000+17*1000+18))</f>
        <v/>
      </c>
      <c r="EW28" s="35">
        <f>IF(N('Dvd Calendar'!$W$187)=0,"",IF(('Dvd Calendar'!$W$187&gt;=GRID_FROM)*('Dvd Calendar'!$W$187&lt;=GRID_TO)*('Dvd Calendar'!$W$187&lt;=VAL_DATE)=0,"",'Dvd Calendar'!$W$187*1000000000+ISNUMBER('Dvd Calendar'!$W$190)*100000000+('Dvd Calendar'!$W$192=SPECIAL_LBL)*10000000+0*1000000+17*1000+19))</f>
        <v/>
      </c>
      <c r="EX28" s="35">
        <f>IF(N('Dvd Calendar'!$X$187)=0,"",IF(('Dvd Calendar'!$X$187&gt;=GRID_FROM)*('Dvd Calendar'!$X$187&lt;=GRID_TO)*('Dvd Calendar'!$X$187&lt;=VAL_DATE)=0,"",'Dvd Calendar'!$X$187*1000000000+ISNUMBER('Dvd Calendar'!$X$190)*100000000+('Dvd Calendar'!$X$192=SPECIAL_LBL)*10000000+0*1000000+17*1000+20))</f>
        <v/>
      </c>
      <c r="EY28" s="35">
        <f>IF(N('Dvd Calendar'!$Y$187)=0,"",IF(('Dvd Calendar'!$Y$187&gt;=GRID_FROM)*('Dvd Calendar'!$Y$187&lt;=GRID_TO)*('Dvd Calendar'!$Y$187&lt;=VAL_DATE)=0,"",'Dvd Calendar'!$Y$187*1000000000+ISNUMBER('Dvd Calendar'!$Y$190)*100000000+('Dvd Calendar'!$Y$192=SPECIAL_LBL)*10000000+0*1000000+17*1000+21))</f>
        <v/>
      </c>
      <c r="EZ28" s="35">
        <f>IF(N('Dvd Calendar'!$Z$187)=0,"",IF(('Dvd Calendar'!$Z$187&gt;=GRID_FROM)*('Dvd Calendar'!$Z$187&lt;=GRID_TO)*('Dvd Calendar'!$Z$187&lt;=VAL_DATE)=0,"",'Dvd Calendar'!$Z$187*1000000000+ISNUMBER('Dvd Calendar'!$Z$190)*100000000+('Dvd Calendar'!$Z$192=SPECIAL_LBL)*10000000+0*1000000+17*1000+22))</f>
        <v/>
      </c>
      <c r="FA28" s="35">
        <f>IF(N('Dvd Calendar'!$AA$187)=0,"",IF(('Dvd Calendar'!$AA$187&gt;=GRID_FROM)*('Dvd Calendar'!$AA$187&lt;=GRID_TO)*('Dvd Calendar'!$AA$187&lt;=VAL_DATE)=0,"",'Dvd Calendar'!$AA$187*1000000000+ISNUMBER('Dvd Calendar'!$AA$190)*100000000+('Dvd Calendar'!$AA$192=SPECIAL_LBL)*10000000+0*1000000+17*1000+23))</f>
        <v/>
      </c>
      <c r="FB28" s="35">
        <f>IF(N('Dvd Calendar'!$AB$187)=0,"",IF(('Dvd Calendar'!$AB$187&gt;=GRID_FROM)*('Dvd Calendar'!$AB$187&lt;=GRID_TO)*('Dvd Calendar'!$AB$187&lt;=VAL_DATE)=0,"",'Dvd Calendar'!$AB$187*1000000000+ISNUMBER('Dvd Calendar'!$AB$190)*100000000+('Dvd Calendar'!$AB$192=SPECIAL_LBL)*10000000+0*1000000+17*1000+24))</f>
        <v/>
      </c>
      <c r="FC28" s="35">
        <f>IF(N('Dvd Calendar'!$AC$187)=0,"",IF(('Dvd Calendar'!$AC$187&gt;=GRID_FROM)*('Dvd Calendar'!$AC$187&lt;=GRID_TO)*('Dvd Calendar'!$AC$187&lt;=VAL_DATE)=0,"",'Dvd Calendar'!$AC$187*1000000000+ISNUMBER('Dvd Calendar'!$AC$190)*100000000+('Dvd Calendar'!$AC$192=SPECIAL_LBL)*10000000+0*1000000+17*1000+25))</f>
        <v/>
      </c>
      <c r="FD28" s="35">
        <f>IF(N('Dvd Calendar'!$AD$187)=0,"",IF(('Dvd Calendar'!$AD$187&gt;=GRID_FROM)*('Dvd Calendar'!$AD$187&lt;=GRID_TO)*('Dvd Calendar'!$AD$187&lt;=VAL_DATE)=0,"",'Dvd Calendar'!$AD$187*1000000000+ISNUMBER('Dvd Calendar'!$AD$190)*100000000+('Dvd Calendar'!$AD$192=SPECIAL_LBL)*10000000+0*1000000+17*1000+26))</f>
        <v/>
      </c>
      <c r="FE28" s="35">
        <f>IF(N('Dvd Calendar'!$AE$187)=0,"",IF(('Dvd Calendar'!$AE$187&gt;=GRID_FROM)*('Dvd Calendar'!$AE$187&lt;=GRID_TO)*('Dvd Calendar'!$AE$187&lt;=VAL_DATE)=0,"",'Dvd Calendar'!$AE$187*1000000000+ISNUMBER('Dvd Calendar'!$AE$190)*100000000+('Dvd Calendar'!$AE$192=SPECIAL_LBL)*10000000+0*1000000+17*1000+27))</f>
        <v/>
      </c>
      <c r="FF28" s="35">
        <f>IF(N('Dvd Calendar'!$AF$187)=0,"",IF(('Dvd Calendar'!$AF$187&gt;=GRID_FROM)*('Dvd Calendar'!$AF$187&lt;=GRID_TO)*('Dvd Calendar'!$AF$187&lt;=VAL_DATE)=0,"",'Dvd Calendar'!$AF$187*1000000000+ISNUMBER('Dvd Calendar'!$AF$190)*100000000+('Dvd Calendar'!$AF$192=SPECIAL_LBL)*10000000+0*1000000+17*1000+28))</f>
        <v/>
      </c>
      <c r="FG28" s="35">
        <f>IF(N('Dvd Calendar'!$AG$187)=0,"",IF(('Dvd Calendar'!$AG$187&gt;=GRID_FROM)*('Dvd Calendar'!$AG$187&lt;=GRID_TO)*('Dvd Calendar'!$AG$187&lt;=VAL_DATE)=0,"",'Dvd Calendar'!$AG$187*1000000000+ISNUMBER('Dvd Calendar'!$AG$190)*100000000+('Dvd Calendar'!$AG$192=SPECIAL_LBL)*10000000+0*1000000+17*1000+29))</f>
        <v/>
      </c>
      <c r="FH28" s="35">
        <f>IF(N('Dvd Calendar'!$AH$187)=0,"",IF(('Dvd Calendar'!$AH$187&gt;=GRID_FROM)*('Dvd Calendar'!$AH$187&lt;=GRID_TO)*('Dvd Calendar'!$AH$187&lt;=VAL_DATE)=0,"",'Dvd Calendar'!$AH$187*1000000000+ISNUMBER('Dvd Calendar'!$AH$190)*100000000+('Dvd Calendar'!$AH$192=SPECIAL_LBL)*10000000+0*1000000+17*1000+30))</f>
        <v/>
      </c>
      <c r="FI28" s="35">
        <f>IF(N('Dvd Calendar'!$AI$187)=0,"",IF(('Dvd Calendar'!$AI$187&gt;=GRID_FROM)*('Dvd Calendar'!$AI$187&lt;=GRID_TO)*('Dvd Calendar'!$AI$187&lt;=VAL_DATE)=0,"",'Dvd Calendar'!$AI$187*1000000000+ISNUMBER('Dvd Calendar'!$AI$190)*100000000+('Dvd Calendar'!$AI$192=SPECIAL_LBL)*10000000+0*1000000+17*1000+31))</f>
        <v/>
      </c>
      <c r="FJ28" s="35">
        <f>IF(N('Dvd Calendar'!$AJ$187)=0,"",IF(('Dvd Calendar'!$AJ$187&gt;=GRID_FROM)*('Dvd Calendar'!$AJ$187&lt;=GRID_TO)*('Dvd Calendar'!$AJ$187&lt;=VAL_DATE)=0,"",'Dvd Calendar'!$AJ$187*1000000000+ISNUMBER('Dvd Calendar'!$AJ$190)*100000000+('Dvd Calendar'!$AJ$192=SPECIAL_LBL)*10000000+0*1000000+17*1000+32))</f>
        <v/>
      </c>
      <c r="FK28" s="35">
        <f>IF(N('Dvd Calendar'!$AK$187)=0,"",IF(('Dvd Calendar'!$AK$187&gt;=GRID_FROM)*('Dvd Calendar'!$AK$187&lt;=GRID_TO)*('Dvd Calendar'!$AK$187&lt;=VAL_DATE)=0,"",'Dvd Calendar'!$AK$187*1000000000+ISNUMBER('Dvd Calendar'!$AK$190)*100000000+('Dvd Calendar'!$AK$192=SPECIAL_LBL)*10000000+0*1000000+17*1000+33))</f>
        <v/>
      </c>
      <c r="FL28" s="35">
        <f>IF(N('Dvd Calendar'!$AL$187)=0,"",IF(('Dvd Calendar'!$AL$187&gt;=GRID_FROM)*('Dvd Calendar'!$AL$187&lt;=GRID_TO)*('Dvd Calendar'!$AL$187&lt;=VAL_DATE)=0,"",'Dvd Calendar'!$AL$187*1000000000+ISNUMBER('Dvd Calendar'!$AL$190)*100000000+('Dvd Calendar'!$AL$192=SPECIAL_LBL)*10000000+0*1000000+17*1000+34))</f>
        <v/>
      </c>
      <c r="FM28" s="35">
        <f>IF(N('Dvd Calendar'!$AM$187)=0,"",IF(('Dvd Calendar'!$AM$187&gt;=GRID_FROM)*('Dvd Calendar'!$AM$187&lt;=GRID_TO)*('Dvd Calendar'!$AM$187&lt;=VAL_DATE)=0,"",'Dvd Calendar'!$AM$187*1000000000+ISNUMBER('Dvd Calendar'!$AM$190)*100000000+('Dvd Calendar'!$AM$192=SPECIAL_LBL)*10000000+0*1000000+17*1000+35))</f>
        <v/>
      </c>
      <c r="FN28" s="35">
        <f>IF(N('Dvd Calendar'!$AN$187)=0,"",IF(('Dvd Calendar'!$AN$187&gt;=GRID_FROM)*('Dvd Calendar'!$AN$187&lt;=GRID_TO)*('Dvd Calendar'!$AN$187&lt;=VAL_DATE)=0,"",'Dvd Calendar'!$AN$187*1000000000+ISNUMBER('Dvd Calendar'!$AN$190)*100000000+('Dvd Calendar'!$AN$192=SPECIAL_LBL)*10000000+0*1000000+17*1000+36))</f>
        <v/>
      </c>
      <c r="FO28" s="35">
        <f>IF(N('Dvd Calendar'!$AO$187)=0,"",IF(('Dvd Calendar'!$AO$187&gt;=GRID_FROM)*('Dvd Calendar'!$AO$187&lt;=GRID_TO)*('Dvd Calendar'!$AO$187&lt;=VAL_DATE)=0,"",'Dvd Calendar'!$AO$187*1000000000+ISNUMBER('Dvd Calendar'!$AO$190)*100000000+('Dvd Calendar'!$AO$192=SPECIAL_LBL)*10000000+0*1000000+17*1000+37))</f>
        <v/>
      </c>
      <c r="FP28" s="35">
        <f>IF(N('Dvd Calendar'!$AP$187)=0,"",IF(('Dvd Calendar'!$AP$187&gt;=GRID_FROM)*('Dvd Calendar'!$AP$187&lt;=GRID_TO)*('Dvd Calendar'!$AP$187&lt;=VAL_DATE)=0,"",'Dvd Calendar'!$AP$187*1000000000+ISNUMBER('Dvd Calendar'!$AP$190)*100000000+('Dvd Calendar'!$AP$192=SPECIAL_LBL)*10000000+0*1000000+17*1000+38))</f>
        <v/>
      </c>
      <c r="FQ28" s="35">
        <f>IF(N('Dvd Calendar'!$AQ$187)=0,"",IF(('Dvd Calendar'!$AQ$187&gt;=GRID_FROM)*('Dvd Calendar'!$AQ$187&lt;=GRID_TO)*('Dvd Calendar'!$AQ$187&lt;=VAL_DATE)=0,"",'Dvd Calendar'!$AQ$187*1000000000+ISNUMBER('Dvd Calendar'!$AQ$190)*100000000+('Dvd Calendar'!$AQ$192=SPECIAL_LBL)*10000000+0*1000000+17*1000+39))</f>
        <v/>
      </c>
      <c r="FR28" s="35">
        <f>IF(N('Dvd Calendar'!$AR$187)=0,"",IF(('Dvd Calendar'!$AR$187&gt;=GRID_FROM)*('Dvd Calendar'!$AR$187&lt;=GRID_TO)*('Dvd Calendar'!$AR$187&lt;=VAL_DATE)=0,"",'Dvd Calendar'!$AR$187*1000000000+ISNUMBER('Dvd Calendar'!$AR$190)*100000000+('Dvd Calendar'!$AR$192=SPECIAL_LBL)*10000000+0*1000000+17*1000+40))</f>
        <v/>
      </c>
      <c r="FS28" s="35">
        <f>IF(N('Dvd Calendar'!$E$194)=0,"",IF(('Dvd Calendar'!$E$194&gt;=GRID_FROM)*('Dvd Calendar'!$E$194&lt;=GRID_TO)*('Dvd Calendar'!$E$194&gt;VAL_DATE)=0,"",'Dvd Calendar'!$E$194*1000000000+ISNUMBER('Dvd Calendar'!$E$195)*100000000+0*10000000+(N('Dvd Calendar'!$E$193)&gt;0)*(N('Dvd Calendar'!$E$193)&lt;=VAL_SERIAL)*1000000+17*1000+41))</f>
        <v/>
      </c>
      <c r="FT28" s="35">
        <f>IF(N('Dvd Calendar'!$F$194)=0,"",IF(('Dvd Calendar'!$F$194&gt;=GRID_FROM)*('Dvd Calendar'!$F$194&lt;=GRID_TO)*('Dvd Calendar'!$F$194&gt;VAL_DATE)=0,"",'Dvd Calendar'!$F$194*1000000000+ISNUMBER('Dvd Calendar'!$F$195)*100000000+0*10000000+(N('Dvd Calendar'!$F$193)&gt;0)*(N('Dvd Calendar'!$F$193)&lt;=VAL_SERIAL)*1000000+17*1000+42))</f>
        <v/>
      </c>
      <c r="FU28" s="35">
        <f>IF(N('Dvd Calendar'!$G$194)=0,"",IF(('Dvd Calendar'!$G$194&gt;=GRID_FROM)*('Dvd Calendar'!$G$194&lt;=GRID_TO)*('Dvd Calendar'!$G$194&gt;VAL_DATE)=0,"",'Dvd Calendar'!$G$194*1000000000+ISNUMBER('Dvd Calendar'!$G$195)*100000000+0*10000000+(N('Dvd Calendar'!$G$193)&gt;0)*(N('Dvd Calendar'!$G$193)&lt;=VAL_SERIAL)*1000000+17*1000+43))</f>
        <v/>
      </c>
      <c r="FV28" s="35">
        <f>IF(N('Dvd Calendar'!$H$194)=0,"",IF(('Dvd Calendar'!$H$194&gt;=GRID_FROM)*('Dvd Calendar'!$H$194&lt;=GRID_TO)*('Dvd Calendar'!$H$194&gt;VAL_DATE)=0,"",'Dvd Calendar'!$H$194*1000000000+ISNUMBER('Dvd Calendar'!$H$195)*100000000+0*10000000+(N('Dvd Calendar'!$H$193)&gt;0)*(N('Dvd Calendar'!$H$193)&lt;=VAL_SERIAL)*1000000+17*1000+44))</f>
        <v/>
      </c>
      <c r="FW28" s="35">
        <f>IF(N('Dvd Calendar'!$I$194)=0,"",IF(('Dvd Calendar'!$I$194&gt;=GRID_FROM)*('Dvd Calendar'!$I$194&lt;=GRID_TO)*('Dvd Calendar'!$I$194&gt;VAL_DATE)=0,"",'Dvd Calendar'!$I$194*1000000000+ISNUMBER('Dvd Calendar'!$I$195)*100000000+0*10000000+(N('Dvd Calendar'!$I$193)&gt;0)*(N('Dvd Calendar'!$I$193)&lt;=VAL_SERIAL)*1000000+17*1000+45))</f>
        <v/>
      </c>
      <c r="FX28" s="35">
        <f>IF(N('Dvd Calendar'!$J$194)=0,"",IF(('Dvd Calendar'!$J$194&gt;=GRID_FROM)*('Dvd Calendar'!$J$194&lt;=GRID_TO)*('Dvd Calendar'!$J$194&gt;VAL_DATE)=0,"",'Dvd Calendar'!$J$194*1000000000+ISNUMBER('Dvd Calendar'!$J$195)*100000000+0*10000000+(N('Dvd Calendar'!$J$193)&gt;0)*(N('Dvd Calendar'!$J$193)&lt;=VAL_SERIAL)*1000000+17*1000+46))</f>
        <v/>
      </c>
      <c r="FY28" s="35">
        <f>IF(N('Dvd Calendar'!$K$194)=0,"",IF(('Dvd Calendar'!$K$194&gt;=GRID_FROM)*('Dvd Calendar'!$K$194&lt;=GRID_TO)*('Dvd Calendar'!$K$194&gt;VAL_DATE)=0,"",'Dvd Calendar'!$K$194*1000000000+ISNUMBER('Dvd Calendar'!$K$195)*100000000+0*10000000+(N('Dvd Calendar'!$K$193)&gt;0)*(N('Dvd Calendar'!$K$193)&lt;=VAL_SERIAL)*1000000+17*1000+47))</f>
        <v/>
      </c>
      <c r="FZ28" s="35">
        <f>IF(N('Dvd Calendar'!$L$194)=0,"",IF(('Dvd Calendar'!$L$194&gt;=GRID_FROM)*('Dvd Calendar'!$L$194&lt;=GRID_TO)*('Dvd Calendar'!$L$194&gt;VAL_DATE)=0,"",'Dvd Calendar'!$L$194*1000000000+ISNUMBER('Dvd Calendar'!$L$195)*100000000+0*10000000+(N('Dvd Calendar'!$L$193)&gt;0)*(N('Dvd Calendar'!$L$193)&lt;=VAL_SERIAL)*1000000+17*1000+48))</f>
        <v/>
      </c>
      <c r="GA28" s="35">
        <f>IF(N('Dvd Calendar'!$M$194)=0,"",IF(('Dvd Calendar'!$M$194&gt;=GRID_FROM)*('Dvd Calendar'!$M$194&lt;=GRID_TO)*('Dvd Calendar'!$M$194&gt;VAL_DATE)=0,"",'Dvd Calendar'!$M$194*1000000000+ISNUMBER('Dvd Calendar'!$M$195)*100000000+0*10000000+(N('Dvd Calendar'!$M$193)&gt;0)*(N('Dvd Calendar'!$M$193)&lt;=VAL_SERIAL)*1000000+17*1000+49))</f>
        <v/>
      </c>
      <c r="GB28" s="35">
        <f>IF(N('Dvd Calendar'!$N$194)=0,"",IF(('Dvd Calendar'!$N$194&gt;=GRID_FROM)*('Dvd Calendar'!$N$194&lt;=GRID_TO)*('Dvd Calendar'!$N$194&gt;VAL_DATE)=0,"",'Dvd Calendar'!$N$194*1000000000+ISNUMBER('Dvd Calendar'!$N$195)*100000000+0*10000000+(N('Dvd Calendar'!$N$193)&gt;0)*(N('Dvd Calendar'!$N$193)&lt;=VAL_SERIAL)*1000000+17*1000+50))</f>
        <v/>
      </c>
      <c r="GC28" s="35">
        <f>IF(N('Dvd Calendar'!$O$194)=0,"",IF(('Dvd Calendar'!$O$194&gt;=GRID_FROM)*('Dvd Calendar'!$O$194&lt;=GRID_TO)*('Dvd Calendar'!$O$194&gt;VAL_DATE)=0,"",'Dvd Calendar'!$O$194*1000000000+ISNUMBER('Dvd Calendar'!$O$195)*100000000+0*10000000+(N('Dvd Calendar'!$O$193)&gt;0)*(N('Dvd Calendar'!$O$193)&lt;=VAL_SERIAL)*1000000+17*1000+51))</f>
        <v/>
      </c>
      <c r="GD28" s="35">
        <f>IF(N('Dvd Calendar'!$P$194)=0,"",IF(('Dvd Calendar'!$P$194&gt;=GRID_FROM)*('Dvd Calendar'!$P$194&lt;=GRID_TO)*('Dvd Calendar'!$P$194&gt;VAL_DATE)=0,"",'Dvd Calendar'!$P$194*1000000000+ISNUMBER('Dvd Calendar'!$P$195)*100000000+0*10000000+(N('Dvd Calendar'!$P$193)&gt;0)*(N('Dvd Calendar'!$P$193)&lt;=VAL_SERIAL)*1000000+17*1000+52))</f>
        <v/>
      </c>
      <c r="GE28" s="35">
        <f>IF(N('Dvd Calendar'!$Q$194)=0,"",IF(('Dvd Calendar'!$Q$194&gt;=GRID_FROM)*('Dvd Calendar'!$Q$194&lt;=GRID_TO)*('Dvd Calendar'!$Q$194&gt;VAL_DATE)=0,"",'Dvd Calendar'!$Q$194*1000000000+ISNUMBER('Dvd Calendar'!$Q$195)*100000000+0*10000000+(N('Dvd Calendar'!$Q$193)&gt;0)*(N('Dvd Calendar'!$Q$193)&lt;=VAL_SERIAL)*1000000+17*1000+53))</f>
        <v/>
      </c>
      <c r="GF28" s="35">
        <f>IF(N('Dvd Calendar'!$R$194)=0,"",IF(('Dvd Calendar'!$R$194&gt;=GRID_FROM)*('Dvd Calendar'!$R$194&lt;=GRID_TO)*('Dvd Calendar'!$R$194&gt;VAL_DATE)=0,"",'Dvd Calendar'!$R$194*1000000000+ISNUMBER('Dvd Calendar'!$R$195)*100000000+0*10000000+(N('Dvd Calendar'!$R$193)&gt;0)*(N('Dvd Calendar'!$R$193)&lt;=VAL_SERIAL)*1000000+17*1000+54))</f>
        <v/>
      </c>
      <c r="GG28" s="35">
        <f>IF(N('Dvd Calendar'!$S$194)=0,"",IF(('Dvd Calendar'!$S$194&gt;=GRID_FROM)*('Dvd Calendar'!$S$194&lt;=GRID_TO)*('Dvd Calendar'!$S$194&gt;VAL_DATE)=0,"",'Dvd Calendar'!$S$194*1000000000+ISNUMBER('Dvd Calendar'!$S$195)*100000000+0*10000000+(N('Dvd Calendar'!$S$193)&gt;0)*(N('Dvd Calendar'!$S$193)&lt;=VAL_SERIAL)*1000000+17*1000+55))</f>
        <v/>
      </c>
      <c r="GH28" s="35">
        <f>IF(N('Dvd Calendar'!$T$194)=0,"",IF(('Dvd Calendar'!$T$194&gt;=GRID_FROM)*('Dvd Calendar'!$T$194&lt;=GRID_TO)*('Dvd Calendar'!$T$194&gt;VAL_DATE)=0,"",'Dvd Calendar'!$T$194*1000000000+ISNUMBER('Dvd Calendar'!$T$195)*100000000+0*10000000+(N('Dvd Calendar'!$T$193)&gt;0)*(N('Dvd Calendar'!$T$193)&lt;=VAL_SERIAL)*1000000+17*1000+56))</f>
        <v/>
      </c>
      <c r="GI28" s="35">
        <f>IF(N('Dvd Calendar'!$U$194)=0,"",IF(('Dvd Calendar'!$U$194&gt;=GRID_FROM)*('Dvd Calendar'!$U$194&lt;=GRID_TO)*('Dvd Calendar'!$U$194&gt;VAL_DATE)=0,"",'Dvd Calendar'!$U$194*1000000000+ISNUMBER('Dvd Calendar'!$U$195)*100000000+0*10000000+(N('Dvd Calendar'!$U$193)&gt;0)*(N('Dvd Calendar'!$U$193)&lt;=VAL_SERIAL)*1000000+17*1000+57))</f>
        <v/>
      </c>
      <c r="GJ28" s="35">
        <f>IF(N('Dvd Calendar'!$V$194)=0,"",IF(('Dvd Calendar'!$V$194&gt;=GRID_FROM)*('Dvd Calendar'!$V$194&lt;=GRID_TO)*('Dvd Calendar'!$V$194&gt;VAL_DATE)=0,"",'Dvd Calendar'!$V$194*1000000000+ISNUMBER('Dvd Calendar'!$V$195)*100000000+0*10000000+(N('Dvd Calendar'!$V$193)&gt;0)*(N('Dvd Calendar'!$V$193)&lt;=VAL_SERIAL)*1000000+17*1000+58))</f>
        <v/>
      </c>
      <c r="GK28" s="35">
        <f>IF(N('Dvd Calendar'!$W$194)=0,"",IF(('Dvd Calendar'!$W$194&gt;=GRID_FROM)*('Dvd Calendar'!$W$194&lt;=GRID_TO)*('Dvd Calendar'!$W$194&gt;VAL_DATE)=0,"",'Dvd Calendar'!$W$194*1000000000+ISNUMBER('Dvd Calendar'!$W$195)*100000000+0*10000000+(N('Dvd Calendar'!$W$193)&gt;0)*(N('Dvd Calendar'!$W$193)&lt;=VAL_SERIAL)*1000000+17*1000+59))</f>
        <v/>
      </c>
      <c r="GL28" s="35">
        <f>IF(N('Dvd Calendar'!$X$194)=0,"",IF(('Dvd Calendar'!$X$194&gt;=GRID_FROM)*('Dvd Calendar'!$X$194&lt;=GRID_TO)*('Dvd Calendar'!$X$194&gt;VAL_DATE)=0,"",'Dvd Calendar'!$X$194*1000000000+ISNUMBER('Dvd Calendar'!$X$195)*100000000+0*10000000+(N('Dvd Calendar'!$X$193)&gt;0)*(N('Dvd Calendar'!$X$193)&lt;=VAL_SERIAL)*1000000+17*1000+60))</f>
        <v/>
      </c>
      <c r="GM28" s="35">
        <f>IF(N('Dvd Calendar'!$Y$194)=0,"",IF(('Dvd Calendar'!$Y$194&gt;=GRID_FROM)*('Dvd Calendar'!$Y$194&lt;=GRID_TO)*('Dvd Calendar'!$Y$194&gt;VAL_DATE)=0,"",'Dvd Calendar'!$Y$194*1000000000+ISNUMBER('Dvd Calendar'!$Y$195)*100000000+0*10000000+(N('Dvd Calendar'!$Y$193)&gt;0)*(N('Dvd Calendar'!$Y$193)&lt;=VAL_SERIAL)*1000000+17*1000+61))</f>
        <v/>
      </c>
      <c r="GN28" s="35">
        <f>IF(N('Dvd Calendar'!$Z$194)=0,"",IF(('Dvd Calendar'!$Z$194&gt;=GRID_FROM)*('Dvd Calendar'!$Z$194&lt;=GRID_TO)*('Dvd Calendar'!$Z$194&gt;VAL_DATE)=0,"",'Dvd Calendar'!$Z$194*1000000000+ISNUMBER('Dvd Calendar'!$Z$195)*100000000+0*10000000+(N('Dvd Calendar'!$Z$193)&gt;0)*(N('Dvd Calendar'!$Z$193)&lt;=VAL_SERIAL)*1000000+17*1000+62))</f>
        <v/>
      </c>
      <c r="GO28" s="35">
        <f>IF(N('Dvd Calendar'!$AA$194)=0,"",IF(('Dvd Calendar'!$AA$194&gt;=GRID_FROM)*('Dvd Calendar'!$AA$194&lt;=GRID_TO)*('Dvd Calendar'!$AA$194&gt;VAL_DATE)=0,"",'Dvd Calendar'!$AA$194*1000000000+ISNUMBER('Dvd Calendar'!$AA$195)*100000000+0*10000000+(N('Dvd Calendar'!$AA$193)&gt;0)*(N('Dvd Calendar'!$AA$193)&lt;=VAL_SERIAL)*1000000+17*1000+63))</f>
        <v/>
      </c>
      <c r="GP28" s="35">
        <f>IF(N('Dvd Calendar'!$AB$194)=0,"",IF(('Dvd Calendar'!$AB$194&gt;=GRID_FROM)*('Dvd Calendar'!$AB$194&lt;=GRID_TO)*('Dvd Calendar'!$AB$194&gt;VAL_DATE)=0,"",'Dvd Calendar'!$AB$194*1000000000+ISNUMBER('Dvd Calendar'!$AB$195)*100000000+0*10000000+(N('Dvd Calendar'!$AB$193)&gt;0)*(N('Dvd Calendar'!$AB$193)&lt;=VAL_SERIAL)*1000000+17*1000+64))</f>
        <v/>
      </c>
      <c r="GQ28" s="35">
        <f>IF(N('Dvd Calendar'!$AC$194)=0,"",IF(('Dvd Calendar'!$AC$194&gt;=GRID_FROM)*('Dvd Calendar'!$AC$194&lt;=GRID_TO)*('Dvd Calendar'!$AC$194&gt;VAL_DATE)=0,"",'Dvd Calendar'!$AC$194*1000000000+ISNUMBER('Dvd Calendar'!$AC$195)*100000000+0*10000000+(N('Dvd Calendar'!$AC$193)&gt;0)*(N('Dvd Calendar'!$AC$193)&lt;=VAL_SERIAL)*1000000+17*1000+65))</f>
        <v/>
      </c>
    </row>
    <row r="29">
      <c r="B29" s="2">
        <f>IF(HSI!$C$24="","",HSI!$C$24)</f>
        <v/>
      </c>
      <c r="C29" s="106">
        <f>IF(EE29="","",IF(ISNUMBER('Dvd Calendar'!$E$201)=FALSE,"",IF((('Dvd Calendar'!$E$203=TYPE1)*(TYPE1&lt;&gt;"")+('Dvd Calendar'!$E$203=TYPE2)*(TYPE2&lt;&gt;"")+('Dvd Calendar'!$E$203=TYPE3)*(TYPE3&lt;&gt;"")+('Dvd Calendar'!$E$203=TYPE4)*(TYPE4&lt;&gt;"")+('Dvd Calendar'!$E$203=SPECIAL_LBL)*(INC_SPECIALS="Y"))=0,"",'Dvd Calendar'!$E$201)))</f>
        <v/>
      </c>
      <c r="D29" s="106">
        <f>IF(EF29="","",IF(ISNUMBER('Dvd Calendar'!$F$201)=FALSE,"",IF((('Dvd Calendar'!$F$203=TYPE1)*(TYPE1&lt;&gt;"")+('Dvd Calendar'!$F$203=TYPE2)*(TYPE2&lt;&gt;"")+('Dvd Calendar'!$F$203=TYPE3)*(TYPE3&lt;&gt;"")+('Dvd Calendar'!$F$203=TYPE4)*(TYPE4&lt;&gt;"")+('Dvd Calendar'!$F$203=SPECIAL_LBL)*(INC_SPECIALS="Y"))=0,"",'Dvd Calendar'!$F$201)))</f>
        <v/>
      </c>
      <c r="E29" s="106">
        <f>IF(EG29="","",IF(ISNUMBER('Dvd Calendar'!$G$201)=FALSE,"",IF((('Dvd Calendar'!$G$203=TYPE1)*(TYPE1&lt;&gt;"")+('Dvd Calendar'!$G$203=TYPE2)*(TYPE2&lt;&gt;"")+('Dvd Calendar'!$G$203=TYPE3)*(TYPE3&lt;&gt;"")+('Dvd Calendar'!$G$203=TYPE4)*(TYPE4&lt;&gt;"")+('Dvd Calendar'!$G$203=SPECIAL_LBL)*(INC_SPECIALS="Y"))=0,"",'Dvd Calendar'!$G$201)))</f>
        <v/>
      </c>
      <c r="F29" s="106">
        <f>IF(EH29="","",IF(ISNUMBER('Dvd Calendar'!$H$201)=FALSE,"",IF((('Dvd Calendar'!$H$203=TYPE1)*(TYPE1&lt;&gt;"")+('Dvd Calendar'!$H$203=TYPE2)*(TYPE2&lt;&gt;"")+('Dvd Calendar'!$H$203=TYPE3)*(TYPE3&lt;&gt;"")+('Dvd Calendar'!$H$203=TYPE4)*(TYPE4&lt;&gt;"")+('Dvd Calendar'!$H$203=SPECIAL_LBL)*(INC_SPECIALS="Y"))=0,"",'Dvd Calendar'!$H$201)))</f>
        <v/>
      </c>
      <c r="G29" s="106">
        <f>IF(EI29="","",IF(ISNUMBER('Dvd Calendar'!$I$201)=FALSE,"",IF((('Dvd Calendar'!$I$203=TYPE1)*(TYPE1&lt;&gt;"")+('Dvd Calendar'!$I$203=TYPE2)*(TYPE2&lt;&gt;"")+('Dvd Calendar'!$I$203=TYPE3)*(TYPE3&lt;&gt;"")+('Dvd Calendar'!$I$203=TYPE4)*(TYPE4&lt;&gt;"")+('Dvd Calendar'!$I$203=SPECIAL_LBL)*(INC_SPECIALS="Y"))=0,"",'Dvd Calendar'!$I$201)))</f>
        <v/>
      </c>
      <c r="H29" s="106">
        <f>IF(EJ29="","",IF(ISNUMBER('Dvd Calendar'!$J$201)=FALSE,"",IF((('Dvd Calendar'!$J$203=TYPE1)*(TYPE1&lt;&gt;"")+('Dvd Calendar'!$J$203=TYPE2)*(TYPE2&lt;&gt;"")+('Dvd Calendar'!$J$203=TYPE3)*(TYPE3&lt;&gt;"")+('Dvd Calendar'!$J$203=TYPE4)*(TYPE4&lt;&gt;"")+('Dvd Calendar'!$J$203=SPECIAL_LBL)*(INC_SPECIALS="Y"))=0,"",'Dvd Calendar'!$J$201)))</f>
        <v/>
      </c>
      <c r="I29" s="106">
        <f>IF(EK29="","",IF(ISNUMBER('Dvd Calendar'!$K$201)=FALSE,"",IF((('Dvd Calendar'!$K$203=TYPE1)*(TYPE1&lt;&gt;"")+('Dvd Calendar'!$K$203=TYPE2)*(TYPE2&lt;&gt;"")+('Dvd Calendar'!$K$203=TYPE3)*(TYPE3&lt;&gt;"")+('Dvd Calendar'!$K$203=TYPE4)*(TYPE4&lt;&gt;"")+('Dvd Calendar'!$K$203=SPECIAL_LBL)*(INC_SPECIALS="Y"))=0,"",'Dvd Calendar'!$K$201)))</f>
        <v/>
      </c>
      <c r="J29" s="106">
        <f>IF(EL29="","",IF(ISNUMBER('Dvd Calendar'!$L$201)=FALSE,"",IF((('Dvd Calendar'!$L$203=TYPE1)*(TYPE1&lt;&gt;"")+('Dvd Calendar'!$L$203=TYPE2)*(TYPE2&lt;&gt;"")+('Dvd Calendar'!$L$203=TYPE3)*(TYPE3&lt;&gt;"")+('Dvd Calendar'!$L$203=TYPE4)*(TYPE4&lt;&gt;"")+('Dvd Calendar'!$L$203=SPECIAL_LBL)*(INC_SPECIALS="Y"))=0,"",'Dvd Calendar'!$L$201)))</f>
        <v/>
      </c>
      <c r="K29" s="106">
        <f>IF(EM29="","",IF(ISNUMBER('Dvd Calendar'!$M$201)=FALSE,"",IF((('Dvd Calendar'!$M$203=TYPE1)*(TYPE1&lt;&gt;"")+('Dvd Calendar'!$M$203=TYPE2)*(TYPE2&lt;&gt;"")+('Dvd Calendar'!$M$203=TYPE3)*(TYPE3&lt;&gt;"")+('Dvd Calendar'!$M$203=TYPE4)*(TYPE4&lt;&gt;"")+('Dvd Calendar'!$M$203=SPECIAL_LBL)*(INC_SPECIALS="Y"))=0,"",'Dvd Calendar'!$M$201)))</f>
        <v/>
      </c>
      <c r="L29" s="106">
        <f>IF(EN29="","",IF(ISNUMBER('Dvd Calendar'!$N$201)=FALSE,"",IF((('Dvd Calendar'!$N$203=TYPE1)*(TYPE1&lt;&gt;"")+('Dvd Calendar'!$N$203=TYPE2)*(TYPE2&lt;&gt;"")+('Dvd Calendar'!$N$203=TYPE3)*(TYPE3&lt;&gt;"")+('Dvd Calendar'!$N$203=TYPE4)*(TYPE4&lt;&gt;"")+('Dvd Calendar'!$N$203=SPECIAL_LBL)*(INC_SPECIALS="Y"))=0,"",'Dvd Calendar'!$N$201)))</f>
        <v/>
      </c>
      <c r="M29" s="106">
        <f>IF(EO29="","",IF(ISNUMBER('Dvd Calendar'!$O$201)=FALSE,"",IF((('Dvd Calendar'!$O$203=TYPE1)*(TYPE1&lt;&gt;"")+('Dvd Calendar'!$O$203=TYPE2)*(TYPE2&lt;&gt;"")+('Dvd Calendar'!$O$203=TYPE3)*(TYPE3&lt;&gt;"")+('Dvd Calendar'!$O$203=TYPE4)*(TYPE4&lt;&gt;"")+('Dvd Calendar'!$O$203=SPECIAL_LBL)*(INC_SPECIALS="Y"))=0,"",'Dvd Calendar'!$O$201)))</f>
        <v/>
      </c>
      <c r="N29" s="106">
        <f>IF(EP29="","",IF(ISNUMBER('Dvd Calendar'!$P$201)=FALSE,"",IF((('Dvd Calendar'!$P$203=TYPE1)*(TYPE1&lt;&gt;"")+('Dvd Calendar'!$P$203=TYPE2)*(TYPE2&lt;&gt;"")+('Dvd Calendar'!$P$203=TYPE3)*(TYPE3&lt;&gt;"")+('Dvd Calendar'!$P$203=TYPE4)*(TYPE4&lt;&gt;"")+('Dvd Calendar'!$P$203=SPECIAL_LBL)*(INC_SPECIALS="Y"))=0,"",'Dvd Calendar'!$P$201)))</f>
        <v/>
      </c>
      <c r="O29" s="106">
        <f>IF(EQ29="","",IF(ISNUMBER('Dvd Calendar'!$Q$201)=FALSE,"",IF((('Dvd Calendar'!$Q$203=TYPE1)*(TYPE1&lt;&gt;"")+('Dvd Calendar'!$Q$203=TYPE2)*(TYPE2&lt;&gt;"")+('Dvd Calendar'!$Q$203=TYPE3)*(TYPE3&lt;&gt;"")+('Dvd Calendar'!$Q$203=TYPE4)*(TYPE4&lt;&gt;"")+('Dvd Calendar'!$Q$203=SPECIAL_LBL)*(INC_SPECIALS="Y"))=0,"",'Dvd Calendar'!$Q$201)))</f>
        <v/>
      </c>
      <c r="P29" s="106">
        <f>IF(ER29="","",IF(ISNUMBER('Dvd Calendar'!$R$201)=FALSE,"",IF((('Dvd Calendar'!$R$203=TYPE1)*(TYPE1&lt;&gt;"")+('Dvd Calendar'!$R$203=TYPE2)*(TYPE2&lt;&gt;"")+('Dvd Calendar'!$R$203=TYPE3)*(TYPE3&lt;&gt;"")+('Dvd Calendar'!$R$203=TYPE4)*(TYPE4&lt;&gt;"")+('Dvd Calendar'!$R$203=SPECIAL_LBL)*(INC_SPECIALS="Y"))=0,"",'Dvd Calendar'!$R$201)))</f>
        <v/>
      </c>
      <c r="Q29" s="106">
        <f>IF(ES29="","",IF(ISNUMBER('Dvd Calendar'!$S$201)=FALSE,"",IF((('Dvd Calendar'!$S$203=TYPE1)*(TYPE1&lt;&gt;"")+('Dvd Calendar'!$S$203=TYPE2)*(TYPE2&lt;&gt;"")+('Dvd Calendar'!$S$203=TYPE3)*(TYPE3&lt;&gt;"")+('Dvd Calendar'!$S$203=TYPE4)*(TYPE4&lt;&gt;"")+('Dvd Calendar'!$S$203=SPECIAL_LBL)*(INC_SPECIALS="Y"))=0,"",'Dvd Calendar'!$S$201)))</f>
        <v/>
      </c>
      <c r="R29" s="106">
        <f>IF(ET29="","",IF(ISNUMBER('Dvd Calendar'!$T$201)=FALSE,"",IF((('Dvd Calendar'!$T$203=TYPE1)*(TYPE1&lt;&gt;"")+('Dvd Calendar'!$T$203=TYPE2)*(TYPE2&lt;&gt;"")+('Dvd Calendar'!$T$203=TYPE3)*(TYPE3&lt;&gt;"")+('Dvd Calendar'!$T$203=TYPE4)*(TYPE4&lt;&gt;"")+('Dvd Calendar'!$T$203=SPECIAL_LBL)*(INC_SPECIALS="Y"))=0,"",'Dvd Calendar'!$T$201)))</f>
        <v/>
      </c>
      <c r="S29" s="106">
        <f>IF(EU29="","",IF(ISNUMBER('Dvd Calendar'!$U$201)=FALSE,"",IF((('Dvd Calendar'!$U$203=TYPE1)*(TYPE1&lt;&gt;"")+('Dvd Calendar'!$U$203=TYPE2)*(TYPE2&lt;&gt;"")+('Dvd Calendar'!$U$203=TYPE3)*(TYPE3&lt;&gt;"")+('Dvd Calendar'!$U$203=TYPE4)*(TYPE4&lt;&gt;"")+('Dvd Calendar'!$U$203=SPECIAL_LBL)*(INC_SPECIALS="Y"))=0,"",'Dvd Calendar'!$U$201)))</f>
        <v/>
      </c>
      <c r="T29" s="106">
        <f>IF(EV29="","",IF(ISNUMBER('Dvd Calendar'!$V$201)=FALSE,"",IF((('Dvd Calendar'!$V$203=TYPE1)*(TYPE1&lt;&gt;"")+('Dvd Calendar'!$V$203=TYPE2)*(TYPE2&lt;&gt;"")+('Dvd Calendar'!$V$203=TYPE3)*(TYPE3&lt;&gt;"")+('Dvd Calendar'!$V$203=TYPE4)*(TYPE4&lt;&gt;"")+('Dvd Calendar'!$V$203=SPECIAL_LBL)*(INC_SPECIALS="Y"))=0,"",'Dvd Calendar'!$V$201)))</f>
        <v/>
      </c>
      <c r="U29" s="106">
        <f>IF(EW29="","",IF(ISNUMBER('Dvd Calendar'!$W$201)=FALSE,"",IF((('Dvd Calendar'!$W$203=TYPE1)*(TYPE1&lt;&gt;"")+('Dvd Calendar'!$W$203=TYPE2)*(TYPE2&lt;&gt;"")+('Dvd Calendar'!$W$203=TYPE3)*(TYPE3&lt;&gt;"")+('Dvd Calendar'!$W$203=TYPE4)*(TYPE4&lt;&gt;"")+('Dvd Calendar'!$W$203=SPECIAL_LBL)*(INC_SPECIALS="Y"))=0,"",'Dvd Calendar'!$W$201)))</f>
        <v/>
      </c>
      <c r="V29" s="106">
        <f>IF(EX29="","",IF(ISNUMBER('Dvd Calendar'!$X$201)=FALSE,"",IF((('Dvd Calendar'!$X$203=TYPE1)*(TYPE1&lt;&gt;"")+('Dvd Calendar'!$X$203=TYPE2)*(TYPE2&lt;&gt;"")+('Dvd Calendar'!$X$203=TYPE3)*(TYPE3&lt;&gt;"")+('Dvd Calendar'!$X$203=TYPE4)*(TYPE4&lt;&gt;"")+('Dvd Calendar'!$X$203=SPECIAL_LBL)*(INC_SPECIALS="Y"))=0,"",'Dvd Calendar'!$X$201)))</f>
        <v/>
      </c>
      <c r="W29" s="106">
        <f>IF(EY29="","",IF(ISNUMBER('Dvd Calendar'!$Y$201)=FALSE,"",IF((('Dvd Calendar'!$Y$203=TYPE1)*(TYPE1&lt;&gt;"")+('Dvd Calendar'!$Y$203=TYPE2)*(TYPE2&lt;&gt;"")+('Dvd Calendar'!$Y$203=TYPE3)*(TYPE3&lt;&gt;"")+('Dvd Calendar'!$Y$203=TYPE4)*(TYPE4&lt;&gt;"")+('Dvd Calendar'!$Y$203=SPECIAL_LBL)*(INC_SPECIALS="Y"))=0,"",'Dvd Calendar'!$Y$201)))</f>
        <v/>
      </c>
      <c r="X29" s="106">
        <f>IF(EZ29="","",IF(ISNUMBER('Dvd Calendar'!$Z$201)=FALSE,"",IF((('Dvd Calendar'!$Z$203=TYPE1)*(TYPE1&lt;&gt;"")+('Dvd Calendar'!$Z$203=TYPE2)*(TYPE2&lt;&gt;"")+('Dvd Calendar'!$Z$203=TYPE3)*(TYPE3&lt;&gt;"")+('Dvd Calendar'!$Z$203=TYPE4)*(TYPE4&lt;&gt;"")+('Dvd Calendar'!$Z$203=SPECIAL_LBL)*(INC_SPECIALS="Y"))=0,"",'Dvd Calendar'!$Z$201)))</f>
        <v/>
      </c>
      <c r="Y29" s="106">
        <f>IF(FA29="","",IF(ISNUMBER('Dvd Calendar'!$AA$201)=FALSE,"",IF((('Dvd Calendar'!$AA$203=TYPE1)*(TYPE1&lt;&gt;"")+('Dvd Calendar'!$AA$203=TYPE2)*(TYPE2&lt;&gt;"")+('Dvd Calendar'!$AA$203=TYPE3)*(TYPE3&lt;&gt;"")+('Dvd Calendar'!$AA$203=TYPE4)*(TYPE4&lt;&gt;"")+('Dvd Calendar'!$AA$203=SPECIAL_LBL)*(INC_SPECIALS="Y"))=0,"",'Dvd Calendar'!$AA$201)))</f>
        <v/>
      </c>
      <c r="Z29" s="106">
        <f>IF(FB29="","",IF(ISNUMBER('Dvd Calendar'!$AB$201)=FALSE,"",IF((('Dvd Calendar'!$AB$203=TYPE1)*(TYPE1&lt;&gt;"")+('Dvd Calendar'!$AB$203=TYPE2)*(TYPE2&lt;&gt;"")+('Dvd Calendar'!$AB$203=TYPE3)*(TYPE3&lt;&gt;"")+('Dvd Calendar'!$AB$203=TYPE4)*(TYPE4&lt;&gt;"")+('Dvd Calendar'!$AB$203=SPECIAL_LBL)*(INC_SPECIALS="Y"))=0,"",'Dvd Calendar'!$AB$201)))</f>
        <v/>
      </c>
      <c r="AA29" s="106">
        <f>IF(FC29="","",IF(ISNUMBER('Dvd Calendar'!$AC$201)=FALSE,"",IF((('Dvd Calendar'!$AC$203=TYPE1)*(TYPE1&lt;&gt;"")+('Dvd Calendar'!$AC$203=TYPE2)*(TYPE2&lt;&gt;"")+('Dvd Calendar'!$AC$203=TYPE3)*(TYPE3&lt;&gt;"")+('Dvd Calendar'!$AC$203=TYPE4)*(TYPE4&lt;&gt;"")+('Dvd Calendar'!$AC$203=SPECIAL_LBL)*(INC_SPECIALS="Y"))=0,"",'Dvd Calendar'!$AC$201)))</f>
        <v/>
      </c>
      <c r="AB29" s="106">
        <f>IF(FD29="","",IF(ISNUMBER('Dvd Calendar'!$AD$201)=FALSE,"",IF((('Dvd Calendar'!$AD$203=TYPE1)*(TYPE1&lt;&gt;"")+('Dvd Calendar'!$AD$203=TYPE2)*(TYPE2&lt;&gt;"")+('Dvd Calendar'!$AD$203=TYPE3)*(TYPE3&lt;&gt;"")+('Dvd Calendar'!$AD$203=TYPE4)*(TYPE4&lt;&gt;"")+('Dvd Calendar'!$AD$203=SPECIAL_LBL)*(INC_SPECIALS="Y"))=0,"",'Dvd Calendar'!$AD$201)))</f>
        <v/>
      </c>
      <c r="AC29" s="106">
        <f>IF(FE29="","",IF(ISNUMBER('Dvd Calendar'!$AE$201)=FALSE,"",IF((('Dvd Calendar'!$AE$203=TYPE1)*(TYPE1&lt;&gt;"")+('Dvd Calendar'!$AE$203=TYPE2)*(TYPE2&lt;&gt;"")+('Dvd Calendar'!$AE$203=TYPE3)*(TYPE3&lt;&gt;"")+('Dvd Calendar'!$AE$203=TYPE4)*(TYPE4&lt;&gt;"")+('Dvd Calendar'!$AE$203=SPECIAL_LBL)*(INC_SPECIALS="Y"))=0,"",'Dvd Calendar'!$AE$201)))</f>
        <v/>
      </c>
      <c r="AD29" s="106">
        <f>IF(FF29="","",IF(ISNUMBER('Dvd Calendar'!$AF$201)=FALSE,"",IF((('Dvd Calendar'!$AF$203=TYPE1)*(TYPE1&lt;&gt;"")+('Dvd Calendar'!$AF$203=TYPE2)*(TYPE2&lt;&gt;"")+('Dvd Calendar'!$AF$203=TYPE3)*(TYPE3&lt;&gt;"")+('Dvd Calendar'!$AF$203=TYPE4)*(TYPE4&lt;&gt;"")+('Dvd Calendar'!$AF$203=SPECIAL_LBL)*(INC_SPECIALS="Y"))=0,"",'Dvd Calendar'!$AF$201)))</f>
        <v/>
      </c>
      <c r="AE29" s="106">
        <f>IF(FG29="","",IF(ISNUMBER('Dvd Calendar'!$AG$201)=FALSE,"",IF((('Dvd Calendar'!$AG$203=TYPE1)*(TYPE1&lt;&gt;"")+('Dvd Calendar'!$AG$203=TYPE2)*(TYPE2&lt;&gt;"")+('Dvd Calendar'!$AG$203=TYPE3)*(TYPE3&lt;&gt;"")+('Dvd Calendar'!$AG$203=TYPE4)*(TYPE4&lt;&gt;"")+('Dvd Calendar'!$AG$203=SPECIAL_LBL)*(INC_SPECIALS="Y"))=0,"",'Dvd Calendar'!$AG$201)))</f>
        <v/>
      </c>
      <c r="AF29" s="106">
        <f>IF(FH29="","",IF(ISNUMBER('Dvd Calendar'!$AH$201)=FALSE,"",IF((('Dvd Calendar'!$AH$203=TYPE1)*(TYPE1&lt;&gt;"")+('Dvd Calendar'!$AH$203=TYPE2)*(TYPE2&lt;&gt;"")+('Dvd Calendar'!$AH$203=TYPE3)*(TYPE3&lt;&gt;"")+('Dvd Calendar'!$AH$203=TYPE4)*(TYPE4&lt;&gt;"")+('Dvd Calendar'!$AH$203=SPECIAL_LBL)*(INC_SPECIALS="Y"))=0,"",'Dvd Calendar'!$AH$201)))</f>
        <v/>
      </c>
      <c r="AG29" s="106">
        <f>IF(FI29="","",IF(ISNUMBER('Dvd Calendar'!$AI$201)=FALSE,"",IF((('Dvd Calendar'!$AI$203=TYPE1)*(TYPE1&lt;&gt;"")+('Dvd Calendar'!$AI$203=TYPE2)*(TYPE2&lt;&gt;"")+('Dvd Calendar'!$AI$203=TYPE3)*(TYPE3&lt;&gt;"")+('Dvd Calendar'!$AI$203=TYPE4)*(TYPE4&lt;&gt;"")+('Dvd Calendar'!$AI$203=SPECIAL_LBL)*(INC_SPECIALS="Y"))=0,"",'Dvd Calendar'!$AI$201)))</f>
        <v/>
      </c>
      <c r="AH29" s="106">
        <f>IF(FJ29="","",IF(ISNUMBER('Dvd Calendar'!$AJ$201)=FALSE,"",IF((('Dvd Calendar'!$AJ$203=TYPE1)*(TYPE1&lt;&gt;"")+('Dvd Calendar'!$AJ$203=TYPE2)*(TYPE2&lt;&gt;"")+('Dvd Calendar'!$AJ$203=TYPE3)*(TYPE3&lt;&gt;"")+('Dvd Calendar'!$AJ$203=TYPE4)*(TYPE4&lt;&gt;"")+('Dvd Calendar'!$AJ$203=SPECIAL_LBL)*(INC_SPECIALS="Y"))=0,"",'Dvd Calendar'!$AJ$201)))</f>
        <v/>
      </c>
      <c r="AI29" s="106">
        <f>IF(FK29="","",IF(ISNUMBER('Dvd Calendar'!$AK$201)=FALSE,"",IF((('Dvd Calendar'!$AK$203=TYPE1)*(TYPE1&lt;&gt;"")+('Dvd Calendar'!$AK$203=TYPE2)*(TYPE2&lt;&gt;"")+('Dvd Calendar'!$AK$203=TYPE3)*(TYPE3&lt;&gt;"")+('Dvd Calendar'!$AK$203=TYPE4)*(TYPE4&lt;&gt;"")+('Dvd Calendar'!$AK$203=SPECIAL_LBL)*(INC_SPECIALS="Y"))=0,"",'Dvd Calendar'!$AK$201)))</f>
        <v/>
      </c>
      <c r="AJ29" s="106">
        <f>IF(FL29="","",IF(ISNUMBER('Dvd Calendar'!$AL$201)=FALSE,"",IF((('Dvd Calendar'!$AL$203=TYPE1)*(TYPE1&lt;&gt;"")+('Dvd Calendar'!$AL$203=TYPE2)*(TYPE2&lt;&gt;"")+('Dvd Calendar'!$AL$203=TYPE3)*(TYPE3&lt;&gt;"")+('Dvd Calendar'!$AL$203=TYPE4)*(TYPE4&lt;&gt;"")+('Dvd Calendar'!$AL$203=SPECIAL_LBL)*(INC_SPECIALS="Y"))=0,"",'Dvd Calendar'!$AL$201)))</f>
        <v/>
      </c>
      <c r="AK29" s="106">
        <f>IF(FM29="","",IF(ISNUMBER('Dvd Calendar'!$AM$201)=FALSE,"",IF((('Dvd Calendar'!$AM$203=TYPE1)*(TYPE1&lt;&gt;"")+('Dvd Calendar'!$AM$203=TYPE2)*(TYPE2&lt;&gt;"")+('Dvd Calendar'!$AM$203=TYPE3)*(TYPE3&lt;&gt;"")+('Dvd Calendar'!$AM$203=TYPE4)*(TYPE4&lt;&gt;"")+('Dvd Calendar'!$AM$203=SPECIAL_LBL)*(INC_SPECIALS="Y"))=0,"",'Dvd Calendar'!$AM$201)))</f>
        <v/>
      </c>
      <c r="AL29" s="106">
        <f>IF(FN29="","",IF(ISNUMBER('Dvd Calendar'!$AN$201)=FALSE,"",IF((('Dvd Calendar'!$AN$203=TYPE1)*(TYPE1&lt;&gt;"")+('Dvd Calendar'!$AN$203=TYPE2)*(TYPE2&lt;&gt;"")+('Dvd Calendar'!$AN$203=TYPE3)*(TYPE3&lt;&gt;"")+('Dvd Calendar'!$AN$203=TYPE4)*(TYPE4&lt;&gt;"")+('Dvd Calendar'!$AN$203=SPECIAL_LBL)*(INC_SPECIALS="Y"))=0,"",'Dvd Calendar'!$AN$201)))</f>
        <v/>
      </c>
      <c r="AM29" s="106">
        <f>IF(FO29="","",IF(ISNUMBER('Dvd Calendar'!$AO$201)=FALSE,"",IF((('Dvd Calendar'!$AO$203=TYPE1)*(TYPE1&lt;&gt;"")+('Dvd Calendar'!$AO$203=TYPE2)*(TYPE2&lt;&gt;"")+('Dvd Calendar'!$AO$203=TYPE3)*(TYPE3&lt;&gt;"")+('Dvd Calendar'!$AO$203=TYPE4)*(TYPE4&lt;&gt;"")+('Dvd Calendar'!$AO$203=SPECIAL_LBL)*(INC_SPECIALS="Y"))=0,"",'Dvd Calendar'!$AO$201)))</f>
        <v/>
      </c>
      <c r="AN29" s="106">
        <f>IF(FP29="","",IF(ISNUMBER('Dvd Calendar'!$AP$201)=FALSE,"",IF((('Dvd Calendar'!$AP$203=TYPE1)*(TYPE1&lt;&gt;"")+('Dvd Calendar'!$AP$203=TYPE2)*(TYPE2&lt;&gt;"")+('Dvd Calendar'!$AP$203=TYPE3)*(TYPE3&lt;&gt;"")+('Dvd Calendar'!$AP$203=TYPE4)*(TYPE4&lt;&gt;"")+('Dvd Calendar'!$AP$203=SPECIAL_LBL)*(INC_SPECIALS="Y"))=0,"",'Dvd Calendar'!$AP$201)))</f>
        <v/>
      </c>
      <c r="AO29" s="106">
        <f>IF(FQ29="","",IF(ISNUMBER('Dvd Calendar'!$AQ$201)=FALSE,"",IF((('Dvd Calendar'!$AQ$203=TYPE1)*(TYPE1&lt;&gt;"")+('Dvd Calendar'!$AQ$203=TYPE2)*(TYPE2&lt;&gt;"")+('Dvd Calendar'!$AQ$203=TYPE3)*(TYPE3&lt;&gt;"")+('Dvd Calendar'!$AQ$203=TYPE4)*(TYPE4&lt;&gt;"")+('Dvd Calendar'!$AQ$203=SPECIAL_LBL)*(INC_SPECIALS="Y"))=0,"",'Dvd Calendar'!$AQ$201)))</f>
        <v/>
      </c>
      <c r="AP29" s="106">
        <f>IF(FR29="","",IF(ISNUMBER('Dvd Calendar'!$AR$201)=FALSE,"",IF((('Dvd Calendar'!$AR$203=TYPE1)*(TYPE1&lt;&gt;"")+('Dvd Calendar'!$AR$203=TYPE2)*(TYPE2&lt;&gt;"")+('Dvd Calendar'!$AR$203=TYPE3)*(TYPE3&lt;&gt;"")+('Dvd Calendar'!$AR$203=TYPE4)*(TYPE4&lt;&gt;"")+('Dvd Calendar'!$AR$203=SPECIAL_LBL)*(INC_SPECIALS="Y"))=0,"",'Dvd Calendar'!$AR$201)))</f>
        <v/>
      </c>
      <c r="AQ29" s="106">
        <f>IF(FS29="","",IF(ISNUMBER('Dvd Calendar'!$E$206)=FALSE,"",'Dvd Calendar'!$E$206))</f>
        <v/>
      </c>
      <c r="AR29" s="106">
        <f>IF(FT29="","",IF(ISNUMBER('Dvd Calendar'!$F$206)=FALSE,"",'Dvd Calendar'!$F$206))</f>
        <v/>
      </c>
      <c r="AS29" s="106">
        <f>IF(FU29="","",IF(ISNUMBER('Dvd Calendar'!$G$206)=FALSE,"",'Dvd Calendar'!$G$206))</f>
        <v/>
      </c>
      <c r="AT29" s="106">
        <f>IF(FV29="","",IF(ISNUMBER('Dvd Calendar'!$H$206)=FALSE,"",'Dvd Calendar'!$H$206))</f>
        <v/>
      </c>
      <c r="AU29" s="106">
        <f>IF(FW29="","",IF(ISNUMBER('Dvd Calendar'!$I$206)=FALSE,"",'Dvd Calendar'!$I$206))</f>
        <v/>
      </c>
      <c r="AV29" s="106">
        <f>IF(FX29="","",IF(ISNUMBER('Dvd Calendar'!$J$206)=FALSE,"",'Dvd Calendar'!$J$206))</f>
        <v/>
      </c>
      <c r="AW29" s="106">
        <f>IF(FY29="","",IF(ISNUMBER('Dvd Calendar'!$K$206)=FALSE,"",'Dvd Calendar'!$K$206))</f>
        <v/>
      </c>
      <c r="AX29" s="106">
        <f>IF(FZ29="","",IF(ISNUMBER('Dvd Calendar'!$L$206)=FALSE,"",'Dvd Calendar'!$L$206))</f>
        <v/>
      </c>
      <c r="AY29" s="106">
        <f>IF(GA29="","",IF(ISNUMBER('Dvd Calendar'!$M$206)=FALSE,"",'Dvd Calendar'!$M$206))</f>
        <v/>
      </c>
      <c r="AZ29" s="106">
        <f>IF(GB29="","",IF(ISNUMBER('Dvd Calendar'!$N$206)=FALSE,"",'Dvd Calendar'!$N$206))</f>
        <v/>
      </c>
      <c r="BA29" s="106">
        <f>IF(GC29="","",IF(ISNUMBER('Dvd Calendar'!$O$206)=FALSE,"",'Dvd Calendar'!$O$206))</f>
        <v/>
      </c>
      <c r="BB29" s="106">
        <f>IF(GD29="","",IF(ISNUMBER('Dvd Calendar'!$P$206)=FALSE,"",'Dvd Calendar'!$P$206))</f>
        <v/>
      </c>
      <c r="BC29" s="106">
        <f>IF(GE29="","",IF(ISNUMBER('Dvd Calendar'!$Q$206)=FALSE,"",'Dvd Calendar'!$Q$206))</f>
        <v/>
      </c>
      <c r="BD29" s="106">
        <f>IF(GF29="","",IF(ISNUMBER('Dvd Calendar'!$R$206)=FALSE,"",'Dvd Calendar'!$R$206))</f>
        <v/>
      </c>
      <c r="BE29" s="106">
        <f>IF(GG29="","",IF(ISNUMBER('Dvd Calendar'!$S$206)=FALSE,"",'Dvd Calendar'!$S$206))</f>
        <v/>
      </c>
      <c r="BF29" s="106">
        <f>IF(GH29="","",IF(ISNUMBER('Dvd Calendar'!$T$206)=FALSE,"",'Dvd Calendar'!$T$206))</f>
        <v/>
      </c>
      <c r="BG29" s="106">
        <f>IF(GI29="","",IF(ISNUMBER('Dvd Calendar'!$U$206)=FALSE,"",'Dvd Calendar'!$U$206))</f>
        <v/>
      </c>
      <c r="BH29" s="106">
        <f>IF(GJ29="","",IF(ISNUMBER('Dvd Calendar'!$V$206)=FALSE,"",'Dvd Calendar'!$V$206))</f>
        <v/>
      </c>
      <c r="BI29" s="106">
        <f>IF(GK29="","",IF(ISNUMBER('Dvd Calendar'!$W$206)=FALSE,"",'Dvd Calendar'!$W$206))</f>
        <v/>
      </c>
      <c r="BJ29" s="106">
        <f>IF(GL29="","",IF(ISNUMBER('Dvd Calendar'!$X$206)=FALSE,"",'Dvd Calendar'!$X$206))</f>
        <v/>
      </c>
      <c r="BK29" s="106">
        <f>IF(GM29="","",IF(ISNUMBER('Dvd Calendar'!$Y$206)=FALSE,"",'Dvd Calendar'!$Y$206))</f>
        <v/>
      </c>
      <c r="BL29" s="106">
        <f>IF(GN29="","",IF(ISNUMBER('Dvd Calendar'!$Z$206)=FALSE,"",'Dvd Calendar'!$Z$206))</f>
        <v/>
      </c>
      <c r="BM29" s="106">
        <f>IF(GO29="","",IF(ISNUMBER('Dvd Calendar'!$AA$206)=FALSE,"",'Dvd Calendar'!$AA$206))</f>
        <v/>
      </c>
      <c r="BN29" s="106">
        <f>IF(GP29="","",IF(ISNUMBER('Dvd Calendar'!$AB$206)=FALSE,"",'Dvd Calendar'!$AB$206))</f>
        <v/>
      </c>
      <c r="BO29" s="106">
        <f>IF(GQ29="","",IF(ISNUMBER('Dvd Calendar'!$AC$206)=FALSE,"",'Dvd Calendar'!$AC$206))</f>
        <v/>
      </c>
      <c r="BQ29" s="106">
        <f>IF(C29="","",IFERROR(C29*HSI!$B$24*HSI!$G$24/HSI!$B$3,""))</f>
        <v/>
      </c>
      <c r="BR29" s="106">
        <f>IF(D29="","",IFERROR(D29*HSI!$B$24*HSI!$G$24/HSI!$B$3,""))</f>
        <v/>
      </c>
      <c r="BS29" s="106">
        <f>IF(E29="","",IFERROR(E29*HSI!$B$24*HSI!$G$24/HSI!$B$3,""))</f>
        <v/>
      </c>
      <c r="BT29" s="106">
        <f>IF(F29="","",IFERROR(F29*HSI!$B$24*HSI!$G$24/HSI!$B$3,""))</f>
        <v/>
      </c>
      <c r="BU29" s="106">
        <f>IF(G29="","",IFERROR(G29*HSI!$B$24*HSI!$G$24/HSI!$B$3,""))</f>
        <v/>
      </c>
      <c r="BV29" s="106">
        <f>IF(H29="","",IFERROR(H29*HSI!$B$24*HSI!$G$24/HSI!$B$3,""))</f>
        <v/>
      </c>
      <c r="BW29" s="106">
        <f>IF(I29="","",IFERROR(I29*HSI!$B$24*HSI!$G$24/HSI!$B$3,""))</f>
        <v/>
      </c>
      <c r="BX29" s="106">
        <f>IF(J29="","",IFERROR(J29*HSI!$B$24*HSI!$G$24/HSI!$B$3,""))</f>
        <v/>
      </c>
      <c r="BY29" s="106">
        <f>IF(K29="","",IFERROR(K29*HSI!$B$24*HSI!$G$24/HSI!$B$3,""))</f>
        <v/>
      </c>
      <c r="BZ29" s="106">
        <f>IF(L29="","",IFERROR(L29*HSI!$B$24*HSI!$G$24/HSI!$B$3,""))</f>
        <v/>
      </c>
      <c r="CA29" s="106">
        <f>IF(M29="","",IFERROR(M29*HSI!$B$24*HSI!$G$24/HSI!$B$3,""))</f>
        <v/>
      </c>
      <c r="CB29" s="106">
        <f>IF(N29="","",IFERROR(N29*HSI!$B$24*HSI!$G$24/HSI!$B$3,""))</f>
        <v/>
      </c>
      <c r="CC29" s="106">
        <f>IF(O29="","",IFERROR(O29*HSI!$B$24*HSI!$G$24/HSI!$B$3,""))</f>
        <v/>
      </c>
      <c r="CD29" s="106">
        <f>IF(P29="","",IFERROR(P29*HSI!$B$24*HSI!$G$24/HSI!$B$3,""))</f>
        <v/>
      </c>
      <c r="CE29" s="106">
        <f>IF(Q29="","",IFERROR(Q29*HSI!$B$24*HSI!$G$24/HSI!$B$3,""))</f>
        <v/>
      </c>
      <c r="CF29" s="106">
        <f>IF(R29="","",IFERROR(R29*HSI!$B$24*HSI!$G$24/HSI!$B$3,""))</f>
        <v/>
      </c>
      <c r="CG29" s="106">
        <f>IF(S29="","",IFERROR(S29*HSI!$B$24*HSI!$G$24/HSI!$B$3,""))</f>
        <v/>
      </c>
      <c r="CH29" s="106">
        <f>IF(T29="","",IFERROR(T29*HSI!$B$24*HSI!$G$24/HSI!$B$3,""))</f>
        <v/>
      </c>
      <c r="CI29" s="106">
        <f>IF(U29="","",IFERROR(U29*HSI!$B$24*HSI!$G$24/HSI!$B$3,""))</f>
        <v/>
      </c>
      <c r="CJ29" s="106">
        <f>IF(V29="","",IFERROR(V29*HSI!$B$24*HSI!$G$24/HSI!$B$3,""))</f>
        <v/>
      </c>
      <c r="CK29" s="106">
        <f>IF(W29="","",IFERROR(W29*HSI!$B$24*HSI!$G$24/HSI!$B$3,""))</f>
        <v/>
      </c>
      <c r="CL29" s="106">
        <f>IF(X29="","",IFERROR(X29*HSI!$B$24*HSI!$G$24/HSI!$B$3,""))</f>
        <v/>
      </c>
      <c r="CM29" s="106">
        <f>IF(Y29="","",IFERROR(Y29*HSI!$B$24*HSI!$G$24/HSI!$B$3,""))</f>
        <v/>
      </c>
      <c r="CN29" s="106">
        <f>IF(Z29="","",IFERROR(Z29*HSI!$B$24*HSI!$G$24/HSI!$B$3,""))</f>
        <v/>
      </c>
      <c r="CO29" s="106">
        <f>IF(AA29="","",IFERROR(AA29*HSI!$B$24*HSI!$G$24/HSI!$B$3,""))</f>
        <v/>
      </c>
      <c r="CP29" s="106">
        <f>IF(AB29="","",IFERROR(AB29*HSI!$B$24*HSI!$G$24/HSI!$B$3,""))</f>
        <v/>
      </c>
      <c r="CQ29" s="106">
        <f>IF(AC29="","",IFERROR(AC29*HSI!$B$24*HSI!$G$24/HSI!$B$3,""))</f>
        <v/>
      </c>
      <c r="CR29" s="106">
        <f>IF(AD29="","",IFERROR(AD29*HSI!$B$24*HSI!$G$24/HSI!$B$3,""))</f>
        <v/>
      </c>
      <c r="CS29" s="106">
        <f>IF(AE29="","",IFERROR(AE29*HSI!$B$24*HSI!$G$24/HSI!$B$3,""))</f>
        <v/>
      </c>
      <c r="CT29" s="106">
        <f>IF(AF29="","",IFERROR(AF29*HSI!$B$24*HSI!$G$24/HSI!$B$3,""))</f>
        <v/>
      </c>
      <c r="CU29" s="106">
        <f>IF(AG29="","",IFERROR(AG29*HSI!$B$24*HSI!$G$24/HSI!$B$3,""))</f>
        <v/>
      </c>
      <c r="CV29" s="106">
        <f>IF(AH29="","",IFERROR(AH29*HSI!$B$24*HSI!$G$24/HSI!$B$3,""))</f>
        <v/>
      </c>
      <c r="CW29" s="106">
        <f>IF(AI29="","",IFERROR(AI29*HSI!$B$24*HSI!$G$24/HSI!$B$3,""))</f>
        <v/>
      </c>
      <c r="CX29" s="106">
        <f>IF(AJ29="","",IFERROR(AJ29*HSI!$B$24*HSI!$G$24/HSI!$B$3,""))</f>
        <v/>
      </c>
      <c r="CY29" s="106">
        <f>IF(AK29="","",IFERROR(AK29*HSI!$B$24*HSI!$G$24/HSI!$B$3,""))</f>
        <v/>
      </c>
      <c r="CZ29" s="106">
        <f>IF(AL29="","",IFERROR(AL29*HSI!$B$24*HSI!$G$24/HSI!$B$3,""))</f>
        <v/>
      </c>
      <c r="DA29" s="106">
        <f>IF(AM29="","",IFERROR(AM29*HSI!$B$24*HSI!$G$24/HSI!$B$3,""))</f>
        <v/>
      </c>
      <c r="DB29" s="106">
        <f>IF(AN29="","",IFERROR(AN29*HSI!$B$24*HSI!$G$24/HSI!$B$3,""))</f>
        <v/>
      </c>
      <c r="DC29" s="106">
        <f>IF(AO29="","",IFERROR(AO29*HSI!$B$24*HSI!$G$24/HSI!$B$3,""))</f>
        <v/>
      </c>
      <c r="DD29" s="106">
        <f>IF(AP29="","",IFERROR(AP29*HSI!$B$24*HSI!$G$24/HSI!$B$3,""))</f>
        <v/>
      </c>
      <c r="DE29" s="106">
        <f>IF(AQ29="","",IFERROR(AQ29*HSI!$B$24*HSI!$G$24/HSI!$B$3,""))</f>
        <v/>
      </c>
      <c r="DF29" s="106">
        <f>IF(AR29="","",IFERROR(AR29*HSI!$B$24*HSI!$G$24/HSI!$B$3,""))</f>
        <v/>
      </c>
      <c r="DG29" s="106">
        <f>IF(AS29="","",IFERROR(AS29*HSI!$B$24*HSI!$G$24/HSI!$B$3,""))</f>
        <v/>
      </c>
      <c r="DH29" s="106">
        <f>IF(AT29="","",IFERROR(AT29*HSI!$B$24*HSI!$G$24/HSI!$B$3,""))</f>
        <v/>
      </c>
      <c r="DI29" s="106">
        <f>IF(AU29="","",IFERROR(AU29*HSI!$B$24*HSI!$G$24/HSI!$B$3,""))</f>
        <v/>
      </c>
      <c r="DJ29" s="106">
        <f>IF(AV29="","",IFERROR(AV29*HSI!$B$24*HSI!$G$24/HSI!$B$3,""))</f>
        <v/>
      </c>
      <c r="DK29" s="106">
        <f>IF(AW29="","",IFERROR(AW29*HSI!$B$24*HSI!$G$24/HSI!$B$3,""))</f>
        <v/>
      </c>
      <c r="DL29" s="106">
        <f>IF(AX29="","",IFERROR(AX29*HSI!$B$24*HSI!$G$24/HSI!$B$3,""))</f>
        <v/>
      </c>
      <c r="DM29" s="106">
        <f>IF(AY29="","",IFERROR(AY29*HSI!$B$24*HSI!$G$24/HSI!$B$3,""))</f>
        <v/>
      </c>
      <c r="DN29" s="106">
        <f>IF(AZ29="","",IFERROR(AZ29*HSI!$B$24*HSI!$G$24/HSI!$B$3,""))</f>
        <v/>
      </c>
      <c r="DO29" s="106">
        <f>IF(BA29="","",IFERROR(BA29*HSI!$B$24*HSI!$G$24/HSI!$B$3,""))</f>
        <v/>
      </c>
      <c r="DP29" s="106">
        <f>IF(BB29="","",IFERROR(BB29*HSI!$B$24*HSI!$G$24/HSI!$B$3,""))</f>
        <v/>
      </c>
      <c r="DQ29" s="106">
        <f>IF(BC29="","",IFERROR(BC29*HSI!$B$24*HSI!$G$24/HSI!$B$3,""))</f>
        <v/>
      </c>
      <c r="DR29" s="106">
        <f>IF(BD29="","",IFERROR(BD29*HSI!$B$24*HSI!$G$24/HSI!$B$3,""))</f>
        <v/>
      </c>
      <c r="DS29" s="106">
        <f>IF(BE29="","",IFERROR(BE29*HSI!$B$24*HSI!$G$24/HSI!$B$3,""))</f>
        <v/>
      </c>
      <c r="DT29" s="106">
        <f>IF(BF29="","",IFERROR(BF29*HSI!$B$24*HSI!$G$24/HSI!$B$3,""))</f>
        <v/>
      </c>
      <c r="DU29" s="106">
        <f>IF(BG29="","",IFERROR(BG29*HSI!$B$24*HSI!$G$24/HSI!$B$3,""))</f>
        <v/>
      </c>
      <c r="DV29" s="106">
        <f>IF(BH29="","",IFERROR(BH29*HSI!$B$24*HSI!$G$24/HSI!$B$3,""))</f>
        <v/>
      </c>
      <c r="DW29" s="106">
        <f>IF(BI29="","",IFERROR(BI29*HSI!$B$24*HSI!$G$24/HSI!$B$3,""))</f>
        <v/>
      </c>
      <c r="DX29" s="106">
        <f>IF(BJ29="","",IFERROR(BJ29*HSI!$B$24*HSI!$G$24/HSI!$B$3,""))</f>
        <v/>
      </c>
      <c r="DY29" s="106">
        <f>IF(BK29="","",IFERROR(BK29*HSI!$B$24*HSI!$G$24/HSI!$B$3,""))</f>
        <v/>
      </c>
      <c r="DZ29" s="106">
        <f>IF(BL29="","",IFERROR(BL29*HSI!$B$24*HSI!$G$24/HSI!$B$3,""))</f>
        <v/>
      </c>
      <c r="EA29" s="106">
        <f>IF(BM29="","",IFERROR(BM29*HSI!$B$24*HSI!$G$24/HSI!$B$3,""))</f>
        <v/>
      </c>
      <c r="EB29" s="106">
        <f>IF(BN29="","",IFERROR(BN29*HSI!$B$24*HSI!$G$24/HSI!$B$3,""))</f>
        <v/>
      </c>
      <c r="EC29" s="106">
        <f>IF(BO29="","",IFERROR(BO29*HSI!$B$24*HSI!$G$24/HSI!$B$3,""))</f>
        <v/>
      </c>
      <c r="EE29" s="35">
        <f>IF(N('Dvd Calendar'!$E$198)=0,"",IF(('Dvd Calendar'!$E$198&gt;=GRID_FROM)*('Dvd Calendar'!$E$198&lt;=GRID_TO)*('Dvd Calendar'!$E$198&lt;=VAL_DATE)=0,"",'Dvd Calendar'!$E$198*1000000000+ISNUMBER('Dvd Calendar'!$E$201)*100000000+('Dvd Calendar'!$E$203=SPECIAL_LBL)*10000000+0*1000000+18*1000+1))</f>
        <v/>
      </c>
      <c r="EF29" s="35">
        <f>IF(N('Dvd Calendar'!$F$198)=0,"",IF(('Dvd Calendar'!$F$198&gt;=GRID_FROM)*('Dvd Calendar'!$F$198&lt;=GRID_TO)*('Dvd Calendar'!$F$198&lt;=VAL_DATE)=0,"",'Dvd Calendar'!$F$198*1000000000+ISNUMBER('Dvd Calendar'!$F$201)*100000000+('Dvd Calendar'!$F$203=SPECIAL_LBL)*10000000+0*1000000+18*1000+2))</f>
        <v/>
      </c>
      <c r="EG29" s="35">
        <f>IF(N('Dvd Calendar'!$G$198)=0,"",IF(('Dvd Calendar'!$G$198&gt;=GRID_FROM)*('Dvd Calendar'!$G$198&lt;=GRID_TO)*('Dvd Calendar'!$G$198&lt;=VAL_DATE)=0,"",'Dvd Calendar'!$G$198*1000000000+ISNUMBER('Dvd Calendar'!$G$201)*100000000+('Dvd Calendar'!$G$203=SPECIAL_LBL)*10000000+0*1000000+18*1000+3))</f>
        <v/>
      </c>
      <c r="EH29" s="35">
        <f>IF(N('Dvd Calendar'!$H$198)=0,"",IF(('Dvd Calendar'!$H$198&gt;=GRID_FROM)*('Dvd Calendar'!$H$198&lt;=GRID_TO)*('Dvd Calendar'!$H$198&lt;=VAL_DATE)=0,"",'Dvd Calendar'!$H$198*1000000000+ISNUMBER('Dvd Calendar'!$H$201)*100000000+('Dvd Calendar'!$H$203=SPECIAL_LBL)*10000000+0*1000000+18*1000+4))</f>
        <v/>
      </c>
      <c r="EI29" s="35">
        <f>IF(N('Dvd Calendar'!$I$198)=0,"",IF(('Dvd Calendar'!$I$198&gt;=GRID_FROM)*('Dvd Calendar'!$I$198&lt;=GRID_TO)*('Dvd Calendar'!$I$198&lt;=VAL_DATE)=0,"",'Dvd Calendar'!$I$198*1000000000+ISNUMBER('Dvd Calendar'!$I$201)*100000000+('Dvd Calendar'!$I$203=SPECIAL_LBL)*10000000+0*1000000+18*1000+5))</f>
        <v/>
      </c>
      <c r="EJ29" s="35">
        <f>IF(N('Dvd Calendar'!$J$198)=0,"",IF(('Dvd Calendar'!$J$198&gt;=GRID_FROM)*('Dvd Calendar'!$J$198&lt;=GRID_TO)*('Dvd Calendar'!$J$198&lt;=VAL_DATE)=0,"",'Dvd Calendar'!$J$198*1000000000+ISNUMBER('Dvd Calendar'!$J$201)*100000000+('Dvd Calendar'!$J$203=SPECIAL_LBL)*10000000+0*1000000+18*1000+6))</f>
        <v/>
      </c>
      <c r="EK29" s="35">
        <f>IF(N('Dvd Calendar'!$K$198)=0,"",IF(('Dvd Calendar'!$K$198&gt;=GRID_FROM)*('Dvd Calendar'!$K$198&lt;=GRID_TO)*('Dvd Calendar'!$K$198&lt;=VAL_DATE)=0,"",'Dvd Calendar'!$K$198*1000000000+ISNUMBER('Dvd Calendar'!$K$201)*100000000+('Dvd Calendar'!$K$203=SPECIAL_LBL)*10000000+0*1000000+18*1000+7))</f>
        <v/>
      </c>
      <c r="EL29" s="35">
        <f>IF(N('Dvd Calendar'!$L$198)=0,"",IF(('Dvd Calendar'!$L$198&gt;=GRID_FROM)*('Dvd Calendar'!$L$198&lt;=GRID_TO)*('Dvd Calendar'!$L$198&lt;=VAL_DATE)=0,"",'Dvd Calendar'!$L$198*1000000000+ISNUMBER('Dvd Calendar'!$L$201)*100000000+('Dvd Calendar'!$L$203=SPECIAL_LBL)*10000000+0*1000000+18*1000+8))</f>
        <v/>
      </c>
      <c r="EM29" s="35">
        <f>IF(N('Dvd Calendar'!$M$198)=0,"",IF(('Dvd Calendar'!$M$198&gt;=GRID_FROM)*('Dvd Calendar'!$M$198&lt;=GRID_TO)*('Dvd Calendar'!$M$198&lt;=VAL_DATE)=0,"",'Dvd Calendar'!$M$198*1000000000+ISNUMBER('Dvd Calendar'!$M$201)*100000000+('Dvd Calendar'!$M$203=SPECIAL_LBL)*10000000+0*1000000+18*1000+9))</f>
        <v/>
      </c>
      <c r="EN29" s="35">
        <f>IF(N('Dvd Calendar'!$N$198)=0,"",IF(('Dvd Calendar'!$N$198&gt;=GRID_FROM)*('Dvd Calendar'!$N$198&lt;=GRID_TO)*('Dvd Calendar'!$N$198&lt;=VAL_DATE)=0,"",'Dvd Calendar'!$N$198*1000000000+ISNUMBER('Dvd Calendar'!$N$201)*100000000+('Dvd Calendar'!$N$203=SPECIAL_LBL)*10000000+0*1000000+18*1000+10))</f>
        <v/>
      </c>
      <c r="EO29" s="35">
        <f>IF(N('Dvd Calendar'!$O$198)=0,"",IF(('Dvd Calendar'!$O$198&gt;=GRID_FROM)*('Dvd Calendar'!$O$198&lt;=GRID_TO)*('Dvd Calendar'!$O$198&lt;=VAL_DATE)=0,"",'Dvd Calendar'!$O$198*1000000000+ISNUMBER('Dvd Calendar'!$O$201)*100000000+('Dvd Calendar'!$O$203=SPECIAL_LBL)*10000000+0*1000000+18*1000+11))</f>
        <v/>
      </c>
      <c r="EP29" s="35">
        <f>IF(N('Dvd Calendar'!$P$198)=0,"",IF(('Dvd Calendar'!$P$198&gt;=GRID_FROM)*('Dvd Calendar'!$P$198&lt;=GRID_TO)*('Dvd Calendar'!$P$198&lt;=VAL_DATE)=0,"",'Dvd Calendar'!$P$198*1000000000+ISNUMBER('Dvd Calendar'!$P$201)*100000000+('Dvd Calendar'!$P$203=SPECIAL_LBL)*10000000+0*1000000+18*1000+12))</f>
        <v/>
      </c>
      <c r="EQ29" s="35">
        <f>IF(N('Dvd Calendar'!$Q$198)=0,"",IF(('Dvd Calendar'!$Q$198&gt;=GRID_FROM)*('Dvd Calendar'!$Q$198&lt;=GRID_TO)*('Dvd Calendar'!$Q$198&lt;=VAL_DATE)=0,"",'Dvd Calendar'!$Q$198*1000000000+ISNUMBER('Dvd Calendar'!$Q$201)*100000000+('Dvd Calendar'!$Q$203=SPECIAL_LBL)*10000000+0*1000000+18*1000+13))</f>
        <v/>
      </c>
      <c r="ER29" s="35">
        <f>IF(N('Dvd Calendar'!$R$198)=0,"",IF(('Dvd Calendar'!$R$198&gt;=GRID_FROM)*('Dvd Calendar'!$R$198&lt;=GRID_TO)*('Dvd Calendar'!$R$198&lt;=VAL_DATE)=0,"",'Dvd Calendar'!$R$198*1000000000+ISNUMBER('Dvd Calendar'!$R$201)*100000000+('Dvd Calendar'!$R$203=SPECIAL_LBL)*10000000+0*1000000+18*1000+14))</f>
        <v/>
      </c>
      <c r="ES29" s="35">
        <f>IF(N('Dvd Calendar'!$S$198)=0,"",IF(('Dvd Calendar'!$S$198&gt;=GRID_FROM)*('Dvd Calendar'!$S$198&lt;=GRID_TO)*('Dvd Calendar'!$S$198&lt;=VAL_DATE)=0,"",'Dvd Calendar'!$S$198*1000000000+ISNUMBER('Dvd Calendar'!$S$201)*100000000+('Dvd Calendar'!$S$203=SPECIAL_LBL)*10000000+0*1000000+18*1000+15))</f>
        <v/>
      </c>
      <c r="ET29" s="35">
        <f>IF(N('Dvd Calendar'!$T$198)=0,"",IF(('Dvd Calendar'!$T$198&gt;=GRID_FROM)*('Dvd Calendar'!$T$198&lt;=GRID_TO)*('Dvd Calendar'!$T$198&lt;=VAL_DATE)=0,"",'Dvd Calendar'!$T$198*1000000000+ISNUMBER('Dvd Calendar'!$T$201)*100000000+('Dvd Calendar'!$T$203=SPECIAL_LBL)*10000000+0*1000000+18*1000+16))</f>
        <v/>
      </c>
      <c r="EU29" s="35">
        <f>IF(N('Dvd Calendar'!$U$198)=0,"",IF(('Dvd Calendar'!$U$198&gt;=GRID_FROM)*('Dvd Calendar'!$U$198&lt;=GRID_TO)*('Dvd Calendar'!$U$198&lt;=VAL_DATE)=0,"",'Dvd Calendar'!$U$198*1000000000+ISNUMBER('Dvd Calendar'!$U$201)*100000000+('Dvd Calendar'!$U$203=SPECIAL_LBL)*10000000+0*1000000+18*1000+17))</f>
        <v/>
      </c>
      <c r="EV29" s="35">
        <f>IF(N('Dvd Calendar'!$V$198)=0,"",IF(('Dvd Calendar'!$V$198&gt;=GRID_FROM)*('Dvd Calendar'!$V$198&lt;=GRID_TO)*('Dvd Calendar'!$V$198&lt;=VAL_DATE)=0,"",'Dvd Calendar'!$V$198*1000000000+ISNUMBER('Dvd Calendar'!$V$201)*100000000+('Dvd Calendar'!$V$203=SPECIAL_LBL)*10000000+0*1000000+18*1000+18))</f>
        <v/>
      </c>
      <c r="EW29" s="35">
        <f>IF(N('Dvd Calendar'!$W$198)=0,"",IF(('Dvd Calendar'!$W$198&gt;=GRID_FROM)*('Dvd Calendar'!$W$198&lt;=GRID_TO)*('Dvd Calendar'!$W$198&lt;=VAL_DATE)=0,"",'Dvd Calendar'!$W$198*1000000000+ISNUMBER('Dvd Calendar'!$W$201)*100000000+('Dvd Calendar'!$W$203=SPECIAL_LBL)*10000000+0*1000000+18*1000+19))</f>
        <v/>
      </c>
      <c r="EX29" s="35">
        <f>IF(N('Dvd Calendar'!$X$198)=0,"",IF(('Dvd Calendar'!$X$198&gt;=GRID_FROM)*('Dvd Calendar'!$X$198&lt;=GRID_TO)*('Dvd Calendar'!$X$198&lt;=VAL_DATE)=0,"",'Dvd Calendar'!$X$198*1000000000+ISNUMBER('Dvd Calendar'!$X$201)*100000000+('Dvd Calendar'!$X$203=SPECIAL_LBL)*10000000+0*1000000+18*1000+20))</f>
        <v/>
      </c>
      <c r="EY29" s="35">
        <f>IF(N('Dvd Calendar'!$Y$198)=0,"",IF(('Dvd Calendar'!$Y$198&gt;=GRID_FROM)*('Dvd Calendar'!$Y$198&lt;=GRID_TO)*('Dvd Calendar'!$Y$198&lt;=VAL_DATE)=0,"",'Dvd Calendar'!$Y$198*1000000000+ISNUMBER('Dvd Calendar'!$Y$201)*100000000+('Dvd Calendar'!$Y$203=SPECIAL_LBL)*10000000+0*1000000+18*1000+21))</f>
        <v/>
      </c>
      <c r="EZ29" s="35">
        <f>IF(N('Dvd Calendar'!$Z$198)=0,"",IF(('Dvd Calendar'!$Z$198&gt;=GRID_FROM)*('Dvd Calendar'!$Z$198&lt;=GRID_TO)*('Dvd Calendar'!$Z$198&lt;=VAL_DATE)=0,"",'Dvd Calendar'!$Z$198*1000000000+ISNUMBER('Dvd Calendar'!$Z$201)*100000000+('Dvd Calendar'!$Z$203=SPECIAL_LBL)*10000000+0*1000000+18*1000+22))</f>
        <v/>
      </c>
      <c r="FA29" s="35">
        <f>IF(N('Dvd Calendar'!$AA$198)=0,"",IF(('Dvd Calendar'!$AA$198&gt;=GRID_FROM)*('Dvd Calendar'!$AA$198&lt;=GRID_TO)*('Dvd Calendar'!$AA$198&lt;=VAL_DATE)=0,"",'Dvd Calendar'!$AA$198*1000000000+ISNUMBER('Dvd Calendar'!$AA$201)*100000000+('Dvd Calendar'!$AA$203=SPECIAL_LBL)*10000000+0*1000000+18*1000+23))</f>
        <v/>
      </c>
      <c r="FB29" s="35">
        <f>IF(N('Dvd Calendar'!$AB$198)=0,"",IF(('Dvd Calendar'!$AB$198&gt;=GRID_FROM)*('Dvd Calendar'!$AB$198&lt;=GRID_TO)*('Dvd Calendar'!$AB$198&lt;=VAL_DATE)=0,"",'Dvd Calendar'!$AB$198*1000000000+ISNUMBER('Dvd Calendar'!$AB$201)*100000000+('Dvd Calendar'!$AB$203=SPECIAL_LBL)*10000000+0*1000000+18*1000+24))</f>
        <v/>
      </c>
      <c r="FC29" s="35">
        <f>IF(N('Dvd Calendar'!$AC$198)=0,"",IF(('Dvd Calendar'!$AC$198&gt;=GRID_FROM)*('Dvd Calendar'!$AC$198&lt;=GRID_TO)*('Dvd Calendar'!$AC$198&lt;=VAL_DATE)=0,"",'Dvd Calendar'!$AC$198*1000000000+ISNUMBER('Dvd Calendar'!$AC$201)*100000000+('Dvd Calendar'!$AC$203=SPECIAL_LBL)*10000000+0*1000000+18*1000+25))</f>
        <v/>
      </c>
      <c r="FD29" s="35">
        <f>IF(N('Dvd Calendar'!$AD$198)=0,"",IF(('Dvd Calendar'!$AD$198&gt;=GRID_FROM)*('Dvd Calendar'!$AD$198&lt;=GRID_TO)*('Dvd Calendar'!$AD$198&lt;=VAL_DATE)=0,"",'Dvd Calendar'!$AD$198*1000000000+ISNUMBER('Dvd Calendar'!$AD$201)*100000000+('Dvd Calendar'!$AD$203=SPECIAL_LBL)*10000000+0*1000000+18*1000+26))</f>
        <v/>
      </c>
      <c r="FE29" s="35">
        <f>IF(N('Dvd Calendar'!$AE$198)=0,"",IF(('Dvd Calendar'!$AE$198&gt;=GRID_FROM)*('Dvd Calendar'!$AE$198&lt;=GRID_TO)*('Dvd Calendar'!$AE$198&lt;=VAL_DATE)=0,"",'Dvd Calendar'!$AE$198*1000000000+ISNUMBER('Dvd Calendar'!$AE$201)*100000000+('Dvd Calendar'!$AE$203=SPECIAL_LBL)*10000000+0*1000000+18*1000+27))</f>
        <v/>
      </c>
      <c r="FF29" s="35">
        <f>IF(N('Dvd Calendar'!$AF$198)=0,"",IF(('Dvd Calendar'!$AF$198&gt;=GRID_FROM)*('Dvd Calendar'!$AF$198&lt;=GRID_TO)*('Dvd Calendar'!$AF$198&lt;=VAL_DATE)=0,"",'Dvd Calendar'!$AF$198*1000000000+ISNUMBER('Dvd Calendar'!$AF$201)*100000000+('Dvd Calendar'!$AF$203=SPECIAL_LBL)*10000000+0*1000000+18*1000+28))</f>
        <v/>
      </c>
      <c r="FG29" s="35">
        <f>IF(N('Dvd Calendar'!$AG$198)=0,"",IF(('Dvd Calendar'!$AG$198&gt;=GRID_FROM)*('Dvd Calendar'!$AG$198&lt;=GRID_TO)*('Dvd Calendar'!$AG$198&lt;=VAL_DATE)=0,"",'Dvd Calendar'!$AG$198*1000000000+ISNUMBER('Dvd Calendar'!$AG$201)*100000000+('Dvd Calendar'!$AG$203=SPECIAL_LBL)*10000000+0*1000000+18*1000+29))</f>
        <v/>
      </c>
      <c r="FH29" s="35">
        <f>IF(N('Dvd Calendar'!$AH$198)=0,"",IF(('Dvd Calendar'!$AH$198&gt;=GRID_FROM)*('Dvd Calendar'!$AH$198&lt;=GRID_TO)*('Dvd Calendar'!$AH$198&lt;=VAL_DATE)=0,"",'Dvd Calendar'!$AH$198*1000000000+ISNUMBER('Dvd Calendar'!$AH$201)*100000000+('Dvd Calendar'!$AH$203=SPECIAL_LBL)*10000000+0*1000000+18*1000+30))</f>
        <v/>
      </c>
      <c r="FI29" s="35">
        <f>IF(N('Dvd Calendar'!$AI$198)=0,"",IF(('Dvd Calendar'!$AI$198&gt;=GRID_FROM)*('Dvd Calendar'!$AI$198&lt;=GRID_TO)*('Dvd Calendar'!$AI$198&lt;=VAL_DATE)=0,"",'Dvd Calendar'!$AI$198*1000000000+ISNUMBER('Dvd Calendar'!$AI$201)*100000000+('Dvd Calendar'!$AI$203=SPECIAL_LBL)*10000000+0*1000000+18*1000+31))</f>
        <v/>
      </c>
      <c r="FJ29" s="35">
        <f>IF(N('Dvd Calendar'!$AJ$198)=0,"",IF(('Dvd Calendar'!$AJ$198&gt;=GRID_FROM)*('Dvd Calendar'!$AJ$198&lt;=GRID_TO)*('Dvd Calendar'!$AJ$198&lt;=VAL_DATE)=0,"",'Dvd Calendar'!$AJ$198*1000000000+ISNUMBER('Dvd Calendar'!$AJ$201)*100000000+('Dvd Calendar'!$AJ$203=SPECIAL_LBL)*10000000+0*1000000+18*1000+32))</f>
        <v/>
      </c>
      <c r="FK29" s="35">
        <f>IF(N('Dvd Calendar'!$AK$198)=0,"",IF(('Dvd Calendar'!$AK$198&gt;=GRID_FROM)*('Dvd Calendar'!$AK$198&lt;=GRID_TO)*('Dvd Calendar'!$AK$198&lt;=VAL_DATE)=0,"",'Dvd Calendar'!$AK$198*1000000000+ISNUMBER('Dvd Calendar'!$AK$201)*100000000+('Dvd Calendar'!$AK$203=SPECIAL_LBL)*10000000+0*1000000+18*1000+33))</f>
        <v/>
      </c>
      <c r="FL29" s="35">
        <f>IF(N('Dvd Calendar'!$AL$198)=0,"",IF(('Dvd Calendar'!$AL$198&gt;=GRID_FROM)*('Dvd Calendar'!$AL$198&lt;=GRID_TO)*('Dvd Calendar'!$AL$198&lt;=VAL_DATE)=0,"",'Dvd Calendar'!$AL$198*1000000000+ISNUMBER('Dvd Calendar'!$AL$201)*100000000+('Dvd Calendar'!$AL$203=SPECIAL_LBL)*10000000+0*1000000+18*1000+34))</f>
        <v/>
      </c>
      <c r="FM29" s="35">
        <f>IF(N('Dvd Calendar'!$AM$198)=0,"",IF(('Dvd Calendar'!$AM$198&gt;=GRID_FROM)*('Dvd Calendar'!$AM$198&lt;=GRID_TO)*('Dvd Calendar'!$AM$198&lt;=VAL_DATE)=0,"",'Dvd Calendar'!$AM$198*1000000000+ISNUMBER('Dvd Calendar'!$AM$201)*100000000+('Dvd Calendar'!$AM$203=SPECIAL_LBL)*10000000+0*1000000+18*1000+35))</f>
        <v/>
      </c>
      <c r="FN29" s="35">
        <f>IF(N('Dvd Calendar'!$AN$198)=0,"",IF(('Dvd Calendar'!$AN$198&gt;=GRID_FROM)*('Dvd Calendar'!$AN$198&lt;=GRID_TO)*('Dvd Calendar'!$AN$198&lt;=VAL_DATE)=0,"",'Dvd Calendar'!$AN$198*1000000000+ISNUMBER('Dvd Calendar'!$AN$201)*100000000+('Dvd Calendar'!$AN$203=SPECIAL_LBL)*10000000+0*1000000+18*1000+36))</f>
        <v/>
      </c>
      <c r="FO29" s="35">
        <f>IF(N('Dvd Calendar'!$AO$198)=0,"",IF(('Dvd Calendar'!$AO$198&gt;=GRID_FROM)*('Dvd Calendar'!$AO$198&lt;=GRID_TO)*('Dvd Calendar'!$AO$198&lt;=VAL_DATE)=0,"",'Dvd Calendar'!$AO$198*1000000000+ISNUMBER('Dvd Calendar'!$AO$201)*100000000+('Dvd Calendar'!$AO$203=SPECIAL_LBL)*10000000+0*1000000+18*1000+37))</f>
        <v/>
      </c>
      <c r="FP29" s="35">
        <f>IF(N('Dvd Calendar'!$AP$198)=0,"",IF(('Dvd Calendar'!$AP$198&gt;=GRID_FROM)*('Dvd Calendar'!$AP$198&lt;=GRID_TO)*('Dvd Calendar'!$AP$198&lt;=VAL_DATE)=0,"",'Dvd Calendar'!$AP$198*1000000000+ISNUMBER('Dvd Calendar'!$AP$201)*100000000+('Dvd Calendar'!$AP$203=SPECIAL_LBL)*10000000+0*1000000+18*1000+38))</f>
        <v/>
      </c>
      <c r="FQ29" s="35">
        <f>IF(N('Dvd Calendar'!$AQ$198)=0,"",IF(('Dvd Calendar'!$AQ$198&gt;=GRID_FROM)*('Dvd Calendar'!$AQ$198&lt;=GRID_TO)*('Dvd Calendar'!$AQ$198&lt;=VAL_DATE)=0,"",'Dvd Calendar'!$AQ$198*1000000000+ISNUMBER('Dvd Calendar'!$AQ$201)*100000000+('Dvd Calendar'!$AQ$203=SPECIAL_LBL)*10000000+0*1000000+18*1000+39))</f>
        <v/>
      </c>
      <c r="FR29" s="35">
        <f>IF(N('Dvd Calendar'!$AR$198)=0,"",IF(('Dvd Calendar'!$AR$198&gt;=GRID_FROM)*('Dvd Calendar'!$AR$198&lt;=GRID_TO)*('Dvd Calendar'!$AR$198&lt;=VAL_DATE)=0,"",'Dvd Calendar'!$AR$198*1000000000+ISNUMBER('Dvd Calendar'!$AR$201)*100000000+('Dvd Calendar'!$AR$203=SPECIAL_LBL)*10000000+0*1000000+18*1000+40))</f>
        <v/>
      </c>
      <c r="FS29" s="35">
        <f>IF(N('Dvd Calendar'!$E$205)=0,"",IF(('Dvd Calendar'!$E$205&gt;=GRID_FROM)*('Dvd Calendar'!$E$205&lt;=GRID_TO)*('Dvd Calendar'!$E$205&gt;VAL_DATE)=0,"",'Dvd Calendar'!$E$205*1000000000+ISNUMBER('Dvd Calendar'!$E$206)*100000000+0*10000000+(N('Dvd Calendar'!$E$204)&gt;0)*(N('Dvd Calendar'!$E$204)&lt;=VAL_SERIAL)*1000000+18*1000+41))</f>
        <v/>
      </c>
      <c r="FT29" s="35">
        <f>IF(N('Dvd Calendar'!$F$205)=0,"",IF(('Dvd Calendar'!$F$205&gt;=GRID_FROM)*('Dvd Calendar'!$F$205&lt;=GRID_TO)*('Dvd Calendar'!$F$205&gt;VAL_DATE)=0,"",'Dvd Calendar'!$F$205*1000000000+ISNUMBER('Dvd Calendar'!$F$206)*100000000+0*10000000+(N('Dvd Calendar'!$F$204)&gt;0)*(N('Dvd Calendar'!$F$204)&lt;=VAL_SERIAL)*1000000+18*1000+42))</f>
        <v/>
      </c>
      <c r="FU29" s="35">
        <f>IF(N('Dvd Calendar'!$G$205)=0,"",IF(('Dvd Calendar'!$G$205&gt;=GRID_FROM)*('Dvd Calendar'!$G$205&lt;=GRID_TO)*('Dvd Calendar'!$G$205&gt;VAL_DATE)=0,"",'Dvd Calendar'!$G$205*1000000000+ISNUMBER('Dvd Calendar'!$G$206)*100000000+0*10000000+(N('Dvd Calendar'!$G$204)&gt;0)*(N('Dvd Calendar'!$G$204)&lt;=VAL_SERIAL)*1000000+18*1000+43))</f>
        <v/>
      </c>
      <c r="FV29" s="35">
        <f>IF(N('Dvd Calendar'!$H$205)=0,"",IF(('Dvd Calendar'!$H$205&gt;=GRID_FROM)*('Dvd Calendar'!$H$205&lt;=GRID_TO)*('Dvd Calendar'!$H$205&gt;VAL_DATE)=0,"",'Dvd Calendar'!$H$205*1000000000+ISNUMBER('Dvd Calendar'!$H$206)*100000000+0*10000000+(N('Dvd Calendar'!$H$204)&gt;0)*(N('Dvd Calendar'!$H$204)&lt;=VAL_SERIAL)*1000000+18*1000+44))</f>
        <v/>
      </c>
      <c r="FW29" s="35">
        <f>IF(N('Dvd Calendar'!$I$205)=0,"",IF(('Dvd Calendar'!$I$205&gt;=GRID_FROM)*('Dvd Calendar'!$I$205&lt;=GRID_TO)*('Dvd Calendar'!$I$205&gt;VAL_DATE)=0,"",'Dvd Calendar'!$I$205*1000000000+ISNUMBER('Dvd Calendar'!$I$206)*100000000+0*10000000+(N('Dvd Calendar'!$I$204)&gt;0)*(N('Dvd Calendar'!$I$204)&lt;=VAL_SERIAL)*1000000+18*1000+45))</f>
        <v/>
      </c>
      <c r="FX29" s="35">
        <f>IF(N('Dvd Calendar'!$J$205)=0,"",IF(('Dvd Calendar'!$J$205&gt;=GRID_FROM)*('Dvd Calendar'!$J$205&lt;=GRID_TO)*('Dvd Calendar'!$J$205&gt;VAL_DATE)=0,"",'Dvd Calendar'!$J$205*1000000000+ISNUMBER('Dvd Calendar'!$J$206)*100000000+0*10000000+(N('Dvd Calendar'!$J$204)&gt;0)*(N('Dvd Calendar'!$J$204)&lt;=VAL_SERIAL)*1000000+18*1000+46))</f>
        <v/>
      </c>
      <c r="FY29" s="35">
        <f>IF(N('Dvd Calendar'!$K$205)=0,"",IF(('Dvd Calendar'!$K$205&gt;=GRID_FROM)*('Dvd Calendar'!$K$205&lt;=GRID_TO)*('Dvd Calendar'!$K$205&gt;VAL_DATE)=0,"",'Dvd Calendar'!$K$205*1000000000+ISNUMBER('Dvd Calendar'!$K$206)*100000000+0*10000000+(N('Dvd Calendar'!$K$204)&gt;0)*(N('Dvd Calendar'!$K$204)&lt;=VAL_SERIAL)*1000000+18*1000+47))</f>
        <v/>
      </c>
      <c r="FZ29" s="35">
        <f>IF(N('Dvd Calendar'!$L$205)=0,"",IF(('Dvd Calendar'!$L$205&gt;=GRID_FROM)*('Dvd Calendar'!$L$205&lt;=GRID_TO)*('Dvd Calendar'!$L$205&gt;VAL_DATE)=0,"",'Dvd Calendar'!$L$205*1000000000+ISNUMBER('Dvd Calendar'!$L$206)*100000000+0*10000000+(N('Dvd Calendar'!$L$204)&gt;0)*(N('Dvd Calendar'!$L$204)&lt;=VAL_SERIAL)*1000000+18*1000+48))</f>
        <v/>
      </c>
      <c r="GA29" s="35">
        <f>IF(N('Dvd Calendar'!$M$205)=0,"",IF(('Dvd Calendar'!$M$205&gt;=GRID_FROM)*('Dvd Calendar'!$M$205&lt;=GRID_TO)*('Dvd Calendar'!$M$205&gt;VAL_DATE)=0,"",'Dvd Calendar'!$M$205*1000000000+ISNUMBER('Dvd Calendar'!$M$206)*100000000+0*10000000+(N('Dvd Calendar'!$M$204)&gt;0)*(N('Dvd Calendar'!$M$204)&lt;=VAL_SERIAL)*1000000+18*1000+49))</f>
        <v/>
      </c>
      <c r="GB29" s="35">
        <f>IF(N('Dvd Calendar'!$N$205)=0,"",IF(('Dvd Calendar'!$N$205&gt;=GRID_FROM)*('Dvd Calendar'!$N$205&lt;=GRID_TO)*('Dvd Calendar'!$N$205&gt;VAL_DATE)=0,"",'Dvd Calendar'!$N$205*1000000000+ISNUMBER('Dvd Calendar'!$N$206)*100000000+0*10000000+(N('Dvd Calendar'!$N$204)&gt;0)*(N('Dvd Calendar'!$N$204)&lt;=VAL_SERIAL)*1000000+18*1000+50))</f>
        <v/>
      </c>
      <c r="GC29" s="35">
        <f>IF(N('Dvd Calendar'!$O$205)=0,"",IF(('Dvd Calendar'!$O$205&gt;=GRID_FROM)*('Dvd Calendar'!$O$205&lt;=GRID_TO)*('Dvd Calendar'!$O$205&gt;VAL_DATE)=0,"",'Dvd Calendar'!$O$205*1000000000+ISNUMBER('Dvd Calendar'!$O$206)*100000000+0*10000000+(N('Dvd Calendar'!$O$204)&gt;0)*(N('Dvd Calendar'!$O$204)&lt;=VAL_SERIAL)*1000000+18*1000+51))</f>
        <v/>
      </c>
      <c r="GD29" s="35">
        <f>IF(N('Dvd Calendar'!$P$205)=0,"",IF(('Dvd Calendar'!$P$205&gt;=GRID_FROM)*('Dvd Calendar'!$P$205&lt;=GRID_TO)*('Dvd Calendar'!$P$205&gt;VAL_DATE)=0,"",'Dvd Calendar'!$P$205*1000000000+ISNUMBER('Dvd Calendar'!$P$206)*100000000+0*10000000+(N('Dvd Calendar'!$P$204)&gt;0)*(N('Dvd Calendar'!$P$204)&lt;=VAL_SERIAL)*1000000+18*1000+52))</f>
        <v/>
      </c>
      <c r="GE29" s="35">
        <f>IF(N('Dvd Calendar'!$Q$205)=0,"",IF(('Dvd Calendar'!$Q$205&gt;=GRID_FROM)*('Dvd Calendar'!$Q$205&lt;=GRID_TO)*('Dvd Calendar'!$Q$205&gt;VAL_DATE)=0,"",'Dvd Calendar'!$Q$205*1000000000+ISNUMBER('Dvd Calendar'!$Q$206)*100000000+0*10000000+(N('Dvd Calendar'!$Q$204)&gt;0)*(N('Dvd Calendar'!$Q$204)&lt;=VAL_SERIAL)*1000000+18*1000+53))</f>
        <v/>
      </c>
      <c r="GF29" s="35">
        <f>IF(N('Dvd Calendar'!$R$205)=0,"",IF(('Dvd Calendar'!$R$205&gt;=GRID_FROM)*('Dvd Calendar'!$R$205&lt;=GRID_TO)*('Dvd Calendar'!$R$205&gt;VAL_DATE)=0,"",'Dvd Calendar'!$R$205*1000000000+ISNUMBER('Dvd Calendar'!$R$206)*100000000+0*10000000+(N('Dvd Calendar'!$R$204)&gt;0)*(N('Dvd Calendar'!$R$204)&lt;=VAL_SERIAL)*1000000+18*1000+54))</f>
        <v/>
      </c>
      <c r="GG29" s="35">
        <f>IF(N('Dvd Calendar'!$S$205)=0,"",IF(('Dvd Calendar'!$S$205&gt;=GRID_FROM)*('Dvd Calendar'!$S$205&lt;=GRID_TO)*('Dvd Calendar'!$S$205&gt;VAL_DATE)=0,"",'Dvd Calendar'!$S$205*1000000000+ISNUMBER('Dvd Calendar'!$S$206)*100000000+0*10000000+(N('Dvd Calendar'!$S$204)&gt;0)*(N('Dvd Calendar'!$S$204)&lt;=VAL_SERIAL)*1000000+18*1000+55))</f>
        <v/>
      </c>
      <c r="GH29" s="35">
        <f>IF(N('Dvd Calendar'!$T$205)=0,"",IF(('Dvd Calendar'!$T$205&gt;=GRID_FROM)*('Dvd Calendar'!$T$205&lt;=GRID_TO)*('Dvd Calendar'!$T$205&gt;VAL_DATE)=0,"",'Dvd Calendar'!$T$205*1000000000+ISNUMBER('Dvd Calendar'!$T$206)*100000000+0*10000000+(N('Dvd Calendar'!$T$204)&gt;0)*(N('Dvd Calendar'!$T$204)&lt;=VAL_SERIAL)*1000000+18*1000+56))</f>
        <v/>
      </c>
      <c r="GI29" s="35">
        <f>IF(N('Dvd Calendar'!$U$205)=0,"",IF(('Dvd Calendar'!$U$205&gt;=GRID_FROM)*('Dvd Calendar'!$U$205&lt;=GRID_TO)*('Dvd Calendar'!$U$205&gt;VAL_DATE)=0,"",'Dvd Calendar'!$U$205*1000000000+ISNUMBER('Dvd Calendar'!$U$206)*100000000+0*10000000+(N('Dvd Calendar'!$U$204)&gt;0)*(N('Dvd Calendar'!$U$204)&lt;=VAL_SERIAL)*1000000+18*1000+57))</f>
        <v/>
      </c>
      <c r="GJ29" s="35">
        <f>IF(N('Dvd Calendar'!$V$205)=0,"",IF(('Dvd Calendar'!$V$205&gt;=GRID_FROM)*('Dvd Calendar'!$V$205&lt;=GRID_TO)*('Dvd Calendar'!$V$205&gt;VAL_DATE)=0,"",'Dvd Calendar'!$V$205*1000000000+ISNUMBER('Dvd Calendar'!$V$206)*100000000+0*10000000+(N('Dvd Calendar'!$V$204)&gt;0)*(N('Dvd Calendar'!$V$204)&lt;=VAL_SERIAL)*1000000+18*1000+58))</f>
        <v/>
      </c>
      <c r="GK29" s="35">
        <f>IF(N('Dvd Calendar'!$W$205)=0,"",IF(('Dvd Calendar'!$W$205&gt;=GRID_FROM)*('Dvd Calendar'!$W$205&lt;=GRID_TO)*('Dvd Calendar'!$W$205&gt;VAL_DATE)=0,"",'Dvd Calendar'!$W$205*1000000000+ISNUMBER('Dvd Calendar'!$W$206)*100000000+0*10000000+(N('Dvd Calendar'!$W$204)&gt;0)*(N('Dvd Calendar'!$W$204)&lt;=VAL_SERIAL)*1000000+18*1000+59))</f>
        <v/>
      </c>
      <c r="GL29" s="35">
        <f>IF(N('Dvd Calendar'!$X$205)=0,"",IF(('Dvd Calendar'!$X$205&gt;=GRID_FROM)*('Dvd Calendar'!$X$205&lt;=GRID_TO)*('Dvd Calendar'!$X$205&gt;VAL_DATE)=0,"",'Dvd Calendar'!$X$205*1000000000+ISNUMBER('Dvd Calendar'!$X$206)*100000000+0*10000000+(N('Dvd Calendar'!$X$204)&gt;0)*(N('Dvd Calendar'!$X$204)&lt;=VAL_SERIAL)*1000000+18*1000+60))</f>
        <v/>
      </c>
      <c r="GM29" s="35">
        <f>IF(N('Dvd Calendar'!$Y$205)=0,"",IF(('Dvd Calendar'!$Y$205&gt;=GRID_FROM)*('Dvd Calendar'!$Y$205&lt;=GRID_TO)*('Dvd Calendar'!$Y$205&gt;VAL_DATE)=0,"",'Dvd Calendar'!$Y$205*1000000000+ISNUMBER('Dvd Calendar'!$Y$206)*100000000+0*10000000+(N('Dvd Calendar'!$Y$204)&gt;0)*(N('Dvd Calendar'!$Y$204)&lt;=VAL_SERIAL)*1000000+18*1000+61))</f>
        <v/>
      </c>
      <c r="GN29" s="35">
        <f>IF(N('Dvd Calendar'!$Z$205)=0,"",IF(('Dvd Calendar'!$Z$205&gt;=GRID_FROM)*('Dvd Calendar'!$Z$205&lt;=GRID_TO)*('Dvd Calendar'!$Z$205&gt;VAL_DATE)=0,"",'Dvd Calendar'!$Z$205*1000000000+ISNUMBER('Dvd Calendar'!$Z$206)*100000000+0*10000000+(N('Dvd Calendar'!$Z$204)&gt;0)*(N('Dvd Calendar'!$Z$204)&lt;=VAL_SERIAL)*1000000+18*1000+62))</f>
        <v/>
      </c>
      <c r="GO29" s="35">
        <f>IF(N('Dvd Calendar'!$AA$205)=0,"",IF(('Dvd Calendar'!$AA$205&gt;=GRID_FROM)*('Dvd Calendar'!$AA$205&lt;=GRID_TO)*('Dvd Calendar'!$AA$205&gt;VAL_DATE)=0,"",'Dvd Calendar'!$AA$205*1000000000+ISNUMBER('Dvd Calendar'!$AA$206)*100000000+0*10000000+(N('Dvd Calendar'!$AA$204)&gt;0)*(N('Dvd Calendar'!$AA$204)&lt;=VAL_SERIAL)*1000000+18*1000+63))</f>
        <v/>
      </c>
      <c r="GP29" s="35">
        <f>IF(N('Dvd Calendar'!$AB$205)=0,"",IF(('Dvd Calendar'!$AB$205&gt;=GRID_FROM)*('Dvd Calendar'!$AB$205&lt;=GRID_TO)*('Dvd Calendar'!$AB$205&gt;VAL_DATE)=0,"",'Dvd Calendar'!$AB$205*1000000000+ISNUMBER('Dvd Calendar'!$AB$206)*100000000+0*10000000+(N('Dvd Calendar'!$AB$204)&gt;0)*(N('Dvd Calendar'!$AB$204)&lt;=VAL_SERIAL)*1000000+18*1000+64))</f>
        <v/>
      </c>
      <c r="GQ29" s="35">
        <f>IF(N('Dvd Calendar'!$AC$205)=0,"",IF(('Dvd Calendar'!$AC$205&gt;=GRID_FROM)*('Dvd Calendar'!$AC$205&lt;=GRID_TO)*('Dvd Calendar'!$AC$205&gt;VAL_DATE)=0,"",'Dvd Calendar'!$AC$205*1000000000+ISNUMBER('Dvd Calendar'!$AC$206)*100000000+0*10000000+(N('Dvd Calendar'!$AC$204)&gt;0)*(N('Dvd Calendar'!$AC$204)&lt;=VAL_SERIAL)*1000000+18*1000+65))</f>
        <v/>
      </c>
    </row>
    <row r="30">
      <c r="B30" s="2">
        <f>IF(HSI!$C$25="","",HSI!$C$25)</f>
        <v/>
      </c>
      <c r="C30" s="106">
        <f>IF(EE30="","",IF(ISNUMBER('Dvd Calendar'!$E$212)=FALSE,"",IF((('Dvd Calendar'!$E$214=TYPE1)*(TYPE1&lt;&gt;"")+('Dvd Calendar'!$E$214=TYPE2)*(TYPE2&lt;&gt;"")+('Dvd Calendar'!$E$214=TYPE3)*(TYPE3&lt;&gt;"")+('Dvd Calendar'!$E$214=TYPE4)*(TYPE4&lt;&gt;"")+('Dvd Calendar'!$E$214=SPECIAL_LBL)*(INC_SPECIALS="Y"))=0,"",'Dvd Calendar'!$E$212)))</f>
        <v/>
      </c>
      <c r="D30" s="106">
        <f>IF(EF30="","",IF(ISNUMBER('Dvd Calendar'!$F$212)=FALSE,"",IF((('Dvd Calendar'!$F$214=TYPE1)*(TYPE1&lt;&gt;"")+('Dvd Calendar'!$F$214=TYPE2)*(TYPE2&lt;&gt;"")+('Dvd Calendar'!$F$214=TYPE3)*(TYPE3&lt;&gt;"")+('Dvd Calendar'!$F$214=TYPE4)*(TYPE4&lt;&gt;"")+('Dvd Calendar'!$F$214=SPECIAL_LBL)*(INC_SPECIALS="Y"))=0,"",'Dvd Calendar'!$F$212)))</f>
        <v/>
      </c>
      <c r="E30" s="106">
        <f>IF(EG30="","",IF(ISNUMBER('Dvd Calendar'!$G$212)=FALSE,"",IF((('Dvd Calendar'!$G$214=TYPE1)*(TYPE1&lt;&gt;"")+('Dvd Calendar'!$G$214=TYPE2)*(TYPE2&lt;&gt;"")+('Dvd Calendar'!$G$214=TYPE3)*(TYPE3&lt;&gt;"")+('Dvd Calendar'!$G$214=TYPE4)*(TYPE4&lt;&gt;"")+('Dvd Calendar'!$G$214=SPECIAL_LBL)*(INC_SPECIALS="Y"))=0,"",'Dvd Calendar'!$G$212)))</f>
        <v/>
      </c>
      <c r="F30" s="106">
        <f>IF(EH30="","",IF(ISNUMBER('Dvd Calendar'!$H$212)=FALSE,"",IF((('Dvd Calendar'!$H$214=TYPE1)*(TYPE1&lt;&gt;"")+('Dvd Calendar'!$H$214=TYPE2)*(TYPE2&lt;&gt;"")+('Dvd Calendar'!$H$214=TYPE3)*(TYPE3&lt;&gt;"")+('Dvd Calendar'!$H$214=TYPE4)*(TYPE4&lt;&gt;"")+('Dvd Calendar'!$H$214=SPECIAL_LBL)*(INC_SPECIALS="Y"))=0,"",'Dvd Calendar'!$H$212)))</f>
        <v/>
      </c>
      <c r="G30" s="106">
        <f>IF(EI30="","",IF(ISNUMBER('Dvd Calendar'!$I$212)=FALSE,"",IF((('Dvd Calendar'!$I$214=TYPE1)*(TYPE1&lt;&gt;"")+('Dvd Calendar'!$I$214=TYPE2)*(TYPE2&lt;&gt;"")+('Dvd Calendar'!$I$214=TYPE3)*(TYPE3&lt;&gt;"")+('Dvd Calendar'!$I$214=TYPE4)*(TYPE4&lt;&gt;"")+('Dvd Calendar'!$I$214=SPECIAL_LBL)*(INC_SPECIALS="Y"))=0,"",'Dvd Calendar'!$I$212)))</f>
        <v/>
      </c>
      <c r="H30" s="106">
        <f>IF(EJ30="","",IF(ISNUMBER('Dvd Calendar'!$J$212)=FALSE,"",IF((('Dvd Calendar'!$J$214=TYPE1)*(TYPE1&lt;&gt;"")+('Dvd Calendar'!$J$214=TYPE2)*(TYPE2&lt;&gt;"")+('Dvd Calendar'!$J$214=TYPE3)*(TYPE3&lt;&gt;"")+('Dvd Calendar'!$J$214=TYPE4)*(TYPE4&lt;&gt;"")+('Dvd Calendar'!$J$214=SPECIAL_LBL)*(INC_SPECIALS="Y"))=0,"",'Dvd Calendar'!$J$212)))</f>
        <v/>
      </c>
      <c r="I30" s="106">
        <f>IF(EK30="","",IF(ISNUMBER('Dvd Calendar'!$K$212)=FALSE,"",IF((('Dvd Calendar'!$K$214=TYPE1)*(TYPE1&lt;&gt;"")+('Dvd Calendar'!$K$214=TYPE2)*(TYPE2&lt;&gt;"")+('Dvd Calendar'!$K$214=TYPE3)*(TYPE3&lt;&gt;"")+('Dvd Calendar'!$K$214=TYPE4)*(TYPE4&lt;&gt;"")+('Dvd Calendar'!$K$214=SPECIAL_LBL)*(INC_SPECIALS="Y"))=0,"",'Dvd Calendar'!$K$212)))</f>
        <v/>
      </c>
      <c r="J30" s="106">
        <f>IF(EL30="","",IF(ISNUMBER('Dvd Calendar'!$L$212)=FALSE,"",IF((('Dvd Calendar'!$L$214=TYPE1)*(TYPE1&lt;&gt;"")+('Dvd Calendar'!$L$214=TYPE2)*(TYPE2&lt;&gt;"")+('Dvd Calendar'!$L$214=TYPE3)*(TYPE3&lt;&gt;"")+('Dvd Calendar'!$L$214=TYPE4)*(TYPE4&lt;&gt;"")+('Dvd Calendar'!$L$214=SPECIAL_LBL)*(INC_SPECIALS="Y"))=0,"",'Dvd Calendar'!$L$212)))</f>
        <v/>
      </c>
      <c r="K30" s="106">
        <f>IF(EM30="","",IF(ISNUMBER('Dvd Calendar'!$M$212)=FALSE,"",IF((('Dvd Calendar'!$M$214=TYPE1)*(TYPE1&lt;&gt;"")+('Dvd Calendar'!$M$214=TYPE2)*(TYPE2&lt;&gt;"")+('Dvd Calendar'!$M$214=TYPE3)*(TYPE3&lt;&gt;"")+('Dvd Calendar'!$M$214=TYPE4)*(TYPE4&lt;&gt;"")+('Dvd Calendar'!$M$214=SPECIAL_LBL)*(INC_SPECIALS="Y"))=0,"",'Dvd Calendar'!$M$212)))</f>
        <v/>
      </c>
      <c r="L30" s="106">
        <f>IF(EN30="","",IF(ISNUMBER('Dvd Calendar'!$N$212)=FALSE,"",IF((('Dvd Calendar'!$N$214=TYPE1)*(TYPE1&lt;&gt;"")+('Dvd Calendar'!$N$214=TYPE2)*(TYPE2&lt;&gt;"")+('Dvd Calendar'!$N$214=TYPE3)*(TYPE3&lt;&gt;"")+('Dvd Calendar'!$N$214=TYPE4)*(TYPE4&lt;&gt;"")+('Dvd Calendar'!$N$214=SPECIAL_LBL)*(INC_SPECIALS="Y"))=0,"",'Dvd Calendar'!$N$212)))</f>
        <v/>
      </c>
      <c r="M30" s="106">
        <f>IF(EO30="","",IF(ISNUMBER('Dvd Calendar'!$O$212)=FALSE,"",IF((('Dvd Calendar'!$O$214=TYPE1)*(TYPE1&lt;&gt;"")+('Dvd Calendar'!$O$214=TYPE2)*(TYPE2&lt;&gt;"")+('Dvd Calendar'!$O$214=TYPE3)*(TYPE3&lt;&gt;"")+('Dvd Calendar'!$O$214=TYPE4)*(TYPE4&lt;&gt;"")+('Dvd Calendar'!$O$214=SPECIAL_LBL)*(INC_SPECIALS="Y"))=0,"",'Dvd Calendar'!$O$212)))</f>
        <v/>
      </c>
      <c r="N30" s="106">
        <f>IF(EP30="","",IF(ISNUMBER('Dvd Calendar'!$P$212)=FALSE,"",IF((('Dvd Calendar'!$P$214=TYPE1)*(TYPE1&lt;&gt;"")+('Dvd Calendar'!$P$214=TYPE2)*(TYPE2&lt;&gt;"")+('Dvd Calendar'!$P$214=TYPE3)*(TYPE3&lt;&gt;"")+('Dvd Calendar'!$P$214=TYPE4)*(TYPE4&lt;&gt;"")+('Dvd Calendar'!$P$214=SPECIAL_LBL)*(INC_SPECIALS="Y"))=0,"",'Dvd Calendar'!$P$212)))</f>
        <v/>
      </c>
      <c r="O30" s="106">
        <f>IF(EQ30="","",IF(ISNUMBER('Dvd Calendar'!$Q$212)=FALSE,"",IF((('Dvd Calendar'!$Q$214=TYPE1)*(TYPE1&lt;&gt;"")+('Dvd Calendar'!$Q$214=TYPE2)*(TYPE2&lt;&gt;"")+('Dvd Calendar'!$Q$214=TYPE3)*(TYPE3&lt;&gt;"")+('Dvd Calendar'!$Q$214=TYPE4)*(TYPE4&lt;&gt;"")+('Dvd Calendar'!$Q$214=SPECIAL_LBL)*(INC_SPECIALS="Y"))=0,"",'Dvd Calendar'!$Q$212)))</f>
        <v/>
      </c>
      <c r="P30" s="106">
        <f>IF(ER30="","",IF(ISNUMBER('Dvd Calendar'!$R$212)=FALSE,"",IF((('Dvd Calendar'!$R$214=TYPE1)*(TYPE1&lt;&gt;"")+('Dvd Calendar'!$R$214=TYPE2)*(TYPE2&lt;&gt;"")+('Dvd Calendar'!$R$214=TYPE3)*(TYPE3&lt;&gt;"")+('Dvd Calendar'!$R$214=TYPE4)*(TYPE4&lt;&gt;"")+('Dvd Calendar'!$R$214=SPECIAL_LBL)*(INC_SPECIALS="Y"))=0,"",'Dvd Calendar'!$R$212)))</f>
        <v/>
      </c>
      <c r="Q30" s="106">
        <f>IF(ES30="","",IF(ISNUMBER('Dvd Calendar'!$S$212)=FALSE,"",IF((('Dvd Calendar'!$S$214=TYPE1)*(TYPE1&lt;&gt;"")+('Dvd Calendar'!$S$214=TYPE2)*(TYPE2&lt;&gt;"")+('Dvd Calendar'!$S$214=TYPE3)*(TYPE3&lt;&gt;"")+('Dvd Calendar'!$S$214=TYPE4)*(TYPE4&lt;&gt;"")+('Dvd Calendar'!$S$214=SPECIAL_LBL)*(INC_SPECIALS="Y"))=0,"",'Dvd Calendar'!$S$212)))</f>
        <v/>
      </c>
      <c r="R30" s="106">
        <f>IF(ET30="","",IF(ISNUMBER('Dvd Calendar'!$T$212)=FALSE,"",IF((('Dvd Calendar'!$T$214=TYPE1)*(TYPE1&lt;&gt;"")+('Dvd Calendar'!$T$214=TYPE2)*(TYPE2&lt;&gt;"")+('Dvd Calendar'!$T$214=TYPE3)*(TYPE3&lt;&gt;"")+('Dvd Calendar'!$T$214=TYPE4)*(TYPE4&lt;&gt;"")+('Dvd Calendar'!$T$214=SPECIAL_LBL)*(INC_SPECIALS="Y"))=0,"",'Dvd Calendar'!$T$212)))</f>
        <v/>
      </c>
      <c r="S30" s="106">
        <f>IF(EU30="","",IF(ISNUMBER('Dvd Calendar'!$U$212)=FALSE,"",IF((('Dvd Calendar'!$U$214=TYPE1)*(TYPE1&lt;&gt;"")+('Dvd Calendar'!$U$214=TYPE2)*(TYPE2&lt;&gt;"")+('Dvd Calendar'!$U$214=TYPE3)*(TYPE3&lt;&gt;"")+('Dvd Calendar'!$U$214=TYPE4)*(TYPE4&lt;&gt;"")+('Dvd Calendar'!$U$214=SPECIAL_LBL)*(INC_SPECIALS="Y"))=0,"",'Dvd Calendar'!$U$212)))</f>
        <v/>
      </c>
      <c r="T30" s="106">
        <f>IF(EV30="","",IF(ISNUMBER('Dvd Calendar'!$V$212)=FALSE,"",IF((('Dvd Calendar'!$V$214=TYPE1)*(TYPE1&lt;&gt;"")+('Dvd Calendar'!$V$214=TYPE2)*(TYPE2&lt;&gt;"")+('Dvd Calendar'!$V$214=TYPE3)*(TYPE3&lt;&gt;"")+('Dvd Calendar'!$V$214=TYPE4)*(TYPE4&lt;&gt;"")+('Dvd Calendar'!$V$214=SPECIAL_LBL)*(INC_SPECIALS="Y"))=0,"",'Dvd Calendar'!$V$212)))</f>
        <v/>
      </c>
      <c r="U30" s="106">
        <f>IF(EW30="","",IF(ISNUMBER('Dvd Calendar'!$W$212)=FALSE,"",IF((('Dvd Calendar'!$W$214=TYPE1)*(TYPE1&lt;&gt;"")+('Dvd Calendar'!$W$214=TYPE2)*(TYPE2&lt;&gt;"")+('Dvd Calendar'!$W$214=TYPE3)*(TYPE3&lt;&gt;"")+('Dvd Calendar'!$W$214=TYPE4)*(TYPE4&lt;&gt;"")+('Dvd Calendar'!$W$214=SPECIAL_LBL)*(INC_SPECIALS="Y"))=0,"",'Dvd Calendar'!$W$212)))</f>
        <v/>
      </c>
      <c r="V30" s="106">
        <f>IF(EX30="","",IF(ISNUMBER('Dvd Calendar'!$X$212)=FALSE,"",IF((('Dvd Calendar'!$X$214=TYPE1)*(TYPE1&lt;&gt;"")+('Dvd Calendar'!$X$214=TYPE2)*(TYPE2&lt;&gt;"")+('Dvd Calendar'!$X$214=TYPE3)*(TYPE3&lt;&gt;"")+('Dvd Calendar'!$X$214=TYPE4)*(TYPE4&lt;&gt;"")+('Dvd Calendar'!$X$214=SPECIAL_LBL)*(INC_SPECIALS="Y"))=0,"",'Dvd Calendar'!$X$212)))</f>
        <v/>
      </c>
      <c r="W30" s="106">
        <f>IF(EY30="","",IF(ISNUMBER('Dvd Calendar'!$Y$212)=FALSE,"",IF((('Dvd Calendar'!$Y$214=TYPE1)*(TYPE1&lt;&gt;"")+('Dvd Calendar'!$Y$214=TYPE2)*(TYPE2&lt;&gt;"")+('Dvd Calendar'!$Y$214=TYPE3)*(TYPE3&lt;&gt;"")+('Dvd Calendar'!$Y$214=TYPE4)*(TYPE4&lt;&gt;"")+('Dvd Calendar'!$Y$214=SPECIAL_LBL)*(INC_SPECIALS="Y"))=0,"",'Dvd Calendar'!$Y$212)))</f>
        <v/>
      </c>
      <c r="X30" s="106">
        <f>IF(EZ30="","",IF(ISNUMBER('Dvd Calendar'!$Z$212)=FALSE,"",IF((('Dvd Calendar'!$Z$214=TYPE1)*(TYPE1&lt;&gt;"")+('Dvd Calendar'!$Z$214=TYPE2)*(TYPE2&lt;&gt;"")+('Dvd Calendar'!$Z$214=TYPE3)*(TYPE3&lt;&gt;"")+('Dvd Calendar'!$Z$214=TYPE4)*(TYPE4&lt;&gt;"")+('Dvd Calendar'!$Z$214=SPECIAL_LBL)*(INC_SPECIALS="Y"))=0,"",'Dvd Calendar'!$Z$212)))</f>
        <v/>
      </c>
      <c r="Y30" s="106">
        <f>IF(FA30="","",IF(ISNUMBER('Dvd Calendar'!$AA$212)=FALSE,"",IF((('Dvd Calendar'!$AA$214=TYPE1)*(TYPE1&lt;&gt;"")+('Dvd Calendar'!$AA$214=TYPE2)*(TYPE2&lt;&gt;"")+('Dvd Calendar'!$AA$214=TYPE3)*(TYPE3&lt;&gt;"")+('Dvd Calendar'!$AA$214=TYPE4)*(TYPE4&lt;&gt;"")+('Dvd Calendar'!$AA$214=SPECIAL_LBL)*(INC_SPECIALS="Y"))=0,"",'Dvd Calendar'!$AA$212)))</f>
        <v/>
      </c>
      <c r="Z30" s="106">
        <f>IF(FB30="","",IF(ISNUMBER('Dvd Calendar'!$AB$212)=FALSE,"",IF((('Dvd Calendar'!$AB$214=TYPE1)*(TYPE1&lt;&gt;"")+('Dvd Calendar'!$AB$214=TYPE2)*(TYPE2&lt;&gt;"")+('Dvd Calendar'!$AB$214=TYPE3)*(TYPE3&lt;&gt;"")+('Dvd Calendar'!$AB$214=TYPE4)*(TYPE4&lt;&gt;"")+('Dvd Calendar'!$AB$214=SPECIAL_LBL)*(INC_SPECIALS="Y"))=0,"",'Dvd Calendar'!$AB$212)))</f>
        <v/>
      </c>
      <c r="AA30" s="106">
        <f>IF(FC30="","",IF(ISNUMBER('Dvd Calendar'!$AC$212)=FALSE,"",IF((('Dvd Calendar'!$AC$214=TYPE1)*(TYPE1&lt;&gt;"")+('Dvd Calendar'!$AC$214=TYPE2)*(TYPE2&lt;&gt;"")+('Dvd Calendar'!$AC$214=TYPE3)*(TYPE3&lt;&gt;"")+('Dvd Calendar'!$AC$214=TYPE4)*(TYPE4&lt;&gt;"")+('Dvd Calendar'!$AC$214=SPECIAL_LBL)*(INC_SPECIALS="Y"))=0,"",'Dvd Calendar'!$AC$212)))</f>
        <v/>
      </c>
      <c r="AB30" s="106">
        <f>IF(FD30="","",IF(ISNUMBER('Dvd Calendar'!$AD$212)=FALSE,"",IF((('Dvd Calendar'!$AD$214=TYPE1)*(TYPE1&lt;&gt;"")+('Dvd Calendar'!$AD$214=TYPE2)*(TYPE2&lt;&gt;"")+('Dvd Calendar'!$AD$214=TYPE3)*(TYPE3&lt;&gt;"")+('Dvd Calendar'!$AD$214=TYPE4)*(TYPE4&lt;&gt;"")+('Dvd Calendar'!$AD$214=SPECIAL_LBL)*(INC_SPECIALS="Y"))=0,"",'Dvd Calendar'!$AD$212)))</f>
        <v/>
      </c>
      <c r="AC30" s="106">
        <f>IF(FE30="","",IF(ISNUMBER('Dvd Calendar'!$AE$212)=FALSE,"",IF((('Dvd Calendar'!$AE$214=TYPE1)*(TYPE1&lt;&gt;"")+('Dvd Calendar'!$AE$214=TYPE2)*(TYPE2&lt;&gt;"")+('Dvd Calendar'!$AE$214=TYPE3)*(TYPE3&lt;&gt;"")+('Dvd Calendar'!$AE$214=TYPE4)*(TYPE4&lt;&gt;"")+('Dvd Calendar'!$AE$214=SPECIAL_LBL)*(INC_SPECIALS="Y"))=0,"",'Dvd Calendar'!$AE$212)))</f>
        <v/>
      </c>
      <c r="AD30" s="106">
        <f>IF(FF30="","",IF(ISNUMBER('Dvd Calendar'!$AF$212)=FALSE,"",IF((('Dvd Calendar'!$AF$214=TYPE1)*(TYPE1&lt;&gt;"")+('Dvd Calendar'!$AF$214=TYPE2)*(TYPE2&lt;&gt;"")+('Dvd Calendar'!$AF$214=TYPE3)*(TYPE3&lt;&gt;"")+('Dvd Calendar'!$AF$214=TYPE4)*(TYPE4&lt;&gt;"")+('Dvd Calendar'!$AF$214=SPECIAL_LBL)*(INC_SPECIALS="Y"))=0,"",'Dvd Calendar'!$AF$212)))</f>
        <v/>
      </c>
      <c r="AE30" s="106">
        <f>IF(FG30="","",IF(ISNUMBER('Dvd Calendar'!$AG$212)=FALSE,"",IF((('Dvd Calendar'!$AG$214=TYPE1)*(TYPE1&lt;&gt;"")+('Dvd Calendar'!$AG$214=TYPE2)*(TYPE2&lt;&gt;"")+('Dvd Calendar'!$AG$214=TYPE3)*(TYPE3&lt;&gt;"")+('Dvd Calendar'!$AG$214=TYPE4)*(TYPE4&lt;&gt;"")+('Dvd Calendar'!$AG$214=SPECIAL_LBL)*(INC_SPECIALS="Y"))=0,"",'Dvd Calendar'!$AG$212)))</f>
        <v/>
      </c>
      <c r="AF30" s="106">
        <f>IF(FH30="","",IF(ISNUMBER('Dvd Calendar'!$AH$212)=FALSE,"",IF((('Dvd Calendar'!$AH$214=TYPE1)*(TYPE1&lt;&gt;"")+('Dvd Calendar'!$AH$214=TYPE2)*(TYPE2&lt;&gt;"")+('Dvd Calendar'!$AH$214=TYPE3)*(TYPE3&lt;&gt;"")+('Dvd Calendar'!$AH$214=TYPE4)*(TYPE4&lt;&gt;"")+('Dvd Calendar'!$AH$214=SPECIAL_LBL)*(INC_SPECIALS="Y"))=0,"",'Dvd Calendar'!$AH$212)))</f>
        <v/>
      </c>
      <c r="AG30" s="106">
        <f>IF(FI30="","",IF(ISNUMBER('Dvd Calendar'!$AI$212)=FALSE,"",IF((('Dvd Calendar'!$AI$214=TYPE1)*(TYPE1&lt;&gt;"")+('Dvd Calendar'!$AI$214=TYPE2)*(TYPE2&lt;&gt;"")+('Dvd Calendar'!$AI$214=TYPE3)*(TYPE3&lt;&gt;"")+('Dvd Calendar'!$AI$214=TYPE4)*(TYPE4&lt;&gt;"")+('Dvd Calendar'!$AI$214=SPECIAL_LBL)*(INC_SPECIALS="Y"))=0,"",'Dvd Calendar'!$AI$212)))</f>
        <v/>
      </c>
      <c r="AH30" s="106">
        <f>IF(FJ30="","",IF(ISNUMBER('Dvd Calendar'!$AJ$212)=FALSE,"",IF((('Dvd Calendar'!$AJ$214=TYPE1)*(TYPE1&lt;&gt;"")+('Dvd Calendar'!$AJ$214=TYPE2)*(TYPE2&lt;&gt;"")+('Dvd Calendar'!$AJ$214=TYPE3)*(TYPE3&lt;&gt;"")+('Dvd Calendar'!$AJ$214=TYPE4)*(TYPE4&lt;&gt;"")+('Dvd Calendar'!$AJ$214=SPECIAL_LBL)*(INC_SPECIALS="Y"))=0,"",'Dvd Calendar'!$AJ$212)))</f>
        <v/>
      </c>
      <c r="AI30" s="106">
        <f>IF(FK30="","",IF(ISNUMBER('Dvd Calendar'!$AK$212)=FALSE,"",IF((('Dvd Calendar'!$AK$214=TYPE1)*(TYPE1&lt;&gt;"")+('Dvd Calendar'!$AK$214=TYPE2)*(TYPE2&lt;&gt;"")+('Dvd Calendar'!$AK$214=TYPE3)*(TYPE3&lt;&gt;"")+('Dvd Calendar'!$AK$214=TYPE4)*(TYPE4&lt;&gt;"")+('Dvd Calendar'!$AK$214=SPECIAL_LBL)*(INC_SPECIALS="Y"))=0,"",'Dvd Calendar'!$AK$212)))</f>
        <v/>
      </c>
      <c r="AJ30" s="106">
        <f>IF(FL30="","",IF(ISNUMBER('Dvd Calendar'!$AL$212)=FALSE,"",IF((('Dvd Calendar'!$AL$214=TYPE1)*(TYPE1&lt;&gt;"")+('Dvd Calendar'!$AL$214=TYPE2)*(TYPE2&lt;&gt;"")+('Dvd Calendar'!$AL$214=TYPE3)*(TYPE3&lt;&gt;"")+('Dvd Calendar'!$AL$214=TYPE4)*(TYPE4&lt;&gt;"")+('Dvd Calendar'!$AL$214=SPECIAL_LBL)*(INC_SPECIALS="Y"))=0,"",'Dvd Calendar'!$AL$212)))</f>
        <v/>
      </c>
      <c r="AK30" s="106">
        <f>IF(FM30="","",IF(ISNUMBER('Dvd Calendar'!$AM$212)=FALSE,"",IF((('Dvd Calendar'!$AM$214=TYPE1)*(TYPE1&lt;&gt;"")+('Dvd Calendar'!$AM$214=TYPE2)*(TYPE2&lt;&gt;"")+('Dvd Calendar'!$AM$214=TYPE3)*(TYPE3&lt;&gt;"")+('Dvd Calendar'!$AM$214=TYPE4)*(TYPE4&lt;&gt;"")+('Dvd Calendar'!$AM$214=SPECIAL_LBL)*(INC_SPECIALS="Y"))=0,"",'Dvd Calendar'!$AM$212)))</f>
        <v/>
      </c>
      <c r="AL30" s="106">
        <f>IF(FN30="","",IF(ISNUMBER('Dvd Calendar'!$AN$212)=FALSE,"",IF((('Dvd Calendar'!$AN$214=TYPE1)*(TYPE1&lt;&gt;"")+('Dvd Calendar'!$AN$214=TYPE2)*(TYPE2&lt;&gt;"")+('Dvd Calendar'!$AN$214=TYPE3)*(TYPE3&lt;&gt;"")+('Dvd Calendar'!$AN$214=TYPE4)*(TYPE4&lt;&gt;"")+('Dvd Calendar'!$AN$214=SPECIAL_LBL)*(INC_SPECIALS="Y"))=0,"",'Dvd Calendar'!$AN$212)))</f>
        <v/>
      </c>
      <c r="AM30" s="106">
        <f>IF(FO30="","",IF(ISNUMBER('Dvd Calendar'!$AO$212)=FALSE,"",IF((('Dvd Calendar'!$AO$214=TYPE1)*(TYPE1&lt;&gt;"")+('Dvd Calendar'!$AO$214=TYPE2)*(TYPE2&lt;&gt;"")+('Dvd Calendar'!$AO$214=TYPE3)*(TYPE3&lt;&gt;"")+('Dvd Calendar'!$AO$214=TYPE4)*(TYPE4&lt;&gt;"")+('Dvd Calendar'!$AO$214=SPECIAL_LBL)*(INC_SPECIALS="Y"))=0,"",'Dvd Calendar'!$AO$212)))</f>
        <v/>
      </c>
      <c r="AN30" s="106">
        <f>IF(FP30="","",IF(ISNUMBER('Dvd Calendar'!$AP$212)=FALSE,"",IF((('Dvd Calendar'!$AP$214=TYPE1)*(TYPE1&lt;&gt;"")+('Dvd Calendar'!$AP$214=TYPE2)*(TYPE2&lt;&gt;"")+('Dvd Calendar'!$AP$214=TYPE3)*(TYPE3&lt;&gt;"")+('Dvd Calendar'!$AP$214=TYPE4)*(TYPE4&lt;&gt;"")+('Dvd Calendar'!$AP$214=SPECIAL_LBL)*(INC_SPECIALS="Y"))=0,"",'Dvd Calendar'!$AP$212)))</f>
        <v/>
      </c>
      <c r="AO30" s="106">
        <f>IF(FQ30="","",IF(ISNUMBER('Dvd Calendar'!$AQ$212)=FALSE,"",IF((('Dvd Calendar'!$AQ$214=TYPE1)*(TYPE1&lt;&gt;"")+('Dvd Calendar'!$AQ$214=TYPE2)*(TYPE2&lt;&gt;"")+('Dvd Calendar'!$AQ$214=TYPE3)*(TYPE3&lt;&gt;"")+('Dvd Calendar'!$AQ$214=TYPE4)*(TYPE4&lt;&gt;"")+('Dvd Calendar'!$AQ$214=SPECIAL_LBL)*(INC_SPECIALS="Y"))=0,"",'Dvd Calendar'!$AQ$212)))</f>
        <v/>
      </c>
      <c r="AP30" s="106">
        <f>IF(FR30="","",IF(ISNUMBER('Dvd Calendar'!$AR$212)=FALSE,"",IF((('Dvd Calendar'!$AR$214=TYPE1)*(TYPE1&lt;&gt;"")+('Dvd Calendar'!$AR$214=TYPE2)*(TYPE2&lt;&gt;"")+('Dvd Calendar'!$AR$214=TYPE3)*(TYPE3&lt;&gt;"")+('Dvd Calendar'!$AR$214=TYPE4)*(TYPE4&lt;&gt;"")+('Dvd Calendar'!$AR$214=SPECIAL_LBL)*(INC_SPECIALS="Y"))=0,"",'Dvd Calendar'!$AR$212)))</f>
        <v/>
      </c>
      <c r="AQ30" s="106">
        <f>IF(FS30="","",IF(ISNUMBER('Dvd Calendar'!$E$217)=FALSE,"",'Dvd Calendar'!$E$217))</f>
        <v/>
      </c>
      <c r="AR30" s="106">
        <f>IF(FT30="","",IF(ISNUMBER('Dvd Calendar'!$F$217)=FALSE,"",'Dvd Calendar'!$F$217))</f>
        <v/>
      </c>
      <c r="AS30" s="106">
        <f>IF(FU30="","",IF(ISNUMBER('Dvd Calendar'!$G$217)=FALSE,"",'Dvd Calendar'!$G$217))</f>
        <v/>
      </c>
      <c r="AT30" s="106">
        <f>IF(FV30="","",IF(ISNUMBER('Dvd Calendar'!$H$217)=FALSE,"",'Dvd Calendar'!$H$217))</f>
        <v/>
      </c>
      <c r="AU30" s="106">
        <f>IF(FW30="","",IF(ISNUMBER('Dvd Calendar'!$I$217)=FALSE,"",'Dvd Calendar'!$I$217))</f>
        <v/>
      </c>
      <c r="AV30" s="106">
        <f>IF(FX30="","",IF(ISNUMBER('Dvd Calendar'!$J$217)=FALSE,"",'Dvd Calendar'!$J$217))</f>
        <v/>
      </c>
      <c r="AW30" s="106">
        <f>IF(FY30="","",IF(ISNUMBER('Dvd Calendar'!$K$217)=FALSE,"",'Dvd Calendar'!$K$217))</f>
        <v/>
      </c>
      <c r="AX30" s="106">
        <f>IF(FZ30="","",IF(ISNUMBER('Dvd Calendar'!$L$217)=FALSE,"",'Dvd Calendar'!$L$217))</f>
        <v/>
      </c>
      <c r="AY30" s="106">
        <f>IF(GA30="","",IF(ISNUMBER('Dvd Calendar'!$M$217)=FALSE,"",'Dvd Calendar'!$M$217))</f>
        <v/>
      </c>
      <c r="AZ30" s="106">
        <f>IF(GB30="","",IF(ISNUMBER('Dvd Calendar'!$N$217)=FALSE,"",'Dvd Calendar'!$N$217))</f>
        <v/>
      </c>
      <c r="BA30" s="106">
        <f>IF(GC30="","",IF(ISNUMBER('Dvd Calendar'!$O$217)=FALSE,"",'Dvd Calendar'!$O$217))</f>
        <v/>
      </c>
      <c r="BB30" s="106">
        <f>IF(GD30="","",IF(ISNUMBER('Dvd Calendar'!$P$217)=FALSE,"",'Dvd Calendar'!$P$217))</f>
        <v/>
      </c>
      <c r="BC30" s="106">
        <f>IF(GE30="","",IF(ISNUMBER('Dvd Calendar'!$Q$217)=FALSE,"",'Dvd Calendar'!$Q$217))</f>
        <v/>
      </c>
      <c r="BD30" s="106">
        <f>IF(GF30="","",IF(ISNUMBER('Dvd Calendar'!$R$217)=FALSE,"",'Dvd Calendar'!$R$217))</f>
        <v/>
      </c>
      <c r="BE30" s="106">
        <f>IF(GG30="","",IF(ISNUMBER('Dvd Calendar'!$S$217)=FALSE,"",'Dvd Calendar'!$S$217))</f>
        <v/>
      </c>
      <c r="BF30" s="106">
        <f>IF(GH30="","",IF(ISNUMBER('Dvd Calendar'!$T$217)=FALSE,"",'Dvd Calendar'!$T$217))</f>
        <v/>
      </c>
      <c r="BG30" s="106">
        <f>IF(GI30="","",IF(ISNUMBER('Dvd Calendar'!$U$217)=FALSE,"",'Dvd Calendar'!$U$217))</f>
        <v/>
      </c>
      <c r="BH30" s="106">
        <f>IF(GJ30="","",IF(ISNUMBER('Dvd Calendar'!$V$217)=FALSE,"",'Dvd Calendar'!$V$217))</f>
        <v/>
      </c>
      <c r="BI30" s="106">
        <f>IF(GK30="","",IF(ISNUMBER('Dvd Calendar'!$W$217)=FALSE,"",'Dvd Calendar'!$W$217))</f>
        <v/>
      </c>
      <c r="BJ30" s="106">
        <f>IF(GL30="","",IF(ISNUMBER('Dvd Calendar'!$X$217)=FALSE,"",'Dvd Calendar'!$X$217))</f>
        <v/>
      </c>
      <c r="BK30" s="106">
        <f>IF(GM30="","",IF(ISNUMBER('Dvd Calendar'!$Y$217)=FALSE,"",'Dvd Calendar'!$Y$217))</f>
        <v/>
      </c>
      <c r="BL30" s="106">
        <f>IF(GN30="","",IF(ISNUMBER('Dvd Calendar'!$Z$217)=FALSE,"",'Dvd Calendar'!$Z$217))</f>
        <v/>
      </c>
      <c r="BM30" s="106">
        <f>IF(GO30="","",IF(ISNUMBER('Dvd Calendar'!$AA$217)=FALSE,"",'Dvd Calendar'!$AA$217))</f>
        <v/>
      </c>
      <c r="BN30" s="106">
        <f>IF(GP30="","",IF(ISNUMBER('Dvd Calendar'!$AB$217)=FALSE,"",'Dvd Calendar'!$AB$217))</f>
        <v/>
      </c>
      <c r="BO30" s="106">
        <f>IF(GQ30="","",IF(ISNUMBER('Dvd Calendar'!$AC$217)=FALSE,"",'Dvd Calendar'!$AC$217))</f>
        <v/>
      </c>
      <c r="BQ30" s="106">
        <f>IF(C30="","",IFERROR(C30*HSI!$B$25*HSI!$G$25/HSI!$B$3,""))</f>
        <v/>
      </c>
      <c r="BR30" s="106">
        <f>IF(D30="","",IFERROR(D30*HSI!$B$25*HSI!$G$25/HSI!$B$3,""))</f>
        <v/>
      </c>
      <c r="BS30" s="106">
        <f>IF(E30="","",IFERROR(E30*HSI!$B$25*HSI!$G$25/HSI!$B$3,""))</f>
        <v/>
      </c>
      <c r="BT30" s="106">
        <f>IF(F30="","",IFERROR(F30*HSI!$B$25*HSI!$G$25/HSI!$B$3,""))</f>
        <v/>
      </c>
      <c r="BU30" s="106">
        <f>IF(G30="","",IFERROR(G30*HSI!$B$25*HSI!$G$25/HSI!$B$3,""))</f>
        <v/>
      </c>
      <c r="BV30" s="106">
        <f>IF(H30="","",IFERROR(H30*HSI!$B$25*HSI!$G$25/HSI!$B$3,""))</f>
        <v/>
      </c>
      <c r="BW30" s="106">
        <f>IF(I30="","",IFERROR(I30*HSI!$B$25*HSI!$G$25/HSI!$B$3,""))</f>
        <v/>
      </c>
      <c r="BX30" s="106">
        <f>IF(J30="","",IFERROR(J30*HSI!$B$25*HSI!$G$25/HSI!$B$3,""))</f>
        <v/>
      </c>
      <c r="BY30" s="106">
        <f>IF(K30="","",IFERROR(K30*HSI!$B$25*HSI!$G$25/HSI!$B$3,""))</f>
        <v/>
      </c>
      <c r="BZ30" s="106">
        <f>IF(L30="","",IFERROR(L30*HSI!$B$25*HSI!$G$25/HSI!$B$3,""))</f>
        <v/>
      </c>
      <c r="CA30" s="106">
        <f>IF(M30="","",IFERROR(M30*HSI!$B$25*HSI!$G$25/HSI!$B$3,""))</f>
        <v/>
      </c>
      <c r="CB30" s="106">
        <f>IF(N30="","",IFERROR(N30*HSI!$B$25*HSI!$G$25/HSI!$B$3,""))</f>
        <v/>
      </c>
      <c r="CC30" s="106">
        <f>IF(O30="","",IFERROR(O30*HSI!$B$25*HSI!$G$25/HSI!$B$3,""))</f>
        <v/>
      </c>
      <c r="CD30" s="106">
        <f>IF(P30="","",IFERROR(P30*HSI!$B$25*HSI!$G$25/HSI!$B$3,""))</f>
        <v/>
      </c>
      <c r="CE30" s="106">
        <f>IF(Q30="","",IFERROR(Q30*HSI!$B$25*HSI!$G$25/HSI!$B$3,""))</f>
        <v/>
      </c>
      <c r="CF30" s="106">
        <f>IF(R30="","",IFERROR(R30*HSI!$B$25*HSI!$G$25/HSI!$B$3,""))</f>
        <v/>
      </c>
      <c r="CG30" s="106">
        <f>IF(S30="","",IFERROR(S30*HSI!$B$25*HSI!$G$25/HSI!$B$3,""))</f>
        <v/>
      </c>
      <c r="CH30" s="106">
        <f>IF(T30="","",IFERROR(T30*HSI!$B$25*HSI!$G$25/HSI!$B$3,""))</f>
        <v/>
      </c>
      <c r="CI30" s="106">
        <f>IF(U30="","",IFERROR(U30*HSI!$B$25*HSI!$G$25/HSI!$B$3,""))</f>
        <v/>
      </c>
      <c r="CJ30" s="106">
        <f>IF(V30="","",IFERROR(V30*HSI!$B$25*HSI!$G$25/HSI!$B$3,""))</f>
        <v/>
      </c>
      <c r="CK30" s="106">
        <f>IF(W30="","",IFERROR(W30*HSI!$B$25*HSI!$G$25/HSI!$B$3,""))</f>
        <v/>
      </c>
      <c r="CL30" s="106">
        <f>IF(X30="","",IFERROR(X30*HSI!$B$25*HSI!$G$25/HSI!$B$3,""))</f>
        <v/>
      </c>
      <c r="CM30" s="106">
        <f>IF(Y30="","",IFERROR(Y30*HSI!$B$25*HSI!$G$25/HSI!$B$3,""))</f>
        <v/>
      </c>
      <c r="CN30" s="106">
        <f>IF(Z30="","",IFERROR(Z30*HSI!$B$25*HSI!$G$25/HSI!$B$3,""))</f>
        <v/>
      </c>
      <c r="CO30" s="106">
        <f>IF(AA30="","",IFERROR(AA30*HSI!$B$25*HSI!$G$25/HSI!$B$3,""))</f>
        <v/>
      </c>
      <c r="CP30" s="106">
        <f>IF(AB30="","",IFERROR(AB30*HSI!$B$25*HSI!$G$25/HSI!$B$3,""))</f>
        <v/>
      </c>
      <c r="CQ30" s="106">
        <f>IF(AC30="","",IFERROR(AC30*HSI!$B$25*HSI!$G$25/HSI!$B$3,""))</f>
        <v/>
      </c>
      <c r="CR30" s="106">
        <f>IF(AD30="","",IFERROR(AD30*HSI!$B$25*HSI!$G$25/HSI!$B$3,""))</f>
        <v/>
      </c>
      <c r="CS30" s="106">
        <f>IF(AE30="","",IFERROR(AE30*HSI!$B$25*HSI!$G$25/HSI!$B$3,""))</f>
        <v/>
      </c>
      <c r="CT30" s="106">
        <f>IF(AF30="","",IFERROR(AF30*HSI!$B$25*HSI!$G$25/HSI!$B$3,""))</f>
        <v/>
      </c>
      <c r="CU30" s="106">
        <f>IF(AG30="","",IFERROR(AG30*HSI!$B$25*HSI!$G$25/HSI!$B$3,""))</f>
        <v/>
      </c>
      <c r="CV30" s="106">
        <f>IF(AH30="","",IFERROR(AH30*HSI!$B$25*HSI!$G$25/HSI!$B$3,""))</f>
        <v/>
      </c>
      <c r="CW30" s="106">
        <f>IF(AI30="","",IFERROR(AI30*HSI!$B$25*HSI!$G$25/HSI!$B$3,""))</f>
        <v/>
      </c>
      <c r="CX30" s="106">
        <f>IF(AJ30="","",IFERROR(AJ30*HSI!$B$25*HSI!$G$25/HSI!$B$3,""))</f>
        <v/>
      </c>
      <c r="CY30" s="106">
        <f>IF(AK30="","",IFERROR(AK30*HSI!$B$25*HSI!$G$25/HSI!$B$3,""))</f>
        <v/>
      </c>
      <c r="CZ30" s="106">
        <f>IF(AL30="","",IFERROR(AL30*HSI!$B$25*HSI!$G$25/HSI!$B$3,""))</f>
        <v/>
      </c>
      <c r="DA30" s="106">
        <f>IF(AM30="","",IFERROR(AM30*HSI!$B$25*HSI!$G$25/HSI!$B$3,""))</f>
        <v/>
      </c>
      <c r="DB30" s="106">
        <f>IF(AN30="","",IFERROR(AN30*HSI!$B$25*HSI!$G$25/HSI!$B$3,""))</f>
        <v/>
      </c>
      <c r="DC30" s="106">
        <f>IF(AO30="","",IFERROR(AO30*HSI!$B$25*HSI!$G$25/HSI!$B$3,""))</f>
        <v/>
      </c>
      <c r="DD30" s="106">
        <f>IF(AP30="","",IFERROR(AP30*HSI!$B$25*HSI!$G$25/HSI!$B$3,""))</f>
        <v/>
      </c>
      <c r="DE30" s="106">
        <f>IF(AQ30="","",IFERROR(AQ30*HSI!$B$25*HSI!$G$25/HSI!$B$3,""))</f>
        <v/>
      </c>
      <c r="DF30" s="106">
        <f>IF(AR30="","",IFERROR(AR30*HSI!$B$25*HSI!$G$25/HSI!$B$3,""))</f>
        <v/>
      </c>
      <c r="DG30" s="106">
        <f>IF(AS30="","",IFERROR(AS30*HSI!$B$25*HSI!$G$25/HSI!$B$3,""))</f>
        <v/>
      </c>
      <c r="DH30" s="106">
        <f>IF(AT30="","",IFERROR(AT30*HSI!$B$25*HSI!$G$25/HSI!$B$3,""))</f>
        <v/>
      </c>
      <c r="DI30" s="106">
        <f>IF(AU30="","",IFERROR(AU30*HSI!$B$25*HSI!$G$25/HSI!$B$3,""))</f>
        <v/>
      </c>
      <c r="DJ30" s="106">
        <f>IF(AV30="","",IFERROR(AV30*HSI!$B$25*HSI!$G$25/HSI!$B$3,""))</f>
        <v/>
      </c>
      <c r="DK30" s="106">
        <f>IF(AW30="","",IFERROR(AW30*HSI!$B$25*HSI!$G$25/HSI!$B$3,""))</f>
        <v/>
      </c>
      <c r="DL30" s="106">
        <f>IF(AX30="","",IFERROR(AX30*HSI!$B$25*HSI!$G$25/HSI!$B$3,""))</f>
        <v/>
      </c>
      <c r="DM30" s="106">
        <f>IF(AY30="","",IFERROR(AY30*HSI!$B$25*HSI!$G$25/HSI!$B$3,""))</f>
        <v/>
      </c>
      <c r="DN30" s="106">
        <f>IF(AZ30="","",IFERROR(AZ30*HSI!$B$25*HSI!$G$25/HSI!$B$3,""))</f>
        <v/>
      </c>
      <c r="DO30" s="106">
        <f>IF(BA30="","",IFERROR(BA30*HSI!$B$25*HSI!$G$25/HSI!$B$3,""))</f>
        <v/>
      </c>
      <c r="DP30" s="106">
        <f>IF(BB30="","",IFERROR(BB30*HSI!$B$25*HSI!$G$25/HSI!$B$3,""))</f>
        <v/>
      </c>
      <c r="DQ30" s="106">
        <f>IF(BC30="","",IFERROR(BC30*HSI!$B$25*HSI!$G$25/HSI!$B$3,""))</f>
        <v/>
      </c>
      <c r="DR30" s="106">
        <f>IF(BD30="","",IFERROR(BD30*HSI!$B$25*HSI!$G$25/HSI!$B$3,""))</f>
        <v/>
      </c>
      <c r="DS30" s="106">
        <f>IF(BE30="","",IFERROR(BE30*HSI!$B$25*HSI!$G$25/HSI!$B$3,""))</f>
        <v/>
      </c>
      <c r="DT30" s="106">
        <f>IF(BF30="","",IFERROR(BF30*HSI!$B$25*HSI!$G$25/HSI!$B$3,""))</f>
        <v/>
      </c>
      <c r="DU30" s="106">
        <f>IF(BG30="","",IFERROR(BG30*HSI!$B$25*HSI!$G$25/HSI!$B$3,""))</f>
        <v/>
      </c>
      <c r="DV30" s="106">
        <f>IF(BH30="","",IFERROR(BH30*HSI!$B$25*HSI!$G$25/HSI!$B$3,""))</f>
        <v/>
      </c>
      <c r="DW30" s="106">
        <f>IF(BI30="","",IFERROR(BI30*HSI!$B$25*HSI!$G$25/HSI!$B$3,""))</f>
        <v/>
      </c>
      <c r="DX30" s="106">
        <f>IF(BJ30="","",IFERROR(BJ30*HSI!$B$25*HSI!$G$25/HSI!$B$3,""))</f>
        <v/>
      </c>
      <c r="DY30" s="106">
        <f>IF(BK30="","",IFERROR(BK30*HSI!$B$25*HSI!$G$25/HSI!$B$3,""))</f>
        <v/>
      </c>
      <c r="DZ30" s="106">
        <f>IF(BL30="","",IFERROR(BL30*HSI!$B$25*HSI!$G$25/HSI!$B$3,""))</f>
        <v/>
      </c>
      <c r="EA30" s="106">
        <f>IF(BM30="","",IFERROR(BM30*HSI!$B$25*HSI!$G$25/HSI!$B$3,""))</f>
        <v/>
      </c>
      <c r="EB30" s="106">
        <f>IF(BN30="","",IFERROR(BN30*HSI!$B$25*HSI!$G$25/HSI!$B$3,""))</f>
        <v/>
      </c>
      <c r="EC30" s="106">
        <f>IF(BO30="","",IFERROR(BO30*HSI!$B$25*HSI!$G$25/HSI!$B$3,""))</f>
        <v/>
      </c>
      <c r="EE30" s="35">
        <f>IF(N('Dvd Calendar'!$E$209)=0,"",IF(('Dvd Calendar'!$E$209&gt;=GRID_FROM)*('Dvd Calendar'!$E$209&lt;=GRID_TO)*('Dvd Calendar'!$E$209&lt;=VAL_DATE)=0,"",'Dvd Calendar'!$E$209*1000000000+ISNUMBER('Dvd Calendar'!$E$212)*100000000+('Dvd Calendar'!$E$214=SPECIAL_LBL)*10000000+0*1000000+19*1000+1))</f>
        <v/>
      </c>
      <c r="EF30" s="35">
        <f>IF(N('Dvd Calendar'!$F$209)=0,"",IF(('Dvd Calendar'!$F$209&gt;=GRID_FROM)*('Dvd Calendar'!$F$209&lt;=GRID_TO)*('Dvd Calendar'!$F$209&lt;=VAL_DATE)=0,"",'Dvd Calendar'!$F$209*1000000000+ISNUMBER('Dvd Calendar'!$F$212)*100000000+('Dvd Calendar'!$F$214=SPECIAL_LBL)*10000000+0*1000000+19*1000+2))</f>
        <v/>
      </c>
      <c r="EG30" s="35">
        <f>IF(N('Dvd Calendar'!$G$209)=0,"",IF(('Dvd Calendar'!$G$209&gt;=GRID_FROM)*('Dvd Calendar'!$G$209&lt;=GRID_TO)*('Dvd Calendar'!$G$209&lt;=VAL_DATE)=0,"",'Dvd Calendar'!$G$209*1000000000+ISNUMBER('Dvd Calendar'!$G$212)*100000000+('Dvd Calendar'!$G$214=SPECIAL_LBL)*10000000+0*1000000+19*1000+3))</f>
        <v/>
      </c>
      <c r="EH30" s="35">
        <f>IF(N('Dvd Calendar'!$H$209)=0,"",IF(('Dvd Calendar'!$H$209&gt;=GRID_FROM)*('Dvd Calendar'!$H$209&lt;=GRID_TO)*('Dvd Calendar'!$H$209&lt;=VAL_DATE)=0,"",'Dvd Calendar'!$H$209*1000000000+ISNUMBER('Dvd Calendar'!$H$212)*100000000+('Dvd Calendar'!$H$214=SPECIAL_LBL)*10000000+0*1000000+19*1000+4))</f>
        <v/>
      </c>
      <c r="EI30" s="35">
        <f>IF(N('Dvd Calendar'!$I$209)=0,"",IF(('Dvd Calendar'!$I$209&gt;=GRID_FROM)*('Dvd Calendar'!$I$209&lt;=GRID_TO)*('Dvd Calendar'!$I$209&lt;=VAL_DATE)=0,"",'Dvd Calendar'!$I$209*1000000000+ISNUMBER('Dvd Calendar'!$I$212)*100000000+('Dvd Calendar'!$I$214=SPECIAL_LBL)*10000000+0*1000000+19*1000+5))</f>
        <v/>
      </c>
      <c r="EJ30" s="35">
        <f>IF(N('Dvd Calendar'!$J$209)=0,"",IF(('Dvd Calendar'!$J$209&gt;=GRID_FROM)*('Dvd Calendar'!$J$209&lt;=GRID_TO)*('Dvd Calendar'!$J$209&lt;=VAL_DATE)=0,"",'Dvd Calendar'!$J$209*1000000000+ISNUMBER('Dvd Calendar'!$J$212)*100000000+('Dvd Calendar'!$J$214=SPECIAL_LBL)*10000000+0*1000000+19*1000+6))</f>
        <v/>
      </c>
      <c r="EK30" s="35">
        <f>IF(N('Dvd Calendar'!$K$209)=0,"",IF(('Dvd Calendar'!$K$209&gt;=GRID_FROM)*('Dvd Calendar'!$K$209&lt;=GRID_TO)*('Dvd Calendar'!$K$209&lt;=VAL_DATE)=0,"",'Dvd Calendar'!$K$209*1000000000+ISNUMBER('Dvd Calendar'!$K$212)*100000000+('Dvd Calendar'!$K$214=SPECIAL_LBL)*10000000+0*1000000+19*1000+7))</f>
        <v/>
      </c>
      <c r="EL30" s="35">
        <f>IF(N('Dvd Calendar'!$L$209)=0,"",IF(('Dvd Calendar'!$L$209&gt;=GRID_FROM)*('Dvd Calendar'!$L$209&lt;=GRID_TO)*('Dvd Calendar'!$L$209&lt;=VAL_DATE)=0,"",'Dvd Calendar'!$L$209*1000000000+ISNUMBER('Dvd Calendar'!$L$212)*100000000+('Dvd Calendar'!$L$214=SPECIAL_LBL)*10000000+0*1000000+19*1000+8))</f>
        <v/>
      </c>
      <c r="EM30" s="35">
        <f>IF(N('Dvd Calendar'!$M$209)=0,"",IF(('Dvd Calendar'!$M$209&gt;=GRID_FROM)*('Dvd Calendar'!$M$209&lt;=GRID_TO)*('Dvd Calendar'!$M$209&lt;=VAL_DATE)=0,"",'Dvd Calendar'!$M$209*1000000000+ISNUMBER('Dvd Calendar'!$M$212)*100000000+('Dvd Calendar'!$M$214=SPECIAL_LBL)*10000000+0*1000000+19*1000+9))</f>
        <v/>
      </c>
      <c r="EN30" s="35">
        <f>IF(N('Dvd Calendar'!$N$209)=0,"",IF(('Dvd Calendar'!$N$209&gt;=GRID_FROM)*('Dvd Calendar'!$N$209&lt;=GRID_TO)*('Dvd Calendar'!$N$209&lt;=VAL_DATE)=0,"",'Dvd Calendar'!$N$209*1000000000+ISNUMBER('Dvd Calendar'!$N$212)*100000000+('Dvd Calendar'!$N$214=SPECIAL_LBL)*10000000+0*1000000+19*1000+10))</f>
        <v/>
      </c>
      <c r="EO30" s="35">
        <f>IF(N('Dvd Calendar'!$O$209)=0,"",IF(('Dvd Calendar'!$O$209&gt;=GRID_FROM)*('Dvd Calendar'!$O$209&lt;=GRID_TO)*('Dvd Calendar'!$O$209&lt;=VAL_DATE)=0,"",'Dvd Calendar'!$O$209*1000000000+ISNUMBER('Dvd Calendar'!$O$212)*100000000+('Dvd Calendar'!$O$214=SPECIAL_LBL)*10000000+0*1000000+19*1000+11))</f>
        <v/>
      </c>
      <c r="EP30" s="35">
        <f>IF(N('Dvd Calendar'!$P$209)=0,"",IF(('Dvd Calendar'!$P$209&gt;=GRID_FROM)*('Dvd Calendar'!$P$209&lt;=GRID_TO)*('Dvd Calendar'!$P$209&lt;=VAL_DATE)=0,"",'Dvd Calendar'!$P$209*1000000000+ISNUMBER('Dvd Calendar'!$P$212)*100000000+('Dvd Calendar'!$P$214=SPECIAL_LBL)*10000000+0*1000000+19*1000+12))</f>
        <v/>
      </c>
      <c r="EQ30" s="35">
        <f>IF(N('Dvd Calendar'!$Q$209)=0,"",IF(('Dvd Calendar'!$Q$209&gt;=GRID_FROM)*('Dvd Calendar'!$Q$209&lt;=GRID_TO)*('Dvd Calendar'!$Q$209&lt;=VAL_DATE)=0,"",'Dvd Calendar'!$Q$209*1000000000+ISNUMBER('Dvd Calendar'!$Q$212)*100000000+('Dvd Calendar'!$Q$214=SPECIAL_LBL)*10000000+0*1000000+19*1000+13))</f>
        <v/>
      </c>
      <c r="ER30" s="35">
        <f>IF(N('Dvd Calendar'!$R$209)=0,"",IF(('Dvd Calendar'!$R$209&gt;=GRID_FROM)*('Dvd Calendar'!$R$209&lt;=GRID_TO)*('Dvd Calendar'!$R$209&lt;=VAL_DATE)=0,"",'Dvd Calendar'!$R$209*1000000000+ISNUMBER('Dvd Calendar'!$R$212)*100000000+('Dvd Calendar'!$R$214=SPECIAL_LBL)*10000000+0*1000000+19*1000+14))</f>
        <v/>
      </c>
      <c r="ES30" s="35">
        <f>IF(N('Dvd Calendar'!$S$209)=0,"",IF(('Dvd Calendar'!$S$209&gt;=GRID_FROM)*('Dvd Calendar'!$S$209&lt;=GRID_TO)*('Dvd Calendar'!$S$209&lt;=VAL_DATE)=0,"",'Dvd Calendar'!$S$209*1000000000+ISNUMBER('Dvd Calendar'!$S$212)*100000000+('Dvd Calendar'!$S$214=SPECIAL_LBL)*10000000+0*1000000+19*1000+15))</f>
        <v/>
      </c>
      <c r="ET30" s="35">
        <f>IF(N('Dvd Calendar'!$T$209)=0,"",IF(('Dvd Calendar'!$T$209&gt;=GRID_FROM)*('Dvd Calendar'!$T$209&lt;=GRID_TO)*('Dvd Calendar'!$T$209&lt;=VAL_DATE)=0,"",'Dvd Calendar'!$T$209*1000000000+ISNUMBER('Dvd Calendar'!$T$212)*100000000+('Dvd Calendar'!$T$214=SPECIAL_LBL)*10000000+0*1000000+19*1000+16))</f>
        <v/>
      </c>
      <c r="EU30" s="35">
        <f>IF(N('Dvd Calendar'!$U$209)=0,"",IF(('Dvd Calendar'!$U$209&gt;=GRID_FROM)*('Dvd Calendar'!$U$209&lt;=GRID_TO)*('Dvd Calendar'!$U$209&lt;=VAL_DATE)=0,"",'Dvd Calendar'!$U$209*1000000000+ISNUMBER('Dvd Calendar'!$U$212)*100000000+('Dvd Calendar'!$U$214=SPECIAL_LBL)*10000000+0*1000000+19*1000+17))</f>
        <v/>
      </c>
      <c r="EV30" s="35">
        <f>IF(N('Dvd Calendar'!$V$209)=0,"",IF(('Dvd Calendar'!$V$209&gt;=GRID_FROM)*('Dvd Calendar'!$V$209&lt;=GRID_TO)*('Dvd Calendar'!$V$209&lt;=VAL_DATE)=0,"",'Dvd Calendar'!$V$209*1000000000+ISNUMBER('Dvd Calendar'!$V$212)*100000000+('Dvd Calendar'!$V$214=SPECIAL_LBL)*10000000+0*1000000+19*1000+18))</f>
        <v/>
      </c>
      <c r="EW30" s="35">
        <f>IF(N('Dvd Calendar'!$W$209)=0,"",IF(('Dvd Calendar'!$W$209&gt;=GRID_FROM)*('Dvd Calendar'!$W$209&lt;=GRID_TO)*('Dvd Calendar'!$W$209&lt;=VAL_DATE)=0,"",'Dvd Calendar'!$W$209*1000000000+ISNUMBER('Dvd Calendar'!$W$212)*100000000+('Dvd Calendar'!$W$214=SPECIAL_LBL)*10000000+0*1000000+19*1000+19))</f>
        <v/>
      </c>
      <c r="EX30" s="35">
        <f>IF(N('Dvd Calendar'!$X$209)=0,"",IF(('Dvd Calendar'!$X$209&gt;=GRID_FROM)*('Dvd Calendar'!$X$209&lt;=GRID_TO)*('Dvd Calendar'!$X$209&lt;=VAL_DATE)=0,"",'Dvd Calendar'!$X$209*1000000000+ISNUMBER('Dvd Calendar'!$X$212)*100000000+('Dvd Calendar'!$X$214=SPECIAL_LBL)*10000000+0*1000000+19*1000+20))</f>
        <v/>
      </c>
      <c r="EY30" s="35">
        <f>IF(N('Dvd Calendar'!$Y$209)=0,"",IF(('Dvd Calendar'!$Y$209&gt;=GRID_FROM)*('Dvd Calendar'!$Y$209&lt;=GRID_TO)*('Dvd Calendar'!$Y$209&lt;=VAL_DATE)=0,"",'Dvd Calendar'!$Y$209*1000000000+ISNUMBER('Dvd Calendar'!$Y$212)*100000000+('Dvd Calendar'!$Y$214=SPECIAL_LBL)*10000000+0*1000000+19*1000+21))</f>
        <v/>
      </c>
      <c r="EZ30" s="35">
        <f>IF(N('Dvd Calendar'!$Z$209)=0,"",IF(('Dvd Calendar'!$Z$209&gt;=GRID_FROM)*('Dvd Calendar'!$Z$209&lt;=GRID_TO)*('Dvd Calendar'!$Z$209&lt;=VAL_DATE)=0,"",'Dvd Calendar'!$Z$209*1000000000+ISNUMBER('Dvd Calendar'!$Z$212)*100000000+('Dvd Calendar'!$Z$214=SPECIAL_LBL)*10000000+0*1000000+19*1000+22))</f>
        <v/>
      </c>
      <c r="FA30" s="35">
        <f>IF(N('Dvd Calendar'!$AA$209)=0,"",IF(('Dvd Calendar'!$AA$209&gt;=GRID_FROM)*('Dvd Calendar'!$AA$209&lt;=GRID_TO)*('Dvd Calendar'!$AA$209&lt;=VAL_DATE)=0,"",'Dvd Calendar'!$AA$209*1000000000+ISNUMBER('Dvd Calendar'!$AA$212)*100000000+('Dvd Calendar'!$AA$214=SPECIAL_LBL)*10000000+0*1000000+19*1000+23))</f>
        <v/>
      </c>
      <c r="FB30" s="35">
        <f>IF(N('Dvd Calendar'!$AB$209)=0,"",IF(('Dvd Calendar'!$AB$209&gt;=GRID_FROM)*('Dvd Calendar'!$AB$209&lt;=GRID_TO)*('Dvd Calendar'!$AB$209&lt;=VAL_DATE)=0,"",'Dvd Calendar'!$AB$209*1000000000+ISNUMBER('Dvd Calendar'!$AB$212)*100000000+('Dvd Calendar'!$AB$214=SPECIAL_LBL)*10000000+0*1000000+19*1000+24))</f>
        <v/>
      </c>
      <c r="FC30" s="35">
        <f>IF(N('Dvd Calendar'!$AC$209)=0,"",IF(('Dvd Calendar'!$AC$209&gt;=GRID_FROM)*('Dvd Calendar'!$AC$209&lt;=GRID_TO)*('Dvd Calendar'!$AC$209&lt;=VAL_DATE)=0,"",'Dvd Calendar'!$AC$209*1000000000+ISNUMBER('Dvd Calendar'!$AC$212)*100000000+('Dvd Calendar'!$AC$214=SPECIAL_LBL)*10000000+0*1000000+19*1000+25))</f>
        <v/>
      </c>
      <c r="FD30" s="35">
        <f>IF(N('Dvd Calendar'!$AD$209)=0,"",IF(('Dvd Calendar'!$AD$209&gt;=GRID_FROM)*('Dvd Calendar'!$AD$209&lt;=GRID_TO)*('Dvd Calendar'!$AD$209&lt;=VAL_DATE)=0,"",'Dvd Calendar'!$AD$209*1000000000+ISNUMBER('Dvd Calendar'!$AD$212)*100000000+('Dvd Calendar'!$AD$214=SPECIAL_LBL)*10000000+0*1000000+19*1000+26))</f>
        <v/>
      </c>
      <c r="FE30" s="35">
        <f>IF(N('Dvd Calendar'!$AE$209)=0,"",IF(('Dvd Calendar'!$AE$209&gt;=GRID_FROM)*('Dvd Calendar'!$AE$209&lt;=GRID_TO)*('Dvd Calendar'!$AE$209&lt;=VAL_DATE)=0,"",'Dvd Calendar'!$AE$209*1000000000+ISNUMBER('Dvd Calendar'!$AE$212)*100000000+('Dvd Calendar'!$AE$214=SPECIAL_LBL)*10000000+0*1000000+19*1000+27))</f>
        <v/>
      </c>
      <c r="FF30" s="35">
        <f>IF(N('Dvd Calendar'!$AF$209)=0,"",IF(('Dvd Calendar'!$AF$209&gt;=GRID_FROM)*('Dvd Calendar'!$AF$209&lt;=GRID_TO)*('Dvd Calendar'!$AF$209&lt;=VAL_DATE)=0,"",'Dvd Calendar'!$AF$209*1000000000+ISNUMBER('Dvd Calendar'!$AF$212)*100000000+('Dvd Calendar'!$AF$214=SPECIAL_LBL)*10000000+0*1000000+19*1000+28))</f>
        <v/>
      </c>
      <c r="FG30" s="35">
        <f>IF(N('Dvd Calendar'!$AG$209)=0,"",IF(('Dvd Calendar'!$AG$209&gt;=GRID_FROM)*('Dvd Calendar'!$AG$209&lt;=GRID_TO)*('Dvd Calendar'!$AG$209&lt;=VAL_DATE)=0,"",'Dvd Calendar'!$AG$209*1000000000+ISNUMBER('Dvd Calendar'!$AG$212)*100000000+('Dvd Calendar'!$AG$214=SPECIAL_LBL)*10000000+0*1000000+19*1000+29))</f>
        <v/>
      </c>
      <c r="FH30" s="35">
        <f>IF(N('Dvd Calendar'!$AH$209)=0,"",IF(('Dvd Calendar'!$AH$209&gt;=GRID_FROM)*('Dvd Calendar'!$AH$209&lt;=GRID_TO)*('Dvd Calendar'!$AH$209&lt;=VAL_DATE)=0,"",'Dvd Calendar'!$AH$209*1000000000+ISNUMBER('Dvd Calendar'!$AH$212)*100000000+('Dvd Calendar'!$AH$214=SPECIAL_LBL)*10000000+0*1000000+19*1000+30))</f>
        <v/>
      </c>
      <c r="FI30" s="35">
        <f>IF(N('Dvd Calendar'!$AI$209)=0,"",IF(('Dvd Calendar'!$AI$209&gt;=GRID_FROM)*('Dvd Calendar'!$AI$209&lt;=GRID_TO)*('Dvd Calendar'!$AI$209&lt;=VAL_DATE)=0,"",'Dvd Calendar'!$AI$209*1000000000+ISNUMBER('Dvd Calendar'!$AI$212)*100000000+('Dvd Calendar'!$AI$214=SPECIAL_LBL)*10000000+0*1000000+19*1000+31))</f>
        <v/>
      </c>
      <c r="FJ30" s="35">
        <f>IF(N('Dvd Calendar'!$AJ$209)=0,"",IF(('Dvd Calendar'!$AJ$209&gt;=GRID_FROM)*('Dvd Calendar'!$AJ$209&lt;=GRID_TO)*('Dvd Calendar'!$AJ$209&lt;=VAL_DATE)=0,"",'Dvd Calendar'!$AJ$209*1000000000+ISNUMBER('Dvd Calendar'!$AJ$212)*100000000+('Dvd Calendar'!$AJ$214=SPECIAL_LBL)*10000000+0*1000000+19*1000+32))</f>
        <v/>
      </c>
      <c r="FK30" s="35">
        <f>IF(N('Dvd Calendar'!$AK$209)=0,"",IF(('Dvd Calendar'!$AK$209&gt;=GRID_FROM)*('Dvd Calendar'!$AK$209&lt;=GRID_TO)*('Dvd Calendar'!$AK$209&lt;=VAL_DATE)=0,"",'Dvd Calendar'!$AK$209*1000000000+ISNUMBER('Dvd Calendar'!$AK$212)*100000000+('Dvd Calendar'!$AK$214=SPECIAL_LBL)*10000000+0*1000000+19*1000+33))</f>
        <v/>
      </c>
      <c r="FL30" s="35">
        <f>IF(N('Dvd Calendar'!$AL$209)=0,"",IF(('Dvd Calendar'!$AL$209&gt;=GRID_FROM)*('Dvd Calendar'!$AL$209&lt;=GRID_TO)*('Dvd Calendar'!$AL$209&lt;=VAL_DATE)=0,"",'Dvd Calendar'!$AL$209*1000000000+ISNUMBER('Dvd Calendar'!$AL$212)*100000000+('Dvd Calendar'!$AL$214=SPECIAL_LBL)*10000000+0*1000000+19*1000+34))</f>
        <v/>
      </c>
      <c r="FM30" s="35">
        <f>IF(N('Dvd Calendar'!$AM$209)=0,"",IF(('Dvd Calendar'!$AM$209&gt;=GRID_FROM)*('Dvd Calendar'!$AM$209&lt;=GRID_TO)*('Dvd Calendar'!$AM$209&lt;=VAL_DATE)=0,"",'Dvd Calendar'!$AM$209*1000000000+ISNUMBER('Dvd Calendar'!$AM$212)*100000000+('Dvd Calendar'!$AM$214=SPECIAL_LBL)*10000000+0*1000000+19*1000+35))</f>
        <v/>
      </c>
      <c r="FN30" s="35">
        <f>IF(N('Dvd Calendar'!$AN$209)=0,"",IF(('Dvd Calendar'!$AN$209&gt;=GRID_FROM)*('Dvd Calendar'!$AN$209&lt;=GRID_TO)*('Dvd Calendar'!$AN$209&lt;=VAL_DATE)=0,"",'Dvd Calendar'!$AN$209*1000000000+ISNUMBER('Dvd Calendar'!$AN$212)*100000000+('Dvd Calendar'!$AN$214=SPECIAL_LBL)*10000000+0*1000000+19*1000+36))</f>
        <v/>
      </c>
      <c r="FO30" s="35">
        <f>IF(N('Dvd Calendar'!$AO$209)=0,"",IF(('Dvd Calendar'!$AO$209&gt;=GRID_FROM)*('Dvd Calendar'!$AO$209&lt;=GRID_TO)*('Dvd Calendar'!$AO$209&lt;=VAL_DATE)=0,"",'Dvd Calendar'!$AO$209*1000000000+ISNUMBER('Dvd Calendar'!$AO$212)*100000000+('Dvd Calendar'!$AO$214=SPECIAL_LBL)*10000000+0*1000000+19*1000+37))</f>
        <v/>
      </c>
      <c r="FP30" s="35">
        <f>IF(N('Dvd Calendar'!$AP$209)=0,"",IF(('Dvd Calendar'!$AP$209&gt;=GRID_FROM)*('Dvd Calendar'!$AP$209&lt;=GRID_TO)*('Dvd Calendar'!$AP$209&lt;=VAL_DATE)=0,"",'Dvd Calendar'!$AP$209*1000000000+ISNUMBER('Dvd Calendar'!$AP$212)*100000000+('Dvd Calendar'!$AP$214=SPECIAL_LBL)*10000000+0*1000000+19*1000+38))</f>
        <v/>
      </c>
      <c r="FQ30" s="35">
        <f>IF(N('Dvd Calendar'!$AQ$209)=0,"",IF(('Dvd Calendar'!$AQ$209&gt;=GRID_FROM)*('Dvd Calendar'!$AQ$209&lt;=GRID_TO)*('Dvd Calendar'!$AQ$209&lt;=VAL_DATE)=0,"",'Dvd Calendar'!$AQ$209*1000000000+ISNUMBER('Dvd Calendar'!$AQ$212)*100000000+('Dvd Calendar'!$AQ$214=SPECIAL_LBL)*10000000+0*1000000+19*1000+39))</f>
        <v/>
      </c>
      <c r="FR30" s="35">
        <f>IF(N('Dvd Calendar'!$AR$209)=0,"",IF(('Dvd Calendar'!$AR$209&gt;=GRID_FROM)*('Dvd Calendar'!$AR$209&lt;=GRID_TO)*('Dvd Calendar'!$AR$209&lt;=VAL_DATE)=0,"",'Dvd Calendar'!$AR$209*1000000000+ISNUMBER('Dvd Calendar'!$AR$212)*100000000+('Dvd Calendar'!$AR$214=SPECIAL_LBL)*10000000+0*1000000+19*1000+40))</f>
        <v/>
      </c>
      <c r="FS30" s="35">
        <f>IF(N('Dvd Calendar'!$E$216)=0,"",IF(('Dvd Calendar'!$E$216&gt;=GRID_FROM)*('Dvd Calendar'!$E$216&lt;=GRID_TO)*('Dvd Calendar'!$E$216&gt;VAL_DATE)=0,"",'Dvd Calendar'!$E$216*1000000000+ISNUMBER('Dvd Calendar'!$E$217)*100000000+0*10000000+(N('Dvd Calendar'!$E$215)&gt;0)*(N('Dvd Calendar'!$E$215)&lt;=VAL_SERIAL)*1000000+19*1000+41))</f>
        <v/>
      </c>
      <c r="FT30" s="35">
        <f>IF(N('Dvd Calendar'!$F$216)=0,"",IF(('Dvd Calendar'!$F$216&gt;=GRID_FROM)*('Dvd Calendar'!$F$216&lt;=GRID_TO)*('Dvd Calendar'!$F$216&gt;VAL_DATE)=0,"",'Dvd Calendar'!$F$216*1000000000+ISNUMBER('Dvd Calendar'!$F$217)*100000000+0*10000000+(N('Dvd Calendar'!$F$215)&gt;0)*(N('Dvd Calendar'!$F$215)&lt;=VAL_SERIAL)*1000000+19*1000+42))</f>
        <v/>
      </c>
      <c r="FU30" s="35">
        <f>IF(N('Dvd Calendar'!$G$216)=0,"",IF(('Dvd Calendar'!$G$216&gt;=GRID_FROM)*('Dvd Calendar'!$G$216&lt;=GRID_TO)*('Dvd Calendar'!$G$216&gt;VAL_DATE)=0,"",'Dvd Calendar'!$G$216*1000000000+ISNUMBER('Dvd Calendar'!$G$217)*100000000+0*10000000+(N('Dvd Calendar'!$G$215)&gt;0)*(N('Dvd Calendar'!$G$215)&lt;=VAL_SERIAL)*1000000+19*1000+43))</f>
        <v/>
      </c>
      <c r="FV30" s="35">
        <f>IF(N('Dvd Calendar'!$H$216)=0,"",IF(('Dvd Calendar'!$H$216&gt;=GRID_FROM)*('Dvd Calendar'!$H$216&lt;=GRID_TO)*('Dvd Calendar'!$H$216&gt;VAL_DATE)=0,"",'Dvd Calendar'!$H$216*1000000000+ISNUMBER('Dvd Calendar'!$H$217)*100000000+0*10000000+(N('Dvd Calendar'!$H$215)&gt;0)*(N('Dvd Calendar'!$H$215)&lt;=VAL_SERIAL)*1000000+19*1000+44))</f>
        <v/>
      </c>
      <c r="FW30" s="35">
        <f>IF(N('Dvd Calendar'!$I$216)=0,"",IF(('Dvd Calendar'!$I$216&gt;=GRID_FROM)*('Dvd Calendar'!$I$216&lt;=GRID_TO)*('Dvd Calendar'!$I$216&gt;VAL_DATE)=0,"",'Dvd Calendar'!$I$216*1000000000+ISNUMBER('Dvd Calendar'!$I$217)*100000000+0*10000000+(N('Dvd Calendar'!$I$215)&gt;0)*(N('Dvd Calendar'!$I$215)&lt;=VAL_SERIAL)*1000000+19*1000+45))</f>
        <v/>
      </c>
      <c r="FX30" s="35">
        <f>IF(N('Dvd Calendar'!$J$216)=0,"",IF(('Dvd Calendar'!$J$216&gt;=GRID_FROM)*('Dvd Calendar'!$J$216&lt;=GRID_TO)*('Dvd Calendar'!$J$216&gt;VAL_DATE)=0,"",'Dvd Calendar'!$J$216*1000000000+ISNUMBER('Dvd Calendar'!$J$217)*100000000+0*10000000+(N('Dvd Calendar'!$J$215)&gt;0)*(N('Dvd Calendar'!$J$215)&lt;=VAL_SERIAL)*1000000+19*1000+46))</f>
        <v/>
      </c>
      <c r="FY30" s="35">
        <f>IF(N('Dvd Calendar'!$K$216)=0,"",IF(('Dvd Calendar'!$K$216&gt;=GRID_FROM)*('Dvd Calendar'!$K$216&lt;=GRID_TO)*('Dvd Calendar'!$K$216&gt;VAL_DATE)=0,"",'Dvd Calendar'!$K$216*1000000000+ISNUMBER('Dvd Calendar'!$K$217)*100000000+0*10000000+(N('Dvd Calendar'!$K$215)&gt;0)*(N('Dvd Calendar'!$K$215)&lt;=VAL_SERIAL)*1000000+19*1000+47))</f>
        <v/>
      </c>
      <c r="FZ30" s="35">
        <f>IF(N('Dvd Calendar'!$L$216)=0,"",IF(('Dvd Calendar'!$L$216&gt;=GRID_FROM)*('Dvd Calendar'!$L$216&lt;=GRID_TO)*('Dvd Calendar'!$L$216&gt;VAL_DATE)=0,"",'Dvd Calendar'!$L$216*1000000000+ISNUMBER('Dvd Calendar'!$L$217)*100000000+0*10000000+(N('Dvd Calendar'!$L$215)&gt;0)*(N('Dvd Calendar'!$L$215)&lt;=VAL_SERIAL)*1000000+19*1000+48))</f>
        <v/>
      </c>
      <c r="GA30" s="35">
        <f>IF(N('Dvd Calendar'!$M$216)=0,"",IF(('Dvd Calendar'!$M$216&gt;=GRID_FROM)*('Dvd Calendar'!$M$216&lt;=GRID_TO)*('Dvd Calendar'!$M$216&gt;VAL_DATE)=0,"",'Dvd Calendar'!$M$216*1000000000+ISNUMBER('Dvd Calendar'!$M$217)*100000000+0*10000000+(N('Dvd Calendar'!$M$215)&gt;0)*(N('Dvd Calendar'!$M$215)&lt;=VAL_SERIAL)*1000000+19*1000+49))</f>
        <v/>
      </c>
      <c r="GB30" s="35">
        <f>IF(N('Dvd Calendar'!$N$216)=0,"",IF(('Dvd Calendar'!$N$216&gt;=GRID_FROM)*('Dvd Calendar'!$N$216&lt;=GRID_TO)*('Dvd Calendar'!$N$216&gt;VAL_DATE)=0,"",'Dvd Calendar'!$N$216*1000000000+ISNUMBER('Dvd Calendar'!$N$217)*100000000+0*10000000+(N('Dvd Calendar'!$N$215)&gt;0)*(N('Dvd Calendar'!$N$215)&lt;=VAL_SERIAL)*1000000+19*1000+50))</f>
        <v/>
      </c>
      <c r="GC30" s="35">
        <f>IF(N('Dvd Calendar'!$O$216)=0,"",IF(('Dvd Calendar'!$O$216&gt;=GRID_FROM)*('Dvd Calendar'!$O$216&lt;=GRID_TO)*('Dvd Calendar'!$O$216&gt;VAL_DATE)=0,"",'Dvd Calendar'!$O$216*1000000000+ISNUMBER('Dvd Calendar'!$O$217)*100000000+0*10000000+(N('Dvd Calendar'!$O$215)&gt;0)*(N('Dvd Calendar'!$O$215)&lt;=VAL_SERIAL)*1000000+19*1000+51))</f>
        <v/>
      </c>
      <c r="GD30" s="35">
        <f>IF(N('Dvd Calendar'!$P$216)=0,"",IF(('Dvd Calendar'!$P$216&gt;=GRID_FROM)*('Dvd Calendar'!$P$216&lt;=GRID_TO)*('Dvd Calendar'!$P$216&gt;VAL_DATE)=0,"",'Dvd Calendar'!$P$216*1000000000+ISNUMBER('Dvd Calendar'!$P$217)*100000000+0*10000000+(N('Dvd Calendar'!$P$215)&gt;0)*(N('Dvd Calendar'!$P$215)&lt;=VAL_SERIAL)*1000000+19*1000+52))</f>
        <v/>
      </c>
      <c r="GE30" s="35">
        <f>IF(N('Dvd Calendar'!$Q$216)=0,"",IF(('Dvd Calendar'!$Q$216&gt;=GRID_FROM)*('Dvd Calendar'!$Q$216&lt;=GRID_TO)*('Dvd Calendar'!$Q$216&gt;VAL_DATE)=0,"",'Dvd Calendar'!$Q$216*1000000000+ISNUMBER('Dvd Calendar'!$Q$217)*100000000+0*10000000+(N('Dvd Calendar'!$Q$215)&gt;0)*(N('Dvd Calendar'!$Q$215)&lt;=VAL_SERIAL)*1000000+19*1000+53))</f>
        <v/>
      </c>
      <c r="GF30" s="35">
        <f>IF(N('Dvd Calendar'!$R$216)=0,"",IF(('Dvd Calendar'!$R$216&gt;=GRID_FROM)*('Dvd Calendar'!$R$216&lt;=GRID_TO)*('Dvd Calendar'!$R$216&gt;VAL_DATE)=0,"",'Dvd Calendar'!$R$216*1000000000+ISNUMBER('Dvd Calendar'!$R$217)*100000000+0*10000000+(N('Dvd Calendar'!$R$215)&gt;0)*(N('Dvd Calendar'!$R$215)&lt;=VAL_SERIAL)*1000000+19*1000+54))</f>
        <v/>
      </c>
      <c r="GG30" s="35">
        <f>IF(N('Dvd Calendar'!$S$216)=0,"",IF(('Dvd Calendar'!$S$216&gt;=GRID_FROM)*('Dvd Calendar'!$S$216&lt;=GRID_TO)*('Dvd Calendar'!$S$216&gt;VAL_DATE)=0,"",'Dvd Calendar'!$S$216*1000000000+ISNUMBER('Dvd Calendar'!$S$217)*100000000+0*10000000+(N('Dvd Calendar'!$S$215)&gt;0)*(N('Dvd Calendar'!$S$215)&lt;=VAL_SERIAL)*1000000+19*1000+55))</f>
        <v/>
      </c>
      <c r="GH30" s="35">
        <f>IF(N('Dvd Calendar'!$T$216)=0,"",IF(('Dvd Calendar'!$T$216&gt;=GRID_FROM)*('Dvd Calendar'!$T$216&lt;=GRID_TO)*('Dvd Calendar'!$T$216&gt;VAL_DATE)=0,"",'Dvd Calendar'!$T$216*1000000000+ISNUMBER('Dvd Calendar'!$T$217)*100000000+0*10000000+(N('Dvd Calendar'!$T$215)&gt;0)*(N('Dvd Calendar'!$T$215)&lt;=VAL_SERIAL)*1000000+19*1000+56))</f>
        <v/>
      </c>
      <c r="GI30" s="35">
        <f>IF(N('Dvd Calendar'!$U$216)=0,"",IF(('Dvd Calendar'!$U$216&gt;=GRID_FROM)*('Dvd Calendar'!$U$216&lt;=GRID_TO)*('Dvd Calendar'!$U$216&gt;VAL_DATE)=0,"",'Dvd Calendar'!$U$216*1000000000+ISNUMBER('Dvd Calendar'!$U$217)*100000000+0*10000000+(N('Dvd Calendar'!$U$215)&gt;0)*(N('Dvd Calendar'!$U$215)&lt;=VAL_SERIAL)*1000000+19*1000+57))</f>
        <v/>
      </c>
      <c r="GJ30" s="35">
        <f>IF(N('Dvd Calendar'!$V$216)=0,"",IF(('Dvd Calendar'!$V$216&gt;=GRID_FROM)*('Dvd Calendar'!$V$216&lt;=GRID_TO)*('Dvd Calendar'!$V$216&gt;VAL_DATE)=0,"",'Dvd Calendar'!$V$216*1000000000+ISNUMBER('Dvd Calendar'!$V$217)*100000000+0*10000000+(N('Dvd Calendar'!$V$215)&gt;0)*(N('Dvd Calendar'!$V$215)&lt;=VAL_SERIAL)*1000000+19*1000+58))</f>
        <v/>
      </c>
      <c r="GK30" s="35">
        <f>IF(N('Dvd Calendar'!$W$216)=0,"",IF(('Dvd Calendar'!$W$216&gt;=GRID_FROM)*('Dvd Calendar'!$W$216&lt;=GRID_TO)*('Dvd Calendar'!$W$216&gt;VAL_DATE)=0,"",'Dvd Calendar'!$W$216*1000000000+ISNUMBER('Dvd Calendar'!$W$217)*100000000+0*10000000+(N('Dvd Calendar'!$W$215)&gt;0)*(N('Dvd Calendar'!$W$215)&lt;=VAL_SERIAL)*1000000+19*1000+59))</f>
        <v/>
      </c>
      <c r="GL30" s="35">
        <f>IF(N('Dvd Calendar'!$X$216)=0,"",IF(('Dvd Calendar'!$X$216&gt;=GRID_FROM)*('Dvd Calendar'!$X$216&lt;=GRID_TO)*('Dvd Calendar'!$X$216&gt;VAL_DATE)=0,"",'Dvd Calendar'!$X$216*1000000000+ISNUMBER('Dvd Calendar'!$X$217)*100000000+0*10000000+(N('Dvd Calendar'!$X$215)&gt;0)*(N('Dvd Calendar'!$X$215)&lt;=VAL_SERIAL)*1000000+19*1000+60))</f>
        <v/>
      </c>
      <c r="GM30" s="35">
        <f>IF(N('Dvd Calendar'!$Y$216)=0,"",IF(('Dvd Calendar'!$Y$216&gt;=GRID_FROM)*('Dvd Calendar'!$Y$216&lt;=GRID_TO)*('Dvd Calendar'!$Y$216&gt;VAL_DATE)=0,"",'Dvd Calendar'!$Y$216*1000000000+ISNUMBER('Dvd Calendar'!$Y$217)*100000000+0*10000000+(N('Dvd Calendar'!$Y$215)&gt;0)*(N('Dvd Calendar'!$Y$215)&lt;=VAL_SERIAL)*1000000+19*1000+61))</f>
        <v/>
      </c>
      <c r="GN30" s="35">
        <f>IF(N('Dvd Calendar'!$Z$216)=0,"",IF(('Dvd Calendar'!$Z$216&gt;=GRID_FROM)*('Dvd Calendar'!$Z$216&lt;=GRID_TO)*('Dvd Calendar'!$Z$216&gt;VAL_DATE)=0,"",'Dvd Calendar'!$Z$216*1000000000+ISNUMBER('Dvd Calendar'!$Z$217)*100000000+0*10000000+(N('Dvd Calendar'!$Z$215)&gt;0)*(N('Dvd Calendar'!$Z$215)&lt;=VAL_SERIAL)*1000000+19*1000+62))</f>
        <v/>
      </c>
      <c r="GO30" s="35">
        <f>IF(N('Dvd Calendar'!$AA$216)=0,"",IF(('Dvd Calendar'!$AA$216&gt;=GRID_FROM)*('Dvd Calendar'!$AA$216&lt;=GRID_TO)*('Dvd Calendar'!$AA$216&gt;VAL_DATE)=0,"",'Dvd Calendar'!$AA$216*1000000000+ISNUMBER('Dvd Calendar'!$AA$217)*100000000+0*10000000+(N('Dvd Calendar'!$AA$215)&gt;0)*(N('Dvd Calendar'!$AA$215)&lt;=VAL_SERIAL)*1000000+19*1000+63))</f>
        <v/>
      </c>
      <c r="GP30" s="35">
        <f>IF(N('Dvd Calendar'!$AB$216)=0,"",IF(('Dvd Calendar'!$AB$216&gt;=GRID_FROM)*('Dvd Calendar'!$AB$216&lt;=GRID_TO)*('Dvd Calendar'!$AB$216&gt;VAL_DATE)=0,"",'Dvd Calendar'!$AB$216*1000000000+ISNUMBER('Dvd Calendar'!$AB$217)*100000000+0*10000000+(N('Dvd Calendar'!$AB$215)&gt;0)*(N('Dvd Calendar'!$AB$215)&lt;=VAL_SERIAL)*1000000+19*1000+64))</f>
        <v/>
      </c>
      <c r="GQ30" s="35">
        <f>IF(N('Dvd Calendar'!$AC$216)=0,"",IF(('Dvd Calendar'!$AC$216&gt;=GRID_FROM)*('Dvd Calendar'!$AC$216&lt;=GRID_TO)*('Dvd Calendar'!$AC$216&gt;VAL_DATE)=0,"",'Dvd Calendar'!$AC$216*1000000000+ISNUMBER('Dvd Calendar'!$AC$217)*100000000+0*10000000+(N('Dvd Calendar'!$AC$215)&gt;0)*(N('Dvd Calendar'!$AC$215)&lt;=VAL_SERIAL)*1000000+19*1000+65))</f>
        <v/>
      </c>
    </row>
    <row r="31">
      <c r="B31" s="2">
        <f>IF(HSI!$C$26="","",HSI!$C$26)</f>
        <v/>
      </c>
      <c r="C31" s="106">
        <f>IF(EE31="","",IF(ISNUMBER('Dvd Calendar'!$E$223)=FALSE,"",IF((('Dvd Calendar'!$E$225=TYPE1)*(TYPE1&lt;&gt;"")+('Dvd Calendar'!$E$225=TYPE2)*(TYPE2&lt;&gt;"")+('Dvd Calendar'!$E$225=TYPE3)*(TYPE3&lt;&gt;"")+('Dvd Calendar'!$E$225=TYPE4)*(TYPE4&lt;&gt;"")+('Dvd Calendar'!$E$225=SPECIAL_LBL)*(INC_SPECIALS="Y"))=0,"",'Dvd Calendar'!$E$223)))</f>
        <v/>
      </c>
      <c r="D31" s="106">
        <f>IF(EF31="","",IF(ISNUMBER('Dvd Calendar'!$F$223)=FALSE,"",IF((('Dvd Calendar'!$F$225=TYPE1)*(TYPE1&lt;&gt;"")+('Dvd Calendar'!$F$225=TYPE2)*(TYPE2&lt;&gt;"")+('Dvd Calendar'!$F$225=TYPE3)*(TYPE3&lt;&gt;"")+('Dvd Calendar'!$F$225=TYPE4)*(TYPE4&lt;&gt;"")+('Dvd Calendar'!$F$225=SPECIAL_LBL)*(INC_SPECIALS="Y"))=0,"",'Dvd Calendar'!$F$223)))</f>
        <v/>
      </c>
      <c r="E31" s="106">
        <f>IF(EG31="","",IF(ISNUMBER('Dvd Calendar'!$G$223)=FALSE,"",IF((('Dvd Calendar'!$G$225=TYPE1)*(TYPE1&lt;&gt;"")+('Dvd Calendar'!$G$225=TYPE2)*(TYPE2&lt;&gt;"")+('Dvd Calendar'!$G$225=TYPE3)*(TYPE3&lt;&gt;"")+('Dvd Calendar'!$G$225=TYPE4)*(TYPE4&lt;&gt;"")+('Dvd Calendar'!$G$225=SPECIAL_LBL)*(INC_SPECIALS="Y"))=0,"",'Dvd Calendar'!$G$223)))</f>
        <v/>
      </c>
      <c r="F31" s="106">
        <f>IF(EH31="","",IF(ISNUMBER('Dvd Calendar'!$H$223)=FALSE,"",IF((('Dvd Calendar'!$H$225=TYPE1)*(TYPE1&lt;&gt;"")+('Dvd Calendar'!$H$225=TYPE2)*(TYPE2&lt;&gt;"")+('Dvd Calendar'!$H$225=TYPE3)*(TYPE3&lt;&gt;"")+('Dvd Calendar'!$H$225=TYPE4)*(TYPE4&lt;&gt;"")+('Dvd Calendar'!$H$225=SPECIAL_LBL)*(INC_SPECIALS="Y"))=0,"",'Dvd Calendar'!$H$223)))</f>
        <v/>
      </c>
      <c r="G31" s="106">
        <f>IF(EI31="","",IF(ISNUMBER('Dvd Calendar'!$I$223)=FALSE,"",IF((('Dvd Calendar'!$I$225=TYPE1)*(TYPE1&lt;&gt;"")+('Dvd Calendar'!$I$225=TYPE2)*(TYPE2&lt;&gt;"")+('Dvd Calendar'!$I$225=TYPE3)*(TYPE3&lt;&gt;"")+('Dvd Calendar'!$I$225=TYPE4)*(TYPE4&lt;&gt;"")+('Dvd Calendar'!$I$225=SPECIAL_LBL)*(INC_SPECIALS="Y"))=0,"",'Dvd Calendar'!$I$223)))</f>
        <v/>
      </c>
      <c r="H31" s="106">
        <f>IF(EJ31="","",IF(ISNUMBER('Dvd Calendar'!$J$223)=FALSE,"",IF((('Dvd Calendar'!$J$225=TYPE1)*(TYPE1&lt;&gt;"")+('Dvd Calendar'!$J$225=TYPE2)*(TYPE2&lt;&gt;"")+('Dvd Calendar'!$J$225=TYPE3)*(TYPE3&lt;&gt;"")+('Dvd Calendar'!$J$225=TYPE4)*(TYPE4&lt;&gt;"")+('Dvd Calendar'!$J$225=SPECIAL_LBL)*(INC_SPECIALS="Y"))=0,"",'Dvd Calendar'!$J$223)))</f>
        <v/>
      </c>
      <c r="I31" s="106">
        <f>IF(EK31="","",IF(ISNUMBER('Dvd Calendar'!$K$223)=FALSE,"",IF((('Dvd Calendar'!$K$225=TYPE1)*(TYPE1&lt;&gt;"")+('Dvd Calendar'!$K$225=TYPE2)*(TYPE2&lt;&gt;"")+('Dvd Calendar'!$K$225=TYPE3)*(TYPE3&lt;&gt;"")+('Dvd Calendar'!$K$225=TYPE4)*(TYPE4&lt;&gt;"")+('Dvd Calendar'!$K$225=SPECIAL_LBL)*(INC_SPECIALS="Y"))=0,"",'Dvd Calendar'!$K$223)))</f>
        <v/>
      </c>
      <c r="J31" s="106">
        <f>IF(EL31="","",IF(ISNUMBER('Dvd Calendar'!$L$223)=FALSE,"",IF((('Dvd Calendar'!$L$225=TYPE1)*(TYPE1&lt;&gt;"")+('Dvd Calendar'!$L$225=TYPE2)*(TYPE2&lt;&gt;"")+('Dvd Calendar'!$L$225=TYPE3)*(TYPE3&lt;&gt;"")+('Dvd Calendar'!$L$225=TYPE4)*(TYPE4&lt;&gt;"")+('Dvd Calendar'!$L$225=SPECIAL_LBL)*(INC_SPECIALS="Y"))=0,"",'Dvd Calendar'!$L$223)))</f>
        <v/>
      </c>
      <c r="K31" s="106">
        <f>IF(EM31="","",IF(ISNUMBER('Dvd Calendar'!$M$223)=FALSE,"",IF((('Dvd Calendar'!$M$225=TYPE1)*(TYPE1&lt;&gt;"")+('Dvd Calendar'!$M$225=TYPE2)*(TYPE2&lt;&gt;"")+('Dvd Calendar'!$M$225=TYPE3)*(TYPE3&lt;&gt;"")+('Dvd Calendar'!$M$225=TYPE4)*(TYPE4&lt;&gt;"")+('Dvd Calendar'!$M$225=SPECIAL_LBL)*(INC_SPECIALS="Y"))=0,"",'Dvd Calendar'!$M$223)))</f>
        <v/>
      </c>
      <c r="L31" s="106">
        <f>IF(EN31="","",IF(ISNUMBER('Dvd Calendar'!$N$223)=FALSE,"",IF((('Dvd Calendar'!$N$225=TYPE1)*(TYPE1&lt;&gt;"")+('Dvd Calendar'!$N$225=TYPE2)*(TYPE2&lt;&gt;"")+('Dvd Calendar'!$N$225=TYPE3)*(TYPE3&lt;&gt;"")+('Dvd Calendar'!$N$225=TYPE4)*(TYPE4&lt;&gt;"")+('Dvd Calendar'!$N$225=SPECIAL_LBL)*(INC_SPECIALS="Y"))=0,"",'Dvd Calendar'!$N$223)))</f>
        <v/>
      </c>
      <c r="M31" s="106">
        <f>IF(EO31="","",IF(ISNUMBER('Dvd Calendar'!$O$223)=FALSE,"",IF((('Dvd Calendar'!$O$225=TYPE1)*(TYPE1&lt;&gt;"")+('Dvd Calendar'!$O$225=TYPE2)*(TYPE2&lt;&gt;"")+('Dvd Calendar'!$O$225=TYPE3)*(TYPE3&lt;&gt;"")+('Dvd Calendar'!$O$225=TYPE4)*(TYPE4&lt;&gt;"")+('Dvd Calendar'!$O$225=SPECIAL_LBL)*(INC_SPECIALS="Y"))=0,"",'Dvd Calendar'!$O$223)))</f>
        <v/>
      </c>
      <c r="N31" s="106">
        <f>IF(EP31="","",IF(ISNUMBER('Dvd Calendar'!$P$223)=FALSE,"",IF((('Dvd Calendar'!$P$225=TYPE1)*(TYPE1&lt;&gt;"")+('Dvd Calendar'!$P$225=TYPE2)*(TYPE2&lt;&gt;"")+('Dvd Calendar'!$P$225=TYPE3)*(TYPE3&lt;&gt;"")+('Dvd Calendar'!$P$225=TYPE4)*(TYPE4&lt;&gt;"")+('Dvd Calendar'!$P$225=SPECIAL_LBL)*(INC_SPECIALS="Y"))=0,"",'Dvd Calendar'!$P$223)))</f>
        <v/>
      </c>
      <c r="O31" s="106">
        <f>IF(EQ31="","",IF(ISNUMBER('Dvd Calendar'!$Q$223)=FALSE,"",IF((('Dvd Calendar'!$Q$225=TYPE1)*(TYPE1&lt;&gt;"")+('Dvd Calendar'!$Q$225=TYPE2)*(TYPE2&lt;&gt;"")+('Dvd Calendar'!$Q$225=TYPE3)*(TYPE3&lt;&gt;"")+('Dvd Calendar'!$Q$225=TYPE4)*(TYPE4&lt;&gt;"")+('Dvd Calendar'!$Q$225=SPECIAL_LBL)*(INC_SPECIALS="Y"))=0,"",'Dvd Calendar'!$Q$223)))</f>
        <v/>
      </c>
      <c r="P31" s="106">
        <f>IF(ER31="","",IF(ISNUMBER('Dvd Calendar'!$R$223)=FALSE,"",IF((('Dvd Calendar'!$R$225=TYPE1)*(TYPE1&lt;&gt;"")+('Dvd Calendar'!$R$225=TYPE2)*(TYPE2&lt;&gt;"")+('Dvd Calendar'!$R$225=TYPE3)*(TYPE3&lt;&gt;"")+('Dvd Calendar'!$R$225=TYPE4)*(TYPE4&lt;&gt;"")+('Dvd Calendar'!$R$225=SPECIAL_LBL)*(INC_SPECIALS="Y"))=0,"",'Dvd Calendar'!$R$223)))</f>
        <v/>
      </c>
      <c r="Q31" s="106">
        <f>IF(ES31="","",IF(ISNUMBER('Dvd Calendar'!$S$223)=FALSE,"",IF((('Dvd Calendar'!$S$225=TYPE1)*(TYPE1&lt;&gt;"")+('Dvd Calendar'!$S$225=TYPE2)*(TYPE2&lt;&gt;"")+('Dvd Calendar'!$S$225=TYPE3)*(TYPE3&lt;&gt;"")+('Dvd Calendar'!$S$225=TYPE4)*(TYPE4&lt;&gt;"")+('Dvd Calendar'!$S$225=SPECIAL_LBL)*(INC_SPECIALS="Y"))=0,"",'Dvd Calendar'!$S$223)))</f>
        <v/>
      </c>
      <c r="R31" s="106">
        <f>IF(ET31="","",IF(ISNUMBER('Dvd Calendar'!$T$223)=FALSE,"",IF((('Dvd Calendar'!$T$225=TYPE1)*(TYPE1&lt;&gt;"")+('Dvd Calendar'!$T$225=TYPE2)*(TYPE2&lt;&gt;"")+('Dvd Calendar'!$T$225=TYPE3)*(TYPE3&lt;&gt;"")+('Dvd Calendar'!$T$225=TYPE4)*(TYPE4&lt;&gt;"")+('Dvd Calendar'!$T$225=SPECIAL_LBL)*(INC_SPECIALS="Y"))=0,"",'Dvd Calendar'!$T$223)))</f>
        <v/>
      </c>
      <c r="S31" s="106">
        <f>IF(EU31="","",IF(ISNUMBER('Dvd Calendar'!$U$223)=FALSE,"",IF((('Dvd Calendar'!$U$225=TYPE1)*(TYPE1&lt;&gt;"")+('Dvd Calendar'!$U$225=TYPE2)*(TYPE2&lt;&gt;"")+('Dvd Calendar'!$U$225=TYPE3)*(TYPE3&lt;&gt;"")+('Dvd Calendar'!$U$225=TYPE4)*(TYPE4&lt;&gt;"")+('Dvd Calendar'!$U$225=SPECIAL_LBL)*(INC_SPECIALS="Y"))=0,"",'Dvd Calendar'!$U$223)))</f>
        <v/>
      </c>
      <c r="T31" s="106">
        <f>IF(EV31="","",IF(ISNUMBER('Dvd Calendar'!$V$223)=FALSE,"",IF((('Dvd Calendar'!$V$225=TYPE1)*(TYPE1&lt;&gt;"")+('Dvd Calendar'!$V$225=TYPE2)*(TYPE2&lt;&gt;"")+('Dvd Calendar'!$V$225=TYPE3)*(TYPE3&lt;&gt;"")+('Dvd Calendar'!$V$225=TYPE4)*(TYPE4&lt;&gt;"")+('Dvd Calendar'!$V$225=SPECIAL_LBL)*(INC_SPECIALS="Y"))=0,"",'Dvd Calendar'!$V$223)))</f>
        <v/>
      </c>
      <c r="U31" s="106">
        <f>IF(EW31="","",IF(ISNUMBER('Dvd Calendar'!$W$223)=FALSE,"",IF((('Dvd Calendar'!$W$225=TYPE1)*(TYPE1&lt;&gt;"")+('Dvd Calendar'!$W$225=TYPE2)*(TYPE2&lt;&gt;"")+('Dvd Calendar'!$W$225=TYPE3)*(TYPE3&lt;&gt;"")+('Dvd Calendar'!$W$225=TYPE4)*(TYPE4&lt;&gt;"")+('Dvd Calendar'!$W$225=SPECIAL_LBL)*(INC_SPECIALS="Y"))=0,"",'Dvd Calendar'!$W$223)))</f>
        <v/>
      </c>
      <c r="V31" s="106">
        <f>IF(EX31="","",IF(ISNUMBER('Dvd Calendar'!$X$223)=FALSE,"",IF((('Dvd Calendar'!$X$225=TYPE1)*(TYPE1&lt;&gt;"")+('Dvd Calendar'!$X$225=TYPE2)*(TYPE2&lt;&gt;"")+('Dvd Calendar'!$X$225=TYPE3)*(TYPE3&lt;&gt;"")+('Dvd Calendar'!$X$225=TYPE4)*(TYPE4&lt;&gt;"")+('Dvd Calendar'!$X$225=SPECIAL_LBL)*(INC_SPECIALS="Y"))=0,"",'Dvd Calendar'!$X$223)))</f>
        <v/>
      </c>
      <c r="W31" s="106">
        <f>IF(EY31="","",IF(ISNUMBER('Dvd Calendar'!$Y$223)=FALSE,"",IF((('Dvd Calendar'!$Y$225=TYPE1)*(TYPE1&lt;&gt;"")+('Dvd Calendar'!$Y$225=TYPE2)*(TYPE2&lt;&gt;"")+('Dvd Calendar'!$Y$225=TYPE3)*(TYPE3&lt;&gt;"")+('Dvd Calendar'!$Y$225=TYPE4)*(TYPE4&lt;&gt;"")+('Dvd Calendar'!$Y$225=SPECIAL_LBL)*(INC_SPECIALS="Y"))=0,"",'Dvd Calendar'!$Y$223)))</f>
        <v/>
      </c>
      <c r="X31" s="106">
        <f>IF(EZ31="","",IF(ISNUMBER('Dvd Calendar'!$Z$223)=FALSE,"",IF((('Dvd Calendar'!$Z$225=TYPE1)*(TYPE1&lt;&gt;"")+('Dvd Calendar'!$Z$225=TYPE2)*(TYPE2&lt;&gt;"")+('Dvd Calendar'!$Z$225=TYPE3)*(TYPE3&lt;&gt;"")+('Dvd Calendar'!$Z$225=TYPE4)*(TYPE4&lt;&gt;"")+('Dvd Calendar'!$Z$225=SPECIAL_LBL)*(INC_SPECIALS="Y"))=0,"",'Dvd Calendar'!$Z$223)))</f>
        <v/>
      </c>
      <c r="Y31" s="106">
        <f>IF(FA31="","",IF(ISNUMBER('Dvd Calendar'!$AA$223)=FALSE,"",IF((('Dvd Calendar'!$AA$225=TYPE1)*(TYPE1&lt;&gt;"")+('Dvd Calendar'!$AA$225=TYPE2)*(TYPE2&lt;&gt;"")+('Dvd Calendar'!$AA$225=TYPE3)*(TYPE3&lt;&gt;"")+('Dvd Calendar'!$AA$225=TYPE4)*(TYPE4&lt;&gt;"")+('Dvd Calendar'!$AA$225=SPECIAL_LBL)*(INC_SPECIALS="Y"))=0,"",'Dvd Calendar'!$AA$223)))</f>
        <v/>
      </c>
      <c r="Z31" s="106">
        <f>IF(FB31="","",IF(ISNUMBER('Dvd Calendar'!$AB$223)=FALSE,"",IF((('Dvd Calendar'!$AB$225=TYPE1)*(TYPE1&lt;&gt;"")+('Dvd Calendar'!$AB$225=TYPE2)*(TYPE2&lt;&gt;"")+('Dvd Calendar'!$AB$225=TYPE3)*(TYPE3&lt;&gt;"")+('Dvd Calendar'!$AB$225=TYPE4)*(TYPE4&lt;&gt;"")+('Dvd Calendar'!$AB$225=SPECIAL_LBL)*(INC_SPECIALS="Y"))=0,"",'Dvd Calendar'!$AB$223)))</f>
        <v/>
      </c>
      <c r="AA31" s="106">
        <f>IF(FC31="","",IF(ISNUMBER('Dvd Calendar'!$AC$223)=FALSE,"",IF((('Dvd Calendar'!$AC$225=TYPE1)*(TYPE1&lt;&gt;"")+('Dvd Calendar'!$AC$225=TYPE2)*(TYPE2&lt;&gt;"")+('Dvd Calendar'!$AC$225=TYPE3)*(TYPE3&lt;&gt;"")+('Dvd Calendar'!$AC$225=TYPE4)*(TYPE4&lt;&gt;"")+('Dvd Calendar'!$AC$225=SPECIAL_LBL)*(INC_SPECIALS="Y"))=0,"",'Dvd Calendar'!$AC$223)))</f>
        <v/>
      </c>
      <c r="AB31" s="106">
        <f>IF(FD31="","",IF(ISNUMBER('Dvd Calendar'!$AD$223)=FALSE,"",IF((('Dvd Calendar'!$AD$225=TYPE1)*(TYPE1&lt;&gt;"")+('Dvd Calendar'!$AD$225=TYPE2)*(TYPE2&lt;&gt;"")+('Dvd Calendar'!$AD$225=TYPE3)*(TYPE3&lt;&gt;"")+('Dvd Calendar'!$AD$225=TYPE4)*(TYPE4&lt;&gt;"")+('Dvd Calendar'!$AD$225=SPECIAL_LBL)*(INC_SPECIALS="Y"))=0,"",'Dvd Calendar'!$AD$223)))</f>
        <v/>
      </c>
      <c r="AC31" s="106">
        <f>IF(FE31="","",IF(ISNUMBER('Dvd Calendar'!$AE$223)=FALSE,"",IF((('Dvd Calendar'!$AE$225=TYPE1)*(TYPE1&lt;&gt;"")+('Dvd Calendar'!$AE$225=TYPE2)*(TYPE2&lt;&gt;"")+('Dvd Calendar'!$AE$225=TYPE3)*(TYPE3&lt;&gt;"")+('Dvd Calendar'!$AE$225=TYPE4)*(TYPE4&lt;&gt;"")+('Dvd Calendar'!$AE$225=SPECIAL_LBL)*(INC_SPECIALS="Y"))=0,"",'Dvd Calendar'!$AE$223)))</f>
        <v/>
      </c>
      <c r="AD31" s="106">
        <f>IF(FF31="","",IF(ISNUMBER('Dvd Calendar'!$AF$223)=FALSE,"",IF((('Dvd Calendar'!$AF$225=TYPE1)*(TYPE1&lt;&gt;"")+('Dvd Calendar'!$AF$225=TYPE2)*(TYPE2&lt;&gt;"")+('Dvd Calendar'!$AF$225=TYPE3)*(TYPE3&lt;&gt;"")+('Dvd Calendar'!$AF$225=TYPE4)*(TYPE4&lt;&gt;"")+('Dvd Calendar'!$AF$225=SPECIAL_LBL)*(INC_SPECIALS="Y"))=0,"",'Dvd Calendar'!$AF$223)))</f>
        <v/>
      </c>
      <c r="AE31" s="106">
        <f>IF(FG31="","",IF(ISNUMBER('Dvd Calendar'!$AG$223)=FALSE,"",IF((('Dvd Calendar'!$AG$225=TYPE1)*(TYPE1&lt;&gt;"")+('Dvd Calendar'!$AG$225=TYPE2)*(TYPE2&lt;&gt;"")+('Dvd Calendar'!$AG$225=TYPE3)*(TYPE3&lt;&gt;"")+('Dvd Calendar'!$AG$225=TYPE4)*(TYPE4&lt;&gt;"")+('Dvd Calendar'!$AG$225=SPECIAL_LBL)*(INC_SPECIALS="Y"))=0,"",'Dvd Calendar'!$AG$223)))</f>
        <v/>
      </c>
      <c r="AF31" s="106">
        <f>IF(FH31="","",IF(ISNUMBER('Dvd Calendar'!$AH$223)=FALSE,"",IF((('Dvd Calendar'!$AH$225=TYPE1)*(TYPE1&lt;&gt;"")+('Dvd Calendar'!$AH$225=TYPE2)*(TYPE2&lt;&gt;"")+('Dvd Calendar'!$AH$225=TYPE3)*(TYPE3&lt;&gt;"")+('Dvd Calendar'!$AH$225=TYPE4)*(TYPE4&lt;&gt;"")+('Dvd Calendar'!$AH$225=SPECIAL_LBL)*(INC_SPECIALS="Y"))=0,"",'Dvd Calendar'!$AH$223)))</f>
        <v/>
      </c>
      <c r="AG31" s="106">
        <f>IF(FI31="","",IF(ISNUMBER('Dvd Calendar'!$AI$223)=FALSE,"",IF((('Dvd Calendar'!$AI$225=TYPE1)*(TYPE1&lt;&gt;"")+('Dvd Calendar'!$AI$225=TYPE2)*(TYPE2&lt;&gt;"")+('Dvd Calendar'!$AI$225=TYPE3)*(TYPE3&lt;&gt;"")+('Dvd Calendar'!$AI$225=TYPE4)*(TYPE4&lt;&gt;"")+('Dvd Calendar'!$AI$225=SPECIAL_LBL)*(INC_SPECIALS="Y"))=0,"",'Dvd Calendar'!$AI$223)))</f>
        <v/>
      </c>
      <c r="AH31" s="106">
        <f>IF(FJ31="","",IF(ISNUMBER('Dvd Calendar'!$AJ$223)=FALSE,"",IF((('Dvd Calendar'!$AJ$225=TYPE1)*(TYPE1&lt;&gt;"")+('Dvd Calendar'!$AJ$225=TYPE2)*(TYPE2&lt;&gt;"")+('Dvd Calendar'!$AJ$225=TYPE3)*(TYPE3&lt;&gt;"")+('Dvd Calendar'!$AJ$225=TYPE4)*(TYPE4&lt;&gt;"")+('Dvd Calendar'!$AJ$225=SPECIAL_LBL)*(INC_SPECIALS="Y"))=0,"",'Dvd Calendar'!$AJ$223)))</f>
        <v/>
      </c>
      <c r="AI31" s="106">
        <f>IF(FK31="","",IF(ISNUMBER('Dvd Calendar'!$AK$223)=FALSE,"",IF((('Dvd Calendar'!$AK$225=TYPE1)*(TYPE1&lt;&gt;"")+('Dvd Calendar'!$AK$225=TYPE2)*(TYPE2&lt;&gt;"")+('Dvd Calendar'!$AK$225=TYPE3)*(TYPE3&lt;&gt;"")+('Dvd Calendar'!$AK$225=TYPE4)*(TYPE4&lt;&gt;"")+('Dvd Calendar'!$AK$225=SPECIAL_LBL)*(INC_SPECIALS="Y"))=0,"",'Dvd Calendar'!$AK$223)))</f>
        <v/>
      </c>
      <c r="AJ31" s="106">
        <f>IF(FL31="","",IF(ISNUMBER('Dvd Calendar'!$AL$223)=FALSE,"",IF((('Dvd Calendar'!$AL$225=TYPE1)*(TYPE1&lt;&gt;"")+('Dvd Calendar'!$AL$225=TYPE2)*(TYPE2&lt;&gt;"")+('Dvd Calendar'!$AL$225=TYPE3)*(TYPE3&lt;&gt;"")+('Dvd Calendar'!$AL$225=TYPE4)*(TYPE4&lt;&gt;"")+('Dvd Calendar'!$AL$225=SPECIAL_LBL)*(INC_SPECIALS="Y"))=0,"",'Dvd Calendar'!$AL$223)))</f>
        <v/>
      </c>
      <c r="AK31" s="106">
        <f>IF(FM31="","",IF(ISNUMBER('Dvd Calendar'!$AM$223)=FALSE,"",IF((('Dvd Calendar'!$AM$225=TYPE1)*(TYPE1&lt;&gt;"")+('Dvd Calendar'!$AM$225=TYPE2)*(TYPE2&lt;&gt;"")+('Dvd Calendar'!$AM$225=TYPE3)*(TYPE3&lt;&gt;"")+('Dvd Calendar'!$AM$225=TYPE4)*(TYPE4&lt;&gt;"")+('Dvd Calendar'!$AM$225=SPECIAL_LBL)*(INC_SPECIALS="Y"))=0,"",'Dvd Calendar'!$AM$223)))</f>
        <v/>
      </c>
      <c r="AL31" s="106">
        <f>IF(FN31="","",IF(ISNUMBER('Dvd Calendar'!$AN$223)=FALSE,"",IF((('Dvd Calendar'!$AN$225=TYPE1)*(TYPE1&lt;&gt;"")+('Dvd Calendar'!$AN$225=TYPE2)*(TYPE2&lt;&gt;"")+('Dvd Calendar'!$AN$225=TYPE3)*(TYPE3&lt;&gt;"")+('Dvd Calendar'!$AN$225=TYPE4)*(TYPE4&lt;&gt;"")+('Dvd Calendar'!$AN$225=SPECIAL_LBL)*(INC_SPECIALS="Y"))=0,"",'Dvd Calendar'!$AN$223)))</f>
        <v/>
      </c>
      <c r="AM31" s="106">
        <f>IF(FO31="","",IF(ISNUMBER('Dvd Calendar'!$AO$223)=FALSE,"",IF((('Dvd Calendar'!$AO$225=TYPE1)*(TYPE1&lt;&gt;"")+('Dvd Calendar'!$AO$225=TYPE2)*(TYPE2&lt;&gt;"")+('Dvd Calendar'!$AO$225=TYPE3)*(TYPE3&lt;&gt;"")+('Dvd Calendar'!$AO$225=TYPE4)*(TYPE4&lt;&gt;"")+('Dvd Calendar'!$AO$225=SPECIAL_LBL)*(INC_SPECIALS="Y"))=0,"",'Dvd Calendar'!$AO$223)))</f>
        <v/>
      </c>
      <c r="AN31" s="106">
        <f>IF(FP31="","",IF(ISNUMBER('Dvd Calendar'!$AP$223)=FALSE,"",IF((('Dvd Calendar'!$AP$225=TYPE1)*(TYPE1&lt;&gt;"")+('Dvd Calendar'!$AP$225=TYPE2)*(TYPE2&lt;&gt;"")+('Dvd Calendar'!$AP$225=TYPE3)*(TYPE3&lt;&gt;"")+('Dvd Calendar'!$AP$225=TYPE4)*(TYPE4&lt;&gt;"")+('Dvd Calendar'!$AP$225=SPECIAL_LBL)*(INC_SPECIALS="Y"))=0,"",'Dvd Calendar'!$AP$223)))</f>
        <v/>
      </c>
      <c r="AO31" s="106">
        <f>IF(FQ31="","",IF(ISNUMBER('Dvd Calendar'!$AQ$223)=FALSE,"",IF((('Dvd Calendar'!$AQ$225=TYPE1)*(TYPE1&lt;&gt;"")+('Dvd Calendar'!$AQ$225=TYPE2)*(TYPE2&lt;&gt;"")+('Dvd Calendar'!$AQ$225=TYPE3)*(TYPE3&lt;&gt;"")+('Dvd Calendar'!$AQ$225=TYPE4)*(TYPE4&lt;&gt;"")+('Dvd Calendar'!$AQ$225=SPECIAL_LBL)*(INC_SPECIALS="Y"))=0,"",'Dvd Calendar'!$AQ$223)))</f>
        <v/>
      </c>
      <c r="AP31" s="106">
        <f>IF(FR31="","",IF(ISNUMBER('Dvd Calendar'!$AR$223)=FALSE,"",IF((('Dvd Calendar'!$AR$225=TYPE1)*(TYPE1&lt;&gt;"")+('Dvd Calendar'!$AR$225=TYPE2)*(TYPE2&lt;&gt;"")+('Dvd Calendar'!$AR$225=TYPE3)*(TYPE3&lt;&gt;"")+('Dvd Calendar'!$AR$225=TYPE4)*(TYPE4&lt;&gt;"")+('Dvd Calendar'!$AR$225=SPECIAL_LBL)*(INC_SPECIALS="Y"))=0,"",'Dvd Calendar'!$AR$223)))</f>
        <v/>
      </c>
      <c r="AQ31" s="106">
        <f>IF(FS31="","",IF(ISNUMBER('Dvd Calendar'!$E$228)=FALSE,"",'Dvd Calendar'!$E$228))</f>
        <v/>
      </c>
      <c r="AR31" s="106">
        <f>IF(FT31="","",IF(ISNUMBER('Dvd Calendar'!$F$228)=FALSE,"",'Dvd Calendar'!$F$228))</f>
        <v/>
      </c>
      <c r="AS31" s="106">
        <f>IF(FU31="","",IF(ISNUMBER('Dvd Calendar'!$G$228)=FALSE,"",'Dvd Calendar'!$G$228))</f>
        <v/>
      </c>
      <c r="AT31" s="106">
        <f>IF(FV31="","",IF(ISNUMBER('Dvd Calendar'!$H$228)=FALSE,"",'Dvd Calendar'!$H$228))</f>
        <v/>
      </c>
      <c r="AU31" s="106">
        <f>IF(FW31="","",IF(ISNUMBER('Dvd Calendar'!$I$228)=FALSE,"",'Dvd Calendar'!$I$228))</f>
        <v/>
      </c>
      <c r="AV31" s="106">
        <f>IF(FX31="","",IF(ISNUMBER('Dvd Calendar'!$J$228)=FALSE,"",'Dvd Calendar'!$J$228))</f>
        <v/>
      </c>
      <c r="AW31" s="106">
        <f>IF(FY31="","",IF(ISNUMBER('Dvd Calendar'!$K$228)=FALSE,"",'Dvd Calendar'!$K$228))</f>
        <v/>
      </c>
      <c r="AX31" s="106">
        <f>IF(FZ31="","",IF(ISNUMBER('Dvd Calendar'!$L$228)=FALSE,"",'Dvd Calendar'!$L$228))</f>
        <v/>
      </c>
      <c r="AY31" s="106">
        <f>IF(GA31="","",IF(ISNUMBER('Dvd Calendar'!$M$228)=FALSE,"",'Dvd Calendar'!$M$228))</f>
        <v/>
      </c>
      <c r="AZ31" s="106">
        <f>IF(GB31="","",IF(ISNUMBER('Dvd Calendar'!$N$228)=FALSE,"",'Dvd Calendar'!$N$228))</f>
        <v/>
      </c>
      <c r="BA31" s="106">
        <f>IF(GC31="","",IF(ISNUMBER('Dvd Calendar'!$O$228)=FALSE,"",'Dvd Calendar'!$O$228))</f>
        <v/>
      </c>
      <c r="BB31" s="106">
        <f>IF(GD31="","",IF(ISNUMBER('Dvd Calendar'!$P$228)=FALSE,"",'Dvd Calendar'!$P$228))</f>
        <v/>
      </c>
      <c r="BC31" s="106">
        <f>IF(GE31="","",IF(ISNUMBER('Dvd Calendar'!$Q$228)=FALSE,"",'Dvd Calendar'!$Q$228))</f>
        <v/>
      </c>
      <c r="BD31" s="106">
        <f>IF(GF31="","",IF(ISNUMBER('Dvd Calendar'!$R$228)=FALSE,"",'Dvd Calendar'!$R$228))</f>
        <v/>
      </c>
      <c r="BE31" s="106">
        <f>IF(GG31="","",IF(ISNUMBER('Dvd Calendar'!$S$228)=FALSE,"",'Dvd Calendar'!$S$228))</f>
        <v/>
      </c>
      <c r="BF31" s="106">
        <f>IF(GH31="","",IF(ISNUMBER('Dvd Calendar'!$T$228)=FALSE,"",'Dvd Calendar'!$T$228))</f>
        <v/>
      </c>
      <c r="BG31" s="106">
        <f>IF(GI31="","",IF(ISNUMBER('Dvd Calendar'!$U$228)=FALSE,"",'Dvd Calendar'!$U$228))</f>
        <v/>
      </c>
      <c r="BH31" s="106">
        <f>IF(GJ31="","",IF(ISNUMBER('Dvd Calendar'!$V$228)=FALSE,"",'Dvd Calendar'!$V$228))</f>
        <v/>
      </c>
      <c r="BI31" s="106">
        <f>IF(GK31="","",IF(ISNUMBER('Dvd Calendar'!$W$228)=FALSE,"",'Dvd Calendar'!$W$228))</f>
        <v/>
      </c>
      <c r="BJ31" s="106">
        <f>IF(GL31="","",IF(ISNUMBER('Dvd Calendar'!$X$228)=FALSE,"",'Dvd Calendar'!$X$228))</f>
        <v/>
      </c>
      <c r="BK31" s="106">
        <f>IF(GM31="","",IF(ISNUMBER('Dvd Calendar'!$Y$228)=FALSE,"",'Dvd Calendar'!$Y$228))</f>
        <v/>
      </c>
      <c r="BL31" s="106">
        <f>IF(GN31="","",IF(ISNUMBER('Dvd Calendar'!$Z$228)=FALSE,"",'Dvd Calendar'!$Z$228))</f>
        <v/>
      </c>
      <c r="BM31" s="106">
        <f>IF(GO31="","",IF(ISNUMBER('Dvd Calendar'!$AA$228)=FALSE,"",'Dvd Calendar'!$AA$228))</f>
        <v/>
      </c>
      <c r="BN31" s="106">
        <f>IF(GP31="","",IF(ISNUMBER('Dvd Calendar'!$AB$228)=FALSE,"",'Dvd Calendar'!$AB$228))</f>
        <v/>
      </c>
      <c r="BO31" s="106">
        <f>IF(GQ31="","",IF(ISNUMBER('Dvd Calendar'!$AC$228)=FALSE,"",'Dvd Calendar'!$AC$228))</f>
        <v/>
      </c>
      <c r="BQ31" s="106">
        <f>IF(C31="","",IFERROR(C31*HSI!$B$26*HSI!$G$26/HSI!$B$3,""))</f>
        <v/>
      </c>
      <c r="BR31" s="106">
        <f>IF(D31="","",IFERROR(D31*HSI!$B$26*HSI!$G$26/HSI!$B$3,""))</f>
        <v/>
      </c>
      <c r="BS31" s="106">
        <f>IF(E31="","",IFERROR(E31*HSI!$B$26*HSI!$G$26/HSI!$B$3,""))</f>
        <v/>
      </c>
      <c r="BT31" s="106">
        <f>IF(F31="","",IFERROR(F31*HSI!$B$26*HSI!$G$26/HSI!$B$3,""))</f>
        <v/>
      </c>
      <c r="BU31" s="106">
        <f>IF(G31="","",IFERROR(G31*HSI!$B$26*HSI!$G$26/HSI!$B$3,""))</f>
        <v/>
      </c>
      <c r="BV31" s="106">
        <f>IF(H31="","",IFERROR(H31*HSI!$B$26*HSI!$G$26/HSI!$B$3,""))</f>
        <v/>
      </c>
      <c r="BW31" s="106">
        <f>IF(I31="","",IFERROR(I31*HSI!$B$26*HSI!$G$26/HSI!$B$3,""))</f>
        <v/>
      </c>
      <c r="BX31" s="106">
        <f>IF(J31="","",IFERROR(J31*HSI!$B$26*HSI!$G$26/HSI!$B$3,""))</f>
        <v/>
      </c>
      <c r="BY31" s="106">
        <f>IF(K31="","",IFERROR(K31*HSI!$B$26*HSI!$G$26/HSI!$B$3,""))</f>
        <v/>
      </c>
      <c r="BZ31" s="106">
        <f>IF(L31="","",IFERROR(L31*HSI!$B$26*HSI!$G$26/HSI!$B$3,""))</f>
        <v/>
      </c>
      <c r="CA31" s="106">
        <f>IF(M31="","",IFERROR(M31*HSI!$B$26*HSI!$G$26/HSI!$B$3,""))</f>
        <v/>
      </c>
      <c r="CB31" s="106">
        <f>IF(N31="","",IFERROR(N31*HSI!$B$26*HSI!$G$26/HSI!$B$3,""))</f>
        <v/>
      </c>
      <c r="CC31" s="106">
        <f>IF(O31="","",IFERROR(O31*HSI!$B$26*HSI!$G$26/HSI!$B$3,""))</f>
        <v/>
      </c>
      <c r="CD31" s="106">
        <f>IF(P31="","",IFERROR(P31*HSI!$B$26*HSI!$G$26/HSI!$B$3,""))</f>
        <v/>
      </c>
      <c r="CE31" s="106">
        <f>IF(Q31="","",IFERROR(Q31*HSI!$B$26*HSI!$G$26/HSI!$B$3,""))</f>
        <v/>
      </c>
      <c r="CF31" s="106">
        <f>IF(R31="","",IFERROR(R31*HSI!$B$26*HSI!$G$26/HSI!$B$3,""))</f>
        <v/>
      </c>
      <c r="CG31" s="106">
        <f>IF(S31="","",IFERROR(S31*HSI!$B$26*HSI!$G$26/HSI!$B$3,""))</f>
        <v/>
      </c>
      <c r="CH31" s="106">
        <f>IF(T31="","",IFERROR(T31*HSI!$B$26*HSI!$G$26/HSI!$B$3,""))</f>
        <v/>
      </c>
      <c r="CI31" s="106">
        <f>IF(U31="","",IFERROR(U31*HSI!$B$26*HSI!$G$26/HSI!$B$3,""))</f>
        <v/>
      </c>
      <c r="CJ31" s="106">
        <f>IF(V31="","",IFERROR(V31*HSI!$B$26*HSI!$G$26/HSI!$B$3,""))</f>
        <v/>
      </c>
      <c r="CK31" s="106">
        <f>IF(W31="","",IFERROR(W31*HSI!$B$26*HSI!$G$26/HSI!$B$3,""))</f>
        <v/>
      </c>
      <c r="CL31" s="106">
        <f>IF(X31="","",IFERROR(X31*HSI!$B$26*HSI!$G$26/HSI!$B$3,""))</f>
        <v/>
      </c>
      <c r="CM31" s="106">
        <f>IF(Y31="","",IFERROR(Y31*HSI!$B$26*HSI!$G$26/HSI!$B$3,""))</f>
        <v/>
      </c>
      <c r="CN31" s="106">
        <f>IF(Z31="","",IFERROR(Z31*HSI!$B$26*HSI!$G$26/HSI!$B$3,""))</f>
        <v/>
      </c>
      <c r="CO31" s="106">
        <f>IF(AA31="","",IFERROR(AA31*HSI!$B$26*HSI!$G$26/HSI!$B$3,""))</f>
        <v/>
      </c>
      <c r="CP31" s="106">
        <f>IF(AB31="","",IFERROR(AB31*HSI!$B$26*HSI!$G$26/HSI!$B$3,""))</f>
        <v/>
      </c>
      <c r="CQ31" s="106">
        <f>IF(AC31="","",IFERROR(AC31*HSI!$B$26*HSI!$G$26/HSI!$B$3,""))</f>
        <v/>
      </c>
      <c r="CR31" s="106">
        <f>IF(AD31="","",IFERROR(AD31*HSI!$B$26*HSI!$G$26/HSI!$B$3,""))</f>
        <v/>
      </c>
      <c r="CS31" s="106">
        <f>IF(AE31="","",IFERROR(AE31*HSI!$B$26*HSI!$G$26/HSI!$B$3,""))</f>
        <v/>
      </c>
      <c r="CT31" s="106">
        <f>IF(AF31="","",IFERROR(AF31*HSI!$B$26*HSI!$G$26/HSI!$B$3,""))</f>
        <v/>
      </c>
      <c r="CU31" s="106">
        <f>IF(AG31="","",IFERROR(AG31*HSI!$B$26*HSI!$G$26/HSI!$B$3,""))</f>
        <v/>
      </c>
      <c r="CV31" s="106">
        <f>IF(AH31="","",IFERROR(AH31*HSI!$B$26*HSI!$G$26/HSI!$B$3,""))</f>
        <v/>
      </c>
      <c r="CW31" s="106">
        <f>IF(AI31="","",IFERROR(AI31*HSI!$B$26*HSI!$G$26/HSI!$B$3,""))</f>
        <v/>
      </c>
      <c r="CX31" s="106">
        <f>IF(AJ31="","",IFERROR(AJ31*HSI!$B$26*HSI!$G$26/HSI!$B$3,""))</f>
        <v/>
      </c>
      <c r="CY31" s="106">
        <f>IF(AK31="","",IFERROR(AK31*HSI!$B$26*HSI!$G$26/HSI!$B$3,""))</f>
        <v/>
      </c>
      <c r="CZ31" s="106">
        <f>IF(AL31="","",IFERROR(AL31*HSI!$B$26*HSI!$G$26/HSI!$B$3,""))</f>
        <v/>
      </c>
      <c r="DA31" s="106">
        <f>IF(AM31="","",IFERROR(AM31*HSI!$B$26*HSI!$G$26/HSI!$B$3,""))</f>
        <v/>
      </c>
      <c r="DB31" s="106">
        <f>IF(AN31="","",IFERROR(AN31*HSI!$B$26*HSI!$G$26/HSI!$B$3,""))</f>
        <v/>
      </c>
      <c r="DC31" s="106">
        <f>IF(AO31="","",IFERROR(AO31*HSI!$B$26*HSI!$G$26/HSI!$B$3,""))</f>
        <v/>
      </c>
      <c r="DD31" s="106">
        <f>IF(AP31="","",IFERROR(AP31*HSI!$B$26*HSI!$G$26/HSI!$B$3,""))</f>
        <v/>
      </c>
      <c r="DE31" s="106">
        <f>IF(AQ31="","",IFERROR(AQ31*HSI!$B$26*HSI!$G$26/HSI!$B$3,""))</f>
        <v/>
      </c>
      <c r="DF31" s="106">
        <f>IF(AR31="","",IFERROR(AR31*HSI!$B$26*HSI!$G$26/HSI!$B$3,""))</f>
        <v/>
      </c>
      <c r="DG31" s="106">
        <f>IF(AS31="","",IFERROR(AS31*HSI!$B$26*HSI!$G$26/HSI!$B$3,""))</f>
        <v/>
      </c>
      <c r="DH31" s="106">
        <f>IF(AT31="","",IFERROR(AT31*HSI!$B$26*HSI!$G$26/HSI!$B$3,""))</f>
        <v/>
      </c>
      <c r="DI31" s="106">
        <f>IF(AU31="","",IFERROR(AU31*HSI!$B$26*HSI!$G$26/HSI!$B$3,""))</f>
        <v/>
      </c>
      <c r="DJ31" s="106">
        <f>IF(AV31="","",IFERROR(AV31*HSI!$B$26*HSI!$G$26/HSI!$B$3,""))</f>
        <v/>
      </c>
      <c r="DK31" s="106">
        <f>IF(AW31="","",IFERROR(AW31*HSI!$B$26*HSI!$G$26/HSI!$B$3,""))</f>
        <v/>
      </c>
      <c r="DL31" s="106">
        <f>IF(AX31="","",IFERROR(AX31*HSI!$B$26*HSI!$G$26/HSI!$B$3,""))</f>
        <v/>
      </c>
      <c r="DM31" s="106">
        <f>IF(AY31="","",IFERROR(AY31*HSI!$B$26*HSI!$G$26/HSI!$B$3,""))</f>
        <v/>
      </c>
      <c r="DN31" s="106">
        <f>IF(AZ31="","",IFERROR(AZ31*HSI!$B$26*HSI!$G$26/HSI!$B$3,""))</f>
        <v/>
      </c>
      <c r="DO31" s="106">
        <f>IF(BA31="","",IFERROR(BA31*HSI!$B$26*HSI!$G$26/HSI!$B$3,""))</f>
        <v/>
      </c>
      <c r="DP31" s="106">
        <f>IF(BB31="","",IFERROR(BB31*HSI!$B$26*HSI!$G$26/HSI!$B$3,""))</f>
        <v/>
      </c>
      <c r="DQ31" s="106">
        <f>IF(BC31="","",IFERROR(BC31*HSI!$B$26*HSI!$G$26/HSI!$B$3,""))</f>
        <v/>
      </c>
      <c r="DR31" s="106">
        <f>IF(BD31="","",IFERROR(BD31*HSI!$B$26*HSI!$G$26/HSI!$B$3,""))</f>
        <v/>
      </c>
      <c r="DS31" s="106">
        <f>IF(BE31="","",IFERROR(BE31*HSI!$B$26*HSI!$G$26/HSI!$B$3,""))</f>
        <v/>
      </c>
      <c r="DT31" s="106">
        <f>IF(BF31="","",IFERROR(BF31*HSI!$B$26*HSI!$G$26/HSI!$B$3,""))</f>
        <v/>
      </c>
      <c r="DU31" s="106">
        <f>IF(BG31="","",IFERROR(BG31*HSI!$B$26*HSI!$G$26/HSI!$B$3,""))</f>
        <v/>
      </c>
      <c r="DV31" s="106">
        <f>IF(BH31="","",IFERROR(BH31*HSI!$B$26*HSI!$G$26/HSI!$B$3,""))</f>
        <v/>
      </c>
      <c r="DW31" s="106">
        <f>IF(BI31="","",IFERROR(BI31*HSI!$B$26*HSI!$G$26/HSI!$B$3,""))</f>
        <v/>
      </c>
      <c r="DX31" s="106">
        <f>IF(BJ31="","",IFERROR(BJ31*HSI!$B$26*HSI!$G$26/HSI!$B$3,""))</f>
        <v/>
      </c>
      <c r="DY31" s="106">
        <f>IF(BK31="","",IFERROR(BK31*HSI!$B$26*HSI!$G$26/HSI!$B$3,""))</f>
        <v/>
      </c>
      <c r="DZ31" s="106">
        <f>IF(BL31="","",IFERROR(BL31*HSI!$B$26*HSI!$G$26/HSI!$B$3,""))</f>
        <v/>
      </c>
      <c r="EA31" s="106">
        <f>IF(BM31="","",IFERROR(BM31*HSI!$B$26*HSI!$G$26/HSI!$B$3,""))</f>
        <v/>
      </c>
      <c r="EB31" s="106">
        <f>IF(BN31="","",IFERROR(BN31*HSI!$B$26*HSI!$G$26/HSI!$B$3,""))</f>
        <v/>
      </c>
      <c r="EC31" s="106">
        <f>IF(BO31="","",IFERROR(BO31*HSI!$B$26*HSI!$G$26/HSI!$B$3,""))</f>
        <v/>
      </c>
      <c r="EE31" s="35">
        <f>IF(N('Dvd Calendar'!$E$220)=0,"",IF(('Dvd Calendar'!$E$220&gt;=GRID_FROM)*('Dvd Calendar'!$E$220&lt;=GRID_TO)*('Dvd Calendar'!$E$220&lt;=VAL_DATE)=0,"",'Dvd Calendar'!$E$220*1000000000+ISNUMBER('Dvd Calendar'!$E$223)*100000000+('Dvd Calendar'!$E$225=SPECIAL_LBL)*10000000+0*1000000+20*1000+1))</f>
        <v/>
      </c>
      <c r="EF31" s="35">
        <f>IF(N('Dvd Calendar'!$F$220)=0,"",IF(('Dvd Calendar'!$F$220&gt;=GRID_FROM)*('Dvd Calendar'!$F$220&lt;=GRID_TO)*('Dvd Calendar'!$F$220&lt;=VAL_DATE)=0,"",'Dvd Calendar'!$F$220*1000000000+ISNUMBER('Dvd Calendar'!$F$223)*100000000+('Dvd Calendar'!$F$225=SPECIAL_LBL)*10000000+0*1000000+20*1000+2))</f>
        <v/>
      </c>
      <c r="EG31" s="35">
        <f>IF(N('Dvd Calendar'!$G$220)=0,"",IF(('Dvd Calendar'!$G$220&gt;=GRID_FROM)*('Dvd Calendar'!$G$220&lt;=GRID_TO)*('Dvd Calendar'!$G$220&lt;=VAL_DATE)=0,"",'Dvd Calendar'!$G$220*1000000000+ISNUMBER('Dvd Calendar'!$G$223)*100000000+('Dvd Calendar'!$G$225=SPECIAL_LBL)*10000000+0*1000000+20*1000+3))</f>
        <v/>
      </c>
      <c r="EH31" s="35">
        <f>IF(N('Dvd Calendar'!$H$220)=0,"",IF(('Dvd Calendar'!$H$220&gt;=GRID_FROM)*('Dvd Calendar'!$H$220&lt;=GRID_TO)*('Dvd Calendar'!$H$220&lt;=VAL_DATE)=0,"",'Dvd Calendar'!$H$220*1000000000+ISNUMBER('Dvd Calendar'!$H$223)*100000000+('Dvd Calendar'!$H$225=SPECIAL_LBL)*10000000+0*1000000+20*1000+4))</f>
        <v/>
      </c>
      <c r="EI31" s="35">
        <f>IF(N('Dvd Calendar'!$I$220)=0,"",IF(('Dvd Calendar'!$I$220&gt;=GRID_FROM)*('Dvd Calendar'!$I$220&lt;=GRID_TO)*('Dvd Calendar'!$I$220&lt;=VAL_DATE)=0,"",'Dvd Calendar'!$I$220*1000000000+ISNUMBER('Dvd Calendar'!$I$223)*100000000+('Dvd Calendar'!$I$225=SPECIAL_LBL)*10000000+0*1000000+20*1000+5))</f>
        <v/>
      </c>
      <c r="EJ31" s="35">
        <f>IF(N('Dvd Calendar'!$J$220)=0,"",IF(('Dvd Calendar'!$J$220&gt;=GRID_FROM)*('Dvd Calendar'!$J$220&lt;=GRID_TO)*('Dvd Calendar'!$J$220&lt;=VAL_DATE)=0,"",'Dvd Calendar'!$J$220*1000000000+ISNUMBER('Dvd Calendar'!$J$223)*100000000+('Dvd Calendar'!$J$225=SPECIAL_LBL)*10000000+0*1000000+20*1000+6))</f>
        <v/>
      </c>
      <c r="EK31" s="35">
        <f>IF(N('Dvd Calendar'!$K$220)=0,"",IF(('Dvd Calendar'!$K$220&gt;=GRID_FROM)*('Dvd Calendar'!$K$220&lt;=GRID_TO)*('Dvd Calendar'!$K$220&lt;=VAL_DATE)=0,"",'Dvd Calendar'!$K$220*1000000000+ISNUMBER('Dvd Calendar'!$K$223)*100000000+('Dvd Calendar'!$K$225=SPECIAL_LBL)*10000000+0*1000000+20*1000+7))</f>
        <v/>
      </c>
      <c r="EL31" s="35">
        <f>IF(N('Dvd Calendar'!$L$220)=0,"",IF(('Dvd Calendar'!$L$220&gt;=GRID_FROM)*('Dvd Calendar'!$L$220&lt;=GRID_TO)*('Dvd Calendar'!$L$220&lt;=VAL_DATE)=0,"",'Dvd Calendar'!$L$220*1000000000+ISNUMBER('Dvd Calendar'!$L$223)*100000000+('Dvd Calendar'!$L$225=SPECIAL_LBL)*10000000+0*1000000+20*1000+8))</f>
        <v/>
      </c>
      <c r="EM31" s="35">
        <f>IF(N('Dvd Calendar'!$M$220)=0,"",IF(('Dvd Calendar'!$M$220&gt;=GRID_FROM)*('Dvd Calendar'!$M$220&lt;=GRID_TO)*('Dvd Calendar'!$M$220&lt;=VAL_DATE)=0,"",'Dvd Calendar'!$M$220*1000000000+ISNUMBER('Dvd Calendar'!$M$223)*100000000+('Dvd Calendar'!$M$225=SPECIAL_LBL)*10000000+0*1000000+20*1000+9))</f>
        <v/>
      </c>
      <c r="EN31" s="35">
        <f>IF(N('Dvd Calendar'!$N$220)=0,"",IF(('Dvd Calendar'!$N$220&gt;=GRID_FROM)*('Dvd Calendar'!$N$220&lt;=GRID_TO)*('Dvd Calendar'!$N$220&lt;=VAL_DATE)=0,"",'Dvd Calendar'!$N$220*1000000000+ISNUMBER('Dvd Calendar'!$N$223)*100000000+('Dvd Calendar'!$N$225=SPECIAL_LBL)*10000000+0*1000000+20*1000+10))</f>
        <v/>
      </c>
      <c r="EO31" s="35">
        <f>IF(N('Dvd Calendar'!$O$220)=0,"",IF(('Dvd Calendar'!$O$220&gt;=GRID_FROM)*('Dvd Calendar'!$O$220&lt;=GRID_TO)*('Dvd Calendar'!$O$220&lt;=VAL_DATE)=0,"",'Dvd Calendar'!$O$220*1000000000+ISNUMBER('Dvd Calendar'!$O$223)*100000000+('Dvd Calendar'!$O$225=SPECIAL_LBL)*10000000+0*1000000+20*1000+11))</f>
        <v/>
      </c>
      <c r="EP31" s="35">
        <f>IF(N('Dvd Calendar'!$P$220)=0,"",IF(('Dvd Calendar'!$P$220&gt;=GRID_FROM)*('Dvd Calendar'!$P$220&lt;=GRID_TO)*('Dvd Calendar'!$P$220&lt;=VAL_DATE)=0,"",'Dvd Calendar'!$P$220*1000000000+ISNUMBER('Dvd Calendar'!$P$223)*100000000+('Dvd Calendar'!$P$225=SPECIAL_LBL)*10000000+0*1000000+20*1000+12))</f>
        <v/>
      </c>
      <c r="EQ31" s="35">
        <f>IF(N('Dvd Calendar'!$Q$220)=0,"",IF(('Dvd Calendar'!$Q$220&gt;=GRID_FROM)*('Dvd Calendar'!$Q$220&lt;=GRID_TO)*('Dvd Calendar'!$Q$220&lt;=VAL_DATE)=0,"",'Dvd Calendar'!$Q$220*1000000000+ISNUMBER('Dvd Calendar'!$Q$223)*100000000+('Dvd Calendar'!$Q$225=SPECIAL_LBL)*10000000+0*1000000+20*1000+13))</f>
        <v/>
      </c>
      <c r="ER31" s="35">
        <f>IF(N('Dvd Calendar'!$R$220)=0,"",IF(('Dvd Calendar'!$R$220&gt;=GRID_FROM)*('Dvd Calendar'!$R$220&lt;=GRID_TO)*('Dvd Calendar'!$R$220&lt;=VAL_DATE)=0,"",'Dvd Calendar'!$R$220*1000000000+ISNUMBER('Dvd Calendar'!$R$223)*100000000+('Dvd Calendar'!$R$225=SPECIAL_LBL)*10000000+0*1000000+20*1000+14))</f>
        <v/>
      </c>
      <c r="ES31" s="35">
        <f>IF(N('Dvd Calendar'!$S$220)=0,"",IF(('Dvd Calendar'!$S$220&gt;=GRID_FROM)*('Dvd Calendar'!$S$220&lt;=GRID_TO)*('Dvd Calendar'!$S$220&lt;=VAL_DATE)=0,"",'Dvd Calendar'!$S$220*1000000000+ISNUMBER('Dvd Calendar'!$S$223)*100000000+('Dvd Calendar'!$S$225=SPECIAL_LBL)*10000000+0*1000000+20*1000+15))</f>
        <v/>
      </c>
      <c r="ET31" s="35">
        <f>IF(N('Dvd Calendar'!$T$220)=0,"",IF(('Dvd Calendar'!$T$220&gt;=GRID_FROM)*('Dvd Calendar'!$T$220&lt;=GRID_TO)*('Dvd Calendar'!$T$220&lt;=VAL_DATE)=0,"",'Dvd Calendar'!$T$220*1000000000+ISNUMBER('Dvd Calendar'!$T$223)*100000000+('Dvd Calendar'!$T$225=SPECIAL_LBL)*10000000+0*1000000+20*1000+16))</f>
        <v/>
      </c>
      <c r="EU31" s="35">
        <f>IF(N('Dvd Calendar'!$U$220)=0,"",IF(('Dvd Calendar'!$U$220&gt;=GRID_FROM)*('Dvd Calendar'!$U$220&lt;=GRID_TO)*('Dvd Calendar'!$U$220&lt;=VAL_DATE)=0,"",'Dvd Calendar'!$U$220*1000000000+ISNUMBER('Dvd Calendar'!$U$223)*100000000+('Dvd Calendar'!$U$225=SPECIAL_LBL)*10000000+0*1000000+20*1000+17))</f>
        <v/>
      </c>
      <c r="EV31" s="35">
        <f>IF(N('Dvd Calendar'!$V$220)=0,"",IF(('Dvd Calendar'!$V$220&gt;=GRID_FROM)*('Dvd Calendar'!$V$220&lt;=GRID_TO)*('Dvd Calendar'!$V$220&lt;=VAL_DATE)=0,"",'Dvd Calendar'!$V$220*1000000000+ISNUMBER('Dvd Calendar'!$V$223)*100000000+('Dvd Calendar'!$V$225=SPECIAL_LBL)*10000000+0*1000000+20*1000+18))</f>
        <v/>
      </c>
      <c r="EW31" s="35">
        <f>IF(N('Dvd Calendar'!$W$220)=0,"",IF(('Dvd Calendar'!$W$220&gt;=GRID_FROM)*('Dvd Calendar'!$W$220&lt;=GRID_TO)*('Dvd Calendar'!$W$220&lt;=VAL_DATE)=0,"",'Dvd Calendar'!$W$220*1000000000+ISNUMBER('Dvd Calendar'!$W$223)*100000000+('Dvd Calendar'!$W$225=SPECIAL_LBL)*10000000+0*1000000+20*1000+19))</f>
        <v/>
      </c>
      <c r="EX31" s="35">
        <f>IF(N('Dvd Calendar'!$X$220)=0,"",IF(('Dvd Calendar'!$X$220&gt;=GRID_FROM)*('Dvd Calendar'!$X$220&lt;=GRID_TO)*('Dvd Calendar'!$X$220&lt;=VAL_DATE)=0,"",'Dvd Calendar'!$X$220*1000000000+ISNUMBER('Dvd Calendar'!$X$223)*100000000+('Dvd Calendar'!$X$225=SPECIAL_LBL)*10000000+0*1000000+20*1000+20))</f>
        <v/>
      </c>
      <c r="EY31" s="35">
        <f>IF(N('Dvd Calendar'!$Y$220)=0,"",IF(('Dvd Calendar'!$Y$220&gt;=GRID_FROM)*('Dvd Calendar'!$Y$220&lt;=GRID_TO)*('Dvd Calendar'!$Y$220&lt;=VAL_DATE)=0,"",'Dvd Calendar'!$Y$220*1000000000+ISNUMBER('Dvd Calendar'!$Y$223)*100000000+('Dvd Calendar'!$Y$225=SPECIAL_LBL)*10000000+0*1000000+20*1000+21))</f>
        <v/>
      </c>
      <c r="EZ31" s="35">
        <f>IF(N('Dvd Calendar'!$Z$220)=0,"",IF(('Dvd Calendar'!$Z$220&gt;=GRID_FROM)*('Dvd Calendar'!$Z$220&lt;=GRID_TO)*('Dvd Calendar'!$Z$220&lt;=VAL_DATE)=0,"",'Dvd Calendar'!$Z$220*1000000000+ISNUMBER('Dvd Calendar'!$Z$223)*100000000+('Dvd Calendar'!$Z$225=SPECIAL_LBL)*10000000+0*1000000+20*1000+22))</f>
        <v/>
      </c>
      <c r="FA31" s="35">
        <f>IF(N('Dvd Calendar'!$AA$220)=0,"",IF(('Dvd Calendar'!$AA$220&gt;=GRID_FROM)*('Dvd Calendar'!$AA$220&lt;=GRID_TO)*('Dvd Calendar'!$AA$220&lt;=VAL_DATE)=0,"",'Dvd Calendar'!$AA$220*1000000000+ISNUMBER('Dvd Calendar'!$AA$223)*100000000+('Dvd Calendar'!$AA$225=SPECIAL_LBL)*10000000+0*1000000+20*1000+23))</f>
        <v/>
      </c>
      <c r="FB31" s="35">
        <f>IF(N('Dvd Calendar'!$AB$220)=0,"",IF(('Dvd Calendar'!$AB$220&gt;=GRID_FROM)*('Dvd Calendar'!$AB$220&lt;=GRID_TO)*('Dvd Calendar'!$AB$220&lt;=VAL_DATE)=0,"",'Dvd Calendar'!$AB$220*1000000000+ISNUMBER('Dvd Calendar'!$AB$223)*100000000+('Dvd Calendar'!$AB$225=SPECIAL_LBL)*10000000+0*1000000+20*1000+24))</f>
        <v/>
      </c>
      <c r="FC31" s="35">
        <f>IF(N('Dvd Calendar'!$AC$220)=0,"",IF(('Dvd Calendar'!$AC$220&gt;=GRID_FROM)*('Dvd Calendar'!$AC$220&lt;=GRID_TO)*('Dvd Calendar'!$AC$220&lt;=VAL_DATE)=0,"",'Dvd Calendar'!$AC$220*1000000000+ISNUMBER('Dvd Calendar'!$AC$223)*100000000+('Dvd Calendar'!$AC$225=SPECIAL_LBL)*10000000+0*1000000+20*1000+25))</f>
        <v/>
      </c>
      <c r="FD31" s="35">
        <f>IF(N('Dvd Calendar'!$AD$220)=0,"",IF(('Dvd Calendar'!$AD$220&gt;=GRID_FROM)*('Dvd Calendar'!$AD$220&lt;=GRID_TO)*('Dvd Calendar'!$AD$220&lt;=VAL_DATE)=0,"",'Dvd Calendar'!$AD$220*1000000000+ISNUMBER('Dvd Calendar'!$AD$223)*100000000+('Dvd Calendar'!$AD$225=SPECIAL_LBL)*10000000+0*1000000+20*1000+26))</f>
        <v/>
      </c>
      <c r="FE31" s="35">
        <f>IF(N('Dvd Calendar'!$AE$220)=0,"",IF(('Dvd Calendar'!$AE$220&gt;=GRID_FROM)*('Dvd Calendar'!$AE$220&lt;=GRID_TO)*('Dvd Calendar'!$AE$220&lt;=VAL_DATE)=0,"",'Dvd Calendar'!$AE$220*1000000000+ISNUMBER('Dvd Calendar'!$AE$223)*100000000+('Dvd Calendar'!$AE$225=SPECIAL_LBL)*10000000+0*1000000+20*1000+27))</f>
        <v/>
      </c>
      <c r="FF31" s="35">
        <f>IF(N('Dvd Calendar'!$AF$220)=0,"",IF(('Dvd Calendar'!$AF$220&gt;=GRID_FROM)*('Dvd Calendar'!$AF$220&lt;=GRID_TO)*('Dvd Calendar'!$AF$220&lt;=VAL_DATE)=0,"",'Dvd Calendar'!$AF$220*1000000000+ISNUMBER('Dvd Calendar'!$AF$223)*100000000+('Dvd Calendar'!$AF$225=SPECIAL_LBL)*10000000+0*1000000+20*1000+28))</f>
        <v/>
      </c>
      <c r="FG31" s="35">
        <f>IF(N('Dvd Calendar'!$AG$220)=0,"",IF(('Dvd Calendar'!$AG$220&gt;=GRID_FROM)*('Dvd Calendar'!$AG$220&lt;=GRID_TO)*('Dvd Calendar'!$AG$220&lt;=VAL_DATE)=0,"",'Dvd Calendar'!$AG$220*1000000000+ISNUMBER('Dvd Calendar'!$AG$223)*100000000+('Dvd Calendar'!$AG$225=SPECIAL_LBL)*10000000+0*1000000+20*1000+29))</f>
        <v/>
      </c>
      <c r="FH31" s="35">
        <f>IF(N('Dvd Calendar'!$AH$220)=0,"",IF(('Dvd Calendar'!$AH$220&gt;=GRID_FROM)*('Dvd Calendar'!$AH$220&lt;=GRID_TO)*('Dvd Calendar'!$AH$220&lt;=VAL_DATE)=0,"",'Dvd Calendar'!$AH$220*1000000000+ISNUMBER('Dvd Calendar'!$AH$223)*100000000+('Dvd Calendar'!$AH$225=SPECIAL_LBL)*10000000+0*1000000+20*1000+30))</f>
        <v/>
      </c>
      <c r="FI31" s="35">
        <f>IF(N('Dvd Calendar'!$AI$220)=0,"",IF(('Dvd Calendar'!$AI$220&gt;=GRID_FROM)*('Dvd Calendar'!$AI$220&lt;=GRID_TO)*('Dvd Calendar'!$AI$220&lt;=VAL_DATE)=0,"",'Dvd Calendar'!$AI$220*1000000000+ISNUMBER('Dvd Calendar'!$AI$223)*100000000+('Dvd Calendar'!$AI$225=SPECIAL_LBL)*10000000+0*1000000+20*1000+31))</f>
        <v/>
      </c>
      <c r="FJ31" s="35">
        <f>IF(N('Dvd Calendar'!$AJ$220)=0,"",IF(('Dvd Calendar'!$AJ$220&gt;=GRID_FROM)*('Dvd Calendar'!$AJ$220&lt;=GRID_TO)*('Dvd Calendar'!$AJ$220&lt;=VAL_DATE)=0,"",'Dvd Calendar'!$AJ$220*1000000000+ISNUMBER('Dvd Calendar'!$AJ$223)*100000000+('Dvd Calendar'!$AJ$225=SPECIAL_LBL)*10000000+0*1000000+20*1000+32))</f>
        <v/>
      </c>
      <c r="FK31" s="35">
        <f>IF(N('Dvd Calendar'!$AK$220)=0,"",IF(('Dvd Calendar'!$AK$220&gt;=GRID_FROM)*('Dvd Calendar'!$AK$220&lt;=GRID_TO)*('Dvd Calendar'!$AK$220&lt;=VAL_DATE)=0,"",'Dvd Calendar'!$AK$220*1000000000+ISNUMBER('Dvd Calendar'!$AK$223)*100000000+('Dvd Calendar'!$AK$225=SPECIAL_LBL)*10000000+0*1000000+20*1000+33))</f>
        <v/>
      </c>
      <c r="FL31" s="35">
        <f>IF(N('Dvd Calendar'!$AL$220)=0,"",IF(('Dvd Calendar'!$AL$220&gt;=GRID_FROM)*('Dvd Calendar'!$AL$220&lt;=GRID_TO)*('Dvd Calendar'!$AL$220&lt;=VAL_DATE)=0,"",'Dvd Calendar'!$AL$220*1000000000+ISNUMBER('Dvd Calendar'!$AL$223)*100000000+('Dvd Calendar'!$AL$225=SPECIAL_LBL)*10000000+0*1000000+20*1000+34))</f>
        <v/>
      </c>
      <c r="FM31" s="35">
        <f>IF(N('Dvd Calendar'!$AM$220)=0,"",IF(('Dvd Calendar'!$AM$220&gt;=GRID_FROM)*('Dvd Calendar'!$AM$220&lt;=GRID_TO)*('Dvd Calendar'!$AM$220&lt;=VAL_DATE)=0,"",'Dvd Calendar'!$AM$220*1000000000+ISNUMBER('Dvd Calendar'!$AM$223)*100000000+('Dvd Calendar'!$AM$225=SPECIAL_LBL)*10000000+0*1000000+20*1000+35))</f>
        <v/>
      </c>
      <c r="FN31" s="35">
        <f>IF(N('Dvd Calendar'!$AN$220)=0,"",IF(('Dvd Calendar'!$AN$220&gt;=GRID_FROM)*('Dvd Calendar'!$AN$220&lt;=GRID_TO)*('Dvd Calendar'!$AN$220&lt;=VAL_DATE)=0,"",'Dvd Calendar'!$AN$220*1000000000+ISNUMBER('Dvd Calendar'!$AN$223)*100000000+('Dvd Calendar'!$AN$225=SPECIAL_LBL)*10000000+0*1000000+20*1000+36))</f>
        <v/>
      </c>
      <c r="FO31" s="35">
        <f>IF(N('Dvd Calendar'!$AO$220)=0,"",IF(('Dvd Calendar'!$AO$220&gt;=GRID_FROM)*('Dvd Calendar'!$AO$220&lt;=GRID_TO)*('Dvd Calendar'!$AO$220&lt;=VAL_DATE)=0,"",'Dvd Calendar'!$AO$220*1000000000+ISNUMBER('Dvd Calendar'!$AO$223)*100000000+('Dvd Calendar'!$AO$225=SPECIAL_LBL)*10000000+0*1000000+20*1000+37))</f>
        <v/>
      </c>
      <c r="FP31" s="35">
        <f>IF(N('Dvd Calendar'!$AP$220)=0,"",IF(('Dvd Calendar'!$AP$220&gt;=GRID_FROM)*('Dvd Calendar'!$AP$220&lt;=GRID_TO)*('Dvd Calendar'!$AP$220&lt;=VAL_DATE)=0,"",'Dvd Calendar'!$AP$220*1000000000+ISNUMBER('Dvd Calendar'!$AP$223)*100000000+('Dvd Calendar'!$AP$225=SPECIAL_LBL)*10000000+0*1000000+20*1000+38))</f>
        <v/>
      </c>
      <c r="FQ31" s="35">
        <f>IF(N('Dvd Calendar'!$AQ$220)=0,"",IF(('Dvd Calendar'!$AQ$220&gt;=GRID_FROM)*('Dvd Calendar'!$AQ$220&lt;=GRID_TO)*('Dvd Calendar'!$AQ$220&lt;=VAL_DATE)=0,"",'Dvd Calendar'!$AQ$220*1000000000+ISNUMBER('Dvd Calendar'!$AQ$223)*100000000+('Dvd Calendar'!$AQ$225=SPECIAL_LBL)*10000000+0*1000000+20*1000+39))</f>
        <v/>
      </c>
      <c r="FR31" s="35">
        <f>IF(N('Dvd Calendar'!$AR$220)=0,"",IF(('Dvd Calendar'!$AR$220&gt;=GRID_FROM)*('Dvd Calendar'!$AR$220&lt;=GRID_TO)*('Dvd Calendar'!$AR$220&lt;=VAL_DATE)=0,"",'Dvd Calendar'!$AR$220*1000000000+ISNUMBER('Dvd Calendar'!$AR$223)*100000000+('Dvd Calendar'!$AR$225=SPECIAL_LBL)*10000000+0*1000000+20*1000+40))</f>
        <v/>
      </c>
      <c r="FS31" s="35">
        <f>IF(N('Dvd Calendar'!$E$227)=0,"",IF(('Dvd Calendar'!$E$227&gt;=GRID_FROM)*('Dvd Calendar'!$E$227&lt;=GRID_TO)*('Dvd Calendar'!$E$227&gt;VAL_DATE)=0,"",'Dvd Calendar'!$E$227*1000000000+ISNUMBER('Dvd Calendar'!$E$228)*100000000+0*10000000+(N('Dvd Calendar'!$E$226)&gt;0)*(N('Dvd Calendar'!$E$226)&lt;=VAL_SERIAL)*1000000+20*1000+41))</f>
        <v/>
      </c>
      <c r="FT31" s="35">
        <f>IF(N('Dvd Calendar'!$F$227)=0,"",IF(('Dvd Calendar'!$F$227&gt;=GRID_FROM)*('Dvd Calendar'!$F$227&lt;=GRID_TO)*('Dvd Calendar'!$F$227&gt;VAL_DATE)=0,"",'Dvd Calendar'!$F$227*1000000000+ISNUMBER('Dvd Calendar'!$F$228)*100000000+0*10000000+(N('Dvd Calendar'!$F$226)&gt;0)*(N('Dvd Calendar'!$F$226)&lt;=VAL_SERIAL)*1000000+20*1000+42))</f>
        <v/>
      </c>
      <c r="FU31" s="35">
        <f>IF(N('Dvd Calendar'!$G$227)=0,"",IF(('Dvd Calendar'!$G$227&gt;=GRID_FROM)*('Dvd Calendar'!$G$227&lt;=GRID_TO)*('Dvd Calendar'!$G$227&gt;VAL_DATE)=0,"",'Dvd Calendar'!$G$227*1000000000+ISNUMBER('Dvd Calendar'!$G$228)*100000000+0*10000000+(N('Dvd Calendar'!$G$226)&gt;0)*(N('Dvd Calendar'!$G$226)&lt;=VAL_SERIAL)*1000000+20*1000+43))</f>
        <v/>
      </c>
      <c r="FV31" s="35">
        <f>IF(N('Dvd Calendar'!$H$227)=0,"",IF(('Dvd Calendar'!$H$227&gt;=GRID_FROM)*('Dvd Calendar'!$H$227&lt;=GRID_TO)*('Dvd Calendar'!$H$227&gt;VAL_DATE)=0,"",'Dvd Calendar'!$H$227*1000000000+ISNUMBER('Dvd Calendar'!$H$228)*100000000+0*10000000+(N('Dvd Calendar'!$H$226)&gt;0)*(N('Dvd Calendar'!$H$226)&lt;=VAL_SERIAL)*1000000+20*1000+44))</f>
        <v/>
      </c>
      <c r="FW31" s="35">
        <f>IF(N('Dvd Calendar'!$I$227)=0,"",IF(('Dvd Calendar'!$I$227&gt;=GRID_FROM)*('Dvd Calendar'!$I$227&lt;=GRID_TO)*('Dvd Calendar'!$I$227&gt;VAL_DATE)=0,"",'Dvd Calendar'!$I$227*1000000000+ISNUMBER('Dvd Calendar'!$I$228)*100000000+0*10000000+(N('Dvd Calendar'!$I$226)&gt;0)*(N('Dvd Calendar'!$I$226)&lt;=VAL_SERIAL)*1000000+20*1000+45))</f>
        <v/>
      </c>
      <c r="FX31" s="35">
        <f>IF(N('Dvd Calendar'!$J$227)=0,"",IF(('Dvd Calendar'!$J$227&gt;=GRID_FROM)*('Dvd Calendar'!$J$227&lt;=GRID_TO)*('Dvd Calendar'!$J$227&gt;VAL_DATE)=0,"",'Dvd Calendar'!$J$227*1000000000+ISNUMBER('Dvd Calendar'!$J$228)*100000000+0*10000000+(N('Dvd Calendar'!$J$226)&gt;0)*(N('Dvd Calendar'!$J$226)&lt;=VAL_SERIAL)*1000000+20*1000+46))</f>
        <v/>
      </c>
      <c r="FY31" s="35">
        <f>IF(N('Dvd Calendar'!$K$227)=0,"",IF(('Dvd Calendar'!$K$227&gt;=GRID_FROM)*('Dvd Calendar'!$K$227&lt;=GRID_TO)*('Dvd Calendar'!$K$227&gt;VAL_DATE)=0,"",'Dvd Calendar'!$K$227*1000000000+ISNUMBER('Dvd Calendar'!$K$228)*100000000+0*10000000+(N('Dvd Calendar'!$K$226)&gt;0)*(N('Dvd Calendar'!$K$226)&lt;=VAL_SERIAL)*1000000+20*1000+47))</f>
        <v/>
      </c>
      <c r="FZ31" s="35">
        <f>IF(N('Dvd Calendar'!$L$227)=0,"",IF(('Dvd Calendar'!$L$227&gt;=GRID_FROM)*('Dvd Calendar'!$L$227&lt;=GRID_TO)*('Dvd Calendar'!$L$227&gt;VAL_DATE)=0,"",'Dvd Calendar'!$L$227*1000000000+ISNUMBER('Dvd Calendar'!$L$228)*100000000+0*10000000+(N('Dvd Calendar'!$L$226)&gt;0)*(N('Dvd Calendar'!$L$226)&lt;=VAL_SERIAL)*1000000+20*1000+48))</f>
        <v/>
      </c>
      <c r="GA31" s="35">
        <f>IF(N('Dvd Calendar'!$M$227)=0,"",IF(('Dvd Calendar'!$M$227&gt;=GRID_FROM)*('Dvd Calendar'!$M$227&lt;=GRID_TO)*('Dvd Calendar'!$M$227&gt;VAL_DATE)=0,"",'Dvd Calendar'!$M$227*1000000000+ISNUMBER('Dvd Calendar'!$M$228)*100000000+0*10000000+(N('Dvd Calendar'!$M$226)&gt;0)*(N('Dvd Calendar'!$M$226)&lt;=VAL_SERIAL)*1000000+20*1000+49))</f>
        <v/>
      </c>
      <c r="GB31" s="35">
        <f>IF(N('Dvd Calendar'!$N$227)=0,"",IF(('Dvd Calendar'!$N$227&gt;=GRID_FROM)*('Dvd Calendar'!$N$227&lt;=GRID_TO)*('Dvd Calendar'!$N$227&gt;VAL_DATE)=0,"",'Dvd Calendar'!$N$227*1000000000+ISNUMBER('Dvd Calendar'!$N$228)*100000000+0*10000000+(N('Dvd Calendar'!$N$226)&gt;0)*(N('Dvd Calendar'!$N$226)&lt;=VAL_SERIAL)*1000000+20*1000+50))</f>
        <v/>
      </c>
      <c r="GC31" s="35">
        <f>IF(N('Dvd Calendar'!$O$227)=0,"",IF(('Dvd Calendar'!$O$227&gt;=GRID_FROM)*('Dvd Calendar'!$O$227&lt;=GRID_TO)*('Dvd Calendar'!$O$227&gt;VAL_DATE)=0,"",'Dvd Calendar'!$O$227*1000000000+ISNUMBER('Dvd Calendar'!$O$228)*100000000+0*10000000+(N('Dvd Calendar'!$O$226)&gt;0)*(N('Dvd Calendar'!$O$226)&lt;=VAL_SERIAL)*1000000+20*1000+51))</f>
        <v/>
      </c>
      <c r="GD31" s="35">
        <f>IF(N('Dvd Calendar'!$P$227)=0,"",IF(('Dvd Calendar'!$P$227&gt;=GRID_FROM)*('Dvd Calendar'!$P$227&lt;=GRID_TO)*('Dvd Calendar'!$P$227&gt;VAL_DATE)=0,"",'Dvd Calendar'!$P$227*1000000000+ISNUMBER('Dvd Calendar'!$P$228)*100000000+0*10000000+(N('Dvd Calendar'!$P$226)&gt;0)*(N('Dvd Calendar'!$P$226)&lt;=VAL_SERIAL)*1000000+20*1000+52))</f>
        <v/>
      </c>
      <c r="GE31" s="35">
        <f>IF(N('Dvd Calendar'!$Q$227)=0,"",IF(('Dvd Calendar'!$Q$227&gt;=GRID_FROM)*('Dvd Calendar'!$Q$227&lt;=GRID_TO)*('Dvd Calendar'!$Q$227&gt;VAL_DATE)=0,"",'Dvd Calendar'!$Q$227*1000000000+ISNUMBER('Dvd Calendar'!$Q$228)*100000000+0*10000000+(N('Dvd Calendar'!$Q$226)&gt;0)*(N('Dvd Calendar'!$Q$226)&lt;=VAL_SERIAL)*1000000+20*1000+53))</f>
        <v/>
      </c>
      <c r="GF31" s="35">
        <f>IF(N('Dvd Calendar'!$R$227)=0,"",IF(('Dvd Calendar'!$R$227&gt;=GRID_FROM)*('Dvd Calendar'!$R$227&lt;=GRID_TO)*('Dvd Calendar'!$R$227&gt;VAL_DATE)=0,"",'Dvd Calendar'!$R$227*1000000000+ISNUMBER('Dvd Calendar'!$R$228)*100000000+0*10000000+(N('Dvd Calendar'!$R$226)&gt;0)*(N('Dvd Calendar'!$R$226)&lt;=VAL_SERIAL)*1000000+20*1000+54))</f>
        <v/>
      </c>
      <c r="GG31" s="35">
        <f>IF(N('Dvd Calendar'!$S$227)=0,"",IF(('Dvd Calendar'!$S$227&gt;=GRID_FROM)*('Dvd Calendar'!$S$227&lt;=GRID_TO)*('Dvd Calendar'!$S$227&gt;VAL_DATE)=0,"",'Dvd Calendar'!$S$227*1000000000+ISNUMBER('Dvd Calendar'!$S$228)*100000000+0*10000000+(N('Dvd Calendar'!$S$226)&gt;0)*(N('Dvd Calendar'!$S$226)&lt;=VAL_SERIAL)*1000000+20*1000+55))</f>
        <v/>
      </c>
      <c r="GH31" s="35">
        <f>IF(N('Dvd Calendar'!$T$227)=0,"",IF(('Dvd Calendar'!$T$227&gt;=GRID_FROM)*('Dvd Calendar'!$T$227&lt;=GRID_TO)*('Dvd Calendar'!$T$227&gt;VAL_DATE)=0,"",'Dvd Calendar'!$T$227*1000000000+ISNUMBER('Dvd Calendar'!$T$228)*100000000+0*10000000+(N('Dvd Calendar'!$T$226)&gt;0)*(N('Dvd Calendar'!$T$226)&lt;=VAL_SERIAL)*1000000+20*1000+56))</f>
        <v/>
      </c>
      <c r="GI31" s="35">
        <f>IF(N('Dvd Calendar'!$U$227)=0,"",IF(('Dvd Calendar'!$U$227&gt;=GRID_FROM)*('Dvd Calendar'!$U$227&lt;=GRID_TO)*('Dvd Calendar'!$U$227&gt;VAL_DATE)=0,"",'Dvd Calendar'!$U$227*1000000000+ISNUMBER('Dvd Calendar'!$U$228)*100000000+0*10000000+(N('Dvd Calendar'!$U$226)&gt;0)*(N('Dvd Calendar'!$U$226)&lt;=VAL_SERIAL)*1000000+20*1000+57))</f>
        <v/>
      </c>
      <c r="GJ31" s="35">
        <f>IF(N('Dvd Calendar'!$V$227)=0,"",IF(('Dvd Calendar'!$V$227&gt;=GRID_FROM)*('Dvd Calendar'!$V$227&lt;=GRID_TO)*('Dvd Calendar'!$V$227&gt;VAL_DATE)=0,"",'Dvd Calendar'!$V$227*1000000000+ISNUMBER('Dvd Calendar'!$V$228)*100000000+0*10000000+(N('Dvd Calendar'!$V$226)&gt;0)*(N('Dvd Calendar'!$V$226)&lt;=VAL_SERIAL)*1000000+20*1000+58))</f>
        <v/>
      </c>
      <c r="GK31" s="35">
        <f>IF(N('Dvd Calendar'!$W$227)=0,"",IF(('Dvd Calendar'!$W$227&gt;=GRID_FROM)*('Dvd Calendar'!$W$227&lt;=GRID_TO)*('Dvd Calendar'!$W$227&gt;VAL_DATE)=0,"",'Dvd Calendar'!$W$227*1000000000+ISNUMBER('Dvd Calendar'!$W$228)*100000000+0*10000000+(N('Dvd Calendar'!$W$226)&gt;0)*(N('Dvd Calendar'!$W$226)&lt;=VAL_SERIAL)*1000000+20*1000+59))</f>
        <v/>
      </c>
      <c r="GL31" s="35">
        <f>IF(N('Dvd Calendar'!$X$227)=0,"",IF(('Dvd Calendar'!$X$227&gt;=GRID_FROM)*('Dvd Calendar'!$X$227&lt;=GRID_TO)*('Dvd Calendar'!$X$227&gt;VAL_DATE)=0,"",'Dvd Calendar'!$X$227*1000000000+ISNUMBER('Dvd Calendar'!$X$228)*100000000+0*10000000+(N('Dvd Calendar'!$X$226)&gt;0)*(N('Dvd Calendar'!$X$226)&lt;=VAL_SERIAL)*1000000+20*1000+60))</f>
        <v/>
      </c>
      <c r="GM31" s="35">
        <f>IF(N('Dvd Calendar'!$Y$227)=0,"",IF(('Dvd Calendar'!$Y$227&gt;=GRID_FROM)*('Dvd Calendar'!$Y$227&lt;=GRID_TO)*('Dvd Calendar'!$Y$227&gt;VAL_DATE)=0,"",'Dvd Calendar'!$Y$227*1000000000+ISNUMBER('Dvd Calendar'!$Y$228)*100000000+0*10000000+(N('Dvd Calendar'!$Y$226)&gt;0)*(N('Dvd Calendar'!$Y$226)&lt;=VAL_SERIAL)*1000000+20*1000+61))</f>
        <v/>
      </c>
      <c r="GN31" s="35">
        <f>IF(N('Dvd Calendar'!$Z$227)=0,"",IF(('Dvd Calendar'!$Z$227&gt;=GRID_FROM)*('Dvd Calendar'!$Z$227&lt;=GRID_TO)*('Dvd Calendar'!$Z$227&gt;VAL_DATE)=0,"",'Dvd Calendar'!$Z$227*1000000000+ISNUMBER('Dvd Calendar'!$Z$228)*100000000+0*10000000+(N('Dvd Calendar'!$Z$226)&gt;0)*(N('Dvd Calendar'!$Z$226)&lt;=VAL_SERIAL)*1000000+20*1000+62))</f>
        <v/>
      </c>
      <c r="GO31" s="35">
        <f>IF(N('Dvd Calendar'!$AA$227)=0,"",IF(('Dvd Calendar'!$AA$227&gt;=GRID_FROM)*('Dvd Calendar'!$AA$227&lt;=GRID_TO)*('Dvd Calendar'!$AA$227&gt;VAL_DATE)=0,"",'Dvd Calendar'!$AA$227*1000000000+ISNUMBER('Dvd Calendar'!$AA$228)*100000000+0*10000000+(N('Dvd Calendar'!$AA$226)&gt;0)*(N('Dvd Calendar'!$AA$226)&lt;=VAL_SERIAL)*1000000+20*1000+63))</f>
        <v/>
      </c>
      <c r="GP31" s="35">
        <f>IF(N('Dvd Calendar'!$AB$227)=0,"",IF(('Dvd Calendar'!$AB$227&gt;=GRID_FROM)*('Dvd Calendar'!$AB$227&lt;=GRID_TO)*('Dvd Calendar'!$AB$227&gt;VAL_DATE)=0,"",'Dvd Calendar'!$AB$227*1000000000+ISNUMBER('Dvd Calendar'!$AB$228)*100000000+0*10000000+(N('Dvd Calendar'!$AB$226)&gt;0)*(N('Dvd Calendar'!$AB$226)&lt;=VAL_SERIAL)*1000000+20*1000+64))</f>
        <v/>
      </c>
      <c r="GQ31" s="35">
        <f>IF(N('Dvd Calendar'!$AC$227)=0,"",IF(('Dvd Calendar'!$AC$227&gt;=GRID_FROM)*('Dvd Calendar'!$AC$227&lt;=GRID_TO)*('Dvd Calendar'!$AC$227&gt;VAL_DATE)=0,"",'Dvd Calendar'!$AC$227*1000000000+ISNUMBER('Dvd Calendar'!$AC$228)*100000000+0*10000000+(N('Dvd Calendar'!$AC$226)&gt;0)*(N('Dvd Calendar'!$AC$226)&lt;=VAL_SERIAL)*1000000+20*1000+65))</f>
        <v/>
      </c>
    </row>
    <row r="32">
      <c r="B32" s="2">
        <f>IF(HSI!$C$27="","",HSI!$C$27)</f>
        <v/>
      </c>
      <c r="C32" s="106">
        <f>IF(EE32="","",IF(ISNUMBER('Dvd Calendar'!$E$234)=FALSE,"",IF((('Dvd Calendar'!$E$236=TYPE1)*(TYPE1&lt;&gt;"")+('Dvd Calendar'!$E$236=TYPE2)*(TYPE2&lt;&gt;"")+('Dvd Calendar'!$E$236=TYPE3)*(TYPE3&lt;&gt;"")+('Dvd Calendar'!$E$236=TYPE4)*(TYPE4&lt;&gt;"")+('Dvd Calendar'!$E$236=SPECIAL_LBL)*(INC_SPECIALS="Y"))=0,"",'Dvd Calendar'!$E$234)))</f>
        <v/>
      </c>
      <c r="D32" s="106">
        <f>IF(EF32="","",IF(ISNUMBER('Dvd Calendar'!$F$234)=FALSE,"",IF((('Dvd Calendar'!$F$236=TYPE1)*(TYPE1&lt;&gt;"")+('Dvd Calendar'!$F$236=TYPE2)*(TYPE2&lt;&gt;"")+('Dvd Calendar'!$F$236=TYPE3)*(TYPE3&lt;&gt;"")+('Dvd Calendar'!$F$236=TYPE4)*(TYPE4&lt;&gt;"")+('Dvd Calendar'!$F$236=SPECIAL_LBL)*(INC_SPECIALS="Y"))=0,"",'Dvd Calendar'!$F$234)))</f>
        <v/>
      </c>
      <c r="E32" s="106">
        <f>IF(EG32="","",IF(ISNUMBER('Dvd Calendar'!$G$234)=FALSE,"",IF((('Dvd Calendar'!$G$236=TYPE1)*(TYPE1&lt;&gt;"")+('Dvd Calendar'!$G$236=TYPE2)*(TYPE2&lt;&gt;"")+('Dvd Calendar'!$G$236=TYPE3)*(TYPE3&lt;&gt;"")+('Dvd Calendar'!$G$236=TYPE4)*(TYPE4&lt;&gt;"")+('Dvd Calendar'!$G$236=SPECIAL_LBL)*(INC_SPECIALS="Y"))=0,"",'Dvd Calendar'!$G$234)))</f>
        <v/>
      </c>
      <c r="F32" s="106">
        <f>IF(EH32="","",IF(ISNUMBER('Dvd Calendar'!$H$234)=FALSE,"",IF((('Dvd Calendar'!$H$236=TYPE1)*(TYPE1&lt;&gt;"")+('Dvd Calendar'!$H$236=TYPE2)*(TYPE2&lt;&gt;"")+('Dvd Calendar'!$H$236=TYPE3)*(TYPE3&lt;&gt;"")+('Dvd Calendar'!$H$236=TYPE4)*(TYPE4&lt;&gt;"")+('Dvd Calendar'!$H$236=SPECIAL_LBL)*(INC_SPECIALS="Y"))=0,"",'Dvd Calendar'!$H$234)))</f>
        <v/>
      </c>
      <c r="G32" s="106">
        <f>IF(EI32="","",IF(ISNUMBER('Dvd Calendar'!$I$234)=FALSE,"",IF((('Dvd Calendar'!$I$236=TYPE1)*(TYPE1&lt;&gt;"")+('Dvd Calendar'!$I$236=TYPE2)*(TYPE2&lt;&gt;"")+('Dvd Calendar'!$I$236=TYPE3)*(TYPE3&lt;&gt;"")+('Dvd Calendar'!$I$236=TYPE4)*(TYPE4&lt;&gt;"")+('Dvd Calendar'!$I$236=SPECIAL_LBL)*(INC_SPECIALS="Y"))=0,"",'Dvd Calendar'!$I$234)))</f>
        <v/>
      </c>
      <c r="H32" s="106">
        <f>IF(EJ32="","",IF(ISNUMBER('Dvd Calendar'!$J$234)=FALSE,"",IF((('Dvd Calendar'!$J$236=TYPE1)*(TYPE1&lt;&gt;"")+('Dvd Calendar'!$J$236=TYPE2)*(TYPE2&lt;&gt;"")+('Dvd Calendar'!$J$236=TYPE3)*(TYPE3&lt;&gt;"")+('Dvd Calendar'!$J$236=TYPE4)*(TYPE4&lt;&gt;"")+('Dvd Calendar'!$J$236=SPECIAL_LBL)*(INC_SPECIALS="Y"))=0,"",'Dvd Calendar'!$J$234)))</f>
        <v/>
      </c>
      <c r="I32" s="106">
        <f>IF(EK32="","",IF(ISNUMBER('Dvd Calendar'!$K$234)=FALSE,"",IF((('Dvd Calendar'!$K$236=TYPE1)*(TYPE1&lt;&gt;"")+('Dvd Calendar'!$K$236=TYPE2)*(TYPE2&lt;&gt;"")+('Dvd Calendar'!$K$236=TYPE3)*(TYPE3&lt;&gt;"")+('Dvd Calendar'!$K$236=TYPE4)*(TYPE4&lt;&gt;"")+('Dvd Calendar'!$K$236=SPECIAL_LBL)*(INC_SPECIALS="Y"))=0,"",'Dvd Calendar'!$K$234)))</f>
        <v/>
      </c>
      <c r="J32" s="106">
        <f>IF(EL32="","",IF(ISNUMBER('Dvd Calendar'!$L$234)=FALSE,"",IF((('Dvd Calendar'!$L$236=TYPE1)*(TYPE1&lt;&gt;"")+('Dvd Calendar'!$L$236=TYPE2)*(TYPE2&lt;&gt;"")+('Dvd Calendar'!$L$236=TYPE3)*(TYPE3&lt;&gt;"")+('Dvd Calendar'!$L$236=TYPE4)*(TYPE4&lt;&gt;"")+('Dvd Calendar'!$L$236=SPECIAL_LBL)*(INC_SPECIALS="Y"))=0,"",'Dvd Calendar'!$L$234)))</f>
        <v/>
      </c>
      <c r="K32" s="106">
        <f>IF(EM32="","",IF(ISNUMBER('Dvd Calendar'!$M$234)=FALSE,"",IF((('Dvd Calendar'!$M$236=TYPE1)*(TYPE1&lt;&gt;"")+('Dvd Calendar'!$M$236=TYPE2)*(TYPE2&lt;&gt;"")+('Dvd Calendar'!$M$236=TYPE3)*(TYPE3&lt;&gt;"")+('Dvd Calendar'!$M$236=TYPE4)*(TYPE4&lt;&gt;"")+('Dvd Calendar'!$M$236=SPECIAL_LBL)*(INC_SPECIALS="Y"))=0,"",'Dvd Calendar'!$M$234)))</f>
        <v/>
      </c>
      <c r="L32" s="106">
        <f>IF(EN32="","",IF(ISNUMBER('Dvd Calendar'!$N$234)=FALSE,"",IF((('Dvd Calendar'!$N$236=TYPE1)*(TYPE1&lt;&gt;"")+('Dvd Calendar'!$N$236=TYPE2)*(TYPE2&lt;&gt;"")+('Dvd Calendar'!$N$236=TYPE3)*(TYPE3&lt;&gt;"")+('Dvd Calendar'!$N$236=TYPE4)*(TYPE4&lt;&gt;"")+('Dvd Calendar'!$N$236=SPECIAL_LBL)*(INC_SPECIALS="Y"))=0,"",'Dvd Calendar'!$N$234)))</f>
        <v/>
      </c>
      <c r="M32" s="106">
        <f>IF(EO32="","",IF(ISNUMBER('Dvd Calendar'!$O$234)=FALSE,"",IF((('Dvd Calendar'!$O$236=TYPE1)*(TYPE1&lt;&gt;"")+('Dvd Calendar'!$O$236=TYPE2)*(TYPE2&lt;&gt;"")+('Dvd Calendar'!$O$236=TYPE3)*(TYPE3&lt;&gt;"")+('Dvd Calendar'!$O$236=TYPE4)*(TYPE4&lt;&gt;"")+('Dvd Calendar'!$O$236=SPECIAL_LBL)*(INC_SPECIALS="Y"))=0,"",'Dvd Calendar'!$O$234)))</f>
        <v/>
      </c>
      <c r="N32" s="106">
        <f>IF(EP32="","",IF(ISNUMBER('Dvd Calendar'!$P$234)=FALSE,"",IF((('Dvd Calendar'!$P$236=TYPE1)*(TYPE1&lt;&gt;"")+('Dvd Calendar'!$P$236=TYPE2)*(TYPE2&lt;&gt;"")+('Dvd Calendar'!$P$236=TYPE3)*(TYPE3&lt;&gt;"")+('Dvd Calendar'!$P$236=TYPE4)*(TYPE4&lt;&gt;"")+('Dvd Calendar'!$P$236=SPECIAL_LBL)*(INC_SPECIALS="Y"))=0,"",'Dvd Calendar'!$P$234)))</f>
        <v/>
      </c>
      <c r="O32" s="106">
        <f>IF(EQ32="","",IF(ISNUMBER('Dvd Calendar'!$Q$234)=FALSE,"",IF((('Dvd Calendar'!$Q$236=TYPE1)*(TYPE1&lt;&gt;"")+('Dvd Calendar'!$Q$236=TYPE2)*(TYPE2&lt;&gt;"")+('Dvd Calendar'!$Q$236=TYPE3)*(TYPE3&lt;&gt;"")+('Dvd Calendar'!$Q$236=TYPE4)*(TYPE4&lt;&gt;"")+('Dvd Calendar'!$Q$236=SPECIAL_LBL)*(INC_SPECIALS="Y"))=0,"",'Dvd Calendar'!$Q$234)))</f>
        <v/>
      </c>
      <c r="P32" s="106">
        <f>IF(ER32="","",IF(ISNUMBER('Dvd Calendar'!$R$234)=FALSE,"",IF((('Dvd Calendar'!$R$236=TYPE1)*(TYPE1&lt;&gt;"")+('Dvd Calendar'!$R$236=TYPE2)*(TYPE2&lt;&gt;"")+('Dvd Calendar'!$R$236=TYPE3)*(TYPE3&lt;&gt;"")+('Dvd Calendar'!$R$236=TYPE4)*(TYPE4&lt;&gt;"")+('Dvd Calendar'!$R$236=SPECIAL_LBL)*(INC_SPECIALS="Y"))=0,"",'Dvd Calendar'!$R$234)))</f>
        <v/>
      </c>
      <c r="Q32" s="106">
        <f>IF(ES32="","",IF(ISNUMBER('Dvd Calendar'!$S$234)=FALSE,"",IF((('Dvd Calendar'!$S$236=TYPE1)*(TYPE1&lt;&gt;"")+('Dvd Calendar'!$S$236=TYPE2)*(TYPE2&lt;&gt;"")+('Dvd Calendar'!$S$236=TYPE3)*(TYPE3&lt;&gt;"")+('Dvd Calendar'!$S$236=TYPE4)*(TYPE4&lt;&gt;"")+('Dvd Calendar'!$S$236=SPECIAL_LBL)*(INC_SPECIALS="Y"))=0,"",'Dvd Calendar'!$S$234)))</f>
        <v/>
      </c>
      <c r="R32" s="106">
        <f>IF(ET32="","",IF(ISNUMBER('Dvd Calendar'!$T$234)=FALSE,"",IF((('Dvd Calendar'!$T$236=TYPE1)*(TYPE1&lt;&gt;"")+('Dvd Calendar'!$T$236=TYPE2)*(TYPE2&lt;&gt;"")+('Dvd Calendar'!$T$236=TYPE3)*(TYPE3&lt;&gt;"")+('Dvd Calendar'!$T$236=TYPE4)*(TYPE4&lt;&gt;"")+('Dvd Calendar'!$T$236=SPECIAL_LBL)*(INC_SPECIALS="Y"))=0,"",'Dvd Calendar'!$T$234)))</f>
        <v/>
      </c>
      <c r="S32" s="106">
        <f>IF(EU32="","",IF(ISNUMBER('Dvd Calendar'!$U$234)=FALSE,"",IF((('Dvd Calendar'!$U$236=TYPE1)*(TYPE1&lt;&gt;"")+('Dvd Calendar'!$U$236=TYPE2)*(TYPE2&lt;&gt;"")+('Dvd Calendar'!$U$236=TYPE3)*(TYPE3&lt;&gt;"")+('Dvd Calendar'!$U$236=TYPE4)*(TYPE4&lt;&gt;"")+('Dvd Calendar'!$U$236=SPECIAL_LBL)*(INC_SPECIALS="Y"))=0,"",'Dvd Calendar'!$U$234)))</f>
        <v/>
      </c>
      <c r="T32" s="106">
        <f>IF(EV32="","",IF(ISNUMBER('Dvd Calendar'!$V$234)=FALSE,"",IF((('Dvd Calendar'!$V$236=TYPE1)*(TYPE1&lt;&gt;"")+('Dvd Calendar'!$V$236=TYPE2)*(TYPE2&lt;&gt;"")+('Dvd Calendar'!$V$236=TYPE3)*(TYPE3&lt;&gt;"")+('Dvd Calendar'!$V$236=TYPE4)*(TYPE4&lt;&gt;"")+('Dvd Calendar'!$V$236=SPECIAL_LBL)*(INC_SPECIALS="Y"))=0,"",'Dvd Calendar'!$V$234)))</f>
        <v/>
      </c>
      <c r="U32" s="106">
        <f>IF(EW32="","",IF(ISNUMBER('Dvd Calendar'!$W$234)=FALSE,"",IF((('Dvd Calendar'!$W$236=TYPE1)*(TYPE1&lt;&gt;"")+('Dvd Calendar'!$W$236=TYPE2)*(TYPE2&lt;&gt;"")+('Dvd Calendar'!$W$236=TYPE3)*(TYPE3&lt;&gt;"")+('Dvd Calendar'!$W$236=TYPE4)*(TYPE4&lt;&gt;"")+('Dvd Calendar'!$W$236=SPECIAL_LBL)*(INC_SPECIALS="Y"))=0,"",'Dvd Calendar'!$W$234)))</f>
        <v/>
      </c>
      <c r="V32" s="106">
        <f>IF(EX32="","",IF(ISNUMBER('Dvd Calendar'!$X$234)=FALSE,"",IF((('Dvd Calendar'!$X$236=TYPE1)*(TYPE1&lt;&gt;"")+('Dvd Calendar'!$X$236=TYPE2)*(TYPE2&lt;&gt;"")+('Dvd Calendar'!$X$236=TYPE3)*(TYPE3&lt;&gt;"")+('Dvd Calendar'!$X$236=TYPE4)*(TYPE4&lt;&gt;"")+('Dvd Calendar'!$X$236=SPECIAL_LBL)*(INC_SPECIALS="Y"))=0,"",'Dvd Calendar'!$X$234)))</f>
        <v/>
      </c>
      <c r="W32" s="106">
        <f>IF(EY32="","",IF(ISNUMBER('Dvd Calendar'!$Y$234)=FALSE,"",IF((('Dvd Calendar'!$Y$236=TYPE1)*(TYPE1&lt;&gt;"")+('Dvd Calendar'!$Y$236=TYPE2)*(TYPE2&lt;&gt;"")+('Dvd Calendar'!$Y$236=TYPE3)*(TYPE3&lt;&gt;"")+('Dvd Calendar'!$Y$236=TYPE4)*(TYPE4&lt;&gt;"")+('Dvd Calendar'!$Y$236=SPECIAL_LBL)*(INC_SPECIALS="Y"))=0,"",'Dvd Calendar'!$Y$234)))</f>
        <v/>
      </c>
      <c r="X32" s="106">
        <f>IF(EZ32="","",IF(ISNUMBER('Dvd Calendar'!$Z$234)=FALSE,"",IF((('Dvd Calendar'!$Z$236=TYPE1)*(TYPE1&lt;&gt;"")+('Dvd Calendar'!$Z$236=TYPE2)*(TYPE2&lt;&gt;"")+('Dvd Calendar'!$Z$236=TYPE3)*(TYPE3&lt;&gt;"")+('Dvd Calendar'!$Z$236=TYPE4)*(TYPE4&lt;&gt;"")+('Dvd Calendar'!$Z$236=SPECIAL_LBL)*(INC_SPECIALS="Y"))=0,"",'Dvd Calendar'!$Z$234)))</f>
        <v/>
      </c>
      <c r="Y32" s="106">
        <f>IF(FA32="","",IF(ISNUMBER('Dvd Calendar'!$AA$234)=FALSE,"",IF((('Dvd Calendar'!$AA$236=TYPE1)*(TYPE1&lt;&gt;"")+('Dvd Calendar'!$AA$236=TYPE2)*(TYPE2&lt;&gt;"")+('Dvd Calendar'!$AA$236=TYPE3)*(TYPE3&lt;&gt;"")+('Dvd Calendar'!$AA$236=TYPE4)*(TYPE4&lt;&gt;"")+('Dvd Calendar'!$AA$236=SPECIAL_LBL)*(INC_SPECIALS="Y"))=0,"",'Dvd Calendar'!$AA$234)))</f>
        <v/>
      </c>
      <c r="Z32" s="106">
        <f>IF(FB32="","",IF(ISNUMBER('Dvd Calendar'!$AB$234)=FALSE,"",IF((('Dvd Calendar'!$AB$236=TYPE1)*(TYPE1&lt;&gt;"")+('Dvd Calendar'!$AB$236=TYPE2)*(TYPE2&lt;&gt;"")+('Dvd Calendar'!$AB$236=TYPE3)*(TYPE3&lt;&gt;"")+('Dvd Calendar'!$AB$236=TYPE4)*(TYPE4&lt;&gt;"")+('Dvd Calendar'!$AB$236=SPECIAL_LBL)*(INC_SPECIALS="Y"))=0,"",'Dvd Calendar'!$AB$234)))</f>
        <v/>
      </c>
      <c r="AA32" s="106">
        <f>IF(FC32="","",IF(ISNUMBER('Dvd Calendar'!$AC$234)=FALSE,"",IF((('Dvd Calendar'!$AC$236=TYPE1)*(TYPE1&lt;&gt;"")+('Dvd Calendar'!$AC$236=TYPE2)*(TYPE2&lt;&gt;"")+('Dvd Calendar'!$AC$236=TYPE3)*(TYPE3&lt;&gt;"")+('Dvd Calendar'!$AC$236=TYPE4)*(TYPE4&lt;&gt;"")+('Dvd Calendar'!$AC$236=SPECIAL_LBL)*(INC_SPECIALS="Y"))=0,"",'Dvd Calendar'!$AC$234)))</f>
        <v/>
      </c>
      <c r="AB32" s="106">
        <f>IF(FD32="","",IF(ISNUMBER('Dvd Calendar'!$AD$234)=FALSE,"",IF((('Dvd Calendar'!$AD$236=TYPE1)*(TYPE1&lt;&gt;"")+('Dvd Calendar'!$AD$236=TYPE2)*(TYPE2&lt;&gt;"")+('Dvd Calendar'!$AD$236=TYPE3)*(TYPE3&lt;&gt;"")+('Dvd Calendar'!$AD$236=TYPE4)*(TYPE4&lt;&gt;"")+('Dvd Calendar'!$AD$236=SPECIAL_LBL)*(INC_SPECIALS="Y"))=0,"",'Dvd Calendar'!$AD$234)))</f>
        <v/>
      </c>
      <c r="AC32" s="106">
        <f>IF(FE32="","",IF(ISNUMBER('Dvd Calendar'!$AE$234)=FALSE,"",IF((('Dvd Calendar'!$AE$236=TYPE1)*(TYPE1&lt;&gt;"")+('Dvd Calendar'!$AE$236=TYPE2)*(TYPE2&lt;&gt;"")+('Dvd Calendar'!$AE$236=TYPE3)*(TYPE3&lt;&gt;"")+('Dvd Calendar'!$AE$236=TYPE4)*(TYPE4&lt;&gt;"")+('Dvd Calendar'!$AE$236=SPECIAL_LBL)*(INC_SPECIALS="Y"))=0,"",'Dvd Calendar'!$AE$234)))</f>
        <v/>
      </c>
      <c r="AD32" s="106">
        <f>IF(FF32="","",IF(ISNUMBER('Dvd Calendar'!$AF$234)=FALSE,"",IF((('Dvd Calendar'!$AF$236=TYPE1)*(TYPE1&lt;&gt;"")+('Dvd Calendar'!$AF$236=TYPE2)*(TYPE2&lt;&gt;"")+('Dvd Calendar'!$AF$236=TYPE3)*(TYPE3&lt;&gt;"")+('Dvd Calendar'!$AF$236=TYPE4)*(TYPE4&lt;&gt;"")+('Dvd Calendar'!$AF$236=SPECIAL_LBL)*(INC_SPECIALS="Y"))=0,"",'Dvd Calendar'!$AF$234)))</f>
        <v/>
      </c>
      <c r="AE32" s="106">
        <f>IF(FG32="","",IF(ISNUMBER('Dvd Calendar'!$AG$234)=FALSE,"",IF((('Dvd Calendar'!$AG$236=TYPE1)*(TYPE1&lt;&gt;"")+('Dvd Calendar'!$AG$236=TYPE2)*(TYPE2&lt;&gt;"")+('Dvd Calendar'!$AG$236=TYPE3)*(TYPE3&lt;&gt;"")+('Dvd Calendar'!$AG$236=TYPE4)*(TYPE4&lt;&gt;"")+('Dvd Calendar'!$AG$236=SPECIAL_LBL)*(INC_SPECIALS="Y"))=0,"",'Dvd Calendar'!$AG$234)))</f>
        <v/>
      </c>
      <c r="AF32" s="106">
        <f>IF(FH32="","",IF(ISNUMBER('Dvd Calendar'!$AH$234)=FALSE,"",IF((('Dvd Calendar'!$AH$236=TYPE1)*(TYPE1&lt;&gt;"")+('Dvd Calendar'!$AH$236=TYPE2)*(TYPE2&lt;&gt;"")+('Dvd Calendar'!$AH$236=TYPE3)*(TYPE3&lt;&gt;"")+('Dvd Calendar'!$AH$236=TYPE4)*(TYPE4&lt;&gt;"")+('Dvd Calendar'!$AH$236=SPECIAL_LBL)*(INC_SPECIALS="Y"))=0,"",'Dvd Calendar'!$AH$234)))</f>
        <v/>
      </c>
      <c r="AG32" s="106">
        <f>IF(FI32="","",IF(ISNUMBER('Dvd Calendar'!$AI$234)=FALSE,"",IF((('Dvd Calendar'!$AI$236=TYPE1)*(TYPE1&lt;&gt;"")+('Dvd Calendar'!$AI$236=TYPE2)*(TYPE2&lt;&gt;"")+('Dvd Calendar'!$AI$236=TYPE3)*(TYPE3&lt;&gt;"")+('Dvd Calendar'!$AI$236=TYPE4)*(TYPE4&lt;&gt;"")+('Dvd Calendar'!$AI$236=SPECIAL_LBL)*(INC_SPECIALS="Y"))=0,"",'Dvd Calendar'!$AI$234)))</f>
        <v/>
      </c>
      <c r="AH32" s="106">
        <f>IF(FJ32="","",IF(ISNUMBER('Dvd Calendar'!$AJ$234)=FALSE,"",IF((('Dvd Calendar'!$AJ$236=TYPE1)*(TYPE1&lt;&gt;"")+('Dvd Calendar'!$AJ$236=TYPE2)*(TYPE2&lt;&gt;"")+('Dvd Calendar'!$AJ$236=TYPE3)*(TYPE3&lt;&gt;"")+('Dvd Calendar'!$AJ$236=TYPE4)*(TYPE4&lt;&gt;"")+('Dvd Calendar'!$AJ$236=SPECIAL_LBL)*(INC_SPECIALS="Y"))=0,"",'Dvd Calendar'!$AJ$234)))</f>
        <v/>
      </c>
      <c r="AI32" s="106">
        <f>IF(FK32="","",IF(ISNUMBER('Dvd Calendar'!$AK$234)=FALSE,"",IF((('Dvd Calendar'!$AK$236=TYPE1)*(TYPE1&lt;&gt;"")+('Dvd Calendar'!$AK$236=TYPE2)*(TYPE2&lt;&gt;"")+('Dvd Calendar'!$AK$236=TYPE3)*(TYPE3&lt;&gt;"")+('Dvd Calendar'!$AK$236=TYPE4)*(TYPE4&lt;&gt;"")+('Dvd Calendar'!$AK$236=SPECIAL_LBL)*(INC_SPECIALS="Y"))=0,"",'Dvd Calendar'!$AK$234)))</f>
        <v/>
      </c>
      <c r="AJ32" s="106">
        <f>IF(FL32="","",IF(ISNUMBER('Dvd Calendar'!$AL$234)=FALSE,"",IF((('Dvd Calendar'!$AL$236=TYPE1)*(TYPE1&lt;&gt;"")+('Dvd Calendar'!$AL$236=TYPE2)*(TYPE2&lt;&gt;"")+('Dvd Calendar'!$AL$236=TYPE3)*(TYPE3&lt;&gt;"")+('Dvd Calendar'!$AL$236=TYPE4)*(TYPE4&lt;&gt;"")+('Dvd Calendar'!$AL$236=SPECIAL_LBL)*(INC_SPECIALS="Y"))=0,"",'Dvd Calendar'!$AL$234)))</f>
        <v/>
      </c>
      <c r="AK32" s="106">
        <f>IF(FM32="","",IF(ISNUMBER('Dvd Calendar'!$AM$234)=FALSE,"",IF((('Dvd Calendar'!$AM$236=TYPE1)*(TYPE1&lt;&gt;"")+('Dvd Calendar'!$AM$236=TYPE2)*(TYPE2&lt;&gt;"")+('Dvd Calendar'!$AM$236=TYPE3)*(TYPE3&lt;&gt;"")+('Dvd Calendar'!$AM$236=TYPE4)*(TYPE4&lt;&gt;"")+('Dvd Calendar'!$AM$236=SPECIAL_LBL)*(INC_SPECIALS="Y"))=0,"",'Dvd Calendar'!$AM$234)))</f>
        <v/>
      </c>
      <c r="AL32" s="106">
        <f>IF(FN32="","",IF(ISNUMBER('Dvd Calendar'!$AN$234)=FALSE,"",IF((('Dvd Calendar'!$AN$236=TYPE1)*(TYPE1&lt;&gt;"")+('Dvd Calendar'!$AN$236=TYPE2)*(TYPE2&lt;&gt;"")+('Dvd Calendar'!$AN$236=TYPE3)*(TYPE3&lt;&gt;"")+('Dvd Calendar'!$AN$236=TYPE4)*(TYPE4&lt;&gt;"")+('Dvd Calendar'!$AN$236=SPECIAL_LBL)*(INC_SPECIALS="Y"))=0,"",'Dvd Calendar'!$AN$234)))</f>
        <v/>
      </c>
      <c r="AM32" s="106">
        <f>IF(FO32="","",IF(ISNUMBER('Dvd Calendar'!$AO$234)=FALSE,"",IF((('Dvd Calendar'!$AO$236=TYPE1)*(TYPE1&lt;&gt;"")+('Dvd Calendar'!$AO$236=TYPE2)*(TYPE2&lt;&gt;"")+('Dvd Calendar'!$AO$236=TYPE3)*(TYPE3&lt;&gt;"")+('Dvd Calendar'!$AO$236=TYPE4)*(TYPE4&lt;&gt;"")+('Dvd Calendar'!$AO$236=SPECIAL_LBL)*(INC_SPECIALS="Y"))=0,"",'Dvd Calendar'!$AO$234)))</f>
        <v/>
      </c>
      <c r="AN32" s="106">
        <f>IF(FP32="","",IF(ISNUMBER('Dvd Calendar'!$AP$234)=FALSE,"",IF((('Dvd Calendar'!$AP$236=TYPE1)*(TYPE1&lt;&gt;"")+('Dvd Calendar'!$AP$236=TYPE2)*(TYPE2&lt;&gt;"")+('Dvd Calendar'!$AP$236=TYPE3)*(TYPE3&lt;&gt;"")+('Dvd Calendar'!$AP$236=TYPE4)*(TYPE4&lt;&gt;"")+('Dvd Calendar'!$AP$236=SPECIAL_LBL)*(INC_SPECIALS="Y"))=0,"",'Dvd Calendar'!$AP$234)))</f>
        <v/>
      </c>
      <c r="AO32" s="106">
        <f>IF(FQ32="","",IF(ISNUMBER('Dvd Calendar'!$AQ$234)=FALSE,"",IF((('Dvd Calendar'!$AQ$236=TYPE1)*(TYPE1&lt;&gt;"")+('Dvd Calendar'!$AQ$236=TYPE2)*(TYPE2&lt;&gt;"")+('Dvd Calendar'!$AQ$236=TYPE3)*(TYPE3&lt;&gt;"")+('Dvd Calendar'!$AQ$236=TYPE4)*(TYPE4&lt;&gt;"")+('Dvd Calendar'!$AQ$236=SPECIAL_LBL)*(INC_SPECIALS="Y"))=0,"",'Dvd Calendar'!$AQ$234)))</f>
        <v/>
      </c>
      <c r="AP32" s="106">
        <f>IF(FR32="","",IF(ISNUMBER('Dvd Calendar'!$AR$234)=FALSE,"",IF((('Dvd Calendar'!$AR$236=TYPE1)*(TYPE1&lt;&gt;"")+('Dvd Calendar'!$AR$236=TYPE2)*(TYPE2&lt;&gt;"")+('Dvd Calendar'!$AR$236=TYPE3)*(TYPE3&lt;&gt;"")+('Dvd Calendar'!$AR$236=TYPE4)*(TYPE4&lt;&gt;"")+('Dvd Calendar'!$AR$236=SPECIAL_LBL)*(INC_SPECIALS="Y"))=0,"",'Dvd Calendar'!$AR$234)))</f>
        <v/>
      </c>
      <c r="AQ32" s="106">
        <f>IF(FS32="","",IF(ISNUMBER('Dvd Calendar'!$E$239)=FALSE,"",'Dvd Calendar'!$E$239))</f>
        <v/>
      </c>
      <c r="AR32" s="106">
        <f>IF(FT32="","",IF(ISNUMBER('Dvd Calendar'!$F$239)=FALSE,"",'Dvd Calendar'!$F$239))</f>
        <v/>
      </c>
      <c r="AS32" s="106">
        <f>IF(FU32="","",IF(ISNUMBER('Dvd Calendar'!$G$239)=FALSE,"",'Dvd Calendar'!$G$239))</f>
        <v/>
      </c>
      <c r="AT32" s="106">
        <f>IF(FV32="","",IF(ISNUMBER('Dvd Calendar'!$H$239)=FALSE,"",'Dvd Calendar'!$H$239))</f>
        <v/>
      </c>
      <c r="AU32" s="106">
        <f>IF(FW32="","",IF(ISNUMBER('Dvd Calendar'!$I$239)=FALSE,"",'Dvd Calendar'!$I$239))</f>
        <v/>
      </c>
      <c r="AV32" s="106">
        <f>IF(FX32="","",IF(ISNUMBER('Dvd Calendar'!$J$239)=FALSE,"",'Dvd Calendar'!$J$239))</f>
        <v/>
      </c>
      <c r="AW32" s="106">
        <f>IF(FY32="","",IF(ISNUMBER('Dvd Calendar'!$K$239)=FALSE,"",'Dvd Calendar'!$K$239))</f>
        <v/>
      </c>
      <c r="AX32" s="106">
        <f>IF(FZ32="","",IF(ISNUMBER('Dvd Calendar'!$L$239)=FALSE,"",'Dvd Calendar'!$L$239))</f>
        <v/>
      </c>
      <c r="AY32" s="106">
        <f>IF(GA32="","",IF(ISNUMBER('Dvd Calendar'!$M$239)=FALSE,"",'Dvd Calendar'!$M$239))</f>
        <v/>
      </c>
      <c r="AZ32" s="106">
        <f>IF(GB32="","",IF(ISNUMBER('Dvd Calendar'!$N$239)=FALSE,"",'Dvd Calendar'!$N$239))</f>
        <v/>
      </c>
      <c r="BA32" s="106">
        <f>IF(GC32="","",IF(ISNUMBER('Dvd Calendar'!$O$239)=FALSE,"",'Dvd Calendar'!$O$239))</f>
        <v/>
      </c>
      <c r="BB32" s="106">
        <f>IF(GD32="","",IF(ISNUMBER('Dvd Calendar'!$P$239)=FALSE,"",'Dvd Calendar'!$P$239))</f>
        <v/>
      </c>
      <c r="BC32" s="106">
        <f>IF(GE32="","",IF(ISNUMBER('Dvd Calendar'!$Q$239)=FALSE,"",'Dvd Calendar'!$Q$239))</f>
        <v/>
      </c>
      <c r="BD32" s="106">
        <f>IF(GF32="","",IF(ISNUMBER('Dvd Calendar'!$R$239)=FALSE,"",'Dvd Calendar'!$R$239))</f>
        <v/>
      </c>
      <c r="BE32" s="106">
        <f>IF(GG32="","",IF(ISNUMBER('Dvd Calendar'!$S$239)=FALSE,"",'Dvd Calendar'!$S$239))</f>
        <v/>
      </c>
      <c r="BF32" s="106">
        <f>IF(GH32="","",IF(ISNUMBER('Dvd Calendar'!$T$239)=FALSE,"",'Dvd Calendar'!$T$239))</f>
        <v/>
      </c>
      <c r="BG32" s="106">
        <f>IF(GI32="","",IF(ISNUMBER('Dvd Calendar'!$U$239)=FALSE,"",'Dvd Calendar'!$U$239))</f>
        <v/>
      </c>
      <c r="BH32" s="106">
        <f>IF(GJ32="","",IF(ISNUMBER('Dvd Calendar'!$V$239)=FALSE,"",'Dvd Calendar'!$V$239))</f>
        <v/>
      </c>
      <c r="BI32" s="106">
        <f>IF(GK32="","",IF(ISNUMBER('Dvd Calendar'!$W$239)=FALSE,"",'Dvd Calendar'!$W$239))</f>
        <v/>
      </c>
      <c r="BJ32" s="106">
        <f>IF(GL32="","",IF(ISNUMBER('Dvd Calendar'!$X$239)=FALSE,"",'Dvd Calendar'!$X$239))</f>
        <v/>
      </c>
      <c r="BK32" s="106">
        <f>IF(GM32="","",IF(ISNUMBER('Dvd Calendar'!$Y$239)=FALSE,"",'Dvd Calendar'!$Y$239))</f>
        <v/>
      </c>
      <c r="BL32" s="106">
        <f>IF(GN32="","",IF(ISNUMBER('Dvd Calendar'!$Z$239)=FALSE,"",'Dvd Calendar'!$Z$239))</f>
        <v/>
      </c>
      <c r="BM32" s="106">
        <f>IF(GO32="","",IF(ISNUMBER('Dvd Calendar'!$AA$239)=FALSE,"",'Dvd Calendar'!$AA$239))</f>
        <v/>
      </c>
      <c r="BN32" s="106">
        <f>IF(GP32="","",IF(ISNUMBER('Dvd Calendar'!$AB$239)=FALSE,"",'Dvd Calendar'!$AB$239))</f>
        <v/>
      </c>
      <c r="BO32" s="106">
        <f>IF(GQ32="","",IF(ISNUMBER('Dvd Calendar'!$AC$239)=FALSE,"",'Dvd Calendar'!$AC$239))</f>
        <v/>
      </c>
      <c r="BQ32" s="106">
        <f>IF(C32="","",IFERROR(C32*HSI!$B$27*HSI!$G$27/HSI!$B$3,""))</f>
        <v/>
      </c>
      <c r="BR32" s="106">
        <f>IF(D32="","",IFERROR(D32*HSI!$B$27*HSI!$G$27/HSI!$B$3,""))</f>
        <v/>
      </c>
      <c r="BS32" s="106">
        <f>IF(E32="","",IFERROR(E32*HSI!$B$27*HSI!$G$27/HSI!$B$3,""))</f>
        <v/>
      </c>
      <c r="BT32" s="106">
        <f>IF(F32="","",IFERROR(F32*HSI!$B$27*HSI!$G$27/HSI!$B$3,""))</f>
        <v/>
      </c>
      <c r="BU32" s="106">
        <f>IF(G32="","",IFERROR(G32*HSI!$B$27*HSI!$G$27/HSI!$B$3,""))</f>
        <v/>
      </c>
      <c r="BV32" s="106">
        <f>IF(H32="","",IFERROR(H32*HSI!$B$27*HSI!$G$27/HSI!$B$3,""))</f>
        <v/>
      </c>
      <c r="BW32" s="106">
        <f>IF(I32="","",IFERROR(I32*HSI!$B$27*HSI!$G$27/HSI!$B$3,""))</f>
        <v/>
      </c>
      <c r="BX32" s="106">
        <f>IF(J32="","",IFERROR(J32*HSI!$B$27*HSI!$G$27/HSI!$B$3,""))</f>
        <v/>
      </c>
      <c r="BY32" s="106">
        <f>IF(K32="","",IFERROR(K32*HSI!$B$27*HSI!$G$27/HSI!$B$3,""))</f>
        <v/>
      </c>
      <c r="BZ32" s="106">
        <f>IF(L32="","",IFERROR(L32*HSI!$B$27*HSI!$G$27/HSI!$B$3,""))</f>
        <v/>
      </c>
      <c r="CA32" s="106">
        <f>IF(M32="","",IFERROR(M32*HSI!$B$27*HSI!$G$27/HSI!$B$3,""))</f>
        <v/>
      </c>
      <c r="CB32" s="106">
        <f>IF(N32="","",IFERROR(N32*HSI!$B$27*HSI!$G$27/HSI!$B$3,""))</f>
        <v/>
      </c>
      <c r="CC32" s="106">
        <f>IF(O32="","",IFERROR(O32*HSI!$B$27*HSI!$G$27/HSI!$B$3,""))</f>
        <v/>
      </c>
      <c r="CD32" s="106">
        <f>IF(P32="","",IFERROR(P32*HSI!$B$27*HSI!$G$27/HSI!$B$3,""))</f>
        <v/>
      </c>
      <c r="CE32" s="106">
        <f>IF(Q32="","",IFERROR(Q32*HSI!$B$27*HSI!$G$27/HSI!$B$3,""))</f>
        <v/>
      </c>
      <c r="CF32" s="106">
        <f>IF(R32="","",IFERROR(R32*HSI!$B$27*HSI!$G$27/HSI!$B$3,""))</f>
        <v/>
      </c>
      <c r="CG32" s="106">
        <f>IF(S32="","",IFERROR(S32*HSI!$B$27*HSI!$G$27/HSI!$B$3,""))</f>
        <v/>
      </c>
      <c r="CH32" s="106">
        <f>IF(T32="","",IFERROR(T32*HSI!$B$27*HSI!$G$27/HSI!$B$3,""))</f>
        <v/>
      </c>
      <c r="CI32" s="106">
        <f>IF(U32="","",IFERROR(U32*HSI!$B$27*HSI!$G$27/HSI!$B$3,""))</f>
        <v/>
      </c>
      <c r="CJ32" s="106">
        <f>IF(V32="","",IFERROR(V32*HSI!$B$27*HSI!$G$27/HSI!$B$3,""))</f>
        <v/>
      </c>
      <c r="CK32" s="106">
        <f>IF(W32="","",IFERROR(W32*HSI!$B$27*HSI!$G$27/HSI!$B$3,""))</f>
        <v/>
      </c>
      <c r="CL32" s="106">
        <f>IF(X32="","",IFERROR(X32*HSI!$B$27*HSI!$G$27/HSI!$B$3,""))</f>
        <v/>
      </c>
      <c r="CM32" s="106">
        <f>IF(Y32="","",IFERROR(Y32*HSI!$B$27*HSI!$G$27/HSI!$B$3,""))</f>
        <v/>
      </c>
      <c r="CN32" s="106">
        <f>IF(Z32="","",IFERROR(Z32*HSI!$B$27*HSI!$G$27/HSI!$B$3,""))</f>
        <v/>
      </c>
      <c r="CO32" s="106">
        <f>IF(AA32="","",IFERROR(AA32*HSI!$B$27*HSI!$G$27/HSI!$B$3,""))</f>
        <v/>
      </c>
      <c r="CP32" s="106">
        <f>IF(AB32="","",IFERROR(AB32*HSI!$B$27*HSI!$G$27/HSI!$B$3,""))</f>
        <v/>
      </c>
      <c r="CQ32" s="106">
        <f>IF(AC32="","",IFERROR(AC32*HSI!$B$27*HSI!$G$27/HSI!$B$3,""))</f>
        <v/>
      </c>
      <c r="CR32" s="106">
        <f>IF(AD32="","",IFERROR(AD32*HSI!$B$27*HSI!$G$27/HSI!$B$3,""))</f>
        <v/>
      </c>
      <c r="CS32" s="106">
        <f>IF(AE32="","",IFERROR(AE32*HSI!$B$27*HSI!$G$27/HSI!$B$3,""))</f>
        <v/>
      </c>
      <c r="CT32" s="106">
        <f>IF(AF32="","",IFERROR(AF32*HSI!$B$27*HSI!$G$27/HSI!$B$3,""))</f>
        <v/>
      </c>
      <c r="CU32" s="106">
        <f>IF(AG32="","",IFERROR(AG32*HSI!$B$27*HSI!$G$27/HSI!$B$3,""))</f>
        <v/>
      </c>
      <c r="CV32" s="106">
        <f>IF(AH32="","",IFERROR(AH32*HSI!$B$27*HSI!$G$27/HSI!$B$3,""))</f>
        <v/>
      </c>
      <c r="CW32" s="106">
        <f>IF(AI32="","",IFERROR(AI32*HSI!$B$27*HSI!$G$27/HSI!$B$3,""))</f>
        <v/>
      </c>
      <c r="CX32" s="106">
        <f>IF(AJ32="","",IFERROR(AJ32*HSI!$B$27*HSI!$G$27/HSI!$B$3,""))</f>
        <v/>
      </c>
      <c r="CY32" s="106">
        <f>IF(AK32="","",IFERROR(AK32*HSI!$B$27*HSI!$G$27/HSI!$B$3,""))</f>
        <v/>
      </c>
      <c r="CZ32" s="106">
        <f>IF(AL32="","",IFERROR(AL32*HSI!$B$27*HSI!$G$27/HSI!$B$3,""))</f>
        <v/>
      </c>
      <c r="DA32" s="106">
        <f>IF(AM32="","",IFERROR(AM32*HSI!$B$27*HSI!$G$27/HSI!$B$3,""))</f>
        <v/>
      </c>
      <c r="DB32" s="106">
        <f>IF(AN32="","",IFERROR(AN32*HSI!$B$27*HSI!$G$27/HSI!$B$3,""))</f>
        <v/>
      </c>
      <c r="DC32" s="106">
        <f>IF(AO32="","",IFERROR(AO32*HSI!$B$27*HSI!$G$27/HSI!$B$3,""))</f>
        <v/>
      </c>
      <c r="DD32" s="106">
        <f>IF(AP32="","",IFERROR(AP32*HSI!$B$27*HSI!$G$27/HSI!$B$3,""))</f>
        <v/>
      </c>
      <c r="DE32" s="106">
        <f>IF(AQ32="","",IFERROR(AQ32*HSI!$B$27*HSI!$G$27/HSI!$B$3,""))</f>
        <v/>
      </c>
      <c r="DF32" s="106">
        <f>IF(AR32="","",IFERROR(AR32*HSI!$B$27*HSI!$G$27/HSI!$B$3,""))</f>
        <v/>
      </c>
      <c r="DG32" s="106">
        <f>IF(AS32="","",IFERROR(AS32*HSI!$B$27*HSI!$G$27/HSI!$B$3,""))</f>
        <v/>
      </c>
      <c r="DH32" s="106">
        <f>IF(AT32="","",IFERROR(AT32*HSI!$B$27*HSI!$G$27/HSI!$B$3,""))</f>
        <v/>
      </c>
      <c r="DI32" s="106">
        <f>IF(AU32="","",IFERROR(AU32*HSI!$B$27*HSI!$G$27/HSI!$B$3,""))</f>
        <v/>
      </c>
      <c r="DJ32" s="106">
        <f>IF(AV32="","",IFERROR(AV32*HSI!$B$27*HSI!$G$27/HSI!$B$3,""))</f>
        <v/>
      </c>
      <c r="DK32" s="106">
        <f>IF(AW32="","",IFERROR(AW32*HSI!$B$27*HSI!$G$27/HSI!$B$3,""))</f>
        <v/>
      </c>
      <c r="DL32" s="106">
        <f>IF(AX32="","",IFERROR(AX32*HSI!$B$27*HSI!$G$27/HSI!$B$3,""))</f>
        <v/>
      </c>
      <c r="DM32" s="106">
        <f>IF(AY32="","",IFERROR(AY32*HSI!$B$27*HSI!$G$27/HSI!$B$3,""))</f>
        <v/>
      </c>
      <c r="DN32" s="106">
        <f>IF(AZ32="","",IFERROR(AZ32*HSI!$B$27*HSI!$G$27/HSI!$B$3,""))</f>
        <v/>
      </c>
      <c r="DO32" s="106">
        <f>IF(BA32="","",IFERROR(BA32*HSI!$B$27*HSI!$G$27/HSI!$B$3,""))</f>
        <v/>
      </c>
      <c r="DP32" s="106">
        <f>IF(BB32="","",IFERROR(BB32*HSI!$B$27*HSI!$G$27/HSI!$B$3,""))</f>
        <v/>
      </c>
      <c r="DQ32" s="106">
        <f>IF(BC32="","",IFERROR(BC32*HSI!$B$27*HSI!$G$27/HSI!$B$3,""))</f>
        <v/>
      </c>
      <c r="DR32" s="106">
        <f>IF(BD32="","",IFERROR(BD32*HSI!$B$27*HSI!$G$27/HSI!$B$3,""))</f>
        <v/>
      </c>
      <c r="DS32" s="106">
        <f>IF(BE32="","",IFERROR(BE32*HSI!$B$27*HSI!$G$27/HSI!$B$3,""))</f>
        <v/>
      </c>
      <c r="DT32" s="106">
        <f>IF(BF32="","",IFERROR(BF32*HSI!$B$27*HSI!$G$27/HSI!$B$3,""))</f>
        <v/>
      </c>
      <c r="DU32" s="106">
        <f>IF(BG32="","",IFERROR(BG32*HSI!$B$27*HSI!$G$27/HSI!$B$3,""))</f>
        <v/>
      </c>
      <c r="DV32" s="106">
        <f>IF(BH32="","",IFERROR(BH32*HSI!$B$27*HSI!$G$27/HSI!$B$3,""))</f>
        <v/>
      </c>
      <c r="DW32" s="106">
        <f>IF(BI32="","",IFERROR(BI32*HSI!$B$27*HSI!$G$27/HSI!$B$3,""))</f>
        <v/>
      </c>
      <c r="DX32" s="106">
        <f>IF(BJ32="","",IFERROR(BJ32*HSI!$B$27*HSI!$G$27/HSI!$B$3,""))</f>
        <v/>
      </c>
      <c r="DY32" s="106">
        <f>IF(BK32="","",IFERROR(BK32*HSI!$B$27*HSI!$G$27/HSI!$B$3,""))</f>
        <v/>
      </c>
      <c r="DZ32" s="106">
        <f>IF(BL32="","",IFERROR(BL32*HSI!$B$27*HSI!$G$27/HSI!$B$3,""))</f>
        <v/>
      </c>
      <c r="EA32" s="106">
        <f>IF(BM32="","",IFERROR(BM32*HSI!$B$27*HSI!$G$27/HSI!$B$3,""))</f>
        <v/>
      </c>
      <c r="EB32" s="106">
        <f>IF(BN32="","",IFERROR(BN32*HSI!$B$27*HSI!$G$27/HSI!$B$3,""))</f>
        <v/>
      </c>
      <c r="EC32" s="106">
        <f>IF(BO32="","",IFERROR(BO32*HSI!$B$27*HSI!$G$27/HSI!$B$3,""))</f>
        <v/>
      </c>
      <c r="EE32" s="35">
        <f>IF(N('Dvd Calendar'!$E$231)=0,"",IF(('Dvd Calendar'!$E$231&gt;=GRID_FROM)*('Dvd Calendar'!$E$231&lt;=GRID_TO)*('Dvd Calendar'!$E$231&lt;=VAL_DATE)=0,"",'Dvd Calendar'!$E$231*1000000000+ISNUMBER('Dvd Calendar'!$E$234)*100000000+('Dvd Calendar'!$E$236=SPECIAL_LBL)*10000000+0*1000000+21*1000+1))</f>
        <v/>
      </c>
      <c r="EF32" s="35">
        <f>IF(N('Dvd Calendar'!$F$231)=0,"",IF(('Dvd Calendar'!$F$231&gt;=GRID_FROM)*('Dvd Calendar'!$F$231&lt;=GRID_TO)*('Dvd Calendar'!$F$231&lt;=VAL_DATE)=0,"",'Dvd Calendar'!$F$231*1000000000+ISNUMBER('Dvd Calendar'!$F$234)*100000000+('Dvd Calendar'!$F$236=SPECIAL_LBL)*10000000+0*1000000+21*1000+2))</f>
        <v/>
      </c>
      <c r="EG32" s="35">
        <f>IF(N('Dvd Calendar'!$G$231)=0,"",IF(('Dvd Calendar'!$G$231&gt;=GRID_FROM)*('Dvd Calendar'!$G$231&lt;=GRID_TO)*('Dvd Calendar'!$G$231&lt;=VAL_DATE)=0,"",'Dvd Calendar'!$G$231*1000000000+ISNUMBER('Dvd Calendar'!$G$234)*100000000+('Dvd Calendar'!$G$236=SPECIAL_LBL)*10000000+0*1000000+21*1000+3))</f>
        <v/>
      </c>
      <c r="EH32" s="35">
        <f>IF(N('Dvd Calendar'!$H$231)=0,"",IF(('Dvd Calendar'!$H$231&gt;=GRID_FROM)*('Dvd Calendar'!$H$231&lt;=GRID_TO)*('Dvd Calendar'!$H$231&lt;=VAL_DATE)=0,"",'Dvd Calendar'!$H$231*1000000000+ISNUMBER('Dvd Calendar'!$H$234)*100000000+('Dvd Calendar'!$H$236=SPECIAL_LBL)*10000000+0*1000000+21*1000+4))</f>
        <v/>
      </c>
      <c r="EI32" s="35">
        <f>IF(N('Dvd Calendar'!$I$231)=0,"",IF(('Dvd Calendar'!$I$231&gt;=GRID_FROM)*('Dvd Calendar'!$I$231&lt;=GRID_TO)*('Dvd Calendar'!$I$231&lt;=VAL_DATE)=0,"",'Dvd Calendar'!$I$231*1000000000+ISNUMBER('Dvd Calendar'!$I$234)*100000000+('Dvd Calendar'!$I$236=SPECIAL_LBL)*10000000+0*1000000+21*1000+5))</f>
        <v/>
      </c>
      <c r="EJ32" s="35">
        <f>IF(N('Dvd Calendar'!$J$231)=0,"",IF(('Dvd Calendar'!$J$231&gt;=GRID_FROM)*('Dvd Calendar'!$J$231&lt;=GRID_TO)*('Dvd Calendar'!$J$231&lt;=VAL_DATE)=0,"",'Dvd Calendar'!$J$231*1000000000+ISNUMBER('Dvd Calendar'!$J$234)*100000000+('Dvd Calendar'!$J$236=SPECIAL_LBL)*10000000+0*1000000+21*1000+6))</f>
        <v/>
      </c>
      <c r="EK32" s="35">
        <f>IF(N('Dvd Calendar'!$K$231)=0,"",IF(('Dvd Calendar'!$K$231&gt;=GRID_FROM)*('Dvd Calendar'!$K$231&lt;=GRID_TO)*('Dvd Calendar'!$K$231&lt;=VAL_DATE)=0,"",'Dvd Calendar'!$K$231*1000000000+ISNUMBER('Dvd Calendar'!$K$234)*100000000+('Dvd Calendar'!$K$236=SPECIAL_LBL)*10000000+0*1000000+21*1000+7))</f>
        <v/>
      </c>
      <c r="EL32" s="35">
        <f>IF(N('Dvd Calendar'!$L$231)=0,"",IF(('Dvd Calendar'!$L$231&gt;=GRID_FROM)*('Dvd Calendar'!$L$231&lt;=GRID_TO)*('Dvd Calendar'!$L$231&lt;=VAL_DATE)=0,"",'Dvd Calendar'!$L$231*1000000000+ISNUMBER('Dvd Calendar'!$L$234)*100000000+('Dvd Calendar'!$L$236=SPECIAL_LBL)*10000000+0*1000000+21*1000+8))</f>
        <v/>
      </c>
      <c r="EM32" s="35">
        <f>IF(N('Dvd Calendar'!$M$231)=0,"",IF(('Dvd Calendar'!$M$231&gt;=GRID_FROM)*('Dvd Calendar'!$M$231&lt;=GRID_TO)*('Dvd Calendar'!$M$231&lt;=VAL_DATE)=0,"",'Dvd Calendar'!$M$231*1000000000+ISNUMBER('Dvd Calendar'!$M$234)*100000000+('Dvd Calendar'!$M$236=SPECIAL_LBL)*10000000+0*1000000+21*1000+9))</f>
        <v/>
      </c>
      <c r="EN32" s="35">
        <f>IF(N('Dvd Calendar'!$N$231)=0,"",IF(('Dvd Calendar'!$N$231&gt;=GRID_FROM)*('Dvd Calendar'!$N$231&lt;=GRID_TO)*('Dvd Calendar'!$N$231&lt;=VAL_DATE)=0,"",'Dvd Calendar'!$N$231*1000000000+ISNUMBER('Dvd Calendar'!$N$234)*100000000+('Dvd Calendar'!$N$236=SPECIAL_LBL)*10000000+0*1000000+21*1000+10))</f>
        <v/>
      </c>
      <c r="EO32" s="35">
        <f>IF(N('Dvd Calendar'!$O$231)=0,"",IF(('Dvd Calendar'!$O$231&gt;=GRID_FROM)*('Dvd Calendar'!$O$231&lt;=GRID_TO)*('Dvd Calendar'!$O$231&lt;=VAL_DATE)=0,"",'Dvd Calendar'!$O$231*1000000000+ISNUMBER('Dvd Calendar'!$O$234)*100000000+('Dvd Calendar'!$O$236=SPECIAL_LBL)*10000000+0*1000000+21*1000+11))</f>
        <v/>
      </c>
      <c r="EP32" s="35">
        <f>IF(N('Dvd Calendar'!$P$231)=0,"",IF(('Dvd Calendar'!$P$231&gt;=GRID_FROM)*('Dvd Calendar'!$P$231&lt;=GRID_TO)*('Dvd Calendar'!$P$231&lt;=VAL_DATE)=0,"",'Dvd Calendar'!$P$231*1000000000+ISNUMBER('Dvd Calendar'!$P$234)*100000000+('Dvd Calendar'!$P$236=SPECIAL_LBL)*10000000+0*1000000+21*1000+12))</f>
        <v/>
      </c>
      <c r="EQ32" s="35">
        <f>IF(N('Dvd Calendar'!$Q$231)=0,"",IF(('Dvd Calendar'!$Q$231&gt;=GRID_FROM)*('Dvd Calendar'!$Q$231&lt;=GRID_TO)*('Dvd Calendar'!$Q$231&lt;=VAL_DATE)=0,"",'Dvd Calendar'!$Q$231*1000000000+ISNUMBER('Dvd Calendar'!$Q$234)*100000000+('Dvd Calendar'!$Q$236=SPECIAL_LBL)*10000000+0*1000000+21*1000+13))</f>
        <v/>
      </c>
      <c r="ER32" s="35">
        <f>IF(N('Dvd Calendar'!$R$231)=0,"",IF(('Dvd Calendar'!$R$231&gt;=GRID_FROM)*('Dvd Calendar'!$R$231&lt;=GRID_TO)*('Dvd Calendar'!$R$231&lt;=VAL_DATE)=0,"",'Dvd Calendar'!$R$231*1000000000+ISNUMBER('Dvd Calendar'!$R$234)*100000000+('Dvd Calendar'!$R$236=SPECIAL_LBL)*10000000+0*1000000+21*1000+14))</f>
        <v/>
      </c>
      <c r="ES32" s="35">
        <f>IF(N('Dvd Calendar'!$S$231)=0,"",IF(('Dvd Calendar'!$S$231&gt;=GRID_FROM)*('Dvd Calendar'!$S$231&lt;=GRID_TO)*('Dvd Calendar'!$S$231&lt;=VAL_DATE)=0,"",'Dvd Calendar'!$S$231*1000000000+ISNUMBER('Dvd Calendar'!$S$234)*100000000+('Dvd Calendar'!$S$236=SPECIAL_LBL)*10000000+0*1000000+21*1000+15))</f>
        <v/>
      </c>
      <c r="ET32" s="35">
        <f>IF(N('Dvd Calendar'!$T$231)=0,"",IF(('Dvd Calendar'!$T$231&gt;=GRID_FROM)*('Dvd Calendar'!$T$231&lt;=GRID_TO)*('Dvd Calendar'!$T$231&lt;=VAL_DATE)=0,"",'Dvd Calendar'!$T$231*1000000000+ISNUMBER('Dvd Calendar'!$T$234)*100000000+('Dvd Calendar'!$T$236=SPECIAL_LBL)*10000000+0*1000000+21*1000+16))</f>
        <v/>
      </c>
      <c r="EU32" s="35">
        <f>IF(N('Dvd Calendar'!$U$231)=0,"",IF(('Dvd Calendar'!$U$231&gt;=GRID_FROM)*('Dvd Calendar'!$U$231&lt;=GRID_TO)*('Dvd Calendar'!$U$231&lt;=VAL_DATE)=0,"",'Dvd Calendar'!$U$231*1000000000+ISNUMBER('Dvd Calendar'!$U$234)*100000000+('Dvd Calendar'!$U$236=SPECIAL_LBL)*10000000+0*1000000+21*1000+17))</f>
        <v/>
      </c>
      <c r="EV32" s="35">
        <f>IF(N('Dvd Calendar'!$V$231)=0,"",IF(('Dvd Calendar'!$V$231&gt;=GRID_FROM)*('Dvd Calendar'!$V$231&lt;=GRID_TO)*('Dvd Calendar'!$V$231&lt;=VAL_DATE)=0,"",'Dvd Calendar'!$V$231*1000000000+ISNUMBER('Dvd Calendar'!$V$234)*100000000+('Dvd Calendar'!$V$236=SPECIAL_LBL)*10000000+0*1000000+21*1000+18))</f>
        <v/>
      </c>
      <c r="EW32" s="35">
        <f>IF(N('Dvd Calendar'!$W$231)=0,"",IF(('Dvd Calendar'!$W$231&gt;=GRID_FROM)*('Dvd Calendar'!$W$231&lt;=GRID_TO)*('Dvd Calendar'!$W$231&lt;=VAL_DATE)=0,"",'Dvd Calendar'!$W$231*1000000000+ISNUMBER('Dvd Calendar'!$W$234)*100000000+('Dvd Calendar'!$W$236=SPECIAL_LBL)*10000000+0*1000000+21*1000+19))</f>
        <v/>
      </c>
      <c r="EX32" s="35">
        <f>IF(N('Dvd Calendar'!$X$231)=0,"",IF(('Dvd Calendar'!$X$231&gt;=GRID_FROM)*('Dvd Calendar'!$X$231&lt;=GRID_TO)*('Dvd Calendar'!$X$231&lt;=VAL_DATE)=0,"",'Dvd Calendar'!$X$231*1000000000+ISNUMBER('Dvd Calendar'!$X$234)*100000000+('Dvd Calendar'!$X$236=SPECIAL_LBL)*10000000+0*1000000+21*1000+20))</f>
        <v/>
      </c>
      <c r="EY32" s="35">
        <f>IF(N('Dvd Calendar'!$Y$231)=0,"",IF(('Dvd Calendar'!$Y$231&gt;=GRID_FROM)*('Dvd Calendar'!$Y$231&lt;=GRID_TO)*('Dvd Calendar'!$Y$231&lt;=VAL_DATE)=0,"",'Dvd Calendar'!$Y$231*1000000000+ISNUMBER('Dvd Calendar'!$Y$234)*100000000+('Dvd Calendar'!$Y$236=SPECIAL_LBL)*10000000+0*1000000+21*1000+21))</f>
        <v/>
      </c>
      <c r="EZ32" s="35">
        <f>IF(N('Dvd Calendar'!$Z$231)=0,"",IF(('Dvd Calendar'!$Z$231&gt;=GRID_FROM)*('Dvd Calendar'!$Z$231&lt;=GRID_TO)*('Dvd Calendar'!$Z$231&lt;=VAL_DATE)=0,"",'Dvd Calendar'!$Z$231*1000000000+ISNUMBER('Dvd Calendar'!$Z$234)*100000000+('Dvd Calendar'!$Z$236=SPECIAL_LBL)*10000000+0*1000000+21*1000+22))</f>
        <v/>
      </c>
      <c r="FA32" s="35">
        <f>IF(N('Dvd Calendar'!$AA$231)=0,"",IF(('Dvd Calendar'!$AA$231&gt;=GRID_FROM)*('Dvd Calendar'!$AA$231&lt;=GRID_TO)*('Dvd Calendar'!$AA$231&lt;=VAL_DATE)=0,"",'Dvd Calendar'!$AA$231*1000000000+ISNUMBER('Dvd Calendar'!$AA$234)*100000000+('Dvd Calendar'!$AA$236=SPECIAL_LBL)*10000000+0*1000000+21*1000+23))</f>
        <v/>
      </c>
      <c r="FB32" s="35">
        <f>IF(N('Dvd Calendar'!$AB$231)=0,"",IF(('Dvd Calendar'!$AB$231&gt;=GRID_FROM)*('Dvd Calendar'!$AB$231&lt;=GRID_TO)*('Dvd Calendar'!$AB$231&lt;=VAL_DATE)=0,"",'Dvd Calendar'!$AB$231*1000000000+ISNUMBER('Dvd Calendar'!$AB$234)*100000000+('Dvd Calendar'!$AB$236=SPECIAL_LBL)*10000000+0*1000000+21*1000+24))</f>
        <v/>
      </c>
      <c r="FC32" s="35">
        <f>IF(N('Dvd Calendar'!$AC$231)=0,"",IF(('Dvd Calendar'!$AC$231&gt;=GRID_FROM)*('Dvd Calendar'!$AC$231&lt;=GRID_TO)*('Dvd Calendar'!$AC$231&lt;=VAL_DATE)=0,"",'Dvd Calendar'!$AC$231*1000000000+ISNUMBER('Dvd Calendar'!$AC$234)*100000000+('Dvd Calendar'!$AC$236=SPECIAL_LBL)*10000000+0*1000000+21*1000+25))</f>
        <v/>
      </c>
      <c r="FD32" s="35">
        <f>IF(N('Dvd Calendar'!$AD$231)=0,"",IF(('Dvd Calendar'!$AD$231&gt;=GRID_FROM)*('Dvd Calendar'!$AD$231&lt;=GRID_TO)*('Dvd Calendar'!$AD$231&lt;=VAL_DATE)=0,"",'Dvd Calendar'!$AD$231*1000000000+ISNUMBER('Dvd Calendar'!$AD$234)*100000000+('Dvd Calendar'!$AD$236=SPECIAL_LBL)*10000000+0*1000000+21*1000+26))</f>
        <v/>
      </c>
      <c r="FE32" s="35">
        <f>IF(N('Dvd Calendar'!$AE$231)=0,"",IF(('Dvd Calendar'!$AE$231&gt;=GRID_FROM)*('Dvd Calendar'!$AE$231&lt;=GRID_TO)*('Dvd Calendar'!$AE$231&lt;=VAL_DATE)=0,"",'Dvd Calendar'!$AE$231*1000000000+ISNUMBER('Dvd Calendar'!$AE$234)*100000000+('Dvd Calendar'!$AE$236=SPECIAL_LBL)*10000000+0*1000000+21*1000+27))</f>
        <v/>
      </c>
      <c r="FF32" s="35">
        <f>IF(N('Dvd Calendar'!$AF$231)=0,"",IF(('Dvd Calendar'!$AF$231&gt;=GRID_FROM)*('Dvd Calendar'!$AF$231&lt;=GRID_TO)*('Dvd Calendar'!$AF$231&lt;=VAL_DATE)=0,"",'Dvd Calendar'!$AF$231*1000000000+ISNUMBER('Dvd Calendar'!$AF$234)*100000000+('Dvd Calendar'!$AF$236=SPECIAL_LBL)*10000000+0*1000000+21*1000+28))</f>
        <v/>
      </c>
      <c r="FG32" s="35">
        <f>IF(N('Dvd Calendar'!$AG$231)=0,"",IF(('Dvd Calendar'!$AG$231&gt;=GRID_FROM)*('Dvd Calendar'!$AG$231&lt;=GRID_TO)*('Dvd Calendar'!$AG$231&lt;=VAL_DATE)=0,"",'Dvd Calendar'!$AG$231*1000000000+ISNUMBER('Dvd Calendar'!$AG$234)*100000000+('Dvd Calendar'!$AG$236=SPECIAL_LBL)*10000000+0*1000000+21*1000+29))</f>
        <v/>
      </c>
      <c r="FH32" s="35">
        <f>IF(N('Dvd Calendar'!$AH$231)=0,"",IF(('Dvd Calendar'!$AH$231&gt;=GRID_FROM)*('Dvd Calendar'!$AH$231&lt;=GRID_TO)*('Dvd Calendar'!$AH$231&lt;=VAL_DATE)=0,"",'Dvd Calendar'!$AH$231*1000000000+ISNUMBER('Dvd Calendar'!$AH$234)*100000000+('Dvd Calendar'!$AH$236=SPECIAL_LBL)*10000000+0*1000000+21*1000+30))</f>
        <v/>
      </c>
      <c r="FI32" s="35">
        <f>IF(N('Dvd Calendar'!$AI$231)=0,"",IF(('Dvd Calendar'!$AI$231&gt;=GRID_FROM)*('Dvd Calendar'!$AI$231&lt;=GRID_TO)*('Dvd Calendar'!$AI$231&lt;=VAL_DATE)=0,"",'Dvd Calendar'!$AI$231*1000000000+ISNUMBER('Dvd Calendar'!$AI$234)*100000000+('Dvd Calendar'!$AI$236=SPECIAL_LBL)*10000000+0*1000000+21*1000+31))</f>
        <v/>
      </c>
      <c r="FJ32" s="35">
        <f>IF(N('Dvd Calendar'!$AJ$231)=0,"",IF(('Dvd Calendar'!$AJ$231&gt;=GRID_FROM)*('Dvd Calendar'!$AJ$231&lt;=GRID_TO)*('Dvd Calendar'!$AJ$231&lt;=VAL_DATE)=0,"",'Dvd Calendar'!$AJ$231*1000000000+ISNUMBER('Dvd Calendar'!$AJ$234)*100000000+('Dvd Calendar'!$AJ$236=SPECIAL_LBL)*10000000+0*1000000+21*1000+32))</f>
        <v/>
      </c>
      <c r="FK32" s="35">
        <f>IF(N('Dvd Calendar'!$AK$231)=0,"",IF(('Dvd Calendar'!$AK$231&gt;=GRID_FROM)*('Dvd Calendar'!$AK$231&lt;=GRID_TO)*('Dvd Calendar'!$AK$231&lt;=VAL_DATE)=0,"",'Dvd Calendar'!$AK$231*1000000000+ISNUMBER('Dvd Calendar'!$AK$234)*100000000+('Dvd Calendar'!$AK$236=SPECIAL_LBL)*10000000+0*1000000+21*1000+33))</f>
        <v/>
      </c>
      <c r="FL32" s="35">
        <f>IF(N('Dvd Calendar'!$AL$231)=0,"",IF(('Dvd Calendar'!$AL$231&gt;=GRID_FROM)*('Dvd Calendar'!$AL$231&lt;=GRID_TO)*('Dvd Calendar'!$AL$231&lt;=VAL_DATE)=0,"",'Dvd Calendar'!$AL$231*1000000000+ISNUMBER('Dvd Calendar'!$AL$234)*100000000+('Dvd Calendar'!$AL$236=SPECIAL_LBL)*10000000+0*1000000+21*1000+34))</f>
        <v/>
      </c>
      <c r="FM32" s="35">
        <f>IF(N('Dvd Calendar'!$AM$231)=0,"",IF(('Dvd Calendar'!$AM$231&gt;=GRID_FROM)*('Dvd Calendar'!$AM$231&lt;=GRID_TO)*('Dvd Calendar'!$AM$231&lt;=VAL_DATE)=0,"",'Dvd Calendar'!$AM$231*1000000000+ISNUMBER('Dvd Calendar'!$AM$234)*100000000+('Dvd Calendar'!$AM$236=SPECIAL_LBL)*10000000+0*1000000+21*1000+35))</f>
        <v/>
      </c>
      <c r="FN32" s="35">
        <f>IF(N('Dvd Calendar'!$AN$231)=0,"",IF(('Dvd Calendar'!$AN$231&gt;=GRID_FROM)*('Dvd Calendar'!$AN$231&lt;=GRID_TO)*('Dvd Calendar'!$AN$231&lt;=VAL_DATE)=0,"",'Dvd Calendar'!$AN$231*1000000000+ISNUMBER('Dvd Calendar'!$AN$234)*100000000+('Dvd Calendar'!$AN$236=SPECIAL_LBL)*10000000+0*1000000+21*1000+36))</f>
        <v/>
      </c>
      <c r="FO32" s="35">
        <f>IF(N('Dvd Calendar'!$AO$231)=0,"",IF(('Dvd Calendar'!$AO$231&gt;=GRID_FROM)*('Dvd Calendar'!$AO$231&lt;=GRID_TO)*('Dvd Calendar'!$AO$231&lt;=VAL_DATE)=0,"",'Dvd Calendar'!$AO$231*1000000000+ISNUMBER('Dvd Calendar'!$AO$234)*100000000+('Dvd Calendar'!$AO$236=SPECIAL_LBL)*10000000+0*1000000+21*1000+37))</f>
        <v/>
      </c>
      <c r="FP32" s="35">
        <f>IF(N('Dvd Calendar'!$AP$231)=0,"",IF(('Dvd Calendar'!$AP$231&gt;=GRID_FROM)*('Dvd Calendar'!$AP$231&lt;=GRID_TO)*('Dvd Calendar'!$AP$231&lt;=VAL_DATE)=0,"",'Dvd Calendar'!$AP$231*1000000000+ISNUMBER('Dvd Calendar'!$AP$234)*100000000+('Dvd Calendar'!$AP$236=SPECIAL_LBL)*10000000+0*1000000+21*1000+38))</f>
        <v/>
      </c>
      <c r="FQ32" s="35">
        <f>IF(N('Dvd Calendar'!$AQ$231)=0,"",IF(('Dvd Calendar'!$AQ$231&gt;=GRID_FROM)*('Dvd Calendar'!$AQ$231&lt;=GRID_TO)*('Dvd Calendar'!$AQ$231&lt;=VAL_DATE)=0,"",'Dvd Calendar'!$AQ$231*1000000000+ISNUMBER('Dvd Calendar'!$AQ$234)*100000000+('Dvd Calendar'!$AQ$236=SPECIAL_LBL)*10000000+0*1000000+21*1000+39))</f>
        <v/>
      </c>
      <c r="FR32" s="35">
        <f>IF(N('Dvd Calendar'!$AR$231)=0,"",IF(('Dvd Calendar'!$AR$231&gt;=GRID_FROM)*('Dvd Calendar'!$AR$231&lt;=GRID_TO)*('Dvd Calendar'!$AR$231&lt;=VAL_DATE)=0,"",'Dvd Calendar'!$AR$231*1000000000+ISNUMBER('Dvd Calendar'!$AR$234)*100000000+('Dvd Calendar'!$AR$236=SPECIAL_LBL)*10000000+0*1000000+21*1000+40))</f>
        <v/>
      </c>
      <c r="FS32" s="35">
        <f>IF(N('Dvd Calendar'!$E$238)=0,"",IF(('Dvd Calendar'!$E$238&gt;=GRID_FROM)*('Dvd Calendar'!$E$238&lt;=GRID_TO)*('Dvd Calendar'!$E$238&gt;VAL_DATE)=0,"",'Dvd Calendar'!$E$238*1000000000+ISNUMBER('Dvd Calendar'!$E$239)*100000000+0*10000000+(N('Dvd Calendar'!$E$237)&gt;0)*(N('Dvd Calendar'!$E$237)&lt;=VAL_SERIAL)*1000000+21*1000+41))</f>
        <v/>
      </c>
      <c r="FT32" s="35">
        <f>IF(N('Dvd Calendar'!$F$238)=0,"",IF(('Dvd Calendar'!$F$238&gt;=GRID_FROM)*('Dvd Calendar'!$F$238&lt;=GRID_TO)*('Dvd Calendar'!$F$238&gt;VAL_DATE)=0,"",'Dvd Calendar'!$F$238*1000000000+ISNUMBER('Dvd Calendar'!$F$239)*100000000+0*10000000+(N('Dvd Calendar'!$F$237)&gt;0)*(N('Dvd Calendar'!$F$237)&lt;=VAL_SERIAL)*1000000+21*1000+42))</f>
        <v/>
      </c>
      <c r="FU32" s="35">
        <f>IF(N('Dvd Calendar'!$G$238)=0,"",IF(('Dvd Calendar'!$G$238&gt;=GRID_FROM)*('Dvd Calendar'!$G$238&lt;=GRID_TO)*('Dvd Calendar'!$G$238&gt;VAL_DATE)=0,"",'Dvd Calendar'!$G$238*1000000000+ISNUMBER('Dvd Calendar'!$G$239)*100000000+0*10000000+(N('Dvd Calendar'!$G$237)&gt;0)*(N('Dvd Calendar'!$G$237)&lt;=VAL_SERIAL)*1000000+21*1000+43))</f>
        <v/>
      </c>
      <c r="FV32" s="35">
        <f>IF(N('Dvd Calendar'!$H$238)=0,"",IF(('Dvd Calendar'!$H$238&gt;=GRID_FROM)*('Dvd Calendar'!$H$238&lt;=GRID_TO)*('Dvd Calendar'!$H$238&gt;VAL_DATE)=0,"",'Dvd Calendar'!$H$238*1000000000+ISNUMBER('Dvd Calendar'!$H$239)*100000000+0*10000000+(N('Dvd Calendar'!$H$237)&gt;0)*(N('Dvd Calendar'!$H$237)&lt;=VAL_SERIAL)*1000000+21*1000+44))</f>
        <v/>
      </c>
      <c r="FW32" s="35">
        <f>IF(N('Dvd Calendar'!$I$238)=0,"",IF(('Dvd Calendar'!$I$238&gt;=GRID_FROM)*('Dvd Calendar'!$I$238&lt;=GRID_TO)*('Dvd Calendar'!$I$238&gt;VAL_DATE)=0,"",'Dvd Calendar'!$I$238*1000000000+ISNUMBER('Dvd Calendar'!$I$239)*100000000+0*10000000+(N('Dvd Calendar'!$I$237)&gt;0)*(N('Dvd Calendar'!$I$237)&lt;=VAL_SERIAL)*1000000+21*1000+45))</f>
        <v/>
      </c>
      <c r="FX32" s="35">
        <f>IF(N('Dvd Calendar'!$J$238)=0,"",IF(('Dvd Calendar'!$J$238&gt;=GRID_FROM)*('Dvd Calendar'!$J$238&lt;=GRID_TO)*('Dvd Calendar'!$J$238&gt;VAL_DATE)=0,"",'Dvd Calendar'!$J$238*1000000000+ISNUMBER('Dvd Calendar'!$J$239)*100000000+0*10000000+(N('Dvd Calendar'!$J$237)&gt;0)*(N('Dvd Calendar'!$J$237)&lt;=VAL_SERIAL)*1000000+21*1000+46))</f>
        <v/>
      </c>
      <c r="FY32" s="35">
        <f>IF(N('Dvd Calendar'!$K$238)=0,"",IF(('Dvd Calendar'!$K$238&gt;=GRID_FROM)*('Dvd Calendar'!$K$238&lt;=GRID_TO)*('Dvd Calendar'!$K$238&gt;VAL_DATE)=0,"",'Dvd Calendar'!$K$238*1000000000+ISNUMBER('Dvd Calendar'!$K$239)*100000000+0*10000000+(N('Dvd Calendar'!$K$237)&gt;0)*(N('Dvd Calendar'!$K$237)&lt;=VAL_SERIAL)*1000000+21*1000+47))</f>
        <v/>
      </c>
      <c r="FZ32" s="35">
        <f>IF(N('Dvd Calendar'!$L$238)=0,"",IF(('Dvd Calendar'!$L$238&gt;=GRID_FROM)*('Dvd Calendar'!$L$238&lt;=GRID_TO)*('Dvd Calendar'!$L$238&gt;VAL_DATE)=0,"",'Dvd Calendar'!$L$238*1000000000+ISNUMBER('Dvd Calendar'!$L$239)*100000000+0*10000000+(N('Dvd Calendar'!$L$237)&gt;0)*(N('Dvd Calendar'!$L$237)&lt;=VAL_SERIAL)*1000000+21*1000+48))</f>
        <v/>
      </c>
      <c r="GA32" s="35">
        <f>IF(N('Dvd Calendar'!$M$238)=0,"",IF(('Dvd Calendar'!$M$238&gt;=GRID_FROM)*('Dvd Calendar'!$M$238&lt;=GRID_TO)*('Dvd Calendar'!$M$238&gt;VAL_DATE)=0,"",'Dvd Calendar'!$M$238*1000000000+ISNUMBER('Dvd Calendar'!$M$239)*100000000+0*10000000+(N('Dvd Calendar'!$M$237)&gt;0)*(N('Dvd Calendar'!$M$237)&lt;=VAL_SERIAL)*1000000+21*1000+49))</f>
        <v/>
      </c>
      <c r="GB32" s="35">
        <f>IF(N('Dvd Calendar'!$N$238)=0,"",IF(('Dvd Calendar'!$N$238&gt;=GRID_FROM)*('Dvd Calendar'!$N$238&lt;=GRID_TO)*('Dvd Calendar'!$N$238&gt;VAL_DATE)=0,"",'Dvd Calendar'!$N$238*1000000000+ISNUMBER('Dvd Calendar'!$N$239)*100000000+0*10000000+(N('Dvd Calendar'!$N$237)&gt;0)*(N('Dvd Calendar'!$N$237)&lt;=VAL_SERIAL)*1000000+21*1000+50))</f>
        <v/>
      </c>
      <c r="GC32" s="35">
        <f>IF(N('Dvd Calendar'!$O$238)=0,"",IF(('Dvd Calendar'!$O$238&gt;=GRID_FROM)*('Dvd Calendar'!$O$238&lt;=GRID_TO)*('Dvd Calendar'!$O$238&gt;VAL_DATE)=0,"",'Dvd Calendar'!$O$238*1000000000+ISNUMBER('Dvd Calendar'!$O$239)*100000000+0*10000000+(N('Dvd Calendar'!$O$237)&gt;0)*(N('Dvd Calendar'!$O$237)&lt;=VAL_SERIAL)*1000000+21*1000+51))</f>
        <v/>
      </c>
      <c r="GD32" s="35">
        <f>IF(N('Dvd Calendar'!$P$238)=0,"",IF(('Dvd Calendar'!$P$238&gt;=GRID_FROM)*('Dvd Calendar'!$P$238&lt;=GRID_TO)*('Dvd Calendar'!$P$238&gt;VAL_DATE)=0,"",'Dvd Calendar'!$P$238*1000000000+ISNUMBER('Dvd Calendar'!$P$239)*100000000+0*10000000+(N('Dvd Calendar'!$P$237)&gt;0)*(N('Dvd Calendar'!$P$237)&lt;=VAL_SERIAL)*1000000+21*1000+52))</f>
        <v/>
      </c>
      <c r="GE32" s="35">
        <f>IF(N('Dvd Calendar'!$Q$238)=0,"",IF(('Dvd Calendar'!$Q$238&gt;=GRID_FROM)*('Dvd Calendar'!$Q$238&lt;=GRID_TO)*('Dvd Calendar'!$Q$238&gt;VAL_DATE)=0,"",'Dvd Calendar'!$Q$238*1000000000+ISNUMBER('Dvd Calendar'!$Q$239)*100000000+0*10000000+(N('Dvd Calendar'!$Q$237)&gt;0)*(N('Dvd Calendar'!$Q$237)&lt;=VAL_SERIAL)*1000000+21*1000+53))</f>
        <v/>
      </c>
      <c r="GF32" s="35">
        <f>IF(N('Dvd Calendar'!$R$238)=0,"",IF(('Dvd Calendar'!$R$238&gt;=GRID_FROM)*('Dvd Calendar'!$R$238&lt;=GRID_TO)*('Dvd Calendar'!$R$238&gt;VAL_DATE)=0,"",'Dvd Calendar'!$R$238*1000000000+ISNUMBER('Dvd Calendar'!$R$239)*100000000+0*10000000+(N('Dvd Calendar'!$R$237)&gt;0)*(N('Dvd Calendar'!$R$237)&lt;=VAL_SERIAL)*1000000+21*1000+54))</f>
        <v/>
      </c>
      <c r="GG32" s="35">
        <f>IF(N('Dvd Calendar'!$S$238)=0,"",IF(('Dvd Calendar'!$S$238&gt;=GRID_FROM)*('Dvd Calendar'!$S$238&lt;=GRID_TO)*('Dvd Calendar'!$S$238&gt;VAL_DATE)=0,"",'Dvd Calendar'!$S$238*1000000000+ISNUMBER('Dvd Calendar'!$S$239)*100000000+0*10000000+(N('Dvd Calendar'!$S$237)&gt;0)*(N('Dvd Calendar'!$S$237)&lt;=VAL_SERIAL)*1000000+21*1000+55))</f>
        <v/>
      </c>
      <c r="GH32" s="35">
        <f>IF(N('Dvd Calendar'!$T$238)=0,"",IF(('Dvd Calendar'!$T$238&gt;=GRID_FROM)*('Dvd Calendar'!$T$238&lt;=GRID_TO)*('Dvd Calendar'!$T$238&gt;VAL_DATE)=0,"",'Dvd Calendar'!$T$238*1000000000+ISNUMBER('Dvd Calendar'!$T$239)*100000000+0*10000000+(N('Dvd Calendar'!$T$237)&gt;0)*(N('Dvd Calendar'!$T$237)&lt;=VAL_SERIAL)*1000000+21*1000+56))</f>
        <v/>
      </c>
      <c r="GI32" s="35">
        <f>IF(N('Dvd Calendar'!$U$238)=0,"",IF(('Dvd Calendar'!$U$238&gt;=GRID_FROM)*('Dvd Calendar'!$U$238&lt;=GRID_TO)*('Dvd Calendar'!$U$238&gt;VAL_DATE)=0,"",'Dvd Calendar'!$U$238*1000000000+ISNUMBER('Dvd Calendar'!$U$239)*100000000+0*10000000+(N('Dvd Calendar'!$U$237)&gt;0)*(N('Dvd Calendar'!$U$237)&lt;=VAL_SERIAL)*1000000+21*1000+57))</f>
        <v/>
      </c>
      <c r="GJ32" s="35">
        <f>IF(N('Dvd Calendar'!$V$238)=0,"",IF(('Dvd Calendar'!$V$238&gt;=GRID_FROM)*('Dvd Calendar'!$V$238&lt;=GRID_TO)*('Dvd Calendar'!$V$238&gt;VAL_DATE)=0,"",'Dvd Calendar'!$V$238*1000000000+ISNUMBER('Dvd Calendar'!$V$239)*100000000+0*10000000+(N('Dvd Calendar'!$V$237)&gt;0)*(N('Dvd Calendar'!$V$237)&lt;=VAL_SERIAL)*1000000+21*1000+58))</f>
        <v/>
      </c>
      <c r="GK32" s="35">
        <f>IF(N('Dvd Calendar'!$W$238)=0,"",IF(('Dvd Calendar'!$W$238&gt;=GRID_FROM)*('Dvd Calendar'!$W$238&lt;=GRID_TO)*('Dvd Calendar'!$W$238&gt;VAL_DATE)=0,"",'Dvd Calendar'!$W$238*1000000000+ISNUMBER('Dvd Calendar'!$W$239)*100000000+0*10000000+(N('Dvd Calendar'!$W$237)&gt;0)*(N('Dvd Calendar'!$W$237)&lt;=VAL_SERIAL)*1000000+21*1000+59))</f>
        <v/>
      </c>
      <c r="GL32" s="35">
        <f>IF(N('Dvd Calendar'!$X$238)=0,"",IF(('Dvd Calendar'!$X$238&gt;=GRID_FROM)*('Dvd Calendar'!$X$238&lt;=GRID_TO)*('Dvd Calendar'!$X$238&gt;VAL_DATE)=0,"",'Dvd Calendar'!$X$238*1000000000+ISNUMBER('Dvd Calendar'!$X$239)*100000000+0*10000000+(N('Dvd Calendar'!$X$237)&gt;0)*(N('Dvd Calendar'!$X$237)&lt;=VAL_SERIAL)*1000000+21*1000+60))</f>
        <v/>
      </c>
      <c r="GM32" s="35">
        <f>IF(N('Dvd Calendar'!$Y$238)=0,"",IF(('Dvd Calendar'!$Y$238&gt;=GRID_FROM)*('Dvd Calendar'!$Y$238&lt;=GRID_TO)*('Dvd Calendar'!$Y$238&gt;VAL_DATE)=0,"",'Dvd Calendar'!$Y$238*1000000000+ISNUMBER('Dvd Calendar'!$Y$239)*100000000+0*10000000+(N('Dvd Calendar'!$Y$237)&gt;0)*(N('Dvd Calendar'!$Y$237)&lt;=VAL_SERIAL)*1000000+21*1000+61))</f>
        <v/>
      </c>
      <c r="GN32" s="35">
        <f>IF(N('Dvd Calendar'!$Z$238)=0,"",IF(('Dvd Calendar'!$Z$238&gt;=GRID_FROM)*('Dvd Calendar'!$Z$238&lt;=GRID_TO)*('Dvd Calendar'!$Z$238&gt;VAL_DATE)=0,"",'Dvd Calendar'!$Z$238*1000000000+ISNUMBER('Dvd Calendar'!$Z$239)*100000000+0*10000000+(N('Dvd Calendar'!$Z$237)&gt;0)*(N('Dvd Calendar'!$Z$237)&lt;=VAL_SERIAL)*1000000+21*1000+62))</f>
        <v/>
      </c>
      <c r="GO32" s="35">
        <f>IF(N('Dvd Calendar'!$AA$238)=0,"",IF(('Dvd Calendar'!$AA$238&gt;=GRID_FROM)*('Dvd Calendar'!$AA$238&lt;=GRID_TO)*('Dvd Calendar'!$AA$238&gt;VAL_DATE)=0,"",'Dvd Calendar'!$AA$238*1000000000+ISNUMBER('Dvd Calendar'!$AA$239)*100000000+0*10000000+(N('Dvd Calendar'!$AA$237)&gt;0)*(N('Dvd Calendar'!$AA$237)&lt;=VAL_SERIAL)*1000000+21*1000+63))</f>
        <v/>
      </c>
      <c r="GP32" s="35">
        <f>IF(N('Dvd Calendar'!$AB$238)=0,"",IF(('Dvd Calendar'!$AB$238&gt;=GRID_FROM)*('Dvd Calendar'!$AB$238&lt;=GRID_TO)*('Dvd Calendar'!$AB$238&gt;VAL_DATE)=0,"",'Dvd Calendar'!$AB$238*1000000000+ISNUMBER('Dvd Calendar'!$AB$239)*100000000+0*10000000+(N('Dvd Calendar'!$AB$237)&gt;0)*(N('Dvd Calendar'!$AB$237)&lt;=VAL_SERIAL)*1000000+21*1000+64))</f>
        <v/>
      </c>
      <c r="GQ32" s="35">
        <f>IF(N('Dvd Calendar'!$AC$238)=0,"",IF(('Dvd Calendar'!$AC$238&gt;=GRID_FROM)*('Dvd Calendar'!$AC$238&lt;=GRID_TO)*('Dvd Calendar'!$AC$238&gt;VAL_DATE)=0,"",'Dvd Calendar'!$AC$238*1000000000+ISNUMBER('Dvd Calendar'!$AC$239)*100000000+0*10000000+(N('Dvd Calendar'!$AC$237)&gt;0)*(N('Dvd Calendar'!$AC$237)&lt;=VAL_SERIAL)*1000000+21*1000+65))</f>
        <v/>
      </c>
    </row>
    <row r="33">
      <c r="B33" s="2">
        <f>IF(HSI!$C$28="","",HSI!$C$28)</f>
        <v/>
      </c>
      <c r="C33" s="106">
        <f>IF(EE33="","",IF(ISNUMBER('Dvd Calendar'!$E$245)=FALSE,"",IF((('Dvd Calendar'!$E$247=TYPE1)*(TYPE1&lt;&gt;"")+('Dvd Calendar'!$E$247=TYPE2)*(TYPE2&lt;&gt;"")+('Dvd Calendar'!$E$247=TYPE3)*(TYPE3&lt;&gt;"")+('Dvd Calendar'!$E$247=TYPE4)*(TYPE4&lt;&gt;"")+('Dvd Calendar'!$E$247=SPECIAL_LBL)*(INC_SPECIALS="Y"))=0,"",'Dvd Calendar'!$E$245)))</f>
        <v/>
      </c>
      <c r="D33" s="106">
        <f>IF(EF33="","",IF(ISNUMBER('Dvd Calendar'!$F$245)=FALSE,"",IF((('Dvd Calendar'!$F$247=TYPE1)*(TYPE1&lt;&gt;"")+('Dvd Calendar'!$F$247=TYPE2)*(TYPE2&lt;&gt;"")+('Dvd Calendar'!$F$247=TYPE3)*(TYPE3&lt;&gt;"")+('Dvd Calendar'!$F$247=TYPE4)*(TYPE4&lt;&gt;"")+('Dvd Calendar'!$F$247=SPECIAL_LBL)*(INC_SPECIALS="Y"))=0,"",'Dvd Calendar'!$F$245)))</f>
        <v/>
      </c>
      <c r="E33" s="106">
        <f>IF(EG33="","",IF(ISNUMBER('Dvd Calendar'!$G$245)=FALSE,"",IF((('Dvd Calendar'!$G$247=TYPE1)*(TYPE1&lt;&gt;"")+('Dvd Calendar'!$G$247=TYPE2)*(TYPE2&lt;&gt;"")+('Dvd Calendar'!$G$247=TYPE3)*(TYPE3&lt;&gt;"")+('Dvd Calendar'!$G$247=TYPE4)*(TYPE4&lt;&gt;"")+('Dvd Calendar'!$G$247=SPECIAL_LBL)*(INC_SPECIALS="Y"))=0,"",'Dvd Calendar'!$G$245)))</f>
        <v/>
      </c>
      <c r="F33" s="106">
        <f>IF(EH33="","",IF(ISNUMBER('Dvd Calendar'!$H$245)=FALSE,"",IF((('Dvd Calendar'!$H$247=TYPE1)*(TYPE1&lt;&gt;"")+('Dvd Calendar'!$H$247=TYPE2)*(TYPE2&lt;&gt;"")+('Dvd Calendar'!$H$247=TYPE3)*(TYPE3&lt;&gt;"")+('Dvd Calendar'!$H$247=TYPE4)*(TYPE4&lt;&gt;"")+('Dvd Calendar'!$H$247=SPECIAL_LBL)*(INC_SPECIALS="Y"))=0,"",'Dvd Calendar'!$H$245)))</f>
        <v/>
      </c>
      <c r="G33" s="106">
        <f>IF(EI33="","",IF(ISNUMBER('Dvd Calendar'!$I$245)=FALSE,"",IF((('Dvd Calendar'!$I$247=TYPE1)*(TYPE1&lt;&gt;"")+('Dvd Calendar'!$I$247=TYPE2)*(TYPE2&lt;&gt;"")+('Dvd Calendar'!$I$247=TYPE3)*(TYPE3&lt;&gt;"")+('Dvd Calendar'!$I$247=TYPE4)*(TYPE4&lt;&gt;"")+('Dvd Calendar'!$I$247=SPECIAL_LBL)*(INC_SPECIALS="Y"))=0,"",'Dvd Calendar'!$I$245)))</f>
        <v/>
      </c>
      <c r="H33" s="106">
        <f>IF(EJ33="","",IF(ISNUMBER('Dvd Calendar'!$J$245)=FALSE,"",IF((('Dvd Calendar'!$J$247=TYPE1)*(TYPE1&lt;&gt;"")+('Dvd Calendar'!$J$247=TYPE2)*(TYPE2&lt;&gt;"")+('Dvd Calendar'!$J$247=TYPE3)*(TYPE3&lt;&gt;"")+('Dvd Calendar'!$J$247=TYPE4)*(TYPE4&lt;&gt;"")+('Dvd Calendar'!$J$247=SPECIAL_LBL)*(INC_SPECIALS="Y"))=0,"",'Dvd Calendar'!$J$245)))</f>
        <v/>
      </c>
      <c r="I33" s="106">
        <f>IF(EK33="","",IF(ISNUMBER('Dvd Calendar'!$K$245)=FALSE,"",IF((('Dvd Calendar'!$K$247=TYPE1)*(TYPE1&lt;&gt;"")+('Dvd Calendar'!$K$247=TYPE2)*(TYPE2&lt;&gt;"")+('Dvd Calendar'!$K$247=TYPE3)*(TYPE3&lt;&gt;"")+('Dvd Calendar'!$K$247=TYPE4)*(TYPE4&lt;&gt;"")+('Dvd Calendar'!$K$247=SPECIAL_LBL)*(INC_SPECIALS="Y"))=0,"",'Dvd Calendar'!$K$245)))</f>
        <v/>
      </c>
      <c r="J33" s="106">
        <f>IF(EL33="","",IF(ISNUMBER('Dvd Calendar'!$L$245)=FALSE,"",IF((('Dvd Calendar'!$L$247=TYPE1)*(TYPE1&lt;&gt;"")+('Dvd Calendar'!$L$247=TYPE2)*(TYPE2&lt;&gt;"")+('Dvd Calendar'!$L$247=TYPE3)*(TYPE3&lt;&gt;"")+('Dvd Calendar'!$L$247=TYPE4)*(TYPE4&lt;&gt;"")+('Dvd Calendar'!$L$247=SPECIAL_LBL)*(INC_SPECIALS="Y"))=0,"",'Dvd Calendar'!$L$245)))</f>
        <v/>
      </c>
      <c r="K33" s="106">
        <f>IF(EM33="","",IF(ISNUMBER('Dvd Calendar'!$M$245)=FALSE,"",IF((('Dvd Calendar'!$M$247=TYPE1)*(TYPE1&lt;&gt;"")+('Dvd Calendar'!$M$247=TYPE2)*(TYPE2&lt;&gt;"")+('Dvd Calendar'!$M$247=TYPE3)*(TYPE3&lt;&gt;"")+('Dvd Calendar'!$M$247=TYPE4)*(TYPE4&lt;&gt;"")+('Dvd Calendar'!$M$247=SPECIAL_LBL)*(INC_SPECIALS="Y"))=0,"",'Dvd Calendar'!$M$245)))</f>
        <v/>
      </c>
      <c r="L33" s="106">
        <f>IF(EN33="","",IF(ISNUMBER('Dvd Calendar'!$N$245)=FALSE,"",IF((('Dvd Calendar'!$N$247=TYPE1)*(TYPE1&lt;&gt;"")+('Dvd Calendar'!$N$247=TYPE2)*(TYPE2&lt;&gt;"")+('Dvd Calendar'!$N$247=TYPE3)*(TYPE3&lt;&gt;"")+('Dvd Calendar'!$N$247=TYPE4)*(TYPE4&lt;&gt;"")+('Dvd Calendar'!$N$247=SPECIAL_LBL)*(INC_SPECIALS="Y"))=0,"",'Dvd Calendar'!$N$245)))</f>
        <v/>
      </c>
      <c r="M33" s="106">
        <f>IF(EO33="","",IF(ISNUMBER('Dvd Calendar'!$O$245)=FALSE,"",IF((('Dvd Calendar'!$O$247=TYPE1)*(TYPE1&lt;&gt;"")+('Dvd Calendar'!$O$247=TYPE2)*(TYPE2&lt;&gt;"")+('Dvd Calendar'!$O$247=TYPE3)*(TYPE3&lt;&gt;"")+('Dvd Calendar'!$O$247=TYPE4)*(TYPE4&lt;&gt;"")+('Dvd Calendar'!$O$247=SPECIAL_LBL)*(INC_SPECIALS="Y"))=0,"",'Dvd Calendar'!$O$245)))</f>
        <v/>
      </c>
      <c r="N33" s="106">
        <f>IF(EP33="","",IF(ISNUMBER('Dvd Calendar'!$P$245)=FALSE,"",IF((('Dvd Calendar'!$P$247=TYPE1)*(TYPE1&lt;&gt;"")+('Dvd Calendar'!$P$247=TYPE2)*(TYPE2&lt;&gt;"")+('Dvd Calendar'!$P$247=TYPE3)*(TYPE3&lt;&gt;"")+('Dvd Calendar'!$P$247=TYPE4)*(TYPE4&lt;&gt;"")+('Dvd Calendar'!$P$247=SPECIAL_LBL)*(INC_SPECIALS="Y"))=0,"",'Dvd Calendar'!$P$245)))</f>
        <v/>
      </c>
      <c r="O33" s="106">
        <f>IF(EQ33="","",IF(ISNUMBER('Dvd Calendar'!$Q$245)=FALSE,"",IF((('Dvd Calendar'!$Q$247=TYPE1)*(TYPE1&lt;&gt;"")+('Dvd Calendar'!$Q$247=TYPE2)*(TYPE2&lt;&gt;"")+('Dvd Calendar'!$Q$247=TYPE3)*(TYPE3&lt;&gt;"")+('Dvd Calendar'!$Q$247=TYPE4)*(TYPE4&lt;&gt;"")+('Dvd Calendar'!$Q$247=SPECIAL_LBL)*(INC_SPECIALS="Y"))=0,"",'Dvd Calendar'!$Q$245)))</f>
        <v/>
      </c>
      <c r="P33" s="106">
        <f>IF(ER33="","",IF(ISNUMBER('Dvd Calendar'!$R$245)=FALSE,"",IF((('Dvd Calendar'!$R$247=TYPE1)*(TYPE1&lt;&gt;"")+('Dvd Calendar'!$R$247=TYPE2)*(TYPE2&lt;&gt;"")+('Dvd Calendar'!$R$247=TYPE3)*(TYPE3&lt;&gt;"")+('Dvd Calendar'!$R$247=TYPE4)*(TYPE4&lt;&gt;"")+('Dvd Calendar'!$R$247=SPECIAL_LBL)*(INC_SPECIALS="Y"))=0,"",'Dvd Calendar'!$R$245)))</f>
        <v/>
      </c>
      <c r="Q33" s="106">
        <f>IF(ES33="","",IF(ISNUMBER('Dvd Calendar'!$S$245)=FALSE,"",IF((('Dvd Calendar'!$S$247=TYPE1)*(TYPE1&lt;&gt;"")+('Dvd Calendar'!$S$247=TYPE2)*(TYPE2&lt;&gt;"")+('Dvd Calendar'!$S$247=TYPE3)*(TYPE3&lt;&gt;"")+('Dvd Calendar'!$S$247=TYPE4)*(TYPE4&lt;&gt;"")+('Dvd Calendar'!$S$247=SPECIAL_LBL)*(INC_SPECIALS="Y"))=0,"",'Dvd Calendar'!$S$245)))</f>
        <v/>
      </c>
      <c r="R33" s="106">
        <f>IF(ET33="","",IF(ISNUMBER('Dvd Calendar'!$T$245)=FALSE,"",IF((('Dvd Calendar'!$T$247=TYPE1)*(TYPE1&lt;&gt;"")+('Dvd Calendar'!$T$247=TYPE2)*(TYPE2&lt;&gt;"")+('Dvd Calendar'!$T$247=TYPE3)*(TYPE3&lt;&gt;"")+('Dvd Calendar'!$T$247=TYPE4)*(TYPE4&lt;&gt;"")+('Dvd Calendar'!$T$247=SPECIAL_LBL)*(INC_SPECIALS="Y"))=0,"",'Dvd Calendar'!$T$245)))</f>
        <v/>
      </c>
      <c r="S33" s="106">
        <f>IF(EU33="","",IF(ISNUMBER('Dvd Calendar'!$U$245)=FALSE,"",IF((('Dvd Calendar'!$U$247=TYPE1)*(TYPE1&lt;&gt;"")+('Dvd Calendar'!$U$247=TYPE2)*(TYPE2&lt;&gt;"")+('Dvd Calendar'!$U$247=TYPE3)*(TYPE3&lt;&gt;"")+('Dvd Calendar'!$U$247=TYPE4)*(TYPE4&lt;&gt;"")+('Dvd Calendar'!$U$247=SPECIAL_LBL)*(INC_SPECIALS="Y"))=0,"",'Dvd Calendar'!$U$245)))</f>
        <v/>
      </c>
      <c r="T33" s="106">
        <f>IF(EV33="","",IF(ISNUMBER('Dvd Calendar'!$V$245)=FALSE,"",IF((('Dvd Calendar'!$V$247=TYPE1)*(TYPE1&lt;&gt;"")+('Dvd Calendar'!$V$247=TYPE2)*(TYPE2&lt;&gt;"")+('Dvd Calendar'!$V$247=TYPE3)*(TYPE3&lt;&gt;"")+('Dvd Calendar'!$V$247=TYPE4)*(TYPE4&lt;&gt;"")+('Dvd Calendar'!$V$247=SPECIAL_LBL)*(INC_SPECIALS="Y"))=0,"",'Dvd Calendar'!$V$245)))</f>
        <v/>
      </c>
      <c r="U33" s="106">
        <f>IF(EW33="","",IF(ISNUMBER('Dvd Calendar'!$W$245)=FALSE,"",IF((('Dvd Calendar'!$W$247=TYPE1)*(TYPE1&lt;&gt;"")+('Dvd Calendar'!$W$247=TYPE2)*(TYPE2&lt;&gt;"")+('Dvd Calendar'!$W$247=TYPE3)*(TYPE3&lt;&gt;"")+('Dvd Calendar'!$W$247=TYPE4)*(TYPE4&lt;&gt;"")+('Dvd Calendar'!$W$247=SPECIAL_LBL)*(INC_SPECIALS="Y"))=0,"",'Dvd Calendar'!$W$245)))</f>
        <v/>
      </c>
      <c r="V33" s="106">
        <f>IF(EX33="","",IF(ISNUMBER('Dvd Calendar'!$X$245)=FALSE,"",IF((('Dvd Calendar'!$X$247=TYPE1)*(TYPE1&lt;&gt;"")+('Dvd Calendar'!$X$247=TYPE2)*(TYPE2&lt;&gt;"")+('Dvd Calendar'!$X$247=TYPE3)*(TYPE3&lt;&gt;"")+('Dvd Calendar'!$X$247=TYPE4)*(TYPE4&lt;&gt;"")+('Dvd Calendar'!$X$247=SPECIAL_LBL)*(INC_SPECIALS="Y"))=0,"",'Dvd Calendar'!$X$245)))</f>
        <v/>
      </c>
      <c r="W33" s="106">
        <f>IF(EY33="","",IF(ISNUMBER('Dvd Calendar'!$Y$245)=FALSE,"",IF((('Dvd Calendar'!$Y$247=TYPE1)*(TYPE1&lt;&gt;"")+('Dvd Calendar'!$Y$247=TYPE2)*(TYPE2&lt;&gt;"")+('Dvd Calendar'!$Y$247=TYPE3)*(TYPE3&lt;&gt;"")+('Dvd Calendar'!$Y$247=TYPE4)*(TYPE4&lt;&gt;"")+('Dvd Calendar'!$Y$247=SPECIAL_LBL)*(INC_SPECIALS="Y"))=0,"",'Dvd Calendar'!$Y$245)))</f>
        <v/>
      </c>
      <c r="X33" s="106">
        <f>IF(EZ33="","",IF(ISNUMBER('Dvd Calendar'!$Z$245)=FALSE,"",IF((('Dvd Calendar'!$Z$247=TYPE1)*(TYPE1&lt;&gt;"")+('Dvd Calendar'!$Z$247=TYPE2)*(TYPE2&lt;&gt;"")+('Dvd Calendar'!$Z$247=TYPE3)*(TYPE3&lt;&gt;"")+('Dvd Calendar'!$Z$247=TYPE4)*(TYPE4&lt;&gt;"")+('Dvd Calendar'!$Z$247=SPECIAL_LBL)*(INC_SPECIALS="Y"))=0,"",'Dvd Calendar'!$Z$245)))</f>
        <v/>
      </c>
      <c r="Y33" s="106">
        <f>IF(FA33="","",IF(ISNUMBER('Dvd Calendar'!$AA$245)=FALSE,"",IF((('Dvd Calendar'!$AA$247=TYPE1)*(TYPE1&lt;&gt;"")+('Dvd Calendar'!$AA$247=TYPE2)*(TYPE2&lt;&gt;"")+('Dvd Calendar'!$AA$247=TYPE3)*(TYPE3&lt;&gt;"")+('Dvd Calendar'!$AA$247=TYPE4)*(TYPE4&lt;&gt;"")+('Dvd Calendar'!$AA$247=SPECIAL_LBL)*(INC_SPECIALS="Y"))=0,"",'Dvd Calendar'!$AA$245)))</f>
        <v/>
      </c>
      <c r="Z33" s="106">
        <f>IF(FB33="","",IF(ISNUMBER('Dvd Calendar'!$AB$245)=FALSE,"",IF((('Dvd Calendar'!$AB$247=TYPE1)*(TYPE1&lt;&gt;"")+('Dvd Calendar'!$AB$247=TYPE2)*(TYPE2&lt;&gt;"")+('Dvd Calendar'!$AB$247=TYPE3)*(TYPE3&lt;&gt;"")+('Dvd Calendar'!$AB$247=TYPE4)*(TYPE4&lt;&gt;"")+('Dvd Calendar'!$AB$247=SPECIAL_LBL)*(INC_SPECIALS="Y"))=0,"",'Dvd Calendar'!$AB$245)))</f>
        <v/>
      </c>
      <c r="AA33" s="106">
        <f>IF(FC33="","",IF(ISNUMBER('Dvd Calendar'!$AC$245)=FALSE,"",IF((('Dvd Calendar'!$AC$247=TYPE1)*(TYPE1&lt;&gt;"")+('Dvd Calendar'!$AC$247=TYPE2)*(TYPE2&lt;&gt;"")+('Dvd Calendar'!$AC$247=TYPE3)*(TYPE3&lt;&gt;"")+('Dvd Calendar'!$AC$247=TYPE4)*(TYPE4&lt;&gt;"")+('Dvd Calendar'!$AC$247=SPECIAL_LBL)*(INC_SPECIALS="Y"))=0,"",'Dvd Calendar'!$AC$245)))</f>
        <v/>
      </c>
      <c r="AB33" s="106">
        <f>IF(FD33="","",IF(ISNUMBER('Dvd Calendar'!$AD$245)=FALSE,"",IF((('Dvd Calendar'!$AD$247=TYPE1)*(TYPE1&lt;&gt;"")+('Dvd Calendar'!$AD$247=TYPE2)*(TYPE2&lt;&gt;"")+('Dvd Calendar'!$AD$247=TYPE3)*(TYPE3&lt;&gt;"")+('Dvd Calendar'!$AD$247=TYPE4)*(TYPE4&lt;&gt;"")+('Dvd Calendar'!$AD$247=SPECIAL_LBL)*(INC_SPECIALS="Y"))=0,"",'Dvd Calendar'!$AD$245)))</f>
        <v/>
      </c>
      <c r="AC33" s="106">
        <f>IF(FE33="","",IF(ISNUMBER('Dvd Calendar'!$AE$245)=FALSE,"",IF((('Dvd Calendar'!$AE$247=TYPE1)*(TYPE1&lt;&gt;"")+('Dvd Calendar'!$AE$247=TYPE2)*(TYPE2&lt;&gt;"")+('Dvd Calendar'!$AE$247=TYPE3)*(TYPE3&lt;&gt;"")+('Dvd Calendar'!$AE$247=TYPE4)*(TYPE4&lt;&gt;"")+('Dvd Calendar'!$AE$247=SPECIAL_LBL)*(INC_SPECIALS="Y"))=0,"",'Dvd Calendar'!$AE$245)))</f>
        <v/>
      </c>
      <c r="AD33" s="106">
        <f>IF(FF33="","",IF(ISNUMBER('Dvd Calendar'!$AF$245)=FALSE,"",IF((('Dvd Calendar'!$AF$247=TYPE1)*(TYPE1&lt;&gt;"")+('Dvd Calendar'!$AF$247=TYPE2)*(TYPE2&lt;&gt;"")+('Dvd Calendar'!$AF$247=TYPE3)*(TYPE3&lt;&gt;"")+('Dvd Calendar'!$AF$247=TYPE4)*(TYPE4&lt;&gt;"")+('Dvd Calendar'!$AF$247=SPECIAL_LBL)*(INC_SPECIALS="Y"))=0,"",'Dvd Calendar'!$AF$245)))</f>
        <v/>
      </c>
      <c r="AE33" s="106">
        <f>IF(FG33="","",IF(ISNUMBER('Dvd Calendar'!$AG$245)=FALSE,"",IF((('Dvd Calendar'!$AG$247=TYPE1)*(TYPE1&lt;&gt;"")+('Dvd Calendar'!$AG$247=TYPE2)*(TYPE2&lt;&gt;"")+('Dvd Calendar'!$AG$247=TYPE3)*(TYPE3&lt;&gt;"")+('Dvd Calendar'!$AG$247=TYPE4)*(TYPE4&lt;&gt;"")+('Dvd Calendar'!$AG$247=SPECIAL_LBL)*(INC_SPECIALS="Y"))=0,"",'Dvd Calendar'!$AG$245)))</f>
        <v/>
      </c>
      <c r="AF33" s="106">
        <f>IF(FH33="","",IF(ISNUMBER('Dvd Calendar'!$AH$245)=FALSE,"",IF((('Dvd Calendar'!$AH$247=TYPE1)*(TYPE1&lt;&gt;"")+('Dvd Calendar'!$AH$247=TYPE2)*(TYPE2&lt;&gt;"")+('Dvd Calendar'!$AH$247=TYPE3)*(TYPE3&lt;&gt;"")+('Dvd Calendar'!$AH$247=TYPE4)*(TYPE4&lt;&gt;"")+('Dvd Calendar'!$AH$247=SPECIAL_LBL)*(INC_SPECIALS="Y"))=0,"",'Dvd Calendar'!$AH$245)))</f>
        <v/>
      </c>
      <c r="AG33" s="106">
        <f>IF(FI33="","",IF(ISNUMBER('Dvd Calendar'!$AI$245)=FALSE,"",IF((('Dvd Calendar'!$AI$247=TYPE1)*(TYPE1&lt;&gt;"")+('Dvd Calendar'!$AI$247=TYPE2)*(TYPE2&lt;&gt;"")+('Dvd Calendar'!$AI$247=TYPE3)*(TYPE3&lt;&gt;"")+('Dvd Calendar'!$AI$247=TYPE4)*(TYPE4&lt;&gt;"")+('Dvd Calendar'!$AI$247=SPECIAL_LBL)*(INC_SPECIALS="Y"))=0,"",'Dvd Calendar'!$AI$245)))</f>
        <v/>
      </c>
      <c r="AH33" s="106">
        <f>IF(FJ33="","",IF(ISNUMBER('Dvd Calendar'!$AJ$245)=FALSE,"",IF((('Dvd Calendar'!$AJ$247=TYPE1)*(TYPE1&lt;&gt;"")+('Dvd Calendar'!$AJ$247=TYPE2)*(TYPE2&lt;&gt;"")+('Dvd Calendar'!$AJ$247=TYPE3)*(TYPE3&lt;&gt;"")+('Dvd Calendar'!$AJ$247=TYPE4)*(TYPE4&lt;&gt;"")+('Dvd Calendar'!$AJ$247=SPECIAL_LBL)*(INC_SPECIALS="Y"))=0,"",'Dvd Calendar'!$AJ$245)))</f>
        <v/>
      </c>
      <c r="AI33" s="106">
        <f>IF(FK33="","",IF(ISNUMBER('Dvd Calendar'!$AK$245)=FALSE,"",IF((('Dvd Calendar'!$AK$247=TYPE1)*(TYPE1&lt;&gt;"")+('Dvd Calendar'!$AK$247=TYPE2)*(TYPE2&lt;&gt;"")+('Dvd Calendar'!$AK$247=TYPE3)*(TYPE3&lt;&gt;"")+('Dvd Calendar'!$AK$247=TYPE4)*(TYPE4&lt;&gt;"")+('Dvd Calendar'!$AK$247=SPECIAL_LBL)*(INC_SPECIALS="Y"))=0,"",'Dvd Calendar'!$AK$245)))</f>
        <v/>
      </c>
      <c r="AJ33" s="106">
        <f>IF(FL33="","",IF(ISNUMBER('Dvd Calendar'!$AL$245)=FALSE,"",IF((('Dvd Calendar'!$AL$247=TYPE1)*(TYPE1&lt;&gt;"")+('Dvd Calendar'!$AL$247=TYPE2)*(TYPE2&lt;&gt;"")+('Dvd Calendar'!$AL$247=TYPE3)*(TYPE3&lt;&gt;"")+('Dvd Calendar'!$AL$247=TYPE4)*(TYPE4&lt;&gt;"")+('Dvd Calendar'!$AL$247=SPECIAL_LBL)*(INC_SPECIALS="Y"))=0,"",'Dvd Calendar'!$AL$245)))</f>
        <v/>
      </c>
      <c r="AK33" s="106">
        <f>IF(FM33="","",IF(ISNUMBER('Dvd Calendar'!$AM$245)=FALSE,"",IF((('Dvd Calendar'!$AM$247=TYPE1)*(TYPE1&lt;&gt;"")+('Dvd Calendar'!$AM$247=TYPE2)*(TYPE2&lt;&gt;"")+('Dvd Calendar'!$AM$247=TYPE3)*(TYPE3&lt;&gt;"")+('Dvd Calendar'!$AM$247=TYPE4)*(TYPE4&lt;&gt;"")+('Dvd Calendar'!$AM$247=SPECIAL_LBL)*(INC_SPECIALS="Y"))=0,"",'Dvd Calendar'!$AM$245)))</f>
        <v/>
      </c>
      <c r="AL33" s="106">
        <f>IF(FN33="","",IF(ISNUMBER('Dvd Calendar'!$AN$245)=FALSE,"",IF((('Dvd Calendar'!$AN$247=TYPE1)*(TYPE1&lt;&gt;"")+('Dvd Calendar'!$AN$247=TYPE2)*(TYPE2&lt;&gt;"")+('Dvd Calendar'!$AN$247=TYPE3)*(TYPE3&lt;&gt;"")+('Dvd Calendar'!$AN$247=TYPE4)*(TYPE4&lt;&gt;"")+('Dvd Calendar'!$AN$247=SPECIAL_LBL)*(INC_SPECIALS="Y"))=0,"",'Dvd Calendar'!$AN$245)))</f>
        <v/>
      </c>
      <c r="AM33" s="106">
        <f>IF(FO33="","",IF(ISNUMBER('Dvd Calendar'!$AO$245)=FALSE,"",IF((('Dvd Calendar'!$AO$247=TYPE1)*(TYPE1&lt;&gt;"")+('Dvd Calendar'!$AO$247=TYPE2)*(TYPE2&lt;&gt;"")+('Dvd Calendar'!$AO$247=TYPE3)*(TYPE3&lt;&gt;"")+('Dvd Calendar'!$AO$247=TYPE4)*(TYPE4&lt;&gt;"")+('Dvd Calendar'!$AO$247=SPECIAL_LBL)*(INC_SPECIALS="Y"))=0,"",'Dvd Calendar'!$AO$245)))</f>
        <v/>
      </c>
      <c r="AN33" s="106">
        <f>IF(FP33="","",IF(ISNUMBER('Dvd Calendar'!$AP$245)=FALSE,"",IF((('Dvd Calendar'!$AP$247=TYPE1)*(TYPE1&lt;&gt;"")+('Dvd Calendar'!$AP$247=TYPE2)*(TYPE2&lt;&gt;"")+('Dvd Calendar'!$AP$247=TYPE3)*(TYPE3&lt;&gt;"")+('Dvd Calendar'!$AP$247=TYPE4)*(TYPE4&lt;&gt;"")+('Dvd Calendar'!$AP$247=SPECIAL_LBL)*(INC_SPECIALS="Y"))=0,"",'Dvd Calendar'!$AP$245)))</f>
        <v/>
      </c>
      <c r="AO33" s="106">
        <f>IF(FQ33="","",IF(ISNUMBER('Dvd Calendar'!$AQ$245)=FALSE,"",IF((('Dvd Calendar'!$AQ$247=TYPE1)*(TYPE1&lt;&gt;"")+('Dvd Calendar'!$AQ$247=TYPE2)*(TYPE2&lt;&gt;"")+('Dvd Calendar'!$AQ$247=TYPE3)*(TYPE3&lt;&gt;"")+('Dvd Calendar'!$AQ$247=TYPE4)*(TYPE4&lt;&gt;"")+('Dvd Calendar'!$AQ$247=SPECIAL_LBL)*(INC_SPECIALS="Y"))=0,"",'Dvd Calendar'!$AQ$245)))</f>
        <v/>
      </c>
      <c r="AP33" s="106">
        <f>IF(FR33="","",IF(ISNUMBER('Dvd Calendar'!$AR$245)=FALSE,"",IF((('Dvd Calendar'!$AR$247=TYPE1)*(TYPE1&lt;&gt;"")+('Dvd Calendar'!$AR$247=TYPE2)*(TYPE2&lt;&gt;"")+('Dvd Calendar'!$AR$247=TYPE3)*(TYPE3&lt;&gt;"")+('Dvd Calendar'!$AR$247=TYPE4)*(TYPE4&lt;&gt;"")+('Dvd Calendar'!$AR$247=SPECIAL_LBL)*(INC_SPECIALS="Y"))=0,"",'Dvd Calendar'!$AR$245)))</f>
        <v/>
      </c>
      <c r="AQ33" s="106">
        <f>IF(FS33="","",IF(ISNUMBER('Dvd Calendar'!$E$250)=FALSE,"",'Dvd Calendar'!$E$250))</f>
        <v/>
      </c>
      <c r="AR33" s="106">
        <f>IF(FT33="","",IF(ISNUMBER('Dvd Calendar'!$F$250)=FALSE,"",'Dvd Calendar'!$F$250))</f>
        <v/>
      </c>
      <c r="AS33" s="106">
        <f>IF(FU33="","",IF(ISNUMBER('Dvd Calendar'!$G$250)=FALSE,"",'Dvd Calendar'!$G$250))</f>
        <v/>
      </c>
      <c r="AT33" s="106">
        <f>IF(FV33="","",IF(ISNUMBER('Dvd Calendar'!$H$250)=FALSE,"",'Dvd Calendar'!$H$250))</f>
        <v/>
      </c>
      <c r="AU33" s="106">
        <f>IF(FW33="","",IF(ISNUMBER('Dvd Calendar'!$I$250)=FALSE,"",'Dvd Calendar'!$I$250))</f>
        <v/>
      </c>
      <c r="AV33" s="106">
        <f>IF(FX33="","",IF(ISNUMBER('Dvd Calendar'!$J$250)=FALSE,"",'Dvd Calendar'!$J$250))</f>
        <v/>
      </c>
      <c r="AW33" s="106">
        <f>IF(FY33="","",IF(ISNUMBER('Dvd Calendar'!$K$250)=FALSE,"",'Dvd Calendar'!$K$250))</f>
        <v/>
      </c>
      <c r="AX33" s="106">
        <f>IF(FZ33="","",IF(ISNUMBER('Dvd Calendar'!$L$250)=FALSE,"",'Dvd Calendar'!$L$250))</f>
        <v/>
      </c>
      <c r="AY33" s="106">
        <f>IF(GA33="","",IF(ISNUMBER('Dvd Calendar'!$M$250)=FALSE,"",'Dvd Calendar'!$M$250))</f>
        <v/>
      </c>
      <c r="AZ33" s="106">
        <f>IF(GB33="","",IF(ISNUMBER('Dvd Calendar'!$N$250)=FALSE,"",'Dvd Calendar'!$N$250))</f>
        <v/>
      </c>
      <c r="BA33" s="106">
        <f>IF(GC33="","",IF(ISNUMBER('Dvd Calendar'!$O$250)=FALSE,"",'Dvd Calendar'!$O$250))</f>
        <v/>
      </c>
      <c r="BB33" s="106">
        <f>IF(GD33="","",IF(ISNUMBER('Dvd Calendar'!$P$250)=FALSE,"",'Dvd Calendar'!$P$250))</f>
        <v/>
      </c>
      <c r="BC33" s="106">
        <f>IF(GE33="","",IF(ISNUMBER('Dvd Calendar'!$Q$250)=FALSE,"",'Dvd Calendar'!$Q$250))</f>
        <v/>
      </c>
      <c r="BD33" s="106">
        <f>IF(GF33="","",IF(ISNUMBER('Dvd Calendar'!$R$250)=FALSE,"",'Dvd Calendar'!$R$250))</f>
        <v/>
      </c>
      <c r="BE33" s="106">
        <f>IF(GG33="","",IF(ISNUMBER('Dvd Calendar'!$S$250)=FALSE,"",'Dvd Calendar'!$S$250))</f>
        <v/>
      </c>
      <c r="BF33" s="106">
        <f>IF(GH33="","",IF(ISNUMBER('Dvd Calendar'!$T$250)=FALSE,"",'Dvd Calendar'!$T$250))</f>
        <v/>
      </c>
      <c r="BG33" s="106">
        <f>IF(GI33="","",IF(ISNUMBER('Dvd Calendar'!$U$250)=FALSE,"",'Dvd Calendar'!$U$250))</f>
        <v/>
      </c>
      <c r="BH33" s="106">
        <f>IF(GJ33="","",IF(ISNUMBER('Dvd Calendar'!$V$250)=FALSE,"",'Dvd Calendar'!$V$250))</f>
        <v/>
      </c>
      <c r="BI33" s="106">
        <f>IF(GK33="","",IF(ISNUMBER('Dvd Calendar'!$W$250)=FALSE,"",'Dvd Calendar'!$W$250))</f>
        <v/>
      </c>
      <c r="BJ33" s="106">
        <f>IF(GL33="","",IF(ISNUMBER('Dvd Calendar'!$X$250)=FALSE,"",'Dvd Calendar'!$X$250))</f>
        <v/>
      </c>
      <c r="BK33" s="106">
        <f>IF(GM33="","",IF(ISNUMBER('Dvd Calendar'!$Y$250)=FALSE,"",'Dvd Calendar'!$Y$250))</f>
        <v/>
      </c>
      <c r="BL33" s="106">
        <f>IF(GN33="","",IF(ISNUMBER('Dvd Calendar'!$Z$250)=FALSE,"",'Dvd Calendar'!$Z$250))</f>
        <v/>
      </c>
      <c r="BM33" s="106">
        <f>IF(GO33="","",IF(ISNUMBER('Dvd Calendar'!$AA$250)=FALSE,"",'Dvd Calendar'!$AA$250))</f>
        <v/>
      </c>
      <c r="BN33" s="106">
        <f>IF(GP33="","",IF(ISNUMBER('Dvd Calendar'!$AB$250)=FALSE,"",'Dvd Calendar'!$AB$250))</f>
        <v/>
      </c>
      <c r="BO33" s="106">
        <f>IF(GQ33="","",IF(ISNUMBER('Dvd Calendar'!$AC$250)=FALSE,"",'Dvd Calendar'!$AC$250))</f>
        <v/>
      </c>
      <c r="BQ33" s="106">
        <f>IF(C33="","",IFERROR(C33*HSI!$B$28*HSI!$G$28/HSI!$B$3,""))</f>
        <v/>
      </c>
      <c r="BR33" s="106">
        <f>IF(D33="","",IFERROR(D33*HSI!$B$28*HSI!$G$28/HSI!$B$3,""))</f>
        <v/>
      </c>
      <c r="BS33" s="106">
        <f>IF(E33="","",IFERROR(E33*HSI!$B$28*HSI!$G$28/HSI!$B$3,""))</f>
        <v/>
      </c>
      <c r="BT33" s="106">
        <f>IF(F33="","",IFERROR(F33*HSI!$B$28*HSI!$G$28/HSI!$B$3,""))</f>
        <v/>
      </c>
      <c r="BU33" s="106">
        <f>IF(G33="","",IFERROR(G33*HSI!$B$28*HSI!$G$28/HSI!$B$3,""))</f>
        <v/>
      </c>
      <c r="BV33" s="106">
        <f>IF(H33="","",IFERROR(H33*HSI!$B$28*HSI!$G$28/HSI!$B$3,""))</f>
        <v/>
      </c>
      <c r="BW33" s="106">
        <f>IF(I33="","",IFERROR(I33*HSI!$B$28*HSI!$G$28/HSI!$B$3,""))</f>
        <v/>
      </c>
      <c r="BX33" s="106">
        <f>IF(J33="","",IFERROR(J33*HSI!$B$28*HSI!$G$28/HSI!$B$3,""))</f>
        <v/>
      </c>
      <c r="BY33" s="106">
        <f>IF(K33="","",IFERROR(K33*HSI!$B$28*HSI!$G$28/HSI!$B$3,""))</f>
        <v/>
      </c>
      <c r="BZ33" s="106">
        <f>IF(L33="","",IFERROR(L33*HSI!$B$28*HSI!$G$28/HSI!$B$3,""))</f>
        <v/>
      </c>
      <c r="CA33" s="106">
        <f>IF(M33="","",IFERROR(M33*HSI!$B$28*HSI!$G$28/HSI!$B$3,""))</f>
        <v/>
      </c>
      <c r="CB33" s="106">
        <f>IF(N33="","",IFERROR(N33*HSI!$B$28*HSI!$G$28/HSI!$B$3,""))</f>
        <v/>
      </c>
      <c r="CC33" s="106">
        <f>IF(O33="","",IFERROR(O33*HSI!$B$28*HSI!$G$28/HSI!$B$3,""))</f>
        <v/>
      </c>
      <c r="CD33" s="106">
        <f>IF(P33="","",IFERROR(P33*HSI!$B$28*HSI!$G$28/HSI!$B$3,""))</f>
        <v/>
      </c>
      <c r="CE33" s="106">
        <f>IF(Q33="","",IFERROR(Q33*HSI!$B$28*HSI!$G$28/HSI!$B$3,""))</f>
        <v/>
      </c>
      <c r="CF33" s="106">
        <f>IF(R33="","",IFERROR(R33*HSI!$B$28*HSI!$G$28/HSI!$B$3,""))</f>
        <v/>
      </c>
      <c r="CG33" s="106">
        <f>IF(S33="","",IFERROR(S33*HSI!$B$28*HSI!$G$28/HSI!$B$3,""))</f>
        <v/>
      </c>
      <c r="CH33" s="106">
        <f>IF(T33="","",IFERROR(T33*HSI!$B$28*HSI!$G$28/HSI!$B$3,""))</f>
        <v/>
      </c>
      <c r="CI33" s="106">
        <f>IF(U33="","",IFERROR(U33*HSI!$B$28*HSI!$G$28/HSI!$B$3,""))</f>
        <v/>
      </c>
      <c r="CJ33" s="106">
        <f>IF(V33="","",IFERROR(V33*HSI!$B$28*HSI!$G$28/HSI!$B$3,""))</f>
        <v/>
      </c>
      <c r="CK33" s="106">
        <f>IF(W33="","",IFERROR(W33*HSI!$B$28*HSI!$G$28/HSI!$B$3,""))</f>
        <v/>
      </c>
      <c r="CL33" s="106">
        <f>IF(X33="","",IFERROR(X33*HSI!$B$28*HSI!$G$28/HSI!$B$3,""))</f>
        <v/>
      </c>
      <c r="CM33" s="106">
        <f>IF(Y33="","",IFERROR(Y33*HSI!$B$28*HSI!$G$28/HSI!$B$3,""))</f>
        <v/>
      </c>
      <c r="CN33" s="106">
        <f>IF(Z33="","",IFERROR(Z33*HSI!$B$28*HSI!$G$28/HSI!$B$3,""))</f>
        <v/>
      </c>
      <c r="CO33" s="106">
        <f>IF(AA33="","",IFERROR(AA33*HSI!$B$28*HSI!$G$28/HSI!$B$3,""))</f>
        <v/>
      </c>
      <c r="CP33" s="106">
        <f>IF(AB33="","",IFERROR(AB33*HSI!$B$28*HSI!$G$28/HSI!$B$3,""))</f>
        <v/>
      </c>
      <c r="CQ33" s="106">
        <f>IF(AC33="","",IFERROR(AC33*HSI!$B$28*HSI!$G$28/HSI!$B$3,""))</f>
        <v/>
      </c>
      <c r="CR33" s="106">
        <f>IF(AD33="","",IFERROR(AD33*HSI!$B$28*HSI!$G$28/HSI!$B$3,""))</f>
        <v/>
      </c>
      <c r="CS33" s="106">
        <f>IF(AE33="","",IFERROR(AE33*HSI!$B$28*HSI!$G$28/HSI!$B$3,""))</f>
        <v/>
      </c>
      <c r="CT33" s="106">
        <f>IF(AF33="","",IFERROR(AF33*HSI!$B$28*HSI!$G$28/HSI!$B$3,""))</f>
        <v/>
      </c>
      <c r="CU33" s="106">
        <f>IF(AG33="","",IFERROR(AG33*HSI!$B$28*HSI!$G$28/HSI!$B$3,""))</f>
        <v/>
      </c>
      <c r="CV33" s="106">
        <f>IF(AH33="","",IFERROR(AH33*HSI!$B$28*HSI!$G$28/HSI!$B$3,""))</f>
        <v/>
      </c>
      <c r="CW33" s="106">
        <f>IF(AI33="","",IFERROR(AI33*HSI!$B$28*HSI!$G$28/HSI!$B$3,""))</f>
        <v/>
      </c>
      <c r="CX33" s="106">
        <f>IF(AJ33="","",IFERROR(AJ33*HSI!$B$28*HSI!$G$28/HSI!$B$3,""))</f>
        <v/>
      </c>
      <c r="CY33" s="106">
        <f>IF(AK33="","",IFERROR(AK33*HSI!$B$28*HSI!$G$28/HSI!$B$3,""))</f>
        <v/>
      </c>
      <c r="CZ33" s="106">
        <f>IF(AL33="","",IFERROR(AL33*HSI!$B$28*HSI!$G$28/HSI!$B$3,""))</f>
        <v/>
      </c>
      <c r="DA33" s="106">
        <f>IF(AM33="","",IFERROR(AM33*HSI!$B$28*HSI!$G$28/HSI!$B$3,""))</f>
        <v/>
      </c>
      <c r="DB33" s="106">
        <f>IF(AN33="","",IFERROR(AN33*HSI!$B$28*HSI!$G$28/HSI!$B$3,""))</f>
        <v/>
      </c>
      <c r="DC33" s="106">
        <f>IF(AO33="","",IFERROR(AO33*HSI!$B$28*HSI!$G$28/HSI!$B$3,""))</f>
        <v/>
      </c>
      <c r="DD33" s="106">
        <f>IF(AP33="","",IFERROR(AP33*HSI!$B$28*HSI!$G$28/HSI!$B$3,""))</f>
        <v/>
      </c>
      <c r="DE33" s="106">
        <f>IF(AQ33="","",IFERROR(AQ33*HSI!$B$28*HSI!$G$28/HSI!$B$3,""))</f>
        <v/>
      </c>
      <c r="DF33" s="106">
        <f>IF(AR33="","",IFERROR(AR33*HSI!$B$28*HSI!$G$28/HSI!$B$3,""))</f>
        <v/>
      </c>
      <c r="DG33" s="106">
        <f>IF(AS33="","",IFERROR(AS33*HSI!$B$28*HSI!$G$28/HSI!$B$3,""))</f>
        <v/>
      </c>
      <c r="DH33" s="106">
        <f>IF(AT33="","",IFERROR(AT33*HSI!$B$28*HSI!$G$28/HSI!$B$3,""))</f>
        <v/>
      </c>
      <c r="DI33" s="106">
        <f>IF(AU33="","",IFERROR(AU33*HSI!$B$28*HSI!$G$28/HSI!$B$3,""))</f>
        <v/>
      </c>
      <c r="DJ33" s="106">
        <f>IF(AV33="","",IFERROR(AV33*HSI!$B$28*HSI!$G$28/HSI!$B$3,""))</f>
        <v/>
      </c>
      <c r="DK33" s="106">
        <f>IF(AW33="","",IFERROR(AW33*HSI!$B$28*HSI!$G$28/HSI!$B$3,""))</f>
        <v/>
      </c>
      <c r="DL33" s="106">
        <f>IF(AX33="","",IFERROR(AX33*HSI!$B$28*HSI!$G$28/HSI!$B$3,""))</f>
        <v/>
      </c>
      <c r="DM33" s="106">
        <f>IF(AY33="","",IFERROR(AY33*HSI!$B$28*HSI!$G$28/HSI!$B$3,""))</f>
        <v/>
      </c>
      <c r="DN33" s="106">
        <f>IF(AZ33="","",IFERROR(AZ33*HSI!$B$28*HSI!$G$28/HSI!$B$3,""))</f>
        <v/>
      </c>
      <c r="DO33" s="106">
        <f>IF(BA33="","",IFERROR(BA33*HSI!$B$28*HSI!$G$28/HSI!$B$3,""))</f>
        <v/>
      </c>
      <c r="DP33" s="106">
        <f>IF(BB33="","",IFERROR(BB33*HSI!$B$28*HSI!$G$28/HSI!$B$3,""))</f>
        <v/>
      </c>
      <c r="DQ33" s="106">
        <f>IF(BC33="","",IFERROR(BC33*HSI!$B$28*HSI!$G$28/HSI!$B$3,""))</f>
        <v/>
      </c>
      <c r="DR33" s="106">
        <f>IF(BD33="","",IFERROR(BD33*HSI!$B$28*HSI!$G$28/HSI!$B$3,""))</f>
        <v/>
      </c>
      <c r="DS33" s="106">
        <f>IF(BE33="","",IFERROR(BE33*HSI!$B$28*HSI!$G$28/HSI!$B$3,""))</f>
        <v/>
      </c>
      <c r="DT33" s="106">
        <f>IF(BF33="","",IFERROR(BF33*HSI!$B$28*HSI!$G$28/HSI!$B$3,""))</f>
        <v/>
      </c>
      <c r="DU33" s="106">
        <f>IF(BG33="","",IFERROR(BG33*HSI!$B$28*HSI!$G$28/HSI!$B$3,""))</f>
        <v/>
      </c>
      <c r="DV33" s="106">
        <f>IF(BH33="","",IFERROR(BH33*HSI!$B$28*HSI!$G$28/HSI!$B$3,""))</f>
        <v/>
      </c>
      <c r="DW33" s="106">
        <f>IF(BI33="","",IFERROR(BI33*HSI!$B$28*HSI!$G$28/HSI!$B$3,""))</f>
        <v/>
      </c>
      <c r="DX33" s="106">
        <f>IF(BJ33="","",IFERROR(BJ33*HSI!$B$28*HSI!$G$28/HSI!$B$3,""))</f>
        <v/>
      </c>
      <c r="DY33" s="106">
        <f>IF(BK33="","",IFERROR(BK33*HSI!$B$28*HSI!$G$28/HSI!$B$3,""))</f>
        <v/>
      </c>
      <c r="DZ33" s="106">
        <f>IF(BL33="","",IFERROR(BL33*HSI!$B$28*HSI!$G$28/HSI!$B$3,""))</f>
        <v/>
      </c>
      <c r="EA33" s="106">
        <f>IF(BM33="","",IFERROR(BM33*HSI!$B$28*HSI!$G$28/HSI!$B$3,""))</f>
        <v/>
      </c>
      <c r="EB33" s="106">
        <f>IF(BN33="","",IFERROR(BN33*HSI!$B$28*HSI!$G$28/HSI!$B$3,""))</f>
        <v/>
      </c>
      <c r="EC33" s="106">
        <f>IF(BO33="","",IFERROR(BO33*HSI!$B$28*HSI!$G$28/HSI!$B$3,""))</f>
        <v/>
      </c>
      <c r="EE33" s="35">
        <f>IF(N('Dvd Calendar'!$E$242)=0,"",IF(('Dvd Calendar'!$E$242&gt;=GRID_FROM)*('Dvd Calendar'!$E$242&lt;=GRID_TO)*('Dvd Calendar'!$E$242&lt;=VAL_DATE)=0,"",'Dvd Calendar'!$E$242*1000000000+ISNUMBER('Dvd Calendar'!$E$245)*100000000+('Dvd Calendar'!$E$247=SPECIAL_LBL)*10000000+0*1000000+22*1000+1))</f>
        <v/>
      </c>
      <c r="EF33" s="35">
        <f>IF(N('Dvd Calendar'!$F$242)=0,"",IF(('Dvd Calendar'!$F$242&gt;=GRID_FROM)*('Dvd Calendar'!$F$242&lt;=GRID_TO)*('Dvd Calendar'!$F$242&lt;=VAL_DATE)=0,"",'Dvd Calendar'!$F$242*1000000000+ISNUMBER('Dvd Calendar'!$F$245)*100000000+('Dvd Calendar'!$F$247=SPECIAL_LBL)*10000000+0*1000000+22*1000+2))</f>
        <v/>
      </c>
      <c r="EG33" s="35">
        <f>IF(N('Dvd Calendar'!$G$242)=0,"",IF(('Dvd Calendar'!$G$242&gt;=GRID_FROM)*('Dvd Calendar'!$G$242&lt;=GRID_TO)*('Dvd Calendar'!$G$242&lt;=VAL_DATE)=0,"",'Dvd Calendar'!$G$242*1000000000+ISNUMBER('Dvd Calendar'!$G$245)*100000000+('Dvd Calendar'!$G$247=SPECIAL_LBL)*10000000+0*1000000+22*1000+3))</f>
        <v/>
      </c>
      <c r="EH33" s="35">
        <f>IF(N('Dvd Calendar'!$H$242)=0,"",IF(('Dvd Calendar'!$H$242&gt;=GRID_FROM)*('Dvd Calendar'!$H$242&lt;=GRID_TO)*('Dvd Calendar'!$H$242&lt;=VAL_DATE)=0,"",'Dvd Calendar'!$H$242*1000000000+ISNUMBER('Dvd Calendar'!$H$245)*100000000+('Dvd Calendar'!$H$247=SPECIAL_LBL)*10000000+0*1000000+22*1000+4))</f>
        <v/>
      </c>
      <c r="EI33" s="35">
        <f>IF(N('Dvd Calendar'!$I$242)=0,"",IF(('Dvd Calendar'!$I$242&gt;=GRID_FROM)*('Dvd Calendar'!$I$242&lt;=GRID_TO)*('Dvd Calendar'!$I$242&lt;=VAL_DATE)=0,"",'Dvd Calendar'!$I$242*1000000000+ISNUMBER('Dvd Calendar'!$I$245)*100000000+('Dvd Calendar'!$I$247=SPECIAL_LBL)*10000000+0*1000000+22*1000+5))</f>
        <v/>
      </c>
      <c r="EJ33" s="35">
        <f>IF(N('Dvd Calendar'!$J$242)=0,"",IF(('Dvd Calendar'!$J$242&gt;=GRID_FROM)*('Dvd Calendar'!$J$242&lt;=GRID_TO)*('Dvd Calendar'!$J$242&lt;=VAL_DATE)=0,"",'Dvd Calendar'!$J$242*1000000000+ISNUMBER('Dvd Calendar'!$J$245)*100000000+('Dvd Calendar'!$J$247=SPECIAL_LBL)*10000000+0*1000000+22*1000+6))</f>
        <v/>
      </c>
      <c r="EK33" s="35">
        <f>IF(N('Dvd Calendar'!$K$242)=0,"",IF(('Dvd Calendar'!$K$242&gt;=GRID_FROM)*('Dvd Calendar'!$K$242&lt;=GRID_TO)*('Dvd Calendar'!$K$242&lt;=VAL_DATE)=0,"",'Dvd Calendar'!$K$242*1000000000+ISNUMBER('Dvd Calendar'!$K$245)*100000000+('Dvd Calendar'!$K$247=SPECIAL_LBL)*10000000+0*1000000+22*1000+7))</f>
        <v/>
      </c>
      <c r="EL33" s="35">
        <f>IF(N('Dvd Calendar'!$L$242)=0,"",IF(('Dvd Calendar'!$L$242&gt;=GRID_FROM)*('Dvd Calendar'!$L$242&lt;=GRID_TO)*('Dvd Calendar'!$L$242&lt;=VAL_DATE)=0,"",'Dvd Calendar'!$L$242*1000000000+ISNUMBER('Dvd Calendar'!$L$245)*100000000+('Dvd Calendar'!$L$247=SPECIAL_LBL)*10000000+0*1000000+22*1000+8))</f>
        <v/>
      </c>
      <c r="EM33" s="35">
        <f>IF(N('Dvd Calendar'!$M$242)=0,"",IF(('Dvd Calendar'!$M$242&gt;=GRID_FROM)*('Dvd Calendar'!$M$242&lt;=GRID_TO)*('Dvd Calendar'!$M$242&lt;=VAL_DATE)=0,"",'Dvd Calendar'!$M$242*1000000000+ISNUMBER('Dvd Calendar'!$M$245)*100000000+('Dvd Calendar'!$M$247=SPECIAL_LBL)*10000000+0*1000000+22*1000+9))</f>
        <v/>
      </c>
      <c r="EN33" s="35">
        <f>IF(N('Dvd Calendar'!$N$242)=0,"",IF(('Dvd Calendar'!$N$242&gt;=GRID_FROM)*('Dvd Calendar'!$N$242&lt;=GRID_TO)*('Dvd Calendar'!$N$242&lt;=VAL_DATE)=0,"",'Dvd Calendar'!$N$242*1000000000+ISNUMBER('Dvd Calendar'!$N$245)*100000000+('Dvd Calendar'!$N$247=SPECIAL_LBL)*10000000+0*1000000+22*1000+10))</f>
        <v/>
      </c>
      <c r="EO33" s="35">
        <f>IF(N('Dvd Calendar'!$O$242)=0,"",IF(('Dvd Calendar'!$O$242&gt;=GRID_FROM)*('Dvd Calendar'!$O$242&lt;=GRID_TO)*('Dvd Calendar'!$O$242&lt;=VAL_DATE)=0,"",'Dvd Calendar'!$O$242*1000000000+ISNUMBER('Dvd Calendar'!$O$245)*100000000+('Dvd Calendar'!$O$247=SPECIAL_LBL)*10000000+0*1000000+22*1000+11))</f>
        <v/>
      </c>
      <c r="EP33" s="35">
        <f>IF(N('Dvd Calendar'!$P$242)=0,"",IF(('Dvd Calendar'!$P$242&gt;=GRID_FROM)*('Dvd Calendar'!$P$242&lt;=GRID_TO)*('Dvd Calendar'!$P$242&lt;=VAL_DATE)=0,"",'Dvd Calendar'!$P$242*1000000000+ISNUMBER('Dvd Calendar'!$P$245)*100000000+('Dvd Calendar'!$P$247=SPECIAL_LBL)*10000000+0*1000000+22*1000+12))</f>
        <v/>
      </c>
      <c r="EQ33" s="35">
        <f>IF(N('Dvd Calendar'!$Q$242)=0,"",IF(('Dvd Calendar'!$Q$242&gt;=GRID_FROM)*('Dvd Calendar'!$Q$242&lt;=GRID_TO)*('Dvd Calendar'!$Q$242&lt;=VAL_DATE)=0,"",'Dvd Calendar'!$Q$242*1000000000+ISNUMBER('Dvd Calendar'!$Q$245)*100000000+('Dvd Calendar'!$Q$247=SPECIAL_LBL)*10000000+0*1000000+22*1000+13))</f>
        <v/>
      </c>
      <c r="ER33" s="35">
        <f>IF(N('Dvd Calendar'!$R$242)=0,"",IF(('Dvd Calendar'!$R$242&gt;=GRID_FROM)*('Dvd Calendar'!$R$242&lt;=GRID_TO)*('Dvd Calendar'!$R$242&lt;=VAL_DATE)=0,"",'Dvd Calendar'!$R$242*1000000000+ISNUMBER('Dvd Calendar'!$R$245)*100000000+('Dvd Calendar'!$R$247=SPECIAL_LBL)*10000000+0*1000000+22*1000+14))</f>
        <v/>
      </c>
      <c r="ES33" s="35">
        <f>IF(N('Dvd Calendar'!$S$242)=0,"",IF(('Dvd Calendar'!$S$242&gt;=GRID_FROM)*('Dvd Calendar'!$S$242&lt;=GRID_TO)*('Dvd Calendar'!$S$242&lt;=VAL_DATE)=0,"",'Dvd Calendar'!$S$242*1000000000+ISNUMBER('Dvd Calendar'!$S$245)*100000000+('Dvd Calendar'!$S$247=SPECIAL_LBL)*10000000+0*1000000+22*1000+15))</f>
        <v/>
      </c>
      <c r="ET33" s="35">
        <f>IF(N('Dvd Calendar'!$T$242)=0,"",IF(('Dvd Calendar'!$T$242&gt;=GRID_FROM)*('Dvd Calendar'!$T$242&lt;=GRID_TO)*('Dvd Calendar'!$T$242&lt;=VAL_DATE)=0,"",'Dvd Calendar'!$T$242*1000000000+ISNUMBER('Dvd Calendar'!$T$245)*100000000+('Dvd Calendar'!$T$247=SPECIAL_LBL)*10000000+0*1000000+22*1000+16))</f>
        <v/>
      </c>
      <c r="EU33" s="35">
        <f>IF(N('Dvd Calendar'!$U$242)=0,"",IF(('Dvd Calendar'!$U$242&gt;=GRID_FROM)*('Dvd Calendar'!$U$242&lt;=GRID_TO)*('Dvd Calendar'!$U$242&lt;=VAL_DATE)=0,"",'Dvd Calendar'!$U$242*1000000000+ISNUMBER('Dvd Calendar'!$U$245)*100000000+('Dvd Calendar'!$U$247=SPECIAL_LBL)*10000000+0*1000000+22*1000+17))</f>
        <v/>
      </c>
      <c r="EV33" s="35">
        <f>IF(N('Dvd Calendar'!$V$242)=0,"",IF(('Dvd Calendar'!$V$242&gt;=GRID_FROM)*('Dvd Calendar'!$V$242&lt;=GRID_TO)*('Dvd Calendar'!$V$242&lt;=VAL_DATE)=0,"",'Dvd Calendar'!$V$242*1000000000+ISNUMBER('Dvd Calendar'!$V$245)*100000000+('Dvd Calendar'!$V$247=SPECIAL_LBL)*10000000+0*1000000+22*1000+18))</f>
        <v/>
      </c>
      <c r="EW33" s="35">
        <f>IF(N('Dvd Calendar'!$W$242)=0,"",IF(('Dvd Calendar'!$W$242&gt;=GRID_FROM)*('Dvd Calendar'!$W$242&lt;=GRID_TO)*('Dvd Calendar'!$W$242&lt;=VAL_DATE)=0,"",'Dvd Calendar'!$W$242*1000000000+ISNUMBER('Dvd Calendar'!$W$245)*100000000+('Dvd Calendar'!$W$247=SPECIAL_LBL)*10000000+0*1000000+22*1000+19))</f>
        <v/>
      </c>
      <c r="EX33" s="35">
        <f>IF(N('Dvd Calendar'!$X$242)=0,"",IF(('Dvd Calendar'!$X$242&gt;=GRID_FROM)*('Dvd Calendar'!$X$242&lt;=GRID_TO)*('Dvd Calendar'!$X$242&lt;=VAL_DATE)=0,"",'Dvd Calendar'!$X$242*1000000000+ISNUMBER('Dvd Calendar'!$X$245)*100000000+('Dvd Calendar'!$X$247=SPECIAL_LBL)*10000000+0*1000000+22*1000+20))</f>
        <v/>
      </c>
      <c r="EY33" s="35">
        <f>IF(N('Dvd Calendar'!$Y$242)=0,"",IF(('Dvd Calendar'!$Y$242&gt;=GRID_FROM)*('Dvd Calendar'!$Y$242&lt;=GRID_TO)*('Dvd Calendar'!$Y$242&lt;=VAL_DATE)=0,"",'Dvd Calendar'!$Y$242*1000000000+ISNUMBER('Dvd Calendar'!$Y$245)*100000000+('Dvd Calendar'!$Y$247=SPECIAL_LBL)*10000000+0*1000000+22*1000+21))</f>
        <v/>
      </c>
      <c r="EZ33" s="35">
        <f>IF(N('Dvd Calendar'!$Z$242)=0,"",IF(('Dvd Calendar'!$Z$242&gt;=GRID_FROM)*('Dvd Calendar'!$Z$242&lt;=GRID_TO)*('Dvd Calendar'!$Z$242&lt;=VAL_DATE)=0,"",'Dvd Calendar'!$Z$242*1000000000+ISNUMBER('Dvd Calendar'!$Z$245)*100000000+('Dvd Calendar'!$Z$247=SPECIAL_LBL)*10000000+0*1000000+22*1000+22))</f>
        <v/>
      </c>
      <c r="FA33" s="35">
        <f>IF(N('Dvd Calendar'!$AA$242)=0,"",IF(('Dvd Calendar'!$AA$242&gt;=GRID_FROM)*('Dvd Calendar'!$AA$242&lt;=GRID_TO)*('Dvd Calendar'!$AA$242&lt;=VAL_DATE)=0,"",'Dvd Calendar'!$AA$242*1000000000+ISNUMBER('Dvd Calendar'!$AA$245)*100000000+('Dvd Calendar'!$AA$247=SPECIAL_LBL)*10000000+0*1000000+22*1000+23))</f>
        <v/>
      </c>
      <c r="FB33" s="35">
        <f>IF(N('Dvd Calendar'!$AB$242)=0,"",IF(('Dvd Calendar'!$AB$242&gt;=GRID_FROM)*('Dvd Calendar'!$AB$242&lt;=GRID_TO)*('Dvd Calendar'!$AB$242&lt;=VAL_DATE)=0,"",'Dvd Calendar'!$AB$242*1000000000+ISNUMBER('Dvd Calendar'!$AB$245)*100000000+('Dvd Calendar'!$AB$247=SPECIAL_LBL)*10000000+0*1000000+22*1000+24))</f>
        <v/>
      </c>
      <c r="FC33" s="35">
        <f>IF(N('Dvd Calendar'!$AC$242)=0,"",IF(('Dvd Calendar'!$AC$242&gt;=GRID_FROM)*('Dvd Calendar'!$AC$242&lt;=GRID_TO)*('Dvd Calendar'!$AC$242&lt;=VAL_DATE)=0,"",'Dvd Calendar'!$AC$242*1000000000+ISNUMBER('Dvd Calendar'!$AC$245)*100000000+('Dvd Calendar'!$AC$247=SPECIAL_LBL)*10000000+0*1000000+22*1000+25))</f>
        <v/>
      </c>
      <c r="FD33" s="35">
        <f>IF(N('Dvd Calendar'!$AD$242)=0,"",IF(('Dvd Calendar'!$AD$242&gt;=GRID_FROM)*('Dvd Calendar'!$AD$242&lt;=GRID_TO)*('Dvd Calendar'!$AD$242&lt;=VAL_DATE)=0,"",'Dvd Calendar'!$AD$242*1000000000+ISNUMBER('Dvd Calendar'!$AD$245)*100000000+('Dvd Calendar'!$AD$247=SPECIAL_LBL)*10000000+0*1000000+22*1000+26))</f>
        <v/>
      </c>
      <c r="FE33" s="35">
        <f>IF(N('Dvd Calendar'!$AE$242)=0,"",IF(('Dvd Calendar'!$AE$242&gt;=GRID_FROM)*('Dvd Calendar'!$AE$242&lt;=GRID_TO)*('Dvd Calendar'!$AE$242&lt;=VAL_DATE)=0,"",'Dvd Calendar'!$AE$242*1000000000+ISNUMBER('Dvd Calendar'!$AE$245)*100000000+('Dvd Calendar'!$AE$247=SPECIAL_LBL)*10000000+0*1000000+22*1000+27))</f>
        <v/>
      </c>
      <c r="FF33" s="35">
        <f>IF(N('Dvd Calendar'!$AF$242)=0,"",IF(('Dvd Calendar'!$AF$242&gt;=GRID_FROM)*('Dvd Calendar'!$AF$242&lt;=GRID_TO)*('Dvd Calendar'!$AF$242&lt;=VAL_DATE)=0,"",'Dvd Calendar'!$AF$242*1000000000+ISNUMBER('Dvd Calendar'!$AF$245)*100000000+('Dvd Calendar'!$AF$247=SPECIAL_LBL)*10000000+0*1000000+22*1000+28))</f>
        <v/>
      </c>
      <c r="FG33" s="35">
        <f>IF(N('Dvd Calendar'!$AG$242)=0,"",IF(('Dvd Calendar'!$AG$242&gt;=GRID_FROM)*('Dvd Calendar'!$AG$242&lt;=GRID_TO)*('Dvd Calendar'!$AG$242&lt;=VAL_DATE)=0,"",'Dvd Calendar'!$AG$242*1000000000+ISNUMBER('Dvd Calendar'!$AG$245)*100000000+('Dvd Calendar'!$AG$247=SPECIAL_LBL)*10000000+0*1000000+22*1000+29))</f>
        <v/>
      </c>
      <c r="FH33" s="35">
        <f>IF(N('Dvd Calendar'!$AH$242)=0,"",IF(('Dvd Calendar'!$AH$242&gt;=GRID_FROM)*('Dvd Calendar'!$AH$242&lt;=GRID_TO)*('Dvd Calendar'!$AH$242&lt;=VAL_DATE)=0,"",'Dvd Calendar'!$AH$242*1000000000+ISNUMBER('Dvd Calendar'!$AH$245)*100000000+('Dvd Calendar'!$AH$247=SPECIAL_LBL)*10000000+0*1000000+22*1000+30))</f>
        <v/>
      </c>
      <c r="FI33" s="35">
        <f>IF(N('Dvd Calendar'!$AI$242)=0,"",IF(('Dvd Calendar'!$AI$242&gt;=GRID_FROM)*('Dvd Calendar'!$AI$242&lt;=GRID_TO)*('Dvd Calendar'!$AI$242&lt;=VAL_DATE)=0,"",'Dvd Calendar'!$AI$242*1000000000+ISNUMBER('Dvd Calendar'!$AI$245)*100000000+('Dvd Calendar'!$AI$247=SPECIAL_LBL)*10000000+0*1000000+22*1000+31))</f>
        <v/>
      </c>
      <c r="FJ33" s="35">
        <f>IF(N('Dvd Calendar'!$AJ$242)=0,"",IF(('Dvd Calendar'!$AJ$242&gt;=GRID_FROM)*('Dvd Calendar'!$AJ$242&lt;=GRID_TO)*('Dvd Calendar'!$AJ$242&lt;=VAL_DATE)=0,"",'Dvd Calendar'!$AJ$242*1000000000+ISNUMBER('Dvd Calendar'!$AJ$245)*100000000+('Dvd Calendar'!$AJ$247=SPECIAL_LBL)*10000000+0*1000000+22*1000+32))</f>
        <v/>
      </c>
      <c r="FK33" s="35">
        <f>IF(N('Dvd Calendar'!$AK$242)=0,"",IF(('Dvd Calendar'!$AK$242&gt;=GRID_FROM)*('Dvd Calendar'!$AK$242&lt;=GRID_TO)*('Dvd Calendar'!$AK$242&lt;=VAL_DATE)=0,"",'Dvd Calendar'!$AK$242*1000000000+ISNUMBER('Dvd Calendar'!$AK$245)*100000000+('Dvd Calendar'!$AK$247=SPECIAL_LBL)*10000000+0*1000000+22*1000+33))</f>
        <v/>
      </c>
      <c r="FL33" s="35">
        <f>IF(N('Dvd Calendar'!$AL$242)=0,"",IF(('Dvd Calendar'!$AL$242&gt;=GRID_FROM)*('Dvd Calendar'!$AL$242&lt;=GRID_TO)*('Dvd Calendar'!$AL$242&lt;=VAL_DATE)=0,"",'Dvd Calendar'!$AL$242*1000000000+ISNUMBER('Dvd Calendar'!$AL$245)*100000000+('Dvd Calendar'!$AL$247=SPECIAL_LBL)*10000000+0*1000000+22*1000+34))</f>
        <v/>
      </c>
      <c r="FM33" s="35">
        <f>IF(N('Dvd Calendar'!$AM$242)=0,"",IF(('Dvd Calendar'!$AM$242&gt;=GRID_FROM)*('Dvd Calendar'!$AM$242&lt;=GRID_TO)*('Dvd Calendar'!$AM$242&lt;=VAL_DATE)=0,"",'Dvd Calendar'!$AM$242*1000000000+ISNUMBER('Dvd Calendar'!$AM$245)*100000000+('Dvd Calendar'!$AM$247=SPECIAL_LBL)*10000000+0*1000000+22*1000+35))</f>
        <v/>
      </c>
      <c r="FN33" s="35">
        <f>IF(N('Dvd Calendar'!$AN$242)=0,"",IF(('Dvd Calendar'!$AN$242&gt;=GRID_FROM)*('Dvd Calendar'!$AN$242&lt;=GRID_TO)*('Dvd Calendar'!$AN$242&lt;=VAL_DATE)=0,"",'Dvd Calendar'!$AN$242*1000000000+ISNUMBER('Dvd Calendar'!$AN$245)*100000000+('Dvd Calendar'!$AN$247=SPECIAL_LBL)*10000000+0*1000000+22*1000+36))</f>
        <v/>
      </c>
      <c r="FO33" s="35">
        <f>IF(N('Dvd Calendar'!$AO$242)=0,"",IF(('Dvd Calendar'!$AO$242&gt;=GRID_FROM)*('Dvd Calendar'!$AO$242&lt;=GRID_TO)*('Dvd Calendar'!$AO$242&lt;=VAL_DATE)=0,"",'Dvd Calendar'!$AO$242*1000000000+ISNUMBER('Dvd Calendar'!$AO$245)*100000000+('Dvd Calendar'!$AO$247=SPECIAL_LBL)*10000000+0*1000000+22*1000+37))</f>
        <v/>
      </c>
      <c r="FP33" s="35">
        <f>IF(N('Dvd Calendar'!$AP$242)=0,"",IF(('Dvd Calendar'!$AP$242&gt;=GRID_FROM)*('Dvd Calendar'!$AP$242&lt;=GRID_TO)*('Dvd Calendar'!$AP$242&lt;=VAL_DATE)=0,"",'Dvd Calendar'!$AP$242*1000000000+ISNUMBER('Dvd Calendar'!$AP$245)*100000000+('Dvd Calendar'!$AP$247=SPECIAL_LBL)*10000000+0*1000000+22*1000+38))</f>
        <v/>
      </c>
      <c r="FQ33" s="35">
        <f>IF(N('Dvd Calendar'!$AQ$242)=0,"",IF(('Dvd Calendar'!$AQ$242&gt;=GRID_FROM)*('Dvd Calendar'!$AQ$242&lt;=GRID_TO)*('Dvd Calendar'!$AQ$242&lt;=VAL_DATE)=0,"",'Dvd Calendar'!$AQ$242*1000000000+ISNUMBER('Dvd Calendar'!$AQ$245)*100000000+('Dvd Calendar'!$AQ$247=SPECIAL_LBL)*10000000+0*1000000+22*1000+39))</f>
        <v/>
      </c>
      <c r="FR33" s="35">
        <f>IF(N('Dvd Calendar'!$AR$242)=0,"",IF(('Dvd Calendar'!$AR$242&gt;=GRID_FROM)*('Dvd Calendar'!$AR$242&lt;=GRID_TO)*('Dvd Calendar'!$AR$242&lt;=VAL_DATE)=0,"",'Dvd Calendar'!$AR$242*1000000000+ISNUMBER('Dvd Calendar'!$AR$245)*100000000+('Dvd Calendar'!$AR$247=SPECIAL_LBL)*10000000+0*1000000+22*1000+40))</f>
        <v/>
      </c>
      <c r="FS33" s="35">
        <f>IF(N('Dvd Calendar'!$E$249)=0,"",IF(('Dvd Calendar'!$E$249&gt;=GRID_FROM)*('Dvd Calendar'!$E$249&lt;=GRID_TO)*('Dvd Calendar'!$E$249&gt;VAL_DATE)=0,"",'Dvd Calendar'!$E$249*1000000000+ISNUMBER('Dvd Calendar'!$E$250)*100000000+0*10000000+(N('Dvd Calendar'!$E$248)&gt;0)*(N('Dvd Calendar'!$E$248)&lt;=VAL_SERIAL)*1000000+22*1000+41))</f>
        <v/>
      </c>
      <c r="FT33" s="35">
        <f>IF(N('Dvd Calendar'!$F$249)=0,"",IF(('Dvd Calendar'!$F$249&gt;=GRID_FROM)*('Dvd Calendar'!$F$249&lt;=GRID_TO)*('Dvd Calendar'!$F$249&gt;VAL_DATE)=0,"",'Dvd Calendar'!$F$249*1000000000+ISNUMBER('Dvd Calendar'!$F$250)*100000000+0*10000000+(N('Dvd Calendar'!$F$248)&gt;0)*(N('Dvd Calendar'!$F$248)&lt;=VAL_SERIAL)*1000000+22*1000+42))</f>
        <v/>
      </c>
      <c r="FU33" s="35">
        <f>IF(N('Dvd Calendar'!$G$249)=0,"",IF(('Dvd Calendar'!$G$249&gt;=GRID_FROM)*('Dvd Calendar'!$G$249&lt;=GRID_TO)*('Dvd Calendar'!$G$249&gt;VAL_DATE)=0,"",'Dvd Calendar'!$G$249*1000000000+ISNUMBER('Dvd Calendar'!$G$250)*100000000+0*10000000+(N('Dvd Calendar'!$G$248)&gt;0)*(N('Dvd Calendar'!$G$248)&lt;=VAL_SERIAL)*1000000+22*1000+43))</f>
        <v/>
      </c>
      <c r="FV33" s="35">
        <f>IF(N('Dvd Calendar'!$H$249)=0,"",IF(('Dvd Calendar'!$H$249&gt;=GRID_FROM)*('Dvd Calendar'!$H$249&lt;=GRID_TO)*('Dvd Calendar'!$H$249&gt;VAL_DATE)=0,"",'Dvd Calendar'!$H$249*1000000000+ISNUMBER('Dvd Calendar'!$H$250)*100000000+0*10000000+(N('Dvd Calendar'!$H$248)&gt;0)*(N('Dvd Calendar'!$H$248)&lt;=VAL_SERIAL)*1000000+22*1000+44))</f>
        <v/>
      </c>
      <c r="FW33" s="35">
        <f>IF(N('Dvd Calendar'!$I$249)=0,"",IF(('Dvd Calendar'!$I$249&gt;=GRID_FROM)*('Dvd Calendar'!$I$249&lt;=GRID_TO)*('Dvd Calendar'!$I$249&gt;VAL_DATE)=0,"",'Dvd Calendar'!$I$249*1000000000+ISNUMBER('Dvd Calendar'!$I$250)*100000000+0*10000000+(N('Dvd Calendar'!$I$248)&gt;0)*(N('Dvd Calendar'!$I$248)&lt;=VAL_SERIAL)*1000000+22*1000+45))</f>
        <v/>
      </c>
      <c r="FX33" s="35">
        <f>IF(N('Dvd Calendar'!$J$249)=0,"",IF(('Dvd Calendar'!$J$249&gt;=GRID_FROM)*('Dvd Calendar'!$J$249&lt;=GRID_TO)*('Dvd Calendar'!$J$249&gt;VAL_DATE)=0,"",'Dvd Calendar'!$J$249*1000000000+ISNUMBER('Dvd Calendar'!$J$250)*100000000+0*10000000+(N('Dvd Calendar'!$J$248)&gt;0)*(N('Dvd Calendar'!$J$248)&lt;=VAL_SERIAL)*1000000+22*1000+46))</f>
        <v/>
      </c>
      <c r="FY33" s="35">
        <f>IF(N('Dvd Calendar'!$K$249)=0,"",IF(('Dvd Calendar'!$K$249&gt;=GRID_FROM)*('Dvd Calendar'!$K$249&lt;=GRID_TO)*('Dvd Calendar'!$K$249&gt;VAL_DATE)=0,"",'Dvd Calendar'!$K$249*1000000000+ISNUMBER('Dvd Calendar'!$K$250)*100000000+0*10000000+(N('Dvd Calendar'!$K$248)&gt;0)*(N('Dvd Calendar'!$K$248)&lt;=VAL_SERIAL)*1000000+22*1000+47))</f>
        <v/>
      </c>
      <c r="FZ33" s="35">
        <f>IF(N('Dvd Calendar'!$L$249)=0,"",IF(('Dvd Calendar'!$L$249&gt;=GRID_FROM)*('Dvd Calendar'!$L$249&lt;=GRID_TO)*('Dvd Calendar'!$L$249&gt;VAL_DATE)=0,"",'Dvd Calendar'!$L$249*1000000000+ISNUMBER('Dvd Calendar'!$L$250)*100000000+0*10000000+(N('Dvd Calendar'!$L$248)&gt;0)*(N('Dvd Calendar'!$L$248)&lt;=VAL_SERIAL)*1000000+22*1000+48))</f>
        <v/>
      </c>
      <c r="GA33" s="35">
        <f>IF(N('Dvd Calendar'!$M$249)=0,"",IF(('Dvd Calendar'!$M$249&gt;=GRID_FROM)*('Dvd Calendar'!$M$249&lt;=GRID_TO)*('Dvd Calendar'!$M$249&gt;VAL_DATE)=0,"",'Dvd Calendar'!$M$249*1000000000+ISNUMBER('Dvd Calendar'!$M$250)*100000000+0*10000000+(N('Dvd Calendar'!$M$248)&gt;0)*(N('Dvd Calendar'!$M$248)&lt;=VAL_SERIAL)*1000000+22*1000+49))</f>
        <v/>
      </c>
      <c r="GB33" s="35">
        <f>IF(N('Dvd Calendar'!$N$249)=0,"",IF(('Dvd Calendar'!$N$249&gt;=GRID_FROM)*('Dvd Calendar'!$N$249&lt;=GRID_TO)*('Dvd Calendar'!$N$249&gt;VAL_DATE)=0,"",'Dvd Calendar'!$N$249*1000000000+ISNUMBER('Dvd Calendar'!$N$250)*100000000+0*10000000+(N('Dvd Calendar'!$N$248)&gt;0)*(N('Dvd Calendar'!$N$248)&lt;=VAL_SERIAL)*1000000+22*1000+50))</f>
        <v/>
      </c>
      <c r="GC33" s="35">
        <f>IF(N('Dvd Calendar'!$O$249)=0,"",IF(('Dvd Calendar'!$O$249&gt;=GRID_FROM)*('Dvd Calendar'!$O$249&lt;=GRID_TO)*('Dvd Calendar'!$O$249&gt;VAL_DATE)=0,"",'Dvd Calendar'!$O$249*1000000000+ISNUMBER('Dvd Calendar'!$O$250)*100000000+0*10000000+(N('Dvd Calendar'!$O$248)&gt;0)*(N('Dvd Calendar'!$O$248)&lt;=VAL_SERIAL)*1000000+22*1000+51))</f>
        <v/>
      </c>
      <c r="GD33" s="35">
        <f>IF(N('Dvd Calendar'!$P$249)=0,"",IF(('Dvd Calendar'!$P$249&gt;=GRID_FROM)*('Dvd Calendar'!$P$249&lt;=GRID_TO)*('Dvd Calendar'!$P$249&gt;VAL_DATE)=0,"",'Dvd Calendar'!$P$249*1000000000+ISNUMBER('Dvd Calendar'!$P$250)*100000000+0*10000000+(N('Dvd Calendar'!$P$248)&gt;0)*(N('Dvd Calendar'!$P$248)&lt;=VAL_SERIAL)*1000000+22*1000+52))</f>
        <v/>
      </c>
      <c r="GE33" s="35">
        <f>IF(N('Dvd Calendar'!$Q$249)=0,"",IF(('Dvd Calendar'!$Q$249&gt;=GRID_FROM)*('Dvd Calendar'!$Q$249&lt;=GRID_TO)*('Dvd Calendar'!$Q$249&gt;VAL_DATE)=0,"",'Dvd Calendar'!$Q$249*1000000000+ISNUMBER('Dvd Calendar'!$Q$250)*100000000+0*10000000+(N('Dvd Calendar'!$Q$248)&gt;0)*(N('Dvd Calendar'!$Q$248)&lt;=VAL_SERIAL)*1000000+22*1000+53))</f>
        <v/>
      </c>
      <c r="GF33" s="35">
        <f>IF(N('Dvd Calendar'!$R$249)=0,"",IF(('Dvd Calendar'!$R$249&gt;=GRID_FROM)*('Dvd Calendar'!$R$249&lt;=GRID_TO)*('Dvd Calendar'!$R$249&gt;VAL_DATE)=0,"",'Dvd Calendar'!$R$249*1000000000+ISNUMBER('Dvd Calendar'!$R$250)*100000000+0*10000000+(N('Dvd Calendar'!$R$248)&gt;0)*(N('Dvd Calendar'!$R$248)&lt;=VAL_SERIAL)*1000000+22*1000+54))</f>
        <v/>
      </c>
      <c r="GG33" s="35">
        <f>IF(N('Dvd Calendar'!$S$249)=0,"",IF(('Dvd Calendar'!$S$249&gt;=GRID_FROM)*('Dvd Calendar'!$S$249&lt;=GRID_TO)*('Dvd Calendar'!$S$249&gt;VAL_DATE)=0,"",'Dvd Calendar'!$S$249*1000000000+ISNUMBER('Dvd Calendar'!$S$250)*100000000+0*10000000+(N('Dvd Calendar'!$S$248)&gt;0)*(N('Dvd Calendar'!$S$248)&lt;=VAL_SERIAL)*1000000+22*1000+55))</f>
        <v/>
      </c>
      <c r="GH33" s="35">
        <f>IF(N('Dvd Calendar'!$T$249)=0,"",IF(('Dvd Calendar'!$T$249&gt;=GRID_FROM)*('Dvd Calendar'!$T$249&lt;=GRID_TO)*('Dvd Calendar'!$T$249&gt;VAL_DATE)=0,"",'Dvd Calendar'!$T$249*1000000000+ISNUMBER('Dvd Calendar'!$T$250)*100000000+0*10000000+(N('Dvd Calendar'!$T$248)&gt;0)*(N('Dvd Calendar'!$T$248)&lt;=VAL_SERIAL)*1000000+22*1000+56))</f>
        <v/>
      </c>
      <c r="GI33" s="35">
        <f>IF(N('Dvd Calendar'!$U$249)=0,"",IF(('Dvd Calendar'!$U$249&gt;=GRID_FROM)*('Dvd Calendar'!$U$249&lt;=GRID_TO)*('Dvd Calendar'!$U$249&gt;VAL_DATE)=0,"",'Dvd Calendar'!$U$249*1000000000+ISNUMBER('Dvd Calendar'!$U$250)*100000000+0*10000000+(N('Dvd Calendar'!$U$248)&gt;0)*(N('Dvd Calendar'!$U$248)&lt;=VAL_SERIAL)*1000000+22*1000+57))</f>
        <v/>
      </c>
      <c r="GJ33" s="35">
        <f>IF(N('Dvd Calendar'!$V$249)=0,"",IF(('Dvd Calendar'!$V$249&gt;=GRID_FROM)*('Dvd Calendar'!$V$249&lt;=GRID_TO)*('Dvd Calendar'!$V$249&gt;VAL_DATE)=0,"",'Dvd Calendar'!$V$249*1000000000+ISNUMBER('Dvd Calendar'!$V$250)*100000000+0*10000000+(N('Dvd Calendar'!$V$248)&gt;0)*(N('Dvd Calendar'!$V$248)&lt;=VAL_SERIAL)*1000000+22*1000+58))</f>
        <v/>
      </c>
      <c r="GK33" s="35">
        <f>IF(N('Dvd Calendar'!$W$249)=0,"",IF(('Dvd Calendar'!$W$249&gt;=GRID_FROM)*('Dvd Calendar'!$W$249&lt;=GRID_TO)*('Dvd Calendar'!$W$249&gt;VAL_DATE)=0,"",'Dvd Calendar'!$W$249*1000000000+ISNUMBER('Dvd Calendar'!$W$250)*100000000+0*10000000+(N('Dvd Calendar'!$W$248)&gt;0)*(N('Dvd Calendar'!$W$248)&lt;=VAL_SERIAL)*1000000+22*1000+59))</f>
        <v/>
      </c>
      <c r="GL33" s="35">
        <f>IF(N('Dvd Calendar'!$X$249)=0,"",IF(('Dvd Calendar'!$X$249&gt;=GRID_FROM)*('Dvd Calendar'!$X$249&lt;=GRID_TO)*('Dvd Calendar'!$X$249&gt;VAL_DATE)=0,"",'Dvd Calendar'!$X$249*1000000000+ISNUMBER('Dvd Calendar'!$X$250)*100000000+0*10000000+(N('Dvd Calendar'!$X$248)&gt;0)*(N('Dvd Calendar'!$X$248)&lt;=VAL_SERIAL)*1000000+22*1000+60))</f>
        <v/>
      </c>
      <c r="GM33" s="35">
        <f>IF(N('Dvd Calendar'!$Y$249)=0,"",IF(('Dvd Calendar'!$Y$249&gt;=GRID_FROM)*('Dvd Calendar'!$Y$249&lt;=GRID_TO)*('Dvd Calendar'!$Y$249&gt;VAL_DATE)=0,"",'Dvd Calendar'!$Y$249*1000000000+ISNUMBER('Dvd Calendar'!$Y$250)*100000000+0*10000000+(N('Dvd Calendar'!$Y$248)&gt;0)*(N('Dvd Calendar'!$Y$248)&lt;=VAL_SERIAL)*1000000+22*1000+61))</f>
        <v/>
      </c>
      <c r="GN33" s="35">
        <f>IF(N('Dvd Calendar'!$Z$249)=0,"",IF(('Dvd Calendar'!$Z$249&gt;=GRID_FROM)*('Dvd Calendar'!$Z$249&lt;=GRID_TO)*('Dvd Calendar'!$Z$249&gt;VAL_DATE)=0,"",'Dvd Calendar'!$Z$249*1000000000+ISNUMBER('Dvd Calendar'!$Z$250)*100000000+0*10000000+(N('Dvd Calendar'!$Z$248)&gt;0)*(N('Dvd Calendar'!$Z$248)&lt;=VAL_SERIAL)*1000000+22*1000+62))</f>
        <v/>
      </c>
      <c r="GO33" s="35">
        <f>IF(N('Dvd Calendar'!$AA$249)=0,"",IF(('Dvd Calendar'!$AA$249&gt;=GRID_FROM)*('Dvd Calendar'!$AA$249&lt;=GRID_TO)*('Dvd Calendar'!$AA$249&gt;VAL_DATE)=0,"",'Dvd Calendar'!$AA$249*1000000000+ISNUMBER('Dvd Calendar'!$AA$250)*100000000+0*10000000+(N('Dvd Calendar'!$AA$248)&gt;0)*(N('Dvd Calendar'!$AA$248)&lt;=VAL_SERIAL)*1000000+22*1000+63))</f>
        <v/>
      </c>
      <c r="GP33" s="35">
        <f>IF(N('Dvd Calendar'!$AB$249)=0,"",IF(('Dvd Calendar'!$AB$249&gt;=GRID_FROM)*('Dvd Calendar'!$AB$249&lt;=GRID_TO)*('Dvd Calendar'!$AB$249&gt;VAL_DATE)=0,"",'Dvd Calendar'!$AB$249*1000000000+ISNUMBER('Dvd Calendar'!$AB$250)*100000000+0*10000000+(N('Dvd Calendar'!$AB$248)&gt;0)*(N('Dvd Calendar'!$AB$248)&lt;=VAL_SERIAL)*1000000+22*1000+64))</f>
        <v/>
      </c>
      <c r="GQ33" s="35">
        <f>IF(N('Dvd Calendar'!$AC$249)=0,"",IF(('Dvd Calendar'!$AC$249&gt;=GRID_FROM)*('Dvd Calendar'!$AC$249&lt;=GRID_TO)*('Dvd Calendar'!$AC$249&gt;VAL_DATE)=0,"",'Dvd Calendar'!$AC$249*1000000000+ISNUMBER('Dvd Calendar'!$AC$250)*100000000+0*10000000+(N('Dvd Calendar'!$AC$248)&gt;0)*(N('Dvd Calendar'!$AC$248)&lt;=VAL_SERIAL)*1000000+22*1000+65))</f>
        <v/>
      </c>
    </row>
    <row r="34">
      <c r="B34" s="2">
        <f>IF(HSI!$C$29="","",HSI!$C$29)</f>
        <v/>
      </c>
      <c r="C34" s="106">
        <f>IF(EE34="","",IF(ISNUMBER('Dvd Calendar'!$E$256)=FALSE,"",IF((('Dvd Calendar'!$E$258=TYPE1)*(TYPE1&lt;&gt;"")+('Dvd Calendar'!$E$258=TYPE2)*(TYPE2&lt;&gt;"")+('Dvd Calendar'!$E$258=TYPE3)*(TYPE3&lt;&gt;"")+('Dvd Calendar'!$E$258=TYPE4)*(TYPE4&lt;&gt;"")+('Dvd Calendar'!$E$258=SPECIAL_LBL)*(INC_SPECIALS="Y"))=0,"",'Dvd Calendar'!$E$256)))</f>
        <v/>
      </c>
      <c r="D34" s="106">
        <f>IF(EF34="","",IF(ISNUMBER('Dvd Calendar'!$F$256)=FALSE,"",IF((('Dvd Calendar'!$F$258=TYPE1)*(TYPE1&lt;&gt;"")+('Dvd Calendar'!$F$258=TYPE2)*(TYPE2&lt;&gt;"")+('Dvd Calendar'!$F$258=TYPE3)*(TYPE3&lt;&gt;"")+('Dvd Calendar'!$F$258=TYPE4)*(TYPE4&lt;&gt;"")+('Dvd Calendar'!$F$258=SPECIAL_LBL)*(INC_SPECIALS="Y"))=0,"",'Dvd Calendar'!$F$256)))</f>
        <v/>
      </c>
      <c r="E34" s="106">
        <f>IF(EG34="","",IF(ISNUMBER('Dvd Calendar'!$G$256)=FALSE,"",IF((('Dvd Calendar'!$G$258=TYPE1)*(TYPE1&lt;&gt;"")+('Dvd Calendar'!$G$258=TYPE2)*(TYPE2&lt;&gt;"")+('Dvd Calendar'!$G$258=TYPE3)*(TYPE3&lt;&gt;"")+('Dvd Calendar'!$G$258=TYPE4)*(TYPE4&lt;&gt;"")+('Dvd Calendar'!$G$258=SPECIAL_LBL)*(INC_SPECIALS="Y"))=0,"",'Dvd Calendar'!$G$256)))</f>
        <v/>
      </c>
      <c r="F34" s="106">
        <f>IF(EH34="","",IF(ISNUMBER('Dvd Calendar'!$H$256)=FALSE,"",IF((('Dvd Calendar'!$H$258=TYPE1)*(TYPE1&lt;&gt;"")+('Dvd Calendar'!$H$258=TYPE2)*(TYPE2&lt;&gt;"")+('Dvd Calendar'!$H$258=TYPE3)*(TYPE3&lt;&gt;"")+('Dvd Calendar'!$H$258=TYPE4)*(TYPE4&lt;&gt;"")+('Dvd Calendar'!$H$258=SPECIAL_LBL)*(INC_SPECIALS="Y"))=0,"",'Dvd Calendar'!$H$256)))</f>
        <v/>
      </c>
      <c r="G34" s="106">
        <f>IF(EI34="","",IF(ISNUMBER('Dvd Calendar'!$I$256)=FALSE,"",IF((('Dvd Calendar'!$I$258=TYPE1)*(TYPE1&lt;&gt;"")+('Dvd Calendar'!$I$258=TYPE2)*(TYPE2&lt;&gt;"")+('Dvd Calendar'!$I$258=TYPE3)*(TYPE3&lt;&gt;"")+('Dvd Calendar'!$I$258=TYPE4)*(TYPE4&lt;&gt;"")+('Dvd Calendar'!$I$258=SPECIAL_LBL)*(INC_SPECIALS="Y"))=0,"",'Dvd Calendar'!$I$256)))</f>
        <v/>
      </c>
      <c r="H34" s="106">
        <f>IF(EJ34="","",IF(ISNUMBER('Dvd Calendar'!$J$256)=FALSE,"",IF((('Dvd Calendar'!$J$258=TYPE1)*(TYPE1&lt;&gt;"")+('Dvd Calendar'!$J$258=TYPE2)*(TYPE2&lt;&gt;"")+('Dvd Calendar'!$J$258=TYPE3)*(TYPE3&lt;&gt;"")+('Dvd Calendar'!$J$258=TYPE4)*(TYPE4&lt;&gt;"")+('Dvd Calendar'!$J$258=SPECIAL_LBL)*(INC_SPECIALS="Y"))=0,"",'Dvd Calendar'!$J$256)))</f>
        <v/>
      </c>
      <c r="I34" s="106">
        <f>IF(EK34="","",IF(ISNUMBER('Dvd Calendar'!$K$256)=FALSE,"",IF((('Dvd Calendar'!$K$258=TYPE1)*(TYPE1&lt;&gt;"")+('Dvd Calendar'!$K$258=TYPE2)*(TYPE2&lt;&gt;"")+('Dvd Calendar'!$K$258=TYPE3)*(TYPE3&lt;&gt;"")+('Dvd Calendar'!$K$258=TYPE4)*(TYPE4&lt;&gt;"")+('Dvd Calendar'!$K$258=SPECIAL_LBL)*(INC_SPECIALS="Y"))=0,"",'Dvd Calendar'!$K$256)))</f>
        <v/>
      </c>
      <c r="J34" s="106">
        <f>IF(EL34="","",IF(ISNUMBER('Dvd Calendar'!$L$256)=FALSE,"",IF((('Dvd Calendar'!$L$258=TYPE1)*(TYPE1&lt;&gt;"")+('Dvd Calendar'!$L$258=TYPE2)*(TYPE2&lt;&gt;"")+('Dvd Calendar'!$L$258=TYPE3)*(TYPE3&lt;&gt;"")+('Dvd Calendar'!$L$258=TYPE4)*(TYPE4&lt;&gt;"")+('Dvd Calendar'!$L$258=SPECIAL_LBL)*(INC_SPECIALS="Y"))=0,"",'Dvd Calendar'!$L$256)))</f>
        <v/>
      </c>
      <c r="K34" s="106">
        <f>IF(EM34="","",IF(ISNUMBER('Dvd Calendar'!$M$256)=FALSE,"",IF((('Dvd Calendar'!$M$258=TYPE1)*(TYPE1&lt;&gt;"")+('Dvd Calendar'!$M$258=TYPE2)*(TYPE2&lt;&gt;"")+('Dvd Calendar'!$M$258=TYPE3)*(TYPE3&lt;&gt;"")+('Dvd Calendar'!$M$258=TYPE4)*(TYPE4&lt;&gt;"")+('Dvd Calendar'!$M$258=SPECIAL_LBL)*(INC_SPECIALS="Y"))=0,"",'Dvd Calendar'!$M$256)))</f>
        <v/>
      </c>
      <c r="L34" s="106">
        <f>IF(EN34="","",IF(ISNUMBER('Dvd Calendar'!$N$256)=FALSE,"",IF((('Dvd Calendar'!$N$258=TYPE1)*(TYPE1&lt;&gt;"")+('Dvd Calendar'!$N$258=TYPE2)*(TYPE2&lt;&gt;"")+('Dvd Calendar'!$N$258=TYPE3)*(TYPE3&lt;&gt;"")+('Dvd Calendar'!$N$258=TYPE4)*(TYPE4&lt;&gt;"")+('Dvd Calendar'!$N$258=SPECIAL_LBL)*(INC_SPECIALS="Y"))=0,"",'Dvd Calendar'!$N$256)))</f>
        <v/>
      </c>
      <c r="M34" s="106">
        <f>IF(EO34="","",IF(ISNUMBER('Dvd Calendar'!$O$256)=FALSE,"",IF((('Dvd Calendar'!$O$258=TYPE1)*(TYPE1&lt;&gt;"")+('Dvd Calendar'!$O$258=TYPE2)*(TYPE2&lt;&gt;"")+('Dvd Calendar'!$O$258=TYPE3)*(TYPE3&lt;&gt;"")+('Dvd Calendar'!$O$258=TYPE4)*(TYPE4&lt;&gt;"")+('Dvd Calendar'!$O$258=SPECIAL_LBL)*(INC_SPECIALS="Y"))=0,"",'Dvd Calendar'!$O$256)))</f>
        <v/>
      </c>
      <c r="N34" s="106">
        <f>IF(EP34="","",IF(ISNUMBER('Dvd Calendar'!$P$256)=FALSE,"",IF((('Dvd Calendar'!$P$258=TYPE1)*(TYPE1&lt;&gt;"")+('Dvd Calendar'!$P$258=TYPE2)*(TYPE2&lt;&gt;"")+('Dvd Calendar'!$P$258=TYPE3)*(TYPE3&lt;&gt;"")+('Dvd Calendar'!$P$258=TYPE4)*(TYPE4&lt;&gt;"")+('Dvd Calendar'!$P$258=SPECIAL_LBL)*(INC_SPECIALS="Y"))=0,"",'Dvd Calendar'!$P$256)))</f>
        <v/>
      </c>
      <c r="O34" s="106">
        <f>IF(EQ34="","",IF(ISNUMBER('Dvd Calendar'!$Q$256)=FALSE,"",IF((('Dvd Calendar'!$Q$258=TYPE1)*(TYPE1&lt;&gt;"")+('Dvd Calendar'!$Q$258=TYPE2)*(TYPE2&lt;&gt;"")+('Dvd Calendar'!$Q$258=TYPE3)*(TYPE3&lt;&gt;"")+('Dvd Calendar'!$Q$258=TYPE4)*(TYPE4&lt;&gt;"")+('Dvd Calendar'!$Q$258=SPECIAL_LBL)*(INC_SPECIALS="Y"))=0,"",'Dvd Calendar'!$Q$256)))</f>
        <v/>
      </c>
      <c r="P34" s="106">
        <f>IF(ER34="","",IF(ISNUMBER('Dvd Calendar'!$R$256)=FALSE,"",IF((('Dvd Calendar'!$R$258=TYPE1)*(TYPE1&lt;&gt;"")+('Dvd Calendar'!$R$258=TYPE2)*(TYPE2&lt;&gt;"")+('Dvd Calendar'!$R$258=TYPE3)*(TYPE3&lt;&gt;"")+('Dvd Calendar'!$R$258=TYPE4)*(TYPE4&lt;&gt;"")+('Dvd Calendar'!$R$258=SPECIAL_LBL)*(INC_SPECIALS="Y"))=0,"",'Dvd Calendar'!$R$256)))</f>
        <v/>
      </c>
      <c r="Q34" s="106">
        <f>IF(ES34="","",IF(ISNUMBER('Dvd Calendar'!$S$256)=FALSE,"",IF((('Dvd Calendar'!$S$258=TYPE1)*(TYPE1&lt;&gt;"")+('Dvd Calendar'!$S$258=TYPE2)*(TYPE2&lt;&gt;"")+('Dvd Calendar'!$S$258=TYPE3)*(TYPE3&lt;&gt;"")+('Dvd Calendar'!$S$258=TYPE4)*(TYPE4&lt;&gt;"")+('Dvd Calendar'!$S$258=SPECIAL_LBL)*(INC_SPECIALS="Y"))=0,"",'Dvd Calendar'!$S$256)))</f>
        <v/>
      </c>
      <c r="R34" s="106">
        <f>IF(ET34="","",IF(ISNUMBER('Dvd Calendar'!$T$256)=FALSE,"",IF((('Dvd Calendar'!$T$258=TYPE1)*(TYPE1&lt;&gt;"")+('Dvd Calendar'!$T$258=TYPE2)*(TYPE2&lt;&gt;"")+('Dvd Calendar'!$T$258=TYPE3)*(TYPE3&lt;&gt;"")+('Dvd Calendar'!$T$258=TYPE4)*(TYPE4&lt;&gt;"")+('Dvd Calendar'!$T$258=SPECIAL_LBL)*(INC_SPECIALS="Y"))=0,"",'Dvd Calendar'!$T$256)))</f>
        <v/>
      </c>
      <c r="S34" s="106">
        <f>IF(EU34="","",IF(ISNUMBER('Dvd Calendar'!$U$256)=FALSE,"",IF((('Dvd Calendar'!$U$258=TYPE1)*(TYPE1&lt;&gt;"")+('Dvd Calendar'!$U$258=TYPE2)*(TYPE2&lt;&gt;"")+('Dvd Calendar'!$U$258=TYPE3)*(TYPE3&lt;&gt;"")+('Dvd Calendar'!$U$258=TYPE4)*(TYPE4&lt;&gt;"")+('Dvd Calendar'!$U$258=SPECIAL_LBL)*(INC_SPECIALS="Y"))=0,"",'Dvd Calendar'!$U$256)))</f>
        <v/>
      </c>
      <c r="T34" s="106">
        <f>IF(EV34="","",IF(ISNUMBER('Dvd Calendar'!$V$256)=FALSE,"",IF((('Dvd Calendar'!$V$258=TYPE1)*(TYPE1&lt;&gt;"")+('Dvd Calendar'!$V$258=TYPE2)*(TYPE2&lt;&gt;"")+('Dvd Calendar'!$V$258=TYPE3)*(TYPE3&lt;&gt;"")+('Dvd Calendar'!$V$258=TYPE4)*(TYPE4&lt;&gt;"")+('Dvd Calendar'!$V$258=SPECIAL_LBL)*(INC_SPECIALS="Y"))=0,"",'Dvd Calendar'!$V$256)))</f>
        <v/>
      </c>
      <c r="U34" s="106">
        <f>IF(EW34="","",IF(ISNUMBER('Dvd Calendar'!$W$256)=FALSE,"",IF((('Dvd Calendar'!$W$258=TYPE1)*(TYPE1&lt;&gt;"")+('Dvd Calendar'!$W$258=TYPE2)*(TYPE2&lt;&gt;"")+('Dvd Calendar'!$W$258=TYPE3)*(TYPE3&lt;&gt;"")+('Dvd Calendar'!$W$258=TYPE4)*(TYPE4&lt;&gt;"")+('Dvd Calendar'!$W$258=SPECIAL_LBL)*(INC_SPECIALS="Y"))=0,"",'Dvd Calendar'!$W$256)))</f>
        <v/>
      </c>
      <c r="V34" s="106">
        <f>IF(EX34="","",IF(ISNUMBER('Dvd Calendar'!$X$256)=FALSE,"",IF((('Dvd Calendar'!$X$258=TYPE1)*(TYPE1&lt;&gt;"")+('Dvd Calendar'!$X$258=TYPE2)*(TYPE2&lt;&gt;"")+('Dvd Calendar'!$X$258=TYPE3)*(TYPE3&lt;&gt;"")+('Dvd Calendar'!$X$258=TYPE4)*(TYPE4&lt;&gt;"")+('Dvd Calendar'!$X$258=SPECIAL_LBL)*(INC_SPECIALS="Y"))=0,"",'Dvd Calendar'!$X$256)))</f>
        <v/>
      </c>
      <c r="W34" s="106">
        <f>IF(EY34="","",IF(ISNUMBER('Dvd Calendar'!$Y$256)=FALSE,"",IF((('Dvd Calendar'!$Y$258=TYPE1)*(TYPE1&lt;&gt;"")+('Dvd Calendar'!$Y$258=TYPE2)*(TYPE2&lt;&gt;"")+('Dvd Calendar'!$Y$258=TYPE3)*(TYPE3&lt;&gt;"")+('Dvd Calendar'!$Y$258=TYPE4)*(TYPE4&lt;&gt;"")+('Dvd Calendar'!$Y$258=SPECIAL_LBL)*(INC_SPECIALS="Y"))=0,"",'Dvd Calendar'!$Y$256)))</f>
        <v/>
      </c>
      <c r="X34" s="106">
        <f>IF(EZ34="","",IF(ISNUMBER('Dvd Calendar'!$Z$256)=FALSE,"",IF((('Dvd Calendar'!$Z$258=TYPE1)*(TYPE1&lt;&gt;"")+('Dvd Calendar'!$Z$258=TYPE2)*(TYPE2&lt;&gt;"")+('Dvd Calendar'!$Z$258=TYPE3)*(TYPE3&lt;&gt;"")+('Dvd Calendar'!$Z$258=TYPE4)*(TYPE4&lt;&gt;"")+('Dvd Calendar'!$Z$258=SPECIAL_LBL)*(INC_SPECIALS="Y"))=0,"",'Dvd Calendar'!$Z$256)))</f>
        <v/>
      </c>
      <c r="Y34" s="106">
        <f>IF(FA34="","",IF(ISNUMBER('Dvd Calendar'!$AA$256)=FALSE,"",IF((('Dvd Calendar'!$AA$258=TYPE1)*(TYPE1&lt;&gt;"")+('Dvd Calendar'!$AA$258=TYPE2)*(TYPE2&lt;&gt;"")+('Dvd Calendar'!$AA$258=TYPE3)*(TYPE3&lt;&gt;"")+('Dvd Calendar'!$AA$258=TYPE4)*(TYPE4&lt;&gt;"")+('Dvd Calendar'!$AA$258=SPECIAL_LBL)*(INC_SPECIALS="Y"))=0,"",'Dvd Calendar'!$AA$256)))</f>
        <v/>
      </c>
      <c r="Z34" s="106">
        <f>IF(FB34="","",IF(ISNUMBER('Dvd Calendar'!$AB$256)=FALSE,"",IF((('Dvd Calendar'!$AB$258=TYPE1)*(TYPE1&lt;&gt;"")+('Dvd Calendar'!$AB$258=TYPE2)*(TYPE2&lt;&gt;"")+('Dvd Calendar'!$AB$258=TYPE3)*(TYPE3&lt;&gt;"")+('Dvd Calendar'!$AB$258=TYPE4)*(TYPE4&lt;&gt;"")+('Dvd Calendar'!$AB$258=SPECIAL_LBL)*(INC_SPECIALS="Y"))=0,"",'Dvd Calendar'!$AB$256)))</f>
        <v/>
      </c>
      <c r="AA34" s="106">
        <f>IF(FC34="","",IF(ISNUMBER('Dvd Calendar'!$AC$256)=FALSE,"",IF((('Dvd Calendar'!$AC$258=TYPE1)*(TYPE1&lt;&gt;"")+('Dvd Calendar'!$AC$258=TYPE2)*(TYPE2&lt;&gt;"")+('Dvd Calendar'!$AC$258=TYPE3)*(TYPE3&lt;&gt;"")+('Dvd Calendar'!$AC$258=TYPE4)*(TYPE4&lt;&gt;"")+('Dvd Calendar'!$AC$258=SPECIAL_LBL)*(INC_SPECIALS="Y"))=0,"",'Dvd Calendar'!$AC$256)))</f>
        <v/>
      </c>
      <c r="AB34" s="106">
        <f>IF(FD34="","",IF(ISNUMBER('Dvd Calendar'!$AD$256)=FALSE,"",IF((('Dvd Calendar'!$AD$258=TYPE1)*(TYPE1&lt;&gt;"")+('Dvd Calendar'!$AD$258=TYPE2)*(TYPE2&lt;&gt;"")+('Dvd Calendar'!$AD$258=TYPE3)*(TYPE3&lt;&gt;"")+('Dvd Calendar'!$AD$258=TYPE4)*(TYPE4&lt;&gt;"")+('Dvd Calendar'!$AD$258=SPECIAL_LBL)*(INC_SPECIALS="Y"))=0,"",'Dvd Calendar'!$AD$256)))</f>
        <v/>
      </c>
      <c r="AC34" s="106">
        <f>IF(FE34="","",IF(ISNUMBER('Dvd Calendar'!$AE$256)=FALSE,"",IF((('Dvd Calendar'!$AE$258=TYPE1)*(TYPE1&lt;&gt;"")+('Dvd Calendar'!$AE$258=TYPE2)*(TYPE2&lt;&gt;"")+('Dvd Calendar'!$AE$258=TYPE3)*(TYPE3&lt;&gt;"")+('Dvd Calendar'!$AE$258=TYPE4)*(TYPE4&lt;&gt;"")+('Dvd Calendar'!$AE$258=SPECIAL_LBL)*(INC_SPECIALS="Y"))=0,"",'Dvd Calendar'!$AE$256)))</f>
        <v/>
      </c>
      <c r="AD34" s="106">
        <f>IF(FF34="","",IF(ISNUMBER('Dvd Calendar'!$AF$256)=FALSE,"",IF((('Dvd Calendar'!$AF$258=TYPE1)*(TYPE1&lt;&gt;"")+('Dvd Calendar'!$AF$258=TYPE2)*(TYPE2&lt;&gt;"")+('Dvd Calendar'!$AF$258=TYPE3)*(TYPE3&lt;&gt;"")+('Dvd Calendar'!$AF$258=TYPE4)*(TYPE4&lt;&gt;"")+('Dvd Calendar'!$AF$258=SPECIAL_LBL)*(INC_SPECIALS="Y"))=0,"",'Dvd Calendar'!$AF$256)))</f>
        <v/>
      </c>
      <c r="AE34" s="106">
        <f>IF(FG34="","",IF(ISNUMBER('Dvd Calendar'!$AG$256)=FALSE,"",IF((('Dvd Calendar'!$AG$258=TYPE1)*(TYPE1&lt;&gt;"")+('Dvd Calendar'!$AG$258=TYPE2)*(TYPE2&lt;&gt;"")+('Dvd Calendar'!$AG$258=TYPE3)*(TYPE3&lt;&gt;"")+('Dvd Calendar'!$AG$258=TYPE4)*(TYPE4&lt;&gt;"")+('Dvd Calendar'!$AG$258=SPECIAL_LBL)*(INC_SPECIALS="Y"))=0,"",'Dvd Calendar'!$AG$256)))</f>
        <v/>
      </c>
      <c r="AF34" s="106">
        <f>IF(FH34="","",IF(ISNUMBER('Dvd Calendar'!$AH$256)=FALSE,"",IF((('Dvd Calendar'!$AH$258=TYPE1)*(TYPE1&lt;&gt;"")+('Dvd Calendar'!$AH$258=TYPE2)*(TYPE2&lt;&gt;"")+('Dvd Calendar'!$AH$258=TYPE3)*(TYPE3&lt;&gt;"")+('Dvd Calendar'!$AH$258=TYPE4)*(TYPE4&lt;&gt;"")+('Dvd Calendar'!$AH$258=SPECIAL_LBL)*(INC_SPECIALS="Y"))=0,"",'Dvd Calendar'!$AH$256)))</f>
        <v/>
      </c>
      <c r="AG34" s="106">
        <f>IF(FI34="","",IF(ISNUMBER('Dvd Calendar'!$AI$256)=FALSE,"",IF((('Dvd Calendar'!$AI$258=TYPE1)*(TYPE1&lt;&gt;"")+('Dvd Calendar'!$AI$258=TYPE2)*(TYPE2&lt;&gt;"")+('Dvd Calendar'!$AI$258=TYPE3)*(TYPE3&lt;&gt;"")+('Dvd Calendar'!$AI$258=TYPE4)*(TYPE4&lt;&gt;"")+('Dvd Calendar'!$AI$258=SPECIAL_LBL)*(INC_SPECIALS="Y"))=0,"",'Dvd Calendar'!$AI$256)))</f>
        <v/>
      </c>
      <c r="AH34" s="106">
        <f>IF(FJ34="","",IF(ISNUMBER('Dvd Calendar'!$AJ$256)=FALSE,"",IF((('Dvd Calendar'!$AJ$258=TYPE1)*(TYPE1&lt;&gt;"")+('Dvd Calendar'!$AJ$258=TYPE2)*(TYPE2&lt;&gt;"")+('Dvd Calendar'!$AJ$258=TYPE3)*(TYPE3&lt;&gt;"")+('Dvd Calendar'!$AJ$258=TYPE4)*(TYPE4&lt;&gt;"")+('Dvd Calendar'!$AJ$258=SPECIAL_LBL)*(INC_SPECIALS="Y"))=0,"",'Dvd Calendar'!$AJ$256)))</f>
        <v/>
      </c>
      <c r="AI34" s="106">
        <f>IF(FK34="","",IF(ISNUMBER('Dvd Calendar'!$AK$256)=FALSE,"",IF((('Dvd Calendar'!$AK$258=TYPE1)*(TYPE1&lt;&gt;"")+('Dvd Calendar'!$AK$258=TYPE2)*(TYPE2&lt;&gt;"")+('Dvd Calendar'!$AK$258=TYPE3)*(TYPE3&lt;&gt;"")+('Dvd Calendar'!$AK$258=TYPE4)*(TYPE4&lt;&gt;"")+('Dvd Calendar'!$AK$258=SPECIAL_LBL)*(INC_SPECIALS="Y"))=0,"",'Dvd Calendar'!$AK$256)))</f>
        <v/>
      </c>
      <c r="AJ34" s="106">
        <f>IF(FL34="","",IF(ISNUMBER('Dvd Calendar'!$AL$256)=FALSE,"",IF((('Dvd Calendar'!$AL$258=TYPE1)*(TYPE1&lt;&gt;"")+('Dvd Calendar'!$AL$258=TYPE2)*(TYPE2&lt;&gt;"")+('Dvd Calendar'!$AL$258=TYPE3)*(TYPE3&lt;&gt;"")+('Dvd Calendar'!$AL$258=TYPE4)*(TYPE4&lt;&gt;"")+('Dvd Calendar'!$AL$258=SPECIAL_LBL)*(INC_SPECIALS="Y"))=0,"",'Dvd Calendar'!$AL$256)))</f>
        <v/>
      </c>
      <c r="AK34" s="106">
        <f>IF(FM34="","",IF(ISNUMBER('Dvd Calendar'!$AM$256)=FALSE,"",IF((('Dvd Calendar'!$AM$258=TYPE1)*(TYPE1&lt;&gt;"")+('Dvd Calendar'!$AM$258=TYPE2)*(TYPE2&lt;&gt;"")+('Dvd Calendar'!$AM$258=TYPE3)*(TYPE3&lt;&gt;"")+('Dvd Calendar'!$AM$258=TYPE4)*(TYPE4&lt;&gt;"")+('Dvd Calendar'!$AM$258=SPECIAL_LBL)*(INC_SPECIALS="Y"))=0,"",'Dvd Calendar'!$AM$256)))</f>
        <v/>
      </c>
      <c r="AL34" s="106">
        <f>IF(FN34="","",IF(ISNUMBER('Dvd Calendar'!$AN$256)=FALSE,"",IF((('Dvd Calendar'!$AN$258=TYPE1)*(TYPE1&lt;&gt;"")+('Dvd Calendar'!$AN$258=TYPE2)*(TYPE2&lt;&gt;"")+('Dvd Calendar'!$AN$258=TYPE3)*(TYPE3&lt;&gt;"")+('Dvd Calendar'!$AN$258=TYPE4)*(TYPE4&lt;&gt;"")+('Dvd Calendar'!$AN$258=SPECIAL_LBL)*(INC_SPECIALS="Y"))=0,"",'Dvd Calendar'!$AN$256)))</f>
        <v/>
      </c>
      <c r="AM34" s="106">
        <f>IF(FO34="","",IF(ISNUMBER('Dvd Calendar'!$AO$256)=FALSE,"",IF((('Dvd Calendar'!$AO$258=TYPE1)*(TYPE1&lt;&gt;"")+('Dvd Calendar'!$AO$258=TYPE2)*(TYPE2&lt;&gt;"")+('Dvd Calendar'!$AO$258=TYPE3)*(TYPE3&lt;&gt;"")+('Dvd Calendar'!$AO$258=TYPE4)*(TYPE4&lt;&gt;"")+('Dvd Calendar'!$AO$258=SPECIAL_LBL)*(INC_SPECIALS="Y"))=0,"",'Dvd Calendar'!$AO$256)))</f>
        <v/>
      </c>
      <c r="AN34" s="106">
        <f>IF(FP34="","",IF(ISNUMBER('Dvd Calendar'!$AP$256)=FALSE,"",IF((('Dvd Calendar'!$AP$258=TYPE1)*(TYPE1&lt;&gt;"")+('Dvd Calendar'!$AP$258=TYPE2)*(TYPE2&lt;&gt;"")+('Dvd Calendar'!$AP$258=TYPE3)*(TYPE3&lt;&gt;"")+('Dvd Calendar'!$AP$258=TYPE4)*(TYPE4&lt;&gt;"")+('Dvd Calendar'!$AP$258=SPECIAL_LBL)*(INC_SPECIALS="Y"))=0,"",'Dvd Calendar'!$AP$256)))</f>
        <v/>
      </c>
      <c r="AO34" s="106">
        <f>IF(FQ34="","",IF(ISNUMBER('Dvd Calendar'!$AQ$256)=FALSE,"",IF((('Dvd Calendar'!$AQ$258=TYPE1)*(TYPE1&lt;&gt;"")+('Dvd Calendar'!$AQ$258=TYPE2)*(TYPE2&lt;&gt;"")+('Dvd Calendar'!$AQ$258=TYPE3)*(TYPE3&lt;&gt;"")+('Dvd Calendar'!$AQ$258=TYPE4)*(TYPE4&lt;&gt;"")+('Dvd Calendar'!$AQ$258=SPECIAL_LBL)*(INC_SPECIALS="Y"))=0,"",'Dvd Calendar'!$AQ$256)))</f>
        <v/>
      </c>
      <c r="AP34" s="106">
        <f>IF(FR34="","",IF(ISNUMBER('Dvd Calendar'!$AR$256)=FALSE,"",IF((('Dvd Calendar'!$AR$258=TYPE1)*(TYPE1&lt;&gt;"")+('Dvd Calendar'!$AR$258=TYPE2)*(TYPE2&lt;&gt;"")+('Dvd Calendar'!$AR$258=TYPE3)*(TYPE3&lt;&gt;"")+('Dvd Calendar'!$AR$258=TYPE4)*(TYPE4&lt;&gt;"")+('Dvd Calendar'!$AR$258=SPECIAL_LBL)*(INC_SPECIALS="Y"))=0,"",'Dvd Calendar'!$AR$256)))</f>
        <v/>
      </c>
      <c r="AQ34" s="106">
        <f>IF(FS34="","",IF(ISNUMBER('Dvd Calendar'!$E$261)=FALSE,"",'Dvd Calendar'!$E$261))</f>
        <v/>
      </c>
      <c r="AR34" s="106">
        <f>IF(FT34="","",IF(ISNUMBER('Dvd Calendar'!$F$261)=FALSE,"",'Dvd Calendar'!$F$261))</f>
        <v/>
      </c>
      <c r="AS34" s="106">
        <f>IF(FU34="","",IF(ISNUMBER('Dvd Calendar'!$G$261)=FALSE,"",'Dvd Calendar'!$G$261))</f>
        <v/>
      </c>
      <c r="AT34" s="106">
        <f>IF(FV34="","",IF(ISNUMBER('Dvd Calendar'!$H$261)=FALSE,"",'Dvd Calendar'!$H$261))</f>
        <v/>
      </c>
      <c r="AU34" s="106">
        <f>IF(FW34="","",IF(ISNUMBER('Dvd Calendar'!$I$261)=FALSE,"",'Dvd Calendar'!$I$261))</f>
        <v/>
      </c>
      <c r="AV34" s="106">
        <f>IF(FX34="","",IF(ISNUMBER('Dvd Calendar'!$J$261)=FALSE,"",'Dvd Calendar'!$J$261))</f>
        <v/>
      </c>
      <c r="AW34" s="106">
        <f>IF(FY34="","",IF(ISNUMBER('Dvd Calendar'!$K$261)=FALSE,"",'Dvd Calendar'!$K$261))</f>
        <v/>
      </c>
      <c r="AX34" s="106">
        <f>IF(FZ34="","",IF(ISNUMBER('Dvd Calendar'!$L$261)=FALSE,"",'Dvd Calendar'!$L$261))</f>
        <v/>
      </c>
      <c r="AY34" s="106">
        <f>IF(GA34="","",IF(ISNUMBER('Dvd Calendar'!$M$261)=FALSE,"",'Dvd Calendar'!$M$261))</f>
        <v/>
      </c>
      <c r="AZ34" s="106">
        <f>IF(GB34="","",IF(ISNUMBER('Dvd Calendar'!$N$261)=FALSE,"",'Dvd Calendar'!$N$261))</f>
        <v/>
      </c>
      <c r="BA34" s="106">
        <f>IF(GC34="","",IF(ISNUMBER('Dvd Calendar'!$O$261)=FALSE,"",'Dvd Calendar'!$O$261))</f>
        <v/>
      </c>
      <c r="BB34" s="106">
        <f>IF(GD34="","",IF(ISNUMBER('Dvd Calendar'!$P$261)=FALSE,"",'Dvd Calendar'!$P$261))</f>
        <v/>
      </c>
      <c r="BC34" s="106">
        <f>IF(GE34="","",IF(ISNUMBER('Dvd Calendar'!$Q$261)=FALSE,"",'Dvd Calendar'!$Q$261))</f>
        <v/>
      </c>
      <c r="BD34" s="106">
        <f>IF(GF34="","",IF(ISNUMBER('Dvd Calendar'!$R$261)=FALSE,"",'Dvd Calendar'!$R$261))</f>
        <v/>
      </c>
      <c r="BE34" s="106">
        <f>IF(GG34="","",IF(ISNUMBER('Dvd Calendar'!$S$261)=FALSE,"",'Dvd Calendar'!$S$261))</f>
        <v/>
      </c>
      <c r="BF34" s="106">
        <f>IF(GH34="","",IF(ISNUMBER('Dvd Calendar'!$T$261)=FALSE,"",'Dvd Calendar'!$T$261))</f>
        <v/>
      </c>
      <c r="BG34" s="106">
        <f>IF(GI34="","",IF(ISNUMBER('Dvd Calendar'!$U$261)=FALSE,"",'Dvd Calendar'!$U$261))</f>
        <v/>
      </c>
      <c r="BH34" s="106">
        <f>IF(GJ34="","",IF(ISNUMBER('Dvd Calendar'!$V$261)=FALSE,"",'Dvd Calendar'!$V$261))</f>
        <v/>
      </c>
      <c r="BI34" s="106">
        <f>IF(GK34="","",IF(ISNUMBER('Dvd Calendar'!$W$261)=FALSE,"",'Dvd Calendar'!$W$261))</f>
        <v/>
      </c>
      <c r="BJ34" s="106">
        <f>IF(GL34="","",IF(ISNUMBER('Dvd Calendar'!$X$261)=FALSE,"",'Dvd Calendar'!$X$261))</f>
        <v/>
      </c>
      <c r="BK34" s="106">
        <f>IF(GM34="","",IF(ISNUMBER('Dvd Calendar'!$Y$261)=FALSE,"",'Dvd Calendar'!$Y$261))</f>
        <v/>
      </c>
      <c r="BL34" s="106">
        <f>IF(GN34="","",IF(ISNUMBER('Dvd Calendar'!$Z$261)=FALSE,"",'Dvd Calendar'!$Z$261))</f>
        <v/>
      </c>
      <c r="BM34" s="106">
        <f>IF(GO34="","",IF(ISNUMBER('Dvd Calendar'!$AA$261)=FALSE,"",'Dvd Calendar'!$AA$261))</f>
        <v/>
      </c>
      <c r="BN34" s="106">
        <f>IF(GP34="","",IF(ISNUMBER('Dvd Calendar'!$AB$261)=FALSE,"",'Dvd Calendar'!$AB$261))</f>
        <v/>
      </c>
      <c r="BO34" s="106">
        <f>IF(GQ34="","",IF(ISNUMBER('Dvd Calendar'!$AC$261)=FALSE,"",'Dvd Calendar'!$AC$261))</f>
        <v/>
      </c>
      <c r="BQ34" s="106">
        <f>IF(C34="","",IFERROR(C34*HSI!$B$29*HSI!$G$29/HSI!$B$3,""))</f>
        <v/>
      </c>
      <c r="BR34" s="106">
        <f>IF(D34="","",IFERROR(D34*HSI!$B$29*HSI!$G$29/HSI!$B$3,""))</f>
        <v/>
      </c>
      <c r="BS34" s="106">
        <f>IF(E34="","",IFERROR(E34*HSI!$B$29*HSI!$G$29/HSI!$B$3,""))</f>
        <v/>
      </c>
      <c r="BT34" s="106">
        <f>IF(F34="","",IFERROR(F34*HSI!$B$29*HSI!$G$29/HSI!$B$3,""))</f>
        <v/>
      </c>
      <c r="BU34" s="106">
        <f>IF(G34="","",IFERROR(G34*HSI!$B$29*HSI!$G$29/HSI!$B$3,""))</f>
        <v/>
      </c>
      <c r="BV34" s="106">
        <f>IF(H34="","",IFERROR(H34*HSI!$B$29*HSI!$G$29/HSI!$B$3,""))</f>
        <v/>
      </c>
      <c r="BW34" s="106">
        <f>IF(I34="","",IFERROR(I34*HSI!$B$29*HSI!$G$29/HSI!$B$3,""))</f>
        <v/>
      </c>
      <c r="BX34" s="106">
        <f>IF(J34="","",IFERROR(J34*HSI!$B$29*HSI!$G$29/HSI!$B$3,""))</f>
        <v/>
      </c>
      <c r="BY34" s="106">
        <f>IF(K34="","",IFERROR(K34*HSI!$B$29*HSI!$G$29/HSI!$B$3,""))</f>
        <v/>
      </c>
      <c r="BZ34" s="106">
        <f>IF(L34="","",IFERROR(L34*HSI!$B$29*HSI!$G$29/HSI!$B$3,""))</f>
        <v/>
      </c>
      <c r="CA34" s="106">
        <f>IF(M34="","",IFERROR(M34*HSI!$B$29*HSI!$G$29/HSI!$B$3,""))</f>
        <v/>
      </c>
      <c r="CB34" s="106">
        <f>IF(N34="","",IFERROR(N34*HSI!$B$29*HSI!$G$29/HSI!$B$3,""))</f>
        <v/>
      </c>
      <c r="CC34" s="106">
        <f>IF(O34="","",IFERROR(O34*HSI!$B$29*HSI!$G$29/HSI!$B$3,""))</f>
        <v/>
      </c>
      <c r="CD34" s="106">
        <f>IF(P34="","",IFERROR(P34*HSI!$B$29*HSI!$G$29/HSI!$B$3,""))</f>
        <v/>
      </c>
      <c r="CE34" s="106">
        <f>IF(Q34="","",IFERROR(Q34*HSI!$B$29*HSI!$G$29/HSI!$B$3,""))</f>
        <v/>
      </c>
      <c r="CF34" s="106">
        <f>IF(R34="","",IFERROR(R34*HSI!$B$29*HSI!$G$29/HSI!$B$3,""))</f>
        <v/>
      </c>
      <c r="CG34" s="106">
        <f>IF(S34="","",IFERROR(S34*HSI!$B$29*HSI!$G$29/HSI!$B$3,""))</f>
        <v/>
      </c>
      <c r="CH34" s="106">
        <f>IF(T34="","",IFERROR(T34*HSI!$B$29*HSI!$G$29/HSI!$B$3,""))</f>
        <v/>
      </c>
      <c r="CI34" s="106">
        <f>IF(U34="","",IFERROR(U34*HSI!$B$29*HSI!$G$29/HSI!$B$3,""))</f>
        <v/>
      </c>
      <c r="CJ34" s="106">
        <f>IF(V34="","",IFERROR(V34*HSI!$B$29*HSI!$G$29/HSI!$B$3,""))</f>
        <v/>
      </c>
      <c r="CK34" s="106">
        <f>IF(W34="","",IFERROR(W34*HSI!$B$29*HSI!$G$29/HSI!$B$3,""))</f>
        <v/>
      </c>
      <c r="CL34" s="106">
        <f>IF(X34="","",IFERROR(X34*HSI!$B$29*HSI!$G$29/HSI!$B$3,""))</f>
        <v/>
      </c>
      <c r="CM34" s="106">
        <f>IF(Y34="","",IFERROR(Y34*HSI!$B$29*HSI!$G$29/HSI!$B$3,""))</f>
        <v/>
      </c>
      <c r="CN34" s="106">
        <f>IF(Z34="","",IFERROR(Z34*HSI!$B$29*HSI!$G$29/HSI!$B$3,""))</f>
        <v/>
      </c>
      <c r="CO34" s="106">
        <f>IF(AA34="","",IFERROR(AA34*HSI!$B$29*HSI!$G$29/HSI!$B$3,""))</f>
        <v/>
      </c>
      <c r="CP34" s="106">
        <f>IF(AB34="","",IFERROR(AB34*HSI!$B$29*HSI!$G$29/HSI!$B$3,""))</f>
        <v/>
      </c>
      <c r="CQ34" s="106">
        <f>IF(AC34="","",IFERROR(AC34*HSI!$B$29*HSI!$G$29/HSI!$B$3,""))</f>
        <v/>
      </c>
      <c r="CR34" s="106">
        <f>IF(AD34="","",IFERROR(AD34*HSI!$B$29*HSI!$G$29/HSI!$B$3,""))</f>
        <v/>
      </c>
      <c r="CS34" s="106">
        <f>IF(AE34="","",IFERROR(AE34*HSI!$B$29*HSI!$G$29/HSI!$B$3,""))</f>
        <v/>
      </c>
      <c r="CT34" s="106">
        <f>IF(AF34="","",IFERROR(AF34*HSI!$B$29*HSI!$G$29/HSI!$B$3,""))</f>
        <v/>
      </c>
      <c r="CU34" s="106">
        <f>IF(AG34="","",IFERROR(AG34*HSI!$B$29*HSI!$G$29/HSI!$B$3,""))</f>
        <v/>
      </c>
      <c r="CV34" s="106">
        <f>IF(AH34="","",IFERROR(AH34*HSI!$B$29*HSI!$G$29/HSI!$B$3,""))</f>
        <v/>
      </c>
      <c r="CW34" s="106">
        <f>IF(AI34="","",IFERROR(AI34*HSI!$B$29*HSI!$G$29/HSI!$B$3,""))</f>
        <v/>
      </c>
      <c r="CX34" s="106">
        <f>IF(AJ34="","",IFERROR(AJ34*HSI!$B$29*HSI!$G$29/HSI!$B$3,""))</f>
        <v/>
      </c>
      <c r="CY34" s="106">
        <f>IF(AK34="","",IFERROR(AK34*HSI!$B$29*HSI!$G$29/HSI!$B$3,""))</f>
        <v/>
      </c>
      <c r="CZ34" s="106">
        <f>IF(AL34="","",IFERROR(AL34*HSI!$B$29*HSI!$G$29/HSI!$B$3,""))</f>
        <v/>
      </c>
      <c r="DA34" s="106">
        <f>IF(AM34="","",IFERROR(AM34*HSI!$B$29*HSI!$G$29/HSI!$B$3,""))</f>
        <v/>
      </c>
      <c r="DB34" s="106">
        <f>IF(AN34="","",IFERROR(AN34*HSI!$B$29*HSI!$G$29/HSI!$B$3,""))</f>
        <v/>
      </c>
      <c r="DC34" s="106">
        <f>IF(AO34="","",IFERROR(AO34*HSI!$B$29*HSI!$G$29/HSI!$B$3,""))</f>
        <v/>
      </c>
      <c r="DD34" s="106">
        <f>IF(AP34="","",IFERROR(AP34*HSI!$B$29*HSI!$G$29/HSI!$B$3,""))</f>
        <v/>
      </c>
      <c r="DE34" s="106">
        <f>IF(AQ34="","",IFERROR(AQ34*HSI!$B$29*HSI!$G$29/HSI!$B$3,""))</f>
        <v/>
      </c>
      <c r="DF34" s="106">
        <f>IF(AR34="","",IFERROR(AR34*HSI!$B$29*HSI!$G$29/HSI!$B$3,""))</f>
        <v/>
      </c>
      <c r="DG34" s="106">
        <f>IF(AS34="","",IFERROR(AS34*HSI!$B$29*HSI!$G$29/HSI!$B$3,""))</f>
        <v/>
      </c>
      <c r="DH34" s="106">
        <f>IF(AT34="","",IFERROR(AT34*HSI!$B$29*HSI!$G$29/HSI!$B$3,""))</f>
        <v/>
      </c>
      <c r="DI34" s="106">
        <f>IF(AU34="","",IFERROR(AU34*HSI!$B$29*HSI!$G$29/HSI!$B$3,""))</f>
        <v/>
      </c>
      <c r="DJ34" s="106">
        <f>IF(AV34="","",IFERROR(AV34*HSI!$B$29*HSI!$G$29/HSI!$B$3,""))</f>
        <v/>
      </c>
      <c r="DK34" s="106">
        <f>IF(AW34="","",IFERROR(AW34*HSI!$B$29*HSI!$G$29/HSI!$B$3,""))</f>
        <v/>
      </c>
      <c r="DL34" s="106">
        <f>IF(AX34="","",IFERROR(AX34*HSI!$B$29*HSI!$G$29/HSI!$B$3,""))</f>
        <v/>
      </c>
      <c r="DM34" s="106">
        <f>IF(AY34="","",IFERROR(AY34*HSI!$B$29*HSI!$G$29/HSI!$B$3,""))</f>
        <v/>
      </c>
      <c r="DN34" s="106">
        <f>IF(AZ34="","",IFERROR(AZ34*HSI!$B$29*HSI!$G$29/HSI!$B$3,""))</f>
        <v/>
      </c>
      <c r="DO34" s="106">
        <f>IF(BA34="","",IFERROR(BA34*HSI!$B$29*HSI!$G$29/HSI!$B$3,""))</f>
        <v/>
      </c>
      <c r="DP34" s="106">
        <f>IF(BB34="","",IFERROR(BB34*HSI!$B$29*HSI!$G$29/HSI!$B$3,""))</f>
        <v/>
      </c>
      <c r="DQ34" s="106">
        <f>IF(BC34="","",IFERROR(BC34*HSI!$B$29*HSI!$G$29/HSI!$B$3,""))</f>
        <v/>
      </c>
      <c r="DR34" s="106">
        <f>IF(BD34="","",IFERROR(BD34*HSI!$B$29*HSI!$G$29/HSI!$B$3,""))</f>
        <v/>
      </c>
      <c r="DS34" s="106">
        <f>IF(BE34="","",IFERROR(BE34*HSI!$B$29*HSI!$G$29/HSI!$B$3,""))</f>
        <v/>
      </c>
      <c r="DT34" s="106">
        <f>IF(BF34="","",IFERROR(BF34*HSI!$B$29*HSI!$G$29/HSI!$B$3,""))</f>
        <v/>
      </c>
      <c r="DU34" s="106">
        <f>IF(BG34="","",IFERROR(BG34*HSI!$B$29*HSI!$G$29/HSI!$B$3,""))</f>
        <v/>
      </c>
      <c r="DV34" s="106">
        <f>IF(BH34="","",IFERROR(BH34*HSI!$B$29*HSI!$G$29/HSI!$B$3,""))</f>
        <v/>
      </c>
      <c r="DW34" s="106">
        <f>IF(BI34="","",IFERROR(BI34*HSI!$B$29*HSI!$G$29/HSI!$B$3,""))</f>
        <v/>
      </c>
      <c r="DX34" s="106">
        <f>IF(BJ34="","",IFERROR(BJ34*HSI!$B$29*HSI!$G$29/HSI!$B$3,""))</f>
        <v/>
      </c>
      <c r="DY34" s="106">
        <f>IF(BK34="","",IFERROR(BK34*HSI!$B$29*HSI!$G$29/HSI!$B$3,""))</f>
        <v/>
      </c>
      <c r="DZ34" s="106">
        <f>IF(BL34="","",IFERROR(BL34*HSI!$B$29*HSI!$G$29/HSI!$B$3,""))</f>
        <v/>
      </c>
      <c r="EA34" s="106">
        <f>IF(BM34="","",IFERROR(BM34*HSI!$B$29*HSI!$G$29/HSI!$B$3,""))</f>
        <v/>
      </c>
      <c r="EB34" s="106">
        <f>IF(BN34="","",IFERROR(BN34*HSI!$B$29*HSI!$G$29/HSI!$B$3,""))</f>
        <v/>
      </c>
      <c r="EC34" s="106">
        <f>IF(BO34="","",IFERROR(BO34*HSI!$B$29*HSI!$G$29/HSI!$B$3,""))</f>
        <v/>
      </c>
      <c r="EE34" s="35">
        <f>IF(N('Dvd Calendar'!$E$253)=0,"",IF(('Dvd Calendar'!$E$253&gt;=GRID_FROM)*('Dvd Calendar'!$E$253&lt;=GRID_TO)*('Dvd Calendar'!$E$253&lt;=VAL_DATE)=0,"",'Dvd Calendar'!$E$253*1000000000+ISNUMBER('Dvd Calendar'!$E$256)*100000000+('Dvd Calendar'!$E$258=SPECIAL_LBL)*10000000+0*1000000+23*1000+1))</f>
        <v/>
      </c>
      <c r="EF34" s="35">
        <f>IF(N('Dvd Calendar'!$F$253)=0,"",IF(('Dvd Calendar'!$F$253&gt;=GRID_FROM)*('Dvd Calendar'!$F$253&lt;=GRID_TO)*('Dvd Calendar'!$F$253&lt;=VAL_DATE)=0,"",'Dvd Calendar'!$F$253*1000000000+ISNUMBER('Dvd Calendar'!$F$256)*100000000+('Dvd Calendar'!$F$258=SPECIAL_LBL)*10000000+0*1000000+23*1000+2))</f>
        <v/>
      </c>
      <c r="EG34" s="35">
        <f>IF(N('Dvd Calendar'!$G$253)=0,"",IF(('Dvd Calendar'!$G$253&gt;=GRID_FROM)*('Dvd Calendar'!$G$253&lt;=GRID_TO)*('Dvd Calendar'!$G$253&lt;=VAL_DATE)=0,"",'Dvd Calendar'!$G$253*1000000000+ISNUMBER('Dvd Calendar'!$G$256)*100000000+('Dvd Calendar'!$G$258=SPECIAL_LBL)*10000000+0*1000000+23*1000+3))</f>
        <v/>
      </c>
      <c r="EH34" s="35">
        <f>IF(N('Dvd Calendar'!$H$253)=0,"",IF(('Dvd Calendar'!$H$253&gt;=GRID_FROM)*('Dvd Calendar'!$H$253&lt;=GRID_TO)*('Dvd Calendar'!$H$253&lt;=VAL_DATE)=0,"",'Dvd Calendar'!$H$253*1000000000+ISNUMBER('Dvd Calendar'!$H$256)*100000000+('Dvd Calendar'!$H$258=SPECIAL_LBL)*10000000+0*1000000+23*1000+4))</f>
        <v/>
      </c>
      <c r="EI34" s="35">
        <f>IF(N('Dvd Calendar'!$I$253)=0,"",IF(('Dvd Calendar'!$I$253&gt;=GRID_FROM)*('Dvd Calendar'!$I$253&lt;=GRID_TO)*('Dvd Calendar'!$I$253&lt;=VAL_DATE)=0,"",'Dvd Calendar'!$I$253*1000000000+ISNUMBER('Dvd Calendar'!$I$256)*100000000+('Dvd Calendar'!$I$258=SPECIAL_LBL)*10000000+0*1000000+23*1000+5))</f>
        <v/>
      </c>
      <c r="EJ34" s="35">
        <f>IF(N('Dvd Calendar'!$J$253)=0,"",IF(('Dvd Calendar'!$J$253&gt;=GRID_FROM)*('Dvd Calendar'!$J$253&lt;=GRID_TO)*('Dvd Calendar'!$J$253&lt;=VAL_DATE)=0,"",'Dvd Calendar'!$J$253*1000000000+ISNUMBER('Dvd Calendar'!$J$256)*100000000+('Dvd Calendar'!$J$258=SPECIAL_LBL)*10000000+0*1000000+23*1000+6))</f>
        <v/>
      </c>
      <c r="EK34" s="35">
        <f>IF(N('Dvd Calendar'!$K$253)=0,"",IF(('Dvd Calendar'!$K$253&gt;=GRID_FROM)*('Dvd Calendar'!$K$253&lt;=GRID_TO)*('Dvd Calendar'!$K$253&lt;=VAL_DATE)=0,"",'Dvd Calendar'!$K$253*1000000000+ISNUMBER('Dvd Calendar'!$K$256)*100000000+('Dvd Calendar'!$K$258=SPECIAL_LBL)*10000000+0*1000000+23*1000+7))</f>
        <v/>
      </c>
      <c r="EL34" s="35">
        <f>IF(N('Dvd Calendar'!$L$253)=0,"",IF(('Dvd Calendar'!$L$253&gt;=GRID_FROM)*('Dvd Calendar'!$L$253&lt;=GRID_TO)*('Dvd Calendar'!$L$253&lt;=VAL_DATE)=0,"",'Dvd Calendar'!$L$253*1000000000+ISNUMBER('Dvd Calendar'!$L$256)*100000000+('Dvd Calendar'!$L$258=SPECIAL_LBL)*10000000+0*1000000+23*1000+8))</f>
        <v/>
      </c>
      <c r="EM34" s="35">
        <f>IF(N('Dvd Calendar'!$M$253)=0,"",IF(('Dvd Calendar'!$M$253&gt;=GRID_FROM)*('Dvd Calendar'!$M$253&lt;=GRID_TO)*('Dvd Calendar'!$M$253&lt;=VAL_DATE)=0,"",'Dvd Calendar'!$M$253*1000000000+ISNUMBER('Dvd Calendar'!$M$256)*100000000+('Dvd Calendar'!$M$258=SPECIAL_LBL)*10000000+0*1000000+23*1000+9))</f>
        <v/>
      </c>
      <c r="EN34" s="35">
        <f>IF(N('Dvd Calendar'!$N$253)=0,"",IF(('Dvd Calendar'!$N$253&gt;=GRID_FROM)*('Dvd Calendar'!$N$253&lt;=GRID_TO)*('Dvd Calendar'!$N$253&lt;=VAL_DATE)=0,"",'Dvd Calendar'!$N$253*1000000000+ISNUMBER('Dvd Calendar'!$N$256)*100000000+('Dvd Calendar'!$N$258=SPECIAL_LBL)*10000000+0*1000000+23*1000+10))</f>
        <v/>
      </c>
      <c r="EO34" s="35">
        <f>IF(N('Dvd Calendar'!$O$253)=0,"",IF(('Dvd Calendar'!$O$253&gt;=GRID_FROM)*('Dvd Calendar'!$O$253&lt;=GRID_TO)*('Dvd Calendar'!$O$253&lt;=VAL_DATE)=0,"",'Dvd Calendar'!$O$253*1000000000+ISNUMBER('Dvd Calendar'!$O$256)*100000000+('Dvd Calendar'!$O$258=SPECIAL_LBL)*10000000+0*1000000+23*1000+11))</f>
        <v/>
      </c>
      <c r="EP34" s="35">
        <f>IF(N('Dvd Calendar'!$P$253)=0,"",IF(('Dvd Calendar'!$P$253&gt;=GRID_FROM)*('Dvd Calendar'!$P$253&lt;=GRID_TO)*('Dvd Calendar'!$P$253&lt;=VAL_DATE)=0,"",'Dvd Calendar'!$P$253*1000000000+ISNUMBER('Dvd Calendar'!$P$256)*100000000+('Dvd Calendar'!$P$258=SPECIAL_LBL)*10000000+0*1000000+23*1000+12))</f>
        <v/>
      </c>
      <c r="EQ34" s="35">
        <f>IF(N('Dvd Calendar'!$Q$253)=0,"",IF(('Dvd Calendar'!$Q$253&gt;=GRID_FROM)*('Dvd Calendar'!$Q$253&lt;=GRID_TO)*('Dvd Calendar'!$Q$253&lt;=VAL_DATE)=0,"",'Dvd Calendar'!$Q$253*1000000000+ISNUMBER('Dvd Calendar'!$Q$256)*100000000+('Dvd Calendar'!$Q$258=SPECIAL_LBL)*10000000+0*1000000+23*1000+13))</f>
        <v/>
      </c>
      <c r="ER34" s="35">
        <f>IF(N('Dvd Calendar'!$R$253)=0,"",IF(('Dvd Calendar'!$R$253&gt;=GRID_FROM)*('Dvd Calendar'!$R$253&lt;=GRID_TO)*('Dvd Calendar'!$R$253&lt;=VAL_DATE)=0,"",'Dvd Calendar'!$R$253*1000000000+ISNUMBER('Dvd Calendar'!$R$256)*100000000+('Dvd Calendar'!$R$258=SPECIAL_LBL)*10000000+0*1000000+23*1000+14))</f>
        <v/>
      </c>
      <c r="ES34" s="35">
        <f>IF(N('Dvd Calendar'!$S$253)=0,"",IF(('Dvd Calendar'!$S$253&gt;=GRID_FROM)*('Dvd Calendar'!$S$253&lt;=GRID_TO)*('Dvd Calendar'!$S$253&lt;=VAL_DATE)=0,"",'Dvd Calendar'!$S$253*1000000000+ISNUMBER('Dvd Calendar'!$S$256)*100000000+('Dvd Calendar'!$S$258=SPECIAL_LBL)*10000000+0*1000000+23*1000+15))</f>
        <v/>
      </c>
      <c r="ET34" s="35">
        <f>IF(N('Dvd Calendar'!$T$253)=0,"",IF(('Dvd Calendar'!$T$253&gt;=GRID_FROM)*('Dvd Calendar'!$T$253&lt;=GRID_TO)*('Dvd Calendar'!$T$253&lt;=VAL_DATE)=0,"",'Dvd Calendar'!$T$253*1000000000+ISNUMBER('Dvd Calendar'!$T$256)*100000000+('Dvd Calendar'!$T$258=SPECIAL_LBL)*10000000+0*1000000+23*1000+16))</f>
        <v/>
      </c>
      <c r="EU34" s="35">
        <f>IF(N('Dvd Calendar'!$U$253)=0,"",IF(('Dvd Calendar'!$U$253&gt;=GRID_FROM)*('Dvd Calendar'!$U$253&lt;=GRID_TO)*('Dvd Calendar'!$U$253&lt;=VAL_DATE)=0,"",'Dvd Calendar'!$U$253*1000000000+ISNUMBER('Dvd Calendar'!$U$256)*100000000+('Dvd Calendar'!$U$258=SPECIAL_LBL)*10000000+0*1000000+23*1000+17))</f>
        <v/>
      </c>
      <c r="EV34" s="35">
        <f>IF(N('Dvd Calendar'!$V$253)=0,"",IF(('Dvd Calendar'!$V$253&gt;=GRID_FROM)*('Dvd Calendar'!$V$253&lt;=GRID_TO)*('Dvd Calendar'!$V$253&lt;=VAL_DATE)=0,"",'Dvd Calendar'!$V$253*1000000000+ISNUMBER('Dvd Calendar'!$V$256)*100000000+('Dvd Calendar'!$V$258=SPECIAL_LBL)*10000000+0*1000000+23*1000+18))</f>
        <v/>
      </c>
      <c r="EW34" s="35">
        <f>IF(N('Dvd Calendar'!$W$253)=0,"",IF(('Dvd Calendar'!$W$253&gt;=GRID_FROM)*('Dvd Calendar'!$W$253&lt;=GRID_TO)*('Dvd Calendar'!$W$253&lt;=VAL_DATE)=0,"",'Dvd Calendar'!$W$253*1000000000+ISNUMBER('Dvd Calendar'!$W$256)*100000000+('Dvd Calendar'!$W$258=SPECIAL_LBL)*10000000+0*1000000+23*1000+19))</f>
        <v/>
      </c>
      <c r="EX34" s="35">
        <f>IF(N('Dvd Calendar'!$X$253)=0,"",IF(('Dvd Calendar'!$X$253&gt;=GRID_FROM)*('Dvd Calendar'!$X$253&lt;=GRID_TO)*('Dvd Calendar'!$X$253&lt;=VAL_DATE)=0,"",'Dvd Calendar'!$X$253*1000000000+ISNUMBER('Dvd Calendar'!$X$256)*100000000+('Dvd Calendar'!$X$258=SPECIAL_LBL)*10000000+0*1000000+23*1000+20))</f>
        <v/>
      </c>
      <c r="EY34" s="35">
        <f>IF(N('Dvd Calendar'!$Y$253)=0,"",IF(('Dvd Calendar'!$Y$253&gt;=GRID_FROM)*('Dvd Calendar'!$Y$253&lt;=GRID_TO)*('Dvd Calendar'!$Y$253&lt;=VAL_DATE)=0,"",'Dvd Calendar'!$Y$253*1000000000+ISNUMBER('Dvd Calendar'!$Y$256)*100000000+('Dvd Calendar'!$Y$258=SPECIAL_LBL)*10000000+0*1000000+23*1000+21))</f>
        <v/>
      </c>
      <c r="EZ34" s="35">
        <f>IF(N('Dvd Calendar'!$Z$253)=0,"",IF(('Dvd Calendar'!$Z$253&gt;=GRID_FROM)*('Dvd Calendar'!$Z$253&lt;=GRID_TO)*('Dvd Calendar'!$Z$253&lt;=VAL_DATE)=0,"",'Dvd Calendar'!$Z$253*1000000000+ISNUMBER('Dvd Calendar'!$Z$256)*100000000+('Dvd Calendar'!$Z$258=SPECIAL_LBL)*10000000+0*1000000+23*1000+22))</f>
        <v/>
      </c>
      <c r="FA34" s="35">
        <f>IF(N('Dvd Calendar'!$AA$253)=0,"",IF(('Dvd Calendar'!$AA$253&gt;=GRID_FROM)*('Dvd Calendar'!$AA$253&lt;=GRID_TO)*('Dvd Calendar'!$AA$253&lt;=VAL_DATE)=0,"",'Dvd Calendar'!$AA$253*1000000000+ISNUMBER('Dvd Calendar'!$AA$256)*100000000+('Dvd Calendar'!$AA$258=SPECIAL_LBL)*10000000+0*1000000+23*1000+23))</f>
        <v/>
      </c>
      <c r="FB34" s="35">
        <f>IF(N('Dvd Calendar'!$AB$253)=0,"",IF(('Dvd Calendar'!$AB$253&gt;=GRID_FROM)*('Dvd Calendar'!$AB$253&lt;=GRID_TO)*('Dvd Calendar'!$AB$253&lt;=VAL_DATE)=0,"",'Dvd Calendar'!$AB$253*1000000000+ISNUMBER('Dvd Calendar'!$AB$256)*100000000+('Dvd Calendar'!$AB$258=SPECIAL_LBL)*10000000+0*1000000+23*1000+24))</f>
        <v/>
      </c>
      <c r="FC34" s="35">
        <f>IF(N('Dvd Calendar'!$AC$253)=0,"",IF(('Dvd Calendar'!$AC$253&gt;=GRID_FROM)*('Dvd Calendar'!$AC$253&lt;=GRID_TO)*('Dvd Calendar'!$AC$253&lt;=VAL_DATE)=0,"",'Dvd Calendar'!$AC$253*1000000000+ISNUMBER('Dvd Calendar'!$AC$256)*100000000+('Dvd Calendar'!$AC$258=SPECIAL_LBL)*10000000+0*1000000+23*1000+25))</f>
        <v/>
      </c>
      <c r="FD34" s="35">
        <f>IF(N('Dvd Calendar'!$AD$253)=0,"",IF(('Dvd Calendar'!$AD$253&gt;=GRID_FROM)*('Dvd Calendar'!$AD$253&lt;=GRID_TO)*('Dvd Calendar'!$AD$253&lt;=VAL_DATE)=0,"",'Dvd Calendar'!$AD$253*1000000000+ISNUMBER('Dvd Calendar'!$AD$256)*100000000+('Dvd Calendar'!$AD$258=SPECIAL_LBL)*10000000+0*1000000+23*1000+26))</f>
        <v/>
      </c>
      <c r="FE34" s="35">
        <f>IF(N('Dvd Calendar'!$AE$253)=0,"",IF(('Dvd Calendar'!$AE$253&gt;=GRID_FROM)*('Dvd Calendar'!$AE$253&lt;=GRID_TO)*('Dvd Calendar'!$AE$253&lt;=VAL_DATE)=0,"",'Dvd Calendar'!$AE$253*1000000000+ISNUMBER('Dvd Calendar'!$AE$256)*100000000+('Dvd Calendar'!$AE$258=SPECIAL_LBL)*10000000+0*1000000+23*1000+27))</f>
        <v/>
      </c>
      <c r="FF34" s="35">
        <f>IF(N('Dvd Calendar'!$AF$253)=0,"",IF(('Dvd Calendar'!$AF$253&gt;=GRID_FROM)*('Dvd Calendar'!$AF$253&lt;=GRID_TO)*('Dvd Calendar'!$AF$253&lt;=VAL_DATE)=0,"",'Dvd Calendar'!$AF$253*1000000000+ISNUMBER('Dvd Calendar'!$AF$256)*100000000+('Dvd Calendar'!$AF$258=SPECIAL_LBL)*10000000+0*1000000+23*1000+28))</f>
        <v/>
      </c>
      <c r="FG34" s="35">
        <f>IF(N('Dvd Calendar'!$AG$253)=0,"",IF(('Dvd Calendar'!$AG$253&gt;=GRID_FROM)*('Dvd Calendar'!$AG$253&lt;=GRID_TO)*('Dvd Calendar'!$AG$253&lt;=VAL_DATE)=0,"",'Dvd Calendar'!$AG$253*1000000000+ISNUMBER('Dvd Calendar'!$AG$256)*100000000+('Dvd Calendar'!$AG$258=SPECIAL_LBL)*10000000+0*1000000+23*1000+29))</f>
        <v/>
      </c>
      <c r="FH34" s="35">
        <f>IF(N('Dvd Calendar'!$AH$253)=0,"",IF(('Dvd Calendar'!$AH$253&gt;=GRID_FROM)*('Dvd Calendar'!$AH$253&lt;=GRID_TO)*('Dvd Calendar'!$AH$253&lt;=VAL_DATE)=0,"",'Dvd Calendar'!$AH$253*1000000000+ISNUMBER('Dvd Calendar'!$AH$256)*100000000+('Dvd Calendar'!$AH$258=SPECIAL_LBL)*10000000+0*1000000+23*1000+30))</f>
        <v/>
      </c>
      <c r="FI34" s="35">
        <f>IF(N('Dvd Calendar'!$AI$253)=0,"",IF(('Dvd Calendar'!$AI$253&gt;=GRID_FROM)*('Dvd Calendar'!$AI$253&lt;=GRID_TO)*('Dvd Calendar'!$AI$253&lt;=VAL_DATE)=0,"",'Dvd Calendar'!$AI$253*1000000000+ISNUMBER('Dvd Calendar'!$AI$256)*100000000+('Dvd Calendar'!$AI$258=SPECIAL_LBL)*10000000+0*1000000+23*1000+31))</f>
        <v/>
      </c>
      <c r="FJ34" s="35">
        <f>IF(N('Dvd Calendar'!$AJ$253)=0,"",IF(('Dvd Calendar'!$AJ$253&gt;=GRID_FROM)*('Dvd Calendar'!$AJ$253&lt;=GRID_TO)*('Dvd Calendar'!$AJ$253&lt;=VAL_DATE)=0,"",'Dvd Calendar'!$AJ$253*1000000000+ISNUMBER('Dvd Calendar'!$AJ$256)*100000000+('Dvd Calendar'!$AJ$258=SPECIAL_LBL)*10000000+0*1000000+23*1000+32))</f>
        <v/>
      </c>
      <c r="FK34" s="35">
        <f>IF(N('Dvd Calendar'!$AK$253)=0,"",IF(('Dvd Calendar'!$AK$253&gt;=GRID_FROM)*('Dvd Calendar'!$AK$253&lt;=GRID_TO)*('Dvd Calendar'!$AK$253&lt;=VAL_DATE)=0,"",'Dvd Calendar'!$AK$253*1000000000+ISNUMBER('Dvd Calendar'!$AK$256)*100000000+('Dvd Calendar'!$AK$258=SPECIAL_LBL)*10000000+0*1000000+23*1000+33))</f>
        <v/>
      </c>
      <c r="FL34" s="35">
        <f>IF(N('Dvd Calendar'!$AL$253)=0,"",IF(('Dvd Calendar'!$AL$253&gt;=GRID_FROM)*('Dvd Calendar'!$AL$253&lt;=GRID_TO)*('Dvd Calendar'!$AL$253&lt;=VAL_DATE)=0,"",'Dvd Calendar'!$AL$253*1000000000+ISNUMBER('Dvd Calendar'!$AL$256)*100000000+('Dvd Calendar'!$AL$258=SPECIAL_LBL)*10000000+0*1000000+23*1000+34))</f>
        <v/>
      </c>
      <c r="FM34" s="35">
        <f>IF(N('Dvd Calendar'!$AM$253)=0,"",IF(('Dvd Calendar'!$AM$253&gt;=GRID_FROM)*('Dvd Calendar'!$AM$253&lt;=GRID_TO)*('Dvd Calendar'!$AM$253&lt;=VAL_DATE)=0,"",'Dvd Calendar'!$AM$253*1000000000+ISNUMBER('Dvd Calendar'!$AM$256)*100000000+('Dvd Calendar'!$AM$258=SPECIAL_LBL)*10000000+0*1000000+23*1000+35))</f>
        <v/>
      </c>
      <c r="FN34" s="35">
        <f>IF(N('Dvd Calendar'!$AN$253)=0,"",IF(('Dvd Calendar'!$AN$253&gt;=GRID_FROM)*('Dvd Calendar'!$AN$253&lt;=GRID_TO)*('Dvd Calendar'!$AN$253&lt;=VAL_DATE)=0,"",'Dvd Calendar'!$AN$253*1000000000+ISNUMBER('Dvd Calendar'!$AN$256)*100000000+('Dvd Calendar'!$AN$258=SPECIAL_LBL)*10000000+0*1000000+23*1000+36))</f>
        <v/>
      </c>
      <c r="FO34" s="35">
        <f>IF(N('Dvd Calendar'!$AO$253)=0,"",IF(('Dvd Calendar'!$AO$253&gt;=GRID_FROM)*('Dvd Calendar'!$AO$253&lt;=GRID_TO)*('Dvd Calendar'!$AO$253&lt;=VAL_DATE)=0,"",'Dvd Calendar'!$AO$253*1000000000+ISNUMBER('Dvd Calendar'!$AO$256)*100000000+('Dvd Calendar'!$AO$258=SPECIAL_LBL)*10000000+0*1000000+23*1000+37))</f>
        <v/>
      </c>
      <c r="FP34" s="35">
        <f>IF(N('Dvd Calendar'!$AP$253)=0,"",IF(('Dvd Calendar'!$AP$253&gt;=GRID_FROM)*('Dvd Calendar'!$AP$253&lt;=GRID_TO)*('Dvd Calendar'!$AP$253&lt;=VAL_DATE)=0,"",'Dvd Calendar'!$AP$253*1000000000+ISNUMBER('Dvd Calendar'!$AP$256)*100000000+('Dvd Calendar'!$AP$258=SPECIAL_LBL)*10000000+0*1000000+23*1000+38))</f>
        <v/>
      </c>
      <c r="FQ34" s="35">
        <f>IF(N('Dvd Calendar'!$AQ$253)=0,"",IF(('Dvd Calendar'!$AQ$253&gt;=GRID_FROM)*('Dvd Calendar'!$AQ$253&lt;=GRID_TO)*('Dvd Calendar'!$AQ$253&lt;=VAL_DATE)=0,"",'Dvd Calendar'!$AQ$253*1000000000+ISNUMBER('Dvd Calendar'!$AQ$256)*100000000+('Dvd Calendar'!$AQ$258=SPECIAL_LBL)*10000000+0*1000000+23*1000+39))</f>
        <v/>
      </c>
      <c r="FR34" s="35">
        <f>IF(N('Dvd Calendar'!$AR$253)=0,"",IF(('Dvd Calendar'!$AR$253&gt;=GRID_FROM)*('Dvd Calendar'!$AR$253&lt;=GRID_TO)*('Dvd Calendar'!$AR$253&lt;=VAL_DATE)=0,"",'Dvd Calendar'!$AR$253*1000000000+ISNUMBER('Dvd Calendar'!$AR$256)*100000000+('Dvd Calendar'!$AR$258=SPECIAL_LBL)*10000000+0*1000000+23*1000+40))</f>
        <v/>
      </c>
      <c r="FS34" s="35">
        <f>IF(N('Dvd Calendar'!$E$260)=0,"",IF(('Dvd Calendar'!$E$260&gt;=GRID_FROM)*('Dvd Calendar'!$E$260&lt;=GRID_TO)*('Dvd Calendar'!$E$260&gt;VAL_DATE)=0,"",'Dvd Calendar'!$E$260*1000000000+ISNUMBER('Dvd Calendar'!$E$261)*100000000+0*10000000+(N('Dvd Calendar'!$E$259)&gt;0)*(N('Dvd Calendar'!$E$259)&lt;=VAL_SERIAL)*1000000+23*1000+41))</f>
        <v/>
      </c>
      <c r="FT34" s="35">
        <f>IF(N('Dvd Calendar'!$F$260)=0,"",IF(('Dvd Calendar'!$F$260&gt;=GRID_FROM)*('Dvd Calendar'!$F$260&lt;=GRID_TO)*('Dvd Calendar'!$F$260&gt;VAL_DATE)=0,"",'Dvd Calendar'!$F$260*1000000000+ISNUMBER('Dvd Calendar'!$F$261)*100000000+0*10000000+(N('Dvd Calendar'!$F$259)&gt;0)*(N('Dvd Calendar'!$F$259)&lt;=VAL_SERIAL)*1000000+23*1000+42))</f>
        <v/>
      </c>
      <c r="FU34" s="35">
        <f>IF(N('Dvd Calendar'!$G$260)=0,"",IF(('Dvd Calendar'!$G$260&gt;=GRID_FROM)*('Dvd Calendar'!$G$260&lt;=GRID_TO)*('Dvd Calendar'!$G$260&gt;VAL_DATE)=0,"",'Dvd Calendar'!$G$260*1000000000+ISNUMBER('Dvd Calendar'!$G$261)*100000000+0*10000000+(N('Dvd Calendar'!$G$259)&gt;0)*(N('Dvd Calendar'!$G$259)&lt;=VAL_SERIAL)*1000000+23*1000+43))</f>
        <v/>
      </c>
      <c r="FV34" s="35">
        <f>IF(N('Dvd Calendar'!$H$260)=0,"",IF(('Dvd Calendar'!$H$260&gt;=GRID_FROM)*('Dvd Calendar'!$H$260&lt;=GRID_TO)*('Dvd Calendar'!$H$260&gt;VAL_DATE)=0,"",'Dvd Calendar'!$H$260*1000000000+ISNUMBER('Dvd Calendar'!$H$261)*100000000+0*10000000+(N('Dvd Calendar'!$H$259)&gt;0)*(N('Dvd Calendar'!$H$259)&lt;=VAL_SERIAL)*1000000+23*1000+44))</f>
        <v/>
      </c>
      <c r="FW34" s="35">
        <f>IF(N('Dvd Calendar'!$I$260)=0,"",IF(('Dvd Calendar'!$I$260&gt;=GRID_FROM)*('Dvd Calendar'!$I$260&lt;=GRID_TO)*('Dvd Calendar'!$I$260&gt;VAL_DATE)=0,"",'Dvd Calendar'!$I$260*1000000000+ISNUMBER('Dvd Calendar'!$I$261)*100000000+0*10000000+(N('Dvd Calendar'!$I$259)&gt;0)*(N('Dvd Calendar'!$I$259)&lt;=VAL_SERIAL)*1000000+23*1000+45))</f>
        <v/>
      </c>
      <c r="FX34" s="35">
        <f>IF(N('Dvd Calendar'!$J$260)=0,"",IF(('Dvd Calendar'!$J$260&gt;=GRID_FROM)*('Dvd Calendar'!$J$260&lt;=GRID_TO)*('Dvd Calendar'!$J$260&gt;VAL_DATE)=0,"",'Dvd Calendar'!$J$260*1000000000+ISNUMBER('Dvd Calendar'!$J$261)*100000000+0*10000000+(N('Dvd Calendar'!$J$259)&gt;0)*(N('Dvd Calendar'!$J$259)&lt;=VAL_SERIAL)*1000000+23*1000+46))</f>
        <v/>
      </c>
      <c r="FY34" s="35">
        <f>IF(N('Dvd Calendar'!$K$260)=0,"",IF(('Dvd Calendar'!$K$260&gt;=GRID_FROM)*('Dvd Calendar'!$K$260&lt;=GRID_TO)*('Dvd Calendar'!$K$260&gt;VAL_DATE)=0,"",'Dvd Calendar'!$K$260*1000000000+ISNUMBER('Dvd Calendar'!$K$261)*100000000+0*10000000+(N('Dvd Calendar'!$K$259)&gt;0)*(N('Dvd Calendar'!$K$259)&lt;=VAL_SERIAL)*1000000+23*1000+47))</f>
        <v/>
      </c>
      <c r="FZ34" s="35">
        <f>IF(N('Dvd Calendar'!$L$260)=0,"",IF(('Dvd Calendar'!$L$260&gt;=GRID_FROM)*('Dvd Calendar'!$L$260&lt;=GRID_TO)*('Dvd Calendar'!$L$260&gt;VAL_DATE)=0,"",'Dvd Calendar'!$L$260*1000000000+ISNUMBER('Dvd Calendar'!$L$261)*100000000+0*10000000+(N('Dvd Calendar'!$L$259)&gt;0)*(N('Dvd Calendar'!$L$259)&lt;=VAL_SERIAL)*1000000+23*1000+48))</f>
        <v/>
      </c>
      <c r="GA34" s="35">
        <f>IF(N('Dvd Calendar'!$M$260)=0,"",IF(('Dvd Calendar'!$M$260&gt;=GRID_FROM)*('Dvd Calendar'!$M$260&lt;=GRID_TO)*('Dvd Calendar'!$M$260&gt;VAL_DATE)=0,"",'Dvd Calendar'!$M$260*1000000000+ISNUMBER('Dvd Calendar'!$M$261)*100000000+0*10000000+(N('Dvd Calendar'!$M$259)&gt;0)*(N('Dvd Calendar'!$M$259)&lt;=VAL_SERIAL)*1000000+23*1000+49))</f>
        <v/>
      </c>
      <c r="GB34" s="35">
        <f>IF(N('Dvd Calendar'!$N$260)=0,"",IF(('Dvd Calendar'!$N$260&gt;=GRID_FROM)*('Dvd Calendar'!$N$260&lt;=GRID_TO)*('Dvd Calendar'!$N$260&gt;VAL_DATE)=0,"",'Dvd Calendar'!$N$260*1000000000+ISNUMBER('Dvd Calendar'!$N$261)*100000000+0*10000000+(N('Dvd Calendar'!$N$259)&gt;0)*(N('Dvd Calendar'!$N$259)&lt;=VAL_SERIAL)*1000000+23*1000+50))</f>
        <v/>
      </c>
      <c r="GC34" s="35">
        <f>IF(N('Dvd Calendar'!$O$260)=0,"",IF(('Dvd Calendar'!$O$260&gt;=GRID_FROM)*('Dvd Calendar'!$O$260&lt;=GRID_TO)*('Dvd Calendar'!$O$260&gt;VAL_DATE)=0,"",'Dvd Calendar'!$O$260*1000000000+ISNUMBER('Dvd Calendar'!$O$261)*100000000+0*10000000+(N('Dvd Calendar'!$O$259)&gt;0)*(N('Dvd Calendar'!$O$259)&lt;=VAL_SERIAL)*1000000+23*1000+51))</f>
        <v/>
      </c>
      <c r="GD34" s="35">
        <f>IF(N('Dvd Calendar'!$P$260)=0,"",IF(('Dvd Calendar'!$P$260&gt;=GRID_FROM)*('Dvd Calendar'!$P$260&lt;=GRID_TO)*('Dvd Calendar'!$P$260&gt;VAL_DATE)=0,"",'Dvd Calendar'!$P$260*1000000000+ISNUMBER('Dvd Calendar'!$P$261)*100000000+0*10000000+(N('Dvd Calendar'!$P$259)&gt;0)*(N('Dvd Calendar'!$P$259)&lt;=VAL_SERIAL)*1000000+23*1000+52))</f>
        <v/>
      </c>
      <c r="GE34" s="35">
        <f>IF(N('Dvd Calendar'!$Q$260)=0,"",IF(('Dvd Calendar'!$Q$260&gt;=GRID_FROM)*('Dvd Calendar'!$Q$260&lt;=GRID_TO)*('Dvd Calendar'!$Q$260&gt;VAL_DATE)=0,"",'Dvd Calendar'!$Q$260*1000000000+ISNUMBER('Dvd Calendar'!$Q$261)*100000000+0*10000000+(N('Dvd Calendar'!$Q$259)&gt;0)*(N('Dvd Calendar'!$Q$259)&lt;=VAL_SERIAL)*1000000+23*1000+53))</f>
        <v/>
      </c>
      <c r="GF34" s="35">
        <f>IF(N('Dvd Calendar'!$R$260)=0,"",IF(('Dvd Calendar'!$R$260&gt;=GRID_FROM)*('Dvd Calendar'!$R$260&lt;=GRID_TO)*('Dvd Calendar'!$R$260&gt;VAL_DATE)=0,"",'Dvd Calendar'!$R$260*1000000000+ISNUMBER('Dvd Calendar'!$R$261)*100000000+0*10000000+(N('Dvd Calendar'!$R$259)&gt;0)*(N('Dvd Calendar'!$R$259)&lt;=VAL_SERIAL)*1000000+23*1000+54))</f>
        <v/>
      </c>
      <c r="GG34" s="35">
        <f>IF(N('Dvd Calendar'!$S$260)=0,"",IF(('Dvd Calendar'!$S$260&gt;=GRID_FROM)*('Dvd Calendar'!$S$260&lt;=GRID_TO)*('Dvd Calendar'!$S$260&gt;VAL_DATE)=0,"",'Dvd Calendar'!$S$260*1000000000+ISNUMBER('Dvd Calendar'!$S$261)*100000000+0*10000000+(N('Dvd Calendar'!$S$259)&gt;0)*(N('Dvd Calendar'!$S$259)&lt;=VAL_SERIAL)*1000000+23*1000+55))</f>
        <v/>
      </c>
      <c r="GH34" s="35">
        <f>IF(N('Dvd Calendar'!$T$260)=0,"",IF(('Dvd Calendar'!$T$260&gt;=GRID_FROM)*('Dvd Calendar'!$T$260&lt;=GRID_TO)*('Dvd Calendar'!$T$260&gt;VAL_DATE)=0,"",'Dvd Calendar'!$T$260*1000000000+ISNUMBER('Dvd Calendar'!$T$261)*100000000+0*10000000+(N('Dvd Calendar'!$T$259)&gt;0)*(N('Dvd Calendar'!$T$259)&lt;=VAL_SERIAL)*1000000+23*1000+56))</f>
        <v/>
      </c>
      <c r="GI34" s="35">
        <f>IF(N('Dvd Calendar'!$U$260)=0,"",IF(('Dvd Calendar'!$U$260&gt;=GRID_FROM)*('Dvd Calendar'!$U$260&lt;=GRID_TO)*('Dvd Calendar'!$U$260&gt;VAL_DATE)=0,"",'Dvd Calendar'!$U$260*1000000000+ISNUMBER('Dvd Calendar'!$U$261)*100000000+0*10000000+(N('Dvd Calendar'!$U$259)&gt;0)*(N('Dvd Calendar'!$U$259)&lt;=VAL_SERIAL)*1000000+23*1000+57))</f>
        <v/>
      </c>
      <c r="GJ34" s="35">
        <f>IF(N('Dvd Calendar'!$V$260)=0,"",IF(('Dvd Calendar'!$V$260&gt;=GRID_FROM)*('Dvd Calendar'!$V$260&lt;=GRID_TO)*('Dvd Calendar'!$V$260&gt;VAL_DATE)=0,"",'Dvd Calendar'!$V$260*1000000000+ISNUMBER('Dvd Calendar'!$V$261)*100000000+0*10000000+(N('Dvd Calendar'!$V$259)&gt;0)*(N('Dvd Calendar'!$V$259)&lt;=VAL_SERIAL)*1000000+23*1000+58))</f>
        <v/>
      </c>
      <c r="GK34" s="35">
        <f>IF(N('Dvd Calendar'!$W$260)=0,"",IF(('Dvd Calendar'!$W$260&gt;=GRID_FROM)*('Dvd Calendar'!$W$260&lt;=GRID_TO)*('Dvd Calendar'!$W$260&gt;VAL_DATE)=0,"",'Dvd Calendar'!$W$260*1000000000+ISNUMBER('Dvd Calendar'!$W$261)*100000000+0*10000000+(N('Dvd Calendar'!$W$259)&gt;0)*(N('Dvd Calendar'!$W$259)&lt;=VAL_SERIAL)*1000000+23*1000+59))</f>
        <v/>
      </c>
      <c r="GL34" s="35">
        <f>IF(N('Dvd Calendar'!$X$260)=0,"",IF(('Dvd Calendar'!$X$260&gt;=GRID_FROM)*('Dvd Calendar'!$X$260&lt;=GRID_TO)*('Dvd Calendar'!$X$260&gt;VAL_DATE)=0,"",'Dvd Calendar'!$X$260*1000000000+ISNUMBER('Dvd Calendar'!$X$261)*100000000+0*10000000+(N('Dvd Calendar'!$X$259)&gt;0)*(N('Dvd Calendar'!$X$259)&lt;=VAL_SERIAL)*1000000+23*1000+60))</f>
        <v/>
      </c>
      <c r="GM34" s="35">
        <f>IF(N('Dvd Calendar'!$Y$260)=0,"",IF(('Dvd Calendar'!$Y$260&gt;=GRID_FROM)*('Dvd Calendar'!$Y$260&lt;=GRID_TO)*('Dvd Calendar'!$Y$260&gt;VAL_DATE)=0,"",'Dvd Calendar'!$Y$260*1000000000+ISNUMBER('Dvd Calendar'!$Y$261)*100000000+0*10000000+(N('Dvd Calendar'!$Y$259)&gt;0)*(N('Dvd Calendar'!$Y$259)&lt;=VAL_SERIAL)*1000000+23*1000+61))</f>
        <v/>
      </c>
      <c r="GN34" s="35">
        <f>IF(N('Dvd Calendar'!$Z$260)=0,"",IF(('Dvd Calendar'!$Z$260&gt;=GRID_FROM)*('Dvd Calendar'!$Z$260&lt;=GRID_TO)*('Dvd Calendar'!$Z$260&gt;VAL_DATE)=0,"",'Dvd Calendar'!$Z$260*1000000000+ISNUMBER('Dvd Calendar'!$Z$261)*100000000+0*10000000+(N('Dvd Calendar'!$Z$259)&gt;0)*(N('Dvd Calendar'!$Z$259)&lt;=VAL_SERIAL)*1000000+23*1000+62))</f>
        <v/>
      </c>
      <c r="GO34" s="35">
        <f>IF(N('Dvd Calendar'!$AA$260)=0,"",IF(('Dvd Calendar'!$AA$260&gt;=GRID_FROM)*('Dvd Calendar'!$AA$260&lt;=GRID_TO)*('Dvd Calendar'!$AA$260&gt;VAL_DATE)=0,"",'Dvd Calendar'!$AA$260*1000000000+ISNUMBER('Dvd Calendar'!$AA$261)*100000000+0*10000000+(N('Dvd Calendar'!$AA$259)&gt;0)*(N('Dvd Calendar'!$AA$259)&lt;=VAL_SERIAL)*1000000+23*1000+63))</f>
        <v/>
      </c>
      <c r="GP34" s="35">
        <f>IF(N('Dvd Calendar'!$AB$260)=0,"",IF(('Dvd Calendar'!$AB$260&gt;=GRID_FROM)*('Dvd Calendar'!$AB$260&lt;=GRID_TO)*('Dvd Calendar'!$AB$260&gt;VAL_DATE)=0,"",'Dvd Calendar'!$AB$260*1000000000+ISNUMBER('Dvd Calendar'!$AB$261)*100000000+0*10000000+(N('Dvd Calendar'!$AB$259)&gt;0)*(N('Dvd Calendar'!$AB$259)&lt;=VAL_SERIAL)*1000000+23*1000+64))</f>
        <v/>
      </c>
      <c r="GQ34" s="35">
        <f>IF(N('Dvd Calendar'!$AC$260)=0,"",IF(('Dvd Calendar'!$AC$260&gt;=GRID_FROM)*('Dvd Calendar'!$AC$260&lt;=GRID_TO)*('Dvd Calendar'!$AC$260&gt;VAL_DATE)=0,"",'Dvd Calendar'!$AC$260*1000000000+ISNUMBER('Dvd Calendar'!$AC$261)*100000000+0*10000000+(N('Dvd Calendar'!$AC$259)&gt;0)*(N('Dvd Calendar'!$AC$259)&lt;=VAL_SERIAL)*1000000+23*1000+65))</f>
        <v/>
      </c>
    </row>
    <row r="35">
      <c r="B35" s="2">
        <f>IF(HSI!$C$30="","",HSI!$C$30)</f>
        <v/>
      </c>
      <c r="C35" s="106">
        <f>IF(EE35="","",IF(ISNUMBER('Dvd Calendar'!$E$267)=FALSE,"",IF((('Dvd Calendar'!$E$269=TYPE1)*(TYPE1&lt;&gt;"")+('Dvd Calendar'!$E$269=TYPE2)*(TYPE2&lt;&gt;"")+('Dvd Calendar'!$E$269=TYPE3)*(TYPE3&lt;&gt;"")+('Dvd Calendar'!$E$269=TYPE4)*(TYPE4&lt;&gt;"")+('Dvd Calendar'!$E$269=SPECIAL_LBL)*(INC_SPECIALS="Y"))=0,"",'Dvd Calendar'!$E$267)))</f>
        <v/>
      </c>
      <c r="D35" s="106">
        <f>IF(EF35="","",IF(ISNUMBER('Dvd Calendar'!$F$267)=FALSE,"",IF((('Dvd Calendar'!$F$269=TYPE1)*(TYPE1&lt;&gt;"")+('Dvd Calendar'!$F$269=TYPE2)*(TYPE2&lt;&gt;"")+('Dvd Calendar'!$F$269=TYPE3)*(TYPE3&lt;&gt;"")+('Dvd Calendar'!$F$269=TYPE4)*(TYPE4&lt;&gt;"")+('Dvd Calendar'!$F$269=SPECIAL_LBL)*(INC_SPECIALS="Y"))=0,"",'Dvd Calendar'!$F$267)))</f>
        <v/>
      </c>
      <c r="E35" s="106">
        <f>IF(EG35="","",IF(ISNUMBER('Dvd Calendar'!$G$267)=FALSE,"",IF((('Dvd Calendar'!$G$269=TYPE1)*(TYPE1&lt;&gt;"")+('Dvd Calendar'!$G$269=TYPE2)*(TYPE2&lt;&gt;"")+('Dvd Calendar'!$G$269=TYPE3)*(TYPE3&lt;&gt;"")+('Dvd Calendar'!$G$269=TYPE4)*(TYPE4&lt;&gt;"")+('Dvd Calendar'!$G$269=SPECIAL_LBL)*(INC_SPECIALS="Y"))=0,"",'Dvd Calendar'!$G$267)))</f>
        <v/>
      </c>
      <c r="F35" s="106">
        <f>IF(EH35="","",IF(ISNUMBER('Dvd Calendar'!$H$267)=FALSE,"",IF((('Dvd Calendar'!$H$269=TYPE1)*(TYPE1&lt;&gt;"")+('Dvd Calendar'!$H$269=TYPE2)*(TYPE2&lt;&gt;"")+('Dvd Calendar'!$H$269=TYPE3)*(TYPE3&lt;&gt;"")+('Dvd Calendar'!$H$269=TYPE4)*(TYPE4&lt;&gt;"")+('Dvd Calendar'!$H$269=SPECIAL_LBL)*(INC_SPECIALS="Y"))=0,"",'Dvd Calendar'!$H$267)))</f>
        <v/>
      </c>
      <c r="G35" s="106">
        <f>IF(EI35="","",IF(ISNUMBER('Dvd Calendar'!$I$267)=FALSE,"",IF((('Dvd Calendar'!$I$269=TYPE1)*(TYPE1&lt;&gt;"")+('Dvd Calendar'!$I$269=TYPE2)*(TYPE2&lt;&gt;"")+('Dvd Calendar'!$I$269=TYPE3)*(TYPE3&lt;&gt;"")+('Dvd Calendar'!$I$269=TYPE4)*(TYPE4&lt;&gt;"")+('Dvd Calendar'!$I$269=SPECIAL_LBL)*(INC_SPECIALS="Y"))=0,"",'Dvd Calendar'!$I$267)))</f>
        <v/>
      </c>
      <c r="H35" s="106">
        <f>IF(EJ35="","",IF(ISNUMBER('Dvd Calendar'!$J$267)=FALSE,"",IF((('Dvd Calendar'!$J$269=TYPE1)*(TYPE1&lt;&gt;"")+('Dvd Calendar'!$J$269=TYPE2)*(TYPE2&lt;&gt;"")+('Dvd Calendar'!$J$269=TYPE3)*(TYPE3&lt;&gt;"")+('Dvd Calendar'!$J$269=TYPE4)*(TYPE4&lt;&gt;"")+('Dvd Calendar'!$J$269=SPECIAL_LBL)*(INC_SPECIALS="Y"))=0,"",'Dvd Calendar'!$J$267)))</f>
        <v/>
      </c>
      <c r="I35" s="106">
        <f>IF(EK35="","",IF(ISNUMBER('Dvd Calendar'!$K$267)=FALSE,"",IF((('Dvd Calendar'!$K$269=TYPE1)*(TYPE1&lt;&gt;"")+('Dvd Calendar'!$K$269=TYPE2)*(TYPE2&lt;&gt;"")+('Dvd Calendar'!$K$269=TYPE3)*(TYPE3&lt;&gt;"")+('Dvd Calendar'!$K$269=TYPE4)*(TYPE4&lt;&gt;"")+('Dvd Calendar'!$K$269=SPECIAL_LBL)*(INC_SPECIALS="Y"))=0,"",'Dvd Calendar'!$K$267)))</f>
        <v/>
      </c>
      <c r="J35" s="106">
        <f>IF(EL35="","",IF(ISNUMBER('Dvd Calendar'!$L$267)=FALSE,"",IF((('Dvd Calendar'!$L$269=TYPE1)*(TYPE1&lt;&gt;"")+('Dvd Calendar'!$L$269=TYPE2)*(TYPE2&lt;&gt;"")+('Dvd Calendar'!$L$269=TYPE3)*(TYPE3&lt;&gt;"")+('Dvd Calendar'!$L$269=TYPE4)*(TYPE4&lt;&gt;"")+('Dvd Calendar'!$L$269=SPECIAL_LBL)*(INC_SPECIALS="Y"))=0,"",'Dvd Calendar'!$L$267)))</f>
        <v/>
      </c>
      <c r="K35" s="106">
        <f>IF(EM35="","",IF(ISNUMBER('Dvd Calendar'!$M$267)=FALSE,"",IF((('Dvd Calendar'!$M$269=TYPE1)*(TYPE1&lt;&gt;"")+('Dvd Calendar'!$M$269=TYPE2)*(TYPE2&lt;&gt;"")+('Dvd Calendar'!$M$269=TYPE3)*(TYPE3&lt;&gt;"")+('Dvd Calendar'!$M$269=TYPE4)*(TYPE4&lt;&gt;"")+('Dvd Calendar'!$M$269=SPECIAL_LBL)*(INC_SPECIALS="Y"))=0,"",'Dvd Calendar'!$M$267)))</f>
        <v/>
      </c>
      <c r="L35" s="106">
        <f>IF(EN35="","",IF(ISNUMBER('Dvd Calendar'!$N$267)=FALSE,"",IF((('Dvd Calendar'!$N$269=TYPE1)*(TYPE1&lt;&gt;"")+('Dvd Calendar'!$N$269=TYPE2)*(TYPE2&lt;&gt;"")+('Dvd Calendar'!$N$269=TYPE3)*(TYPE3&lt;&gt;"")+('Dvd Calendar'!$N$269=TYPE4)*(TYPE4&lt;&gt;"")+('Dvd Calendar'!$N$269=SPECIAL_LBL)*(INC_SPECIALS="Y"))=0,"",'Dvd Calendar'!$N$267)))</f>
        <v/>
      </c>
      <c r="M35" s="106">
        <f>IF(EO35="","",IF(ISNUMBER('Dvd Calendar'!$O$267)=FALSE,"",IF((('Dvd Calendar'!$O$269=TYPE1)*(TYPE1&lt;&gt;"")+('Dvd Calendar'!$O$269=TYPE2)*(TYPE2&lt;&gt;"")+('Dvd Calendar'!$O$269=TYPE3)*(TYPE3&lt;&gt;"")+('Dvd Calendar'!$O$269=TYPE4)*(TYPE4&lt;&gt;"")+('Dvd Calendar'!$O$269=SPECIAL_LBL)*(INC_SPECIALS="Y"))=0,"",'Dvd Calendar'!$O$267)))</f>
        <v/>
      </c>
      <c r="N35" s="106">
        <f>IF(EP35="","",IF(ISNUMBER('Dvd Calendar'!$P$267)=FALSE,"",IF((('Dvd Calendar'!$P$269=TYPE1)*(TYPE1&lt;&gt;"")+('Dvd Calendar'!$P$269=TYPE2)*(TYPE2&lt;&gt;"")+('Dvd Calendar'!$P$269=TYPE3)*(TYPE3&lt;&gt;"")+('Dvd Calendar'!$P$269=TYPE4)*(TYPE4&lt;&gt;"")+('Dvd Calendar'!$P$269=SPECIAL_LBL)*(INC_SPECIALS="Y"))=0,"",'Dvd Calendar'!$P$267)))</f>
        <v/>
      </c>
      <c r="O35" s="106">
        <f>IF(EQ35="","",IF(ISNUMBER('Dvd Calendar'!$Q$267)=FALSE,"",IF((('Dvd Calendar'!$Q$269=TYPE1)*(TYPE1&lt;&gt;"")+('Dvd Calendar'!$Q$269=TYPE2)*(TYPE2&lt;&gt;"")+('Dvd Calendar'!$Q$269=TYPE3)*(TYPE3&lt;&gt;"")+('Dvd Calendar'!$Q$269=TYPE4)*(TYPE4&lt;&gt;"")+('Dvd Calendar'!$Q$269=SPECIAL_LBL)*(INC_SPECIALS="Y"))=0,"",'Dvd Calendar'!$Q$267)))</f>
        <v/>
      </c>
      <c r="P35" s="106">
        <f>IF(ER35="","",IF(ISNUMBER('Dvd Calendar'!$R$267)=FALSE,"",IF((('Dvd Calendar'!$R$269=TYPE1)*(TYPE1&lt;&gt;"")+('Dvd Calendar'!$R$269=TYPE2)*(TYPE2&lt;&gt;"")+('Dvd Calendar'!$R$269=TYPE3)*(TYPE3&lt;&gt;"")+('Dvd Calendar'!$R$269=TYPE4)*(TYPE4&lt;&gt;"")+('Dvd Calendar'!$R$269=SPECIAL_LBL)*(INC_SPECIALS="Y"))=0,"",'Dvd Calendar'!$R$267)))</f>
        <v/>
      </c>
      <c r="Q35" s="106">
        <f>IF(ES35="","",IF(ISNUMBER('Dvd Calendar'!$S$267)=FALSE,"",IF((('Dvd Calendar'!$S$269=TYPE1)*(TYPE1&lt;&gt;"")+('Dvd Calendar'!$S$269=TYPE2)*(TYPE2&lt;&gt;"")+('Dvd Calendar'!$S$269=TYPE3)*(TYPE3&lt;&gt;"")+('Dvd Calendar'!$S$269=TYPE4)*(TYPE4&lt;&gt;"")+('Dvd Calendar'!$S$269=SPECIAL_LBL)*(INC_SPECIALS="Y"))=0,"",'Dvd Calendar'!$S$267)))</f>
        <v/>
      </c>
      <c r="R35" s="106">
        <f>IF(ET35="","",IF(ISNUMBER('Dvd Calendar'!$T$267)=FALSE,"",IF((('Dvd Calendar'!$T$269=TYPE1)*(TYPE1&lt;&gt;"")+('Dvd Calendar'!$T$269=TYPE2)*(TYPE2&lt;&gt;"")+('Dvd Calendar'!$T$269=TYPE3)*(TYPE3&lt;&gt;"")+('Dvd Calendar'!$T$269=TYPE4)*(TYPE4&lt;&gt;"")+('Dvd Calendar'!$T$269=SPECIAL_LBL)*(INC_SPECIALS="Y"))=0,"",'Dvd Calendar'!$T$267)))</f>
        <v/>
      </c>
      <c r="S35" s="106">
        <f>IF(EU35="","",IF(ISNUMBER('Dvd Calendar'!$U$267)=FALSE,"",IF((('Dvd Calendar'!$U$269=TYPE1)*(TYPE1&lt;&gt;"")+('Dvd Calendar'!$U$269=TYPE2)*(TYPE2&lt;&gt;"")+('Dvd Calendar'!$U$269=TYPE3)*(TYPE3&lt;&gt;"")+('Dvd Calendar'!$U$269=TYPE4)*(TYPE4&lt;&gt;"")+('Dvd Calendar'!$U$269=SPECIAL_LBL)*(INC_SPECIALS="Y"))=0,"",'Dvd Calendar'!$U$267)))</f>
        <v/>
      </c>
      <c r="T35" s="106">
        <f>IF(EV35="","",IF(ISNUMBER('Dvd Calendar'!$V$267)=FALSE,"",IF((('Dvd Calendar'!$V$269=TYPE1)*(TYPE1&lt;&gt;"")+('Dvd Calendar'!$V$269=TYPE2)*(TYPE2&lt;&gt;"")+('Dvd Calendar'!$V$269=TYPE3)*(TYPE3&lt;&gt;"")+('Dvd Calendar'!$V$269=TYPE4)*(TYPE4&lt;&gt;"")+('Dvd Calendar'!$V$269=SPECIAL_LBL)*(INC_SPECIALS="Y"))=0,"",'Dvd Calendar'!$V$267)))</f>
        <v/>
      </c>
      <c r="U35" s="106">
        <f>IF(EW35="","",IF(ISNUMBER('Dvd Calendar'!$W$267)=FALSE,"",IF((('Dvd Calendar'!$W$269=TYPE1)*(TYPE1&lt;&gt;"")+('Dvd Calendar'!$W$269=TYPE2)*(TYPE2&lt;&gt;"")+('Dvd Calendar'!$W$269=TYPE3)*(TYPE3&lt;&gt;"")+('Dvd Calendar'!$W$269=TYPE4)*(TYPE4&lt;&gt;"")+('Dvd Calendar'!$W$269=SPECIAL_LBL)*(INC_SPECIALS="Y"))=0,"",'Dvd Calendar'!$W$267)))</f>
        <v/>
      </c>
      <c r="V35" s="106">
        <f>IF(EX35="","",IF(ISNUMBER('Dvd Calendar'!$X$267)=FALSE,"",IF((('Dvd Calendar'!$X$269=TYPE1)*(TYPE1&lt;&gt;"")+('Dvd Calendar'!$X$269=TYPE2)*(TYPE2&lt;&gt;"")+('Dvd Calendar'!$X$269=TYPE3)*(TYPE3&lt;&gt;"")+('Dvd Calendar'!$X$269=TYPE4)*(TYPE4&lt;&gt;"")+('Dvd Calendar'!$X$269=SPECIAL_LBL)*(INC_SPECIALS="Y"))=0,"",'Dvd Calendar'!$X$267)))</f>
        <v/>
      </c>
      <c r="W35" s="106">
        <f>IF(EY35="","",IF(ISNUMBER('Dvd Calendar'!$Y$267)=FALSE,"",IF((('Dvd Calendar'!$Y$269=TYPE1)*(TYPE1&lt;&gt;"")+('Dvd Calendar'!$Y$269=TYPE2)*(TYPE2&lt;&gt;"")+('Dvd Calendar'!$Y$269=TYPE3)*(TYPE3&lt;&gt;"")+('Dvd Calendar'!$Y$269=TYPE4)*(TYPE4&lt;&gt;"")+('Dvd Calendar'!$Y$269=SPECIAL_LBL)*(INC_SPECIALS="Y"))=0,"",'Dvd Calendar'!$Y$267)))</f>
        <v/>
      </c>
      <c r="X35" s="106">
        <f>IF(EZ35="","",IF(ISNUMBER('Dvd Calendar'!$Z$267)=FALSE,"",IF((('Dvd Calendar'!$Z$269=TYPE1)*(TYPE1&lt;&gt;"")+('Dvd Calendar'!$Z$269=TYPE2)*(TYPE2&lt;&gt;"")+('Dvd Calendar'!$Z$269=TYPE3)*(TYPE3&lt;&gt;"")+('Dvd Calendar'!$Z$269=TYPE4)*(TYPE4&lt;&gt;"")+('Dvd Calendar'!$Z$269=SPECIAL_LBL)*(INC_SPECIALS="Y"))=0,"",'Dvd Calendar'!$Z$267)))</f>
        <v/>
      </c>
      <c r="Y35" s="106">
        <f>IF(FA35="","",IF(ISNUMBER('Dvd Calendar'!$AA$267)=FALSE,"",IF((('Dvd Calendar'!$AA$269=TYPE1)*(TYPE1&lt;&gt;"")+('Dvd Calendar'!$AA$269=TYPE2)*(TYPE2&lt;&gt;"")+('Dvd Calendar'!$AA$269=TYPE3)*(TYPE3&lt;&gt;"")+('Dvd Calendar'!$AA$269=TYPE4)*(TYPE4&lt;&gt;"")+('Dvd Calendar'!$AA$269=SPECIAL_LBL)*(INC_SPECIALS="Y"))=0,"",'Dvd Calendar'!$AA$267)))</f>
        <v/>
      </c>
      <c r="Z35" s="106">
        <f>IF(FB35="","",IF(ISNUMBER('Dvd Calendar'!$AB$267)=FALSE,"",IF((('Dvd Calendar'!$AB$269=TYPE1)*(TYPE1&lt;&gt;"")+('Dvd Calendar'!$AB$269=TYPE2)*(TYPE2&lt;&gt;"")+('Dvd Calendar'!$AB$269=TYPE3)*(TYPE3&lt;&gt;"")+('Dvd Calendar'!$AB$269=TYPE4)*(TYPE4&lt;&gt;"")+('Dvd Calendar'!$AB$269=SPECIAL_LBL)*(INC_SPECIALS="Y"))=0,"",'Dvd Calendar'!$AB$267)))</f>
        <v/>
      </c>
      <c r="AA35" s="106">
        <f>IF(FC35="","",IF(ISNUMBER('Dvd Calendar'!$AC$267)=FALSE,"",IF((('Dvd Calendar'!$AC$269=TYPE1)*(TYPE1&lt;&gt;"")+('Dvd Calendar'!$AC$269=TYPE2)*(TYPE2&lt;&gt;"")+('Dvd Calendar'!$AC$269=TYPE3)*(TYPE3&lt;&gt;"")+('Dvd Calendar'!$AC$269=TYPE4)*(TYPE4&lt;&gt;"")+('Dvd Calendar'!$AC$269=SPECIAL_LBL)*(INC_SPECIALS="Y"))=0,"",'Dvd Calendar'!$AC$267)))</f>
        <v/>
      </c>
      <c r="AB35" s="106">
        <f>IF(FD35="","",IF(ISNUMBER('Dvd Calendar'!$AD$267)=FALSE,"",IF((('Dvd Calendar'!$AD$269=TYPE1)*(TYPE1&lt;&gt;"")+('Dvd Calendar'!$AD$269=TYPE2)*(TYPE2&lt;&gt;"")+('Dvd Calendar'!$AD$269=TYPE3)*(TYPE3&lt;&gt;"")+('Dvd Calendar'!$AD$269=TYPE4)*(TYPE4&lt;&gt;"")+('Dvd Calendar'!$AD$269=SPECIAL_LBL)*(INC_SPECIALS="Y"))=0,"",'Dvd Calendar'!$AD$267)))</f>
        <v/>
      </c>
      <c r="AC35" s="106">
        <f>IF(FE35="","",IF(ISNUMBER('Dvd Calendar'!$AE$267)=FALSE,"",IF((('Dvd Calendar'!$AE$269=TYPE1)*(TYPE1&lt;&gt;"")+('Dvd Calendar'!$AE$269=TYPE2)*(TYPE2&lt;&gt;"")+('Dvd Calendar'!$AE$269=TYPE3)*(TYPE3&lt;&gt;"")+('Dvd Calendar'!$AE$269=TYPE4)*(TYPE4&lt;&gt;"")+('Dvd Calendar'!$AE$269=SPECIAL_LBL)*(INC_SPECIALS="Y"))=0,"",'Dvd Calendar'!$AE$267)))</f>
        <v/>
      </c>
      <c r="AD35" s="106">
        <f>IF(FF35="","",IF(ISNUMBER('Dvd Calendar'!$AF$267)=FALSE,"",IF((('Dvd Calendar'!$AF$269=TYPE1)*(TYPE1&lt;&gt;"")+('Dvd Calendar'!$AF$269=TYPE2)*(TYPE2&lt;&gt;"")+('Dvd Calendar'!$AF$269=TYPE3)*(TYPE3&lt;&gt;"")+('Dvd Calendar'!$AF$269=TYPE4)*(TYPE4&lt;&gt;"")+('Dvd Calendar'!$AF$269=SPECIAL_LBL)*(INC_SPECIALS="Y"))=0,"",'Dvd Calendar'!$AF$267)))</f>
        <v/>
      </c>
      <c r="AE35" s="106">
        <f>IF(FG35="","",IF(ISNUMBER('Dvd Calendar'!$AG$267)=FALSE,"",IF((('Dvd Calendar'!$AG$269=TYPE1)*(TYPE1&lt;&gt;"")+('Dvd Calendar'!$AG$269=TYPE2)*(TYPE2&lt;&gt;"")+('Dvd Calendar'!$AG$269=TYPE3)*(TYPE3&lt;&gt;"")+('Dvd Calendar'!$AG$269=TYPE4)*(TYPE4&lt;&gt;"")+('Dvd Calendar'!$AG$269=SPECIAL_LBL)*(INC_SPECIALS="Y"))=0,"",'Dvd Calendar'!$AG$267)))</f>
        <v/>
      </c>
      <c r="AF35" s="106">
        <f>IF(FH35="","",IF(ISNUMBER('Dvd Calendar'!$AH$267)=FALSE,"",IF((('Dvd Calendar'!$AH$269=TYPE1)*(TYPE1&lt;&gt;"")+('Dvd Calendar'!$AH$269=TYPE2)*(TYPE2&lt;&gt;"")+('Dvd Calendar'!$AH$269=TYPE3)*(TYPE3&lt;&gt;"")+('Dvd Calendar'!$AH$269=TYPE4)*(TYPE4&lt;&gt;"")+('Dvd Calendar'!$AH$269=SPECIAL_LBL)*(INC_SPECIALS="Y"))=0,"",'Dvd Calendar'!$AH$267)))</f>
        <v/>
      </c>
      <c r="AG35" s="106">
        <f>IF(FI35="","",IF(ISNUMBER('Dvd Calendar'!$AI$267)=FALSE,"",IF((('Dvd Calendar'!$AI$269=TYPE1)*(TYPE1&lt;&gt;"")+('Dvd Calendar'!$AI$269=TYPE2)*(TYPE2&lt;&gt;"")+('Dvd Calendar'!$AI$269=TYPE3)*(TYPE3&lt;&gt;"")+('Dvd Calendar'!$AI$269=TYPE4)*(TYPE4&lt;&gt;"")+('Dvd Calendar'!$AI$269=SPECIAL_LBL)*(INC_SPECIALS="Y"))=0,"",'Dvd Calendar'!$AI$267)))</f>
        <v/>
      </c>
      <c r="AH35" s="106">
        <f>IF(FJ35="","",IF(ISNUMBER('Dvd Calendar'!$AJ$267)=FALSE,"",IF((('Dvd Calendar'!$AJ$269=TYPE1)*(TYPE1&lt;&gt;"")+('Dvd Calendar'!$AJ$269=TYPE2)*(TYPE2&lt;&gt;"")+('Dvd Calendar'!$AJ$269=TYPE3)*(TYPE3&lt;&gt;"")+('Dvd Calendar'!$AJ$269=TYPE4)*(TYPE4&lt;&gt;"")+('Dvd Calendar'!$AJ$269=SPECIAL_LBL)*(INC_SPECIALS="Y"))=0,"",'Dvd Calendar'!$AJ$267)))</f>
        <v/>
      </c>
      <c r="AI35" s="106">
        <f>IF(FK35="","",IF(ISNUMBER('Dvd Calendar'!$AK$267)=FALSE,"",IF((('Dvd Calendar'!$AK$269=TYPE1)*(TYPE1&lt;&gt;"")+('Dvd Calendar'!$AK$269=TYPE2)*(TYPE2&lt;&gt;"")+('Dvd Calendar'!$AK$269=TYPE3)*(TYPE3&lt;&gt;"")+('Dvd Calendar'!$AK$269=TYPE4)*(TYPE4&lt;&gt;"")+('Dvd Calendar'!$AK$269=SPECIAL_LBL)*(INC_SPECIALS="Y"))=0,"",'Dvd Calendar'!$AK$267)))</f>
        <v/>
      </c>
      <c r="AJ35" s="106">
        <f>IF(FL35="","",IF(ISNUMBER('Dvd Calendar'!$AL$267)=FALSE,"",IF((('Dvd Calendar'!$AL$269=TYPE1)*(TYPE1&lt;&gt;"")+('Dvd Calendar'!$AL$269=TYPE2)*(TYPE2&lt;&gt;"")+('Dvd Calendar'!$AL$269=TYPE3)*(TYPE3&lt;&gt;"")+('Dvd Calendar'!$AL$269=TYPE4)*(TYPE4&lt;&gt;"")+('Dvd Calendar'!$AL$269=SPECIAL_LBL)*(INC_SPECIALS="Y"))=0,"",'Dvd Calendar'!$AL$267)))</f>
        <v/>
      </c>
      <c r="AK35" s="106">
        <f>IF(FM35="","",IF(ISNUMBER('Dvd Calendar'!$AM$267)=FALSE,"",IF((('Dvd Calendar'!$AM$269=TYPE1)*(TYPE1&lt;&gt;"")+('Dvd Calendar'!$AM$269=TYPE2)*(TYPE2&lt;&gt;"")+('Dvd Calendar'!$AM$269=TYPE3)*(TYPE3&lt;&gt;"")+('Dvd Calendar'!$AM$269=TYPE4)*(TYPE4&lt;&gt;"")+('Dvd Calendar'!$AM$269=SPECIAL_LBL)*(INC_SPECIALS="Y"))=0,"",'Dvd Calendar'!$AM$267)))</f>
        <v/>
      </c>
      <c r="AL35" s="106">
        <f>IF(FN35="","",IF(ISNUMBER('Dvd Calendar'!$AN$267)=FALSE,"",IF((('Dvd Calendar'!$AN$269=TYPE1)*(TYPE1&lt;&gt;"")+('Dvd Calendar'!$AN$269=TYPE2)*(TYPE2&lt;&gt;"")+('Dvd Calendar'!$AN$269=TYPE3)*(TYPE3&lt;&gt;"")+('Dvd Calendar'!$AN$269=TYPE4)*(TYPE4&lt;&gt;"")+('Dvd Calendar'!$AN$269=SPECIAL_LBL)*(INC_SPECIALS="Y"))=0,"",'Dvd Calendar'!$AN$267)))</f>
        <v/>
      </c>
      <c r="AM35" s="106">
        <f>IF(FO35="","",IF(ISNUMBER('Dvd Calendar'!$AO$267)=FALSE,"",IF((('Dvd Calendar'!$AO$269=TYPE1)*(TYPE1&lt;&gt;"")+('Dvd Calendar'!$AO$269=TYPE2)*(TYPE2&lt;&gt;"")+('Dvd Calendar'!$AO$269=TYPE3)*(TYPE3&lt;&gt;"")+('Dvd Calendar'!$AO$269=TYPE4)*(TYPE4&lt;&gt;"")+('Dvd Calendar'!$AO$269=SPECIAL_LBL)*(INC_SPECIALS="Y"))=0,"",'Dvd Calendar'!$AO$267)))</f>
        <v/>
      </c>
      <c r="AN35" s="106">
        <f>IF(FP35="","",IF(ISNUMBER('Dvd Calendar'!$AP$267)=FALSE,"",IF((('Dvd Calendar'!$AP$269=TYPE1)*(TYPE1&lt;&gt;"")+('Dvd Calendar'!$AP$269=TYPE2)*(TYPE2&lt;&gt;"")+('Dvd Calendar'!$AP$269=TYPE3)*(TYPE3&lt;&gt;"")+('Dvd Calendar'!$AP$269=TYPE4)*(TYPE4&lt;&gt;"")+('Dvd Calendar'!$AP$269=SPECIAL_LBL)*(INC_SPECIALS="Y"))=0,"",'Dvd Calendar'!$AP$267)))</f>
        <v/>
      </c>
      <c r="AO35" s="106">
        <f>IF(FQ35="","",IF(ISNUMBER('Dvd Calendar'!$AQ$267)=FALSE,"",IF((('Dvd Calendar'!$AQ$269=TYPE1)*(TYPE1&lt;&gt;"")+('Dvd Calendar'!$AQ$269=TYPE2)*(TYPE2&lt;&gt;"")+('Dvd Calendar'!$AQ$269=TYPE3)*(TYPE3&lt;&gt;"")+('Dvd Calendar'!$AQ$269=TYPE4)*(TYPE4&lt;&gt;"")+('Dvd Calendar'!$AQ$269=SPECIAL_LBL)*(INC_SPECIALS="Y"))=0,"",'Dvd Calendar'!$AQ$267)))</f>
        <v/>
      </c>
      <c r="AP35" s="106">
        <f>IF(FR35="","",IF(ISNUMBER('Dvd Calendar'!$AR$267)=FALSE,"",IF((('Dvd Calendar'!$AR$269=TYPE1)*(TYPE1&lt;&gt;"")+('Dvd Calendar'!$AR$269=TYPE2)*(TYPE2&lt;&gt;"")+('Dvd Calendar'!$AR$269=TYPE3)*(TYPE3&lt;&gt;"")+('Dvd Calendar'!$AR$269=TYPE4)*(TYPE4&lt;&gt;"")+('Dvd Calendar'!$AR$269=SPECIAL_LBL)*(INC_SPECIALS="Y"))=0,"",'Dvd Calendar'!$AR$267)))</f>
        <v/>
      </c>
      <c r="AQ35" s="106">
        <f>IF(FS35="","",IF(ISNUMBER('Dvd Calendar'!$E$272)=FALSE,"",'Dvd Calendar'!$E$272))</f>
        <v/>
      </c>
      <c r="AR35" s="106">
        <f>IF(FT35="","",IF(ISNUMBER('Dvd Calendar'!$F$272)=FALSE,"",'Dvd Calendar'!$F$272))</f>
        <v/>
      </c>
      <c r="AS35" s="106">
        <f>IF(FU35="","",IF(ISNUMBER('Dvd Calendar'!$G$272)=FALSE,"",'Dvd Calendar'!$G$272))</f>
        <v/>
      </c>
      <c r="AT35" s="106">
        <f>IF(FV35="","",IF(ISNUMBER('Dvd Calendar'!$H$272)=FALSE,"",'Dvd Calendar'!$H$272))</f>
        <v/>
      </c>
      <c r="AU35" s="106">
        <f>IF(FW35="","",IF(ISNUMBER('Dvd Calendar'!$I$272)=FALSE,"",'Dvd Calendar'!$I$272))</f>
        <v/>
      </c>
      <c r="AV35" s="106">
        <f>IF(FX35="","",IF(ISNUMBER('Dvd Calendar'!$J$272)=FALSE,"",'Dvd Calendar'!$J$272))</f>
        <v/>
      </c>
      <c r="AW35" s="106">
        <f>IF(FY35="","",IF(ISNUMBER('Dvd Calendar'!$K$272)=FALSE,"",'Dvd Calendar'!$K$272))</f>
        <v/>
      </c>
      <c r="AX35" s="106">
        <f>IF(FZ35="","",IF(ISNUMBER('Dvd Calendar'!$L$272)=FALSE,"",'Dvd Calendar'!$L$272))</f>
        <v/>
      </c>
      <c r="AY35" s="106">
        <f>IF(GA35="","",IF(ISNUMBER('Dvd Calendar'!$M$272)=FALSE,"",'Dvd Calendar'!$M$272))</f>
        <v/>
      </c>
      <c r="AZ35" s="106">
        <f>IF(GB35="","",IF(ISNUMBER('Dvd Calendar'!$N$272)=FALSE,"",'Dvd Calendar'!$N$272))</f>
        <v/>
      </c>
      <c r="BA35" s="106">
        <f>IF(GC35="","",IF(ISNUMBER('Dvd Calendar'!$O$272)=FALSE,"",'Dvd Calendar'!$O$272))</f>
        <v/>
      </c>
      <c r="BB35" s="106">
        <f>IF(GD35="","",IF(ISNUMBER('Dvd Calendar'!$P$272)=FALSE,"",'Dvd Calendar'!$P$272))</f>
        <v/>
      </c>
      <c r="BC35" s="106">
        <f>IF(GE35="","",IF(ISNUMBER('Dvd Calendar'!$Q$272)=FALSE,"",'Dvd Calendar'!$Q$272))</f>
        <v/>
      </c>
      <c r="BD35" s="106">
        <f>IF(GF35="","",IF(ISNUMBER('Dvd Calendar'!$R$272)=FALSE,"",'Dvd Calendar'!$R$272))</f>
        <v/>
      </c>
      <c r="BE35" s="106">
        <f>IF(GG35="","",IF(ISNUMBER('Dvd Calendar'!$S$272)=FALSE,"",'Dvd Calendar'!$S$272))</f>
        <v/>
      </c>
      <c r="BF35" s="106">
        <f>IF(GH35="","",IF(ISNUMBER('Dvd Calendar'!$T$272)=FALSE,"",'Dvd Calendar'!$T$272))</f>
        <v/>
      </c>
      <c r="BG35" s="106">
        <f>IF(GI35="","",IF(ISNUMBER('Dvd Calendar'!$U$272)=FALSE,"",'Dvd Calendar'!$U$272))</f>
        <v/>
      </c>
      <c r="BH35" s="106">
        <f>IF(GJ35="","",IF(ISNUMBER('Dvd Calendar'!$V$272)=FALSE,"",'Dvd Calendar'!$V$272))</f>
        <v/>
      </c>
      <c r="BI35" s="106">
        <f>IF(GK35="","",IF(ISNUMBER('Dvd Calendar'!$W$272)=FALSE,"",'Dvd Calendar'!$W$272))</f>
        <v/>
      </c>
      <c r="BJ35" s="106">
        <f>IF(GL35="","",IF(ISNUMBER('Dvd Calendar'!$X$272)=FALSE,"",'Dvd Calendar'!$X$272))</f>
        <v/>
      </c>
      <c r="BK35" s="106">
        <f>IF(GM35="","",IF(ISNUMBER('Dvd Calendar'!$Y$272)=FALSE,"",'Dvd Calendar'!$Y$272))</f>
        <v/>
      </c>
      <c r="BL35" s="106">
        <f>IF(GN35="","",IF(ISNUMBER('Dvd Calendar'!$Z$272)=FALSE,"",'Dvd Calendar'!$Z$272))</f>
        <v/>
      </c>
      <c r="BM35" s="106">
        <f>IF(GO35="","",IF(ISNUMBER('Dvd Calendar'!$AA$272)=FALSE,"",'Dvd Calendar'!$AA$272))</f>
        <v/>
      </c>
      <c r="BN35" s="106">
        <f>IF(GP35="","",IF(ISNUMBER('Dvd Calendar'!$AB$272)=FALSE,"",'Dvd Calendar'!$AB$272))</f>
        <v/>
      </c>
      <c r="BO35" s="106">
        <f>IF(GQ35="","",IF(ISNUMBER('Dvd Calendar'!$AC$272)=FALSE,"",'Dvd Calendar'!$AC$272))</f>
        <v/>
      </c>
      <c r="BQ35" s="106">
        <f>IF(C35="","",IFERROR(C35*HSI!$B$30*HSI!$G$30/HSI!$B$3,""))</f>
        <v/>
      </c>
      <c r="BR35" s="106">
        <f>IF(D35="","",IFERROR(D35*HSI!$B$30*HSI!$G$30/HSI!$B$3,""))</f>
        <v/>
      </c>
      <c r="BS35" s="106">
        <f>IF(E35="","",IFERROR(E35*HSI!$B$30*HSI!$G$30/HSI!$B$3,""))</f>
        <v/>
      </c>
      <c r="BT35" s="106">
        <f>IF(F35="","",IFERROR(F35*HSI!$B$30*HSI!$G$30/HSI!$B$3,""))</f>
        <v/>
      </c>
      <c r="BU35" s="106">
        <f>IF(G35="","",IFERROR(G35*HSI!$B$30*HSI!$G$30/HSI!$B$3,""))</f>
        <v/>
      </c>
      <c r="BV35" s="106">
        <f>IF(H35="","",IFERROR(H35*HSI!$B$30*HSI!$G$30/HSI!$B$3,""))</f>
        <v/>
      </c>
      <c r="BW35" s="106">
        <f>IF(I35="","",IFERROR(I35*HSI!$B$30*HSI!$G$30/HSI!$B$3,""))</f>
        <v/>
      </c>
      <c r="BX35" s="106">
        <f>IF(J35="","",IFERROR(J35*HSI!$B$30*HSI!$G$30/HSI!$B$3,""))</f>
        <v/>
      </c>
      <c r="BY35" s="106">
        <f>IF(K35="","",IFERROR(K35*HSI!$B$30*HSI!$G$30/HSI!$B$3,""))</f>
        <v/>
      </c>
      <c r="BZ35" s="106">
        <f>IF(L35="","",IFERROR(L35*HSI!$B$30*HSI!$G$30/HSI!$B$3,""))</f>
        <v/>
      </c>
      <c r="CA35" s="106">
        <f>IF(M35="","",IFERROR(M35*HSI!$B$30*HSI!$G$30/HSI!$B$3,""))</f>
        <v/>
      </c>
      <c r="CB35" s="106">
        <f>IF(N35="","",IFERROR(N35*HSI!$B$30*HSI!$G$30/HSI!$B$3,""))</f>
        <v/>
      </c>
      <c r="CC35" s="106">
        <f>IF(O35="","",IFERROR(O35*HSI!$B$30*HSI!$G$30/HSI!$B$3,""))</f>
        <v/>
      </c>
      <c r="CD35" s="106">
        <f>IF(P35="","",IFERROR(P35*HSI!$B$30*HSI!$G$30/HSI!$B$3,""))</f>
        <v/>
      </c>
      <c r="CE35" s="106">
        <f>IF(Q35="","",IFERROR(Q35*HSI!$B$30*HSI!$G$30/HSI!$B$3,""))</f>
        <v/>
      </c>
      <c r="CF35" s="106">
        <f>IF(R35="","",IFERROR(R35*HSI!$B$30*HSI!$G$30/HSI!$B$3,""))</f>
        <v/>
      </c>
      <c r="CG35" s="106">
        <f>IF(S35="","",IFERROR(S35*HSI!$B$30*HSI!$G$30/HSI!$B$3,""))</f>
        <v/>
      </c>
      <c r="CH35" s="106">
        <f>IF(T35="","",IFERROR(T35*HSI!$B$30*HSI!$G$30/HSI!$B$3,""))</f>
        <v/>
      </c>
      <c r="CI35" s="106">
        <f>IF(U35="","",IFERROR(U35*HSI!$B$30*HSI!$G$30/HSI!$B$3,""))</f>
        <v/>
      </c>
      <c r="CJ35" s="106">
        <f>IF(V35="","",IFERROR(V35*HSI!$B$30*HSI!$G$30/HSI!$B$3,""))</f>
        <v/>
      </c>
      <c r="CK35" s="106">
        <f>IF(W35="","",IFERROR(W35*HSI!$B$30*HSI!$G$30/HSI!$B$3,""))</f>
        <v/>
      </c>
      <c r="CL35" s="106">
        <f>IF(X35="","",IFERROR(X35*HSI!$B$30*HSI!$G$30/HSI!$B$3,""))</f>
        <v/>
      </c>
      <c r="CM35" s="106">
        <f>IF(Y35="","",IFERROR(Y35*HSI!$B$30*HSI!$G$30/HSI!$B$3,""))</f>
        <v/>
      </c>
      <c r="CN35" s="106">
        <f>IF(Z35="","",IFERROR(Z35*HSI!$B$30*HSI!$G$30/HSI!$B$3,""))</f>
        <v/>
      </c>
      <c r="CO35" s="106">
        <f>IF(AA35="","",IFERROR(AA35*HSI!$B$30*HSI!$G$30/HSI!$B$3,""))</f>
        <v/>
      </c>
      <c r="CP35" s="106">
        <f>IF(AB35="","",IFERROR(AB35*HSI!$B$30*HSI!$G$30/HSI!$B$3,""))</f>
        <v/>
      </c>
      <c r="CQ35" s="106">
        <f>IF(AC35="","",IFERROR(AC35*HSI!$B$30*HSI!$G$30/HSI!$B$3,""))</f>
        <v/>
      </c>
      <c r="CR35" s="106">
        <f>IF(AD35="","",IFERROR(AD35*HSI!$B$30*HSI!$G$30/HSI!$B$3,""))</f>
        <v/>
      </c>
      <c r="CS35" s="106">
        <f>IF(AE35="","",IFERROR(AE35*HSI!$B$30*HSI!$G$30/HSI!$B$3,""))</f>
        <v/>
      </c>
      <c r="CT35" s="106">
        <f>IF(AF35="","",IFERROR(AF35*HSI!$B$30*HSI!$G$30/HSI!$B$3,""))</f>
        <v/>
      </c>
      <c r="CU35" s="106">
        <f>IF(AG35="","",IFERROR(AG35*HSI!$B$30*HSI!$G$30/HSI!$B$3,""))</f>
        <v/>
      </c>
      <c r="CV35" s="106">
        <f>IF(AH35="","",IFERROR(AH35*HSI!$B$30*HSI!$G$30/HSI!$B$3,""))</f>
        <v/>
      </c>
      <c r="CW35" s="106">
        <f>IF(AI35="","",IFERROR(AI35*HSI!$B$30*HSI!$G$30/HSI!$B$3,""))</f>
        <v/>
      </c>
      <c r="CX35" s="106">
        <f>IF(AJ35="","",IFERROR(AJ35*HSI!$B$30*HSI!$G$30/HSI!$B$3,""))</f>
        <v/>
      </c>
      <c r="CY35" s="106">
        <f>IF(AK35="","",IFERROR(AK35*HSI!$B$30*HSI!$G$30/HSI!$B$3,""))</f>
        <v/>
      </c>
      <c r="CZ35" s="106">
        <f>IF(AL35="","",IFERROR(AL35*HSI!$B$30*HSI!$G$30/HSI!$B$3,""))</f>
        <v/>
      </c>
      <c r="DA35" s="106">
        <f>IF(AM35="","",IFERROR(AM35*HSI!$B$30*HSI!$G$30/HSI!$B$3,""))</f>
        <v/>
      </c>
      <c r="DB35" s="106">
        <f>IF(AN35="","",IFERROR(AN35*HSI!$B$30*HSI!$G$30/HSI!$B$3,""))</f>
        <v/>
      </c>
      <c r="DC35" s="106">
        <f>IF(AO35="","",IFERROR(AO35*HSI!$B$30*HSI!$G$30/HSI!$B$3,""))</f>
        <v/>
      </c>
      <c r="DD35" s="106">
        <f>IF(AP35="","",IFERROR(AP35*HSI!$B$30*HSI!$G$30/HSI!$B$3,""))</f>
        <v/>
      </c>
      <c r="DE35" s="106">
        <f>IF(AQ35="","",IFERROR(AQ35*HSI!$B$30*HSI!$G$30/HSI!$B$3,""))</f>
        <v/>
      </c>
      <c r="DF35" s="106">
        <f>IF(AR35="","",IFERROR(AR35*HSI!$B$30*HSI!$G$30/HSI!$B$3,""))</f>
        <v/>
      </c>
      <c r="DG35" s="106">
        <f>IF(AS35="","",IFERROR(AS35*HSI!$B$30*HSI!$G$30/HSI!$B$3,""))</f>
        <v/>
      </c>
      <c r="DH35" s="106">
        <f>IF(AT35="","",IFERROR(AT35*HSI!$B$30*HSI!$G$30/HSI!$B$3,""))</f>
        <v/>
      </c>
      <c r="DI35" s="106">
        <f>IF(AU35="","",IFERROR(AU35*HSI!$B$30*HSI!$G$30/HSI!$B$3,""))</f>
        <v/>
      </c>
      <c r="DJ35" s="106">
        <f>IF(AV35="","",IFERROR(AV35*HSI!$B$30*HSI!$G$30/HSI!$B$3,""))</f>
        <v/>
      </c>
      <c r="DK35" s="106">
        <f>IF(AW35="","",IFERROR(AW35*HSI!$B$30*HSI!$G$30/HSI!$B$3,""))</f>
        <v/>
      </c>
      <c r="DL35" s="106">
        <f>IF(AX35="","",IFERROR(AX35*HSI!$B$30*HSI!$G$30/HSI!$B$3,""))</f>
        <v/>
      </c>
      <c r="DM35" s="106">
        <f>IF(AY35="","",IFERROR(AY35*HSI!$B$30*HSI!$G$30/HSI!$B$3,""))</f>
        <v/>
      </c>
      <c r="DN35" s="106">
        <f>IF(AZ35="","",IFERROR(AZ35*HSI!$B$30*HSI!$G$30/HSI!$B$3,""))</f>
        <v/>
      </c>
      <c r="DO35" s="106">
        <f>IF(BA35="","",IFERROR(BA35*HSI!$B$30*HSI!$G$30/HSI!$B$3,""))</f>
        <v/>
      </c>
      <c r="DP35" s="106">
        <f>IF(BB35="","",IFERROR(BB35*HSI!$B$30*HSI!$G$30/HSI!$B$3,""))</f>
        <v/>
      </c>
      <c r="DQ35" s="106">
        <f>IF(BC35="","",IFERROR(BC35*HSI!$B$30*HSI!$G$30/HSI!$B$3,""))</f>
        <v/>
      </c>
      <c r="DR35" s="106">
        <f>IF(BD35="","",IFERROR(BD35*HSI!$B$30*HSI!$G$30/HSI!$B$3,""))</f>
        <v/>
      </c>
      <c r="DS35" s="106">
        <f>IF(BE35="","",IFERROR(BE35*HSI!$B$30*HSI!$G$30/HSI!$B$3,""))</f>
        <v/>
      </c>
      <c r="DT35" s="106">
        <f>IF(BF35="","",IFERROR(BF35*HSI!$B$30*HSI!$G$30/HSI!$B$3,""))</f>
        <v/>
      </c>
      <c r="DU35" s="106">
        <f>IF(BG35="","",IFERROR(BG35*HSI!$B$30*HSI!$G$30/HSI!$B$3,""))</f>
        <v/>
      </c>
      <c r="DV35" s="106">
        <f>IF(BH35="","",IFERROR(BH35*HSI!$B$30*HSI!$G$30/HSI!$B$3,""))</f>
        <v/>
      </c>
      <c r="DW35" s="106">
        <f>IF(BI35="","",IFERROR(BI35*HSI!$B$30*HSI!$G$30/HSI!$B$3,""))</f>
        <v/>
      </c>
      <c r="DX35" s="106">
        <f>IF(BJ35="","",IFERROR(BJ35*HSI!$B$30*HSI!$G$30/HSI!$B$3,""))</f>
        <v/>
      </c>
      <c r="DY35" s="106">
        <f>IF(BK35="","",IFERROR(BK35*HSI!$B$30*HSI!$G$30/HSI!$B$3,""))</f>
        <v/>
      </c>
      <c r="DZ35" s="106">
        <f>IF(BL35="","",IFERROR(BL35*HSI!$B$30*HSI!$G$30/HSI!$B$3,""))</f>
        <v/>
      </c>
      <c r="EA35" s="106">
        <f>IF(BM35="","",IFERROR(BM35*HSI!$B$30*HSI!$G$30/HSI!$B$3,""))</f>
        <v/>
      </c>
      <c r="EB35" s="106">
        <f>IF(BN35="","",IFERROR(BN35*HSI!$B$30*HSI!$G$30/HSI!$B$3,""))</f>
        <v/>
      </c>
      <c r="EC35" s="106">
        <f>IF(BO35="","",IFERROR(BO35*HSI!$B$30*HSI!$G$30/HSI!$B$3,""))</f>
        <v/>
      </c>
      <c r="EE35" s="35">
        <f>IF(N('Dvd Calendar'!$E$264)=0,"",IF(('Dvd Calendar'!$E$264&gt;=GRID_FROM)*('Dvd Calendar'!$E$264&lt;=GRID_TO)*('Dvd Calendar'!$E$264&lt;=VAL_DATE)=0,"",'Dvd Calendar'!$E$264*1000000000+ISNUMBER('Dvd Calendar'!$E$267)*100000000+('Dvd Calendar'!$E$269=SPECIAL_LBL)*10000000+0*1000000+24*1000+1))</f>
        <v/>
      </c>
      <c r="EF35" s="35">
        <f>IF(N('Dvd Calendar'!$F$264)=0,"",IF(('Dvd Calendar'!$F$264&gt;=GRID_FROM)*('Dvd Calendar'!$F$264&lt;=GRID_TO)*('Dvd Calendar'!$F$264&lt;=VAL_DATE)=0,"",'Dvd Calendar'!$F$264*1000000000+ISNUMBER('Dvd Calendar'!$F$267)*100000000+('Dvd Calendar'!$F$269=SPECIAL_LBL)*10000000+0*1000000+24*1000+2))</f>
        <v/>
      </c>
      <c r="EG35" s="35">
        <f>IF(N('Dvd Calendar'!$G$264)=0,"",IF(('Dvd Calendar'!$G$264&gt;=GRID_FROM)*('Dvd Calendar'!$G$264&lt;=GRID_TO)*('Dvd Calendar'!$G$264&lt;=VAL_DATE)=0,"",'Dvd Calendar'!$G$264*1000000000+ISNUMBER('Dvd Calendar'!$G$267)*100000000+('Dvd Calendar'!$G$269=SPECIAL_LBL)*10000000+0*1000000+24*1000+3))</f>
        <v/>
      </c>
      <c r="EH35" s="35">
        <f>IF(N('Dvd Calendar'!$H$264)=0,"",IF(('Dvd Calendar'!$H$264&gt;=GRID_FROM)*('Dvd Calendar'!$H$264&lt;=GRID_TO)*('Dvd Calendar'!$H$264&lt;=VAL_DATE)=0,"",'Dvd Calendar'!$H$264*1000000000+ISNUMBER('Dvd Calendar'!$H$267)*100000000+('Dvd Calendar'!$H$269=SPECIAL_LBL)*10000000+0*1000000+24*1000+4))</f>
        <v/>
      </c>
      <c r="EI35" s="35">
        <f>IF(N('Dvd Calendar'!$I$264)=0,"",IF(('Dvd Calendar'!$I$264&gt;=GRID_FROM)*('Dvd Calendar'!$I$264&lt;=GRID_TO)*('Dvd Calendar'!$I$264&lt;=VAL_DATE)=0,"",'Dvd Calendar'!$I$264*1000000000+ISNUMBER('Dvd Calendar'!$I$267)*100000000+('Dvd Calendar'!$I$269=SPECIAL_LBL)*10000000+0*1000000+24*1000+5))</f>
        <v/>
      </c>
      <c r="EJ35" s="35">
        <f>IF(N('Dvd Calendar'!$J$264)=0,"",IF(('Dvd Calendar'!$J$264&gt;=GRID_FROM)*('Dvd Calendar'!$J$264&lt;=GRID_TO)*('Dvd Calendar'!$J$264&lt;=VAL_DATE)=0,"",'Dvd Calendar'!$J$264*1000000000+ISNUMBER('Dvd Calendar'!$J$267)*100000000+('Dvd Calendar'!$J$269=SPECIAL_LBL)*10000000+0*1000000+24*1000+6))</f>
        <v/>
      </c>
      <c r="EK35" s="35">
        <f>IF(N('Dvd Calendar'!$K$264)=0,"",IF(('Dvd Calendar'!$K$264&gt;=GRID_FROM)*('Dvd Calendar'!$K$264&lt;=GRID_TO)*('Dvd Calendar'!$K$264&lt;=VAL_DATE)=0,"",'Dvd Calendar'!$K$264*1000000000+ISNUMBER('Dvd Calendar'!$K$267)*100000000+('Dvd Calendar'!$K$269=SPECIAL_LBL)*10000000+0*1000000+24*1000+7))</f>
        <v/>
      </c>
      <c r="EL35" s="35">
        <f>IF(N('Dvd Calendar'!$L$264)=0,"",IF(('Dvd Calendar'!$L$264&gt;=GRID_FROM)*('Dvd Calendar'!$L$264&lt;=GRID_TO)*('Dvd Calendar'!$L$264&lt;=VAL_DATE)=0,"",'Dvd Calendar'!$L$264*1000000000+ISNUMBER('Dvd Calendar'!$L$267)*100000000+('Dvd Calendar'!$L$269=SPECIAL_LBL)*10000000+0*1000000+24*1000+8))</f>
        <v/>
      </c>
      <c r="EM35" s="35">
        <f>IF(N('Dvd Calendar'!$M$264)=0,"",IF(('Dvd Calendar'!$M$264&gt;=GRID_FROM)*('Dvd Calendar'!$M$264&lt;=GRID_TO)*('Dvd Calendar'!$M$264&lt;=VAL_DATE)=0,"",'Dvd Calendar'!$M$264*1000000000+ISNUMBER('Dvd Calendar'!$M$267)*100000000+('Dvd Calendar'!$M$269=SPECIAL_LBL)*10000000+0*1000000+24*1000+9))</f>
        <v/>
      </c>
      <c r="EN35" s="35">
        <f>IF(N('Dvd Calendar'!$N$264)=0,"",IF(('Dvd Calendar'!$N$264&gt;=GRID_FROM)*('Dvd Calendar'!$N$264&lt;=GRID_TO)*('Dvd Calendar'!$N$264&lt;=VAL_DATE)=0,"",'Dvd Calendar'!$N$264*1000000000+ISNUMBER('Dvd Calendar'!$N$267)*100000000+('Dvd Calendar'!$N$269=SPECIAL_LBL)*10000000+0*1000000+24*1000+10))</f>
        <v/>
      </c>
      <c r="EO35" s="35">
        <f>IF(N('Dvd Calendar'!$O$264)=0,"",IF(('Dvd Calendar'!$O$264&gt;=GRID_FROM)*('Dvd Calendar'!$O$264&lt;=GRID_TO)*('Dvd Calendar'!$O$264&lt;=VAL_DATE)=0,"",'Dvd Calendar'!$O$264*1000000000+ISNUMBER('Dvd Calendar'!$O$267)*100000000+('Dvd Calendar'!$O$269=SPECIAL_LBL)*10000000+0*1000000+24*1000+11))</f>
        <v/>
      </c>
      <c r="EP35" s="35">
        <f>IF(N('Dvd Calendar'!$P$264)=0,"",IF(('Dvd Calendar'!$P$264&gt;=GRID_FROM)*('Dvd Calendar'!$P$264&lt;=GRID_TO)*('Dvd Calendar'!$P$264&lt;=VAL_DATE)=0,"",'Dvd Calendar'!$P$264*1000000000+ISNUMBER('Dvd Calendar'!$P$267)*100000000+('Dvd Calendar'!$P$269=SPECIAL_LBL)*10000000+0*1000000+24*1000+12))</f>
        <v/>
      </c>
      <c r="EQ35" s="35">
        <f>IF(N('Dvd Calendar'!$Q$264)=0,"",IF(('Dvd Calendar'!$Q$264&gt;=GRID_FROM)*('Dvd Calendar'!$Q$264&lt;=GRID_TO)*('Dvd Calendar'!$Q$264&lt;=VAL_DATE)=0,"",'Dvd Calendar'!$Q$264*1000000000+ISNUMBER('Dvd Calendar'!$Q$267)*100000000+('Dvd Calendar'!$Q$269=SPECIAL_LBL)*10000000+0*1000000+24*1000+13))</f>
        <v/>
      </c>
      <c r="ER35" s="35">
        <f>IF(N('Dvd Calendar'!$R$264)=0,"",IF(('Dvd Calendar'!$R$264&gt;=GRID_FROM)*('Dvd Calendar'!$R$264&lt;=GRID_TO)*('Dvd Calendar'!$R$264&lt;=VAL_DATE)=0,"",'Dvd Calendar'!$R$264*1000000000+ISNUMBER('Dvd Calendar'!$R$267)*100000000+('Dvd Calendar'!$R$269=SPECIAL_LBL)*10000000+0*1000000+24*1000+14))</f>
        <v/>
      </c>
      <c r="ES35" s="35">
        <f>IF(N('Dvd Calendar'!$S$264)=0,"",IF(('Dvd Calendar'!$S$264&gt;=GRID_FROM)*('Dvd Calendar'!$S$264&lt;=GRID_TO)*('Dvd Calendar'!$S$264&lt;=VAL_DATE)=0,"",'Dvd Calendar'!$S$264*1000000000+ISNUMBER('Dvd Calendar'!$S$267)*100000000+('Dvd Calendar'!$S$269=SPECIAL_LBL)*10000000+0*1000000+24*1000+15))</f>
        <v/>
      </c>
      <c r="ET35" s="35">
        <f>IF(N('Dvd Calendar'!$T$264)=0,"",IF(('Dvd Calendar'!$T$264&gt;=GRID_FROM)*('Dvd Calendar'!$T$264&lt;=GRID_TO)*('Dvd Calendar'!$T$264&lt;=VAL_DATE)=0,"",'Dvd Calendar'!$T$264*1000000000+ISNUMBER('Dvd Calendar'!$T$267)*100000000+('Dvd Calendar'!$T$269=SPECIAL_LBL)*10000000+0*1000000+24*1000+16))</f>
        <v/>
      </c>
      <c r="EU35" s="35">
        <f>IF(N('Dvd Calendar'!$U$264)=0,"",IF(('Dvd Calendar'!$U$264&gt;=GRID_FROM)*('Dvd Calendar'!$U$264&lt;=GRID_TO)*('Dvd Calendar'!$U$264&lt;=VAL_DATE)=0,"",'Dvd Calendar'!$U$264*1000000000+ISNUMBER('Dvd Calendar'!$U$267)*100000000+('Dvd Calendar'!$U$269=SPECIAL_LBL)*10000000+0*1000000+24*1000+17))</f>
        <v/>
      </c>
      <c r="EV35" s="35">
        <f>IF(N('Dvd Calendar'!$V$264)=0,"",IF(('Dvd Calendar'!$V$264&gt;=GRID_FROM)*('Dvd Calendar'!$V$264&lt;=GRID_TO)*('Dvd Calendar'!$V$264&lt;=VAL_DATE)=0,"",'Dvd Calendar'!$V$264*1000000000+ISNUMBER('Dvd Calendar'!$V$267)*100000000+('Dvd Calendar'!$V$269=SPECIAL_LBL)*10000000+0*1000000+24*1000+18))</f>
        <v/>
      </c>
      <c r="EW35" s="35">
        <f>IF(N('Dvd Calendar'!$W$264)=0,"",IF(('Dvd Calendar'!$W$264&gt;=GRID_FROM)*('Dvd Calendar'!$W$264&lt;=GRID_TO)*('Dvd Calendar'!$W$264&lt;=VAL_DATE)=0,"",'Dvd Calendar'!$W$264*1000000000+ISNUMBER('Dvd Calendar'!$W$267)*100000000+('Dvd Calendar'!$W$269=SPECIAL_LBL)*10000000+0*1000000+24*1000+19))</f>
        <v/>
      </c>
      <c r="EX35" s="35">
        <f>IF(N('Dvd Calendar'!$X$264)=0,"",IF(('Dvd Calendar'!$X$264&gt;=GRID_FROM)*('Dvd Calendar'!$X$264&lt;=GRID_TO)*('Dvd Calendar'!$X$264&lt;=VAL_DATE)=0,"",'Dvd Calendar'!$X$264*1000000000+ISNUMBER('Dvd Calendar'!$X$267)*100000000+('Dvd Calendar'!$X$269=SPECIAL_LBL)*10000000+0*1000000+24*1000+20))</f>
        <v/>
      </c>
      <c r="EY35" s="35">
        <f>IF(N('Dvd Calendar'!$Y$264)=0,"",IF(('Dvd Calendar'!$Y$264&gt;=GRID_FROM)*('Dvd Calendar'!$Y$264&lt;=GRID_TO)*('Dvd Calendar'!$Y$264&lt;=VAL_DATE)=0,"",'Dvd Calendar'!$Y$264*1000000000+ISNUMBER('Dvd Calendar'!$Y$267)*100000000+('Dvd Calendar'!$Y$269=SPECIAL_LBL)*10000000+0*1000000+24*1000+21))</f>
        <v/>
      </c>
      <c r="EZ35" s="35">
        <f>IF(N('Dvd Calendar'!$Z$264)=0,"",IF(('Dvd Calendar'!$Z$264&gt;=GRID_FROM)*('Dvd Calendar'!$Z$264&lt;=GRID_TO)*('Dvd Calendar'!$Z$264&lt;=VAL_DATE)=0,"",'Dvd Calendar'!$Z$264*1000000000+ISNUMBER('Dvd Calendar'!$Z$267)*100000000+('Dvd Calendar'!$Z$269=SPECIAL_LBL)*10000000+0*1000000+24*1000+22))</f>
        <v/>
      </c>
      <c r="FA35" s="35">
        <f>IF(N('Dvd Calendar'!$AA$264)=0,"",IF(('Dvd Calendar'!$AA$264&gt;=GRID_FROM)*('Dvd Calendar'!$AA$264&lt;=GRID_TO)*('Dvd Calendar'!$AA$264&lt;=VAL_DATE)=0,"",'Dvd Calendar'!$AA$264*1000000000+ISNUMBER('Dvd Calendar'!$AA$267)*100000000+('Dvd Calendar'!$AA$269=SPECIAL_LBL)*10000000+0*1000000+24*1000+23))</f>
        <v/>
      </c>
      <c r="FB35" s="35">
        <f>IF(N('Dvd Calendar'!$AB$264)=0,"",IF(('Dvd Calendar'!$AB$264&gt;=GRID_FROM)*('Dvd Calendar'!$AB$264&lt;=GRID_TO)*('Dvd Calendar'!$AB$264&lt;=VAL_DATE)=0,"",'Dvd Calendar'!$AB$264*1000000000+ISNUMBER('Dvd Calendar'!$AB$267)*100000000+('Dvd Calendar'!$AB$269=SPECIAL_LBL)*10000000+0*1000000+24*1000+24))</f>
        <v/>
      </c>
      <c r="FC35" s="35">
        <f>IF(N('Dvd Calendar'!$AC$264)=0,"",IF(('Dvd Calendar'!$AC$264&gt;=GRID_FROM)*('Dvd Calendar'!$AC$264&lt;=GRID_TO)*('Dvd Calendar'!$AC$264&lt;=VAL_DATE)=0,"",'Dvd Calendar'!$AC$264*1000000000+ISNUMBER('Dvd Calendar'!$AC$267)*100000000+('Dvd Calendar'!$AC$269=SPECIAL_LBL)*10000000+0*1000000+24*1000+25))</f>
        <v/>
      </c>
      <c r="FD35" s="35">
        <f>IF(N('Dvd Calendar'!$AD$264)=0,"",IF(('Dvd Calendar'!$AD$264&gt;=GRID_FROM)*('Dvd Calendar'!$AD$264&lt;=GRID_TO)*('Dvd Calendar'!$AD$264&lt;=VAL_DATE)=0,"",'Dvd Calendar'!$AD$264*1000000000+ISNUMBER('Dvd Calendar'!$AD$267)*100000000+('Dvd Calendar'!$AD$269=SPECIAL_LBL)*10000000+0*1000000+24*1000+26))</f>
        <v/>
      </c>
      <c r="FE35" s="35">
        <f>IF(N('Dvd Calendar'!$AE$264)=0,"",IF(('Dvd Calendar'!$AE$264&gt;=GRID_FROM)*('Dvd Calendar'!$AE$264&lt;=GRID_TO)*('Dvd Calendar'!$AE$264&lt;=VAL_DATE)=0,"",'Dvd Calendar'!$AE$264*1000000000+ISNUMBER('Dvd Calendar'!$AE$267)*100000000+('Dvd Calendar'!$AE$269=SPECIAL_LBL)*10000000+0*1000000+24*1000+27))</f>
        <v/>
      </c>
      <c r="FF35" s="35">
        <f>IF(N('Dvd Calendar'!$AF$264)=0,"",IF(('Dvd Calendar'!$AF$264&gt;=GRID_FROM)*('Dvd Calendar'!$AF$264&lt;=GRID_TO)*('Dvd Calendar'!$AF$264&lt;=VAL_DATE)=0,"",'Dvd Calendar'!$AF$264*1000000000+ISNUMBER('Dvd Calendar'!$AF$267)*100000000+('Dvd Calendar'!$AF$269=SPECIAL_LBL)*10000000+0*1000000+24*1000+28))</f>
        <v/>
      </c>
      <c r="FG35" s="35">
        <f>IF(N('Dvd Calendar'!$AG$264)=0,"",IF(('Dvd Calendar'!$AG$264&gt;=GRID_FROM)*('Dvd Calendar'!$AG$264&lt;=GRID_TO)*('Dvd Calendar'!$AG$264&lt;=VAL_DATE)=0,"",'Dvd Calendar'!$AG$264*1000000000+ISNUMBER('Dvd Calendar'!$AG$267)*100000000+('Dvd Calendar'!$AG$269=SPECIAL_LBL)*10000000+0*1000000+24*1000+29))</f>
        <v/>
      </c>
      <c r="FH35" s="35">
        <f>IF(N('Dvd Calendar'!$AH$264)=0,"",IF(('Dvd Calendar'!$AH$264&gt;=GRID_FROM)*('Dvd Calendar'!$AH$264&lt;=GRID_TO)*('Dvd Calendar'!$AH$264&lt;=VAL_DATE)=0,"",'Dvd Calendar'!$AH$264*1000000000+ISNUMBER('Dvd Calendar'!$AH$267)*100000000+('Dvd Calendar'!$AH$269=SPECIAL_LBL)*10000000+0*1000000+24*1000+30))</f>
        <v/>
      </c>
      <c r="FI35" s="35">
        <f>IF(N('Dvd Calendar'!$AI$264)=0,"",IF(('Dvd Calendar'!$AI$264&gt;=GRID_FROM)*('Dvd Calendar'!$AI$264&lt;=GRID_TO)*('Dvd Calendar'!$AI$264&lt;=VAL_DATE)=0,"",'Dvd Calendar'!$AI$264*1000000000+ISNUMBER('Dvd Calendar'!$AI$267)*100000000+('Dvd Calendar'!$AI$269=SPECIAL_LBL)*10000000+0*1000000+24*1000+31))</f>
        <v/>
      </c>
      <c r="FJ35" s="35">
        <f>IF(N('Dvd Calendar'!$AJ$264)=0,"",IF(('Dvd Calendar'!$AJ$264&gt;=GRID_FROM)*('Dvd Calendar'!$AJ$264&lt;=GRID_TO)*('Dvd Calendar'!$AJ$264&lt;=VAL_DATE)=0,"",'Dvd Calendar'!$AJ$264*1000000000+ISNUMBER('Dvd Calendar'!$AJ$267)*100000000+('Dvd Calendar'!$AJ$269=SPECIAL_LBL)*10000000+0*1000000+24*1000+32))</f>
        <v/>
      </c>
      <c r="FK35" s="35">
        <f>IF(N('Dvd Calendar'!$AK$264)=0,"",IF(('Dvd Calendar'!$AK$264&gt;=GRID_FROM)*('Dvd Calendar'!$AK$264&lt;=GRID_TO)*('Dvd Calendar'!$AK$264&lt;=VAL_DATE)=0,"",'Dvd Calendar'!$AK$264*1000000000+ISNUMBER('Dvd Calendar'!$AK$267)*100000000+('Dvd Calendar'!$AK$269=SPECIAL_LBL)*10000000+0*1000000+24*1000+33))</f>
        <v/>
      </c>
      <c r="FL35" s="35">
        <f>IF(N('Dvd Calendar'!$AL$264)=0,"",IF(('Dvd Calendar'!$AL$264&gt;=GRID_FROM)*('Dvd Calendar'!$AL$264&lt;=GRID_TO)*('Dvd Calendar'!$AL$264&lt;=VAL_DATE)=0,"",'Dvd Calendar'!$AL$264*1000000000+ISNUMBER('Dvd Calendar'!$AL$267)*100000000+('Dvd Calendar'!$AL$269=SPECIAL_LBL)*10000000+0*1000000+24*1000+34))</f>
        <v/>
      </c>
      <c r="FM35" s="35">
        <f>IF(N('Dvd Calendar'!$AM$264)=0,"",IF(('Dvd Calendar'!$AM$264&gt;=GRID_FROM)*('Dvd Calendar'!$AM$264&lt;=GRID_TO)*('Dvd Calendar'!$AM$264&lt;=VAL_DATE)=0,"",'Dvd Calendar'!$AM$264*1000000000+ISNUMBER('Dvd Calendar'!$AM$267)*100000000+('Dvd Calendar'!$AM$269=SPECIAL_LBL)*10000000+0*1000000+24*1000+35))</f>
        <v/>
      </c>
      <c r="FN35" s="35">
        <f>IF(N('Dvd Calendar'!$AN$264)=0,"",IF(('Dvd Calendar'!$AN$264&gt;=GRID_FROM)*('Dvd Calendar'!$AN$264&lt;=GRID_TO)*('Dvd Calendar'!$AN$264&lt;=VAL_DATE)=0,"",'Dvd Calendar'!$AN$264*1000000000+ISNUMBER('Dvd Calendar'!$AN$267)*100000000+('Dvd Calendar'!$AN$269=SPECIAL_LBL)*10000000+0*1000000+24*1000+36))</f>
        <v/>
      </c>
      <c r="FO35" s="35">
        <f>IF(N('Dvd Calendar'!$AO$264)=0,"",IF(('Dvd Calendar'!$AO$264&gt;=GRID_FROM)*('Dvd Calendar'!$AO$264&lt;=GRID_TO)*('Dvd Calendar'!$AO$264&lt;=VAL_DATE)=0,"",'Dvd Calendar'!$AO$264*1000000000+ISNUMBER('Dvd Calendar'!$AO$267)*100000000+('Dvd Calendar'!$AO$269=SPECIAL_LBL)*10000000+0*1000000+24*1000+37))</f>
        <v/>
      </c>
      <c r="FP35" s="35">
        <f>IF(N('Dvd Calendar'!$AP$264)=0,"",IF(('Dvd Calendar'!$AP$264&gt;=GRID_FROM)*('Dvd Calendar'!$AP$264&lt;=GRID_TO)*('Dvd Calendar'!$AP$264&lt;=VAL_DATE)=0,"",'Dvd Calendar'!$AP$264*1000000000+ISNUMBER('Dvd Calendar'!$AP$267)*100000000+('Dvd Calendar'!$AP$269=SPECIAL_LBL)*10000000+0*1000000+24*1000+38))</f>
        <v/>
      </c>
      <c r="FQ35" s="35">
        <f>IF(N('Dvd Calendar'!$AQ$264)=0,"",IF(('Dvd Calendar'!$AQ$264&gt;=GRID_FROM)*('Dvd Calendar'!$AQ$264&lt;=GRID_TO)*('Dvd Calendar'!$AQ$264&lt;=VAL_DATE)=0,"",'Dvd Calendar'!$AQ$264*1000000000+ISNUMBER('Dvd Calendar'!$AQ$267)*100000000+('Dvd Calendar'!$AQ$269=SPECIAL_LBL)*10000000+0*1000000+24*1000+39))</f>
        <v/>
      </c>
      <c r="FR35" s="35">
        <f>IF(N('Dvd Calendar'!$AR$264)=0,"",IF(('Dvd Calendar'!$AR$264&gt;=GRID_FROM)*('Dvd Calendar'!$AR$264&lt;=GRID_TO)*('Dvd Calendar'!$AR$264&lt;=VAL_DATE)=0,"",'Dvd Calendar'!$AR$264*1000000000+ISNUMBER('Dvd Calendar'!$AR$267)*100000000+('Dvd Calendar'!$AR$269=SPECIAL_LBL)*10000000+0*1000000+24*1000+40))</f>
        <v/>
      </c>
      <c r="FS35" s="35">
        <f>IF(N('Dvd Calendar'!$E$271)=0,"",IF(('Dvd Calendar'!$E$271&gt;=GRID_FROM)*('Dvd Calendar'!$E$271&lt;=GRID_TO)*('Dvd Calendar'!$E$271&gt;VAL_DATE)=0,"",'Dvd Calendar'!$E$271*1000000000+ISNUMBER('Dvd Calendar'!$E$272)*100000000+0*10000000+(N('Dvd Calendar'!$E$270)&gt;0)*(N('Dvd Calendar'!$E$270)&lt;=VAL_SERIAL)*1000000+24*1000+41))</f>
        <v/>
      </c>
      <c r="FT35" s="35">
        <f>IF(N('Dvd Calendar'!$F$271)=0,"",IF(('Dvd Calendar'!$F$271&gt;=GRID_FROM)*('Dvd Calendar'!$F$271&lt;=GRID_TO)*('Dvd Calendar'!$F$271&gt;VAL_DATE)=0,"",'Dvd Calendar'!$F$271*1000000000+ISNUMBER('Dvd Calendar'!$F$272)*100000000+0*10000000+(N('Dvd Calendar'!$F$270)&gt;0)*(N('Dvd Calendar'!$F$270)&lt;=VAL_SERIAL)*1000000+24*1000+42))</f>
        <v/>
      </c>
      <c r="FU35" s="35">
        <f>IF(N('Dvd Calendar'!$G$271)=0,"",IF(('Dvd Calendar'!$G$271&gt;=GRID_FROM)*('Dvd Calendar'!$G$271&lt;=GRID_TO)*('Dvd Calendar'!$G$271&gt;VAL_DATE)=0,"",'Dvd Calendar'!$G$271*1000000000+ISNUMBER('Dvd Calendar'!$G$272)*100000000+0*10000000+(N('Dvd Calendar'!$G$270)&gt;0)*(N('Dvd Calendar'!$G$270)&lt;=VAL_SERIAL)*1000000+24*1000+43))</f>
        <v/>
      </c>
      <c r="FV35" s="35">
        <f>IF(N('Dvd Calendar'!$H$271)=0,"",IF(('Dvd Calendar'!$H$271&gt;=GRID_FROM)*('Dvd Calendar'!$H$271&lt;=GRID_TO)*('Dvd Calendar'!$H$271&gt;VAL_DATE)=0,"",'Dvd Calendar'!$H$271*1000000000+ISNUMBER('Dvd Calendar'!$H$272)*100000000+0*10000000+(N('Dvd Calendar'!$H$270)&gt;0)*(N('Dvd Calendar'!$H$270)&lt;=VAL_SERIAL)*1000000+24*1000+44))</f>
        <v/>
      </c>
      <c r="FW35" s="35">
        <f>IF(N('Dvd Calendar'!$I$271)=0,"",IF(('Dvd Calendar'!$I$271&gt;=GRID_FROM)*('Dvd Calendar'!$I$271&lt;=GRID_TO)*('Dvd Calendar'!$I$271&gt;VAL_DATE)=0,"",'Dvd Calendar'!$I$271*1000000000+ISNUMBER('Dvd Calendar'!$I$272)*100000000+0*10000000+(N('Dvd Calendar'!$I$270)&gt;0)*(N('Dvd Calendar'!$I$270)&lt;=VAL_SERIAL)*1000000+24*1000+45))</f>
        <v/>
      </c>
      <c r="FX35" s="35">
        <f>IF(N('Dvd Calendar'!$J$271)=0,"",IF(('Dvd Calendar'!$J$271&gt;=GRID_FROM)*('Dvd Calendar'!$J$271&lt;=GRID_TO)*('Dvd Calendar'!$J$271&gt;VAL_DATE)=0,"",'Dvd Calendar'!$J$271*1000000000+ISNUMBER('Dvd Calendar'!$J$272)*100000000+0*10000000+(N('Dvd Calendar'!$J$270)&gt;0)*(N('Dvd Calendar'!$J$270)&lt;=VAL_SERIAL)*1000000+24*1000+46))</f>
        <v/>
      </c>
      <c r="FY35" s="35">
        <f>IF(N('Dvd Calendar'!$K$271)=0,"",IF(('Dvd Calendar'!$K$271&gt;=GRID_FROM)*('Dvd Calendar'!$K$271&lt;=GRID_TO)*('Dvd Calendar'!$K$271&gt;VAL_DATE)=0,"",'Dvd Calendar'!$K$271*1000000000+ISNUMBER('Dvd Calendar'!$K$272)*100000000+0*10000000+(N('Dvd Calendar'!$K$270)&gt;0)*(N('Dvd Calendar'!$K$270)&lt;=VAL_SERIAL)*1000000+24*1000+47))</f>
        <v/>
      </c>
      <c r="FZ35" s="35">
        <f>IF(N('Dvd Calendar'!$L$271)=0,"",IF(('Dvd Calendar'!$L$271&gt;=GRID_FROM)*('Dvd Calendar'!$L$271&lt;=GRID_TO)*('Dvd Calendar'!$L$271&gt;VAL_DATE)=0,"",'Dvd Calendar'!$L$271*1000000000+ISNUMBER('Dvd Calendar'!$L$272)*100000000+0*10000000+(N('Dvd Calendar'!$L$270)&gt;0)*(N('Dvd Calendar'!$L$270)&lt;=VAL_SERIAL)*1000000+24*1000+48))</f>
        <v/>
      </c>
      <c r="GA35" s="35">
        <f>IF(N('Dvd Calendar'!$M$271)=0,"",IF(('Dvd Calendar'!$M$271&gt;=GRID_FROM)*('Dvd Calendar'!$M$271&lt;=GRID_TO)*('Dvd Calendar'!$M$271&gt;VAL_DATE)=0,"",'Dvd Calendar'!$M$271*1000000000+ISNUMBER('Dvd Calendar'!$M$272)*100000000+0*10000000+(N('Dvd Calendar'!$M$270)&gt;0)*(N('Dvd Calendar'!$M$270)&lt;=VAL_SERIAL)*1000000+24*1000+49))</f>
        <v/>
      </c>
      <c r="GB35" s="35">
        <f>IF(N('Dvd Calendar'!$N$271)=0,"",IF(('Dvd Calendar'!$N$271&gt;=GRID_FROM)*('Dvd Calendar'!$N$271&lt;=GRID_TO)*('Dvd Calendar'!$N$271&gt;VAL_DATE)=0,"",'Dvd Calendar'!$N$271*1000000000+ISNUMBER('Dvd Calendar'!$N$272)*100000000+0*10000000+(N('Dvd Calendar'!$N$270)&gt;0)*(N('Dvd Calendar'!$N$270)&lt;=VAL_SERIAL)*1000000+24*1000+50))</f>
        <v/>
      </c>
      <c r="GC35" s="35">
        <f>IF(N('Dvd Calendar'!$O$271)=0,"",IF(('Dvd Calendar'!$O$271&gt;=GRID_FROM)*('Dvd Calendar'!$O$271&lt;=GRID_TO)*('Dvd Calendar'!$O$271&gt;VAL_DATE)=0,"",'Dvd Calendar'!$O$271*1000000000+ISNUMBER('Dvd Calendar'!$O$272)*100000000+0*10000000+(N('Dvd Calendar'!$O$270)&gt;0)*(N('Dvd Calendar'!$O$270)&lt;=VAL_SERIAL)*1000000+24*1000+51))</f>
        <v/>
      </c>
      <c r="GD35" s="35">
        <f>IF(N('Dvd Calendar'!$P$271)=0,"",IF(('Dvd Calendar'!$P$271&gt;=GRID_FROM)*('Dvd Calendar'!$P$271&lt;=GRID_TO)*('Dvd Calendar'!$P$271&gt;VAL_DATE)=0,"",'Dvd Calendar'!$P$271*1000000000+ISNUMBER('Dvd Calendar'!$P$272)*100000000+0*10000000+(N('Dvd Calendar'!$P$270)&gt;0)*(N('Dvd Calendar'!$P$270)&lt;=VAL_SERIAL)*1000000+24*1000+52))</f>
        <v/>
      </c>
      <c r="GE35" s="35">
        <f>IF(N('Dvd Calendar'!$Q$271)=0,"",IF(('Dvd Calendar'!$Q$271&gt;=GRID_FROM)*('Dvd Calendar'!$Q$271&lt;=GRID_TO)*('Dvd Calendar'!$Q$271&gt;VAL_DATE)=0,"",'Dvd Calendar'!$Q$271*1000000000+ISNUMBER('Dvd Calendar'!$Q$272)*100000000+0*10000000+(N('Dvd Calendar'!$Q$270)&gt;0)*(N('Dvd Calendar'!$Q$270)&lt;=VAL_SERIAL)*1000000+24*1000+53))</f>
        <v/>
      </c>
      <c r="GF35" s="35">
        <f>IF(N('Dvd Calendar'!$R$271)=0,"",IF(('Dvd Calendar'!$R$271&gt;=GRID_FROM)*('Dvd Calendar'!$R$271&lt;=GRID_TO)*('Dvd Calendar'!$R$271&gt;VAL_DATE)=0,"",'Dvd Calendar'!$R$271*1000000000+ISNUMBER('Dvd Calendar'!$R$272)*100000000+0*10000000+(N('Dvd Calendar'!$R$270)&gt;0)*(N('Dvd Calendar'!$R$270)&lt;=VAL_SERIAL)*1000000+24*1000+54))</f>
        <v/>
      </c>
      <c r="GG35" s="35">
        <f>IF(N('Dvd Calendar'!$S$271)=0,"",IF(('Dvd Calendar'!$S$271&gt;=GRID_FROM)*('Dvd Calendar'!$S$271&lt;=GRID_TO)*('Dvd Calendar'!$S$271&gt;VAL_DATE)=0,"",'Dvd Calendar'!$S$271*1000000000+ISNUMBER('Dvd Calendar'!$S$272)*100000000+0*10000000+(N('Dvd Calendar'!$S$270)&gt;0)*(N('Dvd Calendar'!$S$270)&lt;=VAL_SERIAL)*1000000+24*1000+55))</f>
        <v/>
      </c>
      <c r="GH35" s="35">
        <f>IF(N('Dvd Calendar'!$T$271)=0,"",IF(('Dvd Calendar'!$T$271&gt;=GRID_FROM)*('Dvd Calendar'!$T$271&lt;=GRID_TO)*('Dvd Calendar'!$T$271&gt;VAL_DATE)=0,"",'Dvd Calendar'!$T$271*1000000000+ISNUMBER('Dvd Calendar'!$T$272)*100000000+0*10000000+(N('Dvd Calendar'!$T$270)&gt;0)*(N('Dvd Calendar'!$T$270)&lt;=VAL_SERIAL)*1000000+24*1000+56))</f>
        <v/>
      </c>
      <c r="GI35" s="35">
        <f>IF(N('Dvd Calendar'!$U$271)=0,"",IF(('Dvd Calendar'!$U$271&gt;=GRID_FROM)*('Dvd Calendar'!$U$271&lt;=GRID_TO)*('Dvd Calendar'!$U$271&gt;VAL_DATE)=0,"",'Dvd Calendar'!$U$271*1000000000+ISNUMBER('Dvd Calendar'!$U$272)*100000000+0*10000000+(N('Dvd Calendar'!$U$270)&gt;0)*(N('Dvd Calendar'!$U$270)&lt;=VAL_SERIAL)*1000000+24*1000+57))</f>
        <v/>
      </c>
      <c r="GJ35" s="35">
        <f>IF(N('Dvd Calendar'!$V$271)=0,"",IF(('Dvd Calendar'!$V$271&gt;=GRID_FROM)*('Dvd Calendar'!$V$271&lt;=GRID_TO)*('Dvd Calendar'!$V$271&gt;VAL_DATE)=0,"",'Dvd Calendar'!$V$271*1000000000+ISNUMBER('Dvd Calendar'!$V$272)*100000000+0*10000000+(N('Dvd Calendar'!$V$270)&gt;0)*(N('Dvd Calendar'!$V$270)&lt;=VAL_SERIAL)*1000000+24*1000+58))</f>
        <v/>
      </c>
      <c r="GK35" s="35">
        <f>IF(N('Dvd Calendar'!$W$271)=0,"",IF(('Dvd Calendar'!$W$271&gt;=GRID_FROM)*('Dvd Calendar'!$W$271&lt;=GRID_TO)*('Dvd Calendar'!$W$271&gt;VAL_DATE)=0,"",'Dvd Calendar'!$W$271*1000000000+ISNUMBER('Dvd Calendar'!$W$272)*100000000+0*10000000+(N('Dvd Calendar'!$W$270)&gt;0)*(N('Dvd Calendar'!$W$270)&lt;=VAL_SERIAL)*1000000+24*1000+59))</f>
        <v/>
      </c>
      <c r="GL35" s="35">
        <f>IF(N('Dvd Calendar'!$X$271)=0,"",IF(('Dvd Calendar'!$X$271&gt;=GRID_FROM)*('Dvd Calendar'!$X$271&lt;=GRID_TO)*('Dvd Calendar'!$X$271&gt;VAL_DATE)=0,"",'Dvd Calendar'!$X$271*1000000000+ISNUMBER('Dvd Calendar'!$X$272)*100000000+0*10000000+(N('Dvd Calendar'!$X$270)&gt;0)*(N('Dvd Calendar'!$X$270)&lt;=VAL_SERIAL)*1000000+24*1000+60))</f>
        <v/>
      </c>
      <c r="GM35" s="35">
        <f>IF(N('Dvd Calendar'!$Y$271)=0,"",IF(('Dvd Calendar'!$Y$271&gt;=GRID_FROM)*('Dvd Calendar'!$Y$271&lt;=GRID_TO)*('Dvd Calendar'!$Y$271&gt;VAL_DATE)=0,"",'Dvd Calendar'!$Y$271*1000000000+ISNUMBER('Dvd Calendar'!$Y$272)*100000000+0*10000000+(N('Dvd Calendar'!$Y$270)&gt;0)*(N('Dvd Calendar'!$Y$270)&lt;=VAL_SERIAL)*1000000+24*1000+61))</f>
        <v/>
      </c>
      <c r="GN35" s="35">
        <f>IF(N('Dvd Calendar'!$Z$271)=0,"",IF(('Dvd Calendar'!$Z$271&gt;=GRID_FROM)*('Dvd Calendar'!$Z$271&lt;=GRID_TO)*('Dvd Calendar'!$Z$271&gt;VAL_DATE)=0,"",'Dvd Calendar'!$Z$271*1000000000+ISNUMBER('Dvd Calendar'!$Z$272)*100000000+0*10000000+(N('Dvd Calendar'!$Z$270)&gt;0)*(N('Dvd Calendar'!$Z$270)&lt;=VAL_SERIAL)*1000000+24*1000+62))</f>
        <v/>
      </c>
      <c r="GO35" s="35">
        <f>IF(N('Dvd Calendar'!$AA$271)=0,"",IF(('Dvd Calendar'!$AA$271&gt;=GRID_FROM)*('Dvd Calendar'!$AA$271&lt;=GRID_TO)*('Dvd Calendar'!$AA$271&gt;VAL_DATE)=0,"",'Dvd Calendar'!$AA$271*1000000000+ISNUMBER('Dvd Calendar'!$AA$272)*100000000+0*10000000+(N('Dvd Calendar'!$AA$270)&gt;0)*(N('Dvd Calendar'!$AA$270)&lt;=VAL_SERIAL)*1000000+24*1000+63))</f>
        <v/>
      </c>
      <c r="GP35" s="35">
        <f>IF(N('Dvd Calendar'!$AB$271)=0,"",IF(('Dvd Calendar'!$AB$271&gt;=GRID_FROM)*('Dvd Calendar'!$AB$271&lt;=GRID_TO)*('Dvd Calendar'!$AB$271&gt;VAL_DATE)=0,"",'Dvd Calendar'!$AB$271*1000000000+ISNUMBER('Dvd Calendar'!$AB$272)*100000000+0*10000000+(N('Dvd Calendar'!$AB$270)&gt;0)*(N('Dvd Calendar'!$AB$270)&lt;=VAL_SERIAL)*1000000+24*1000+64))</f>
        <v/>
      </c>
      <c r="GQ35" s="35">
        <f>IF(N('Dvd Calendar'!$AC$271)=0,"",IF(('Dvd Calendar'!$AC$271&gt;=GRID_FROM)*('Dvd Calendar'!$AC$271&lt;=GRID_TO)*('Dvd Calendar'!$AC$271&gt;VAL_DATE)=0,"",'Dvd Calendar'!$AC$271*1000000000+ISNUMBER('Dvd Calendar'!$AC$272)*100000000+0*10000000+(N('Dvd Calendar'!$AC$270)&gt;0)*(N('Dvd Calendar'!$AC$270)&lt;=VAL_SERIAL)*1000000+24*1000+65))</f>
        <v/>
      </c>
    </row>
    <row r="36">
      <c r="B36" s="2">
        <f>IF(HSI!$C$31="","",HSI!$C$31)</f>
        <v/>
      </c>
      <c r="C36" s="106">
        <f>IF(EE36="","",IF(ISNUMBER('Dvd Calendar'!$E$278)=FALSE,"",IF((('Dvd Calendar'!$E$280=TYPE1)*(TYPE1&lt;&gt;"")+('Dvd Calendar'!$E$280=TYPE2)*(TYPE2&lt;&gt;"")+('Dvd Calendar'!$E$280=TYPE3)*(TYPE3&lt;&gt;"")+('Dvd Calendar'!$E$280=TYPE4)*(TYPE4&lt;&gt;"")+('Dvd Calendar'!$E$280=SPECIAL_LBL)*(INC_SPECIALS="Y"))=0,"",'Dvd Calendar'!$E$278)))</f>
        <v/>
      </c>
      <c r="D36" s="106">
        <f>IF(EF36="","",IF(ISNUMBER('Dvd Calendar'!$F$278)=FALSE,"",IF((('Dvd Calendar'!$F$280=TYPE1)*(TYPE1&lt;&gt;"")+('Dvd Calendar'!$F$280=TYPE2)*(TYPE2&lt;&gt;"")+('Dvd Calendar'!$F$280=TYPE3)*(TYPE3&lt;&gt;"")+('Dvd Calendar'!$F$280=TYPE4)*(TYPE4&lt;&gt;"")+('Dvd Calendar'!$F$280=SPECIAL_LBL)*(INC_SPECIALS="Y"))=0,"",'Dvd Calendar'!$F$278)))</f>
        <v/>
      </c>
      <c r="E36" s="106">
        <f>IF(EG36="","",IF(ISNUMBER('Dvd Calendar'!$G$278)=FALSE,"",IF((('Dvd Calendar'!$G$280=TYPE1)*(TYPE1&lt;&gt;"")+('Dvd Calendar'!$G$280=TYPE2)*(TYPE2&lt;&gt;"")+('Dvd Calendar'!$G$280=TYPE3)*(TYPE3&lt;&gt;"")+('Dvd Calendar'!$G$280=TYPE4)*(TYPE4&lt;&gt;"")+('Dvd Calendar'!$G$280=SPECIAL_LBL)*(INC_SPECIALS="Y"))=0,"",'Dvd Calendar'!$G$278)))</f>
        <v/>
      </c>
      <c r="F36" s="106">
        <f>IF(EH36="","",IF(ISNUMBER('Dvd Calendar'!$H$278)=FALSE,"",IF((('Dvd Calendar'!$H$280=TYPE1)*(TYPE1&lt;&gt;"")+('Dvd Calendar'!$H$280=TYPE2)*(TYPE2&lt;&gt;"")+('Dvd Calendar'!$H$280=TYPE3)*(TYPE3&lt;&gt;"")+('Dvd Calendar'!$H$280=TYPE4)*(TYPE4&lt;&gt;"")+('Dvd Calendar'!$H$280=SPECIAL_LBL)*(INC_SPECIALS="Y"))=0,"",'Dvd Calendar'!$H$278)))</f>
        <v/>
      </c>
      <c r="G36" s="106">
        <f>IF(EI36="","",IF(ISNUMBER('Dvd Calendar'!$I$278)=FALSE,"",IF((('Dvd Calendar'!$I$280=TYPE1)*(TYPE1&lt;&gt;"")+('Dvd Calendar'!$I$280=TYPE2)*(TYPE2&lt;&gt;"")+('Dvd Calendar'!$I$280=TYPE3)*(TYPE3&lt;&gt;"")+('Dvd Calendar'!$I$280=TYPE4)*(TYPE4&lt;&gt;"")+('Dvd Calendar'!$I$280=SPECIAL_LBL)*(INC_SPECIALS="Y"))=0,"",'Dvd Calendar'!$I$278)))</f>
        <v/>
      </c>
      <c r="H36" s="106">
        <f>IF(EJ36="","",IF(ISNUMBER('Dvd Calendar'!$J$278)=FALSE,"",IF((('Dvd Calendar'!$J$280=TYPE1)*(TYPE1&lt;&gt;"")+('Dvd Calendar'!$J$280=TYPE2)*(TYPE2&lt;&gt;"")+('Dvd Calendar'!$J$280=TYPE3)*(TYPE3&lt;&gt;"")+('Dvd Calendar'!$J$280=TYPE4)*(TYPE4&lt;&gt;"")+('Dvd Calendar'!$J$280=SPECIAL_LBL)*(INC_SPECIALS="Y"))=0,"",'Dvd Calendar'!$J$278)))</f>
        <v/>
      </c>
      <c r="I36" s="106">
        <f>IF(EK36="","",IF(ISNUMBER('Dvd Calendar'!$K$278)=FALSE,"",IF((('Dvd Calendar'!$K$280=TYPE1)*(TYPE1&lt;&gt;"")+('Dvd Calendar'!$K$280=TYPE2)*(TYPE2&lt;&gt;"")+('Dvd Calendar'!$K$280=TYPE3)*(TYPE3&lt;&gt;"")+('Dvd Calendar'!$K$280=TYPE4)*(TYPE4&lt;&gt;"")+('Dvd Calendar'!$K$280=SPECIAL_LBL)*(INC_SPECIALS="Y"))=0,"",'Dvd Calendar'!$K$278)))</f>
        <v/>
      </c>
      <c r="J36" s="106">
        <f>IF(EL36="","",IF(ISNUMBER('Dvd Calendar'!$L$278)=FALSE,"",IF((('Dvd Calendar'!$L$280=TYPE1)*(TYPE1&lt;&gt;"")+('Dvd Calendar'!$L$280=TYPE2)*(TYPE2&lt;&gt;"")+('Dvd Calendar'!$L$280=TYPE3)*(TYPE3&lt;&gt;"")+('Dvd Calendar'!$L$280=TYPE4)*(TYPE4&lt;&gt;"")+('Dvd Calendar'!$L$280=SPECIAL_LBL)*(INC_SPECIALS="Y"))=0,"",'Dvd Calendar'!$L$278)))</f>
        <v/>
      </c>
      <c r="K36" s="106">
        <f>IF(EM36="","",IF(ISNUMBER('Dvd Calendar'!$M$278)=FALSE,"",IF((('Dvd Calendar'!$M$280=TYPE1)*(TYPE1&lt;&gt;"")+('Dvd Calendar'!$M$280=TYPE2)*(TYPE2&lt;&gt;"")+('Dvd Calendar'!$M$280=TYPE3)*(TYPE3&lt;&gt;"")+('Dvd Calendar'!$M$280=TYPE4)*(TYPE4&lt;&gt;"")+('Dvd Calendar'!$M$280=SPECIAL_LBL)*(INC_SPECIALS="Y"))=0,"",'Dvd Calendar'!$M$278)))</f>
        <v/>
      </c>
      <c r="L36" s="106">
        <f>IF(EN36="","",IF(ISNUMBER('Dvd Calendar'!$N$278)=FALSE,"",IF((('Dvd Calendar'!$N$280=TYPE1)*(TYPE1&lt;&gt;"")+('Dvd Calendar'!$N$280=TYPE2)*(TYPE2&lt;&gt;"")+('Dvd Calendar'!$N$280=TYPE3)*(TYPE3&lt;&gt;"")+('Dvd Calendar'!$N$280=TYPE4)*(TYPE4&lt;&gt;"")+('Dvd Calendar'!$N$280=SPECIAL_LBL)*(INC_SPECIALS="Y"))=0,"",'Dvd Calendar'!$N$278)))</f>
        <v/>
      </c>
      <c r="M36" s="106">
        <f>IF(EO36="","",IF(ISNUMBER('Dvd Calendar'!$O$278)=FALSE,"",IF((('Dvd Calendar'!$O$280=TYPE1)*(TYPE1&lt;&gt;"")+('Dvd Calendar'!$O$280=TYPE2)*(TYPE2&lt;&gt;"")+('Dvd Calendar'!$O$280=TYPE3)*(TYPE3&lt;&gt;"")+('Dvd Calendar'!$O$280=TYPE4)*(TYPE4&lt;&gt;"")+('Dvd Calendar'!$O$280=SPECIAL_LBL)*(INC_SPECIALS="Y"))=0,"",'Dvd Calendar'!$O$278)))</f>
        <v/>
      </c>
      <c r="N36" s="106">
        <f>IF(EP36="","",IF(ISNUMBER('Dvd Calendar'!$P$278)=FALSE,"",IF((('Dvd Calendar'!$P$280=TYPE1)*(TYPE1&lt;&gt;"")+('Dvd Calendar'!$P$280=TYPE2)*(TYPE2&lt;&gt;"")+('Dvd Calendar'!$P$280=TYPE3)*(TYPE3&lt;&gt;"")+('Dvd Calendar'!$P$280=TYPE4)*(TYPE4&lt;&gt;"")+('Dvd Calendar'!$P$280=SPECIAL_LBL)*(INC_SPECIALS="Y"))=0,"",'Dvd Calendar'!$P$278)))</f>
        <v/>
      </c>
      <c r="O36" s="106">
        <f>IF(EQ36="","",IF(ISNUMBER('Dvd Calendar'!$Q$278)=FALSE,"",IF((('Dvd Calendar'!$Q$280=TYPE1)*(TYPE1&lt;&gt;"")+('Dvd Calendar'!$Q$280=TYPE2)*(TYPE2&lt;&gt;"")+('Dvd Calendar'!$Q$280=TYPE3)*(TYPE3&lt;&gt;"")+('Dvd Calendar'!$Q$280=TYPE4)*(TYPE4&lt;&gt;"")+('Dvd Calendar'!$Q$280=SPECIAL_LBL)*(INC_SPECIALS="Y"))=0,"",'Dvd Calendar'!$Q$278)))</f>
        <v/>
      </c>
      <c r="P36" s="106">
        <f>IF(ER36="","",IF(ISNUMBER('Dvd Calendar'!$R$278)=FALSE,"",IF((('Dvd Calendar'!$R$280=TYPE1)*(TYPE1&lt;&gt;"")+('Dvd Calendar'!$R$280=TYPE2)*(TYPE2&lt;&gt;"")+('Dvd Calendar'!$R$280=TYPE3)*(TYPE3&lt;&gt;"")+('Dvd Calendar'!$R$280=TYPE4)*(TYPE4&lt;&gt;"")+('Dvd Calendar'!$R$280=SPECIAL_LBL)*(INC_SPECIALS="Y"))=0,"",'Dvd Calendar'!$R$278)))</f>
        <v/>
      </c>
      <c r="Q36" s="106">
        <f>IF(ES36="","",IF(ISNUMBER('Dvd Calendar'!$S$278)=FALSE,"",IF((('Dvd Calendar'!$S$280=TYPE1)*(TYPE1&lt;&gt;"")+('Dvd Calendar'!$S$280=TYPE2)*(TYPE2&lt;&gt;"")+('Dvd Calendar'!$S$280=TYPE3)*(TYPE3&lt;&gt;"")+('Dvd Calendar'!$S$280=TYPE4)*(TYPE4&lt;&gt;"")+('Dvd Calendar'!$S$280=SPECIAL_LBL)*(INC_SPECIALS="Y"))=0,"",'Dvd Calendar'!$S$278)))</f>
        <v/>
      </c>
      <c r="R36" s="106">
        <f>IF(ET36="","",IF(ISNUMBER('Dvd Calendar'!$T$278)=FALSE,"",IF((('Dvd Calendar'!$T$280=TYPE1)*(TYPE1&lt;&gt;"")+('Dvd Calendar'!$T$280=TYPE2)*(TYPE2&lt;&gt;"")+('Dvd Calendar'!$T$280=TYPE3)*(TYPE3&lt;&gt;"")+('Dvd Calendar'!$T$280=TYPE4)*(TYPE4&lt;&gt;"")+('Dvd Calendar'!$T$280=SPECIAL_LBL)*(INC_SPECIALS="Y"))=0,"",'Dvd Calendar'!$T$278)))</f>
        <v/>
      </c>
      <c r="S36" s="106">
        <f>IF(EU36="","",IF(ISNUMBER('Dvd Calendar'!$U$278)=FALSE,"",IF((('Dvd Calendar'!$U$280=TYPE1)*(TYPE1&lt;&gt;"")+('Dvd Calendar'!$U$280=TYPE2)*(TYPE2&lt;&gt;"")+('Dvd Calendar'!$U$280=TYPE3)*(TYPE3&lt;&gt;"")+('Dvd Calendar'!$U$280=TYPE4)*(TYPE4&lt;&gt;"")+('Dvd Calendar'!$U$280=SPECIAL_LBL)*(INC_SPECIALS="Y"))=0,"",'Dvd Calendar'!$U$278)))</f>
        <v/>
      </c>
      <c r="T36" s="106">
        <f>IF(EV36="","",IF(ISNUMBER('Dvd Calendar'!$V$278)=FALSE,"",IF((('Dvd Calendar'!$V$280=TYPE1)*(TYPE1&lt;&gt;"")+('Dvd Calendar'!$V$280=TYPE2)*(TYPE2&lt;&gt;"")+('Dvd Calendar'!$V$280=TYPE3)*(TYPE3&lt;&gt;"")+('Dvd Calendar'!$V$280=TYPE4)*(TYPE4&lt;&gt;"")+('Dvd Calendar'!$V$280=SPECIAL_LBL)*(INC_SPECIALS="Y"))=0,"",'Dvd Calendar'!$V$278)))</f>
        <v/>
      </c>
      <c r="U36" s="106">
        <f>IF(EW36="","",IF(ISNUMBER('Dvd Calendar'!$W$278)=FALSE,"",IF((('Dvd Calendar'!$W$280=TYPE1)*(TYPE1&lt;&gt;"")+('Dvd Calendar'!$W$280=TYPE2)*(TYPE2&lt;&gt;"")+('Dvd Calendar'!$W$280=TYPE3)*(TYPE3&lt;&gt;"")+('Dvd Calendar'!$W$280=TYPE4)*(TYPE4&lt;&gt;"")+('Dvd Calendar'!$W$280=SPECIAL_LBL)*(INC_SPECIALS="Y"))=0,"",'Dvd Calendar'!$W$278)))</f>
        <v/>
      </c>
      <c r="V36" s="106">
        <f>IF(EX36="","",IF(ISNUMBER('Dvd Calendar'!$X$278)=FALSE,"",IF((('Dvd Calendar'!$X$280=TYPE1)*(TYPE1&lt;&gt;"")+('Dvd Calendar'!$X$280=TYPE2)*(TYPE2&lt;&gt;"")+('Dvd Calendar'!$X$280=TYPE3)*(TYPE3&lt;&gt;"")+('Dvd Calendar'!$X$280=TYPE4)*(TYPE4&lt;&gt;"")+('Dvd Calendar'!$X$280=SPECIAL_LBL)*(INC_SPECIALS="Y"))=0,"",'Dvd Calendar'!$X$278)))</f>
        <v/>
      </c>
      <c r="W36" s="106">
        <f>IF(EY36="","",IF(ISNUMBER('Dvd Calendar'!$Y$278)=FALSE,"",IF((('Dvd Calendar'!$Y$280=TYPE1)*(TYPE1&lt;&gt;"")+('Dvd Calendar'!$Y$280=TYPE2)*(TYPE2&lt;&gt;"")+('Dvd Calendar'!$Y$280=TYPE3)*(TYPE3&lt;&gt;"")+('Dvd Calendar'!$Y$280=TYPE4)*(TYPE4&lt;&gt;"")+('Dvd Calendar'!$Y$280=SPECIAL_LBL)*(INC_SPECIALS="Y"))=0,"",'Dvd Calendar'!$Y$278)))</f>
        <v/>
      </c>
      <c r="X36" s="106">
        <f>IF(EZ36="","",IF(ISNUMBER('Dvd Calendar'!$Z$278)=FALSE,"",IF((('Dvd Calendar'!$Z$280=TYPE1)*(TYPE1&lt;&gt;"")+('Dvd Calendar'!$Z$280=TYPE2)*(TYPE2&lt;&gt;"")+('Dvd Calendar'!$Z$280=TYPE3)*(TYPE3&lt;&gt;"")+('Dvd Calendar'!$Z$280=TYPE4)*(TYPE4&lt;&gt;"")+('Dvd Calendar'!$Z$280=SPECIAL_LBL)*(INC_SPECIALS="Y"))=0,"",'Dvd Calendar'!$Z$278)))</f>
        <v/>
      </c>
      <c r="Y36" s="106">
        <f>IF(FA36="","",IF(ISNUMBER('Dvd Calendar'!$AA$278)=FALSE,"",IF((('Dvd Calendar'!$AA$280=TYPE1)*(TYPE1&lt;&gt;"")+('Dvd Calendar'!$AA$280=TYPE2)*(TYPE2&lt;&gt;"")+('Dvd Calendar'!$AA$280=TYPE3)*(TYPE3&lt;&gt;"")+('Dvd Calendar'!$AA$280=TYPE4)*(TYPE4&lt;&gt;"")+('Dvd Calendar'!$AA$280=SPECIAL_LBL)*(INC_SPECIALS="Y"))=0,"",'Dvd Calendar'!$AA$278)))</f>
        <v/>
      </c>
      <c r="Z36" s="106">
        <f>IF(FB36="","",IF(ISNUMBER('Dvd Calendar'!$AB$278)=FALSE,"",IF((('Dvd Calendar'!$AB$280=TYPE1)*(TYPE1&lt;&gt;"")+('Dvd Calendar'!$AB$280=TYPE2)*(TYPE2&lt;&gt;"")+('Dvd Calendar'!$AB$280=TYPE3)*(TYPE3&lt;&gt;"")+('Dvd Calendar'!$AB$280=TYPE4)*(TYPE4&lt;&gt;"")+('Dvd Calendar'!$AB$280=SPECIAL_LBL)*(INC_SPECIALS="Y"))=0,"",'Dvd Calendar'!$AB$278)))</f>
        <v/>
      </c>
      <c r="AA36" s="106">
        <f>IF(FC36="","",IF(ISNUMBER('Dvd Calendar'!$AC$278)=FALSE,"",IF((('Dvd Calendar'!$AC$280=TYPE1)*(TYPE1&lt;&gt;"")+('Dvd Calendar'!$AC$280=TYPE2)*(TYPE2&lt;&gt;"")+('Dvd Calendar'!$AC$280=TYPE3)*(TYPE3&lt;&gt;"")+('Dvd Calendar'!$AC$280=TYPE4)*(TYPE4&lt;&gt;"")+('Dvd Calendar'!$AC$280=SPECIAL_LBL)*(INC_SPECIALS="Y"))=0,"",'Dvd Calendar'!$AC$278)))</f>
        <v/>
      </c>
      <c r="AB36" s="106">
        <f>IF(FD36="","",IF(ISNUMBER('Dvd Calendar'!$AD$278)=FALSE,"",IF((('Dvd Calendar'!$AD$280=TYPE1)*(TYPE1&lt;&gt;"")+('Dvd Calendar'!$AD$280=TYPE2)*(TYPE2&lt;&gt;"")+('Dvd Calendar'!$AD$280=TYPE3)*(TYPE3&lt;&gt;"")+('Dvd Calendar'!$AD$280=TYPE4)*(TYPE4&lt;&gt;"")+('Dvd Calendar'!$AD$280=SPECIAL_LBL)*(INC_SPECIALS="Y"))=0,"",'Dvd Calendar'!$AD$278)))</f>
        <v/>
      </c>
      <c r="AC36" s="106">
        <f>IF(FE36="","",IF(ISNUMBER('Dvd Calendar'!$AE$278)=FALSE,"",IF((('Dvd Calendar'!$AE$280=TYPE1)*(TYPE1&lt;&gt;"")+('Dvd Calendar'!$AE$280=TYPE2)*(TYPE2&lt;&gt;"")+('Dvd Calendar'!$AE$280=TYPE3)*(TYPE3&lt;&gt;"")+('Dvd Calendar'!$AE$280=TYPE4)*(TYPE4&lt;&gt;"")+('Dvd Calendar'!$AE$280=SPECIAL_LBL)*(INC_SPECIALS="Y"))=0,"",'Dvd Calendar'!$AE$278)))</f>
        <v/>
      </c>
      <c r="AD36" s="106">
        <f>IF(FF36="","",IF(ISNUMBER('Dvd Calendar'!$AF$278)=FALSE,"",IF((('Dvd Calendar'!$AF$280=TYPE1)*(TYPE1&lt;&gt;"")+('Dvd Calendar'!$AF$280=TYPE2)*(TYPE2&lt;&gt;"")+('Dvd Calendar'!$AF$280=TYPE3)*(TYPE3&lt;&gt;"")+('Dvd Calendar'!$AF$280=TYPE4)*(TYPE4&lt;&gt;"")+('Dvd Calendar'!$AF$280=SPECIAL_LBL)*(INC_SPECIALS="Y"))=0,"",'Dvd Calendar'!$AF$278)))</f>
        <v/>
      </c>
      <c r="AE36" s="106">
        <f>IF(FG36="","",IF(ISNUMBER('Dvd Calendar'!$AG$278)=FALSE,"",IF((('Dvd Calendar'!$AG$280=TYPE1)*(TYPE1&lt;&gt;"")+('Dvd Calendar'!$AG$280=TYPE2)*(TYPE2&lt;&gt;"")+('Dvd Calendar'!$AG$280=TYPE3)*(TYPE3&lt;&gt;"")+('Dvd Calendar'!$AG$280=TYPE4)*(TYPE4&lt;&gt;"")+('Dvd Calendar'!$AG$280=SPECIAL_LBL)*(INC_SPECIALS="Y"))=0,"",'Dvd Calendar'!$AG$278)))</f>
        <v/>
      </c>
      <c r="AF36" s="106">
        <f>IF(FH36="","",IF(ISNUMBER('Dvd Calendar'!$AH$278)=FALSE,"",IF((('Dvd Calendar'!$AH$280=TYPE1)*(TYPE1&lt;&gt;"")+('Dvd Calendar'!$AH$280=TYPE2)*(TYPE2&lt;&gt;"")+('Dvd Calendar'!$AH$280=TYPE3)*(TYPE3&lt;&gt;"")+('Dvd Calendar'!$AH$280=TYPE4)*(TYPE4&lt;&gt;"")+('Dvd Calendar'!$AH$280=SPECIAL_LBL)*(INC_SPECIALS="Y"))=0,"",'Dvd Calendar'!$AH$278)))</f>
        <v/>
      </c>
      <c r="AG36" s="106">
        <f>IF(FI36="","",IF(ISNUMBER('Dvd Calendar'!$AI$278)=FALSE,"",IF((('Dvd Calendar'!$AI$280=TYPE1)*(TYPE1&lt;&gt;"")+('Dvd Calendar'!$AI$280=TYPE2)*(TYPE2&lt;&gt;"")+('Dvd Calendar'!$AI$280=TYPE3)*(TYPE3&lt;&gt;"")+('Dvd Calendar'!$AI$280=TYPE4)*(TYPE4&lt;&gt;"")+('Dvd Calendar'!$AI$280=SPECIAL_LBL)*(INC_SPECIALS="Y"))=0,"",'Dvd Calendar'!$AI$278)))</f>
        <v/>
      </c>
      <c r="AH36" s="106">
        <f>IF(FJ36="","",IF(ISNUMBER('Dvd Calendar'!$AJ$278)=FALSE,"",IF((('Dvd Calendar'!$AJ$280=TYPE1)*(TYPE1&lt;&gt;"")+('Dvd Calendar'!$AJ$280=TYPE2)*(TYPE2&lt;&gt;"")+('Dvd Calendar'!$AJ$280=TYPE3)*(TYPE3&lt;&gt;"")+('Dvd Calendar'!$AJ$280=TYPE4)*(TYPE4&lt;&gt;"")+('Dvd Calendar'!$AJ$280=SPECIAL_LBL)*(INC_SPECIALS="Y"))=0,"",'Dvd Calendar'!$AJ$278)))</f>
        <v/>
      </c>
      <c r="AI36" s="106">
        <f>IF(FK36="","",IF(ISNUMBER('Dvd Calendar'!$AK$278)=FALSE,"",IF((('Dvd Calendar'!$AK$280=TYPE1)*(TYPE1&lt;&gt;"")+('Dvd Calendar'!$AK$280=TYPE2)*(TYPE2&lt;&gt;"")+('Dvd Calendar'!$AK$280=TYPE3)*(TYPE3&lt;&gt;"")+('Dvd Calendar'!$AK$280=TYPE4)*(TYPE4&lt;&gt;"")+('Dvd Calendar'!$AK$280=SPECIAL_LBL)*(INC_SPECIALS="Y"))=0,"",'Dvd Calendar'!$AK$278)))</f>
        <v/>
      </c>
      <c r="AJ36" s="106">
        <f>IF(FL36="","",IF(ISNUMBER('Dvd Calendar'!$AL$278)=FALSE,"",IF((('Dvd Calendar'!$AL$280=TYPE1)*(TYPE1&lt;&gt;"")+('Dvd Calendar'!$AL$280=TYPE2)*(TYPE2&lt;&gt;"")+('Dvd Calendar'!$AL$280=TYPE3)*(TYPE3&lt;&gt;"")+('Dvd Calendar'!$AL$280=TYPE4)*(TYPE4&lt;&gt;"")+('Dvd Calendar'!$AL$280=SPECIAL_LBL)*(INC_SPECIALS="Y"))=0,"",'Dvd Calendar'!$AL$278)))</f>
        <v/>
      </c>
      <c r="AK36" s="106">
        <f>IF(FM36="","",IF(ISNUMBER('Dvd Calendar'!$AM$278)=FALSE,"",IF((('Dvd Calendar'!$AM$280=TYPE1)*(TYPE1&lt;&gt;"")+('Dvd Calendar'!$AM$280=TYPE2)*(TYPE2&lt;&gt;"")+('Dvd Calendar'!$AM$280=TYPE3)*(TYPE3&lt;&gt;"")+('Dvd Calendar'!$AM$280=TYPE4)*(TYPE4&lt;&gt;"")+('Dvd Calendar'!$AM$280=SPECIAL_LBL)*(INC_SPECIALS="Y"))=0,"",'Dvd Calendar'!$AM$278)))</f>
        <v/>
      </c>
      <c r="AL36" s="106">
        <f>IF(FN36="","",IF(ISNUMBER('Dvd Calendar'!$AN$278)=FALSE,"",IF((('Dvd Calendar'!$AN$280=TYPE1)*(TYPE1&lt;&gt;"")+('Dvd Calendar'!$AN$280=TYPE2)*(TYPE2&lt;&gt;"")+('Dvd Calendar'!$AN$280=TYPE3)*(TYPE3&lt;&gt;"")+('Dvd Calendar'!$AN$280=TYPE4)*(TYPE4&lt;&gt;"")+('Dvd Calendar'!$AN$280=SPECIAL_LBL)*(INC_SPECIALS="Y"))=0,"",'Dvd Calendar'!$AN$278)))</f>
        <v/>
      </c>
      <c r="AM36" s="106">
        <f>IF(FO36="","",IF(ISNUMBER('Dvd Calendar'!$AO$278)=FALSE,"",IF((('Dvd Calendar'!$AO$280=TYPE1)*(TYPE1&lt;&gt;"")+('Dvd Calendar'!$AO$280=TYPE2)*(TYPE2&lt;&gt;"")+('Dvd Calendar'!$AO$280=TYPE3)*(TYPE3&lt;&gt;"")+('Dvd Calendar'!$AO$280=TYPE4)*(TYPE4&lt;&gt;"")+('Dvd Calendar'!$AO$280=SPECIAL_LBL)*(INC_SPECIALS="Y"))=0,"",'Dvd Calendar'!$AO$278)))</f>
        <v/>
      </c>
      <c r="AN36" s="106">
        <f>IF(FP36="","",IF(ISNUMBER('Dvd Calendar'!$AP$278)=FALSE,"",IF((('Dvd Calendar'!$AP$280=TYPE1)*(TYPE1&lt;&gt;"")+('Dvd Calendar'!$AP$280=TYPE2)*(TYPE2&lt;&gt;"")+('Dvd Calendar'!$AP$280=TYPE3)*(TYPE3&lt;&gt;"")+('Dvd Calendar'!$AP$280=TYPE4)*(TYPE4&lt;&gt;"")+('Dvd Calendar'!$AP$280=SPECIAL_LBL)*(INC_SPECIALS="Y"))=0,"",'Dvd Calendar'!$AP$278)))</f>
        <v/>
      </c>
      <c r="AO36" s="106">
        <f>IF(FQ36="","",IF(ISNUMBER('Dvd Calendar'!$AQ$278)=FALSE,"",IF((('Dvd Calendar'!$AQ$280=TYPE1)*(TYPE1&lt;&gt;"")+('Dvd Calendar'!$AQ$280=TYPE2)*(TYPE2&lt;&gt;"")+('Dvd Calendar'!$AQ$280=TYPE3)*(TYPE3&lt;&gt;"")+('Dvd Calendar'!$AQ$280=TYPE4)*(TYPE4&lt;&gt;"")+('Dvd Calendar'!$AQ$280=SPECIAL_LBL)*(INC_SPECIALS="Y"))=0,"",'Dvd Calendar'!$AQ$278)))</f>
        <v/>
      </c>
      <c r="AP36" s="106">
        <f>IF(FR36="","",IF(ISNUMBER('Dvd Calendar'!$AR$278)=FALSE,"",IF((('Dvd Calendar'!$AR$280=TYPE1)*(TYPE1&lt;&gt;"")+('Dvd Calendar'!$AR$280=TYPE2)*(TYPE2&lt;&gt;"")+('Dvd Calendar'!$AR$280=TYPE3)*(TYPE3&lt;&gt;"")+('Dvd Calendar'!$AR$280=TYPE4)*(TYPE4&lt;&gt;"")+('Dvd Calendar'!$AR$280=SPECIAL_LBL)*(INC_SPECIALS="Y"))=0,"",'Dvd Calendar'!$AR$278)))</f>
        <v/>
      </c>
      <c r="AQ36" s="106">
        <f>IF(FS36="","",IF(ISNUMBER('Dvd Calendar'!$E$283)=FALSE,"",'Dvd Calendar'!$E$283))</f>
        <v/>
      </c>
      <c r="AR36" s="106">
        <f>IF(FT36="","",IF(ISNUMBER('Dvd Calendar'!$F$283)=FALSE,"",'Dvd Calendar'!$F$283))</f>
        <v/>
      </c>
      <c r="AS36" s="106">
        <f>IF(FU36="","",IF(ISNUMBER('Dvd Calendar'!$G$283)=FALSE,"",'Dvd Calendar'!$G$283))</f>
        <v/>
      </c>
      <c r="AT36" s="106">
        <f>IF(FV36="","",IF(ISNUMBER('Dvd Calendar'!$H$283)=FALSE,"",'Dvd Calendar'!$H$283))</f>
        <v/>
      </c>
      <c r="AU36" s="106">
        <f>IF(FW36="","",IF(ISNUMBER('Dvd Calendar'!$I$283)=FALSE,"",'Dvd Calendar'!$I$283))</f>
        <v/>
      </c>
      <c r="AV36" s="106">
        <f>IF(FX36="","",IF(ISNUMBER('Dvd Calendar'!$J$283)=FALSE,"",'Dvd Calendar'!$J$283))</f>
        <v/>
      </c>
      <c r="AW36" s="106">
        <f>IF(FY36="","",IF(ISNUMBER('Dvd Calendar'!$K$283)=FALSE,"",'Dvd Calendar'!$K$283))</f>
        <v/>
      </c>
      <c r="AX36" s="106">
        <f>IF(FZ36="","",IF(ISNUMBER('Dvd Calendar'!$L$283)=FALSE,"",'Dvd Calendar'!$L$283))</f>
        <v/>
      </c>
      <c r="AY36" s="106">
        <f>IF(GA36="","",IF(ISNUMBER('Dvd Calendar'!$M$283)=FALSE,"",'Dvd Calendar'!$M$283))</f>
        <v/>
      </c>
      <c r="AZ36" s="106">
        <f>IF(GB36="","",IF(ISNUMBER('Dvd Calendar'!$N$283)=FALSE,"",'Dvd Calendar'!$N$283))</f>
        <v/>
      </c>
      <c r="BA36" s="106">
        <f>IF(GC36="","",IF(ISNUMBER('Dvd Calendar'!$O$283)=FALSE,"",'Dvd Calendar'!$O$283))</f>
        <v/>
      </c>
      <c r="BB36" s="106">
        <f>IF(GD36="","",IF(ISNUMBER('Dvd Calendar'!$P$283)=FALSE,"",'Dvd Calendar'!$P$283))</f>
        <v/>
      </c>
      <c r="BC36" s="106">
        <f>IF(GE36="","",IF(ISNUMBER('Dvd Calendar'!$Q$283)=FALSE,"",'Dvd Calendar'!$Q$283))</f>
        <v/>
      </c>
      <c r="BD36" s="106">
        <f>IF(GF36="","",IF(ISNUMBER('Dvd Calendar'!$R$283)=FALSE,"",'Dvd Calendar'!$R$283))</f>
        <v/>
      </c>
      <c r="BE36" s="106">
        <f>IF(GG36="","",IF(ISNUMBER('Dvd Calendar'!$S$283)=FALSE,"",'Dvd Calendar'!$S$283))</f>
        <v/>
      </c>
      <c r="BF36" s="106">
        <f>IF(GH36="","",IF(ISNUMBER('Dvd Calendar'!$T$283)=FALSE,"",'Dvd Calendar'!$T$283))</f>
        <v/>
      </c>
      <c r="BG36" s="106">
        <f>IF(GI36="","",IF(ISNUMBER('Dvd Calendar'!$U$283)=FALSE,"",'Dvd Calendar'!$U$283))</f>
        <v/>
      </c>
      <c r="BH36" s="106">
        <f>IF(GJ36="","",IF(ISNUMBER('Dvd Calendar'!$V$283)=FALSE,"",'Dvd Calendar'!$V$283))</f>
        <v/>
      </c>
      <c r="BI36" s="106">
        <f>IF(GK36="","",IF(ISNUMBER('Dvd Calendar'!$W$283)=FALSE,"",'Dvd Calendar'!$W$283))</f>
        <v/>
      </c>
      <c r="BJ36" s="106">
        <f>IF(GL36="","",IF(ISNUMBER('Dvd Calendar'!$X$283)=FALSE,"",'Dvd Calendar'!$X$283))</f>
        <v/>
      </c>
      <c r="BK36" s="106">
        <f>IF(GM36="","",IF(ISNUMBER('Dvd Calendar'!$Y$283)=FALSE,"",'Dvd Calendar'!$Y$283))</f>
        <v/>
      </c>
      <c r="BL36" s="106">
        <f>IF(GN36="","",IF(ISNUMBER('Dvd Calendar'!$Z$283)=FALSE,"",'Dvd Calendar'!$Z$283))</f>
        <v/>
      </c>
      <c r="BM36" s="106">
        <f>IF(GO36="","",IF(ISNUMBER('Dvd Calendar'!$AA$283)=FALSE,"",'Dvd Calendar'!$AA$283))</f>
        <v/>
      </c>
      <c r="BN36" s="106">
        <f>IF(GP36="","",IF(ISNUMBER('Dvd Calendar'!$AB$283)=FALSE,"",'Dvd Calendar'!$AB$283))</f>
        <v/>
      </c>
      <c r="BO36" s="106">
        <f>IF(GQ36="","",IF(ISNUMBER('Dvd Calendar'!$AC$283)=FALSE,"",'Dvd Calendar'!$AC$283))</f>
        <v/>
      </c>
      <c r="BQ36" s="106">
        <f>IF(C36="","",IFERROR(C36*HSI!$B$31*HSI!$G$31/HSI!$B$3,""))</f>
        <v/>
      </c>
      <c r="BR36" s="106">
        <f>IF(D36="","",IFERROR(D36*HSI!$B$31*HSI!$G$31/HSI!$B$3,""))</f>
        <v/>
      </c>
      <c r="BS36" s="106">
        <f>IF(E36="","",IFERROR(E36*HSI!$B$31*HSI!$G$31/HSI!$B$3,""))</f>
        <v/>
      </c>
      <c r="BT36" s="106">
        <f>IF(F36="","",IFERROR(F36*HSI!$B$31*HSI!$G$31/HSI!$B$3,""))</f>
        <v/>
      </c>
      <c r="BU36" s="106">
        <f>IF(G36="","",IFERROR(G36*HSI!$B$31*HSI!$G$31/HSI!$B$3,""))</f>
        <v/>
      </c>
      <c r="BV36" s="106">
        <f>IF(H36="","",IFERROR(H36*HSI!$B$31*HSI!$G$31/HSI!$B$3,""))</f>
        <v/>
      </c>
      <c r="BW36" s="106">
        <f>IF(I36="","",IFERROR(I36*HSI!$B$31*HSI!$G$31/HSI!$B$3,""))</f>
        <v/>
      </c>
      <c r="BX36" s="106">
        <f>IF(J36="","",IFERROR(J36*HSI!$B$31*HSI!$G$31/HSI!$B$3,""))</f>
        <v/>
      </c>
      <c r="BY36" s="106">
        <f>IF(K36="","",IFERROR(K36*HSI!$B$31*HSI!$G$31/HSI!$B$3,""))</f>
        <v/>
      </c>
      <c r="BZ36" s="106">
        <f>IF(L36="","",IFERROR(L36*HSI!$B$31*HSI!$G$31/HSI!$B$3,""))</f>
        <v/>
      </c>
      <c r="CA36" s="106">
        <f>IF(M36="","",IFERROR(M36*HSI!$B$31*HSI!$G$31/HSI!$B$3,""))</f>
        <v/>
      </c>
      <c r="CB36" s="106">
        <f>IF(N36="","",IFERROR(N36*HSI!$B$31*HSI!$G$31/HSI!$B$3,""))</f>
        <v/>
      </c>
      <c r="CC36" s="106">
        <f>IF(O36="","",IFERROR(O36*HSI!$B$31*HSI!$G$31/HSI!$B$3,""))</f>
        <v/>
      </c>
      <c r="CD36" s="106">
        <f>IF(P36="","",IFERROR(P36*HSI!$B$31*HSI!$G$31/HSI!$B$3,""))</f>
        <v/>
      </c>
      <c r="CE36" s="106">
        <f>IF(Q36="","",IFERROR(Q36*HSI!$B$31*HSI!$G$31/HSI!$B$3,""))</f>
        <v/>
      </c>
      <c r="CF36" s="106">
        <f>IF(R36="","",IFERROR(R36*HSI!$B$31*HSI!$G$31/HSI!$B$3,""))</f>
        <v/>
      </c>
      <c r="CG36" s="106">
        <f>IF(S36="","",IFERROR(S36*HSI!$B$31*HSI!$G$31/HSI!$B$3,""))</f>
        <v/>
      </c>
      <c r="CH36" s="106">
        <f>IF(T36="","",IFERROR(T36*HSI!$B$31*HSI!$G$31/HSI!$B$3,""))</f>
        <v/>
      </c>
      <c r="CI36" s="106">
        <f>IF(U36="","",IFERROR(U36*HSI!$B$31*HSI!$G$31/HSI!$B$3,""))</f>
        <v/>
      </c>
      <c r="CJ36" s="106">
        <f>IF(V36="","",IFERROR(V36*HSI!$B$31*HSI!$G$31/HSI!$B$3,""))</f>
        <v/>
      </c>
      <c r="CK36" s="106">
        <f>IF(W36="","",IFERROR(W36*HSI!$B$31*HSI!$G$31/HSI!$B$3,""))</f>
        <v/>
      </c>
      <c r="CL36" s="106">
        <f>IF(X36="","",IFERROR(X36*HSI!$B$31*HSI!$G$31/HSI!$B$3,""))</f>
        <v/>
      </c>
      <c r="CM36" s="106">
        <f>IF(Y36="","",IFERROR(Y36*HSI!$B$31*HSI!$G$31/HSI!$B$3,""))</f>
        <v/>
      </c>
      <c r="CN36" s="106">
        <f>IF(Z36="","",IFERROR(Z36*HSI!$B$31*HSI!$G$31/HSI!$B$3,""))</f>
        <v/>
      </c>
      <c r="CO36" s="106">
        <f>IF(AA36="","",IFERROR(AA36*HSI!$B$31*HSI!$G$31/HSI!$B$3,""))</f>
        <v/>
      </c>
      <c r="CP36" s="106">
        <f>IF(AB36="","",IFERROR(AB36*HSI!$B$31*HSI!$G$31/HSI!$B$3,""))</f>
        <v/>
      </c>
      <c r="CQ36" s="106">
        <f>IF(AC36="","",IFERROR(AC36*HSI!$B$31*HSI!$G$31/HSI!$B$3,""))</f>
        <v/>
      </c>
      <c r="CR36" s="106">
        <f>IF(AD36="","",IFERROR(AD36*HSI!$B$31*HSI!$G$31/HSI!$B$3,""))</f>
        <v/>
      </c>
      <c r="CS36" s="106">
        <f>IF(AE36="","",IFERROR(AE36*HSI!$B$31*HSI!$G$31/HSI!$B$3,""))</f>
        <v/>
      </c>
      <c r="CT36" s="106">
        <f>IF(AF36="","",IFERROR(AF36*HSI!$B$31*HSI!$G$31/HSI!$B$3,""))</f>
        <v/>
      </c>
      <c r="CU36" s="106">
        <f>IF(AG36="","",IFERROR(AG36*HSI!$B$31*HSI!$G$31/HSI!$B$3,""))</f>
        <v/>
      </c>
      <c r="CV36" s="106">
        <f>IF(AH36="","",IFERROR(AH36*HSI!$B$31*HSI!$G$31/HSI!$B$3,""))</f>
        <v/>
      </c>
      <c r="CW36" s="106">
        <f>IF(AI36="","",IFERROR(AI36*HSI!$B$31*HSI!$G$31/HSI!$B$3,""))</f>
        <v/>
      </c>
      <c r="CX36" s="106">
        <f>IF(AJ36="","",IFERROR(AJ36*HSI!$B$31*HSI!$G$31/HSI!$B$3,""))</f>
        <v/>
      </c>
      <c r="CY36" s="106">
        <f>IF(AK36="","",IFERROR(AK36*HSI!$B$31*HSI!$G$31/HSI!$B$3,""))</f>
        <v/>
      </c>
      <c r="CZ36" s="106">
        <f>IF(AL36="","",IFERROR(AL36*HSI!$B$31*HSI!$G$31/HSI!$B$3,""))</f>
        <v/>
      </c>
      <c r="DA36" s="106">
        <f>IF(AM36="","",IFERROR(AM36*HSI!$B$31*HSI!$G$31/HSI!$B$3,""))</f>
        <v/>
      </c>
      <c r="DB36" s="106">
        <f>IF(AN36="","",IFERROR(AN36*HSI!$B$31*HSI!$G$31/HSI!$B$3,""))</f>
        <v/>
      </c>
      <c r="DC36" s="106">
        <f>IF(AO36="","",IFERROR(AO36*HSI!$B$31*HSI!$G$31/HSI!$B$3,""))</f>
        <v/>
      </c>
      <c r="DD36" s="106">
        <f>IF(AP36="","",IFERROR(AP36*HSI!$B$31*HSI!$G$31/HSI!$B$3,""))</f>
        <v/>
      </c>
      <c r="DE36" s="106">
        <f>IF(AQ36="","",IFERROR(AQ36*HSI!$B$31*HSI!$G$31/HSI!$B$3,""))</f>
        <v/>
      </c>
      <c r="DF36" s="106">
        <f>IF(AR36="","",IFERROR(AR36*HSI!$B$31*HSI!$G$31/HSI!$B$3,""))</f>
        <v/>
      </c>
      <c r="DG36" s="106">
        <f>IF(AS36="","",IFERROR(AS36*HSI!$B$31*HSI!$G$31/HSI!$B$3,""))</f>
        <v/>
      </c>
      <c r="DH36" s="106">
        <f>IF(AT36="","",IFERROR(AT36*HSI!$B$31*HSI!$G$31/HSI!$B$3,""))</f>
        <v/>
      </c>
      <c r="DI36" s="106">
        <f>IF(AU36="","",IFERROR(AU36*HSI!$B$31*HSI!$G$31/HSI!$B$3,""))</f>
        <v/>
      </c>
      <c r="DJ36" s="106">
        <f>IF(AV36="","",IFERROR(AV36*HSI!$B$31*HSI!$G$31/HSI!$B$3,""))</f>
        <v/>
      </c>
      <c r="DK36" s="106">
        <f>IF(AW36="","",IFERROR(AW36*HSI!$B$31*HSI!$G$31/HSI!$B$3,""))</f>
        <v/>
      </c>
      <c r="DL36" s="106">
        <f>IF(AX36="","",IFERROR(AX36*HSI!$B$31*HSI!$G$31/HSI!$B$3,""))</f>
        <v/>
      </c>
      <c r="DM36" s="106">
        <f>IF(AY36="","",IFERROR(AY36*HSI!$B$31*HSI!$G$31/HSI!$B$3,""))</f>
        <v/>
      </c>
      <c r="DN36" s="106">
        <f>IF(AZ36="","",IFERROR(AZ36*HSI!$B$31*HSI!$G$31/HSI!$B$3,""))</f>
        <v/>
      </c>
      <c r="DO36" s="106">
        <f>IF(BA36="","",IFERROR(BA36*HSI!$B$31*HSI!$G$31/HSI!$B$3,""))</f>
        <v/>
      </c>
      <c r="DP36" s="106">
        <f>IF(BB36="","",IFERROR(BB36*HSI!$B$31*HSI!$G$31/HSI!$B$3,""))</f>
        <v/>
      </c>
      <c r="DQ36" s="106">
        <f>IF(BC36="","",IFERROR(BC36*HSI!$B$31*HSI!$G$31/HSI!$B$3,""))</f>
        <v/>
      </c>
      <c r="DR36" s="106">
        <f>IF(BD36="","",IFERROR(BD36*HSI!$B$31*HSI!$G$31/HSI!$B$3,""))</f>
        <v/>
      </c>
      <c r="DS36" s="106">
        <f>IF(BE36="","",IFERROR(BE36*HSI!$B$31*HSI!$G$31/HSI!$B$3,""))</f>
        <v/>
      </c>
      <c r="DT36" s="106">
        <f>IF(BF36="","",IFERROR(BF36*HSI!$B$31*HSI!$G$31/HSI!$B$3,""))</f>
        <v/>
      </c>
      <c r="DU36" s="106">
        <f>IF(BG36="","",IFERROR(BG36*HSI!$B$31*HSI!$G$31/HSI!$B$3,""))</f>
        <v/>
      </c>
      <c r="DV36" s="106">
        <f>IF(BH36="","",IFERROR(BH36*HSI!$B$31*HSI!$G$31/HSI!$B$3,""))</f>
        <v/>
      </c>
      <c r="DW36" s="106">
        <f>IF(BI36="","",IFERROR(BI36*HSI!$B$31*HSI!$G$31/HSI!$B$3,""))</f>
        <v/>
      </c>
      <c r="DX36" s="106">
        <f>IF(BJ36="","",IFERROR(BJ36*HSI!$B$31*HSI!$G$31/HSI!$B$3,""))</f>
        <v/>
      </c>
      <c r="DY36" s="106">
        <f>IF(BK36="","",IFERROR(BK36*HSI!$B$31*HSI!$G$31/HSI!$B$3,""))</f>
        <v/>
      </c>
      <c r="DZ36" s="106">
        <f>IF(BL36="","",IFERROR(BL36*HSI!$B$31*HSI!$G$31/HSI!$B$3,""))</f>
        <v/>
      </c>
      <c r="EA36" s="106">
        <f>IF(BM36="","",IFERROR(BM36*HSI!$B$31*HSI!$G$31/HSI!$B$3,""))</f>
        <v/>
      </c>
      <c r="EB36" s="106">
        <f>IF(BN36="","",IFERROR(BN36*HSI!$B$31*HSI!$G$31/HSI!$B$3,""))</f>
        <v/>
      </c>
      <c r="EC36" s="106">
        <f>IF(BO36="","",IFERROR(BO36*HSI!$B$31*HSI!$G$31/HSI!$B$3,""))</f>
        <v/>
      </c>
      <c r="EE36" s="35">
        <f>IF(N('Dvd Calendar'!$E$275)=0,"",IF(('Dvd Calendar'!$E$275&gt;=GRID_FROM)*('Dvd Calendar'!$E$275&lt;=GRID_TO)*('Dvd Calendar'!$E$275&lt;=VAL_DATE)=0,"",'Dvd Calendar'!$E$275*1000000000+ISNUMBER('Dvd Calendar'!$E$278)*100000000+('Dvd Calendar'!$E$280=SPECIAL_LBL)*10000000+0*1000000+25*1000+1))</f>
        <v/>
      </c>
      <c r="EF36" s="35">
        <f>IF(N('Dvd Calendar'!$F$275)=0,"",IF(('Dvd Calendar'!$F$275&gt;=GRID_FROM)*('Dvd Calendar'!$F$275&lt;=GRID_TO)*('Dvd Calendar'!$F$275&lt;=VAL_DATE)=0,"",'Dvd Calendar'!$F$275*1000000000+ISNUMBER('Dvd Calendar'!$F$278)*100000000+('Dvd Calendar'!$F$280=SPECIAL_LBL)*10000000+0*1000000+25*1000+2))</f>
        <v/>
      </c>
      <c r="EG36" s="35">
        <f>IF(N('Dvd Calendar'!$G$275)=0,"",IF(('Dvd Calendar'!$G$275&gt;=GRID_FROM)*('Dvd Calendar'!$G$275&lt;=GRID_TO)*('Dvd Calendar'!$G$275&lt;=VAL_DATE)=0,"",'Dvd Calendar'!$G$275*1000000000+ISNUMBER('Dvd Calendar'!$G$278)*100000000+('Dvd Calendar'!$G$280=SPECIAL_LBL)*10000000+0*1000000+25*1000+3))</f>
        <v/>
      </c>
      <c r="EH36" s="35">
        <f>IF(N('Dvd Calendar'!$H$275)=0,"",IF(('Dvd Calendar'!$H$275&gt;=GRID_FROM)*('Dvd Calendar'!$H$275&lt;=GRID_TO)*('Dvd Calendar'!$H$275&lt;=VAL_DATE)=0,"",'Dvd Calendar'!$H$275*1000000000+ISNUMBER('Dvd Calendar'!$H$278)*100000000+('Dvd Calendar'!$H$280=SPECIAL_LBL)*10000000+0*1000000+25*1000+4))</f>
        <v/>
      </c>
      <c r="EI36" s="35">
        <f>IF(N('Dvd Calendar'!$I$275)=0,"",IF(('Dvd Calendar'!$I$275&gt;=GRID_FROM)*('Dvd Calendar'!$I$275&lt;=GRID_TO)*('Dvd Calendar'!$I$275&lt;=VAL_DATE)=0,"",'Dvd Calendar'!$I$275*1000000000+ISNUMBER('Dvd Calendar'!$I$278)*100000000+('Dvd Calendar'!$I$280=SPECIAL_LBL)*10000000+0*1000000+25*1000+5))</f>
        <v/>
      </c>
      <c r="EJ36" s="35">
        <f>IF(N('Dvd Calendar'!$J$275)=0,"",IF(('Dvd Calendar'!$J$275&gt;=GRID_FROM)*('Dvd Calendar'!$J$275&lt;=GRID_TO)*('Dvd Calendar'!$J$275&lt;=VAL_DATE)=0,"",'Dvd Calendar'!$J$275*1000000000+ISNUMBER('Dvd Calendar'!$J$278)*100000000+('Dvd Calendar'!$J$280=SPECIAL_LBL)*10000000+0*1000000+25*1000+6))</f>
        <v/>
      </c>
      <c r="EK36" s="35">
        <f>IF(N('Dvd Calendar'!$K$275)=0,"",IF(('Dvd Calendar'!$K$275&gt;=GRID_FROM)*('Dvd Calendar'!$K$275&lt;=GRID_TO)*('Dvd Calendar'!$K$275&lt;=VAL_DATE)=0,"",'Dvd Calendar'!$K$275*1000000000+ISNUMBER('Dvd Calendar'!$K$278)*100000000+('Dvd Calendar'!$K$280=SPECIAL_LBL)*10000000+0*1000000+25*1000+7))</f>
        <v/>
      </c>
      <c r="EL36" s="35">
        <f>IF(N('Dvd Calendar'!$L$275)=0,"",IF(('Dvd Calendar'!$L$275&gt;=GRID_FROM)*('Dvd Calendar'!$L$275&lt;=GRID_TO)*('Dvd Calendar'!$L$275&lt;=VAL_DATE)=0,"",'Dvd Calendar'!$L$275*1000000000+ISNUMBER('Dvd Calendar'!$L$278)*100000000+('Dvd Calendar'!$L$280=SPECIAL_LBL)*10000000+0*1000000+25*1000+8))</f>
        <v/>
      </c>
      <c r="EM36" s="35">
        <f>IF(N('Dvd Calendar'!$M$275)=0,"",IF(('Dvd Calendar'!$M$275&gt;=GRID_FROM)*('Dvd Calendar'!$M$275&lt;=GRID_TO)*('Dvd Calendar'!$M$275&lt;=VAL_DATE)=0,"",'Dvd Calendar'!$M$275*1000000000+ISNUMBER('Dvd Calendar'!$M$278)*100000000+('Dvd Calendar'!$M$280=SPECIAL_LBL)*10000000+0*1000000+25*1000+9))</f>
        <v/>
      </c>
      <c r="EN36" s="35">
        <f>IF(N('Dvd Calendar'!$N$275)=0,"",IF(('Dvd Calendar'!$N$275&gt;=GRID_FROM)*('Dvd Calendar'!$N$275&lt;=GRID_TO)*('Dvd Calendar'!$N$275&lt;=VAL_DATE)=0,"",'Dvd Calendar'!$N$275*1000000000+ISNUMBER('Dvd Calendar'!$N$278)*100000000+('Dvd Calendar'!$N$280=SPECIAL_LBL)*10000000+0*1000000+25*1000+10))</f>
        <v/>
      </c>
      <c r="EO36" s="35">
        <f>IF(N('Dvd Calendar'!$O$275)=0,"",IF(('Dvd Calendar'!$O$275&gt;=GRID_FROM)*('Dvd Calendar'!$O$275&lt;=GRID_TO)*('Dvd Calendar'!$O$275&lt;=VAL_DATE)=0,"",'Dvd Calendar'!$O$275*1000000000+ISNUMBER('Dvd Calendar'!$O$278)*100000000+('Dvd Calendar'!$O$280=SPECIAL_LBL)*10000000+0*1000000+25*1000+11))</f>
        <v/>
      </c>
      <c r="EP36" s="35">
        <f>IF(N('Dvd Calendar'!$P$275)=0,"",IF(('Dvd Calendar'!$P$275&gt;=GRID_FROM)*('Dvd Calendar'!$P$275&lt;=GRID_TO)*('Dvd Calendar'!$P$275&lt;=VAL_DATE)=0,"",'Dvd Calendar'!$P$275*1000000000+ISNUMBER('Dvd Calendar'!$P$278)*100000000+('Dvd Calendar'!$P$280=SPECIAL_LBL)*10000000+0*1000000+25*1000+12))</f>
        <v/>
      </c>
      <c r="EQ36" s="35">
        <f>IF(N('Dvd Calendar'!$Q$275)=0,"",IF(('Dvd Calendar'!$Q$275&gt;=GRID_FROM)*('Dvd Calendar'!$Q$275&lt;=GRID_TO)*('Dvd Calendar'!$Q$275&lt;=VAL_DATE)=0,"",'Dvd Calendar'!$Q$275*1000000000+ISNUMBER('Dvd Calendar'!$Q$278)*100000000+('Dvd Calendar'!$Q$280=SPECIAL_LBL)*10000000+0*1000000+25*1000+13))</f>
        <v/>
      </c>
      <c r="ER36" s="35">
        <f>IF(N('Dvd Calendar'!$R$275)=0,"",IF(('Dvd Calendar'!$R$275&gt;=GRID_FROM)*('Dvd Calendar'!$R$275&lt;=GRID_TO)*('Dvd Calendar'!$R$275&lt;=VAL_DATE)=0,"",'Dvd Calendar'!$R$275*1000000000+ISNUMBER('Dvd Calendar'!$R$278)*100000000+('Dvd Calendar'!$R$280=SPECIAL_LBL)*10000000+0*1000000+25*1000+14))</f>
        <v/>
      </c>
      <c r="ES36" s="35">
        <f>IF(N('Dvd Calendar'!$S$275)=0,"",IF(('Dvd Calendar'!$S$275&gt;=GRID_FROM)*('Dvd Calendar'!$S$275&lt;=GRID_TO)*('Dvd Calendar'!$S$275&lt;=VAL_DATE)=0,"",'Dvd Calendar'!$S$275*1000000000+ISNUMBER('Dvd Calendar'!$S$278)*100000000+('Dvd Calendar'!$S$280=SPECIAL_LBL)*10000000+0*1000000+25*1000+15))</f>
        <v/>
      </c>
      <c r="ET36" s="35">
        <f>IF(N('Dvd Calendar'!$T$275)=0,"",IF(('Dvd Calendar'!$T$275&gt;=GRID_FROM)*('Dvd Calendar'!$T$275&lt;=GRID_TO)*('Dvd Calendar'!$T$275&lt;=VAL_DATE)=0,"",'Dvd Calendar'!$T$275*1000000000+ISNUMBER('Dvd Calendar'!$T$278)*100000000+('Dvd Calendar'!$T$280=SPECIAL_LBL)*10000000+0*1000000+25*1000+16))</f>
        <v/>
      </c>
      <c r="EU36" s="35">
        <f>IF(N('Dvd Calendar'!$U$275)=0,"",IF(('Dvd Calendar'!$U$275&gt;=GRID_FROM)*('Dvd Calendar'!$U$275&lt;=GRID_TO)*('Dvd Calendar'!$U$275&lt;=VAL_DATE)=0,"",'Dvd Calendar'!$U$275*1000000000+ISNUMBER('Dvd Calendar'!$U$278)*100000000+('Dvd Calendar'!$U$280=SPECIAL_LBL)*10000000+0*1000000+25*1000+17))</f>
        <v/>
      </c>
      <c r="EV36" s="35">
        <f>IF(N('Dvd Calendar'!$V$275)=0,"",IF(('Dvd Calendar'!$V$275&gt;=GRID_FROM)*('Dvd Calendar'!$V$275&lt;=GRID_TO)*('Dvd Calendar'!$V$275&lt;=VAL_DATE)=0,"",'Dvd Calendar'!$V$275*1000000000+ISNUMBER('Dvd Calendar'!$V$278)*100000000+('Dvd Calendar'!$V$280=SPECIAL_LBL)*10000000+0*1000000+25*1000+18))</f>
        <v/>
      </c>
      <c r="EW36" s="35">
        <f>IF(N('Dvd Calendar'!$W$275)=0,"",IF(('Dvd Calendar'!$W$275&gt;=GRID_FROM)*('Dvd Calendar'!$W$275&lt;=GRID_TO)*('Dvd Calendar'!$W$275&lt;=VAL_DATE)=0,"",'Dvd Calendar'!$W$275*1000000000+ISNUMBER('Dvd Calendar'!$W$278)*100000000+('Dvd Calendar'!$W$280=SPECIAL_LBL)*10000000+0*1000000+25*1000+19))</f>
        <v/>
      </c>
      <c r="EX36" s="35">
        <f>IF(N('Dvd Calendar'!$X$275)=0,"",IF(('Dvd Calendar'!$X$275&gt;=GRID_FROM)*('Dvd Calendar'!$X$275&lt;=GRID_TO)*('Dvd Calendar'!$X$275&lt;=VAL_DATE)=0,"",'Dvd Calendar'!$X$275*1000000000+ISNUMBER('Dvd Calendar'!$X$278)*100000000+('Dvd Calendar'!$X$280=SPECIAL_LBL)*10000000+0*1000000+25*1000+20))</f>
        <v/>
      </c>
      <c r="EY36" s="35">
        <f>IF(N('Dvd Calendar'!$Y$275)=0,"",IF(('Dvd Calendar'!$Y$275&gt;=GRID_FROM)*('Dvd Calendar'!$Y$275&lt;=GRID_TO)*('Dvd Calendar'!$Y$275&lt;=VAL_DATE)=0,"",'Dvd Calendar'!$Y$275*1000000000+ISNUMBER('Dvd Calendar'!$Y$278)*100000000+('Dvd Calendar'!$Y$280=SPECIAL_LBL)*10000000+0*1000000+25*1000+21))</f>
        <v/>
      </c>
      <c r="EZ36" s="35">
        <f>IF(N('Dvd Calendar'!$Z$275)=0,"",IF(('Dvd Calendar'!$Z$275&gt;=GRID_FROM)*('Dvd Calendar'!$Z$275&lt;=GRID_TO)*('Dvd Calendar'!$Z$275&lt;=VAL_DATE)=0,"",'Dvd Calendar'!$Z$275*1000000000+ISNUMBER('Dvd Calendar'!$Z$278)*100000000+('Dvd Calendar'!$Z$280=SPECIAL_LBL)*10000000+0*1000000+25*1000+22))</f>
        <v/>
      </c>
      <c r="FA36" s="35">
        <f>IF(N('Dvd Calendar'!$AA$275)=0,"",IF(('Dvd Calendar'!$AA$275&gt;=GRID_FROM)*('Dvd Calendar'!$AA$275&lt;=GRID_TO)*('Dvd Calendar'!$AA$275&lt;=VAL_DATE)=0,"",'Dvd Calendar'!$AA$275*1000000000+ISNUMBER('Dvd Calendar'!$AA$278)*100000000+('Dvd Calendar'!$AA$280=SPECIAL_LBL)*10000000+0*1000000+25*1000+23))</f>
        <v/>
      </c>
      <c r="FB36" s="35">
        <f>IF(N('Dvd Calendar'!$AB$275)=0,"",IF(('Dvd Calendar'!$AB$275&gt;=GRID_FROM)*('Dvd Calendar'!$AB$275&lt;=GRID_TO)*('Dvd Calendar'!$AB$275&lt;=VAL_DATE)=0,"",'Dvd Calendar'!$AB$275*1000000000+ISNUMBER('Dvd Calendar'!$AB$278)*100000000+('Dvd Calendar'!$AB$280=SPECIAL_LBL)*10000000+0*1000000+25*1000+24))</f>
        <v/>
      </c>
      <c r="FC36" s="35">
        <f>IF(N('Dvd Calendar'!$AC$275)=0,"",IF(('Dvd Calendar'!$AC$275&gt;=GRID_FROM)*('Dvd Calendar'!$AC$275&lt;=GRID_TO)*('Dvd Calendar'!$AC$275&lt;=VAL_DATE)=0,"",'Dvd Calendar'!$AC$275*1000000000+ISNUMBER('Dvd Calendar'!$AC$278)*100000000+('Dvd Calendar'!$AC$280=SPECIAL_LBL)*10000000+0*1000000+25*1000+25))</f>
        <v/>
      </c>
      <c r="FD36" s="35">
        <f>IF(N('Dvd Calendar'!$AD$275)=0,"",IF(('Dvd Calendar'!$AD$275&gt;=GRID_FROM)*('Dvd Calendar'!$AD$275&lt;=GRID_TO)*('Dvd Calendar'!$AD$275&lt;=VAL_DATE)=0,"",'Dvd Calendar'!$AD$275*1000000000+ISNUMBER('Dvd Calendar'!$AD$278)*100000000+('Dvd Calendar'!$AD$280=SPECIAL_LBL)*10000000+0*1000000+25*1000+26))</f>
        <v/>
      </c>
      <c r="FE36" s="35">
        <f>IF(N('Dvd Calendar'!$AE$275)=0,"",IF(('Dvd Calendar'!$AE$275&gt;=GRID_FROM)*('Dvd Calendar'!$AE$275&lt;=GRID_TO)*('Dvd Calendar'!$AE$275&lt;=VAL_DATE)=0,"",'Dvd Calendar'!$AE$275*1000000000+ISNUMBER('Dvd Calendar'!$AE$278)*100000000+('Dvd Calendar'!$AE$280=SPECIAL_LBL)*10000000+0*1000000+25*1000+27))</f>
        <v/>
      </c>
      <c r="FF36" s="35">
        <f>IF(N('Dvd Calendar'!$AF$275)=0,"",IF(('Dvd Calendar'!$AF$275&gt;=GRID_FROM)*('Dvd Calendar'!$AF$275&lt;=GRID_TO)*('Dvd Calendar'!$AF$275&lt;=VAL_DATE)=0,"",'Dvd Calendar'!$AF$275*1000000000+ISNUMBER('Dvd Calendar'!$AF$278)*100000000+('Dvd Calendar'!$AF$280=SPECIAL_LBL)*10000000+0*1000000+25*1000+28))</f>
        <v/>
      </c>
      <c r="FG36" s="35">
        <f>IF(N('Dvd Calendar'!$AG$275)=0,"",IF(('Dvd Calendar'!$AG$275&gt;=GRID_FROM)*('Dvd Calendar'!$AG$275&lt;=GRID_TO)*('Dvd Calendar'!$AG$275&lt;=VAL_DATE)=0,"",'Dvd Calendar'!$AG$275*1000000000+ISNUMBER('Dvd Calendar'!$AG$278)*100000000+('Dvd Calendar'!$AG$280=SPECIAL_LBL)*10000000+0*1000000+25*1000+29))</f>
        <v/>
      </c>
      <c r="FH36" s="35">
        <f>IF(N('Dvd Calendar'!$AH$275)=0,"",IF(('Dvd Calendar'!$AH$275&gt;=GRID_FROM)*('Dvd Calendar'!$AH$275&lt;=GRID_TO)*('Dvd Calendar'!$AH$275&lt;=VAL_DATE)=0,"",'Dvd Calendar'!$AH$275*1000000000+ISNUMBER('Dvd Calendar'!$AH$278)*100000000+('Dvd Calendar'!$AH$280=SPECIAL_LBL)*10000000+0*1000000+25*1000+30))</f>
        <v/>
      </c>
      <c r="FI36" s="35">
        <f>IF(N('Dvd Calendar'!$AI$275)=0,"",IF(('Dvd Calendar'!$AI$275&gt;=GRID_FROM)*('Dvd Calendar'!$AI$275&lt;=GRID_TO)*('Dvd Calendar'!$AI$275&lt;=VAL_DATE)=0,"",'Dvd Calendar'!$AI$275*1000000000+ISNUMBER('Dvd Calendar'!$AI$278)*100000000+('Dvd Calendar'!$AI$280=SPECIAL_LBL)*10000000+0*1000000+25*1000+31))</f>
        <v/>
      </c>
      <c r="FJ36" s="35">
        <f>IF(N('Dvd Calendar'!$AJ$275)=0,"",IF(('Dvd Calendar'!$AJ$275&gt;=GRID_FROM)*('Dvd Calendar'!$AJ$275&lt;=GRID_TO)*('Dvd Calendar'!$AJ$275&lt;=VAL_DATE)=0,"",'Dvd Calendar'!$AJ$275*1000000000+ISNUMBER('Dvd Calendar'!$AJ$278)*100000000+('Dvd Calendar'!$AJ$280=SPECIAL_LBL)*10000000+0*1000000+25*1000+32))</f>
        <v/>
      </c>
      <c r="FK36" s="35">
        <f>IF(N('Dvd Calendar'!$AK$275)=0,"",IF(('Dvd Calendar'!$AK$275&gt;=GRID_FROM)*('Dvd Calendar'!$AK$275&lt;=GRID_TO)*('Dvd Calendar'!$AK$275&lt;=VAL_DATE)=0,"",'Dvd Calendar'!$AK$275*1000000000+ISNUMBER('Dvd Calendar'!$AK$278)*100000000+('Dvd Calendar'!$AK$280=SPECIAL_LBL)*10000000+0*1000000+25*1000+33))</f>
        <v/>
      </c>
      <c r="FL36" s="35">
        <f>IF(N('Dvd Calendar'!$AL$275)=0,"",IF(('Dvd Calendar'!$AL$275&gt;=GRID_FROM)*('Dvd Calendar'!$AL$275&lt;=GRID_TO)*('Dvd Calendar'!$AL$275&lt;=VAL_DATE)=0,"",'Dvd Calendar'!$AL$275*1000000000+ISNUMBER('Dvd Calendar'!$AL$278)*100000000+('Dvd Calendar'!$AL$280=SPECIAL_LBL)*10000000+0*1000000+25*1000+34))</f>
        <v/>
      </c>
      <c r="FM36" s="35">
        <f>IF(N('Dvd Calendar'!$AM$275)=0,"",IF(('Dvd Calendar'!$AM$275&gt;=GRID_FROM)*('Dvd Calendar'!$AM$275&lt;=GRID_TO)*('Dvd Calendar'!$AM$275&lt;=VAL_DATE)=0,"",'Dvd Calendar'!$AM$275*1000000000+ISNUMBER('Dvd Calendar'!$AM$278)*100000000+('Dvd Calendar'!$AM$280=SPECIAL_LBL)*10000000+0*1000000+25*1000+35))</f>
        <v/>
      </c>
      <c r="FN36" s="35">
        <f>IF(N('Dvd Calendar'!$AN$275)=0,"",IF(('Dvd Calendar'!$AN$275&gt;=GRID_FROM)*('Dvd Calendar'!$AN$275&lt;=GRID_TO)*('Dvd Calendar'!$AN$275&lt;=VAL_DATE)=0,"",'Dvd Calendar'!$AN$275*1000000000+ISNUMBER('Dvd Calendar'!$AN$278)*100000000+('Dvd Calendar'!$AN$280=SPECIAL_LBL)*10000000+0*1000000+25*1000+36))</f>
        <v/>
      </c>
      <c r="FO36" s="35">
        <f>IF(N('Dvd Calendar'!$AO$275)=0,"",IF(('Dvd Calendar'!$AO$275&gt;=GRID_FROM)*('Dvd Calendar'!$AO$275&lt;=GRID_TO)*('Dvd Calendar'!$AO$275&lt;=VAL_DATE)=0,"",'Dvd Calendar'!$AO$275*1000000000+ISNUMBER('Dvd Calendar'!$AO$278)*100000000+('Dvd Calendar'!$AO$280=SPECIAL_LBL)*10000000+0*1000000+25*1000+37))</f>
        <v/>
      </c>
      <c r="FP36" s="35">
        <f>IF(N('Dvd Calendar'!$AP$275)=0,"",IF(('Dvd Calendar'!$AP$275&gt;=GRID_FROM)*('Dvd Calendar'!$AP$275&lt;=GRID_TO)*('Dvd Calendar'!$AP$275&lt;=VAL_DATE)=0,"",'Dvd Calendar'!$AP$275*1000000000+ISNUMBER('Dvd Calendar'!$AP$278)*100000000+('Dvd Calendar'!$AP$280=SPECIAL_LBL)*10000000+0*1000000+25*1000+38))</f>
        <v/>
      </c>
      <c r="FQ36" s="35">
        <f>IF(N('Dvd Calendar'!$AQ$275)=0,"",IF(('Dvd Calendar'!$AQ$275&gt;=GRID_FROM)*('Dvd Calendar'!$AQ$275&lt;=GRID_TO)*('Dvd Calendar'!$AQ$275&lt;=VAL_DATE)=0,"",'Dvd Calendar'!$AQ$275*1000000000+ISNUMBER('Dvd Calendar'!$AQ$278)*100000000+('Dvd Calendar'!$AQ$280=SPECIAL_LBL)*10000000+0*1000000+25*1000+39))</f>
        <v/>
      </c>
      <c r="FR36" s="35">
        <f>IF(N('Dvd Calendar'!$AR$275)=0,"",IF(('Dvd Calendar'!$AR$275&gt;=GRID_FROM)*('Dvd Calendar'!$AR$275&lt;=GRID_TO)*('Dvd Calendar'!$AR$275&lt;=VAL_DATE)=0,"",'Dvd Calendar'!$AR$275*1000000000+ISNUMBER('Dvd Calendar'!$AR$278)*100000000+('Dvd Calendar'!$AR$280=SPECIAL_LBL)*10000000+0*1000000+25*1000+40))</f>
        <v/>
      </c>
      <c r="FS36" s="35">
        <f>IF(N('Dvd Calendar'!$E$282)=0,"",IF(('Dvd Calendar'!$E$282&gt;=GRID_FROM)*('Dvd Calendar'!$E$282&lt;=GRID_TO)*('Dvd Calendar'!$E$282&gt;VAL_DATE)=0,"",'Dvd Calendar'!$E$282*1000000000+ISNUMBER('Dvd Calendar'!$E$283)*100000000+0*10000000+(N('Dvd Calendar'!$E$281)&gt;0)*(N('Dvd Calendar'!$E$281)&lt;=VAL_SERIAL)*1000000+25*1000+41))</f>
        <v/>
      </c>
      <c r="FT36" s="35">
        <f>IF(N('Dvd Calendar'!$F$282)=0,"",IF(('Dvd Calendar'!$F$282&gt;=GRID_FROM)*('Dvd Calendar'!$F$282&lt;=GRID_TO)*('Dvd Calendar'!$F$282&gt;VAL_DATE)=0,"",'Dvd Calendar'!$F$282*1000000000+ISNUMBER('Dvd Calendar'!$F$283)*100000000+0*10000000+(N('Dvd Calendar'!$F$281)&gt;0)*(N('Dvd Calendar'!$F$281)&lt;=VAL_SERIAL)*1000000+25*1000+42))</f>
        <v/>
      </c>
      <c r="FU36" s="35">
        <f>IF(N('Dvd Calendar'!$G$282)=0,"",IF(('Dvd Calendar'!$G$282&gt;=GRID_FROM)*('Dvd Calendar'!$G$282&lt;=GRID_TO)*('Dvd Calendar'!$G$282&gt;VAL_DATE)=0,"",'Dvd Calendar'!$G$282*1000000000+ISNUMBER('Dvd Calendar'!$G$283)*100000000+0*10000000+(N('Dvd Calendar'!$G$281)&gt;0)*(N('Dvd Calendar'!$G$281)&lt;=VAL_SERIAL)*1000000+25*1000+43))</f>
        <v/>
      </c>
      <c r="FV36" s="35">
        <f>IF(N('Dvd Calendar'!$H$282)=0,"",IF(('Dvd Calendar'!$H$282&gt;=GRID_FROM)*('Dvd Calendar'!$H$282&lt;=GRID_TO)*('Dvd Calendar'!$H$282&gt;VAL_DATE)=0,"",'Dvd Calendar'!$H$282*1000000000+ISNUMBER('Dvd Calendar'!$H$283)*100000000+0*10000000+(N('Dvd Calendar'!$H$281)&gt;0)*(N('Dvd Calendar'!$H$281)&lt;=VAL_SERIAL)*1000000+25*1000+44))</f>
        <v/>
      </c>
      <c r="FW36" s="35">
        <f>IF(N('Dvd Calendar'!$I$282)=0,"",IF(('Dvd Calendar'!$I$282&gt;=GRID_FROM)*('Dvd Calendar'!$I$282&lt;=GRID_TO)*('Dvd Calendar'!$I$282&gt;VAL_DATE)=0,"",'Dvd Calendar'!$I$282*1000000000+ISNUMBER('Dvd Calendar'!$I$283)*100000000+0*10000000+(N('Dvd Calendar'!$I$281)&gt;0)*(N('Dvd Calendar'!$I$281)&lt;=VAL_SERIAL)*1000000+25*1000+45))</f>
        <v/>
      </c>
      <c r="FX36" s="35">
        <f>IF(N('Dvd Calendar'!$J$282)=0,"",IF(('Dvd Calendar'!$J$282&gt;=GRID_FROM)*('Dvd Calendar'!$J$282&lt;=GRID_TO)*('Dvd Calendar'!$J$282&gt;VAL_DATE)=0,"",'Dvd Calendar'!$J$282*1000000000+ISNUMBER('Dvd Calendar'!$J$283)*100000000+0*10000000+(N('Dvd Calendar'!$J$281)&gt;0)*(N('Dvd Calendar'!$J$281)&lt;=VAL_SERIAL)*1000000+25*1000+46))</f>
        <v/>
      </c>
      <c r="FY36" s="35">
        <f>IF(N('Dvd Calendar'!$K$282)=0,"",IF(('Dvd Calendar'!$K$282&gt;=GRID_FROM)*('Dvd Calendar'!$K$282&lt;=GRID_TO)*('Dvd Calendar'!$K$282&gt;VAL_DATE)=0,"",'Dvd Calendar'!$K$282*1000000000+ISNUMBER('Dvd Calendar'!$K$283)*100000000+0*10000000+(N('Dvd Calendar'!$K$281)&gt;0)*(N('Dvd Calendar'!$K$281)&lt;=VAL_SERIAL)*1000000+25*1000+47))</f>
        <v/>
      </c>
      <c r="FZ36" s="35">
        <f>IF(N('Dvd Calendar'!$L$282)=0,"",IF(('Dvd Calendar'!$L$282&gt;=GRID_FROM)*('Dvd Calendar'!$L$282&lt;=GRID_TO)*('Dvd Calendar'!$L$282&gt;VAL_DATE)=0,"",'Dvd Calendar'!$L$282*1000000000+ISNUMBER('Dvd Calendar'!$L$283)*100000000+0*10000000+(N('Dvd Calendar'!$L$281)&gt;0)*(N('Dvd Calendar'!$L$281)&lt;=VAL_SERIAL)*1000000+25*1000+48))</f>
        <v/>
      </c>
      <c r="GA36" s="35">
        <f>IF(N('Dvd Calendar'!$M$282)=0,"",IF(('Dvd Calendar'!$M$282&gt;=GRID_FROM)*('Dvd Calendar'!$M$282&lt;=GRID_TO)*('Dvd Calendar'!$M$282&gt;VAL_DATE)=0,"",'Dvd Calendar'!$M$282*1000000000+ISNUMBER('Dvd Calendar'!$M$283)*100000000+0*10000000+(N('Dvd Calendar'!$M$281)&gt;0)*(N('Dvd Calendar'!$M$281)&lt;=VAL_SERIAL)*1000000+25*1000+49))</f>
        <v/>
      </c>
      <c r="GB36" s="35">
        <f>IF(N('Dvd Calendar'!$N$282)=0,"",IF(('Dvd Calendar'!$N$282&gt;=GRID_FROM)*('Dvd Calendar'!$N$282&lt;=GRID_TO)*('Dvd Calendar'!$N$282&gt;VAL_DATE)=0,"",'Dvd Calendar'!$N$282*1000000000+ISNUMBER('Dvd Calendar'!$N$283)*100000000+0*10000000+(N('Dvd Calendar'!$N$281)&gt;0)*(N('Dvd Calendar'!$N$281)&lt;=VAL_SERIAL)*1000000+25*1000+50))</f>
        <v/>
      </c>
      <c r="GC36" s="35">
        <f>IF(N('Dvd Calendar'!$O$282)=0,"",IF(('Dvd Calendar'!$O$282&gt;=GRID_FROM)*('Dvd Calendar'!$O$282&lt;=GRID_TO)*('Dvd Calendar'!$O$282&gt;VAL_DATE)=0,"",'Dvd Calendar'!$O$282*1000000000+ISNUMBER('Dvd Calendar'!$O$283)*100000000+0*10000000+(N('Dvd Calendar'!$O$281)&gt;0)*(N('Dvd Calendar'!$O$281)&lt;=VAL_SERIAL)*1000000+25*1000+51))</f>
        <v/>
      </c>
      <c r="GD36" s="35">
        <f>IF(N('Dvd Calendar'!$P$282)=0,"",IF(('Dvd Calendar'!$P$282&gt;=GRID_FROM)*('Dvd Calendar'!$P$282&lt;=GRID_TO)*('Dvd Calendar'!$P$282&gt;VAL_DATE)=0,"",'Dvd Calendar'!$P$282*1000000000+ISNUMBER('Dvd Calendar'!$P$283)*100000000+0*10000000+(N('Dvd Calendar'!$P$281)&gt;0)*(N('Dvd Calendar'!$P$281)&lt;=VAL_SERIAL)*1000000+25*1000+52))</f>
        <v/>
      </c>
      <c r="GE36" s="35">
        <f>IF(N('Dvd Calendar'!$Q$282)=0,"",IF(('Dvd Calendar'!$Q$282&gt;=GRID_FROM)*('Dvd Calendar'!$Q$282&lt;=GRID_TO)*('Dvd Calendar'!$Q$282&gt;VAL_DATE)=0,"",'Dvd Calendar'!$Q$282*1000000000+ISNUMBER('Dvd Calendar'!$Q$283)*100000000+0*10000000+(N('Dvd Calendar'!$Q$281)&gt;0)*(N('Dvd Calendar'!$Q$281)&lt;=VAL_SERIAL)*1000000+25*1000+53))</f>
        <v/>
      </c>
      <c r="GF36" s="35">
        <f>IF(N('Dvd Calendar'!$R$282)=0,"",IF(('Dvd Calendar'!$R$282&gt;=GRID_FROM)*('Dvd Calendar'!$R$282&lt;=GRID_TO)*('Dvd Calendar'!$R$282&gt;VAL_DATE)=0,"",'Dvd Calendar'!$R$282*1000000000+ISNUMBER('Dvd Calendar'!$R$283)*100000000+0*10000000+(N('Dvd Calendar'!$R$281)&gt;0)*(N('Dvd Calendar'!$R$281)&lt;=VAL_SERIAL)*1000000+25*1000+54))</f>
        <v/>
      </c>
      <c r="GG36" s="35">
        <f>IF(N('Dvd Calendar'!$S$282)=0,"",IF(('Dvd Calendar'!$S$282&gt;=GRID_FROM)*('Dvd Calendar'!$S$282&lt;=GRID_TO)*('Dvd Calendar'!$S$282&gt;VAL_DATE)=0,"",'Dvd Calendar'!$S$282*1000000000+ISNUMBER('Dvd Calendar'!$S$283)*100000000+0*10000000+(N('Dvd Calendar'!$S$281)&gt;0)*(N('Dvd Calendar'!$S$281)&lt;=VAL_SERIAL)*1000000+25*1000+55))</f>
        <v/>
      </c>
      <c r="GH36" s="35">
        <f>IF(N('Dvd Calendar'!$T$282)=0,"",IF(('Dvd Calendar'!$T$282&gt;=GRID_FROM)*('Dvd Calendar'!$T$282&lt;=GRID_TO)*('Dvd Calendar'!$T$282&gt;VAL_DATE)=0,"",'Dvd Calendar'!$T$282*1000000000+ISNUMBER('Dvd Calendar'!$T$283)*100000000+0*10000000+(N('Dvd Calendar'!$T$281)&gt;0)*(N('Dvd Calendar'!$T$281)&lt;=VAL_SERIAL)*1000000+25*1000+56))</f>
        <v/>
      </c>
      <c r="GI36" s="35">
        <f>IF(N('Dvd Calendar'!$U$282)=0,"",IF(('Dvd Calendar'!$U$282&gt;=GRID_FROM)*('Dvd Calendar'!$U$282&lt;=GRID_TO)*('Dvd Calendar'!$U$282&gt;VAL_DATE)=0,"",'Dvd Calendar'!$U$282*1000000000+ISNUMBER('Dvd Calendar'!$U$283)*100000000+0*10000000+(N('Dvd Calendar'!$U$281)&gt;0)*(N('Dvd Calendar'!$U$281)&lt;=VAL_SERIAL)*1000000+25*1000+57))</f>
        <v/>
      </c>
      <c r="GJ36" s="35">
        <f>IF(N('Dvd Calendar'!$V$282)=0,"",IF(('Dvd Calendar'!$V$282&gt;=GRID_FROM)*('Dvd Calendar'!$V$282&lt;=GRID_TO)*('Dvd Calendar'!$V$282&gt;VAL_DATE)=0,"",'Dvd Calendar'!$V$282*1000000000+ISNUMBER('Dvd Calendar'!$V$283)*100000000+0*10000000+(N('Dvd Calendar'!$V$281)&gt;0)*(N('Dvd Calendar'!$V$281)&lt;=VAL_SERIAL)*1000000+25*1000+58))</f>
        <v/>
      </c>
      <c r="GK36" s="35">
        <f>IF(N('Dvd Calendar'!$W$282)=0,"",IF(('Dvd Calendar'!$W$282&gt;=GRID_FROM)*('Dvd Calendar'!$W$282&lt;=GRID_TO)*('Dvd Calendar'!$W$282&gt;VAL_DATE)=0,"",'Dvd Calendar'!$W$282*1000000000+ISNUMBER('Dvd Calendar'!$W$283)*100000000+0*10000000+(N('Dvd Calendar'!$W$281)&gt;0)*(N('Dvd Calendar'!$W$281)&lt;=VAL_SERIAL)*1000000+25*1000+59))</f>
        <v/>
      </c>
      <c r="GL36" s="35">
        <f>IF(N('Dvd Calendar'!$X$282)=0,"",IF(('Dvd Calendar'!$X$282&gt;=GRID_FROM)*('Dvd Calendar'!$X$282&lt;=GRID_TO)*('Dvd Calendar'!$X$282&gt;VAL_DATE)=0,"",'Dvd Calendar'!$X$282*1000000000+ISNUMBER('Dvd Calendar'!$X$283)*100000000+0*10000000+(N('Dvd Calendar'!$X$281)&gt;0)*(N('Dvd Calendar'!$X$281)&lt;=VAL_SERIAL)*1000000+25*1000+60))</f>
        <v/>
      </c>
      <c r="GM36" s="35">
        <f>IF(N('Dvd Calendar'!$Y$282)=0,"",IF(('Dvd Calendar'!$Y$282&gt;=GRID_FROM)*('Dvd Calendar'!$Y$282&lt;=GRID_TO)*('Dvd Calendar'!$Y$282&gt;VAL_DATE)=0,"",'Dvd Calendar'!$Y$282*1000000000+ISNUMBER('Dvd Calendar'!$Y$283)*100000000+0*10000000+(N('Dvd Calendar'!$Y$281)&gt;0)*(N('Dvd Calendar'!$Y$281)&lt;=VAL_SERIAL)*1000000+25*1000+61))</f>
        <v/>
      </c>
      <c r="GN36" s="35">
        <f>IF(N('Dvd Calendar'!$Z$282)=0,"",IF(('Dvd Calendar'!$Z$282&gt;=GRID_FROM)*('Dvd Calendar'!$Z$282&lt;=GRID_TO)*('Dvd Calendar'!$Z$282&gt;VAL_DATE)=0,"",'Dvd Calendar'!$Z$282*1000000000+ISNUMBER('Dvd Calendar'!$Z$283)*100000000+0*10000000+(N('Dvd Calendar'!$Z$281)&gt;0)*(N('Dvd Calendar'!$Z$281)&lt;=VAL_SERIAL)*1000000+25*1000+62))</f>
        <v/>
      </c>
      <c r="GO36" s="35">
        <f>IF(N('Dvd Calendar'!$AA$282)=0,"",IF(('Dvd Calendar'!$AA$282&gt;=GRID_FROM)*('Dvd Calendar'!$AA$282&lt;=GRID_TO)*('Dvd Calendar'!$AA$282&gt;VAL_DATE)=0,"",'Dvd Calendar'!$AA$282*1000000000+ISNUMBER('Dvd Calendar'!$AA$283)*100000000+0*10000000+(N('Dvd Calendar'!$AA$281)&gt;0)*(N('Dvd Calendar'!$AA$281)&lt;=VAL_SERIAL)*1000000+25*1000+63))</f>
        <v/>
      </c>
      <c r="GP36" s="35">
        <f>IF(N('Dvd Calendar'!$AB$282)=0,"",IF(('Dvd Calendar'!$AB$282&gt;=GRID_FROM)*('Dvd Calendar'!$AB$282&lt;=GRID_TO)*('Dvd Calendar'!$AB$282&gt;VAL_DATE)=0,"",'Dvd Calendar'!$AB$282*1000000000+ISNUMBER('Dvd Calendar'!$AB$283)*100000000+0*10000000+(N('Dvd Calendar'!$AB$281)&gt;0)*(N('Dvd Calendar'!$AB$281)&lt;=VAL_SERIAL)*1000000+25*1000+64))</f>
        <v/>
      </c>
      <c r="GQ36" s="35">
        <f>IF(N('Dvd Calendar'!$AC$282)=0,"",IF(('Dvd Calendar'!$AC$282&gt;=GRID_FROM)*('Dvd Calendar'!$AC$282&lt;=GRID_TO)*('Dvd Calendar'!$AC$282&gt;VAL_DATE)=0,"",'Dvd Calendar'!$AC$282*1000000000+ISNUMBER('Dvd Calendar'!$AC$283)*100000000+0*10000000+(N('Dvd Calendar'!$AC$281)&gt;0)*(N('Dvd Calendar'!$AC$281)&lt;=VAL_SERIAL)*1000000+25*1000+65))</f>
        <v/>
      </c>
    </row>
    <row r="37">
      <c r="B37" s="2">
        <f>IF(HSI!$C$32="","",HSI!$C$32)</f>
        <v/>
      </c>
      <c r="C37" s="106">
        <f>IF(EE37="","",IF(ISNUMBER('Dvd Calendar'!$E$289)=FALSE,"",IF((('Dvd Calendar'!$E$291=TYPE1)*(TYPE1&lt;&gt;"")+('Dvd Calendar'!$E$291=TYPE2)*(TYPE2&lt;&gt;"")+('Dvd Calendar'!$E$291=TYPE3)*(TYPE3&lt;&gt;"")+('Dvd Calendar'!$E$291=TYPE4)*(TYPE4&lt;&gt;"")+('Dvd Calendar'!$E$291=SPECIAL_LBL)*(INC_SPECIALS="Y"))=0,"",'Dvd Calendar'!$E$289)))</f>
        <v/>
      </c>
      <c r="D37" s="106">
        <f>IF(EF37="","",IF(ISNUMBER('Dvd Calendar'!$F$289)=FALSE,"",IF((('Dvd Calendar'!$F$291=TYPE1)*(TYPE1&lt;&gt;"")+('Dvd Calendar'!$F$291=TYPE2)*(TYPE2&lt;&gt;"")+('Dvd Calendar'!$F$291=TYPE3)*(TYPE3&lt;&gt;"")+('Dvd Calendar'!$F$291=TYPE4)*(TYPE4&lt;&gt;"")+('Dvd Calendar'!$F$291=SPECIAL_LBL)*(INC_SPECIALS="Y"))=0,"",'Dvd Calendar'!$F$289)))</f>
        <v/>
      </c>
      <c r="E37" s="106">
        <f>IF(EG37="","",IF(ISNUMBER('Dvd Calendar'!$G$289)=FALSE,"",IF((('Dvd Calendar'!$G$291=TYPE1)*(TYPE1&lt;&gt;"")+('Dvd Calendar'!$G$291=TYPE2)*(TYPE2&lt;&gt;"")+('Dvd Calendar'!$G$291=TYPE3)*(TYPE3&lt;&gt;"")+('Dvd Calendar'!$G$291=TYPE4)*(TYPE4&lt;&gt;"")+('Dvd Calendar'!$G$291=SPECIAL_LBL)*(INC_SPECIALS="Y"))=0,"",'Dvd Calendar'!$G$289)))</f>
        <v/>
      </c>
      <c r="F37" s="106">
        <f>IF(EH37="","",IF(ISNUMBER('Dvd Calendar'!$H$289)=FALSE,"",IF((('Dvd Calendar'!$H$291=TYPE1)*(TYPE1&lt;&gt;"")+('Dvd Calendar'!$H$291=TYPE2)*(TYPE2&lt;&gt;"")+('Dvd Calendar'!$H$291=TYPE3)*(TYPE3&lt;&gt;"")+('Dvd Calendar'!$H$291=TYPE4)*(TYPE4&lt;&gt;"")+('Dvd Calendar'!$H$291=SPECIAL_LBL)*(INC_SPECIALS="Y"))=0,"",'Dvd Calendar'!$H$289)))</f>
        <v/>
      </c>
      <c r="G37" s="106">
        <f>IF(EI37="","",IF(ISNUMBER('Dvd Calendar'!$I$289)=FALSE,"",IF((('Dvd Calendar'!$I$291=TYPE1)*(TYPE1&lt;&gt;"")+('Dvd Calendar'!$I$291=TYPE2)*(TYPE2&lt;&gt;"")+('Dvd Calendar'!$I$291=TYPE3)*(TYPE3&lt;&gt;"")+('Dvd Calendar'!$I$291=TYPE4)*(TYPE4&lt;&gt;"")+('Dvd Calendar'!$I$291=SPECIAL_LBL)*(INC_SPECIALS="Y"))=0,"",'Dvd Calendar'!$I$289)))</f>
        <v/>
      </c>
      <c r="H37" s="106">
        <f>IF(EJ37="","",IF(ISNUMBER('Dvd Calendar'!$J$289)=FALSE,"",IF((('Dvd Calendar'!$J$291=TYPE1)*(TYPE1&lt;&gt;"")+('Dvd Calendar'!$J$291=TYPE2)*(TYPE2&lt;&gt;"")+('Dvd Calendar'!$J$291=TYPE3)*(TYPE3&lt;&gt;"")+('Dvd Calendar'!$J$291=TYPE4)*(TYPE4&lt;&gt;"")+('Dvd Calendar'!$J$291=SPECIAL_LBL)*(INC_SPECIALS="Y"))=0,"",'Dvd Calendar'!$J$289)))</f>
        <v/>
      </c>
      <c r="I37" s="106">
        <f>IF(EK37="","",IF(ISNUMBER('Dvd Calendar'!$K$289)=FALSE,"",IF((('Dvd Calendar'!$K$291=TYPE1)*(TYPE1&lt;&gt;"")+('Dvd Calendar'!$K$291=TYPE2)*(TYPE2&lt;&gt;"")+('Dvd Calendar'!$K$291=TYPE3)*(TYPE3&lt;&gt;"")+('Dvd Calendar'!$K$291=TYPE4)*(TYPE4&lt;&gt;"")+('Dvd Calendar'!$K$291=SPECIAL_LBL)*(INC_SPECIALS="Y"))=0,"",'Dvd Calendar'!$K$289)))</f>
        <v/>
      </c>
      <c r="J37" s="106">
        <f>IF(EL37="","",IF(ISNUMBER('Dvd Calendar'!$L$289)=FALSE,"",IF((('Dvd Calendar'!$L$291=TYPE1)*(TYPE1&lt;&gt;"")+('Dvd Calendar'!$L$291=TYPE2)*(TYPE2&lt;&gt;"")+('Dvd Calendar'!$L$291=TYPE3)*(TYPE3&lt;&gt;"")+('Dvd Calendar'!$L$291=TYPE4)*(TYPE4&lt;&gt;"")+('Dvd Calendar'!$L$291=SPECIAL_LBL)*(INC_SPECIALS="Y"))=0,"",'Dvd Calendar'!$L$289)))</f>
        <v/>
      </c>
      <c r="K37" s="106">
        <f>IF(EM37="","",IF(ISNUMBER('Dvd Calendar'!$M$289)=FALSE,"",IF((('Dvd Calendar'!$M$291=TYPE1)*(TYPE1&lt;&gt;"")+('Dvd Calendar'!$M$291=TYPE2)*(TYPE2&lt;&gt;"")+('Dvd Calendar'!$M$291=TYPE3)*(TYPE3&lt;&gt;"")+('Dvd Calendar'!$M$291=TYPE4)*(TYPE4&lt;&gt;"")+('Dvd Calendar'!$M$291=SPECIAL_LBL)*(INC_SPECIALS="Y"))=0,"",'Dvd Calendar'!$M$289)))</f>
        <v/>
      </c>
      <c r="L37" s="106">
        <f>IF(EN37="","",IF(ISNUMBER('Dvd Calendar'!$N$289)=FALSE,"",IF((('Dvd Calendar'!$N$291=TYPE1)*(TYPE1&lt;&gt;"")+('Dvd Calendar'!$N$291=TYPE2)*(TYPE2&lt;&gt;"")+('Dvd Calendar'!$N$291=TYPE3)*(TYPE3&lt;&gt;"")+('Dvd Calendar'!$N$291=TYPE4)*(TYPE4&lt;&gt;"")+('Dvd Calendar'!$N$291=SPECIAL_LBL)*(INC_SPECIALS="Y"))=0,"",'Dvd Calendar'!$N$289)))</f>
        <v/>
      </c>
      <c r="M37" s="106">
        <f>IF(EO37="","",IF(ISNUMBER('Dvd Calendar'!$O$289)=FALSE,"",IF((('Dvd Calendar'!$O$291=TYPE1)*(TYPE1&lt;&gt;"")+('Dvd Calendar'!$O$291=TYPE2)*(TYPE2&lt;&gt;"")+('Dvd Calendar'!$O$291=TYPE3)*(TYPE3&lt;&gt;"")+('Dvd Calendar'!$O$291=TYPE4)*(TYPE4&lt;&gt;"")+('Dvd Calendar'!$O$291=SPECIAL_LBL)*(INC_SPECIALS="Y"))=0,"",'Dvd Calendar'!$O$289)))</f>
        <v/>
      </c>
      <c r="N37" s="106">
        <f>IF(EP37="","",IF(ISNUMBER('Dvd Calendar'!$P$289)=FALSE,"",IF((('Dvd Calendar'!$P$291=TYPE1)*(TYPE1&lt;&gt;"")+('Dvd Calendar'!$P$291=TYPE2)*(TYPE2&lt;&gt;"")+('Dvd Calendar'!$P$291=TYPE3)*(TYPE3&lt;&gt;"")+('Dvd Calendar'!$P$291=TYPE4)*(TYPE4&lt;&gt;"")+('Dvd Calendar'!$P$291=SPECIAL_LBL)*(INC_SPECIALS="Y"))=0,"",'Dvd Calendar'!$P$289)))</f>
        <v/>
      </c>
      <c r="O37" s="106">
        <f>IF(EQ37="","",IF(ISNUMBER('Dvd Calendar'!$Q$289)=FALSE,"",IF((('Dvd Calendar'!$Q$291=TYPE1)*(TYPE1&lt;&gt;"")+('Dvd Calendar'!$Q$291=TYPE2)*(TYPE2&lt;&gt;"")+('Dvd Calendar'!$Q$291=TYPE3)*(TYPE3&lt;&gt;"")+('Dvd Calendar'!$Q$291=TYPE4)*(TYPE4&lt;&gt;"")+('Dvd Calendar'!$Q$291=SPECIAL_LBL)*(INC_SPECIALS="Y"))=0,"",'Dvd Calendar'!$Q$289)))</f>
        <v/>
      </c>
      <c r="P37" s="106">
        <f>IF(ER37="","",IF(ISNUMBER('Dvd Calendar'!$R$289)=FALSE,"",IF((('Dvd Calendar'!$R$291=TYPE1)*(TYPE1&lt;&gt;"")+('Dvd Calendar'!$R$291=TYPE2)*(TYPE2&lt;&gt;"")+('Dvd Calendar'!$R$291=TYPE3)*(TYPE3&lt;&gt;"")+('Dvd Calendar'!$R$291=TYPE4)*(TYPE4&lt;&gt;"")+('Dvd Calendar'!$R$291=SPECIAL_LBL)*(INC_SPECIALS="Y"))=0,"",'Dvd Calendar'!$R$289)))</f>
        <v/>
      </c>
      <c r="Q37" s="106">
        <f>IF(ES37="","",IF(ISNUMBER('Dvd Calendar'!$S$289)=FALSE,"",IF((('Dvd Calendar'!$S$291=TYPE1)*(TYPE1&lt;&gt;"")+('Dvd Calendar'!$S$291=TYPE2)*(TYPE2&lt;&gt;"")+('Dvd Calendar'!$S$291=TYPE3)*(TYPE3&lt;&gt;"")+('Dvd Calendar'!$S$291=TYPE4)*(TYPE4&lt;&gt;"")+('Dvd Calendar'!$S$291=SPECIAL_LBL)*(INC_SPECIALS="Y"))=0,"",'Dvd Calendar'!$S$289)))</f>
        <v/>
      </c>
      <c r="R37" s="106">
        <f>IF(ET37="","",IF(ISNUMBER('Dvd Calendar'!$T$289)=FALSE,"",IF((('Dvd Calendar'!$T$291=TYPE1)*(TYPE1&lt;&gt;"")+('Dvd Calendar'!$T$291=TYPE2)*(TYPE2&lt;&gt;"")+('Dvd Calendar'!$T$291=TYPE3)*(TYPE3&lt;&gt;"")+('Dvd Calendar'!$T$291=TYPE4)*(TYPE4&lt;&gt;"")+('Dvd Calendar'!$T$291=SPECIAL_LBL)*(INC_SPECIALS="Y"))=0,"",'Dvd Calendar'!$T$289)))</f>
        <v/>
      </c>
      <c r="S37" s="106">
        <f>IF(EU37="","",IF(ISNUMBER('Dvd Calendar'!$U$289)=FALSE,"",IF((('Dvd Calendar'!$U$291=TYPE1)*(TYPE1&lt;&gt;"")+('Dvd Calendar'!$U$291=TYPE2)*(TYPE2&lt;&gt;"")+('Dvd Calendar'!$U$291=TYPE3)*(TYPE3&lt;&gt;"")+('Dvd Calendar'!$U$291=TYPE4)*(TYPE4&lt;&gt;"")+('Dvd Calendar'!$U$291=SPECIAL_LBL)*(INC_SPECIALS="Y"))=0,"",'Dvd Calendar'!$U$289)))</f>
        <v/>
      </c>
      <c r="T37" s="106">
        <f>IF(EV37="","",IF(ISNUMBER('Dvd Calendar'!$V$289)=FALSE,"",IF((('Dvd Calendar'!$V$291=TYPE1)*(TYPE1&lt;&gt;"")+('Dvd Calendar'!$V$291=TYPE2)*(TYPE2&lt;&gt;"")+('Dvd Calendar'!$V$291=TYPE3)*(TYPE3&lt;&gt;"")+('Dvd Calendar'!$V$291=TYPE4)*(TYPE4&lt;&gt;"")+('Dvd Calendar'!$V$291=SPECIAL_LBL)*(INC_SPECIALS="Y"))=0,"",'Dvd Calendar'!$V$289)))</f>
        <v/>
      </c>
      <c r="U37" s="106">
        <f>IF(EW37="","",IF(ISNUMBER('Dvd Calendar'!$W$289)=FALSE,"",IF((('Dvd Calendar'!$W$291=TYPE1)*(TYPE1&lt;&gt;"")+('Dvd Calendar'!$W$291=TYPE2)*(TYPE2&lt;&gt;"")+('Dvd Calendar'!$W$291=TYPE3)*(TYPE3&lt;&gt;"")+('Dvd Calendar'!$W$291=TYPE4)*(TYPE4&lt;&gt;"")+('Dvd Calendar'!$W$291=SPECIAL_LBL)*(INC_SPECIALS="Y"))=0,"",'Dvd Calendar'!$W$289)))</f>
        <v/>
      </c>
      <c r="V37" s="106">
        <f>IF(EX37="","",IF(ISNUMBER('Dvd Calendar'!$X$289)=FALSE,"",IF((('Dvd Calendar'!$X$291=TYPE1)*(TYPE1&lt;&gt;"")+('Dvd Calendar'!$X$291=TYPE2)*(TYPE2&lt;&gt;"")+('Dvd Calendar'!$X$291=TYPE3)*(TYPE3&lt;&gt;"")+('Dvd Calendar'!$X$291=TYPE4)*(TYPE4&lt;&gt;"")+('Dvd Calendar'!$X$291=SPECIAL_LBL)*(INC_SPECIALS="Y"))=0,"",'Dvd Calendar'!$X$289)))</f>
        <v/>
      </c>
      <c r="W37" s="106">
        <f>IF(EY37="","",IF(ISNUMBER('Dvd Calendar'!$Y$289)=FALSE,"",IF((('Dvd Calendar'!$Y$291=TYPE1)*(TYPE1&lt;&gt;"")+('Dvd Calendar'!$Y$291=TYPE2)*(TYPE2&lt;&gt;"")+('Dvd Calendar'!$Y$291=TYPE3)*(TYPE3&lt;&gt;"")+('Dvd Calendar'!$Y$291=TYPE4)*(TYPE4&lt;&gt;"")+('Dvd Calendar'!$Y$291=SPECIAL_LBL)*(INC_SPECIALS="Y"))=0,"",'Dvd Calendar'!$Y$289)))</f>
        <v/>
      </c>
      <c r="X37" s="106">
        <f>IF(EZ37="","",IF(ISNUMBER('Dvd Calendar'!$Z$289)=FALSE,"",IF((('Dvd Calendar'!$Z$291=TYPE1)*(TYPE1&lt;&gt;"")+('Dvd Calendar'!$Z$291=TYPE2)*(TYPE2&lt;&gt;"")+('Dvd Calendar'!$Z$291=TYPE3)*(TYPE3&lt;&gt;"")+('Dvd Calendar'!$Z$291=TYPE4)*(TYPE4&lt;&gt;"")+('Dvd Calendar'!$Z$291=SPECIAL_LBL)*(INC_SPECIALS="Y"))=0,"",'Dvd Calendar'!$Z$289)))</f>
        <v/>
      </c>
      <c r="Y37" s="106">
        <f>IF(FA37="","",IF(ISNUMBER('Dvd Calendar'!$AA$289)=FALSE,"",IF((('Dvd Calendar'!$AA$291=TYPE1)*(TYPE1&lt;&gt;"")+('Dvd Calendar'!$AA$291=TYPE2)*(TYPE2&lt;&gt;"")+('Dvd Calendar'!$AA$291=TYPE3)*(TYPE3&lt;&gt;"")+('Dvd Calendar'!$AA$291=TYPE4)*(TYPE4&lt;&gt;"")+('Dvd Calendar'!$AA$291=SPECIAL_LBL)*(INC_SPECIALS="Y"))=0,"",'Dvd Calendar'!$AA$289)))</f>
        <v/>
      </c>
      <c r="Z37" s="106">
        <f>IF(FB37="","",IF(ISNUMBER('Dvd Calendar'!$AB$289)=FALSE,"",IF((('Dvd Calendar'!$AB$291=TYPE1)*(TYPE1&lt;&gt;"")+('Dvd Calendar'!$AB$291=TYPE2)*(TYPE2&lt;&gt;"")+('Dvd Calendar'!$AB$291=TYPE3)*(TYPE3&lt;&gt;"")+('Dvd Calendar'!$AB$291=TYPE4)*(TYPE4&lt;&gt;"")+('Dvd Calendar'!$AB$291=SPECIAL_LBL)*(INC_SPECIALS="Y"))=0,"",'Dvd Calendar'!$AB$289)))</f>
        <v/>
      </c>
      <c r="AA37" s="106">
        <f>IF(FC37="","",IF(ISNUMBER('Dvd Calendar'!$AC$289)=FALSE,"",IF((('Dvd Calendar'!$AC$291=TYPE1)*(TYPE1&lt;&gt;"")+('Dvd Calendar'!$AC$291=TYPE2)*(TYPE2&lt;&gt;"")+('Dvd Calendar'!$AC$291=TYPE3)*(TYPE3&lt;&gt;"")+('Dvd Calendar'!$AC$291=TYPE4)*(TYPE4&lt;&gt;"")+('Dvd Calendar'!$AC$291=SPECIAL_LBL)*(INC_SPECIALS="Y"))=0,"",'Dvd Calendar'!$AC$289)))</f>
        <v/>
      </c>
      <c r="AB37" s="106">
        <f>IF(FD37="","",IF(ISNUMBER('Dvd Calendar'!$AD$289)=FALSE,"",IF((('Dvd Calendar'!$AD$291=TYPE1)*(TYPE1&lt;&gt;"")+('Dvd Calendar'!$AD$291=TYPE2)*(TYPE2&lt;&gt;"")+('Dvd Calendar'!$AD$291=TYPE3)*(TYPE3&lt;&gt;"")+('Dvd Calendar'!$AD$291=TYPE4)*(TYPE4&lt;&gt;"")+('Dvd Calendar'!$AD$291=SPECIAL_LBL)*(INC_SPECIALS="Y"))=0,"",'Dvd Calendar'!$AD$289)))</f>
        <v/>
      </c>
      <c r="AC37" s="106">
        <f>IF(FE37="","",IF(ISNUMBER('Dvd Calendar'!$AE$289)=FALSE,"",IF((('Dvd Calendar'!$AE$291=TYPE1)*(TYPE1&lt;&gt;"")+('Dvd Calendar'!$AE$291=TYPE2)*(TYPE2&lt;&gt;"")+('Dvd Calendar'!$AE$291=TYPE3)*(TYPE3&lt;&gt;"")+('Dvd Calendar'!$AE$291=TYPE4)*(TYPE4&lt;&gt;"")+('Dvd Calendar'!$AE$291=SPECIAL_LBL)*(INC_SPECIALS="Y"))=0,"",'Dvd Calendar'!$AE$289)))</f>
        <v/>
      </c>
      <c r="AD37" s="106">
        <f>IF(FF37="","",IF(ISNUMBER('Dvd Calendar'!$AF$289)=FALSE,"",IF((('Dvd Calendar'!$AF$291=TYPE1)*(TYPE1&lt;&gt;"")+('Dvd Calendar'!$AF$291=TYPE2)*(TYPE2&lt;&gt;"")+('Dvd Calendar'!$AF$291=TYPE3)*(TYPE3&lt;&gt;"")+('Dvd Calendar'!$AF$291=TYPE4)*(TYPE4&lt;&gt;"")+('Dvd Calendar'!$AF$291=SPECIAL_LBL)*(INC_SPECIALS="Y"))=0,"",'Dvd Calendar'!$AF$289)))</f>
        <v/>
      </c>
      <c r="AE37" s="106">
        <f>IF(FG37="","",IF(ISNUMBER('Dvd Calendar'!$AG$289)=FALSE,"",IF((('Dvd Calendar'!$AG$291=TYPE1)*(TYPE1&lt;&gt;"")+('Dvd Calendar'!$AG$291=TYPE2)*(TYPE2&lt;&gt;"")+('Dvd Calendar'!$AG$291=TYPE3)*(TYPE3&lt;&gt;"")+('Dvd Calendar'!$AG$291=TYPE4)*(TYPE4&lt;&gt;"")+('Dvd Calendar'!$AG$291=SPECIAL_LBL)*(INC_SPECIALS="Y"))=0,"",'Dvd Calendar'!$AG$289)))</f>
        <v/>
      </c>
      <c r="AF37" s="106">
        <f>IF(FH37="","",IF(ISNUMBER('Dvd Calendar'!$AH$289)=FALSE,"",IF((('Dvd Calendar'!$AH$291=TYPE1)*(TYPE1&lt;&gt;"")+('Dvd Calendar'!$AH$291=TYPE2)*(TYPE2&lt;&gt;"")+('Dvd Calendar'!$AH$291=TYPE3)*(TYPE3&lt;&gt;"")+('Dvd Calendar'!$AH$291=TYPE4)*(TYPE4&lt;&gt;"")+('Dvd Calendar'!$AH$291=SPECIAL_LBL)*(INC_SPECIALS="Y"))=0,"",'Dvd Calendar'!$AH$289)))</f>
        <v/>
      </c>
      <c r="AG37" s="106">
        <f>IF(FI37="","",IF(ISNUMBER('Dvd Calendar'!$AI$289)=FALSE,"",IF((('Dvd Calendar'!$AI$291=TYPE1)*(TYPE1&lt;&gt;"")+('Dvd Calendar'!$AI$291=TYPE2)*(TYPE2&lt;&gt;"")+('Dvd Calendar'!$AI$291=TYPE3)*(TYPE3&lt;&gt;"")+('Dvd Calendar'!$AI$291=TYPE4)*(TYPE4&lt;&gt;"")+('Dvd Calendar'!$AI$291=SPECIAL_LBL)*(INC_SPECIALS="Y"))=0,"",'Dvd Calendar'!$AI$289)))</f>
        <v/>
      </c>
      <c r="AH37" s="106">
        <f>IF(FJ37="","",IF(ISNUMBER('Dvd Calendar'!$AJ$289)=FALSE,"",IF((('Dvd Calendar'!$AJ$291=TYPE1)*(TYPE1&lt;&gt;"")+('Dvd Calendar'!$AJ$291=TYPE2)*(TYPE2&lt;&gt;"")+('Dvd Calendar'!$AJ$291=TYPE3)*(TYPE3&lt;&gt;"")+('Dvd Calendar'!$AJ$291=TYPE4)*(TYPE4&lt;&gt;"")+('Dvd Calendar'!$AJ$291=SPECIAL_LBL)*(INC_SPECIALS="Y"))=0,"",'Dvd Calendar'!$AJ$289)))</f>
        <v/>
      </c>
      <c r="AI37" s="106">
        <f>IF(FK37="","",IF(ISNUMBER('Dvd Calendar'!$AK$289)=FALSE,"",IF((('Dvd Calendar'!$AK$291=TYPE1)*(TYPE1&lt;&gt;"")+('Dvd Calendar'!$AK$291=TYPE2)*(TYPE2&lt;&gt;"")+('Dvd Calendar'!$AK$291=TYPE3)*(TYPE3&lt;&gt;"")+('Dvd Calendar'!$AK$291=TYPE4)*(TYPE4&lt;&gt;"")+('Dvd Calendar'!$AK$291=SPECIAL_LBL)*(INC_SPECIALS="Y"))=0,"",'Dvd Calendar'!$AK$289)))</f>
        <v/>
      </c>
      <c r="AJ37" s="106">
        <f>IF(FL37="","",IF(ISNUMBER('Dvd Calendar'!$AL$289)=FALSE,"",IF((('Dvd Calendar'!$AL$291=TYPE1)*(TYPE1&lt;&gt;"")+('Dvd Calendar'!$AL$291=TYPE2)*(TYPE2&lt;&gt;"")+('Dvd Calendar'!$AL$291=TYPE3)*(TYPE3&lt;&gt;"")+('Dvd Calendar'!$AL$291=TYPE4)*(TYPE4&lt;&gt;"")+('Dvd Calendar'!$AL$291=SPECIAL_LBL)*(INC_SPECIALS="Y"))=0,"",'Dvd Calendar'!$AL$289)))</f>
        <v/>
      </c>
      <c r="AK37" s="106">
        <f>IF(FM37="","",IF(ISNUMBER('Dvd Calendar'!$AM$289)=FALSE,"",IF((('Dvd Calendar'!$AM$291=TYPE1)*(TYPE1&lt;&gt;"")+('Dvd Calendar'!$AM$291=TYPE2)*(TYPE2&lt;&gt;"")+('Dvd Calendar'!$AM$291=TYPE3)*(TYPE3&lt;&gt;"")+('Dvd Calendar'!$AM$291=TYPE4)*(TYPE4&lt;&gt;"")+('Dvd Calendar'!$AM$291=SPECIAL_LBL)*(INC_SPECIALS="Y"))=0,"",'Dvd Calendar'!$AM$289)))</f>
        <v/>
      </c>
      <c r="AL37" s="106">
        <f>IF(FN37="","",IF(ISNUMBER('Dvd Calendar'!$AN$289)=FALSE,"",IF((('Dvd Calendar'!$AN$291=TYPE1)*(TYPE1&lt;&gt;"")+('Dvd Calendar'!$AN$291=TYPE2)*(TYPE2&lt;&gt;"")+('Dvd Calendar'!$AN$291=TYPE3)*(TYPE3&lt;&gt;"")+('Dvd Calendar'!$AN$291=TYPE4)*(TYPE4&lt;&gt;"")+('Dvd Calendar'!$AN$291=SPECIAL_LBL)*(INC_SPECIALS="Y"))=0,"",'Dvd Calendar'!$AN$289)))</f>
        <v/>
      </c>
      <c r="AM37" s="106">
        <f>IF(FO37="","",IF(ISNUMBER('Dvd Calendar'!$AO$289)=FALSE,"",IF((('Dvd Calendar'!$AO$291=TYPE1)*(TYPE1&lt;&gt;"")+('Dvd Calendar'!$AO$291=TYPE2)*(TYPE2&lt;&gt;"")+('Dvd Calendar'!$AO$291=TYPE3)*(TYPE3&lt;&gt;"")+('Dvd Calendar'!$AO$291=TYPE4)*(TYPE4&lt;&gt;"")+('Dvd Calendar'!$AO$291=SPECIAL_LBL)*(INC_SPECIALS="Y"))=0,"",'Dvd Calendar'!$AO$289)))</f>
        <v/>
      </c>
      <c r="AN37" s="106">
        <f>IF(FP37="","",IF(ISNUMBER('Dvd Calendar'!$AP$289)=FALSE,"",IF((('Dvd Calendar'!$AP$291=TYPE1)*(TYPE1&lt;&gt;"")+('Dvd Calendar'!$AP$291=TYPE2)*(TYPE2&lt;&gt;"")+('Dvd Calendar'!$AP$291=TYPE3)*(TYPE3&lt;&gt;"")+('Dvd Calendar'!$AP$291=TYPE4)*(TYPE4&lt;&gt;"")+('Dvd Calendar'!$AP$291=SPECIAL_LBL)*(INC_SPECIALS="Y"))=0,"",'Dvd Calendar'!$AP$289)))</f>
        <v/>
      </c>
      <c r="AO37" s="106">
        <f>IF(FQ37="","",IF(ISNUMBER('Dvd Calendar'!$AQ$289)=FALSE,"",IF((('Dvd Calendar'!$AQ$291=TYPE1)*(TYPE1&lt;&gt;"")+('Dvd Calendar'!$AQ$291=TYPE2)*(TYPE2&lt;&gt;"")+('Dvd Calendar'!$AQ$291=TYPE3)*(TYPE3&lt;&gt;"")+('Dvd Calendar'!$AQ$291=TYPE4)*(TYPE4&lt;&gt;"")+('Dvd Calendar'!$AQ$291=SPECIAL_LBL)*(INC_SPECIALS="Y"))=0,"",'Dvd Calendar'!$AQ$289)))</f>
        <v/>
      </c>
      <c r="AP37" s="106">
        <f>IF(FR37="","",IF(ISNUMBER('Dvd Calendar'!$AR$289)=FALSE,"",IF((('Dvd Calendar'!$AR$291=TYPE1)*(TYPE1&lt;&gt;"")+('Dvd Calendar'!$AR$291=TYPE2)*(TYPE2&lt;&gt;"")+('Dvd Calendar'!$AR$291=TYPE3)*(TYPE3&lt;&gt;"")+('Dvd Calendar'!$AR$291=TYPE4)*(TYPE4&lt;&gt;"")+('Dvd Calendar'!$AR$291=SPECIAL_LBL)*(INC_SPECIALS="Y"))=0,"",'Dvd Calendar'!$AR$289)))</f>
        <v/>
      </c>
      <c r="AQ37" s="106">
        <f>IF(FS37="","",IF(ISNUMBER('Dvd Calendar'!$E$294)=FALSE,"",'Dvd Calendar'!$E$294))</f>
        <v/>
      </c>
      <c r="AR37" s="106">
        <f>IF(FT37="","",IF(ISNUMBER('Dvd Calendar'!$F$294)=FALSE,"",'Dvd Calendar'!$F$294))</f>
        <v/>
      </c>
      <c r="AS37" s="106">
        <f>IF(FU37="","",IF(ISNUMBER('Dvd Calendar'!$G$294)=FALSE,"",'Dvd Calendar'!$G$294))</f>
        <v/>
      </c>
      <c r="AT37" s="106">
        <f>IF(FV37="","",IF(ISNUMBER('Dvd Calendar'!$H$294)=FALSE,"",'Dvd Calendar'!$H$294))</f>
        <v/>
      </c>
      <c r="AU37" s="106">
        <f>IF(FW37="","",IF(ISNUMBER('Dvd Calendar'!$I$294)=FALSE,"",'Dvd Calendar'!$I$294))</f>
        <v/>
      </c>
      <c r="AV37" s="106">
        <f>IF(FX37="","",IF(ISNUMBER('Dvd Calendar'!$J$294)=FALSE,"",'Dvd Calendar'!$J$294))</f>
        <v/>
      </c>
      <c r="AW37" s="106">
        <f>IF(FY37="","",IF(ISNUMBER('Dvd Calendar'!$K$294)=FALSE,"",'Dvd Calendar'!$K$294))</f>
        <v/>
      </c>
      <c r="AX37" s="106">
        <f>IF(FZ37="","",IF(ISNUMBER('Dvd Calendar'!$L$294)=FALSE,"",'Dvd Calendar'!$L$294))</f>
        <v/>
      </c>
      <c r="AY37" s="106">
        <f>IF(GA37="","",IF(ISNUMBER('Dvd Calendar'!$M$294)=FALSE,"",'Dvd Calendar'!$M$294))</f>
        <v/>
      </c>
      <c r="AZ37" s="106">
        <f>IF(GB37="","",IF(ISNUMBER('Dvd Calendar'!$N$294)=FALSE,"",'Dvd Calendar'!$N$294))</f>
        <v/>
      </c>
      <c r="BA37" s="106">
        <f>IF(GC37="","",IF(ISNUMBER('Dvd Calendar'!$O$294)=FALSE,"",'Dvd Calendar'!$O$294))</f>
        <v/>
      </c>
      <c r="BB37" s="106">
        <f>IF(GD37="","",IF(ISNUMBER('Dvd Calendar'!$P$294)=FALSE,"",'Dvd Calendar'!$P$294))</f>
        <v/>
      </c>
      <c r="BC37" s="106">
        <f>IF(GE37="","",IF(ISNUMBER('Dvd Calendar'!$Q$294)=FALSE,"",'Dvd Calendar'!$Q$294))</f>
        <v/>
      </c>
      <c r="BD37" s="106">
        <f>IF(GF37="","",IF(ISNUMBER('Dvd Calendar'!$R$294)=FALSE,"",'Dvd Calendar'!$R$294))</f>
        <v/>
      </c>
      <c r="BE37" s="106">
        <f>IF(GG37="","",IF(ISNUMBER('Dvd Calendar'!$S$294)=FALSE,"",'Dvd Calendar'!$S$294))</f>
        <v/>
      </c>
      <c r="BF37" s="106">
        <f>IF(GH37="","",IF(ISNUMBER('Dvd Calendar'!$T$294)=FALSE,"",'Dvd Calendar'!$T$294))</f>
        <v/>
      </c>
      <c r="BG37" s="106">
        <f>IF(GI37="","",IF(ISNUMBER('Dvd Calendar'!$U$294)=FALSE,"",'Dvd Calendar'!$U$294))</f>
        <v/>
      </c>
      <c r="BH37" s="106">
        <f>IF(GJ37="","",IF(ISNUMBER('Dvd Calendar'!$V$294)=FALSE,"",'Dvd Calendar'!$V$294))</f>
        <v/>
      </c>
      <c r="BI37" s="106">
        <f>IF(GK37="","",IF(ISNUMBER('Dvd Calendar'!$W$294)=FALSE,"",'Dvd Calendar'!$W$294))</f>
        <v/>
      </c>
      <c r="BJ37" s="106">
        <f>IF(GL37="","",IF(ISNUMBER('Dvd Calendar'!$X$294)=FALSE,"",'Dvd Calendar'!$X$294))</f>
        <v/>
      </c>
      <c r="BK37" s="106">
        <f>IF(GM37="","",IF(ISNUMBER('Dvd Calendar'!$Y$294)=FALSE,"",'Dvd Calendar'!$Y$294))</f>
        <v/>
      </c>
      <c r="BL37" s="106">
        <f>IF(GN37="","",IF(ISNUMBER('Dvd Calendar'!$Z$294)=FALSE,"",'Dvd Calendar'!$Z$294))</f>
        <v/>
      </c>
      <c r="BM37" s="106">
        <f>IF(GO37="","",IF(ISNUMBER('Dvd Calendar'!$AA$294)=FALSE,"",'Dvd Calendar'!$AA$294))</f>
        <v/>
      </c>
      <c r="BN37" s="106">
        <f>IF(GP37="","",IF(ISNUMBER('Dvd Calendar'!$AB$294)=FALSE,"",'Dvd Calendar'!$AB$294))</f>
        <v/>
      </c>
      <c r="BO37" s="106">
        <f>IF(GQ37="","",IF(ISNUMBER('Dvd Calendar'!$AC$294)=FALSE,"",'Dvd Calendar'!$AC$294))</f>
        <v/>
      </c>
      <c r="BQ37" s="106">
        <f>IF(C37="","",IFERROR(C37*HSI!$B$32*HSI!$G$32/HSI!$B$3,""))</f>
        <v/>
      </c>
      <c r="BR37" s="106">
        <f>IF(D37="","",IFERROR(D37*HSI!$B$32*HSI!$G$32/HSI!$B$3,""))</f>
        <v/>
      </c>
      <c r="BS37" s="106">
        <f>IF(E37="","",IFERROR(E37*HSI!$B$32*HSI!$G$32/HSI!$B$3,""))</f>
        <v/>
      </c>
      <c r="BT37" s="106">
        <f>IF(F37="","",IFERROR(F37*HSI!$B$32*HSI!$G$32/HSI!$B$3,""))</f>
        <v/>
      </c>
      <c r="BU37" s="106">
        <f>IF(G37="","",IFERROR(G37*HSI!$B$32*HSI!$G$32/HSI!$B$3,""))</f>
        <v/>
      </c>
      <c r="BV37" s="106">
        <f>IF(H37="","",IFERROR(H37*HSI!$B$32*HSI!$G$32/HSI!$B$3,""))</f>
        <v/>
      </c>
      <c r="BW37" s="106">
        <f>IF(I37="","",IFERROR(I37*HSI!$B$32*HSI!$G$32/HSI!$B$3,""))</f>
        <v/>
      </c>
      <c r="BX37" s="106">
        <f>IF(J37="","",IFERROR(J37*HSI!$B$32*HSI!$G$32/HSI!$B$3,""))</f>
        <v/>
      </c>
      <c r="BY37" s="106">
        <f>IF(K37="","",IFERROR(K37*HSI!$B$32*HSI!$G$32/HSI!$B$3,""))</f>
        <v/>
      </c>
      <c r="BZ37" s="106">
        <f>IF(L37="","",IFERROR(L37*HSI!$B$32*HSI!$G$32/HSI!$B$3,""))</f>
        <v/>
      </c>
      <c r="CA37" s="106">
        <f>IF(M37="","",IFERROR(M37*HSI!$B$32*HSI!$G$32/HSI!$B$3,""))</f>
        <v/>
      </c>
      <c r="CB37" s="106">
        <f>IF(N37="","",IFERROR(N37*HSI!$B$32*HSI!$G$32/HSI!$B$3,""))</f>
        <v/>
      </c>
      <c r="CC37" s="106">
        <f>IF(O37="","",IFERROR(O37*HSI!$B$32*HSI!$G$32/HSI!$B$3,""))</f>
        <v/>
      </c>
      <c r="CD37" s="106">
        <f>IF(P37="","",IFERROR(P37*HSI!$B$32*HSI!$G$32/HSI!$B$3,""))</f>
        <v/>
      </c>
      <c r="CE37" s="106">
        <f>IF(Q37="","",IFERROR(Q37*HSI!$B$32*HSI!$G$32/HSI!$B$3,""))</f>
        <v/>
      </c>
      <c r="CF37" s="106">
        <f>IF(R37="","",IFERROR(R37*HSI!$B$32*HSI!$G$32/HSI!$B$3,""))</f>
        <v/>
      </c>
      <c r="CG37" s="106">
        <f>IF(S37="","",IFERROR(S37*HSI!$B$32*HSI!$G$32/HSI!$B$3,""))</f>
        <v/>
      </c>
      <c r="CH37" s="106">
        <f>IF(T37="","",IFERROR(T37*HSI!$B$32*HSI!$G$32/HSI!$B$3,""))</f>
        <v/>
      </c>
      <c r="CI37" s="106">
        <f>IF(U37="","",IFERROR(U37*HSI!$B$32*HSI!$G$32/HSI!$B$3,""))</f>
        <v/>
      </c>
      <c r="CJ37" s="106">
        <f>IF(V37="","",IFERROR(V37*HSI!$B$32*HSI!$G$32/HSI!$B$3,""))</f>
        <v/>
      </c>
      <c r="CK37" s="106">
        <f>IF(W37="","",IFERROR(W37*HSI!$B$32*HSI!$G$32/HSI!$B$3,""))</f>
        <v/>
      </c>
      <c r="CL37" s="106">
        <f>IF(X37="","",IFERROR(X37*HSI!$B$32*HSI!$G$32/HSI!$B$3,""))</f>
        <v/>
      </c>
      <c r="CM37" s="106">
        <f>IF(Y37="","",IFERROR(Y37*HSI!$B$32*HSI!$G$32/HSI!$B$3,""))</f>
        <v/>
      </c>
      <c r="CN37" s="106">
        <f>IF(Z37="","",IFERROR(Z37*HSI!$B$32*HSI!$G$32/HSI!$B$3,""))</f>
        <v/>
      </c>
      <c r="CO37" s="106">
        <f>IF(AA37="","",IFERROR(AA37*HSI!$B$32*HSI!$G$32/HSI!$B$3,""))</f>
        <v/>
      </c>
      <c r="CP37" s="106">
        <f>IF(AB37="","",IFERROR(AB37*HSI!$B$32*HSI!$G$32/HSI!$B$3,""))</f>
        <v/>
      </c>
      <c r="CQ37" s="106">
        <f>IF(AC37="","",IFERROR(AC37*HSI!$B$32*HSI!$G$32/HSI!$B$3,""))</f>
        <v/>
      </c>
      <c r="CR37" s="106">
        <f>IF(AD37="","",IFERROR(AD37*HSI!$B$32*HSI!$G$32/HSI!$B$3,""))</f>
        <v/>
      </c>
      <c r="CS37" s="106">
        <f>IF(AE37="","",IFERROR(AE37*HSI!$B$32*HSI!$G$32/HSI!$B$3,""))</f>
        <v/>
      </c>
      <c r="CT37" s="106">
        <f>IF(AF37="","",IFERROR(AF37*HSI!$B$32*HSI!$G$32/HSI!$B$3,""))</f>
        <v/>
      </c>
      <c r="CU37" s="106">
        <f>IF(AG37="","",IFERROR(AG37*HSI!$B$32*HSI!$G$32/HSI!$B$3,""))</f>
        <v/>
      </c>
      <c r="CV37" s="106">
        <f>IF(AH37="","",IFERROR(AH37*HSI!$B$32*HSI!$G$32/HSI!$B$3,""))</f>
        <v/>
      </c>
      <c r="CW37" s="106">
        <f>IF(AI37="","",IFERROR(AI37*HSI!$B$32*HSI!$G$32/HSI!$B$3,""))</f>
        <v/>
      </c>
      <c r="CX37" s="106">
        <f>IF(AJ37="","",IFERROR(AJ37*HSI!$B$32*HSI!$G$32/HSI!$B$3,""))</f>
        <v/>
      </c>
      <c r="CY37" s="106">
        <f>IF(AK37="","",IFERROR(AK37*HSI!$B$32*HSI!$G$32/HSI!$B$3,""))</f>
        <v/>
      </c>
      <c r="CZ37" s="106">
        <f>IF(AL37="","",IFERROR(AL37*HSI!$B$32*HSI!$G$32/HSI!$B$3,""))</f>
        <v/>
      </c>
      <c r="DA37" s="106">
        <f>IF(AM37="","",IFERROR(AM37*HSI!$B$32*HSI!$G$32/HSI!$B$3,""))</f>
        <v/>
      </c>
      <c r="DB37" s="106">
        <f>IF(AN37="","",IFERROR(AN37*HSI!$B$32*HSI!$G$32/HSI!$B$3,""))</f>
        <v/>
      </c>
      <c r="DC37" s="106">
        <f>IF(AO37="","",IFERROR(AO37*HSI!$B$32*HSI!$G$32/HSI!$B$3,""))</f>
        <v/>
      </c>
      <c r="DD37" s="106">
        <f>IF(AP37="","",IFERROR(AP37*HSI!$B$32*HSI!$G$32/HSI!$B$3,""))</f>
        <v/>
      </c>
      <c r="DE37" s="106">
        <f>IF(AQ37="","",IFERROR(AQ37*HSI!$B$32*HSI!$G$32/HSI!$B$3,""))</f>
        <v/>
      </c>
      <c r="DF37" s="106">
        <f>IF(AR37="","",IFERROR(AR37*HSI!$B$32*HSI!$G$32/HSI!$B$3,""))</f>
        <v/>
      </c>
      <c r="DG37" s="106">
        <f>IF(AS37="","",IFERROR(AS37*HSI!$B$32*HSI!$G$32/HSI!$B$3,""))</f>
        <v/>
      </c>
      <c r="DH37" s="106">
        <f>IF(AT37="","",IFERROR(AT37*HSI!$B$32*HSI!$G$32/HSI!$B$3,""))</f>
        <v/>
      </c>
      <c r="DI37" s="106">
        <f>IF(AU37="","",IFERROR(AU37*HSI!$B$32*HSI!$G$32/HSI!$B$3,""))</f>
        <v/>
      </c>
      <c r="DJ37" s="106">
        <f>IF(AV37="","",IFERROR(AV37*HSI!$B$32*HSI!$G$32/HSI!$B$3,""))</f>
        <v/>
      </c>
      <c r="DK37" s="106">
        <f>IF(AW37="","",IFERROR(AW37*HSI!$B$32*HSI!$G$32/HSI!$B$3,""))</f>
        <v/>
      </c>
      <c r="DL37" s="106">
        <f>IF(AX37="","",IFERROR(AX37*HSI!$B$32*HSI!$G$32/HSI!$B$3,""))</f>
        <v/>
      </c>
      <c r="DM37" s="106">
        <f>IF(AY37="","",IFERROR(AY37*HSI!$B$32*HSI!$G$32/HSI!$B$3,""))</f>
        <v/>
      </c>
      <c r="DN37" s="106">
        <f>IF(AZ37="","",IFERROR(AZ37*HSI!$B$32*HSI!$G$32/HSI!$B$3,""))</f>
        <v/>
      </c>
      <c r="DO37" s="106">
        <f>IF(BA37="","",IFERROR(BA37*HSI!$B$32*HSI!$G$32/HSI!$B$3,""))</f>
        <v/>
      </c>
      <c r="DP37" s="106">
        <f>IF(BB37="","",IFERROR(BB37*HSI!$B$32*HSI!$G$32/HSI!$B$3,""))</f>
        <v/>
      </c>
      <c r="DQ37" s="106">
        <f>IF(BC37="","",IFERROR(BC37*HSI!$B$32*HSI!$G$32/HSI!$B$3,""))</f>
        <v/>
      </c>
      <c r="DR37" s="106">
        <f>IF(BD37="","",IFERROR(BD37*HSI!$B$32*HSI!$G$32/HSI!$B$3,""))</f>
        <v/>
      </c>
      <c r="DS37" s="106">
        <f>IF(BE37="","",IFERROR(BE37*HSI!$B$32*HSI!$G$32/HSI!$B$3,""))</f>
        <v/>
      </c>
      <c r="DT37" s="106">
        <f>IF(BF37="","",IFERROR(BF37*HSI!$B$32*HSI!$G$32/HSI!$B$3,""))</f>
        <v/>
      </c>
      <c r="DU37" s="106">
        <f>IF(BG37="","",IFERROR(BG37*HSI!$B$32*HSI!$G$32/HSI!$B$3,""))</f>
        <v/>
      </c>
      <c r="DV37" s="106">
        <f>IF(BH37="","",IFERROR(BH37*HSI!$B$32*HSI!$G$32/HSI!$B$3,""))</f>
        <v/>
      </c>
      <c r="DW37" s="106">
        <f>IF(BI37="","",IFERROR(BI37*HSI!$B$32*HSI!$G$32/HSI!$B$3,""))</f>
        <v/>
      </c>
      <c r="DX37" s="106">
        <f>IF(BJ37="","",IFERROR(BJ37*HSI!$B$32*HSI!$G$32/HSI!$B$3,""))</f>
        <v/>
      </c>
      <c r="DY37" s="106">
        <f>IF(BK37="","",IFERROR(BK37*HSI!$B$32*HSI!$G$32/HSI!$B$3,""))</f>
        <v/>
      </c>
      <c r="DZ37" s="106">
        <f>IF(BL37="","",IFERROR(BL37*HSI!$B$32*HSI!$G$32/HSI!$B$3,""))</f>
        <v/>
      </c>
      <c r="EA37" s="106">
        <f>IF(BM37="","",IFERROR(BM37*HSI!$B$32*HSI!$G$32/HSI!$B$3,""))</f>
        <v/>
      </c>
      <c r="EB37" s="106">
        <f>IF(BN37="","",IFERROR(BN37*HSI!$B$32*HSI!$G$32/HSI!$B$3,""))</f>
        <v/>
      </c>
      <c r="EC37" s="106">
        <f>IF(BO37="","",IFERROR(BO37*HSI!$B$32*HSI!$G$32/HSI!$B$3,""))</f>
        <v/>
      </c>
      <c r="EE37" s="35">
        <f>IF(N('Dvd Calendar'!$E$286)=0,"",IF(('Dvd Calendar'!$E$286&gt;=GRID_FROM)*('Dvd Calendar'!$E$286&lt;=GRID_TO)*('Dvd Calendar'!$E$286&lt;=VAL_DATE)=0,"",'Dvd Calendar'!$E$286*1000000000+ISNUMBER('Dvd Calendar'!$E$289)*100000000+('Dvd Calendar'!$E$291=SPECIAL_LBL)*10000000+0*1000000+26*1000+1))</f>
        <v/>
      </c>
      <c r="EF37" s="35">
        <f>IF(N('Dvd Calendar'!$F$286)=0,"",IF(('Dvd Calendar'!$F$286&gt;=GRID_FROM)*('Dvd Calendar'!$F$286&lt;=GRID_TO)*('Dvd Calendar'!$F$286&lt;=VAL_DATE)=0,"",'Dvd Calendar'!$F$286*1000000000+ISNUMBER('Dvd Calendar'!$F$289)*100000000+('Dvd Calendar'!$F$291=SPECIAL_LBL)*10000000+0*1000000+26*1000+2))</f>
        <v/>
      </c>
      <c r="EG37" s="35">
        <f>IF(N('Dvd Calendar'!$G$286)=0,"",IF(('Dvd Calendar'!$G$286&gt;=GRID_FROM)*('Dvd Calendar'!$G$286&lt;=GRID_TO)*('Dvd Calendar'!$G$286&lt;=VAL_DATE)=0,"",'Dvd Calendar'!$G$286*1000000000+ISNUMBER('Dvd Calendar'!$G$289)*100000000+('Dvd Calendar'!$G$291=SPECIAL_LBL)*10000000+0*1000000+26*1000+3))</f>
        <v/>
      </c>
      <c r="EH37" s="35">
        <f>IF(N('Dvd Calendar'!$H$286)=0,"",IF(('Dvd Calendar'!$H$286&gt;=GRID_FROM)*('Dvd Calendar'!$H$286&lt;=GRID_TO)*('Dvd Calendar'!$H$286&lt;=VAL_DATE)=0,"",'Dvd Calendar'!$H$286*1000000000+ISNUMBER('Dvd Calendar'!$H$289)*100000000+('Dvd Calendar'!$H$291=SPECIAL_LBL)*10000000+0*1000000+26*1000+4))</f>
        <v/>
      </c>
      <c r="EI37" s="35">
        <f>IF(N('Dvd Calendar'!$I$286)=0,"",IF(('Dvd Calendar'!$I$286&gt;=GRID_FROM)*('Dvd Calendar'!$I$286&lt;=GRID_TO)*('Dvd Calendar'!$I$286&lt;=VAL_DATE)=0,"",'Dvd Calendar'!$I$286*1000000000+ISNUMBER('Dvd Calendar'!$I$289)*100000000+('Dvd Calendar'!$I$291=SPECIAL_LBL)*10000000+0*1000000+26*1000+5))</f>
        <v/>
      </c>
      <c r="EJ37" s="35">
        <f>IF(N('Dvd Calendar'!$J$286)=0,"",IF(('Dvd Calendar'!$J$286&gt;=GRID_FROM)*('Dvd Calendar'!$J$286&lt;=GRID_TO)*('Dvd Calendar'!$J$286&lt;=VAL_DATE)=0,"",'Dvd Calendar'!$J$286*1000000000+ISNUMBER('Dvd Calendar'!$J$289)*100000000+('Dvd Calendar'!$J$291=SPECIAL_LBL)*10000000+0*1000000+26*1000+6))</f>
        <v/>
      </c>
      <c r="EK37" s="35">
        <f>IF(N('Dvd Calendar'!$K$286)=0,"",IF(('Dvd Calendar'!$K$286&gt;=GRID_FROM)*('Dvd Calendar'!$K$286&lt;=GRID_TO)*('Dvd Calendar'!$K$286&lt;=VAL_DATE)=0,"",'Dvd Calendar'!$K$286*1000000000+ISNUMBER('Dvd Calendar'!$K$289)*100000000+('Dvd Calendar'!$K$291=SPECIAL_LBL)*10000000+0*1000000+26*1000+7))</f>
        <v/>
      </c>
      <c r="EL37" s="35">
        <f>IF(N('Dvd Calendar'!$L$286)=0,"",IF(('Dvd Calendar'!$L$286&gt;=GRID_FROM)*('Dvd Calendar'!$L$286&lt;=GRID_TO)*('Dvd Calendar'!$L$286&lt;=VAL_DATE)=0,"",'Dvd Calendar'!$L$286*1000000000+ISNUMBER('Dvd Calendar'!$L$289)*100000000+('Dvd Calendar'!$L$291=SPECIAL_LBL)*10000000+0*1000000+26*1000+8))</f>
        <v/>
      </c>
      <c r="EM37" s="35">
        <f>IF(N('Dvd Calendar'!$M$286)=0,"",IF(('Dvd Calendar'!$M$286&gt;=GRID_FROM)*('Dvd Calendar'!$M$286&lt;=GRID_TO)*('Dvd Calendar'!$M$286&lt;=VAL_DATE)=0,"",'Dvd Calendar'!$M$286*1000000000+ISNUMBER('Dvd Calendar'!$M$289)*100000000+('Dvd Calendar'!$M$291=SPECIAL_LBL)*10000000+0*1000000+26*1000+9))</f>
        <v/>
      </c>
      <c r="EN37" s="35">
        <f>IF(N('Dvd Calendar'!$N$286)=0,"",IF(('Dvd Calendar'!$N$286&gt;=GRID_FROM)*('Dvd Calendar'!$N$286&lt;=GRID_TO)*('Dvd Calendar'!$N$286&lt;=VAL_DATE)=0,"",'Dvd Calendar'!$N$286*1000000000+ISNUMBER('Dvd Calendar'!$N$289)*100000000+('Dvd Calendar'!$N$291=SPECIAL_LBL)*10000000+0*1000000+26*1000+10))</f>
        <v/>
      </c>
      <c r="EO37" s="35">
        <f>IF(N('Dvd Calendar'!$O$286)=0,"",IF(('Dvd Calendar'!$O$286&gt;=GRID_FROM)*('Dvd Calendar'!$O$286&lt;=GRID_TO)*('Dvd Calendar'!$O$286&lt;=VAL_DATE)=0,"",'Dvd Calendar'!$O$286*1000000000+ISNUMBER('Dvd Calendar'!$O$289)*100000000+('Dvd Calendar'!$O$291=SPECIAL_LBL)*10000000+0*1000000+26*1000+11))</f>
        <v/>
      </c>
      <c r="EP37" s="35">
        <f>IF(N('Dvd Calendar'!$P$286)=0,"",IF(('Dvd Calendar'!$P$286&gt;=GRID_FROM)*('Dvd Calendar'!$P$286&lt;=GRID_TO)*('Dvd Calendar'!$P$286&lt;=VAL_DATE)=0,"",'Dvd Calendar'!$P$286*1000000000+ISNUMBER('Dvd Calendar'!$P$289)*100000000+('Dvd Calendar'!$P$291=SPECIAL_LBL)*10000000+0*1000000+26*1000+12))</f>
        <v/>
      </c>
      <c r="EQ37" s="35">
        <f>IF(N('Dvd Calendar'!$Q$286)=0,"",IF(('Dvd Calendar'!$Q$286&gt;=GRID_FROM)*('Dvd Calendar'!$Q$286&lt;=GRID_TO)*('Dvd Calendar'!$Q$286&lt;=VAL_DATE)=0,"",'Dvd Calendar'!$Q$286*1000000000+ISNUMBER('Dvd Calendar'!$Q$289)*100000000+('Dvd Calendar'!$Q$291=SPECIAL_LBL)*10000000+0*1000000+26*1000+13))</f>
        <v/>
      </c>
      <c r="ER37" s="35">
        <f>IF(N('Dvd Calendar'!$R$286)=0,"",IF(('Dvd Calendar'!$R$286&gt;=GRID_FROM)*('Dvd Calendar'!$R$286&lt;=GRID_TO)*('Dvd Calendar'!$R$286&lt;=VAL_DATE)=0,"",'Dvd Calendar'!$R$286*1000000000+ISNUMBER('Dvd Calendar'!$R$289)*100000000+('Dvd Calendar'!$R$291=SPECIAL_LBL)*10000000+0*1000000+26*1000+14))</f>
        <v/>
      </c>
      <c r="ES37" s="35">
        <f>IF(N('Dvd Calendar'!$S$286)=0,"",IF(('Dvd Calendar'!$S$286&gt;=GRID_FROM)*('Dvd Calendar'!$S$286&lt;=GRID_TO)*('Dvd Calendar'!$S$286&lt;=VAL_DATE)=0,"",'Dvd Calendar'!$S$286*1000000000+ISNUMBER('Dvd Calendar'!$S$289)*100000000+('Dvd Calendar'!$S$291=SPECIAL_LBL)*10000000+0*1000000+26*1000+15))</f>
        <v/>
      </c>
      <c r="ET37" s="35">
        <f>IF(N('Dvd Calendar'!$T$286)=0,"",IF(('Dvd Calendar'!$T$286&gt;=GRID_FROM)*('Dvd Calendar'!$T$286&lt;=GRID_TO)*('Dvd Calendar'!$T$286&lt;=VAL_DATE)=0,"",'Dvd Calendar'!$T$286*1000000000+ISNUMBER('Dvd Calendar'!$T$289)*100000000+('Dvd Calendar'!$T$291=SPECIAL_LBL)*10000000+0*1000000+26*1000+16))</f>
        <v/>
      </c>
      <c r="EU37" s="35">
        <f>IF(N('Dvd Calendar'!$U$286)=0,"",IF(('Dvd Calendar'!$U$286&gt;=GRID_FROM)*('Dvd Calendar'!$U$286&lt;=GRID_TO)*('Dvd Calendar'!$U$286&lt;=VAL_DATE)=0,"",'Dvd Calendar'!$U$286*1000000000+ISNUMBER('Dvd Calendar'!$U$289)*100000000+('Dvd Calendar'!$U$291=SPECIAL_LBL)*10000000+0*1000000+26*1000+17))</f>
        <v/>
      </c>
      <c r="EV37" s="35">
        <f>IF(N('Dvd Calendar'!$V$286)=0,"",IF(('Dvd Calendar'!$V$286&gt;=GRID_FROM)*('Dvd Calendar'!$V$286&lt;=GRID_TO)*('Dvd Calendar'!$V$286&lt;=VAL_DATE)=0,"",'Dvd Calendar'!$V$286*1000000000+ISNUMBER('Dvd Calendar'!$V$289)*100000000+('Dvd Calendar'!$V$291=SPECIAL_LBL)*10000000+0*1000000+26*1000+18))</f>
        <v/>
      </c>
      <c r="EW37" s="35">
        <f>IF(N('Dvd Calendar'!$W$286)=0,"",IF(('Dvd Calendar'!$W$286&gt;=GRID_FROM)*('Dvd Calendar'!$W$286&lt;=GRID_TO)*('Dvd Calendar'!$W$286&lt;=VAL_DATE)=0,"",'Dvd Calendar'!$W$286*1000000000+ISNUMBER('Dvd Calendar'!$W$289)*100000000+('Dvd Calendar'!$W$291=SPECIAL_LBL)*10000000+0*1000000+26*1000+19))</f>
        <v/>
      </c>
      <c r="EX37" s="35">
        <f>IF(N('Dvd Calendar'!$X$286)=0,"",IF(('Dvd Calendar'!$X$286&gt;=GRID_FROM)*('Dvd Calendar'!$X$286&lt;=GRID_TO)*('Dvd Calendar'!$X$286&lt;=VAL_DATE)=0,"",'Dvd Calendar'!$X$286*1000000000+ISNUMBER('Dvd Calendar'!$X$289)*100000000+('Dvd Calendar'!$X$291=SPECIAL_LBL)*10000000+0*1000000+26*1000+20))</f>
        <v/>
      </c>
      <c r="EY37" s="35">
        <f>IF(N('Dvd Calendar'!$Y$286)=0,"",IF(('Dvd Calendar'!$Y$286&gt;=GRID_FROM)*('Dvd Calendar'!$Y$286&lt;=GRID_TO)*('Dvd Calendar'!$Y$286&lt;=VAL_DATE)=0,"",'Dvd Calendar'!$Y$286*1000000000+ISNUMBER('Dvd Calendar'!$Y$289)*100000000+('Dvd Calendar'!$Y$291=SPECIAL_LBL)*10000000+0*1000000+26*1000+21))</f>
        <v/>
      </c>
      <c r="EZ37" s="35">
        <f>IF(N('Dvd Calendar'!$Z$286)=0,"",IF(('Dvd Calendar'!$Z$286&gt;=GRID_FROM)*('Dvd Calendar'!$Z$286&lt;=GRID_TO)*('Dvd Calendar'!$Z$286&lt;=VAL_DATE)=0,"",'Dvd Calendar'!$Z$286*1000000000+ISNUMBER('Dvd Calendar'!$Z$289)*100000000+('Dvd Calendar'!$Z$291=SPECIAL_LBL)*10000000+0*1000000+26*1000+22))</f>
        <v/>
      </c>
      <c r="FA37" s="35">
        <f>IF(N('Dvd Calendar'!$AA$286)=0,"",IF(('Dvd Calendar'!$AA$286&gt;=GRID_FROM)*('Dvd Calendar'!$AA$286&lt;=GRID_TO)*('Dvd Calendar'!$AA$286&lt;=VAL_DATE)=0,"",'Dvd Calendar'!$AA$286*1000000000+ISNUMBER('Dvd Calendar'!$AA$289)*100000000+('Dvd Calendar'!$AA$291=SPECIAL_LBL)*10000000+0*1000000+26*1000+23))</f>
        <v/>
      </c>
      <c r="FB37" s="35">
        <f>IF(N('Dvd Calendar'!$AB$286)=0,"",IF(('Dvd Calendar'!$AB$286&gt;=GRID_FROM)*('Dvd Calendar'!$AB$286&lt;=GRID_TO)*('Dvd Calendar'!$AB$286&lt;=VAL_DATE)=0,"",'Dvd Calendar'!$AB$286*1000000000+ISNUMBER('Dvd Calendar'!$AB$289)*100000000+('Dvd Calendar'!$AB$291=SPECIAL_LBL)*10000000+0*1000000+26*1000+24))</f>
        <v/>
      </c>
      <c r="FC37" s="35">
        <f>IF(N('Dvd Calendar'!$AC$286)=0,"",IF(('Dvd Calendar'!$AC$286&gt;=GRID_FROM)*('Dvd Calendar'!$AC$286&lt;=GRID_TO)*('Dvd Calendar'!$AC$286&lt;=VAL_DATE)=0,"",'Dvd Calendar'!$AC$286*1000000000+ISNUMBER('Dvd Calendar'!$AC$289)*100000000+('Dvd Calendar'!$AC$291=SPECIAL_LBL)*10000000+0*1000000+26*1000+25))</f>
        <v/>
      </c>
      <c r="FD37" s="35">
        <f>IF(N('Dvd Calendar'!$AD$286)=0,"",IF(('Dvd Calendar'!$AD$286&gt;=GRID_FROM)*('Dvd Calendar'!$AD$286&lt;=GRID_TO)*('Dvd Calendar'!$AD$286&lt;=VAL_DATE)=0,"",'Dvd Calendar'!$AD$286*1000000000+ISNUMBER('Dvd Calendar'!$AD$289)*100000000+('Dvd Calendar'!$AD$291=SPECIAL_LBL)*10000000+0*1000000+26*1000+26))</f>
        <v/>
      </c>
      <c r="FE37" s="35">
        <f>IF(N('Dvd Calendar'!$AE$286)=0,"",IF(('Dvd Calendar'!$AE$286&gt;=GRID_FROM)*('Dvd Calendar'!$AE$286&lt;=GRID_TO)*('Dvd Calendar'!$AE$286&lt;=VAL_DATE)=0,"",'Dvd Calendar'!$AE$286*1000000000+ISNUMBER('Dvd Calendar'!$AE$289)*100000000+('Dvd Calendar'!$AE$291=SPECIAL_LBL)*10000000+0*1000000+26*1000+27))</f>
        <v/>
      </c>
      <c r="FF37" s="35">
        <f>IF(N('Dvd Calendar'!$AF$286)=0,"",IF(('Dvd Calendar'!$AF$286&gt;=GRID_FROM)*('Dvd Calendar'!$AF$286&lt;=GRID_TO)*('Dvd Calendar'!$AF$286&lt;=VAL_DATE)=0,"",'Dvd Calendar'!$AF$286*1000000000+ISNUMBER('Dvd Calendar'!$AF$289)*100000000+('Dvd Calendar'!$AF$291=SPECIAL_LBL)*10000000+0*1000000+26*1000+28))</f>
        <v/>
      </c>
      <c r="FG37" s="35">
        <f>IF(N('Dvd Calendar'!$AG$286)=0,"",IF(('Dvd Calendar'!$AG$286&gt;=GRID_FROM)*('Dvd Calendar'!$AG$286&lt;=GRID_TO)*('Dvd Calendar'!$AG$286&lt;=VAL_DATE)=0,"",'Dvd Calendar'!$AG$286*1000000000+ISNUMBER('Dvd Calendar'!$AG$289)*100000000+('Dvd Calendar'!$AG$291=SPECIAL_LBL)*10000000+0*1000000+26*1000+29))</f>
        <v/>
      </c>
      <c r="FH37" s="35">
        <f>IF(N('Dvd Calendar'!$AH$286)=0,"",IF(('Dvd Calendar'!$AH$286&gt;=GRID_FROM)*('Dvd Calendar'!$AH$286&lt;=GRID_TO)*('Dvd Calendar'!$AH$286&lt;=VAL_DATE)=0,"",'Dvd Calendar'!$AH$286*1000000000+ISNUMBER('Dvd Calendar'!$AH$289)*100000000+('Dvd Calendar'!$AH$291=SPECIAL_LBL)*10000000+0*1000000+26*1000+30))</f>
        <v/>
      </c>
      <c r="FI37" s="35">
        <f>IF(N('Dvd Calendar'!$AI$286)=0,"",IF(('Dvd Calendar'!$AI$286&gt;=GRID_FROM)*('Dvd Calendar'!$AI$286&lt;=GRID_TO)*('Dvd Calendar'!$AI$286&lt;=VAL_DATE)=0,"",'Dvd Calendar'!$AI$286*1000000000+ISNUMBER('Dvd Calendar'!$AI$289)*100000000+('Dvd Calendar'!$AI$291=SPECIAL_LBL)*10000000+0*1000000+26*1000+31))</f>
        <v/>
      </c>
      <c r="FJ37" s="35">
        <f>IF(N('Dvd Calendar'!$AJ$286)=0,"",IF(('Dvd Calendar'!$AJ$286&gt;=GRID_FROM)*('Dvd Calendar'!$AJ$286&lt;=GRID_TO)*('Dvd Calendar'!$AJ$286&lt;=VAL_DATE)=0,"",'Dvd Calendar'!$AJ$286*1000000000+ISNUMBER('Dvd Calendar'!$AJ$289)*100000000+('Dvd Calendar'!$AJ$291=SPECIAL_LBL)*10000000+0*1000000+26*1000+32))</f>
        <v/>
      </c>
      <c r="FK37" s="35">
        <f>IF(N('Dvd Calendar'!$AK$286)=0,"",IF(('Dvd Calendar'!$AK$286&gt;=GRID_FROM)*('Dvd Calendar'!$AK$286&lt;=GRID_TO)*('Dvd Calendar'!$AK$286&lt;=VAL_DATE)=0,"",'Dvd Calendar'!$AK$286*1000000000+ISNUMBER('Dvd Calendar'!$AK$289)*100000000+('Dvd Calendar'!$AK$291=SPECIAL_LBL)*10000000+0*1000000+26*1000+33))</f>
        <v/>
      </c>
      <c r="FL37" s="35">
        <f>IF(N('Dvd Calendar'!$AL$286)=0,"",IF(('Dvd Calendar'!$AL$286&gt;=GRID_FROM)*('Dvd Calendar'!$AL$286&lt;=GRID_TO)*('Dvd Calendar'!$AL$286&lt;=VAL_DATE)=0,"",'Dvd Calendar'!$AL$286*1000000000+ISNUMBER('Dvd Calendar'!$AL$289)*100000000+('Dvd Calendar'!$AL$291=SPECIAL_LBL)*10000000+0*1000000+26*1000+34))</f>
        <v/>
      </c>
      <c r="FM37" s="35">
        <f>IF(N('Dvd Calendar'!$AM$286)=0,"",IF(('Dvd Calendar'!$AM$286&gt;=GRID_FROM)*('Dvd Calendar'!$AM$286&lt;=GRID_TO)*('Dvd Calendar'!$AM$286&lt;=VAL_DATE)=0,"",'Dvd Calendar'!$AM$286*1000000000+ISNUMBER('Dvd Calendar'!$AM$289)*100000000+('Dvd Calendar'!$AM$291=SPECIAL_LBL)*10000000+0*1000000+26*1000+35))</f>
        <v/>
      </c>
      <c r="FN37" s="35">
        <f>IF(N('Dvd Calendar'!$AN$286)=0,"",IF(('Dvd Calendar'!$AN$286&gt;=GRID_FROM)*('Dvd Calendar'!$AN$286&lt;=GRID_TO)*('Dvd Calendar'!$AN$286&lt;=VAL_DATE)=0,"",'Dvd Calendar'!$AN$286*1000000000+ISNUMBER('Dvd Calendar'!$AN$289)*100000000+('Dvd Calendar'!$AN$291=SPECIAL_LBL)*10000000+0*1000000+26*1000+36))</f>
        <v/>
      </c>
      <c r="FO37" s="35">
        <f>IF(N('Dvd Calendar'!$AO$286)=0,"",IF(('Dvd Calendar'!$AO$286&gt;=GRID_FROM)*('Dvd Calendar'!$AO$286&lt;=GRID_TO)*('Dvd Calendar'!$AO$286&lt;=VAL_DATE)=0,"",'Dvd Calendar'!$AO$286*1000000000+ISNUMBER('Dvd Calendar'!$AO$289)*100000000+('Dvd Calendar'!$AO$291=SPECIAL_LBL)*10000000+0*1000000+26*1000+37))</f>
        <v/>
      </c>
      <c r="FP37" s="35">
        <f>IF(N('Dvd Calendar'!$AP$286)=0,"",IF(('Dvd Calendar'!$AP$286&gt;=GRID_FROM)*('Dvd Calendar'!$AP$286&lt;=GRID_TO)*('Dvd Calendar'!$AP$286&lt;=VAL_DATE)=0,"",'Dvd Calendar'!$AP$286*1000000000+ISNUMBER('Dvd Calendar'!$AP$289)*100000000+('Dvd Calendar'!$AP$291=SPECIAL_LBL)*10000000+0*1000000+26*1000+38))</f>
        <v/>
      </c>
      <c r="FQ37" s="35">
        <f>IF(N('Dvd Calendar'!$AQ$286)=0,"",IF(('Dvd Calendar'!$AQ$286&gt;=GRID_FROM)*('Dvd Calendar'!$AQ$286&lt;=GRID_TO)*('Dvd Calendar'!$AQ$286&lt;=VAL_DATE)=0,"",'Dvd Calendar'!$AQ$286*1000000000+ISNUMBER('Dvd Calendar'!$AQ$289)*100000000+('Dvd Calendar'!$AQ$291=SPECIAL_LBL)*10000000+0*1000000+26*1000+39))</f>
        <v/>
      </c>
      <c r="FR37" s="35">
        <f>IF(N('Dvd Calendar'!$AR$286)=0,"",IF(('Dvd Calendar'!$AR$286&gt;=GRID_FROM)*('Dvd Calendar'!$AR$286&lt;=GRID_TO)*('Dvd Calendar'!$AR$286&lt;=VAL_DATE)=0,"",'Dvd Calendar'!$AR$286*1000000000+ISNUMBER('Dvd Calendar'!$AR$289)*100000000+('Dvd Calendar'!$AR$291=SPECIAL_LBL)*10000000+0*1000000+26*1000+40))</f>
        <v/>
      </c>
      <c r="FS37" s="35">
        <f>IF(N('Dvd Calendar'!$E$293)=0,"",IF(('Dvd Calendar'!$E$293&gt;=GRID_FROM)*('Dvd Calendar'!$E$293&lt;=GRID_TO)*('Dvd Calendar'!$E$293&gt;VAL_DATE)=0,"",'Dvd Calendar'!$E$293*1000000000+ISNUMBER('Dvd Calendar'!$E$294)*100000000+0*10000000+(N('Dvd Calendar'!$E$292)&gt;0)*(N('Dvd Calendar'!$E$292)&lt;=VAL_SERIAL)*1000000+26*1000+41))</f>
        <v/>
      </c>
      <c r="FT37" s="35">
        <f>IF(N('Dvd Calendar'!$F$293)=0,"",IF(('Dvd Calendar'!$F$293&gt;=GRID_FROM)*('Dvd Calendar'!$F$293&lt;=GRID_TO)*('Dvd Calendar'!$F$293&gt;VAL_DATE)=0,"",'Dvd Calendar'!$F$293*1000000000+ISNUMBER('Dvd Calendar'!$F$294)*100000000+0*10000000+(N('Dvd Calendar'!$F$292)&gt;0)*(N('Dvd Calendar'!$F$292)&lt;=VAL_SERIAL)*1000000+26*1000+42))</f>
        <v/>
      </c>
      <c r="FU37" s="35">
        <f>IF(N('Dvd Calendar'!$G$293)=0,"",IF(('Dvd Calendar'!$G$293&gt;=GRID_FROM)*('Dvd Calendar'!$G$293&lt;=GRID_TO)*('Dvd Calendar'!$G$293&gt;VAL_DATE)=0,"",'Dvd Calendar'!$G$293*1000000000+ISNUMBER('Dvd Calendar'!$G$294)*100000000+0*10000000+(N('Dvd Calendar'!$G$292)&gt;0)*(N('Dvd Calendar'!$G$292)&lt;=VAL_SERIAL)*1000000+26*1000+43))</f>
        <v/>
      </c>
      <c r="FV37" s="35">
        <f>IF(N('Dvd Calendar'!$H$293)=0,"",IF(('Dvd Calendar'!$H$293&gt;=GRID_FROM)*('Dvd Calendar'!$H$293&lt;=GRID_TO)*('Dvd Calendar'!$H$293&gt;VAL_DATE)=0,"",'Dvd Calendar'!$H$293*1000000000+ISNUMBER('Dvd Calendar'!$H$294)*100000000+0*10000000+(N('Dvd Calendar'!$H$292)&gt;0)*(N('Dvd Calendar'!$H$292)&lt;=VAL_SERIAL)*1000000+26*1000+44))</f>
        <v/>
      </c>
      <c r="FW37" s="35">
        <f>IF(N('Dvd Calendar'!$I$293)=0,"",IF(('Dvd Calendar'!$I$293&gt;=GRID_FROM)*('Dvd Calendar'!$I$293&lt;=GRID_TO)*('Dvd Calendar'!$I$293&gt;VAL_DATE)=0,"",'Dvd Calendar'!$I$293*1000000000+ISNUMBER('Dvd Calendar'!$I$294)*100000000+0*10000000+(N('Dvd Calendar'!$I$292)&gt;0)*(N('Dvd Calendar'!$I$292)&lt;=VAL_SERIAL)*1000000+26*1000+45))</f>
        <v/>
      </c>
      <c r="FX37" s="35">
        <f>IF(N('Dvd Calendar'!$J$293)=0,"",IF(('Dvd Calendar'!$J$293&gt;=GRID_FROM)*('Dvd Calendar'!$J$293&lt;=GRID_TO)*('Dvd Calendar'!$J$293&gt;VAL_DATE)=0,"",'Dvd Calendar'!$J$293*1000000000+ISNUMBER('Dvd Calendar'!$J$294)*100000000+0*10000000+(N('Dvd Calendar'!$J$292)&gt;0)*(N('Dvd Calendar'!$J$292)&lt;=VAL_SERIAL)*1000000+26*1000+46))</f>
        <v/>
      </c>
      <c r="FY37" s="35">
        <f>IF(N('Dvd Calendar'!$K$293)=0,"",IF(('Dvd Calendar'!$K$293&gt;=GRID_FROM)*('Dvd Calendar'!$K$293&lt;=GRID_TO)*('Dvd Calendar'!$K$293&gt;VAL_DATE)=0,"",'Dvd Calendar'!$K$293*1000000000+ISNUMBER('Dvd Calendar'!$K$294)*100000000+0*10000000+(N('Dvd Calendar'!$K$292)&gt;0)*(N('Dvd Calendar'!$K$292)&lt;=VAL_SERIAL)*1000000+26*1000+47))</f>
        <v/>
      </c>
      <c r="FZ37" s="35">
        <f>IF(N('Dvd Calendar'!$L$293)=0,"",IF(('Dvd Calendar'!$L$293&gt;=GRID_FROM)*('Dvd Calendar'!$L$293&lt;=GRID_TO)*('Dvd Calendar'!$L$293&gt;VAL_DATE)=0,"",'Dvd Calendar'!$L$293*1000000000+ISNUMBER('Dvd Calendar'!$L$294)*100000000+0*10000000+(N('Dvd Calendar'!$L$292)&gt;0)*(N('Dvd Calendar'!$L$292)&lt;=VAL_SERIAL)*1000000+26*1000+48))</f>
        <v/>
      </c>
      <c r="GA37" s="35">
        <f>IF(N('Dvd Calendar'!$M$293)=0,"",IF(('Dvd Calendar'!$M$293&gt;=GRID_FROM)*('Dvd Calendar'!$M$293&lt;=GRID_TO)*('Dvd Calendar'!$M$293&gt;VAL_DATE)=0,"",'Dvd Calendar'!$M$293*1000000000+ISNUMBER('Dvd Calendar'!$M$294)*100000000+0*10000000+(N('Dvd Calendar'!$M$292)&gt;0)*(N('Dvd Calendar'!$M$292)&lt;=VAL_SERIAL)*1000000+26*1000+49))</f>
        <v/>
      </c>
      <c r="GB37" s="35">
        <f>IF(N('Dvd Calendar'!$N$293)=0,"",IF(('Dvd Calendar'!$N$293&gt;=GRID_FROM)*('Dvd Calendar'!$N$293&lt;=GRID_TO)*('Dvd Calendar'!$N$293&gt;VAL_DATE)=0,"",'Dvd Calendar'!$N$293*1000000000+ISNUMBER('Dvd Calendar'!$N$294)*100000000+0*10000000+(N('Dvd Calendar'!$N$292)&gt;0)*(N('Dvd Calendar'!$N$292)&lt;=VAL_SERIAL)*1000000+26*1000+50))</f>
        <v/>
      </c>
      <c r="GC37" s="35">
        <f>IF(N('Dvd Calendar'!$O$293)=0,"",IF(('Dvd Calendar'!$O$293&gt;=GRID_FROM)*('Dvd Calendar'!$O$293&lt;=GRID_TO)*('Dvd Calendar'!$O$293&gt;VAL_DATE)=0,"",'Dvd Calendar'!$O$293*1000000000+ISNUMBER('Dvd Calendar'!$O$294)*100000000+0*10000000+(N('Dvd Calendar'!$O$292)&gt;0)*(N('Dvd Calendar'!$O$292)&lt;=VAL_SERIAL)*1000000+26*1000+51))</f>
        <v/>
      </c>
      <c r="GD37" s="35">
        <f>IF(N('Dvd Calendar'!$P$293)=0,"",IF(('Dvd Calendar'!$P$293&gt;=GRID_FROM)*('Dvd Calendar'!$P$293&lt;=GRID_TO)*('Dvd Calendar'!$P$293&gt;VAL_DATE)=0,"",'Dvd Calendar'!$P$293*1000000000+ISNUMBER('Dvd Calendar'!$P$294)*100000000+0*10000000+(N('Dvd Calendar'!$P$292)&gt;0)*(N('Dvd Calendar'!$P$292)&lt;=VAL_SERIAL)*1000000+26*1000+52))</f>
        <v/>
      </c>
      <c r="GE37" s="35">
        <f>IF(N('Dvd Calendar'!$Q$293)=0,"",IF(('Dvd Calendar'!$Q$293&gt;=GRID_FROM)*('Dvd Calendar'!$Q$293&lt;=GRID_TO)*('Dvd Calendar'!$Q$293&gt;VAL_DATE)=0,"",'Dvd Calendar'!$Q$293*1000000000+ISNUMBER('Dvd Calendar'!$Q$294)*100000000+0*10000000+(N('Dvd Calendar'!$Q$292)&gt;0)*(N('Dvd Calendar'!$Q$292)&lt;=VAL_SERIAL)*1000000+26*1000+53))</f>
        <v/>
      </c>
      <c r="GF37" s="35">
        <f>IF(N('Dvd Calendar'!$R$293)=0,"",IF(('Dvd Calendar'!$R$293&gt;=GRID_FROM)*('Dvd Calendar'!$R$293&lt;=GRID_TO)*('Dvd Calendar'!$R$293&gt;VAL_DATE)=0,"",'Dvd Calendar'!$R$293*1000000000+ISNUMBER('Dvd Calendar'!$R$294)*100000000+0*10000000+(N('Dvd Calendar'!$R$292)&gt;0)*(N('Dvd Calendar'!$R$292)&lt;=VAL_SERIAL)*1000000+26*1000+54))</f>
        <v/>
      </c>
      <c r="GG37" s="35">
        <f>IF(N('Dvd Calendar'!$S$293)=0,"",IF(('Dvd Calendar'!$S$293&gt;=GRID_FROM)*('Dvd Calendar'!$S$293&lt;=GRID_TO)*('Dvd Calendar'!$S$293&gt;VAL_DATE)=0,"",'Dvd Calendar'!$S$293*1000000000+ISNUMBER('Dvd Calendar'!$S$294)*100000000+0*10000000+(N('Dvd Calendar'!$S$292)&gt;0)*(N('Dvd Calendar'!$S$292)&lt;=VAL_SERIAL)*1000000+26*1000+55))</f>
        <v/>
      </c>
      <c r="GH37" s="35">
        <f>IF(N('Dvd Calendar'!$T$293)=0,"",IF(('Dvd Calendar'!$T$293&gt;=GRID_FROM)*('Dvd Calendar'!$T$293&lt;=GRID_TO)*('Dvd Calendar'!$T$293&gt;VAL_DATE)=0,"",'Dvd Calendar'!$T$293*1000000000+ISNUMBER('Dvd Calendar'!$T$294)*100000000+0*10000000+(N('Dvd Calendar'!$T$292)&gt;0)*(N('Dvd Calendar'!$T$292)&lt;=VAL_SERIAL)*1000000+26*1000+56))</f>
        <v/>
      </c>
      <c r="GI37" s="35">
        <f>IF(N('Dvd Calendar'!$U$293)=0,"",IF(('Dvd Calendar'!$U$293&gt;=GRID_FROM)*('Dvd Calendar'!$U$293&lt;=GRID_TO)*('Dvd Calendar'!$U$293&gt;VAL_DATE)=0,"",'Dvd Calendar'!$U$293*1000000000+ISNUMBER('Dvd Calendar'!$U$294)*100000000+0*10000000+(N('Dvd Calendar'!$U$292)&gt;0)*(N('Dvd Calendar'!$U$292)&lt;=VAL_SERIAL)*1000000+26*1000+57))</f>
        <v/>
      </c>
      <c r="GJ37" s="35">
        <f>IF(N('Dvd Calendar'!$V$293)=0,"",IF(('Dvd Calendar'!$V$293&gt;=GRID_FROM)*('Dvd Calendar'!$V$293&lt;=GRID_TO)*('Dvd Calendar'!$V$293&gt;VAL_DATE)=0,"",'Dvd Calendar'!$V$293*1000000000+ISNUMBER('Dvd Calendar'!$V$294)*100000000+0*10000000+(N('Dvd Calendar'!$V$292)&gt;0)*(N('Dvd Calendar'!$V$292)&lt;=VAL_SERIAL)*1000000+26*1000+58))</f>
        <v/>
      </c>
      <c r="GK37" s="35">
        <f>IF(N('Dvd Calendar'!$W$293)=0,"",IF(('Dvd Calendar'!$W$293&gt;=GRID_FROM)*('Dvd Calendar'!$W$293&lt;=GRID_TO)*('Dvd Calendar'!$W$293&gt;VAL_DATE)=0,"",'Dvd Calendar'!$W$293*1000000000+ISNUMBER('Dvd Calendar'!$W$294)*100000000+0*10000000+(N('Dvd Calendar'!$W$292)&gt;0)*(N('Dvd Calendar'!$W$292)&lt;=VAL_SERIAL)*1000000+26*1000+59))</f>
        <v/>
      </c>
      <c r="GL37" s="35">
        <f>IF(N('Dvd Calendar'!$X$293)=0,"",IF(('Dvd Calendar'!$X$293&gt;=GRID_FROM)*('Dvd Calendar'!$X$293&lt;=GRID_TO)*('Dvd Calendar'!$X$293&gt;VAL_DATE)=0,"",'Dvd Calendar'!$X$293*1000000000+ISNUMBER('Dvd Calendar'!$X$294)*100000000+0*10000000+(N('Dvd Calendar'!$X$292)&gt;0)*(N('Dvd Calendar'!$X$292)&lt;=VAL_SERIAL)*1000000+26*1000+60))</f>
        <v/>
      </c>
      <c r="GM37" s="35">
        <f>IF(N('Dvd Calendar'!$Y$293)=0,"",IF(('Dvd Calendar'!$Y$293&gt;=GRID_FROM)*('Dvd Calendar'!$Y$293&lt;=GRID_TO)*('Dvd Calendar'!$Y$293&gt;VAL_DATE)=0,"",'Dvd Calendar'!$Y$293*1000000000+ISNUMBER('Dvd Calendar'!$Y$294)*100000000+0*10000000+(N('Dvd Calendar'!$Y$292)&gt;0)*(N('Dvd Calendar'!$Y$292)&lt;=VAL_SERIAL)*1000000+26*1000+61))</f>
        <v/>
      </c>
      <c r="GN37" s="35">
        <f>IF(N('Dvd Calendar'!$Z$293)=0,"",IF(('Dvd Calendar'!$Z$293&gt;=GRID_FROM)*('Dvd Calendar'!$Z$293&lt;=GRID_TO)*('Dvd Calendar'!$Z$293&gt;VAL_DATE)=0,"",'Dvd Calendar'!$Z$293*1000000000+ISNUMBER('Dvd Calendar'!$Z$294)*100000000+0*10000000+(N('Dvd Calendar'!$Z$292)&gt;0)*(N('Dvd Calendar'!$Z$292)&lt;=VAL_SERIAL)*1000000+26*1000+62))</f>
        <v/>
      </c>
      <c r="GO37" s="35">
        <f>IF(N('Dvd Calendar'!$AA$293)=0,"",IF(('Dvd Calendar'!$AA$293&gt;=GRID_FROM)*('Dvd Calendar'!$AA$293&lt;=GRID_TO)*('Dvd Calendar'!$AA$293&gt;VAL_DATE)=0,"",'Dvd Calendar'!$AA$293*1000000000+ISNUMBER('Dvd Calendar'!$AA$294)*100000000+0*10000000+(N('Dvd Calendar'!$AA$292)&gt;0)*(N('Dvd Calendar'!$AA$292)&lt;=VAL_SERIAL)*1000000+26*1000+63))</f>
        <v/>
      </c>
      <c r="GP37" s="35">
        <f>IF(N('Dvd Calendar'!$AB$293)=0,"",IF(('Dvd Calendar'!$AB$293&gt;=GRID_FROM)*('Dvd Calendar'!$AB$293&lt;=GRID_TO)*('Dvd Calendar'!$AB$293&gt;VAL_DATE)=0,"",'Dvd Calendar'!$AB$293*1000000000+ISNUMBER('Dvd Calendar'!$AB$294)*100000000+0*10000000+(N('Dvd Calendar'!$AB$292)&gt;0)*(N('Dvd Calendar'!$AB$292)&lt;=VAL_SERIAL)*1000000+26*1000+64))</f>
        <v/>
      </c>
      <c r="GQ37" s="35">
        <f>IF(N('Dvd Calendar'!$AC$293)=0,"",IF(('Dvd Calendar'!$AC$293&gt;=GRID_FROM)*('Dvd Calendar'!$AC$293&lt;=GRID_TO)*('Dvd Calendar'!$AC$293&gt;VAL_DATE)=0,"",'Dvd Calendar'!$AC$293*1000000000+ISNUMBER('Dvd Calendar'!$AC$294)*100000000+0*10000000+(N('Dvd Calendar'!$AC$292)&gt;0)*(N('Dvd Calendar'!$AC$292)&lt;=VAL_SERIAL)*1000000+26*1000+65))</f>
        <v/>
      </c>
    </row>
    <row r="38">
      <c r="B38" s="2">
        <f>IF(HSI!$C$33="","",HSI!$C$33)</f>
        <v/>
      </c>
      <c r="C38" s="106">
        <f>IF(EE38="","",IF(ISNUMBER('Dvd Calendar'!$E$300)=FALSE,"",IF((('Dvd Calendar'!$E$302=TYPE1)*(TYPE1&lt;&gt;"")+('Dvd Calendar'!$E$302=TYPE2)*(TYPE2&lt;&gt;"")+('Dvd Calendar'!$E$302=TYPE3)*(TYPE3&lt;&gt;"")+('Dvd Calendar'!$E$302=TYPE4)*(TYPE4&lt;&gt;"")+('Dvd Calendar'!$E$302=SPECIAL_LBL)*(INC_SPECIALS="Y"))=0,"",'Dvd Calendar'!$E$300)))</f>
        <v/>
      </c>
      <c r="D38" s="106">
        <f>IF(EF38="","",IF(ISNUMBER('Dvd Calendar'!$F$300)=FALSE,"",IF((('Dvd Calendar'!$F$302=TYPE1)*(TYPE1&lt;&gt;"")+('Dvd Calendar'!$F$302=TYPE2)*(TYPE2&lt;&gt;"")+('Dvd Calendar'!$F$302=TYPE3)*(TYPE3&lt;&gt;"")+('Dvd Calendar'!$F$302=TYPE4)*(TYPE4&lt;&gt;"")+('Dvd Calendar'!$F$302=SPECIAL_LBL)*(INC_SPECIALS="Y"))=0,"",'Dvd Calendar'!$F$300)))</f>
        <v/>
      </c>
      <c r="E38" s="106">
        <f>IF(EG38="","",IF(ISNUMBER('Dvd Calendar'!$G$300)=FALSE,"",IF((('Dvd Calendar'!$G$302=TYPE1)*(TYPE1&lt;&gt;"")+('Dvd Calendar'!$G$302=TYPE2)*(TYPE2&lt;&gt;"")+('Dvd Calendar'!$G$302=TYPE3)*(TYPE3&lt;&gt;"")+('Dvd Calendar'!$G$302=TYPE4)*(TYPE4&lt;&gt;"")+('Dvd Calendar'!$G$302=SPECIAL_LBL)*(INC_SPECIALS="Y"))=0,"",'Dvd Calendar'!$G$300)))</f>
        <v/>
      </c>
      <c r="F38" s="106">
        <f>IF(EH38="","",IF(ISNUMBER('Dvd Calendar'!$H$300)=FALSE,"",IF((('Dvd Calendar'!$H$302=TYPE1)*(TYPE1&lt;&gt;"")+('Dvd Calendar'!$H$302=TYPE2)*(TYPE2&lt;&gt;"")+('Dvd Calendar'!$H$302=TYPE3)*(TYPE3&lt;&gt;"")+('Dvd Calendar'!$H$302=TYPE4)*(TYPE4&lt;&gt;"")+('Dvd Calendar'!$H$302=SPECIAL_LBL)*(INC_SPECIALS="Y"))=0,"",'Dvd Calendar'!$H$300)))</f>
        <v/>
      </c>
      <c r="G38" s="106">
        <f>IF(EI38="","",IF(ISNUMBER('Dvd Calendar'!$I$300)=FALSE,"",IF((('Dvd Calendar'!$I$302=TYPE1)*(TYPE1&lt;&gt;"")+('Dvd Calendar'!$I$302=TYPE2)*(TYPE2&lt;&gt;"")+('Dvd Calendar'!$I$302=TYPE3)*(TYPE3&lt;&gt;"")+('Dvd Calendar'!$I$302=TYPE4)*(TYPE4&lt;&gt;"")+('Dvd Calendar'!$I$302=SPECIAL_LBL)*(INC_SPECIALS="Y"))=0,"",'Dvd Calendar'!$I$300)))</f>
        <v/>
      </c>
      <c r="H38" s="106">
        <f>IF(EJ38="","",IF(ISNUMBER('Dvd Calendar'!$J$300)=FALSE,"",IF((('Dvd Calendar'!$J$302=TYPE1)*(TYPE1&lt;&gt;"")+('Dvd Calendar'!$J$302=TYPE2)*(TYPE2&lt;&gt;"")+('Dvd Calendar'!$J$302=TYPE3)*(TYPE3&lt;&gt;"")+('Dvd Calendar'!$J$302=TYPE4)*(TYPE4&lt;&gt;"")+('Dvd Calendar'!$J$302=SPECIAL_LBL)*(INC_SPECIALS="Y"))=0,"",'Dvd Calendar'!$J$300)))</f>
        <v/>
      </c>
      <c r="I38" s="106">
        <f>IF(EK38="","",IF(ISNUMBER('Dvd Calendar'!$K$300)=FALSE,"",IF((('Dvd Calendar'!$K$302=TYPE1)*(TYPE1&lt;&gt;"")+('Dvd Calendar'!$K$302=TYPE2)*(TYPE2&lt;&gt;"")+('Dvd Calendar'!$K$302=TYPE3)*(TYPE3&lt;&gt;"")+('Dvd Calendar'!$K$302=TYPE4)*(TYPE4&lt;&gt;"")+('Dvd Calendar'!$K$302=SPECIAL_LBL)*(INC_SPECIALS="Y"))=0,"",'Dvd Calendar'!$K$300)))</f>
        <v/>
      </c>
      <c r="J38" s="106">
        <f>IF(EL38="","",IF(ISNUMBER('Dvd Calendar'!$L$300)=FALSE,"",IF((('Dvd Calendar'!$L$302=TYPE1)*(TYPE1&lt;&gt;"")+('Dvd Calendar'!$L$302=TYPE2)*(TYPE2&lt;&gt;"")+('Dvd Calendar'!$L$302=TYPE3)*(TYPE3&lt;&gt;"")+('Dvd Calendar'!$L$302=TYPE4)*(TYPE4&lt;&gt;"")+('Dvd Calendar'!$L$302=SPECIAL_LBL)*(INC_SPECIALS="Y"))=0,"",'Dvd Calendar'!$L$300)))</f>
        <v/>
      </c>
      <c r="K38" s="106">
        <f>IF(EM38="","",IF(ISNUMBER('Dvd Calendar'!$M$300)=FALSE,"",IF((('Dvd Calendar'!$M$302=TYPE1)*(TYPE1&lt;&gt;"")+('Dvd Calendar'!$M$302=TYPE2)*(TYPE2&lt;&gt;"")+('Dvd Calendar'!$M$302=TYPE3)*(TYPE3&lt;&gt;"")+('Dvd Calendar'!$M$302=TYPE4)*(TYPE4&lt;&gt;"")+('Dvd Calendar'!$M$302=SPECIAL_LBL)*(INC_SPECIALS="Y"))=0,"",'Dvd Calendar'!$M$300)))</f>
        <v/>
      </c>
      <c r="L38" s="106">
        <f>IF(EN38="","",IF(ISNUMBER('Dvd Calendar'!$N$300)=FALSE,"",IF((('Dvd Calendar'!$N$302=TYPE1)*(TYPE1&lt;&gt;"")+('Dvd Calendar'!$N$302=TYPE2)*(TYPE2&lt;&gt;"")+('Dvd Calendar'!$N$302=TYPE3)*(TYPE3&lt;&gt;"")+('Dvd Calendar'!$N$302=TYPE4)*(TYPE4&lt;&gt;"")+('Dvd Calendar'!$N$302=SPECIAL_LBL)*(INC_SPECIALS="Y"))=0,"",'Dvd Calendar'!$N$300)))</f>
        <v/>
      </c>
      <c r="M38" s="106">
        <f>IF(EO38="","",IF(ISNUMBER('Dvd Calendar'!$O$300)=FALSE,"",IF((('Dvd Calendar'!$O$302=TYPE1)*(TYPE1&lt;&gt;"")+('Dvd Calendar'!$O$302=TYPE2)*(TYPE2&lt;&gt;"")+('Dvd Calendar'!$O$302=TYPE3)*(TYPE3&lt;&gt;"")+('Dvd Calendar'!$O$302=TYPE4)*(TYPE4&lt;&gt;"")+('Dvd Calendar'!$O$302=SPECIAL_LBL)*(INC_SPECIALS="Y"))=0,"",'Dvd Calendar'!$O$300)))</f>
        <v/>
      </c>
      <c r="N38" s="106">
        <f>IF(EP38="","",IF(ISNUMBER('Dvd Calendar'!$P$300)=FALSE,"",IF((('Dvd Calendar'!$P$302=TYPE1)*(TYPE1&lt;&gt;"")+('Dvd Calendar'!$P$302=TYPE2)*(TYPE2&lt;&gt;"")+('Dvd Calendar'!$P$302=TYPE3)*(TYPE3&lt;&gt;"")+('Dvd Calendar'!$P$302=TYPE4)*(TYPE4&lt;&gt;"")+('Dvd Calendar'!$P$302=SPECIAL_LBL)*(INC_SPECIALS="Y"))=0,"",'Dvd Calendar'!$P$300)))</f>
        <v/>
      </c>
      <c r="O38" s="106">
        <f>IF(EQ38="","",IF(ISNUMBER('Dvd Calendar'!$Q$300)=FALSE,"",IF((('Dvd Calendar'!$Q$302=TYPE1)*(TYPE1&lt;&gt;"")+('Dvd Calendar'!$Q$302=TYPE2)*(TYPE2&lt;&gt;"")+('Dvd Calendar'!$Q$302=TYPE3)*(TYPE3&lt;&gt;"")+('Dvd Calendar'!$Q$302=TYPE4)*(TYPE4&lt;&gt;"")+('Dvd Calendar'!$Q$302=SPECIAL_LBL)*(INC_SPECIALS="Y"))=0,"",'Dvd Calendar'!$Q$300)))</f>
        <v/>
      </c>
      <c r="P38" s="106">
        <f>IF(ER38="","",IF(ISNUMBER('Dvd Calendar'!$R$300)=FALSE,"",IF((('Dvd Calendar'!$R$302=TYPE1)*(TYPE1&lt;&gt;"")+('Dvd Calendar'!$R$302=TYPE2)*(TYPE2&lt;&gt;"")+('Dvd Calendar'!$R$302=TYPE3)*(TYPE3&lt;&gt;"")+('Dvd Calendar'!$R$302=TYPE4)*(TYPE4&lt;&gt;"")+('Dvd Calendar'!$R$302=SPECIAL_LBL)*(INC_SPECIALS="Y"))=0,"",'Dvd Calendar'!$R$300)))</f>
        <v/>
      </c>
      <c r="Q38" s="106">
        <f>IF(ES38="","",IF(ISNUMBER('Dvd Calendar'!$S$300)=FALSE,"",IF((('Dvd Calendar'!$S$302=TYPE1)*(TYPE1&lt;&gt;"")+('Dvd Calendar'!$S$302=TYPE2)*(TYPE2&lt;&gt;"")+('Dvd Calendar'!$S$302=TYPE3)*(TYPE3&lt;&gt;"")+('Dvd Calendar'!$S$302=TYPE4)*(TYPE4&lt;&gt;"")+('Dvd Calendar'!$S$302=SPECIAL_LBL)*(INC_SPECIALS="Y"))=0,"",'Dvd Calendar'!$S$300)))</f>
        <v/>
      </c>
      <c r="R38" s="106">
        <f>IF(ET38="","",IF(ISNUMBER('Dvd Calendar'!$T$300)=FALSE,"",IF((('Dvd Calendar'!$T$302=TYPE1)*(TYPE1&lt;&gt;"")+('Dvd Calendar'!$T$302=TYPE2)*(TYPE2&lt;&gt;"")+('Dvd Calendar'!$T$302=TYPE3)*(TYPE3&lt;&gt;"")+('Dvd Calendar'!$T$302=TYPE4)*(TYPE4&lt;&gt;"")+('Dvd Calendar'!$T$302=SPECIAL_LBL)*(INC_SPECIALS="Y"))=0,"",'Dvd Calendar'!$T$300)))</f>
        <v/>
      </c>
      <c r="S38" s="106">
        <f>IF(EU38="","",IF(ISNUMBER('Dvd Calendar'!$U$300)=FALSE,"",IF((('Dvd Calendar'!$U$302=TYPE1)*(TYPE1&lt;&gt;"")+('Dvd Calendar'!$U$302=TYPE2)*(TYPE2&lt;&gt;"")+('Dvd Calendar'!$U$302=TYPE3)*(TYPE3&lt;&gt;"")+('Dvd Calendar'!$U$302=TYPE4)*(TYPE4&lt;&gt;"")+('Dvd Calendar'!$U$302=SPECIAL_LBL)*(INC_SPECIALS="Y"))=0,"",'Dvd Calendar'!$U$300)))</f>
        <v/>
      </c>
      <c r="T38" s="106">
        <f>IF(EV38="","",IF(ISNUMBER('Dvd Calendar'!$V$300)=FALSE,"",IF((('Dvd Calendar'!$V$302=TYPE1)*(TYPE1&lt;&gt;"")+('Dvd Calendar'!$V$302=TYPE2)*(TYPE2&lt;&gt;"")+('Dvd Calendar'!$V$302=TYPE3)*(TYPE3&lt;&gt;"")+('Dvd Calendar'!$V$302=TYPE4)*(TYPE4&lt;&gt;"")+('Dvd Calendar'!$V$302=SPECIAL_LBL)*(INC_SPECIALS="Y"))=0,"",'Dvd Calendar'!$V$300)))</f>
        <v/>
      </c>
      <c r="U38" s="106">
        <f>IF(EW38="","",IF(ISNUMBER('Dvd Calendar'!$W$300)=FALSE,"",IF((('Dvd Calendar'!$W$302=TYPE1)*(TYPE1&lt;&gt;"")+('Dvd Calendar'!$W$302=TYPE2)*(TYPE2&lt;&gt;"")+('Dvd Calendar'!$W$302=TYPE3)*(TYPE3&lt;&gt;"")+('Dvd Calendar'!$W$302=TYPE4)*(TYPE4&lt;&gt;"")+('Dvd Calendar'!$W$302=SPECIAL_LBL)*(INC_SPECIALS="Y"))=0,"",'Dvd Calendar'!$W$300)))</f>
        <v/>
      </c>
      <c r="V38" s="106">
        <f>IF(EX38="","",IF(ISNUMBER('Dvd Calendar'!$X$300)=FALSE,"",IF((('Dvd Calendar'!$X$302=TYPE1)*(TYPE1&lt;&gt;"")+('Dvd Calendar'!$X$302=TYPE2)*(TYPE2&lt;&gt;"")+('Dvd Calendar'!$X$302=TYPE3)*(TYPE3&lt;&gt;"")+('Dvd Calendar'!$X$302=TYPE4)*(TYPE4&lt;&gt;"")+('Dvd Calendar'!$X$302=SPECIAL_LBL)*(INC_SPECIALS="Y"))=0,"",'Dvd Calendar'!$X$300)))</f>
        <v/>
      </c>
      <c r="W38" s="106">
        <f>IF(EY38="","",IF(ISNUMBER('Dvd Calendar'!$Y$300)=FALSE,"",IF((('Dvd Calendar'!$Y$302=TYPE1)*(TYPE1&lt;&gt;"")+('Dvd Calendar'!$Y$302=TYPE2)*(TYPE2&lt;&gt;"")+('Dvd Calendar'!$Y$302=TYPE3)*(TYPE3&lt;&gt;"")+('Dvd Calendar'!$Y$302=TYPE4)*(TYPE4&lt;&gt;"")+('Dvd Calendar'!$Y$302=SPECIAL_LBL)*(INC_SPECIALS="Y"))=0,"",'Dvd Calendar'!$Y$300)))</f>
        <v/>
      </c>
      <c r="X38" s="106">
        <f>IF(EZ38="","",IF(ISNUMBER('Dvd Calendar'!$Z$300)=FALSE,"",IF((('Dvd Calendar'!$Z$302=TYPE1)*(TYPE1&lt;&gt;"")+('Dvd Calendar'!$Z$302=TYPE2)*(TYPE2&lt;&gt;"")+('Dvd Calendar'!$Z$302=TYPE3)*(TYPE3&lt;&gt;"")+('Dvd Calendar'!$Z$302=TYPE4)*(TYPE4&lt;&gt;"")+('Dvd Calendar'!$Z$302=SPECIAL_LBL)*(INC_SPECIALS="Y"))=0,"",'Dvd Calendar'!$Z$300)))</f>
        <v/>
      </c>
      <c r="Y38" s="106">
        <f>IF(FA38="","",IF(ISNUMBER('Dvd Calendar'!$AA$300)=FALSE,"",IF((('Dvd Calendar'!$AA$302=TYPE1)*(TYPE1&lt;&gt;"")+('Dvd Calendar'!$AA$302=TYPE2)*(TYPE2&lt;&gt;"")+('Dvd Calendar'!$AA$302=TYPE3)*(TYPE3&lt;&gt;"")+('Dvd Calendar'!$AA$302=TYPE4)*(TYPE4&lt;&gt;"")+('Dvd Calendar'!$AA$302=SPECIAL_LBL)*(INC_SPECIALS="Y"))=0,"",'Dvd Calendar'!$AA$300)))</f>
        <v/>
      </c>
      <c r="Z38" s="106">
        <f>IF(FB38="","",IF(ISNUMBER('Dvd Calendar'!$AB$300)=FALSE,"",IF((('Dvd Calendar'!$AB$302=TYPE1)*(TYPE1&lt;&gt;"")+('Dvd Calendar'!$AB$302=TYPE2)*(TYPE2&lt;&gt;"")+('Dvd Calendar'!$AB$302=TYPE3)*(TYPE3&lt;&gt;"")+('Dvd Calendar'!$AB$302=TYPE4)*(TYPE4&lt;&gt;"")+('Dvd Calendar'!$AB$302=SPECIAL_LBL)*(INC_SPECIALS="Y"))=0,"",'Dvd Calendar'!$AB$300)))</f>
        <v/>
      </c>
      <c r="AA38" s="106">
        <f>IF(FC38="","",IF(ISNUMBER('Dvd Calendar'!$AC$300)=FALSE,"",IF((('Dvd Calendar'!$AC$302=TYPE1)*(TYPE1&lt;&gt;"")+('Dvd Calendar'!$AC$302=TYPE2)*(TYPE2&lt;&gt;"")+('Dvd Calendar'!$AC$302=TYPE3)*(TYPE3&lt;&gt;"")+('Dvd Calendar'!$AC$302=TYPE4)*(TYPE4&lt;&gt;"")+('Dvd Calendar'!$AC$302=SPECIAL_LBL)*(INC_SPECIALS="Y"))=0,"",'Dvd Calendar'!$AC$300)))</f>
        <v/>
      </c>
      <c r="AB38" s="106">
        <f>IF(FD38="","",IF(ISNUMBER('Dvd Calendar'!$AD$300)=FALSE,"",IF((('Dvd Calendar'!$AD$302=TYPE1)*(TYPE1&lt;&gt;"")+('Dvd Calendar'!$AD$302=TYPE2)*(TYPE2&lt;&gt;"")+('Dvd Calendar'!$AD$302=TYPE3)*(TYPE3&lt;&gt;"")+('Dvd Calendar'!$AD$302=TYPE4)*(TYPE4&lt;&gt;"")+('Dvd Calendar'!$AD$302=SPECIAL_LBL)*(INC_SPECIALS="Y"))=0,"",'Dvd Calendar'!$AD$300)))</f>
        <v/>
      </c>
      <c r="AC38" s="106">
        <f>IF(FE38="","",IF(ISNUMBER('Dvd Calendar'!$AE$300)=FALSE,"",IF((('Dvd Calendar'!$AE$302=TYPE1)*(TYPE1&lt;&gt;"")+('Dvd Calendar'!$AE$302=TYPE2)*(TYPE2&lt;&gt;"")+('Dvd Calendar'!$AE$302=TYPE3)*(TYPE3&lt;&gt;"")+('Dvd Calendar'!$AE$302=TYPE4)*(TYPE4&lt;&gt;"")+('Dvd Calendar'!$AE$302=SPECIAL_LBL)*(INC_SPECIALS="Y"))=0,"",'Dvd Calendar'!$AE$300)))</f>
        <v/>
      </c>
      <c r="AD38" s="106">
        <f>IF(FF38="","",IF(ISNUMBER('Dvd Calendar'!$AF$300)=FALSE,"",IF((('Dvd Calendar'!$AF$302=TYPE1)*(TYPE1&lt;&gt;"")+('Dvd Calendar'!$AF$302=TYPE2)*(TYPE2&lt;&gt;"")+('Dvd Calendar'!$AF$302=TYPE3)*(TYPE3&lt;&gt;"")+('Dvd Calendar'!$AF$302=TYPE4)*(TYPE4&lt;&gt;"")+('Dvd Calendar'!$AF$302=SPECIAL_LBL)*(INC_SPECIALS="Y"))=0,"",'Dvd Calendar'!$AF$300)))</f>
        <v/>
      </c>
      <c r="AE38" s="106">
        <f>IF(FG38="","",IF(ISNUMBER('Dvd Calendar'!$AG$300)=FALSE,"",IF((('Dvd Calendar'!$AG$302=TYPE1)*(TYPE1&lt;&gt;"")+('Dvd Calendar'!$AG$302=TYPE2)*(TYPE2&lt;&gt;"")+('Dvd Calendar'!$AG$302=TYPE3)*(TYPE3&lt;&gt;"")+('Dvd Calendar'!$AG$302=TYPE4)*(TYPE4&lt;&gt;"")+('Dvd Calendar'!$AG$302=SPECIAL_LBL)*(INC_SPECIALS="Y"))=0,"",'Dvd Calendar'!$AG$300)))</f>
        <v/>
      </c>
      <c r="AF38" s="106">
        <f>IF(FH38="","",IF(ISNUMBER('Dvd Calendar'!$AH$300)=FALSE,"",IF((('Dvd Calendar'!$AH$302=TYPE1)*(TYPE1&lt;&gt;"")+('Dvd Calendar'!$AH$302=TYPE2)*(TYPE2&lt;&gt;"")+('Dvd Calendar'!$AH$302=TYPE3)*(TYPE3&lt;&gt;"")+('Dvd Calendar'!$AH$302=TYPE4)*(TYPE4&lt;&gt;"")+('Dvd Calendar'!$AH$302=SPECIAL_LBL)*(INC_SPECIALS="Y"))=0,"",'Dvd Calendar'!$AH$300)))</f>
        <v/>
      </c>
      <c r="AG38" s="106">
        <f>IF(FI38="","",IF(ISNUMBER('Dvd Calendar'!$AI$300)=FALSE,"",IF((('Dvd Calendar'!$AI$302=TYPE1)*(TYPE1&lt;&gt;"")+('Dvd Calendar'!$AI$302=TYPE2)*(TYPE2&lt;&gt;"")+('Dvd Calendar'!$AI$302=TYPE3)*(TYPE3&lt;&gt;"")+('Dvd Calendar'!$AI$302=TYPE4)*(TYPE4&lt;&gt;"")+('Dvd Calendar'!$AI$302=SPECIAL_LBL)*(INC_SPECIALS="Y"))=0,"",'Dvd Calendar'!$AI$300)))</f>
        <v/>
      </c>
      <c r="AH38" s="106">
        <f>IF(FJ38="","",IF(ISNUMBER('Dvd Calendar'!$AJ$300)=FALSE,"",IF((('Dvd Calendar'!$AJ$302=TYPE1)*(TYPE1&lt;&gt;"")+('Dvd Calendar'!$AJ$302=TYPE2)*(TYPE2&lt;&gt;"")+('Dvd Calendar'!$AJ$302=TYPE3)*(TYPE3&lt;&gt;"")+('Dvd Calendar'!$AJ$302=TYPE4)*(TYPE4&lt;&gt;"")+('Dvd Calendar'!$AJ$302=SPECIAL_LBL)*(INC_SPECIALS="Y"))=0,"",'Dvd Calendar'!$AJ$300)))</f>
        <v/>
      </c>
      <c r="AI38" s="106">
        <f>IF(FK38="","",IF(ISNUMBER('Dvd Calendar'!$AK$300)=FALSE,"",IF((('Dvd Calendar'!$AK$302=TYPE1)*(TYPE1&lt;&gt;"")+('Dvd Calendar'!$AK$302=TYPE2)*(TYPE2&lt;&gt;"")+('Dvd Calendar'!$AK$302=TYPE3)*(TYPE3&lt;&gt;"")+('Dvd Calendar'!$AK$302=TYPE4)*(TYPE4&lt;&gt;"")+('Dvd Calendar'!$AK$302=SPECIAL_LBL)*(INC_SPECIALS="Y"))=0,"",'Dvd Calendar'!$AK$300)))</f>
        <v/>
      </c>
      <c r="AJ38" s="106">
        <f>IF(FL38="","",IF(ISNUMBER('Dvd Calendar'!$AL$300)=FALSE,"",IF((('Dvd Calendar'!$AL$302=TYPE1)*(TYPE1&lt;&gt;"")+('Dvd Calendar'!$AL$302=TYPE2)*(TYPE2&lt;&gt;"")+('Dvd Calendar'!$AL$302=TYPE3)*(TYPE3&lt;&gt;"")+('Dvd Calendar'!$AL$302=TYPE4)*(TYPE4&lt;&gt;"")+('Dvd Calendar'!$AL$302=SPECIAL_LBL)*(INC_SPECIALS="Y"))=0,"",'Dvd Calendar'!$AL$300)))</f>
        <v/>
      </c>
      <c r="AK38" s="106">
        <f>IF(FM38="","",IF(ISNUMBER('Dvd Calendar'!$AM$300)=FALSE,"",IF((('Dvd Calendar'!$AM$302=TYPE1)*(TYPE1&lt;&gt;"")+('Dvd Calendar'!$AM$302=TYPE2)*(TYPE2&lt;&gt;"")+('Dvd Calendar'!$AM$302=TYPE3)*(TYPE3&lt;&gt;"")+('Dvd Calendar'!$AM$302=TYPE4)*(TYPE4&lt;&gt;"")+('Dvd Calendar'!$AM$302=SPECIAL_LBL)*(INC_SPECIALS="Y"))=0,"",'Dvd Calendar'!$AM$300)))</f>
        <v/>
      </c>
      <c r="AL38" s="106">
        <f>IF(FN38="","",IF(ISNUMBER('Dvd Calendar'!$AN$300)=FALSE,"",IF((('Dvd Calendar'!$AN$302=TYPE1)*(TYPE1&lt;&gt;"")+('Dvd Calendar'!$AN$302=TYPE2)*(TYPE2&lt;&gt;"")+('Dvd Calendar'!$AN$302=TYPE3)*(TYPE3&lt;&gt;"")+('Dvd Calendar'!$AN$302=TYPE4)*(TYPE4&lt;&gt;"")+('Dvd Calendar'!$AN$302=SPECIAL_LBL)*(INC_SPECIALS="Y"))=0,"",'Dvd Calendar'!$AN$300)))</f>
        <v/>
      </c>
      <c r="AM38" s="106">
        <f>IF(FO38="","",IF(ISNUMBER('Dvd Calendar'!$AO$300)=FALSE,"",IF((('Dvd Calendar'!$AO$302=TYPE1)*(TYPE1&lt;&gt;"")+('Dvd Calendar'!$AO$302=TYPE2)*(TYPE2&lt;&gt;"")+('Dvd Calendar'!$AO$302=TYPE3)*(TYPE3&lt;&gt;"")+('Dvd Calendar'!$AO$302=TYPE4)*(TYPE4&lt;&gt;"")+('Dvd Calendar'!$AO$302=SPECIAL_LBL)*(INC_SPECIALS="Y"))=0,"",'Dvd Calendar'!$AO$300)))</f>
        <v/>
      </c>
      <c r="AN38" s="106">
        <f>IF(FP38="","",IF(ISNUMBER('Dvd Calendar'!$AP$300)=FALSE,"",IF((('Dvd Calendar'!$AP$302=TYPE1)*(TYPE1&lt;&gt;"")+('Dvd Calendar'!$AP$302=TYPE2)*(TYPE2&lt;&gt;"")+('Dvd Calendar'!$AP$302=TYPE3)*(TYPE3&lt;&gt;"")+('Dvd Calendar'!$AP$302=TYPE4)*(TYPE4&lt;&gt;"")+('Dvd Calendar'!$AP$302=SPECIAL_LBL)*(INC_SPECIALS="Y"))=0,"",'Dvd Calendar'!$AP$300)))</f>
        <v/>
      </c>
      <c r="AO38" s="106">
        <f>IF(FQ38="","",IF(ISNUMBER('Dvd Calendar'!$AQ$300)=FALSE,"",IF((('Dvd Calendar'!$AQ$302=TYPE1)*(TYPE1&lt;&gt;"")+('Dvd Calendar'!$AQ$302=TYPE2)*(TYPE2&lt;&gt;"")+('Dvd Calendar'!$AQ$302=TYPE3)*(TYPE3&lt;&gt;"")+('Dvd Calendar'!$AQ$302=TYPE4)*(TYPE4&lt;&gt;"")+('Dvd Calendar'!$AQ$302=SPECIAL_LBL)*(INC_SPECIALS="Y"))=0,"",'Dvd Calendar'!$AQ$300)))</f>
        <v/>
      </c>
      <c r="AP38" s="106">
        <f>IF(FR38="","",IF(ISNUMBER('Dvd Calendar'!$AR$300)=FALSE,"",IF((('Dvd Calendar'!$AR$302=TYPE1)*(TYPE1&lt;&gt;"")+('Dvd Calendar'!$AR$302=TYPE2)*(TYPE2&lt;&gt;"")+('Dvd Calendar'!$AR$302=TYPE3)*(TYPE3&lt;&gt;"")+('Dvd Calendar'!$AR$302=TYPE4)*(TYPE4&lt;&gt;"")+('Dvd Calendar'!$AR$302=SPECIAL_LBL)*(INC_SPECIALS="Y"))=0,"",'Dvd Calendar'!$AR$300)))</f>
        <v/>
      </c>
      <c r="AQ38" s="106">
        <f>IF(FS38="","",IF(ISNUMBER('Dvd Calendar'!$E$305)=FALSE,"",'Dvd Calendar'!$E$305))</f>
        <v/>
      </c>
      <c r="AR38" s="106">
        <f>IF(FT38="","",IF(ISNUMBER('Dvd Calendar'!$F$305)=FALSE,"",'Dvd Calendar'!$F$305))</f>
        <v/>
      </c>
      <c r="AS38" s="106">
        <f>IF(FU38="","",IF(ISNUMBER('Dvd Calendar'!$G$305)=FALSE,"",'Dvd Calendar'!$G$305))</f>
        <v/>
      </c>
      <c r="AT38" s="106">
        <f>IF(FV38="","",IF(ISNUMBER('Dvd Calendar'!$H$305)=FALSE,"",'Dvd Calendar'!$H$305))</f>
        <v/>
      </c>
      <c r="AU38" s="106">
        <f>IF(FW38="","",IF(ISNUMBER('Dvd Calendar'!$I$305)=FALSE,"",'Dvd Calendar'!$I$305))</f>
        <v/>
      </c>
      <c r="AV38" s="106">
        <f>IF(FX38="","",IF(ISNUMBER('Dvd Calendar'!$J$305)=FALSE,"",'Dvd Calendar'!$J$305))</f>
        <v/>
      </c>
      <c r="AW38" s="106">
        <f>IF(FY38="","",IF(ISNUMBER('Dvd Calendar'!$K$305)=FALSE,"",'Dvd Calendar'!$K$305))</f>
        <v/>
      </c>
      <c r="AX38" s="106">
        <f>IF(FZ38="","",IF(ISNUMBER('Dvd Calendar'!$L$305)=FALSE,"",'Dvd Calendar'!$L$305))</f>
        <v/>
      </c>
      <c r="AY38" s="106">
        <f>IF(GA38="","",IF(ISNUMBER('Dvd Calendar'!$M$305)=FALSE,"",'Dvd Calendar'!$M$305))</f>
        <v/>
      </c>
      <c r="AZ38" s="106">
        <f>IF(GB38="","",IF(ISNUMBER('Dvd Calendar'!$N$305)=FALSE,"",'Dvd Calendar'!$N$305))</f>
        <v/>
      </c>
      <c r="BA38" s="106">
        <f>IF(GC38="","",IF(ISNUMBER('Dvd Calendar'!$O$305)=FALSE,"",'Dvd Calendar'!$O$305))</f>
        <v/>
      </c>
      <c r="BB38" s="106">
        <f>IF(GD38="","",IF(ISNUMBER('Dvd Calendar'!$P$305)=FALSE,"",'Dvd Calendar'!$P$305))</f>
        <v/>
      </c>
      <c r="BC38" s="106">
        <f>IF(GE38="","",IF(ISNUMBER('Dvd Calendar'!$Q$305)=FALSE,"",'Dvd Calendar'!$Q$305))</f>
        <v/>
      </c>
      <c r="BD38" s="106">
        <f>IF(GF38="","",IF(ISNUMBER('Dvd Calendar'!$R$305)=FALSE,"",'Dvd Calendar'!$R$305))</f>
        <v/>
      </c>
      <c r="BE38" s="106">
        <f>IF(GG38="","",IF(ISNUMBER('Dvd Calendar'!$S$305)=FALSE,"",'Dvd Calendar'!$S$305))</f>
        <v/>
      </c>
      <c r="BF38" s="106">
        <f>IF(GH38="","",IF(ISNUMBER('Dvd Calendar'!$T$305)=FALSE,"",'Dvd Calendar'!$T$305))</f>
        <v/>
      </c>
      <c r="BG38" s="106">
        <f>IF(GI38="","",IF(ISNUMBER('Dvd Calendar'!$U$305)=FALSE,"",'Dvd Calendar'!$U$305))</f>
        <v/>
      </c>
      <c r="BH38" s="106">
        <f>IF(GJ38="","",IF(ISNUMBER('Dvd Calendar'!$V$305)=FALSE,"",'Dvd Calendar'!$V$305))</f>
        <v/>
      </c>
      <c r="BI38" s="106">
        <f>IF(GK38="","",IF(ISNUMBER('Dvd Calendar'!$W$305)=FALSE,"",'Dvd Calendar'!$W$305))</f>
        <v/>
      </c>
      <c r="BJ38" s="106">
        <f>IF(GL38="","",IF(ISNUMBER('Dvd Calendar'!$X$305)=FALSE,"",'Dvd Calendar'!$X$305))</f>
        <v/>
      </c>
      <c r="BK38" s="106">
        <f>IF(GM38="","",IF(ISNUMBER('Dvd Calendar'!$Y$305)=FALSE,"",'Dvd Calendar'!$Y$305))</f>
        <v/>
      </c>
      <c r="BL38" s="106">
        <f>IF(GN38="","",IF(ISNUMBER('Dvd Calendar'!$Z$305)=FALSE,"",'Dvd Calendar'!$Z$305))</f>
        <v/>
      </c>
      <c r="BM38" s="106">
        <f>IF(GO38="","",IF(ISNUMBER('Dvd Calendar'!$AA$305)=FALSE,"",'Dvd Calendar'!$AA$305))</f>
        <v/>
      </c>
      <c r="BN38" s="106">
        <f>IF(GP38="","",IF(ISNUMBER('Dvd Calendar'!$AB$305)=FALSE,"",'Dvd Calendar'!$AB$305))</f>
        <v/>
      </c>
      <c r="BO38" s="106">
        <f>IF(GQ38="","",IF(ISNUMBER('Dvd Calendar'!$AC$305)=FALSE,"",'Dvd Calendar'!$AC$305))</f>
        <v/>
      </c>
      <c r="BQ38" s="106">
        <f>IF(C38="","",IFERROR(C38*HSI!$B$33*HSI!$G$33/HSI!$B$3,""))</f>
        <v/>
      </c>
      <c r="BR38" s="106">
        <f>IF(D38="","",IFERROR(D38*HSI!$B$33*HSI!$G$33/HSI!$B$3,""))</f>
        <v/>
      </c>
      <c r="BS38" s="106">
        <f>IF(E38="","",IFERROR(E38*HSI!$B$33*HSI!$G$33/HSI!$B$3,""))</f>
        <v/>
      </c>
      <c r="BT38" s="106">
        <f>IF(F38="","",IFERROR(F38*HSI!$B$33*HSI!$G$33/HSI!$B$3,""))</f>
        <v/>
      </c>
      <c r="BU38" s="106">
        <f>IF(G38="","",IFERROR(G38*HSI!$B$33*HSI!$G$33/HSI!$B$3,""))</f>
        <v/>
      </c>
      <c r="BV38" s="106">
        <f>IF(H38="","",IFERROR(H38*HSI!$B$33*HSI!$G$33/HSI!$B$3,""))</f>
        <v/>
      </c>
      <c r="BW38" s="106">
        <f>IF(I38="","",IFERROR(I38*HSI!$B$33*HSI!$G$33/HSI!$B$3,""))</f>
        <v/>
      </c>
      <c r="BX38" s="106">
        <f>IF(J38="","",IFERROR(J38*HSI!$B$33*HSI!$G$33/HSI!$B$3,""))</f>
        <v/>
      </c>
      <c r="BY38" s="106">
        <f>IF(K38="","",IFERROR(K38*HSI!$B$33*HSI!$G$33/HSI!$B$3,""))</f>
        <v/>
      </c>
      <c r="BZ38" s="106">
        <f>IF(L38="","",IFERROR(L38*HSI!$B$33*HSI!$G$33/HSI!$B$3,""))</f>
        <v/>
      </c>
      <c r="CA38" s="106">
        <f>IF(M38="","",IFERROR(M38*HSI!$B$33*HSI!$G$33/HSI!$B$3,""))</f>
        <v/>
      </c>
      <c r="CB38" s="106">
        <f>IF(N38="","",IFERROR(N38*HSI!$B$33*HSI!$G$33/HSI!$B$3,""))</f>
        <v/>
      </c>
      <c r="CC38" s="106">
        <f>IF(O38="","",IFERROR(O38*HSI!$B$33*HSI!$G$33/HSI!$B$3,""))</f>
        <v/>
      </c>
      <c r="CD38" s="106">
        <f>IF(P38="","",IFERROR(P38*HSI!$B$33*HSI!$G$33/HSI!$B$3,""))</f>
        <v/>
      </c>
      <c r="CE38" s="106">
        <f>IF(Q38="","",IFERROR(Q38*HSI!$B$33*HSI!$G$33/HSI!$B$3,""))</f>
        <v/>
      </c>
      <c r="CF38" s="106">
        <f>IF(R38="","",IFERROR(R38*HSI!$B$33*HSI!$G$33/HSI!$B$3,""))</f>
        <v/>
      </c>
      <c r="CG38" s="106">
        <f>IF(S38="","",IFERROR(S38*HSI!$B$33*HSI!$G$33/HSI!$B$3,""))</f>
        <v/>
      </c>
      <c r="CH38" s="106">
        <f>IF(T38="","",IFERROR(T38*HSI!$B$33*HSI!$G$33/HSI!$B$3,""))</f>
        <v/>
      </c>
      <c r="CI38" s="106">
        <f>IF(U38="","",IFERROR(U38*HSI!$B$33*HSI!$G$33/HSI!$B$3,""))</f>
        <v/>
      </c>
      <c r="CJ38" s="106">
        <f>IF(V38="","",IFERROR(V38*HSI!$B$33*HSI!$G$33/HSI!$B$3,""))</f>
        <v/>
      </c>
      <c r="CK38" s="106">
        <f>IF(W38="","",IFERROR(W38*HSI!$B$33*HSI!$G$33/HSI!$B$3,""))</f>
        <v/>
      </c>
      <c r="CL38" s="106">
        <f>IF(X38="","",IFERROR(X38*HSI!$B$33*HSI!$G$33/HSI!$B$3,""))</f>
        <v/>
      </c>
      <c r="CM38" s="106">
        <f>IF(Y38="","",IFERROR(Y38*HSI!$B$33*HSI!$G$33/HSI!$B$3,""))</f>
        <v/>
      </c>
      <c r="CN38" s="106">
        <f>IF(Z38="","",IFERROR(Z38*HSI!$B$33*HSI!$G$33/HSI!$B$3,""))</f>
        <v/>
      </c>
      <c r="CO38" s="106">
        <f>IF(AA38="","",IFERROR(AA38*HSI!$B$33*HSI!$G$33/HSI!$B$3,""))</f>
        <v/>
      </c>
      <c r="CP38" s="106">
        <f>IF(AB38="","",IFERROR(AB38*HSI!$B$33*HSI!$G$33/HSI!$B$3,""))</f>
        <v/>
      </c>
      <c r="CQ38" s="106">
        <f>IF(AC38="","",IFERROR(AC38*HSI!$B$33*HSI!$G$33/HSI!$B$3,""))</f>
        <v/>
      </c>
      <c r="CR38" s="106">
        <f>IF(AD38="","",IFERROR(AD38*HSI!$B$33*HSI!$G$33/HSI!$B$3,""))</f>
        <v/>
      </c>
      <c r="CS38" s="106">
        <f>IF(AE38="","",IFERROR(AE38*HSI!$B$33*HSI!$G$33/HSI!$B$3,""))</f>
        <v/>
      </c>
      <c r="CT38" s="106">
        <f>IF(AF38="","",IFERROR(AF38*HSI!$B$33*HSI!$G$33/HSI!$B$3,""))</f>
        <v/>
      </c>
      <c r="CU38" s="106">
        <f>IF(AG38="","",IFERROR(AG38*HSI!$B$33*HSI!$G$33/HSI!$B$3,""))</f>
        <v/>
      </c>
      <c r="CV38" s="106">
        <f>IF(AH38="","",IFERROR(AH38*HSI!$B$33*HSI!$G$33/HSI!$B$3,""))</f>
        <v/>
      </c>
      <c r="CW38" s="106">
        <f>IF(AI38="","",IFERROR(AI38*HSI!$B$33*HSI!$G$33/HSI!$B$3,""))</f>
        <v/>
      </c>
      <c r="CX38" s="106">
        <f>IF(AJ38="","",IFERROR(AJ38*HSI!$B$33*HSI!$G$33/HSI!$B$3,""))</f>
        <v/>
      </c>
      <c r="CY38" s="106">
        <f>IF(AK38="","",IFERROR(AK38*HSI!$B$33*HSI!$G$33/HSI!$B$3,""))</f>
        <v/>
      </c>
      <c r="CZ38" s="106">
        <f>IF(AL38="","",IFERROR(AL38*HSI!$B$33*HSI!$G$33/HSI!$B$3,""))</f>
        <v/>
      </c>
      <c r="DA38" s="106">
        <f>IF(AM38="","",IFERROR(AM38*HSI!$B$33*HSI!$G$33/HSI!$B$3,""))</f>
        <v/>
      </c>
      <c r="DB38" s="106">
        <f>IF(AN38="","",IFERROR(AN38*HSI!$B$33*HSI!$G$33/HSI!$B$3,""))</f>
        <v/>
      </c>
      <c r="DC38" s="106">
        <f>IF(AO38="","",IFERROR(AO38*HSI!$B$33*HSI!$G$33/HSI!$B$3,""))</f>
        <v/>
      </c>
      <c r="DD38" s="106">
        <f>IF(AP38="","",IFERROR(AP38*HSI!$B$33*HSI!$G$33/HSI!$B$3,""))</f>
        <v/>
      </c>
      <c r="DE38" s="106">
        <f>IF(AQ38="","",IFERROR(AQ38*HSI!$B$33*HSI!$G$33/HSI!$B$3,""))</f>
        <v/>
      </c>
      <c r="DF38" s="106">
        <f>IF(AR38="","",IFERROR(AR38*HSI!$B$33*HSI!$G$33/HSI!$B$3,""))</f>
        <v/>
      </c>
      <c r="DG38" s="106">
        <f>IF(AS38="","",IFERROR(AS38*HSI!$B$33*HSI!$G$33/HSI!$B$3,""))</f>
        <v/>
      </c>
      <c r="DH38" s="106">
        <f>IF(AT38="","",IFERROR(AT38*HSI!$B$33*HSI!$G$33/HSI!$B$3,""))</f>
        <v/>
      </c>
      <c r="DI38" s="106">
        <f>IF(AU38="","",IFERROR(AU38*HSI!$B$33*HSI!$G$33/HSI!$B$3,""))</f>
        <v/>
      </c>
      <c r="DJ38" s="106">
        <f>IF(AV38="","",IFERROR(AV38*HSI!$B$33*HSI!$G$33/HSI!$B$3,""))</f>
        <v/>
      </c>
      <c r="DK38" s="106">
        <f>IF(AW38="","",IFERROR(AW38*HSI!$B$33*HSI!$G$33/HSI!$B$3,""))</f>
        <v/>
      </c>
      <c r="DL38" s="106">
        <f>IF(AX38="","",IFERROR(AX38*HSI!$B$33*HSI!$G$33/HSI!$B$3,""))</f>
        <v/>
      </c>
      <c r="DM38" s="106">
        <f>IF(AY38="","",IFERROR(AY38*HSI!$B$33*HSI!$G$33/HSI!$B$3,""))</f>
        <v/>
      </c>
      <c r="DN38" s="106">
        <f>IF(AZ38="","",IFERROR(AZ38*HSI!$B$33*HSI!$G$33/HSI!$B$3,""))</f>
        <v/>
      </c>
      <c r="DO38" s="106">
        <f>IF(BA38="","",IFERROR(BA38*HSI!$B$33*HSI!$G$33/HSI!$B$3,""))</f>
        <v/>
      </c>
      <c r="DP38" s="106">
        <f>IF(BB38="","",IFERROR(BB38*HSI!$B$33*HSI!$G$33/HSI!$B$3,""))</f>
        <v/>
      </c>
      <c r="DQ38" s="106">
        <f>IF(BC38="","",IFERROR(BC38*HSI!$B$33*HSI!$G$33/HSI!$B$3,""))</f>
        <v/>
      </c>
      <c r="DR38" s="106">
        <f>IF(BD38="","",IFERROR(BD38*HSI!$B$33*HSI!$G$33/HSI!$B$3,""))</f>
        <v/>
      </c>
      <c r="DS38" s="106">
        <f>IF(BE38="","",IFERROR(BE38*HSI!$B$33*HSI!$G$33/HSI!$B$3,""))</f>
        <v/>
      </c>
      <c r="DT38" s="106">
        <f>IF(BF38="","",IFERROR(BF38*HSI!$B$33*HSI!$G$33/HSI!$B$3,""))</f>
        <v/>
      </c>
      <c r="DU38" s="106">
        <f>IF(BG38="","",IFERROR(BG38*HSI!$B$33*HSI!$G$33/HSI!$B$3,""))</f>
        <v/>
      </c>
      <c r="DV38" s="106">
        <f>IF(BH38="","",IFERROR(BH38*HSI!$B$33*HSI!$G$33/HSI!$B$3,""))</f>
        <v/>
      </c>
      <c r="DW38" s="106">
        <f>IF(BI38="","",IFERROR(BI38*HSI!$B$33*HSI!$G$33/HSI!$B$3,""))</f>
        <v/>
      </c>
      <c r="DX38" s="106">
        <f>IF(BJ38="","",IFERROR(BJ38*HSI!$B$33*HSI!$G$33/HSI!$B$3,""))</f>
        <v/>
      </c>
      <c r="DY38" s="106">
        <f>IF(BK38="","",IFERROR(BK38*HSI!$B$33*HSI!$G$33/HSI!$B$3,""))</f>
        <v/>
      </c>
      <c r="DZ38" s="106">
        <f>IF(BL38="","",IFERROR(BL38*HSI!$B$33*HSI!$G$33/HSI!$B$3,""))</f>
        <v/>
      </c>
      <c r="EA38" s="106">
        <f>IF(BM38="","",IFERROR(BM38*HSI!$B$33*HSI!$G$33/HSI!$B$3,""))</f>
        <v/>
      </c>
      <c r="EB38" s="106">
        <f>IF(BN38="","",IFERROR(BN38*HSI!$B$33*HSI!$G$33/HSI!$B$3,""))</f>
        <v/>
      </c>
      <c r="EC38" s="106">
        <f>IF(BO38="","",IFERROR(BO38*HSI!$B$33*HSI!$G$33/HSI!$B$3,""))</f>
        <v/>
      </c>
      <c r="EE38" s="35">
        <f>IF(N('Dvd Calendar'!$E$297)=0,"",IF(('Dvd Calendar'!$E$297&gt;=GRID_FROM)*('Dvd Calendar'!$E$297&lt;=GRID_TO)*('Dvd Calendar'!$E$297&lt;=VAL_DATE)=0,"",'Dvd Calendar'!$E$297*1000000000+ISNUMBER('Dvd Calendar'!$E$300)*100000000+('Dvd Calendar'!$E$302=SPECIAL_LBL)*10000000+0*1000000+27*1000+1))</f>
        <v/>
      </c>
      <c r="EF38" s="35">
        <f>IF(N('Dvd Calendar'!$F$297)=0,"",IF(('Dvd Calendar'!$F$297&gt;=GRID_FROM)*('Dvd Calendar'!$F$297&lt;=GRID_TO)*('Dvd Calendar'!$F$297&lt;=VAL_DATE)=0,"",'Dvd Calendar'!$F$297*1000000000+ISNUMBER('Dvd Calendar'!$F$300)*100000000+('Dvd Calendar'!$F$302=SPECIAL_LBL)*10000000+0*1000000+27*1000+2))</f>
        <v/>
      </c>
      <c r="EG38" s="35">
        <f>IF(N('Dvd Calendar'!$G$297)=0,"",IF(('Dvd Calendar'!$G$297&gt;=GRID_FROM)*('Dvd Calendar'!$G$297&lt;=GRID_TO)*('Dvd Calendar'!$G$297&lt;=VAL_DATE)=0,"",'Dvd Calendar'!$G$297*1000000000+ISNUMBER('Dvd Calendar'!$G$300)*100000000+('Dvd Calendar'!$G$302=SPECIAL_LBL)*10000000+0*1000000+27*1000+3))</f>
        <v/>
      </c>
      <c r="EH38" s="35">
        <f>IF(N('Dvd Calendar'!$H$297)=0,"",IF(('Dvd Calendar'!$H$297&gt;=GRID_FROM)*('Dvd Calendar'!$H$297&lt;=GRID_TO)*('Dvd Calendar'!$H$297&lt;=VAL_DATE)=0,"",'Dvd Calendar'!$H$297*1000000000+ISNUMBER('Dvd Calendar'!$H$300)*100000000+('Dvd Calendar'!$H$302=SPECIAL_LBL)*10000000+0*1000000+27*1000+4))</f>
        <v/>
      </c>
      <c r="EI38" s="35">
        <f>IF(N('Dvd Calendar'!$I$297)=0,"",IF(('Dvd Calendar'!$I$297&gt;=GRID_FROM)*('Dvd Calendar'!$I$297&lt;=GRID_TO)*('Dvd Calendar'!$I$297&lt;=VAL_DATE)=0,"",'Dvd Calendar'!$I$297*1000000000+ISNUMBER('Dvd Calendar'!$I$300)*100000000+('Dvd Calendar'!$I$302=SPECIAL_LBL)*10000000+0*1000000+27*1000+5))</f>
        <v/>
      </c>
      <c r="EJ38" s="35">
        <f>IF(N('Dvd Calendar'!$J$297)=0,"",IF(('Dvd Calendar'!$J$297&gt;=GRID_FROM)*('Dvd Calendar'!$J$297&lt;=GRID_TO)*('Dvd Calendar'!$J$297&lt;=VAL_DATE)=0,"",'Dvd Calendar'!$J$297*1000000000+ISNUMBER('Dvd Calendar'!$J$300)*100000000+('Dvd Calendar'!$J$302=SPECIAL_LBL)*10000000+0*1000000+27*1000+6))</f>
        <v/>
      </c>
      <c r="EK38" s="35">
        <f>IF(N('Dvd Calendar'!$K$297)=0,"",IF(('Dvd Calendar'!$K$297&gt;=GRID_FROM)*('Dvd Calendar'!$K$297&lt;=GRID_TO)*('Dvd Calendar'!$K$297&lt;=VAL_DATE)=0,"",'Dvd Calendar'!$K$297*1000000000+ISNUMBER('Dvd Calendar'!$K$300)*100000000+('Dvd Calendar'!$K$302=SPECIAL_LBL)*10000000+0*1000000+27*1000+7))</f>
        <v/>
      </c>
      <c r="EL38" s="35">
        <f>IF(N('Dvd Calendar'!$L$297)=0,"",IF(('Dvd Calendar'!$L$297&gt;=GRID_FROM)*('Dvd Calendar'!$L$297&lt;=GRID_TO)*('Dvd Calendar'!$L$297&lt;=VAL_DATE)=0,"",'Dvd Calendar'!$L$297*1000000000+ISNUMBER('Dvd Calendar'!$L$300)*100000000+('Dvd Calendar'!$L$302=SPECIAL_LBL)*10000000+0*1000000+27*1000+8))</f>
        <v/>
      </c>
      <c r="EM38" s="35">
        <f>IF(N('Dvd Calendar'!$M$297)=0,"",IF(('Dvd Calendar'!$M$297&gt;=GRID_FROM)*('Dvd Calendar'!$M$297&lt;=GRID_TO)*('Dvd Calendar'!$M$297&lt;=VAL_DATE)=0,"",'Dvd Calendar'!$M$297*1000000000+ISNUMBER('Dvd Calendar'!$M$300)*100000000+('Dvd Calendar'!$M$302=SPECIAL_LBL)*10000000+0*1000000+27*1000+9))</f>
        <v/>
      </c>
      <c r="EN38" s="35">
        <f>IF(N('Dvd Calendar'!$N$297)=0,"",IF(('Dvd Calendar'!$N$297&gt;=GRID_FROM)*('Dvd Calendar'!$N$297&lt;=GRID_TO)*('Dvd Calendar'!$N$297&lt;=VAL_DATE)=0,"",'Dvd Calendar'!$N$297*1000000000+ISNUMBER('Dvd Calendar'!$N$300)*100000000+('Dvd Calendar'!$N$302=SPECIAL_LBL)*10000000+0*1000000+27*1000+10))</f>
        <v/>
      </c>
      <c r="EO38" s="35">
        <f>IF(N('Dvd Calendar'!$O$297)=0,"",IF(('Dvd Calendar'!$O$297&gt;=GRID_FROM)*('Dvd Calendar'!$O$297&lt;=GRID_TO)*('Dvd Calendar'!$O$297&lt;=VAL_DATE)=0,"",'Dvd Calendar'!$O$297*1000000000+ISNUMBER('Dvd Calendar'!$O$300)*100000000+('Dvd Calendar'!$O$302=SPECIAL_LBL)*10000000+0*1000000+27*1000+11))</f>
        <v/>
      </c>
      <c r="EP38" s="35">
        <f>IF(N('Dvd Calendar'!$P$297)=0,"",IF(('Dvd Calendar'!$P$297&gt;=GRID_FROM)*('Dvd Calendar'!$P$297&lt;=GRID_TO)*('Dvd Calendar'!$P$297&lt;=VAL_DATE)=0,"",'Dvd Calendar'!$P$297*1000000000+ISNUMBER('Dvd Calendar'!$P$300)*100000000+('Dvd Calendar'!$P$302=SPECIAL_LBL)*10000000+0*1000000+27*1000+12))</f>
        <v/>
      </c>
      <c r="EQ38" s="35">
        <f>IF(N('Dvd Calendar'!$Q$297)=0,"",IF(('Dvd Calendar'!$Q$297&gt;=GRID_FROM)*('Dvd Calendar'!$Q$297&lt;=GRID_TO)*('Dvd Calendar'!$Q$297&lt;=VAL_DATE)=0,"",'Dvd Calendar'!$Q$297*1000000000+ISNUMBER('Dvd Calendar'!$Q$300)*100000000+('Dvd Calendar'!$Q$302=SPECIAL_LBL)*10000000+0*1000000+27*1000+13))</f>
        <v/>
      </c>
      <c r="ER38" s="35">
        <f>IF(N('Dvd Calendar'!$R$297)=0,"",IF(('Dvd Calendar'!$R$297&gt;=GRID_FROM)*('Dvd Calendar'!$R$297&lt;=GRID_TO)*('Dvd Calendar'!$R$297&lt;=VAL_DATE)=0,"",'Dvd Calendar'!$R$297*1000000000+ISNUMBER('Dvd Calendar'!$R$300)*100000000+('Dvd Calendar'!$R$302=SPECIAL_LBL)*10000000+0*1000000+27*1000+14))</f>
        <v/>
      </c>
      <c r="ES38" s="35">
        <f>IF(N('Dvd Calendar'!$S$297)=0,"",IF(('Dvd Calendar'!$S$297&gt;=GRID_FROM)*('Dvd Calendar'!$S$297&lt;=GRID_TO)*('Dvd Calendar'!$S$297&lt;=VAL_DATE)=0,"",'Dvd Calendar'!$S$297*1000000000+ISNUMBER('Dvd Calendar'!$S$300)*100000000+('Dvd Calendar'!$S$302=SPECIAL_LBL)*10000000+0*1000000+27*1000+15))</f>
        <v/>
      </c>
      <c r="ET38" s="35">
        <f>IF(N('Dvd Calendar'!$T$297)=0,"",IF(('Dvd Calendar'!$T$297&gt;=GRID_FROM)*('Dvd Calendar'!$T$297&lt;=GRID_TO)*('Dvd Calendar'!$T$297&lt;=VAL_DATE)=0,"",'Dvd Calendar'!$T$297*1000000000+ISNUMBER('Dvd Calendar'!$T$300)*100000000+('Dvd Calendar'!$T$302=SPECIAL_LBL)*10000000+0*1000000+27*1000+16))</f>
        <v/>
      </c>
      <c r="EU38" s="35">
        <f>IF(N('Dvd Calendar'!$U$297)=0,"",IF(('Dvd Calendar'!$U$297&gt;=GRID_FROM)*('Dvd Calendar'!$U$297&lt;=GRID_TO)*('Dvd Calendar'!$U$297&lt;=VAL_DATE)=0,"",'Dvd Calendar'!$U$297*1000000000+ISNUMBER('Dvd Calendar'!$U$300)*100000000+('Dvd Calendar'!$U$302=SPECIAL_LBL)*10000000+0*1000000+27*1000+17))</f>
        <v/>
      </c>
      <c r="EV38" s="35">
        <f>IF(N('Dvd Calendar'!$V$297)=0,"",IF(('Dvd Calendar'!$V$297&gt;=GRID_FROM)*('Dvd Calendar'!$V$297&lt;=GRID_TO)*('Dvd Calendar'!$V$297&lt;=VAL_DATE)=0,"",'Dvd Calendar'!$V$297*1000000000+ISNUMBER('Dvd Calendar'!$V$300)*100000000+('Dvd Calendar'!$V$302=SPECIAL_LBL)*10000000+0*1000000+27*1000+18))</f>
        <v/>
      </c>
      <c r="EW38" s="35">
        <f>IF(N('Dvd Calendar'!$W$297)=0,"",IF(('Dvd Calendar'!$W$297&gt;=GRID_FROM)*('Dvd Calendar'!$W$297&lt;=GRID_TO)*('Dvd Calendar'!$W$297&lt;=VAL_DATE)=0,"",'Dvd Calendar'!$W$297*1000000000+ISNUMBER('Dvd Calendar'!$W$300)*100000000+('Dvd Calendar'!$W$302=SPECIAL_LBL)*10000000+0*1000000+27*1000+19))</f>
        <v/>
      </c>
      <c r="EX38" s="35">
        <f>IF(N('Dvd Calendar'!$X$297)=0,"",IF(('Dvd Calendar'!$X$297&gt;=GRID_FROM)*('Dvd Calendar'!$X$297&lt;=GRID_TO)*('Dvd Calendar'!$X$297&lt;=VAL_DATE)=0,"",'Dvd Calendar'!$X$297*1000000000+ISNUMBER('Dvd Calendar'!$X$300)*100000000+('Dvd Calendar'!$X$302=SPECIAL_LBL)*10000000+0*1000000+27*1000+20))</f>
        <v/>
      </c>
      <c r="EY38" s="35">
        <f>IF(N('Dvd Calendar'!$Y$297)=0,"",IF(('Dvd Calendar'!$Y$297&gt;=GRID_FROM)*('Dvd Calendar'!$Y$297&lt;=GRID_TO)*('Dvd Calendar'!$Y$297&lt;=VAL_DATE)=0,"",'Dvd Calendar'!$Y$297*1000000000+ISNUMBER('Dvd Calendar'!$Y$300)*100000000+('Dvd Calendar'!$Y$302=SPECIAL_LBL)*10000000+0*1000000+27*1000+21))</f>
        <v/>
      </c>
      <c r="EZ38" s="35">
        <f>IF(N('Dvd Calendar'!$Z$297)=0,"",IF(('Dvd Calendar'!$Z$297&gt;=GRID_FROM)*('Dvd Calendar'!$Z$297&lt;=GRID_TO)*('Dvd Calendar'!$Z$297&lt;=VAL_DATE)=0,"",'Dvd Calendar'!$Z$297*1000000000+ISNUMBER('Dvd Calendar'!$Z$300)*100000000+('Dvd Calendar'!$Z$302=SPECIAL_LBL)*10000000+0*1000000+27*1000+22))</f>
        <v/>
      </c>
      <c r="FA38" s="35">
        <f>IF(N('Dvd Calendar'!$AA$297)=0,"",IF(('Dvd Calendar'!$AA$297&gt;=GRID_FROM)*('Dvd Calendar'!$AA$297&lt;=GRID_TO)*('Dvd Calendar'!$AA$297&lt;=VAL_DATE)=0,"",'Dvd Calendar'!$AA$297*1000000000+ISNUMBER('Dvd Calendar'!$AA$300)*100000000+('Dvd Calendar'!$AA$302=SPECIAL_LBL)*10000000+0*1000000+27*1000+23))</f>
        <v/>
      </c>
      <c r="FB38" s="35">
        <f>IF(N('Dvd Calendar'!$AB$297)=0,"",IF(('Dvd Calendar'!$AB$297&gt;=GRID_FROM)*('Dvd Calendar'!$AB$297&lt;=GRID_TO)*('Dvd Calendar'!$AB$297&lt;=VAL_DATE)=0,"",'Dvd Calendar'!$AB$297*1000000000+ISNUMBER('Dvd Calendar'!$AB$300)*100000000+('Dvd Calendar'!$AB$302=SPECIAL_LBL)*10000000+0*1000000+27*1000+24))</f>
        <v/>
      </c>
      <c r="FC38" s="35">
        <f>IF(N('Dvd Calendar'!$AC$297)=0,"",IF(('Dvd Calendar'!$AC$297&gt;=GRID_FROM)*('Dvd Calendar'!$AC$297&lt;=GRID_TO)*('Dvd Calendar'!$AC$297&lt;=VAL_DATE)=0,"",'Dvd Calendar'!$AC$297*1000000000+ISNUMBER('Dvd Calendar'!$AC$300)*100000000+('Dvd Calendar'!$AC$302=SPECIAL_LBL)*10000000+0*1000000+27*1000+25))</f>
        <v/>
      </c>
      <c r="FD38" s="35">
        <f>IF(N('Dvd Calendar'!$AD$297)=0,"",IF(('Dvd Calendar'!$AD$297&gt;=GRID_FROM)*('Dvd Calendar'!$AD$297&lt;=GRID_TO)*('Dvd Calendar'!$AD$297&lt;=VAL_DATE)=0,"",'Dvd Calendar'!$AD$297*1000000000+ISNUMBER('Dvd Calendar'!$AD$300)*100000000+('Dvd Calendar'!$AD$302=SPECIAL_LBL)*10000000+0*1000000+27*1000+26))</f>
        <v/>
      </c>
      <c r="FE38" s="35">
        <f>IF(N('Dvd Calendar'!$AE$297)=0,"",IF(('Dvd Calendar'!$AE$297&gt;=GRID_FROM)*('Dvd Calendar'!$AE$297&lt;=GRID_TO)*('Dvd Calendar'!$AE$297&lt;=VAL_DATE)=0,"",'Dvd Calendar'!$AE$297*1000000000+ISNUMBER('Dvd Calendar'!$AE$300)*100000000+('Dvd Calendar'!$AE$302=SPECIAL_LBL)*10000000+0*1000000+27*1000+27))</f>
        <v/>
      </c>
      <c r="FF38" s="35">
        <f>IF(N('Dvd Calendar'!$AF$297)=0,"",IF(('Dvd Calendar'!$AF$297&gt;=GRID_FROM)*('Dvd Calendar'!$AF$297&lt;=GRID_TO)*('Dvd Calendar'!$AF$297&lt;=VAL_DATE)=0,"",'Dvd Calendar'!$AF$297*1000000000+ISNUMBER('Dvd Calendar'!$AF$300)*100000000+('Dvd Calendar'!$AF$302=SPECIAL_LBL)*10000000+0*1000000+27*1000+28))</f>
        <v/>
      </c>
      <c r="FG38" s="35">
        <f>IF(N('Dvd Calendar'!$AG$297)=0,"",IF(('Dvd Calendar'!$AG$297&gt;=GRID_FROM)*('Dvd Calendar'!$AG$297&lt;=GRID_TO)*('Dvd Calendar'!$AG$297&lt;=VAL_DATE)=0,"",'Dvd Calendar'!$AG$297*1000000000+ISNUMBER('Dvd Calendar'!$AG$300)*100000000+('Dvd Calendar'!$AG$302=SPECIAL_LBL)*10000000+0*1000000+27*1000+29))</f>
        <v/>
      </c>
      <c r="FH38" s="35">
        <f>IF(N('Dvd Calendar'!$AH$297)=0,"",IF(('Dvd Calendar'!$AH$297&gt;=GRID_FROM)*('Dvd Calendar'!$AH$297&lt;=GRID_TO)*('Dvd Calendar'!$AH$297&lt;=VAL_DATE)=0,"",'Dvd Calendar'!$AH$297*1000000000+ISNUMBER('Dvd Calendar'!$AH$300)*100000000+('Dvd Calendar'!$AH$302=SPECIAL_LBL)*10000000+0*1000000+27*1000+30))</f>
        <v/>
      </c>
      <c r="FI38" s="35">
        <f>IF(N('Dvd Calendar'!$AI$297)=0,"",IF(('Dvd Calendar'!$AI$297&gt;=GRID_FROM)*('Dvd Calendar'!$AI$297&lt;=GRID_TO)*('Dvd Calendar'!$AI$297&lt;=VAL_DATE)=0,"",'Dvd Calendar'!$AI$297*1000000000+ISNUMBER('Dvd Calendar'!$AI$300)*100000000+('Dvd Calendar'!$AI$302=SPECIAL_LBL)*10000000+0*1000000+27*1000+31))</f>
        <v/>
      </c>
      <c r="FJ38" s="35">
        <f>IF(N('Dvd Calendar'!$AJ$297)=0,"",IF(('Dvd Calendar'!$AJ$297&gt;=GRID_FROM)*('Dvd Calendar'!$AJ$297&lt;=GRID_TO)*('Dvd Calendar'!$AJ$297&lt;=VAL_DATE)=0,"",'Dvd Calendar'!$AJ$297*1000000000+ISNUMBER('Dvd Calendar'!$AJ$300)*100000000+('Dvd Calendar'!$AJ$302=SPECIAL_LBL)*10000000+0*1000000+27*1000+32))</f>
        <v/>
      </c>
      <c r="FK38" s="35">
        <f>IF(N('Dvd Calendar'!$AK$297)=0,"",IF(('Dvd Calendar'!$AK$297&gt;=GRID_FROM)*('Dvd Calendar'!$AK$297&lt;=GRID_TO)*('Dvd Calendar'!$AK$297&lt;=VAL_DATE)=0,"",'Dvd Calendar'!$AK$297*1000000000+ISNUMBER('Dvd Calendar'!$AK$300)*100000000+('Dvd Calendar'!$AK$302=SPECIAL_LBL)*10000000+0*1000000+27*1000+33))</f>
        <v/>
      </c>
      <c r="FL38" s="35">
        <f>IF(N('Dvd Calendar'!$AL$297)=0,"",IF(('Dvd Calendar'!$AL$297&gt;=GRID_FROM)*('Dvd Calendar'!$AL$297&lt;=GRID_TO)*('Dvd Calendar'!$AL$297&lt;=VAL_DATE)=0,"",'Dvd Calendar'!$AL$297*1000000000+ISNUMBER('Dvd Calendar'!$AL$300)*100000000+('Dvd Calendar'!$AL$302=SPECIAL_LBL)*10000000+0*1000000+27*1000+34))</f>
        <v/>
      </c>
      <c r="FM38" s="35">
        <f>IF(N('Dvd Calendar'!$AM$297)=0,"",IF(('Dvd Calendar'!$AM$297&gt;=GRID_FROM)*('Dvd Calendar'!$AM$297&lt;=GRID_TO)*('Dvd Calendar'!$AM$297&lt;=VAL_DATE)=0,"",'Dvd Calendar'!$AM$297*1000000000+ISNUMBER('Dvd Calendar'!$AM$300)*100000000+('Dvd Calendar'!$AM$302=SPECIAL_LBL)*10000000+0*1000000+27*1000+35))</f>
        <v/>
      </c>
      <c r="FN38" s="35">
        <f>IF(N('Dvd Calendar'!$AN$297)=0,"",IF(('Dvd Calendar'!$AN$297&gt;=GRID_FROM)*('Dvd Calendar'!$AN$297&lt;=GRID_TO)*('Dvd Calendar'!$AN$297&lt;=VAL_DATE)=0,"",'Dvd Calendar'!$AN$297*1000000000+ISNUMBER('Dvd Calendar'!$AN$300)*100000000+('Dvd Calendar'!$AN$302=SPECIAL_LBL)*10000000+0*1000000+27*1000+36))</f>
        <v/>
      </c>
      <c r="FO38" s="35">
        <f>IF(N('Dvd Calendar'!$AO$297)=0,"",IF(('Dvd Calendar'!$AO$297&gt;=GRID_FROM)*('Dvd Calendar'!$AO$297&lt;=GRID_TO)*('Dvd Calendar'!$AO$297&lt;=VAL_DATE)=0,"",'Dvd Calendar'!$AO$297*1000000000+ISNUMBER('Dvd Calendar'!$AO$300)*100000000+('Dvd Calendar'!$AO$302=SPECIAL_LBL)*10000000+0*1000000+27*1000+37))</f>
        <v/>
      </c>
      <c r="FP38" s="35">
        <f>IF(N('Dvd Calendar'!$AP$297)=0,"",IF(('Dvd Calendar'!$AP$297&gt;=GRID_FROM)*('Dvd Calendar'!$AP$297&lt;=GRID_TO)*('Dvd Calendar'!$AP$297&lt;=VAL_DATE)=0,"",'Dvd Calendar'!$AP$297*1000000000+ISNUMBER('Dvd Calendar'!$AP$300)*100000000+('Dvd Calendar'!$AP$302=SPECIAL_LBL)*10000000+0*1000000+27*1000+38))</f>
        <v/>
      </c>
      <c r="FQ38" s="35">
        <f>IF(N('Dvd Calendar'!$AQ$297)=0,"",IF(('Dvd Calendar'!$AQ$297&gt;=GRID_FROM)*('Dvd Calendar'!$AQ$297&lt;=GRID_TO)*('Dvd Calendar'!$AQ$297&lt;=VAL_DATE)=0,"",'Dvd Calendar'!$AQ$297*1000000000+ISNUMBER('Dvd Calendar'!$AQ$300)*100000000+('Dvd Calendar'!$AQ$302=SPECIAL_LBL)*10000000+0*1000000+27*1000+39))</f>
        <v/>
      </c>
      <c r="FR38" s="35">
        <f>IF(N('Dvd Calendar'!$AR$297)=0,"",IF(('Dvd Calendar'!$AR$297&gt;=GRID_FROM)*('Dvd Calendar'!$AR$297&lt;=GRID_TO)*('Dvd Calendar'!$AR$297&lt;=VAL_DATE)=0,"",'Dvd Calendar'!$AR$297*1000000000+ISNUMBER('Dvd Calendar'!$AR$300)*100000000+('Dvd Calendar'!$AR$302=SPECIAL_LBL)*10000000+0*1000000+27*1000+40))</f>
        <v/>
      </c>
      <c r="FS38" s="35">
        <f>IF(N('Dvd Calendar'!$E$304)=0,"",IF(('Dvd Calendar'!$E$304&gt;=GRID_FROM)*('Dvd Calendar'!$E$304&lt;=GRID_TO)*('Dvd Calendar'!$E$304&gt;VAL_DATE)=0,"",'Dvd Calendar'!$E$304*1000000000+ISNUMBER('Dvd Calendar'!$E$305)*100000000+0*10000000+(N('Dvd Calendar'!$E$303)&gt;0)*(N('Dvd Calendar'!$E$303)&lt;=VAL_SERIAL)*1000000+27*1000+41))</f>
        <v/>
      </c>
      <c r="FT38" s="35">
        <f>IF(N('Dvd Calendar'!$F$304)=0,"",IF(('Dvd Calendar'!$F$304&gt;=GRID_FROM)*('Dvd Calendar'!$F$304&lt;=GRID_TO)*('Dvd Calendar'!$F$304&gt;VAL_DATE)=0,"",'Dvd Calendar'!$F$304*1000000000+ISNUMBER('Dvd Calendar'!$F$305)*100000000+0*10000000+(N('Dvd Calendar'!$F$303)&gt;0)*(N('Dvd Calendar'!$F$303)&lt;=VAL_SERIAL)*1000000+27*1000+42))</f>
        <v/>
      </c>
      <c r="FU38" s="35">
        <f>IF(N('Dvd Calendar'!$G$304)=0,"",IF(('Dvd Calendar'!$G$304&gt;=GRID_FROM)*('Dvd Calendar'!$G$304&lt;=GRID_TO)*('Dvd Calendar'!$G$304&gt;VAL_DATE)=0,"",'Dvd Calendar'!$G$304*1000000000+ISNUMBER('Dvd Calendar'!$G$305)*100000000+0*10000000+(N('Dvd Calendar'!$G$303)&gt;0)*(N('Dvd Calendar'!$G$303)&lt;=VAL_SERIAL)*1000000+27*1000+43))</f>
        <v/>
      </c>
      <c r="FV38" s="35">
        <f>IF(N('Dvd Calendar'!$H$304)=0,"",IF(('Dvd Calendar'!$H$304&gt;=GRID_FROM)*('Dvd Calendar'!$H$304&lt;=GRID_TO)*('Dvd Calendar'!$H$304&gt;VAL_DATE)=0,"",'Dvd Calendar'!$H$304*1000000000+ISNUMBER('Dvd Calendar'!$H$305)*100000000+0*10000000+(N('Dvd Calendar'!$H$303)&gt;0)*(N('Dvd Calendar'!$H$303)&lt;=VAL_SERIAL)*1000000+27*1000+44))</f>
        <v/>
      </c>
      <c r="FW38" s="35">
        <f>IF(N('Dvd Calendar'!$I$304)=0,"",IF(('Dvd Calendar'!$I$304&gt;=GRID_FROM)*('Dvd Calendar'!$I$304&lt;=GRID_TO)*('Dvd Calendar'!$I$304&gt;VAL_DATE)=0,"",'Dvd Calendar'!$I$304*1000000000+ISNUMBER('Dvd Calendar'!$I$305)*100000000+0*10000000+(N('Dvd Calendar'!$I$303)&gt;0)*(N('Dvd Calendar'!$I$303)&lt;=VAL_SERIAL)*1000000+27*1000+45))</f>
        <v/>
      </c>
      <c r="FX38" s="35">
        <f>IF(N('Dvd Calendar'!$J$304)=0,"",IF(('Dvd Calendar'!$J$304&gt;=GRID_FROM)*('Dvd Calendar'!$J$304&lt;=GRID_TO)*('Dvd Calendar'!$J$304&gt;VAL_DATE)=0,"",'Dvd Calendar'!$J$304*1000000000+ISNUMBER('Dvd Calendar'!$J$305)*100000000+0*10000000+(N('Dvd Calendar'!$J$303)&gt;0)*(N('Dvd Calendar'!$J$303)&lt;=VAL_SERIAL)*1000000+27*1000+46))</f>
        <v/>
      </c>
      <c r="FY38" s="35">
        <f>IF(N('Dvd Calendar'!$K$304)=0,"",IF(('Dvd Calendar'!$K$304&gt;=GRID_FROM)*('Dvd Calendar'!$K$304&lt;=GRID_TO)*('Dvd Calendar'!$K$304&gt;VAL_DATE)=0,"",'Dvd Calendar'!$K$304*1000000000+ISNUMBER('Dvd Calendar'!$K$305)*100000000+0*10000000+(N('Dvd Calendar'!$K$303)&gt;0)*(N('Dvd Calendar'!$K$303)&lt;=VAL_SERIAL)*1000000+27*1000+47))</f>
        <v/>
      </c>
      <c r="FZ38" s="35">
        <f>IF(N('Dvd Calendar'!$L$304)=0,"",IF(('Dvd Calendar'!$L$304&gt;=GRID_FROM)*('Dvd Calendar'!$L$304&lt;=GRID_TO)*('Dvd Calendar'!$L$304&gt;VAL_DATE)=0,"",'Dvd Calendar'!$L$304*1000000000+ISNUMBER('Dvd Calendar'!$L$305)*100000000+0*10000000+(N('Dvd Calendar'!$L$303)&gt;0)*(N('Dvd Calendar'!$L$303)&lt;=VAL_SERIAL)*1000000+27*1000+48))</f>
        <v/>
      </c>
      <c r="GA38" s="35">
        <f>IF(N('Dvd Calendar'!$M$304)=0,"",IF(('Dvd Calendar'!$M$304&gt;=GRID_FROM)*('Dvd Calendar'!$M$304&lt;=GRID_TO)*('Dvd Calendar'!$M$304&gt;VAL_DATE)=0,"",'Dvd Calendar'!$M$304*1000000000+ISNUMBER('Dvd Calendar'!$M$305)*100000000+0*10000000+(N('Dvd Calendar'!$M$303)&gt;0)*(N('Dvd Calendar'!$M$303)&lt;=VAL_SERIAL)*1000000+27*1000+49))</f>
        <v/>
      </c>
      <c r="GB38" s="35">
        <f>IF(N('Dvd Calendar'!$N$304)=0,"",IF(('Dvd Calendar'!$N$304&gt;=GRID_FROM)*('Dvd Calendar'!$N$304&lt;=GRID_TO)*('Dvd Calendar'!$N$304&gt;VAL_DATE)=0,"",'Dvd Calendar'!$N$304*1000000000+ISNUMBER('Dvd Calendar'!$N$305)*100000000+0*10000000+(N('Dvd Calendar'!$N$303)&gt;0)*(N('Dvd Calendar'!$N$303)&lt;=VAL_SERIAL)*1000000+27*1000+50))</f>
        <v/>
      </c>
      <c r="GC38" s="35">
        <f>IF(N('Dvd Calendar'!$O$304)=0,"",IF(('Dvd Calendar'!$O$304&gt;=GRID_FROM)*('Dvd Calendar'!$O$304&lt;=GRID_TO)*('Dvd Calendar'!$O$304&gt;VAL_DATE)=0,"",'Dvd Calendar'!$O$304*1000000000+ISNUMBER('Dvd Calendar'!$O$305)*100000000+0*10000000+(N('Dvd Calendar'!$O$303)&gt;0)*(N('Dvd Calendar'!$O$303)&lt;=VAL_SERIAL)*1000000+27*1000+51))</f>
        <v/>
      </c>
      <c r="GD38" s="35">
        <f>IF(N('Dvd Calendar'!$P$304)=0,"",IF(('Dvd Calendar'!$P$304&gt;=GRID_FROM)*('Dvd Calendar'!$P$304&lt;=GRID_TO)*('Dvd Calendar'!$P$304&gt;VAL_DATE)=0,"",'Dvd Calendar'!$P$304*1000000000+ISNUMBER('Dvd Calendar'!$P$305)*100000000+0*10000000+(N('Dvd Calendar'!$P$303)&gt;0)*(N('Dvd Calendar'!$P$303)&lt;=VAL_SERIAL)*1000000+27*1000+52))</f>
        <v/>
      </c>
      <c r="GE38" s="35">
        <f>IF(N('Dvd Calendar'!$Q$304)=0,"",IF(('Dvd Calendar'!$Q$304&gt;=GRID_FROM)*('Dvd Calendar'!$Q$304&lt;=GRID_TO)*('Dvd Calendar'!$Q$304&gt;VAL_DATE)=0,"",'Dvd Calendar'!$Q$304*1000000000+ISNUMBER('Dvd Calendar'!$Q$305)*100000000+0*10000000+(N('Dvd Calendar'!$Q$303)&gt;0)*(N('Dvd Calendar'!$Q$303)&lt;=VAL_SERIAL)*1000000+27*1000+53))</f>
        <v/>
      </c>
      <c r="GF38" s="35">
        <f>IF(N('Dvd Calendar'!$R$304)=0,"",IF(('Dvd Calendar'!$R$304&gt;=GRID_FROM)*('Dvd Calendar'!$R$304&lt;=GRID_TO)*('Dvd Calendar'!$R$304&gt;VAL_DATE)=0,"",'Dvd Calendar'!$R$304*1000000000+ISNUMBER('Dvd Calendar'!$R$305)*100000000+0*10000000+(N('Dvd Calendar'!$R$303)&gt;0)*(N('Dvd Calendar'!$R$303)&lt;=VAL_SERIAL)*1000000+27*1000+54))</f>
        <v/>
      </c>
      <c r="GG38" s="35">
        <f>IF(N('Dvd Calendar'!$S$304)=0,"",IF(('Dvd Calendar'!$S$304&gt;=GRID_FROM)*('Dvd Calendar'!$S$304&lt;=GRID_TO)*('Dvd Calendar'!$S$304&gt;VAL_DATE)=0,"",'Dvd Calendar'!$S$304*1000000000+ISNUMBER('Dvd Calendar'!$S$305)*100000000+0*10000000+(N('Dvd Calendar'!$S$303)&gt;0)*(N('Dvd Calendar'!$S$303)&lt;=VAL_SERIAL)*1000000+27*1000+55))</f>
        <v/>
      </c>
      <c r="GH38" s="35">
        <f>IF(N('Dvd Calendar'!$T$304)=0,"",IF(('Dvd Calendar'!$T$304&gt;=GRID_FROM)*('Dvd Calendar'!$T$304&lt;=GRID_TO)*('Dvd Calendar'!$T$304&gt;VAL_DATE)=0,"",'Dvd Calendar'!$T$304*1000000000+ISNUMBER('Dvd Calendar'!$T$305)*100000000+0*10000000+(N('Dvd Calendar'!$T$303)&gt;0)*(N('Dvd Calendar'!$T$303)&lt;=VAL_SERIAL)*1000000+27*1000+56))</f>
        <v/>
      </c>
      <c r="GI38" s="35">
        <f>IF(N('Dvd Calendar'!$U$304)=0,"",IF(('Dvd Calendar'!$U$304&gt;=GRID_FROM)*('Dvd Calendar'!$U$304&lt;=GRID_TO)*('Dvd Calendar'!$U$304&gt;VAL_DATE)=0,"",'Dvd Calendar'!$U$304*1000000000+ISNUMBER('Dvd Calendar'!$U$305)*100000000+0*10000000+(N('Dvd Calendar'!$U$303)&gt;0)*(N('Dvd Calendar'!$U$303)&lt;=VAL_SERIAL)*1000000+27*1000+57))</f>
        <v/>
      </c>
      <c r="GJ38" s="35">
        <f>IF(N('Dvd Calendar'!$V$304)=0,"",IF(('Dvd Calendar'!$V$304&gt;=GRID_FROM)*('Dvd Calendar'!$V$304&lt;=GRID_TO)*('Dvd Calendar'!$V$304&gt;VAL_DATE)=0,"",'Dvd Calendar'!$V$304*1000000000+ISNUMBER('Dvd Calendar'!$V$305)*100000000+0*10000000+(N('Dvd Calendar'!$V$303)&gt;0)*(N('Dvd Calendar'!$V$303)&lt;=VAL_SERIAL)*1000000+27*1000+58))</f>
        <v/>
      </c>
      <c r="GK38" s="35">
        <f>IF(N('Dvd Calendar'!$W$304)=0,"",IF(('Dvd Calendar'!$W$304&gt;=GRID_FROM)*('Dvd Calendar'!$W$304&lt;=GRID_TO)*('Dvd Calendar'!$W$304&gt;VAL_DATE)=0,"",'Dvd Calendar'!$W$304*1000000000+ISNUMBER('Dvd Calendar'!$W$305)*100000000+0*10000000+(N('Dvd Calendar'!$W$303)&gt;0)*(N('Dvd Calendar'!$W$303)&lt;=VAL_SERIAL)*1000000+27*1000+59))</f>
        <v/>
      </c>
      <c r="GL38" s="35">
        <f>IF(N('Dvd Calendar'!$X$304)=0,"",IF(('Dvd Calendar'!$X$304&gt;=GRID_FROM)*('Dvd Calendar'!$X$304&lt;=GRID_TO)*('Dvd Calendar'!$X$304&gt;VAL_DATE)=0,"",'Dvd Calendar'!$X$304*1000000000+ISNUMBER('Dvd Calendar'!$X$305)*100000000+0*10000000+(N('Dvd Calendar'!$X$303)&gt;0)*(N('Dvd Calendar'!$X$303)&lt;=VAL_SERIAL)*1000000+27*1000+60))</f>
        <v/>
      </c>
      <c r="GM38" s="35">
        <f>IF(N('Dvd Calendar'!$Y$304)=0,"",IF(('Dvd Calendar'!$Y$304&gt;=GRID_FROM)*('Dvd Calendar'!$Y$304&lt;=GRID_TO)*('Dvd Calendar'!$Y$304&gt;VAL_DATE)=0,"",'Dvd Calendar'!$Y$304*1000000000+ISNUMBER('Dvd Calendar'!$Y$305)*100000000+0*10000000+(N('Dvd Calendar'!$Y$303)&gt;0)*(N('Dvd Calendar'!$Y$303)&lt;=VAL_SERIAL)*1000000+27*1000+61))</f>
        <v/>
      </c>
      <c r="GN38" s="35">
        <f>IF(N('Dvd Calendar'!$Z$304)=0,"",IF(('Dvd Calendar'!$Z$304&gt;=GRID_FROM)*('Dvd Calendar'!$Z$304&lt;=GRID_TO)*('Dvd Calendar'!$Z$304&gt;VAL_DATE)=0,"",'Dvd Calendar'!$Z$304*1000000000+ISNUMBER('Dvd Calendar'!$Z$305)*100000000+0*10000000+(N('Dvd Calendar'!$Z$303)&gt;0)*(N('Dvd Calendar'!$Z$303)&lt;=VAL_SERIAL)*1000000+27*1000+62))</f>
        <v/>
      </c>
      <c r="GO38" s="35">
        <f>IF(N('Dvd Calendar'!$AA$304)=0,"",IF(('Dvd Calendar'!$AA$304&gt;=GRID_FROM)*('Dvd Calendar'!$AA$304&lt;=GRID_TO)*('Dvd Calendar'!$AA$304&gt;VAL_DATE)=0,"",'Dvd Calendar'!$AA$304*1000000000+ISNUMBER('Dvd Calendar'!$AA$305)*100000000+0*10000000+(N('Dvd Calendar'!$AA$303)&gt;0)*(N('Dvd Calendar'!$AA$303)&lt;=VAL_SERIAL)*1000000+27*1000+63))</f>
        <v/>
      </c>
      <c r="GP38" s="35">
        <f>IF(N('Dvd Calendar'!$AB$304)=0,"",IF(('Dvd Calendar'!$AB$304&gt;=GRID_FROM)*('Dvd Calendar'!$AB$304&lt;=GRID_TO)*('Dvd Calendar'!$AB$304&gt;VAL_DATE)=0,"",'Dvd Calendar'!$AB$304*1000000000+ISNUMBER('Dvd Calendar'!$AB$305)*100000000+0*10000000+(N('Dvd Calendar'!$AB$303)&gt;0)*(N('Dvd Calendar'!$AB$303)&lt;=VAL_SERIAL)*1000000+27*1000+64))</f>
        <v/>
      </c>
      <c r="GQ38" s="35">
        <f>IF(N('Dvd Calendar'!$AC$304)=0,"",IF(('Dvd Calendar'!$AC$304&gt;=GRID_FROM)*('Dvd Calendar'!$AC$304&lt;=GRID_TO)*('Dvd Calendar'!$AC$304&gt;VAL_DATE)=0,"",'Dvd Calendar'!$AC$304*1000000000+ISNUMBER('Dvd Calendar'!$AC$305)*100000000+0*10000000+(N('Dvd Calendar'!$AC$303)&gt;0)*(N('Dvd Calendar'!$AC$303)&lt;=VAL_SERIAL)*1000000+27*1000+65))</f>
        <v/>
      </c>
    </row>
    <row r="39">
      <c r="B39" s="2">
        <f>IF(HSI!$C$34="","",HSI!$C$34)</f>
        <v/>
      </c>
      <c r="C39" s="106">
        <f>IF(EE39="","",IF(ISNUMBER('Dvd Calendar'!$E$311)=FALSE,"",IF((('Dvd Calendar'!$E$313=TYPE1)*(TYPE1&lt;&gt;"")+('Dvd Calendar'!$E$313=TYPE2)*(TYPE2&lt;&gt;"")+('Dvd Calendar'!$E$313=TYPE3)*(TYPE3&lt;&gt;"")+('Dvd Calendar'!$E$313=TYPE4)*(TYPE4&lt;&gt;"")+('Dvd Calendar'!$E$313=SPECIAL_LBL)*(INC_SPECIALS="Y"))=0,"",'Dvd Calendar'!$E$311)))</f>
        <v/>
      </c>
      <c r="D39" s="106">
        <f>IF(EF39="","",IF(ISNUMBER('Dvd Calendar'!$F$311)=FALSE,"",IF((('Dvd Calendar'!$F$313=TYPE1)*(TYPE1&lt;&gt;"")+('Dvd Calendar'!$F$313=TYPE2)*(TYPE2&lt;&gt;"")+('Dvd Calendar'!$F$313=TYPE3)*(TYPE3&lt;&gt;"")+('Dvd Calendar'!$F$313=TYPE4)*(TYPE4&lt;&gt;"")+('Dvd Calendar'!$F$313=SPECIAL_LBL)*(INC_SPECIALS="Y"))=0,"",'Dvd Calendar'!$F$311)))</f>
        <v/>
      </c>
      <c r="E39" s="106">
        <f>IF(EG39="","",IF(ISNUMBER('Dvd Calendar'!$G$311)=FALSE,"",IF((('Dvd Calendar'!$G$313=TYPE1)*(TYPE1&lt;&gt;"")+('Dvd Calendar'!$G$313=TYPE2)*(TYPE2&lt;&gt;"")+('Dvd Calendar'!$G$313=TYPE3)*(TYPE3&lt;&gt;"")+('Dvd Calendar'!$G$313=TYPE4)*(TYPE4&lt;&gt;"")+('Dvd Calendar'!$G$313=SPECIAL_LBL)*(INC_SPECIALS="Y"))=0,"",'Dvd Calendar'!$G$311)))</f>
        <v/>
      </c>
      <c r="F39" s="106">
        <f>IF(EH39="","",IF(ISNUMBER('Dvd Calendar'!$H$311)=FALSE,"",IF((('Dvd Calendar'!$H$313=TYPE1)*(TYPE1&lt;&gt;"")+('Dvd Calendar'!$H$313=TYPE2)*(TYPE2&lt;&gt;"")+('Dvd Calendar'!$H$313=TYPE3)*(TYPE3&lt;&gt;"")+('Dvd Calendar'!$H$313=TYPE4)*(TYPE4&lt;&gt;"")+('Dvd Calendar'!$H$313=SPECIAL_LBL)*(INC_SPECIALS="Y"))=0,"",'Dvd Calendar'!$H$311)))</f>
        <v/>
      </c>
      <c r="G39" s="106">
        <f>IF(EI39="","",IF(ISNUMBER('Dvd Calendar'!$I$311)=FALSE,"",IF((('Dvd Calendar'!$I$313=TYPE1)*(TYPE1&lt;&gt;"")+('Dvd Calendar'!$I$313=TYPE2)*(TYPE2&lt;&gt;"")+('Dvd Calendar'!$I$313=TYPE3)*(TYPE3&lt;&gt;"")+('Dvd Calendar'!$I$313=TYPE4)*(TYPE4&lt;&gt;"")+('Dvd Calendar'!$I$313=SPECIAL_LBL)*(INC_SPECIALS="Y"))=0,"",'Dvd Calendar'!$I$311)))</f>
        <v/>
      </c>
      <c r="H39" s="106">
        <f>IF(EJ39="","",IF(ISNUMBER('Dvd Calendar'!$J$311)=FALSE,"",IF((('Dvd Calendar'!$J$313=TYPE1)*(TYPE1&lt;&gt;"")+('Dvd Calendar'!$J$313=TYPE2)*(TYPE2&lt;&gt;"")+('Dvd Calendar'!$J$313=TYPE3)*(TYPE3&lt;&gt;"")+('Dvd Calendar'!$J$313=TYPE4)*(TYPE4&lt;&gt;"")+('Dvd Calendar'!$J$313=SPECIAL_LBL)*(INC_SPECIALS="Y"))=0,"",'Dvd Calendar'!$J$311)))</f>
        <v/>
      </c>
      <c r="I39" s="106">
        <f>IF(EK39="","",IF(ISNUMBER('Dvd Calendar'!$K$311)=FALSE,"",IF((('Dvd Calendar'!$K$313=TYPE1)*(TYPE1&lt;&gt;"")+('Dvd Calendar'!$K$313=TYPE2)*(TYPE2&lt;&gt;"")+('Dvd Calendar'!$K$313=TYPE3)*(TYPE3&lt;&gt;"")+('Dvd Calendar'!$K$313=TYPE4)*(TYPE4&lt;&gt;"")+('Dvd Calendar'!$K$313=SPECIAL_LBL)*(INC_SPECIALS="Y"))=0,"",'Dvd Calendar'!$K$311)))</f>
        <v/>
      </c>
      <c r="J39" s="106">
        <f>IF(EL39="","",IF(ISNUMBER('Dvd Calendar'!$L$311)=FALSE,"",IF((('Dvd Calendar'!$L$313=TYPE1)*(TYPE1&lt;&gt;"")+('Dvd Calendar'!$L$313=TYPE2)*(TYPE2&lt;&gt;"")+('Dvd Calendar'!$L$313=TYPE3)*(TYPE3&lt;&gt;"")+('Dvd Calendar'!$L$313=TYPE4)*(TYPE4&lt;&gt;"")+('Dvd Calendar'!$L$313=SPECIAL_LBL)*(INC_SPECIALS="Y"))=0,"",'Dvd Calendar'!$L$311)))</f>
        <v/>
      </c>
      <c r="K39" s="106">
        <f>IF(EM39="","",IF(ISNUMBER('Dvd Calendar'!$M$311)=FALSE,"",IF((('Dvd Calendar'!$M$313=TYPE1)*(TYPE1&lt;&gt;"")+('Dvd Calendar'!$M$313=TYPE2)*(TYPE2&lt;&gt;"")+('Dvd Calendar'!$M$313=TYPE3)*(TYPE3&lt;&gt;"")+('Dvd Calendar'!$M$313=TYPE4)*(TYPE4&lt;&gt;"")+('Dvd Calendar'!$M$313=SPECIAL_LBL)*(INC_SPECIALS="Y"))=0,"",'Dvd Calendar'!$M$311)))</f>
        <v/>
      </c>
      <c r="L39" s="106">
        <f>IF(EN39="","",IF(ISNUMBER('Dvd Calendar'!$N$311)=FALSE,"",IF((('Dvd Calendar'!$N$313=TYPE1)*(TYPE1&lt;&gt;"")+('Dvd Calendar'!$N$313=TYPE2)*(TYPE2&lt;&gt;"")+('Dvd Calendar'!$N$313=TYPE3)*(TYPE3&lt;&gt;"")+('Dvd Calendar'!$N$313=TYPE4)*(TYPE4&lt;&gt;"")+('Dvd Calendar'!$N$313=SPECIAL_LBL)*(INC_SPECIALS="Y"))=0,"",'Dvd Calendar'!$N$311)))</f>
        <v/>
      </c>
      <c r="M39" s="106">
        <f>IF(EO39="","",IF(ISNUMBER('Dvd Calendar'!$O$311)=FALSE,"",IF((('Dvd Calendar'!$O$313=TYPE1)*(TYPE1&lt;&gt;"")+('Dvd Calendar'!$O$313=TYPE2)*(TYPE2&lt;&gt;"")+('Dvd Calendar'!$O$313=TYPE3)*(TYPE3&lt;&gt;"")+('Dvd Calendar'!$O$313=TYPE4)*(TYPE4&lt;&gt;"")+('Dvd Calendar'!$O$313=SPECIAL_LBL)*(INC_SPECIALS="Y"))=0,"",'Dvd Calendar'!$O$311)))</f>
        <v/>
      </c>
      <c r="N39" s="106">
        <f>IF(EP39="","",IF(ISNUMBER('Dvd Calendar'!$P$311)=FALSE,"",IF((('Dvd Calendar'!$P$313=TYPE1)*(TYPE1&lt;&gt;"")+('Dvd Calendar'!$P$313=TYPE2)*(TYPE2&lt;&gt;"")+('Dvd Calendar'!$P$313=TYPE3)*(TYPE3&lt;&gt;"")+('Dvd Calendar'!$P$313=TYPE4)*(TYPE4&lt;&gt;"")+('Dvd Calendar'!$P$313=SPECIAL_LBL)*(INC_SPECIALS="Y"))=0,"",'Dvd Calendar'!$P$311)))</f>
        <v/>
      </c>
      <c r="O39" s="106">
        <f>IF(EQ39="","",IF(ISNUMBER('Dvd Calendar'!$Q$311)=FALSE,"",IF((('Dvd Calendar'!$Q$313=TYPE1)*(TYPE1&lt;&gt;"")+('Dvd Calendar'!$Q$313=TYPE2)*(TYPE2&lt;&gt;"")+('Dvd Calendar'!$Q$313=TYPE3)*(TYPE3&lt;&gt;"")+('Dvd Calendar'!$Q$313=TYPE4)*(TYPE4&lt;&gt;"")+('Dvd Calendar'!$Q$313=SPECIAL_LBL)*(INC_SPECIALS="Y"))=0,"",'Dvd Calendar'!$Q$311)))</f>
        <v/>
      </c>
      <c r="P39" s="106">
        <f>IF(ER39="","",IF(ISNUMBER('Dvd Calendar'!$R$311)=FALSE,"",IF((('Dvd Calendar'!$R$313=TYPE1)*(TYPE1&lt;&gt;"")+('Dvd Calendar'!$R$313=TYPE2)*(TYPE2&lt;&gt;"")+('Dvd Calendar'!$R$313=TYPE3)*(TYPE3&lt;&gt;"")+('Dvd Calendar'!$R$313=TYPE4)*(TYPE4&lt;&gt;"")+('Dvd Calendar'!$R$313=SPECIAL_LBL)*(INC_SPECIALS="Y"))=0,"",'Dvd Calendar'!$R$311)))</f>
        <v/>
      </c>
      <c r="Q39" s="106">
        <f>IF(ES39="","",IF(ISNUMBER('Dvd Calendar'!$S$311)=FALSE,"",IF((('Dvd Calendar'!$S$313=TYPE1)*(TYPE1&lt;&gt;"")+('Dvd Calendar'!$S$313=TYPE2)*(TYPE2&lt;&gt;"")+('Dvd Calendar'!$S$313=TYPE3)*(TYPE3&lt;&gt;"")+('Dvd Calendar'!$S$313=TYPE4)*(TYPE4&lt;&gt;"")+('Dvd Calendar'!$S$313=SPECIAL_LBL)*(INC_SPECIALS="Y"))=0,"",'Dvd Calendar'!$S$311)))</f>
        <v/>
      </c>
      <c r="R39" s="106">
        <f>IF(ET39="","",IF(ISNUMBER('Dvd Calendar'!$T$311)=FALSE,"",IF((('Dvd Calendar'!$T$313=TYPE1)*(TYPE1&lt;&gt;"")+('Dvd Calendar'!$T$313=TYPE2)*(TYPE2&lt;&gt;"")+('Dvd Calendar'!$T$313=TYPE3)*(TYPE3&lt;&gt;"")+('Dvd Calendar'!$T$313=TYPE4)*(TYPE4&lt;&gt;"")+('Dvd Calendar'!$T$313=SPECIAL_LBL)*(INC_SPECIALS="Y"))=0,"",'Dvd Calendar'!$T$311)))</f>
        <v/>
      </c>
      <c r="S39" s="106">
        <f>IF(EU39="","",IF(ISNUMBER('Dvd Calendar'!$U$311)=FALSE,"",IF((('Dvd Calendar'!$U$313=TYPE1)*(TYPE1&lt;&gt;"")+('Dvd Calendar'!$U$313=TYPE2)*(TYPE2&lt;&gt;"")+('Dvd Calendar'!$U$313=TYPE3)*(TYPE3&lt;&gt;"")+('Dvd Calendar'!$U$313=TYPE4)*(TYPE4&lt;&gt;"")+('Dvd Calendar'!$U$313=SPECIAL_LBL)*(INC_SPECIALS="Y"))=0,"",'Dvd Calendar'!$U$311)))</f>
        <v/>
      </c>
      <c r="T39" s="106">
        <f>IF(EV39="","",IF(ISNUMBER('Dvd Calendar'!$V$311)=FALSE,"",IF((('Dvd Calendar'!$V$313=TYPE1)*(TYPE1&lt;&gt;"")+('Dvd Calendar'!$V$313=TYPE2)*(TYPE2&lt;&gt;"")+('Dvd Calendar'!$V$313=TYPE3)*(TYPE3&lt;&gt;"")+('Dvd Calendar'!$V$313=TYPE4)*(TYPE4&lt;&gt;"")+('Dvd Calendar'!$V$313=SPECIAL_LBL)*(INC_SPECIALS="Y"))=0,"",'Dvd Calendar'!$V$311)))</f>
        <v/>
      </c>
      <c r="U39" s="106">
        <f>IF(EW39="","",IF(ISNUMBER('Dvd Calendar'!$W$311)=FALSE,"",IF((('Dvd Calendar'!$W$313=TYPE1)*(TYPE1&lt;&gt;"")+('Dvd Calendar'!$W$313=TYPE2)*(TYPE2&lt;&gt;"")+('Dvd Calendar'!$W$313=TYPE3)*(TYPE3&lt;&gt;"")+('Dvd Calendar'!$W$313=TYPE4)*(TYPE4&lt;&gt;"")+('Dvd Calendar'!$W$313=SPECIAL_LBL)*(INC_SPECIALS="Y"))=0,"",'Dvd Calendar'!$W$311)))</f>
        <v/>
      </c>
      <c r="V39" s="106">
        <f>IF(EX39="","",IF(ISNUMBER('Dvd Calendar'!$X$311)=FALSE,"",IF((('Dvd Calendar'!$X$313=TYPE1)*(TYPE1&lt;&gt;"")+('Dvd Calendar'!$X$313=TYPE2)*(TYPE2&lt;&gt;"")+('Dvd Calendar'!$X$313=TYPE3)*(TYPE3&lt;&gt;"")+('Dvd Calendar'!$X$313=TYPE4)*(TYPE4&lt;&gt;"")+('Dvd Calendar'!$X$313=SPECIAL_LBL)*(INC_SPECIALS="Y"))=0,"",'Dvd Calendar'!$X$311)))</f>
        <v/>
      </c>
      <c r="W39" s="106">
        <f>IF(EY39="","",IF(ISNUMBER('Dvd Calendar'!$Y$311)=FALSE,"",IF((('Dvd Calendar'!$Y$313=TYPE1)*(TYPE1&lt;&gt;"")+('Dvd Calendar'!$Y$313=TYPE2)*(TYPE2&lt;&gt;"")+('Dvd Calendar'!$Y$313=TYPE3)*(TYPE3&lt;&gt;"")+('Dvd Calendar'!$Y$313=TYPE4)*(TYPE4&lt;&gt;"")+('Dvd Calendar'!$Y$313=SPECIAL_LBL)*(INC_SPECIALS="Y"))=0,"",'Dvd Calendar'!$Y$311)))</f>
        <v/>
      </c>
      <c r="X39" s="106">
        <f>IF(EZ39="","",IF(ISNUMBER('Dvd Calendar'!$Z$311)=FALSE,"",IF((('Dvd Calendar'!$Z$313=TYPE1)*(TYPE1&lt;&gt;"")+('Dvd Calendar'!$Z$313=TYPE2)*(TYPE2&lt;&gt;"")+('Dvd Calendar'!$Z$313=TYPE3)*(TYPE3&lt;&gt;"")+('Dvd Calendar'!$Z$313=TYPE4)*(TYPE4&lt;&gt;"")+('Dvd Calendar'!$Z$313=SPECIAL_LBL)*(INC_SPECIALS="Y"))=0,"",'Dvd Calendar'!$Z$311)))</f>
        <v/>
      </c>
      <c r="Y39" s="106">
        <f>IF(FA39="","",IF(ISNUMBER('Dvd Calendar'!$AA$311)=FALSE,"",IF((('Dvd Calendar'!$AA$313=TYPE1)*(TYPE1&lt;&gt;"")+('Dvd Calendar'!$AA$313=TYPE2)*(TYPE2&lt;&gt;"")+('Dvd Calendar'!$AA$313=TYPE3)*(TYPE3&lt;&gt;"")+('Dvd Calendar'!$AA$313=TYPE4)*(TYPE4&lt;&gt;"")+('Dvd Calendar'!$AA$313=SPECIAL_LBL)*(INC_SPECIALS="Y"))=0,"",'Dvd Calendar'!$AA$311)))</f>
        <v/>
      </c>
      <c r="Z39" s="106">
        <f>IF(FB39="","",IF(ISNUMBER('Dvd Calendar'!$AB$311)=FALSE,"",IF((('Dvd Calendar'!$AB$313=TYPE1)*(TYPE1&lt;&gt;"")+('Dvd Calendar'!$AB$313=TYPE2)*(TYPE2&lt;&gt;"")+('Dvd Calendar'!$AB$313=TYPE3)*(TYPE3&lt;&gt;"")+('Dvd Calendar'!$AB$313=TYPE4)*(TYPE4&lt;&gt;"")+('Dvd Calendar'!$AB$313=SPECIAL_LBL)*(INC_SPECIALS="Y"))=0,"",'Dvd Calendar'!$AB$311)))</f>
        <v/>
      </c>
      <c r="AA39" s="106">
        <f>IF(FC39="","",IF(ISNUMBER('Dvd Calendar'!$AC$311)=FALSE,"",IF((('Dvd Calendar'!$AC$313=TYPE1)*(TYPE1&lt;&gt;"")+('Dvd Calendar'!$AC$313=TYPE2)*(TYPE2&lt;&gt;"")+('Dvd Calendar'!$AC$313=TYPE3)*(TYPE3&lt;&gt;"")+('Dvd Calendar'!$AC$313=TYPE4)*(TYPE4&lt;&gt;"")+('Dvd Calendar'!$AC$313=SPECIAL_LBL)*(INC_SPECIALS="Y"))=0,"",'Dvd Calendar'!$AC$311)))</f>
        <v/>
      </c>
      <c r="AB39" s="106">
        <f>IF(FD39="","",IF(ISNUMBER('Dvd Calendar'!$AD$311)=FALSE,"",IF((('Dvd Calendar'!$AD$313=TYPE1)*(TYPE1&lt;&gt;"")+('Dvd Calendar'!$AD$313=TYPE2)*(TYPE2&lt;&gt;"")+('Dvd Calendar'!$AD$313=TYPE3)*(TYPE3&lt;&gt;"")+('Dvd Calendar'!$AD$313=TYPE4)*(TYPE4&lt;&gt;"")+('Dvd Calendar'!$AD$313=SPECIAL_LBL)*(INC_SPECIALS="Y"))=0,"",'Dvd Calendar'!$AD$311)))</f>
        <v/>
      </c>
      <c r="AC39" s="106">
        <f>IF(FE39="","",IF(ISNUMBER('Dvd Calendar'!$AE$311)=FALSE,"",IF((('Dvd Calendar'!$AE$313=TYPE1)*(TYPE1&lt;&gt;"")+('Dvd Calendar'!$AE$313=TYPE2)*(TYPE2&lt;&gt;"")+('Dvd Calendar'!$AE$313=TYPE3)*(TYPE3&lt;&gt;"")+('Dvd Calendar'!$AE$313=TYPE4)*(TYPE4&lt;&gt;"")+('Dvd Calendar'!$AE$313=SPECIAL_LBL)*(INC_SPECIALS="Y"))=0,"",'Dvd Calendar'!$AE$311)))</f>
        <v/>
      </c>
      <c r="AD39" s="106">
        <f>IF(FF39="","",IF(ISNUMBER('Dvd Calendar'!$AF$311)=FALSE,"",IF((('Dvd Calendar'!$AF$313=TYPE1)*(TYPE1&lt;&gt;"")+('Dvd Calendar'!$AF$313=TYPE2)*(TYPE2&lt;&gt;"")+('Dvd Calendar'!$AF$313=TYPE3)*(TYPE3&lt;&gt;"")+('Dvd Calendar'!$AF$313=TYPE4)*(TYPE4&lt;&gt;"")+('Dvd Calendar'!$AF$313=SPECIAL_LBL)*(INC_SPECIALS="Y"))=0,"",'Dvd Calendar'!$AF$311)))</f>
        <v/>
      </c>
      <c r="AE39" s="106">
        <f>IF(FG39="","",IF(ISNUMBER('Dvd Calendar'!$AG$311)=FALSE,"",IF((('Dvd Calendar'!$AG$313=TYPE1)*(TYPE1&lt;&gt;"")+('Dvd Calendar'!$AG$313=TYPE2)*(TYPE2&lt;&gt;"")+('Dvd Calendar'!$AG$313=TYPE3)*(TYPE3&lt;&gt;"")+('Dvd Calendar'!$AG$313=TYPE4)*(TYPE4&lt;&gt;"")+('Dvd Calendar'!$AG$313=SPECIAL_LBL)*(INC_SPECIALS="Y"))=0,"",'Dvd Calendar'!$AG$311)))</f>
        <v/>
      </c>
      <c r="AF39" s="106">
        <f>IF(FH39="","",IF(ISNUMBER('Dvd Calendar'!$AH$311)=FALSE,"",IF((('Dvd Calendar'!$AH$313=TYPE1)*(TYPE1&lt;&gt;"")+('Dvd Calendar'!$AH$313=TYPE2)*(TYPE2&lt;&gt;"")+('Dvd Calendar'!$AH$313=TYPE3)*(TYPE3&lt;&gt;"")+('Dvd Calendar'!$AH$313=TYPE4)*(TYPE4&lt;&gt;"")+('Dvd Calendar'!$AH$313=SPECIAL_LBL)*(INC_SPECIALS="Y"))=0,"",'Dvd Calendar'!$AH$311)))</f>
        <v/>
      </c>
      <c r="AG39" s="106">
        <f>IF(FI39="","",IF(ISNUMBER('Dvd Calendar'!$AI$311)=FALSE,"",IF((('Dvd Calendar'!$AI$313=TYPE1)*(TYPE1&lt;&gt;"")+('Dvd Calendar'!$AI$313=TYPE2)*(TYPE2&lt;&gt;"")+('Dvd Calendar'!$AI$313=TYPE3)*(TYPE3&lt;&gt;"")+('Dvd Calendar'!$AI$313=TYPE4)*(TYPE4&lt;&gt;"")+('Dvd Calendar'!$AI$313=SPECIAL_LBL)*(INC_SPECIALS="Y"))=0,"",'Dvd Calendar'!$AI$311)))</f>
        <v/>
      </c>
      <c r="AH39" s="106">
        <f>IF(FJ39="","",IF(ISNUMBER('Dvd Calendar'!$AJ$311)=FALSE,"",IF((('Dvd Calendar'!$AJ$313=TYPE1)*(TYPE1&lt;&gt;"")+('Dvd Calendar'!$AJ$313=TYPE2)*(TYPE2&lt;&gt;"")+('Dvd Calendar'!$AJ$313=TYPE3)*(TYPE3&lt;&gt;"")+('Dvd Calendar'!$AJ$313=TYPE4)*(TYPE4&lt;&gt;"")+('Dvd Calendar'!$AJ$313=SPECIAL_LBL)*(INC_SPECIALS="Y"))=0,"",'Dvd Calendar'!$AJ$311)))</f>
        <v/>
      </c>
      <c r="AI39" s="106">
        <f>IF(FK39="","",IF(ISNUMBER('Dvd Calendar'!$AK$311)=FALSE,"",IF((('Dvd Calendar'!$AK$313=TYPE1)*(TYPE1&lt;&gt;"")+('Dvd Calendar'!$AK$313=TYPE2)*(TYPE2&lt;&gt;"")+('Dvd Calendar'!$AK$313=TYPE3)*(TYPE3&lt;&gt;"")+('Dvd Calendar'!$AK$313=TYPE4)*(TYPE4&lt;&gt;"")+('Dvd Calendar'!$AK$313=SPECIAL_LBL)*(INC_SPECIALS="Y"))=0,"",'Dvd Calendar'!$AK$311)))</f>
        <v/>
      </c>
      <c r="AJ39" s="106">
        <f>IF(FL39="","",IF(ISNUMBER('Dvd Calendar'!$AL$311)=FALSE,"",IF((('Dvd Calendar'!$AL$313=TYPE1)*(TYPE1&lt;&gt;"")+('Dvd Calendar'!$AL$313=TYPE2)*(TYPE2&lt;&gt;"")+('Dvd Calendar'!$AL$313=TYPE3)*(TYPE3&lt;&gt;"")+('Dvd Calendar'!$AL$313=TYPE4)*(TYPE4&lt;&gt;"")+('Dvd Calendar'!$AL$313=SPECIAL_LBL)*(INC_SPECIALS="Y"))=0,"",'Dvd Calendar'!$AL$311)))</f>
        <v/>
      </c>
      <c r="AK39" s="106">
        <f>IF(FM39="","",IF(ISNUMBER('Dvd Calendar'!$AM$311)=FALSE,"",IF((('Dvd Calendar'!$AM$313=TYPE1)*(TYPE1&lt;&gt;"")+('Dvd Calendar'!$AM$313=TYPE2)*(TYPE2&lt;&gt;"")+('Dvd Calendar'!$AM$313=TYPE3)*(TYPE3&lt;&gt;"")+('Dvd Calendar'!$AM$313=TYPE4)*(TYPE4&lt;&gt;"")+('Dvd Calendar'!$AM$313=SPECIAL_LBL)*(INC_SPECIALS="Y"))=0,"",'Dvd Calendar'!$AM$311)))</f>
        <v/>
      </c>
      <c r="AL39" s="106">
        <f>IF(FN39="","",IF(ISNUMBER('Dvd Calendar'!$AN$311)=FALSE,"",IF((('Dvd Calendar'!$AN$313=TYPE1)*(TYPE1&lt;&gt;"")+('Dvd Calendar'!$AN$313=TYPE2)*(TYPE2&lt;&gt;"")+('Dvd Calendar'!$AN$313=TYPE3)*(TYPE3&lt;&gt;"")+('Dvd Calendar'!$AN$313=TYPE4)*(TYPE4&lt;&gt;"")+('Dvd Calendar'!$AN$313=SPECIAL_LBL)*(INC_SPECIALS="Y"))=0,"",'Dvd Calendar'!$AN$311)))</f>
        <v/>
      </c>
      <c r="AM39" s="106">
        <f>IF(FO39="","",IF(ISNUMBER('Dvd Calendar'!$AO$311)=FALSE,"",IF((('Dvd Calendar'!$AO$313=TYPE1)*(TYPE1&lt;&gt;"")+('Dvd Calendar'!$AO$313=TYPE2)*(TYPE2&lt;&gt;"")+('Dvd Calendar'!$AO$313=TYPE3)*(TYPE3&lt;&gt;"")+('Dvd Calendar'!$AO$313=TYPE4)*(TYPE4&lt;&gt;"")+('Dvd Calendar'!$AO$313=SPECIAL_LBL)*(INC_SPECIALS="Y"))=0,"",'Dvd Calendar'!$AO$311)))</f>
        <v/>
      </c>
      <c r="AN39" s="106">
        <f>IF(FP39="","",IF(ISNUMBER('Dvd Calendar'!$AP$311)=FALSE,"",IF((('Dvd Calendar'!$AP$313=TYPE1)*(TYPE1&lt;&gt;"")+('Dvd Calendar'!$AP$313=TYPE2)*(TYPE2&lt;&gt;"")+('Dvd Calendar'!$AP$313=TYPE3)*(TYPE3&lt;&gt;"")+('Dvd Calendar'!$AP$313=TYPE4)*(TYPE4&lt;&gt;"")+('Dvd Calendar'!$AP$313=SPECIAL_LBL)*(INC_SPECIALS="Y"))=0,"",'Dvd Calendar'!$AP$311)))</f>
        <v/>
      </c>
      <c r="AO39" s="106">
        <f>IF(FQ39="","",IF(ISNUMBER('Dvd Calendar'!$AQ$311)=FALSE,"",IF((('Dvd Calendar'!$AQ$313=TYPE1)*(TYPE1&lt;&gt;"")+('Dvd Calendar'!$AQ$313=TYPE2)*(TYPE2&lt;&gt;"")+('Dvd Calendar'!$AQ$313=TYPE3)*(TYPE3&lt;&gt;"")+('Dvd Calendar'!$AQ$313=TYPE4)*(TYPE4&lt;&gt;"")+('Dvd Calendar'!$AQ$313=SPECIAL_LBL)*(INC_SPECIALS="Y"))=0,"",'Dvd Calendar'!$AQ$311)))</f>
        <v/>
      </c>
      <c r="AP39" s="106">
        <f>IF(FR39="","",IF(ISNUMBER('Dvd Calendar'!$AR$311)=FALSE,"",IF((('Dvd Calendar'!$AR$313=TYPE1)*(TYPE1&lt;&gt;"")+('Dvd Calendar'!$AR$313=TYPE2)*(TYPE2&lt;&gt;"")+('Dvd Calendar'!$AR$313=TYPE3)*(TYPE3&lt;&gt;"")+('Dvd Calendar'!$AR$313=TYPE4)*(TYPE4&lt;&gt;"")+('Dvd Calendar'!$AR$313=SPECIAL_LBL)*(INC_SPECIALS="Y"))=0,"",'Dvd Calendar'!$AR$311)))</f>
        <v/>
      </c>
      <c r="AQ39" s="106">
        <f>IF(FS39="","",IF(ISNUMBER('Dvd Calendar'!$E$316)=FALSE,"",'Dvd Calendar'!$E$316))</f>
        <v/>
      </c>
      <c r="AR39" s="106">
        <f>IF(FT39="","",IF(ISNUMBER('Dvd Calendar'!$F$316)=FALSE,"",'Dvd Calendar'!$F$316))</f>
        <v/>
      </c>
      <c r="AS39" s="106">
        <f>IF(FU39="","",IF(ISNUMBER('Dvd Calendar'!$G$316)=FALSE,"",'Dvd Calendar'!$G$316))</f>
        <v/>
      </c>
      <c r="AT39" s="106">
        <f>IF(FV39="","",IF(ISNUMBER('Dvd Calendar'!$H$316)=FALSE,"",'Dvd Calendar'!$H$316))</f>
        <v/>
      </c>
      <c r="AU39" s="106">
        <f>IF(FW39="","",IF(ISNUMBER('Dvd Calendar'!$I$316)=FALSE,"",'Dvd Calendar'!$I$316))</f>
        <v/>
      </c>
      <c r="AV39" s="106">
        <f>IF(FX39="","",IF(ISNUMBER('Dvd Calendar'!$J$316)=FALSE,"",'Dvd Calendar'!$J$316))</f>
        <v/>
      </c>
      <c r="AW39" s="106">
        <f>IF(FY39="","",IF(ISNUMBER('Dvd Calendar'!$K$316)=FALSE,"",'Dvd Calendar'!$K$316))</f>
        <v/>
      </c>
      <c r="AX39" s="106">
        <f>IF(FZ39="","",IF(ISNUMBER('Dvd Calendar'!$L$316)=FALSE,"",'Dvd Calendar'!$L$316))</f>
        <v/>
      </c>
      <c r="AY39" s="106">
        <f>IF(GA39="","",IF(ISNUMBER('Dvd Calendar'!$M$316)=FALSE,"",'Dvd Calendar'!$M$316))</f>
        <v/>
      </c>
      <c r="AZ39" s="106">
        <f>IF(GB39="","",IF(ISNUMBER('Dvd Calendar'!$N$316)=FALSE,"",'Dvd Calendar'!$N$316))</f>
        <v/>
      </c>
      <c r="BA39" s="106">
        <f>IF(GC39="","",IF(ISNUMBER('Dvd Calendar'!$O$316)=FALSE,"",'Dvd Calendar'!$O$316))</f>
        <v/>
      </c>
      <c r="BB39" s="106">
        <f>IF(GD39="","",IF(ISNUMBER('Dvd Calendar'!$P$316)=FALSE,"",'Dvd Calendar'!$P$316))</f>
        <v/>
      </c>
      <c r="BC39" s="106">
        <f>IF(GE39="","",IF(ISNUMBER('Dvd Calendar'!$Q$316)=FALSE,"",'Dvd Calendar'!$Q$316))</f>
        <v/>
      </c>
      <c r="BD39" s="106">
        <f>IF(GF39="","",IF(ISNUMBER('Dvd Calendar'!$R$316)=FALSE,"",'Dvd Calendar'!$R$316))</f>
        <v/>
      </c>
      <c r="BE39" s="106">
        <f>IF(GG39="","",IF(ISNUMBER('Dvd Calendar'!$S$316)=FALSE,"",'Dvd Calendar'!$S$316))</f>
        <v/>
      </c>
      <c r="BF39" s="106">
        <f>IF(GH39="","",IF(ISNUMBER('Dvd Calendar'!$T$316)=FALSE,"",'Dvd Calendar'!$T$316))</f>
        <v/>
      </c>
      <c r="BG39" s="106">
        <f>IF(GI39="","",IF(ISNUMBER('Dvd Calendar'!$U$316)=FALSE,"",'Dvd Calendar'!$U$316))</f>
        <v/>
      </c>
      <c r="BH39" s="106">
        <f>IF(GJ39="","",IF(ISNUMBER('Dvd Calendar'!$V$316)=FALSE,"",'Dvd Calendar'!$V$316))</f>
        <v/>
      </c>
      <c r="BI39" s="106">
        <f>IF(GK39="","",IF(ISNUMBER('Dvd Calendar'!$W$316)=FALSE,"",'Dvd Calendar'!$W$316))</f>
        <v/>
      </c>
      <c r="BJ39" s="106">
        <f>IF(GL39="","",IF(ISNUMBER('Dvd Calendar'!$X$316)=FALSE,"",'Dvd Calendar'!$X$316))</f>
        <v/>
      </c>
      <c r="BK39" s="106">
        <f>IF(GM39="","",IF(ISNUMBER('Dvd Calendar'!$Y$316)=FALSE,"",'Dvd Calendar'!$Y$316))</f>
        <v/>
      </c>
      <c r="BL39" s="106">
        <f>IF(GN39="","",IF(ISNUMBER('Dvd Calendar'!$Z$316)=FALSE,"",'Dvd Calendar'!$Z$316))</f>
        <v/>
      </c>
      <c r="BM39" s="106">
        <f>IF(GO39="","",IF(ISNUMBER('Dvd Calendar'!$AA$316)=FALSE,"",'Dvd Calendar'!$AA$316))</f>
        <v/>
      </c>
      <c r="BN39" s="106">
        <f>IF(GP39="","",IF(ISNUMBER('Dvd Calendar'!$AB$316)=FALSE,"",'Dvd Calendar'!$AB$316))</f>
        <v/>
      </c>
      <c r="BO39" s="106">
        <f>IF(GQ39="","",IF(ISNUMBER('Dvd Calendar'!$AC$316)=FALSE,"",'Dvd Calendar'!$AC$316))</f>
        <v/>
      </c>
      <c r="BQ39" s="106">
        <f>IF(C39="","",IFERROR(C39*HSI!$B$34*HSI!$G$34/HSI!$B$3,""))</f>
        <v/>
      </c>
      <c r="BR39" s="106">
        <f>IF(D39="","",IFERROR(D39*HSI!$B$34*HSI!$G$34/HSI!$B$3,""))</f>
        <v/>
      </c>
      <c r="BS39" s="106">
        <f>IF(E39="","",IFERROR(E39*HSI!$B$34*HSI!$G$34/HSI!$B$3,""))</f>
        <v/>
      </c>
      <c r="BT39" s="106">
        <f>IF(F39="","",IFERROR(F39*HSI!$B$34*HSI!$G$34/HSI!$B$3,""))</f>
        <v/>
      </c>
      <c r="BU39" s="106">
        <f>IF(G39="","",IFERROR(G39*HSI!$B$34*HSI!$G$34/HSI!$B$3,""))</f>
        <v/>
      </c>
      <c r="BV39" s="106">
        <f>IF(H39="","",IFERROR(H39*HSI!$B$34*HSI!$G$34/HSI!$B$3,""))</f>
        <v/>
      </c>
      <c r="BW39" s="106">
        <f>IF(I39="","",IFERROR(I39*HSI!$B$34*HSI!$G$34/HSI!$B$3,""))</f>
        <v/>
      </c>
      <c r="BX39" s="106">
        <f>IF(J39="","",IFERROR(J39*HSI!$B$34*HSI!$G$34/HSI!$B$3,""))</f>
        <v/>
      </c>
      <c r="BY39" s="106">
        <f>IF(K39="","",IFERROR(K39*HSI!$B$34*HSI!$G$34/HSI!$B$3,""))</f>
        <v/>
      </c>
      <c r="BZ39" s="106">
        <f>IF(L39="","",IFERROR(L39*HSI!$B$34*HSI!$G$34/HSI!$B$3,""))</f>
        <v/>
      </c>
      <c r="CA39" s="106">
        <f>IF(M39="","",IFERROR(M39*HSI!$B$34*HSI!$G$34/HSI!$B$3,""))</f>
        <v/>
      </c>
      <c r="CB39" s="106">
        <f>IF(N39="","",IFERROR(N39*HSI!$B$34*HSI!$G$34/HSI!$B$3,""))</f>
        <v/>
      </c>
      <c r="CC39" s="106">
        <f>IF(O39="","",IFERROR(O39*HSI!$B$34*HSI!$G$34/HSI!$B$3,""))</f>
        <v/>
      </c>
      <c r="CD39" s="106">
        <f>IF(P39="","",IFERROR(P39*HSI!$B$34*HSI!$G$34/HSI!$B$3,""))</f>
        <v/>
      </c>
      <c r="CE39" s="106">
        <f>IF(Q39="","",IFERROR(Q39*HSI!$B$34*HSI!$G$34/HSI!$B$3,""))</f>
        <v/>
      </c>
      <c r="CF39" s="106">
        <f>IF(R39="","",IFERROR(R39*HSI!$B$34*HSI!$G$34/HSI!$B$3,""))</f>
        <v/>
      </c>
      <c r="CG39" s="106">
        <f>IF(S39="","",IFERROR(S39*HSI!$B$34*HSI!$G$34/HSI!$B$3,""))</f>
        <v/>
      </c>
      <c r="CH39" s="106">
        <f>IF(T39="","",IFERROR(T39*HSI!$B$34*HSI!$G$34/HSI!$B$3,""))</f>
        <v/>
      </c>
      <c r="CI39" s="106">
        <f>IF(U39="","",IFERROR(U39*HSI!$B$34*HSI!$G$34/HSI!$B$3,""))</f>
        <v/>
      </c>
      <c r="CJ39" s="106">
        <f>IF(V39="","",IFERROR(V39*HSI!$B$34*HSI!$G$34/HSI!$B$3,""))</f>
        <v/>
      </c>
      <c r="CK39" s="106">
        <f>IF(W39="","",IFERROR(W39*HSI!$B$34*HSI!$G$34/HSI!$B$3,""))</f>
        <v/>
      </c>
      <c r="CL39" s="106">
        <f>IF(X39="","",IFERROR(X39*HSI!$B$34*HSI!$G$34/HSI!$B$3,""))</f>
        <v/>
      </c>
      <c r="CM39" s="106">
        <f>IF(Y39="","",IFERROR(Y39*HSI!$B$34*HSI!$G$34/HSI!$B$3,""))</f>
        <v/>
      </c>
      <c r="CN39" s="106">
        <f>IF(Z39="","",IFERROR(Z39*HSI!$B$34*HSI!$G$34/HSI!$B$3,""))</f>
        <v/>
      </c>
      <c r="CO39" s="106">
        <f>IF(AA39="","",IFERROR(AA39*HSI!$B$34*HSI!$G$34/HSI!$B$3,""))</f>
        <v/>
      </c>
      <c r="CP39" s="106">
        <f>IF(AB39="","",IFERROR(AB39*HSI!$B$34*HSI!$G$34/HSI!$B$3,""))</f>
        <v/>
      </c>
      <c r="CQ39" s="106">
        <f>IF(AC39="","",IFERROR(AC39*HSI!$B$34*HSI!$G$34/HSI!$B$3,""))</f>
        <v/>
      </c>
      <c r="CR39" s="106">
        <f>IF(AD39="","",IFERROR(AD39*HSI!$B$34*HSI!$G$34/HSI!$B$3,""))</f>
        <v/>
      </c>
      <c r="CS39" s="106">
        <f>IF(AE39="","",IFERROR(AE39*HSI!$B$34*HSI!$G$34/HSI!$B$3,""))</f>
        <v/>
      </c>
      <c r="CT39" s="106">
        <f>IF(AF39="","",IFERROR(AF39*HSI!$B$34*HSI!$G$34/HSI!$B$3,""))</f>
        <v/>
      </c>
      <c r="CU39" s="106">
        <f>IF(AG39="","",IFERROR(AG39*HSI!$B$34*HSI!$G$34/HSI!$B$3,""))</f>
        <v/>
      </c>
      <c r="CV39" s="106">
        <f>IF(AH39="","",IFERROR(AH39*HSI!$B$34*HSI!$G$34/HSI!$B$3,""))</f>
        <v/>
      </c>
      <c r="CW39" s="106">
        <f>IF(AI39="","",IFERROR(AI39*HSI!$B$34*HSI!$G$34/HSI!$B$3,""))</f>
        <v/>
      </c>
      <c r="CX39" s="106">
        <f>IF(AJ39="","",IFERROR(AJ39*HSI!$B$34*HSI!$G$34/HSI!$B$3,""))</f>
        <v/>
      </c>
      <c r="CY39" s="106">
        <f>IF(AK39="","",IFERROR(AK39*HSI!$B$34*HSI!$G$34/HSI!$B$3,""))</f>
        <v/>
      </c>
      <c r="CZ39" s="106">
        <f>IF(AL39="","",IFERROR(AL39*HSI!$B$34*HSI!$G$34/HSI!$B$3,""))</f>
        <v/>
      </c>
      <c r="DA39" s="106">
        <f>IF(AM39="","",IFERROR(AM39*HSI!$B$34*HSI!$G$34/HSI!$B$3,""))</f>
        <v/>
      </c>
      <c r="DB39" s="106">
        <f>IF(AN39="","",IFERROR(AN39*HSI!$B$34*HSI!$G$34/HSI!$B$3,""))</f>
        <v/>
      </c>
      <c r="DC39" s="106">
        <f>IF(AO39="","",IFERROR(AO39*HSI!$B$34*HSI!$G$34/HSI!$B$3,""))</f>
        <v/>
      </c>
      <c r="DD39" s="106">
        <f>IF(AP39="","",IFERROR(AP39*HSI!$B$34*HSI!$G$34/HSI!$B$3,""))</f>
        <v/>
      </c>
      <c r="DE39" s="106">
        <f>IF(AQ39="","",IFERROR(AQ39*HSI!$B$34*HSI!$G$34/HSI!$B$3,""))</f>
        <v/>
      </c>
      <c r="DF39" s="106">
        <f>IF(AR39="","",IFERROR(AR39*HSI!$B$34*HSI!$G$34/HSI!$B$3,""))</f>
        <v/>
      </c>
      <c r="DG39" s="106">
        <f>IF(AS39="","",IFERROR(AS39*HSI!$B$34*HSI!$G$34/HSI!$B$3,""))</f>
        <v/>
      </c>
      <c r="DH39" s="106">
        <f>IF(AT39="","",IFERROR(AT39*HSI!$B$34*HSI!$G$34/HSI!$B$3,""))</f>
        <v/>
      </c>
      <c r="DI39" s="106">
        <f>IF(AU39="","",IFERROR(AU39*HSI!$B$34*HSI!$G$34/HSI!$B$3,""))</f>
        <v/>
      </c>
      <c r="DJ39" s="106">
        <f>IF(AV39="","",IFERROR(AV39*HSI!$B$34*HSI!$G$34/HSI!$B$3,""))</f>
        <v/>
      </c>
      <c r="DK39" s="106">
        <f>IF(AW39="","",IFERROR(AW39*HSI!$B$34*HSI!$G$34/HSI!$B$3,""))</f>
        <v/>
      </c>
      <c r="DL39" s="106">
        <f>IF(AX39="","",IFERROR(AX39*HSI!$B$34*HSI!$G$34/HSI!$B$3,""))</f>
        <v/>
      </c>
      <c r="DM39" s="106">
        <f>IF(AY39="","",IFERROR(AY39*HSI!$B$34*HSI!$G$34/HSI!$B$3,""))</f>
        <v/>
      </c>
      <c r="DN39" s="106">
        <f>IF(AZ39="","",IFERROR(AZ39*HSI!$B$34*HSI!$G$34/HSI!$B$3,""))</f>
        <v/>
      </c>
      <c r="DO39" s="106">
        <f>IF(BA39="","",IFERROR(BA39*HSI!$B$34*HSI!$G$34/HSI!$B$3,""))</f>
        <v/>
      </c>
      <c r="DP39" s="106">
        <f>IF(BB39="","",IFERROR(BB39*HSI!$B$34*HSI!$G$34/HSI!$B$3,""))</f>
        <v/>
      </c>
      <c r="DQ39" s="106">
        <f>IF(BC39="","",IFERROR(BC39*HSI!$B$34*HSI!$G$34/HSI!$B$3,""))</f>
        <v/>
      </c>
      <c r="DR39" s="106">
        <f>IF(BD39="","",IFERROR(BD39*HSI!$B$34*HSI!$G$34/HSI!$B$3,""))</f>
        <v/>
      </c>
      <c r="DS39" s="106">
        <f>IF(BE39="","",IFERROR(BE39*HSI!$B$34*HSI!$G$34/HSI!$B$3,""))</f>
        <v/>
      </c>
      <c r="DT39" s="106">
        <f>IF(BF39="","",IFERROR(BF39*HSI!$B$34*HSI!$G$34/HSI!$B$3,""))</f>
        <v/>
      </c>
      <c r="DU39" s="106">
        <f>IF(BG39="","",IFERROR(BG39*HSI!$B$34*HSI!$G$34/HSI!$B$3,""))</f>
        <v/>
      </c>
      <c r="DV39" s="106">
        <f>IF(BH39="","",IFERROR(BH39*HSI!$B$34*HSI!$G$34/HSI!$B$3,""))</f>
        <v/>
      </c>
      <c r="DW39" s="106">
        <f>IF(BI39="","",IFERROR(BI39*HSI!$B$34*HSI!$G$34/HSI!$B$3,""))</f>
        <v/>
      </c>
      <c r="DX39" s="106">
        <f>IF(BJ39="","",IFERROR(BJ39*HSI!$B$34*HSI!$G$34/HSI!$B$3,""))</f>
        <v/>
      </c>
      <c r="DY39" s="106">
        <f>IF(BK39="","",IFERROR(BK39*HSI!$B$34*HSI!$G$34/HSI!$B$3,""))</f>
        <v/>
      </c>
      <c r="DZ39" s="106">
        <f>IF(BL39="","",IFERROR(BL39*HSI!$B$34*HSI!$G$34/HSI!$B$3,""))</f>
        <v/>
      </c>
      <c r="EA39" s="106">
        <f>IF(BM39="","",IFERROR(BM39*HSI!$B$34*HSI!$G$34/HSI!$B$3,""))</f>
        <v/>
      </c>
      <c r="EB39" s="106">
        <f>IF(BN39="","",IFERROR(BN39*HSI!$B$34*HSI!$G$34/HSI!$B$3,""))</f>
        <v/>
      </c>
      <c r="EC39" s="106">
        <f>IF(BO39="","",IFERROR(BO39*HSI!$B$34*HSI!$G$34/HSI!$B$3,""))</f>
        <v/>
      </c>
      <c r="EE39" s="35">
        <f>IF(N('Dvd Calendar'!$E$308)=0,"",IF(('Dvd Calendar'!$E$308&gt;=GRID_FROM)*('Dvd Calendar'!$E$308&lt;=GRID_TO)*('Dvd Calendar'!$E$308&lt;=VAL_DATE)=0,"",'Dvd Calendar'!$E$308*1000000000+ISNUMBER('Dvd Calendar'!$E$311)*100000000+('Dvd Calendar'!$E$313=SPECIAL_LBL)*10000000+0*1000000+28*1000+1))</f>
        <v/>
      </c>
      <c r="EF39" s="35">
        <f>IF(N('Dvd Calendar'!$F$308)=0,"",IF(('Dvd Calendar'!$F$308&gt;=GRID_FROM)*('Dvd Calendar'!$F$308&lt;=GRID_TO)*('Dvd Calendar'!$F$308&lt;=VAL_DATE)=0,"",'Dvd Calendar'!$F$308*1000000000+ISNUMBER('Dvd Calendar'!$F$311)*100000000+('Dvd Calendar'!$F$313=SPECIAL_LBL)*10000000+0*1000000+28*1000+2))</f>
        <v/>
      </c>
      <c r="EG39" s="35">
        <f>IF(N('Dvd Calendar'!$G$308)=0,"",IF(('Dvd Calendar'!$G$308&gt;=GRID_FROM)*('Dvd Calendar'!$G$308&lt;=GRID_TO)*('Dvd Calendar'!$G$308&lt;=VAL_DATE)=0,"",'Dvd Calendar'!$G$308*1000000000+ISNUMBER('Dvd Calendar'!$G$311)*100000000+('Dvd Calendar'!$G$313=SPECIAL_LBL)*10000000+0*1000000+28*1000+3))</f>
        <v/>
      </c>
      <c r="EH39" s="35">
        <f>IF(N('Dvd Calendar'!$H$308)=0,"",IF(('Dvd Calendar'!$H$308&gt;=GRID_FROM)*('Dvd Calendar'!$H$308&lt;=GRID_TO)*('Dvd Calendar'!$H$308&lt;=VAL_DATE)=0,"",'Dvd Calendar'!$H$308*1000000000+ISNUMBER('Dvd Calendar'!$H$311)*100000000+('Dvd Calendar'!$H$313=SPECIAL_LBL)*10000000+0*1000000+28*1000+4))</f>
        <v/>
      </c>
      <c r="EI39" s="35">
        <f>IF(N('Dvd Calendar'!$I$308)=0,"",IF(('Dvd Calendar'!$I$308&gt;=GRID_FROM)*('Dvd Calendar'!$I$308&lt;=GRID_TO)*('Dvd Calendar'!$I$308&lt;=VAL_DATE)=0,"",'Dvd Calendar'!$I$308*1000000000+ISNUMBER('Dvd Calendar'!$I$311)*100000000+('Dvd Calendar'!$I$313=SPECIAL_LBL)*10000000+0*1000000+28*1000+5))</f>
        <v/>
      </c>
      <c r="EJ39" s="35">
        <f>IF(N('Dvd Calendar'!$J$308)=0,"",IF(('Dvd Calendar'!$J$308&gt;=GRID_FROM)*('Dvd Calendar'!$J$308&lt;=GRID_TO)*('Dvd Calendar'!$J$308&lt;=VAL_DATE)=0,"",'Dvd Calendar'!$J$308*1000000000+ISNUMBER('Dvd Calendar'!$J$311)*100000000+('Dvd Calendar'!$J$313=SPECIAL_LBL)*10000000+0*1000000+28*1000+6))</f>
        <v/>
      </c>
      <c r="EK39" s="35">
        <f>IF(N('Dvd Calendar'!$K$308)=0,"",IF(('Dvd Calendar'!$K$308&gt;=GRID_FROM)*('Dvd Calendar'!$K$308&lt;=GRID_TO)*('Dvd Calendar'!$K$308&lt;=VAL_DATE)=0,"",'Dvd Calendar'!$K$308*1000000000+ISNUMBER('Dvd Calendar'!$K$311)*100000000+('Dvd Calendar'!$K$313=SPECIAL_LBL)*10000000+0*1000000+28*1000+7))</f>
        <v/>
      </c>
      <c r="EL39" s="35">
        <f>IF(N('Dvd Calendar'!$L$308)=0,"",IF(('Dvd Calendar'!$L$308&gt;=GRID_FROM)*('Dvd Calendar'!$L$308&lt;=GRID_TO)*('Dvd Calendar'!$L$308&lt;=VAL_DATE)=0,"",'Dvd Calendar'!$L$308*1000000000+ISNUMBER('Dvd Calendar'!$L$311)*100000000+('Dvd Calendar'!$L$313=SPECIAL_LBL)*10000000+0*1000000+28*1000+8))</f>
        <v/>
      </c>
      <c r="EM39" s="35">
        <f>IF(N('Dvd Calendar'!$M$308)=0,"",IF(('Dvd Calendar'!$M$308&gt;=GRID_FROM)*('Dvd Calendar'!$M$308&lt;=GRID_TO)*('Dvd Calendar'!$M$308&lt;=VAL_DATE)=0,"",'Dvd Calendar'!$M$308*1000000000+ISNUMBER('Dvd Calendar'!$M$311)*100000000+('Dvd Calendar'!$M$313=SPECIAL_LBL)*10000000+0*1000000+28*1000+9))</f>
        <v/>
      </c>
      <c r="EN39" s="35">
        <f>IF(N('Dvd Calendar'!$N$308)=0,"",IF(('Dvd Calendar'!$N$308&gt;=GRID_FROM)*('Dvd Calendar'!$N$308&lt;=GRID_TO)*('Dvd Calendar'!$N$308&lt;=VAL_DATE)=0,"",'Dvd Calendar'!$N$308*1000000000+ISNUMBER('Dvd Calendar'!$N$311)*100000000+('Dvd Calendar'!$N$313=SPECIAL_LBL)*10000000+0*1000000+28*1000+10))</f>
        <v/>
      </c>
      <c r="EO39" s="35">
        <f>IF(N('Dvd Calendar'!$O$308)=0,"",IF(('Dvd Calendar'!$O$308&gt;=GRID_FROM)*('Dvd Calendar'!$O$308&lt;=GRID_TO)*('Dvd Calendar'!$O$308&lt;=VAL_DATE)=0,"",'Dvd Calendar'!$O$308*1000000000+ISNUMBER('Dvd Calendar'!$O$311)*100000000+('Dvd Calendar'!$O$313=SPECIAL_LBL)*10000000+0*1000000+28*1000+11))</f>
        <v/>
      </c>
      <c r="EP39" s="35">
        <f>IF(N('Dvd Calendar'!$P$308)=0,"",IF(('Dvd Calendar'!$P$308&gt;=GRID_FROM)*('Dvd Calendar'!$P$308&lt;=GRID_TO)*('Dvd Calendar'!$P$308&lt;=VAL_DATE)=0,"",'Dvd Calendar'!$P$308*1000000000+ISNUMBER('Dvd Calendar'!$P$311)*100000000+('Dvd Calendar'!$P$313=SPECIAL_LBL)*10000000+0*1000000+28*1000+12))</f>
        <v/>
      </c>
      <c r="EQ39" s="35">
        <f>IF(N('Dvd Calendar'!$Q$308)=0,"",IF(('Dvd Calendar'!$Q$308&gt;=GRID_FROM)*('Dvd Calendar'!$Q$308&lt;=GRID_TO)*('Dvd Calendar'!$Q$308&lt;=VAL_DATE)=0,"",'Dvd Calendar'!$Q$308*1000000000+ISNUMBER('Dvd Calendar'!$Q$311)*100000000+('Dvd Calendar'!$Q$313=SPECIAL_LBL)*10000000+0*1000000+28*1000+13))</f>
        <v/>
      </c>
      <c r="ER39" s="35">
        <f>IF(N('Dvd Calendar'!$R$308)=0,"",IF(('Dvd Calendar'!$R$308&gt;=GRID_FROM)*('Dvd Calendar'!$R$308&lt;=GRID_TO)*('Dvd Calendar'!$R$308&lt;=VAL_DATE)=0,"",'Dvd Calendar'!$R$308*1000000000+ISNUMBER('Dvd Calendar'!$R$311)*100000000+('Dvd Calendar'!$R$313=SPECIAL_LBL)*10000000+0*1000000+28*1000+14))</f>
        <v/>
      </c>
      <c r="ES39" s="35">
        <f>IF(N('Dvd Calendar'!$S$308)=0,"",IF(('Dvd Calendar'!$S$308&gt;=GRID_FROM)*('Dvd Calendar'!$S$308&lt;=GRID_TO)*('Dvd Calendar'!$S$308&lt;=VAL_DATE)=0,"",'Dvd Calendar'!$S$308*1000000000+ISNUMBER('Dvd Calendar'!$S$311)*100000000+('Dvd Calendar'!$S$313=SPECIAL_LBL)*10000000+0*1000000+28*1000+15))</f>
        <v/>
      </c>
      <c r="ET39" s="35">
        <f>IF(N('Dvd Calendar'!$T$308)=0,"",IF(('Dvd Calendar'!$T$308&gt;=GRID_FROM)*('Dvd Calendar'!$T$308&lt;=GRID_TO)*('Dvd Calendar'!$T$308&lt;=VAL_DATE)=0,"",'Dvd Calendar'!$T$308*1000000000+ISNUMBER('Dvd Calendar'!$T$311)*100000000+('Dvd Calendar'!$T$313=SPECIAL_LBL)*10000000+0*1000000+28*1000+16))</f>
        <v/>
      </c>
      <c r="EU39" s="35">
        <f>IF(N('Dvd Calendar'!$U$308)=0,"",IF(('Dvd Calendar'!$U$308&gt;=GRID_FROM)*('Dvd Calendar'!$U$308&lt;=GRID_TO)*('Dvd Calendar'!$U$308&lt;=VAL_DATE)=0,"",'Dvd Calendar'!$U$308*1000000000+ISNUMBER('Dvd Calendar'!$U$311)*100000000+('Dvd Calendar'!$U$313=SPECIAL_LBL)*10000000+0*1000000+28*1000+17))</f>
        <v/>
      </c>
      <c r="EV39" s="35">
        <f>IF(N('Dvd Calendar'!$V$308)=0,"",IF(('Dvd Calendar'!$V$308&gt;=GRID_FROM)*('Dvd Calendar'!$V$308&lt;=GRID_TO)*('Dvd Calendar'!$V$308&lt;=VAL_DATE)=0,"",'Dvd Calendar'!$V$308*1000000000+ISNUMBER('Dvd Calendar'!$V$311)*100000000+('Dvd Calendar'!$V$313=SPECIAL_LBL)*10000000+0*1000000+28*1000+18))</f>
        <v/>
      </c>
      <c r="EW39" s="35">
        <f>IF(N('Dvd Calendar'!$W$308)=0,"",IF(('Dvd Calendar'!$W$308&gt;=GRID_FROM)*('Dvd Calendar'!$W$308&lt;=GRID_TO)*('Dvd Calendar'!$W$308&lt;=VAL_DATE)=0,"",'Dvd Calendar'!$W$308*1000000000+ISNUMBER('Dvd Calendar'!$W$311)*100000000+('Dvd Calendar'!$W$313=SPECIAL_LBL)*10000000+0*1000000+28*1000+19))</f>
        <v/>
      </c>
      <c r="EX39" s="35">
        <f>IF(N('Dvd Calendar'!$X$308)=0,"",IF(('Dvd Calendar'!$X$308&gt;=GRID_FROM)*('Dvd Calendar'!$X$308&lt;=GRID_TO)*('Dvd Calendar'!$X$308&lt;=VAL_DATE)=0,"",'Dvd Calendar'!$X$308*1000000000+ISNUMBER('Dvd Calendar'!$X$311)*100000000+('Dvd Calendar'!$X$313=SPECIAL_LBL)*10000000+0*1000000+28*1000+20))</f>
        <v/>
      </c>
      <c r="EY39" s="35">
        <f>IF(N('Dvd Calendar'!$Y$308)=0,"",IF(('Dvd Calendar'!$Y$308&gt;=GRID_FROM)*('Dvd Calendar'!$Y$308&lt;=GRID_TO)*('Dvd Calendar'!$Y$308&lt;=VAL_DATE)=0,"",'Dvd Calendar'!$Y$308*1000000000+ISNUMBER('Dvd Calendar'!$Y$311)*100000000+('Dvd Calendar'!$Y$313=SPECIAL_LBL)*10000000+0*1000000+28*1000+21))</f>
        <v/>
      </c>
      <c r="EZ39" s="35">
        <f>IF(N('Dvd Calendar'!$Z$308)=0,"",IF(('Dvd Calendar'!$Z$308&gt;=GRID_FROM)*('Dvd Calendar'!$Z$308&lt;=GRID_TO)*('Dvd Calendar'!$Z$308&lt;=VAL_DATE)=0,"",'Dvd Calendar'!$Z$308*1000000000+ISNUMBER('Dvd Calendar'!$Z$311)*100000000+('Dvd Calendar'!$Z$313=SPECIAL_LBL)*10000000+0*1000000+28*1000+22))</f>
        <v/>
      </c>
      <c r="FA39" s="35">
        <f>IF(N('Dvd Calendar'!$AA$308)=0,"",IF(('Dvd Calendar'!$AA$308&gt;=GRID_FROM)*('Dvd Calendar'!$AA$308&lt;=GRID_TO)*('Dvd Calendar'!$AA$308&lt;=VAL_DATE)=0,"",'Dvd Calendar'!$AA$308*1000000000+ISNUMBER('Dvd Calendar'!$AA$311)*100000000+('Dvd Calendar'!$AA$313=SPECIAL_LBL)*10000000+0*1000000+28*1000+23))</f>
        <v/>
      </c>
      <c r="FB39" s="35">
        <f>IF(N('Dvd Calendar'!$AB$308)=0,"",IF(('Dvd Calendar'!$AB$308&gt;=GRID_FROM)*('Dvd Calendar'!$AB$308&lt;=GRID_TO)*('Dvd Calendar'!$AB$308&lt;=VAL_DATE)=0,"",'Dvd Calendar'!$AB$308*1000000000+ISNUMBER('Dvd Calendar'!$AB$311)*100000000+('Dvd Calendar'!$AB$313=SPECIAL_LBL)*10000000+0*1000000+28*1000+24))</f>
        <v/>
      </c>
      <c r="FC39" s="35">
        <f>IF(N('Dvd Calendar'!$AC$308)=0,"",IF(('Dvd Calendar'!$AC$308&gt;=GRID_FROM)*('Dvd Calendar'!$AC$308&lt;=GRID_TO)*('Dvd Calendar'!$AC$308&lt;=VAL_DATE)=0,"",'Dvd Calendar'!$AC$308*1000000000+ISNUMBER('Dvd Calendar'!$AC$311)*100000000+('Dvd Calendar'!$AC$313=SPECIAL_LBL)*10000000+0*1000000+28*1000+25))</f>
        <v/>
      </c>
      <c r="FD39" s="35">
        <f>IF(N('Dvd Calendar'!$AD$308)=0,"",IF(('Dvd Calendar'!$AD$308&gt;=GRID_FROM)*('Dvd Calendar'!$AD$308&lt;=GRID_TO)*('Dvd Calendar'!$AD$308&lt;=VAL_DATE)=0,"",'Dvd Calendar'!$AD$308*1000000000+ISNUMBER('Dvd Calendar'!$AD$311)*100000000+('Dvd Calendar'!$AD$313=SPECIAL_LBL)*10000000+0*1000000+28*1000+26))</f>
        <v/>
      </c>
      <c r="FE39" s="35">
        <f>IF(N('Dvd Calendar'!$AE$308)=0,"",IF(('Dvd Calendar'!$AE$308&gt;=GRID_FROM)*('Dvd Calendar'!$AE$308&lt;=GRID_TO)*('Dvd Calendar'!$AE$308&lt;=VAL_DATE)=0,"",'Dvd Calendar'!$AE$308*1000000000+ISNUMBER('Dvd Calendar'!$AE$311)*100000000+('Dvd Calendar'!$AE$313=SPECIAL_LBL)*10000000+0*1000000+28*1000+27))</f>
        <v/>
      </c>
      <c r="FF39" s="35">
        <f>IF(N('Dvd Calendar'!$AF$308)=0,"",IF(('Dvd Calendar'!$AF$308&gt;=GRID_FROM)*('Dvd Calendar'!$AF$308&lt;=GRID_TO)*('Dvd Calendar'!$AF$308&lt;=VAL_DATE)=0,"",'Dvd Calendar'!$AF$308*1000000000+ISNUMBER('Dvd Calendar'!$AF$311)*100000000+('Dvd Calendar'!$AF$313=SPECIAL_LBL)*10000000+0*1000000+28*1000+28))</f>
        <v/>
      </c>
      <c r="FG39" s="35">
        <f>IF(N('Dvd Calendar'!$AG$308)=0,"",IF(('Dvd Calendar'!$AG$308&gt;=GRID_FROM)*('Dvd Calendar'!$AG$308&lt;=GRID_TO)*('Dvd Calendar'!$AG$308&lt;=VAL_DATE)=0,"",'Dvd Calendar'!$AG$308*1000000000+ISNUMBER('Dvd Calendar'!$AG$311)*100000000+('Dvd Calendar'!$AG$313=SPECIAL_LBL)*10000000+0*1000000+28*1000+29))</f>
        <v/>
      </c>
      <c r="FH39" s="35">
        <f>IF(N('Dvd Calendar'!$AH$308)=0,"",IF(('Dvd Calendar'!$AH$308&gt;=GRID_FROM)*('Dvd Calendar'!$AH$308&lt;=GRID_TO)*('Dvd Calendar'!$AH$308&lt;=VAL_DATE)=0,"",'Dvd Calendar'!$AH$308*1000000000+ISNUMBER('Dvd Calendar'!$AH$311)*100000000+('Dvd Calendar'!$AH$313=SPECIAL_LBL)*10000000+0*1000000+28*1000+30))</f>
        <v/>
      </c>
      <c r="FI39" s="35">
        <f>IF(N('Dvd Calendar'!$AI$308)=0,"",IF(('Dvd Calendar'!$AI$308&gt;=GRID_FROM)*('Dvd Calendar'!$AI$308&lt;=GRID_TO)*('Dvd Calendar'!$AI$308&lt;=VAL_DATE)=0,"",'Dvd Calendar'!$AI$308*1000000000+ISNUMBER('Dvd Calendar'!$AI$311)*100000000+('Dvd Calendar'!$AI$313=SPECIAL_LBL)*10000000+0*1000000+28*1000+31))</f>
        <v/>
      </c>
      <c r="FJ39" s="35">
        <f>IF(N('Dvd Calendar'!$AJ$308)=0,"",IF(('Dvd Calendar'!$AJ$308&gt;=GRID_FROM)*('Dvd Calendar'!$AJ$308&lt;=GRID_TO)*('Dvd Calendar'!$AJ$308&lt;=VAL_DATE)=0,"",'Dvd Calendar'!$AJ$308*1000000000+ISNUMBER('Dvd Calendar'!$AJ$311)*100000000+('Dvd Calendar'!$AJ$313=SPECIAL_LBL)*10000000+0*1000000+28*1000+32))</f>
        <v/>
      </c>
      <c r="FK39" s="35">
        <f>IF(N('Dvd Calendar'!$AK$308)=0,"",IF(('Dvd Calendar'!$AK$308&gt;=GRID_FROM)*('Dvd Calendar'!$AK$308&lt;=GRID_TO)*('Dvd Calendar'!$AK$308&lt;=VAL_DATE)=0,"",'Dvd Calendar'!$AK$308*1000000000+ISNUMBER('Dvd Calendar'!$AK$311)*100000000+('Dvd Calendar'!$AK$313=SPECIAL_LBL)*10000000+0*1000000+28*1000+33))</f>
        <v/>
      </c>
      <c r="FL39" s="35">
        <f>IF(N('Dvd Calendar'!$AL$308)=0,"",IF(('Dvd Calendar'!$AL$308&gt;=GRID_FROM)*('Dvd Calendar'!$AL$308&lt;=GRID_TO)*('Dvd Calendar'!$AL$308&lt;=VAL_DATE)=0,"",'Dvd Calendar'!$AL$308*1000000000+ISNUMBER('Dvd Calendar'!$AL$311)*100000000+('Dvd Calendar'!$AL$313=SPECIAL_LBL)*10000000+0*1000000+28*1000+34))</f>
        <v/>
      </c>
      <c r="FM39" s="35">
        <f>IF(N('Dvd Calendar'!$AM$308)=0,"",IF(('Dvd Calendar'!$AM$308&gt;=GRID_FROM)*('Dvd Calendar'!$AM$308&lt;=GRID_TO)*('Dvd Calendar'!$AM$308&lt;=VAL_DATE)=0,"",'Dvd Calendar'!$AM$308*1000000000+ISNUMBER('Dvd Calendar'!$AM$311)*100000000+('Dvd Calendar'!$AM$313=SPECIAL_LBL)*10000000+0*1000000+28*1000+35))</f>
        <v/>
      </c>
      <c r="FN39" s="35">
        <f>IF(N('Dvd Calendar'!$AN$308)=0,"",IF(('Dvd Calendar'!$AN$308&gt;=GRID_FROM)*('Dvd Calendar'!$AN$308&lt;=GRID_TO)*('Dvd Calendar'!$AN$308&lt;=VAL_DATE)=0,"",'Dvd Calendar'!$AN$308*1000000000+ISNUMBER('Dvd Calendar'!$AN$311)*100000000+('Dvd Calendar'!$AN$313=SPECIAL_LBL)*10000000+0*1000000+28*1000+36))</f>
        <v/>
      </c>
      <c r="FO39" s="35">
        <f>IF(N('Dvd Calendar'!$AO$308)=0,"",IF(('Dvd Calendar'!$AO$308&gt;=GRID_FROM)*('Dvd Calendar'!$AO$308&lt;=GRID_TO)*('Dvd Calendar'!$AO$308&lt;=VAL_DATE)=0,"",'Dvd Calendar'!$AO$308*1000000000+ISNUMBER('Dvd Calendar'!$AO$311)*100000000+('Dvd Calendar'!$AO$313=SPECIAL_LBL)*10000000+0*1000000+28*1000+37))</f>
        <v/>
      </c>
      <c r="FP39" s="35">
        <f>IF(N('Dvd Calendar'!$AP$308)=0,"",IF(('Dvd Calendar'!$AP$308&gt;=GRID_FROM)*('Dvd Calendar'!$AP$308&lt;=GRID_TO)*('Dvd Calendar'!$AP$308&lt;=VAL_DATE)=0,"",'Dvd Calendar'!$AP$308*1000000000+ISNUMBER('Dvd Calendar'!$AP$311)*100000000+('Dvd Calendar'!$AP$313=SPECIAL_LBL)*10000000+0*1000000+28*1000+38))</f>
        <v/>
      </c>
      <c r="FQ39" s="35">
        <f>IF(N('Dvd Calendar'!$AQ$308)=0,"",IF(('Dvd Calendar'!$AQ$308&gt;=GRID_FROM)*('Dvd Calendar'!$AQ$308&lt;=GRID_TO)*('Dvd Calendar'!$AQ$308&lt;=VAL_DATE)=0,"",'Dvd Calendar'!$AQ$308*1000000000+ISNUMBER('Dvd Calendar'!$AQ$311)*100000000+('Dvd Calendar'!$AQ$313=SPECIAL_LBL)*10000000+0*1000000+28*1000+39))</f>
        <v/>
      </c>
      <c r="FR39" s="35">
        <f>IF(N('Dvd Calendar'!$AR$308)=0,"",IF(('Dvd Calendar'!$AR$308&gt;=GRID_FROM)*('Dvd Calendar'!$AR$308&lt;=GRID_TO)*('Dvd Calendar'!$AR$308&lt;=VAL_DATE)=0,"",'Dvd Calendar'!$AR$308*1000000000+ISNUMBER('Dvd Calendar'!$AR$311)*100000000+('Dvd Calendar'!$AR$313=SPECIAL_LBL)*10000000+0*1000000+28*1000+40))</f>
        <v/>
      </c>
      <c r="FS39" s="35">
        <f>IF(N('Dvd Calendar'!$E$315)=0,"",IF(('Dvd Calendar'!$E$315&gt;=GRID_FROM)*('Dvd Calendar'!$E$315&lt;=GRID_TO)*('Dvd Calendar'!$E$315&gt;VAL_DATE)=0,"",'Dvd Calendar'!$E$315*1000000000+ISNUMBER('Dvd Calendar'!$E$316)*100000000+0*10000000+(N('Dvd Calendar'!$E$314)&gt;0)*(N('Dvd Calendar'!$E$314)&lt;=VAL_SERIAL)*1000000+28*1000+41))</f>
        <v/>
      </c>
      <c r="FT39" s="35">
        <f>IF(N('Dvd Calendar'!$F$315)=0,"",IF(('Dvd Calendar'!$F$315&gt;=GRID_FROM)*('Dvd Calendar'!$F$315&lt;=GRID_TO)*('Dvd Calendar'!$F$315&gt;VAL_DATE)=0,"",'Dvd Calendar'!$F$315*1000000000+ISNUMBER('Dvd Calendar'!$F$316)*100000000+0*10000000+(N('Dvd Calendar'!$F$314)&gt;0)*(N('Dvd Calendar'!$F$314)&lt;=VAL_SERIAL)*1000000+28*1000+42))</f>
        <v/>
      </c>
      <c r="FU39" s="35">
        <f>IF(N('Dvd Calendar'!$G$315)=0,"",IF(('Dvd Calendar'!$G$315&gt;=GRID_FROM)*('Dvd Calendar'!$G$315&lt;=GRID_TO)*('Dvd Calendar'!$G$315&gt;VAL_DATE)=0,"",'Dvd Calendar'!$G$315*1000000000+ISNUMBER('Dvd Calendar'!$G$316)*100000000+0*10000000+(N('Dvd Calendar'!$G$314)&gt;0)*(N('Dvd Calendar'!$G$314)&lt;=VAL_SERIAL)*1000000+28*1000+43))</f>
        <v/>
      </c>
      <c r="FV39" s="35">
        <f>IF(N('Dvd Calendar'!$H$315)=0,"",IF(('Dvd Calendar'!$H$315&gt;=GRID_FROM)*('Dvd Calendar'!$H$315&lt;=GRID_TO)*('Dvd Calendar'!$H$315&gt;VAL_DATE)=0,"",'Dvd Calendar'!$H$315*1000000000+ISNUMBER('Dvd Calendar'!$H$316)*100000000+0*10000000+(N('Dvd Calendar'!$H$314)&gt;0)*(N('Dvd Calendar'!$H$314)&lt;=VAL_SERIAL)*1000000+28*1000+44))</f>
        <v/>
      </c>
      <c r="FW39" s="35">
        <f>IF(N('Dvd Calendar'!$I$315)=0,"",IF(('Dvd Calendar'!$I$315&gt;=GRID_FROM)*('Dvd Calendar'!$I$315&lt;=GRID_TO)*('Dvd Calendar'!$I$315&gt;VAL_DATE)=0,"",'Dvd Calendar'!$I$315*1000000000+ISNUMBER('Dvd Calendar'!$I$316)*100000000+0*10000000+(N('Dvd Calendar'!$I$314)&gt;0)*(N('Dvd Calendar'!$I$314)&lt;=VAL_SERIAL)*1000000+28*1000+45))</f>
        <v/>
      </c>
      <c r="FX39" s="35">
        <f>IF(N('Dvd Calendar'!$J$315)=0,"",IF(('Dvd Calendar'!$J$315&gt;=GRID_FROM)*('Dvd Calendar'!$J$315&lt;=GRID_TO)*('Dvd Calendar'!$J$315&gt;VAL_DATE)=0,"",'Dvd Calendar'!$J$315*1000000000+ISNUMBER('Dvd Calendar'!$J$316)*100000000+0*10000000+(N('Dvd Calendar'!$J$314)&gt;0)*(N('Dvd Calendar'!$J$314)&lt;=VAL_SERIAL)*1000000+28*1000+46))</f>
        <v/>
      </c>
      <c r="FY39" s="35">
        <f>IF(N('Dvd Calendar'!$K$315)=0,"",IF(('Dvd Calendar'!$K$315&gt;=GRID_FROM)*('Dvd Calendar'!$K$315&lt;=GRID_TO)*('Dvd Calendar'!$K$315&gt;VAL_DATE)=0,"",'Dvd Calendar'!$K$315*1000000000+ISNUMBER('Dvd Calendar'!$K$316)*100000000+0*10000000+(N('Dvd Calendar'!$K$314)&gt;0)*(N('Dvd Calendar'!$K$314)&lt;=VAL_SERIAL)*1000000+28*1000+47))</f>
        <v/>
      </c>
      <c r="FZ39" s="35">
        <f>IF(N('Dvd Calendar'!$L$315)=0,"",IF(('Dvd Calendar'!$L$315&gt;=GRID_FROM)*('Dvd Calendar'!$L$315&lt;=GRID_TO)*('Dvd Calendar'!$L$315&gt;VAL_DATE)=0,"",'Dvd Calendar'!$L$315*1000000000+ISNUMBER('Dvd Calendar'!$L$316)*100000000+0*10000000+(N('Dvd Calendar'!$L$314)&gt;0)*(N('Dvd Calendar'!$L$314)&lt;=VAL_SERIAL)*1000000+28*1000+48))</f>
        <v/>
      </c>
      <c r="GA39" s="35">
        <f>IF(N('Dvd Calendar'!$M$315)=0,"",IF(('Dvd Calendar'!$M$315&gt;=GRID_FROM)*('Dvd Calendar'!$M$315&lt;=GRID_TO)*('Dvd Calendar'!$M$315&gt;VAL_DATE)=0,"",'Dvd Calendar'!$M$315*1000000000+ISNUMBER('Dvd Calendar'!$M$316)*100000000+0*10000000+(N('Dvd Calendar'!$M$314)&gt;0)*(N('Dvd Calendar'!$M$314)&lt;=VAL_SERIAL)*1000000+28*1000+49))</f>
        <v/>
      </c>
      <c r="GB39" s="35">
        <f>IF(N('Dvd Calendar'!$N$315)=0,"",IF(('Dvd Calendar'!$N$315&gt;=GRID_FROM)*('Dvd Calendar'!$N$315&lt;=GRID_TO)*('Dvd Calendar'!$N$315&gt;VAL_DATE)=0,"",'Dvd Calendar'!$N$315*1000000000+ISNUMBER('Dvd Calendar'!$N$316)*100000000+0*10000000+(N('Dvd Calendar'!$N$314)&gt;0)*(N('Dvd Calendar'!$N$314)&lt;=VAL_SERIAL)*1000000+28*1000+50))</f>
        <v/>
      </c>
      <c r="GC39" s="35">
        <f>IF(N('Dvd Calendar'!$O$315)=0,"",IF(('Dvd Calendar'!$O$315&gt;=GRID_FROM)*('Dvd Calendar'!$O$315&lt;=GRID_TO)*('Dvd Calendar'!$O$315&gt;VAL_DATE)=0,"",'Dvd Calendar'!$O$315*1000000000+ISNUMBER('Dvd Calendar'!$O$316)*100000000+0*10000000+(N('Dvd Calendar'!$O$314)&gt;0)*(N('Dvd Calendar'!$O$314)&lt;=VAL_SERIAL)*1000000+28*1000+51))</f>
        <v/>
      </c>
      <c r="GD39" s="35">
        <f>IF(N('Dvd Calendar'!$P$315)=0,"",IF(('Dvd Calendar'!$P$315&gt;=GRID_FROM)*('Dvd Calendar'!$P$315&lt;=GRID_TO)*('Dvd Calendar'!$P$315&gt;VAL_DATE)=0,"",'Dvd Calendar'!$P$315*1000000000+ISNUMBER('Dvd Calendar'!$P$316)*100000000+0*10000000+(N('Dvd Calendar'!$P$314)&gt;0)*(N('Dvd Calendar'!$P$314)&lt;=VAL_SERIAL)*1000000+28*1000+52))</f>
        <v/>
      </c>
      <c r="GE39" s="35">
        <f>IF(N('Dvd Calendar'!$Q$315)=0,"",IF(('Dvd Calendar'!$Q$315&gt;=GRID_FROM)*('Dvd Calendar'!$Q$315&lt;=GRID_TO)*('Dvd Calendar'!$Q$315&gt;VAL_DATE)=0,"",'Dvd Calendar'!$Q$315*1000000000+ISNUMBER('Dvd Calendar'!$Q$316)*100000000+0*10000000+(N('Dvd Calendar'!$Q$314)&gt;0)*(N('Dvd Calendar'!$Q$314)&lt;=VAL_SERIAL)*1000000+28*1000+53))</f>
        <v/>
      </c>
      <c r="GF39" s="35">
        <f>IF(N('Dvd Calendar'!$R$315)=0,"",IF(('Dvd Calendar'!$R$315&gt;=GRID_FROM)*('Dvd Calendar'!$R$315&lt;=GRID_TO)*('Dvd Calendar'!$R$315&gt;VAL_DATE)=0,"",'Dvd Calendar'!$R$315*1000000000+ISNUMBER('Dvd Calendar'!$R$316)*100000000+0*10000000+(N('Dvd Calendar'!$R$314)&gt;0)*(N('Dvd Calendar'!$R$314)&lt;=VAL_SERIAL)*1000000+28*1000+54))</f>
        <v/>
      </c>
      <c r="GG39" s="35">
        <f>IF(N('Dvd Calendar'!$S$315)=0,"",IF(('Dvd Calendar'!$S$315&gt;=GRID_FROM)*('Dvd Calendar'!$S$315&lt;=GRID_TO)*('Dvd Calendar'!$S$315&gt;VAL_DATE)=0,"",'Dvd Calendar'!$S$315*1000000000+ISNUMBER('Dvd Calendar'!$S$316)*100000000+0*10000000+(N('Dvd Calendar'!$S$314)&gt;0)*(N('Dvd Calendar'!$S$314)&lt;=VAL_SERIAL)*1000000+28*1000+55))</f>
        <v/>
      </c>
      <c r="GH39" s="35">
        <f>IF(N('Dvd Calendar'!$T$315)=0,"",IF(('Dvd Calendar'!$T$315&gt;=GRID_FROM)*('Dvd Calendar'!$T$315&lt;=GRID_TO)*('Dvd Calendar'!$T$315&gt;VAL_DATE)=0,"",'Dvd Calendar'!$T$315*1000000000+ISNUMBER('Dvd Calendar'!$T$316)*100000000+0*10000000+(N('Dvd Calendar'!$T$314)&gt;0)*(N('Dvd Calendar'!$T$314)&lt;=VAL_SERIAL)*1000000+28*1000+56))</f>
        <v/>
      </c>
      <c r="GI39" s="35">
        <f>IF(N('Dvd Calendar'!$U$315)=0,"",IF(('Dvd Calendar'!$U$315&gt;=GRID_FROM)*('Dvd Calendar'!$U$315&lt;=GRID_TO)*('Dvd Calendar'!$U$315&gt;VAL_DATE)=0,"",'Dvd Calendar'!$U$315*1000000000+ISNUMBER('Dvd Calendar'!$U$316)*100000000+0*10000000+(N('Dvd Calendar'!$U$314)&gt;0)*(N('Dvd Calendar'!$U$314)&lt;=VAL_SERIAL)*1000000+28*1000+57))</f>
        <v/>
      </c>
      <c r="GJ39" s="35">
        <f>IF(N('Dvd Calendar'!$V$315)=0,"",IF(('Dvd Calendar'!$V$315&gt;=GRID_FROM)*('Dvd Calendar'!$V$315&lt;=GRID_TO)*('Dvd Calendar'!$V$315&gt;VAL_DATE)=0,"",'Dvd Calendar'!$V$315*1000000000+ISNUMBER('Dvd Calendar'!$V$316)*100000000+0*10000000+(N('Dvd Calendar'!$V$314)&gt;0)*(N('Dvd Calendar'!$V$314)&lt;=VAL_SERIAL)*1000000+28*1000+58))</f>
        <v/>
      </c>
      <c r="GK39" s="35">
        <f>IF(N('Dvd Calendar'!$W$315)=0,"",IF(('Dvd Calendar'!$W$315&gt;=GRID_FROM)*('Dvd Calendar'!$W$315&lt;=GRID_TO)*('Dvd Calendar'!$W$315&gt;VAL_DATE)=0,"",'Dvd Calendar'!$W$315*1000000000+ISNUMBER('Dvd Calendar'!$W$316)*100000000+0*10000000+(N('Dvd Calendar'!$W$314)&gt;0)*(N('Dvd Calendar'!$W$314)&lt;=VAL_SERIAL)*1000000+28*1000+59))</f>
        <v/>
      </c>
      <c r="GL39" s="35">
        <f>IF(N('Dvd Calendar'!$X$315)=0,"",IF(('Dvd Calendar'!$X$315&gt;=GRID_FROM)*('Dvd Calendar'!$X$315&lt;=GRID_TO)*('Dvd Calendar'!$X$315&gt;VAL_DATE)=0,"",'Dvd Calendar'!$X$315*1000000000+ISNUMBER('Dvd Calendar'!$X$316)*100000000+0*10000000+(N('Dvd Calendar'!$X$314)&gt;0)*(N('Dvd Calendar'!$X$314)&lt;=VAL_SERIAL)*1000000+28*1000+60))</f>
        <v/>
      </c>
      <c r="GM39" s="35">
        <f>IF(N('Dvd Calendar'!$Y$315)=0,"",IF(('Dvd Calendar'!$Y$315&gt;=GRID_FROM)*('Dvd Calendar'!$Y$315&lt;=GRID_TO)*('Dvd Calendar'!$Y$315&gt;VAL_DATE)=0,"",'Dvd Calendar'!$Y$315*1000000000+ISNUMBER('Dvd Calendar'!$Y$316)*100000000+0*10000000+(N('Dvd Calendar'!$Y$314)&gt;0)*(N('Dvd Calendar'!$Y$314)&lt;=VAL_SERIAL)*1000000+28*1000+61))</f>
        <v/>
      </c>
      <c r="GN39" s="35">
        <f>IF(N('Dvd Calendar'!$Z$315)=0,"",IF(('Dvd Calendar'!$Z$315&gt;=GRID_FROM)*('Dvd Calendar'!$Z$315&lt;=GRID_TO)*('Dvd Calendar'!$Z$315&gt;VAL_DATE)=0,"",'Dvd Calendar'!$Z$315*1000000000+ISNUMBER('Dvd Calendar'!$Z$316)*100000000+0*10000000+(N('Dvd Calendar'!$Z$314)&gt;0)*(N('Dvd Calendar'!$Z$314)&lt;=VAL_SERIAL)*1000000+28*1000+62))</f>
        <v/>
      </c>
      <c r="GO39" s="35">
        <f>IF(N('Dvd Calendar'!$AA$315)=0,"",IF(('Dvd Calendar'!$AA$315&gt;=GRID_FROM)*('Dvd Calendar'!$AA$315&lt;=GRID_TO)*('Dvd Calendar'!$AA$315&gt;VAL_DATE)=0,"",'Dvd Calendar'!$AA$315*1000000000+ISNUMBER('Dvd Calendar'!$AA$316)*100000000+0*10000000+(N('Dvd Calendar'!$AA$314)&gt;0)*(N('Dvd Calendar'!$AA$314)&lt;=VAL_SERIAL)*1000000+28*1000+63))</f>
        <v/>
      </c>
      <c r="GP39" s="35">
        <f>IF(N('Dvd Calendar'!$AB$315)=0,"",IF(('Dvd Calendar'!$AB$315&gt;=GRID_FROM)*('Dvd Calendar'!$AB$315&lt;=GRID_TO)*('Dvd Calendar'!$AB$315&gt;VAL_DATE)=0,"",'Dvd Calendar'!$AB$315*1000000000+ISNUMBER('Dvd Calendar'!$AB$316)*100000000+0*10000000+(N('Dvd Calendar'!$AB$314)&gt;0)*(N('Dvd Calendar'!$AB$314)&lt;=VAL_SERIAL)*1000000+28*1000+64))</f>
        <v/>
      </c>
      <c r="GQ39" s="35">
        <f>IF(N('Dvd Calendar'!$AC$315)=0,"",IF(('Dvd Calendar'!$AC$315&gt;=GRID_FROM)*('Dvd Calendar'!$AC$315&lt;=GRID_TO)*('Dvd Calendar'!$AC$315&gt;VAL_DATE)=0,"",'Dvd Calendar'!$AC$315*1000000000+ISNUMBER('Dvd Calendar'!$AC$316)*100000000+0*10000000+(N('Dvd Calendar'!$AC$314)&gt;0)*(N('Dvd Calendar'!$AC$314)&lt;=VAL_SERIAL)*1000000+28*1000+65))</f>
        <v/>
      </c>
    </row>
    <row r="40">
      <c r="B40" s="2">
        <f>IF(HSI!$C$35="","",HSI!$C$35)</f>
        <v/>
      </c>
      <c r="C40" s="106">
        <f>IF(EE40="","",IF(ISNUMBER('Dvd Calendar'!$E$322)=FALSE,"",IF((('Dvd Calendar'!$E$324=TYPE1)*(TYPE1&lt;&gt;"")+('Dvd Calendar'!$E$324=TYPE2)*(TYPE2&lt;&gt;"")+('Dvd Calendar'!$E$324=TYPE3)*(TYPE3&lt;&gt;"")+('Dvd Calendar'!$E$324=TYPE4)*(TYPE4&lt;&gt;"")+('Dvd Calendar'!$E$324=SPECIAL_LBL)*(INC_SPECIALS="Y"))=0,"",'Dvd Calendar'!$E$322)))</f>
        <v/>
      </c>
      <c r="D40" s="106">
        <f>IF(EF40="","",IF(ISNUMBER('Dvd Calendar'!$F$322)=FALSE,"",IF((('Dvd Calendar'!$F$324=TYPE1)*(TYPE1&lt;&gt;"")+('Dvd Calendar'!$F$324=TYPE2)*(TYPE2&lt;&gt;"")+('Dvd Calendar'!$F$324=TYPE3)*(TYPE3&lt;&gt;"")+('Dvd Calendar'!$F$324=TYPE4)*(TYPE4&lt;&gt;"")+('Dvd Calendar'!$F$324=SPECIAL_LBL)*(INC_SPECIALS="Y"))=0,"",'Dvd Calendar'!$F$322)))</f>
        <v/>
      </c>
      <c r="E40" s="106">
        <f>IF(EG40="","",IF(ISNUMBER('Dvd Calendar'!$G$322)=FALSE,"",IF((('Dvd Calendar'!$G$324=TYPE1)*(TYPE1&lt;&gt;"")+('Dvd Calendar'!$G$324=TYPE2)*(TYPE2&lt;&gt;"")+('Dvd Calendar'!$G$324=TYPE3)*(TYPE3&lt;&gt;"")+('Dvd Calendar'!$G$324=TYPE4)*(TYPE4&lt;&gt;"")+('Dvd Calendar'!$G$324=SPECIAL_LBL)*(INC_SPECIALS="Y"))=0,"",'Dvd Calendar'!$G$322)))</f>
        <v/>
      </c>
      <c r="F40" s="106">
        <f>IF(EH40="","",IF(ISNUMBER('Dvd Calendar'!$H$322)=FALSE,"",IF((('Dvd Calendar'!$H$324=TYPE1)*(TYPE1&lt;&gt;"")+('Dvd Calendar'!$H$324=TYPE2)*(TYPE2&lt;&gt;"")+('Dvd Calendar'!$H$324=TYPE3)*(TYPE3&lt;&gt;"")+('Dvd Calendar'!$H$324=TYPE4)*(TYPE4&lt;&gt;"")+('Dvd Calendar'!$H$324=SPECIAL_LBL)*(INC_SPECIALS="Y"))=0,"",'Dvd Calendar'!$H$322)))</f>
        <v/>
      </c>
      <c r="G40" s="106">
        <f>IF(EI40="","",IF(ISNUMBER('Dvd Calendar'!$I$322)=FALSE,"",IF((('Dvd Calendar'!$I$324=TYPE1)*(TYPE1&lt;&gt;"")+('Dvd Calendar'!$I$324=TYPE2)*(TYPE2&lt;&gt;"")+('Dvd Calendar'!$I$324=TYPE3)*(TYPE3&lt;&gt;"")+('Dvd Calendar'!$I$324=TYPE4)*(TYPE4&lt;&gt;"")+('Dvd Calendar'!$I$324=SPECIAL_LBL)*(INC_SPECIALS="Y"))=0,"",'Dvd Calendar'!$I$322)))</f>
        <v/>
      </c>
      <c r="H40" s="106">
        <f>IF(EJ40="","",IF(ISNUMBER('Dvd Calendar'!$J$322)=FALSE,"",IF((('Dvd Calendar'!$J$324=TYPE1)*(TYPE1&lt;&gt;"")+('Dvd Calendar'!$J$324=TYPE2)*(TYPE2&lt;&gt;"")+('Dvd Calendar'!$J$324=TYPE3)*(TYPE3&lt;&gt;"")+('Dvd Calendar'!$J$324=TYPE4)*(TYPE4&lt;&gt;"")+('Dvd Calendar'!$J$324=SPECIAL_LBL)*(INC_SPECIALS="Y"))=0,"",'Dvd Calendar'!$J$322)))</f>
        <v/>
      </c>
      <c r="I40" s="106">
        <f>IF(EK40="","",IF(ISNUMBER('Dvd Calendar'!$K$322)=FALSE,"",IF((('Dvd Calendar'!$K$324=TYPE1)*(TYPE1&lt;&gt;"")+('Dvd Calendar'!$K$324=TYPE2)*(TYPE2&lt;&gt;"")+('Dvd Calendar'!$K$324=TYPE3)*(TYPE3&lt;&gt;"")+('Dvd Calendar'!$K$324=TYPE4)*(TYPE4&lt;&gt;"")+('Dvd Calendar'!$K$324=SPECIAL_LBL)*(INC_SPECIALS="Y"))=0,"",'Dvd Calendar'!$K$322)))</f>
        <v/>
      </c>
      <c r="J40" s="106">
        <f>IF(EL40="","",IF(ISNUMBER('Dvd Calendar'!$L$322)=FALSE,"",IF((('Dvd Calendar'!$L$324=TYPE1)*(TYPE1&lt;&gt;"")+('Dvd Calendar'!$L$324=TYPE2)*(TYPE2&lt;&gt;"")+('Dvd Calendar'!$L$324=TYPE3)*(TYPE3&lt;&gt;"")+('Dvd Calendar'!$L$324=TYPE4)*(TYPE4&lt;&gt;"")+('Dvd Calendar'!$L$324=SPECIAL_LBL)*(INC_SPECIALS="Y"))=0,"",'Dvd Calendar'!$L$322)))</f>
        <v/>
      </c>
      <c r="K40" s="106">
        <f>IF(EM40="","",IF(ISNUMBER('Dvd Calendar'!$M$322)=FALSE,"",IF((('Dvd Calendar'!$M$324=TYPE1)*(TYPE1&lt;&gt;"")+('Dvd Calendar'!$M$324=TYPE2)*(TYPE2&lt;&gt;"")+('Dvd Calendar'!$M$324=TYPE3)*(TYPE3&lt;&gt;"")+('Dvd Calendar'!$M$324=TYPE4)*(TYPE4&lt;&gt;"")+('Dvd Calendar'!$M$324=SPECIAL_LBL)*(INC_SPECIALS="Y"))=0,"",'Dvd Calendar'!$M$322)))</f>
        <v/>
      </c>
      <c r="L40" s="106">
        <f>IF(EN40="","",IF(ISNUMBER('Dvd Calendar'!$N$322)=FALSE,"",IF((('Dvd Calendar'!$N$324=TYPE1)*(TYPE1&lt;&gt;"")+('Dvd Calendar'!$N$324=TYPE2)*(TYPE2&lt;&gt;"")+('Dvd Calendar'!$N$324=TYPE3)*(TYPE3&lt;&gt;"")+('Dvd Calendar'!$N$324=TYPE4)*(TYPE4&lt;&gt;"")+('Dvd Calendar'!$N$324=SPECIAL_LBL)*(INC_SPECIALS="Y"))=0,"",'Dvd Calendar'!$N$322)))</f>
        <v/>
      </c>
      <c r="M40" s="106">
        <f>IF(EO40="","",IF(ISNUMBER('Dvd Calendar'!$O$322)=FALSE,"",IF((('Dvd Calendar'!$O$324=TYPE1)*(TYPE1&lt;&gt;"")+('Dvd Calendar'!$O$324=TYPE2)*(TYPE2&lt;&gt;"")+('Dvd Calendar'!$O$324=TYPE3)*(TYPE3&lt;&gt;"")+('Dvd Calendar'!$O$324=TYPE4)*(TYPE4&lt;&gt;"")+('Dvd Calendar'!$O$324=SPECIAL_LBL)*(INC_SPECIALS="Y"))=0,"",'Dvd Calendar'!$O$322)))</f>
        <v/>
      </c>
      <c r="N40" s="106">
        <f>IF(EP40="","",IF(ISNUMBER('Dvd Calendar'!$P$322)=FALSE,"",IF((('Dvd Calendar'!$P$324=TYPE1)*(TYPE1&lt;&gt;"")+('Dvd Calendar'!$P$324=TYPE2)*(TYPE2&lt;&gt;"")+('Dvd Calendar'!$P$324=TYPE3)*(TYPE3&lt;&gt;"")+('Dvd Calendar'!$P$324=TYPE4)*(TYPE4&lt;&gt;"")+('Dvd Calendar'!$P$324=SPECIAL_LBL)*(INC_SPECIALS="Y"))=0,"",'Dvd Calendar'!$P$322)))</f>
        <v/>
      </c>
      <c r="O40" s="106">
        <f>IF(EQ40="","",IF(ISNUMBER('Dvd Calendar'!$Q$322)=FALSE,"",IF((('Dvd Calendar'!$Q$324=TYPE1)*(TYPE1&lt;&gt;"")+('Dvd Calendar'!$Q$324=TYPE2)*(TYPE2&lt;&gt;"")+('Dvd Calendar'!$Q$324=TYPE3)*(TYPE3&lt;&gt;"")+('Dvd Calendar'!$Q$324=TYPE4)*(TYPE4&lt;&gt;"")+('Dvd Calendar'!$Q$324=SPECIAL_LBL)*(INC_SPECIALS="Y"))=0,"",'Dvd Calendar'!$Q$322)))</f>
        <v/>
      </c>
      <c r="P40" s="106">
        <f>IF(ER40="","",IF(ISNUMBER('Dvd Calendar'!$R$322)=FALSE,"",IF((('Dvd Calendar'!$R$324=TYPE1)*(TYPE1&lt;&gt;"")+('Dvd Calendar'!$R$324=TYPE2)*(TYPE2&lt;&gt;"")+('Dvd Calendar'!$R$324=TYPE3)*(TYPE3&lt;&gt;"")+('Dvd Calendar'!$R$324=TYPE4)*(TYPE4&lt;&gt;"")+('Dvd Calendar'!$R$324=SPECIAL_LBL)*(INC_SPECIALS="Y"))=0,"",'Dvd Calendar'!$R$322)))</f>
        <v/>
      </c>
      <c r="Q40" s="106">
        <f>IF(ES40="","",IF(ISNUMBER('Dvd Calendar'!$S$322)=FALSE,"",IF((('Dvd Calendar'!$S$324=TYPE1)*(TYPE1&lt;&gt;"")+('Dvd Calendar'!$S$324=TYPE2)*(TYPE2&lt;&gt;"")+('Dvd Calendar'!$S$324=TYPE3)*(TYPE3&lt;&gt;"")+('Dvd Calendar'!$S$324=TYPE4)*(TYPE4&lt;&gt;"")+('Dvd Calendar'!$S$324=SPECIAL_LBL)*(INC_SPECIALS="Y"))=0,"",'Dvd Calendar'!$S$322)))</f>
        <v/>
      </c>
      <c r="R40" s="106">
        <f>IF(ET40="","",IF(ISNUMBER('Dvd Calendar'!$T$322)=FALSE,"",IF((('Dvd Calendar'!$T$324=TYPE1)*(TYPE1&lt;&gt;"")+('Dvd Calendar'!$T$324=TYPE2)*(TYPE2&lt;&gt;"")+('Dvd Calendar'!$T$324=TYPE3)*(TYPE3&lt;&gt;"")+('Dvd Calendar'!$T$324=TYPE4)*(TYPE4&lt;&gt;"")+('Dvd Calendar'!$T$324=SPECIAL_LBL)*(INC_SPECIALS="Y"))=0,"",'Dvd Calendar'!$T$322)))</f>
        <v/>
      </c>
      <c r="S40" s="106">
        <f>IF(EU40="","",IF(ISNUMBER('Dvd Calendar'!$U$322)=FALSE,"",IF((('Dvd Calendar'!$U$324=TYPE1)*(TYPE1&lt;&gt;"")+('Dvd Calendar'!$U$324=TYPE2)*(TYPE2&lt;&gt;"")+('Dvd Calendar'!$U$324=TYPE3)*(TYPE3&lt;&gt;"")+('Dvd Calendar'!$U$324=TYPE4)*(TYPE4&lt;&gt;"")+('Dvd Calendar'!$U$324=SPECIAL_LBL)*(INC_SPECIALS="Y"))=0,"",'Dvd Calendar'!$U$322)))</f>
        <v/>
      </c>
      <c r="T40" s="106">
        <f>IF(EV40="","",IF(ISNUMBER('Dvd Calendar'!$V$322)=FALSE,"",IF((('Dvd Calendar'!$V$324=TYPE1)*(TYPE1&lt;&gt;"")+('Dvd Calendar'!$V$324=TYPE2)*(TYPE2&lt;&gt;"")+('Dvd Calendar'!$V$324=TYPE3)*(TYPE3&lt;&gt;"")+('Dvd Calendar'!$V$324=TYPE4)*(TYPE4&lt;&gt;"")+('Dvd Calendar'!$V$324=SPECIAL_LBL)*(INC_SPECIALS="Y"))=0,"",'Dvd Calendar'!$V$322)))</f>
        <v/>
      </c>
      <c r="U40" s="106">
        <f>IF(EW40="","",IF(ISNUMBER('Dvd Calendar'!$W$322)=FALSE,"",IF((('Dvd Calendar'!$W$324=TYPE1)*(TYPE1&lt;&gt;"")+('Dvd Calendar'!$W$324=TYPE2)*(TYPE2&lt;&gt;"")+('Dvd Calendar'!$W$324=TYPE3)*(TYPE3&lt;&gt;"")+('Dvd Calendar'!$W$324=TYPE4)*(TYPE4&lt;&gt;"")+('Dvd Calendar'!$W$324=SPECIAL_LBL)*(INC_SPECIALS="Y"))=0,"",'Dvd Calendar'!$W$322)))</f>
        <v/>
      </c>
      <c r="V40" s="106">
        <f>IF(EX40="","",IF(ISNUMBER('Dvd Calendar'!$X$322)=FALSE,"",IF((('Dvd Calendar'!$X$324=TYPE1)*(TYPE1&lt;&gt;"")+('Dvd Calendar'!$X$324=TYPE2)*(TYPE2&lt;&gt;"")+('Dvd Calendar'!$X$324=TYPE3)*(TYPE3&lt;&gt;"")+('Dvd Calendar'!$X$324=TYPE4)*(TYPE4&lt;&gt;"")+('Dvd Calendar'!$X$324=SPECIAL_LBL)*(INC_SPECIALS="Y"))=0,"",'Dvd Calendar'!$X$322)))</f>
        <v/>
      </c>
      <c r="W40" s="106">
        <f>IF(EY40="","",IF(ISNUMBER('Dvd Calendar'!$Y$322)=FALSE,"",IF((('Dvd Calendar'!$Y$324=TYPE1)*(TYPE1&lt;&gt;"")+('Dvd Calendar'!$Y$324=TYPE2)*(TYPE2&lt;&gt;"")+('Dvd Calendar'!$Y$324=TYPE3)*(TYPE3&lt;&gt;"")+('Dvd Calendar'!$Y$324=TYPE4)*(TYPE4&lt;&gt;"")+('Dvd Calendar'!$Y$324=SPECIAL_LBL)*(INC_SPECIALS="Y"))=0,"",'Dvd Calendar'!$Y$322)))</f>
        <v/>
      </c>
      <c r="X40" s="106">
        <f>IF(EZ40="","",IF(ISNUMBER('Dvd Calendar'!$Z$322)=FALSE,"",IF((('Dvd Calendar'!$Z$324=TYPE1)*(TYPE1&lt;&gt;"")+('Dvd Calendar'!$Z$324=TYPE2)*(TYPE2&lt;&gt;"")+('Dvd Calendar'!$Z$324=TYPE3)*(TYPE3&lt;&gt;"")+('Dvd Calendar'!$Z$324=TYPE4)*(TYPE4&lt;&gt;"")+('Dvd Calendar'!$Z$324=SPECIAL_LBL)*(INC_SPECIALS="Y"))=0,"",'Dvd Calendar'!$Z$322)))</f>
        <v/>
      </c>
      <c r="Y40" s="106">
        <f>IF(FA40="","",IF(ISNUMBER('Dvd Calendar'!$AA$322)=FALSE,"",IF((('Dvd Calendar'!$AA$324=TYPE1)*(TYPE1&lt;&gt;"")+('Dvd Calendar'!$AA$324=TYPE2)*(TYPE2&lt;&gt;"")+('Dvd Calendar'!$AA$324=TYPE3)*(TYPE3&lt;&gt;"")+('Dvd Calendar'!$AA$324=TYPE4)*(TYPE4&lt;&gt;"")+('Dvd Calendar'!$AA$324=SPECIAL_LBL)*(INC_SPECIALS="Y"))=0,"",'Dvd Calendar'!$AA$322)))</f>
        <v/>
      </c>
      <c r="Z40" s="106">
        <f>IF(FB40="","",IF(ISNUMBER('Dvd Calendar'!$AB$322)=FALSE,"",IF((('Dvd Calendar'!$AB$324=TYPE1)*(TYPE1&lt;&gt;"")+('Dvd Calendar'!$AB$324=TYPE2)*(TYPE2&lt;&gt;"")+('Dvd Calendar'!$AB$324=TYPE3)*(TYPE3&lt;&gt;"")+('Dvd Calendar'!$AB$324=TYPE4)*(TYPE4&lt;&gt;"")+('Dvd Calendar'!$AB$324=SPECIAL_LBL)*(INC_SPECIALS="Y"))=0,"",'Dvd Calendar'!$AB$322)))</f>
        <v/>
      </c>
      <c r="AA40" s="106">
        <f>IF(FC40="","",IF(ISNUMBER('Dvd Calendar'!$AC$322)=FALSE,"",IF((('Dvd Calendar'!$AC$324=TYPE1)*(TYPE1&lt;&gt;"")+('Dvd Calendar'!$AC$324=TYPE2)*(TYPE2&lt;&gt;"")+('Dvd Calendar'!$AC$324=TYPE3)*(TYPE3&lt;&gt;"")+('Dvd Calendar'!$AC$324=TYPE4)*(TYPE4&lt;&gt;"")+('Dvd Calendar'!$AC$324=SPECIAL_LBL)*(INC_SPECIALS="Y"))=0,"",'Dvd Calendar'!$AC$322)))</f>
        <v/>
      </c>
      <c r="AB40" s="106">
        <f>IF(FD40="","",IF(ISNUMBER('Dvd Calendar'!$AD$322)=FALSE,"",IF((('Dvd Calendar'!$AD$324=TYPE1)*(TYPE1&lt;&gt;"")+('Dvd Calendar'!$AD$324=TYPE2)*(TYPE2&lt;&gt;"")+('Dvd Calendar'!$AD$324=TYPE3)*(TYPE3&lt;&gt;"")+('Dvd Calendar'!$AD$324=TYPE4)*(TYPE4&lt;&gt;"")+('Dvd Calendar'!$AD$324=SPECIAL_LBL)*(INC_SPECIALS="Y"))=0,"",'Dvd Calendar'!$AD$322)))</f>
        <v/>
      </c>
      <c r="AC40" s="106">
        <f>IF(FE40="","",IF(ISNUMBER('Dvd Calendar'!$AE$322)=FALSE,"",IF((('Dvd Calendar'!$AE$324=TYPE1)*(TYPE1&lt;&gt;"")+('Dvd Calendar'!$AE$324=TYPE2)*(TYPE2&lt;&gt;"")+('Dvd Calendar'!$AE$324=TYPE3)*(TYPE3&lt;&gt;"")+('Dvd Calendar'!$AE$324=TYPE4)*(TYPE4&lt;&gt;"")+('Dvd Calendar'!$AE$324=SPECIAL_LBL)*(INC_SPECIALS="Y"))=0,"",'Dvd Calendar'!$AE$322)))</f>
        <v/>
      </c>
      <c r="AD40" s="106">
        <f>IF(FF40="","",IF(ISNUMBER('Dvd Calendar'!$AF$322)=FALSE,"",IF((('Dvd Calendar'!$AF$324=TYPE1)*(TYPE1&lt;&gt;"")+('Dvd Calendar'!$AF$324=TYPE2)*(TYPE2&lt;&gt;"")+('Dvd Calendar'!$AF$324=TYPE3)*(TYPE3&lt;&gt;"")+('Dvd Calendar'!$AF$324=TYPE4)*(TYPE4&lt;&gt;"")+('Dvd Calendar'!$AF$324=SPECIAL_LBL)*(INC_SPECIALS="Y"))=0,"",'Dvd Calendar'!$AF$322)))</f>
        <v/>
      </c>
      <c r="AE40" s="106">
        <f>IF(FG40="","",IF(ISNUMBER('Dvd Calendar'!$AG$322)=FALSE,"",IF((('Dvd Calendar'!$AG$324=TYPE1)*(TYPE1&lt;&gt;"")+('Dvd Calendar'!$AG$324=TYPE2)*(TYPE2&lt;&gt;"")+('Dvd Calendar'!$AG$324=TYPE3)*(TYPE3&lt;&gt;"")+('Dvd Calendar'!$AG$324=TYPE4)*(TYPE4&lt;&gt;"")+('Dvd Calendar'!$AG$324=SPECIAL_LBL)*(INC_SPECIALS="Y"))=0,"",'Dvd Calendar'!$AG$322)))</f>
        <v/>
      </c>
      <c r="AF40" s="106">
        <f>IF(FH40="","",IF(ISNUMBER('Dvd Calendar'!$AH$322)=FALSE,"",IF((('Dvd Calendar'!$AH$324=TYPE1)*(TYPE1&lt;&gt;"")+('Dvd Calendar'!$AH$324=TYPE2)*(TYPE2&lt;&gt;"")+('Dvd Calendar'!$AH$324=TYPE3)*(TYPE3&lt;&gt;"")+('Dvd Calendar'!$AH$324=TYPE4)*(TYPE4&lt;&gt;"")+('Dvd Calendar'!$AH$324=SPECIAL_LBL)*(INC_SPECIALS="Y"))=0,"",'Dvd Calendar'!$AH$322)))</f>
        <v/>
      </c>
      <c r="AG40" s="106">
        <f>IF(FI40="","",IF(ISNUMBER('Dvd Calendar'!$AI$322)=FALSE,"",IF((('Dvd Calendar'!$AI$324=TYPE1)*(TYPE1&lt;&gt;"")+('Dvd Calendar'!$AI$324=TYPE2)*(TYPE2&lt;&gt;"")+('Dvd Calendar'!$AI$324=TYPE3)*(TYPE3&lt;&gt;"")+('Dvd Calendar'!$AI$324=TYPE4)*(TYPE4&lt;&gt;"")+('Dvd Calendar'!$AI$324=SPECIAL_LBL)*(INC_SPECIALS="Y"))=0,"",'Dvd Calendar'!$AI$322)))</f>
        <v/>
      </c>
      <c r="AH40" s="106">
        <f>IF(FJ40="","",IF(ISNUMBER('Dvd Calendar'!$AJ$322)=FALSE,"",IF((('Dvd Calendar'!$AJ$324=TYPE1)*(TYPE1&lt;&gt;"")+('Dvd Calendar'!$AJ$324=TYPE2)*(TYPE2&lt;&gt;"")+('Dvd Calendar'!$AJ$324=TYPE3)*(TYPE3&lt;&gt;"")+('Dvd Calendar'!$AJ$324=TYPE4)*(TYPE4&lt;&gt;"")+('Dvd Calendar'!$AJ$324=SPECIAL_LBL)*(INC_SPECIALS="Y"))=0,"",'Dvd Calendar'!$AJ$322)))</f>
        <v/>
      </c>
      <c r="AI40" s="106">
        <f>IF(FK40="","",IF(ISNUMBER('Dvd Calendar'!$AK$322)=FALSE,"",IF((('Dvd Calendar'!$AK$324=TYPE1)*(TYPE1&lt;&gt;"")+('Dvd Calendar'!$AK$324=TYPE2)*(TYPE2&lt;&gt;"")+('Dvd Calendar'!$AK$324=TYPE3)*(TYPE3&lt;&gt;"")+('Dvd Calendar'!$AK$324=TYPE4)*(TYPE4&lt;&gt;"")+('Dvd Calendar'!$AK$324=SPECIAL_LBL)*(INC_SPECIALS="Y"))=0,"",'Dvd Calendar'!$AK$322)))</f>
        <v/>
      </c>
      <c r="AJ40" s="106">
        <f>IF(FL40="","",IF(ISNUMBER('Dvd Calendar'!$AL$322)=FALSE,"",IF((('Dvd Calendar'!$AL$324=TYPE1)*(TYPE1&lt;&gt;"")+('Dvd Calendar'!$AL$324=TYPE2)*(TYPE2&lt;&gt;"")+('Dvd Calendar'!$AL$324=TYPE3)*(TYPE3&lt;&gt;"")+('Dvd Calendar'!$AL$324=TYPE4)*(TYPE4&lt;&gt;"")+('Dvd Calendar'!$AL$324=SPECIAL_LBL)*(INC_SPECIALS="Y"))=0,"",'Dvd Calendar'!$AL$322)))</f>
        <v/>
      </c>
      <c r="AK40" s="106">
        <f>IF(FM40="","",IF(ISNUMBER('Dvd Calendar'!$AM$322)=FALSE,"",IF((('Dvd Calendar'!$AM$324=TYPE1)*(TYPE1&lt;&gt;"")+('Dvd Calendar'!$AM$324=TYPE2)*(TYPE2&lt;&gt;"")+('Dvd Calendar'!$AM$324=TYPE3)*(TYPE3&lt;&gt;"")+('Dvd Calendar'!$AM$324=TYPE4)*(TYPE4&lt;&gt;"")+('Dvd Calendar'!$AM$324=SPECIAL_LBL)*(INC_SPECIALS="Y"))=0,"",'Dvd Calendar'!$AM$322)))</f>
        <v/>
      </c>
      <c r="AL40" s="106">
        <f>IF(FN40="","",IF(ISNUMBER('Dvd Calendar'!$AN$322)=FALSE,"",IF((('Dvd Calendar'!$AN$324=TYPE1)*(TYPE1&lt;&gt;"")+('Dvd Calendar'!$AN$324=TYPE2)*(TYPE2&lt;&gt;"")+('Dvd Calendar'!$AN$324=TYPE3)*(TYPE3&lt;&gt;"")+('Dvd Calendar'!$AN$324=TYPE4)*(TYPE4&lt;&gt;"")+('Dvd Calendar'!$AN$324=SPECIAL_LBL)*(INC_SPECIALS="Y"))=0,"",'Dvd Calendar'!$AN$322)))</f>
        <v/>
      </c>
      <c r="AM40" s="106">
        <f>IF(FO40="","",IF(ISNUMBER('Dvd Calendar'!$AO$322)=FALSE,"",IF((('Dvd Calendar'!$AO$324=TYPE1)*(TYPE1&lt;&gt;"")+('Dvd Calendar'!$AO$324=TYPE2)*(TYPE2&lt;&gt;"")+('Dvd Calendar'!$AO$324=TYPE3)*(TYPE3&lt;&gt;"")+('Dvd Calendar'!$AO$324=TYPE4)*(TYPE4&lt;&gt;"")+('Dvd Calendar'!$AO$324=SPECIAL_LBL)*(INC_SPECIALS="Y"))=0,"",'Dvd Calendar'!$AO$322)))</f>
        <v/>
      </c>
      <c r="AN40" s="106">
        <f>IF(FP40="","",IF(ISNUMBER('Dvd Calendar'!$AP$322)=FALSE,"",IF((('Dvd Calendar'!$AP$324=TYPE1)*(TYPE1&lt;&gt;"")+('Dvd Calendar'!$AP$324=TYPE2)*(TYPE2&lt;&gt;"")+('Dvd Calendar'!$AP$324=TYPE3)*(TYPE3&lt;&gt;"")+('Dvd Calendar'!$AP$324=TYPE4)*(TYPE4&lt;&gt;"")+('Dvd Calendar'!$AP$324=SPECIAL_LBL)*(INC_SPECIALS="Y"))=0,"",'Dvd Calendar'!$AP$322)))</f>
        <v/>
      </c>
      <c r="AO40" s="106">
        <f>IF(FQ40="","",IF(ISNUMBER('Dvd Calendar'!$AQ$322)=FALSE,"",IF((('Dvd Calendar'!$AQ$324=TYPE1)*(TYPE1&lt;&gt;"")+('Dvd Calendar'!$AQ$324=TYPE2)*(TYPE2&lt;&gt;"")+('Dvd Calendar'!$AQ$324=TYPE3)*(TYPE3&lt;&gt;"")+('Dvd Calendar'!$AQ$324=TYPE4)*(TYPE4&lt;&gt;"")+('Dvd Calendar'!$AQ$324=SPECIAL_LBL)*(INC_SPECIALS="Y"))=0,"",'Dvd Calendar'!$AQ$322)))</f>
        <v/>
      </c>
      <c r="AP40" s="106">
        <f>IF(FR40="","",IF(ISNUMBER('Dvd Calendar'!$AR$322)=FALSE,"",IF((('Dvd Calendar'!$AR$324=TYPE1)*(TYPE1&lt;&gt;"")+('Dvd Calendar'!$AR$324=TYPE2)*(TYPE2&lt;&gt;"")+('Dvd Calendar'!$AR$324=TYPE3)*(TYPE3&lt;&gt;"")+('Dvd Calendar'!$AR$324=TYPE4)*(TYPE4&lt;&gt;"")+('Dvd Calendar'!$AR$324=SPECIAL_LBL)*(INC_SPECIALS="Y"))=0,"",'Dvd Calendar'!$AR$322)))</f>
        <v/>
      </c>
      <c r="AQ40" s="106">
        <f>IF(FS40="","",IF(ISNUMBER('Dvd Calendar'!$E$327)=FALSE,"",'Dvd Calendar'!$E$327))</f>
        <v/>
      </c>
      <c r="AR40" s="106">
        <f>IF(FT40="","",IF(ISNUMBER('Dvd Calendar'!$F$327)=FALSE,"",'Dvd Calendar'!$F$327))</f>
        <v/>
      </c>
      <c r="AS40" s="106">
        <f>IF(FU40="","",IF(ISNUMBER('Dvd Calendar'!$G$327)=FALSE,"",'Dvd Calendar'!$G$327))</f>
        <v/>
      </c>
      <c r="AT40" s="106">
        <f>IF(FV40="","",IF(ISNUMBER('Dvd Calendar'!$H$327)=FALSE,"",'Dvd Calendar'!$H$327))</f>
        <v/>
      </c>
      <c r="AU40" s="106">
        <f>IF(FW40="","",IF(ISNUMBER('Dvd Calendar'!$I$327)=FALSE,"",'Dvd Calendar'!$I$327))</f>
        <v/>
      </c>
      <c r="AV40" s="106">
        <f>IF(FX40="","",IF(ISNUMBER('Dvd Calendar'!$J$327)=FALSE,"",'Dvd Calendar'!$J$327))</f>
        <v/>
      </c>
      <c r="AW40" s="106">
        <f>IF(FY40="","",IF(ISNUMBER('Dvd Calendar'!$K$327)=FALSE,"",'Dvd Calendar'!$K$327))</f>
        <v/>
      </c>
      <c r="AX40" s="106">
        <f>IF(FZ40="","",IF(ISNUMBER('Dvd Calendar'!$L$327)=FALSE,"",'Dvd Calendar'!$L$327))</f>
        <v/>
      </c>
      <c r="AY40" s="106">
        <f>IF(GA40="","",IF(ISNUMBER('Dvd Calendar'!$M$327)=FALSE,"",'Dvd Calendar'!$M$327))</f>
        <v/>
      </c>
      <c r="AZ40" s="106">
        <f>IF(GB40="","",IF(ISNUMBER('Dvd Calendar'!$N$327)=FALSE,"",'Dvd Calendar'!$N$327))</f>
        <v/>
      </c>
      <c r="BA40" s="106">
        <f>IF(GC40="","",IF(ISNUMBER('Dvd Calendar'!$O$327)=FALSE,"",'Dvd Calendar'!$O$327))</f>
        <v/>
      </c>
      <c r="BB40" s="106">
        <f>IF(GD40="","",IF(ISNUMBER('Dvd Calendar'!$P$327)=FALSE,"",'Dvd Calendar'!$P$327))</f>
        <v/>
      </c>
      <c r="BC40" s="106">
        <f>IF(GE40="","",IF(ISNUMBER('Dvd Calendar'!$Q$327)=FALSE,"",'Dvd Calendar'!$Q$327))</f>
        <v/>
      </c>
      <c r="BD40" s="106">
        <f>IF(GF40="","",IF(ISNUMBER('Dvd Calendar'!$R$327)=FALSE,"",'Dvd Calendar'!$R$327))</f>
        <v/>
      </c>
      <c r="BE40" s="106">
        <f>IF(GG40="","",IF(ISNUMBER('Dvd Calendar'!$S$327)=FALSE,"",'Dvd Calendar'!$S$327))</f>
        <v/>
      </c>
      <c r="BF40" s="106">
        <f>IF(GH40="","",IF(ISNUMBER('Dvd Calendar'!$T$327)=FALSE,"",'Dvd Calendar'!$T$327))</f>
        <v/>
      </c>
      <c r="BG40" s="106">
        <f>IF(GI40="","",IF(ISNUMBER('Dvd Calendar'!$U$327)=FALSE,"",'Dvd Calendar'!$U$327))</f>
        <v/>
      </c>
      <c r="BH40" s="106">
        <f>IF(GJ40="","",IF(ISNUMBER('Dvd Calendar'!$V$327)=FALSE,"",'Dvd Calendar'!$V$327))</f>
        <v/>
      </c>
      <c r="BI40" s="106">
        <f>IF(GK40="","",IF(ISNUMBER('Dvd Calendar'!$W$327)=FALSE,"",'Dvd Calendar'!$W$327))</f>
        <v/>
      </c>
      <c r="BJ40" s="106">
        <f>IF(GL40="","",IF(ISNUMBER('Dvd Calendar'!$X$327)=FALSE,"",'Dvd Calendar'!$X$327))</f>
        <v/>
      </c>
      <c r="BK40" s="106">
        <f>IF(GM40="","",IF(ISNUMBER('Dvd Calendar'!$Y$327)=FALSE,"",'Dvd Calendar'!$Y$327))</f>
        <v/>
      </c>
      <c r="BL40" s="106">
        <f>IF(GN40="","",IF(ISNUMBER('Dvd Calendar'!$Z$327)=FALSE,"",'Dvd Calendar'!$Z$327))</f>
        <v/>
      </c>
      <c r="BM40" s="106">
        <f>IF(GO40="","",IF(ISNUMBER('Dvd Calendar'!$AA$327)=FALSE,"",'Dvd Calendar'!$AA$327))</f>
        <v/>
      </c>
      <c r="BN40" s="106">
        <f>IF(GP40="","",IF(ISNUMBER('Dvd Calendar'!$AB$327)=FALSE,"",'Dvd Calendar'!$AB$327))</f>
        <v/>
      </c>
      <c r="BO40" s="106">
        <f>IF(GQ40="","",IF(ISNUMBER('Dvd Calendar'!$AC$327)=FALSE,"",'Dvd Calendar'!$AC$327))</f>
        <v/>
      </c>
      <c r="BQ40" s="106">
        <f>IF(C40="","",IFERROR(C40*HSI!$B$35*HSI!$G$35/HSI!$B$3,""))</f>
        <v/>
      </c>
      <c r="BR40" s="106">
        <f>IF(D40="","",IFERROR(D40*HSI!$B$35*HSI!$G$35/HSI!$B$3,""))</f>
        <v/>
      </c>
      <c r="BS40" s="106">
        <f>IF(E40="","",IFERROR(E40*HSI!$B$35*HSI!$G$35/HSI!$B$3,""))</f>
        <v/>
      </c>
      <c r="BT40" s="106">
        <f>IF(F40="","",IFERROR(F40*HSI!$B$35*HSI!$G$35/HSI!$B$3,""))</f>
        <v/>
      </c>
      <c r="BU40" s="106">
        <f>IF(G40="","",IFERROR(G40*HSI!$B$35*HSI!$G$35/HSI!$B$3,""))</f>
        <v/>
      </c>
      <c r="BV40" s="106">
        <f>IF(H40="","",IFERROR(H40*HSI!$B$35*HSI!$G$35/HSI!$B$3,""))</f>
        <v/>
      </c>
      <c r="BW40" s="106">
        <f>IF(I40="","",IFERROR(I40*HSI!$B$35*HSI!$G$35/HSI!$B$3,""))</f>
        <v/>
      </c>
      <c r="BX40" s="106">
        <f>IF(J40="","",IFERROR(J40*HSI!$B$35*HSI!$G$35/HSI!$B$3,""))</f>
        <v/>
      </c>
      <c r="BY40" s="106">
        <f>IF(K40="","",IFERROR(K40*HSI!$B$35*HSI!$G$35/HSI!$B$3,""))</f>
        <v/>
      </c>
      <c r="BZ40" s="106">
        <f>IF(L40="","",IFERROR(L40*HSI!$B$35*HSI!$G$35/HSI!$B$3,""))</f>
        <v/>
      </c>
      <c r="CA40" s="106">
        <f>IF(M40="","",IFERROR(M40*HSI!$B$35*HSI!$G$35/HSI!$B$3,""))</f>
        <v/>
      </c>
      <c r="CB40" s="106">
        <f>IF(N40="","",IFERROR(N40*HSI!$B$35*HSI!$G$35/HSI!$B$3,""))</f>
        <v/>
      </c>
      <c r="CC40" s="106">
        <f>IF(O40="","",IFERROR(O40*HSI!$B$35*HSI!$G$35/HSI!$B$3,""))</f>
        <v/>
      </c>
      <c r="CD40" s="106">
        <f>IF(P40="","",IFERROR(P40*HSI!$B$35*HSI!$G$35/HSI!$B$3,""))</f>
        <v/>
      </c>
      <c r="CE40" s="106">
        <f>IF(Q40="","",IFERROR(Q40*HSI!$B$35*HSI!$G$35/HSI!$B$3,""))</f>
        <v/>
      </c>
      <c r="CF40" s="106">
        <f>IF(R40="","",IFERROR(R40*HSI!$B$35*HSI!$G$35/HSI!$B$3,""))</f>
        <v/>
      </c>
      <c r="CG40" s="106">
        <f>IF(S40="","",IFERROR(S40*HSI!$B$35*HSI!$G$35/HSI!$B$3,""))</f>
        <v/>
      </c>
      <c r="CH40" s="106">
        <f>IF(T40="","",IFERROR(T40*HSI!$B$35*HSI!$G$35/HSI!$B$3,""))</f>
        <v/>
      </c>
      <c r="CI40" s="106">
        <f>IF(U40="","",IFERROR(U40*HSI!$B$35*HSI!$G$35/HSI!$B$3,""))</f>
        <v/>
      </c>
      <c r="CJ40" s="106">
        <f>IF(V40="","",IFERROR(V40*HSI!$B$35*HSI!$G$35/HSI!$B$3,""))</f>
        <v/>
      </c>
      <c r="CK40" s="106">
        <f>IF(W40="","",IFERROR(W40*HSI!$B$35*HSI!$G$35/HSI!$B$3,""))</f>
        <v/>
      </c>
      <c r="CL40" s="106">
        <f>IF(X40="","",IFERROR(X40*HSI!$B$35*HSI!$G$35/HSI!$B$3,""))</f>
        <v/>
      </c>
      <c r="CM40" s="106">
        <f>IF(Y40="","",IFERROR(Y40*HSI!$B$35*HSI!$G$35/HSI!$B$3,""))</f>
        <v/>
      </c>
      <c r="CN40" s="106">
        <f>IF(Z40="","",IFERROR(Z40*HSI!$B$35*HSI!$G$35/HSI!$B$3,""))</f>
        <v/>
      </c>
      <c r="CO40" s="106">
        <f>IF(AA40="","",IFERROR(AA40*HSI!$B$35*HSI!$G$35/HSI!$B$3,""))</f>
        <v/>
      </c>
      <c r="CP40" s="106">
        <f>IF(AB40="","",IFERROR(AB40*HSI!$B$35*HSI!$G$35/HSI!$B$3,""))</f>
        <v/>
      </c>
      <c r="CQ40" s="106">
        <f>IF(AC40="","",IFERROR(AC40*HSI!$B$35*HSI!$G$35/HSI!$B$3,""))</f>
        <v/>
      </c>
      <c r="CR40" s="106">
        <f>IF(AD40="","",IFERROR(AD40*HSI!$B$35*HSI!$G$35/HSI!$B$3,""))</f>
        <v/>
      </c>
      <c r="CS40" s="106">
        <f>IF(AE40="","",IFERROR(AE40*HSI!$B$35*HSI!$G$35/HSI!$B$3,""))</f>
        <v/>
      </c>
      <c r="CT40" s="106">
        <f>IF(AF40="","",IFERROR(AF40*HSI!$B$35*HSI!$G$35/HSI!$B$3,""))</f>
        <v/>
      </c>
      <c r="CU40" s="106">
        <f>IF(AG40="","",IFERROR(AG40*HSI!$B$35*HSI!$G$35/HSI!$B$3,""))</f>
        <v/>
      </c>
      <c r="CV40" s="106">
        <f>IF(AH40="","",IFERROR(AH40*HSI!$B$35*HSI!$G$35/HSI!$B$3,""))</f>
        <v/>
      </c>
      <c r="CW40" s="106">
        <f>IF(AI40="","",IFERROR(AI40*HSI!$B$35*HSI!$G$35/HSI!$B$3,""))</f>
        <v/>
      </c>
      <c r="CX40" s="106">
        <f>IF(AJ40="","",IFERROR(AJ40*HSI!$B$35*HSI!$G$35/HSI!$B$3,""))</f>
        <v/>
      </c>
      <c r="CY40" s="106">
        <f>IF(AK40="","",IFERROR(AK40*HSI!$B$35*HSI!$G$35/HSI!$B$3,""))</f>
        <v/>
      </c>
      <c r="CZ40" s="106">
        <f>IF(AL40="","",IFERROR(AL40*HSI!$B$35*HSI!$G$35/HSI!$B$3,""))</f>
        <v/>
      </c>
      <c r="DA40" s="106">
        <f>IF(AM40="","",IFERROR(AM40*HSI!$B$35*HSI!$G$35/HSI!$B$3,""))</f>
        <v/>
      </c>
      <c r="DB40" s="106">
        <f>IF(AN40="","",IFERROR(AN40*HSI!$B$35*HSI!$G$35/HSI!$B$3,""))</f>
        <v/>
      </c>
      <c r="DC40" s="106">
        <f>IF(AO40="","",IFERROR(AO40*HSI!$B$35*HSI!$G$35/HSI!$B$3,""))</f>
        <v/>
      </c>
      <c r="DD40" s="106">
        <f>IF(AP40="","",IFERROR(AP40*HSI!$B$35*HSI!$G$35/HSI!$B$3,""))</f>
        <v/>
      </c>
      <c r="DE40" s="106">
        <f>IF(AQ40="","",IFERROR(AQ40*HSI!$B$35*HSI!$G$35/HSI!$B$3,""))</f>
        <v/>
      </c>
      <c r="DF40" s="106">
        <f>IF(AR40="","",IFERROR(AR40*HSI!$B$35*HSI!$G$35/HSI!$B$3,""))</f>
        <v/>
      </c>
      <c r="DG40" s="106">
        <f>IF(AS40="","",IFERROR(AS40*HSI!$B$35*HSI!$G$35/HSI!$B$3,""))</f>
        <v/>
      </c>
      <c r="DH40" s="106">
        <f>IF(AT40="","",IFERROR(AT40*HSI!$B$35*HSI!$G$35/HSI!$B$3,""))</f>
        <v/>
      </c>
      <c r="DI40" s="106">
        <f>IF(AU40="","",IFERROR(AU40*HSI!$B$35*HSI!$G$35/HSI!$B$3,""))</f>
        <v/>
      </c>
      <c r="DJ40" s="106">
        <f>IF(AV40="","",IFERROR(AV40*HSI!$B$35*HSI!$G$35/HSI!$B$3,""))</f>
        <v/>
      </c>
      <c r="DK40" s="106">
        <f>IF(AW40="","",IFERROR(AW40*HSI!$B$35*HSI!$G$35/HSI!$B$3,""))</f>
        <v/>
      </c>
      <c r="DL40" s="106">
        <f>IF(AX40="","",IFERROR(AX40*HSI!$B$35*HSI!$G$35/HSI!$B$3,""))</f>
        <v/>
      </c>
      <c r="DM40" s="106">
        <f>IF(AY40="","",IFERROR(AY40*HSI!$B$35*HSI!$G$35/HSI!$B$3,""))</f>
        <v/>
      </c>
      <c r="DN40" s="106">
        <f>IF(AZ40="","",IFERROR(AZ40*HSI!$B$35*HSI!$G$35/HSI!$B$3,""))</f>
        <v/>
      </c>
      <c r="DO40" s="106">
        <f>IF(BA40="","",IFERROR(BA40*HSI!$B$35*HSI!$G$35/HSI!$B$3,""))</f>
        <v/>
      </c>
      <c r="DP40" s="106">
        <f>IF(BB40="","",IFERROR(BB40*HSI!$B$35*HSI!$G$35/HSI!$B$3,""))</f>
        <v/>
      </c>
      <c r="DQ40" s="106">
        <f>IF(BC40="","",IFERROR(BC40*HSI!$B$35*HSI!$G$35/HSI!$B$3,""))</f>
        <v/>
      </c>
      <c r="DR40" s="106">
        <f>IF(BD40="","",IFERROR(BD40*HSI!$B$35*HSI!$G$35/HSI!$B$3,""))</f>
        <v/>
      </c>
      <c r="DS40" s="106">
        <f>IF(BE40="","",IFERROR(BE40*HSI!$B$35*HSI!$G$35/HSI!$B$3,""))</f>
        <v/>
      </c>
      <c r="DT40" s="106">
        <f>IF(BF40="","",IFERROR(BF40*HSI!$B$35*HSI!$G$35/HSI!$B$3,""))</f>
        <v/>
      </c>
      <c r="DU40" s="106">
        <f>IF(BG40="","",IFERROR(BG40*HSI!$B$35*HSI!$G$35/HSI!$B$3,""))</f>
        <v/>
      </c>
      <c r="DV40" s="106">
        <f>IF(BH40="","",IFERROR(BH40*HSI!$B$35*HSI!$G$35/HSI!$B$3,""))</f>
        <v/>
      </c>
      <c r="DW40" s="106">
        <f>IF(BI40="","",IFERROR(BI40*HSI!$B$35*HSI!$G$35/HSI!$B$3,""))</f>
        <v/>
      </c>
      <c r="DX40" s="106">
        <f>IF(BJ40="","",IFERROR(BJ40*HSI!$B$35*HSI!$G$35/HSI!$B$3,""))</f>
        <v/>
      </c>
      <c r="DY40" s="106">
        <f>IF(BK40="","",IFERROR(BK40*HSI!$B$35*HSI!$G$35/HSI!$B$3,""))</f>
        <v/>
      </c>
      <c r="DZ40" s="106">
        <f>IF(BL40="","",IFERROR(BL40*HSI!$B$35*HSI!$G$35/HSI!$B$3,""))</f>
        <v/>
      </c>
      <c r="EA40" s="106">
        <f>IF(BM40="","",IFERROR(BM40*HSI!$B$35*HSI!$G$35/HSI!$B$3,""))</f>
        <v/>
      </c>
      <c r="EB40" s="106">
        <f>IF(BN40="","",IFERROR(BN40*HSI!$B$35*HSI!$G$35/HSI!$B$3,""))</f>
        <v/>
      </c>
      <c r="EC40" s="106">
        <f>IF(BO40="","",IFERROR(BO40*HSI!$B$35*HSI!$G$35/HSI!$B$3,""))</f>
        <v/>
      </c>
      <c r="EE40" s="35">
        <f>IF(N('Dvd Calendar'!$E$319)=0,"",IF(('Dvd Calendar'!$E$319&gt;=GRID_FROM)*('Dvd Calendar'!$E$319&lt;=GRID_TO)*('Dvd Calendar'!$E$319&lt;=VAL_DATE)=0,"",'Dvd Calendar'!$E$319*1000000000+ISNUMBER('Dvd Calendar'!$E$322)*100000000+('Dvd Calendar'!$E$324=SPECIAL_LBL)*10000000+0*1000000+29*1000+1))</f>
        <v/>
      </c>
      <c r="EF40" s="35">
        <f>IF(N('Dvd Calendar'!$F$319)=0,"",IF(('Dvd Calendar'!$F$319&gt;=GRID_FROM)*('Dvd Calendar'!$F$319&lt;=GRID_TO)*('Dvd Calendar'!$F$319&lt;=VAL_DATE)=0,"",'Dvd Calendar'!$F$319*1000000000+ISNUMBER('Dvd Calendar'!$F$322)*100000000+('Dvd Calendar'!$F$324=SPECIAL_LBL)*10000000+0*1000000+29*1000+2))</f>
        <v/>
      </c>
      <c r="EG40" s="35">
        <f>IF(N('Dvd Calendar'!$G$319)=0,"",IF(('Dvd Calendar'!$G$319&gt;=GRID_FROM)*('Dvd Calendar'!$G$319&lt;=GRID_TO)*('Dvd Calendar'!$G$319&lt;=VAL_DATE)=0,"",'Dvd Calendar'!$G$319*1000000000+ISNUMBER('Dvd Calendar'!$G$322)*100000000+('Dvd Calendar'!$G$324=SPECIAL_LBL)*10000000+0*1000000+29*1000+3))</f>
        <v/>
      </c>
      <c r="EH40" s="35">
        <f>IF(N('Dvd Calendar'!$H$319)=0,"",IF(('Dvd Calendar'!$H$319&gt;=GRID_FROM)*('Dvd Calendar'!$H$319&lt;=GRID_TO)*('Dvd Calendar'!$H$319&lt;=VAL_DATE)=0,"",'Dvd Calendar'!$H$319*1000000000+ISNUMBER('Dvd Calendar'!$H$322)*100000000+('Dvd Calendar'!$H$324=SPECIAL_LBL)*10000000+0*1000000+29*1000+4))</f>
        <v/>
      </c>
      <c r="EI40" s="35">
        <f>IF(N('Dvd Calendar'!$I$319)=0,"",IF(('Dvd Calendar'!$I$319&gt;=GRID_FROM)*('Dvd Calendar'!$I$319&lt;=GRID_TO)*('Dvd Calendar'!$I$319&lt;=VAL_DATE)=0,"",'Dvd Calendar'!$I$319*1000000000+ISNUMBER('Dvd Calendar'!$I$322)*100000000+('Dvd Calendar'!$I$324=SPECIAL_LBL)*10000000+0*1000000+29*1000+5))</f>
        <v/>
      </c>
      <c r="EJ40" s="35">
        <f>IF(N('Dvd Calendar'!$J$319)=0,"",IF(('Dvd Calendar'!$J$319&gt;=GRID_FROM)*('Dvd Calendar'!$J$319&lt;=GRID_TO)*('Dvd Calendar'!$J$319&lt;=VAL_DATE)=0,"",'Dvd Calendar'!$J$319*1000000000+ISNUMBER('Dvd Calendar'!$J$322)*100000000+('Dvd Calendar'!$J$324=SPECIAL_LBL)*10000000+0*1000000+29*1000+6))</f>
        <v/>
      </c>
      <c r="EK40" s="35">
        <f>IF(N('Dvd Calendar'!$K$319)=0,"",IF(('Dvd Calendar'!$K$319&gt;=GRID_FROM)*('Dvd Calendar'!$K$319&lt;=GRID_TO)*('Dvd Calendar'!$K$319&lt;=VAL_DATE)=0,"",'Dvd Calendar'!$K$319*1000000000+ISNUMBER('Dvd Calendar'!$K$322)*100000000+('Dvd Calendar'!$K$324=SPECIAL_LBL)*10000000+0*1000000+29*1000+7))</f>
        <v/>
      </c>
      <c r="EL40" s="35">
        <f>IF(N('Dvd Calendar'!$L$319)=0,"",IF(('Dvd Calendar'!$L$319&gt;=GRID_FROM)*('Dvd Calendar'!$L$319&lt;=GRID_TO)*('Dvd Calendar'!$L$319&lt;=VAL_DATE)=0,"",'Dvd Calendar'!$L$319*1000000000+ISNUMBER('Dvd Calendar'!$L$322)*100000000+('Dvd Calendar'!$L$324=SPECIAL_LBL)*10000000+0*1000000+29*1000+8))</f>
        <v/>
      </c>
      <c r="EM40" s="35">
        <f>IF(N('Dvd Calendar'!$M$319)=0,"",IF(('Dvd Calendar'!$M$319&gt;=GRID_FROM)*('Dvd Calendar'!$M$319&lt;=GRID_TO)*('Dvd Calendar'!$M$319&lt;=VAL_DATE)=0,"",'Dvd Calendar'!$M$319*1000000000+ISNUMBER('Dvd Calendar'!$M$322)*100000000+('Dvd Calendar'!$M$324=SPECIAL_LBL)*10000000+0*1000000+29*1000+9))</f>
        <v/>
      </c>
      <c r="EN40" s="35">
        <f>IF(N('Dvd Calendar'!$N$319)=0,"",IF(('Dvd Calendar'!$N$319&gt;=GRID_FROM)*('Dvd Calendar'!$N$319&lt;=GRID_TO)*('Dvd Calendar'!$N$319&lt;=VAL_DATE)=0,"",'Dvd Calendar'!$N$319*1000000000+ISNUMBER('Dvd Calendar'!$N$322)*100000000+('Dvd Calendar'!$N$324=SPECIAL_LBL)*10000000+0*1000000+29*1000+10))</f>
        <v/>
      </c>
      <c r="EO40" s="35">
        <f>IF(N('Dvd Calendar'!$O$319)=0,"",IF(('Dvd Calendar'!$O$319&gt;=GRID_FROM)*('Dvd Calendar'!$O$319&lt;=GRID_TO)*('Dvd Calendar'!$O$319&lt;=VAL_DATE)=0,"",'Dvd Calendar'!$O$319*1000000000+ISNUMBER('Dvd Calendar'!$O$322)*100000000+('Dvd Calendar'!$O$324=SPECIAL_LBL)*10000000+0*1000000+29*1000+11))</f>
        <v/>
      </c>
      <c r="EP40" s="35">
        <f>IF(N('Dvd Calendar'!$P$319)=0,"",IF(('Dvd Calendar'!$P$319&gt;=GRID_FROM)*('Dvd Calendar'!$P$319&lt;=GRID_TO)*('Dvd Calendar'!$P$319&lt;=VAL_DATE)=0,"",'Dvd Calendar'!$P$319*1000000000+ISNUMBER('Dvd Calendar'!$P$322)*100000000+('Dvd Calendar'!$P$324=SPECIAL_LBL)*10000000+0*1000000+29*1000+12))</f>
        <v/>
      </c>
      <c r="EQ40" s="35">
        <f>IF(N('Dvd Calendar'!$Q$319)=0,"",IF(('Dvd Calendar'!$Q$319&gt;=GRID_FROM)*('Dvd Calendar'!$Q$319&lt;=GRID_TO)*('Dvd Calendar'!$Q$319&lt;=VAL_DATE)=0,"",'Dvd Calendar'!$Q$319*1000000000+ISNUMBER('Dvd Calendar'!$Q$322)*100000000+('Dvd Calendar'!$Q$324=SPECIAL_LBL)*10000000+0*1000000+29*1000+13))</f>
        <v/>
      </c>
      <c r="ER40" s="35">
        <f>IF(N('Dvd Calendar'!$R$319)=0,"",IF(('Dvd Calendar'!$R$319&gt;=GRID_FROM)*('Dvd Calendar'!$R$319&lt;=GRID_TO)*('Dvd Calendar'!$R$319&lt;=VAL_DATE)=0,"",'Dvd Calendar'!$R$319*1000000000+ISNUMBER('Dvd Calendar'!$R$322)*100000000+('Dvd Calendar'!$R$324=SPECIAL_LBL)*10000000+0*1000000+29*1000+14))</f>
        <v/>
      </c>
      <c r="ES40" s="35">
        <f>IF(N('Dvd Calendar'!$S$319)=0,"",IF(('Dvd Calendar'!$S$319&gt;=GRID_FROM)*('Dvd Calendar'!$S$319&lt;=GRID_TO)*('Dvd Calendar'!$S$319&lt;=VAL_DATE)=0,"",'Dvd Calendar'!$S$319*1000000000+ISNUMBER('Dvd Calendar'!$S$322)*100000000+('Dvd Calendar'!$S$324=SPECIAL_LBL)*10000000+0*1000000+29*1000+15))</f>
        <v/>
      </c>
      <c r="ET40" s="35">
        <f>IF(N('Dvd Calendar'!$T$319)=0,"",IF(('Dvd Calendar'!$T$319&gt;=GRID_FROM)*('Dvd Calendar'!$T$319&lt;=GRID_TO)*('Dvd Calendar'!$T$319&lt;=VAL_DATE)=0,"",'Dvd Calendar'!$T$319*1000000000+ISNUMBER('Dvd Calendar'!$T$322)*100000000+('Dvd Calendar'!$T$324=SPECIAL_LBL)*10000000+0*1000000+29*1000+16))</f>
        <v/>
      </c>
      <c r="EU40" s="35">
        <f>IF(N('Dvd Calendar'!$U$319)=0,"",IF(('Dvd Calendar'!$U$319&gt;=GRID_FROM)*('Dvd Calendar'!$U$319&lt;=GRID_TO)*('Dvd Calendar'!$U$319&lt;=VAL_DATE)=0,"",'Dvd Calendar'!$U$319*1000000000+ISNUMBER('Dvd Calendar'!$U$322)*100000000+('Dvd Calendar'!$U$324=SPECIAL_LBL)*10000000+0*1000000+29*1000+17))</f>
        <v/>
      </c>
      <c r="EV40" s="35">
        <f>IF(N('Dvd Calendar'!$V$319)=0,"",IF(('Dvd Calendar'!$V$319&gt;=GRID_FROM)*('Dvd Calendar'!$V$319&lt;=GRID_TO)*('Dvd Calendar'!$V$319&lt;=VAL_DATE)=0,"",'Dvd Calendar'!$V$319*1000000000+ISNUMBER('Dvd Calendar'!$V$322)*100000000+('Dvd Calendar'!$V$324=SPECIAL_LBL)*10000000+0*1000000+29*1000+18))</f>
        <v/>
      </c>
      <c r="EW40" s="35">
        <f>IF(N('Dvd Calendar'!$W$319)=0,"",IF(('Dvd Calendar'!$W$319&gt;=GRID_FROM)*('Dvd Calendar'!$W$319&lt;=GRID_TO)*('Dvd Calendar'!$W$319&lt;=VAL_DATE)=0,"",'Dvd Calendar'!$W$319*1000000000+ISNUMBER('Dvd Calendar'!$W$322)*100000000+('Dvd Calendar'!$W$324=SPECIAL_LBL)*10000000+0*1000000+29*1000+19))</f>
        <v/>
      </c>
      <c r="EX40" s="35">
        <f>IF(N('Dvd Calendar'!$X$319)=0,"",IF(('Dvd Calendar'!$X$319&gt;=GRID_FROM)*('Dvd Calendar'!$X$319&lt;=GRID_TO)*('Dvd Calendar'!$X$319&lt;=VAL_DATE)=0,"",'Dvd Calendar'!$X$319*1000000000+ISNUMBER('Dvd Calendar'!$X$322)*100000000+('Dvd Calendar'!$X$324=SPECIAL_LBL)*10000000+0*1000000+29*1000+20))</f>
        <v/>
      </c>
      <c r="EY40" s="35">
        <f>IF(N('Dvd Calendar'!$Y$319)=0,"",IF(('Dvd Calendar'!$Y$319&gt;=GRID_FROM)*('Dvd Calendar'!$Y$319&lt;=GRID_TO)*('Dvd Calendar'!$Y$319&lt;=VAL_DATE)=0,"",'Dvd Calendar'!$Y$319*1000000000+ISNUMBER('Dvd Calendar'!$Y$322)*100000000+('Dvd Calendar'!$Y$324=SPECIAL_LBL)*10000000+0*1000000+29*1000+21))</f>
        <v/>
      </c>
      <c r="EZ40" s="35">
        <f>IF(N('Dvd Calendar'!$Z$319)=0,"",IF(('Dvd Calendar'!$Z$319&gt;=GRID_FROM)*('Dvd Calendar'!$Z$319&lt;=GRID_TO)*('Dvd Calendar'!$Z$319&lt;=VAL_DATE)=0,"",'Dvd Calendar'!$Z$319*1000000000+ISNUMBER('Dvd Calendar'!$Z$322)*100000000+('Dvd Calendar'!$Z$324=SPECIAL_LBL)*10000000+0*1000000+29*1000+22))</f>
        <v/>
      </c>
      <c r="FA40" s="35">
        <f>IF(N('Dvd Calendar'!$AA$319)=0,"",IF(('Dvd Calendar'!$AA$319&gt;=GRID_FROM)*('Dvd Calendar'!$AA$319&lt;=GRID_TO)*('Dvd Calendar'!$AA$319&lt;=VAL_DATE)=0,"",'Dvd Calendar'!$AA$319*1000000000+ISNUMBER('Dvd Calendar'!$AA$322)*100000000+('Dvd Calendar'!$AA$324=SPECIAL_LBL)*10000000+0*1000000+29*1000+23))</f>
        <v/>
      </c>
      <c r="FB40" s="35">
        <f>IF(N('Dvd Calendar'!$AB$319)=0,"",IF(('Dvd Calendar'!$AB$319&gt;=GRID_FROM)*('Dvd Calendar'!$AB$319&lt;=GRID_TO)*('Dvd Calendar'!$AB$319&lt;=VAL_DATE)=0,"",'Dvd Calendar'!$AB$319*1000000000+ISNUMBER('Dvd Calendar'!$AB$322)*100000000+('Dvd Calendar'!$AB$324=SPECIAL_LBL)*10000000+0*1000000+29*1000+24))</f>
        <v/>
      </c>
      <c r="FC40" s="35">
        <f>IF(N('Dvd Calendar'!$AC$319)=0,"",IF(('Dvd Calendar'!$AC$319&gt;=GRID_FROM)*('Dvd Calendar'!$AC$319&lt;=GRID_TO)*('Dvd Calendar'!$AC$319&lt;=VAL_DATE)=0,"",'Dvd Calendar'!$AC$319*1000000000+ISNUMBER('Dvd Calendar'!$AC$322)*100000000+('Dvd Calendar'!$AC$324=SPECIAL_LBL)*10000000+0*1000000+29*1000+25))</f>
        <v/>
      </c>
      <c r="FD40" s="35">
        <f>IF(N('Dvd Calendar'!$AD$319)=0,"",IF(('Dvd Calendar'!$AD$319&gt;=GRID_FROM)*('Dvd Calendar'!$AD$319&lt;=GRID_TO)*('Dvd Calendar'!$AD$319&lt;=VAL_DATE)=0,"",'Dvd Calendar'!$AD$319*1000000000+ISNUMBER('Dvd Calendar'!$AD$322)*100000000+('Dvd Calendar'!$AD$324=SPECIAL_LBL)*10000000+0*1000000+29*1000+26))</f>
        <v/>
      </c>
      <c r="FE40" s="35">
        <f>IF(N('Dvd Calendar'!$AE$319)=0,"",IF(('Dvd Calendar'!$AE$319&gt;=GRID_FROM)*('Dvd Calendar'!$AE$319&lt;=GRID_TO)*('Dvd Calendar'!$AE$319&lt;=VAL_DATE)=0,"",'Dvd Calendar'!$AE$319*1000000000+ISNUMBER('Dvd Calendar'!$AE$322)*100000000+('Dvd Calendar'!$AE$324=SPECIAL_LBL)*10000000+0*1000000+29*1000+27))</f>
        <v/>
      </c>
      <c r="FF40" s="35">
        <f>IF(N('Dvd Calendar'!$AF$319)=0,"",IF(('Dvd Calendar'!$AF$319&gt;=GRID_FROM)*('Dvd Calendar'!$AF$319&lt;=GRID_TO)*('Dvd Calendar'!$AF$319&lt;=VAL_DATE)=0,"",'Dvd Calendar'!$AF$319*1000000000+ISNUMBER('Dvd Calendar'!$AF$322)*100000000+('Dvd Calendar'!$AF$324=SPECIAL_LBL)*10000000+0*1000000+29*1000+28))</f>
        <v/>
      </c>
      <c r="FG40" s="35">
        <f>IF(N('Dvd Calendar'!$AG$319)=0,"",IF(('Dvd Calendar'!$AG$319&gt;=GRID_FROM)*('Dvd Calendar'!$AG$319&lt;=GRID_TO)*('Dvd Calendar'!$AG$319&lt;=VAL_DATE)=0,"",'Dvd Calendar'!$AG$319*1000000000+ISNUMBER('Dvd Calendar'!$AG$322)*100000000+('Dvd Calendar'!$AG$324=SPECIAL_LBL)*10000000+0*1000000+29*1000+29))</f>
        <v/>
      </c>
      <c r="FH40" s="35">
        <f>IF(N('Dvd Calendar'!$AH$319)=0,"",IF(('Dvd Calendar'!$AH$319&gt;=GRID_FROM)*('Dvd Calendar'!$AH$319&lt;=GRID_TO)*('Dvd Calendar'!$AH$319&lt;=VAL_DATE)=0,"",'Dvd Calendar'!$AH$319*1000000000+ISNUMBER('Dvd Calendar'!$AH$322)*100000000+('Dvd Calendar'!$AH$324=SPECIAL_LBL)*10000000+0*1000000+29*1000+30))</f>
        <v/>
      </c>
      <c r="FI40" s="35">
        <f>IF(N('Dvd Calendar'!$AI$319)=0,"",IF(('Dvd Calendar'!$AI$319&gt;=GRID_FROM)*('Dvd Calendar'!$AI$319&lt;=GRID_TO)*('Dvd Calendar'!$AI$319&lt;=VAL_DATE)=0,"",'Dvd Calendar'!$AI$319*1000000000+ISNUMBER('Dvd Calendar'!$AI$322)*100000000+('Dvd Calendar'!$AI$324=SPECIAL_LBL)*10000000+0*1000000+29*1000+31))</f>
        <v/>
      </c>
      <c r="FJ40" s="35">
        <f>IF(N('Dvd Calendar'!$AJ$319)=0,"",IF(('Dvd Calendar'!$AJ$319&gt;=GRID_FROM)*('Dvd Calendar'!$AJ$319&lt;=GRID_TO)*('Dvd Calendar'!$AJ$319&lt;=VAL_DATE)=0,"",'Dvd Calendar'!$AJ$319*1000000000+ISNUMBER('Dvd Calendar'!$AJ$322)*100000000+('Dvd Calendar'!$AJ$324=SPECIAL_LBL)*10000000+0*1000000+29*1000+32))</f>
        <v/>
      </c>
      <c r="FK40" s="35">
        <f>IF(N('Dvd Calendar'!$AK$319)=0,"",IF(('Dvd Calendar'!$AK$319&gt;=GRID_FROM)*('Dvd Calendar'!$AK$319&lt;=GRID_TO)*('Dvd Calendar'!$AK$319&lt;=VAL_DATE)=0,"",'Dvd Calendar'!$AK$319*1000000000+ISNUMBER('Dvd Calendar'!$AK$322)*100000000+('Dvd Calendar'!$AK$324=SPECIAL_LBL)*10000000+0*1000000+29*1000+33))</f>
        <v/>
      </c>
      <c r="FL40" s="35">
        <f>IF(N('Dvd Calendar'!$AL$319)=0,"",IF(('Dvd Calendar'!$AL$319&gt;=GRID_FROM)*('Dvd Calendar'!$AL$319&lt;=GRID_TO)*('Dvd Calendar'!$AL$319&lt;=VAL_DATE)=0,"",'Dvd Calendar'!$AL$319*1000000000+ISNUMBER('Dvd Calendar'!$AL$322)*100000000+('Dvd Calendar'!$AL$324=SPECIAL_LBL)*10000000+0*1000000+29*1000+34))</f>
        <v/>
      </c>
      <c r="FM40" s="35">
        <f>IF(N('Dvd Calendar'!$AM$319)=0,"",IF(('Dvd Calendar'!$AM$319&gt;=GRID_FROM)*('Dvd Calendar'!$AM$319&lt;=GRID_TO)*('Dvd Calendar'!$AM$319&lt;=VAL_DATE)=0,"",'Dvd Calendar'!$AM$319*1000000000+ISNUMBER('Dvd Calendar'!$AM$322)*100000000+('Dvd Calendar'!$AM$324=SPECIAL_LBL)*10000000+0*1000000+29*1000+35))</f>
        <v/>
      </c>
      <c r="FN40" s="35">
        <f>IF(N('Dvd Calendar'!$AN$319)=0,"",IF(('Dvd Calendar'!$AN$319&gt;=GRID_FROM)*('Dvd Calendar'!$AN$319&lt;=GRID_TO)*('Dvd Calendar'!$AN$319&lt;=VAL_DATE)=0,"",'Dvd Calendar'!$AN$319*1000000000+ISNUMBER('Dvd Calendar'!$AN$322)*100000000+('Dvd Calendar'!$AN$324=SPECIAL_LBL)*10000000+0*1000000+29*1000+36))</f>
        <v/>
      </c>
      <c r="FO40" s="35">
        <f>IF(N('Dvd Calendar'!$AO$319)=0,"",IF(('Dvd Calendar'!$AO$319&gt;=GRID_FROM)*('Dvd Calendar'!$AO$319&lt;=GRID_TO)*('Dvd Calendar'!$AO$319&lt;=VAL_DATE)=0,"",'Dvd Calendar'!$AO$319*1000000000+ISNUMBER('Dvd Calendar'!$AO$322)*100000000+('Dvd Calendar'!$AO$324=SPECIAL_LBL)*10000000+0*1000000+29*1000+37))</f>
        <v/>
      </c>
      <c r="FP40" s="35">
        <f>IF(N('Dvd Calendar'!$AP$319)=0,"",IF(('Dvd Calendar'!$AP$319&gt;=GRID_FROM)*('Dvd Calendar'!$AP$319&lt;=GRID_TO)*('Dvd Calendar'!$AP$319&lt;=VAL_DATE)=0,"",'Dvd Calendar'!$AP$319*1000000000+ISNUMBER('Dvd Calendar'!$AP$322)*100000000+('Dvd Calendar'!$AP$324=SPECIAL_LBL)*10000000+0*1000000+29*1000+38))</f>
        <v/>
      </c>
      <c r="FQ40" s="35">
        <f>IF(N('Dvd Calendar'!$AQ$319)=0,"",IF(('Dvd Calendar'!$AQ$319&gt;=GRID_FROM)*('Dvd Calendar'!$AQ$319&lt;=GRID_TO)*('Dvd Calendar'!$AQ$319&lt;=VAL_DATE)=0,"",'Dvd Calendar'!$AQ$319*1000000000+ISNUMBER('Dvd Calendar'!$AQ$322)*100000000+('Dvd Calendar'!$AQ$324=SPECIAL_LBL)*10000000+0*1000000+29*1000+39))</f>
        <v/>
      </c>
      <c r="FR40" s="35">
        <f>IF(N('Dvd Calendar'!$AR$319)=0,"",IF(('Dvd Calendar'!$AR$319&gt;=GRID_FROM)*('Dvd Calendar'!$AR$319&lt;=GRID_TO)*('Dvd Calendar'!$AR$319&lt;=VAL_DATE)=0,"",'Dvd Calendar'!$AR$319*1000000000+ISNUMBER('Dvd Calendar'!$AR$322)*100000000+('Dvd Calendar'!$AR$324=SPECIAL_LBL)*10000000+0*1000000+29*1000+40))</f>
        <v/>
      </c>
      <c r="FS40" s="35">
        <f>IF(N('Dvd Calendar'!$E$326)=0,"",IF(('Dvd Calendar'!$E$326&gt;=GRID_FROM)*('Dvd Calendar'!$E$326&lt;=GRID_TO)*('Dvd Calendar'!$E$326&gt;VAL_DATE)=0,"",'Dvd Calendar'!$E$326*1000000000+ISNUMBER('Dvd Calendar'!$E$327)*100000000+0*10000000+(N('Dvd Calendar'!$E$325)&gt;0)*(N('Dvd Calendar'!$E$325)&lt;=VAL_SERIAL)*1000000+29*1000+41))</f>
        <v/>
      </c>
      <c r="FT40" s="35">
        <f>IF(N('Dvd Calendar'!$F$326)=0,"",IF(('Dvd Calendar'!$F$326&gt;=GRID_FROM)*('Dvd Calendar'!$F$326&lt;=GRID_TO)*('Dvd Calendar'!$F$326&gt;VAL_DATE)=0,"",'Dvd Calendar'!$F$326*1000000000+ISNUMBER('Dvd Calendar'!$F$327)*100000000+0*10000000+(N('Dvd Calendar'!$F$325)&gt;0)*(N('Dvd Calendar'!$F$325)&lt;=VAL_SERIAL)*1000000+29*1000+42))</f>
        <v/>
      </c>
      <c r="FU40" s="35">
        <f>IF(N('Dvd Calendar'!$G$326)=0,"",IF(('Dvd Calendar'!$G$326&gt;=GRID_FROM)*('Dvd Calendar'!$G$326&lt;=GRID_TO)*('Dvd Calendar'!$G$326&gt;VAL_DATE)=0,"",'Dvd Calendar'!$G$326*1000000000+ISNUMBER('Dvd Calendar'!$G$327)*100000000+0*10000000+(N('Dvd Calendar'!$G$325)&gt;0)*(N('Dvd Calendar'!$G$325)&lt;=VAL_SERIAL)*1000000+29*1000+43))</f>
        <v/>
      </c>
      <c r="FV40" s="35">
        <f>IF(N('Dvd Calendar'!$H$326)=0,"",IF(('Dvd Calendar'!$H$326&gt;=GRID_FROM)*('Dvd Calendar'!$H$326&lt;=GRID_TO)*('Dvd Calendar'!$H$326&gt;VAL_DATE)=0,"",'Dvd Calendar'!$H$326*1000000000+ISNUMBER('Dvd Calendar'!$H$327)*100000000+0*10000000+(N('Dvd Calendar'!$H$325)&gt;0)*(N('Dvd Calendar'!$H$325)&lt;=VAL_SERIAL)*1000000+29*1000+44))</f>
        <v/>
      </c>
      <c r="FW40" s="35">
        <f>IF(N('Dvd Calendar'!$I$326)=0,"",IF(('Dvd Calendar'!$I$326&gt;=GRID_FROM)*('Dvd Calendar'!$I$326&lt;=GRID_TO)*('Dvd Calendar'!$I$326&gt;VAL_DATE)=0,"",'Dvd Calendar'!$I$326*1000000000+ISNUMBER('Dvd Calendar'!$I$327)*100000000+0*10000000+(N('Dvd Calendar'!$I$325)&gt;0)*(N('Dvd Calendar'!$I$325)&lt;=VAL_SERIAL)*1000000+29*1000+45))</f>
        <v/>
      </c>
      <c r="FX40" s="35">
        <f>IF(N('Dvd Calendar'!$J$326)=0,"",IF(('Dvd Calendar'!$J$326&gt;=GRID_FROM)*('Dvd Calendar'!$J$326&lt;=GRID_TO)*('Dvd Calendar'!$J$326&gt;VAL_DATE)=0,"",'Dvd Calendar'!$J$326*1000000000+ISNUMBER('Dvd Calendar'!$J$327)*100000000+0*10000000+(N('Dvd Calendar'!$J$325)&gt;0)*(N('Dvd Calendar'!$J$325)&lt;=VAL_SERIAL)*1000000+29*1000+46))</f>
        <v/>
      </c>
      <c r="FY40" s="35">
        <f>IF(N('Dvd Calendar'!$K$326)=0,"",IF(('Dvd Calendar'!$K$326&gt;=GRID_FROM)*('Dvd Calendar'!$K$326&lt;=GRID_TO)*('Dvd Calendar'!$K$326&gt;VAL_DATE)=0,"",'Dvd Calendar'!$K$326*1000000000+ISNUMBER('Dvd Calendar'!$K$327)*100000000+0*10000000+(N('Dvd Calendar'!$K$325)&gt;0)*(N('Dvd Calendar'!$K$325)&lt;=VAL_SERIAL)*1000000+29*1000+47))</f>
        <v/>
      </c>
      <c r="FZ40" s="35">
        <f>IF(N('Dvd Calendar'!$L$326)=0,"",IF(('Dvd Calendar'!$L$326&gt;=GRID_FROM)*('Dvd Calendar'!$L$326&lt;=GRID_TO)*('Dvd Calendar'!$L$326&gt;VAL_DATE)=0,"",'Dvd Calendar'!$L$326*1000000000+ISNUMBER('Dvd Calendar'!$L$327)*100000000+0*10000000+(N('Dvd Calendar'!$L$325)&gt;0)*(N('Dvd Calendar'!$L$325)&lt;=VAL_SERIAL)*1000000+29*1000+48))</f>
        <v/>
      </c>
      <c r="GA40" s="35">
        <f>IF(N('Dvd Calendar'!$M$326)=0,"",IF(('Dvd Calendar'!$M$326&gt;=GRID_FROM)*('Dvd Calendar'!$M$326&lt;=GRID_TO)*('Dvd Calendar'!$M$326&gt;VAL_DATE)=0,"",'Dvd Calendar'!$M$326*1000000000+ISNUMBER('Dvd Calendar'!$M$327)*100000000+0*10000000+(N('Dvd Calendar'!$M$325)&gt;0)*(N('Dvd Calendar'!$M$325)&lt;=VAL_SERIAL)*1000000+29*1000+49))</f>
        <v/>
      </c>
      <c r="GB40" s="35">
        <f>IF(N('Dvd Calendar'!$N$326)=0,"",IF(('Dvd Calendar'!$N$326&gt;=GRID_FROM)*('Dvd Calendar'!$N$326&lt;=GRID_TO)*('Dvd Calendar'!$N$326&gt;VAL_DATE)=0,"",'Dvd Calendar'!$N$326*1000000000+ISNUMBER('Dvd Calendar'!$N$327)*100000000+0*10000000+(N('Dvd Calendar'!$N$325)&gt;0)*(N('Dvd Calendar'!$N$325)&lt;=VAL_SERIAL)*1000000+29*1000+50))</f>
        <v/>
      </c>
      <c r="GC40" s="35">
        <f>IF(N('Dvd Calendar'!$O$326)=0,"",IF(('Dvd Calendar'!$O$326&gt;=GRID_FROM)*('Dvd Calendar'!$O$326&lt;=GRID_TO)*('Dvd Calendar'!$O$326&gt;VAL_DATE)=0,"",'Dvd Calendar'!$O$326*1000000000+ISNUMBER('Dvd Calendar'!$O$327)*100000000+0*10000000+(N('Dvd Calendar'!$O$325)&gt;0)*(N('Dvd Calendar'!$O$325)&lt;=VAL_SERIAL)*1000000+29*1000+51))</f>
        <v/>
      </c>
      <c r="GD40" s="35">
        <f>IF(N('Dvd Calendar'!$P$326)=0,"",IF(('Dvd Calendar'!$P$326&gt;=GRID_FROM)*('Dvd Calendar'!$P$326&lt;=GRID_TO)*('Dvd Calendar'!$P$326&gt;VAL_DATE)=0,"",'Dvd Calendar'!$P$326*1000000000+ISNUMBER('Dvd Calendar'!$P$327)*100000000+0*10000000+(N('Dvd Calendar'!$P$325)&gt;0)*(N('Dvd Calendar'!$P$325)&lt;=VAL_SERIAL)*1000000+29*1000+52))</f>
        <v/>
      </c>
      <c r="GE40" s="35">
        <f>IF(N('Dvd Calendar'!$Q$326)=0,"",IF(('Dvd Calendar'!$Q$326&gt;=GRID_FROM)*('Dvd Calendar'!$Q$326&lt;=GRID_TO)*('Dvd Calendar'!$Q$326&gt;VAL_DATE)=0,"",'Dvd Calendar'!$Q$326*1000000000+ISNUMBER('Dvd Calendar'!$Q$327)*100000000+0*10000000+(N('Dvd Calendar'!$Q$325)&gt;0)*(N('Dvd Calendar'!$Q$325)&lt;=VAL_SERIAL)*1000000+29*1000+53))</f>
        <v/>
      </c>
      <c r="GF40" s="35">
        <f>IF(N('Dvd Calendar'!$R$326)=0,"",IF(('Dvd Calendar'!$R$326&gt;=GRID_FROM)*('Dvd Calendar'!$R$326&lt;=GRID_TO)*('Dvd Calendar'!$R$326&gt;VAL_DATE)=0,"",'Dvd Calendar'!$R$326*1000000000+ISNUMBER('Dvd Calendar'!$R$327)*100000000+0*10000000+(N('Dvd Calendar'!$R$325)&gt;0)*(N('Dvd Calendar'!$R$325)&lt;=VAL_SERIAL)*1000000+29*1000+54))</f>
        <v/>
      </c>
      <c r="GG40" s="35">
        <f>IF(N('Dvd Calendar'!$S$326)=0,"",IF(('Dvd Calendar'!$S$326&gt;=GRID_FROM)*('Dvd Calendar'!$S$326&lt;=GRID_TO)*('Dvd Calendar'!$S$326&gt;VAL_DATE)=0,"",'Dvd Calendar'!$S$326*1000000000+ISNUMBER('Dvd Calendar'!$S$327)*100000000+0*10000000+(N('Dvd Calendar'!$S$325)&gt;0)*(N('Dvd Calendar'!$S$325)&lt;=VAL_SERIAL)*1000000+29*1000+55))</f>
        <v/>
      </c>
      <c r="GH40" s="35">
        <f>IF(N('Dvd Calendar'!$T$326)=0,"",IF(('Dvd Calendar'!$T$326&gt;=GRID_FROM)*('Dvd Calendar'!$T$326&lt;=GRID_TO)*('Dvd Calendar'!$T$326&gt;VAL_DATE)=0,"",'Dvd Calendar'!$T$326*1000000000+ISNUMBER('Dvd Calendar'!$T$327)*100000000+0*10000000+(N('Dvd Calendar'!$T$325)&gt;0)*(N('Dvd Calendar'!$T$325)&lt;=VAL_SERIAL)*1000000+29*1000+56))</f>
        <v/>
      </c>
      <c r="GI40" s="35">
        <f>IF(N('Dvd Calendar'!$U$326)=0,"",IF(('Dvd Calendar'!$U$326&gt;=GRID_FROM)*('Dvd Calendar'!$U$326&lt;=GRID_TO)*('Dvd Calendar'!$U$326&gt;VAL_DATE)=0,"",'Dvd Calendar'!$U$326*1000000000+ISNUMBER('Dvd Calendar'!$U$327)*100000000+0*10000000+(N('Dvd Calendar'!$U$325)&gt;0)*(N('Dvd Calendar'!$U$325)&lt;=VAL_SERIAL)*1000000+29*1000+57))</f>
        <v/>
      </c>
      <c r="GJ40" s="35">
        <f>IF(N('Dvd Calendar'!$V$326)=0,"",IF(('Dvd Calendar'!$V$326&gt;=GRID_FROM)*('Dvd Calendar'!$V$326&lt;=GRID_TO)*('Dvd Calendar'!$V$326&gt;VAL_DATE)=0,"",'Dvd Calendar'!$V$326*1000000000+ISNUMBER('Dvd Calendar'!$V$327)*100000000+0*10000000+(N('Dvd Calendar'!$V$325)&gt;0)*(N('Dvd Calendar'!$V$325)&lt;=VAL_SERIAL)*1000000+29*1000+58))</f>
        <v/>
      </c>
      <c r="GK40" s="35">
        <f>IF(N('Dvd Calendar'!$W$326)=0,"",IF(('Dvd Calendar'!$W$326&gt;=GRID_FROM)*('Dvd Calendar'!$W$326&lt;=GRID_TO)*('Dvd Calendar'!$W$326&gt;VAL_DATE)=0,"",'Dvd Calendar'!$W$326*1000000000+ISNUMBER('Dvd Calendar'!$W$327)*100000000+0*10000000+(N('Dvd Calendar'!$W$325)&gt;0)*(N('Dvd Calendar'!$W$325)&lt;=VAL_SERIAL)*1000000+29*1000+59))</f>
        <v/>
      </c>
      <c r="GL40" s="35">
        <f>IF(N('Dvd Calendar'!$X$326)=0,"",IF(('Dvd Calendar'!$X$326&gt;=GRID_FROM)*('Dvd Calendar'!$X$326&lt;=GRID_TO)*('Dvd Calendar'!$X$326&gt;VAL_DATE)=0,"",'Dvd Calendar'!$X$326*1000000000+ISNUMBER('Dvd Calendar'!$X$327)*100000000+0*10000000+(N('Dvd Calendar'!$X$325)&gt;0)*(N('Dvd Calendar'!$X$325)&lt;=VAL_SERIAL)*1000000+29*1000+60))</f>
        <v/>
      </c>
      <c r="GM40" s="35">
        <f>IF(N('Dvd Calendar'!$Y$326)=0,"",IF(('Dvd Calendar'!$Y$326&gt;=GRID_FROM)*('Dvd Calendar'!$Y$326&lt;=GRID_TO)*('Dvd Calendar'!$Y$326&gt;VAL_DATE)=0,"",'Dvd Calendar'!$Y$326*1000000000+ISNUMBER('Dvd Calendar'!$Y$327)*100000000+0*10000000+(N('Dvd Calendar'!$Y$325)&gt;0)*(N('Dvd Calendar'!$Y$325)&lt;=VAL_SERIAL)*1000000+29*1000+61))</f>
        <v/>
      </c>
      <c r="GN40" s="35">
        <f>IF(N('Dvd Calendar'!$Z$326)=0,"",IF(('Dvd Calendar'!$Z$326&gt;=GRID_FROM)*('Dvd Calendar'!$Z$326&lt;=GRID_TO)*('Dvd Calendar'!$Z$326&gt;VAL_DATE)=0,"",'Dvd Calendar'!$Z$326*1000000000+ISNUMBER('Dvd Calendar'!$Z$327)*100000000+0*10000000+(N('Dvd Calendar'!$Z$325)&gt;0)*(N('Dvd Calendar'!$Z$325)&lt;=VAL_SERIAL)*1000000+29*1000+62))</f>
        <v/>
      </c>
      <c r="GO40" s="35">
        <f>IF(N('Dvd Calendar'!$AA$326)=0,"",IF(('Dvd Calendar'!$AA$326&gt;=GRID_FROM)*('Dvd Calendar'!$AA$326&lt;=GRID_TO)*('Dvd Calendar'!$AA$326&gt;VAL_DATE)=0,"",'Dvd Calendar'!$AA$326*1000000000+ISNUMBER('Dvd Calendar'!$AA$327)*100000000+0*10000000+(N('Dvd Calendar'!$AA$325)&gt;0)*(N('Dvd Calendar'!$AA$325)&lt;=VAL_SERIAL)*1000000+29*1000+63))</f>
        <v/>
      </c>
      <c r="GP40" s="35">
        <f>IF(N('Dvd Calendar'!$AB$326)=0,"",IF(('Dvd Calendar'!$AB$326&gt;=GRID_FROM)*('Dvd Calendar'!$AB$326&lt;=GRID_TO)*('Dvd Calendar'!$AB$326&gt;VAL_DATE)=0,"",'Dvd Calendar'!$AB$326*1000000000+ISNUMBER('Dvd Calendar'!$AB$327)*100000000+0*10000000+(N('Dvd Calendar'!$AB$325)&gt;0)*(N('Dvd Calendar'!$AB$325)&lt;=VAL_SERIAL)*1000000+29*1000+64))</f>
        <v/>
      </c>
      <c r="GQ40" s="35">
        <f>IF(N('Dvd Calendar'!$AC$326)=0,"",IF(('Dvd Calendar'!$AC$326&gt;=GRID_FROM)*('Dvd Calendar'!$AC$326&lt;=GRID_TO)*('Dvd Calendar'!$AC$326&gt;VAL_DATE)=0,"",'Dvd Calendar'!$AC$326*1000000000+ISNUMBER('Dvd Calendar'!$AC$327)*100000000+0*10000000+(N('Dvd Calendar'!$AC$325)&gt;0)*(N('Dvd Calendar'!$AC$325)&lt;=VAL_SERIAL)*1000000+29*1000+65))</f>
        <v/>
      </c>
    </row>
    <row r="41">
      <c r="B41" s="2">
        <f>IF(HSI!$C$36="","",HSI!$C$36)</f>
        <v/>
      </c>
      <c r="C41" s="106">
        <f>IF(EE41="","",IF(ISNUMBER('Dvd Calendar'!$E$333)=FALSE,"",IF((('Dvd Calendar'!$E$335=TYPE1)*(TYPE1&lt;&gt;"")+('Dvd Calendar'!$E$335=TYPE2)*(TYPE2&lt;&gt;"")+('Dvd Calendar'!$E$335=TYPE3)*(TYPE3&lt;&gt;"")+('Dvd Calendar'!$E$335=TYPE4)*(TYPE4&lt;&gt;"")+('Dvd Calendar'!$E$335=SPECIAL_LBL)*(INC_SPECIALS="Y"))=0,"",'Dvd Calendar'!$E$333)))</f>
        <v/>
      </c>
      <c r="D41" s="106">
        <f>IF(EF41="","",IF(ISNUMBER('Dvd Calendar'!$F$333)=FALSE,"",IF((('Dvd Calendar'!$F$335=TYPE1)*(TYPE1&lt;&gt;"")+('Dvd Calendar'!$F$335=TYPE2)*(TYPE2&lt;&gt;"")+('Dvd Calendar'!$F$335=TYPE3)*(TYPE3&lt;&gt;"")+('Dvd Calendar'!$F$335=TYPE4)*(TYPE4&lt;&gt;"")+('Dvd Calendar'!$F$335=SPECIAL_LBL)*(INC_SPECIALS="Y"))=0,"",'Dvd Calendar'!$F$333)))</f>
        <v/>
      </c>
      <c r="E41" s="106">
        <f>IF(EG41="","",IF(ISNUMBER('Dvd Calendar'!$G$333)=FALSE,"",IF((('Dvd Calendar'!$G$335=TYPE1)*(TYPE1&lt;&gt;"")+('Dvd Calendar'!$G$335=TYPE2)*(TYPE2&lt;&gt;"")+('Dvd Calendar'!$G$335=TYPE3)*(TYPE3&lt;&gt;"")+('Dvd Calendar'!$G$335=TYPE4)*(TYPE4&lt;&gt;"")+('Dvd Calendar'!$G$335=SPECIAL_LBL)*(INC_SPECIALS="Y"))=0,"",'Dvd Calendar'!$G$333)))</f>
        <v/>
      </c>
      <c r="F41" s="106">
        <f>IF(EH41="","",IF(ISNUMBER('Dvd Calendar'!$H$333)=FALSE,"",IF((('Dvd Calendar'!$H$335=TYPE1)*(TYPE1&lt;&gt;"")+('Dvd Calendar'!$H$335=TYPE2)*(TYPE2&lt;&gt;"")+('Dvd Calendar'!$H$335=TYPE3)*(TYPE3&lt;&gt;"")+('Dvd Calendar'!$H$335=TYPE4)*(TYPE4&lt;&gt;"")+('Dvd Calendar'!$H$335=SPECIAL_LBL)*(INC_SPECIALS="Y"))=0,"",'Dvd Calendar'!$H$333)))</f>
        <v/>
      </c>
      <c r="G41" s="106">
        <f>IF(EI41="","",IF(ISNUMBER('Dvd Calendar'!$I$333)=FALSE,"",IF((('Dvd Calendar'!$I$335=TYPE1)*(TYPE1&lt;&gt;"")+('Dvd Calendar'!$I$335=TYPE2)*(TYPE2&lt;&gt;"")+('Dvd Calendar'!$I$335=TYPE3)*(TYPE3&lt;&gt;"")+('Dvd Calendar'!$I$335=TYPE4)*(TYPE4&lt;&gt;"")+('Dvd Calendar'!$I$335=SPECIAL_LBL)*(INC_SPECIALS="Y"))=0,"",'Dvd Calendar'!$I$333)))</f>
        <v/>
      </c>
      <c r="H41" s="106">
        <f>IF(EJ41="","",IF(ISNUMBER('Dvd Calendar'!$J$333)=FALSE,"",IF((('Dvd Calendar'!$J$335=TYPE1)*(TYPE1&lt;&gt;"")+('Dvd Calendar'!$J$335=TYPE2)*(TYPE2&lt;&gt;"")+('Dvd Calendar'!$J$335=TYPE3)*(TYPE3&lt;&gt;"")+('Dvd Calendar'!$J$335=TYPE4)*(TYPE4&lt;&gt;"")+('Dvd Calendar'!$J$335=SPECIAL_LBL)*(INC_SPECIALS="Y"))=0,"",'Dvd Calendar'!$J$333)))</f>
        <v/>
      </c>
      <c r="I41" s="106">
        <f>IF(EK41="","",IF(ISNUMBER('Dvd Calendar'!$K$333)=FALSE,"",IF((('Dvd Calendar'!$K$335=TYPE1)*(TYPE1&lt;&gt;"")+('Dvd Calendar'!$K$335=TYPE2)*(TYPE2&lt;&gt;"")+('Dvd Calendar'!$K$335=TYPE3)*(TYPE3&lt;&gt;"")+('Dvd Calendar'!$K$335=TYPE4)*(TYPE4&lt;&gt;"")+('Dvd Calendar'!$K$335=SPECIAL_LBL)*(INC_SPECIALS="Y"))=0,"",'Dvd Calendar'!$K$333)))</f>
        <v/>
      </c>
      <c r="J41" s="106">
        <f>IF(EL41="","",IF(ISNUMBER('Dvd Calendar'!$L$333)=FALSE,"",IF((('Dvd Calendar'!$L$335=TYPE1)*(TYPE1&lt;&gt;"")+('Dvd Calendar'!$L$335=TYPE2)*(TYPE2&lt;&gt;"")+('Dvd Calendar'!$L$335=TYPE3)*(TYPE3&lt;&gt;"")+('Dvd Calendar'!$L$335=TYPE4)*(TYPE4&lt;&gt;"")+('Dvd Calendar'!$L$335=SPECIAL_LBL)*(INC_SPECIALS="Y"))=0,"",'Dvd Calendar'!$L$333)))</f>
        <v/>
      </c>
      <c r="K41" s="106">
        <f>IF(EM41="","",IF(ISNUMBER('Dvd Calendar'!$M$333)=FALSE,"",IF((('Dvd Calendar'!$M$335=TYPE1)*(TYPE1&lt;&gt;"")+('Dvd Calendar'!$M$335=TYPE2)*(TYPE2&lt;&gt;"")+('Dvd Calendar'!$M$335=TYPE3)*(TYPE3&lt;&gt;"")+('Dvd Calendar'!$M$335=TYPE4)*(TYPE4&lt;&gt;"")+('Dvd Calendar'!$M$335=SPECIAL_LBL)*(INC_SPECIALS="Y"))=0,"",'Dvd Calendar'!$M$333)))</f>
        <v/>
      </c>
      <c r="L41" s="106">
        <f>IF(EN41="","",IF(ISNUMBER('Dvd Calendar'!$N$333)=FALSE,"",IF((('Dvd Calendar'!$N$335=TYPE1)*(TYPE1&lt;&gt;"")+('Dvd Calendar'!$N$335=TYPE2)*(TYPE2&lt;&gt;"")+('Dvd Calendar'!$N$335=TYPE3)*(TYPE3&lt;&gt;"")+('Dvd Calendar'!$N$335=TYPE4)*(TYPE4&lt;&gt;"")+('Dvd Calendar'!$N$335=SPECIAL_LBL)*(INC_SPECIALS="Y"))=0,"",'Dvd Calendar'!$N$333)))</f>
        <v/>
      </c>
      <c r="M41" s="106">
        <f>IF(EO41="","",IF(ISNUMBER('Dvd Calendar'!$O$333)=FALSE,"",IF((('Dvd Calendar'!$O$335=TYPE1)*(TYPE1&lt;&gt;"")+('Dvd Calendar'!$O$335=TYPE2)*(TYPE2&lt;&gt;"")+('Dvd Calendar'!$O$335=TYPE3)*(TYPE3&lt;&gt;"")+('Dvd Calendar'!$O$335=TYPE4)*(TYPE4&lt;&gt;"")+('Dvd Calendar'!$O$335=SPECIAL_LBL)*(INC_SPECIALS="Y"))=0,"",'Dvd Calendar'!$O$333)))</f>
        <v/>
      </c>
      <c r="N41" s="106">
        <f>IF(EP41="","",IF(ISNUMBER('Dvd Calendar'!$P$333)=FALSE,"",IF((('Dvd Calendar'!$P$335=TYPE1)*(TYPE1&lt;&gt;"")+('Dvd Calendar'!$P$335=TYPE2)*(TYPE2&lt;&gt;"")+('Dvd Calendar'!$P$335=TYPE3)*(TYPE3&lt;&gt;"")+('Dvd Calendar'!$P$335=TYPE4)*(TYPE4&lt;&gt;"")+('Dvd Calendar'!$P$335=SPECIAL_LBL)*(INC_SPECIALS="Y"))=0,"",'Dvd Calendar'!$P$333)))</f>
        <v/>
      </c>
      <c r="O41" s="106">
        <f>IF(EQ41="","",IF(ISNUMBER('Dvd Calendar'!$Q$333)=FALSE,"",IF((('Dvd Calendar'!$Q$335=TYPE1)*(TYPE1&lt;&gt;"")+('Dvd Calendar'!$Q$335=TYPE2)*(TYPE2&lt;&gt;"")+('Dvd Calendar'!$Q$335=TYPE3)*(TYPE3&lt;&gt;"")+('Dvd Calendar'!$Q$335=TYPE4)*(TYPE4&lt;&gt;"")+('Dvd Calendar'!$Q$335=SPECIAL_LBL)*(INC_SPECIALS="Y"))=0,"",'Dvd Calendar'!$Q$333)))</f>
        <v/>
      </c>
      <c r="P41" s="106">
        <f>IF(ER41="","",IF(ISNUMBER('Dvd Calendar'!$R$333)=FALSE,"",IF((('Dvd Calendar'!$R$335=TYPE1)*(TYPE1&lt;&gt;"")+('Dvd Calendar'!$R$335=TYPE2)*(TYPE2&lt;&gt;"")+('Dvd Calendar'!$R$335=TYPE3)*(TYPE3&lt;&gt;"")+('Dvd Calendar'!$R$335=TYPE4)*(TYPE4&lt;&gt;"")+('Dvd Calendar'!$R$335=SPECIAL_LBL)*(INC_SPECIALS="Y"))=0,"",'Dvd Calendar'!$R$333)))</f>
        <v/>
      </c>
      <c r="Q41" s="106">
        <f>IF(ES41="","",IF(ISNUMBER('Dvd Calendar'!$S$333)=FALSE,"",IF((('Dvd Calendar'!$S$335=TYPE1)*(TYPE1&lt;&gt;"")+('Dvd Calendar'!$S$335=TYPE2)*(TYPE2&lt;&gt;"")+('Dvd Calendar'!$S$335=TYPE3)*(TYPE3&lt;&gt;"")+('Dvd Calendar'!$S$335=TYPE4)*(TYPE4&lt;&gt;"")+('Dvd Calendar'!$S$335=SPECIAL_LBL)*(INC_SPECIALS="Y"))=0,"",'Dvd Calendar'!$S$333)))</f>
        <v/>
      </c>
      <c r="R41" s="106">
        <f>IF(ET41="","",IF(ISNUMBER('Dvd Calendar'!$T$333)=FALSE,"",IF((('Dvd Calendar'!$T$335=TYPE1)*(TYPE1&lt;&gt;"")+('Dvd Calendar'!$T$335=TYPE2)*(TYPE2&lt;&gt;"")+('Dvd Calendar'!$T$335=TYPE3)*(TYPE3&lt;&gt;"")+('Dvd Calendar'!$T$335=TYPE4)*(TYPE4&lt;&gt;"")+('Dvd Calendar'!$T$335=SPECIAL_LBL)*(INC_SPECIALS="Y"))=0,"",'Dvd Calendar'!$T$333)))</f>
        <v/>
      </c>
      <c r="S41" s="106">
        <f>IF(EU41="","",IF(ISNUMBER('Dvd Calendar'!$U$333)=FALSE,"",IF((('Dvd Calendar'!$U$335=TYPE1)*(TYPE1&lt;&gt;"")+('Dvd Calendar'!$U$335=TYPE2)*(TYPE2&lt;&gt;"")+('Dvd Calendar'!$U$335=TYPE3)*(TYPE3&lt;&gt;"")+('Dvd Calendar'!$U$335=TYPE4)*(TYPE4&lt;&gt;"")+('Dvd Calendar'!$U$335=SPECIAL_LBL)*(INC_SPECIALS="Y"))=0,"",'Dvd Calendar'!$U$333)))</f>
        <v/>
      </c>
      <c r="T41" s="106">
        <f>IF(EV41="","",IF(ISNUMBER('Dvd Calendar'!$V$333)=FALSE,"",IF((('Dvd Calendar'!$V$335=TYPE1)*(TYPE1&lt;&gt;"")+('Dvd Calendar'!$V$335=TYPE2)*(TYPE2&lt;&gt;"")+('Dvd Calendar'!$V$335=TYPE3)*(TYPE3&lt;&gt;"")+('Dvd Calendar'!$V$335=TYPE4)*(TYPE4&lt;&gt;"")+('Dvd Calendar'!$V$335=SPECIAL_LBL)*(INC_SPECIALS="Y"))=0,"",'Dvd Calendar'!$V$333)))</f>
        <v/>
      </c>
      <c r="U41" s="106">
        <f>IF(EW41="","",IF(ISNUMBER('Dvd Calendar'!$W$333)=FALSE,"",IF((('Dvd Calendar'!$W$335=TYPE1)*(TYPE1&lt;&gt;"")+('Dvd Calendar'!$W$335=TYPE2)*(TYPE2&lt;&gt;"")+('Dvd Calendar'!$W$335=TYPE3)*(TYPE3&lt;&gt;"")+('Dvd Calendar'!$W$335=TYPE4)*(TYPE4&lt;&gt;"")+('Dvd Calendar'!$W$335=SPECIAL_LBL)*(INC_SPECIALS="Y"))=0,"",'Dvd Calendar'!$W$333)))</f>
        <v/>
      </c>
      <c r="V41" s="106">
        <f>IF(EX41="","",IF(ISNUMBER('Dvd Calendar'!$X$333)=FALSE,"",IF((('Dvd Calendar'!$X$335=TYPE1)*(TYPE1&lt;&gt;"")+('Dvd Calendar'!$X$335=TYPE2)*(TYPE2&lt;&gt;"")+('Dvd Calendar'!$X$335=TYPE3)*(TYPE3&lt;&gt;"")+('Dvd Calendar'!$X$335=TYPE4)*(TYPE4&lt;&gt;"")+('Dvd Calendar'!$X$335=SPECIAL_LBL)*(INC_SPECIALS="Y"))=0,"",'Dvd Calendar'!$X$333)))</f>
        <v/>
      </c>
      <c r="W41" s="106">
        <f>IF(EY41="","",IF(ISNUMBER('Dvd Calendar'!$Y$333)=FALSE,"",IF((('Dvd Calendar'!$Y$335=TYPE1)*(TYPE1&lt;&gt;"")+('Dvd Calendar'!$Y$335=TYPE2)*(TYPE2&lt;&gt;"")+('Dvd Calendar'!$Y$335=TYPE3)*(TYPE3&lt;&gt;"")+('Dvd Calendar'!$Y$335=TYPE4)*(TYPE4&lt;&gt;"")+('Dvd Calendar'!$Y$335=SPECIAL_LBL)*(INC_SPECIALS="Y"))=0,"",'Dvd Calendar'!$Y$333)))</f>
        <v/>
      </c>
      <c r="X41" s="106">
        <f>IF(EZ41="","",IF(ISNUMBER('Dvd Calendar'!$Z$333)=FALSE,"",IF((('Dvd Calendar'!$Z$335=TYPE1)*(TYPE1&lt;&gt;"")+('Dvd Calendar'!$Z$335=TYPE2)*(TYPE2&lt;&gt;"")+('Dvd Calendar'!$Z$335=TYPE3)*(TYPE3&lt;&gt;"")+('Dvd Calendar'!$Z$335=TYPE4)*(TYPE4&lt;&gt;"")+('Dvd Calendar'!$Z$335=SPECIAL_LBL)*(INC_SPECIALS="Y"))=0,"",'Dvd Calendar'!$Z$333)))</f>
        <v/>
      </c>
      <c r="Y41" s="106">
        <f>IF(FA41="","",IF(ISNUMBER('Dvd Calendar'!$AA$333)=FALSE,"",IF((('Dvd Calendar'!$AA$335=TYPE1)*(TYPE1&lt;&gt;"")+('Dvd Calendar'!$AA$335=TYPE2)*(TYPE2&lt;&gt;"")+('Dvd Calendar'!$AA$335=TYPE3)*(TYPE3&lt;&gt;"")+('Dvd Calendar'!$AA$335=TYPE4)*(TYPE4&lt;&gt;"")+('Dvd Calendar'!$AA$335=SPECIAL_LBL)*(INC_SPECIALS="Y"))=0,"",'Dvd Calendar'!$AA$333)))</f>
        <v/>
      </c>
      <c r="Z41" s="106">
        <f>IF(FB41="","",IF(ISNUMBER('Dvd Calendar'!$AB$333)=FALSE,"",IF((('Dvd Calendar'!$AB$335=TYPE1)*(TYPE1&lt;&gt;"")+('Dvd Calendar'!$AB$335=TYPE2)*(TYPE2&lt;&gt;"")+('Dvd Calendar'!$AB$335=TYPE3)*(TYPE3&lt;&gt;"")+('Dvd Calendar'!$AB$335=TYPE4)*(TYPE4&lt;&gt;"")+('Dvd Calendar'!$AB$335=SPECIAL_LBL)*(INC_SPECIALS="Y"))=0,"",'Dvd Calendar'!$AB$333)))</f>
        <v/>
      </c>
      <c r="AA41" s="106">
        <f>IF(FC41="","",IF(ISNUMBER('Dvd Calendar'!$AC$333)=FALSE,"",IF((('Dvd Calendar'!$AC$335=TYPE1)*(TYPE1&lt;&gt;"")+('Dvd Calendar'!$AC$335=TYPE2)*(TYPE2&lt;&gt;"")+('Dvd Calendar'!$AC$335=TYPE3)*(TYPE3&lt;&gt;"")+('Dvd Calendar'!$AC$335=TYPE4)*(TYPE4&lt;&gt;"")+('Dvd Calendar'!$AC$335=SPECIAL_LBL)*(INC_SPECIALS="Y"))=0,"",'Dvd Calendar'!$AC$333)))</f>
        <v/>
      </c>
      <c r="AB41" s="106">
        <f>IF(FD41="","",IF(ISNUMBER('Dvd Calendar'!$AD$333)=FALSE,"",IF((('Dvd Calendar'!$AD$335=TYPE1)*(TYPE1&lt;&gt;"")+('Dvd Calendar'!$AD$335=TYPE2)*(TYPE2&lt;&gt;"")+('Dvd Calendar'!$AD$335=TYPE3)*(TYPE3&lt;&gt;"")+('Dvd Calendar'!$AD$335=TYPE4)*(TYPE4&lt;&gt;"")+('Dvd Calendar'!$AD$335=SPECIAL_LBL)*(INC_SPECIALS="Y"))=0,"",'Dvd Calendar'!$AD$333)))</f>
        <v/>
      </c>
      <c r="AC41" s="106">
        <f>IF(FE41="","",IF(ISNUMBER('Dvd Calendar'!$AE$333)=FALSE,"",IF((('Dvd Calendar'!$AE$335=TYPE1)*(TYPE1&lt;&gt;"")+('Dvd Calendar'!$AE$335=TYPE2)*(TYPE2&lt;&gt;"")+('Dvd Calendar'!$AE$335=TYPE3)*(TYPE3&lt;&gt;"")+('Dvd Calendar'!$AE$335=TYPE4)*(TYPE4&lt;&gt;"")+('Dvd Calendar'!$AE$335=SPECIAL_LBL)*(INC_SPECIALS="Y"))=0,"",'Dvd Calendar'!$AE$333)))</f>
        <v/>
      </c>
      <c r="AD41" s="106">
        <f>IF(FF41="","",IF(ISNUMBER('Dvd Calendar'!$AF$333)=FALSE,"",IF((('Dvd Calendar'!$AF$335=TYPE1)*(TYPE1&lt;&gt;"")+('Dvd Calendar'!$AF$335=TYPE2)*(TYPE2&lt;&gt;"")+('Dvd Calendar'!$AF$335=TYPE3)*(TYPE3&lt;&gt;"")+('Dvd Calendar'!$AF$335=TYPE4)*(TYPE4&lt;&gt;"")+('Dvd Calendar'!$AF$335=SPECIAL_LBL)*(INC_SPECIALS="Y"))=0,"",'Dvd Calendar'!$AF$333)))</f>
        <v/>
      </c>
      <c r="AE41" s="106">
        <f>IF(FG41="","",IF(ISNUMBER('Dvd Calendar'!$AG$333)=FALSE,"",IF((('Dvd Calendar'!$AG$335=TYPE1)*(TYPE1&lt;&gt;"")+('Dvd Calendar'!$AG$335=TYPE2)*(TYPE2&lt;&gt;"")+('Dvd Calendar'!$AG$335=TYPE3)*(TYPE3&lt;&gt;"")+('Dvd Calendar'!$AG$335=TYPE4)*(TYPE4&lt;&gt;"")+('Dvd Calendar'!$AG$335=SPECIAL_LBL)*(INC_SPECIALS="Y"))=0,"",'Dvd Calendar'!$AG$333)))</f>
        <v/>
      </c>
      <c r="AF41" s="106">
        <f>IF(FH41="","",IF(ISNUMBER('Dvd Calendar'!$AH$333)=FALSE,"",IF((('Dvd Calendar'!$AH$335=TYPE1)*(TYPE1&lt;&gt;"")+('Dvd Calendar'!$AH$335=TYPE2)*(TYPE2&lt;&gt;"")+('Dvd Calendar'!$AH$335=TYPE3)*(TYPE3&lt;&gt;"")+('Dvd Calendar'!$AH$335=TYPE4)*(TYPE4&lt;&gt;"")+('Dvd Calendar'!$AH$335=SPECIAL_LBL)*(INC_SPECIALS="Y"))=0,"",'Dvd Calendar'!$AH$333)))</f>
        <v/>
      </c>
      <c r="AG41" s="106">
        <f>IF(FI41="","",IF(ISNUMBER('Dvd Calendar'!$AI$333)=FALSE,"",IF((('Dvd Calendar'!$AI$335=TYPE1)*(TYPE1&lt;&gt;"")+('Dvd Calendar'!$AI$335=TYPE2)*(TYPE2&lt;&gt;"")+('Dvd Calendar'!$AI$335=TYPE3)*(TYPE3&lt;&gt;"")+('Dvd Calendar'!$AI$335=TYPE4)*(TYPE4&lt;&gt;"")+('Dvd Calendar'!$AI$335=SPECIAL_LBL)*(INC_SPECIALS="Y"))=0,"",'Dvd Calendar'!$AI$333)))</f>
        <v/>
      </c>
      <c r="AH41" s="106">
        <f>IF(FJ41="","",IF(ISNUMBER('Dvd Calendar'!$AJ$333)=FALSE,"",IF((('Dvd Calendar'!$AJ$335=TYPE1)*(TYPE1&lt;&gt;"")+('Dvd Calendar'!$AJ$335=TYPE2)*(TYPE2&lt;&gt;"")+('Dvd Calendar'!$AJ$335=TYPE3)*(TYPE3&lt;&gt;"")+('Dvd Calendar'!$AJ$335=TYPE4)*(TYPE4&lt;&gt;"")+('Dvd Calendar'!$AJ$335=SPECIAL_LBL)*(INC_SPECIALS="Y"))=0,"",'Dvd Calendar'!$AJ$333)))</f>
        <v/>
      </c>
      <c r="AI41" s="106">
        <f>IF(FK41="","",IF(ISNUMBER('Dvd Calendar'!$AK$333)=FALSE,"",IF((('Dvd Calendar'!$AK$335=TYPE1)*(TYPE1&lt;&gt;"")+('Dvd Calendar'!$AK$335=TYPE2)*(TYPE2&lt;&gt;"")+('Dvd Calendar'!$AK$335=TYPE3)*(TYPE3&lt;&gt;"")+('Dvd Calendar'!$AK$335=TYPE4)*(TYPE4&lt;&gt;"")+('Dvd Calendar'!$AK$335=SPECIAL_LBL)*(INC_SPECIALS="Y"))=0,"",'Dvd Calendar'!$AK$333)))</f>
        <v/>
      </c>
      <c r="AJ41" s="106">
        <f>IF(FL41="","",IF(ISNUMBER('Dvd Calendar'!$AL$333)=FALSE,"",IF((('Dvd Calendar'!$AL$335=TYPE1)*(TYPE1&lt;&gt;"")+('Dvd Calendar'!$AL$335=TYPE2)*(TYPE2&lt;&gt;"")+('Dvd Calendar'!$AL$335=TYPE3)*(TYPE3&lt;&gt;"")+('Dvd Calendar'!$AL$335=TYPE4)*(TYPE4&lt;&gt;"")+('Dvd Calendar'!$AL$335=SPECIAL_LBL)*(INC_SPECIALS="Y"))=0,"",'Dvd Calendar'!$AL$333)))</f>
        <v/>
      </c>
      <c r="AK41" s="106">
        <f>IF(FM41="","",IF(ISNUMBER('Dvd Calendar'!$AM$333)=FALSE,"",IF((('Dvd Calendar'!$AM$335=TYPE1)*(TYPE1&lt;&gt;"")+('Dvd Calendar'!$AM$335=TYPE2)*(TYPE2&lt;&gt;"")+('Dvd Calendar'!$AM$335=TYPE3)*(TYPE3&lt;&gt;"")+('Dvd Calendar'!$AM$335=TYPE4)*(TYPE4&lt;&gt;"")+('Dvd Calendar'!$AM$335=SPECIAL_LBL)*(INC_SPECIALS="Y"))=0,"",'Dvd Calendar'!$AM$333)))</f>
        <v/>
      </c>
      <c r="AL41" s="106">
        <f>IF(FN41="","",IF(ISNUMBER('Dvd Calendar'!$AN$333)=FALSE,"",IF((('Dvd Calendar'!$AN$335=TYPE1)*(TYPE1&lt;&gt;"")+('Dvd Calendar'!$AN$335=TYPE2)*(TYPE2&lt;&gt;"")+('Dvd Calendar'!$AN$335=TYPE3)*(TYPE3&lt;&gt;"")+('Dvd Calendar'!$AN$335=TYPE4)*(TYPE4&lt;&gt;"")+('Dvd Calendar'!$AN$335=SPECIAL_LBL)*(INC_SPECIALS="Y"))=0,"",'Dvd Calendar'!$AN$333)))</f>
        <v/>
      </c>
      <c r="AM41" s="106">
        <f>IF(FO41="","",IF(ISNUMBER('Dvd Calendar'!$AO$333)=FALSE,"",IF((('Dvd Calendar'!$AO$335=TYPE1)*(TYPE1&lt;&gt;"")+('Dvd Calendar'!$AO$335=TYPE2)*(TYPE2&lt;&gt;"")+('Dvd Calendar'!$AO$335=TYPE3)*(TYPE3&lt;&gt;"")+('Dvd Calendar'!$AO$335=TYPE4)*(TYPE4&lt;&gt;"")+('Dvd Calendar'!$AO$335=SPECIAL_LBL)*(INC_SPECIALS="Y"))=0,"",'Dvd Calendar'!$AO$333)))</f>
        <v/>
      </c>
      <c r="AN41" s="106">
        <f>IF(FP41="","",IF(ISNUMBER('Dvd Calendar'!$AP$333)=FALSE,"",IF((('Dvd Calendar'!$AP$335=TYPE1)*(TYPE1&lt;&gt;"")+('Dvd Calendar'!$AP$335=TYPE2)*(TYPE2&lt;&gt;"")+('Dvd Calendar'!$AP$335=TYPE3)*(TYPE3&lt;&gt;"")+('Dvd Calendar'!$AP$335=TYPE4)*(TYPE4&lt;&gt;"")+('Dvd Calendar'!$AP$335=SPECIAL_LBL)*(INC_SPECIALS="Y"))=0,"",'Dvd Calendar'!$AP$333)))</f>
        <v/>
      </c>
      <c r="AO41" s="106">
        <f>IF(FQ41="","",IF(ISNUMBER('Dvd Calendar'!$AQ$333)=FALSE,"",IF((('Dvd Calendar'!$AQ$335=TYPE1)*(TYPE1&lt;&gt;"")+('Dvd Calendar'!$AQ$335=TYPE2)*(TYPE2&lt;&gt;"")+('Dvd Calendar'!$AQ$335=TYPE3)*(TYPE3&lt;&gt;"")+('Dvd Calendar'!$AQ$335=TYPE4)*(TYPE4&lt;&gt;"")+('Dvd Calendar'!$AQ$335=SPECIAL_LBL)*(INC_SPECIALS="Y"))=0,"",'Dvd Calendar'!$AQ$333)))</f>
        <v/>
      </c>
      <c r="AP41" s="106">
        <f>IF(FR41="","",IF(ISNUMBER('Dvd Calendar'!$AR$333)=FALSE,"",IF((('Dvd Calendar'!$AR$335=TYPE1)*(TYPE1&lt;&gt;"")+('Dvd Calendar'!$AR$335=TYPE2)*(TYPE2&lt;&gt;"")+('Dvd Calendar'!$AR$335=TYPE3)*(TYPE3&lt;&gt;"")+('Dvd Calendar'!$AR$335=TYPE4)*(TYPE4&lt;&gt;"")+('Dvd Calendar'!$AR$335=SPECIAL_LBL)*(INC_SPECIALS="Y"))=0,"",'Dvd Calendar'!$AR$333)))</f>
        <v/>
      </c>
      <c r="AQ41" s="106">
        <f>IF(FS41="","",IF(ISNUMBER('Dvd Calendar'!$E$338)=FALSE,"",'Dvd Calendar'!$E$338))</f>
        <v/>
      </c>
      <c r="AR41" s="106">
        <f>IF(FT41="","",IF(ISNUMBER('Dvd Calendar'!$F$338)=FALSE,"",'Dvd Calendar'!$F$338))</f>
        <v/>
      </c>
      <c r="AS41" s="106">
        <f>IF(FU41="","",IF(ISNUMBER('Dvd Calendar'!$G$338)=FALSE,"",'Dvd Calendar'!$G$338))</f>
        <v/>
      </c>
      <c r="AT41" s="106">
        <f>IF(FV41="","",IF(ISNUMBER('Dvd Calendar'!$H$338)=FALSE,"",'Dvd Calendar'!$H$338))</f>
        <v/>
      </c>
      <c r="AU41" s="106">
        <f>IF(FW41="","",IF(ISNUMBER('Dvd Calendar'!$I$338)=FALSE,"",'Dvd Calendar'!$I$338))</f>
        <v/>
      </c>
      <c r="AV41" s="106">
        <f>IF(FX41="","",IF(ISNUMBER('Dvd Calendar'!$J$338)=FALSE,"",'Dvd Calendar'!$J$338))</f>
        <v/>
      </c>
      <c r="AW41" s="106">
        <f>IF(FY41="","",IF(ISNUMBER('Dvd Calendar'!$K$338)=FALSE,"",'Dvd Calendar'!$K$338))</f>
        <v/>
      </c>
      <c r="AX41" s="106">
        <f>IF(FZ41="","",IF(ISNUMBER('Dvd Calendar'!$L$338)=FALSE,"",'Dvd Calendar'!$L$338))</f>
        <v/>
      </c>
      <c r="AY41" s="106">
        <f>IF(GA41="","",IF(ISNUMBER('Dvd Calendar'!$M$338)=FALSE,"",'Dvd Calendar'!$M$338))</f>
        <v/>
      </c>
      <c r="AZ41" s="106">
        <f>IF(GB41="","",IF(ISNUMBER('Dvd Calendar'!$N$338)=FALSE,"",'Dvd Calendar'!$N$338))</f>
        <v/>
      </c>
      <c r="BA41" s="106">
        <f>IF(GC41="","",IF(ISNUMBER('Dvd Calendar'!$O$338)=FALSE,"",'Dvd Calendar'!$O$338))</f>
        <v/>
      </c>
      <c r="BB41" s="106">
        <f>IF(GD41="","",IF(ISNUMBER('Dvd Calendar'!$P$338)=FALSE,"",'Dvd Calendar'!$P$338))</f>
        <v/>
      </c>
      <c r="BC41" s="106">
        <f>IF(GE41="","",IF(ISNUMBER('Dvd Calendar'!$Q$338)=FALSE,"",'Dvd Calendar'!$Q$338))</f>
        <v/>
      </c>
      <c r="BD41" s="106">
        <f>IF(GF41="","",IF(ISNUMBER('Dvd Calendar'!$R$338)=FALSE,"",'Dvd Calendar'!$R$338))</f>
        <v/>
      </c>
      <c r="BE41" s="106">
        <f>IF(GG41="","",IF(ISNUMBER('Dvd Calendar'!$S$338)=FALSE,"",'Dvd Calendar'!$S$338))</f>
        <v/>
      </c>
      <c r="BF41" s="106">
        <f>IF(GH41="","",IF(ISNUMBER('Dvd Calendar'!$T$338)=FALSE,"",'Dvd Calendar'!$T$338))</f>
        <v/>
      </c>
      <c r="BG41" s="106">
        <f>IF(GI41="","",IF(ISNUMBER('Dvd Calendar'!$U$338)=FALSE,"",'Dvd Calendar'!$U$338))</f>
        <v/>
      </c>
      <c r="BH41" s="106">
        <f>IF(GJ41="","",IF(ISNUMBER('Dvd Calendar'!$V$338)=FALSE,"",'Dvd Calendar'!$V$338))</f>
        <v/>
      </c>
      <c r="BI41" s="106">
        <f>IF(GK41="","",IF(ISNUMBER('Dvd Calendar'!$W$338)=FALSE,"",'Dvd Calendar'!$W$338))</f>
        <v/>
      </c>
      <c r="BJ41" s="106">
        <f>IF(GL41="","",IF(ISNUMBER('Dvd Calendar'!$X$338)=FALSE,"",'Dvd Calendar'!$X$338))</f>
        <v/>
      </c>
      <c r="BK41" s="106">
        <f>IF(GM41="","",IF(ISNUMBER('Dvd Calendar'!$Y$338)=FALSE,"",'Dvd Calendar'!$Y$338))</f>
        <v/>
      </c>
      <c r="BL41" s="106">
        <f>IF(GN41="","",IF(ISNUMBER('Dvd Calendar'!$Z$338)=FALSE,"",'Dvd Calendar'!$Z$338))</f>
        <v/>
      </c>
      <c r="BM41" s="106">
        <f>IF(GO41="","",IF(ISNUMBER('Dvd Calendar'!$AA$338)=FALSE,"",'Dvd Calendar'!$AA$338))</f>
        <v/>
      </c>
      <c r="BN41" s="106">
        <f>IF(GP41="","",IF(ISNUMBER('Dvd Calendar'!$AB$338)=FALSE,"",'Dvd Calendar'!$AB$338))</f>
        <v/>
      </c>
      <c r="BO41" s="106">
        <f>IF(GQ41="","",IF(ISNUMBER('Dvd Calendar'!$AC$338)=FALSE,"",'Dvd Calendar'!$AC$338))</f>
        <v/>
      </c>
      <c r="BQ41" s="106">
        <f>IF(C41="","",IFERROR(C41*HSI!$B$36*HSI!$G$36/HSI!$B$3,""))</f>
        <v/>
      </c>
      <c r="BR41" s="106">
        <f>IF(D41="","",IFERROR(D41*HSI!$B$36*HSI!$G$36/HSI!$B$3,""))</f>
        <v/>
      </c>
      <c r="BS41" s="106">
        <f>IF(E41="","",IFERROR(E41*HSI!$B$36*HSI!$G$36/HSI!$B$3,""))</f>
        <v/>
      </c>
      <c r="BT41" s="106">
        <f>IF(F41="","",IFERROR(F41*HSI!$B$36*HSI!$G$36/HSI!$B$3,""))</f>
        <v/>
      </c>
      <c r="BU41" s="106">
        <f>IF(G41="","",IFERROR(G41*HSI!$B$36*HSI!$G$36/HSI!$B$3,""))</f>
        <v/>
      </c>
      <c r="BV41" s="106">
        <f>IF(H41="","",IFERROR(H41*HSI!$B$36*HSI!$G$36/HSI!$B$3,""))</f>
        <v/>
      </c>
      <c r="BW41" s="106">
        <f>IF(I41="","",IFERROR(I41*HSI!$B$36*HSI!$G$36/HSI!$B$3,""))</f>
        <v/>
      </c>
      <c r="BX41" s="106">
        <f>IF(J41="","",IFERROR(J41*HSI!$B$36*HSI!$G$36/HSI!$B$3,""))</f>
        <v/>
      </c>
      <c r="BY41" s="106">
        <f>IF(K41="","",IFERROR(K41*HSI!$B$36*HSI!$G$36/HSI!$B$3,""))</f>
        <v/>
      </c>
      <c r="BZ41" s="106">
        <f>IF(L41="","",IFERROR(L41*HSI!$B$36*HSI!$G$36/HSI!$B$3,""))</f>
        <v/>
      </c>
      <c r="CA41" s="106">
        <f>IF(M41="","",IFERROR(M41*HSI!$B$36*HSI!$G$36/HSI!$B$3,""))</f>
        <v/>
      </c>
      <c r="CB41" s="106">
        <f>IF(N41="","",IFERROR(N41*HSI!$B$36*HSI!$G$36/HSI!$B$3,""))</f>
        <v/>
      </c>
      <c r="CC41" s="106">
        <f>IF(O41="","",IFERROR(O41*HSI!$B$36*HSI!$G$36/HSI!$B$3,""))</f>
        <v/>
      </c>
      <c r="CD41" s="106">
        <f>IF(P41="","",IFERROR(P41*HSI!$B$36*HSI!$G$36/HSI!$B$3,""))</f>
        <v/>
      </c>
      <c r="CE41" s="106">
        <f>IF(Q41="","",IFERROR(Q41*HSI!$B$36*HSI!$G$36/HSI!$B$3,""))</f>
        <v/>
      </c>
      <c r="CF41" s="106">
        <f>IF(R41="","",IFERROR(R41*HSI!$B$36*HSI!$G$36/HSI!$B$3,""))</f>
        <v/>
      </c>
      <c r="CG41" s="106">
        <f>IF(S41="","",IFERROR(S41*HSI!$B$36*HSI!$G$36/HSI!$B$3,""))</f>
        <v/>
      </c>
      <c r="CH41" s="106">
        <f>IF(T41="","",IFERROR(T41*HSI!$B$36*HSI!$G$36/HSI!$B$3,""))</f>
        <v/>
      </c>
      <c r="CI41" s="106">
        <f>IF(U41="","",IFERROR(U41*HSI!$B$36*HSI!$G$36/HSI!$B$3,""))</f>
        <v/>
      </c>
      <c r="CJ41" s="106">
        <f>IF(V41="","",IFERROR(V41*HSI!$B$36*HSI!$G$36/HSI!$B$3,""))</f>
        <v/>
      </c>
      <c r="CK41" s="106">
        <f>IF(W41="","",IFERROR(W41*HSI!$B$36*HSI!$G$36/HSI!$B$3,""))</f>
        <v/>
      </c>
      <c r="CL41" s="106">
        <f>IF(X41="","",IFERROR(X41*HSI!$B$36*HSI!$G$36/HSI!$B$3,""))</f>
        <v/>
      </c>
      <c r="CM41" s="106">
        <f>IF(Y41="","",IFERROR(Y41*HSI!$B$36*HSI!$G$36/HSI!$B$3,""))</f>
        <v/>
      </c>
      <c r="CN41" s="106">
        <f>IF(Z41="","",IFERROR(Z41*HSI!$B$36*HSI!$G$36/HSI!$B$3,""))</f>
        <v/>
      </c>
      <c r="CO41" s="106">
        <f>IF(AA41="","",IFERROR(AA41*HSI!$B$36*HSI!$G$36/HSI!$B$3,""))</f>
        <v/>
      </c>
      <c r="CP41" s="106">
        <f>IF(AB41="","",IFERROR(AB41*HSI!$B$36*HSI!$G$36/HSI!$B$3,""))</f>
        <v/>
      </c>
      <c r="CQ41" s="106">
        <f>IF(AC41="","",IFERROR(AC41*HSI!$B$36*HSI!$G$36/HSI!$B$3,""))</f>
        <v/>
      </c>
      <c r="CR41" s="106">
        <f>IF(AD41="","",IFERROR(AD41*HSI!$B$36*HSI!$G$36/HSI!$B$3,""))</f>
        <v/>
      </c>
      <c r="CS41" s="106">
        <f>IF(AE41="","",IFERROR(AE41*HSI!$B$36*HSI!$G$36/HSI!$B$3,""))</f>
        <v/>
      </c>
      <c r="CT41" s="106">
        <f>IF(AF41="","",IFERROR(AF41*HSI!$B$36*HSI!$G$36/HSI!$B$3,""))</f>
        <v/>
      </c>
      <c r="CU41" s="106">
        <f>IF(AG41="","",IFERROR(AG41*HSI!$B$36*HSI!$G$36/HSI!$B$3,""))</f>
        <v/>
      </c>
      <c r="CV41" s="106">
        <f>IF(AH41="","",IFERROR(AH41*HSI!$B$36*HSI!$G$36/HSI!$B$3,""))</f>
        <v/>
      </c>
      <c r="CW41" s="106">
        <f>IF(AI41="","",IFERROR(AI41*HSI!$B$36*HSI!$G$36/HSI!$B$3,""))</f>
        <v/>
      </c>
      <c r="CX41" s="106">
        <f>IF(AJ41="","",IFERROR(AJ41*HSI!$B$36*HSI!$G$36/HSI!$B$3,""))</f>
        <v/>
      </c>
      <c r="CY41" s="106">
        <f>IF(AK41="","",IFERROR(AK41*HSI!$B$36*HSI!$G$36/HSI!$B$3,""))</f>
        <v/>
      </c>
      <c r="CZ41" s="106">
        <f>IF(AL41="","",IFERROR(AL41*HSI!$B$36*HSI!$G$36/HSI!$B$3,""))</f>
        <v/>
      </c>
      <c r="DA41" s="106">
        <f>IF(AM41="","",IFERROR(AM41*HSI!$B$36*HSI!$G$36/HSI!$B$3,""))</f>
        <v/>
      </c>
      <c r="DB41" s="106">
        <f>IF(AN41="","",IFERROR(AN41*HSI!$B$36*HSI!$G$36/HSI!$B$3,""))</f>
        <v/>
      </c>
      <c r="DC41" s="106">
        <f>IF(AO41="","",IFERROR(AO41*HSI!$B$36*HSI!$G$36/HSI!$B$3,""))</f>
        <v/>
      </c>
      <c r="DD41" s="106">
        <f>IF(AP41="","",IFERROR(AP41*HSI!$B$36*HSI!$G$36/HSI!$B$3,""))</f>
        <v/>
      </c>
      <c r="DE41" s="106">
        <f>IF(AQ41="","",IFERROR(AQ41*HSI!$B$36*HSI!$G$36/HSI!$B$3,""))</f>
        <v/>
      </c>
      <c r="DF41" s="106">
        <f>IF(AR41="","",IFERROR(AR41*HSI!$B$36*HSI!$G$36/HSI!$B$3,""))</f>
        <v/>
      </c>
      <c r="DG41" s="106">
        <f>IF(AS41="","",IFERROR(AS41*HSI!$B$36*HSI!$G$36/HSI!$B$3,""))</f>
        <v/>
      </c>
      <c r="DH41" s="106">
        <f>IF(AT41="","",IFERROR(AT41*HSI!$B$36*HSI!$G$36/HSI!$B$3,""))</f>
        <v/>
      </c>
      <c r="DI41" s="106">
        <f>IF(AU41="","",IFERROR(AU41*HSI!$B$36*HSI!$G$36/HSI!$B$3,""))</f>
        <v/>
      </c>
      <c r="DJ41" s="106">
        <f>IF(AV41="","",IFERROR(AV41*HSI!$B$36*HSI!$G$36/HSI!$B$3,""))</f>
        <v/>
      </c>
      <c r="DK41" s="106">
        <f>IF(AW41="","",IFERROR(AW41*HSI!$B$36*HSI!$G$36/HSI!$B$3,""))</f>
        <v/>
      </c>
      <c r="DL41" s="106">
        <f>IF(AX41="","",IFERROR(AX41*HSI!$B$36*HSI!$G$36/HSI!$B$3,""))</f>
        <v/>
      </c>
      <c r="DM41" s="106">
        <f>IF(AY41="","",IFERROR(AY41*HSI!$B$36*HSI!$G$36/HSI!$B$3,""))</f>
        <v/>
      </c>
      <c r="DN41" s="106">
        <f>IF(AZ41="","",IFERROR(AZ41*HSI!$B$36*HSI!$G$36/HSI!$B$3,""))</f>
        <v/>
      </c>
      <c r="DO41" s="106">
        <f>IF(BA41="","",IFERROR(BA41*HSI!$B$36*HSI!$G$36/HSI!$B$3,""))</f>
        <v/>
      </c>
      <c r="DP41" s="106">
        <f>IF(BB41="","",IFERROR(BB41*HSI!$B$36*HSI!$G$36/HSI!$B$3,""))</f>
        <v/>
      </c>
      <c r="DQ41" s="106">
        <f>IF(BC41="","",IFERROR(BC41*HSI!$B$36*HSI!$G$36/HSI!$B$3,""))</f>
        <v/>
      </c>
      <c r="DR41" s="106">
        <f>IF(BD41="","",IFERROR(BD41*HSI!$B$36*HSI!$G$36/HSI!$B$3,""))</f>
        <v/>
      </c>
      <c r="DS41" s="106">
        <f>IF(BE41="","",IFERROR(BE41*HSI!$B$36*HSI!$G$36/HSI!$B$3,""))</f>
        <v/>
      </c>
      <c r="DT41" s="106">
        <f>IF(BF41="","",IFERROR(BF41*HSI!$B$36*HSI!$G$36/HSI!$B$3,""))</f>
        <v/>
      </c>
      <c r="DU41" s="106">
        <f>IF(BG41="","",IFERROR(BG41*HSI!$B$36*HSI!$G$36/HSI!$B$3,""))</f>
        <v/>
      </c>
      <c r="DV41" s="106">
        <f>IF(BH41="","",IFERROR(BH41*HSI!$B$36*HSI!$G$36/HSI!$B$3,""))</f>
        <v/>
      </c>
      <c r="DW41" s="106">
        <f>IF(BI41="","",IFERROR(BI41*HSI!$B$36*HSI!$G$36/HSI!$B$3,""))</f>
        <v/>
      </c>
      <c r="DX41" s="106">
        <f>IF(BJ41="","",IFERROR(BJ41*HSI!$B$36*HSI!$G$36/HSI!$B$3,""))</f>
        <v/>
      </c>
      <c r="DY41" s="106">
        <f>IF(BK41="","",IFERROR(BK41*HSI!$B$36*HSI!$G$36/HSI!$B$3,""))</f>
        <v/>
      </c>
      <c r="DZ41" s="106">
        <f>IF(BL41="","",IFERROR(BL41*HSI!$B$36*HSI!$G$36/HSI!$B$3,""))</f>
        <v/>
      </c>
      <c r="EA41" s="106">
        <f>IF(BM41="","",IFERROR(BM41*HSI!$B$36*HSI!$G$36/HSI!$B$3,""))</f>
        <v/>
      </c>
      <c r="EB41" s="106">
        <f>IF(BN41="","",IFERROR(BN41*HSI!$B$36*HSI!$G$36/HSI!$B$3,""))</f>
        <v/>
      </c>
      <c r="EC41" s="106">
        <f>IF(BO41="","",IFERROR(BO41*HSI!$B$36*HSI!$G$36/HSI!$B$3,""))</f>
        <v/>
      </c>
      <c r="EE41" s="35">
        <f>IF(N('Dvd Calendar'!$E$330)=0,"",IF(('Dvd Calendar'!$E$330&gt;=GRID_FROM)*('Dvd Calendar'!$E$330&lt;=GRID_TO)*('Dvd Calendar'!$E$330&lt;=VAL_DATE)=0,"",'Dvd Calendar'!$E$330*1000000000+ISNUMBER('Dvd Calendar'!$E$333)*100000000+('Dvd Calendar'!$E$335=SPECIAL_LBL)*10000000+0*1000000+30*1000+1))</f>
        <v/>
      </c>
      <c r="EF41" s="35">
        <f>IF(N('Dvd Calendar'!$F$330)=0,"",IF(('Dvd Calendar'!$F$330&gt;=GRID_FROM)*('Dvd Calendar'!$F$330&lt;=GRID_TO)*('Dvd Calendar'!$F$330&lt;=VAL_DATE)=0,"",'Dvd Calendar'!$F$330*1000000000+ISNUMBER('Dvd Calendar'!$F$333)*100000000+('Dvd Calendar'!$F$335=SPECIAL_LBL)*10000000+0*1000000+30*1000+2))</f>
        <v/>
      </c>
      <c r="EG41" s="35">
        <f>IF(N('Dvd Calendar'!$G$330)=0,"",IF(('Dvd Calendar'!$G$330&gt;=GRID_FROM)*('Dvd Calendar'!$G$330&lt;=GRID_TO)*('Dvd Calendar'!$G$330&lt;=VAL_DATE)=0,"",'Dvd Calendar'!$G$330*1000000000+ISNUMBER('Dvd Calendar'!$G$333)*100000000+('Dvd Calendar'!$G$335=SPECIAL_LBL)*10000000+0*1000000+30*1000+3))</f>
        <v/>
      </c>
      <c r="EH41" s="35">
        <f>IF(N('Dvd Calendar'!$H$330)=0,"",IF(('Dvd Calendar'!$H$330&gt;=GRID_FROM)*('Dvd Calendar'!$H$330&lt;=GRID_TO)*('Dvd Calendar'!$H$330&lt;=VAL_DATE)=0,"",'Dvd Calendar'!$H$330*1000000000+ISNUMBER('Dvd Calendar'!$H$333)*100000000+('Dvd Calendar'!$H$335=SPECIAL_LBL)*10000000+0*1000000+30*1000+4))</f>
        <v/>
      </c>
      <c r="EI41" s="35">
        <f>IF(N('Dvd Calendar'!$I$330)=0,"",IF(('Dvd Calendar'!$I$330&gt;=GRID_FROM)*('Dvd Calendar'!$I$330&lt;=GRID_TO)*('Dvd Calendar'!$I$330&lt;=VAL_DATE)=0,"",'Dvd Calendar'!$I$330*1000000000+ISNUMBER('Dvd Calendar'!$I$333)*100000000+('Dvd Calendar'!$I$335=SPECIAL_LBL)*10000000+0*1000000+30*1000+5))</f>
        <v/>
      </c>
      <c r="EJ41" s="35">
        <f>IF(N('Dvd Calendar'!$J$330)=0,"",IF(('Dvd Calendar'!$J$330&gt;=GRID_FROM)*('Dvd Calendar'!$J$330&lt;=GRID_TO)*('Dvd Calendar'!$J$330&lt;=VAL_DATE)=0,"",'Dvd Calendar'!$J$330*1000000000+ISNUMBER('Dvd Calendar'!$J$333)*100000000+('Dvd Calendar'!$J$335=SPECIAL_LBL)*10000000+0*1000000+30*1000+6))</f>
        <v/>
      </c>
      <c r="EK41" s="35">
        <f>IF(N('Dvd Calendar'!$K$330)=0,"",IF(('Dvd Calendar'!$K$330&gt;=GRID_FROM)*('Dvd Calendar'!$K$330&lt;=GRID_TO)*('Dvd Calendar'!$K$330&lt;=VAL_DATE)=0,"",'Dvd Calendar'!$K$330*1000000000+ISNUMBER('Dvd Calendar'!$K$333)*100000000+('Dvd Calendar'!$K$335=SPECIAL_LBL)*10000000+0*1000000+30*1000+7))</f>
        <v/>
      </c>
      <c r="EL41" s="35">
        <f>IF(N('Dvd Calendar'!$L$330)=0,"",IF(('Dvd Calendar'!$L$330&gt;=GRID_FROM)*('Dvd Calendar'!$L$330&lt;=GRID_TO)*('Dvd Calendar'!$L$330&lt;=VAL_DATE)=0,"",'Dvd Calendar'!$L$330*1000000000+ISNUMBER('Dvd Calendar'!$L$333)*100000000+('Dvd Calendar'!$L$335=SPECIAL_LBL)*10000000+0*1000000+30*1000+8))</f>
        <v/>
      </c>
      <c r="EM41" s="35">
        <f>IF(N('Dvd Calendar'!$M$330)=0,"",IF(('Dvd Calendar'!$M$330&gt;=GRID_FROM)*('Dvd Calendar'!$M$330&lt;=GRID_TO)*('Dvd Calendar'!$M$330&lt;=VAL_DATE)=0,"",'Dvd Calendar'!$M$330*1000000000+ISNUMBER('Dvd Calendar'!$M$333)*100000000+('Dvd Calendar'!$M$335=SPECIAL_LBL)*10000000+0*1000000+30*1000+9))</f>
        <v/>
      </c>
      <c r="EN41" s="35">
        <f>IF(N('Dvd Calendar'!$N$330)=0,"",IF(('Dvd Calendar'!$N$330&gt;=GRID_FROM)*('Dvd Calendar'!$N$330&lt;=GRID_TO)*('Dvd Calendar'!$N$330&lt;=VAL_DATE)=0,"",'Dvd Calendar'!$N$330*1000000000+ISNUMBER('Dvd Calendar'!$N$333)*100000000+('Dvd Calendar'!$N$335=SPECIAL_LBL)*10000000+0*1000000+30*1000+10))</f>
        <v/>
      </c>
      <c r="EO41" s="35">
        <f>IF(N('Dvd Calendar'!$O$330)=0,"",IF(('Dvd Calendar'!$O$330&gt;=GRID_FROM)*('Dvd Calendar'!$O$330&lt;=GRID_TO)*('Dvd Calendar'!$O$330&lt;=VAL_DATE)=0,"",'Dvd Calendar'!$O$330*1000000000+ISNUMBER('Dvd Calendar'!$O$333)*100000000+('Dvd Calendar'!$O$335=SPECIAL_LBL)*10000000+0*1000000+30*1000+11))</f>
        <v/>
      </c>
      <c r="EP41" s="35">
        <f>IF(N('Dvd Calendar'!$P$330)=0,"",IF(('Dvd Calendar'!$P$330&gt;=GRID_FROM)*('Dvd Calendar'!$P$330&lt;=GRID_TO)*('Dvd Calendar'!$P$330&lt;=VAL_DATE)=0,"",'Dvd Calendar'!$P$330*1000000000+ISNUMBER('Dvd Calendar'!$P$333)*100000000+('Dvd Calendar'!$P$335=SPECIAL_LBL)*10000000+0*1000000+30*1000+12))</f>
        <v/>
      </c>
      <c r="EQ41" s="35">
        <f>IF(N('Dvd Calendar'!$Q$330)=0,"",IF(('Dvd Calendar'!$Q$330&gt;=GRID_FROM)*('Dvd Calendar'!$Q$330&lt;=GRID_TO)*('Dvd Calendar'!$Q$330&lt;=VAL_DATE)=0,"",'Dvd Calendar'!$Q$330*1000000000+ISNUMBER('Dvd Calendar'!$Q$333)*100000000+('Dvd Calendar'!$Q$335=SPECIAL_LBL)*10000000+0*1000000+30*1000+13))</f>
        <v/>
      </c>
      <c r="ER41" s="35">
        <f>IF(N('Dvd Calendar'!$R$330)=0,"",IF(('Dvd Calendar'!$R$330&gt;=GRID_FROM)*('Dvd Calendar'!$R$330&lt;=GRID_TO)*('Dvd Calendar'!$R$330&lt;=VAL_DATE)=0,"",'Dvd Calendar'!$R$330*1000000000+ISNUMBER('Dvd Calendar'!$R$333)*100000000+('Dvd Calendar'!$R$335=SPECIAL_LBL)*10000000+0*1000000+30*1000+14))</f>
        <v/>
      </c>
      <c r="ES41" s="35">
        <f>IF(N('Dvd Calendar'!$S$330)=0,"",IF(('Dvd Calendar'!$S$330&gt;=GRID_FROM)*('Dvd Calendar'!$S$330&lt;=GRID_TO)*('Dvd Calendar'!$S$330&lt;=VAL_DATE)=0,"",'Dvd Calendar'!$S$330*1000000000+ISNUMBER('Dvd Calendar'!$S$333)*100000000+('Dvd Calendar'!$S$335=SPECIAL_LBL)*10000000+0*1000000+30*1000+15))</f>
        <v/>
      </c>
      <c r="ET41" s="35">
        <f>IF(N('Dvd Calendar'!$T$330)=0,"",IF(('Dvd Calendar'!$T$330&gt;=GRID_FROM)*('Dvd Calendar'!$T$330&lt;=GRID_TO)*('Dvd Calendar'!$T$330&lt;=VAL_DATE)=0,"",'Dvd Calendar'!$T$330*1000000000+ISNUMBER('Dvd Calendar'!$T$333)*100000000+('Dvd Calendar'!$T$335=SPECIAL_LBL)*10000000+0*1000000+30*1000+16))</f>
        <v/>
      </c>
      <c r="EU41" s="35">
        <f>IF(N('Dvd Calendar'!$U$330)=0,"",IF(('Dvd Calendar'!$U$330&gt;=GRID_FROM)*('Dvd Calendar'!$U$330&lt;=GRID_TO)*('Dvd Calendar'!$U$330&lt;=VAL_DATE)=0,"",'Dvd Calendar'!$U$330*1000000000+ISNUMBER('Dvd Calendar'!$U$333)*100000000+('Dvd Calendar'!$U$335=SPECIAL_LBL)*10000000+0*1000000+30*1000+17))</f>
        <v/>
      </c>
      <c r="EV41" s="35">
        <f>IF(N('Dvd Calendar'!$V$330)=0,"",IF(('Dvd Calendar'!$V$330&gt;=GRID_FROM)*('Dvd Calendar'!$V$330&lt;=GRID_TO)*('Dvd Calendar'!$V$330&lt;=VAL_DATE)=0,"",'Dvd Calendar'!$V$330*1000000000+ISNUMBER('Dvd Calendar'!$V$333)*100000000+('Dvd Calendar'!$V$335=SPECIAL_LBL)*10000000+0*1000000+30*1000+18))</f>
        <v/>
      </c>
      <c r="EW41" s="35">
        <f>IF(N('Dvd Calendar'!$W$330)=0,"",IF(('Dvd Calendar'!$W$330&gt;=GRID_FROM)*('Dvd Calendar'!$W$330&lt;=GRID_TO)*('Dvd Calendar'!$W$330&lt;=VAL_DATE)=0,"",'Dvd Calendar'!$W$330*1000000000+ISNUMBER('Dvd Calendar'!$W$333)*100000000+('Dvd Calendar'!$W$335=SPECIAL_LBL)*10000000+0*1000000+30*1000+19))</f>
        <v/>
      </c>
      <c r="EX41" s="35">
        <f>IF(N('Dvd Calendar'!$X$330)=0,"",IF(('Dvd Calendar'!$X$330&gt;=GRID_FROM)*('Dvd Calendar'!$X$330&lt;=GRID_TO)*('Dvd Calendar'!$X$330&lt;=VAL_DATE)=0,"",'Dvd Calendar'!$X$330*1000000000+ISNUMBER('Dvd Calendar'!$X$333)*100000000+('Dvd Calendar'!$X$335=SPECIAL_LBL)*10000000+0*1000000+30*1000+20))</f>
        <v/>
      </c>
      <c r="EY41" s="35">
        <f>IF(N('Dvd Calendar'!$Y$330)=0,"",IF(('Dvd Calendar'!$Y$330&gt;=GRID_FROM)*('Dvd Calendar'!$Y$330&lt;=GRID_TO)*('Dvd Calendar'!$Y$330&lt;=VAL_DATE)=0,"",'Dvd Calendar'!$Y$330*1000000000+ISNUMBER('Dvd Calendar'!$Y$333)*100000000+('Dvd Calendar'!$Y$335=SPECIAL_LBL)*10000000+0*1000000+30*1000+21))</f>
        <v/>
      </c>
      <c r="EZ41" s="35">
        <f>IF(N('Dvd Calendar'!$Z$330)=0,"",IF(('Dvd Calendar'!$Z$330&gt;=GRID_FROM)*('Dvd Calendar'!$Z$330&lt;=GRID_TO)*('Dvd Calendar'!$Z$330&lt;=VAL_DATE)=0,"",'Dvd Calendar'!$Z$330*1000000000+ISNUMBER('Dvd Calendar'!$Z$333)*100000000+('Dvd Calendar'!$Z$335=SPECIAL_LBL)*10000000+0*1000000+30*1000+22))</f>
        <v/>
      </c>
      <c r="FA41" s="35">
        <f>IF(N('Dvd Calendar'!$AA$330)=0,"",IF(('Dvd Calendar'!$AA$330&gt;=GRID_FROM)*('Dvd Calendar'!$AA$330&lt;=GRID_TO)*('Dvd Calendar'!$AA$330&lt;=VAL_DATE)=0,"",'Dvd Calendar'!$AA$330*1000000000+ISNUMBER('Dvd Calendar'!$AA$333)*100000000+('Dvd Calendar'!$AA$335=SPECIAL_LBL)*10000000+0*1000000+30*1000+23))</f>
        <v/>
      </c>
      <c r="FB41" s="35">
        <f>IF(N('Dvd Calendar'!$AB$330)=0,"",IF(('Dvd Calendar'!$AB$330&gt;=GRID_FROM)*('Dvd Calendar'!$AB$330&lt;=GRID_TO)*('Dvd Calendar'!$AB$330&lt;=VAL_DATE)=0,"",'Dvd Calendar'!$AB$330*1000000000+ISNUMBER('Dvd Calendar'!$AB$333)*100000000+('Dvd Calendar'!$AB$335=SPECIAL_LBL)*10000000+0*1000000+30*1000+24))</f>
        <v/>
      </c>
      <c r="FC41" s="35">
        <f>IF(N('Dvd Calendar'!$AC$330)=0,"",IF(('Dvd Calendar'!$AC$330&gt;=GRID_FROM)*('Dvd Calendar'!$AC$330&lt;=GRID_TO)*('Dvd Calendar'!$AC$330&lt;=VAL_DATE)=0,"",'Dvd Calendar'!$AC$330*1000000000+ISNUMBER('Dvd Calendar'!$AC$333)*100000000+('Dvd Calendar'!$AC$335=SPECIAL_LBL)*10000000+0*1000000+30*1000+25))</f>
        <v/>
      </c>
      <c r="FD41" s="35">
        <f>IF(N('Dvd Calendar'!$AD$330)=0,"",IF(('Dvd Calendar'!$AD$330&gt;=GRID_FROM)*('Dvd Calendar'!$AD$330&lt;=GRID_TO)*('Dvd Calendar'!$AD$330&lt;=VAL_DATE)=0,"",'Dvd Calendar'!$AD$330*1000000000+ISNUMBER('Dvd Calendar'!$AD$333)*100000000+('Dvd Calendar'!$AD$335=SPECIAL_LBL)*10000000+0*1000000+30*1000+26))</f>
        <v/>
      </c>
      <c r="FE41" s="35">
        <f>IF(N('Dvd Calendar'!$AE$330)=0,"",IF(('Dvd Calendar'!$AE$330&gt;=GRID_FROM)*('Dvd Calendar'!$AE$330&lt;=GRID_TO)*('Dvd Calendar'!$AE$330&lt;=VAL_DATE)=0,"",'Dvd Calendar'!$AE$330*1000000000+ISNUMBER('Dvd Calendar'!$AE$333)*100000000+('Dvd Calendar'!$AE$335=SPECIAL_LBL)*10000000+0*1000000+30*1000+27))</f>
        <v/>
      </c>
      <c r="FF41" s="35">
        <f>IF(N('Dvd Calendar'!$AF$330)=0,"",IF(('Dvd Calendar'!$AF$330&gt;=GRID_FROM)*('Dvd Calendar'!$AF$330&lt;=GRID_TO)*('Dvd Calendar'!$AF$330&lt;=VAL_DATE)=0,"",'Dvd Calendar'!$AF$330*1000000000+ISNUMBER('Dvd Calendar'!$AF$333)*100000000+('Dvd Calendar'!$AF$335=SPECIAL_LBL)*10000000+0*1000000+30*1000+28))</f>
        <v/>
      </c>
      <c r="FG41" s="35">
        <f>IF(N('Dvd Calendar'!$AG$330)=0,"",IF(('Dvd Calendar'!$AG$330&gt;=GRID_FROM)*('Dvd Calendar'!$AG$330&lt;=GRID_TO)*('Dvd Calendar'!$AG$330&lt;=VAL_DATE)=0,"",'Dvd Calendar'!$AG$330*1000000000+ISNUMBER('Dvd Calendar'!$AG$333)*100000000+('Dvd Calendar'!$AG$335=SPECIAL_LBL)*10000000+0*1000000+30*1000+29))</f>
        <v/>
      </c>
      <c r="FH41" s="35">
        <f>IF(N('Dvd Calendar'!$AH$330)=0,"",IF(('Dvd Calendar'!$AH$330&gt;=GRID_FROM)*('Dvd Calendar'!$AH$330&lt;=GRID_TO)*('Dvd Calendar'!$AH$330&lt;=VAL_DATE)=0,"",'Dvd Calendar'!$AH$330*1000000000+ISNUMBER('Dvd Calendar'!$AH$333)*100000000+('Dvd Calendar'!$AH$335=SPECIAL_LBL)*10000000+0*1000000+30*1000+30))</f>
        <v/>
      </c>
      <c r="FI41" s="35">
        <f>IF(N('Dvd Calendar'!$AI$330)=0,"",IF(('Dvd Calendar'!$AI$330&gt;=GRID_FROM)*('Dvd Calendar'!$AI$330&lt;=GRID_TO)*('Dvd Calendar'!$AI$330&lt;=VAL_DATE)=0,"",'Dvd Calendar'!$AI$330*1000000000+ISNUMBER('Dvd Calendar'!$AI$333)*100000000+('Dvd Calendar'!$AI$335=SPECIAL_LBL)*10000000+0*1000000+30*1000+31))</f>
        <v/>
      </c>
      <c r="FJ41" s="35">
        <f>IF(N('Dvd Calendar'!$AJ$330)=0,"",IF(('Dvd Calendar'!$AJ$330&gt;=GRID_FROM)*('Dvd Calendar'!$AJ$330&lt;=GRID_TO)*('Dvd Calendar'!$AJ$330&lt;=VAL_DATE)=0,"",'Dvd Calendar'!$AJ$330*1000000000+ISNUMBER('Dvd Calendar'!$AJ$333)*100000000+('Dvd Calendar'!$AJ$335=SPECIAL_LBL)*10000000+0*1000000+30*1000+32))</f>
        <v/>
      </c>
      <c r="FK41" s="35">
        <f>IF(N('Dvd Calendar'!$AK$330)=0,"",IF(('Dvd Calendar'!$AK$330&gt;=GRID_FROM)*('Dvd Calendar'!$AK$330&lt;=GRID_TO)*('Dvd Calendar'!$AK$330&lt;=VAL_DATE)=0,"",'Dvd Calendar'!$AK$330*1000000000+ISNUMBER('Dvd Calendar'!$AK$333)*100000000+('Dvd Calendar'!$AK$335=SPECIAL_LBL)*10000000+0*1000000+30*1000+33))</f>
        <v/>
      </c>
      <c r="FL41" s="35">
        <f>IF(N('Dvd Calendar'!$AL$330)=0,"",IF(('Dvd Calendar'!$AL$330&gt;=GRID_FROM)*('Dvd Calendar'!$AL$330&lt;=GRID_TO)*('Dvd Calendar'!$AL$330&lt;=VAL_DATE)=0,"",'Dvd Calendar'!$AL$330*1000000000+ISNUMBER('Dvd Calendar'!$AL$333)*100000000+('Dvd Calendar'!$AL$335=SPECIAL_LBL)*10000000+0*1000000+30*1000+34))</f>
        <v/>
      </c>
      <c r="FM41" s="35">
        <f>IF(N('Dvd Calendar'!$AM$330)=0,"",IF(('Dvd Calendar'!$AM$330&gt;=GRID_FROM)*('Dvd Calendar'!$AM$330&lt;=GRID_TO)*('Dvd Calendar'!$AM$330&lt;=VAL_DATE)=0,"",'Dvd Calendar'!$AM$330*1000000000+ISNUMBER('Dvd Calendar'!$AM$333)*100000000+('Dvd Calendar'!$AM$335=SPECIAL_LBL)*10000000+0*1000000+30*1000+35))</f>
        <v/>
      </c>
      <c r="FN41" s="35">
        <f>IF(N('Dvd Calendar'!$AN$330)=0,"",IF(('Dvd Calendar'!$AN$330&gt;=GRID_FROM)*('Dvd Calendar'!$AN$330&lt;=GRID_TO)*('Dvd Calendar'!$AN$330&lt;=VAL_DATE)=0,"",'Dvd Calendar'!$AN$330*1000000000+ISNUMBER('Dvd Calendar'!$AN$333)*100000000+('Dvd Calendar'!$AN$335=SPECIAL_LBL)*10000000+0*1000000+30*1000+36))</f>
        <v/>
      </c>
      <c r="FO41" s="35">
        <f>IF(N('Dvd Calendar'!$AO$330)=0,"",IF(('Dvd Calendar'!$AO$330&gt;=GRID_FROM)*('Dvd Calendar'!$AO$330&lt;=GRID_TO)*('Dvd Calendar'!$AO$330&lt;=VAL_DATE)=0,"",'Dvd Calendar'!$AO$330*1000000000+ISNUMBER('Dvd Calendar'!$AO$333)*100000000+('Dvd Calendar'!$AO$335=SPECIAL_LBL)*10000000+0*1000000+30*1000+37))</f>
        <v/>
      </c>
      <c r="FP41" s="35">
        <f>IF(N('Dvd Calendar'!$AP$330)=0,"",IF(('Dvd Calendar'!$AP$330&gt;=GRID_FROM)*('Dvd Calendar'!$AP$330&lt;=GRID_TO)*('Dvd Calendar'!$AP$330&lt;=VAL_DATE)=0,"",'Dvd Calendar'!$AP$330*1000000000+ISNUMBER('Dvd Calendar'!$AP$333)*100000000+('Dvd Calendar'!$AP$335=SPECIAL_LBL)*10000000+0*1000000+30*1000+38))</f>
        <v/>
      </c>
      <c r="FQ41" s="35">
        <f>IF(N('Dvd Calendar'!$AQ$330)=0,"",IF(('Dvd Calendar'!$AQ$330&gt;=GRID_FROM)*('Dvd Calendar'!$AQ$330&lt;=GRID_TO)*('Dvd Calendar'!$AQ$330&lt;=VAL_DATE)=0,"",'Dvd Calendar'!$AQ$330*1000000000+ISNUMBER('Dvd Calendar'!$AQ$333)*100000000+('Dvd Calendar'!$AQ$335=SPECIAL_LBL)*10000000+0*1000000+30*1000+39))</f>
        <v/>
      </c>
      <c r="FR41" s="35">
        <f>IF(N('Dvd Calendar'!$AR$330)=0,"",IF(('Dvd Calendar'!$AR$330&gt;=GRID_FROM)*('Dvd Calendar'!$AR$330&lt;=GRID_TO)*('Dvd Calendar'!$AR$330&lt;=VAL_DATE)=0,"",'Dvd Calendar'!$AR$330*1000000000+ISNUMBER('Dvd Calendar'!$AR$333)*100000000+('Dvd Calendar'!$AR$335=SPECIAL_LBL)*10000000+0*1000000+30*1000+40))</f>
        <v/>
      </c>
      <c r="FS41" s="35">
        <f>IF(N('Dvd Calendar'!$E$337)=0,"",IF(('Dvd Calendar'!$E$337&gt;=GRID_FROM)*('Dvd Calendar'!$E$337&lt;=GRID_TO)*('Dvd Calendar'!$E$337&gt;VAL_DATE)=0,"",'Dvd Calendar'!$E$337*1000000000+ISNUMBER('Dvd Calendar'!$E$338)*100000000+0*10000000+(N('Dvd Calendar'!$E$336)&gt;0)*(N('Dvd Calendar'!$E$336)&lt;=VAL_SERIAL)*1000000+30*1000+41))</f>
        <v/>
      </c>
      <c r="FT41" s="35">
        <f>IF(N('Dvd Calendar'!$F$337)=0,"",IF(('Dvd Calendar'!$F$337&gt;=GRID_FROM)*('Dvd Calendar'!$F$337&lt;=GRID_TO)*('Dvd Calendar'!$F$337&gt;VAL_DATE)=0,"",'Dvd Calendar'!$F$337*1000000000+ISNUMBER('Dvd Calendar'!$F$338)*100000000+0*10000000+(N('Dvd Calendar'!$F$336)&gt;0)*(N('Dvd Calendar'!$F$336)&lt;=VAL_SERIAL)*1000000+30*1000+42))</f>
        <v/>
      </c>
      <c r="FU41" s="35">
        <f>IF(N('Dvd Calendar'!$G$337)=0,"",IF(('Dvd Calendar'!$G$337&gt;=GRID_FROM)*('Dvd Calendar'!$G$337&lt;=GRID_TO)*('Dvd Calendar'!$G$337&gt;VAL_DATE)=0,"",'Dvd Calendar'!$G$337*1000000000+ISNUMBER('Dvd Calendar'!$G$338)*100000000+0*10000000+(N('Dvd Calendar'!$G$336)&gt;0)*(N('Dvd Calendar'!$G$336)&lt;=VAL_SERIAL)*1000000+30*1000+43))</f>
        <v/>
      </c>
      <c r="FV41" s="35">
        <f>IF(N('Dvd Calendar'!$H$337)=0,"",IF(('Dvd Calendar'!$H$337&gt;=GRID_FROM)*('Dvd Calendar'!$H$337&lt;=GRID_TO)*('Dvd Calendar'!$H$337&gt;VAL_DATE)=0,"",'Dvd Calendar'!$H$337*1000000000+ISNUMBER('Dvd Calendar'!$H$338)*100000000+0*10000000+(N('Dvd Calendar'!$H$336)&gt;0)*(N('Dvd Calendar'!$H$336)&lt;=VAL_SERIAL)*1000000+30*1000+44))</f>
        <v/>
      </c>
      <c r="FW41" s="35">
        <f>IF(N('Dvd Calendar'!$I$337)=0,"",IF(('Dvd Calendar'!$I$337&gt;=GRID_FROM)*('Dvd Calendar'!$I$337&lt;=GRID_TO)*('Dvd Calendar'!$I$337&gt;VAL_DATE)=0,"",'Dvd Calendar'!$I$337*1000000000+ISNUMBER('Dvd Calendar'!$I$338)*100000000+0*10000000+(N('Dvd Calendar'!$I$336)&gt;0)*(N('Dvd Calendar'!$I$336)&lt;=VAL_SERIAL)*1000000+30*1000+45))</f>
        <v/>
      </c>
      <c r="FX41" s="35">
        <f>IF(N('Dvd Calendar'!$J$337)=0,"",IF(('Dvd Calendar'!$J$337&gt;=GRID_FROM)*('Dvd Calendar'!$J$337&lt;=GRID_TO)*('Dvd Calendar'!$J$337&gt;VAL_DATE)=0,"",'Dvd Calendar'!$J$337*1000000000+ISNUMBER('Dvd Calendar'!$J$338)*100000000+0*10000000+(N('Dvd Calendar'!$J$336)&gt;0)*(N('Dvd Calendar'!$J$336)&lt;=VAL_SERIAL)*1000000+30*1000+46))</f>
        <v/>
      </c>
      <c r="FY41" s="35">
        <f>IF(N('Dvd Calendar'!$K$337)=0,"",IF(('Dvd Calendar'!$K$337&gt;=GRID_FROM)*('Dvd Calendar'!$K$337&lt;=GRID_TO)*('Dvd Calendar'!$K$337&gt;VAL_DATE)=0,"",'Dvd Calendar'!$K$337*1000000000+ISNUMBER('Dvd Calendar'!$K$338)*100000000+0*10000000+(N('Dvd Calendar'!$K$336)&gt;0)*(N('Dvd Calendar'!$K$336)&lt;=VAL_SERIAL)*1000000+30*1000+47))</f>
        <v/>
      </c>
      <c r="FZ41" s="35">
        <f>IF(N('Dvd Calendar'!$L$337)=0,"",IF(('Dvd Calendar'!$L$337&gt;=GRID_FROM)*('Dvd Calendar'!$L$337&lt;=GRID_TO)*('Dvd Calendar'!$L$337&gt;VAL_DATE)=0,"",'Dvd Calendar'!$L$337*1000000000+ISNUMBER('Dvd Calendar'!$L$338)*100000000+0*10000000+(N('Dvd Calendar'!$L$336)&gt;0)*(N('Dvd Calendar'!$L$336)&lt;=VAL_SERIAL)*1000000+30*1000+48))</f>
        <v/>
      </c>
      <c r="GA41" s="35">
        <f>IF(N('Dvd Calendar'!$M$337)=0,"",IF(('Dvd Calendar'!$M$337&gt;=GRID_FROM)*('Dvd Calendar'!$M$337&lt;=GRID_TO)*('Dvd Calendar'!$M$337&gt;VAL_DATE)=0,"",'Dvd Calendar'!$M$337*1000000000+ISNUMBER('Dvd Calendar'!$M$338)*100000000+0*10000000+(N('Dvd Calendar'!$M$336)&gt;0)*(N('Dvd Calendar'!$M$336)&lt;=VAL_SERIAL)*1000000+30*1000+49))</f>
        <v/>
      </c>
      <c r="GB41" s="35">
        <f>IF(N('Dvd Calendar'!$N$337)=0,"",IF(('Dvd Calendar'!$N$337&gt;=GRID_FROM)*('Dvd Calendar'!$N$337&lt;=GRID_TO)*('Dvd Calendar'!$N$337&gt;VAL_DATE)=0,"",'Dvd Calendar'!$N$337*1000000000+ISNUMBER('Dvd Calendar'!$N$338)*100000000+0*10000000+(N('Dvd Calendar'!$N$336)&gt;0)*(N('Dvd Calendar'!$N$336)&lt;=VAL_SERIAL)*1000000+30*1000+50))</f>
        <v/>
      </c>
      <c r="GC41" s="35">
        <f>IF(N('Dvd Calendar'!$O$337)=0,"",IF(('Dvd Calendar'!$O$337&gt;=GRID_FROM)*('Dvd Calendar'!$O$337&lt;=GRID_TO)*('Dvd Calendar'!$O$337&gt;VAL_DATE)=0,"",'Dvd Calendar'!$O$337*1000000000+ISNUMBER('Dvd Calendar'!$O$338)*100000000+0*10000000+(N('Dvd Calendar'!$O$336)&gt;0)*(N('Dvd Calendar'!$O$336)&lt;=VAL_SERIAL)*1000000+30*1000+51))</f>
        <v/>
      </c>
      <c r="GD41" s="35">
        <f>IF(N('Dvd Calendar'!$P$337)=0,"",IF(('Dvd Calendar'!$P$337&gt;=GRID_FROM)*('Dvd Calendar'!$P$337&lt;=GRID_TO)*('Dvd Calendar'!$P$337&gt;VAL_DATE)=0,"",'Dvd Calendar'!$P$337*1000000000+ISNUMBER('Dvd Calendar'!$P$338)*100000000+0*10000000+(N('Dvd Calendar'!$P$336)&gt;0)*(N('Dvd Calendar'!$P$336)&lt;=VAL_SERIAL)*1000000+30*1000+52))</f>
        <v/>
      </c>
      <c r="GE41" s="35">
        <f>IF(N('Dvd Calendar'!$Q$337)=0,"",IF(('Dvd Calendar'!$Q$337&gt;=GRID_FROM)*('Dvd Calendar'!$Q$337&lt;=GRID_TO)*('Dvd Calendar'!$Q$337&gt;VAL_DATE)=0,"",'Dvd Calendar'!$Q$337*1000000000+ISNUMBER('Dvd Calendar'!$Q$338)*100000000+0*10000000+(N('Dvd Calendar'!$Q$336)&gt;0)*(N('Dvd Calendar'!$Q$336)&lt;=VAL_SERIAL)*1000000+30*1000+53))</f>
        <v/>
      </c>
      <c r="GF41" s="35">
        <f>IF(N('Dvd Calendar'!$R$337)=0,"",IF(('Dvd Calendar'!$R$337&gt;=GRID_FROM)*('Dvd Calendar'!$R$337&lt;=GRID_TO)*('Dvd Calendar'!$R$337&gt;VAL_DATE)=0,"",'Dvd Calendar'!$R$337*1000000000+ISNUMBER('Dvd Calendar'!$R$338)*100000000+0*10000000+(N('Dvd Calendar'!$R$336)&gt;0)*(N('Dvd Calendar'!$R$336)&lt;=VAL_SERIAL)*1000000+30*1000+54))</f>
        <v/>
      </c>
      <c r="GG41" s="35">
        <f>IF(N('Dvd Calendar'!$S$337)=0,"",IF(('Dvd Calendar'!$S$337&gt;=GRID_FROM)*('Dvd Calendar'!$S$337&lt;=GRID_TO)*('Dvd Calendar'!$S$337&gt;VAL_DATE)=0,"",'Dvd Calendar'!$S$337*1000000000+ISNUMBER('Dvd Calendar'!$S$338)*100000000+0*10000000+(N('Dvd Calendar'!$S$336)&gt;0)*(N('Dvd Calendar'!$S$336)&lt;=VAL_SERIAL)*1000000+30*1000+55))</f>
        <v/>
      </c>
      <c r="GH41" s="35">
        <f>IF(N('Dvd Calendar'!$T$337)=0,"",IF(('Dvd Calendar'!$T$337&gt;=GRID_FROM)*('Dvd Calendar'!$T$337&lt;=GRID_TO)*('Dvd Calendar'!$T$337&gt;VAL_DATE)=0,"",'Dvd Calendar'!$T$337*1000000000+ISNUMBER('Dvd Calendar'!$T$338)*100000000+0*10000000+(N('Dvd Calendar'!$T$336)&gt;0)*(N('Dvd Calendar'!$T$336)&lt;=VAL_SERIAL)*1000000+30*1000+56))</f>
        <v/>
      </c>
      <c r="GI41" s="35">
        <f>IF(N('Dvd Calendar'!$U$337)=0,"",IF(('Dvd Calendar'!$U$337&gt;=GRID_FROM)*('Dvd Calendar'!$U$337&lt;=GRID_TO)*('Dvd Calendar'!$U$337&gt;VAL_DATE)=0,"",'Dvd Calendar'!$U$337*1000000000+ISNUMBER('Dvd Calendar'!$U$338)*100000000+0*10000000+(N('Dvd Calendar'!$U$336)&gt;0)*(N('Dvd Calendar'!$U$336)&lt;=VAL_SERIAL)*1000000+30*1000+57))</f>
        <v/>
      </c>
      <c r="GJ41" s="35">
        <f>IF(N('Dvd Calendar'!$V$337)=0,"",IF(('Dvd Calendar'!$V$337&gt;=GRID_FROM)*('Dvd Calendar'!$V$337&lt;=GRID_TO)*('Dvd Calendar'!$V$337&gt;VAL_DATE)=0,"",'Dvd Calendar'!$V$337*1000000000+ISNUMBER('Dvd Calendar'!$V$338)*100000000+0*10000000+(N('Dvd Calendar'!$V$336)&gt;0)*(N('Dvd Calendar'!$V$336)&lt;=VAL_SERIAL)*1000000+30*1000+58))</f>
        <v/>
      </c>
      <c r="GK41" s="35">
        <f>IF(N('Dvd Calendar'!$W$337)=0,"",IF(('Dvd Calendar'!$W$337&gt;=GRID_FROM)*('Dvd Calendar'!$W$337&lt;=GRID_TO)*('Dvd Calendar'!$W$337&gt;VAL_DATE)=0,"",'Dvd Calendar'!$W$337*1000000000+ISNUMBER('Dvd Calendar'!$W$338)*100000000+0*10000000+(N('Dvd Calendar'!$W$336)&gt;0)*(N('Dvd Calendar'!$W$336)&lt;=VAL_SERIAL)*1000000+30*1000+59))</f>
        <v/>
      </c>
      <c r="GL41" s="35">
        <f>IF(N('Dvd Calendar'!$X$337)=0,"",IF(('Dvd Calendar'!$X$337&gt;=GRID_FROM)*('Dvd Calendar'!$X$337&lt;=GRID_TO)*('Dvd Calendar'!$X$337&gt;VAL_DATE)=0,"",'Dvd Calendar'!$X$337*1000000000+ISNUMBER('Dvd Calendar'!$X$338)*100000000+0*10000000+(N('Dvd Calendar'!$X$336)&gt;0)*(N('Dvd Calendar'!$X$336)&lt;=VAL_SERIAL)*1000000+30*1000+60))</f>
        <v/>
      </c>
      <c r="GM41" s="35">
        <f>IF(N('Dvd Calendar'!$Y$337)=0,"",IF(('Dvd Calendar'!$Y$337&gt;=GRID_FROM)*('Dvd Calendar'!$Y$337&lt;=GRID_TO)*('Dvd Calendar'!$Y$337&gt;VAL_DATE)=0,"",'Dvd Calendar'!$Y$337*1000000000+ISNUMBER('Dvd Calendar'!$Y$338)*100000000+0*10000000+(N('Dvd Calendar'!$Y$336)&gt;0)*(N('Dvd Calendar'!$Y$336)&lt;=VAL_SERIAL)*1000000+30*1000+61))</f>
        <v/>
      </c>
      <c r="GN41" s="35">
        <f>IF(N('Dvd Calendar'!$Z$337)=0,"",IF(('Dvd Calendar'!$Z$337&gt;=GRID_FROM)*('Dvd Calendar'!$Z$337&lt;=GRID_TO)*('Dvd Calendar'!$Z$337&gt;VAL_DATE)=0,"",'Dvd Calendar'!$Z$337*1000000000+ISNUMBER('Dvd Calendar'!$Z$338)*100000000+0*10000000+(N('Dvd Calendar'!$Z$336)&gt;0)*(N('Dvd Calendar'!$Z$336)&lt;=VAL_SERIAL)*1000000+30*1000+62))</f>
        <v/>
      </c>
      <c r="GO41" s="35">
        <f>IF(N('Dvd Calendar'!$AA$337)=0,"",IF(('Dvd Calendar'!$AA$337&gt;=GRID_FROM)*('Dvd Calendar'!$AA$337&lt;=GRID_TO)*('Dvd Calendar'!$AA$337&gt;VAL_DATE)=0,"",'Dvd Calendar'!$AA$337*1000000000+ISNUMBER('Dvd Calendar'!$AA$338)*100000000+0*10000000+(N('Dvd Calendar'!$AA$336)&gt;0)*(N('Dvd Calendar'!$AA$336)&lt;=VAL_SERIAL)*1000000+30*1000+63))</f>
        <v/>
      </c>
      <c r="GP41" s="35">
        <f>IF(N('Dvd Calendar'!$AB$337)=0,"",IF(('Dvd Calendar'!$AB$337&gt;=GRID_FROM)*('Dvd Calendar'!$AB$337&lt;=GRID_TO)*('Dvd Calendar'!$AB$337&gt;VAL_DATE)=0,"",'Dvd Calendar'!$AB$337*1000000000+ISNUMBER('Dvd Calendar'!$AB$338)*100000000+0*10000000+(N('Dvd Calendar'!$AB$336)&gt;0)*(N('Dvd Calendar'!$AB$336)&lt;=VAL_SERIAL)*1000000+30*1000+64))</f>
        <v/>
      </c>
      <c r="GQ41" s="35">
        <f>IF(N('Dvd Calendar'!$AC$337)=0,"",IF(('Dvd Calendar'!$AC$337&gt;=GRID_FROM)*('Dvd Calendar'!$AC$337&lt;=GRID_TO)*('Dvd Calendar'!$AC$337&gt;VAL_DATE)=0,"",'Dvd Calendar'!$AC$337*1000000000+ISNUMBER('Dvd Calendar'!$AC$338)*100000000+0*10000000+(N('Dvd Calendar'!$AC$336)&gt;0)*(N('Dvd Calendar'!$AC$336)&lt;=VAL_SERIAL)*1000000+30*1000+65))</f>
        <v/>
      </c>
    </row>
    <row r="42">
      <c r="B42" s="2">
        <f>IF(HSI!$C$37="","",HSI!$C$37)</f>
        <v/>
      </c>
      <c r="C42" s="106">
        <f>IF(EE42="","",IF(ISNUMBER('Dvd Calendar'!$E$344)=FALSE,"",IF((('Dvd Calendar'!$E$346=TYPE1)*(TYPE1&lt;&gt;"")+('Dvd Calendar'!$E$346=TYPE2)*(TYPE2&lt;&gt;"")+('Dvd Calendar'!$E$346=TYPE3)*(TYPE3&lt;&gt;"")+('Dvd Calendar'!$E$346=TYPE4)*(TYPE4&lt;&gt;"")+('Dvd Calendar'!$E$346=SPECIAL_LBL)*(INC_SPECIALS="Y"))=0,"",'Dvd Calendar'!$E$344)))</f>
        <v/>
      </c>
      <c r="D42" s="106">
        <f>IF(EF42="","",IF(ISNUMBER('Dvd Calendar'!$F$344)=FALSE,"",IF((('Dvd Calendar'!$F$346=TYPE1)*(TYPE1&lt;&gt;"")+('Dvd Calendar'!$F$346=TYPE2)*(TYPE2&lt;&gt;"")+('Dvd Calendar'!$F$346=TYPE3)*(TYPE3&lt;&gt;"")+('Dvd Calendar'!$F$346=TYPE4)*(TYPE4&lt;&gt;"")+('Dvd Calendar'!$F$346=SPECIAL_LBL)*(INC_SPECIALS="Y"))=0,"",'Dvd Calendar'!$F$344)))</f>
        <v/>
      </c>
      <c r="E42" s="106">
        <f>IF(EG42="","",IF(ISNUMBER('Dvd Calendar'!$G$344)=FALSE,"",IF((('Dvd Calendar'!$G$346=TYPE1)*(TYPE1&lt;&gt;"")+('Dvd Calendar'!$G$346=TYPE2)*(TYPE2&lt;&gt;"")+('Dvd Calendar'!$G$346=TYPE3)*(TYPE3&lt;&gt;"")+('Dvd Calendar'!$G$346=TYPE4)*(TYPE4&lt;&gt;"")+('Dvd Calendar'!$G$346=SPECIAL_LBL)*(INC_SPECIALS="Y"))=0,"",'Dvd Calendar'!$G$344)))</f>
        <v/>
      </c>
      <c r="F42" s="106">
        <f>IF(EH42="","",IF(ISNUMBER('Dvd Calendar'!$H$344)=FALSE,"",IF((('Dvd Calendar'!$H$346=TYPE1)*(TYPE1&lt;&gt;"")+('Dvd Calendar'!$H$346=TYPE2)*(TYPE2&lt;&gt;"")+('Dvd Calendar'!$H$346=TYPE3)*(TYPE3&lt;&gt;"")+('Dvd Calendar'!$H$346=TYPE4)*(TYPE4&lt;&gt;"")+('Dvd Calendar'!$H$346=SPECIAL_LBL)*(INC_SPECIALS="Y"))=0,"",'Dvd Calendar'!$H$344)))</f>
        <v/>
      </c>
      <c r="G42" s="106">
        <f>IF(EI42="","",IF(ISNUMBER('Dvd Calendar'!$I$344)=FALSE,"",IF((('Dvd Calendar'!$I$346=TYPE1)*(TYPE1&lt;&gt;"")+('Dvd Calendar'!$I$346=TYPE2)*(TYPE2&lt;&gt;"")+('Dvd Calendar'!$I$346=TYPE3)*(TYPE3&lt;&gt;"")+('Dvd Calendar'!$I$346=TYPE4)*(TYPE4&lt;&gt;"")+('Dvd Calendar'!$I$346=SPECIAL_LBL)*(INC_SPECIALS="Y"))=0,"",'Dvd Calendar'!$I$344)))</f>
        <v/>
      </c>
      <c r="H42" s="106">
        <f>IF(EJ42="","",IF(ISNUMBER('Dvd Calendar'!$J$344)=FALSE,"",IF((('Dvd Calendar'!$J$346=TYPE1)*(TYPE1&lt;&gt;"")+('Dvd Calendar'!$J$346=TYPE2)*(TYPE2&lt;&gt;"")+('Dvd Calendar'!$J$346=TYPE3)*(TYPE3&lt;&gt;"")+('Dvd Calendar'!$J$346=TYPE4)*(TYPE4&lt;&gt;"")+('Dvd Calendar'!$J$346=SPECIAL_LBL)*(INC_SPECIALS="Y"))=0,"",'Dvd Calendar'!$J$344)))</f>
        <v/>
      </c>
      <c r="I42" s="106">
        <f>IF(EK42="","",IF(ISNUMBER('Dvd Calendar'!$K$344)=FALSE,"",IF((('Dvd Calendar'!$K$346=TYPE1)*(TYPE1&lt;&gt;"")+('Dvd Calendar'!$K$346=TYPE2)*(TYPE2&lt;&gt;"")+('Dvd Calendar'!$K$346=TYPE3)*(TYPE3&lt;&gt;"")+('Dvd Calendar'!$K$346=TYPE4)*(TYPE4&lt;&gt;"")+('Dvd Calendar'!$K$346=SPECIAL_LBL)*(INC_SPECIALS="Y"))=0,"",'Dvd Calendar'!$K$344)))</f>
        <v/>
      </c>
      <c r="J42" s="106">
        <f>IF(EL42="","",IF(ISNUMBER('Dvd Calendar'!$L$344)=FALSE,"",IF((('Dvd Calendar'!$L$346=TYPE1)*(TYPE1&lt;&gt;"")+('Dvd Calendar'!$L$346=TYPE2)*(TYPE2&lt;&gt;"")+('Dvd Calendar'!$L$346=TYPE3)*(TYPE3&lt;&gt;"")+('Dvd Calendar'!$L$346=TYPE4)*(TYPE4&lt;&gt;"")+('Dvd Calendar'!$L$346=SPECIAL_LBL)*(INC_SPECIALS="Y"))=0,"",'Dvd Calendar'!$L$344)))</f>
        <v/>
      </c>
      <c r="K42" s="106">
        <f>IF(EM42="","",IF(ISNUMBER('Dvd Calendar'!$M$344)=FALSE,"",IF((('Dvd Calendar'!$M$346=TYPE1)*(TYPE1&lt;&gt;"")+('Dvd Calendar'!$M$346=TYPE2)*(TYPE2&lt;&gt;"")+('Dvd Calendar'!$M$346=TYPE3)*(TYPE3&lt;&gt;"")+('Dvd Calendar'!$M$346=TYPE4)*(TYPE4&lt;&gt;"")+('Dvd Calendar'!$M$346=SPECIAL_LBL)*(INC_SPECIALS="Y"))=0,"",'Dvd Calendar'!$M$344)))</f>
        <v/>
      </c>
      <c r="L42" s="106">
        <f>IF(EN42="","",IF(ISNUMBER('Dvd Calendar'!$N$344)=FALSE,"",IF((('Dvd Calendar'!$N$346=TYPE1)*(TYPE1&lt;&gt;"")+('Dvd Calendar'!$N$346=TYPE2)*(TYPE2&lt;&gt;"")+('Dvd Calendar'!$N$346=TYPE3)*(TYPE3&lt;&gt;"")+('Dvd Calendar'!$N$346=TYPE4)*(TYPE4&lt;&gt;"")+('Dvd Calendar'!$N$346=SPECIAL_LBL)*(INC_SPECIALS="Y"))=0,"",'Dvd Calendar'!$N$344)))</f>
        <v/>
      </c>
      <c r="M42" s="106">
        <f>IF(EO42="","",IF(ISNUMBER('Dvd Calendar'!$O$344)=FALSE,"",IF((('Dvd Calendar'!$O$346=TYPE1)*(TYPE1&lt;&gt;"")+('Dvd Calendar'!$O$346=TYPE2)*(TYPE2&lt;&gt;"")+('Dvd Calendar'!$O$346=TYPE3)*(TYPE3&lt;&gt;"")+('Dvd Calendar'!$O$346=TYPE4)*(TYPE4&lt;&gt;"")+('Dvd Calendar'!$O$346=SPECIAL_LBL)*(INC_SPECIALS="Y"))=0,"",'Dvd Calendar'!$O$344)))</f>
        <v/>
      </c>
      <c r="N42" s="106">
        <f>IF(EP42="","",IF(ISNUMBER('Dvd Calendar'!$P$344)=FALSE,"",IF((('Dvd Calendar'!$P$346=TYPE1)*(TYPE1&lt;&gt;"")+('Dvd Calendar'!$P$346=TYPE2)*(TYPE2&lt;&gt;"")+('Dvd Calendar'!$P$346=TYPE3)*(TYPE3&lt;&gt;"")+('Dvd Calendar'!$P$346=TYPE4)*(TYPE4&lt;&gt;"")+('Dvd Calendar'!$P$346=SPECIAL_LBL)*(INC_SPECIALS="Y"))=0,"",'Dvd Calendar'!$P$344)))</f>
        <v/>
      </c>
      <c r="O42" s="106">
        <f>IF(EQ42="","",IF(ISNUMBER('Dvd Calendar'!$Q$344)=FALSE,"",IF((('Dvd Calendar'!$Q$346=TYPE1)*(TYPE1&lt;&gt;"")+('Dvd Calendar'!$Q$346=TYPE2)*(TYPE2&lt;&gt;"")+('Dvd Calendar'!$Q$346=TYPE3)*(TYPE3&lt;&gt;"")+('Dvd Calendar'!$Q$346=TYPE4)*(TYPE4&lt;&gt;"")+('Dvd Calendar'!$Q$346=SPECIAL_LBL)*(INC_SPECIALS="Y"))=0,"",'Dvd Calendar'!$Q$344)))</f>
        <v/>
      </c>
      <c r="P42" s="106">
        <f>IF(ER42="","",IF(ISNUMBER('Dvd Calendar'!$R$344)=FALSE,"",IF((('Dvd Calendar'!$R$346=TYPE1)*(TYPE1&lt;&gt;"")+('Dvd Calendar'!$R$346=TYPE2)*(TYPE2&lt;&gt;"")+('Dvd Calendar'!$R$346=TYPE3)*(TYPE3&lt;&gt;"")+('Dvd Calendar'!$R$346=TYPE4)*(TYPE4&lt;&gt;"")+('Dvd Calendar'!$R$346=SPECIAL_LBL)*(INC_SPECIALS="Y"))=0,"",'Dvd Calendar'!$R$344)))</f>
        <v/>
      </c>
      <c r="Q42" s="106">
        <f>IF(ES42="","",IF(ISNUMBER('Dvd Calendar'!$S$344)=FALSE,"",IF((('Dvd Calendar'!$S$346=TYPE1)*(TYPE1&lt;&gt;"")+('Dvd Calendar'!$S$346=TYPE2)*(TYPE2&lt;&gt;"")+('Dvd Calendar'!$S$346=TYPE3)*(TYPE3&lt;&gt;"")+('Dvd Calendar'!$S$346=TYPE4)*(TYPE4&lt;&gt;"")+('Dvd Calendar'!$S$346=SPECIAL_LBL)*(INC_SPECIALS="Y"))=0,"",'Dvd Calendar'!$S$344)))</f>
        <v/>
      </c>
      <c r="R42" s="106">
        <f>IF(ET42="","",IF(ISNUMBER('Dvd Calendar'!$T$344)=FALSE,"",IF((('Dvd Calendar'!$T$346=TYPE1)*(TYPE1&lt;&gt;"")+('Dvd Calendar'!$T$346=TYPE2)*(TYPE2&lt;&gt;"")+('Dvd Calendar'!$T$346=TYPE3)*(TYPE3&lt;&gt;"")+('Dvd Calendar'!$T$346=TYPE4)*(TYPE4&lt;&gt;"")+('Dvd Calendar'!$T$346=SPECIAL_LBL)*(INC_SPECIALS="Y"))=0,"",'Dvd Calendar'!$T$344)))</f>
        <v/>
      </c>
      <c r="S42" s="106">
        <f>IF(EU42="","",IF(ISNUMBER('Dvd Calendar'!$U$344)=FALSE,"",IF((('Dvd Calendar'!$U$346=TYPE1)*(TYPE1&lt;&gt;"")+('Dvd Calendar'!$U$346=TYPE2)*(TYPE2&lt;&gt;"")+('Dvd Calendar'!$U$346=TYPE3)*(TYPE3&lt;&gt;"")+('Dvd Calendar'!$U$346=TYPE4)*(TYPE4&lt;&gt;"")+('Dvd Calendar'!$U$346=SPECIAL_LBL)*(INC_SPECIALS="Y"))=0,"",'Dvd Calendar'!$U$344)))</f>
        <v/>
      </c>
      <c r="T42" s="106">
        <f>IF(EV42="","",IF(ISNUMBER('Dvd Calendar'!$V$344)=FALSE,"",IF((('Dvd Calendar'!$V$346=TYPE1)*(TYPE1&lt;&gt;"")+('Dvd Calendar'!$V$346=TYPE2)*(TYPE2&lt;&gt;"")+('Dvd Calendar'!$V$346=TYPE3)*(TYPE3&lt;&gt;"")+('Dvd Calendar'!$V$346=TYPE4)*(TYPE4&lt;&gt;"")+('Dvd Calendar'!$V$346=SPECIAL_LBL)*(INC_SPECIALS="Y"))=0,"",'Dvd Calendar'!$V$344)))</f>
        <v/>
      </c>
      <c r="U42" s="106">
        <f>IF(EW42="","",IF(ISNUMBER('Dvd Calendar'!$W$344)=FALSE,"",IF((('Dvd Calendar'!$W$346=TYPE1)*(TYPE1&lt;&gt;"")+('Dvd Calendar'!$W$346=TYPE2)*(TYPE2&lt;&gt;"")+('Dvd Calendar'!$W$346=TYPE3)*(TYPE3&lt;&gt;"")+('Dvd Calendar'!$W$346=TYPE4)*(TYPE4&lt;&gt;"")+('Dvd Calendar'!$W$346=SPECIAL_LBL)*(INC_SPECIALS="Y"))=0,"",'Dvd Calendar'!$W$344)))</f>
        <v/>
      </c>
      <c r="V42" s="106">
        <f>IF(EX42="","",IF(ISNUMBER('Dvd Calendar'!$X$344)=FALSE,"",IF((('Dvd Calendar'!$X$346=TYPE1)*(TYPE1&lt;&gt;"")+('Dvd Calendar'!$X$346=TYPE2)*(TYPE2&lt;&gt;"")+('Dvd Calendar'!$X$346=TYPE3)*(TYPE3&lt;&gt;"")+('Dvd Calendar'!$X$346=TYPE4)*(TYPE4&lt;&gt;"")+('Dvd Calendar'!$X$346=SPECIAL_LBL)*(INC_SPECIALS="Y"))=0,"",'Dvd Calendar'!$X$344)))</f>
        <v/>
      </c>
      <c r="W42" s="106">
        <f>IF(EY42="","",IF(ISNUMBER('Dvd Calendar'!$Y$344)=FALSE,"",IF((('Dvd Calendar'!$Y$346=TYPE1)*(TYPE1&lt;&gt;"")+('Dvd Calendar'!$Y$346=TYPE2)*(TYPE2&lt;&gt;"")+('Dvd Calendar'!$Y$346=TYPE3)*(TYPE3&lt;&gt;"")+('Dvd Calendar'!$Y$346=TYPE4)*(TYPE4&lt;&gt;"")+('Dvd Calendar'!$Y$346=SPECIAL_LBL)*(INC_SPECIALS="Y"))=0,"",'Dvd Calendar'!$Y$344)))</f>
        <v/>
      </c>
      <c r="X42" s="106">
        <f>IF(EZ42="","",IF(ISNUMBER('Dvd Calendar'!$Z$344)=FALSE,"",IF((('Dvd Calendar'!$Z$346=TYPE1)*(TYPE1&lt;&gt;"")+('Dvd Calendar'!$Z$346=TYPE2)*(TYPE2&lt;&gt;"")+('Dvd Calendar'!$Z$346=TYPE3)*(TYPE3&lt;&gt;"")+('Dvd Calendar'!$Z$346=TYPE4)*(TYPE4&lt;&gt;"")+('Dvd Calendar'!$Z$346=SPECIAL_LBL)*(INC_SPECIALS="Y"))=0,"",'Dvd Calendar'!$Z$344)))</f>
        <v/>
      </c>
      <c r="Y42" s="106">
        <f>IF(FA42="","",IF(ISNUMBER('Dvd Calendar'!$AA$344)=FALSE,"",IF((('Dvd Calendar'!$AA$346=TYPE1)*(TYPE1&lt;&gt;"")+('Dvd Calendar'!$AA$346=TYPE2)*(TYPE2&lt;&gt;"")+('Dvd Calendar'!$AA$346=TYPE3)*(TYPE3&lt;&gt;"")+('Dvd Calendar'!$AA$346=TYPE4)*(TYPE4&lt;&gt;"")+('Dvd Calendar'!$AA$346=SPECIAL_LBL)*(INC_SPECIALS="Y"))=0,"",'Dvd Calendar'!$AA$344)))</f>
        <v/>
      </c>
      <c r="Z42" s="106">
        <f>IF(FB42="","",IF(ISNUMBER('Dvd Calendar'!$AB$344)=FALSE,"",IF((('Dvd Calendar'!$AB$346=TYPE1)*(TYPE1&lt;&gt;"")+('Dvd Calendar'!$AB$346=TYPE2)*(TYPE2&lt;&gt;"")+('Dvd Calendar'!$AB$346=TYPE3)*(TYPE3&lt;&gt;"")+('Dvd Calendar'!$AB$346=TYPE4)*(TYPE4&lt;&gt;"")+('Dvd Calendar'!$AB$346=SPECIAL_LBL)*(INC_SPECIALS="Y"))=0,"",'Dvd Calendar'!$AB$344)))</f>
        <v/>
      </c>
      <c r="AA42" s="106">
        <f>IF(FC42="","",IF(ISNUMBER('Dvd Calendar'!$AC$344)=FALSE,"",IF((('Dvd Calendar'!$AC$346=TYPE1)*(TYPE1&lt;&gt;"")+('Dvd Calendar'!$AC$346=TYPE2)*(TYPE2&lt;&gt;"")+('Dvd Calendar'!$AC$346=TYPE3)*(TYPE3&lt;&gt;"")+('Dvd Calendar'!$AC$346=TYPE4)*(TYPE4&lt;&gt;"")+('Dvd Calendar'!$AC$346=SPECIAL_LBL)*(INC_SPECIALS="Y"))=0,"",'Dvd Calendar'!$AC$344)))</f>
        <v/>
      </c>
      <c r="AB42" s="106">
        <f>IF(FD42="","",IF(ISNUMBER('Dvd Calendar'!$AD$344)=FALSE,"",IF((('Dvd Calendar'!$AD$346=TYPE1)*(TYPE1&lt;&gt;"")+('Dvd Calendar'!$AD$346=TYPE2)*(TYPE2&lt;&gt;"")+('Dvd Calendar'!$AD$346=TYPE3)*(TYPE3&lt;&gt;"")+('Dvd Calendar'!$AD$346=TYPE4)*(TYPE4&lt;&gt;"")+('Dvd Calendar'!$AD$346=SPECIAL_LBL)*(INC_SPECIALS="Y"))=0,"",'Dvd Calendar'!$AD$344)))</f>
        <v/>
      </c>
      <c r="AC42" s="106">
        <f>IF(FE42="","",IF(ISNUMBER('Dvd Calendar'!$AE$344)=FALSE,"",IF((('Dvd Calendar'!$AE$346=TYPE1)*(TYPE1&lt;&gt;"")+('Dvd Calendar'!$AE$346=TYPE2)*(TYPE2&lt;&gt;"")+('Dvd Calendar'!$AE$346=TYPE3)*(TYPE3&lt;&gt;"")+('Dvd Calendar'!$AE$346=TYPE4)*(TYPE4&lt;&gt;"")+('Dvd Calendar'!$AE$346=SPECIAL_LBL)*(INC_SPECIALS="Y"))=0,"",'Dvd Calendar'!$AE$344)))</f>
        <v/>
      </c>
      <c r="AD42" s="106">
        <f>IF(FF42="","",IF(ISNUMBER('Dvd Calendar'!$AF$344)=FALSE,"",IF((('Dvd Calendar'!$AF$346=TYPE1)*(TYPE1&lt;&gt;"")+('Dvd Calendar'!$AF$346=TYPE2)*(TYPE2&lt;&gt;"")+('Dvd Calendar'!$AF$346=TYPE3)*(TYPE3&lt;&gt;"")+('Dvd Calendar'!$AF$346=TYPE4)*(TYPE4&lt;&gt;"")+('Dvd Calendar'!$AF$346=SPECIAL_LBL)*(INC_SPECIALS="Y"))=0,"",'Dvd Calendar'!$AF$344)))</f>
        <v/>
      </c>
      <c r="AE42" s="106">
        <f>IF(FG42="","",IF(ISNUMBER('Dvd Calendar'!$AG$344)=FALSE,"",IF((('Dvd Calendar'!$AG$346=TYPE1)*(TYPE1&lt;&gt;"")+('Dvd Calendar'!$AG$346=TYPE2)*(TYPE2&lt;&gt;"")+('Dvd Calendar'!$AG$346=TYPE3)*(TYPE3&lt;&gt;"")+('Dvd Calendar'!$AG$346=TYPE4)*(TYPE4&lt;&gt;"")+('Dvd Calendar'!$AG$346=SPECIAL_LBL)*(INC_SPECIALS="Y"))=0,"",'Dvd Calendar'!$AG$344)))</f>
        <v/>
      </c>
      <c r="AF42" s="106">
        <f>IF(FH42="","",IF(ISNUMBER('Dvd Calendar'!$AH$344)=FALSE,"",IF((('Dvd Calendar'!$AH$346=TYPE1)*(TYPE1&lt;&gt;"")+('Dvd Calendar'!$AH$346=TYPE2)*(TYPE2&lt;&gt;"")+('Dvd Calendar'!$AH$346=TYPE3)*(TYPE3&lt;&gt;"")+('Dvd Calendar'!$AH$346=TYPE4)*(TYPE4&lt;&gt;"")+('Dvd Calendar'!$AH$346=SPECIAL_LBL)*(INC_SPECIALS="Y"))=0,"",'Dvd Calendar'!$AH$344)))</f>
        <v/>
      </c>
      <c r="AG42" s="106">
        <f>IF(FI42="","",IF(ISNUMBER('Dvd Calendar'!$AI$344)=FALSE,"",IF((('Dvd Calendar'!$AI$346=TYPE1)*(TYPE1&lt;&gt;"")+('Dvd Calendar'!$AI$346=TYPE2)*(TYPE2&lt;&gt;"")+('Dvd Calendar'!$AI$346=TYPE3)*(TYPE3&lt;&gt;"")+('Dvd Calendar'!$AI$346=TYPE4)*(TYPE4&lt;&gt;"")+('Dvd Calendar'!$AI$346=SPECIAL_LBL)*(INC_SPECIALS="Y"))=0,"",'Dvd Calendar'!$AI$344)))</f>
        <v/>
      </c>
      <c r="AH42" s="106">
        <f>IF(FJ42="","",IF(ISNUMBER('Dvd Calendar'!$AJ$344)=FALSE,"",IF((('Dvd Calendar'!$AJ$346=TYPE1)*(TYPE1&lt;&gt;"")+('Dvd Calendar'!$AJ$346=TYPE2)*(TYPE2&lt;&gt;"")+('Dvd Calendar'!$AJ$346=TYPE3)*(TYPE3&lt;&gt;"")+('Dvd Calendar'!$AJ$346=TYPE4)*(TYPE4&lt;&gt;"")+('Dvd Calendar'!$AJ$346=SPECIAL_LBL)*(INC_SPECIALS="Y"))=0,"",'Dvd Calendar'!$AJ$344)))</f>
        <v/>
      </c>
      <c r="AI42" s="106">
        <f>IF(FK42="","",IF(ISNUMBER('Dvd Calendar'!$AK$344)=FALSE,"",IF((('Dvd Calendar'!$AK$346=TYPE1)*(TYPE1&lt;&gt;"")+('Dvd Calendar'!$AK$346=TYPE2)*(TYPE2&lt;&gt;"")+('Dvd Calendar'!$AK$346=TYPE3)*(TYPE3&lt;&gt;"")+('Dvd Calendar'!$AK$346=TYPE4)*(TYPE4&lt;&gt;"")+('Dvd Calendar'!$AK$346=SPECIAL_LBL)*(INC_SPECIALS="Y"))=0,"",'Dvd Calendar'!$AK$344)))</f>
        <v/>
      </c>
      <c r="AJ42" s="106">
        <f>IF(FL42="","",IF(ISNUMBER('Dvd Calendar'!$AL$344)=FALSE,"",IF((('Dvd Calendar'!$AL$346=TYPE1)*(TYPE1&lt;&gt;"")+('Dvd Calendar'!$AL$346=TYPE2)*(TYPE2&lt;&gt;"")+('Dvd Calendar'!$AL$346=TYPE3)*(TYPE3&lt;&gt;"")+('Dvd Calendar'!$AL$346=TYPE4)*(TYPE4&lt;&gt;"")+('Dvd Calendar'!$AL$346=SPECIAL_LBL)*(INC_SPECIALS="Y"))=0,"",'Dvd Calendar'!$AL$344)))</f>
        <v/>
      </c>
      <c r="AK42" s="106">
        <f>IF(FM42="","",IF(ISNUMBER('Dvd Calendar'!$AM$344)=FALSE,"",IF((('Dvd Calendar'!$AM$346=TYPE1)*(TYPE1&lt;&gt;"")+('Dvd Calendar'!$AM$346=TYPE2)*(TYPE2&lt;&gt;"")+('Dvd Calendar'!$AM$346=TYPE3)*(TYPE3&lt;&gt;"")+('Dvd Calendar'!$AM$346=TYPE4)*(TYPE4&lt;&gt;"")+('Dvd Calendar'!$AM$346=SPECIAL_LBL)*(INC_SPECIALS="Y"))=0,"",'Dvd Calendar'!$AM$344)))</f>
        <v/>
      </c>
      <c r="AL42" s="106">
        <f>IF(FN42="","",IF(ISNUMBER('Dvd Calendar'!$AN$344)=FALSE,"",IF((('Dvd Calendar'!$AN$346=TYPE1)*(TYPE1&lt;&gt;"")+('Dvd Calendar'!$AN$346=TYPE2)*(TYPE2&lt;&gt;"")+('Dvd Calendar'!$AN$346=TYPE3)*(TYPE3&lt;&gt;"")+('Dvd Calendar'!$AN$346=TYPE4)*(TYPE4&lt;&gt;"")+('Dvd Calendar'!$AN$346=SPECIAL_LBL)*(INC_SPECIALS="Y"))=0,"",'Dvd Calendar'!$AN$344)))</f>
        <v/>
      </c>
      <c r="AM42" s="106">
        <f>IF(FO42="","",IF(ISNUMBER('Dvd Calendar'!$AO$344)=FALSE,"",IF((('Dvd Calendar'!$AO$346=TYPE1)*(TYPE1&lt;&gt;"")+('Dvd Calendar'!$AO$346=TYPE2)*(TYPE2&lt;&gt;"")+('Dvd Calendar'!$AO$346=TYPE3)*(TYPE3&lt;&gt;"")+('Dvd Calendar'!$AO$346=TYPE4)*(TYPE4&lt;&gt;"")+('Dvd Calendar'!$AO$346=SPECIAL_LBL)*(INC_SPECIALS="Y"))=0,"",'Dvd Calendar'!$AO$344)))</f>
        <v/>
      </c>
      <c r="AN42" s="106">
        <f>IF(FP42="","",IF(ISNUMBER('Dvd Calendar'!$AP$344)=FALSE,"",IF((('Dvd Calendar'!$AP$346=TYPE1)*(TYPE1&lt;&gt;"")+('Dvd Calendar'!$AP$346=TYPE2)*(TYPE2&lt;&gt;"")+('Dvd Calendar'!$AP$346=TYPE3)*(TYPE3&lt;&gt;"")+('Dvd Calendar'!$AP$346=TYPE4)*(TYPE4&lt;&gt;"")+('Dvd Calendar'!$AP$346=SPECIAL_LBL)*(INC_SPECIALS="Y"))=0,"",'Dvd Calendar'!$AP$344)))</f>
        <v/>
      </c>
      <c r="AO42" s="106">
        <f>IF(FQ42="","",IF(ISNUMBER('Dvd Calendar'!$AQ$344)=FALSE,"",IF((('Dvd Calendar'!$AQ$346=TYPE1)*(TYPE1&lt;&gt;"")+('Dvd Calendar'!$AQ$346=TYPE2)*(TYPE2&lt;&gt;"")+('Dvd Calendar'!$AQ$346=TYPE3)*(TYPE3&lt;&gt;"")+('Dvd Calendar'!$AQ$346=TYPE4)*(TYPE4&lt;&gt;"")+('Dvd Calendar'!$AQ$346=SPECIAL_LBL)*(INC_SPECIALS="Y"))=0,"",'Dvd Calendar'!$AQ$344)))</f>
        <v/>
      </c>
      <c r="AP42" s="106">
        <f>IF(FR42="","",IF(ISNUMBER('Dvd Calendar'!$AR$344)=FALSE,"",IF((('Dvd Calendar'!$AR$346=TYPE1)*(TYPE1&lt;&gt;"")+('Dvd Calendar'!$AR$346=TYPE2)*(TYPE2&lt;&gt;"")+('Dvd Calendar'!$AR$346=TYPE3)*(TYPE3&lt;&gt;"")+('Dvd Calendar'!$AR$346=TYPE4)*(TYPE4&lt;&gt;"")+('Dvd Calendar'!$AR$346=SPECIAL_LBL)*(INC_SPECIALS="Y"))=0,"",'Dvd Calendar'!$AR$344)))</f>
        <v/>
      </c>
      <c r="AQ42" s="106">
        <f>IF(FS42="","",IF(ISNUMBER('Dvd Calendar'!$E$349)=FALSE,"",'Dvd Calendar'!$E$349))</f>
        <v/>
      </c>
      <c r="AR42" s="106">
        <f>IF(FT42="","",IF(ISNUMBER('Dvd Calendar'!$F$349)=FALSE,"",'Dvd Calendar'!$F$349))</f>
        <v/>
      </c>
      <c r="AS42" s="106">
        <f>IF(FU42="","",IF(ISNUMBER('Dvd Calendar'!$G$349)=FALSE,"",'Dvd Calendar'!$G$349))</f>
        <v/>
      </c>
      <c r="AT42" s="106">
        <f>IF(FV42="","",IF(ISNUMBER('Dvd Calendar'!$H$349)=FALSE,"",'Dvd Calendar'!$H$349))</f>
        <v/>
      </c>
      <c r="AU42" s="106">
        <f>IF(FW42="","",IF(ISNUMBER('Dvd Calendar'!$I$349)=FALSE,"",'Dvd Calendar'!$I$349))</f>
        <v/>
      </c>
      <c r="AV42" s="106">
        <f>IF(FX42="","",IF(ISNUMBER('Dvd Calendar'!$J$349)=FALSE,"",'Dvd Calendar'!$J$349))</f>
        <v/>
      </c>
      <c r="AW42" s="106">
        <f>IF(FY42="","",IF(ISNUMBER('Dvd Calendar'!$K$349)=FALSE,"",'Dvd Calendar'!$K$349))</f>
        <v/>
      </c>
      <c r="AX42" s="106">
        <f>IF(FZ42="","",IF(ISNUMBER('Dvd Calendar'!$L$349)=FALSE,"",'Dvd Calendar'!$L$349))</f>
        <v/>
      </c>
      <c r="AY42" s="106">
        <f>IF(GA42="","",IF(ISNUMBER('Dvd Calendar'!$M$349)=FALSE,"",'Dvd Calendar'!$M$349))</f>
        <v/>
      </c>
      <c r="AZ42" s="106">
        <f>IF(GB42="","",IF(ISNUMBER('Dvd Calendar'!$N$349)=FALSE,"",'Dvd Calendar'!$N$349))</f>
        <v/>
      </c>
      <c r="BA42" s="106">
        <f>IF(GC42="","",IF(ISNUMBER('Dvd Calendar'!$O$349)=FALSE,"",'Dvd Calendar'!$O$349))</f>
        <v/>
      </c>
      <c r="BB42" s="106">
        <f>IF(GD42="","",IF(ISNUMBER('Dvd Calendar'!$P$349)=FALSE,"",'Dvd Calendar'!$P$349))</f>
        <v/>
      </c>
      <c r="BC42" s="106">
        <f>IF(GE42="","",IF(ISNUMBER('Dvd Calendar'!$Q$349)=FALSE,"",'Dvd Calendar'!$Q$349))</f>
        <v/>
      </c>
      <c r="BD42" s="106">
        <f>IF(GF42="","",IF(ISNUMBER('Dvd Calendar'!$R$349)=FALSE,"",'Dvd Calendar'!$R$349))</f>
        <v/>
      </c>
      <c r="BE42" s="106">
        <f>IF(GG42="","",IF(ISNUMBER('Dvd Calendar'!$S$349)=FALSE,"",'Dvd Calendar'!$S$349))</f>
        <v/>
      </c>
      <c r="BF42" s="106">
        <f>IF(GH42="","",IF(ISNUMBER('Dvd Calendar'!$T$349)=FALSE,"",'Dvd Calendar'!$T$349))</f>
        <v/>
      </c>
      <c r="BG42" s="106">
        <f>IF(GI42="","",IF(ISNUMBER('Dvd Calendar'!$U$349)=FALSE,"",'Dvd Calendar'!$U$349))</f>
        <v/>
      </c>
      <c r="BH42" s="106">
        <f>IF(GJ42="","",IF(ISNUMBER('Dvd Calendar'!$V$349)=FALSE,"",'Dvd Calendar'!$V$349))</f>
        <v/>
      </c>
      <c r="BI42" s="106">
        <f>IF(GK42="","",IF(ISNUMBER('Dvd Calendar'!$W$349)=FALSE,"",'Dvd Calendar'!$W$349))</f>
        <v/>
      </c>
      <c r="BJ42" s="106">
        <f>IF(GL42="","",IF(ISNUMBER('Dvd Calendar'!$X$349)=FALSE,"",'Dvd Calendar'!$X$349))</f>
        <v/>
      </c>
      <c r="BK42" s="106">
        <f>IF(GM42="","",IF(ISNUMBER('Dvd Calendar'!$Y$349)=FALSE,"",'Dvd Calendar'!$Y$349))</f>
        <v/>
      </c>
      <c r="BL42" s="106">
        <f>IF(GN42="","",IF(ISNUMBER('Dvd Calendar'!$Z$349)=FALSE,"",'Dvd Calendar'!$Z$349))</f>
        <v/>
      </c>
      <c r="BM42" s="106">
        <f>IF(GO42="","",IF(ISNUMBER('Dvd Calendar'!$AA$349)=FALSE,"",'Dvd Calendar'!$AA$349))</f>
        <v/>
      </c>
      <c r="BN42" s="106">
        <f>IF(GP42="","",IF(ISNUMBER('Dvd Calendar'!$AB$349)=FALSE,"",'Dvd Calendar'!$AB$349))</f>
        <v/>
      </c>
      <c r="BO42" s="106">
        <f>IF(GQ42="","",IF(ISNUMBER('Dvd Calendar'!$AC$349)=FALSE,"",'Dvd Calendar'!$AC$349))</f>
        <v/>
      </c>
      <c r="BQ42" s="106">
        <f>IF(C42="","",IFERROR(C42*HSI!$B$37*HSI!$G$37/HSI!$B$3,""))</f>
        <v/>
      </c>
      <c r="BR42" s="106">
        <f>IF(D42="","",IFERROR(D42*HSI!$B$37*HSI!$G$37/HSI!$B$3,""))</f>
        <v/>
      </c>
      <c r="BS42" s="106">
        <f>IF(E42="","",IFERROR(E42*HSI!$B$37*HSI!$G$37/HSI!$B$3,""))</f>
        <v/>
      </c>
      <c r="BT42" s="106">
        <f>IF(F42="","",IFERROR(F42*HSI!$B$37*HSI!$G$37/HSI!$B$3,""))</f>
        <v/>
      </c>
      <c r="BU42" s="106">
        <f>IF(G42="","",IFERROR(G42*HSI!$B$37*HSI!$G$37/HSI!$B$3,""))</f>
        <v/>
      </c>
      <c r="BV42" s="106">
        <f>IF(H42="","",IFERROR(H42*HSI!$B$37*HSI!$G$37/HSI!$B$3,""))</f>
        <v/>
      </c>
      <c r="BW42" s="106">
        <f>IF(I42="","",IFERROR(I42*HSI!$B$37*HSI!$G$37/HSI!$B$3,""))</f>
        <v/>
      </c>
      <c r="BX42" s="106">
        <f>IF(J42="","",IFERROR(J42*HSI!$B$37*HSI!$G$37/HSI!$B$3,""))</f>
        <v/>
      </c>
      <c r="BY42" s="106">
        <f>IF(K42="","",IFERROR(K42*HSI!$B$37*HSI!$G$37/HSI!$B$3,""))</f>
        <v/>
      </c>
      <c r="BZ42" s="106">
        <f>IF(L42="","",IFERROR(L42*HSI!$B$37*HSI!$G$37/HSI!$B$3,""))</f>
        <v/>
      </c>
      <c r="CA42" s="106">
        <f>IF(M42="","",IFERROR(M42*HSI!$B$37*HSI!$G$37/HSI!$B$3,""))</f>
        <v/>
      </c>
      <c r="CB42" s="106">
        <f>IF(N42="","",IFERROR(N42*HSI!$B$37*HSI!$G$37/HSI!$B$3,""))</f>
        <v/>
      </c>
      <c r="CC42" s="106">
        <f>IF(O42="","",IFERROR(O42*HSI!$B$37*HSI!$G$37/HSI!$B$3,""))</f>
        <v/>
      </c>
      <c r="CD42" s="106">
        <f>IF(P42="","",IFERROR(P42*HSI!$B$37*HSI!$G$37/HSI!$B$3,""))</f>
        <v/>
      </c>
      <c r="CE42" s="106">
        <f>IF(Q42="","",IFERROR(Q42*HSI!$B$37*HSI!$G$37/HSI!$B$3,""))</f>
        <v/>
      </c>
      <c r="CF42" s="106">
        <f>IF(R42="","",IFERROR(R42*HSI!$B$37*HSI!$G$37/HSI!$B$3,""))</f>
        <v/>
      </c>
      <c r="CG42" s="106">
        <f>IF(S42="","",IFERROR(S42*HSI!$B$37*HSI!$G$37/HSI!$B$3,""))</f>
        <v/>
      </c>
      <c r="CH42" s="106">
        <f>IF(T42="","",IFERROR(T42*HSI!$B$37*HSI!$G$37/HSI!$B$3,""))</f>
        <v/>
      </c>
      <c r="CI42" s="106">
        <f>IF(U42="","",IFERROR(U42*HSI!$B$37*HSI!$G$37/HSI!$B$3,""))</f>
        <v/>
      </c>
      <c r="CJ42" s="106">
        <f>IF(V42="","",IFERROR(V42*HSI!$B$37*HSI!$G$37/HSI!$B$3,""))</f>
        <v/>
      </c>
      <c r="CK42" s="106">
        <f>IF(W42="","",IFERROR(W42*HSI!$B$37*HSI!$G$37/HSI!$B$3,""))</f>
        <v/>
      </c>
      <c r="CL42" s="106">
        <f>IF(X42="","",IFERROR(X42*HSI!$B$37*HSI!$G$37/HSI!$B$3,""))</f>
        <v/>
      </c>
      <c r="CM42" s="106">
        <f>IF(Y42="","",IFERROR(Y42*HSI!$B$37*HSI!$G$37/HSI!$B$3,""))</f>
        <v/>
      </c>
      <c r="CN42" s="106">
        <f>IF(Z42="","",IFERROR(Z42*HSI!$B$37*HSI!$G$37/HSI!$B$3,""))</f>
        <v/>
      </c>
      <c r="CO42" s="106">
        <f>IF(AA42="","",IFERROR(AA42*HSI!$B$37*HSI!$G$37/HSI!$B$3,""))</f>
        <v/>
      </c>
      <c r="CP42" s="106">
        <f>IF(AB42="","",IFERROR(AB42*HSI!$B$37*HSI!$G$37/HSI!$B$3,""))</f>
        <v/>
      </c>
      <c r="CQ42" s="106">
        <f>IF(AC42="","",IFERROR(AC42*HSI!$B$37*HSI!$G$37/HSI!$B$3,""))</f>
        <v/>
      </c>
      <c r="CR42" s="106">
        <f>IF(AD42="","",IFERROR(AD42*HSI!$B$37*HSI!$G$37/HSI!$B$3,""))</f>
        <v/>
      </c>
      <c r="CS42" s="106">
        <f>IF(AE42="","",IFERROR(AE42*HSI!$B$37*HSI!$G$37/HSI!$B$3,""))</f>
        <v/>
      </c>
      <c r="CT42" s="106">
        <f>IF(AF42="","",IFERROR(AF42*HSI!$B$37*HSI!$G$37/HSI!$B$3,""))</f>
        <v/>
      </c>
      <c r="CU42" s="106">
        <f>IF(AG42="","",IFERROR(AG42*HSI!$B$37*HSI!$G$37/HSI!$B$3,""))</f>
        <v/>
      </c>
      <c r="CV42" s="106">
        <f>IF(AH42="","",IFERROR(AH42*HSI!$B$37*HSI!$G$37/HSI!$B$3,""))</f>
        <v/>
      </c>
      <c r="CW42" s="106">
        <f>IF(AI42="","",IFERROR(AI42*HSI!$B$37*HSI!$G$37/HSI!$B$3,""))</f>
        <v/>
      </c>
      <c r="CX42" s="106">
        <f>IF(AJ42="","",IFERROR(AJ42*HSI!$B$37*HSI!$G$37/HSI!$B$3,""))</f>
        <v/>
      </c>
      <c r="CY42" s="106">
        <f>IF(AK42="","",IFERROR(AK42*HSI!$B$37*HSI!$G$37/HSI!$B$3,""))</f>
        <v/>
      </c>
      <c r="CZ42" s="106">
        <f>IF(AL42="","",IFERROR(AL42*HSI!$B$37*HSI!$G$37/HSI!$B$3,""))</f>
        <v/>
      </c>
      <c r="DA42" s="106">
        <f>IF(AM42="","",IFERROR(AM42*HSI!$B$37*HSI!$G$37/HSI!$B$3,""))</f>
        <v/>
      </c>
      <c r="DB42" s="106">
        <f>IF(AN42="","",IFERROR(AN42*HSI!$B$37*HSI!$G$37/HSI!$B$3,""))</f>
        <v/>
      </c>
      <c r="DC42" s="106">
        <f>IF(AO42="","",IFERROR(AO42*HSI!$B$37*HSI!$G$37/HSI!$B$3,""))</f>
        <v/>
      </c>
      <c r="DD42" s="106">
        <f>IF(AP42="","",IFERROR(AP42*HSI!$B$37*HSI!$G$37/HSI!$B$3,""))</f>
        <v/>
      </c>
      <c r="DE42" s="106">
        <f>IF(AQ42="","",IFERROR(AQ42*HSI!$B$37*HSI!$G$37/HSI!$B$3,""))</f>
        <v/>
      </c>
      <c r="DF42" s="106">
        <f>IF(AR42="","",IFERROR(AR42*HSI!$B$37*HSI!$G$37/HSI!$B$3,""))</f>
        <v/>
      </c>
      <c r="DG42" s="106">
        <f>IF(AS42="","",IFERROR(AS42*HSI!$B$37*HSI!$G$37/HSI!$B$3,""))</f>
        <v/>
      </c>
      <c r="DH42" s="106">
        <f>IF(AT42="","",IFERROR(AT42*HSI!$B$37*HSI!$G$37/HSI!$B$3,""))</f>
        <v/>
      </c>
      <c r="DI42" s="106">
        <f>IF(AU42="","",IFERROR(AU42*HSI!$B$37*HSI!$G$37/HSI!$B$3,""))</f>
        <v/>
      </c>
      <c r="DJ42" s="106">
        <f>IF(AV42="","",IFERROR(AV42*HSI!$B$37*HSI!$G$37/HSI!$B$3,""))</f>
        <v/>
      </c>
      <c r="DK42" s="106">
        <f>IF(AW42="","",IFERROR(AW42*HSI!$B$37*HSI!$G$37/HSI!$B$3,""))</f>
        <v/>
      </c>
      <c r="DL42" s="106">
        <f>IF(AX42="","",IFERROR(AX42*HSI!$B$37*HSI!$G$37/HSI!$B$3,""))</f>
        <v/>
      </c>
      <c r="DM42" s="106">
        <f>IF(AY42="","",IFERROR(AY42*HSI!$B$37*HSI!$G$37/HSI!$B$3,""))</f>
        <v/>
      </c>
      <c r="DN42" s="106">
        <f>IF(AZ42="","",IFERROR(AZ42*HSI!$B$37*HSI!$G$37/HSI!$B$3,""))</f>
        <v/>
      </c>
      <c r="DO42" s="106">
        <f>IF(BA42="","",IFERROR(BA42*HSI!$B$37*HSI!$G$37/HSI!$B$3,""))</f>
        <v/>
      </c>
      <c r="DP42" s="106">
        <f>IF(BB42="","",IFERROR(BB42*HSI!$B$37*HSI!$G$37/HSI!$B$3,""))</f>
        <v/>
      </c>
      <c r="DQ42" s="106">
        <f>IF(BC42="","",IFERROR(BC42*HSI!$B$37*HSI!$G$37/HSI!$B$3,""))</f>
        <v/>
      </c>
      <c r="DR42" s="106">
        <f>IF(BD42="","",IFERROR(BD42*HSI!$B$37*HSI!$G$37/HSI!$B$3,""))</f>
        <v/>
      </c>
      <c r="DS42" s="106">
        <f>IF(BE42="","",IFERROR(BE42*HSI!$B$37*HSI!$G$37/HSI!$B$3,""))</f>
        <v/>
      </c>
      <c r="DT42" s="106">
        <f>IF(BF42="","",IFERROR(BF42*HSI!$B$37*HSI!$G$37/HSI!$B$3,""))</f>
        <v/>
      </c>
      <c r="DU42" s="106">
        <f>IF(BG42="","",IFERROR(BG42*HSI!$B$37*HSI!$G$37/HSI!$B$3,""))</f>
        <v/>
      </c>
      <c r="DV42" s="106">
        <f>IF(BH42="","",IFERROR(BH42*HSI!$B$37*HSI!$G$37/HSI!$B$3,""))</f>
        <v/>
      </c>
      <c r="DW42" s="106">
        <f>IF(BI42="","",IFERROR(BI42*HSI!$B$37*HSI!$G$37/HSI!$B$3,""))</f>
        <v/>
      </c>
      <c r="DX42" s="106">
        <f>IF(BJ42="","",IFERROR(BJ42*HSI!$B$37*HSI!$G$37/HSI!$B$3,""))</f>
        <v/>
      </c>
      <c r="DY42" s="106">
        <f>IF(BK42="","",IFERROR(BK42*HSI!$B$37*HSI!$G$37/HSI!$B$3,""))</f>
        <v/>
      </c>
      <c r="DZ42" s="106">
        <f>IF(BL42="","",IFERROR(BL42*HSI!$B$37*HSI!$G$37/HSI!$B$3,""))</f>
        <v/>
      </c>
      <c r="EA42" s="106">
        <f>IF(BM42="","",IFERROR(BM42*HSI!$B$37*HSI!$G$37/HSI!$B$3,""))</f>
        <v/>
      </c>
      <c r="EB42" s="106">
        <f>IF(BN42="","",IFERROR(BN42*HSI!$B$37*HSI!$G$37/HSI!$B$3,""))</f>
        <v/>
      </c>
      <c r="EC42" s="106">
        <f>IF(BO42="","",IFERROR(BO42*HSI!$B$37*HSI!$G$37/HSI!$B$3,""))</f>
        <v/>
      </c>
      <c r="EE42" s="35">
        <f>IF(N('Dvd Calendar'!$E$341)=0,"",IF(('Dvd Calendar'!$E$341&gt;=GRID_FROM)*('Dvd Calendar'!$E$341&lt;=GRID_TO)*('Dvd Calendar'!$E$341&lt;=VAL_DATE)=0,"",'Dvd Calendar'!$E$341*1000000000+ISNUMBER('Dvd Calendar'!$E$344)*100000000+('Dvd Calendar'!$E$346=SPECIAL_LBL)*10000000+0*1000000+31*1000+1))</f>
        <v/>
      </c>
      <c r="EF42" s="35">
        <f>IF(N('Dvd Calendar'!$F$341)=0,"",IF(('Dvd Calendar'!$F$341&gt;=GRID_FROM)*('Dvd Calendar'!$F$341&lt;=GRID_TO)*('Dvd Calendar'!$F$341&lt;=VAL_DATE)=0,"",'Dvd Calendar'!$F$341*1000000000+ISNUMBER('Dvd Calendar'!$F$344)*100000000+('Dvd Calendar'!$F$346=SPECIAL_LBL)*10000000+0*1000000+31*1000+2))</f>
        <v/>
      </c>
      <c r="EG42" s="35">
        <f>IF(N('Dvd Calendar'!$G$341)=0,"",IF(('Dvd Calendar'!$G$341&gt;=GRID_FROM)*('Dvd Calendar'!$G$341&lt;=GRID_TO)*('Dvd Calendar'!$G$341&lt;=VAL_DATE)=0,"",'Dvd Calendar'!$G$341*1000000000+ISNUMBER('Dvd Calendar'!$G$344)*100000000+('Dvd Calendar'!$G$346=SPECIAL_LBL)*10000000+0*1000000+31*1000+3))</f>
        <v/>
      </c>
      <c r="EH42" s="35">
        <f>IF(N('Dvd Calendar'!$H$341)=0,"",IF(('Dvd Calendar'!$H$341&gt;=GRID_FROM)*('Dvd Calendar'!$H$341&lt;=GRID_TO)*('Dvd Calendar'!$H$341&lt;=VAL_DATE)=0,"",'Dvd Calendar'!$H$341*1000000000+ISNUMBER('Dvd Calendar'!$H$344)*100000000+('Dvd Calendar'!$H$346=SPECIAL_LBL)*10000000+0*1000000+31*1000+4))</f>
        <v/>
      </c>
      <c r="EI42" s="35">
        <f>IF(N('Dvd Calendar'!$I$341)=0,"",IF(('Dvd Calendar'!$I$341&gt;=GRID_FROM)*('Dvd Calendar'!$I$341&lt;=GRID_TO)*('Dvd Calendar'!$I$341&lt;=VAL_DATE)=0,"",'Dvd Calendar'!$I$341*1000000000+ISNUMBER('Dvd Calendar'!$I$344)*100000000+('Dvd Calendar'!$I$346=SPECIAL_LBL)*10000000+0*1000000+31*1000+5))</f>
        <v/>
      </c>
      <c r="EJ42" s="35">
        <f>IF(N('Dvd Calendar'!$J$341)=0,"",IF(('Dvd Calendar'!$J$341&gt;=GRID_FROM)*('Dvd Calendar'!$J$341&lt;=GRID_TO)*('Dvd Calendar'!$J$341&lt;=VAL_DATE)=0,"",'Dvd Calendar'!$J$341*1000000000+ISNUMBER('Dvd Calendar'!$J$344)*100000000+('Dvd Calendar'!$J$346=SPECIAL_LBL)*10000000+0*1000000+31*1000+6))</f>
        <v/>
      </c>
      <c r="EK42" s="35">
        <f>IF(N('Dvd Calendar'!$K$341)=0,"",IF(('Dvd Calendar'!$K$341&gt;=GRID_FROM)*('Dvd Calendar'!$K$341&lt;=GRID_TO)*('Dvd Calendar'!$K$341&lt;=VAL_DATE)=0,"",'Dvd Calendar'!$K$341*1000000000+ISNUMBER('Dvd Calendar'!$K$344)*100000000+('Dvd Calendar'!$K$346=SPECIAL_LBL)*10000000+0*1000000+31*1000+7))</f>
        <v/>
      </c>
      <c r="EL42" s="35">
        <f>IF(N('Dvd Calendar'!$L$341)=0,"",IF(('Dvd Calendar'!$L$341&gt;=GRID_FROM)*('Dvd Calendar'!$L$341&lt;=GRID_TO)*('Dvd Calendar'!$L$341&lt;=VAL_DATE)=0,"",'Dvd Calendar'!$L$341*1000000000+ISNUMBER('Dvd Calendar'!$L$344)*100000000+('Dvd Calendar'!$L$346=SPECIAL_LBL)*10000000+0*1000000+31*1000+8))</f>
        <v/>
      </c>
      <c r="EM42" s="35">
        <f>IF(N('Dvd Calendar'!$M$341)=0,"",IF(('Dvd Calendar'!$M$341&gt;=GRID_FROM)*('Dvd Calendar'!$M$341&lt;=GRID_TO)*('Dvd Calendar'!$M$341&lt;=VAL_DATE)=0,"",'Dvd Calendar'!$M$341*1000000000+ISNUMBER('Dvd Calendar'!$M$344)*100000000+('Dvd Calendar'!$M$346=SPECIAL_LBL)*10000000+0*1000000+31*1000+9))</f>
        <v/>
      </c>
      <c r="EN42" s="35">
        <f>IF(N('Dvd Calendar'!$N$341)=0,"",IF(('Dvd Calendar'!$N$341&gt;=GRID_FROM)*('Dvd Calendar'!$N$341&lt;=GRID_TO)*('Dvd Calendar'!$N$341&lt;=VAL_DATE)=0,"",'Dvd Calendar'!$N$341*1000000000+ISNUMBER('Dvd Calendar'!$N$344)*100000000+('Dvd Calendar'!$N$346=SPECIAL_LBL)*10000000+0*1000000+31*1000+10))</f>
        <v/>
      </c>
      <c r="EO42" s="35">
        <f>IF(N('Dvd Calendar'!$O$341)=0,"",IF(('Dvd Calendar'!$O$341&gt;=GRID_FROM)*('Dvd Calendar'!$O$341&lt;=GRID_TO)*('Dvd Calendar'!$O$341&lt;=VAL_DATE)=0,"",'Dvd Calendar'!$O$341*1000000000+ISNUMBER('Dvd Calendar'!$O$344)*100000000+('Dvd Calendar'!$O$346=SPECIAL_LBL)*10000000+0*1000000+31*1000+11))</f>
        <v/>
      </c>
      <c r="EP42" s="35">
        <f>IF(N('Dvd Calendar'!$P$341)=0,"",IF(('Dvd Calendar'!$P$341&gt;=GRID_FROM)*('Dvd Calendar'!$P$341&lt;=GRID_TO)*('Dvd Calendar'!$P$341&lt;=VAL_DATE)=0,"",'Dvd Calendar'!$P$341*1000000000+ISNUMBER('Dvd Calendar'!$P$344)*100000000+('Dvd Calendar'!$P$346=SPECIAL_LBL)*10000000+0*1000000+31*1000+12))</f>
        <v/>
      </c>
      <c r="EQ42" s="35">
        <f>IF(N('Dvd Calendar'!$Q$341)=0,"",IF(('Dvd Calendar'!$Q$341&gt;=GRID_FROM)*('Dvd Calendar'!$Q$341&lt;=GRID_TO)*('Dvd Calendar'!$Q$341&lt;=VAL_DATE)=0,"",'Dvd Calendar'!$Q$341*1000000000+ISNUMBER('Dvd Calendar'!$Q$344)*100000000+('Dvd Calendar'!$Q$346=SPECIAL_LBL)*10000000+0*1000000+31*1000+13))</f>
        <v/>
      </c>
      <c r="ER42" s="35">
        <f>IF(N('Dvd Calendar'!$R$341)=0,"",IF(('Dvd Calendar'!$R$341&gt;=GRID_FROM)*('Dvd Calendar'!$R$341&lt;=GRID_TO)*('Dvd Calendar'!$R$341&lt;=VAL_DATE)=0,"",'Dvd Calendar'!$R$341*1000000000+ISNUMBER('Dvd Calendar'!$R$344)*100000000+('Dvd Calendar'!$R$346=SPECIAL_LBL)*10000000+0*1000000+31*1000+14))</f>
        <v/>
      </c>
      <c r="ES42" s="35">
        <f>IF(N('Dvd Calendar'!$S$341)=0,"",IF(('Dvd Calendar'!$S$341&gt;=GRID_FROM)*('Dvd Calendar'!$S$341&lt;=GRID_TO)*('Dvd Calendar'!$S$341&lt;=VAL_DATE)=0,"",'Dvd Calendar'!$S$341*1000000000+ISNUMBER('Dvd Calendar'!$S$344)*100000000+('Dvd Calendar'!$S$346=SPECIAL_LBL)*10000000+0*1000000+31*1000+15))</f>
        <v/>
      </c>
      <c r="ET42" s="35">
        <f>IF(N('Dvd Calendar'!$T$341)=0,"",IF(('Dvd Calendar'!$T$341&gt;=GRID_FROM)*('Dvd Calendar'!$T$341&lt;=GRID_TO)*('Dvd Calendar'!$T$341&lt;=VAL_DATE)=0,"",'Dvd Calendar'!$T$341*1000000000+ISNUMBER('Dvd Calendar'!$T$344)*100000000+('Dvd Calendar'!$T$346=SPECIAL_LBL)*10000000+0*1000000+31*1000+16))</f>
        <v/>
      </c>
      <c r="EU42" s="35">
        <f>IF(N('Dvd Calendar'!$U$341)=0,"",IF(('Dvd Calendar'!$U$341&gt;=GRID_FROM)*('Dvd Calendar'!$U$341&lt;=GRID_TO)*('Dvd Calendar'!$U$341&lt;=VAL_DATE)=0,"",'Dvd Calendar'!$U$341*1000000000+ISNUMBER('Dvd Calendar'!$U$344)*100000000+('Dvd Calendar'!$U$346=SPECIAL_LBL)*10000000+0*1000000+31*1000+17))</f>
        <v/>
      </c>
      <c r="EV42" s="35">
        <f>IF(N('Dvd Calendar'!$V$341)=0,"",IF(('Dvd Calendar'!$V$341&gt;=GRID_FROM)*('Dvd Calendar'!$V$341&lt;=GRID_TO)*('Dvd Calendar'!$V$341&lt;=VAL_DATE)=0,"",'Dvd Calendar'!$V$341*1000000000+ISNUMBER('Dvd Calendar'!$V$344)*100000000+('Dvd Calendar'!$V$346=SPECIAL_LBL)*10000000+0*1000000+31*1000+18))</f>
        <v/>
      </c>
      <c r="EW42" s="35">
        <f>IF(N('Dvd Calendar'!$W$341)=0,"",IF(('Dvd Calendar'!$W$341&gt;=GRID_FROM)*('Dvd Calendar'!$W$341&lt;=GRID_TO)*('Dvd Calendar'!$W$341&lt;=VAL_DATE)=0,"",'Dvd Calendar'!$W$341*1000000000+ISNUMBER('Dvd Calendar'!$W$344)*100000000+('Dvd Calendar'!$W$346=SPECIAL_LBL)*10000000+0*1000000+31*1000+19))</f>
        <v/>
      </c>
      <c r="EX42" s="35">
        <f>IF(N('Dvd Calendar'!$X$341)=0,"",IF(('Dvd Calendar'!$X$341&gt;=GRID_FROM)*('Dvd Calendar'!$X$341&lt;=GRID_TO)*('Dvd Calendar'!$X$341&lt;=VAL_DATE)=0,"",'Dvd Calendar'!$X$341*1000000000+ISNUMBER('Dvd Calendar'!$X$344)*100000000+('Dvd Calendar'!$X$346=SPECIAL_LBL)*10000000+0*1000000+31*1000+20))</f>
        <v/>
      </c>
      <c r="EY42" s="35">
        <f>IF(N('Dvd Calendar'!$Y$341)=0,"",IF(('Dvd Calendar'!$Y$341&gt;=GRID_FROM)*('Dvd Calendar'!$Y$341&lt;=GRID_TO)*('Dvd Calendar'!$Y$341&lt;=VAL_DATE)=0,"",'Dvd Calendar'!$Y$341*1000000000+ISNUMBER('Dvd Calendar'!$Y$344)*100000000+('Dvd Calendar'!$Y$346=SPECIAL_LBL)*10000000+0*1000000+31*1000+21))</f>
        <v/>
      </c>
      <c r="EZ42" s="35">
        <f>IF(N('Dvd Calendar'!$Z$341)=0,"",IF(('Dvd Calendar'!$Z$341&gt;=GRID_FROM)*('Dvd Calendar'!$Z$341&lt;=GRID_TO)*('Dvd Calendar'!$Z$341&lt;=VAL_DATE)=0,"",'Dvd Calendar'!$Z$341*1000000000+ISNUMBER('Dvd Calendar'!$Z$344)*100000000+('Dvd Calendar'!$Z$346=SPECIAL_LBL)*10000000+0*1000000+31*1000+22))</f>
        <v/>
      </c>
      <c r="FA42" s="35">
        <f>IF(N('Dvd Calendar'!$AA$341)=0,"",IF(('Dvd Calendar'!$AA$341&gt;=GRID_FROM)*('Dvd Calendar'!$AA$341&lt;=GRID_TO)*('Dvd Calendar'!$AA$341&lt;=VAL_DATE)=0,"",'Dvd Calendar'!$AA$341*1000000000+ISNUMBER('Dvd Calendar'!$AA$344)*100000000+('Dvd Calendar'!$AA$346=SPECIAL_LBL)*10000000+0*1000000+31*1000+23))</f>
        <v/>
      </c>
      <c r="FB42" s="35">
        <f>IF(N('Dvd Calendar'!$AB$341)=0,"",IF(('Dvd Calendar'!$AB$341&gt;=GRID_FROM)*('Dvd Calendar'!$AB$341&lt;=GRID_TO)*('Dvd Calendar'!$AB$341&lt;=VAL_DATE)=0,"",'Dvd Calendar'!$AB$341*1000000000+ISNUMBER('Dvd Calendar'!$AB$344)*100000000+('Dvd Calendar'!$AB$346=SPECIAL_LBL)*10000000+0*1000000+31*1000+24))</f>
        <v/>
      </c>
      <c r="FC42" s="35">
        <f>IF(N('Dvd Calendar'!$AC$341)=0,"",IF(('Dvd Calendar'!$AC$341&gt;=GRID_FROM)*('Dvd Calendar'!$AC$341&lt;=GRID_TO)*('Dvd Calendar'!$AC$341&lt;=VAL_DATE)=0,"",'Dvd Calendar'!$AC$341*1000000000+ISNUMBER('Dvd Calendar'!$AC$344)*100000000+('Dvd Calendar'!$AC$346=SPECIAL_LBL)*10000000+0*1000000+31*1000+25))</f>
        <v/>
      </c>
      <c r="FD42" s="35">
        <f>IF(N('Dvd Calendar'!$AD$341)=0,"",IF(('Dvd Calendar'!$AD$341&gt;=GRID_FROM)*('Dvd Calendar'!$AD$341&lt;=GRID_TO)*('Dvd Calendar'!$AD$341&lt;=VAL_DATE)=0,"",'Dvd Calendar'!$AD$341*1000000000+ISNUMBER('Dvd Calendar'!$AD$344)*100000000+('Dvd Calendar'!$AD$346=SPECIAL_LBL)*10000000+0*1000000+31*1000+26))</f>
        <v/>
      </c>
      <c r="FE42" s="35">
        <f>IF(N('Dvd Calendar'!$AE$341)=0,"",IF(('Dvd Calendar'!$AE$341&gt;=GRID_FROM)*('Dvd Calendar'!$AE$341&lt;=GRID_TO)*('Dvd Calendar'!$AE$341&lt;=VAL_DATE)=0,"",'Dvd Calendar'!$AE$341*1000000000+ISNUMBER('Dvd Calendar'!$AE$344)*100000000+('Dvd Calendar'!$AE$346=SPECIAL_LBL)*10000000+0*1000000+31*1000+27))</f>
        <v/>
      </c>
      <c r="FF42" s="35">
        <f>IF(N('Dvd Calendar'!$AF$341)=0,"",IF(('Dvd Calendar'!$AF$341&gt;=GRID_FROM)*('Dvd Calendar'!$AF$341&lt;=GRID_TO)*('Dvd Calendar'!$AF$341&lt;=VAL_DATE)=0,"",'Dvd Calendar'!$AF$341*1000000000+ISNUMBER('Dvd Calendar'!$AF$344)*100000000+('Dvd Calendar'!$AF$346=SPECIAL_LBL)*10000000+0*1000000+31*1000+28))</f>
        <v/>
      </c>
      <c r="FG42" s="35">
        <f>IF(N('Dvd Calendar'!$AG$341)=0,"",IF(('Dvd Calendar'!$AG$341&gt;=GRID_FROM)*('Dvd Calendar'!$AG$341&lt;=GRID_TO)*('Dvd Calendar'!$AG$341&lt;=VAL_DATE)=0,"",'Dvd Calendar'!$AG$341*1000000000+ISNUMBER('Dvd Calendar'!$AG$344)*100000000+('Dvd Calendar'!$AG$346=SPECIAL_LBL)*10000000+0*1000000+31*1000+29))</f>
        <v/>
      </c>
      <c r="FH42" s="35">
        <f>IF(N('Dvd Calendar'!$AH$341)=0,"",IF(('Dvd Calendar'!$AH$341&gt;=GRID_FROM)*('Dvd Calendar'!$AH$341&lt;=GRID_TO)*('Dvd Calendar'!$AH$341&lt;=VAL_DATE)=0,"",'Dvd Calendar'!$AH$341*1000000000+ISNUMBER('Dvd Calendar'!$AH$344)*100000000+('Dvd Calendar'!$AH$346=SPECIAL_LBL)*10000000+0*1000000+31*1000+30))</f>
        <v/>
      </c>
      <c r="FI42" s="35">
        <f>IF(N('Dvd Calendar'!$AI$341)=0,"",IF(('Dvd Calendar'!$AI$341&gt;=GRID_FROM)*('Dvd Calendar'!$AI$341&lt;=GRID_TO)*('Dvd Calendar'!$AI$341&lt;=VAL_DATE)=0,"",'Dvd Calendar'!$AI$341*1000000000+ISNUMBER('Dvd Calendar'!$AI$344)*100000000+('Dvd Calendar'!$AI$346=SPECIAL_LBL)*10000000+0*1000000+31*1000+31))</f>
        <v/>
      </c>
      <c r="FJ42" s="35">
        <f>IF(N('Dvd Calendar'!$AJ$341)=0,"",IF(('Dvd Calendar'!$AJ$341&gt;=GRID_FROM)*('Dvd Calendar'!$AJ$341&lt;=GRID_TO)*('Dvd Calendar'!$AJ$341&lt;=VAL_DATE)=0,"",'Dvd Calendar'!$AJ$341*1000000000+ISNUMBER('Dvd Calendar'!$AJ$344)*100000000+('Dvd Calendar'!$AJ$346=SPECIAL_LBL)*10000000+0*1000000+31*1000+32))</f>
        <v/>
      </c>
      <c r="FK42" s="35">
        <f>IF(N('Dvd Calendar'!$AK$341)=0,"",IF(('Dvd Calendar'!$AK$341&gt;=GRID_FROM)*('Dvd Calendar'!$AK$341&lt;=GRID_TO)*('Dvd Calendar'!$AK$341&lt;=VAL_DATE)=0,"",'Dvd Calendar'!$AK$341*1000000000+ISNUMBER('Dvd Calendar'!$AK$344)*100000000+('Dvd Calendar'!$AK$346=SPECIAL_LBL)*10000000+0*1000000+31*1000+33))</f>
        <v/>
      </c>
      <c r="FL42" s="35">
        <f>IF(N('Dvd Calendar'!$AL$341)=0,"",IF(('Dvd Calendar'!$AL$341&gt;=GRID_FROM)*('Dvd Calendar'!$AL$341&lt;=GRID_TO)*('Dvd Calendar'!$AL$341&lt;=VAL_DATE)=0,"",'Dvd Calendar'!$AL$341*1000000000+ISNUMBER('Dvd Calendar'!$AL$344)*100000000+('Dvd Calendar'!$AL$346=SPECIAL_LBL)*10000000+0*1000000+31*1000+34))</f>
        <v/>
      </c>
      <c r="FM42" s="35">
        <f>IF(N('Dvd Calendar'!$AM$341)=0,"",IF(('Dvd Calendar'!$AM$341&gt;=GRID_FROM)*('Dvd Calendar'!$AM$341&lt;=GRID_TO)*('Dvd Calendar'!$AM$341&lt;=VAL_DATE)=0,"",'Dvd Calendar'!$AM$341*1000000000+ISNUMBER('Dvd Calendar'!$AM$344)*100000000+('Dvd Calendar'!$AM$346=SPECIAL_LBL)*10000000+0*1000000+31*1000+35))</f>
        <v/>
      </c>
      <c r="FN42" s="35">
        <f>IF(N('Dvd Calendar'!$AN$341)=0,"",IF(('Dvd Calendar'!$AN$341&gt;=GRID_FROM)*('Dvd Calendar'!$AN$341&lt;=GRID_TO)*('Dvd Calendar'!$AN$341&lt;=VAL_DATE)=0,"",'Dvd Calendar'!$AN$341*1000000000+ISNUMBER('Dvd Calendar'!$AN$344)*100000000+('Dvd Calendar'!$AN$346=SPECIAL_LBL)*10000000+0*1000000+31*1000+36))</f>
        <v/>
      </c>
      <c r="FO42" s="35">
        <f>IF(N('Dvd Calendar'!$AO$341)=0,"",IF(('Dvd Calendar'!$AO$341&gt;=GRID_FROM)*('Dvd Calendar'!$AO$341&lt;=GRID_TO)*('Dvd Calendar'!$AO$341&lt;=VAL_DATE)=0,"",'Dvd Calendar'!$AO$341*1000000000+ISNUMBER('Dvd Calendar'!$AO$344)*100000000+('Dvd Calendar'!$AO$346=SPECIAL_LBL)*10000000+0*1000000+31*1000+37))</f>
        <v/>
      </c>
      <c r="FP42" s="35">
        <f>IF(N('Dvd Calendar'!$AP$341)=0,"",IF(('Dvd Calendar'!$AP$341&gt;=GRID_FROM)*('Dvd Calendar'!$AP$341&lt;=GRID_TO)*('Dvd Calendar'!$AP$341&lt;=VAL_DATE)=0,"",'Dvd Calendar'!$AP$341*1000000000+ISNUMBER('Dvd Calendar'!$AP$344)*100000000+('Dvd Calendar'!$AP$346=SPECIAL_LBL)*10000000+0*1000000+31*1000+38))</f>
        <v/>
      </c>
      <c r="FQ42" s="35">
        <f>IF(N('Dvd Calendar'!$AQ$341)=0,"",IF(('Dvd Calendar'!$AQ$341&gt;=GRID_FROM)*('Dvd Calendar'!$AQ$341&lt;=GRID_TO)*('Dvd Calendar'!$AQ$341&lt;=VAL_DATE)=0,"",'Dvd Calendar'!$AQ$341*1000000000+ISNUMBER('Dvd Calendar'!$AQ$344)*100000000+('Dvd Calendar'!$AQ$346=SPECIAL_LBL)*10000000+0*1000000+31*1000+39))</f>
        <v/>
      </c>
      <c r="FR42" s="35">
        <f>IF(N('Dvd Calendar'!$AR$341)=0,"",IF(('Dvd Calendar'!$AR$341&gt;=GRID_FROM)*('Dvd Calendar'!$AR$341&lt;=GRID_TO)*('Dvd Calendar'!$AR$341&lt;=VAL_DATE)=0,"",'Dvd Calendar'!$AR$341*1000000000+ISNUMBER('Dvd Calendar'!$AR$344)*100000000+('Dvd Calendar'!$AR$346=SPECIAL_LBL)*10000000+0*1000000+31*1000+40))</f>
        <v/>
      </c>
      <c r="FS42" s="35">
        <f>IF(N('Dvd Calendar'!$E$348)=0,"",IF(('Dvd Calendar'!$E$348&gt;=GRID_FROM)*('Dvd Calendar'!$E$348&lt;=GRID_TO)*('Dvd Calendar'!$E$348&gt;VAL_DATE)=0,"",'Dvd Calendar'!$E$348*1000000000+ISNUMBER('Dvd Calendar'!$E$349)*100000000+0*10000000+(N('Dvd Calendar'!$E$347)&gt;0)*(N('Dvd Calendar'!$E$347)&lt;=VAL_SERIAL)*1000000+31*1000+41))</f>
        <v/>
      </c>
      <c r="FT42" s="35">
        <f>IF(N('Dvd Calendar'!$F$348)=0,"",IF(('Dvd Calendar'!$F$348&gt;=GRID_FROM)*('Dvd Calendar'!$F$348&lt;=GRID_TO)*('Dvd Calendar'!$F$348&gt;VAL_DATE)=0,"",'Dvd Calendar'!$F$348*1000000000+ISNUMBER('Dvd Calendar'!$F$349)*100000000+0*10000000+(N('Dvd Calendar'!$F$347)&gt;0)*(N('Dvd Calendar'!$F$347)&lt;=VAL_SERIAL)*1000000+31*1000+42))</f>
        <v/>
      </c>
      <c r="FU42" s="35">
        <f>IF(N('Dvd Calendar'!$G$348)=0,"",IF(('Dvd Calendar'!$G$348&gt;=GRID_FROM)*('Dvd Calendar'!$G$348&lt;=GRID_TO)*('Dvd Calendar'!$G$348&gt;VAL_DATE)=0,"",'Dvd Calendar'!$G$348*1000000000+ISNUMBER('Dvd Calendar'!$G$349)*100000000+0*10000000+(N('Dvd Calendar'!$G$347)&gt;0)*(N('Dvd Calendar'!$G$347)&lt;=VAL_SERIAL)*1000000+31*1000+43))</f>
        <v/>
      </c>
      <c r="FV42" s="35">
        <f>IF(N('Dvd Calendar'!$H$348)=0,"",IF(('Dvd Calendar'!$H$348&gt;=GRID_FROM)*('Dvd Calendar'!$H$348&lt;=GRID_TO)*('Dvd Calendar'!$H$348&gt;VAL_DATE)=0,"",'Dvd Calendar'!$H$348*1000000000+ISNUMBER('Dvd Calendar'!$H$349)*100000000+0*10000000+(N('Dvd Calendar'!$H$347)&gt;0)*(N('Dvd Calendar'!$H$347)&lt;=VAL_SERIAL)*1000000+31*1000+44))</f>
        <v/>
      </c>
      <c r="FW42" s="35">
        <f>IF(N('Dvd Calendar'!$I$348)=0,"",IF(('Dvd Calendar'!$I$348&gt;=GRID_FROM)*('Dvd Calendar'!$I$348&lt;=GRID_TO)*('Dvd Calendar'!$I$348&gt;VAL_DATE)=0,"",'Dvd Calendar'!$I$348*1000000000+ISNUMBER('Dvd Calendar'!$I$349)*100000000+0*10000000+(N('Dvd Calendar'!$I$347)&gt;0)*(N('Dvd Calendar'!$I$347)&lt;=VAL_SERIAL)*1000000+31*1000+45))</f>
        <v/>
      </c>
      <c r="FX42" s="35">
        <f>IF(N('Dvd Calendar'!$J$348)=0,"",IF(('Dvd Calendar'!$J$348&gt;=GRID_FROM)*('Dvd Calendar'!$J$348&lt;=GRID_TO)*('Dvd Calendar'!$J$348&gt;VAL_DATE)=0,"",'Dvd Calendar'!$J$348*1000000000+ISNUMBER('Dvd Calendar'!$J$349)*100000000+0*10000000+(N('Dvd Calendar'!$J$347)&gt;0)*(N('Dvd Calendar'!$J$347)&lt;=VAL_SERIAL)*1000000+31*1000+46))</f>
        <v/>
      </c>
      <c r="FY42" s="35">
        <f>IF(N('Dvd Calendar'!$K$348)=0,"",IF(('Dvd Calendar'!$K$348&gt;=GRID_FROM)*('Dvd Calendar'!$K$348&lt;=GRID_TO)*('Dvd Calendar'!$K$348&gt;VAL_DATE)=0,"",'Dvd Calendar'!$K$348*1000000000+ISNUMBER('Dvd Calendar'!$K$349)*100000000+0*10000000+(N('Dvd Calendar'!$K$347)&gt;0)*(N('Dvd Calendar'!$K$347)&lt;=VAL_SERIAL)*1000000+31*1000+47))</f>
        <v/>
      </c>
      <c r="FZ42" s="35">
        <f>IF(N('Dvd Calendar'!$L$348)=0,"",IF(('Dvd Calendar'!$L$348&gt;=GRID_FROM)*('Dvd Calendar'!$L$348&lt;=GRID_TO)*('Dvd Calendar'!$L$348&gt;VAL_DATE)=0,"",'Dvd Calendar'!$L$348*1000000000+ISNUMBER('Dvd Calendar'!$L$349)*100000000+0*10000000+(N('Dvd Calendar'!$L$347)&gt;0)*(N('Dvd Calendar'!$L$347)&lt;=VAL_SERIAL)*1000000+31*1000+48))</f>
        <v/>
      </c>
      <c r="GA42" s="35">
        <f>IF(N('Dvd Calendar'!$M$348)=0,"",IF(('Dvd Calendar'!$M$348&gt;=GRID_FROM)*('Dvd Calendar'!$M$348&lt;=GRID_TO)*('Dvd Calendar'!$M$348&gt;VAL_DATE)=0,"",'Dvd Calendar'!$M$348*1000000000+ISNUMBER('Dvd Calendar'!$M$349)*100000000+0*10000000+(N('Dvd Calendar'!$M$347)&gt;0)*(N('Dvd Calendar'!$M$347)&lt;=VAL_SERIAL)*1000000+31*1000+49))</f>
        <v/>
      </c>
      <c r="GB42" s="35">
        <f>IF(N('Dvd Calendar'!$N$348)=0,"",IF(('Dvd Calendar'!$N$348&gt;=GRID_FROM)*('Dvd Calendar'!$N$348&lt;=GRID_TO)*('Dvd Calendar'!$N$348&gt;VAL_DATE)=0,"",'Dvd Calendar'!$N$348*1000000000+ISNUMBER('Dvd Calendar'!$N$349)*100000000+0*10000000+(N('Dvd Calendar'!$N$347)&gt;0)*(N('Dvd Calendar'!$N$347)&lt;=VAL_SERIAL)*1000000+31*1000+50))</f>
        <v/>
      </c>
      <c r="GC42" s="35">
        <f>IF(N('Dvd Calendar'!$O$348)=0,"",IF(('Dvd Calendar'!$O$348&gt;=GRID_FROM)*('Dvd Calendar'!$O$348&lt;=GRID_TO)*('Dvd Calendar'!$O$348&gt;VAL_DATE)=0,"",'Dvd Calendar'!$O$348*1000000000+ISNUMBER('Dvd Calendar'!$O$349)*100000000+0*10000000+(N('Dvd Calendar'!$O$347)&gt;0)*(N('Dvd Calendar'!$O$347)&lt;=VAL_SERIAL)*1000000+31*1000+51))</f>
        <v/>
      </c>
      <c r="GD42" s="35">
        <f>IF(N('Dvd Calendar'!$P$348)=0,"",IF(('Dvd Calendar'!$P$348&gt;=GRID_FROM)*('Dvd Calendar'!$P$348&lt;=GRID_TO)*('Dvd Calendar'!$P$348&gt;VAL_DATE)=0,"",'Dvd Calendar'!$P$348*1000000000+ISNUMBER('Dvd Calendar'!$P$349)*100000000+0*10000000+(N('Dvd Calendar'!$P$347)&gt;0)*(N('Dvd Calendar'!$P$347)&lt;=VAL_SERIAL)*1000000+31*1000+52))</f>
        <v/>
      </c>
      <c r="GE42" s="35">
        <f>IF(N('Dvd Calendar'!$Q$348)=0,"",IF(('Dvd Calendar'!$Q$348&gt;=GRID_FROM)*('Dvd Calendar'!$Q$348&lt;=GRID_TO)*('Dvd Calendar'!$Q$348&gt;VAL_DATE)=0,"",'Dvd Calendar'!$Q$348*1000000000+ISNUMBER('Dvd Calendar'!$Q$349)*100000000+0*10000000+(N('Dvd Calendar'!$Q$347)&gt;0)*(N('Dvd Calendar'!$Q$347)&lt;=VAL_SERIAL)*1000000+31*1000+53))</f>
        <v/>
      </c>
      <c r="GF42" s="35">
        <f>IF(N('Dvd Calendar'!$R$348)=0,"",IF(('Dvd Calendar'!$R$348&gt;=GRID_FROM)*('Dvd Calendar'!$R$348&lt;=GRID_TO)*('Dvd Calendar'!$R$348&gt;VAL_DATE)=0,"",'Dvd Calendar'!$R$348*1000000000+ISNUMBER('Dvd Calendar'!$R$349)*100000000+0*10000000+(N('Dvd Calendar'!$R$347)&gt;0)*(N('Dvd Calendar'!$R$347)&lt;=VAL_SERIAL)*1000000+31*1000+54))</f>
        <v/>
      </c>
      <c r="GG42" s="35">
        <f>IF(N('Dvd Calendar'!$S$348)=0,"",IF(('Dvd Calendar'!$S$348&gt;=GRID_FROM)*('Dvd Calendar'!$S$348&lt;=GRID_TO)*('Dvd Calendar'!$S$348&gt;VAL_DATE)=0,"",'Dvd Calendar'!$S$348*1000000000+ISNUMBER('Dvd Calendar'!$S$349)*100000000+0*10000000+(N('Dvd Calendar'!$S$347)&gt;0)*(N('Dvd Calendar'!$S$347)&lt;=VAL_SERIAL)*1000000+31*1000+55))</f>
        <v/>
      </c>
      <c r="GH42" s="35">
        <f>IF(N('Dvd Calendar'!$T$348)=0,"",IF(('Dvd Calendar'!$T$348&gt;=GRID_FROM)*('Dvd Calendar'!$T$348&lt;=GRID_TO)*('Dvd Calendar'!$T$348&gt;VAL_DATE)=0,"",'Dvd Calendar'!$T$348*1000000000+ISNUMBER('Dvd Calendar'!$T$349)*100000000+0*10000000+(N('Dvd Calendar'!$T$347)&gt;0)*(N('Dvd Calendar'!$T$347)&lt;=VAL_SERIAL)*1000000+31*1000+56))</f>
        <v/>
      </c>
      <c r="GI42" s="35">
        <f>IF(N('Dvd Calendar'!$U$348)=0,"",IF(('Dvd Calendar'!$U$348&gt;=GRID_FROM)*('Dvd Calendar'!$U$348&lt;=GRID_TO)*('Dvd Calendar'!$U$348&gt;VAL_DATE)=0,"",'Dvd Calendar'!$U$348*1000000000+ISNUMBER('Dvd Calendar'!$U$349)*100000000+0*10000000+(N('Dvd Calendar'!$U$347)&gt;0)*(N('Dvd Calendar'!$U$347)&lt;=VAL_SERIAL)*1000000+31*1000+57))</f>
        <v/>
      </c>
      <c r="GJ42" s="35">
        <f>IF(N('Dvd Calendar'!$V$348)=0,"",IF(('Dvd Calendar'!$V$348&gt;=GRID_FROM)*('Dvd Calendar'!$V$348&lt;=GRID_TO)*('Dvd Calendar'!$V$348&gt;VAL_DATE)=0,"",'Dvd Calendar'!$V$348*1000000000+ISNUMBER('Dvd Calendar'!$V$349)*100000000+0*10000000+(N('Dvd Calendar'!$V$347)&gt;0)*(N('Dvd Calendar'!$V$347)&lt;=VAL_SERIAL)*1000000+31*1000+58))</f>
        <v/>
      </c>
      <c r="GK42" s="35">
        <f>IF(N('Dvd Calendar'!$W$348)=0,"",IF(('Dvd Calendar'!$W$348&gt;=GRID_FROM)*('Dvd Calendar'!$W$348&lt;=GRID_TO)*('Dvd Calendar'!$W$348&gt;VAL_DATE)=0,"",'Dvd Calendar'!$W$348*1000000000+ISNUMBER('Dvd Calendar'!$W$349)*100000000+0*10000000+(N('Dvd Calendar'!$W$347)&gt;0)*(N('Dvd Calendar'!$W$347)&lt;=VAL_SERIAL)*1000000+31*1000+59))</f>
        <v/>
      </c>
      <c r="GL42" s="35">
        <f>IF(N('Dvd Calendar'!$X$348)=0,"",IF(('Dvd Calendar'!$X$348&gt;=GRID_FROM)*('Dvd Calendar'!$X$348&lt;=GRID_TO)*('Dvd Calendar'!$X$348&gt;VAL_DATE)=0,"",'Dvd Calendar'!$X$348*1000000000+ISNUMBER('Dvd Calendar'!$X$349)*100000000+0*10000000+(N('Dvd Calendar'!$X$347)&gt;0)*(N('Dvd Calendar'!$X$347)&lt;=VAL_SERIAL)*1000000+31*1000+60))</f>
        <v/>
      </c>
      <c r="GM42" s="35">
        <f>IF(N('Dvd Calendar'!$Y$348)=0,"",IF(('Dvd Calendar'!$Y$348&gt;=GRID_FROM)*('Dvd Calendar'!$Y$348&lt;=GRID_TO)*('Dvd Calendar'!$Y$348&gt;VAL_DATE)=0,"",'Dvd Calendar'!$Y$348*1000000000+ISNUMBER('Dvd Calendar'!$Y$349)*100000000+0*10000000+(N('Dvd Calendar'!$Y$347)&gt;0)*(N('Dvd Calendar'!$Y$347)&lt;=VAL_SERIAL)*1000000+31*1000+61))</f>
        <v/>
      </c>
      <c r="GN42" s="35">
        <f>IF(N('Dvd Calendar'!$Z$348)=0,"",IF(('Dvd Calendar'!$Z$348&gt;=GRID_FROM)*('Dvd Calendar'!$Z$348&lt;=GRID_TO)*('Dvd Calendar'!$Z$348&gt;VAL_DATE)=0,"",'Dvd Calendar'!$Z$348*1000000000+ISNUMBER('Dvd Calendar'!$Z$349)*100000000+0*10000000+(N('Dvd Calendar'!$Z$347)&gt;0)*(N('Dvd Calendar'!$Z$347)&lt;=VAL_SERIAL)*1000000+31*1000+62))</f>
        <v/>
      </c>
      <c r="GO42" s="35">
        <f>IF(N('Dvd Calendar'!$AA$348)=0,"",IF(('Dvd Calendar'!$AA$348&gt;=GRID_FROM)*('Dvd Calendar'!$AA$348&lt;=GRID_TO)*('Dvd Calendar'!$AA$348&gt;VAL_DATE)=0,"",'Dvd Calendar'!$AA$348*1000000000+ISNUMBER('Dvd Calendar'!$AA$349)*100000000+0*10000000+(N('Dvd Calendar'!$AA$347)&gt;0)*(N('Dvd Calendar'!$AA$347)&lt;=VAL_SERIAL)*1000000+31*1000+63))</f>
        <v/>
      </c>
      <c r="GP42" s="35">
        <f>IF(N('Dvd Calendar'!$AB$348)=0,"",IF(('Dvd Calendar'!$AB$348&gt;=GRID_FROM)*('Dvd Calendar'!$AB$348&lt;=GRID_TO)*('Dvd Calendar'!$AB$348&gt;VAL_DATE)=0,"",'Dvd Calendar'!$AB$348*1000000000+ISNUMBER('Dvd Calendar'!$AB$349)*100000000+0*10000000+(N('Dvd Calendar'!$AB$347)&gt;0)*(N('Dvd Calendar'!$AB$347)&lt;=VAL_SERIAL)*1000000+31*1000+64))</f>
        <v/>
      </c>
      <c r="GQ42" s="35">
        <f>IF(N('Dvd Calendar'!$AC$348)=0,"",IF(('Dvd Calendar'!$AC$348&gt;=GRID_FROM)*('Dvd Calendar'!$AC$348&lt;=GRID_TO)*('Dvd Calendar'!$AC$348&gt;VAL_DATE)=0,"",'Dvd Calendar'!$AC$348*1000000000+ISNUMBER('Dvd Calendar'!$AC$349)*100000000+0*10000000+(N('Dvd Calendar'!$AC$347)&gt;0)*(N('Dvd Calendar'!$AC$347)&lt;=VAL_SERIAL)*1000000+31*1000+65))</f>
        <v/>
      </c>
    </row>
    <row r="43">
      <c r="B43" s="2">
        <f>IF(HSI!$C$38="","",HSI!$C$38)</f>
        <v/>
      </c>
      <c r="C43" s="106">
        <f>IF(EE43="","",IF(ISNUMBER('Dvd Calendar'!$E$355)=FALSE,"",IF((('Dvd Calendar'!$E$357=TYPE1)*(TYPE1&lt;&gt;"")+('Dvd Calendar'!$E$357=TYPE2)*(TYPE2&lt;&gt;"")+('Dvd Calendar'!$E$357=TYPE3)*(TYPE3&lt;&gt;"")+('Dvd Calendar'!$E$357=TYPE4)*(TYPE4&lt;&gt;"")+('Dvd Calendar'!$E$357=SPECIAL_LBL)*(INC_SPECIALS="Y"))=0,"",'Dvd Calendar'!$E$355)))</f>
        <v/>
      </c>
      <c r="D43" s="106">
        <f>IF(EF43="","",IF(ISNUMBER('Dvd Calendar'!$F$355)=FALSE,"",IF((('Dvd Calendar'!$F$357=TYPE1)*(TYPE1&lt;&gt;"")+('Dvd Calendar'!$F$357=TYPE2)*(TYPE2&lt;&gt;"")+('Dvd Calendar'!$F$357=TYPE3)*(TYPE3&lt;&gt;"")+('Dvd Calendar'!$F$357=TYPE4)*(TYPE4&lt;&gt;"")+('Dvd Calendar'!$F$357=SPECIAL_LBL)*(INC_SPECIALS="Y"))=0,"",'Dvd Calendar'!$F$355)))</f>
        <v/>
      </c>
      <c r="E43" s="106">
        <f>IF(EG43="","",IF(ISNUMBER('Dvd Calendar'!$G$355)=FALSE,"",IF((('Dvd Calendar'!$G$357=TYPE1)*(TYPE1&lt;&gt;"")+('Dvd Calendar'!$G$357=TYPE2)*(TYPE2&lt;&gt;"")+('Dvd Calendar'!$G$357=TYPE3)*(TYPE3&lt;&gt;"")+('Dvd Calendar'!$G$357=TYPE4)*(TYPE4&lt;&gt;"")+('Dvd Calendar'!$G$357=SPECIAL_LBL)*(INC_SPECIALS="Y"))=0,"",'Dvd Calendar'!$G$355)))</f>
        <v/>
      </c>
      <c r="F43" s="106">
        <f>IF(EH43="","",IF(ISNUMBER('Dvd Calendar'!$H$355)=FALSE,"",IF((('Dvd Calendar'!$H$357=TYPE1)*(TYPE1&lt;&gt;"")+('Dvd Calendar'!$H$357=TYPE2)*(TYPE2&lt;&gt;"")+('Dvd Calendar'!$H$357=TYPE3)*(TYPE3&lt;&gt;"")+('Dvd Calendar'!$H$357=TYPE4)*(TYPE4&lt;&gt;"")+('Dvd Calendar'!$H$357=SPECIAL_LBL)*(INC_SPECIALS="Y"))=0,"",'Dvd Calendar'!$H$355)))</f>
        <v/>
      </c>
      <c r="G43" s="106">
        <f>IF(EI43="","",IF(ISNUMBER('Dvd Calendar'!$I$355)=FALSE,"",IF((('Dvd Calendar'!$I$357=TYPE1)*(TYPE1&lt;&gt;"")+('Dvd Calendar'!$I$357=TYPE2)*(TYPE2&lt;&gt;"")+('Dvd Calendar'!$I$357=TYPE3)*(TYPE3&lt;&gt;"")+('Dvd Calendar'!$I$357=TYPE4)*(TYPE4&lt;&gt;"")+('Dvd Calendar'!$I$357=SPECIAL_LBL)*(INC_SPECIALS="Y"))=0,"",'Dvd Calendar'!$I$355)))</f>
        <v/>
      </c>
      <c r="H43" s="106">
        <f>IF(EJ43="","",IF(ISNUMBER('Dvd Calendar'!$J$355)=FALSE,"",IF((('Dvd Calendar'!$J$357=TYPE1)*(TYPE1&lt;&gt;"")+('Dvd Calendar'!$J$357=TYPE2)*(TYPE2&lt;&gt;"")+('Dvd Calendar'!$J$357=TYPE3)*(TYPE3&lt;&gt;"")+('Dvd Calendar'!$J$357=TYPE4)*(TYPE4&lt;&gt;"")+('Dvd Calendar'!$J$357=SPECIAL_LBL)*(INC_SPECIALS="Y"))=0,"",'Dvd Calendar'!$J$355)))</f>
        <v/>
      </c>
      <c r="I43" s="106">
        <f>IF(EK43="","",IF(ISNUMBER('Dvd Calendar'!$K$355)=FALSE,"",IF((('Dvd Calendar'!$K$357=TYPE1)*(TYPE1&lt;&gt;"")+('Dvd Calendar'!$K$357=TYPE2)*(TYPE2&lt;&gt;"")+('Dvd Calendar'!$K$357=TYPE3)*(TYPE3&lt;&gt;"")+('Dvd Calendar'!$K$357=TYPE4)*(TYPE4&lt;&gt;"")+('Dvd Calendar'!$K$357=SPECIAL_LBL)*(INC_SPECIALS="Y"))=0,"",'Dvd Calendar'!$K$355)))</f>
        <v/>
      </c>
      <c r="J43" s="106">
        <f>IF(EL43="","",IF(ISNUMBER('Dvd Calendar'!$L$355)=FALSE,"",IF((('Dvd Calendar'!$L$357=TYPE1)*(TYPE1&lt;&gt;"")+('Dvd Calendar'!$L$357=TYPE2)*(TYPE2&lt;&gt;"")+('Dvd Calendar'!$L$357=TYPE3)*(TYPE3&lt;&gt;"")+('Dvd Calendar'!$L$357=TYPE4)*(TYPE4&lt;&gt;"")+('Dvd Calendar'!$L$357=SPECIAL_LBL)*(INC_SPECIALS="Y"))=0,"",'Dvd Calendar'!$L$355)))</f>
        <v/>
      </c>
      <c r="K43" s="106">
        <f>IF(EM43="","",IF(ISNUMBER('Dvd Calendar'!$M$355)=FALSE,"",IF((('Dvd Calendar'!$M$357=TYPE1)*(TYPE1&lt;&gt;"")+('Dvd Calendar'!$M$357=TYPE2)*(TYPE2&lt;&gt;"")+('Dvd Calendar'!$M$357=TYPE3)*(TYPE3&lt;&gt;"")+('Dvd Calendar'!$M$357=TYPE4)*(TYPE4&lt;&gt;"")+('Dvd Calendar'!$M$357=SPECIAL_LBL)*(INC_SPECIALS="Y"))=0,"",'Dvd Calendar'!$M$355)))</f>
        <v/>
      </c>
      <c r="L43" s="106">
        <f>IF(EN43="","",IF(ISNUMBER('Dvd Calendar'!$N$355)=FALSE,"",IF((('Dvd Calendar'!$N$357=TYPE1)*(TYPE1&lt;&gt;"")+('Dvd Calendar'!$N$357=TYPE2)*(TYPE2&lt;&gt;"")+('Dvd Calendar'!$N$357=TYPE3)*(TYPE3&lt;&gt;"")+('Dvd Calendar'!$N$357=TYPE4)*(TYPE4&lt;&gt;"")+('Dvd Calendar'!$N$357=SPECIAL_LBL)*(INC_SPECIALS="Y"))=0,"",'Dvd Calendar'!$N$355)))</f>
        <v/>
      </c>
      <c r="M43" s="106">
        <f>IF(EO43="","",IF(ISNUMBER('Dvd Calendar'!$O$355)=FALSE,"",IF((('Dvd Calendar'!$O$357=TYPE1)*(TYPE1&lt;&gt;"")+('Dvd Calendar'!$O$357=TYPE2)*(TYPE2&lt;&gt;"")+('Dvd Calendar'!$O$357=TYPE3)*(TYPE3&lt;&gt;"")+('Dvd Calendar'!$O$357=TYPE4)*(TYPE4&lt;&gt;"")+('Dvd Calendar'!$O$357=SPECIAL_LBL)*(INC_SPECIALS="Y"))=0,"",'Dvd Calendar'!$O$355)))</f>
        <v/>
      </c>
      <c r="N43" s="106">
        <f>IF(EP43="","",IF(ISNUMBER('Dvd Calendar'!$P$355)=FALSE,"",IF((('Dvd Calendar'!$P$357=TYPE1)*(TYPE1&lt;&gt;"")+('Dvd Calendar'!$P$357=TYPE2)*(TYPE2&lt;&gt;"")+('Dvd Calendar'!$P$357=TYPE3)*(TYPE3&lt;&gt;"")+('Dvd Calendar'!$P$357=TYPE4)*(TYPE4&lt;&gt;"")+('Dvd Calendar'!$P$357=SPECIAL_LBL)*(INC_SPECIALS="Y"))=0,"",'Dvd Calendar'!$P$355)))</f>
        <v/>
      </c>
      <c r="O43" s="106">
        <f>IF(EQ43="","",IF(ISNUMBER('Dvd Calendar'!$Q$355)=FALSE,"",IF((('Dvd Calendar'!$Q$357=TYPE1)*(TYPE1&lt;&gt;"")+('Dvd Calendar'!$Q$357=TYPE2)*(TYPE2&lt;&gt;"")+('Dvd Calendar'!$Q$357=TYPE3)*(TYPE3&lt;&gt;"")+('Dvd Calendar'!$Q$357=TYPE4)*(TYPE4&lt;&gt;"")+('Dvd Calendar'!$Q$357=SPECIAL_LBL)*(INC_SPECIALS="Y"))=0,"",'Dvd Calendar'!$Q$355)))</f>
        <v/>
      </c>
      <c r="P43" s="106">
        <f>IF(ER43="","",IF(ISNUMBER('Dvd Calendar'!$R$355)=FALSE,"",IF((('Dvd Calendar'!$R$357=TYPE1)*(TYPE1&lt;&gt;"")+('Dvd Calendar'!$R$357=TYPE2)*(TYPE2&lt;&gt;"")+('Dvd Calendar'!$R$357=TYPE3)*(TYPE3&lt;&gt;"")+('Dvd Calendar'!$R$357=TYPE4)*(TYPE4&lt;&gt;"")+('Dvd Calendar'!$R$357=SPECIAL_LBL)*(INC_SPECIALS="Y"))=0,"",'Dvd Calendar'!$R$355)))</f>
        <v/>
      </c>
      <c r="Q43" s="106">
        <f>IF(ES43="","",IF(ISNUMBER('Dvd Calendar'!$S$355)=FALSE,"",IF((('Dvd Calendar'!$S$357=TYPE1)*(TYPE1&lt;&gt;"")+('Dvd Calendar'!$S$357=TYPE2)*(TYPE2&lt;&gt;"")+('Dvd Calendar'!$S$357=TYPE3)*(TYPE3&lt;&gt;"")+('Dvd Calendar'!$S$357=TYPE4)*(TYPE4&lt;&gt;"")+('Dvd Calendar'!$S$357=SPECIAL_LBL)*(INC_SPECIALS="Y"))=0,"",'Dvd Calendar'!$S$355)))</f>
        <v/>
      </c>
      <c r="R43" s="106">
        <f>IF(ET43="","",IF(ISNUMBER('Dvd Calendar'!$T$355)=FALSE,"",IF((('Dvd Calendar'!$T$357=TYPE1)*(TYPE1&lt;&gt;"")+('Dvd Calendar'!$T$357=TYPE2)*(TYPE2&lt;&gt;"")+('Dvd Calendar'!$T$357=TYPE3)*(TYPE3&lt;&gt;"")+('Dvd Calendar'!$T$357=TYPE4)*(TYPE4&lt;&gt;"")+('Dvd Calendar'!$T$357=SPECIAL_LBL)*(INC_SPECIALS="Y"))=0,"",'Dvd Calendar'!$T$355)))</f>
        <v/>
      </c>
      <c r="S43" s="106">
        <f>IF(EU43="","",IF(ISNUMBER('Dvd Calendar'!$U$355)=FALSE,"",IF((('Dvd Calendar'!$U$357=TYPE1)*(TYPE1&lt;&gt;"")+('Dvd Calendar'!$U$357=TYPE2)*(TYPE2&lt;&gt;"")+('Dvd Calendar'!$U$357=TYPE3)*(TYPE3&lt;&gt;"")+('Dvd Calendar'!$U$357=TYPE4)*(TYPE4&lt;&gt;"")+('Dvd Calendar'!$U$357=SPECIAL_LBL)*(INC_SPECIALS="Y"))=0,"",'Dvd Calendar'!$U$355)))</f>
        <v/>
      </c>
      <c r="T43" s="106">
        <f>IF(EV43="","",IF(ISNUMBER('Dvd Calendar'!$V$355)=FALSE,"",IF((('Dvd Calendar'!$V$357=TYPE1)*(TYPE1&lt;&gt;"")+('Dvd Calendar'!$V$357=TYPE2)*(TYPE2&lt;&gt;"")+('Dvd Calendar'!$V$357=TYPE3)*(TYPE3&lt;&gt;"")+('Dvd Calendar'!$V$357=TYPE4)*(TYPE4&lt;&gt;"")+('Dvd Calendar'!$V$357=SPECIAL_LBL)*(INC_SPECIALS="Y"))=0,"",'Dvd Calendar'!$V$355)))</f>
        <v/>
      </c>
      <c r="U43" s="106">
        <f>IF(EW43="","",IF(ISNUMBER('Dvd Calendar'!$W$355)=FALSE,"",IF((('Dvd Calendar'!$W$357=TYPE1)*(TYPE1&lt;&gt;"")+('Dvd Calendar'!$W$357=TYPE2)*(TYPE2&lt;&gt;"")+('Dvd Calendar'!$W$357=TYPE3)*(TYPE3&lt;&gt;"")+('Dvd Calendar'!$W$357=TYPE4)*(TYPE4&lt;&gt;"")+('Dvd Calendar'!$W$357=SPECIAL_LBL)*(INC_SPECIALS="Y"))=0,"",'Dvd Calendar'!$W$355)))</f>
        <v/>
      </c>
      <c r="V43" s="106">
        <f>IF(EX43="","",IF(ISNUMBER('Dvd Calendar'!$X$355)=FALSE,"",IF((('Dvd Calendar'!$X$357=TYPE1)*(TYPE1&lt;&gt;"")+('Dvd Calendar'!$X$357=TYPE2)*(TYPE2&lt;&gt;"")+('Dvd Calendar'!$X$357=TYPE3)*(TYPE3&lt;&gt;"")+('Dvd Calendar'!$X$357=TYPE4)*(TYPE4&lt;&gt;"")+('Dvd Calendar'!$X$357=SPECIAL_LBL)*(INC_SPECIALS="Y"))=0,"",'Dvd Calendar'!$X$355)))</f>
        <v/>
      </c>
      <c r="W43" s="106">
        <f>IF(EY43="","",IF(ISNUMBER('Dvd Calendar'!$Y$355)=FALSE,"",IF((('Dvd Calendar'!$Y$357=TYPE1)*(TYPE1&lt;&gt;"")+('Dvd Calendar'!$Y$357=TYPE2)*(TYPE2&lt;&gt;"")+('Dvd Calendar'!$Y$357=TYPE3)*(TYPE3&lt;&gt;"")+('Dvd Calendar'!$Y$357=TYPE4)*(TYPE4&lt;&gt;"")+('Dvd Calendar'!$Y$357=SPECIAL_LBL)*(INC_SPECIALS="Y"))=0,"",'Dvd Calendar'!$Y$355)))</f>
        <v/>
      </c>
      <c r="X43" s="106">
        <f>IF(EZ43="","",IF(ISNUMBER('Dvd Calendar'!$Z$355)=FALSE,"",IF((('Dvd Calendar'!$Z$357=TYPE1)*(TYPE1&lt;&gt;"")+('Dvd Calendar'!$Z$357=TYPE2)*(TYPE2&lt;&gt;"")+('Dvd Calendar'!$Z$357=TYPE3)*(TYPE3&lt;&gt;"")+('Dvd Calendar'!$Z$357=TYPE4)*(TYPE4&lt;&gt;"")+('Dvd Calendar'!$Z$357=SPECIAL_LBL)*(INC_SPECIALS="Y"))=0,"",'Dvd Calendar'!$Z$355)))</f>
        <v/>
      </c>
      <c r="Y43" s="106">
        <f>IF(FA43="","",IF(ISNUMBER('Dvd Calendar'!$AA$355)=FALSE,"",IF((('Dvd Calendar'!$AA$357=TYPE1)*(TYPE1&lt;&gt;"")+('Dvd Calendar'!$AA$357=TYPE2)*(TYPE2&lt;&gt;"")+('Dvd Calendar'!$AA$357=TYPE3)*(TYPE3&lt;&gt;"")+('Dvd Calendar'!$AA$357=TYPE4)*(TYPE4&lt;&gt;"")+('Dvd Calendar'!$AA$357=SPECIAL_LBL)*(INC_SPECIALS="Y"))=0,"",'Dvd Calendar'!$AA$355)))</f>
        <v/>
      </c>
      <c r="Z43" s="106">
        <f>IF(FB43="","",IF(ISNUMBER('Dvd Calendar'!$AB$355)=FALSE,"",IF((('Dvd Calendar'!$AB$357=TYPE1)*(TYPE1&lt;&gt;"")+('Dvd Calendar'!$AB$357=TYPE2)*(TYPE2&lt;&gt;"")+('Dvd Calendar'!$AB$357=TYPE3)*(TYPE3&lt;&gt;"")+('Dvd Calendar'!$AB$357=TYPE4)*(TYPE4&lt;&gt;"")+('Dvd Calendar'!$AB$357=SPECIAL_LBL)*(INC_SPECIALS="Y"))=0,"",'Dvd Calendar'!$AB$355)))</f>
        <v/>
      </c>
      <c r="AA43" s="106">
        <f>IF(FC43="","",IF(ISNUMBER('Dvd Calendar'!$AC$355)=FALSE,"",IF((('Dvd Calendar'!$AC$357=TYPE1)*(TYPE1&lt;&gt;"")+('Dvd Calendar'!$AC$357=TYPE2)*(TYPE2&lt;&gt;"")+('Dvd Calendar'!$AC$357=TYPE3)*(TYPE3&lt;&gt;"")+('Dvd Calendar'!$AC$357=TYPE4)*(TYPE4&lt;&gt;"")+('Dvd Calendar'!$AC$357=SPECIAL_LBL)*(INC_SPECIALS="Y"))=0,"",'Dvd Calendar'!$AC$355)))</f>
        <v/>
      </c>
      <c r="AB43" s="106">
        <f>IF(FD43="","",IF(ISNUMBER('Dvd Calendar'!$AD$355)=FALSE,"",IF((('Dvd Calendar'!$AD$357=TYPE1)*(TYPE1&lt;&gt;"")+('Dvd Calendar'!$AD$357=TYPE2)*(TYPE2&lt;&gt;"")+('Dvd Calendar'!$AD$357=TYPE3)*(TYPE3&lt;&gt;"")+('Dvd Calendar'!$AD$357=TYPE4)*(TYPE4&lt;&gt;"")+('Dvd Calendar'!$AD$357=SPECIAL_LBL)*(INC_SPECIALS="Y"))=0,"",'Dvd Calendar'!$AD$355)))</f>
        <v/>
      </c>
      <c r="AC43" s="106">
        <f>IF(FE43="","",IF(ISNUMBER('Dvd Calendar'!$AE$355)=FALSE,"",IF((('Dvd Calendar'!$AE$357=TYPE1)*(TYPE1&lt;&gt;"")+('Dvd Calendar'!$AE$357=TYPE2)*(TYPE2&lt;&gt;"")+('Dvd Calendar'!$AE$357=TYPE3)*(TYPE3&lt;&gt;"")+('Dvd Calendar'!$AE$357=TYPE4)*(TYPE4&lt;&gt;"")+('Dvd Calendar'!$AE$357=SPECIAL_LBL)*(INC_SPECIALS="Y"))=0,"",'Dvd Calendar'!$AE$355)))</f>
        <v/>
      </c>
      <c r="AD43" s="106">
        <f>IF(FF43="","",IF(ISNUMBER('Dvd Calendar'!$AF$355)=FALSE,"",IF((('Dvd Calendar'!$AF$357=TYPE1)*(TYPE1&lt;&gt;"")+('Dvd Calendar'!$AF$357=TYPE2)*(TYPE2&lt;&gt;"")+('Dvd Calendar'!$AF$357=TYPE3)*(TYPE3&lt;&gt;"")+('Dvd Calendar'!$AF$357=TYPE4)*(TYPE4&lt;&gt;"")+('Dvd Calendar'!$AF$357=SPECIAL_LBL)*(INC_SPECIALS="Y"))=0,"",'Dvd Calendar'!$AF$355)))</f>
        <v/>
      </c>
      <c r="AE43" s="106">
        <f>IF(FG43="","",IF(ISNUMBER('Dvd Calendar'!$AG$355)=FALSE,"",IF((('Dvd Calendar'!$AG$357=TYPE1)*(TYPE1&lt;&gt;"")+('Dvd Calendar'!$AG$357=TYPE2)*(TYPE2&lt;&gt;"")+('Dvd Calendar'!$AG$357=TYPE3)*(TYPE3&lt;&gt;"")+('Dvd Calendar'!$AG$357=TYPE4)*(TYPE4&lt;&gt;"")+('Dvd Calendar'!$AG$357=SPECIAL_LBL)*(INC_SPECIALS="Y"))=0,"",'Dvd Calendar'!$AG$355)))</f>
        <v/>
      </c>
      <c r="AF43" s="106">
        <f>IF(FH43="","",IF(ISNUMBER('Dvd Calendar'!$AH$355)=FALSE,"",IF((('Dvd Calendar'!$AH$357=TYPE1)*(TYPE1&lt;&gt;"")+('Dvd Calendar'!$AH$357=TYPE2)*(TYPE2&lt;&gt;"")+('Dvd Calendar'!$AH$357=TYPE3)*(TYPE3&lt;&gt;"")+('Dvd Calendar'!$AH$357=TYPE4)*(TYPE4&lt;&gt;"")+('Dvd Calendar'!$AH$357=SPECIAL_LBL)*(INC_SPECIALS="Y"))=0,"",'Dvd Calendar'!$AH$355)))</f>
        <v/>
      </c>
      <c r="AG43" s="106">
        <f>IF(FI43="","",IF(ISNUMBER('Dvd Calendar'!$AI$355)=FALSE,"",IF((('Dvd Calendar'!$AI$357=TYPE1)*(TYPE1&lt;&gt;"")+('Dvd Calendar'!$AI$357=TYPE2)*(TYPE2&lt;&gt;"")+('Dvd Calendar'!$AI$357=TYPE3)*(TYPE3&lt;&gt;"")+('Dvd Calendar'!$AI$357=TYPE4)*(TYPE4&lt;&gt;"")+('Dvd Calendar'!$AI$357=SPECIAL_LBL)*(INC_SPECIALS="Y"))=0,"",'Dvd Calendar'!$AI$355)))</f>
        <v/>
      </c>
      <c r="AH43" s="106">
        <f>IF(FJ43="","",IF(ISNUMBER('Dvd Calendar'!$AJ$355)=FALSE,"",IF((('Dvd Calendar'!$AJ$357=TYPE1)*(TYPE1&lt;&gt;"")+('Dvd Calendar'!$AJ$357=TYPE2)*(TYPE2&lt;&gt;"")+('Dvd Calendar'!$AJ$357=TYPE3)*(TYPE3&lt;&gt;"")+('Dvd Calendar'!$AJ$357=TYPE4)*(TYPE4&lt;&gt;"")+('Dvd Calendar'!$AJ$357=SPECIAL_LBL)*(INC_SPECIALS="Y"))=0,"",'Dvd Calendar'!$AJ$355)))</f>
        <v/>
      </c>
      <c r="AI43" s="106">
        <f>IF(FK43="","",IF(ISNUMBER('Dvd Calendar'!$AK$355)=FALSE,"",IF((('Dvd Calendar'!$AK$357=TYPE1)*(TYPE1&lt;&gt;"")+('Dvd Calendar'!$AK$357=TYPE2)*(TYPE2&lt;&gt;"")+('Dvd Calendar'!$AK$357=TYPE3)*(TYPE3&lt;&gt;"")+('Dvd Calendar'!$AK$357=TYPE4)*(TYPE4&lt;&gt;"")+('Dvd Calendar'!$AK$357=SPECIAL_LBL)*(INC_SPECIALS="Y"))=0,"",'Dvd Calendar'!$AK$355)))</f>
        <v/>
      </c>
      <c r="AJ43" s="106">
        <f>IF(FL43="","",IF(ISNUMBER('Dvd Calendar'!$AL$355)=FALSE,"",IF((('Dvd Calendar'!$AL$357=TYPE1)*(TYPE1&lt;&gt;"")+('Dvd Calendar'!$AL$357=TYPE2)*(TYPE2&lt;&gt;"")+('Dvd Calendar'!$AL$357=TYPE3)*(TYPE3&lt;&gt;"")+('Dvd Calendar'!$AL$357=TYPE4)*(TYPE4&lt;&gt;"")+('Dvd Calendar'!$AL$357=SPECIAL_LBL)*(INC_SPECIALS="Y"))=0,"",'Dvd Calendar'!$AL$355)))</f>
        <v/>
      </c>
      <c r="AK43" s="106">
        <f>IF(FM43="","",IF(ISNUMBER('Dvd Calendar'!$AM$355)=FALSE,"",IF((('Dvd Calendar'!$AM$357=TYPE1)*(TYPE1&lt;&gt;"")+('Dvd Calendar'!$AM$357=TYPE2)*(TYPE2&lt;&gt;"")+('Dvd Calendar'!$AM$357=TYPE3)*(TYPE3&lt;&gt;"")+('Dvd Calendar'!$AM$357=TYPE4)*(TYPE4&lt;&gt;"")+('Dvd Calendar'!$AM$357=SPECIAL_LBL)*(INC_SPECIALS="Y"))=0,"",'Dvd Calendar'!$AM$355)))</f>
        <v/>
      </c>
      <c r="AL43" s="106">
        <f>IF(FN43="","",IF(ISNUMBER('Dvd Calendar'!$AN$355)=FALSE,"",IF((('Dvd Calendar'!$AN$357=TYPE1)*(TYPE1&lt;&gt;"")+('Dvd Calendar'!$AN$357=TYPE2)*(TYPE2&lt;&gt;"")+('Dvd Calendar'!$AN$357=TYPE3)*(TYPE3&lt;&gt;"")+('Dvd Calendar'!$AN$357=TYPE4)*(TYPE4&lt;&gt;"")+('Dvd Calendar'!$AN$357=SPECIAL_LBL)*(INC_SPECIALS="Y"))=0,"",'Dvd Calendar'!$AN$355)))</f>
        <v/>
      </c>
      <c r="AM43" s="106">
        <f>IF(FO43="","",IF(ISNUMBER('Dvd Calendar'!$AO$355)=FALSE,"",IF((('Dvd Calendar'!$AO$357=TYPE1)*(TYPE1&lt;&gt;"")+('Dvd Calendar'!$AO$357=TYPE2)*(TYPE2&lt;&gt;"")+('Dvd Calendar'!$AO$357=TYPE3)*(TYPE3&lt;&gt;"")+('Dvd Calendar'!$AO$357=TYPE4)*(TYPE4&lt;&gt;"")+('Dvd Calendar'!$AO$357=SPECIAL_LBL)*(INC_SPECIALS="Y"))=0,"",'Dvd Calendar'!$AO$355)))</f>
        <v/>
      </c>
      <c r="AN43" s="106">
        <f>IF(FP43="","",IF(ISNUMBER('Dvd Calendar'!$AP$355)=FALSE,"",IF((('Dvd Calendar'!$AP$357=TYPE1)*(TYPE1&lt;&gt;"")+('Dvd Calendar'!$AP$357=TYPE2)*(TYPE2&lt;&gt;"")+('Dvd Calendar'!$AP$357=TYPE3)*(TYPE3&lt;&gt;"")+('Dvd Calendar'!$AP$357=TYPE4)*(TYPE4&lt;&gt;"")+('Dvd Calendar'!$AP$357=SPECIAL_LBL)*(INC_SPECIALS="Y"))=0,"",'Dvd Calendar'!$AP$355)))</f>
        <v/>
      </c>
      <c r="AO43" s="106">
        <f>IF(FQ43="","",IF(ISNUMBER('Dvd Calendar'!$AQ$355)=FALSE,"",IF((('Dvd Calendar'!$AQ$357=TYPE1)*(TYPE1&lt;&gt;"")+('Dvd Calendar'!$AQ$357=TYPE2)*(TYPE2&lt;&gt;"")+('Dvd Calendar'!$AQ$357=TYPE3)*(TYPE3&lt;&gt;"")+('Dvd Calendar'!$AQ$357=TYPE4)*(TYPE4&lt;&gt;"")+('Dvd Calendar'!$AQ$357=SPECIAL_LBL)*(INC_SPECIALS="Y"))=0,"",'Dvd Calendar'!$AQ$355)))</f>
        <v/>
      </c>
      <c r="AP43" s="106">
        <f>IF(FR43="","",IF(ISNUMBER('Dvd Calendar'!$AR$355)=FALSE,"",IF((('Dvd Calendar'!$AR$357=TYPE1)*(TYPE1&lt;&gt;"")+('Dvd Calendar'!$AR$357=TYPE2)*(TYPE2&lt;&gt;"")+('Dvd Calendar'!$AR$357=TYPE3)*(TYPE3&lt;&gt;"")+('Dvd Calendar'!$AR$357=TYPE4)*(TYPE4&lt;&gt;"")+('Dvd Calendar'!$AR$357=SPECIAL_LBL)*(INC_SPECIALS="Y"))=0,"",'Dvd Calendar'!$AR$355)))</f>
        <v/>
      </c>
      <c r="AQ43" s="106">
        <f>IF(FS43="","",IF(ISNUMBER('Dvd Calendar'!$E$360)=FALSE,"",'Dvd Calendar'!$E$360))</f>
        <v/>
      </c>
      <c r="AR43" s="106">
        <f>IF(FT43="","",IF(ISNUMBER('Dvd Calendar'!$F$360)=FALSE,"",'Dvd Calendar'!$F$360))</f>
        <v/>
      </c>
      <c r="AS43" s="106">
        <f>IF(FU43="","",IF(ISNUMBER('Dvd Calendar'!$G$360)=FALSE,"",'Dvd Calendar'!$G$360))</f>
        <v/>
      </c>
      <c r="AT43" s="106">
        <f>IF(FV43="","",IF(ISNUMBER('Dvd Calendar'!$H$360)=FALSE,"",'Dvd Calendar'!$H$360))</f>
        <v/>
      </c>
      <c r="AU43" s="106">
        <f>IF(FW43="","",IF(ISNUMBER('Dvd Calendar'!$I$360)=FALSE,"",'Dvd Calendar'!$I$360))</f>
        <v/>
      </c>
      <c r="AV43" s="106">
        <f>IF(FX43="","",IF(ISNUMBER('Dvd Calendar'!$J$360)=FALSE,"",'Dvd Calendar'!$J$360))</f>
        <v/>
      </c>
      <c r="AW43" s="106">
        <f>IF(FY43="","",IF(ISNUMBER('Dvd Calendar'!$K$360)=FALSE,"",'Dvd Calendar'!$K$360))</f>
        <v/>
      </c>
      <c r="AX43" s="106">
        <f>IF(FZ43="","",IF(ISNUMBER('Dvd Calendar'!$L$360)=FALSE,"",'Dvd Calendar'!$L$360))</f>
        <v/>
      </c>
      <c r="AY43" s="106">
        <f>IF(GA43="","",IF(ISNUMBER('Dvd Calendar'!$M$360)=FALSE,"",'Dvd Calendar'!$M$360))</f>
        <v/>
      </c>
      <c r="AZ43" s="106">
        <f>IF(GB43="","",IF(ISNUMBER('Dvd Calendar'!$N$360)=FALSE,"",'Dvd Calendar'!$N$360))</f>
        <v/>
      </c>
      <c r="BA43" s="106">
        <f>IF(GC43="","",IF(ISNUMBER('Dvd Calendar'!$O$360)=FALSE,"",'Dvd Calendar'!$O$360))</f>
        <v/>
      </c>
      <c r="BB43" s="106">
        <f>IF(GD43="","",IF(ISNUMBER('Dvd Calendar'!$P$360)=FALSE,"",'Dvd Calendar'!$P$360))</f>
        <v/>
      </c>
      <c r="BC43" s="106">
        <f>IF(GE43="","",IF(ISNUMBER('Dvd Calendar'!$Q$360)=FALSE,"",'Dvd Calendar'!$Q$360))</f>
        <v/>
      </c>
      <c r="BD43" s="106">
        <f>IF(GF43="","",IF(ISNUMBER('Dvd Calendar'!$R$360)=FALSE,"",'Dvd Calendar'!$R$360))</f>
        <v/>
      </c>
      <c r="BE43" s="106">
        <f>IF(GG43="","",IF(ISNUMBER('Dvd Calendar'!$S$360)=FALSE,"",'Dvd Calendar'!$S$360))</f>
        <v/>
      </c>
      <c r="BF43" s="106">
        <f>IF(GH43="","",IF(ISNUMBER('Dvd Calendar'!$T$360)=FALSE,"",'Dvd Calendar'!$T$360))</f>
        <v/>
      </c>
      <c r="BG43" s="106">
        <f>IF(GI43="","",IF(ISNUMBER('Dvd Calendar'!$U$360)=FALSE,"",'Dvd Calendar'!$U$360))</f>
        <v/>
      </c>
      <c r="BH43" s="106">
        <f>IF(GJ43="","",IF(ISNUMBER('Dvd Calendar'!$V$360)=FALSE,"",'Dvd Calendar'!$V$360))</f>
        <v/>
      </c>
      <c r="BI43" s="106">
        <f>IF(GK43="","",IF(ISNUMBER('Dvd Calendar'!$W$360)=FALSE,"",'Dvd Calendar'!$W$360))</f>
        <v/>
      </c>
      <c r="BJ43" s="106">
        <f>IF(GL43="","",IF(ISNUMBER('Dvd Calendar'!$X$360)=FALSE,"",'Dvd Calendar'!$X$360))</f>
        <v/>
      </c>
      <c r="BK43" s="106">
        <f>IF(GM43="","",IF(ISNUMBER('Dvd Calendar'!$Y$360)=FALSE,"",'Dvd Calendar'!$Y$360))</f>
        <v/>
      </c>
      <c r="BL43" s="106">
        <f>IF(GN43="","",IF(ISNUMBER('Dvd Calendar'!$Z$360)=FALSE,"",'Dvd Calendar'!$Z$360))</f>
        <v/>
      </c>
      <c r="BM43" s="106">
        <f>IF(GO43="","",IF(ISNUMBER('Dvd Calendar'!$AA$360)=FALSE,"",'Dvd Calendar'!$AA$360))</f>
        <v/>
      </c>
      <c r="BN43" s="106">
        <f>IF(GP43="","",IF(ISNUMBER('Dvd Calendar'!$AB$360)=FALSE,"",'Dvd Calendar'!$AB$360))</f>
        <v/>
      </c>
      <c r="BO43" s="106">
        <f>IF(GQ43="","",IF(ISNUMBER('Dvd Calendar'!$AC$360)=FALSE,"",'Dvd Calendar'!$AC$360))</f>
        <v/>
      </c>
      <c r="BQ43" s="106">
        <f>IF(C43="","",IFERROR(C43*HSI!$B$38*HSI!$G$38/HSI!$B$3,""))</f>
        <v/>
      </c>
      <c r="BR43" s="106">
        <f>IF(D43="","",IFERROR(D43*HSI!$B$38*HSI!$G$38/HSI!$B$3,""))</f>
        <v/>
      </c>
      <c r="BS43" s="106">
        <f>IF(E43="","",IFERROR(E43*HSI!$B$38*HSI!$G$38/HSI!$B$3,""))</f>
        <v/>
      </c>
      <c r="BT43" s="106">
        <f>IF(F43="","",IFERROR(F43*HSI!$B$38*HSI!$G$38/HSI!$B$3,""))</f>
        <v/>
      </c>
      <c r="BU43" s="106">
        <f>IF(G43="","",IFERROR(G43*HSI!$B$38*HSI!$G$38/HSI!$B$3,""))</f>
        <v/>
      </c>
      <c r="BV43" s="106">
        <f>IF(H43="","",IFERROR(H43*HSI!$B$38*HSI!$G$38/HSI!$B$3,""))</f>
        <v/>
      </c>
      <c r="BW43" s="106">
        <f>IF(I43="","",IFERROR(I43*HSI!$B$38*HSI!$G$38/HSI!$B$3,""))</f>
        <v/>
      </c>
      <c r="BX43" s="106">
        <f>IF(J43="","",IFERROR(J43*HSI!$B$38*HSI!$G$38/HSI!$B$3,""))</f>
        <v/>
      </c>
      <c r="BY43" s="106">
        <f>IF(K43="","",IFERROR(K43*HSI!$B$38*HSI!$G$38/HSI!$B$3,""))</f>
        <v/>
      </c>
      <c r="BZ43" s="106">
        <f>IF(L43="","",IFERROR(L43*HSI!$B$38*HSI!$G$38/HSI!$B$3,""))</f>
        <v/>
      </c>
      <c r="CA43" s="106">
        <f>IF(M43="","",IFERROR(M43*HSI!$B$38*HSI!$G$38/HSI!$B$3,""))</f>
        <v/>
      </c>
      <c r="CB43" s="106">
        <f>IF(N43="","",IFERROR(N43*HSI!$B$38*HSI!$G$38/HSI!$B$3,""))</f>
        <v/>
      </c>
      <c r="CC43" s="106">
        <f>IF(O43="","",IFERROR(O43*HSI!$B$38*HSI!$G$38/HSI!$B$3,""))</f>
        <v/>
      </c>
      <c r="CD43" s="106">
        <f>IF(P43="","",IFERROR(P43*HSI!$B$38*HSI!$G$38/HSI!$B$3,""))</f>
        <v/>
      </c>
      <c r="CE43" s="106">
        <f>IF(Q43="","",IFERROR(Q43*HSI!$B$38*HSI!$G$38/HSI!$B$3,""))</f>
        <v/>
      </c>
      <c r="CF43" s="106">
        <f>IF(R43="","",IFERROR(R43*HSI!$B$38*HSI!$G$38/HSI!$B$3,""))</f>
        <v/>
      </c>
      <c r="CG43" s="106">
        <f>IF(S43="","",IFERROR(S43*HSI!$B$38*HSI!$G$38/HSI!$B$3,""))</f>
        <v/>
      </c>
      <c r="CH43" s="106">
        <f>IF(T43="","",IFERROR(T43*HSI!$B$38*HSI!$G$38/HSI!$B$3,""))</f>
        <v/>
      </c>
      <c r="CI43" s="106">
        <f>IF(U43="","",IFERROR(U43*HSI!$B$38*HSI!$G$38/HSI!$B$3,""))</f>
        <v/>
      </c>
      <c r="CJ43" s="106">
        <f>IF(V43="","",IFERROR(V43*HSI!$B$38*HSI!$G$38/HSI!$B$3,""))</f>
        <v/>
      </c>
      <c r="CK43" s="106">
        <f>IF(W43="","",IFERROR(W43*HSI!$B$38*HSI!$G$38/HSI!$B$3,""))</f>
        <v/>
      </c>
      <c r="CL43" s="106">
        <f>IF(X43="","",IFERROR(X43*HSI!$B$38*HSI!$G$38/HSI!$B$3,""))</f>
        <v/>
      </c>
      <c r="CM43" s="106">
        <f>IF(Y43="","",IFERROR(Y43*HSI!$B$38*HSI!$G$38/HSI!$B$3,""))</f>
        <v/>
      </c>
      <c r="CN43" s="106">
        <f>IF(Z43="","",IFERROR(Z43*HSI!$B$38*HSI!$G$38/HSI!$B$3,""))</f>
        <v/>
      </c>
      <c r="CO43" s="106">
        <f>IF(AA43="","",IFERROR(AA43*HSI!$B$38*HSI!$G$38/HSI!$B$3,""))</f>
        <v/>
      </c>
      <c r="CP43" s="106">
        <f>IF(AB43="","",IFERROR(AB43*HSI!$B$38*HSI!$G$38/HSI!$B$3,""))</f>
        <v/>
      </c>
      <c r="CQ43" s="106">
        <f>IF(AC43="","",IFERROR(AC43*HSI!$B$38*HSI!$G$38/HSI!$B$3,""))</f>
        <v/>
      </c>
      <c r="CR43" s="106">
        <f>IF(AD43="","",IFERROR(AD43*HSI!$B$38*HSI!$G$38/HSI!$B$3,""))</f>
        <v/>
      </c>
      <c r="CS43" s="106">
        <f>IF(AE43="","",IFERROR(AE43*HSI!$B$38*HSI!$G$38/HSI!$B$3,""))</f>
        <v/>
      </c>
      <c r="CT43" s="106">
        <f>IF(AF43="","",IFERROR(AF43*HSI!$B$38*HSI!$G$38/HSI!$B$3,""))</f>
        <v/>
      </c>
      <c r="CU43" s="106">
        <f>IF(AG43="","",IFERROR(AG43*HSI!$B$38*HSI!$G$38/HSI!$B$3,""))</f>
        <v/>
      </c>
      <c r="CV43" s="106">
        <f>IF(AH43="","",IFERROR(AH43*HSI!$B$38*HSI!$G$38/HSI!$B$3,""))</f>
        <v/>
      </c>
      <c r="CW43" s="106">
        <f>IF(AI43="","",IFERROR(AI43*HSI!$B$38*HSI!$G$38/HSI!$B$3,""))</f>
        <v/>
      </c>
      <c r="CX43" s="106">
        <f>IF(AJ43="","",IFERROR(AJ43*HSI!$B$38*HSI!$G$38/HSI!$B$3,""))</f>
        <v/>
      </c>
      <c r="CY43" s="106">
        <f>IF(AK43="","",IFERROR(AK43*HSI!$B$38*HSI!$G$38/HSI!$B$3,""))</f>
        <v/>
      </c>
      <c r="CZ43" s="106">
        <f>IF(AL43="","",IFERROR(AL43*HSI!$B$38*HSI!$G$38/HSI!$B$3,""))</f>
        <v/>
      </c>
      <c r="DA43" s="106">
        <f>IF(AM43="","",IFERROR(AM43*HSI!$B$38*HSI!$G$38/HSI!$B$3,""))</f>
        <v/>
      </c>
      <c r="DB43" s="106">
        <f>IF(AN43="","",IFERROR(AN43*HSI!$B$38*HSI!$G$38/HSI!$B$3,""))</f>
        <v/>
      </c>
      <c r="DC43" s="106">
        <f>IF(AO43="","",IFERROR(AO43*HSI!$B$38*HSI!$G$38/HSI!$B$3,""))</f>
        <v/>
      </c>
      <c r="DD43" s="106">
        <f>IF(AP43="","",IFERROR(AP43*HSI!$B$38*HSI!$G$38/HSI!$B$3,""))</f>
        <v/>
      </c>
      <c r="DE43" s="106">
        <f>IF(AQ43="","",IFERROR(AQ43*HSI!$B$38*HSI!$G$38/HSI!$B$3,""))</f>
        <v/>
      </c>
      <c r="DF43" s="106">
        <f>IF(AR43="","",IFERROR(AR43*HSI!$B$38*HSI!$G$38/HSI!$B$3,""))</f>
        <v/>
      </c>
      <c r="DG43" s="106">
        <f>IF(AS43="","",IFERROR(AS43*HSI!$B$38*HSI!$G$38/HSI!$B$3,""))</f>
        <v/>
      </c>
      <c r="DH43" s="106">
        <f>IF(AT43="","",IFERROR(AT43*HSI!$B$38*HSI!$G$38/HSI!$B$3,""))</f>
        <v/>
      </c>
      <c r="DI43" s="106">
        <f>IF(AU43="","",IFERROR(AU43*HSI!$B$38*HSI!$G$38/HSI!$B$3,""))</f>
        <v/>
      </c>
      <c r="DJ43" s="106">
        <f>IF(AV43="","",IFERROR(AV43*HSI!$B$38*HSI!$G$38/HSI!$B$3,""))</f>
        <v/>
      </c>
      <c r="DK43" s="106">
        <f>IF(AW43="","",IFERROR(AW43*HSI!$B$38*HSI!$G$38/HSI!$B$3,""))</f>
        <v/>
      </c>
      <c r="DL43" s="106">
        <f>IF(AX43="","",IFERROR(AX43*HSI!$B$38*HSI!$G$38/HSI!$B$3,""))</f>
        <v/>
      </c>
      <c r="DM43" s="106">
        <f>IF(AY43="","",IFERROR(AY43*HSI!$B$38*HSI!$G$38/HSI!$B$3,""))</f>
        <v/>
      </c>
      <c r="DN43" s="106">
        <f>IF(AZ43="","",IFERROR(AZ43*HSI!$B$38*HSI!$G$38/HSI!$B$3,""))</f>
        <v/>
      </c>
      <c r="DO43" s="106">
        <f>IF(BA43="","",IFERROR(BA43*HSI!$B$38*HSI!$G$38/HSI!$B$3,""))</f>
        <v/>
      </c>
      <c r="DP43" s="106">
        <f>IF(BB43="","",IFERROR(BB43*HSI!$B$38*HSI!$G$38/HSI!$B$3,""))</f>
        <v/>
      </c>
      <c r="DQ43" s="106">
        <f>IF(BC43="","",IFERROR(BC43*HSI!$B$38*HSI!$G$38/HSI!$B$3,""))</f>
        <v/>
      </c>
      <c r="DR43" s="106">
        <f>IF(BD43="","",IFERROR(BD43*HSI!$B$38*HSI!$G$38/HSI!$B$3,""))</f>
        <v/>
      </c>
      <c r="DS43" s="106">
        <f>IF(BE43="","",IFERROR(BE43*HSI!$B$38*HSI!$G$38/HSI!$B$3,""))</f>
        <v/>
      </c>
      <c r="DT43" s="106">
        <f>IF(BF43="","",IFERROR(BF43*HSI!$B$38*HSI!$G$38/HSI!$B$3,""))</f>
        <v/>
      </c>
      <c r="DU43" s="106">
        <f>IF(BG43="","",IFERROR(BG43*HSI!$B$38*HSI!$G$38/HSI!$B$3,""))</f>
        <v/>
      </c>
      <c r="DV43" s="106">
        <f>IF(BH43="","",IFERROR(BH43*HSI!$B$38*HSI!$G$38/HSI!$B$3,""))</f>
        <v/>
      </c>
      <c r="DW43" s="106">
        <f>IF(BI43="","",IFERROR(BI43*HSI!$B$38*HSI!$G$38/HSI!$B$3,""))</f>
        <v/>
      </c>
      <c r="DX43" s="106">
        <f>IF(BJ43="","",IFERROR(BJ43*HSI!$B$38*HSI!$G$38/HSI!$B$3,""))</f>
        <v/>
      </c>
      <c r="DY43" s="106">
        <f>IF(BK43="","",IFERROR(BK43*HSI!$B$38*HSI!$G$38/HSI!$B$3,""))</f>
        <v/>
      </c>
      <c r="DZ43" s="106">
        <f>IF(BL43="","",IFERROR(BL43*HSI!$B$38*HSI!$G$38/HSI!$B$3,""))</f>
        <v/>
      </c>
      <c r="EA43" s="106">
        <f>IF(BM43="","",IFERROR(BM43*HSI!$B$38*HSI!$G$38/HSI!$B$3,""))</f>
        <v/>
      </c>
      <c r="EB43" s="106">
        <f>IF(BN43="","",IFERROR(BN43*HSI!$B$38*HSI!$G$38/HSI!$B$3,""))</f>
        <v/>
      </c>
      <c r="EC43" s="106">
        <f>IF(BO43="","",IFERROR(BO43*HSI!$B$38*HSI!$G$38/HSI!$B$3,""))</f>
        <v/>
      </c>
      <c r="EE43" s="35">
        <f>IF(N('Dvd Calendar'!$E$352)=0,"",IF(('Dvd Calendar'!$E$352&gt;=GRID_FROM)*('Dvd Calendar'!$E$352&lt;=GRID_TO)*('Dvd Calendar'!$E$352&lt;=VAL_DATE)=0,"",'Dvd Calendar'!$E$352*1000000000+ISNUMBER('Dvd Calendar'!$E$355)*100000000+('Dvd Calendar'!$E$357=SPECIAL_LBL)*10000000+0*1000000+32*1000+1))</f>
        <v/>
      </c>
      <c r="EF43" s="35">
        <f>IF(N('Dvd Calendar'!$F$352)=0,"",IF(('Dvd Calendar'!$F$352&gt;=GRID_FROM)*('Dvd Calendar'!$F$352&lt;=GRID_TO)*('Dvd Calendar'!$F$352&lt;=VAL_DATE)=0,"",'Dvd Calendar'!$F$352*1000000000+ISNUMBER('Dvd Calendar'!$F$355)*100000000+('Dvd Calendar'!$F$357=SPECIAL_LBL)*10000000+0*1000000+32*1000+2))</f>
        <v/>
      </c>
      <c r="EG43" s="35">
        <f>IF(N('Dvd Calendar'!$G$352)=0,"",IF(('Dvd Calendar'!$G$352&gt;=GRID_FROM)*('Dvd Calendar'!$G$352&lt;=GRID_TO)*('Dvd Calendar'!$G$352&lt;=VAL_DATE)=0,"",'Dvd Calendar'!$G$352*1000000000+ISNUMBER('Dvd Calendar'!$G$355)*100000000+('Dvd Calendar'!$G$357=SPECIAL_LBL)*10000000+0*1000000+32*1000+3))</f>
        <v/>
      </c>
      <c r="EH43" s="35">
        <f>IF(N('Dvd Calendar'!$H$352)=0,"",IF(('Dvd Calendar'!$H$352&gt;=GRID_FROM)*('Dvd Calendar'!$H$352&lt;=GRID_TO)*('Dvd Calendar'!$H$352&lt;=VAL_DATE)=0,"",'Dvd Calendar'!$H$352*1000000000+ISNUMBER('Dvd Calendar'!$H$355)*100000000+('Dvd Calendar'!$H$357=SPECIAL_LBL)*10000000+0*1000000+32*1000+4))</f>
        <v/>
      </c>
      <c r="EI43" s="35">
        <f>IF(N('Dvd Calendar'!$I$352)=0,"",IF(('Dvd Calendar'!$I$352&gt;=GRID_FROM)*('Dvd Calendar'!$I$352&lt;=GRID_TO)*('Dvd Calendar'!$I$352&lt;=VAL_DATE)=0,"",'Dvd Calendar'!$I$352*1000000000+ISNUMBER('Dvd Calendar'!$I$355)*100000000+('Dvd Calendar'!$I$357=SPECIAL_LBL)*10000000+0*1000000+32*1000+5))</f>
        <v/>
      </c>
      <c r="EJ43" s="35">
        <f>IF(N('Dvd Calendar'!$J$352)=0,"",IF(('Dvd Calendar'!$J$352&gt;=GRID_FROM)*('Dvd Calendar'!$J$352&lt;=GRID_TO)*('Dvd Calendar'!$J$352&lt;=VAL_DATE)=0,"",'Dvd Calendar'!$J$352*1000000000+ISNUMBER('Dvd Calendar'!$J$355)*100000000+('Dvd Calendar'!$J$357=SPECIAL_LBL)*10000000+0*1000000+32*1000+6))</f>
        <v/>
      </c>
      <c r="EK43" s="35">
        <f>IF(N('Dvd Calendar'!$K$352)=0,"",IF(('Dvd Calendar'!$K$352&gt;=GRID_FROM)*('Dvd Calendar'!$K$352&lt;=GRID_TO)*('Dvd Calendar'!$K$352&lt;=VAL_DATE)=0,"",'Dvd Calendar'!$K$352*1000000000+ISNUMBER('Dvd Calendar'!$K$355)*100000000+('Dvd Calendar'!$K$357=SPECIAL_LBL)*10000000+0*1000000+32*1000+7))</f>
        <v/>
      </c>
      <c r="EL43" s="35">
        <f>IF(N('Dvd Calendar'!$L$352)=0,"",IF(('Dvd Calendar'!$L$352&gt;=GRID_FROM)*('Dvd Calendar'!$L$352&lt;=GRID_TO)*('Dvd Calendar'!$L$352&lt;=VAL_DATE)=0,"",'Dvd Calendar'!$L$352*1000000000+ISNUMBER('Dvd Calendar'!$L$355)*100000000+('Dvd Calendar'!$L$357=SPECIAL_LBL)*10000000+0*1000000+32*1000+8))</f>
        <v/>
      </c>
      <c r="EM43" s="35">
        <f>IF(N('Dvd Calendar'!$M$352)=0,"",IF(('Dvd Calendar'!$M$352&gt;=GRID_FROM)*('Dvd Calendar'!$M$352&lt;=GRID_TO)*('Dvd Calendar'!$M$352&lt;=VAL_DATE)=0,"",'Dvd Calendar'!$M$352*1000000000+ISNUMBER('Dvd Calendar'!$M$355)*100000000+('Dvd Calendar'!$M$357=SPECIAL_LBL)*10000000+0*1000000+32*1000+9))</f>
        <v/>
      </c>
      <c r="EN43" s="35">
        <f>IF(N('Dvd Calendar'!$N$352)=0,"",IF(('Dvd Calendar'!$N$352&gt;=GRID_FROM)*('Dvd Calendar'!$N$352&lt;=GRID_TO)*('Dvd Calendar'!$N$352&lt;=VAL_DATE)=0,"",'Dvd Calendar'!$N$352*1000000000+ISNUMBER('Dvd Calendar'!$N$355)*100000000+('Dvd Calendar'!$N$357=SPECIAL_LBL)*10000000+0*1000000+32*1000+10))</f>
        <v/>
      </c>
      <c r="EO43" s="35">
        <f>IF(N('Dvd Calendar'!$O$352)=0,"",IF(('Dvd Calendar'!$O$352&gt;=GRID_FROM)*('Dvd Calendar'!$O$352&lt;=GRID_TO)*('Dvd Calendar'!$O$352&lt;=VAL_DATE)=0,"",'Dvd Calendar'!$O$352*1000000000+ISNUMBER('Dvd Calendar'!$O$355)*100000000+('Dvd Calendar'!$O$357=SPECIAL_LBL)*10000000+0*1000000+32*1000+11))</f>
        <v/>
      </c>
      <c r="EP43" s="35">
        <f>IF(N('Dvd Calendar'!$P$352)=0,"",IF(('Dvd Calendar'!$P$352&gt;=GRID_FROM)*('Dvd Calendar'!$P$352&lt;=GRID_TO)*('Dvd Calendar'!$P$352&lt;=VAL_DATE)=0,"",'Dvd Calendar'!$P$352*1000000000+ISNUMBER('Dvd Calendar'!$P$355)*100000000+('Dvd Calendar'!$P$357=SPECIAL_LBL)*10000000+0*1000000+32*1000+12))</f>
        <v/>
      </c>
      <c r="EQ43" s="35">
        <f>IF(N('Dvd Calendar'!$Q$352)=0,"",IF(('Dvd Calendar'!$Q$352&gt;=GRID_FROM)*('Dvd Calendar'!$Q$352&lt;=GRID_TO)*('Dvd Calendar'!$Q$352&lt;=VAL_DATE)=0,"",'Dvd Calendar'!$Q$352*1000000000+ISNUMBER('Dvd Calendar'!$Q$355)*100000000+('Dvd Calendar'!$Q$357=SPECIAL_LBL)*10000000+0*1000000+32*1000+13))</f>
        <v/>
      </c>
      <c r="ER43" s="35">
        <f>IF(N('Dvd Calendar'!$R$352)=0,"",IF(('Dvd Calendar'!$R$352&gt;=GRID_FROM)*('Dvd Calendar'!$R$352&lt;=GRID_TO)*('Dvd Calendar'!$R$352&lt;=VAL_DATE)=0,"",'Dvd Calendar'!$R$352*1000000000+ISNUMBER('Dvd Calendar'!$R$355)*100000000+('Dvd Calendar'!$R$357=SPECIAL_LBL)*10000000+0*1000000+32*1000+14))</f>
        <v/>
      </c>
      <c r="ES43" s="35">
        <f>IF(N('Dvd Calendar'!$S$352)=0,"",IF(('Dvd Calendar'!$S$352&gt;=GRID_FROM)*('Dvd Calendar'!$S$352&lt;=GRID_TO)*('Dvd Calendar'!$S$352&lt;=VAL_DATE)=0,"",'Dvd Calendar'!$S$352*1000000000+ISNUMBER('Dvd Calendar'!$S$355)*100000000+('Dvd Calendar'!$S$357=SPECIAL_LBL)*10000000+0*1000000+32*1000+15))</f>
        <v/>
      </c>
      <c r="ET43" s="35">
        <f>IF(N('Dvd Calendar'!$T$352)=0,"",IF(('Dvd Calendar'!$T$352&gt;=GRID_FROM)*('Dvd Calendar'!$T$352&lt;=GRID_TO)*('Dvd Calendar'!$T$352&lt;=VAL_DATE)=0,"",'Dvd Calendar'!$T$352*1000000000+ISNUMBER('Dvd Calendar'!$T$355)*100000000+('Dvd Calendar'!$T$357=SPECIAL_LBL)*10000000+0*1000000+32*1000+16))</f>
        <v/>
      </c>
      <c r="EU43" s="35">
        <f>IF(N('Dvd Calendar'!$U$352)=0,"",IF(('Dvd Calendar'!$U$352&gt;=GRID_FROM)*('Dvd Calendar'!$U$352&lt;=GRID_TO)*('Dvd Calendar'!$U$352&lt;=VAL_DATE)=0,"",'Dvd Calendar'!$U$352*1000000000+ISNUMBER('Dvd Calendar'!$U$355)*100000000+('Dvd Calendar'!$U$357=SPECIAL_LBL)*10000000+0*1000000+32*1000+17))</f>
        <v/>
      </c>
      <c r="EV43" s="35">
        <f>IF(N('Dvd Calendar'!$V$352)=0,"",IF(('Dvd Calendar'!$V$352&gt;=GRID_FROM)*('Dvd Calendar'!$V$352&lt;=GRID_TO)*('Dvd Calendar'!$V$352&lt;=VAL_DATE)=0,"",'Dvd Calendar'!$V$352*1000000000+ISNUMBER('Dvd Calendar'!$V$355)*100000000+('Dvd Calendar'!$V$357=SPECIAL_LBL)*10000000+0*1000000+32*1000+18))</f>
        <v/>
      </c>
      <c r="EW43" s="35">
        <f>IF(N('Dvd Calendar'!$W$352)=0,"",IF(('Dvd Calendar'!$W$352&gt;=GRID_FROM)*('Dvd Calendar'!$W$352&lt;=GRID_TO)*('Dvd Calendar'!$W$352&lt;=VAL_DATE)=0,"",'Dvd Calendar'!$W$352*1000000000+ISNUMBER('Dvd Calendar'!$W$355)*100000000+('Dvd Calendar'!$W$357=SPECIAL_LBL)*10000000+0*1000000+32*1000+19))</f>
        <v/>
      </c>
      <c r="EX43" s="35">
        <f>IF(N('Dvd Calendar'!$X$352)=0,"",IF(('Dvd Calendar'!$X$352&gt;=GRID_FROM)*('Dvd Calendar'!$X$352&lt;=GRID_TO)*('Dvd Calendar'!$X$352&lt;=VAL_DATE)=0,"",'Dvd Calendar'!$X$352*1000000000+ISNUMBER('Dvd Calendar'!$X$355)*100000000+('Dvd Calendar'!$X$357=SPECIAL_LBL)*10000000+0*1000000+32*1000+20))</f>
        <v/>
      </c>
      <c r="EY43" s="35">
        <f>IF(N('Dvd Calendar'!$Y$352)=0,"",IF(('Dvd Calendar'!$Y$352&gt;=GRID_FROM)*('Dvd Calendar'!$Y$352&lt;=GRID_TO)*('Dvd Calendar'!$Y$352&lt;=VAL_DATE)=0,"",'Dvd Calendar'!$Y$352*1000000000+ISNUMBER('Dvd Calendar'!$Y$355)*100000000+('Dvd Calendar'!$Y$357=SPECIAL_LBL)*10000000+0*1000000+32*1000+21))</f>
        <v/>
      </c>
      <c r="EZ43" s="35">
        <f>IF(N('Dvd Calendar'!$Z$352)=0,"",IF(('Dvd Calendar'!$Z$352&gt;=GRID_FROM)*('Dvd Calendar'!$Z$352&lt;=GRID_TO)*('Dvd Calendar'!$Z$352&lt;=VAL_DATE)=0,"",'Dvd Calendar'!$Z$352*1000000000+ISNUMBER('Dvd Calendar'!$Z$355)*100000000+('Dvd Calendar'!$Z$357=SPECIAL_LBL)*10000000+0*1000000+32*1000+22))</f>
        <v/>
      </c>
      <c r="FA43" s="35">
        <f>IF(N('Dvd Calendar'!$AA$352)=0,"",IF(('Dvd Calendar'!$AA$352&gt;=GRID_FROM)*('Dvd Calendar'!$AA$352&lt;=GRID_TO)*('Dvd Calendar'!$AA$352&lt;=VAL_DATE)=0,"",'Dvd Calendar'!$AA$352*1000000000+ISNUMBER('Dvd Calendar'!$AA$355)*100000000+('Dvd Calendar'!$AA$357=SPECIAL_LBL)*10000000+0*1000000+32*1000+23))</f>
        <v/>
      </c>
      <c r="FB43" s="35">
        <f>IF(N('Dvd Calendar'!$AB$352)=0,"",IF(('Dvd Calendar'!$AB$352&gt;=GRID_FROM)*('Dvd Calendar'!$AB$352&lt;=GRID_TO)*('Dvd Calendar'!$AB$352&lt;=VAL_DATE)=0,"",'Dvd Calendar'!$AB$352*1000000000+ISNUMBER('Dvd Calendar'!$AB$355)*100000000+('Dvd Calendar'!$AB$357=SPECIAL_LBL)*10000000+0*1000000+32*1000+24))</f>
        <v/>
      </c>
      <c r="FC43" s="35">
        <f>IF(N('Dvd Calendar'!$AC$352)=0,"",IF(('Dvd Calendar'!$AC$352&gt;=GRID_FROM)*('Dvd Calendar'!$AC$352&lt;=GRID_TO)*('Dvd Calendar'!$AC$352&lt;=VAL_DATE)=0,"",'Dvd Calendar'!$AC$352*1000000000+ISNUMBER('Dvd Calendar'!$AC$355)*100000000+('Dvd Calendar'!$AC$357=SPECIAL_LBL)*10000000+0*1000000+32*1000+25))</f>
        <v/>
      </c>
      <c r="FD43" s="35">
        <f>IF(N('Dvd Calendar'!$AD$352)=0,"",IF(('Dvd Calendar'!$AD$352&gt;=GRID_FROM)*('Dvd Calendar'!$AD$352&lt;=GRID_TO)*('Dvd Calendar'!$AD$352&lt;=VAL_DATE)=0,"",'Dvd Calendar'!$AD$352*1000000000+ISNUMBER('Dvd Calendar'!$AD$355)*100000000+('Dvd Calendar'!$AD$357=SPECIAL_LBL)*10000000+0*1000000+32*1000+26))</f>
        <v/>
      </c>
      <c r="FE43" s="35">
        <f>IF(N('Dvd Calendar'!$AE$352)=0,"",IF(('Dvd Calendar'!$AE$352&gt;=GRID_FROM)*('Dvd Calendar'!$AE$352&lt;=GRID_TO)*('Dvd Calendar'!$AE$352&lt;=VAL_DATE)=0,"",'Dvd Calendar'!$AE$352*1000000000+ISNUMBER('Dvd Calendar'!$AE$355)*100000000+('Dvd Calendar'!$AE$357=SPECIAL_LBL)*10000000+0*1000000+32*1000+27))</f>
        <v/>
      </c>
      <c r="FF43" s="35">
        <f>IF(N('Dvd Calendar'!$AF$352)=0,"",IF(('Dvd Calendar'!$AF$352&gt;=GRID_FROM)*('Dvd Calendar'!$AF$352&lt;=GRID_TO)*('Dvd Calendar'!$AF$352&lt;=VAL_DATE)=0,"",'Dvd Calendar'!$AF$352*1000000000+ISNUMBER('Dvd Calendar'!$AF$355)*100000000+('Dvd Calendar'!$AF$357=SPECIAL_LBL)*10000000+0*1000000+32*1000+28))</f>
        <v/>
      </c>
      <c r="FG43" s="35">
        <f>IF(N('Dvd Calendar'!$AG$352)=0,"",IF(('Dvd Calendar'!$AG$352&gt;=GRID_FROM)*('Dvd Calendar'!$AG$352&lt;=GRID_TO)*('Dvd Calendar'!$AG$352&lt;=VAL_DATE)=0,"",'Dvd Calendar'!$AG$352*1000000000+ISNUMBER('Dvd Calendar'!$AG$355)*100000000+('Dvd Calendar'!$AG$357=SPECIAL_LBL)*10000000+0*1000000+32*1000+29))</f>
        <v/>
      </c>
      <c r="FH43" s="35">
        <f>IF(N('Dvd Calendar'!$AH$352)=0,"",IF(('Dvd Calendar'!$AH$352&gt;=GRID_FROM)*('Dvd Calendar'!$AH$352&lt;=GRID_TO)*('Dvd Calendar'!$AH$352&lt;=VAL_DATE)=0,"",'Dvd Calendar'!$AH$352*1000000000+ISNUMBER('Dvd Calendar'!$AH$355)*100000000+('Dvd Calendar'!$AH$357=SPECIAL_LBL)*10000000+0*1000000+32*1000+30))</f>
        <v/>
      </c>
      <c r="FI43" s="35">
        <f>IF(N('Dvd Calendar'!$AI$352)=0,"",IF(('Dvd Calendar'!$AI$352&gt;=GRID_FROM)*('Dvd Calendar'!$AI$352&lt;=GRID_TO)*('Dvd Calendar'!$AI$352&lt;=VAL_DATE)=0,"",'Dvd Calendar'!$AI$352*1000000000+ISNUMBER('Dvd Calendar'!$AI$355)*100000000+('Dvd Calendar'!$AI$357=SPECIAL_LBL)*10000000+0*1000000+32*1000+31))</f>
        <v/>
      </c>
      <c r="FJ43" s="35">
        <f>IF(N('Dvd Calendar'!$AJ$352)=0,"",IF(('Dvd Calendar'!$AJ$352&gt;=GRID_FROM)*('Dvd Calendar'!$AJ$352&lt;=GRID_TO)*('Dvd Calendar'!$AJ$352&lt;=VAL_DATE)=0,"",'Dvd Calendar'!$AJ$352*1000000000+ISNUMBER('Dvd Calendar'!$AJ$355)*100000000+('Dvd Calendar'!$AJ$357=SPECIAL_LBL)*10000000+0*1000000+32*1000+32))</f>
        <v/>
      </c>
      <c r="FK43" s="35">
        <f>IF(N('Dvd Calendar'!$AK$352)=0,"",IF(('Dvd Calendar'!$AK$352&gt;=GRID_FROM)*('Dvd Calendar'!$AK$352&lt;=GRID_TO)*('Dvd Calendar'!$AK$352&lt;=VAL_DATE)=0,"",'Dvd Calendar'!$AK$352*1000000000+ISNUMBER('Dvd Calendar'!$AK$355)*100000000+('Dvd Calendar'!$AK$357=SPECIAL_LBL)*10000000+0*1000000+32*1000+33))</f>
        <v/>
      </c>
      <c r="FL43" s="35">
        <f>IF(N('Dvd Calendar'!$AL$352)=0,"",IF(('Dvd Calendar'!$AL$352&gt;=GRID_FROM)*('Dvd Calendar'!$AL$352&lt;=GRID_TO)*('Dvd Calendar'!$AL$352&lt;=VAL_DATE)=0,"",'Dvd Calendar'!$AL$352*1000000000+ISNUMBER('Dvd Calendar'!$AL$355)*100000000+('Dvd Calendar'!$AL$357=SPECIAL_LBL)*10000000+0*1000000+32*1000+34))</f>
        <v/>
      </c>
      <c r="FM43" s="35">
        <f>IF(N('Dvd Calendar'!$AM$352)=0,"",IF(('Dvd Calendar'!$AM$352&gt;=GRID_FROM)*('Dvd Calendar'!$AM$352&lt;=GRID_TO)*('Dvd Calendar'!$AM$352&lt;=VAL_DATE)=0,"",'Dvd Calendar'!$AM$352*1000000000+ISNUMBER('Dvd Calendar'!$AM$355)*100000000+('Dvd Calendar'!$AM$357=SPECIAL_LBL)*10000000+0*1000000+32*1000+35))</f>
        <v/>
      </c>
      <c r="FN43" s="35">
        <f>IF(N('Dvd Calendar'!$AN$352)=0,"",IF(('Dvd Calendar'!$AN$352&gt;=GRID_FROM)*('Dvd Calendar'!$AN$352&lt;=GRID_TO)*('Dvd Calendar'!$AN$352&lt;=VAL_DATE)=0,"",'Dvd Calendar'!$AN$352*1000000000+ISNUMBER('Dvd Calendar'!$AN$355)*100000000+('Dvd Calendar'!$AN$357=SPECIAL_LBL)*10000000+0*1000000+32*1000+36))</f>
        <v/>
      </c>
      <c r="FO43" s="35">
        <f>IF(N('Dvd Calendar'!$AO$352)=0,"",IF(('Dvd Calendar'!$AO$352&gt;=GRID_FROM)*('Dvd Calendar'!$AO$352&lt;=GRID_TO)*('Dvd Calendar'!$AO$352&lt;=VAL_DATE)=0,"",'Dvd Calendar'!$AO$352*1000000000+ISNUMBER('Dvd Calendar'!$AO$355)*100000000+('Dvd Calendar'!$AO$357=SPECIAL_LBL)*10000000+0*1000000+32*1000+37))</f>
        <v/>
      </c>
      <c r="FP43" s="35">
        <f>IF(N('Dvd Calendar'!$AP$352)=0,"",IF(('Dvd Calendar'!$AP$352&gt;=GRID_FROM)*('Dvd Calendar'!$AP$352&lt;=GRID_TO)*('Dvd Calendar'!$AP$352&lt;=VAL_DATE)=0,"",'Dvd Calendar'!$AP$352*1000000000+ISNUMBER('Dvd Calendar'!$AP$355)*100000000+('Dvd Calendar'!$AP$357=SPECIAL_LBL)*10000000+0*1000000+32*1000+38))</f>
        <v/>
      </c>
      <c r="FQ43" s="35">
        <f>IF(N('Dvd Calendar'!$AQ$352)=0,"",IF(('Dvd Calendar'!$AQ$352&gt;=GRID_FROM)*('Dvd Calendar'!$AQ$352&lt;=GRID_TO)*('Dvd Calendar'!$AQ$352&lt;=VAL_DATE)=0,"",'Dvd Calendar'!$AQ$352*1000000000+ISNUMBER('Dvd Calendar'!$AQ$355)*100000000+('Dvd Calendar'!$AQ$357=SPECIAL_LBL)*10000000+0*1000000+32*1000+39))</f>
        <v/>
      </c>
      <c r="FR43" s="35">
        <f>IF(N('Dvd Calendar'!$AR$352)=0,"",IF(('Dvd Calendar'!$AR$352&gt;=GRID_FROM)*('Dvd Calendar'!$AR$352&lt;=GRID_TO)*('Dvd Calendar'!$AR$352&lt;=VAL_DATE)=0,"",'Dvd Calendar'!$AR$352*1000000000+ISNUMBER('Dvd Calendar'!$AR$355)*100000000+('Dvd Calendar'!$AR$357=SPECIAL_LBL)*10000000+0*1000000+32*1000+40))</f>
        <v/>
      </c>
      <c r="FS43" s="35">
        <f>IF(N('Dvd Calendar'!$E$359)=0,"",IF(('Dvd Calendar'!$E$359&gt;=GRID_FROM)*('Dvd Calendar'!$E$359&lt;=GRID_TO)*('Dvd Calendar'!$E$359&gt;VAL_DATE)=0,"",'Dvd Calendar'!$E$359*1000000000+ISNUMBER('Dvd Calendar'!$E$360)*100000000+0*10000000+(N('Dvd Calendar'!$E$358)&gt;0)*(N('Dvd Calendar'!$E$358)&lt;=VAL_SERIAL)*1000000+32*1000+41))</f>
        <v/>
      </c>
      <c r="FT43" s="35">
        <f>IF(N('Dvd Calendar'!$F$359)=0,"",IF(('Dvd Calendar'!$F$359&gt;=GRID_FROM)*('Dvd Calendar'!$F$359&lt;=GRID_TO)*('Dvd Calendar'!$F$359&gt;VAL_DATE)=0,"",'Dvd Calendar'!$F$359*1000000000+ISNUMBER('Dvd Calendar'!$F$360)*100000000+0*10000000+(N('Dvd Calendar'!$F$358)&gt;0)*(N('Dvd Calendar'!$F$358)&lt;=VAL_SERIAL)*1000000+32*1000+42))</f>
        <v/>
      </c>
      <c r="FU43" s="35">
        <f>IF(N('Dvd Calendar'!$G$359)=0,"",IF(('Dvd Calendar'!$G$359&gt;=GRID_FROM)*('Dvd Calendar'!$G$359&lt;=GRID_TO)*('Dvd Calendar'!$G$359&gt;VAL_DATE)=0,"",'Dvd Calendar'!$G$359*1000000000+ISNUMBER('Dvd Calendar'!$G$360)*100000000+0*10000000+(N('Dvd Calendar'!$G$358)&gt;0)*(N('Dvd Calendar'!$G$358)&lt;=VAL_SERIAL)*1000000+32*1000+43))</f>
        <v/>
      </c>
      <c r="FV43" s="35">
        <f>IF(N('Dvd Calendar'!$H$359)=0,"",IF(('Dvd Calendar'!$H$359&gt;=GRID_FROM)*('Dvd Calendar'!$H$359&lt;=GRID_TO)*('Dvd Calendar'!$H$359&gt;VAL_DATE)=0,"",'Dvd Calendar'!$H$359*1000000000+ISNUMBER('Dvd Calendar'!$H$360)*100000000+0*10000000+(N('Dvd Calendar'!$H$358)&gt;0)*(N('Dvd Calendar'!$H$358)&lt;=VAL_SERIAL)*1000000+32*1000+44))</f>
        <v/>
      </c>
      <c r="FW43" s="35">
        <f>IF(N('Dvd Calendar'!$I$359)=0,"",IF(('Dvd Calendar'!$I$359&gt;=GRID_FROM)*('Dvd Calendar'!$I$359&lt;=GRID_TO)*('Dvd Calendar'!$I$359&gt;VAL_DATE)=0,"",'Dvd Calendar'!$I$359*1000000000+ISNUMBER('Dvd Calendar'!$I$360)*100000000+0*10000000+(N('Dvd Calendar'!$I$358)&gt;0)*(N('Dvd Calendar'!$I$358)&lt;=VAL_SERIAL)*1000000+32*1000+45))</f>
        <v/>
      </c>
      <c r="FX43" s="35">
        <f>IF(N('Dvd Calendar'!$J$359)=0,"",IF(('Dvd Calendar'!$J$359&gt;=GRID_FROM)*('Dvd Calendar'!$J$359&lt;=GRID_TO)*('Dvd Calendar'!$J$359&gt;VAL_DATE)=0,"",'Dvd Calendar'!$J$359*1000000000+ISNUMBER('Dvd Calendar'!$J$360)*100000000+0*10000000+(N('Dvd Calendar'!$J$358)&gt;0)*(N('Dvd Calendar'!$J$358)&lt;=VAL_SERIAL)*1000000+32*1000+46))</f>
        <v/>
      </c>
      <c r="FY43" s="35">
        <f>IF(N('Dvd Calendar'!$K$359)=0,"",IF(('Dvd Calendar'!$K$359&gt;=GRID_FROM)*('Dvd Calendar'!$K$359&lt;=GRID_TO)*('Dvd Calendar'!$K$359&gt;VAL_DATE)=0,"",'Dvd Calendar'!$K$359*1000000000+ISNUMBER('Dvd Calendar'!$K$360)*100000000+0*10000000+(N('Dvd Calendar'!$K$358)&gt;0)*(N('Dvd Calendar'!$K$358)&lt;=VAL_SERIAL)*1000000+32*1000+47))</f>
        <v/>
      </c>
      <c r="FZ43" s="35">
        <f>IF(N('Dvd Calendar'!$L$359)=0,"",IF(('Dvd Calendar'!$L$359&gt;=GRID_FROM)*('Dvd Calendar'!$L$359&lt;=GRID_TO)*('Dvd Calendar'!$L$359&gt;VAL_DATE)=0,"",'Dvd Calendar'!$L$359*1000000000+ISNUMBER('Dvd Calendar'!$L$360)*100000000+0*10000000+(N('Dvd Calendar'!$L$358)&gt;0)*(N('Dvd Calendar'!$L$358)&lt;=VAL_SERIAL)*1000000+32*1000+48))</f>
        <v/>
      </c>
      <c r="GA43" s="35">
        <f>IF(N('Dvd Calendar'!$M$359)=0,"",IF(('Dvd Calendar'!$M$359&gt;=GRID_FROM)*('Dvd Calendar'!$M$359&lt;=GRID_TO)*('Dvd Calendar'!$M$359&gt;VAL_DATE)=0,"",'Dvd Calendar'!$M$359*1000000000+ISNUMBER('Dvd Calendar'!$M$360)*100000000+0*10000000+(N('Dvd Calendar'!$M$358)&gt;0)*(N('Dvd Calendar'!$M$358)&lt;=VAL_SERIAL)*1000000+32*1000+49))</f>
        <v/>
      </c>
      <c r="GB43" s="35">
        <f>IF(N('Dvd Calendar'!$N$359)=0,"",IF(('Dvd Calendar'!$N$359&gt;=GRID_FROM)*('Dvd Calendar'!$N$359&lt;=GRID_TO)*('Dvd Calendar'!$N$359&gt;VAL_DATE)=0,"",'Dvd Calendar'!$N$359*1000000000+ISNUMBER('Dvd Calendar'!$N$360)*100000000+0*10000000+(N('Dvd Calendar'!$N$358)&gt;0)*(N('Dvd Calendar'!$N$358)&lt;=VAL_SERIAL)*1000000+32*1000+50))</f>
        <v/>
      </c>
      <c r="GC43" s="35">
        <f>IF(N('Dvd Calendar'!$O$359)=0,"",IF(('Dvd Calendar'!$O$359&gt;=GRID_FROM)*('Dvd Calendar'!$O$359&lt;=GRID_TO)*('Dvd Calendar'!$O$359&gt;VAL_DATE)=0,"",'Dvd Calendar'!$O$359*1000000000+ISNUMBER('Dvd Calendar'!$O$360)*100000000+0*10000000+(N('Dvd Calendar'!$O$358)&gt;0)*(N('Dvd Calendar'!$O$358)&lt;=VAL_SERIAL)*1000000+32*1000+51))</f>
        <v/>
      </c>
      <c r="GD43" s="35">
        <f>IF(N('Dvd Calendar'!$P$359)=0,"",IF(('Dvd Calendar'!$P$359&gt;=GRID_FROM)*('Dvd Calendar'!$P$359&lt;=GRID_TO)*('Dvd Calendar'!$P$359&gt;VAL_DATE)=0,"",'Dvd Calendar'!$P$359*1000000000+ISNUMBER('Dvd Calendar'!$P$360)*100000000+0*10000000+(N('Dvd Calendar'!$P$358)&gt;0)*(N('Dvd Calendar'!$P$358)&lt;=VAL_SERIAL)*1000000+32*1000+52))</f>
        <v/>
      </c>
      <c r="GE43" s="35">
        <f>IF(N('Dvd Calendar'!$Q$359)=0,"",IF(('Dvd Calendar'!$Q$359&gt;=GRID_FROM)*('Dvd Calendar'!$Q$359&lt;=GRID_TO)*('Dvd Calendar'!$Q$359&gt;VAL_DATE)=0,"",'Dvd Calendar'!$Q$359*1000000000+ISNUMBER('Dvd Calendar'!$Q$360)*100000000+0*10000000+(N('Dvd Calendar'!$Q$358)&gt;0)*(N('Dvd Calendar'!$Q$358)&lt;=VAL_SERIAL)*1000000+32*1000+53))</f>
        <v/>
      </c>
      <c r="GF43" s="35">
        <f>IF(N('Dvd Calendar'!$R$359)=0,"",IF(('Dvd Calendar'!$R$359&gt;=GRID_FROM)*('Dvd Calendar'!$R$359&lt;=GRID_TO)*('Dvd Calendar'!$R$359&gt;VAL_DATE)=0,"",'Dvd Calendar'!$R$359*1000000000+ISNUMBER('Dvd Calendar'!$R$360)*100000000+0*10000000+(N('Dvd Calendar'!$R$358)&gt;0)*(N('Dvd Calendar'!$R$358)&lt;=VAL_SERIAL)*1000000+32*1000+54))</f>
        <v/>
      </c>
      <c r="GG43" s="35">
        <f>IF(N('Dvd Calendar'!$S$359)=0,"",IF(('Dvd Calendar'!$S$359&gt;=GRID_FROM)*('Dvd Calendar'!$S$359&lt;=GRID_TO)*('Dvd Calendar'!$S$359&gt;VAL_DATE)=0,"",'Dvd Calendar'!$S$359*1000000000+ISNUMBER('Dvd Calendar'!$S$360)*100000000+0*10000000+(N('Dvd Calendar'!$S$358)&gt;0)*(N('Dvd Calendar'!$S$358)&lt;=VAL_SERIAL)*1000000+32*1000+55))</f>
        <v/>
      </c>
      <c r="GH43" s="35">
        <f>IF(N('Dvd Calendar'!$T$359)=0,"",IF(('Dvd Calendar'!$T$359&gt;=GRID_FROM)*('Dvd Calendar'!$T$359&lt;=GRID_TO)*('Dvd Calendar'!$T$359&gt;VAL_DATE)=0,"",'Dvd Calendar'!$T$359*1000000000+ISNUMBER('Dvd Calendar'!$T$360)*100000000+0*10000000+(N('Dvd Calendar'!$T$358)&gt;0)*(N('Dvd Calendar'!$T$358)&lt;=VAL_SERIAL)*1000000+32*1000+56))</f>
        <v/>
      </c>
      <c r="GI43" s="35">
        <f>IF(N('Dvd Calendar'!$U$359)=0,"",IF(('Dvd Calendar'!$U$359&gt;=GRID_FROM)*('Dvd Calendar'!$U$359&lt;=GRID_TO)*('Dvd Calendar'!$U$359&gt;VAL_DATE)=0,"",'Dvd Calendar'!$U$359*1000000000+ISNUMBER('Dvd Calendar'!$U$360)*100000000+0*10000000+(N('Dvd Calendar'!$U$358)&gt;0)*(N('Dvd Calendar'!$U$358)&lt;=VAL_SERIAL)*1000000+32*1000+57))</f>
        <v/>
      </c>
      <c r="GJ43" s="35">
        <f>IF(N('Dvd Calendar'!$V$359)=0,"",IF(('Dvd Calendar'!$V$359&gt;=GRID_FROM)*('Dvd Calendar'!$V$359&lt;=GRID_TO)*('Dvd Calendar'!$V$359&gt;VAL_DATE)=0,"",'Dvd Calendar'!$V$359*1000000000+ISNUMBER('Dvd Calendar'!$V$360)*100000000+0*10000000+(N('Dvd Calendar'!$V$358)&gt;0)*(N('Dvd Calendar'!$V$358)&lt;=VAL_SERIAL)*1000000+32*1000+58))</f>
        <v/>
      </c>
      <c r="GK43" s="35">
        <f>IF(N('Dvd Calendar'!$W$359)=0,"",IF(('Dvd Calendar'!$W$359&gt;=GRID_FROM)*('Dvd Calendar'!$W$359&lt;=GRID_TO)*('Dvd Calendar'!$W$359&gt;VAL_DATE)=0,"",'Dvd Calendar'!$W$359*1000000000+ISNUMBER('Dvd Calendar'!$W$360)*100000000+0*10000000+(N('Dvd Calendar'!$W$358)&gt;0)*(N('Dvd Calendar'!$W$358)&lt;=VAL_SERIAL)*1000000+32*1000+59))</f>
        <v/>
      </c>
      <c r="GL43" s="35">
        <f>IF(N('Dvd Calendar'!$X$359)=0,"",IF(('Dvd Calendar'!$X$359&gt;=GRID_FROM)*('Dvd Calendar'!$X$359&lt;=GRID_TO)*('Dvd Calendar'!$X$359&gt;VAL_DATE)=0,"",'Dvd Calendar'!$X$359*1000000000+ISNUMBER('Dvd Calendar'!$X$360)*100000000+0*10000000+(N('Dvd Calendar'!$X$358)&gt;0)*(N('Dvd Calendar'!$X$358)&lt;=VAL_SERIAL)*1000000+32*1000+60))</f>
        <v/>
      </c>
      <c r="GM43" s="35">
        <f>IF(N('Dvd Calendar'!$Y$359)=0,"",IF(('Dvd Calendar'!$Y$359&gt;=GRID_FROM)*('Dvd Calendar'!$Y$359&lt;=GRID_TO)*('Dvd Calendar'!$Y$359&gt;VAL_DATE)=0,"",'Dvd Calendar'!$Y$359*1000000000+ISNUMBER('Dvd Calendar'!$Y$360)*100000000+0*10000000+(N('Dvd Calendar'!$Y$358)&gt;0)*(N('Dvd Calendar'!$Y$358)&lt;=VAL_SERIAL)*1000000+32*1000+61))</f>
        <v/>
      </c>
      <c r="GN43" s="35">
        <f>IF(N('Dvd Calendar'!$Z$359)=0,"",IF(('Dvd Calendar'!$Z$359&gt;=GRID_FROM)*('Dvd Calendar'!$Z$359&lt;=GRID_TO)*('Dvd Calendar'!$Z$359&gt;VAL_DATE)=0,"",'Dvd Calendar'!$Z$359*1000000000+ISNUMBER('Dvd Calendar'!$Z$360)*100000000+0*10000000+(N('Dvd Calendar'!$Z$358)&gt;0)*(N('Dvd Calendar'!$Z$358)&lt;=VAL_SERIAL)*1000000+32*1000+62))</f>
        <v/>
      </c>
      <c r="GO43" s="35">
        <f>IF(N('Dvd Calendar'!$AA$359)=0,"",IF(('Dvd Calendar'!$AA$359&gt;=GRID_FROM)*('Dvd Calendar'!$AA$359&lt;=GRID_TO)*('Dvd Calendar'!$AA$359&gt;VAL_DATE)=0,"",'Dvd Calendar'!$AA$359*1000000000+ISNUMBER('Dvd Calendar'!$AA$360)*100000000+0*10000000+(N('Dvd Calendar'!$AA$358)&gt;0)*(N('Dvd Calendar'!$AA$358)&lt;=VAL_SERIAL)*1000000+32*1000+63))</f>
        <v/>
      </c>
      <c r="GP43" s="35">
        <f>IF(N('Dvd Calendar'!$AB$359)=0,"",IF(('Dvd Calendar'!$AB$359&gt;=GRID_FROM)*('Dvd Calendar'!$AB$359&lt;=GRID_TO)*('Dvd Calendar'!$AB$359&gt;VAL_DATE)=0,"",'Dvd Calendar'!$AB$359*1000000000+ISNUMBER('Dvd Calendar'!$AB$360)*100000000+0*10000000+(N('Dvd Calendar'!$AB$358)&gt;0)*(N('Dvd Calendar'!$AB$358)&lt;=VAL_SERIAL)*1000000+32*1000+64))</f>
        <v/>
      </c>
      <c r="GQ43" s="35">
        <f>IF(N('Dvd Calendar'!$AC$359)=0,"",IF(('Dvd Calendar'!$AC$359&gt;=GRID_FROM)*('Dvd Calendar'!$AC$359&lt;=GRID_TO)*('Dvd Calendar'!$AC$359&gt;VAL_DATE)=0,"",'Dvd Calendar'!$AC$359*1000000000+ISNUMBER('Dvd Calendar'!$AC$360)*100000000+0*10000000+(N('Dvd Calendar'!$AC$358)&gt;0)*(N('Dvd Calendar'!$AC$358)&lt;=VAL_SERIAL)*1000000+32*1000+65))</f>
        <v/>
      </c>
    </row>
    <row r="44">
      <c r="B44" s="2">
        <f>IF(HSI!$C$39="","",HSI!$C$39)</f>
        <v/>
      </c>
      <c r="C44" s="106">
        <f>IF(EE44="","",IF(ISNUMBER('Dvd Calendar'!$E$366)=FALSE,"",IF((('Dvd Calendar'!$E$368=TYPE1)*(TYPE1&lt;&gt;"")+('Dvd Calendar'!$E$368=TYPE2)*(TYPE2&lt;&gt;"")+('Dvd Calendar'!$E$368=TYPE3)*(TYPE3&lt;&gt;"")+('Dvd Calendar'!$E$368=TYPE4)*(TYPE4&lt;&gt;"")+('Dvd Calendar'!$E$368=SPECIAL_LBL)*(INC_SPECIALS="Y"))=0,"",'Dvd Calendar'!$E$366)))</f>
        <v/>
      </c>
      <c r="D44" s="106">
        <f>IF(EF44="","",IF(ISNUMBER('Dvd Calendar'!$F$366)=FALSE,"",IF((('Dvd Calendar'!$F$368=TYPE1)*(TYPE1&lt;&gt;"")+('Dvd Calendar'!$F$368=TYPE2)*(TYPE2&lt;&gt;"")+('Dvd Calendar'!$F$368=TYPE3)*(TYPE3&lt;&gt;"")+('Dvd Calendar'!$F$368=TYPE4)*(TYPE4&lt;&gt;"")+('Dvd Calendar'!$F$368=SPECIAL_LBL)*(INC_SPECIALS="Y"))=0,"",'Dvd Calendar'!$F$366)))</f>
        <v/>
      </c>
      <c r="E44" s="106">
        <f>IF(EG44="","",IF(ISNUMBER('Dvd Calendar'!$G$366)=FALSE,"",IF((('Dvd Calendar'!$G$368=TYPE1)*(TYPE1&lt;&gt;"")+('Dvd Calendar'!$G$368=TYPE2)*(TYPE2&lt;&gt;"")+('Dvd Calendar'!$G$368=TYPE3)*(TYPE3&lt;&gt;"")+('Dvd Calendar'!$G$368=TYPE4)*(TYPE4&lt;&gt;"")+('Dvd Calendar'!$G$368=SPECIAL_LBL)*(INC_SPECIALS="Y"))=0,"",'Dvd Calendar'!$G$366)))</f>
        <v/>
      </c>
      <c r="F44" s="106">
        <f>IF(EH44="","",IF(ISNUMBER('Dvd Calendar'!$H$366)=FALSE,"",IF((('Dvd Calendar'!$H$368=TYPE1)*(TYPE1&lt;&gt;"")+('Dvd Calendar'!$H$368=TYPE2)*(TYPE2&lt;&gt;"")+('Dvd Calendar'!$H$368=TYPE3)*(TYPE3&lt;&gt;"")+('Dvd Calendar'!$H$368=TYPE4)*(TYPE4&lt;&gt;"")+('Dvd Calendar'!$H$368=SPECIAL_LBL)*(INC_SPECIALS="Y"))=0,"",'Dvd Calendar'!$H$366)))</f>
        <v/>
      </c>
      <c r="G44" s="106">
        <f>IF(EI44="","",IF(ISNUMBER('Dvd Calendar'!$I$366)=FALSE,"",IF((('Dvd Calendar'!$I$368=TYPE1)*(TYPE1&lt;&gt;"")+('Dvd Calendar'!$I$368=TYPE2)*(TYPE2&lt;&gt;"")+('Dvd Calendar'!$I$368=TYPE3)*(TYPE3&lt;&gt;"")+('Dvd Calendar'!$I$368=TYPE4)*(TYPE4&lt;&gt;"")+('Dvd Calendar'!$I$368=SPECIAL_LBL)*(INC_SPECIALS="Y"))=0,"",'Dvd Calendar'!$I$366)))</f>
        <v/>
      </c>
      <c r="H44" s="106">
        <f>IF(EJ44="","",IF(ISNUMBER('Dvd Calendar'!$J$366)=FALSE,"",IF((('Dvd Calendar'!$J$368=TYPE1)*(TYPE1&lt;&gt;"")+('Dvd Calendar'!$J$368=TYPE2)*(TYPE2&lt;&gt;"")+('Dvd Calendar'!$J$368=TYPE3)*(TYPE3&lt;&gt;"")+('Dvd Calendar'!$J$368=TYPE4)*(TYPE4&lt;&gt;"")+('Dvd Calendar'!$J$368=SPECIAL_LBL)*(INC_SPECIALS="Y"))=0,"",'Dvd Calendar'!$J$366)))</f>
        <v/>
      </c>
      <c r="I44" s="106">
        <f>IF(EK44="","",IF(ISNUMBER('Dvd Calendar'!$K$366)=FALSE,"",IF((('Dvd Calendar'!$K$368=TYPE1)*(TYPE1&lt;&gt;"")+('Dvd Calendar'!$K$368=TYPE2)*(TYPE2&lt;&gt;"")+('Dvd Calendar'!$K$368=TYPE3)*(TYPE3&lt;&gt;"")+('Dvd Calendar'!$K$368=TYPE4)*(TYPE4&lt;&gt;"")+('Dvd Calendar'!$K$368=SPECIAL_LBL)*(INC_SPECIALS="Y"))=0,"",'Dvd Calendar'!$K$366)))</f>
        <v/>
      </c>
      <c r="J44" s="106">
        <f>IF(EL44="","",IF(ISNUMBER('Dvd Calendar'!$L$366)=FALSE,"",IF((('Dvd Calendar'!$L$368=TYPE1)*(TYPE1&lt;&gt;"")+('Dvd Calendar'!$L$368=TYPE2)*(TYPE2&lt;&gt;"")+('Dvd Calendar'!$L$368=TYPE3)*(TYPE3&lt;&gt;"")+('Dvd Calendar'!$L$368=TYPE4)*(TYPE4&lt;&gt;"")+('Dvd Calendar'!$L$368=SPECIAL_LBL)*(INC_SPECIALS="Y"))=0,"",'Dvd Calendar'!$L$366)))</f>
        <v/>
      </c>
      <c r="K44" s="106">
        <f>IF(EM44="","",IF(ISNUMBER('Dvd Calendar'!$M$366)=FALSE,"",IF((('Dvd Calendar'!$M$368=TYPE1)*(TYPE1&lt;&gt;"")+('Dvd Calendar'!$M$368=TYPE2)*(TYPE2&lt;&gt;"")+('Dvd Calendar'!$M$368=TYPE3)*(TYPE3&lt;&gt;"")+('Dvd Calendar'!$M$368=TYPE4)*(TYPE4&lt;&gt;"")+('Dvd Calendar'!$M$368=SPECIAL_LBL)*(INC_SPECIALS="Y"))=0,"",'Dvd Calendar'!$M$366)))</f>
        <v/>
      </c>
      <c r="L44" s="106">
        <f>IF(EN44="","",IF(ISNUMBER('Dvd Calendar'!$N$366)=FALSE,"",IF((('Dvd Calendar'!$N$368=TYPE1)*(TYPE1&lt;&gt;"")+('Dvd Calendar'!$N$368=TYPE2)*(TYPE2&lt;&gt;"")+('Dvd Calendar'!$N$368=TYPE3)*(TYPE3&lt;&gt;"")+('Dvd Calendar'!$N$368=TYPE4)*(TYPE4&lt;&gt;"")+('Dvd Calendar'!$N$368=SPECIAL_LBL)*(INC_SPECIALS="Y"))=0,"",'Dvd Calendar'!$N$366)))</f>
        <v/>
      </c>
      <c r="M44" s="106">
        <f>IF(EO44="","",IF(ISNUMBER('Dvd Calendar'!$O$366)=FALSE,"",IF((('Dvd Calendar'!$O$368=TYPE1)*(TYPE1&lt;&gt;"")+('Dvd Calendar'!$O$368=TYPE2)*(TYPE2&lt;&gt;"")+('Dvd Calendar'!$O$368=TYPE3)*(TYPE3&lt;&gt;"")+('Dvd Calendar'!$O$368=TYPE4)*(TYPE4&lt;&gt;"")+('Dvd Calendar'!$O$368=SPECIAL_LBL)*(INC_SPECIALS="Y"))=0,"",'Dvd Calendar'!$O$366)))</f>
        <v/>
      </c>
      <c r="N44" s="106">
        <f>IF(EP44="","",IF(ISNUMBER('Dvd Calendar'!$P$366)=FALSE,"",IF((('Dvd Calendar'!$P$368=TYPE1)*(TYPE1&lt;&gt;"")+('Dvd Calendar'!$P$368=TYPE2)*(TYPE2&lt;&gt;"")+('Dvd Calendar'!$P$368=TYPE3)*(TYPE3&lt;&gt;"")+('Dvd Calendar'!$P$368=TYPE4)*(TYPE4&lt;&gt;"")+('Dvd Calendar'!$P$368=SPECIAL_LBL)*(INC_SPECIALS="Y"))=0,"",'Dvd Calendar'!$P$366)))</f>
        <v/>
      </c>
      <c r="O44" s="106">
        <f>IF(EQ44="","",IF(ISNUMBER('Dvd Calendar'!$Q$366)=FALSE,"",IF((('Dvd Calendar'!$Q$368=TYPE1)*(TYPE1&lt;&gt;"")+('Dvd Calendar'!$Q$368=TYPE2)*(TYPE2&lt;&gt;"")+('Dvd Calendar'!$Q$368=TYPE3)*(TYPE3&lt;&gt;"")+('Dvd Calendar'!$Q$368=TYPE4)*(TYPE4&lt;&gt;"")+('Dvd Calendar'!$Q$368=SPECIAL_LBL)*(INC_SPECIALS="Y"))=0,"",'Dvd Calendar'!$Q$366)))</f>
        <v/>
      </c>
      <c r="P44" s="106">
        <f>IF(ER44="","",IF(ISNUMBER('Dvd Calendar'!$R$366)=FALSE,"",IF((('Dvd Calendar'!$R$368=TYPE1)*(TYPE1&lt;&gt;"")+('Dvd Calendar'!$R$368=TYPE2)*(TYPE2&lt;&gt;"")+('Dvd Calendar'!$R$368=TYPE3)*(TYPE3&lt;&gt;"")+('Dvd Calendar'!$R$368=TYPE4)*(TYPE4&lt;&gt;"")+('Dvd Calendar'!$R$368=SPECIAL_LBL)*(INC_SPECIALS="Y"))=0,"",'Dvd Calendar'!$R$366)))</f>
        <v/>
      </c>
      <c r="Q44" s="106">
        <f>IF(ES44="","",IF(ISNUMBER('Dvd Calendar'!$S$366)=FALSE,"",IF((('Dvd Calendar'!$S$368=TYPE1)*(TYPE1&lt;&gt;"")+('Dvd Calendar'!$S$368=TYPE2)*(TYPE2&lt;&gt;"")+('Dvd Calendar'!$S$368=TYPE3)*(TYPE3&lt;&gt;"")+('Dvd Calendar'!$S$368=TYPE4)*(TYPE4&lt;&gt;"")+('Dvd Calendar'!$S$368=SPECIAL_LBL)*(INC_SPECIALS="Y"))=0,"",'Dvd Calendar'!$S$366)))</f>
        <v/>
      </c>
      <c r="R44" s="106">
        <f>IF(ET44="","",IF(ISNUMBER('Dvd Calendar'!$T$366)=FALSE,"",IF((('Dvd Calendar'!$T$368=TYPE1)*(TYPE1&lt;&gt;"")+('Dvd Calendar'!$T$368=TYPE2)*(TYPE2&lt;&gt;"")+('Dvd Calendar'!$T$368=TYPE3)*(TYPE3&lt;&gt;"")+('Dvd Calendar'!$T$368=TYPE4)*(TYPE4&lt;&gt;"")+('Dvd Calendar'!$T$368=SPECIAL_LBL)*(INC_SPECIALS="Y"))=0,"",'Dvd Calendar'!$T$366)))</f>
        <v/>
      </c>
      <c r="S44" s="106">
        <f>IF(EU44="","",IF(ISNUMBER('Dvd Calendar'!$U$366)=FALSE,"",IF((('Dvd Calendar'!$U$368=TYPE1)*(TYPE1&lt;&gt;"")+('Dvd Calendar'!$U$368=TYPE2)*(TYPE2&lt;&gt;"")+('Dvd Calendar'!$U$368=TYPE3)*(TYPE3&lt;&gt;"")+('Dvd Calendar'!$U$368=TYPE4)*(TYPE4&lt;&gt;"")+('Dvd Calendar'!$U$368=SPECIAL_LBL)*(INC_SPECIALS="Y"))=0,"",'Dvd Calendar'!$U$366)))</f>
        <v/>
      </c>
      <c r="T44" s="106">
        <f>IF(EV44="","",IF(ISNUMBER('Dvd Calendar'!$V$366)=FALSE,"",IF((('Dvd Calendar'!$V$368=TYPE1)*(TYPE1&lt;&gt;"")+('Dvd Calendar'!$V$368=TYPE2)*(TYPE2&lt;&gt;"")+('Dvd Calendar'!$V$368=TYPE3)*(TYPE3&lt;&gt;"")+('Dvd Calendar'!$V$368=TYPE4)*(TYPE4&lt;&gt;"")+('Dvd Calendar'!$V$368=SPECIAL_LBL)*(INC_SPECIALS="Y"))=0,"",'Dvd Calendar'!$V$366)))</f>
        <v/>
      </c>
      <c r="U44" s="106">
        <f>IF(EW44="","",IF(ISNUMBER('Dvd Calendar'!$W$366)=FALSE,"",IF((('Dvd Calendar'!$W$368=TYPE1)*(TYPE1&lt;&gt;"")+('Dvd Calendar'!$W$368=TYPE2)*(TYPE2&lt;&gt;"")+('Dvd Calendar'!$W$368=TYPE3)*(TYPE3&lt;&gt;"")+('Dvd Calendar'!$W$368=TYPE4)*(TYPE4&lt;&gt;"")+('Dvd Calendar'!$W$368=SPECIAL_LBL)*(INC_SPECIALS="Y"))=0,"",'Dvd Calendar'!$W$366)))</f>
        <v/>
      </c>
      <c r="V44" s="106">
        <f>IF(EX44="","",IF(ISNUMBER('Dvd Calendar'!$X$366)=FALSE,"",IF((('Dvd Calendar'!$X$368=TYPE1)*(TYPE1&lt;&gt;"")+('Dvd Calendar'!$X$368=TYPE2)*(TYPE2&lt;&gt;"")+('Dvd Calendar'!$X$368=TYPE3)*(TYPE3&lt;&gt;"")+('Dvd Calendar'!$X$368=TYPE4)*(TYPE4&lt;&gt;"")+('Dvd Calendar'!$X$368=SPECIAL_LBL)*(INC_SPECIALS="Y"))=0,"",'Dvd Calendar'!$X$366)))</f>
        <v/>
      </c>
      <c r="W44" s="106">
        <f>IF(EY44="","",IF(ISNUMBER('Dvd Calendar'!$Y$366)=FALSE,"",IF((('Dvd Calendar'!$Y$368=TYPE1)*(TYPE1&lt;&gt;"")+('Dvd Calendar'!$Y$368=TYPE2)*(TYPE2&lt;&gt;"")+('Dvd Calendar'!$Y$368=TYPE3)*(TYPE3&lt;&gt;"")+('Dvd Calendar'!$Y$368=TYPE4)*(TYPE4&lt;&gt;"")+('Dvd Calendar'!$Y$368=SPECIAL_LBL)*(INC_SPECIALS="Y"))=0,"",'Dvd Calendar'!$Y$366)))</f>
        <v/>
      </c>
      <c r="X44" s="106">
        <f>IF(EZ44="","",IF(ISNUMBER('Dvd Calendar'!$Z$366)=FALSE,"",IF((('Dvd Calendar'!$Z$368=TYPE1)*(TYPE1&lt;&gt;"")+('Dvd Calendar'!$Z$368=TYPE2)*(TYPE2&lt;&gt;"")+('Dvd Calendar'!$Z$368=TYPE3)*(TYPE3&lt;&gt;"")+('Dvd Calendar'!$Z$368=TYPE4)*(TYPE4&lt;&gt;"")+('Dvd Calendar'!$Z$368=SPECIAL_LBL)*(INC_SPECIALS="Y"))=0,"",'Dvd Calendar'!$Z$366)))</f>
        <v/>
      </c>
      <c r="Y44" s="106">
        <f>IF(FA44="","",IF(ISNUMBER('Dvd Calendar'!$AA$366)=FALSE,"",IF((('Dvd Calendar'!$AA$368=TYPE1)*(TYPE1&lt;&gt;"")+('Dvd Calendar'!$AA$368=TYPE2)*(TYPE2&lt;&gt;"")+('Dvd Calendar'!$AA$368=TYPE3)*(TYPE3&lt;&gt;"")+('Dvd Calendar'!$AA$368=TYPE4)*(TYPE4&lt;&gt;"")+('Dvd Calendar'!$AA$368=SPECIAL_LBL)*(INC_SPECIALS="Y"))=0,"",'Dvd Calendar'!$AA$366)))</f>
        <v/>
      </c>
      <c r="Z44" s="106">
        <f>IF(FB44="","",IF(ISNUMBER('Dvd Calendar'!$AB$366)=FALSE,"",IF((('Dvd Calendar'!$AB$368=TYPE1)*(TYPE1&lt;&gt;"")+('Dvd Calendar'!$AB$368=TYPE2)*(TYPE2&lt;&gt;"")+('Dvd Calendar'!$AB$368=TYPE3)*(TYPE3&lt;&gt;"")+('Dvd Calendar'!$AB$368=TYPE4)*(TYPE4&lt;&gt;"")+('Dvd Calendar'!$AB$368=SPECIAL_LBL)*(INC_SPECIALS="Y"))=0,"",'Dvd Calendar'!$AB$366)))</f>
        <v/>
      </c>
      <c r="AA44" s="106">
        <f>IF(FC44="","",IF(ISNUMBER('Dvd Calendar'!$AC$366)=FALSE,"",IF((('Dvd Calendar'!$AC$368=TYPE1)*(TYPE1&lt;&gt;"")+('Dvd Calendar'!$AC$368=TYPE2)*(TYPE2&lt;&gt;"")+('Dvd Calendar'!$AC$368=TYPE3)*(TYPE3&lt;&gt;"")+('Dvd Calendar'!$AC$368=TYPE4)*(TYPE4&lt;&gt;"")+('Dvd Calendar'!$AC$368=SPECIAL_LBL)*(INC_SPECIALS="Y"))=0,"",'Dvd Calendar'!$AC$366)))</f>
        <v/>
      </c>
      <c r="AB44" s="106">
        <f>IF(FD44="","",IF(ISNUMBER('Dvd Calendar'!$AD$366)=FALSE,"",IF((('Dvd Calendar'!$AD$368=TYPE1)*(TYPE1&lt;&gt;"")+('Dvd Calendar'!$AD$368=TYPE2)*(TYPE2&lt;&gt;"")+('Dvd Calendar'!$AD$368=TYPE3)*(TYPE3&lt;&gt;"")+('Dvd Calendar'!$AD$368=TYPE4)*(TYPE4&lt;&gt;"")+('Dvd Calendar'!$AD$368=SPECIAL_LBL)*(INC_SPECIALS="Y"))=0,"",'Dvd Calendar'!$AD$366)))</f>
        <v/>
      </c>
      <c r="AC44" s="106">
        <f>IF(FE44="","",IF(ISNUMBER('Dvd Calendar'!$AE$366)=FALSE,"",IF((('Dvd Calendar'!$AE$368=TYPE1)*(TYPE1&lt;&gt;"")+('Dvd Calendar'!$AE$368=TYPE2)*(TYPE2&lt;&gt;"")+('Dvd Calendar'!$AE$368=TYPE3)*(TYPE3&lt;&gt;"")+('Dvd Calendar'!$AE$368=TYPE4)*(TYPE4&lt;&gt;"")+('Dvd Calendar'!$AE$368=SPECIAL_LBL)*(INC_SPECIALS="Y"))=0,"",'Dvd Calendar'!$AE$366)))</f>
        <v/>
      </c>
      <c r="AD44" s="106">
        <f>IF(FF44="","",IF(ISNUMBER('Dvd Calendar'!$AF$366)=FALSE,"",IF((('Dvd Calendar'!$AF$368=TYPE1)*(TYPE1&lt;&gt;"")+('Dvd Calendar'!$AF$368=TYPE2)*(TYPE2&lt;&gt;"")+('Dvd Calendar'!$AF$368=TYPE3)*(TYPE3&lt;&gt;"")+('Dvd Calendar'!$AF$368=TYPE4)*(TYPE4&lt;&gt;"")+('Dvd Calendar'!$AF$368=SPECIAL_LBL)*(INC_SPECIALS="Y"))=0,"",'Dvd Calendar'!$AF$366)))</f>
        <v/>
      </c>
      <c r="AE44" s="106">
        <f>IF(FG44="","",IF(ISNUMBER('Dvd Calendar'!$AG$366)=FALSE,"",IF((('Dvd Calendar'!$AG$368=TYPE1)*(TYPE1&lt;&gt;"")+('Dvd Calendar'!$AG$368=TYPE2)*(TYPE2&lt;&gt;"")+('Dvd Calendar'!$AG$368=TYPE3)*(TYPE3&lt;&gt;"")+('Dvd Calendar'!$AG$368=TYPE4)*(TYPE4&lt;&gt;"")+('Dvd Calendar'!$AG$368=SPECIAL_LBL)*(INC_SPECIALS="Y"))=0,"",'Dvd Calendar'!$AG$366)))</f>
        <v/>
      </c>
      <c r="AF44" s="106">
        <f>IF(FH44="","",IF(ISNUMBER('Dvd Calendar'!$AH$366)=FALSE,"",IF((('Dvd Calendar'!$AH$368=TYPE1)*(TYPE1&lt;&gt;"")+('Dvd Calendar'!$AH$368=TYPE2)*(TYPE2&lt;&gt;"")+('Dvd Calendar'!$AH$368=TYPE3)*(TYPE3&lt;&gt;"")+('Dvd Calendar'!$AH$368=TYPE4)*(TYPE4&lt;&gt;"")+('Dvd Calendar'!$AH$368=SPECIAL_LBL)*(INC_SPECIALS="Y"))=0,"",'Dvd Calendar'!$AH$366)))</f>
        <v/>
      </c>
      <c r="AG44" s="106">
        <f>IF(FI44="","",IF(ISNUMBER('Dvd Calendar'!$AI$366)=FALSE,"",IF((('Dvd Calendar'!$AI$368=TYPE1)*(TYPE1&lt;&gt;"")+('Dvd Calendar'!$AI$368=TYPE2)*(TYPE2&lt;&gt;"")+('Dvd Calendar'!$AI$368=TYPE3)*(TYPE3&lt;&gt;"")+('Dvd Calendar'!$AI$368=TYPE4)*(TYPE4&lt;&gt;"")+('Dvd Calendar'!$AI$368=SPECIAL_LBL)*(INC_SPECIALS="Y"))=0,"",'Dvd Calendar'!$AI$366)))</f>
        <v/>
      </c>
      <c r="AH44" s="106">
        <f>IF(FJ44="","",IF(ISNUMBER('Dvd Calendar'!$AJ$366)=FALSE,"",IF((('Dvd Calendar'!$AJ$368=TYPE1)*(TYPE1&lt;&gt;"")+('Dvd Calendar'!$AJ$368=TYPE2)*(TYPE2&lt;&gt;"")+('Dvd Calendar'!$AJ$368=TYPE3)*(TYPE3&lt;&gt;"")+('Dvd Calendar'!$AJ$368=TYPE4)*(TYPE4&lt;&gt;"")+('Dvd Calendar'!$AJ$368=SPECIAL_LBL)*(INC_SPECIALS="Y"))=0,"",'Dvd Calendar'!$AJ$366)))</f>
        <v/>
      </c>
      <c r="AI44" s="106">
        <f>IF(FK44="","",IF(ISNUMBER('Dvd Calendar'!$AK$366)=FALSE,"",IF((('Dvd Calendar'!$AK$368=TYPE1)*(TYPE1&lt;&gt;"")+('Dvd Calendar'!$AK$368=TYPE2)*(TYPE2&lt;&gt;"")+('Dvd Calendar'!$AK$368=TYPE3)*(TYPE3&lt;&gt;"")+('Dvd Calendar'!$AK$368=TYPE4)*(TYPE4&lt;&gt;"")+('Dvd Calendar'!$AK$368=SPECIAL_LBL)*(INC_SPECIALS="Y"))=0,"",'Dvd Calendar'!$AK$366)))</f>
        <v/>
      </c>
      <c r="AJ44" s="106">
        <f>IF(FL44="","",IF(ISNUMBER('Dvd Calendar'!$AL$366)=FALSE,"",IF((('Dvd Calendar'!$AL$368=TYPE1)*(TYPE1&lt;&gt;"")+('Dvd Calendar'!$AL$368=TYPE2)*(TYPE2&lt;&gt;"")+('Dvd Calendar'!$AL$368=TYPE3)*(TYPE3&lt;&gt;"")+('Dvd Calendar'!$AL$368=TYPE4)*(TYPE4&lt;&gt;"")+('Dvd Calendar'!$AL$368=SPECIAL_LBL)*(INC_SPECIALS="Y"))=0,"",'Dvd Calendar'!$AL$366)))</f>
        <v/>
      </c>
      <c r="AK44" s="106">
        <f>IF(FM44="","",IF(ISNUMBER('Dvd Calendar'!$AM$366)=FALSE,"",IF((('Dvd Calendar'!$AM$368=TYPE1)*(TYPE1&lt;&gt;"")+('Dvd Calendar'!$AM$368=TYPE2)*(TYPE2&lt;&gt;"")+('Dvd Calendar'!$AM$368=TYPE3)*(TYPE3&lt;&gt;"")+('Dvd Calendar'!$AM$368=TYPE4)*(TYPE4&lt;&gt;"")+('Dvd Calendar'!$AM$368=SPECIAL_LBL)*(INC_SPECIALS="Y"))=0,"",'Dvd Calendar'!$AM$366)))</f>
        <v/>
      </c>
      <c r="AL44" s="106">
        <f>IF(FN44="","",IF(ISNUMBER('Dvd Calendar'!$AN$366)=FALSE,"",IF((('Dvd Calendar'!$AN$368=TYPE1)*(TYPE1&lt;&gt;"")+('Dvd Calendar'!$AN$368=TYPE2)*(TYPE2&lt;&gt;"")+('Dvd Calendar'!$AN$368=TYPE3)*(TYPE3&lt;&gt;"")+('Dvd Calendar'!$AN$368=TYPE4)*(TYPE4&lt;&gt;"")+('Dvd Calendar'!$AN$368=SPECIAL_LBL)*(INC_SPECIALS="Y"))=0,"",'Dvd Calendar'!$AN$366)))</f>
        <v/>
      </c>
      <c r="AM44" s="106">
        <f>IF(FO44="","",IF(ISNUMBER('Dvd Calendar'!$AO$366)=FALSE,"",IF((('Dvd Calendar'!$AO$368=TYPE1)*(TYPE1&lt;&gt;"")+('Dvd Calendar'!$AO$368=TYPE2)*(TYPE2&lt;&gt;"")+('Dvd Calendar'!$AO$368=TYPE3)*(TYPE3&lt;&gt;"")+('Dvd Calendar'!$AO$368=TYPE4)*(TYPE4&lt;&gt;"")+('Dvd Calendar'!$AO$368=SPECIAL_LBL)*(INC_SPECIALS="Y"))=0,"",'Dvd Calendar'!$AO$366)))</f>
        <v/>
      </c>
      <c r="AN44" s="106">
        <f>IF(FP44="","",IF(ISNUMBER('Dvd Calendar'!$AP$366)=FALSE,"",IF((('Dvd Calendar'!$AP$368=TYPE1)*(TYPE1&lt;&gt;"")+('Dvd Calendar'!$AP$368=TYPE2)*(TYPE2&lt;&gt;"")+('Dvd Calendar'!$AP$368=TYPE3)*(TYPE3&lt;&gt;"")+('Dvd Calendar'!$AP$368=TYPE4)*(TYPE4&lt;&gt;"")+('Dvd Calendar'!$AP$368=SPECIAL_LBL)*(INC_SPECIALS="Y"))=0,"",'Dvd Calendar'!$AP$366)))</f>
        <v/>
      </c>
      <c r="AO44" s="106">
        <f>IF(FQ44="","",IF(ISNUMBER('Dvd Calendar'!$AQ$366)=FALSE,"",IF((('Dvd Calendar'!$AQ$368=TYPE1)*(TYPE1&lt;&gt;"")+('Dvd Calendar'!$AQ$368=TYPE2)*(TYPE2&lt;&gt;"")+('Dvd Calendar'!$AQ$368=TYPE3)*(TYPE3&lt;&gt;"")+('Dvd Calendar'!$AQ$368=TYPE4)*(TYPE4&lt;&gt;"")+('Dvd Calendar'!$AQ$368=SPECIAL_LBL)*(INC_SPECIALS="Y"))=0,"",'Dvd Calendar'!$AQ$366)))</f>
        <v/>
      </c>
      <c r="AP44" s="106">
        <f>IF(FR44="","",IF(ISNUMBER('Dvd Calendar'!$AR$366)=FALSE,"",IF((('Dvd Calendar'!$AR$368=TYPE1)*(TYPE1&lt;&gt;"")+('Dvd Calendar'!$AR$368=TYPE2)*(TYPE2&lt;&gt;"")+('Dvd Calendar'!$AR$368=TYPE3)*(TYPE3&lt;&gt;"")+('Dvd Calendar'!$AR$368=TYPE4)*(TYPE4&lt;&gt;"")+('Dvd Calendar'!$AR$368=SPECIAL_LBL)*(INC_SPECIALS="Y"))=0,"",'Dvd Calendar'!$AR$366)))</f>
        <v/>
      </c>
      <c r="AQ44" s="106">
        <f>IF(FS44="","",IF(ISNUMBER('Dvd Calendar'!$E$371)=FALSE,"",'Dvd Calendar'!$E$371))</f>
        <v/>
      </c>
      <c r="AR44" s="106">
        <f>IF(FT44="","",IF(ISNUMBER('Dvd Calendar'!$F$371)=FALSE,"",'Dvd Calendar'!$F$371))</f>
        <v/>
      </c>
      <c r="AS44" s="106">
        <f>IF(FU44="","",IF(ISNUMBER('Dvd Calendar'!$G$371)=FALSE,"",'Dvd Calendar'!$G$371))</f>
        <v/>
      </c>
      <c r="AT44" s="106">
        <f>IF(FV44="","",IF(ISNUMBER('Dvd Calendar'!$H$371)=FALSE,"",'Dvd Calendar'!$H$371))</f>
        <v/>
      </c>
      <c r="AU44" s="106">
        <f>IF(FW44="","",IF(ISNUMBER('Dvd Calendar'!$I$371)=FALSE,"",'Dvd Calendar'!$I$371))</f>
        <v/>
      </c>
      <c r="AV44" s="106">
        <f>IF(FX44="","",IF(ISNUMBER('Dvd Calendar'!$J$371)=FALSE,"",'Dvd Calendar'!$J$371))</f>
        <v/>
      </c>
      <c r="AW44" s="106">
        <f>IF(FY44="","",IF(ISNUMBER('Dvd Calendar'!$K$371)=FALSE,"",'Dvd Calendar'!$K$371))</f>
        <v/>
      </c>
      <c r="AX44" s="106">
        <f>IF(FZ44="","",IF(ISNUMBER('Dvd Calendar'!$L$371)=FALSE,"",'Dvd Calendar'!$L$371))</f>
        <v/>
      </c>
      <c r="AY44" s="106">
        <f>IF(GA44="","",IF(ISNUMBER('Dvd Calendar'!$M$371)=FALSE,"",'Dvd Calendar'!$M$371))</f>
        <v/>
      </c>
      <c r="AZ44" s="106">
        <f>IF(GB44="","",IF(ISNUMBER('Dvd Calendar'!$N$371)=FALSE,"",'Dvd Calendar'!$N$371))</f>
        <v/>
      </c>
      <c r="BA44" s="106">
        <f>IF(GC44="","",IF(ISNUMBER('Dvd Calendar'!$O$371)=FALSE,"",'Dvd Calendar'!$O$371))</f>
        <v/>
      </c>
      <c r="BB44" s="106">
        <f>IF(GD44="","",IF(ISNUMBER('Dvd Calendar'!$P$371)=FALSE,"",'Dvd Calendar'!$P$371))</f>
        <v/>
      </c>
      <c r="BC44" s="106">
        <f>IF(GE44="","",IF(ISNUMBER('Dvd Calendar'!$Q$371)=FALSE,"",'Dvd Calendar'!$Q$371))</f>
        <v/>
      </c>
      <c r="BD44" s="106">
        <f>IF(GF44="","",IF(ISNUMBER('Dvd Calendar'!$R$371)=FALSE,"",'Dvd Calendar'!$R$371))</f>
        <v/>
      </c>
      <c r="BE44" s="106">
        <f>IF(GG44="","",IF(ISNUMBER('Dvd Calendar'!$S$371)=FALSE,"",'Dvd Calendar'!$S$371))</f>
        <v/>
      </c>
      <c r="BF44" s="106">
        <f>IF(GH44="","",IF(ISNUMBER('Dvd Calendar'!$T$371)=FALSE,"",'Dvd Calendar'!$T$371))</f>
        <v/>
      </c>
      <c r="BG44" s="106">
        <f>IF(GI44="","",IF(ISNUMBER('Dvd Calendar'!$U$371)=FALSE,"",'Dvd Calendar'!$U$371))</f>
        <v/>
      </c>
      <c r="BH44" s="106">
        <f>IF(GJ44="","",IF(ISNUMBER('Dvd Calendar'!$V$371)=FALSE,"",'Dvd Calendar'!$V$371))</f>
        <v/>
      </c>
      <c r="BI44" s="106">
        <f>IF(GK44="","",IF(ISNUMBER('Dvd Calendar'!$W$371)=FALSE,"",'Dvd Calendar'!$W$371))</f>
        <v/>
      </c>
      <c r="BJ44" s="106">
        <f>IF(GL44="","",IF(ISNUMBER('Dvd Calendar'!$X$371)=FALSE,"",'Dvd Calendar'!$X$371))</f>
        <v/>
      </c>
      <c r="BK44" s="106">
        <f>IF(GM44="","",IF(ISNUMBER('Dvd Calendar'!$Y$371)=FALSE,"",'Dvd Calendar'!$Y$371))</f>
        <v/>
      </c>
      <c r="BL44" s="106">
        <f>IF(GN44="","",IF(ISNUMBER('Dvd Calendar'!$Z$371)=FALSE,"",'Dvd Calendar'!$Z$371))</f>
        <v/>
      </c>
      <c r="BM44" s="106">
        <f>IF(GO44="","",IF(ISNUMBER('Dvd Calendar'!$AA$371)=FALSE,"",'Dvd Calendar'!$AA$371))</f>
        <v/>
      </c>
      <c r="BN44" s="106">
        <f>IF(GP44="","",IF(ISNUMBER('Dvd Calendar'!$AB$371)=FALSE,"",'Dvd Calendar'!$AB$371))</f>
        <v/>
      </c>
      <c r="BO44" s="106">
        <f>IF(GQ44="","",IF(ISNUMBER('Dvd Calendar'!$AC$371)=FALSE,"",'Dvd Calendar'!$AC$371))</f>
        <v/>
      </c>
      <c r="BQ44" s="106">
        <f>IF(C44="","",IFERROR(C44*HSI!$B$39*HSI!$G$39/HSI!$B$3,""))</f>
        <v/>
      </c>
      <c r="BR44" s="106">
        <f>IF(D44="","",IFERROR(D44*HSI!$B$39*HSI!$G$39/HSI!$B$3,""))</f>
        <v/>
      </c>
      <c r="BS44" s="106">
        <f>IF(E44="","",IFERROR(E44*HSI!$B$39*HSI!$G$39/HSI!$B$3,""))</f>
        <v/>
      </c>
      <c r="BT44" s="106">
        <f>IF(F44="","",IFERROR(F44*HSI!$B$39*HSI!$G$39/HSI!$B$3,""))</f>
        <v/>
      </c>
      <c r="BU44" s="106">
        <f>IF(G44="","",IFERROR(G44*HSI!$B$39*HSI!$G$39/HSI!$B$3,""))</f>
        <v/>
      </c>
      <c r="BV44" s="106">
        <f>IF(H44="","",IFERROR(H44*HSI!$B$39*HSI!$G$39/HSI!$B$3,""))</f>
        <v/>
      </c>
      <c r="BW44" s="106">
        <f>IF(I44="","",IFERROR(I44*HSI!$B$39*HSI!$G$39/HSI!$B$3,""))</f>
        <v/>
      </c>
      <c r="BX44" s="106">
        <f>IF(J44="","",IFERROR(J44*HSI!$B$39*HSI!$G$39/HSI!$B$3,""))</f>
        <v/>
      </c>
      <c r="BY44" s="106">
        <f>IF(K44="","",IFERROR(K44*HSI!$B$39*HSI!$G$39/HSI!$B$3,""))</f>
        <v/>
      </c>
      <c r="BZ44" s="106">
        <f>IF(L44="","",IFERROR(L44*HSI!$B$39*HSI!$G$39/HSI!$B$3,""))</f>
        <v/>
      </c>
      <c r="CA44" s="106">
        <f>IF(M44="","",IFERROR(M44*HSI!$B$39*HSI!$G$39/HSI!$B$3,""))</f>
        <v/>
      </c>
      <c r="CB44" s="106">
        <f>IF(N44="","",IFERROR(N44*HSI!$B$39*HSI!$G$39/HSI!$B$3,""))</f>
        <v/>
      </c>
      <c r="CC44" s="106">
        <f>IF(O44="","",IFERROR(O44*HSI!$B$39*HSI!$G$39/HSI!$B$3,""))</f>
        <v/>
      </c>
      <c r="CD44" s="106">
        <f>IF(P44="","",IFERROR(P44*HSI!$B$39*HSI!$G$39/HSI!$B$3,""))</f>
        <v/>
      </c>
      <c r="CE44" s="106">
        <f>IF(Q44="","",IFERROR(Q44*HSI!$B$39*HSI!$G$39/HSI!$B$3,""))</f>
        <v/>
      </c>
      <c r="CF44" s="106">
        <f>IF(R44="","",IFERROR(R44*HSI!$B$39*HSI!$G$39/HSI!$B$3,""))</f>
        <v/>
      </c>
      <c r="CG44" s="106">
        <f>IF(S44="","",IFERROR(S44*HSI!$B$39*HSI!$G$39/HSI!$B$3,""))</f>
        <v/>
      </c>
      <c r="CH44" s="106">
        <f>IF(T44="","",IFERROR(T44*HSI!$B$39*HSI!$G$39/HSI!$B$3,""))</f>
        <v/>
      </c>
      <c r="CI44" s="106">
        <f>IF(U44="","",IFERROR(U44*HSI!$B$39*HSI!$G$39/HSI!$B$3,""))</f>
        <v/>
      </c>
      <c r="CJ44" s="106">
        <f>IF(V44="","",IFERROR(V44*HSI!$B$39*HSI!$G$39/HSI!$B$3,""))</f>
        <v/>
      </c>
      <c r="CK44" s="106">
        <f>IF(W44="","",IFERROR(W44*HSI!$B$39*HSI!$G$39/HSI!$B$3,""))</f>
        <v/>
      </c>
      <c r="CL44" s="106">
        <f>IF(X44="","",IFERROR(X44*HSI!$B$39*HSI!$G$39/HSI!$B$3,""))</f>
        <v/>
      </c>
      <c r="CM44" s="106">
        <f>IF(Y44="","",IFERROR(Y44*HSI!$B$39*HSI!$G$39/HSI!$B$3,""))</f>
        <v/>
      </c>
      <c r="CN44" s="106">
        <f>IF(Z44="","",IFERROR(Z44*HSI!$B$39*HSI!$G$39/HSI!$B$3,""))</f>
        <v/>
      </c>
      <c r="CO44" s="106">
        <f>IF(AA44="","",IFERROR(AA44*HSI!$B$39*HSI!$G$39/HSI!$B$3,""))</f>
        <v/>
      </c>
      <c r="CP44" s="106">
        <f>IF(AB44="","",IFERROR(AB44*HSI!$B$39*HSI!$G$39/HSI!$B$3,""))</f>
        <v/>
      </c>
      <c r="CQ44" s="106">
        <f>IF(AC44="","",IFERROR(AC44*HSI!$B$39*HSI!$G$39/HSI!$B$3,""))</f>
        <v/>
      </c>
      <c r="CR44" s="106">
        <f>IF(AD44="","",IFERROR(AD44*HSI!$B$39*HSI!$G$39/HSI!$B$3,""))</f>
        <v/>
      </c>
      <c r="CS44" s="106">
        <f>IF(AE44="","",IFERROR(AE44*HSI!$B$39*HSI!$G$39/HSI!$B$3,""))</f>
        <v/>
      </c>
      <c r="CT44" s="106">
        <f>IF(AF44="","",IFERROR(AF44*HSI!$B$39*HSI!$G$39/HSI!$B$3,""))</f>
        <v/>
      </c>
      <c r="CU44" s="106">
        <f>IF(AG44="","",IFERROR(AG44*HSI!$B$39*HSI!$G$39/HSI!$B$3,""))</f>
        <v/>
      </c>
      <c r="CV44" s="106">
        <f>IF(AH44="","",IFERROR(AH44*HSI!$B$39*HSI!$G$39/HSI!$B$3,""))</f>
        <v/>
      </c>
      <c r="CW44" s="106">
        <f>IF(AI44="","",IFERROR(AI44*HSI!$B$39*HSI!$G$39/HSI!$B$3,""))</f>
        <v/>
      </c>
      <c r="CX44" s="106">
        <f>IF(AJ44="","",IFERROR(AJ44*HSI!$B$39*HSI!$G$39/HSI!$B$3,""))</f>
        <v/>
      </c>
      <c r="CY44" s="106">
        <f>IF(AK44="","",IFERROR(AK44*HSI!$B$39*HSI!$G$39/HSI!$B$3,""))</f>
        <v/>
      </c>
      <c r="CZ44" s="106">
        <f>IF(AL44="","",IFERROR(AL44*HSI!$B$39*HSI!$G$39/HSI!$B$3,""))</f>
        <v/>
      </c>
      <c r="DA44" s="106">
        <f>IF(AM44="","",IFERROR(AM44*HSI!$B$39*HSI!$G$39/HSI!$B$3,""))</f>
        <v/>
      </c>
      <c r="DB44" s="106">
        <f>IF(AN44="","",IFERROR(AN44*HSI!$B$39*HSI!$G$39/HSI!$B$3,""))</f>
        <v/>
      </c>
      <c r="DC44" s="106">
        <f>IF(AO44="","",IFERROR(AO44*HSI!$B$39*HSI!$G$39/HSI!$B$3,""))</f>
        <v/>
      </c>
      <c r="DD44" s="106">
        <f>IF(AP44="","",IFERROR(AP44*HSI!$B$39*HSI!$G$39/HSI!$B$3,""))</f>
        <v/>
      </c>
      <c r="DE44" s="106">
        <f>IF(AQ44="","",IFERROR(AQ44*HSI!$B$39*HSI!$G$39/HSI!$B$3,""))</f>
        <v/>
      </c>
      <c r="DF44" s="106">
        <f>IF(AR44="","",IFERROR(AR44*HSI!$B$39*HSI!$G$39/HSI!$B$3,""))</f>
        <v/>
      </c>
      <c r="DG44" s="106">
        <f>IF(AS44="","",IFERROR(AS44*HSI!$B$39*HSI!$G$39/HSI!$B$3,""))</f>
        <v/>
      </c>
      <c r="DH44" s="106">
        <f>IF(AT44="","",IFERROR(AT44*HSI!$B$39*HSI!$G$39/HSI!$B$3,""))</f>
        <v/>
      </c>
      <c r="DI44" s="106">
        <f>IF(AU44="","",IFERROR(AU44*HSI!$B$39*HSI!$G$39/HSI!$B$3,""))</f>
        <v/>
      </c>
      <c r="DJ44" s="106">
        <f>IF(AV44="","",IFERROR(AV44*HSI!$B$39*HSI!$G$39/HSI!$B$3,""))</f>
        <v/>
      </c>
      <c r="DK44" s="106">
        <f>IF(AW44="","",IFERROR(AW44*HSI!$B$39*HSI!$G$39/HSI!$B$3,""))</f>
        <v/>
      </c>
      <c r="DL44" s="106">
        <f>IF(AX44="","",IFERROR(AX44*HSI!$B$39*HSI!$G$39/HSI!$B$3,""))</f>
        <v/>
      </c>
      <c r="DM44" s="106">
        <f>IF(AY44="","",IFERROR(AY44*HSI!$B$39*HSI!$G$39/HSI!$B$3,""))</f>
        <v/>
      </c>
      <c r="DN44" s="106">
        <f>IF(AZ44="","",IFERROR(AZ44*HSI!$B$39*HSI!$G$39/HSI!$B$3,""))</f>
        <v/>
      </c>
      <c r="DO44" s="106">
        <f>IF(BA44="","",IFERROR(BA44*HSI!$B$39*HSI!$G$39/HSI!$B$3,""))</f>
        <v/>
      </c>
      <c r="DP44" s="106">
        <f>IF(BB44="","",IFERROR(BB44*HSI!$B$39*HSI!$G$39/HSI!$B$3,""))</f>
        <v/>
      </c>
      <c r="DQ44" s="106">
        <f>IF(BC44="","",IFERROR(BC44*HSI!$B$39*HSI!$G$39/HSI!$B$3,""))</f>
        <v/>
      </c>
      <c r="DR44" s="106">
        <f>IF(BD44="","",IFERROR(BD44*HSI!$B$39*HSI!$G$39/HSI!$B$3,""))</f>
        <v/>
      </c>
      <c r="DS44" s="106">
        <f>IF(BE44="","",IFERROR(BE44*HSI!$B$39*HSI!$G$39/HSI!$B$3,""))</f>
        <v/>
      </c>
      <c r="DT44" s="106">
        <f>IF(BF44="","",IFERROR(BF44*HSI!$B$39*HSI!$G$39/HSI!$B$3,""))</f>
        <v/>
      </c>
      <c r="DU44" s="106">
        <f>IF(BG44="","",IFERROR(BG44*HSI!$B$39*HSI!$G$39/HSI!$B$3,""))</f>
        <v/>
      </c>
      <c r="DV44" s="106">
        <f>IF(BH44="","",IFERROR(BH44*HSI!$B$39*HSI!$G$39/HSI!$B$3,""))</f>
        <v/>
      </c>
      <c r="DW44" s="106">
        <f>IF(BI44="","",IFERROR(BI44*HSI!$B$39*HSI!$G$39/HSI!$B$3,""))</f>
        <v/>
      </c>
      <c r="DX44" s="106">
        <f>IF(BJ44="","",IFERROR(BJ44*HSI!$B$39*HSI!$G$39/HSI!$B$3,""))</f>
        <v/>
      </c>
      <c r="DY44" s="106">
        <f>IF(BK44="","",IFERROR(BK44*HSI!$B$39*HSI!$G$39/HSI!$B$3,""))</f>
        <v/>
      </c>
      <c r="DZ44" s="106">
        <f>IF(BL44="","",IFERROR(BL44*HSI!$B$39*HSI!$G$39/HSI!$B$3,""))</f>
        <v/>
      </c>
      <c r="EA44" s="106">
        <f>IF(BM44="","",IFERROR(BM44*HSI!$B$39*HSI!$G$39/HSI!$B$3,""))</f>
        <v/>
      </c>
      <c r="EB44" s="106">
        <f>IF(BN44="","",IFERROR(BN44*HSI!$B$39*HSI!$G$39/HSI!$B$3,""))</f>
        <v/>
      </c>
      <c r="EC44" s="106">
        <f>IF(BO44="","",IFERROR(BO44*HSI!$B$39*HSI!$G$39/HSI!$B$3,""))</f>
        <v/>
      </c>
      <c r="EE44" s="35">
        <f>IF(N('Dvd Calendar'!$E$363)=0,"",IF(('Dvd Calendar'!$E$363&gt;=GRID_FROM)*('Dvd Calendar'!$E$363&lt;=GRID_TO)*('Dvd Calendar'!$E$363&lt;=VAL_DATE)=0,"",'Dvd Calendar'!$E$363*1000000000+ISNUMBER('Dvd Calendar'!$E$366)*100000000+('Dvd Calendar'!$E$368=SPECIAL_LBL)*10000000+0*1000000+33*1000+1))</f>
        <v/>
      </c>
      <c r="EF44" s="35">
        <f>IF(N('Dvd Calendar'!$F$363)=0,"",IF(('Dvd Calendar'!$F$363&gt;=GRID_FROM)*('Dvd Calendar'!$F$363&lt;=GRID_TO)*('Dvd Calendar'!$F$363&lt;=VAL_DATE)=0,"",'Dvd Calendar'!$F$363*1000000000+ISNUMBER('Dvd Calendar'!$F$366)*100000000+('Dvd Calendar'!$F$368=SPECIAL_LBL)*10000000+0*1000000+33*1000+2))</f>
        <v/>
      </c>
      <c r="EG44" s="35">
        <f>IF(N('Dvd Calendar'!$G$363)=0,"",IF(('Dvd Calendar'!$G$363&gt;=GRID_FROM)*('Dvd Calendar'!$G$363&lt;=GRID_TO)*('Dvd Calendar'!$G$363&lt;=VAL_DATE)=0,"",'Dvd Calendar'!$G$363*1000000000+ISNUMBER('Dvd Calendar'!$G$366)*100000000+('Dvd Calendar'!$G$368=SPECIAL_LBL)*10000000+0*1000000+33*1000+3))</f>
        <v/>
      </c>
      <c r="EH44" s="35">
        <f>IF(N('Dvd Calendar'!$H$363)=0,"",IF(('Dvd Calendar'!$H$363&gt;=GRID_FROM)*('Dvd Calendar'!$H$363&lt;=GRID_TO)*('Dvd Calendar'!$H$363&lt;=VAL_DATE)=0,"",'Dvd Calendar'!$H$363*1000000000+ISNUMBER('Dvd Calendar'!$H$366)*100000000+('Dvd Calendar'!$H$368=SPECIAL_LBL)*10000000+0*1000000+33*1000+4))</f>
        <v/>
      </c>
      <c r="EI44" s="35">
        <f>IF(N('Dvd Calendar'!$I$363)=0,"",IF(('Dvd Calendar'!$I$363&gt;=GRID_FROM)*('Dvd Calendar'!$I$363&lt;=GRID_TO)*('Dvd Calendar'!$I$363&lt;=VAL_DATE)=0,"",'Dvd Calendar'!$I$363*1000000000+ISNUMBER('Dvd Calendar'!$I$366)*100000000+('Dvd Calendar'!$I$368=SPECIAL_LBL)*10000000+0*1000000+33*1000+5))</f>
        <v/>
      </c>
      <c r="EJ44" s="35">
        <f>IF(N('Dvd Calendar'!$J$363)=0,"",IF(('Dvd Calendar'!$J$363&gt;=GRID_FROM)*('Dvd Calendar'!$J$363&lt;=GRID_TO)*('Dvd Calendar'!$J$363&lt;=VAL_DATE)=0,"",'Dvd Calendar'!$J$363*1000000000+ISNUMBER('Dvd Calendar'!$J$366)*100000000+('Dvd Calendar'!$J$368=SPECIAL_LBL)*10000000+0*1000000+33*1000+6))</f>
        <v/>
      </c>
      <c r="EK44" s="35">
        <f>IF(N('Dvd Calendar'!$K$363)=0,"",IF(('Dvd Calendar'!$K$363&gt;=GRID_FROM)*('Dvd Calendar'!$K$363&lt;=GRID_TO)*('Dvd Calendar'!$K$363&lt;=VAL_DATE)=0,"",'Dvd Calendar'!$K$363*1000000000+ISNUMBER('Dvd Calendar'!$K$366)*100000000+('Dvd Calendar'!$K$368=SPECIAL_LBL)*10000000+0*1000000+33*1000+7))</f>
        <v/>
      </c>
      <c r="EL44" s="35">
        <f>IF(N('Dvd Calendar'!$L$363)=0,"",IF(('Dvd Calendar'!$L$363&gt;=GRID_FROM)*('Dvd Calendar'!$L$363&lt;=GRID_TO)*('Dvd Calendar'!$L$363&lt;=VAL_DATE)=0,"",'Dvd Calendar'!$L$363*1000000000+ISNUMBER('Dvd Calendar'!$L$366)*100000000+('Dvd Calendar'!$L$368=SPECIAL_LBL)*10000000+0*1000000+33*1000+8))</f>
        <v/>
      </c>
      <c r="EM44" s="35">
        <f>IF(N('Dvd Calendar'!$M$363)=0,"",IF(('Dvd Calendar'!$M$363&gt;=GRID_FROM)*('Dvd Calendar'!$M$363&lt;=GRID_TO)*('Dvd Calendar'!$M$363&lt;=VAL_DATE)=0,"",'Dvd Calendar'!$M$363*1000000000+ISNUMBER('Dvd Calendar'!$M$366)*100000000+('Dvd Calendar'!$M$368=SPECIAL_LBL)*10000000+0*1000000+33*1000+9))</f>
        <v/>
      </c>
      <c r="EN44" s="35">
        <f>IF(N('Dvd Calendar'!$N$363)=0,"",IF(('Dvd Calendar'!$N$363&gt;=GRID_FROM)*('Dvd Calendar'!$N$363&lt;=GRID_TO)*('Dvd Calendar'!$N$363&lt;=VAL_DATE)=0,"",'Dvd Calendar'!$N$363*1000000000+ISNUMBER('Dvd Calendar'!$N$366)*100000000+('Dvd Calendar'!$N$368=SPECIAL_LBL)*10000000+0*1000000+33*1000+10))</f>
        <v/>
      </c>
      <c r="EO44" s="35">
        <f>IF(N('Dvd Calendar'!$O$363)=0,"",IF(('Dvd Calendar'!$O$363&gt;=GRID_FROM)*('Dvd Calendar'!$O$363&lt;=GRID_TO)*('Dvd Calendar'!$O$363&lt;=VAL_DATE)=0,"",'Dvd Calendar'!$O$363*1000000000+ISNUMBER('Dvd Calendar'!$O$366)*100000000+('Dvd Calendar'!$O$368=SPECIAL_LBL)*10000000+0*1000000+33*1000+11))</f>
        <v/>
      </c>
      <c r="EP44" s="35">
        <f>IF(N('Dvd Calendar'!$P$363)=0,"",IF(('Dvd Calendar'!$P$363&gt;=GRID_FROM)*('Dvd Calendar'!$P$363&lt;=GRID_TO)*('Dvd Calendar'!$P$363&lt;=VAL_DATE)=0,"",'Dvd Calendar'!$P$363*1000000000+ISNUMBER('Dvd Calendar'!$P$366)*100000000+('Dvd Calendar'!$P$368=SPECIAL_LBL)*10000000+0*1000000+33*1000+12))</f>
        <v/>
      </c>
      <c r="EQ44" s="35">
        <f>IF(N('Dvd Calendar'!$Q$363)=0,"",IF(('Dvd Calendar'!$Q$363&gt;=GRID_FROM)*('Dvd Calendar'!$Q$363&lt;=GRID_TO)*('Dvd Calendar'!$Q$363&lt;=VAL_DATE)=0,"",'Dvd Calendar'!$Q$363*1000000000+ISNUMBER('Dvd Calendar'!$Q$366)*100000000+('Dvd Calendar'!$Q$368=SPECIAL_LBL)*10000000+0*1000000+33*1000+13))</f>
        <v/>
      </c>
      <c r="ER44" s="35">
        <f>IF(N('Dvd Calendar'!$R$363)=0,"",IF(('Dvd Calendar'!$R$363&gt;=GRID_FROM)*('Dvd Calendar'!$R$363&lt;=GRID_TO)*('Dvd Calendar'!$R$363&lt;=VAL_DATE)=0,"",'Dvd Calendar'!$R$363*1000000000+ISNUMBER('Dvd Calendar'!$R$366)*100000000+('Dvd Calendar'!$R$368=SPECIAL_LBL)*10000000+0*1000000+33*1000+14))</f>
        <v/>
      </c>
      <c r="ES44" s="35">
        <f>IF(N('Dvd Calendar'!$S$363)=0,"",IF(('Dvd Calendar'!$S$363&gt;=GRID_FROM)*('Dvd Calendar'!$S$363&lt;=GRID_TO)*('Dvd Calendar'!$S$363&lt;=VAL_DATE)=0,"",'Dvd Calendar'!$S$363*1000000000+ISNUMBER('Dvd Calendar'!$S$366)*100000000+('Dvd Calendar'!$S$368=SPECIAL_LBL)*10000000+0*1000000+33*1000+15))</f>
        <v/>
      </c>
      <c r="ET44" s="35">
        <f>IF(N('Dvd Calendar'!$T$363)=0,"",IF(('Dvd Calendar'!$T$363&gt;=GRID_FROM)*('Dvd Calendar'!$T$363&lt;=GRID_TO)*('Dvd Calendar'!$T$363&lt;=VAL_DATE)=0,"",'Dvd Calendar'!$T$363*1000000000+ISNUMBER('Dvd Calendar'!$T$366)*100000000+('Dvd Calendar'!$T$368=SPECIAL_LBL)*10000000+0*1000000+33*1000+16))</f>
        <v/>
      </c>
      <c r="EU44" s="35">
        <f>IF(N('Dvd Calendar'!$U$363)=0,"",IF(('Dvd Calendar'!$U$363&gt;=GRID_FROM)*('Dvd Calendar'!$U$363&lt;=GRID_TO)*('Dvd Calendar'!$U$363&lt;=VAL_DATE)=0,"",'Dvd Calendar'!$U$363*1000000000+ISNUMBER('Dvd Calendar'!$U$366)*100000000+('Dvd Calendar'!$U$368=SPECIAL_LBL)*10000000+0*1000000+33*1000+17))</f>
        <v/>
      </c>
      <c r="EV44" s="35">
        <f>IF(N('Dvd Calendar'!$V$363)=0,"",IF(('Dvd Calendar'!$V$363&gt;=GRID_FROM)*('Dvd Calendar'!$V$363&lt;=GRID_TO)*('Dvd Calendar'!$V$363&lt;=VAL_DATE)=0,"",'Dvd Calendar'!$V$363*1000000000+ISNUMBER('Dvd Calendar'!$V$366)*100000000+('Dvd Calendar'!$V$368=SPECIAL_LBL)*10000000+0*1000000+33*1000+18))</f>
        <v/>
      </c>
      <c r="EW44" s="35">
        <f>IF(N('Dvd Calendar'!$W$363)=0,"",IF(('Dvd Calendar'!$W$363&gt;=GRID_FROM)*('Dvd Calendar'!$W$363&lt;=GRID_TO)*('Dvd Calendar'!$W$363&lt;=VAL_DATE)=0,"",'Dvd Calendar'!$W$363*1000000000+ISNUMBER('Dvd Calendar'!$W$366)*100000000+('Dvd Calendar'!$W$368=SPECIAL_LBL)*10000000+0*1000000+33*1000+19))</f>
        <v/>
      </c>
      <c r="EX44" s="35">
        <f>IF(N('Dvd Calendar'!$X$363)=0,"",IF(('Dvd Calendar'!$X$363&gt;=GRID_FROM)*('Dvd Calendar'!$X$363&lt;=GRID_TO)*('Dvd Calendar'!$X$363&lt;=VAL_DATE)=0,"",'Dvd Calendar'!$X$363*1000000000+ISNUMBER('Dvd Calendar'!$X$366)*100000000+('Dvd Calendar'!$X$368=SPECIAL_LBL)*10000000+0*1000000+33*1000+20))</f>
        <v/>
      </c>
      <c r="EY44" s="35">
        <f>IF(N('Dvd Calendar'!$Y$363)=0,"",IF(('Dvd Calendar'!$Y$363&gt;=GRID_FROM)*('Dvd Calendar'!$Y$363&lt;=GRID_TO)*('Dvd Calendar'!$Y$363&lt;=VAL_DATE)=0,"",'Dvd Calendar'!$Y$363*1000000000+ISNUMBER('Dvd Calendar'!$Y$366)*100000000+('Dvd Calendar'!$Y$368=SPECIAL_LBL)*10000000+0*1000000+33*1000+21))</f>
        <v/>
      </c>
      <c r="EZ44" s="35">
        <f>IF(N('Dvd Calendar'!$Z$363)=0,"",IF(('Dvd Calendar'!$Z$363&gt;=GRID_FROM)*('Dvd Calendar'!$Z$363&lt;=GRID_TO)*('Dvd Calendar'!$Z$363&lt;=VAL_DATE)=0,"",'Dvd Calendar'!$Z$363*1000000000+ISNUMBER('Dvd Calendar'!$Z$366)*100000000+('Dvd Calendar'!$Z$368=SPECIAL_LBL)*10000000+0*1000000+33*1000+22))</f>
        <v/>
      </c>
      <c r="FA44" s="35">
        <f>IF(N('Dvd Calendar'!$AA$363)=0,"",IF(('Dvd Calendar'!$AA$363&gt;=GRID_FROM)*('Dvd Calendar'!$AA$363&lt;=GRID_TO)*('Dvd Calendar'!$AA$363&lt;=VAL_DATE)=0,"",'Dvd Calendar'!$AA$363*1000000000+ISNUMBER('Dvd Calendar'!$AA$366)*100000000+('Dvd Calendar'!$AA$368=SPECIAL_LBL)*10000000+0*1000000+33*1000+23))</f>
        <v/>
      </c>
      <c r="FB44" s="35">
        <f>IF(N('Dvd Calendar'!$AB$363)=0,"",IF(('Dvd Calendar'!$AB$363&gt;=GRID_FROM)*('Dvd Calendar'!$AB$363&lt;=GRID_TO)*('Dvd Calendar'!$AB$363&lt;=VAL_DATE)=0,"",'Dvd Calendar'!$AB$363*1000000000+ISNUMBER('Dvd Calendar'!$AB$366)*100000000+('Dvd Calendar'!$AB$368=SPECIAL_LBL)*10000000+0*1000000+33*1000+24))</f>
        <v/>
      </c>
      <c r="FC44" s="35">
        <f>IF(N('Dvd Calendar'!$AC$363)=0,"",IF(('Dvd Calendar'!$AC$363&gt;=GRID_FROM)*('Dvd Calendar'!$AC$363&lt;=GRID_TO)*('Dvd Calendar'!$AC$363&lt;=VAL_DATE)=0,"",'Dvd Calendar'!$AC$363*1000000000+ISNUMBER('Dvd Calendar'!$AC$366)*100000000+('Dvd Calendar'!$AC$368=SPECIAL_LBL)*10000000+0*1000000+33*1000+25))</f>
        <v/>
      </c>
      <c r="FD44" s="35">
        <f>IF(N('Dvd Calendar'!$AD$363)=0,"",IF(('Dvd Calendar'!$AD$363&gt;=GRID_FROM)*('Dvd Calendar'!$AD$363&lt;=GRID_TO)*('Dvd Calendar'!$AD$363&lt;=VAL_DATE)=0,"",'Dvd Calendar'!$AD$363*1000000000+ISNUMBER('Dvd Calendar'!$AD$366)*100000000+('Dvd Calendar'!$AD$368=SPECIAL_LBL)*10000000+0*1000000+33*1000+26))</f>
        <v/>
      </c>
      <c r="FE44" s="35">
        <f>IF(N('Dvd Calendar'!$AE$363)=0,"",IF(('Dvd Calendar'!$AE$363&gt;=GRID_FROM)*('Dvd Calendar'!$AE$363&lt;=GRID_TO)*('Dvd Calendar'!$AE$363&lt;=VAL_DATE)=0,"",'Dvd Calendar'!$AE$363*1000000000+ISNUMBER('Dvd Calendar'!$AE$366)*100000000+('Dvd Calendar'!$AE$368=SPECIAL_LBL)*10000000+0*1000000+33*1000+27))</f>
        <v/>
      </c>
      <c r="FF44" s="35">
        <f>IF(N('Dvd Calendar'!$AF$363)=0,"",IF(('Dvd Calendar'!$AF$363&gt;=GRID_FROM)*('Dvd Calendar'!$AF$363&lt;=GRID_TO)*('Dvd Calendar'!$AF$363&lt;=VAL_DATE)=0,"",'Dvd Calendar'!$AF$363*1000000000+ISNUMBER('Dvd Calendar'!$AF$366)*100000000+('Dvd Calendar'!$AF$368=SPECIAL_LBL)*10000000+0*1000000+33*1000+28))</f>
        <v/>
      </c>
      <c r="FG44" s="35">
        <f>IF(N('Dvd Calendar'!$AG$363)=0,"",IF(('Dvd Calendar'!$AG$363&gt;=GRID_FROM)*('Dvd Calendar'!$AG$363&lt;=GRID_TO)*('Dvd Calendar'!$AG$363&lt;=VAL_DATE)=0,"",'Dvd Calendar'!$AG$363*1000000000+ISNUMBER('Dvd Calendar'!$AG$366)*100000000+('Dvd Calendar'!$AG$368=SPECIAL_LBL)*10000000+0*1000000+33*1000+29))</f>
        <v/>
      </c>
      <c r="FH44" s="35">
        <f>IF(N('Dvd Calendar'!$AH$363)=0,"",IF(('Dvd Calendar'!$AH$363&gt;=GRID_FROM)*('Dvd Calendar'!$AH$363&lt;=GRID_TO)*('Dvd Calendar'!$AH$363&lt;=VAL_DATE)=0,"",'Dvd Calendar'!$AH$363*1000000000+ISNUMBER('Dvd Calendar'!$AH$366)*100000000+('Dvd Calendar'!$AH$368=SPECIAL_LBL)*10000000+0*1000000+33*1000+30))</f>
        <v/>
      </c>
      <c r="FI44" s="35">
        <f>IF(N('Dvd Calendar'!$AI$363)=0,"",IF(('Dvd Calendar'!$AI$363&gt;=GRID_FROM)*('Dvd Calendar'!$AI$363&lt;=GRID_TO)*('Dvd Calendar'!$AI$363&lt;=VAL_DATE)=0,"",'Dvd Calendar'!$AI$363*1000000000+ISNUMBER('Dvd Calendar'!$AI$366)*100000000+('Dvd Calendar'!$AI$368=SPECIAL_LBL)*10000000+0*1000000+33*1000+31))</f>
        <v/>
      </c>
      <c r="FJ44" s="35">
        <f>IF(N('Dvd Calendar'!$AJ$363)=0,"",IF(('Dvd Calendar'!$AJ$363&gt;=GRID_FROM)*('Dvd Calendar'!$AJ$363&lt;=GRID_TO)*('Dvd Calendar'!$AJ$363&lt;=VAL_DATE)=0,"",'Dvd Calendar'!$AJ$363*1000000000+ISNUMBER('Dvd Calendar'!$AJ$366)*100000000+('Dvd Calendar'!$AJ$368=SPECIAL_LBL)*10000000+0*1000000+33*1000+32))</f>
        <v/>
      </c>
      <c r="FK44" s="35">
        <f>IF(N('Dvd Calendar'!$AK$363)=0,"",IF(('Dvd Calendar'!$AK$363&gt;=GRID_FROM)*('Dvd Calendar'!$AK$363&lt;=GRID_TO)*('Dvd Calendar'!$AK$363&lt;=VAL_DATE)=0,"",'Dvd Calendar'!$AK$363*1000000000+ISNUMBER('Dvd Calendar'!$AK$366)*100000000+('Dvd Calendar'!$AK$368=SPECIAL_LBL)*10000000+0*1000000+33*1000+33))</f>
        <v/>
      </c>
      <c r="FL44" s="35">
        <f>IF(N('Dvd Calendar'!$AL$363)=0,"",IF(('Dvd Calendar'!$AL$363&gt;=GRID_FROM)*('Dvd Calendar'!$AL$363&lt;=GRID_TO)*('Dvd Calendar'!$AL$363&lt;=VAL_DATE)=0,"",'Dvd Calendar'!$AL$363*1000000000+ISNUMBER('Dvd Calendar'!$AL$366)*100000000+('Dvd Calendar'!$AL$368=SPECIAL_LBL)*10000000+0*1000000+33*1000+34))</f>
        <v/>
      </c>
      <c r="FM44" s="35">
        <f>IF(N('Dvd Calendar'!$AM$363)=0,"",IF(('Dvd Calendar'!$AM$363&gt;=GRID_FROM)*('Dvd Calendar'!$AM$363&lt;=GRID_TO)*('Dvd Calendar'!$AM$363&lt;=VAL_DATE)=0,"",'Dvd Calendar'!$AM$363*1000000000+ISNUMBER('Dvd Calendar'!$AM$366)*100000000+('Dvd Calendar'!$AM$368=SPECIAL_LBL)*10000000+0*1000000+33*1000+35))</f>
        <v/>
      </c>
      <c r="FN44" s="35">
        <f>IF(N('Dvd Calendar'!$AN$363)=0,"",IF(('Dvd Calendar'!$AN$363&gt;=GRID_FROM)*('Dvd Calendar'!$AN$363&lt;=GRID_TO)*('Dvd Calendar'!$AN$363&lt;=VAL_DATE)=0,"",'Dvd Calendar'!$AN$363*1000000000+ISNUMBER('Dvd Calendar'!$AN$366)*100000000+('Dvd Calendar'!$AN$368=SPECIAL_LBL)*10000000+0*1000000+33*1000+36))</f>
        <v/>
      </c>
      <c r="FO44" s="35">
        <f>IF(N('Dvd Calendar'!$AO$363)=0,"",IF(('Dvd Calendar'!$AO$363&gt;=GRID_FROM)*('Dvd Calendar'!$AO$363&lt;=GRID_TO)*('Dvd Calendar'!$AO$363&lt;=VAL_DATE)=0,"",'Dvd Calendar'!$AO$363*1000000000+ISNUMBER('Dvd Calendar'!$AO$366)*100000000+('Dvd Calendar'!$AO$368=SPECIAL_LBL)*10000000+0*1000000+33*1000+37))</f>
        <v/>
      </c>
      <c r="FP44" s="35">
        <f>IF(N('Dvd Calendar'!$AP$363)=0,"",IF(('Dvd Calendar'!$AP$363&gt;=GRID_FROM)*('Dvd Calendar'!$AP$363&lt;=GRID_TO)*('Dvd Calendar'!$AP$363&lt;=VAL_DATE)=0,"",'Dvd Calendar'!$AP$363*1000000000+ISNUMBER('Dvd Calendar'!$AP$366)*100000000+('Dvd Calendar'!$AP$368=SPECIAL_LBL)*10000000+0*1000000+33*1000+38))</f>
        <v/>
      </c>
      <c r="FQ44" s="35">
        <f>IF(N('Dvd Calendar'!$AQ$363)=0,"",IF(('Dvd Calendar'!$AQ$363&gt;=GRID_FROM)*('Dvd Calendar'!$AQ$363&lt;=GRID_TO)*('Dvd Calendar'!$AQ$363&lt;=VAL_DATE)=0,"",'Dvd Calendar'!$AQ$363*1000000000+ISNUMBER('Dvd Calendar'!$AQ$366)*100000000+('Dvd Calendar'!$AQ$368=SPECIAL_LBL)*10000000+0*1000000+33*1000+39))</f>
        <v/>
      </c>
      <c r="FR44" s="35">
        <f>IF(N('Dvd Calendar'!$AR$363)=0,"",IF(('Dvd Calendar'!$AR$363&gt;=GRID_FROM)*('Dvd Calendar'!$AR$363&lt;=GRID_TO)*('Dvd Calendar'!$AR$363&lt;=VAL_DATE)=0,"",'Dvd Calendar'!$AR$363*1000000000+ISNUMBER('Dvd Calendar'!$AR$366)*100000000+('Dvd Calendar'!$AR$368=SPECIAL_LBL)*10000000+0*1000000+33*1000+40))</f>
        <v/>
      </c>
      <c r="FS44" s="35">
        <f>IF(N('Dvd Calendar'!$E$370)=0,"",IF(('Dvd Calendar'!$E$370&gt;=GRID_FROM)*('Dvd Calendar'!$E$370&lt;=GRID_TO)*('Dvd Calendar'!$E$370&gt;VAL_DATE)=0,"",'Dvd Calendar'!$E$370*1000000000+ISNUMBER('Dvd Calendar'!$E$371)*100000000+0*10000000+(N('Dvd Calendar'!$E$369)&gt;0)*(N('Dvd Calendar'!$E$369)&lt;=VAL_SERIAL)*1000000+33*1000+41))</f>
        <v/>
      </c>
      <c r="FT44" s="35">
        <f>IF(N('Dvd Calendar'!$F$370)=0,"",IF(('Dvd Calendar'!$F$370&gt;=GRID_FROM)*('Dvd Calendar'!$F$370&lt;=GRID_TO)*('Dvd Calendar'!$F$370&gt;VAL_DATE)=0,"",'Dvd Calendar'!$F$370*1000000000+ISNUMBER('Dvd Calendar'!$F$371)*100000000+0*10000000+(N('Dvd Calendar'!$F$369)&gt;0)*(N('Dvd Calendar'!$F$369)&lt;=VAL_SERIAL)*1000000+33*1000+42))</f>
        <v/>
      </c>
      <c r="FU44" s="35">
        <f>IF(N('Dvd Calendar'!$G$370)=0,"",IF(('Dvd Calendar'!$G$370&gt;=GRID_FROM)*('Dvd Calendar'!$G$370&lt;=GRID_TO)*('Dvd Calendar'!$G$370&gt;VAL_DATE)=0,"",'Dvd Calendar'!$G$370*1000000000+ISNUMBER('Dvd Calendar'!$G$371)*100000000+0*10000000+(N('Dvd Calendar'!$G$369)&gt;0)*(N('Dvd Calendar'!$G$369)&lt;=VAL_SERIAL)*1000000+33*1000+43))</f>
        <v/>
      </c>
      <c r="FV44" s="35">
        <f>IF(N('Dvd Calendar'!$H$370)=0,"",IF(('Dvd Calendar'!$H$370&gt;=GRID_FROM)*('Dvd Calendar'!$H$370&lt;=GRID_TO)*('Dvd Calendar'!$H$370&gt;VAL_DATE)=0,"",'Dvd Calendar'!$H$370*1000000000+ISNUMBER('Dvd Calendar'!$H$371)*100000000+0*10000000+(N('Dvd Calendar'!$H$369)&gt;0)*(N('Dvd Calendar'!$H$369)&lt;=VAL_SERIAL)*1000000+33*1000+44))</f>
        <v/>
      </c>
      <c r="FW44" s="35">
        <f>IF(N('Dvd Calendar'!$I$370)=0,"",IF(('Dvd Calendar'!$I$370&gt;=GRID_FROM)*('Dvd Calendar'!$I$370&lt;=GRID_TO)*('Dvd Calendar'!$I$370&gt;VAL_DATE)=0,"",'Dvd Calendar'!$I$370*1000000000+ISNUMBER('Dvd Calendar'!$I$371)*100000000+0*10000000+(N('Dvd Calendar'!$I$369)&gt;0)*(N('Dvd Calendar'!$I$369)&lt;=VAL_SERIAL)*1000000+33*1000+45))</f>
        <v/>
      </c>
      <c r="FX44" s="35">
        <f>IF(N('Dvd Calendar'!$J$370)=0,"",IF(('Dvd Calendar'!$J$370&gt;=GRID_FROM)*('Dvd Calendar'!$J$370&lt;=GRID_TO)*('Dvd Calendar'!$J$370&gt;VAL_DATE)=0,"",'Dvd Calendar'!$J$370*1000000000+ISNUMBER('Dvd Calendar'!$J$371)*100000000+0*10000000+(N('Dvd Calendar'!$J$369)&gt;0)*(N('Dvd Calendar'!$J$369)&lt;=VAL_SERIAL)*1000000+33*1000+46))</f>
        <v/>
      </c>
      <c r="FY44" s="35">
        <f>IF(N('Dvd Calendar'!$K$370)=0,"",IF(('Dvd Calendar'!$K$370&gt;=GRID_FROM)*('Dvd Calendar'!$K$370&lt;=GRID_TO)*('Dvd Calendar'!$K$370&gt;VAL_DATE)=0,"",'Dvd Calendar'!$K$370*1000000000+ISNUMBER('Dvd Calendar'!$K$371)*100000000+0*10000000+(N('Dvd Calendar'!$K$369)&gt;0)*(N('Dvd Calendar'!$K$369)&lt;=VAL_SERIAL)*1000000+33*1000+47))</f>
        <v/>
      </c>
      <c r="FZ44" s="35">
        <f>IF(N('Dvd Calendar'!$L$370)=0,"",IF(('Dvd Calendar'!$L$370&gt;=GRID_FROM)*('Dvd Calendar'!$L$370&lt;=GRID_TO)*('Dvd Calendar'!$L$370&gt;VAL_DATE)=0,"",'Dvd Calendar'!$L$370*1000000000+ISNUMBER('Dvd Calendar'!$L$371)*100000000+0*10000000+(N('Dvd Calendar'!$L$369)&gt;0)*(N('Dvd Calendar'!$L$369)&lt;=VAL_SERIAL)*1000000+33*1000+48))</f>
        <v/>
      </c>
      <c r="GA44" s="35">
        <f>IF(N('Dvd Calendar'!$M$370)=0,"",IF(('Dvd Calendar'!$M$370&gt;=GRID_FROM)*('Dvd Calendar'!$M$370&lt;=GRID_TO)*('Dvd Calendar'!$M$370&gt;VAL_DATE)=0,"",'Dvd Calendar'!$M$370*1000000000+ISNUMBER('Dvd Calendar'!$M$371)*100000000+0*10000000+(N('Dvd Calendar'!$M$369)&gt;0)*(N('Dvd Calendar'!$M$369)&lt;=VAL_SERIAL)*1000000+33*1000+49))</f>
        <v/>
      </c>
      <c r="GB44" s="35">
        <f>IF(N('Dvd Calendar'!$N$370)=0,"",IF(('Dvd Calendar'!$N$370&gt;=GRID_FROM)*('Dvd Calendar'!$N$370&lt;=GRID_TO)*('Dvd Calendar'!$N$370&gt;VAL_DATE)=0,"",'Dvd Calendar'!$N$370*1000000000+ISNUMBER('Dvd Calendar'!$N$371)*100000000+0*10000000+(N('Dvd Calendar'!$N$369)&gt;0)*(N('Dvd Calendar'!$N$369)&lt;=VAL_SERIAL)*1000000+33*1000+50))</f>
        <v/>
      </c>
      <c r="GC44" s="35">
        <f>IF(N('Dvd Calendar'!$O$370)=0,"",IF(('Dvd Calendar'!$O$370&gt;=GRID_FROM)*('Dvd Calendar'!$O$370&lt;=GRID_TO)*('Dvd Calendar'!$O$370&gt;VAL_DATE)=0,"",'Dvd Calendar'!$O$370*1000000000+ISNUMBER('Dvd Calendar'!$O$371)*100000000+0*10000000+(N('Dvd Calendar'!$O$369)&gt;0)*(N('Dvd Calendar'!$O$369)&lt;=VAL_SERIAL)*1000000+33*1000+51))</f>
        <v/>
      </c>
      <c r="GD44" s="35">
        <f>IF(N('Dvd Calendar'!$P$370)=0,"",IF(('Dvd Calendar'!$P$370&gt;=GRID_FROM)*('Dvd Calendar'!$P$370&lt;=GRID_TO)*('Dvd Calendar'!$P$370&gt;VAL_DATE)=0,"",'Dvd Calendar'!$P$370*1000000000+ISNUMBER('Dvd Calendar'!$P$371)*100000000+0*10000000+(N('Dvd Calendar'!$P$369)&gt;0)*(N('Dvd Calendar'!$P$369)&lt;=VAL_SERIAL)*1000000+33*1000+52))</f>
        <v/>
      </c>
      <c r="GE44" s="35">
        <f>IF(N('Dvd Calendar'!$Q$370)=0,"",IF(('Dvd Calendar'!$Q$370&gt;=GRID_FROM)*('Dvd Calendar'!$Q$370&lt;=GRID_TO)*('Dvd Calendar'!$Q$370&gt;VAL_DATE)=0,"",'Dvd Calendar'!$Q$370*1000000000+ISNUMBER('Dvd Calendar'!$Q$371)*100000000+0*10000000+(N('Dvd Calendar'!$Q$369)&gt;0)*(N('Dvd Calendar'!$Q$369)&lt;=VAL_SERIAL)*1000000+33*1000+53))</f>
        <v/>
      </c>
      <c r="GF44" s="35">
        <f>IF(N('Dvd Calendar'!$R$370)=0,"",IF(('Dvd Calendar'!$R$370&gt;=GRID_FROM)*('Dvd Calendar'!$R$370&lt;=GRID_TO)*('Dvd Calendar'!$R$370&gt;VAL_DATE)=0,"",'Dvd Calendar'!$R$370*1000000000+ISNUMBER('Dvd Calendar'!$R$371)*100000000+0*10000000+(N('Dvd Calendar'!$R$369)&gt;0)*(N('Dvd Calendar'!$R$369)&lt;=VAL_SERIAL)*1000000+33*1000+54))</f>
        <v/>
      </c>
      <c r="GG44" s="35">
        <f>IF(N('Dvd Calendar'!$S$370)=0,"",IF(('Dvd Calendar'!$S$370&gt;=GRID_FROM)*('Dvd Calendar'!$S$370&lt;=GRID_TO)*('Dvd Calendar'!$S$370&gt;VAL_DATE)=0,"",'Dvd Calendar'!$S$370*1000000000+ISNUMBER('Dvd Calendar'!$S$371)*100000000+0*10000000+(N('Dvd Calendar'!$S$369)&gt;0)*(N('Dvd Calendar'!$S$369)&lt;=VAL_SERIAL)*1000000+33*1000+55))</f>
        <v/>
      </c>
      <c r="GH44" s="35">
        <f>IF(N('Dvd Calendar'!$T$370)=0,"",IF(('Dvd Calendar'!$T$370&gt;=GRID_FROM)*('Dvd Calendar'!$T$370&lt;=GRID_TO)*('Dvd Calendar'!$T$370&gt;VAL_DATE)=0,"",'Dvd Calendar'!$T$370*1000000000+ISNUMBER('Dvd Calendar'!$T$371)*100000000+0*10000000+(N('Dvd Calendar'!$T$369)&gt;0)*(N('Dvd Calendar'!$T$369)&lt;=VAL_SERIAL)*1000000+33*1000+56))</f>
        <v/>
      </c>
      <c r="GI44" s="35">
        <f>IF(N('Dvd Calendar'!$U$370)=0,"",IF(('Dvd Calendar'!$U$370&gt;=GRID_FROM)*('Dvd Calendar'!$U$370&lt;=GRID_TO)*('Dvd Calendar'!$U$370&gt;VAL_DATE)=0,"",'Dvd Calendar'!$U$370*1000000000+ISNUMBER('Dvd Calendar'!$U$371)*100000000+0*10000000+(N('Dvd Calendar'!$U$369)&gt;0)*(N('Dvd Calendar'!$U$369)&lt;=VAL_SERIAL)*1000000+33*1000+57))</f>
        <v/>
      </c>
      <c r="GJ44" s="35">
        <f>IF(N('Dvd Calendar'!$V$370)=0,"",IF(('Dvd Calendar'!$V$370&gt;=GRID_FROM)*('Dvd Calendar'!$V$370&lt;=GRID_TO)*('Dvd Calendar'!$V$370&gt;VAL_DATE)=0,"",'Dvd Calendar'!$V$370*1000000000+ISNUMBER('Dvd Calendar'!$V$371)*100000000+0*10000000+(N('Dvd Calendar'!$V$369)&gt;0)*(N('Dvd Calendar'!$V$369)&lt;=VAL_SERIAL)*1000000+33*1000+58))</f>
        <v/>
      </c>
      <c r="GK44" s="35">
        <f>IF(N('Dvd Calendar'!$W$370)=0,"",IF(('Dvd Calendar'!$W$370&gt;=GRID_FROM)*('Dvd Calendar'!$W$370&lt;=GRID_TO)*('Dvd Calendar'!$W$370&gt;VAL_DATE)=0,"",'Dvd Calendar'!$W$370*1000000000+ISNUMBER('Dvd Calendar'!$W$371)*100000000+0*10000000+(N('Dvd Calendar'!$W$369)&gt;0)*(N('Dvd Calendar'!$W$369)&lt;=VAL_SERIAL)*1000000+33*1000+59))</f>
        <v/>
      </c>
      <c r="GL44" s="35">
        <f>IF(N('Dvd Calendar'!$X$370)=0,"",IF(('Dvd Calendar'!$X$370&gt;=GRID_FROM)*('Dvd Calendar'!$X$370&lt;=GRID_TO)*('Dvd Calendar'!$X$370&gt;VAL_DATE)=0,"",'Dvd Calendar'!$X$370*1000000000+ISNUMBER('Dvd Calendar'!$X$371)*100000000+0*10000000+(N('Dvd Calendar'!$X$369)&gt;0)*(N('Dvd Calendar'!$X$369)&lt;=VAL_SERIAL)*1000000+33*1000+60))</f>
        <v/>
      </c>
      <c r="GM44" s="35">
        <f>IF(N('Dvd Calendar'!$Y$370)=0,"",IF(('Dvd Calendar'!$Y$370&gt;=GRID_FROM)*('Dvd Calendar'!$Y$370&lt;=GRID_TO)*('Dvd Calendar'!$Y$370&gt;VAL_DATE)=0,"",'Dvd Calendar'!$Y$370*1000000000+ISNUMBER('Dvd Calendar'!$Y$371)*100000000+0*10000000+(N('Dvd Calendar'!$Y$369)&gt;0)*(N('Dvd Calendar'!$Y$369)&lt;=VAL_SERIAL)*1000000+33*1000+61))</f>
        <v/>
      </c>
      <c r="GN44" s="35">
        <f>IF(N('Dvd Calendar'!$Z$370)=0,"",IF(('Dvd Calendar'!$Z$370&gt;=GRID_FROM)*('Dvd Calendar'!$Z$370&lt;=GRID_TO)*('Dvd Calendar'!$Z$370&gt;VAL_DATE)=0,"",'Dvd Calendar'!$Z$370*1000000000+ISNUMBER('Dvd Calendar'!$Z$371)*100000000+0*10000000+(N('Dvd Calendar'!$Z$369)&gt;0)*(N('Dvd Calendar'!$Z$369)&lt;=VAL_SERIAL)*1000000+33*1000+62))</f>
        <v/>
      </c>
      <c r="GO44" s="35">
        <f>IF(N('Dvd Calendar'!$AA$370)=0,"",IF(('Dvd Calendar'!$AA$370&gt;=GRID_FROM)*('Dvd Calendar'!$AA$370&lt;=GRID_TO)*('Dvd Calendar'!$AA$370&gt;VAL_DATE)=0,"",'Dvd Calendar'!$AA$370*1000000000+ISNUMBER('Dvd Calendar'!$AA$371)*100000000+0*10000000+(N('Dvd Calendar'!$AA$369)&gt;0)*(N('Dvd Calendar'!$AA$369)&lt;=VAL_SERIAL)*1000000+33*1000+63))</f>
        <v/>
      </c>
      <c r="GP44" s="35">
        <f>IF(N('Dvd Calendar'!$AB$370)=0,"",IF(('Dvd Calendar'!$AB$370&gt;=GRID_FROM)*('Dvd Calendar'!$AB$370&lt;=GRID_TO)*('Dvd Calendar'!$AB$370&gt;VAL_DATE)=0,"",'Dvd Calendar'!$AB$370*1000000000+ISNUMBER('Dvd Calendar'!$AB$371)*100000000+0*10000000+(N('Dvd Calendar'!$AB$369)&gt;0)*(N('Dvd Calendar'!$AB$369)&lt;=VAL_SERIAL)*1000000+33*1000+64))</f>
        <v/>
      </c>
      <c r="GQ44" s="35">
        <f>IF(N('Dvd Calendar'!$AC$370)=0,"",IF(('Dvd Calendar'!$AC$370&gt;=GRID_FROM)*('Dvd Calendar'!$AC$370&lt;=GRID_TO)*('Dvd Calendar'!$AC$370&gt;VAL_DATE)=0,"",'Dvd Calendar'!$AC$370*1000000000+ISNUMBER('Dvd Calendar'!$AC$371)*100000000+0*10000000+(N('Dvd Calendar'!$AC$369)&gt;0)*(N('Dvd Calendar'!$AC$369)&lt;=VAL_SERIAL)*1000000+33*1000+65))</f>
        <v/>
      </c>
    </row>
    <row r="45">
      <c r="B45" s="2">
        <f>IF(HSI!$C$40="","",HSI!$C$40)</f>
        <v/>
      </c>
      <c r="C45" s="106">
        <f>IF(EE45="","",IF(ISNUMBER('Dvd Calendar'!$E$377)=FALSE,"",IF((('Dvd Calendar'!$E$379=TYPE1)*(TYPE1&lt;&gt;"")+('Dvd Calendar'!$E$379=TYPE2)*(TYPE2&lt;&gt;"")+('Dvd Calendar'!$E$379=TYPE3)*(TYPE3&lt;&gt;"")+('Dvd Calendar'!$E$379=TYPE4)*(TYPE4&lt;&gt;"")+('Dvd Calendar'!$E$379=SPECIAL_LBL)*(INC_SPECIALS="Y"))=0,"",'Dvd Calendar'!$E$377)))</f>
        <v/>
      </c>
      <c r="D45" s="106">
        <f>IF(EF45="","",IF(ISNUMBER('Dvd Calendar'!$F$377)=FALSE,"",IF((('Dvd Calendar'!$F$379=TYPE1)*(TYPE1&lt;&gt;"")+('Dvd Calendar'!$F$379=TYPE2)*(TYPE2&lt;&gt;"")+('Dvd Calendar'!$F$379=TYPE3)*(TYPE3&lt;&gt;"")+('Dvd Calendar'!$F$379=TYPE4)*(TYPE4&lt;&gt;"")+('Dvd Calendar'!$F$379=SPECIAL_LBL)*(INC_SPECIALS="Y"))=0,"",'Dvd Calendar'!$F$377)))</f>
        <v/>
      </c>
      <c r="E45" s="106">
        <f>IF(EG45="","",IF(ISNUMBER('Dvd Calendar'!$G$377)=FALSE,"",IF((('Dvd Calendar'!$G$379=TYPE1)*(TYPE1&lt;&gt;"")+('Dvd Calendar'!$G$379=TYPE2)*(TYPE2&lt;&gt;"")+('Dvd Calendar'!$G$379=TYPE3)*(TYPE3&lt;&gt;"")+('Dvd Calendar'!$G$379=TYPE4)*(TYPE4&lt;&gt;"")+('Dvd Calendar'!$G$379=SPECIAL_LBL)*(INC_SPECIALS="Y"))=0,"",'Dvd Calendar'!$G$377)))</f>
        <v/>
      </c>
      <c r="F45" s="106">
        <f>IF(EH45="","",IF(ISNUMBER('Dvd Calendar'!$H$377)=FALSE,"",IF((('Dvd Calendar'!$H$379=TYPE1)*(TYPE1&lt;&gt;"")+('Dvd Calendar'!$H$379=TYPE2)*(TYPE2&lt;&gt;"")+('Dvd Calendar'!$H$379=TYPE3)*(TYPE3&lt;&gt;"")+('Dvd Calendar'!$H$379=TYPE4)*(TYPE4&lt;&gt;"")+('Dvd Calendar'!$H$379=SPECIAL_LBL)*(INC_SPECIALS="Y"))=0,"",'Dvd Calendar'!$H$377)))</f>
        <v/>
      </c>
      <c r="G45" s="106">
        <f>IF(EI45="","",IF(ISNUMBER('Dvd Calendar'!$I$377)=FALSE,"",IF((('Dvd Calendar'!$I$379=TYPE1)*(TYPE1&lt;&gt;"")+('Dvd Calendar'!$I$379=TYPE2)*(TYPE2&lt;&gt;"")+('Dvd Calendar'!$I$379=TYPE3)*(TYPE3&lt;&gt;"")+('Dvd Calendar'!$I$379=TYPE4)*(TYPE4&lt;&gt;"")+('Dvd Calendar'!$I$379=SPECIAL_LBL)*(INC_SPECIALS="Y"))=0,"",'Dvd Calendar'!$I$377)))</f>
        <v/>
      </c>
      <c r="H45" s="106">
        <f>IF(EJ45="","",IF(ISNUMBER('Dvd Calendar'!$J$377)=FALSE,"",IF((('Dvd Calendar'!$J$379=TYPE1)*(TYPE1&lt;&gt;"")+('Dvd Calendar'!$J$379=TYPE2)*(TYPE2&lt;&gt;"")+('Dvd Calendar'!$J$379=TYPE3)*(TYPE3&lt;&gt;"")+('Dvd Calendar'!$J$379=TYPE4)*(TYPE4&lt;&gt;"")+('Dvd Calendar'!$J$379=SPECIAL_LBL)*(INC_SPECIALS="Y"))=0,"",'Dvd Calendar'!$J$377)))</f>
        <v/>
      </c>
      <c r="I45" s="106">
        <f>IF(EK45="","",IF(ISNUMBER('Dvd Calendar'!$K$377)=FALSE,"",IF((('Dvd Calendar'!$K$379=TYPE1)*(TYPE1&lt;&gt;"")+('Dvd Calendar'!$K$379=TYPE2)*(TYPE2&lt;&gt;"")+('Dvd Calendar'!$K$379=TYPE3)*(TYPE3&lt;&gt;"")+('Dvd Calendar'!$K$379=TYPE4)*(TYPE4&lt;&gt;"")+('Dvd Calendar'!$K$379=SPECIAL_LBL)*(INC_SPECIALS="Y"))=0,"",'Dvd Calendar'!$K$377)))</f>
        <v/>
      </c>
      <c r="J45" s="106">
        <f>IF(EL45="","",IF(ISNUMBER('Dvd Calendar'!$L$377)=FALSE,"",IF((('Dvd Calendar'!$L$379=TYPE1)*(TYPE1&lt;&gt;"")+('Dvd Calendar'!$L$379=TYPE2)*(TYPE2&lt;&gt;"")+('Dvd Calendar'!$L$379=TYPE3)*(TYPE3&lt;&gt;"")+('Dvd Calendar'!$L$379=TYPE4)*(TYPE4&lt;&gt;"")+('Dvd Calendar'!$L$379=SPECIAL_LBL)*(INC_SPECIALS="Y"))=0,"",'Dvd Calendar'!$L$377)))</f>
        <v/>
      </c>
      <c r="K45" s="106">
        <f>IF(EM45="","",IF(ISNUMBER('Dvd Calendar'!$M$377)=FALSE,"",IF((('Dvd Calendar'!$M$379=TYPE1)*(TYPE1&lt;&gt;"")+('Dvd Calendar'!$M$379=TYPE2)*(TYPE2&lt;&gt;"")+('Dvd Calendar'!$M$379=TYPE3)*(TYPE3&lt;&gt;"")+('Dvd Calendar'!$M$379=TYPE4)*(TYPE4&lt;&gt;"")+('Dvd Calendar'!$M$379=SPECIAL_LBL)*(INC_SPECIALS="Y"))=0,"",'Dvd Calendar'!$M$377)))</f>
        <v/>
      </c>
      <c r="L45" s="106">
        <f>IF(EN45="","",IF(ISNUMBER('Dvd Calendar'!$N$377)=FALSE,"",IF((('Dvd Calendar'!$N$379=TYPE1)*(TYPE1&lt;&gt;"")+('Dvd Calendar'!$N$379=TYPE2)*(TYPE2&lt;&gt;"")+('Dvd Calendar'!$N$379=TYPE3)*(TYPE3&lt;&gt;"")+('Dvd Calendar'!$N$379=TYPE4)*(TYPE4&lt;&gt;"")+('Dvd Calendar'!$N$379=SPECIAL_LBL)*(INC_SPECIALS="Y"))=0,"",'Dvd Calendar'!$N$377)))</f>
        <v/>
      </c>
      <c r="M45" s="106">
        <f>IF(EO45="","",IF(ISNUMBER('Dvd Calendar'!$O$377)=FALSE,"",IF((('Dvd Calendar'!$O$379=TYPE1)*(TYPE1&lt;&gt;"")+('Dvd Calendar'!$O$379=TYPE2)*(TYPE2&lt;&gt;"")+('Dvd Calendar'!$O$379=TYPE3)*(TYPE3&lt;&gt;"")+('Dvd Calendar'!$O$379=TYPE4)*(TYPE4&lt;&gt;"")+('Dvd Calendar'!$O$379=SPECIAL_LBL)*(INC_SPECIALS="Y"))=0,"",'Dvd Calendar'!$O$377)))</f>
        <v/>
      </c>
      <c r="N45" s="106">
        <f>IF(EP45="","",IF(ISNUMBER('Dvd Calendar'!$P$377)=FALSE,"",IF((('Dvd Calendar'!$P$379=TYPE1)*(TYPE1&lt;&gt;"")+('Dvd Calendar'!$P$379=TYPE2)*(TYPE2&lt;&gt;"")+('Dvd Calendar'!$P$379=TYPE3)*(TYPE3&lt;&gt;"")+('Dvd Calendar'!$P$379=TYPE4)*(TYPE4&lt;&gt;"")+('Dvd Calendar'!$P$379=SPECIAL_LBL)*(INC_SPECIALS="Y"))=0,"",'Dvd Calendar'!$P$377)))</f>
        <v/>
      </c>
      <c r="O45" s="106">
        <f>IF(EQ45="","",IF(ISNUMBER('Dvd Calendar'!$Q$377)=FALSE,"",IF((('Dvd Calendar'!$Q$379=TYPE1)*(TYPE1&lt;&gt;"")+('Dvd Calendar'!$Q$379=TYPE2)*(TYPE2&lt;&gt;"")+('Dvd Calendar'!$Q$379=TYPE3)*(TYPE3&lt;&gt;"")+('Dvd Calendar'!$Q$379=TYPE4)*(TYPE4&lt;&gt;"")+('Dvd Calendar'!$Q$379=SPECIAL_LBL)*(INC_SPECIALS="Y"))=0,"",'Dvd Calendar'!$Q$377)))</f>
        <v/>
      </c>
      <c r="P45" s="106">
        <f>IF(ER45="","",IF(ISNUMBER('Dvd Calendar'!$R$377)=FALSE,"",IF((('Dvd Calendar'!$R$379=TYPE1)*(TYPE1&lt;&gt;"")+('Dvd Calendar'!$R$379=TYPE2)*(TYPE2&lt;&gt;"")+('Dvd Calendar'!$R$379=TYPE3)*(TYPE3&lt;&gt;"")+('Dvd Calendar'!$R$379=TYPE4)*(TYPE4&lt;&gt;"")+('Dvd Calendar'!$R$379=SPECIAL_LBL)*(INC_SPECIALS="Y"))=0,"",'Dvd Calendar'!$R$377)))</f>
        <v/>
      </c>
      <c r="Q45" s="106">
        <f>IF(ES45="","",IF(ISNUMBER('Dvd Calendar'!$S$377)=FALSE,"",IF((('Dvd Calendar'!$S$379=TYPE1)*(TYPE1&lt;&gt;"")+('Dvd Calendar'!$S$379=TYPE2)*(TYPE2&lt;&gt;"")+('Dvd Calendar'!$S$379=TYPE3)*(TYPE3&lt;&gt;"")+('Dvd Calendar'!$S$379=TYPE4)*(TYPE4&lt;&gt;"")+('Dvd Calendar'!$S$379=SPECIAL_LBL)*(INC_SPECIALS="Y"))=0,"",'Dvd Calendar'!$S$377)))</f>
        <v/>
      </c>
      <c r="R45" s="106">
        <f>IF(ET45="","",IF(ISNUMBER('Dvd Calendar'!$T$377)=FALSE,"",IF((('Dvd Calendar'!$T$379=TYPE1)*(TYPE1&lt;&gt;"")+('Dvd Calendar'!$T$379=TYPE2)*(TYPE2&lt;&gt;"")+('Dvd Calendar'!$T$379=TYPE3)*(TYPE3&lt;&gt;"")+('Dvd Calendar'!$T$379=TYPE4)*(TYPE4&lt;&gt;"")+('Dvd Calendar'!$T$379=SPECIAL_LBL)*(INC_SPECIALS="Y"))=0,"",'Dvd Calendar'!$T$377)))</f>
        <v/>
      </c>
      <c r="S45" s="106">
        <f>IF(EU45="","",IF(ISNUMBER('Dvd Calendar'!$U$377)=FALSE,"",IF((('Dvd Calendar'!$U$379=TYPE1)*(TYPE1&lt;&gt;"")+('Dvd Calendar'!$U$379=TYPE2)*(TYPE2&lt;&gt;"")+('Dvd Calendar'!$U$379=TYPE3)*(TYPE3&lt;&gt;"")+('Dvd Calendar'!$U$379=TYPE4)*(TYPE4&lt;&gt;"")+('Dvd Calendar'!$U$379=SPECIAL_LBL)*(INC_SPECIALS="Y"))=0,"",'Dvd Calendar'!$U$377)))</f>
        <v/>
      </c>
      <c r="T45" s="106">
        <f>IF(EV45="","",IF(ISNUMBER('Dvd Calendar'!$V$377)=FALSE,"",IF((('Dvd Calendar'!$V$379=TYPE1)*(TYPE1&lt;&gt;"")+('Dvd Calendar'!$V$379=TYPE2)*(TYPE2&lt;&gt;"")+('Dvd Calendar'!$V$379=TYPE3)*(TYPE3&lt;&gt;"")+('Dvd Calendar'!$V$379=TYPE4)*(TYPE4&lt;&gt;"")+('Dvd Calendar'!$V$379=SPECIAL_LBL)*(INC_SPECIALS="Y"))=0,"",'Dvd Calendar'!$V$377)))</f>
        <v/>
      </c>
      <c r="U45" s="106">
        <f>IF(EW45="","",IF(ISNUMBER('Dvd Calendar'!$W$377)=FALSE,"",IF((('Dvd Calendar'!$W$379=TYPE1)*(TYPE1&lt;&gt;"")+('Dvd Calendar'!$W$379=TYPE2)*(TYPE2&lt;&gt;"")+('Dvd Calendar'!$W$379=TYPE3)*(TYPE3&lt;&gt;"")+('Dvd Calendar'!$W$379=TYPE4)*(TYPE4&lt;&gt;"")+('Dvd Calendar'!$W$379=SPECIAL_LBL)*(INC_SPECIALS="Y"))=0,"",'Dvd Calendar'!$W$377)))</f>
        <v/>
      </c>
      <c r="V45" s="106">
        <f>IF(EX45="","",IF(ISNUMBER('Dvd Calendar'!$X$377)=FALSE,"",IF((('Dvd Calendar'!$X$379=TYPE1)*(TYPE1&lt;&gt;"")+('Dvd Calendar'!$X$379=TYPE2)*(TYPE2&lt;&gt;"")+('Dvd Calendar'!$X$379=TYPE3)*(TYPE3&lt;&gt;"")+('Dvd Calendar'!$X$379=TYPE4)*(TYPE4&lt;&gt;"")+('Dvd Calendar'!$X$379=SPECIAL_LBL)*(INC_SPECIALS="Y"))=0,"",'Dvd Calendar'!$X$377)))</f>
        <v/>
      </c>
      <c r="W45" s="106">
        <f>IF(EY45="","",IF(ISNUMBER('Dvd Calendar'!$Y$377)=FALSE,"",IF((('Dvd Calendar'!$Y$379=TYPE1)*(TYPE1&lt;&gt;"")+('Dvd Calendar'!$Y$379=TYPE2)*(TYPE2&lt;&gt;"")+('Dvd Calendar'!$Y$379=TYPE3)*(TYPE3&lt;&gt;"")+('Dvd Calendar'!$Y$379=TYPE4)*(TYPE4&lt;&gt;"")+('Dvd Calendar'!$Y$379=SPECIAL_LBL)*(INC_SPECIALS="Y"))=0,"",'Dvd Calendar'!$Y$377)))</f>
        <v/>
      </c>
      <c r="X45" s="106">
        <f>IF(EZ45="","",IF(ISNUMBER('Dvd Calendar'!$Z$377)=FALSE,"",IF((('Dvd Calendar'!$Z$379=TYPE1)*(TYPE1&lt;&gt;"")+('Dvd Calendar'!$Z$379=TYPE2)*(TYPE2&lt;&gt;"")+('Dvd Calendar'!$Z$379=TYPE3)*(TYPE3&lt;&gt;"")+('Dvd Calendar'!$Z$379=TYPE4)*(TYPE4&lt;&gt;"")+('Dvd Calendar'!$Z$379=SPECIAL_LBL)*(INC_SPECIALS="Y"))=0,"",'Dvd Calendar'!$Z$377)))</f>
        <v/>
      </c>
      <c r="Y45" s="106">
        <f>IF(FA45="","",IF(ISNUMBER('Dvd Calendar'!$AA$377)=FALSE,"",IF((('Dvd Calendar'!$AA$379=TYPE1)*(TYPE1&lt;&gt;"")+('Dvd Calendar'!$AA$379=TYPE2)*(TYPE2&lt;&gt;"")+('Dvd Calendar'!$AA$379=TYPE3)*(TYPE3&lt;&gt;"")+('Dvd Calendar'!$AA$379=TYPE4)*(TYPE4&lt;&gt;"")+('Dvd Calendar'!$AA$379=SPECIAL_LBL)*(INC_SPECIALS="Y"))=0,"",'Dvd Calendar'!$AA$377)))</f>
        <v/>
      </c>
      <c r="Z45" s="106">
        <f>IF(FB45="","",IF(ISNUMBER('Dvd Calendar'!$AB$377)=FALSE,"",IF((('Dvd Calendar'!$AB$379=TYPE1)*(TYPE1&lt;&gt;"")+('Dvd Calendar'!$AB$379=TYPE2)*(TYPE2&lt;&gt;"")+('Dvd Calendar'!$AB$379=TYPE3)*(TYPE3&lt;&gt;"")+('Dvd Calendar'!$AB$379=TYPE4)*(TYPE4&lt;&gt;"")+('Dvd Calendar'!$AB$379=SPECIAL_LBL)*(INC_SPECIALS="Y"))=0,"",'Dvd Calendar'!$AB$377)))</f>
        <v/>
      </c>
      <c r="AA45" s="106">
        <f>IF(FC45="","",IF(ISNUMBER('Dvd Calendar'!$AC$377)=FALSE,"",IF((('Dvd Calendar'!$AC$379=TYPE1)*(TYPE1&lt;&gt;"")+('Dvd Calendar'!$AC$379=TYPE2)*(TYPE2&lt;&gt;"")+('Dvd Calendar'!$AC$379=TYPE3)*(TYPE3&lt;&gt;"")+('Dvd Calendar'!$AC$379=TYPE4)*(TYPE4&lt;&gt;"")+('Dvd Calendar'!$AC$379=SPECIAL_LBL)*(INC_SPECIALS="Y"))=0,"",'Dvd Calendar'!$AC$377)))</f>
        <v/>
      </c>
      <c r="AB45" s="106">
        <f>IF(FD45="","",IF(ISNUMBER('Dvd Calendar'!$AD$377)=FALSE,"",IF((('Dvd Calendar'!$AD$379=TYPE1)*(TYPE1&lt;&gt;"")+('Dvd Calendar'!$AD$379=TYPE2)*(TYPE2&lt;&gt;"")+('Dvd Calendar'!$AD$379=TYPE3)*(TYPE3&lt;&gt;"")+('Dvd Calendar'!$AD$379=TYPE4)*(TYPE4&lt;&gt;"")+('Dvd Calendar'!$AD$379=SPECIAL_LBL)*(INC_SPECIALS="Y"))=0,"",'Dvd Calendar'!$AD$377)))</f>
        <v/>
      </c>
      <c r="AC45" s="106">
        <f>IF(FE45="","",IF(ISNUMBER('Dvd Calendar'!$AE$377)=FALSE,"",IF((('Dvd Calendar'!$AE$379=TYPE1)*(TYPE1&lt;&gt;"")+('Dvd Calendar'!$AE$379=TYPE2)*(TYPE2&lt;&gt;"")+('Dvd Calendar'!$AE$379=TYPE3)*(TYPE3&lt;&gt;"")+('Dvd Calendar'!$AE$379=TYPE4)*(TYPE4&lt;&gt;"")+('Dvd Calendar'!$AE$379=SPECIAL_LBL)*(INC_SPECIALS="Y"))=0,"",'Dvd Calendar'!$AE$377)))</f>
        <v/>
      </c>
      <c r="AD45" s="106">
        <f>IF(FF45="","",IF(ISNUMBER('Dvd Calendar'!$AF$377)=FALSE,"",IF((('Dvd Calendar'!$AF$379=TYPE1)*(TYPE1&lt;&gt;"")+('Dvd Calendar'!$AF$379=TYPE2)*(TYPE2&lt;&gt;"")+('Dvd Calendar'!$AF$379=TYPE3)*(TYPE3&lt;&gt;"")+('Dvd Calendar'!$AF$379=TYPE4)*(TYPE4&lt;&gt;"")+('Dvd Calendar'!$AF$379=SPECIAL_LBL)*(INC_SPECIALS="Y"))=0,"",'Dvd Calendar'!$AF$377)))</f>
        <v/>
      </c>
      <c r="AE45" s="106">
        <f>IF(FG45="","",IF(ISNUMBER('Dvd Calendar'!$AG$377)=FALSE,"",IF((('Dvd Calendar'!$AG$379=TYPE1)*(TYPE1&lt;&gt;"")+('Dvd Calendar'!$AG$379=TYPE2)*(TYPE2&lt;&gt;"")+('Dvd Calendar'!$AG$379=TYPE3)*(TYPE3&lt;&gt;"")+('Dvd Calendar'!$AG$379=TYPE4)*(TYPE4&lt;&gt;"")+('Dvd Calendar'!$AG$379=SPECIAL_LBL)*(INC_SPECIALS="Y"))=0,"",'Dvd Calendar'!$AG$377)))</f>
        <v/>
      </c>
      <c r="AF45" s="106">
        <f>IF(FH45="","",IF(ISNUMBER('Dvd Calendar'!$AH$377)=FALSE,"",IF((('Dvd Calendar'!$AH$379=TYPE1)*(TYPE1&lt;&gt;"")+('Dvd Calendar'!$AH$379=TYPE2)*(TYPE2&lt;&gt;"")+('Dvd Calendar'!$AH$379=TYPE3)*(TYPE3&lt;&gt;"")+('Dvd Calendar'!$AH$379=TYPE4)*(TYPE4&lt;&gt;"")+('Dvd Calendar'!$AH$379=SPECIAL_LBL)*(INC_SPECIALS="Y"))=0,"",'Dvd Calendar'!$AH$377)))</f>
        <v/>
      </c>
      <c r="AG45" s="106">
        <f>IF(FI45="","",IF(ISNUMBER('Dvd Calendar'!$AI$377)=FALSE,"",IF((('Dvd Calendar'!$AI$379=TYPE1)*(TYPE1&lt;&gt;"")+('Dvd Calendar'!$AI$379=TYPE2)*(TYPE2&lt;&gt;"")+('Dvd Calendar'!$AI$379=TYPE3)*(TYPE3&lt;&gt;"")+('Dvd Calendar'!$AI$379=TYPE4)*(TYPE4&lt;&gt;"")+('Dvd Calendar'!$AI$379=SPECIAL_LBL)*(INC_SPECIALS="Y"))=0,"",'Dvd Calendar'!$AI$377)))</f>
        <v/>
      </c>
      <c r="AH45" s="106">
        <f>IF(FJ45="","",IF(ISNUMBER('Dvd Calendar'!$AJ$377)=FALSE,"",IF((('Dvd Calendar'!$AJ$379=TYPE1)*(TYPE1&lt;&gt;"")+('Dvd Calendar'!$AJ$379=TYPE2)*(TYPE2&lt;&gt;"")+('Dvd Calendar'!$AJ$379=TYPE3)*(TYPE3&lt;&gt;"")+('Dvd Calendar'!$AJ$379=TYPE4)*(TYPE4&lt;&gt;"")+('Dvd Calendar'!$AJ$379=SPECIAL_LBL)*(INC_SPECIALS="Y"))=0,"",'Dvd Calendar'!$AJ$377)))</f>
        <v/>
      </c>
      <c r="AI45" s="106">
        <f>IF(FK45="","",IF(ISNUMBER('Dvd Calendar'!$AK$377)=FALSE,"",IF((('Dvd Calendar'!$AK$379=TYPE1)*(TYPE1&lt;&gt;"")+('Dvd Calendar'!$AK$379=TYPE2)*(TYPE2&lt;&gt;"")+('Dvd Calendar'!$AK$379=TYPE3)*(TYPE3&lt;&gt;"")+('Dvd Calendar'!$AK$379=TYPE4)*(TYPE4&lt;&gt;"")+('Dvd Calendar'!$AK$379=SPECIAL_LBL)*(INC_SPECIALS="Y"))=0,"",'Dvd Calendar'!$AK$377)))</f>
        <v/>
      </c>
      <c r="AJ45" s="106">
        <f>IF(FL45="","",IF(ISNUMBER('Dvd Calendar'!$AL$377)=FALSE,"",IF((('Dvd Calendar'!$AL$379=TYPE1)*(TYPE1&lt;&gt;"")+('Dvd Calendar'!$AL$379=TYPE2)*(TYPE2&lt;&gt;"")+('Dvd Calendar'!$AL$379=TYPE3)*(TYPE3&lt;&gt;"")+('Dvd Calendar'!$AL$379=TYPE4)*(TYPE4&lt;&gt;"")+('Dvd Calendar'!$AL$379=SPECIAL_LBL)*(INC_SPECIALS="Y"))=0,"",'Dvd Calendar'!$AL$377)))</f>
        <v/>
      </c>
      <c r="AK45" s="106">
        <f>IF(FM45="","",IF(ISNUMBER('Dvd Calendar'!$AM$377)=FALSE,"",IF((('Dvd Calendar'!$AM$379=TYPE1)*(TYPE1&lt;&gt;"")+('Dvd Calendar'!$AM$379=TYPE2)*(TYPE2&lt;&gt;"")+('Dvd Calendar'!$AM$379=TYPE3)*(TYPE3&lt;&gt;"")+('Dvd Calendar'!$AM$379=TYPE4)*(TYPE4&lt;&gt;"")+('Dvd Calendar'!$AM$379=SPECIAL_LBL)*(INC_SPECIALS="Y"))=0,"",'Dvd Calendar'!$AM$377)))</f>
        <v/>
      </c>
      <c r="AL45" s="106">
        <f>IF(FN45="","",IF(ISNUMBER('Dvd Calendar'!$AN$377)=FALSE,"",IF((('Dvd Calendar'!$AN$379=TYPE1)*(TYPE1&lt;&gt;"")+('Dvd Calendar'!$AN$379=TYPE2)*(TYPE2&lt;&gt;"")+('Dvd Calendar'!$AN$379=TYPE3)*(TYPE3&lt;&gt;"")+('Dvd Calendar'!$AN$379=TYPE4)*(TYPE4&lt;&gt;"")+('Dvd Calendar'!$AN$379=SPECIAL_LBL)*(INC_SPECIALS="Y"))=0,"",'Dvd Calendar'!$AN$377)))</f>
        <v/>
      </c>
      <c r="AM45" s="106">
        <f>IF(FO45="","",IF(ISNUMBER('Dvd Calendar'!$AO$377)=FALSE,"",IF((('Dvd Calendar'!$AO$379=TYPE1)*(TYPE1&lt;&gt;"")+('Dvd Calendar'!$AO$379=TYPE2)*(TYPE2&lt;&gt;"")+('Dvd Calendar'!$AO$379=TYPE3)*(TYPE3&lt;&gt;"")+('Dvd Calendar'!$AO$379=TYPE4)*(TYPE4&lt;&gt;"")+('Dvd Calendar'!$AO$379=SPECIAL_LBL)*(INC_SPECIALS="Y"))=0,"",'Dvd Calendar'!$AO$377)))</f>
        <v/>
      </c>
      <c r="AN45" s="106">
        <f>IF(FP45="","",IF(ISNUMBER('Dvd Calendar'!$AP$377)=FALSE,"",IF((('Dvd Calendar'!$AP$379=TYPE1)*(TYPE1&lt;&gt;"")+('Dvd Calendar'!$AP$379=TYPE2)*(TYPE2&lt;&gt;"")+('Dvd Calendar'!$AP$379=TYPE3)*(TYPE3&lt;&gt;"")+('Dvd Calendar'!$AP$379=TYPE4)*(TYPE4&lt;&gt;"")+('Dvd Calendar'!$AP$379=SPECIAL_LBL)*(INC_SPECIALS="Y"))=0,"",'Dvd Calendar'!$AP$377)))</f>
        <v/>
      </c>
      <c r="AO45" s="106">
        <f>IF(FQ45="","",IF(ISNUMBER('Dvd Calendar'!$AQ$377)=FALSE,"",IF((('Dvd Calendar'!$AQ$379=TYPE1)*(TYPE1&lt;&gt;"")+('Dvd Calendar'!$AQ$379=TYPE2)*(TYPE2&lt;&gt;"")+('Dvd Calendar'!$AQ$379=TYPE3)*(TYPE3&lt;&gt;"")+('Dvd Calendar'!$AQ$379=TYPE4)*(TYPE4&lt;&gt;"")+('Dvd Calendar'!$AQ$379=SPECIAL_LBL)*(INC_SPECIALS="Y"))=0,"",'Dvd Calendar'!$AQ$377)))</f>
        <v/>
      </c>
      <c r="AP45" s="106">
        <f>IF(FR45="","",IF(ISNUMBER('Dvd Calendar'!$AR$377)=FALSE,"",IF((('Dvd Calendar'!$AR$379=TYPE1)*(TYPE1&lt;&gt;"")+('Dvd Calendar'!$AR$379=TYPE2)*(TYPE2&lt;&gt;"")+('Dvd Calendar'!$AR$379=TYPE3)*(TYPE3&lt;&gt;"")+('Dvd Calendar'!$AR$379=TYPE4)*(TYPE4&lt;&gt;"")+('Dvd Calendar'!$AR$379=SPECIAL_LBL)*(INC_SPECIALS="Y"))=0,"",'Dvd Calendar'!$AR$377)))</f>
        <v/>
      </c>
      <c r="AQ45" s="106">
        <f>IF(FS45="","",IF(ISNUMBER('Dvd Calendar'!$E$382)=FALSE,"",'Dvd Calendar'!$E$382))</f>
        <v/>
      </c>
      <c r="AR45" s="106">
        <f>IF(FT45="","",IF(ISNUMBER('Dvd Calendar'!$F$382)=FALSE,"",'Dvd Calendar'!$F$382))</f>
        <v/>
      </c>
      <c r="AS45" s="106">
        <f>IF(FU45="","",IF(ISNUMBER('Dvd Calendar'!$G$382)=FALSE,"",'Dvd Calendar'!$G$382))</f>
        <v/>
      </c>
      <c r="AT45" s="106">
        <f>IF(FV45="","",IF(ISNUMBER('Dvd Calendar'!$H$382)=FALSE,"",'Dvd Calendar'!$H$382))</f>
        <v/>
      </c>
      <c r="AU45" s="106">
        <f>IF(FW45="","",IF(ISNUMBER('Dvd Calendar'!$I$382)=FALSE,"",'Dvd Calendar'!$I$382))</f>
        <v/>
      </c>
      <c r="AV45" s="106">
        <f>IF(FX45="","",IF(ISNUMBER('Dvd Calendar'!$J$382)=FALSE,"",'Dvd Calendar'!$J$382))</f>
        <v/>
      </c>
      <c r="AW45" s="106">
        <f>IF(FY45="","",IF(ISNUMBER('Dvd Calendar'!$K$382)=FALSE,"",'Dvd Calendar'!$K$382))</f>
        <v/>
      </c>
      <c r="AX45" s="106">
        <f>IF(FZ45="","",IF(ISNUMBER('Dvd Calendar'!$L$382)=FALSE,"",'Dvd Calendar'!$L$382))</f>
        <v/>
      </c>
      <c r="AY45" s="106">
        <f>IF(GA45="","",IF(ISNUMBER('Dvd Calendar'!$M$382)=FALSE,"",'Dvd Calendar'!$M$382))</f>
        <v/>
      </c>
      <c r="AZ45" s="106">
        <f>IF(GB45="","",IF(ISNUMBER('Dvd Calendar'!$N$382)=FALSE,"",'Dvd Calendar'!$N$382))</f>
        <v/>
      </c>
      <c r="BA45" s="106">
        <f>IF(GC45="","",IF(ISNUMBER('Dvd Calendar'!$O$382)=FALSE,"",'Dvd Calendar'!$O$382))</f>
        <v/>
      </c>
      <c r="BB45" s="106">
        <f>IF(GD45="","",IF(ISNUMBER('Dvd Calendar'!$P$382)=FALSE,"",'Dvd Calendar'!$P$382))</f>
        <v/>
      </c>
      <c r="BC45" s="106">
        <f>IF(GE45="","",IF(ISNUMBER('Dvd Calendar'!$Q$382)=FALSE,"",'Dvd Calendar'!$Q$382))</f>
        <v/>
      </c>
      <c r="BD45" s="106">
        <f>IF(GF45="","",IF(ISNUMBER('Dvd Calendar'!$R$382)=FALSE,"",'Dvd Calendar'!$R$382))</f>
        <v/>
      </c>
      <c r="BE45" s="106">
        <f>IF(GG45="","",IF(ISNUMBER('Dvd Calendar'!$S$382)=FALSE,"",'Dvd Calendar'!$S$382))</f>
        <v/>
      </c>
      <c r="BF45" s="106">
        <f>IF(GH45="","",IF(ISNUMBER('Dvd Calendar'!$T$382)=FALSE,"",'Dvd Calendar'!$T$382))</f>
        <v/>
      </c>
      <c r="BG45" s="106">
        <f>IF(GI45="","",IF(ISNUMBER('Dvd Calendar'!$U$382)=FALSE,"",'Dvd Calendar'!$U$382))</f>
        <v/>
      </c>
      <c r="BH45" s="106">
        <f>IF(GJ45="","",IF(ISNUMBER('Dvd Calendar'!$V$382)=FALSE,"",'Dvd Calendar'!$V$382))</f>
        <v/>
      </c>
      <c r="BI45" s="106">
        <f>IF(GK45="","",IF(ISNUMBER('Dvd Calendar'!$W$382)=FALSE,"",'Dvd Calendar'!$W$382))</f>
        <v/>
      </c>
      <c r="BJ45" s="106">
        <f>IF(GL45="","",IF(ISNUMBER('Dvd Calendar'!$X$382)=FALSE,"",'Dvd Calendar'!$X$382))</f>
        <v/>
      </c>
      <c r="BK45" s="106">
        <f>IF(GM45="","",IF(ISNUMBER('Dvd Calendar'!$Y$382)=FALSE,"",'Dvd Calendar'!$Y$382))</f>
        <v/>
      </c>
      <c r="BL45" s="106">
        <f>IF(GN45="","",IF(ISNUMBER('Dvd Calendar'!$Z$382)=FALSE,"",'Dvd Calendar'!$Z$382))</f>
        <v/>
      </c>
      <c r="BM45" s="106">
        <f>IF(GO45="","",IF(ISNUMBER('Dvd Calendar'!$AA$382)=FALSE,"",'Dvd Calendar'!$AA$382))</f>
        <v/>
      </c>
      <c r="BN45" s="106">
        <f>IF(GP45="","",IF(ISNUMBER('Dvd Calendar'!$AB$382)=FALSE,"",'Dvd Calendar'!$AB$382))</f>
        <v/>
      </c>
      <c r="BO45" s="106">
        <f>IF(GQ45="","",IF(ISNUMBER('Dvd Calendar'!$AC$382)=FALSE,"",'Dvd Calendar'!$AC$382))</f>
        <v/>
      </c>
      <c r="BQ45" s="106">
        <f>IF(C45="","",IFERROR(C45*HSI!$B$40*HSI!$G$40/HSI!$B$3,""))</f>
        <v/>
      </c>
      <c r="BR45" s="106">
        <f>IF(D45="","",IFERROR(D45*HSI!$B$40*HSI!$G$40/HSI!$B$3,""))</f>
        <v/>
      </c>
      <c r="BS45" s="106">
        <f>IF(E45="","",IFERROR(E45*HSI!$B$40*HSI!$G$40/HSI!$B$3,""))</f>
        <v/>
      </c>
      <c r="BT45" s="106">
        <f>IF(F45="","",IFERROR(F45*HSI!$B$40*HSI!$G$40/HSI!$B$3,""))</f>
        <v/>
      </c>
      <c r="BU45" s="106">
        <f>IF(G45="","",IFERROR(G45*HSI!$B$40*HSI!$G$40/HSI!$B$3,""))</f>
        <v/>
      </c>
      <c r="BV45" s="106">
        <f>IF(H45="","",IFERROR(H45*HSI!$B$40*HSI!$G$40/HSI!$B$3,""))</f>
        <v/>
      </c>
      <c r="BW45" s="106">
        <f>IF(I45="","",IFERROR(I45*HSI!$B$40*HSI!$G$40/HSI!$B$3,""))</f>
        <v/>
      </c>
      <c r="BX45" s="106">
        <f>IF(J45="","",IFERROR(J45*HSI!$B$40*HSI!$G$40/HSI!$B$3,""))</f>
        <v/>
      </c>
      <c r="BY45" s="106">
        <f>IF(K45="","",IFERROR(K45*HSI!$B$40*HSI!$G$40/HSI!$B$3,""))</f>
        <v/>
      </c>
      <c r="BZ45" s="106">
        <f>IF(L45="","",IFERROR(L45*HSI!$B$40*HSI!$G$40/HSI!$B$3,""))</f>
        <v/>
      </c>
      <c r="CA45" s="106">
        <f>IF(M45="","",IFERROR(M45*HSI!$B$40*HSI!$G$40/HSI!$B$3,""))</f>
        <v/>
      </c>
      <c r="CB45" s="106">
        <f>IF(N45="","",IFERROR(N45*HSI!$B$40*HSI!$G$40/HSI!$B$3,""))</f>
        <v/>
      </c>
      <c r="CC45" s="106">
        <f>IF(O45="","",IFERROR(O45*HSI!$B$40*HSI!$G$40/HSI!$B$3,""))</f>
        <v/>
      </c>
      <c r="CD45" s="106">
        <f>IF(P45="","",IFERROR(P45*HSI!$B$40*HSI!$G$40/HSI!$B$3,""))</f>
        <v/>
      </c>
      <c r="CE45" s="106">
        <f>IF(Q45="","",IFERROR(Q45*HSI!$B$40*HSI!$G$40/HSI!$B$3,""))</f>
        <v/>
      </c>
      <c r="CF45" s="106">
        <f>IF(R45="","",IFERROR(R45*HSI!$B$40*HSI!$G$40/HSI!$B$3,""))</f>
        <v/>
      </c>
      <c r="CG45" s="106">
        <f>IF(S45="","",IFERROR(S45*HSI!$B$40*HSI!$G$40/HSI!$B$3,""))</f>
        <v/>
      </c>
      <c r="CH45" s="106">
        <f>IF(T45="","",IFERROR(T45*HSI!$B$40*HSI!$G$40/HSI!$B$3,""))</f>
        <v/>
      </c>
      <c r="CI45" s="106">
        <f>IF(U45="","",IFERROR(U45*HSI!$B$40*HSI!$G$40/HSI!$B$3,""))</f>
        <v/>
      </c>
      <c r="CJ45" s="106">
        <f>IF(V45="","",IFERROR(V45*HSI!$B$40*HSI!$G$40/HSI!$B$3,""))</f>
        <v/>
      </c>
      <c r="CK45" s="106">
        <f>IF(W45="","",IFERROR(W45*HSI!$B$40*HSI!$G$40/HSI!$B$3,""))</f>
        <v/>
      </c>
      <c r="CL45" s="106">
        <f>IF(X45="","",IFERROR(X45*HSI!$B$40*HSI!$G$40/HSI!$B$3,""))</f>
        <v/>
      </c>
      <c r="CM45" s="106">
        <f>IF(Y45="","",IFERROR(Y45*HSI!$B$40*HSI!$G$40/HSI!$B$3,""))</f>
        <v/>
      </c>
      <c r="CN45" s="106">
        <f>IF(Z45="","",IFERROR(Z45*HSI!$B$40*HSI!$G$40/HSI!$B$3,""))</f>
        <v/>
      </c>
      <c r="CO45" s="106">
        <f>IF(AA45="","",IFERROR(AA45*HSI!$B$40*HSI!$G$40/HSI!$B$3,""))</f>
        <v/>
      </c>
      <c r="CP45" s="106">
        <f>IF(AB45="","",IFERROR(AB45*HSI!$B$40*HSI!$G$40/HSI!$B$3,""))</f>
        <v/>
      </c>
      <c r="CQ45" s="106">
        <f>IF(AC45="","",IFERROR(AC45*HSI!$B$40*HSI!$G$40/HSI!$B$3,""))</f>
        <v/>
      </c>
      <c r="CR45" s="106">
        <f>IF(AD45="","",IFERROR(AD45*HSI!$B$40*HSI!$G$40/HSI!$B$3,""))</f>
        <v/>
      </c>
      <c r="CS45" s="106">
        <f>IF(AE45="","",IFERROR(AE45*HSI!$B$40*HSI!$G$40/HSI!$B$3,""))</f>
        <v/>
      </c>
      <c r="CT45" s="106">
        <f>IF(AF45="","",IFERROR(AF45*HSI!$B$40*HSI!$G$40/HSI!$B$3,""))</f>
        <v/>
      </c>
      <c r="CU45" s="106">
        <f>IF(AG45="","",IFERROR(AG45*HSI!$B$40*HSI!$G$40/HSI!$B$3,""))</f>
        <v/>
      </c>
      <c r="CV45" s="106">
        <f>IF(AH45="","",IFERROR(AH45*HSI!$B$40*HSI!$G$40/HSI!$B$3,""))</f>
        <v/>
      </c>
      <c r="CW45" s="106">
        <f>IF(AI45="","",IFERROR(AI45*HSI!$B$40*HSI!$G$40/HSI!$B$3,""))</f>
        <v/>
      </c>
      <c r="CX45" s="106">
        <f>IF(AJ45="","",IFERROR(AJ45*HSI!$B$40*HSI!$G$40/HSI!$B$3,""))</f>
        <v/>
      </c>
      <c r="CY45" s="106">
        <f>IF(AK45="","",IFERROR(AK45*HSI!$B$40*HSI!$G$40/HSI!$B$3,""))</f>
        <v/>
      </c>
      <c r="CZ45" s="106">
        <f>IF(AL45="","",IFERROR(AL45*HSI!$B$40*HSI!$G$40/HSI!$B$3,""))</f>
        <v/>
      </c>
      <c r="DA45" s="106">
        <f>IF(AM45="","",IFERROR(AM45*HSI!$B$40*HSI!$G$40/HSI!$B$3,""))</f>
        <v/>
      </c>
      <c r="DB45" s="106">
        <f>IF(AN45="","",IFERROR(AN45*HSI!$B$40*HSI!$G$40/HSI!$B$3,""))</f>
        <v/>
      </c>
      <c r="DC45" s="106">
        <f>IF(AO45="","",IFERROR(AO45*HSI!$B$40*HSI!$G$40/HSI!$B$3,""))</f>
        <v/>
      </c>
      <c r="DD45" s="106">
        <f>IF(AP45="","",IFERROR(AP45*HSI!$B$40*HSI!$G$40/HSI!$B$3,""))</f>
        <v/>
      </c>
      <c r="DE45" s="106">
        <f>IF(AQ45="","",IFERROR(AQ45*HSI!$B$40*HSI!$G$40/HSI!$B$3,""))</f>
        <v/>
      </c>
      <c r="DF45" s="106">
        <f>IF(AR45="","",IFERROR(AR45*HSI!$B$40*HSI!$G$40/HSI!$B$3,""))</f>
        <v/>
      </c>
      <c r="DG45" s="106">
        <f>IF(AS45="","",IFERROR(AS45*HSI!$B$40*HSI!$G$40/HSI!$B$3,""))</f>
        <v/>
      </c>
      <c r="DH45" s="106">
        <f>IF(AT45="","",IFERROR(AT45*HSI!$B$40*HSI!$G$40/HSI!$B$3,""))</f>
        <v/>
      </c>
      <c r="DI45" s="106">
        <f>IF(AU45="","",IFERROR(AU45*HSI!$B$40*HSI!$G$40/HSI!$B$3,""))</f>
        <v/>
      </c>
      <c r="DJ45" s="106">
        <f>IF(AV45="","",IFERROR(AV45*HSI!$B$40*HSI!$G$40/HSI!$B$3,""))</f>
        <v/>
      </c>
      <c r="DK45" s="106">
        <f>IF(AW45="","",IFERROR(AW45*HSI!$B$40*HSI!$G$40/HSI!$B$3,""))</f>
        <v/>
      </c>
      <c r="DL45" s="106">
        <f>IF(AX45="","",IFERROR(AX45*HSI!$B$40*HSI!$G$40/HSI!$B$3,""))</f>
        <v/>
      </c>
      <c r="DM45" s="106">
        <f>IF(AY45="","",IFERROR(AY45*HSI!$B$40*HSI!$G$40/HSI!$B$3,""))</f>
        <v/>
      </c>
      <c r="DN45" s="106">
        <f>IF(AZ45="","",IFERROR(AZ45*HSI!$B$40*HSI!$G$40/HSI!$B$3,""))</f>
        <v/>
      </c>
      <c r="DO45" s="106">
        <f>IF(BA45="","",IFERROR(BA45*HSI!$B$40*HSI!$G$40/HSI!$B$3,""))</f>
        <v/>
      </c>
      <c r="DP45" s="106">
        <f>IF(BB45="","",IFERROR(BB45*HSI!$B$40*HSI!$G$40/HSI!$B$3,""))</f>
        <v/>
      </c>
      <c r="DQ45" s="106">
        <f>IF(BC45="","",IFERROR(BC45*HSI!$B$40*HSI!$G$40/HSI!$B$3,""))</f>
        <v/>
      </c>
      <c r="DR45" s="106">
        <f>IF(BD45="","",IFERROR(BD45*HSI!$B$40*HSI!$G$40/HSI!$B$3,""))</f>
        <v/>
      </c>
      <c r="DS45" s="106">
        <f>IF(BE45="","",IFERROR(BE45*HSI!$B$40*HSI!$G$40/HSI!$B$3,""))</f>
        <v/>
      </c>
      <c r="DT45" s="106">
        <f>IF(BF45="","",IFERROR(BF45*HSI!$B$40*HSI!$G$40/HSI!$B$3,""))</f>
        <v/>
      </c>
      <c r="DU45" s="106">
        <f>IF(BG45="","",IFERROR(BG45*HSI!$B$40*HSI!$G$40/HSI!$B$3,""))</f>
        <v/>
      </c>
      <c r="DV45" s="106">
        <f>IF(BH45="","",IFERROR(BH45*HSI!$B$40*HSI!$G$40/HSI!$B$3,""))</f>
        <v/>
      </c>
      <c r="DW45" s="106">
        <f>IF(BI45="","",IFERROR(BI45*HSI!$B$40*HSI!$G$40/HSI!$B$3,""))</f>
        <v/>
      </c>
      <c r="DX45" s="106">
        <f>IF(BJ45="","",IFERROR(BJ45*HSI!$B$40*HSI!$G$40/HSI!$B$3,""))</f>
        <v/>
      </c>
      <c r="DY45" s="106">
        <f>IF(BK45="","",IFERROR(BK45*HSI!$B$40*HSI!$G$40/HSI!$B$3,""))</f>
        <v/>
      </c>
      <c r="DZ45" s="106">
        <f>IF(BL45="","",IFERROR(BL45*HSI!$B$40*HSI!$G$40/HSI!$B$3,""))</f>
        <v/>
      </c>
      <c r="EA45" s="106">
        <f>IF(BM45="","",IFERROR(BM45*HSI!$B$40*HSI!$G$40/HSI!$B$3,""))</f>
        <v/>
      </c>
      <c r="EB45" s="106">
        <f>IF(BN45="","",IFERROR(BN45*HSI!$B$40*HSI!$G$40/HSI!$B$3,""))</f>
        <v/>
      </c>
      <c r="EC45" s="106">
        <f>IF(BO45="","",IFERROR(BO45*HSI!$B$40*HSI!$G$40/HSI!$B$3,""))</f>
        <v/>
      </c>
      <c r="EE45" s="35">
        <f>IF(N('Dvd Calendar'!$E$374)=0,"",IF(('Dvd Calendar'!$E$374&gt;=GRID_FROM)*('Dvd Calendar'!$E$374&lt;=GRID_TO)*('Dvd Calendar'!$E$374&lt;=VAL_DATE)=0,"",'Dvd Calendar'!$E$374*1000000000+ISNUMBER('Dvd Calendar'!$E$377)*100000000+('Dvd Calendar'!$E$379=SPECIAL_LBL)*10000000+0*1000000+34*1000+1))</f>
        <v/>
      </c>
      <c r="EF45" s="35">
        <f>IF(N('Dvd Calendar'!$F$374)=0,"",IF(('Dvd Calendar'!$F$374&gt;=GRID_FROM)*('Dvd Calendar'!$F$374&lt;=GRID_TO)*('Dvd Calendar'!$F$374&lt;=VAL_DATE)=0,"",'Dvd Calendar'!$F$374*1000000000+ISNUMBER('Dvd Calendar'!$F$377)*100000000+('Dvd Calendar'!$F$379=SPECIAL_LBL)*10000000+0*1000000+34*1000+2))</f>
        <v/>
      </c>
      <c r="EG45" s="35">
        <f>IF(N('Dvd Calendar'!$G$374)=0,"",IF(('Dvd Calendar'!$G$374&gt;=GRID_FROM)*('Dvd Calendar'!$G$374&lt;=GRID_TO)*('Dvd Calendar'!$G$374&lt;=VAL_DATE)=0,"",'Dvd Calendar'!$G$374*1000000000+ISNUMBER('Dvd Calendar'!$G$377)*100000000+('Dvd Calendar'!$G$379=SPECIAL_LBL)*10000000+0*1000000+34*1000+3))</f>
        <v/>
      </c>
      <c r="EH45" s="35">
        <f>IF(N('Dvd Calendar'!$H$374)=0,"",IF(('Dvd Calendar'!$H$374&gt;=GRID_FROM)*('Dvd Calendar'!$H$374&lt;=GRID_TO)*('Dvd Calendar'!$H$374&lt;=VAL_DATE)=0,"",'Dvd Calendar'!$H$374*1000000000+ISNUMBER('Dvd Calendar'!$H$377)*100000000+('Dvd Calendar'!$H$379=SPECIAL_LBL)*10000000+0*1000000+34*1000+4))</f>
        <v/>
      </c>
      <c r="EI45" s="35">
        <f>IF(N('Dvd Calendar'!$I$374)=0,"",IF(('Dvd Calendar'!$I$374&gt;=GRID_FROM)*('Dvd Calendar'!$I$374&lt;=GRID_TO)*('Dvd Calendar'!$I$374&lt;=VAL_DATE)=0,"",'Dvd Calendar'!$I$374*1000000000+ISNUMBER('Dvd Calendar'!$I$377)*100000000+('Dvd Calendar'!$I$379=SPECIAL_LBL)*10000000+0*1000000+34*1000+5))</f>
        <v/>
      </c>
      <c r="EJ45" s="35">
        <f>IF(N('Dvd Calendar'!$J$374)=0,"",IF(('Dvd Calendar'!$J$374&gt;=GRID_FROM)*('Dvd Calendar'!$J$374&lt;=GRID_TO)*('Dvd Calendar'!$J$374&lt;=VAL_DATE)=0,"",'Dvd Calendar'!$J$374*1000000000+ISNUMBER('Dvd Calendar'!$J$377)*100000000+('Dvd Calendar'!$J$379=SPECIAL_LBL)*10000000+0*1000000+34*1000+6))</f>
        <v/>
      </c>
      <c r="EK45" s="35">
        <f>IF(N('Dvd Calendar'!$K$374)=0,"",IF(('Dvd Calendar'!$K$374&gt;=GRID_FROM)*('Dvd Calendar'!$K$374&lt;=GRID_TO)*('Dvd Calendar'!$K$374&lt;=VAL_DATE)=0,"",'Dvd Calendar'!$K$374*1000000000+ISNUMBER('Dvd Calendar'!$K$377)*100000000+('Dvd Calendar'!$K$379=SPECIAL_LBL)*10000000+0*1000000+34*1000+7))</f>
        <v/>
      </c>
      <c r="EL45" s="35">
        <f>IF(N('Dvd Calendar'!$L$374)=0,"",IF(('Dvd Calendar'!$L$374&gt;=GRID_FROM)*('Dvd Calendar'!$L$374&lt;=GRID_TO)*('Dvd Calendar'!$L$374&lt;=VAL_DATE)=0,"",'Dvd Calendar'!$L$374*1000000000+ISNUMBER('Dvd Calendar'!$L$377)*100000000+('Dvd Calendar'!$L$379=SPECIAL_LBL)*10000000+0*1000000+34*1000+8))</f>
        <v/>
      </c>
      <c r="EM45" s="35">
        <f>IF(N('Dvd Calendar'!$M$374)=0,"",IF(('Dvd Calendar'!$M$374&gt;=GRID_FROM)*('Dvd Calendar'!$M$374&lt;=GRID_TO)*('Dvd Calendar'!$M$374&lt;=VAL_DATE)=0,"",'Dvd Calendar'!$M$374*1000000000+ISNUMBER('Dvd Calendar'!$M$377)*100000000+('Dvd Calendar'!$M$379=SPECIAL_LBL)*10000000+0*1000000+34*1000+9))</f>
        <v/>
      </c>
      <c r="EN45" s="35">
        <f>IF(N('Dvd Calendar'!$N$374)=0,"",IF(('Dvd Calendar'!$N$374&gt;=GRID_FROM)*('Dvd Calendar'!$N$374&lt;=GRID_TO)*('Dvd Calendar'!$N$374&lt;=VAL_DATE)=0,"",'Dvd Calendar'!$N$374*1000000000+ISNUMBER('Dvd Calendar'!$N$377)*100000000+('Dvd Calendar'!$N$379=SPECIAL_LBL)*10000000+0*1000000+34*1000+10))</f>
        <v/>
      </c>
      <c r="EO45" s="35">
        <f>IF(N('Dvd Calendar'!$O$374)=0,"",IF(('Dvd Calendar'!$O$374&gt;=GRID_FROM)*('Dvd Calendar'!$O$374&lt;=GRID_TO)*('Dvd Calendar'!$O$374&lt;=VAL_DATE)=0,"",'Dvd Calendar'!$O$374*1000000000+ISNUMBER('Dvd Calendar'!$O$377)*100000000+('Dvd Calendar'!$O$379=SPECIAL_LBL)*10000000+0*1000000+34*1000+11))</f>
        <v/>
      </c>
      <c r="EP45" s="35">
        <f>IF(N('Dvd Calendar'!$P$374)=0,"",IF(('Dvd Calendar'!$P$374&gt;=GRID_FROM)*('Dvd Calendar'!$P$374&lt;=GRID_TO)*('Dvd Calendar'!$P$374&lt;=VAL_DATE)=0,"",'Dvd Calendar'!$P$374*1000000000+ISNUMBER('Dvd Calendar'!$P$377)*100000000+('Dvd Calendar'!$P$379=SPECIAL_LBL)*10000000+0*1000000+34*1000+12))</f>
        <v/>
      </c>
      <c r="EQ45" s="35">
        <f>IF(N('Dvd Calendar'!$Q$374)=0,"",IF(('Dvd Calendar'!$Q$374&gt;=GRID_FROM)*('Dvd Calendar'!$Q$374&lt;=GRID_TO)*('Dvd Calendar'!$Q$374&lt;=VAL_DATE)=0,"",'Dvd Calendar'!$Q$374*1000000000+ISNUMBER('Dvd Calendar'!$Q$377)*100000000+('Dvd Calendar'!$Q$379=SPECIAL_LBL)*10000000+0*1000000+34*1000+13))</f>
        <v/>
      </c>
      <c r="ER45" s="35">
        <f>IF(N('Dvd Calendar'!$R$374)=0,"",IF(('Dvd Calendar'!$R$374&gt;=GRID_FROM)*('Dvd Calendar'!$R$374&lt;=GRID_TO)*('Dvd Calendar'!$R$374&lt;=VAL_DATE)=0,"",'Dvd Calendar'!$R$374*1000000000+ISNUMBER('Dvd Calendar'!$R$377)*100000000+('Dvd Calendar'!$R$379=SPECIAL_LBL)*10000000+0*1000000+34*1000+14))</f>
        <v/>
      </c>
      <c r="ES45" s="35">
        <f>IF(N('Dvd Calendar'!$S$374)=0,"",IF(('Dvd Calendar'!$S$374&gt;=GRID_FROM)*('Dvd Calendar'!$S$374&lt;=GRID_TO)*('Dvd Calendar'!$S$374&lt;=VAL_DATE)=0,"",'Dvd Calendar'!$S$374*1000000000+ISNUMBER('Dvd Calendar'!$S$377)*100000000+('Dvd Calendar'!$S$379=SPECIAL_LBL)*10000000+0*1000000+34*1000+15))</f>
        <v/>
      </c>
      <c r="ET45" s="35">
        <f>IF(N('Dvd Calendar'!$T$374)=0,"",IF(('Dvd Calendar'!$T$374&gt;=GRID_FROM)*('Dvd Calendar'!$T$374&lt;=GRID_TO)*('Dvd Calendar'!$T$374&lt;=VAL_DATE)=0,"",'Dvd Calendar'!$T$374*1000000000+ISNUMBER('Dvd Calendar'!$T$377)*100000000+('Dvd Calendar'!$T$379=SPECIAL_LBL)*10000000+0*1000000+34*1000+16))</f>
        <v/>
      </c>
      <c r="EU45" s="35">
        <f>IF(N('Dvd Calendar'!$U$374)=0,"",IF(('Dvd Calendar'!$U$374&gt;=GRID_FROM)*('Dvd Calendar'!$U$374&lt;=GRID_TO)*('Dvd Calendar'!$U$374&lt;=VAL_DATE)=0,"",'Dvd Calendar'!$U$374*1000000000+ISNUMBER('Dvd Calendar'!$U$377)*100000000+('Dvd Calendar'!$U$379=SPECIAL_LBL)*10000000+0*1000000+34*1000+17))</f>
        <v/>
      </c>
      <c r="EV45" s="35">
        <f>IF(N('Dvd Calendar'!$V$374)=0,"",IF(('Dvd Calendar'!$V$374&gt;=GRID_FROM)*('Dvd Calendar'!$V$374&lt;=GRID_TO)*('Dvd Calendar'!$V$374&lt;=VAL_DATE)=0,"",'Dvd Calendar'!$V$374*1000000000+ISNUMBER('Dvd Calendar'!$V$377)*100000000+('Dvd Calendar'!$V$379=SPECIAL_LBL)*10000000+0*1000000+34*1000+18))</f>
        <v/>
      </c>
      <c r="EW45" s="35">
        <f>IF(N('Dvd Calendar'!$W$374)=0,"",IF(('Dvd Calendar'!$W$374&gt;=GRID_FROM)*('Dvd Calendar'!$W$374&lt;=GRID_TO)*('Dvd Calendar'!$W$374&lt;=VAL_DATE)=0,"",'Dvd Calendar'!$W$374*1000000000+ISNUMBER('Dvd Calendar'!$W$377)*100000000+('Dvd Calendar'!$W$379=SPECIAL_LBL)*10000000+0*1000000+34*1000+19))</f>
        <v/>
      </c>
      <c r="EX45" s="35">
        <f>IF(N('Dvd Calendar'!$X$374)=0,"",IF(('Dvd Calendar'!$X$374&gt;=GRID_FROM)*('Dvd Calendar'!$X$374&lt;=GRID_TO)*('Dvd Calendar'!$X$374&lt;=VAL_DATE)=0,"",'Dvd Calendar'!$X$374*1000000000+ISNUMBER('Dvd Calendar'!$X$377)*100000000+('Dvd Calendar'!$X$379=SPECIAL_LBL)*10000000+0*1000000+34*1000+20))</f>
        <v/>
      </c>
      <c r="EY45" s="35">
        <f>IF(N('Dvd Calendar'!$Y$374)=0,"",IF(('Dvd Calendar'!$Y$374&gt;=GRID_FROM)*('Dvd Calendar'!$Y$374&lt;=GRID_TO)*('Dvd Calendar'!$Y$374&lt;=VAL_DATE)=0,"",'Dvd Calendar'!$Y$374*1000000000+ISNUMBER('Dvd Calendar'!$Y$377)*100000000+('Dvd Calendar'!$Y$379=SPECIAL_LBL)*10000000+0*1000000+34*1000+21))</f>
        <v/>
      </c>
      <c r="EZ45" s="35">
        <f>IF(N('Dvd Calendar'!$Z$374)=0,"",IF(('Dvd Calendar'!$Z$374&gt;=GRID_FROM)*('Dvd Calendar'!$Z$374&lt;=GRID_TO)*('Dvd Calendar'!$Z$374&lt;=VAL_DATE)=0,"",'Dvd Calendar'!$Z$374*1000000000+ISNUMBER('Dvd Calendar'!$Z$377)*100000000+('Dvd Calendar'!$Z$379=SPECIAL_LBL)*10000000+0*1000000+34*1000+22))</f>
        <v/>
      </c>
      <c r="FA45" s="35">
        <f>IF(N('Dvd Calendar'!$AA$374)=0,"",IF(('Dvd Calendar'!$AA$374&gt;=GRID_FROM)*('Dvd Calendar'!$AA$374&lt;=GRID_TO)*('Dvd Calendar'!$AA$374&lt;=VAL_DATE)=0,"",'Dvd Calendar'!$AA$374*1000000000+ISNUMBER('Dvd Calendar'!$AA$377)*100000000+('Dvd Calendar'!$AA$379=SPECIAL_LBL)*10000000+0*1000000+34*1000+23))</f>
        <v/>
      </c>
      <c r="FB45" s="35">
        <f>IF(N('Dvd Calendar'!$AB$374)=0,"",IF(('Dvd Calendar'!$AB$374&gt;=GRID_FROM)*('Dvd Calendar'!$AB$374&lt;=GRID_TO)*('Dvd Calendar'!$AB$374&lt;=VAL_DATE)=0,"",'Dvd Calendar'!$AB$374*1000000000+ISNUMBER('Dvd Calendar'!$AB$377)*100000000+('Dvd Calendar'!$AB$379=SPECIAL_LBL)*10000000+0*1000000+34*1000+24))</f>
        <v/>
      </c>
      <c r="FC45" s="35">
        <f>IF(N('Dvd Calendar'!$AC$374)=0,"",IF(('Dvd Calendar'!$AC$374&gt;=GRID_FROM)*('Dvd Calendar'!$AC$374&lt;=GRID_TO)*('Dvd Calendar'!$AC$374&lt;=VAL_DATE)=0,"",'Dvd Calendar'!$AC$374*1000000000+ISNUMBER('Dvd Calendar'!$AC$377)*100000000+('Dvd Calendar'!$AC$379=SPECIAL_LBL)*10000000+0*1000000+34*1000+25))</f>
        <v/>
      </c>
      <c r="FD45" s="35">
        <f>IF(N('Dvd Calendar'!$AD$374)=0,"",IF(('Dvd Calendar'!$AD$374&gt;=GRID_FROM)*('Dvd Calendar'!$AD$374&lt;=GRID_TO)*('Dvd Calendar'!$AD$374&lt;=VAL_DATE)=0,"",'Dvd Calendar'!$AD$374*1000000000+ISNUMBER('Dvd Calendar'!$AD$377)*100000000+('Dvd Calendar'!$AD$379=SPECIAL_LBL)*10000000+0*1000000+34*1000+26))</f>
        <v/>
      </c>
      <c r="FE45" s="35">
        <f>IF(N('Dvd Calendar'!$AE$374)=0,"",IF(('Dvd Calendar'!$AE$374&gt;=GRID_FROM)*('Dvd Calendar'!$AE$374&lt;=GRID_TO)*('Dvd Calendar'!$AE$374&lt;=VAL_DATE)=0,"",'Dvd Calendar'!$AE$374*1000000000+ISNUMBER('Dvd Calendar'!$AE$377)*100000000+('Dvd Calendar'!$AE$379=SPECIAL_LBL)*10000000+0*1000000+34*1000+27))</f>
        <v/>
      </c>
      <c r="FF45" s="35">
        <f>IF(N('Dvd Calendar'!$AF$374)=0,"",IF(('Dvd Calendar'!$AF$374&gt;=GRID_FROM)*('Dvd Calendar'!$AF$374&lt;=GRID_TO)*('Dvd Calendar'!$AF$374&lt;=VAL_DATE)=0,"",'Dvd Calendar'!$AF$374*1000000000+ISNUMBER('Dvd Calendar'!$AF$377)*100000000+('Dvd Calendar'!$AF$379=SPECIAL_LBL)*10000000+0*1000000+34*1000+28))</f>
        <v/>
      </c>
      <c r="FG45" s="35">
        <f>IF(N('Dvd Calendar'!$AG$374)=0,"",IF(('Dvd Calendar'!$AG$374&gt;=GRID_FROM)*('Dvd Calendar'!$AG$374&lt;=GRID_TO)*('Dvd Calendar'!$AG$374&lt;=VAL_DATE)=0,"",'Dvd Calendar'!$AG$374*1000000000+ISNUMBER('Dvd Calendar'!$AG$377)*100000000+('Dvd Calendar'!$AG$379=SPECIAL_LBL)*10000000+0*1000000+34*1000+29))</f>
        <v/>
      </c>
      <c r="FH45" s="35">
        <f>IF(N('Dvd Calendar'!$AH$374)=0,"",IF(('Dvd Calendar'!$AH$374&gt;=GRID_FROM)*('Dvd Calendar'!$AH$374&lt;=GRID_TO)*('Dvd Calendar'!$AH$374&lt;=VAL_DATE)=0,"",'Dvd Calendar'!$AH$374*1000000000+ISNUMBER('Dvd Calendar'!$AH$377)*100000000+('Dvd Calendar'!$AH$379=SPECIAL_LBL)*10000000+0*1000000+34*1000+30))</f>
        <v/>
      </c>
      <c r="FI45" s="35">
        <f>IF(N('Dvd Calendar'!$AI$374)=0,"",IF(('Dvd Calendar'!$AI$374&gt;=GRID_FROM)*('Dvd Calendar'!$AI$374&lt;=GRID_TO)*('Dvd Calendar'!$AI$374&lt;=VAL_DATE)=0,"",'Dvd Calendar'!$AI$374*1000000000+ISNUMBER('Dvd Calendar'!$AI$377)*100000000+('Dvd Calendar'!$AI$379=SPECIAL_LBL)*10000000+0*1000000+34*1000+31))</f>
        <v/>
      </c>
      <c r="FJ45" s="35">
        <f>IF(N('Dvd Calendar'!$AJ$374)=0,"",IF(('Dvd Calendar'!$AJ$374&gt;=GRID_FROM)*('Dvd Calendar'!$AJ$374&lt;=GRID_TO)*('Dvd Calendar'!$AJ$374&lt;=VAL_DATE)=0,"",'Dvd Calendar'!$AJ$374*1000000000+ISNUMBER('Dvd Calendar'!$AJ$377)*100000000+('Dvd Calendar'!$AJ$379=SPECIAL_LBL)*10000000+0*1000000+34*1000+32))</f>
        <v/>
      </c>
      <c r="FK45" s="35">
        <f>IF(N('Dvd Calendar'!$AK$374)=0,"",IF(('Dvd Calendar'!$AK$374&gt;=GRID_FROM)*('Dvd Calendar'!$AK$374&lt;=GRID_TO)*('Dvd Calendar'!$AK$374&lt;=VAL_DATE)=0,"",'Dvd Calendar'!$AK$374*1000000000+ISNUMBER('Dvd Calendar'!$AK$377)*100000000+('Dvd Calendar'!$AK$379=SPECIAL_LBL)*10000000+0*1000000+34*1000+33))</f>
        <v/>
      </c>
      <c r="FL45" s="35">
        <f>IF(N('Dvd Calendar'!$AL$374)=0,"",IF(('Dvd Calendar'!$AL$374&gt;=GRID_FROM)*('Dvd Calendar'!$AL$374&lt;=GRID_TO)*('Dvd Calendar'!$AL$374&lt;=VAL_DATE)=0,"",'Dvd Calendar'!$AL$374*1000000000+ISNUMBER('Dvd Calendar'!$AL$377)*100000000+('Dvd Calendar'!$AL$379=SPECIAL_LBL)*10000000+0*1000000+34*1000+34))</f>
        <v/>
      </c>
      <c r="FM45" s="35">
        <f>IF(N('Dvd Calendar'!$AM$374)=0,"",IF(('Dvd Calendar'!$AM$374&gt;=GRID_FROM)*('Dvd Calendar'!$AM$374&lt;=GRID_TO)*('Dvd Calendar'!$AM$374&lt;=VAL_DATE)=0,"",'Dvd Calendar'!$AM$374*1000000000+ISNUMBER('Dvd Calendar'!$AM$377)*100000000+('Dvd Calendar'!$AM$379=SPECIAL_LBL)*10000000+0*1000000+34*1000+35))</f>
        <v/>
      </c>
      <c r="FN45" s="35">
        <f>IF(N('Dvd Calendar'!$AN$374)=0,"",IF(('Dvd Calendar'!$AN$374&gt;=GRID_FROM)*('Dvd Calendar'!$AN$374&lt;=GRID_TO)*('Dvd Calendar'!$AN$374&lt;=VAL_DATE)=0,"",'Dvd Calendar'!$AN$374*1000000000+ISNUMBER('Dvd Calendar'!$AN$377)*100000000+('Dvd Calendar'!$AN$379=SPECIAL_LBL)*10000000+0*1000000+34*1000+36))</f>
        <v/>
      </c>
      <c r="FO45" s="35">
        <f>IF(N('Dvd Calendar'!$AO$374)=0,"",IF(('Dvd Calendar'!$AO$374&gt;=GRID_FROM)*('Dvd Calendar'!$AO$374&lt;=GRID_TO)*('Dvd Calendar'!$AO$374&lt;=VAL_DATE)=0,"",'Dvd Calendar'!$AO$374*1000000000+ISNUMBER('Dvd Calendar'!$AO$377)*100000000+('Dvd Calendar'!$AO$379=SPECIAL_LBL)*10000000+0*1000000+34*1000+37))</f>
        <v/>
      </c>
      <c r="FP45" s="35">
        <f>IF(N('Dvd Calendar'!$AP$374)=0,"",IF(('Dvd Calendar'!$AP$374&gt;=GRID_FROM)*('Dvd Calendar'!$AP$374&lt;=GRID_TO)*('Dvd Calendar'!$AP$374&lt;=VAL_DATE)=0,"",'Dvd Calendar'!$AP$374*1000000000+ISNUMBER('Dvd Calendar'!$AP$377)*100000000+('Dvd Calendar'!$AP$379=SPECIAL_LBL)*10000000+0*1000000+34*1000+38))</f>
        <v/>
      </c>
      <c r="FQ45" s="35">
        <f>IF(N('Dvd Calendar'!$AQ$374)=0,"",IF(('Dvd Calendar'!$AQ$374&gt;=GRID_FROM)*('Dvd Calendar'!$AQ$374&lt;=GRID_TO)*('Dvd Calendar'!$AQ$374&lt;=VAL_DATE)=0,"",'Dvd Calendar'!$AQ$374*1000000000+ISNUMBER('Dvd Calendar'!$AQ$377)*100000000+('Dvd Calendar'!$AQ$379=SPECIAL_LBL)*10000000+0*1000000+34*1000+39))</f>
        <v/>
      </c>
      <c r="FR45" s="35">
        <f>IF(N('Dvd Calendar'!$AR$374)=0,"",IF(('Dvd Calendar'!$AR$374&gt;=GRID_FROM)*('Dvd Calendar'!$AR$374&lt;=GRID_TO)*('Dvd Calendar'!$AR$374&lt;=VAL_DATE)=0,"",'Dvd Calendar'!$AR$374*1000000000+ISNUMBER('Dvd Calendar'!$AR$377)*100000000+('Dvd Calendar'!$AR$379=SPECIAL_LBL)*10000000+0*1000000+34*1000+40))</f>
        <v/>
      </c>
      <c r="FS45" s="35">
        <f>IF(N('Dvd Calendar'!$E$381)=0,"",IF(('Dvd Calendar'!$E$381&gt;=GRID_FROM)*('Dvd Calendar'!$E$381&lt;=GRID_TO)*('Dvd Calendar'!$E$381&gt;VAL_DATE)=0,"",'Dvd Calendar'!$E$381*1000000000+ISNUMBER('Dvd Calendar'!$E$382)*100000000+0*10000000+(N('Dvd Calendar'!$E$380)&gt;0)*(N('Dvd Calendar'!$E$380)&lt;=VAL_SERIAL)*1000000+34*1000+41))</f>
        <v/>
      </c>
      <c r="FT45" s="35">
        <f>IF(N('Dvd Calendar'!$F$381)=0,"",IF(('Dvd Calendar'!$F$381&gt;=GRID_FROM)*('Dvd Calendar'!$F$381&lt;=GRID_TO)*('Dvd Calendar'!$F$381&gt;VAL_DATE)=0,"",'Dvd Calendar'!$F$381*1000000000+ISNUMBER('Dvd Calendar'!$F$382)*100000000+0*10000000+(N('Dvd Calendar'!$F$380)&gt;0)*(N('Dvd Calendar'!$F$380)&lt;=VAL_SERIAL)*1000000+34*1000+42))</f>
        <v/>
      </c>
      <c r="FU45" s="35">
        <f>IF(N('Dvd Calendar'!$G$381)=0,"",IF(('Dvd Calendar'!$G$381&gt;=GRID_FROM)*('Dvd Calendar'!$G$381&lt;=GRID_TO)*('Dvd Calendar'!$G$381&gt;VAL_DATE)=0,"",'Dvd Calendar'!$G$381*1000000000+ISNUMBER('Dvd Calendar'!$G$382)*100000000+0*10000000+(N('Dvd Calendar'!$G$380)&gt;0)*(N('Dvd Calendar'!$G$380)&lt;=VAL_SERIAL)*1000000+34*1000+43))</f>
        <v/>
      </c>
      <c r="FV45" s="35">
        <f>IF(N('Dvd Calendar'!$H$381)=0,"",IF(('Dvd Calendar'!$H$381&gt;=GRID_FROM)*('Dvd Calendar'!$H$381&lt;=GRID_TO)*('Dvd Calendar'!$H$381&gt;VAL_DATE)=0,"",'Dvd Calendar'!$H$381*1000000000+ISNUMBER('Dvd Calendar'!$H$382)*100000000+0*10000000+(N('Dvd Calendar'!$H$380)&gt;0)*(N('Dvd Calendar'!$H$380)&lt;=VAL_SERIAL)*1000000+34*1000+44))</f>
        <v/>
      </c>
      <c r="FW45" s="35">
        <f>IF(N('Dvd Calendar'!$I$381)=0,"",IF(('Dvd Calendar'!$I$381&gt;=GRID_FROM)*('Dvd Calendar'!$I$381&lt;=GRID_TO)*('Dvd Calendar'!$I$381&gt;VAL_DATE)=0,"",'Dvd Calendar'!$I$381*1000000000+ISNUMBER('Dvd Calendar'!$I$382)*100000000+0*10000000+(N('Dvd Calendar'!$I$380)&gt;0)*(N('Dvd Calendar'!$I$380)&lt;=VAL_SERIAL)*1000000+34*1000+45))</f>
        <v/>
      </c>
      <c r="FX45" s="35">
        <f>IF(N('Dvd Calendar'!$J$381)=0,"",IF(('Dvd Calendar'!$J$381&gt;=GRID_FROM)*('Dvd Calendar'!$J$381&lt;=GRID_TO)*('Dvd Calendar'!$J$381&gt;VAL_DATE)=0,"",'Dvd Calendar'!$J$381*1000000000+ISNUMBER('Dvd Calendar'!$J$382)*100000000+0*10000000+(N('Dvd Calendar'!$J$380)&gt;0)*(N('Dvd Calendar'!$J$380)&lt;=VAL_SERIAL)*1000000+34*1000+46))</f>
        <v/>
      </c>
      <c r="FY45" s="35">
        <f>IF(N('Dvd Calendar'!$K$381)=0,"",IF(('Dvd Calendar'!$K$381&gt;=GRID_FROM)*('Dvd Calendar'!$K$381&lt;=GRID_TO)*('Dvd Calendar'!$K$381&gt;VAL_DATE)=0,"",'Dvd Calendar'!$K$381*1000000000+ISNUMBER('Dvd Calendar'!$K$382)*100000000+0*10000000+(N('Dvd Calendar'!$K$380)&gt;0)*(N('Dvd Calendar'!$K$380)&lt;=VAL_SERIAL)*1000000+34*1000+47))</f>
        <v/>
      </c>
      <c r="FZ45" s="35">
        <f>IF(N('Dvd Calendar'!$L$381)=0,"",IF(('Dvd Calendar'!$L$381&gt;=GRID_FROM)*('Dvd Calendar'!$L$381&lt;=GRID_TO)*('Dvd Calendar'!$L$381&gt;VAL_DATE)=0,"",'Dvd Calendar'!$L$381*1000000000+ISNUMBER('Dvd Calendar'!$L$382)*100000000+0*10000000+(N('Dvd Calendar'!$L$380)&gt;0)*(N('Dvd Calendar'!$L$380)&lt;=VAL_SERIAL)*1000000+34*1000+48))</f>
        <v/>
      </c>
      <c r="GA45" s="35">
        <f>IF(N('Dvd Calendar'!$M$381)=0,"",IF(('Dvd Calendar'!$M$381&gt;=GRID_FROM)*('Dvd Calendar'!$M$381&lt;=GRID_TO)*('Dvd Calendar'!$M$381&gt;VAL_DATE)=0,"",'Dvd Calendar'!$M$381*1000000000+ISNUMBER('Dvd Calendar'!$M$382)*100000000+0*10000000+(N('Dvd Calendar'!$M$380)&gt;0)*(N('Dvd Calendar'!$M$380)&lt;=VAL_SERIAL)*1000000+34*1000+49))</f>
        <v/>
      </c>
      <c r="GB45" s="35">
        <f>IF(N('Dvd Calendar'!$N$381)=0,"",IF(('Dvd Calendar'!$N$381&gt;=GRID_FROM)*('Dvd Calendar'!$N$381&lt;=GRID_TO)*('Dvd Calendar'!$N$381&gt;VAL_DATE)=0,"",'Dvd Calendar'!$N$381*1000000000+ISNUMBER('Dvd Calendar'!$N$382)*100000000+0*10000000+(N('Dvd Calendar'!$N$380)&gt;0)*(N('Dvd Calendar'!$N$380)&lt;=VAL_SERIAL)*1000000+34*1000+50))</f>
        <v/>
      </c>
      <c r="GC45" s="35">
        <f>IF(N('Dvd Calendar'!$O$381)=0,"",IF(('Dvd Calendar'!$O$381&gt;=GRID_FROM)*('Dvd Calendar'!$O$381&lt;=GRID_TO)*('Dvd Calendar'!$O$381&gt;VAL_DATE)=0,"",'Dvd Calendar'!$O$381*1000000000+ISNUMBER('Dvd Calendar'!$O$382)*100000000+0*10000000+(N('Dvd Calendar'!$O$380)&gt;0)*(N('Dvd Calendar'!$O$380)&lt;=VAL_SERIAL)*1000000+34*1000+51))</f>
        <v/>
      </c>
      <c r="GD45" s="35">
        <f>IF(N('Dvd Calendar'!$P$381)=0,"",IF(('Dvd Calendar'!$P$381&gt;=GRID_FROM)*('Dvd Calendar'!$P$381&lt;=GRID_TO)*('Dvd Calendar'!$P$381&gt;VAL_DATE)=0,"",'Dvd Calendar'!$P$381*1000000000+ISNUMBER('Dvd Calendar'!$P$382)*100000000+0*10000000+(N('Dvd Calendar'!$P$380)&gt;0)*(N('Dvd Calendar'!$P$380)&lt;=VAL_SERIAL)*1000000+34*1000+52))</f>
        <v/>
      </c>
      <c r="GE45" s="35">
        <f>IF(N('Dvd Calendar'!$Q$381)=0,"",IF(('Dvd Calendar'!$Q$381&gt;=GRID_FROM)*('Dvd Calendar'!$Q$381&lt;=GRID_TO)*('Dvd Calendar'!$Q$381&gt;VAL_DATE)=0,"",'Dvd Calendar'!$Q$381*1000000000+ISNUMBER('Dvd Calendar'!$Q$382)*100000000+0*10000000+(N('Dvd Calendar'!$Q$380)&gt;0)*(N('Dvd Calendar'!$Q$380)&lt;=VAL_SERIAL)*1000000+34*1000+53))</f>
        <v/>
      </c>
      <c r="GF45" s="35">
        <f>IF(N('Dvd Calendar'!$R$381)=0,"",IF(('Dvd Calendar'!$R$381&gt;=GRID_FROM)*('Dvd Calendar'!$R$381&lt;=GRID_TO)*('Dvd Calendar'!$R$381&gt;VAL_DATE)=0,"",'Dvd Calendar'!$R$381*1000000000+ISNUMBER('Dvd Calendar'!$R$382)*100000000+0*10000000+(N('Dvd Calendar'!$R$380)&gt;0)*(N('Dvd Calendar'!$R$380)&lt;=VAL_SERIAL)*1000000+34*1000+54))</f>
        <v/>
      </c>
      <c r="GG45" s="35">
        <f>IF(N('Dvd Calendar'!$S$381)=0,"",IF(('Dvd Calendar'!$S$381&gt;=GRID_FROM)*('Dvd Calendar'!$S$381&lt;=GRID_TO)*('Dvd Calendar'!$S$381&gt;VAL_DATE)=0,"",'Dvd Calendar'!$S$381*1000000000+ISNUMBER('Dvd Calendar'!$S$382)*100000000+0*10000000+(N('Dvd Calendar'!$S$380)&gt;0)*(N('Dvd Calendar'!$S$380)&lt;=VAL_SERIAL)*1000000+34*1000+55))</f>
        <v/>
      </c>
      <c r="GH45" s="35">
        <f>IF(N('Dvd Calendar'!$T$381)=0,"",IF(('Dvd Calendar'!$T$381&gt;=GRID_FROM)*('Dvd Calendar'!$T$381&lt;=GRID_TO)*('Dvd Calendar'!$T$381&gt;VAL_DATE)=0,"",'Dvd Calendar'!$T$381*1000000000+ISNUMBER('Dvd Calendar'!$T$382)*100000000+0*10000000+(N('Dvd Calendar'!$T$380)&gt;0)*(N('Dvd Calendar'!$T$380)&lt;=VAL_SERIAL)*1000000+34*1000+56))</f>
        <v/>
      </c>
      <c r="GI45" s="35">
        <f>IF(N('Dvd Calendar'!$U$381)=0,"",IF(('Dvd Calendar'!$U$381&gt;=GRID_FROM)*('Dvd Calendar'!$U$381&lt;=GRID_TO)*('Dvd Calendar'!$U$381&gt;VAL_DATE)=0,"",'Dvd Calendar'!$U$381*1000000000+ISNUMBER('Dvd Calendar'!$U$382)*100000000+0*10000000+(N('Dvd Calendar'!$U$380)&gt;0)*(N('Dvd Calendar'!$U$380)&lt;=VAL_SERIAL)*1000000+34*1000+57))</f>
        <v/>
      </c>
      <c r="GJ45" s="35">
        <f>IF(N('Dvd Calendar'!$V$381)=0,"",IF(('Dvd Calendar'!$V$381&gt;=GRID_FROM)*('Dvd Calendar'!$V$381&lt;=GRID_TO)*('Dvd Calendar'!$V$381&gt;VAL_DATE)=0,"",'Dvd Calendar'!$V$381*1000000000+ISNUMBER('Dvd Calendar'!$V$382)*100000000+0*10000000+(N('Dvd Calendar'!$V$380)&gt;0)*(N('Dvd Calendar'!$V$380)&lt;=VAL_SERIAL)*1000000+34*1000+58))</f>
        <v/>
      </c>
      <c r="GK45" s="35">
        <f>IF(N('Dvd Calendar'!$W$381)=0,"",IF(('Dvd Calendar'!$W$381&gt;=GRID_FROM)*('Dvd Calendar'!$W$381&lt;=GRID_TO)*('Dvd Calendar'!$W$381&gt;VAL_DATE)=0,"",'Dvd Calendar'!$W$381*1000000000+ISNUMBER('Dvd Calendar'!$W$382)*100000000+0*10000000+(N('Dvd Calendar'!$W$380)&gt;0)*(N('Dvd Calendar'!$W$380)&lt;=VAL_SERIAL)*1000000+34*1000+59))</f>
        <v/>
      </c>
      <c r="GL45" s="35">
        <f>IF(N('Dvd Calendar'!$X$381)=0,"",IF(('Dvd Calendar'!$X$381&gt;=GRID_FROM)*('Dvd Calendar'!$X$381&lt;=GRID_TO)*('Dvd Calendar'!$X$381&gt;VAL_DATE)=0,"",'Dvd Calendar'!$X$381*1000000000+ISNUMBER('Dvd Calendar'!$X$382)*100000000+0*10000000+(N('Dvd Calendar'!$X$380)&gt;0)*(N('Dvd Calendar'!$X$380)&lt;=VAL_SERIAL)*1000000+34*1000+60))</f>
        <v/>
      </c>
      <c r="GM45" s="35">
        <f>IF(N('Dvd Calendar'!$Y$381)=0,"",IF(('Dvd Calendar'!$Y$381&gt;=GRID_FROM)*('Dvd Calendar'!$Y$381&lt;=GRID_TO)*('Dvd Calendar'!$Y$381&gt;VAL_DATE)=0,"",'Dvd Calendar'!$Y$381*1000000000+ISNUMBER('Dvd Calendar'!$Y$382)*100000000+0*10000000+(N('Dvd Calendar'!$Y$380)&gt;0)*(N('Dvd Calendar'!$Y$380)&lt;=VAL_SERIAL)*1000000+34*1000+61))</f>
        <v/>
      </c>
      <c r="GN45" s="35">
        <f>IF(N('Dvd Calendar'!$Z$381)=0,"",IF(('Dvd Calendar'!$Z$381&gt;=GRID_FROM)*('Dvd Calendar'!$Z$381&lt;=GRID_TO)*('Dvd Calendar'!$Z$381&gt;VAL_DATE)=0,"",'Dvd Calendar'!$Z$381*1000000000+ISNUMBER('Dvd Calendar'!$Z$382)*100000000+0*10000000+(N('Dvd Calendar'!$Z$380)&gt;0)*(N('Dvd Calendar'!$Z$380)&lt;=VAL_SERIAL)*1000000+34*1000+62))</f>
        <v/>
      </c>
      <c r="GO45" s="35">
        <f>IF(N('Dvd Calendar'!$AA$381)=0,"",IF(('Dvd Calendar'!$AA$381&gt;=GRID_FROM)*('Dvd Calendar'!$AA$381&lt;=GRID_TO)*('Dvd Calendar'!$AA$381&gt;VAL_DATE)=0,"",'Dvd Calendar'!$AA$381*1000000000+ISNUMBER('Dvd Calendar'!$AA$382)*100000000+0*10000000+(N('Dvd Calendar'!$AA$380)&gt;0)*(N('Dvd Calendar'!$AA$380)&lt;=VAL_SERIAL)*1000000+34*1000+63))</f>
        <v/>
      </c>
      <c r="GP45" s="35">
        <f>IF(N('Dvd Calendar'!$AB$381)=0,"",IF(('Dvd Calendar'!$AB$381&gt;=GRID_FROM)*('Dvd Calendar'!$AB$381&lt;=GRID_TO)*('Dvd Calendar'!$AB$381&gt;VAL_DATE)=0,"",'Dvd Calendar'!$AB$381*1000000000+ISNUMBER('Dvd Calendar'!$AB$382)*100000000+0*10000000+(N('Dvd Calendar'!$AB$380)&gt;0)*(N('Dvd Calendar'!$AB$380)&lt;=VAL_SERIAL)*1000000+34*1000+64))</f>
        <v/>
      </c>
      <c r="GQ45" s="35">
        <f>IF(N('Dvd Calendar'!$AC$381)=0,"",IF(('Dvd Calendar'!$AC$381&gt;=GRID_FROM)*('Dvd Calendar'!$AC$381&lt;=GRID_TO)*('Dvd Calendar'!$AC$381&gt;VAL_DATE)=0,"",'Dvd Calendar'!$AC$381*1000000000+ISNUMBER('Dvd Calendar'!$AC$382)*100000000+0*10000000+(N('Dvd Calendar'!$AC$380)&gt;0)*(N('Dvd Calendar'!$AC$380)&lt;=VAL_SERIAL)*1000000+34*1000+65))</f>
        <v/>
      </c>
    </row>
    <row r="46">
      <c r="B46" s="2">
        <f>IF(HSI!$C$41="","",HSI!$C$41)</f>
        <v/>
      </c>
      <c r="C46" s="106">
        <f>IF(EE46="","",IF(ISNUMBER('Dvd Calendar'!$E$388)=FALSE,"",IF((('Dvd Calendar'!$E$390=TYPE1)*(TYPE1&lt;&gt;"")+('Dvd Calendar'!$E$390=TYPE2)*(TYPE2&lt;&gt;"")+('Dvd Calendar'!$E$390=TYPE3)*(TYPE3&lt;&gt;"")+('Dvd Calendar'!$E$390=TYPE4)*(TYPE4&lt;&gt;"")+('Dvd Calendar'!$E$390=SPECIAL_LBL)*(INC_SPECIALS="Y"))=0,"",'Dvd Calendar'!$E$388)))</f>
        <v/>
      </c>
      <c r="D46" s="106">
        <f>IF(EF46="","",IF(ISNUMBER('Dvd Calendar'!$F$388)=FALSE,"",IF((('Dvd Calendar'!$F$390=TYPE1)*(TYPE1&lt;&gt;"")+('Dvd Calendar'!$F$390=TYPE2)*(TYPE2&lt;&gt;"")+('Dvd Calendar'!$F$390=TYPE3)*(TYPE3&lt;&gt;"")+('Dvd Calendar'!$F$390=TYPE4)*(TYPE4&lt;&gt;"")+('Dvd Calendar'!$F$390=SPECIAL_LBL)*(INC_SPECIALS="Y"))=0,"",'Dvd Calendar'!$F$388)))</f>
        <v/>
      </c>
      <c r="E46" s="106">
        <f>IF(EG46="","",IF(ISNUMBER('Dvd Calendar'!$G$388)=FALSE,"",IF((('Dvd Calendar'!$G$390=TYPE1)*(TYPE1&lt;&gt;"")+('Dvd Calendar'!$G$390=TYPE2)*(TYPE2&lt;&gt;"")+('Dvd Calendar'!$G$390=TYPE3)*(TYPE3&lt;&gt;"")+('Dvd Calendar'!$G$390=TYPE4)*(TYPE4&lt;&gt;"")+('Dvd Calendar'!$G$390=SPECIAL_LBL)*(INC_SPECIALS="Y"))=0,"",'Dvd Calendar'!$G$388)))</f>
        <v/>
      </c>
      <c r="F46" s="106">
        <f>IF(EH46="","",IF(ISNUMBER('Dvd Calendar'!$H$388)=FALSE,"",IF((('Dvd Calendar'!$H$390=TYPE1)*(TYPE1&lt;&gt;"")+('Dvd Calendar'!$H$390=TYPE2)*(TYPE2&lt;&gt;"")+('Dvd Calendar'!$H$390=TYPE3)*(TYPE3&lt;&gt;"")+('Dvd Calendar'!$H$390=TYPE4)*(TYPE4&lt;&gt;"")+('Dvd Calendar'!$H$390=SPECIAL_LBL)*(INC_SPECIALS="Y"))=0,"",'Dvd Calendar'!$H$388)))</f>
        <v/>
      </c>
      <c r="G46" s="106">
        <f>IF(EI46="","",IF(ISNUMBER('Dvd Calendar'!$I$388)=FALSE,"",IF((('Dvd Calendar'!$I$390=TYPE1)*(TYPE1&lt;&gt;"")+('Dvd Calendar'!$I$390=TYPE2)*(TYPE2&lt;&gt;"")+('Dvd Calendar'!$I$390=TYPE3)*(TYPE3&lt;&gt;"")+('Dvd Calendar'!$I$390=TYPE4)*(TYPE4&lt;&gt;"")+('Dvd Calendar'!$I$390=SPECIAL_LBL)*(INC_SPECIALS="Y"))=0,"",'Dvd Calendar'!$I$388)))</f>
        <v/>
      </c>
      <c r="H46" s="106">
        <f>IF(EJ46="","",IF(ISNUMBER('Dvd Calendar'!$J$388)=FALSE,"",IF((('Dvd Calendar'!$J$390=TYPE1)*(TYPE1&lt;&gt;"")+('Dvd Calendar'!$J$390=TYPE2)*(TYPE2&lt;&gt;"")+('Dvd Calendar'!$J$390=TYPE3)*(TYPE3&lt;&gt;"")+('Dvd Calendar'!$J$390=TYPE4)*(TYPE4&lt;&gt;"")+('Dvd Calendar'!$J$390=SPECIAL_LBL)*(INC_SPECIALS="Y"))=0,"",'Dvd Calendar'!$J$388)))</f>
        <v/>
      </c>
      <c r="I46" s="106">
        <f>IF(EK46="","",IF(ISNUMBER('Dvd Calendar'!$K$388)=FALSE,"",IF((('Dvd Calendar'!$K$390=TYPE1)*(TYPE1&lt;&gt;"")+('Dvd Calendar'!$K$390=TYPE2)*(TYPE2&lt;&gt;"")+('Dvd Calendar'!$K$390=TYPE3)*(TYPE3&lt;&gt;"")+('Dvd Calendar'!$K$390=TYPE4)*(TYPE4&lt;&gt;"")+('Dvd Calendar'!$K$390=SPECIAL_LBL)*(INC_SPECIALS="Y"))=0,"",'Dvd Calendar'!$K$388)))</f>
        <v/>
      </c>
      <c r="J46" s="106">
        <f>IF(EL46="","",IF(ISNUMBER('Dvd Calendar'!$L$388)=FALSE,"",IF((('Dvd Calendar'!$L$390=TYPE1)*(TYPE1&lt;&gt;"")+('Dvd Calendar'!$L$390=TYPE2)*(TYPE2&lt;&gt;"")+('Dvd Calendar'!$L$390=TYPE3)*(TYPE3&lt;&gt;"")+('Dvd Calendar'!$L$390=TYPE4)*(TYPE4&lt;&gt;"")+('Dvd Calendar'!$L$390=SPECIAL_LBL)*(INC_SPECIALS="Y"))=0,"",'Dvd Calendar'!$L$388)))</f>
        <v/>
      </c>
      <c r="K46" s="106">
        <f>IF(EM46="","",IF(ISNUMBER('Dvd Calendar'!$M$388)=FALSE,"",IF((('Dvd Calendar'!$M$390=TYPE1)*(TYPE1&lt;&gt;"")+('Dvd Calendar'!$M$390=TYPE2)*(TYPE2&lt;&gt;"")+('Dvd Calendar'!$M$390=TYPE3)*(TYPE3&lt;&gt;"")+('Dvd Calendar'!$M$390=TYPE4)*(TYPE4&lt;&gt;"")+('Dvd Calendar'!$M$390=SPECIAL_LBL)*(INC_SPECIALS="Y"))=0,"",'Dvd Calendar'!$M$388)))</f>
        <v/>
      </c>
      <c r="L46" s="106">
        <f>IF(EN46="","",IF(ISNUMBER('Dvd Calendar'!$N$388)=FALSE,"",IF((('Dvd Calendar'!$N$390=TYPE1)*(TYPE1&lt;&gt;"")+('Dvd Calendar'!$N$390=TYPE2)*(TYPE2&lt;&gt;"")+('Dvd Calendar'!$N$390=TYPE3)*(TYPE3&lt;&gt;"")+('Dvd Calendar'!$N$390=TYPE4)*(TYPE4&lt;&gt;"")+('Dvd Calendar'!$N$390=SPECIAL_LBL)*(INC_SPECIALS="Y"))=0,"",'Dvd Calendar'!$N$388)))</f>
        <v/>
      </c>
      <c r="M46" s="106">
        <f>IF(EO46="","",IF(ISNUMBER('Dvd Calendar'!$O$388)=FALSE,"",IF((('Dvd Calendar'!$O$390=TYPE1)*(TYPE1&lt;&gt;"")+('Dvd Calendar'!$O$390=TYPE2)*(TYPE2&lt;&gt;"")+('Dvd Calendar'!$O$390=TYPE3)*(TYPE3&lt;&gt;"")+('Dvd Calendar'!$O$390=TYPE4)*(TYPE4&lt;&gt;"")+('Dvd Calendar'!$O$390=SPECIAL_LBL)*(INC_SPECIALS="Y"))=0,"",'Dvd Calendar'!$O$388)))</f>
        <v/>
      </c>
      <c r="N46" s="106">
        <f>IF(EP46="","",IF(ISNUMBER('Dvd Calendar'!$P$388)=FALSE,"",IF((('Dvd Calendar'!$P$390=TYPE1)*(TYPE1&lt;&gt;"")+('Dvd Calendar'!$P$390=TYPE2)*(TYPE2&lt;&gt;"")+('Dvd Calendar'!$P$390=TYPE3)*(TYPE3&lt;&gt;"")+('Dvd Calendar'!$P$390=TYPE4)*(TYPE4&lt;&gt;"")+('Dvd Calendar'!$P$390=SPECIAL_LBL)*(INC_SPECIALS="Y"))=0,"",'Dvd Calendar'!$P$388)))</f>
        <v/>
      </c>
      <c r="O46" s="106">
        <f>IF(EQ46="","",IF(ISNUMBER('Dvd Calendar'!$Q$388)=FALSE,"",IF((('Dvd Calendar'!$Q$390=TYPE1)*(TYPE1&lt;&gt;"")+('Dvd Calendar'!$Q$390=TYPE2)*(TYPE2&lt;&gt;"")+('Dvd Calendar'!$Q$390=TYPE3)*(TYPE3&lt;&gt;"")+('Dvd Calendar'!$Q$390=TYPE4)*(TYPE4&lt;&gt;"")+('Dvd Calendar'!$Q$390=SPECIAL_LBL)*(INC_SPECIALS="Y"))=0,"",'Dvd Calendar'!$Q$388)))</f>
        <v/>
      </c>
      <c r="P46" s="106">
        <f>IF(ER46="","",IF(ISNUMBER('Dvd Calendar'!$R$388)=FALSE,"",IF((('Dvd Calendar'!$R$390=TYPE1)*(TYPE1&lt;&gt;"")+('Dvd Calendar'!$R$390=TYPE2)*(TYPE2&lt;&gt;"")+('Dvd Calendar'!$R$390=TYPE3)*(TYPE3&lt;&gt;"")+('Dvd Calendar'!$R$390=TYPE4)*(TYPE4&lt;&gt;"")+('Dvd Calendar'!$R$390=SPECIAL_LBL)*(INC_SPECIALS="Y"))=0,"",'Dvd Calendar'!$R$388)))</f>
        <v/>
      </c>
      <c r="Q46" s="106">
        <f>IF(ES46="","",IF(ISNUMBER('Dvd Calendar'!$S$388)=FALSE,"",IF((('Dvd Calendar'!$S$390=TYPE1)*(TYPE1&lt;&gt;"")+('Dvd Calendar'!$S$390=TYPE2)*(TYPE2&lt;&gt;"")+('Dvd Calendar'!$S$390=TYPE3)*(TYPE3&lt;&gt;"")+('Dvd Calendar'!$S$390=TYPE4)*(TYPE4&lt;&gt;"")+('Dvd Calendar'!$S$390=SPECIAL_LBL)*(INC_SPECIALS="Y"))=0,"",'Dvd Calendar'!$S$388)))</f>
        <v/>
      </c>
      <c r="R46" s="106">
        <f>IF(ET46="","",IF(ISNUMBER('Dvd Calendar'!$T$388)=FALSE,"",IF((('Dvd Calendar'!$T$390=TYPE1)*(TYPE1&lt;&gt;"")+('Dvd Calendar'!$T$390=TYPE2)*(TYPE2&lt;&gt;"")+('Dvd Calendar'!$T$390=TYPE3)*(TYPE3&lt;&gt;"")+('Dvd Calendar'!$T$390=TYPE4)*(TYPE4&lt;&gt;"")+('Dvd Calendar'!$T$390=SPECIAL_LBL)*(INC_SPECIALS="Y"))=0,"",'Dvd Calendar'!$T$388)))</f>
        <v/>
      </c>
      <c r="S46" s="106">
        <f>IF(EU46="","",IF(ISNUMBER('Dvd Calendar'!$U$388)=FALSE,"",IF((('Dvd Calendar'!$U$390=TYPE1)*(TYPE1&lt;&gt;"")+('Dvd Calendar'!$U$390=TYPE2)*(TYPE2&lt;&gt;"")+('Dvd Calendar'!$U$390=TYPE3)*(TYPE3&lt;&gt;"")+('Dvd Calendar'!$U$390=TYPE4)*(TYPE4&lt;&gt;"")+('Dvd Calendar'!$U$390=SPECIAL_LBL)*(INC_SPECIALS="Y"))=0,"",'Dvd Calendar'!$U$388)))</f>
        <v/>
      </c>
      <c r="T46" s="106">
        <f>IF(EV46="","",IF(ISNUMBER('Dvd Calendar'!$V$388)=FALSE,"",IF((('Dvd Calendar'!$V$390=TYPE1)*(TYPE1&lt;&gt;"")+('Dvd Calendar'!$V$390=TYPE2)*(TYPE2&lt;&gt;"")+('Dvd Calendar'!$V$390=TYPE3)*(TYPE3&lt;&gt;"")+('Dvd Calendar'!$V$390=TYPE4)*(TYPE4&lt;&gt;"")+('Dvd Calendar'!$V$390=SPECIAL_LBL)*(INC_SPECIALS="Y"))=0,"",'Dvd Calendar'!$V$388)))</f>
        <v/>
      </c>
      <c r="U46" s="106">
        <f>IF(EW46="","",IF(ISNUMBER('Dvd Calendar'!$W$388)=FALSE,"",IF((('Dvd Calendar'!$W$390=TYPE1)*(TYPE1&lt;&gt;"")+('Dvd Calendar'!$W$390=TYPE2)*(TYPE2&lt;&gt;"")+('Dvd Calendar'!$W$390=TYPE3)*(TYPE3&lt;&gt;"")+('Dvd Calendar'!$W$390=TYPE4)*(TYPE4&lt;&gt;"")+('Dvd Calendar'!$W$390=SPECIAL_LBL)*(INC_SPECIALS="Y"))=0,"",'Dvd Calendar'!$W$388)))</f>
        <v/>
      </c>
      <c r="V46" s="106">
        <f>IF(EX46="","",IF(ISNUMBER('Dvd Calendar'!$X$388)=FALSE,"",IF((('Dvd Calendar'!$X$390=TYPE1)*(TYPE1&lt;&gt;"")+('Dvd Calendar'!$X$390=TYPE2)*(TYPE2&lt;&gt;"")+('Dvd Calendar'!$X$390=TYPE3)*(TYPE3&lt;&gt;"")+('Dvd Calendar'!$X$390=TYPE4)*(TYPE4&lt;&gt;"")+('Dvd Calendar'!$X$390=SPECIAL_LBL)*(INC_SPECIALS="Y"))=0,"",'Dvd Calendar'!$X$388)))</f>
        <v/>
      </c>
      <c r="W46" s="106">
        <f>IF(EY46="","",IF(ISNUMBER('Dvd Calendar'!$Y$388)=FALSE,"",IF((('Dvd Calendar'!$Y$390=TYPE1)*(TYPE1&lt;&gt;"")+('Dvd Calendar'!$Y$390=TYPE2)*(TYPE2&lt;&gt;"")+('Dvd Calendar'!$Y$390=TYPE3)*(TYPE3&lt;&gt;"")+('Dvd Calendar'!$Y$390=TYPE4)*(TYPE4&lt;&gt;"")+('Dvd Calendar'!$Y$390=SPECIAL_LBL)*(INC_SPECIALS="Y"))=0,"",'Dvd Calendar'!$Y$388)))</f>
        <v/>
      </c>
      <c r="X46" s="106">
        <f>IF(EZ46="","",IF(ISNUMBER('Dvd Calendar'!$Z$388)=FALSE,"",IF((('Dvd Calendar'!$Z$390=TYPE1)*(TYPE1&lt;&gt;"")+('Dvd Calendar'!$Z$390=TYPE2)*(TYPE2&lt;&gt;"")+('Dvd Calendar'!$Z$390=TYPE3)*(TYPE3&lt;&gt;"")+('Dvd Calendar'!$Z$390=TYPE4)*(TYPE4&lt;&gt;"")+('Dvd Calendar'!$Z$390=SPECIAL_LBL)*(INC_SPECIALS="Y"))=0,"",'Dvd Calendar'!$Z$388)))</f>
        <v/>
      </c>
      <c r="Y46" s="106">
        <f>IF(FA46="","",IF(ISNUMBER('Dvd Calendar'!$AA$388)=FALSE,"",IF((('Dvd Calendar'!$AA$390=TYPE1)*(TYPE1&lt;&gt;"")+('Dvd Calendar'!$AA$390=TYPE2)*(TYPE2&lt;&gt;"")+('Dvd Calendar'!$AA$390=TYPE3)*(TYPE3&lt;&gt;"")+('Dvd Calendar'!$AA$390=TYPE4)*(TYPE4&lt;&gt;"")+('Dvd Calendar'!$AA$390=SPECIAL_LBL)*(INC_SPECIALS="Y"))=0,"",'Dvd Calendar'!$AA$388)))</f>
        <v/>
      </c>
      <c r="Z46" s="106">
        <f>IF(FB46="","",IF(ISNUMBER('Dvd Calendar'!$AB$388)=FALSE,"",IF((('Dvd Calendar'!$AB$390=TYPE1)*(TYPE1&lt;&gt;"")+('Dvd Calendar'!$AB$390=TYPE2)*(TYPE2&lt;&gt;"")+('Dvd Calendar'!$AB$390=TYPE3)*(TYPE3&lt;&gt;"")+('Dvd Calendar'!$AB$390=TYPE4)*(TYPE4&lt;&gt;"")+('Dvd Calendar'!$AB$390=SPECIAL_LBL)*(INC_SPECIALS="Y"))=0,"",'Dvd Calendar'!$AB$388)))</f>
        <v/>
      </c>
      <c r="AA46" s="106">
        <f>IF(FC46="","",IF(ISNUMBER('Dvd Calendar'!$AC$388)=FALSE,"",IF((('Dvd Calendar'!$AC$390=TYPE1)*(TYPE1&lt;&gt;"")+('Dvd Calendar'!$AC$390=TYPE2)*(TYPE2&lt;&gt;"")+('Dvd Calendar'!$AC$390=TYPE3)*(TYPE3&lt;&gt;"")+('Dvd Calendar'!$AC$390=TYPE4)*(TYPE4&lt;&gt;"")+('Dvd Calendar'!$AC$390=SPECIAL_LBL)*(INC_SPECIALS="Y"))=0,"",'Dvd Calendar'!$AC$388)))</f>
        <v/>
      </c>
      <c r="AB46" s="106">
        <f>IF(FD46="","",IF(ISNUMBER('Dvd Calendar'!$AD$388)=FALSE,"",IF((('Dvd Calendar'!$AD$390=TYPE1)*(TYPE1&lt;&gt;"")+('Dvd Calendar'!$AD$390=TYPE2)*(TYPE2&lt;&gt;"")+('Dvd Calendar'!$AD$390=TYPE3)*(TYPE3&lt;&gt;"")+('Dvd Calendar'!$AD$390=TYPE4)*(TYPE4&lt;&gt;"")+('Dvd Calendar'!$AD$390=SPECIAL_LBL)*(INC_SPECIALS="Y"))=0,"",'Dvd Calendar'!$AD$388)))</f>
        <v/>
      </c>
      <c r="AC46" s="106">
        <f>IF(FE46="","",IF(ISNUMBER('Dvd Calendar'!$AE$388)=FALSE,"",IF((('Dvd Calendar'!$AE$390=TYPE1)*(TYPE1&lt;&gt;"")+('Dvd Calendar'!$AE$390=TYPE2)*(TYPE2&lt;&gt;"")+('Dvd Calendar'!$AE$390=TYPE3)*(TYPE3&lt;&gt;"")+('Dvd Calendar'!$AE$390=TYPE4)*(TYPE4&lt;&gt;"")+('Dvd Calendar'!$AE$390=SPECIAL_LBL)*(INC_SPECIALS="Y"))=0,"",'Dvd Calendar'!$AE$388)))</f>
        <v/>
      </c>
      <c r="AD46" s="106">
        <f>IF(FF46="","",IF(ISNUMBER('Dvd Calendar'!$AF$388)=FALSE,"",IF((('Dvd Calendar'!$AF$390=TYPE1)*(TYPE1&lt;&gt;"")+('Dvd Calendar'!$AF$390=TYPE2)*(TYPE2&lt;&gt;"")+('Dvd Calendar'!$AF$390=TYPE3)*(TYPE3&lt;&gt;"")+('Dvd Calendar'!$AF$390=TYPE4)*(TYPE4&lt;&gt;"")+('Dvd Calendar'!$AF$390=SPECIAL_LBL)*(INC_SPECIALS="Y"))=0,"",'Dvd Calendar'!$AF$388)))</f>
        <v/>
      </c>
      <c r="AE46" s="106">
        <f>IF(FG46="","",IF(ISNUMBER('Dvd Calendar'!$AG$388)=FALSE,"",IF((('Dvd Calendar'!$AG$390=TYPE1)*(TYPE1&lt;&gt;"")+('Dvd Calendar'!$AG$390=TYPE2)*(TYPE2&lt;&gt;"")+('Dvd Calendar'!$AG$390=TYPE3)*(TYPE3&lt;&gt;"")+('Dvd Calendar'!$AG$390=TYPE4)*(TYPE4&lt;&gt;"")+('Dvd Calendar'!$AG$390=SPECIAL_LBL)*(INC_SPECIALS="Y"))=0,"",'Dvd Calendar'!$AG$388)))</f>
        <v/>
      </c>
      <c r="AF46" s="106">
        <f>IF(FH46="","",IF(ISNUMBER('Dvd Calendar'!$AH$388)=FALSE,"",IF((('Dvd Calendar'!$AH$390=TYPE1)*(TYPE1&lt;&gt;"")+('Dvd Calendar'!$AH$390=TYPE2)*(TYPE2&lt;&gt;"")+('Dvd Calendar'!$AH$390=TYPE3)*(TYPE3&lt;&gt;"")+('Dvd Calendar'!$AH$390=TYPE4)*(TYPE4&lt;&gt;"")+('Dvd Calendar'!$AH$390=SPECIAL_LBL)*(INC_SPECIALS="Y"))=0,"",'Dvd Calendar'!$AH$388)))</f>
        <v/>
      </c>
      <c r="AG46" s="106">
        <f>IF(FI46="","",IF(ISNUMBER('Dvd Calendar'!$AI$388)=FALSE,"",IF((('Dvd Calendar'!$AI$390=TYPE1)*(TYPE1&lt;&gt;"")+('Dvd Calendar'!$AI$390=TYPE2)*(TYPE2&lt;&gt;"")+('Dvd Calendar'!$AI$390=TYPE3)*(TYPE3&lt;&gt;"")+('Dvd Calendar'!$AI$390=TYPE4)*(TYPE4&lt;&gt;"")+('Dvd Calendar'!$AI$390=SPECIAL_LBL)*(INC_SPECIALS="Y"))=0,"",'Dvd Calendar'!$AI$388)))</f>
        <v/>
      </c>
      <c r="AH46" s="106">
        <f>IF(FJ46="","",IF(ISNUMBER('Dvd Calendar'!$AJ$388)=FALSE,"",IF((('Dvd Calendar'!$AJ$390=TYPE1)*(TYPE1&lt;&gt;"")+('Dvd Calendar'!$AJ$390=TYPE2)*(TYPE2&lt;&gt;"")+('Dvd Calendar'!$AJ$390=TYPE3)*(TYPE3&lt;&gt;"")+('Dvd Calendar'!$AJ$390=TYPE4)*(TYPE4&lt;&gt;"")+('Dvd Calendar'!$AJ$390=SPECIAL_LBL)*(INC_SPECIALS="Y"))=0,"",'Dvd Calendar'!$AJ$388)))</f>
        <v/>
      </c>
      <c r="AI46" s="106">
        <f>IF(FK46="","",IF(ISNUMBER('Dvd Calendar'!$AK$388)=FALSE,"",IF((('Dvd Calendar'!$AK$390=TYPE1)*(TYPE1&lt;&gt;"")+('Dvd Calendar'!$AK$390=TYPE2)*(TYPE2&lt;&gt;"")+('Dvd Calendar'!$AK$390=TYPE3)*(TYPE3&lt;&gt;"")+('Dvd Calendar'!$AK$390=TYPE4)*(TYPE4&lt;&gt;"")+('Dvd Calendar'!$AK$390=SPECIAL_LBL)*(INC_SPECIALS="Y"))=0,"",'Dvd Calendar'!$AK$388)))</f>
        <v/>
      </c>
      <c r="AJ46" s="106">
        <f>IF(FL46="","",IF(ISNUMBER('Dvd Calendar'!$AL$388)=FALSE,"",IF((('Dvd Calendar'!$AL$390=TYPE1)*(TYPE1&lt;&gt;"")+('Dvd Calendar'!$AL$390=TYPE2)*(TYPE2&lt;&gt;"")+('Dvd Calendar'!$AL$390=TYPE3)*(TYPE3&lt;&gt;"")+('Dvd Calendar'!$AL$390=TYPE4)*(TYPE4&lt;&gt;"")+('Dvd Calendar'!$AL$390=SPECIAL_LBL)*(INC_SPECIALS="Y"))=0,"",'Dvd Calendar'!$AL$388)))</f>
        <v/>
      </c>
      <c r="AK46" s="106">
        <f>IF(FM46="","",IF(ISNUMBER('Dvd Calendar'!$AM$388)=FALSE,"",IF((('Dvd Calendar'!$AM$390=TYPE1)*(TYPE1&lt;&gt;"")+('Dvd Calendar'!$AM$390=TYPE2)*(TYPE2&lt;&gt;"")+('Dvd Calendar'!$AM$390=TYPE3)*(TYPE3&lt;&gt;"")+('Dvd Calendar'!$AM$390=TYPE4)*(TYPE4&lt;&gt;"")+('Dvd Calendar'!$AM$390=SPECIAL_LBL)*(INC_SPECIALS="Y"))=0,"",'Dvd Calendar'!$AM$388)))</f>
        <v/>
      </c>
      <c r="AL46" s="106">
        <f>IF(FN46="","",IF(ISNUMBER('Dvd Calendar'!$AN$388)=FALSE,"",IF((('Dvd Calendar'!$AN$390=TYPE1)*(TYPE1&lt;&gt;"")+('Dvd Calendar'!$AN$390=TYPE2)*(TYPE2&lt;&gt;"")+('Dvd Calendar'!$AN$390=TYPE3)*(TYPE3&lt;&gt;"")+('Dvd Calendar'!$AN$390=TYPE4)*(TYPE4&lt;&gt;"")+('Dvd Calendar'!$AN$390=SPECIAL_LBL)*(INC_SPECIALS="Y"))=0,"",'Dvd Calendar'!$AN$388)))</f>
        <v/>
      </c>
      <c r="AM46" s="106">
        <f>IF(FO46="","",IF(ISNUMBER('Dvd Calendar'!$AO$388)=FALSE,"",IF((('Dvd Calendar'!$AO$390=TYPE1)*(TYPE1&lt;&gt;"")+('Dvd Calendar'!$AO$390=TYPE2)*(TYPE2&lt;&gt;"")+('Dvd Calendar'!$AO$390=TYPE3)*(TYPE3&lt;&gt;"")+('Dvd Calendar'!$AO$390=TYPE4)*(TYPE4&lt;&gt;"")+('Dvd Calendar'!$AO$390=SPECIAL_LBL)*(INC_SPECIALS="Y"))=0,"",'Dvd Calendar'!$AO$388)))</f>
        <v/>
      </c>
      <c r="AN46" s="106">
        <f>IF(FP46="","",IF(ISNUMBER('Dvd Calendar'!$AP$388)=FALSE,"",IF((('Dvd Calendar'!$AP$390=TYPE1)*(TYPE1&lt;&gt;"")+('Dvd Calendar'!$AP$390=TYPE2)*(TYPE2&lt;&gt;"")+('Dvd Calendar'!$AP$390=TYPE3)*(TYPE3&lt;&gt;"")+('Dvd Calendar'!$AP$390=TYPE4)*(TYPE4&lt;&gt;"")+('Dvd Calendar'!$AP$390=SPECIAL_LBL)*(INC_SPECIALS="Y"))=0,"",'Dvd Calendar'!$AP$388)))</f>
        <v/>
      </c>
      <c r="AO46" s="106">
        <f>IF(FQ46="","",IF(ISNUMBER('Dvd Calendar'!$AQ$388)=FALSE,"",IF((('Dvd Calendar'!$AQ$390=TYPE1)*(TYPE1&lt;&gt;"")+('Dvd Calendar'!$AQ$390=TYPE2)*(TYPE2&lt;&gt;"")+('Dvd Calendar'!$AQ$390=TYPE3)*(TYPE3&lt;&gt;"")+('Dvd Calendar'!$AQ$390=TYPE4)*(TYPE4&lt;&gt;"")+('Dvd Calendar'!$AQ$390=SPECIAL_LBL)*(INC_SPECIALS="Y"))=0,"",'Dvd Calendar'!$AQ$388)))</f>
        <v/>
      </c>
      <c r="AP46" s="106">
        <f>IF(FR46="","",IF(ISNUMBER('Dvd Calendar'!$AR$388)=FALSE,"",IF((('Dvd Calendar'!$AR$390=TYPE1)*(TYPE1&lt;&gt;"")+('Dvd Calendar'!$AR$390=TYPE2)*(TYPE2&lt;&gt;"")+('Dvd Calendar'!$AR$390=TYPE3)*(TYPE3&lt;&gt;"")+('Dvd Calendar'!$AR$390=TYPE4)*(TYPE4&lt;&gt;"")+('Dvd Calendar'!$AR$390=SPECIAL_LBL)*(INC_SPECIALS="Y"))=0,"",'Dvd Calendar'!$AR$388)))</f>
        <v/>
      </c>
      <c r="AQ46" s="106">
        <f>IF(FS46="","",IF(ISNUMBER('Dvd Calendar'!$E$393)=FALSE,"",'Dvd Calendar'!$E$393))</f>
        <v/>
      </c>
      <c r="AR46" s="106">
        <f>IF(FT46="","",IF(ISNUMBER('Dvd Calendar'!$F$393)=FALSE,"",'Dvd Calendar'!$F$393))</f>
        <v/>
      </c>
      <c r="AS46" s="106">
        <f>IF(FU46="","",IF(ISNUMBER('Dvd Calendar'!$G$393)=FALSE,"",'Dvd Calendar'!$G$393))</f>
        <v/>
      </c>
      <c r="AT46" s="106">
        <f>IF(FV46="","",IF(ISNUMBER('Dvd Calendar'!$H$393)=FALSE,"",'Dvd Calendar'!$H$393))</f>
        <v/>
      </c>
      <c r="AU46" s="106">
        <f>IF(FW46="","",IF(ISNUMBER('Dvd Calendar'!$I$393)=FALSE,"",'Dvd Calendar'!$I$393))</f>
        <v/>
      </c>
      <c r="AV46" s="106">
        <f>IF(FX46="","",IF(ISNUMBER('Dvd Calendar'!$J$393)=FALSE,"",'Dvd Calendar'!$J$393))</f>
        <v/>
      </c>
      <c r="AW46" s="106">
        <f>IF(FY46="","",IF(ISNUMBER('Dvd Calendar'!$K$393)=FALSE,"",'Dvd Calendar'!$K$393))</f>
        <v/>
      </c>
      <c r="AX46" s="106">
        <f>IF(FZ46="","",IF(ISNUMBER('Dvd Calendar'!$L$393)=FALSE,"",'Dvd Calendar'!$L$393))</f>
        <v/>
      </c>
      <c r="AY46" s="106">
        <f>IF(GA46="","",IF(ISNUMBER('Dvd Calendar'!$M$393)=FALSE,"",'Dvd Calendar'!$M$393))</f>
        <v/>
      </c>
      <c r="AZ46" s="106">
        <f>IF(GB46="","",IF(ISNUMBER('Dvd Calendar'!$N$393)=FALSE,"",'Dvd Calendar'!$N$393))</f>
        <v/>
      </c>
      <c r="BA46" s="106">
        <f>IF(GC46="","",IF(ISNUMBER('Dvd Calendar'!$O$393)=FALSE,"",'Dvd Calendar'!$O$393))</f>
        <v/>
      </c>
      <c r="BB46" s="106">
        <f>IF(GD46="","",IF(ISNUMBER('Dvd Calendar'!$P$393)=FALSE,"",'Dvd Calendar'!$P$393))</f>
        <v/>
      </c>
      <c r="BC46" s="106">
        <f>IF(GE46="","",IF(ISNUMBER('Dvd Calendar'!$Q$393)=FALSE,"",'Dvd Calendar'!$Q$393))</f>
        <v/>
      </c>
      <c r="BD46" s="106">
        <f>IF(GF46="","",IF(ISNUMBER('Dvd Calendar'!$R$393)=FALSE,"",'Dvd Calendar'!$R$393))</f>
        <v/>
      </c>
      <c r="BE46" s="106">
        <f>IF(GG46="","",IF(ISNUMBER('Dvd Calendar'!$S$393)=FALSE,"",'Dvd Calendar'!$S$393))</f>
        <v/>
      </c>
      <c r="BF46" s="106">
        <f>IF(GH46="","",IF(ISNUMBER('Dvd Calendar'!$T$393)=FALSE,"",'Dvd Calendar'!$T$393))</f>
        <v/>
      </c>
      <c r="BG46" s="106">
        <f>IF(GI46="","",IF(ISNUMBER('Dvd Calendar'!$U$393)=FALSE,"",'Dvd Calendar'!$U$393))</f>
        <v/>
      </c>
      <c r="BH46" s="106">
        <f>IF(GJ46="","",IF(ISNUMBER('Dvd Calendar'!$V$393)=FALSE,"",'Dvd Calendar'!$V$393))</f>
        <v/>
      </c>
      <c r="BI46" s="106">
        <f>IF(GK46="","",IF(ISNUMBER('Dvd Calendar'!$W$393)=FALSE,"",'Dvd Calendar'!$W$393))</f>
        <v/>
      </c>
      <c r="BJ46" s="106">
        <f>IF(GL46="","",IF(ISNUMBER('Dvd Calendar'!$X$393)=FALSE,"",'Dvd Calendar'!$X$393))</f>
        <v/>
      </c>
      <c r="BK46" s="106">
        <f>IF(GM46="","",IF(ISNUMBER('Dvd Calendar'!$Y$393)=FALSE,"",'Dvd Calendar'!$Y$393))</f>
        <v/>
      </c>
      <c r="BL46" s="106">
        <f>IF(GN46="","",IF(ISNUMBER('Dvd Calendar'!$Z$393)=FALSE,"",'Dvd Calendar'!$Z$393))</f>
        <v/>
      </c>
      <c r="BM46" s="106">
        <f>IF(GO46="","",IF(ISNUMBER('Dvd Calendar'!$AA$393)=FALSE,"",'Dvd Calendar'!$AA$393))</f>
        <v/>
      </c>
      <c r="BN46" s="106">
        <f>IF(GP46="","",IF(ISNUMBER('Dvd Calendar'!$AB$393)=FALSE,"",'Dvd Calendar'!$AB$393))</f>
        <v/>
      </c>
      <c r="BO46" s="106">
        <f>IF(GQ46="","",IF(ISNUMBER('Dvd Calendar'!$AC$393)=FALSE,"",'Dvd Calendar'!$AC$393))</f>
        <v/>
      </c>
      <c r="BQ46" s="106">
        <f>IF(C46="","",IFERROR(C46*HSI!$B$41*HSI!$G$41/HSI!$B$3,""))</f>
        <v/>
      </c>
      <c r="BR46" s="106">
        <f>IF(D46="","",IFERROR(D46*HSI!$B$41*HSI!$G$41/HSI!$B$3,""))</f>
        <v/>
      </c>
      <c r="BS46" s="106">
        <f>IF(E46="","",IFERROR(E46*HSI!$B$41*HSI!$G$41/HSI!$B$3,""))</f>
        <v/>
      </c>
      <c r="BT46" s="106">
        <f>IF(F46="","",IFERROR(F46*HSI!$B$41*HSI!$G$41/HSI!$B$3,""))</f>
        <v/>
      </c>
      <c r="BU46" s="106">
        <f>IF(G46="","",IFERROR(G46*HSI!$B$41*HSI!$G$41/HSI!$B$3,""))</f>
        <v/>
      </c>
      <c r="BV46" s="106">
        <f>IF(H46="","",IFERROR(H46*HSI!$B$41*HSI!$G$41/HSI!$B$3,""))</f>
        <v/>
      </c>
      <c r="BW46" s="106">
        <f>IF(I46="","",IFERROR(I46*HSI!$B$41*HSI!$G$41/HSI!$B$3,""))</f>
        <v/>
      </c>
      <c r="BX46" s="106">
        <f>IF(J46="","",IFERROR(J46*HSI!$B$41*HSI!$G$41/HSI!$B$3,""))</f>
        <v/>
      </c>
      <c r="BY46" s="106">
        <f>IF(K46="","",IFERROR(K46*HSI!$B$41*HSI!$G$41/HSI!$B$3,""))</f>
        <v/>
      </c>
      <c r="BZ46" s="106">
        <f>IF(L46="","",IFERROR(L46*HSI!$B$41*HSI!$G$41/HSI!$B$3,""))</f>
        <v/>
      </c>
      <c r="CA46" s="106">
        <f>IF(M46="","",IFERROR(M46*HSI!$B$41*HSI!$G$41/HSI!$B$3,""))</f>
        <v/>
      </c>
      <c r="CB46" s="106">
        <f>IF(N46="","",IFERROR(N46*HSI!$B$41*HSI!$G$41/HSI!$B$3,""))</f>
        <v/>
      </c>
      <c r="CC46" s="106">
        <f>IF(O46="","",IFERROR(O46*HSI!$B$41*HSI!$G$41/HSI!$B$3,""))</f>
        <v/>
      </c>
      <c r="CD46" s="106">
        <f>IF(P46="","",IFERROR(P46*HSI!$B$41*HSI!$G$41/HSI!$B$3,""))</f>
        <v/>
      </c>
      <c r="CE46" s="106">
        <f>IF(Q46="","",IFERROR(Q46*HSI!$B$41*HSI!$G$41/HSI!$B$3,""))</f>
        <v/>
      </c>
      <c r="CF46" s="106">
        <f>IF(R46="","",IFERROR(R46*HSI!$B$41*HSI!$G$41/HSI!$B$3,""))</f>
        <v/>
      </c>
      <c r="CG46" s="106">
        <f>IF(S46="","",IFERROR(S46*HSI!$B$41*HSI!$G$41/HSI!$B$3,""))</f>
        <v/>
      </c>
      <c r="CH46" s="106">
        <f>IF(T46="","",IFERROR(T46*HSI!$B$41*HSI!$G$41/HSI!$B$3,""))</f>
        <v/>
      </c>
      <c r="CI46" s="106">
        <f>IF(U46="","",IFERROR(U46*HSI!$B$41*HSI!$G$41/HSI!$B$3,""))</f>
        <v/>
      </c>
      <c r="CJ46" s="106">
        <f>IF(V46="","",IFERROR(V46*HSI!$B$41*HSI!$G$41/HSI!$B$3,""))</f>
        <v/>
      </c>
      <c r="CK46" s="106">
        <f>IF(W46="","",IFERROR(W46*HSI!$B$41*HSI!$G$41/HSI!$B$3,""))</f>
        <v/>
      </c>
      <c r="CL46" s="106">
        <f>IF(X46="","",IFERROR(X46*HSI!$B$41*HSI!$G$41/HSI!$B$3,""))</f>
        <v/>
      </c>
      <c r="CM46" s="106">
        <f>IF(Y46="","",IFERROR(Y46*HSI!$B$41*HSI!$G$41/HSI!$B$3,""))</f>
        <v/>
      </c>
      <c r="CN46" s="106">
        <f>IF(Z46="","",IFERROR(Z46*HSI!$B$41*HSI!$G$41/HSI!$B$3,""))</f>
        <v/>
      </c>
      <c r="CO46" s="106">
        <f>IF(AA46="","",IFERROR(AA46*HSI!$B$41*HSI!$G$41/HSI!$B$3,""))</f>
        <v/>
      </c>
      <c r="CP46" s="106">
        <f>IF(AB46="","",IFERROR(AB46*HSI!$B$41*HSI!$G$41/HSI!$B$3,""))</f>
        <v/>
      </c>
      <c r="CQ46" s="106">
        <f>IF(AC46="","",IFERROR(AC46*HSI!$B$41*HSI!$G$41/HSI!$B$3,""))</f>
        <v/>
      </c>
      <c r="CR46" s="106">
        <f>IF(AD46="","",IFERROR(AD46*HSI!$B$41*HSI!$G$41/HSI!$B$3,""))</f>
        <v/>
      </c>
      <c r="CS46" s="106">
        <f>IF(AE46="","",IFERROR(AE46*HSI!$B$41*HSI!$G$41/HSI!$B$3,""))</f>
        <v/>
      </c>
      <c r="CT46" s="106">
        <f>IF(AF46="","",IFERROR(AF46*HSI!$B$41*HSI!$G$41/HSI!$B$3,""))</f>
        <v/>
      </c>
      <c r="CU46" s="106">
        <f>IF(AG46="","",IFERROR(AG46*HSI!$B$41*HSI!$G$41/HSI!$B$3,""))</f>
        <v/>
      </c>
      <c r="CV46" s="106">
        <f>IF(AH46="","",IFERROR(AH46*HSI!$B$41*HSI!$G$41/HSI!$B$3,""))</f>
        <v/>
      </c>
      <c r="CW46" s="106">
        <f>IF(AI46="","",IFERROR(AI46*HSI!$B$41*HSI!$G$41/HSI!$B$3,""))</f>
        <v/>
      </c>
      <c r="CX46" s="106">
        <f>IF(AJ46="","",IFERROR(AJ46*HSI!$B$41*HSI!$G$41/HSI!$B$3,""))</f>
        <v/>
      </c>
      <c r="CY46" s="106">
        <f>IF(AK46="","",IFERROR(AK46*HSI!$B$41*HSI!$G$41/HSI!$B$3,""))</f>
        <v/>
      </c>
      <c r="CZ46" s="106">
        <f>IF(AL46="","",IFERROR(AL46*HSI!$B$41*HSI!$G$41/HSI!$B$3,""))</f>
        <v/>
      </c>
      <c r="DA46" s="106">
        <f>IF(AM46="","",IFERROR(AM46*HSI!$B$41*HSI!$G$41/HSI!$B$3,""))</f>
        <v/>
      </c>
      <c r="DB46" s="106">
        <f>IF(AN46="","",IFERROR(AN46*HSI!$B$41*HSI!$G$41/HSI!$B$3,""))</f>
        <v/>
      </c>
      <c r="DC46" s="106">
        <f>IF(AO46="","",IFERROR(AO46*HSI!$B$41*HSI!$G$41/HSI!$B$3,""))</f>
        <v/>
      </c>
      <c r="DD46" s="106">
        <f>IF(AP46="","",IFERROR(AP46*HSI!$B$41*HSI!$G$41/HSI!$B$3,""))</f>
        <v/>
      </c>
      <c r="DE46" s="106">
        <f>IF(AQ46="","",IFERROR(AQ46*HSI!$B$41*HSI!$G$41/HSI!$B$3,""))</f>
        <v/>
      </c>
      <c r="DF46" s="106">
        <f>IF(AR46="","",IFERROR(AR46*HSI!$B$41*HSI!$G$41/HSI!$B$3,""))</f>
        <v/>
      </c>
      <c r="DG46" s="106">
        <f>IF(AS46="","",IFERROR(AS46*HSI!$B$41*HSI!$G$41/HSI!$B$3,""))</f>
        <v/>
      </c>
      <c r="DH46" s="106">
        <f>IF(AT46="","",IFERROR(AT46*HSI!$B$41*HSI!$G$41/HSI!$B$3,""))</f>
        <v/>
      </c>
      <c r="DI46" s="106">
        <f>IF(AU46="","",IFERROR(AU46*HSI!$B$41*HSI!$G$41/HSI!$B$3,""))</f>
        <v/>
      </c>
      <c r="DJ46" s="106">
        <f>IF(AV46="","",IFERROR(AV46*HSI!$B$41*HSI!$G$41/HSI!$B$3,""))</f>
        <v/>
      </c>
      <c r="DK46" s="106">
        <f>IF(AW46="","",IFERROR(AW46*HSI!$B$41*HSI!$G$41/HSI!$B$3,""))</f>
        <v/>
      </c>
      <c r="DL46" s="106">
        <f>IF(AX46="","",IFERROR(AX46*HSI!$B$41*HSI!$G$41/HSI!$B$3,""))</f>
        <v/>
      </c>
      <c r="DM46" s="106">
        <f>IF(AY46="","",IFERROR(AY46*HSI!$B$41*HSI!$G$41/HSI!$B$3,""))</f>
        <v/>
      </c>
      <c r="DN46" s="106">
        <f>IF(AZ46="","",IFERROR(AZ46*HSI!$B$41*HSI!$G$41/HSI!$B$3,""))</f>
        <v/>
      </c>
      <c r="DO46" s="106">
        <f>IF(BA46="","",IFERROR(BA46*HSI!$B$41*HSI!$G$41/HSI!$B$3,""))</f>
        <v/>
      </c>
      <c r="DP46" s="106">
        <f>IF(BB46="","",IFERROR(BB46*HSI!$B$41*HSI!$G$41/HSI!$B$3,""))</f>
        <v/>
      </c>
      <c r="DQ46" s="106">
        <f>IF(BC46="","",IFERROR(BC46*HSI!$B$41*HSI!$G$41/HSI!$B$3,""))</f>
        <v/>
      </c>
      <c r="DR46" s="106">
        <f>IF(BD46="","",IFERROR(BD46*HSI!$B$41*HSI!$G$41/HSI!$B$3,""))</f>
        <v/>
      </c>
      <c r="DS46" s="106">
        <f>IF(BE46="","",IFERROR(BE46*HSI!$B$41*HSI!$G$41/HSI!$B$3,""))</f>
        <v/>
      </c>
      <c r="DT46" s="106">
        <f>IF(BF46="","",IFERROR(BF46*HSI!$B$41*HSI!$G$41/HSI!$B$3,""))</f>
        <v/>
      </c>
      <c r="DU46" s="106">
        <f>IF(BG46="","",IFERROR(BG46*HSI!$B$41*HSI!$G$41/HSI!$B$3,""))</f>
        <v/>
      </c>
      <c r="DV46" s="106">
        <f>IF(BH46="","",IFERROR(BH46*HSI!$B$41*HSI!$G$41/HSI!$B$3,""))</f>
        <v/>
      </c>
      <c r="DW46" s="106">
        <f>IF(BI46="","",IFERROR(BI46*HSI!$B$41*HSI!$G$41/HSI!$B$3,""))</f>
        <v/>
      </c>
      <c r="DX46" s="106">
        <f>IF(BJ46="","",IFERROR(BJ46*HSI!$B$41*HSI!$G$41/HSI!$B$3,""))</f>
        <v/>
      </c>
      <c r="DY46" s="106">
        <f>IF(BK46="","",IFERROR(BK46*HSI!$B$41*HSI!$G$41/HSI!$B$3,""))</f>
        <v/>
      </c>
      <c r="DZ46" s="106">
        <f>IF(BL46="","",IFERROR(BL46*HSI!$B$41*HSI!$G$41/HSI!$B$3,""))</f>
        <v/>
      </c>
      <c r="EA46" s="106">
        <f>IF(BM46="","",IFERROR(BM46*HSI!$B$41*HSI!$G$41/HSI!$B$3,""))</f>
        <v/>
      </c>
      <c r="EB46" s="106">
        <f>IF(BN46="","",IFERROR(BN46*HSI!$B$41*HSI!$G$41/HSI!$B$3,""))</f>
        <v/>
      </c>
      <c r="EC46" s="106">
        <f>IF(BO46="","",IFERROR(BO46*HSI!$B$41*HSI!$G$41/HSI!$B$3,""))</f>
        <v/>
      </c>
      <c r="EE46" s="35">
        <f>IF(N('Dvd Calendar'!$E$385)=0,"",IF(('Dvd Calendar'!$E$385&gt;=GRID_FROM)*('Dvd Calendar'!$E$385&lt;=GRID_TO)*('Dvd Calendar'!$E$385&lt;=VAL_DATE)=0,"",'Dvd Calendar'!$E$385*1000000000+ISNUMBER('Dvd Calendar'!$E$388)*100000000+('Dvd Calendar'!$E$390=SPECIAL_LBL)*10000000+0*1000000+35*1000+1))</f>
        <v/>
      </c>
      <c r="EF46" s="35">
        <f>IF(N('Dvd Calendar'!$F$385)=0,"",IF(('Dvd Calendar'!$F$385&gt;=GRID_FROM)*('Dvd Calendar'!$F$385&lt;=GRID_TO)*('Dvd Calendar'!$F$385&lt;=VAL_DATE)=0,"",'Dvd Calendar'!$F$385*1000000000+ISNUMBER('Dvd Calendar'!$F$388)*100000000+('Dvd Calendar'!$F$390=SPECIAL_LBL)*10000000+0*1000000+35*1000+2))</f>
        <v/>
      </c>
      <c r="EG46" s="35">
        <f>IF(N('Dvd Calendar'!$G$385)=0,"",IF(('Dvd Calendar'!$G$385&gt;=GRID_FROM)*('Dvd Calendar'!$G$385&lt;=GRID_TO)*('Dvd Calendar'!$G$385&lt;=VAL_DATE)=0,"",'Dvd Calendar'!$G$385*1000000000+ISNUMBER('Dvd Calendar'!$G$388)*100000000+('Dvd Calendar'!$G$390=SPECIAL_LBL)*10000000+0*1000000+35*1000+3))</f>
        <v/>
      </c>
      <c r="EH46" s="35">
        <f>IF(N('Dvd Calendar'!$H$385)=0,"",IF(('Dvd Calendar'!$H$385&gt;=GRID_FROM)*('Dvd Calendar'!$H$385&lt;=GRID_TO)*('Dvd Calendar'!$H$385&lt;=VAL_DATE)=0,"",'Dvd Calendar'!$H$385*1000000000+ISNUMBER('Dvd Calendar'!$H$388)*100000000+('Dvd Calendar'!$H$390=SPECIAL_LBL)*10000000+0*1000000+35*1000+4))</f>
        <v/>
      </c>
      <c r="EI46" s="35">
        <f>IF(N('Dvd Calendar'!$I$385)=0,"",IF(('Dvd Calendar'!$I$385&gt;=GRID_FROM)*('Dvd Calendar'!$I$385&lt;=GRID_TO)*('Dvd Calendar'!$I$385&lt;=VAL_DATE)=0,"",'Dvd Calendar'!$I$385*1000000000+ISNUMBER('Dvd Calendar'!$I$388)*100000000+('Dvd Calendar'!$I$390=SPECIAL_LBL)*10000000+0*1000000+35*1000+5))</f>
        <v/>
      </c>
      <c r="EJ46" s="35">
        <f>IF(N('Dvd Calendar'!$J$385)=0,"",IF(('Dvd Calendar'!$J$385&gt;=GRID_FROM)*('Dvd Calendar'!$J$385&lt;=GRID_TO)*('Dvd Calendar'!$J$385&lt;=VAL_DATE)=0,"",'Dvd Calendar'!$J$385*1000000000+ISNUMBER('Dvd Calendar'!$J$388)*100000000+('Dvd Calendar'!$J$390=SPECIAL_LBL)*10000000+0*1000000+35*1000+6))</f>
        <v/>
      </c>
      <c r="EK46" s="35">
        <f>IF(N('Dvd Calendar'!$K$385)=0,"",IF(('Dvd Calendar'!$K$385&gt;=GRID_FROM)*('Dvd Calendar'!$K$385&lt;=GRID_TO)*('Dvd Calendar'!$K$385&lt;=VAL_DATE)=0,"",'Dvd Calendar'!$K$385*1000000000+ISNUMBER('Dvd Calendar'!$K$388)*100000000+('Dvd Calendar'!$K$390=SPECIAL_LBL)*10000000+0*1000000+35*1000+7))</f>
        <v/>
      </c>
      <c r="EL46" s="35">
        <f>IF(N('Dvd Calendar'!$L$385)=0,"",IF(('Dvd Calendar'!$L$385&gt;=GRID_FROM)*('Dvd Calendar'!$L$385&lt;=GRID_TO)*('Dvd Calendar'!$L$385&lt;=VAL_DATE)=0,"",'Dvd Calendar'!$L$385*1000000000+ISNUMBER('Dvd Calendar'!$L$388)*100000000+('Dvd Calendar'!$L$390=SPECIAL_LBL)*10000000+0*1000000+35*1000+8))</f>
        <v/>
      </c>
      <c r="EM46" s="35">
        <f>IF(N('Dvd Calendar'!$M$385)=0,"",IF(('Dvd Calendar'!$M$385&gt;=GRID_FROM)*('Dvd Calendar'!$M$385&lt;=GRID_TO)*('Dvd Calendar'!$M$385&lt;=VAL_DATE)=0,"",'Dvd Calendar'!$M$385*1000000000+ISNUMBER('Dvd Calendar'!$M$388)*100000000+('Dvd Calendar'!$M$390=SPECIAL_LBL)*10000000+0*1000000+35*1000+9))</f>
        <v/>
      </c>
      <c r="EN46" s="35">
        <f>IF(N('Dvd Calendar'!$N$385)=0,"",IF(('Dvd Calendar'!$N$385&gt;=GRID_FROM)*('Dvd Calendar'!$N$385&lt;=GRID_TO)*('Dvd Calendar'!$N$385&lt;=VAL_DATE)=0,"",'Dvd Calendar'!$N$385*1000000000+ISNUMBER('Dvd Calendar'!$N$388)*100000000+('Dvd Calendar'!$N$390=SPECIAL_LBL)*10000000+0*1000000+35*1000+10))</f>
        <v/>
      </c>
      <c r="EO46" s="35">
        <f>IF(N('Dvd Calendar'!$O$385)=0,"",IF(('Dvd Calendar'!$O$385&gt;=GRID_FROM)*('Dvd Calendar'!$O$385&lt;=GRID_TO)*('Dvd Calendar'!$O$385&lt;=VAL_DATE)=0,"",'Dvd Calendar'!$O$385*1000000000+ISNUMBER('Dvd Calendar'!$O$388)*100000000+('Dvd Calendar'!$O$390=SPECIAL_LBL)*10000000+0*1000000+35*1000+11))</f>
        <v/>
      </c>
      <c r="EP46" s="35">
        <f>IF(N('Dvd Calendar'!$P$385)=0,"",IF(('Dvd Calendar'!$P$385&gt;=GRID_FROM)*('Dvd Calendar'!$P$385&lt;=GRID_TO)*('Dvd Calendar'!$P$385&lt;=VAL_DATE)=0,"",'Dvd Calendar'!$P$385*1000000000+ISNUMBER('Dvd Calendar'!$P$388)*100000000+('Dvd Calendar'!$P$390=SPECIAL_LBL)*10000000+0*1000000+35*1000+12))</f>
        <v/>
      </c>
      <c r="EQ46" s="35">
        <f>IF(N('Dvd Calendar'!$Q$385)=0,"",IF(('Dvd Calendar'!$Q$385&gt;=GRID_FROM)*('Dvd Calendar'!$Q$385&lt;=GRID_TO)*('Dvd Calendar'!$Q$385&lt;=VAL_DATE)=0,"",'Dvd Calendar'!$Q$385*1000000000+ISNUMBER('Dvd Calendar'!$Q$388)*100000000+('Dvd Calendar'!$Q$390=SPECIAL_LBL)*10000000+0*1000000+35*1000+13))</f>
        <v/>
      </c>
      <c r="ER46" s="35">
        <f>IF(N('Dvd Calendar'!$R$385)=0,"",IF(('Dvd Calendar'!$R$385&gt;=GRID_FROM)*('Dvd Calendar'!$R$385&lt;=GRID_TO)*('Dvd Calendar'!$R$385&lt;=VAL_DATE)=0,"",'Dvd Calendar'!$R$385*1000000000+ISNUMBER('Dvd Calendar'!$R$388)*100000000+('Dvd Calendar'!$R$390=SPECIAL_LBL)*10000000+0*1000000+35*1000+14))</f>
        <v/>
      </c>
      <c r="ES46" s="35">
        <f>IF(N('Dvd Calendar'!$S$385)=0,"",IF(('Dvd Calendar'!$S$385&gt;=GRID_FROM)*('Dvd Calendar'!$S$385&lt;=GRID_TO)*('Dvd Calendar'!$S$385&lt;=VAL_DATE)=0,"",'Dvd Calendar'!$S$385*1000000000+ISNUMBER('Dvd Calendar'!$S$388)*100000000+('Dvd Calendar'!$S$390=SPECIAL_LBL)*10000000+0*1000000+35*1000+15))</f>
        <v/>
      </c>
      <c r="ET46" s="35">
        <f>IF(N('Dvd Calendar'!$T$385)=0,"",IF(('Dvd Calendar'!$T$385&gt;=GRID_FROM)*('Dvd Calendar'!$T$385&lt;=GRID_TO)*('Dvd Calendar'!$T$385&lt;=VAL_DATE)=0,"",'Dvd Calendar'!$T$385*1000000000+ISNUMBER('Dvd Calendar'!$T$388)*100000000+('Dvd Calendar'!$T$390=SPECIAL_LBL)*10000000+0*1000000+35*1000+16))</f>
        <v/>
      </c>
      <c r="EU46" s="35">
        <f>IF(N('Dvd Calendar'!$U$385)=0,"",IF(('Dvd Calendar'!$U$385&gt;=GRID_FROM)*('Dvd Calendar'!$U$385&lt;=GRID_TO)*('Dvd Calendar'!$U$385&lt;=VAL_DATE)=0,"",'Dvd Calendar'!$U$385*1000000000+ISNUMBER('Dvd Calendar'!$U$388)*100000000+('Dvd Calendar'!$U$390=SPECIAL_LBL)*10000000+0*1000000+35*1000+17))</f>
        <v/>
      </c>
      <c r="EV46" s="35">
        <f>IF(N('Dvd Calendar'!$V$385)=0,"",IF(('Dvd Calendar'!$V$385&gt;=GRID_FROM)*('Dvd Calendar'!$V$385&lt;=GRID_TO)*('Dvd Calendar'!$V$385&lt;=VAL_DATE)=0,"",'Dvd Calendar'!$V$385*1000000000+ISNUMBER('Dvd Calendar'!$V$388)*100000000+('Dvd Calendar'!$V$390=SPECIAL_LBL)*10000000+0*1000000+35*1000+18))</f>
        <v/>
      </c>
      <c r="EW46" s="35">
        <f>IF(N('Dvd Calendar'!$W$385)=0,"",IF(('Dvd Calendar'!$W$385&gt;=GRID_FROM)*('Dvd Calendar'!$W$385&lt;=GRID_TO)*('Dvd Calendar'!$W$385&lt;=VAL_DATE)=0,"",'Dvd Calendar'!$W$385*1000000000+ISNUMBER('Dvd Calendar'!$W$388)*100000000+('Dvd Calendar'!$W$390=SPECIAL_LBL)*10000000+0*1000000+35*1000+19))</f>
        <v/>
      </c>
      <c r="EX46" s="35">
        <f>IF(N('Dvd Calendar'!$X$385)=0,"",IF(('Dvd Calendar'!$X$385&gt;=GRID_FROM)*('Dvd Calendar'!$X$385&lt;=GRID_TO)*('Dvd Calendar'!$X$385&lt;=VAL_DATE)=0,"",'Dvd Calendar'!$X$385*1000000000+ISNUMBER('Dvd Calendar'!$X$388)*100000000+('Dvd Calendar'!$X$390=SPECIAL_LBL)*10000000+0*1000000+35*1000+20))</f>
        <v/>
      </c>
      <c r="EY46" s="35">
        <f>IF(N('Dvd Calendar'!$Y$385)=0,"",IF(('Dvd Calendar'!$Y$385&gt;=GRID_FROM)*('Dvd Calendar'!$Y$385&lt;=GRID_TO)*('Dvd Calendar'!$Y$385&lt;=VAL_DATE)=0,"",'Dvd Calendar'!$Y$385*1000000000+ISNUMBER('Dvd Calendar'!$Y$388)*100000000+('Dvd Calendar'!$Y$390=SPECIAL_LBL)*10000000+0*1000000+35*1000+21))</f>
        <v/>
      </c>
      <c r="EZ46" s="35">
        <f>IF(N('Dvd Calendar'!$Z$385)=0,"",IF(('Dvd Calendar'!$Z$385&gt;=GRID_FROM)*('Dvd Calendar'!$Z$385&lt;=GRID_TO)*('Dvd Calendar'!$Z$385&lt;=VAL_DATE)=0,"",'Dvd Calendar'!$Z$385*1000000000+ISNUMBER('Dvd Calendar'!$Z$388)*100000000+('Dvd Calendar'!$Z$390=SPECIAL_LBL)*10000000+0*1000000+35*1000+22))</f>
        <v/>
      </c>
      <c r="FA46" s="35">
        <f>IF(N('Dvd Calendar'!$AA$385)=0,"",IF(('Dvd Calendar'!$AA$385&gt;=GRID_FROM)*('Dvd Calendar'!$AA$385&lt;=GRID_TO)*('Dvd Calendar'!$AA$385&lt;=VAL_DATE)=0,"",'Dvd Calendar'!$AA$385*1000000000+ISNUMBER('Dvd Calendar'!$AA$388)*100000000+('Dvd Calendar'!$AA$390=SPECIAL_LBL)*10000000+0*1000000+35*1000+23))</f>
        <v/>
      </c>
      <c r="FB46" s="35">
        <f>IF(N('Dvd Calendar'!$AB$385)=0,"",IF(('Dvd Calendar'!$AB$385&gt;=GRID_FROM)*('Dvd Calendar'!$AB$385&lt;=GRID_TO)*('Dvd Calendar'!$AB$385&lt;=VAL_DATE)=0,"",'Dvd Calendar'!$AB$385*1000000000+ISNUMBER('Dvd Calendar'!$AB$388)*100000000+('Dvd Calendar'!$AB$390=SPECIAL_LBL)*10000000+0*1000000+35*1000+24))</f>
        <v/>
      </c>
      <c r="FC46" s="35">
        <f>IF(N('Dvd Calendar'!$AC$385)=0,"",IF(('Dvd Calendar'!$AC$385&gt;=GRID_FROM)*('Dvd Calendar'!$AC$385&lt;=GRID_TO)*('Dvd Calendar'!$AC$385&lt;=VAL_DATE)=0,"",'Dvd Calendar'!$AC$385*1000000000+ISNUMBER('Dvd Calendar'!$AC$388)*100000000+('Dvd Calendar'!$AC$390=SPECIAL_LBL)*10000000+0*1000000+35*1000+25))</f>
        <v/>
      </c>
      <c r="FD46" s="35">
        <f>IF(N('Dvd Calendar'!$AD$385)=0,"",IF(('Dvd Calendar'!$AD$385&gt;=GRID_FROM)*('Dvd Calendar'!$AD$385&lt;=GRID_TO)*('Dvd Calendar'!$AD$385&lt;=VAL_DATE)=0,"",'Dvd Calendar'!$AD$385*1000000000+ISNUMBER('Dvd Calendar'!$AD$388)*100000000+('Dvd Calendar'!$AD$390=SPECIAL_LBL)*10000000+0*1000000+35*1000+26))</f>
        <v/>
      </c>
      <c r="FE46" s="35">
        <f>IF(N('Dvd Calendar'!$AE$385)=0,"",IF(('Dvd Calendar'!$AE$385&gt;=GRID_FROM)*('Dvd Calendar'!$AE$385&lt;=GRID_TO)*('Dvd Calendar'!$AE$385&lt;=VAL_DATE)=0,"",'Dvd Calendar'!$AE$385*1000000000+ISNUMBER('Dvd Calendar'!$AE$388)*100000000+('Dvd Calendar'!$AE$390=SPECIAL_LBL)*10000000+0*1000000+35*1000+27))</f>
        <v/>
      </c>
      <c r="FF46" s="35">
        <f>IF(N('Dvd Calendar'!$AF$385)=0,"",IF(('Dvd Calendar'!$AF$385&gt;=GRID_FROM)*('Dvd Calendar'!$AF$385&lt;=GRID_TO)*('Dvd Calendar'!$AF$385&lt;=VAL_DATE)=0,"",'Dvd Calendar'!$AF$385*1000000000+ISNUMBER('Dvd Calendar'!$AF$388)*100000000+('Dvd Calendar'!$AF$390=SPECIAL_LBL)*10000000+0*1000000+35*1000+28))</f>
        <v/>
      </c>
      <c r="FG46" s="35">
        <f>IF(N('Dvd Calendar'!$AG$385)=0,"",IF(('Dvd Calendar'!$AG$385&gt;=GRID_FROM)*('Dvd Calendar'!$AG$385&lt;=GRID_TO)*('Dvd Calendar'!$AG$385&lt;=VAL_DATE)=0,"",'Dvd Calendar'!$AG$385*1000000000+ISNUMBER('Dvd Calendar'!$AG$388)*100000000+('Dvd Calendar'!$AG$390=SPECIAL_LBL)*10000000+0*1000000+35*1000+29))</f>
        <v/>
      </c>
      <c r="FH46" s="35">
        <f>IF(N('Dvd Calendar'!$AH$385)=0,"",IF(('Dvd Calendar'!$AH$385&gt;=GRID_FROM)*('Dvd Calendar'!$AH$385&lt;=GRID_TO)*('Dvd Calendar'!$AH$385&lt;=VAL_DATE)=0,"",'Dvd Calendar'!$AH$385*1000000000+ISNUMBER('Dvd Calendar'!$AH$388)*100000000+('Dvd Calendar'!$AH$390=SPECIAL_LBL)*10000000+0*1000000+35*1000+30))</f>
        <v/>
      </c>
      <c r="FI46" s="35">
        <f>IF(N('Dvd Calendar'!$AI$385)=0,"",IF(('Dvd Calendar'!$AI$385&gt;=GRID_FROM)*('Dvd Calendar'!$AI$385&lt;=GRID_TO)*('Dvd Calendar'!$AI$385&lt;=VAL_DATE)=0,"",'Dvd Calendar'!$AI$385*1000000000+ISNUMBER('Dvd Calendar'!$AI$388)*100000000+('Dvd Calendar'!$AI$390=SPECIAL_LBL)*10000000+0*1000000+35*1000+31))</f>
        <v/>
      </c>
      <c r="FJ46" s="35">
        <f>IF(N('Dvd Calendar'!$AJ$385)=0,"",IF(('Dvd Calendar'!$AJ$385&gt;=GRID_FROM)*('Dvd Calendar'!$AJ$385&lt;=GRID_TO)*('Dvd Calendar'!$AJ$385&lt;=VAL_DATE)=0,"",'Dvd Calendar'!$AJ$385*1000000000+ISNUMBER('Dvd Calendar'!$AJ$388)*100000000+('Dvd Calendar'!$AJ$390=SPECIAL_LBL)*10000000+0*1000000+35*1000+32))</f>
        <v/>
      </c>
      <c r="FK46" s="35">
        <f>IF(N('Dvd Calendar'!$AK$385)=0,"",IF(('Dvd Calendar'!$AK$385&gt;=GRID_FROM)*('Dvd Calendar'!$AK$385&lt;=GRID_TO)*('Dvd Calendar'!$AK$385&lt;=VAL_DATE)=0,"",'Dvd Calendar'!$AK$385*1000000000+ISNUMBER('Dvd Calendar'!$AK$388)*100000000+('Dvd Calendar'!$AK$390=SPECIAL_LBL)*10000000+0*1000000+35*1000+33))</f>
        <v/>
      </c>
      <c r="FL46" s="35">
        <f>IF(N('Dvd Calendar'!$AL$385)=0,"",IF(('Dvd Calendar'!$AL$385&gt;=GRID_FROM)*('Dvd Calendar'!$AL$385&lt;=GRID_TO)*('Dvd Calendar'!$AL$385&lt;=VAL_DATE)=0,"",'Dvd Calendar'!$AL$385*1000000000+ISNUMBER('Dvd Calendar'!$AL$388)*100000000+('Dvd Calendar'!$AL$390=SPECIAL_LBL)*10000000+0*1000000+35*1000+34))</f>
        <v/>
      </c>
      <c r="FM46" s="35">
        <f>IF(N('Dvd Calendar'!$AM$385)=0,"",IF(('Dvd Calendar'!$AM$385&gt;=GRID_FROM)*('Dvd Calendar'!$AM$385&lt;=GRID_TO)*('Dvd Calendar'!$AM$385&lt;=VAL_DATE)=0,"",'Dvd Calendar'!$AM$385*1000000000+ISNUMBER('Dvd Calendar'!$AM$388)*100000000+('Dvd Calendar'!$AM$390=SPECIAL_LBL)*10000000+0*1000000+35*1000+35))</f>
        <v/>
      </c>
      <c r="FN46" s="35">
        <f>IF(N('Dvd Calendar'!$AN$385)=0,"",IF(('Dvd Calendar'!$AN$385&gt;=GRID_FROM)*('Dvd Calendar'!$AN$385&lt;=GRID_TO)*('Dvd Calendar'!$AN$385&lt;=VAL_DATE)=0,"",'Dvd Calendar'!$AN$385*1000000000+ISNUMBER('Dvd Calendar'!$AN$388)*100000000+('Dvd Calendar'!$AN$390=SPECIAL_LBL)*10000000+0*1000000+35*1000+36))</f>
        <v/>
      </c>
      <c r="FO46" s="35">
        <f>IF(N('Dvd Calendar'!$AO$385)=0,"",IF(('Dvd Calendar'!$AO$385&gt;=GRID_FROM)*('Dvd Calendar'!$AO$385&lt;=GRID_TO)*('Dvd Calendar'!$AO$385&lt;=VAL_DATE)=0,"",'Dvd Calendar'!$AO$385*1000000000+ISNUMBER('Dvd Calendar'!$AO$388)*100000000+('Dvd Calendar'!$AO$390=SPECIAL_LBL)*10000000+0*1000000+35*1000+37))</f>
        <v/>
      </c>
      <c r="FP46" s="35">
        <f>IF(N('Dvd Calendar'!$AP$385)=0,"",IF(('Dvd Calendar'!$AP$385&gt;=GRID_FROM)*('Dvd Calendar'!$AP$385&lt;=GRID_TO)*('Dvd Calendar'!$AP$385&lt;=VAL_DATE)=0,"",'Dvd Calendar'!$AP$385*1000000000+ISNUMBER('Dvd Calendar'!$AP$388)*100000000+('Dvd Calendar'!$AP$390=SPECIAL_LBL)*10000000+0*1000000+35*1000+38))</f>
        <v/>
      </c>
      <c r="FQ46" s="35">
        <f>IF(N('Dvd Calendar'!$AQ$385)=0,"",IF(('Dvd Calendar'!$AQ$385&gt;=GRID_FROM)*('Dvd Calendar'!$AQ$385&lt;=GRID_TO)*('Dvd Calendar'!$AQ$385&lt;=VAL_DATE)=0,"",'Dvd Calendar'!$AQ$385*1000000000+ISNUMBER('Dvd Calendar'!$AQ$388)*100000000+('Dvd Calendar'!$AQ$390=SPECIAL_LBL)*10000000+0*1000000+35*1000+39))</f>
        <v/>
      </c>
      <c r="FR46" s="35">
        <f>IF(N('Dvd Calendar'!$AR$385)=0,"",IF(('Dvd Calendar'!$AR$385&gt;=GRID_FROM)*('Dvd Calendar'!$AR$385&lt;=GRID_TO)*('Dvd Calendar'!$AR$385&lt;=VAL_DATE)=0,"",'Dvd Calendar'!$AR$385*1000000000+ISNUMBER('Dvd Calendar'!$AR$388)*100000000+('Dvd Calendar'!$AR$390=SPECIAL_LBL)*10000000+0*1000000+35*1000+40))</f>
        <v/>
      </c>
      <c r="FS46" s="35">
        <f>IF(N('Dvd Calendar'!$E$392)=0,"",IF(('Dvd Calendar'!$E$392&gt;=GRID_FROM)*('Dvd Calendar'!$E$392&lt;=GRID_TO)*('Dvd Calendar'!$E$392&gt;VAL_DATE)=0,"",'Dvd Calendar'!$E$392*1000000000+ISNUMBER('Dvd Calendar'!$E$393)*100000000+0*10000000+(N('Dvd Calendar'!$E$391)&gt;0)*(N('Dvd Calendar'!$E$391)&lt;=VAL_SERIAL)*1000000+35*1000+41))</f>
        <v/>
      </c>
      <c r="FT46" s="35">
        <f>IF(N('Dvd Calendar'!$F$392)=0,"",IF(('Dvd Calendar'!$F$392&gt;=GRID_FROM)*('Dvd Calendar'!$F$392&lt;=GRID_TO)*('Dvd Calendar'!$F$392&gt;VAL_DATE)=0,"",'Dvd Calendar'!$F$392*1000000000+ISNUMBER('Dvd Calendar'!$F$393)*100000000+0*10000000+(N('Dvd Calendar'!$F$391)&gt;0)*(N('Dvd Calendar'!$F$391)&lt;=VAL_SERIAL)*1000000+35*1000+42))</f>
        <v/>
      </c>
      <c r="FU46" s="35">
        <f>IF(N('Dvd Calendar'!$G$392)=0,"",IF(('Dvd Calendar'!$G$392&gt;=GRID_FROM)*('Dvd Calendar'!$G$392&lt;=GRID_TO)*('Dvd Calendar'!$G$392&gt;VAL_DATE)=0,"",'Dvd Calendar'!$G$392*1000000000+ISNUMBER('Dvd Calendar'!$G$393)*100000000+0*10000000+(N('Dvd Calendar'!$G$391)&gt;0)*(N('Dvd Calendar'!$G$391)&lt;=VAL_SERIAL)*1000000+35*1000+43))</f>
        <v/>
      </c>
      <c r="FV46" s="35">
        <f>IF(N('Dvd Calendar'!$H$392)=0,"",IF(('Dvd Calendar'!$H$392&gt;=GRID_FROM)*('Dvd Calendar'!$H$392&lt;=GRID_TO)*('Dvd Calendar'!$H$392&gt;VAL_DATE)=0,"",'Dvd Calendar'!$H$392*1000000000+ISNUMBER('Dvd Calendar'!$H$393)*100000000+0*10000000+(N('Dvd Calendar'!$H$391)&gt;0)*(N('Dvd Calendar'!$H$391)&lt;=VAL_SERIAL)*1000000+35*1000+44))</f>
        <v/>
      </c>
      <c r="FW46" s="35">
        <f>IF(N('Dvd Calendar'!$I$392)=0,"",IF(('Dvd Calendar'!$I$392&gt;=GRID_FROM)*('Dvd Calendar'!$I$392&lt;=GRID_TO)*('Dvd Calendar'!$I$392&gt;VAL_DATE)=0,"",'Dvd Calendar'!$I$392*1000000000+ISNUMBER('Dvd Calendar'!$I$393)*100000000+0*10000000+(N('Dvd Calendar'!$I$391)&gt;0)*(N('Dvd Calendar'!$I$391)&lt;=VAL_SERIAL)*1000000+35*1000+45))</f>
        <v/>
      </c>
      <c r="FX46" s="35">
        <f>IF(N('Dvd Calendar'!$J$392)=0,"",IF(('Dvd Calendar'!$J$392&gt;=GRID_FROM)*('Dvd Calendar'!$J$392&lt;=GRID_TO)*('Dvd Calendar'!$J$392&gt;VAL_DATE)=0,"",'Dvd Calendar'!$J$392*1000000000+ISNUMBER('Dvd Calendar'!$J$393)*100000000+0*10000000+(N('Dvd Calendar'!$J$391)&gt;0)*(N('Dvd Calendar'!$J$391)&lt;=VAL_SERIAL)*1000000+35*1000+46))</f>
        <v/>
      </c>
      <c r="FY46" s="35">
        <f>IF(N('Dvd Calendar'!$K$392)=0,"",IF(('Dvd Calendar'!$K$392&gt;=GRID_FROM)*('Dvd Calendar'!$K$392&lt;=GRID_TO)*('Dvd Calendar'!$K$392&gt;VAL_DATE)=0,"",'Dvd Calendar'!$K$392*1000000000+ISNUMBER('Dvd Calendar'!$K$393)*100000000+0*10000000+(N('Dvd Calendar'!$K$391)&gt;0)*(N('Dvd Calendar'!$K$391)&lt;=VAL_SERIAL)*1000000+35*1000+47))</f>
        <v/>
      </c>
      <c r="FZ46" s="35">
        <f>IF(N('Dvd Calendar'!$L$392)=0,"",IF(('Dvd Calendar'!$L$392&gt;=GRID_FROM)*('Dvd Calendar'!$L$392&lt;=GRID_TO)*('Dvd Calendar'!$L$392&gt;VAL_DATE)=0,"",'Dvd Calendar'!$L$392*1000000000+ISNUMBER('Dvd Calendar'!$L$393)*100000000+0*10000000+(N('Dvd Calendar'!$L$391)&gt;0)*(N('Dvd Calendar'!$L$391)&lt;=VAL_SERIAL)*1000000+35*1000+48))</f>
        <v/>
      </c>
      <c r="GA46" s="35">
        <f>IF(N('Dvd Calendar'!$M$392)=0,"",IF(('Dvd Calendar'!$M$392&gt;=GRID_FROM)*('Dvd Calendar'!$M$392&lt;=GRID_TO)*('Dvd Calendar'!$M$392&gt;VAL_DATE)=0,"",'Dvd Calendar'!$M$392*1000000000+ISNUMBER('Dvd Calendar'!$M$393)*100000000+0*10000000+(N('Dvd Calendar'!$M$391)&gt;0)*(N('Dvd Calendar'!$M$391)&lt;=VAL_SERIAL)*1000000+35*1000+49))</f>
        <v/>
      </c>
      <c r="GB46" s="35">
        <f>IF(N('Dvd Calendar'!$N$392)=0,"",IF(('Dvd Calendar'!$N$392&gt;=GRID_FROM)*('Dvd Calendar'!$N$392&lt;=GRID_TO)*('Dvd Calendar'!$N$392&gt;VAL_DATE)=0,"",'Dvd Calendar'!$N$392*1000000000+ISNUMBER('Dvd Calendar'!$N$393)*100000000+0*10000000+(N('Dvd Calendar'!$N$391)&gt;0)*(N('Dvd Calendar'!$N$391)&lt;=VAL_SERIAL)*1000000+35*1000+50))</f>
        <v/>
      </c>
      <c r="GC46" s="35">
        <f>IF(N('Dvd Calendar'!$O$392)=0,"",IF(('Dvd Calendar'!$O$392&gt;=GRID_FROM)*('Dvd Calendar'!$O$392&lt;=GRID_TO)*('Dvd Calendar'!$O$392&gt;VAL_DATE)=0,"",'Dvd Calendar'!$O$392*1000000000+ISNUMBER('Dvd Calendar'!$O$393)*100000000+0*10000000+(N('Dvd Calendar'!$O$391)&gt;0)*(N('Dvd Calendar'!$O$391)&lt;=VAL_SERIAL)*1000000+35*1000+51))</f>
        <v/>
      </c>
      <c r="GD46" s="35">
        <f>IF(N('Dvd Calendar'!$P$392)=0,"",IF(('Dvd Calendar'!$P$392&gt;=GRID_FROM)*('Dvd Calendar'!$P$392&lt;=GRID_TO)*('Dvd Calendar'!$P$392&gt;VAL_DATE)=0,"",'Dvd Calendar'!$P$392*1000000000+ISNUMBER('Dvd Calendar'!$P$393)*100000000+0*10000000+(N('Dvd Calendar'!$P$391)&gt;0)*(N('Dvd Calendar'!$P$391)&lt;=VAL_SERIAL)*1000000+35*1000+52))</f>
        <v/>
      </c>
      <c r="GE46" s="35">
        <f>IF(N('Dvd Calendar'!$Q$392)=0,"",IF(('Dvd Calendar'!$Q$392&gt;=GRID_FROM)*('Dvd Calendar'!$Q$392&lt;=GRID_TO)*('Dvd Calendar'!$Q$392&gt;VAL_DATE)=0,"",'Dvd Calendar'!$Q$392*1000000000+ISNUMBER('Dvd Calendar'!$Q$393)*100000000+0*10000000+(N('Dvd Calendar'!$Q$391)&gt;0)*(N('Dvd Calendar'!$Q$391)&lt;=VAL_SERIAL)*1000000+35*1000+53))</f>
        <v/>
      </c>
      <c r="GF46" s="35">
        <f>IF(N('Dvd Calendar'!$R$392)=0,"",IF(('Dvd Calendar'!$R$392&gt;=GRID_FROM)*('Dvd Calendar'!$R$392&lt;=GRID_TO)*('Dvd Calendar'!$R$392&gt;VAL_DATE)=0,"",'Dvd Calendar'!$R$392*1000000000+ISNUMBER('Dvd Calendar'!$R$393)*100000000+0*10000000+(N('Dvd Calendar'!$R$391)&gt;0)*(N('Dvd Calendar'!$R$391)&lt;=VAL_SERIAL)*1000000+35*1000+54))</f>
        <v/>
      </c>
      <c r="GG46" s="35">
        <f>IF(N('Dvd Calendar'!$S$392)=0,"",IF(('Dvd Calendar'!$S$392&gt;=GRID_FROM)*('Dvd Calendar'!$S$392&lt;=GRID_TO)*('Dvd Calendar'!$S$392&gt;VAL_DATE)=0,"",'Dvd Calendar'!$S$392*1000000000+ISNUMBER('Dvd Calendar'!$S$393)*100000000+0*10000000+(N('Dvd Calendar'!$S$391)&gt;0)*(N('Dvd Calendar'!$S$391)&lt;=VAL_SERIAL)*1000000+35*1000+55))</f>
        <v/>
      </c>
      <c r="GH46" s="35">
        <f>IF(N('Dvd Calendar'!$T$392)=0,"",IF(('Dvd Calendar'!$T$392&gt;=GRID_FROM)*('Dvd Calendar'!$T$392&lt;=GRID_TO)*('Dvd Calendar'!$T$392&gt;VAL_DATE)=0,"",'Dvd Calendar'!$T$392*1000000000+ISNUMBER('Dvd Calendar'!$T$393)*100000000+0*10000000+(N('Dvd Calendar'!$T$391)&gt;0)*(N('Dvd Calendar'!$T$391)&lt;=VAL_SERIAL)*1000000+35*1000+56))</f>
        <v/>
      </c>
      <c r="GI46" s="35">
        <f>IF(N('Dvd Calendar'!$U$392)=0,"",IF(('Dvd Calendar'!$U$392&gt;=GRID_FROM)*('Dvd Calendar'!$U$392&lt;=GRID_TO)*('Dvd Calendar'!$U$392&gt;VAL_DATE)=0,"",'Dvd Calendar'!$U$392*1000000000+ISNUMBER('Dvd Calendar'!$U$393)*100000000+0*10000000+(N('Dvd Calendar'!$U$391)&gt;0)*(N('Dvd Calendar'!$U$391)&lt;=VAL_SERIAL)*1000000+35*1000+57))</f>
        <v/>
      </c>
      <c r="GJ46" s="35">
        <f>IF(N('Dvd Calendar'!$V$392)=0,"",IF(('Dvd Calendar'!$V$392&gt;=GRID_FROM)*('Dvd Calendar'!$V$392&lt;=GRID_TO)*('Dvd Calendar'!$V$392&gt;VAL_DATE)=0,"",'Dvd Calendar'!$V$392*1000000000+ISNUMBER('Dvd Calendar'!$V$393)*100000000+0*10000000+(N('Dvd Calendar'!$V$391)&gt;0)*(N('Dvd Calendar'!$V$391)&lt;=VAL_SERIAL)*1000000+35*1000+58))</f>
        <v/>
      </c>
      <c r="GK46" s="35">
        <f>IF(N('Dvd Calendar'!$W$392)=0,"",IF(('Dvd Calendar'!$W$392&gt;=GRID_FROM)*('Dvd Calendar'!$W$392&lt;=GRID_TO)*('Dvd Calendar'!$W$392&gt;VAL_DATE)=0,"",'Dvd Calendar'!$W$392*1000000000+ISNUMBER('Dvd Calendar'!$W$393)*100000000+0*10000000+(N('Dvd Calendar'!$W$391)&gt;0)*(N('Dvd Calendar'!$W$391)&lt;=VAL_SERIAL)*1000000+35*1000+59))</f>
        <v/>
      </c>
      <c r="GL46" s="35">
        <f>IF(N('Dvd Calendar'!$X$392)=0,"",IF(('Dvd Calendar'!$X$392&gt;=GRID_FROM)*('Dvd Calendar'!$X$392&lt;=GRID_TO)*('Dvd Calendar'!$X$392&gt;VAL_DATE)=0,"",'Dvd Calendar'!$X$392*1000000000+ISNUMBER('Dvd Calendar'!$X$393)*100000000+0*10000000+(N('Dvd Calendar'!$X$391)&gt;0)*(N('Dvd Calendar'!$X$391)&lt;=VAL_SERIAL)*1000000+35*1000+60))</f>
        <v/>
      </c>
      <c r="GM46" s="35">
        <f>IF(N('Dvd Calendar'!$Y$392)=0,"",IF(('Dvd Calendar'!$Y$392&gt;=GRID_FROM)*('Dvd Calendar'!$Y$392&lt;=GRID_TO)*('Dvd Calendar'!$Y$392&gt;VAL_DATE)=0,"",'Dvd Calendar'!$Y$392*1000000000+ISNUMBER('Dvd Calendar'!$Y$393)*100000000+0*10000000+(N('Dvd Calendar'!$Y$391)&gt;0)*(N('Dvd Calendar'!$Y$391)&lt;=VAL_SERIAL)*1000000+35*1000+61))</f>
        <v/>
      </c>
      <c r="GN46" s="35">
        <f>IF(N('Dvd Calendar'!$Z$392)=0,"",IF(('Dvd Calendar'!$Z$392&gt;=GRID_FROM)*('Dvd Calendar'!$Z$392&lt;=GRID_TO)*('Dvd Calendar'!$Z$392&gt;VAL_DATE)=0,"",'Dvd Calendar'!$Z$392*1000000000+ISNUMBER('Dvd Calendar'!$Z$393)*100000000+0*10000000+(N('Dvd Calendar'!$Z$391)&gt;0)*(N('Dvd Calendar'!$Z$391)&lt;=VAL_SERIAL)*1000000+35*1000+62))</f>
        <v/>
      </c>
      <c r="GO46" s="35">
        <f>IF(N('Dvd Calendar'!$AA$392)=0,"",IF(('Dvd Calendar'!$AA$392&gt;=GRID_FROM)*('Dvd Calendar'!$AA$392&lt;=GRID_TO)*('Dvd Calendar'!$AA$392&gt;VAL_DATE)=0,"",'Dvd Calendar'!$AA$392*1000000000+ISNUMBER('Dvd Calendar'!$AA$393)*100000000+0*10000000+(N('Dvd Calendar'!$AA$391)&gt;0)*(N('Dvd Calendar'!$AA$391)&lt;=VAL_SERIAL)*1000000+35*1000+63))</f>
        <v/>
      </c>
      <c r="GP46" s="35">
        <f>IF(N('Dvd Calendar'!$AB$392)=0,"",IF(('Dvd Calendar'!$AB$392&gt;=GRID_FROM)*('Dvd Calendar'!$AB$392&lt;=GRID_TO)*('Dvd Calendar'!$AB$392&gt;VAL_DATE)=0,"",'Dvd Calendar'!$AB$392*1000000000+ISNUMBER('Dvd Calendar'!$AB$393)*100000000+0*10000000+(N('Dvd Calendar'!$AB$391)&gt;0)*(N('Dvd Calendar'!$AB$391)&lt;=VAL_SERIAL)*1000000+35*1000+64))</f>
        <v/>
      </c>
      <c r="GQ46" s="35">
        <f>IF(N('Dvd Calendar'!$AC$392)=0,"",IF(('Dvd Calendar'!$AC$392&gt;=GRID_FROM)*('Dvd Calendar'!$AC$392&lt;=GRID_TO)*('Dvd Calendar'!$AC$392&gt;VAL_DATE)=0,"",'Dvd Calendar'!$AC$392*1000000000+ISNUMBER('Dvd Calendar'!$AC$393)*100000000+0*10000000+(N('Dvd Calendar'!$AC$391)&gt;0)*(N('Dvd Calendar'!$AC$391)&lt;=VAL_SERIAL)*1000000+35*1000+65))</f>
        <v/>
      </c>
    </row>
    <row r="47">
      <c r="B47" s="2">
        <f>IF(HSI!$C$42="","",HSI!$C$42)</f>
        <v/>
      </c>
      <c r="C47" s="106">
        <f>IF(EE47="","",IF(ISNUMBER('Dvd Calendar'!$E$399)=FALSE,"",IF((('Dvd Calendar'!$E$401=TYPE1)*(TYPE1&lt;&gt;"")+('Dvd Calendar'!$E$401=TYPE2)*(TYPE2&lt;&gt;"")+('Dvd Calendar'!$E$401=TYPE3)*(TYPE3&lt;&gt;"")+('Dvd Calendar'!$E$401=TYPE4)*(TYPE4&lt;&gt;"")+('Dvd Calendar'!$E$401=SPECIAL_LBL)*(INC_SPECIALS="Y"))=0,"",'Dvd Calendar'!$E$399)))</f>
        <v/>
      </c>
      <c r="D47" s="106">
        <f>IF(EF47="","",IF(ISNUMBER('Dvd Calendar'!$F$399)=FALSE,"",IF((('Dvd Calendar'!$F$401=TYPE1)*(TYPE1&lt;&gt;"")+('Dvd Calendar'!$F$401=TYPE2)*(TYPE2&lt;&gt;"")+('Dvd Calendar'!$F$401=TYPE3)*(TYPE3&lt;&gt;"")+('Dvd Calendar'!$F$401=TYPE4)*(TYPE4&lt;&gt;"")+('Dvd Calendar'!$F$401=SPECIAL_LBL)*(INC_SPECIALS="Y"))=0,"",'Dvd Calendar'!$F$399)))</f>
        <v/>
      </c>
      <c r="E47" s="106">
        <f>IF(EG47="","",IF(ISNUMBER('Dvd Calendar'!$G$399)=FALSE,"",IF((('Dvd Calendar'!$G$401=TYPE1)*(TYPE1&lt;&gt;"")+('Dvd Calendar'!$G$401=TYPE2)*(TYPE2&lt;&gt;"")+('Dvd Calendar'!$G$401=TYPE3)*(TYPE3&lt;&gt;"")+('Dvd Calendar'!$G$401=TYPE4)*(TYPE4&lt;&gt;"")+('Dvd Calendar'!$G$401=SPECIAL_LBL)*(INC_SPECIALS="Y"))=0,"",'Dvd Calendar'!$G$399)))</f>
        <v/>
      </c>
      <c r="F47" s="106">
        <f>IF(EH47="","",IF(ISNUMBER('Dvd Calendar'!$H$399)=FALSE,"",IF((('Dvd Calendar'!$H$401=TYPE1)*(TYPE1&lt;&gt;"")+('Dvd Calendar'!$H$401=TYPE2)*(TYPE2&lt;&gt;"")+('Dvd Calendar'!$H$401=TYPE3)*(TYPE3&lt;&gt;"")+('Dvd Calendar'!$H$401=TYPE4)*(TYPE4&lt;&gt;"")+('Dvd Calendar'!$H$401=SPECIAL_LBL)*(INC_SPECIALS="Y"))=0,"",'Dvd Calendar'!$H$399)))</f>
        <v/>
      </c>
      <c r="G47" s="106">
        <f>IF(EI47="","",IF(ISNUMBER('Dvd Calendar'!$I$399)=FALSE,"",IF((('Dvd Calendar'!$I$401=TYPE1)*(TYPE1&lt;&gt;"")+('Dvd Calendar'!$I$401=TYPE2)*(TYPE2&lt;&gt;"")+('Dvd Calendar'!$I$401=TYPE3)*(TYPE3&lt;&gt;"")+('Dvd Calendar'!$I$401=TYPE4)*(TYPE4&lt;&gt;"")+('Dvd Calendar'!$I$401=SPECIAL_LBL)*(INC_SPECIALS="Y"))=0,"",'Dvd Calendar'!$I$399)))</f>
        <v/>
      </c>
      <c r="H47" s="106">
        <f>IF(EJ47="","",IF(ISNUMBER('Dvd Calendar'!$J$399)=FALSE,"",IF((('Dvd Calendar'!$J$401=TYPE1)*(TYPE1&lt;&gt;"")+('Dvd Calendar'!$J$401=TYPE2)*(TYPE2&lt;&gt;"")+('Dvd Calendar'!$J$401=TYPE3)*(TYPE3&lt;&gt;"")+('Dvd Calendar'!$J$401=TYPE4)*(TYPE4&lt;&gt;"")+('Dvd Calendar'!$J$401=SPECIAL_LBL)*(INC_SPECIALS="Y"))=0,"",'Dvd Calendar'!$J$399)))</f>
        <v/>
      </c>
      <c r="I47" s="106">
        <f>IF(EK47="","",IF(ISNUMBER('Dvd Calendar'!$K$399)=FALSE,"",IF((('Dvd Calendar'!$K$401=TYPE1)*(TYPE1&lt;&gt;"")+('Dvd Calendar'!$K$401=TYPE2)*(TYPE2&lt;&gt;"")+('Dvd Calendar'!$K$401=TYPE3)*(TYPE3&lt;&gt;"")+('Dvd Calendar'!$K$401=TYPE4)*(TYPE4&lt;&gt;"")+('Dvd Calendar'!$K$401=SPECIAL_LBL)*(INC_SPECIALS="Y"))=0,"",'Dvd Calendar'!$K$399)))</f>
        <v/>
      </c>
      <c r="J47" s="106">
        <f>IF(EL47="","",IF(ISNUMBER('Dvd Calendar'!$L$399)=FALSE,"",IF((('Dvd Calendar'!$L$401=TYPE1)*(TYPE1&lt;&gt;"")+('Dvd Calendar'!$L$401=TYPE2)*(TYPE2&lt;&gt;"")+('Dvd Calendar'!$L$401=TYPE3)*(TYPE3&lt;&gt;"")+('Dvd Calendar'!$L$401=TYPE4)*(TYPE4&lt;&gt;"")+('Dvd Calendar'!$L$401=SPECIAL_LBL)*(INC_SPECIALS="Y"))=0,"",'Dvd Calendar'!$L$399)))</f>
        <v/>
      </c>
      <c r="K47" s="106">
        <f>IF(EM47="","",IF(ISNUMBER('Dvd Calendar'!$M$399)=FALSE,"",IF((('Dvd Calendar'!$M$401=TYPE1)*(TYPE1&lt;&gt;"")+('Dvd Calendar'!$M$401=TYPE2)*(TYPE2&lt;&gt;"")+('Dvd Calendar'!$M$401=TYPE3)*(TYPE3&lt;&gt;"")+('Dvd Calendar'!$M$401=TYPE4)*(TYPE4&lt;&gt;"")+('Dvd Calendar'!$M$401=SPECIAL_LBL)*(INC_SPECIALS="Y"))=0,"",'Dvd Calendar'!$M$399)))</f>
        <v/>
      </c>
      <c r="L47" s="106">
        <f>IF(EN47="","",IF(ISNUMBER('Dvd Calendar'!$N$399)=FALSE,"",IF((('Dvd Calendar'!$N$401=TYPE1)*(TYPE1&lt;&gt;"")+('Dvd Calendar'!$N$401=TYPE2)*(TYPE2&lt;&gt;"")+('Dvd Calendar'!$N$401=TYPE3)*(TYPE3&lt;&gt;"")+('Dvd Calendar'!$N$401=TYPE4)*(TYPE4&lt;&gt;"")+('Dvd Calendar'!$N$401=SPECIAL_LBL)*(INC_SPECIALS="Y"))=0,"",'Dvd Calendar'!$N$399)))</f>
        <v/>
      </c>
      <c r="M47" s="106">
        <f>IF(EO47="","",IF(ISNUMBER('Dvd Calendar'!$O$399)=FALSE,"",IF((('Dvd Calendar'!$O$401=TYPE1)*(TYPE1&lt;&gt;"")+('Dvd Calendar'!$O$401=TYPE2)*(TYPE2&lt;&gt;"")+('Dvd Calendar'!$O$401=TYPE3)*(TYPE3&lt;&gt;"")+('Dvd Calendar'!$O$401=TYPE4)*(TYPE4&lt;&gt;"")+('Dvd Calendar'!$O$401=SPECIAL_LBL)*(INC_SPECIALS="Y"))=0,"",'Dvd Calendar'!$O$399)))</f>
        <v/>
      </c>
      <c r="N47" s="106">
        <f>IF(EP47="","",IF(ISNUMBER('Dvd Calendar'!$P$399)=FALSE,"",IF((('Dvd Calendar'!$P$401=TYPE1)*(TYPE1&lt;&gt;"")+('Dvd Calendar'!$P$401=TYPE2)*(TYPE2&lt;&gt;"")+('Dvd Calendar'!$P$401=TYPE3)*(TYPE3&lt;&gt;"")+('Dvd Calendar'!$P$401=TYPE4)*(TYPE4&lt;&gt;"")+('Dvd Calendar'!$P$401=SPECIAL_LBL)*(INC_SPECIALS="Y"))=0,"",'Dvd Calendar'!$P$399)))</f>
        <v/>
      </c>
      <c r="O47" s="106">
        <f>IF(EQ47="","",IF(ISNUMBER('Dvd Calendar'!$Q$399)=FALSE,"",IF((('Dvd Calendar'!$Q$401=TYPE1)*(TYPE1&lt;&gt;"")+('Dvd Calendar'!$Q$401=TYPE2)*(TYPE2&lt;&gt;"")+('Dvd Calendar'!$Q$401=TYPE3)*(TYPE3&lt;&gt;"")+('Dvd Calendar'!$Q$401=TYPE4)*(TYPE4&lt;&gt;"")+('Dvd Calendar'!$Q$401=SPECIAL_LBL)*(INC_SPECIALS="Y"))=0,"",'Dvd Calendar'!$Q$399)))</f>
        <v/>
      </c>
      <c r="P47" s="106">
        <f>IF(ER47="","",IF(ISNUMBER('Dvd Calendar'!$R$399)=FALSE,"",IF((('Dvd Calendar'!$R$401=TYPE1)*(TYPE1&lt;&gt;"")+('Dvd Calendar'!$R$401=TYPE2)*(TYPE2&lt;&gt;"")+('Dvd Calendar'!$R$401=TYPE3)*(TYPE3&lt;&gt;"")+('Dvd Calendar'!$R$401=TYPE4)*(TYPE4&lt;&gt;"")+('Dvd Calendar'!$R$401=SPECIAL_LBL)*(INC_SPECIALS="Y"))=0,"",'Dvd Calendar'!$R$399)))</f>
        <v/>
      </c>
      <c r="Q47" s="106">
        <f>IF(ES47="","",IF(ISNUMBER('Dvd Calendar'!$S$399)=FALSE,"",IF((('Dvd Calendar'!$S$401=TYPE1)*(TYPE1&lt;&gt;"")+('Dvd Calendar'!$S$401=TYPE2)*(TYPE2&lt;&gt;"")+('Dvd Calendar'!$S$401=TYPE3)*(TYPE3&lt;&gt;"")+('Dvd Calendar'!$S$401=TYPE4)*(TYPE4&lt;&gt;"")+('Dvd Calendar'!$S$401=SPECIAL_LBL)*(INC_SPECIALS="Y"))=0,"",'Dvd Calendar'!$S$399)))</f>
        <v/>
      </c>
      <c r="R47" s="106">
        <f>IF(ET47="","",IF(ISNUMBER('Dvd Calendar'!$T$399)=FALSE,"",IF((('Dvd Calendar'!$T$401=TYPE1)*(TYPE1&lt;&gt;"")+('Dvd Calendar'!$T$401=TYPE2)*(TYPE2&lt;&gt;"")+('Dvd Calendar'!$T$401=TYPE3)*(TYPE3&lt;&gt;"")+('Dvd Calendar'!$T$401=TYPE4)*(TYPE4&lt;&gt;"")+('Dvd Calendar'!$T$401=SPECIAL_LBL)*(INC_SPECIALS="Y"))=0,"",'Dvd Calendar'!$T$399)))</f>
        <v/>
      </c>
      <c r="S47" s="106">
        <f>IF(EU47="","",IF(ISNUMBER('Dvd Calendar'!$U$399)=FALSE,"",IF((('Dvd Calendar'!$U$401=TYPE1)*(TYPE1&lt;&gt;"")+('Dvd Calendar'!$U$401=TYPE2)*(TYPE2&lt;&gt;"")+('Dvd Calendar'!$U$401=TYPE3)*(TYPE3&lt;&gt;"")+('Dvd Calendar'!$U$401=TYPE4)*(TYPE4&lt;&gt;"")+('Dvd Calendar'!$U$401=SPECIAL_LBL)*(INC_SPECIALS="Y"))=0,"",'Dvd Calendar'!$U$399)))</f>
        <v/>
      </c>
      <c r="T47" s="106">
        <f>IF(EV47="","",IF(ISNUMBER('Dvd Calendar'!$V$399)=FALSE,"",IF((('Dvd Calendar'!$V$401=TYPE1)*(TYPE1&lt;&gt;"")+('Dvd Calendar'!$V$401=TYPE2)*(TYPE2&lt;&gt;"")+('Dvd Calendar'!$V$401=TYPE3)*(TYPE3&lt;&gt;"")+('Dvd Calendar'!$V$401=TYPE4)*(TYPE4&lt;&gt;"")+('Dvd Calendar'!$V$401=SPECIAL_LBL)*(INC_SPECIALS="Y"))=0,"",'Dvd Calendar'!$V$399)))</f>
        <v/>
      </c>
      <c r="U47" s="106">
        <f>IF(EW47="","",IF(ISNUMBER('Dvd Calendar'!$W$399)=FALSE,"",IF((('Dvd Calendar'!$W$401=TYPE1)*(TYPE1&lt;&gt;"")+('Dvd Calendar'!$W$401=TYPE2)*(TYPE2&lt;&gt;"")+('Dvd Calendar'!$W$401=TYPE3)*(TYPE3&lt;&gt;"")+('Dvd Calendar'!$W$401=TYPE4)*(TYPE4&lt;&gt;"")+('Dvd Calendar'!$W$401=SPECIAL_LBL)*(INC_SPECIALS="Y"))=0,"",'Dvd Calendar'!$W$399)))</f>
        <v/>
      </c>
      <c r="V47" s="106">
        <f>IF(EX47="","",IF(ISNUMBER('Dvd Calendar'!$X$399)=FALSE,"",IF((('Dvd Calendar'!$X$401=TYPE1)*(TYPE1&lt;&gt;"")+('Dvd Calendar'!$X$401=TYPE2)*(TYPE2&lt;&gt;"")+('Dvd Calendar'!$X$401=TYPE3)*(TYPE3&lt;&gt;"")+('Dvd Calendar'!$X$401=TYPE4)*(TYPE4&lt;&gt;"")+('Dvd Calendar'!$X$401=SPECIAL_LBL)*(INC_SPECIALS="Y"))=0,"",'Dvd Calendar'!$X$399)))</f>
        <v/>
      </c>
      <c r="W47" s="106">
        <f>IF(EY47="","",IF(ISNUMBER('Dvd Calendar'!$Y$399)=FALSE,"",IF((('Dvd Calendar'!$Y$401=TYPE1)*(TYPE1&lt;&gt;"")+('Dvd Calendar'!$Y$401=TYPE2)*(TYPE2&lt;&gt;"")+('Dvd Calendar'!$Y$401=TYPE3)*(TYPE3&lt;&gt;"")+('Dvd Calendar'!$Y$401=TYPE4)*(TYPE4&lt;&gt;"")+('Dvd Calendar'!$Y$401=SPECIAL_LBL)*(INC_SPECIALS="Y"))=0,"",'Dvd Calendar'!$Y$399)))</f>
        <v/>
      </c>
      <c r="X47" s="106">
        <f>IF(EZ47="","",IF(ISNUMBER('Dvd Calendar'!$Z$399)=FALSE,"",IF((('Dvd Calendar'!$Z$401=TYPE1)*(TYPE1&lt;&gt;"")+('Dvd Calendar'!$Z$401=TYPE2)*(TYPE2&lt;&gt;"")+('Dvd Calendar'!$Z$401=TYPE3)*(TYPE3&lt;&gt;"")+('Dvd Calendar'!$Z$401=TYPE4)*(TYPE4&lt;&gt;"")+('Dvd Calendar'!$Z$401=SPECIAL_LBL)*(INC_SPECIALS="Y"))=0,"",'Dvd Calendar'!$Z$399)))</f>
        <v/>
      </c>
      <c r="Y47" s="106">
        <f>IF(FA47="","",IF(ISNUMBER('Dvd Calendar'!$AA$399)=FALSE,"",IF((('Dvd Calendar'!$AA$401=TYPE1)*(TYPE1&lt;&gt;"")+('Dvd Calendar'!$AA$401=TYPE2)*(TYPE2&lt;&gt;"")+('Dvd Calendar'!$AA$401=TYPE3)*(TYPE3&lt;&gt;"")+('Dvd Calendar'!$AA$401=TYPE4)*(TYPE4&lt;&gt;"")+('Dvd Calendar'!$AA$401=SPECIAL_LBL)*(INC_SPECIALS="Y"))=0,"",'Dvd Calendar'!$AA$399)))</f>
        <v/>
      </c>
      <c r="Z47" s="106">
        <f>IF(FB47="","",IF(ISNUMBER('Dvd Calendar'!$AB$399)=FALSE,"",IF((('Dvd Calendar'!$AB$401=TYPE1)*(TYPE1&lt;&gt;"")+('Dvd Calendar'!$AB$401=TYPE2)*(TYPE2&lt;&gt;"")+('Dvd Calendar'!$AB$401=TYPE3)*(TYPE3&lt;&gt;"")+('Dvd Calendar'!$AB$401=TYPE4)*(TYPE4&lt;&gt;"")+('Dvd Calendar'!$AB$401=SPECIAL_LBL)*(INC_SPECIALS="Y"))=0,"",'Dvd Calendar'!$AB$399)))</f>
        <v/>
      </c>
      <c r="AA47" s="106">
        <f>IF(FC47="","",IF(ISNUMBER('Dvd Calendar'!$AC$399)=FALSE,"",IF((('Dvd Calendar'!$AC$401=TYPE1)*(TYPE1&lt;&gt;"")+('Dvd Calendar'!$AC$401=TYPE2)*(TYPE2&lt;&gt;"")+('Dvd Calendar'!$AC$401=TYPE3)*(TYPE3&lt;&gt;"")+('Dvd Calendar'!$AC$401=TYPE4)*(TYPE4&lt;&gt;"")+('Dvd Calendar'!$AC$401=SPECIAL_LBL)*(INC_SPECIALS="Y"))=0,"",'Dvd Calendar'!$AC$399)))</f>
        <v/>
      </c>
      <c r="AB47" s="106">
        <f>IF(FD47="","",IF(ISNUMBER('Dvd Calendar'!$AD$399)=FALSE,"",IF((('Dvd Calendar'!$AD$401=TYPE1)*(TYPE1&lt;&gt;"")+('Dvd Calendar'!$AD$401=TYPE2)*(TYPE2&lt;&gt;"")+('Dvd Calendar'!$AD$401=TYPE3)*(TYPE3&lt;&gt;"")+('Dvd Calendar'!$AD$401=TYPE4)*(TYPE4&lt;&gt;"")+('Dvd Calendar'!$AD$401=SPECIAL_LBL)*(INC_SPECIALS="Y"))=0,"",'Dvd Calendar'!$AD$399)))</f>
        <v/>
      </c>
      <c r="AC47" s="106">
        <f>IF(FE47="","",IF(ISNUMBER('Dvd Calendar'!$AE$399)=FALSE,"",IF((('Dvd Calendar'!$AE$401=TYPE1)*(TYPE1&lt;&gt;"")+('Dvd Calendar'!$AE$401=TYPE2)*(TYPE2&lt;&gt;"")+('Dvd Calendar'!$AE$401=TYPE3)*(TYPE3&lt;&gt;"")+('Dvd Calendar'!$AE$401=TYPE4)*(TYPE4&lt;&gt;"")+('Dvd Calendar'!$AE$401=SPECIAL_LBL)*(INC_SPECIALS="Y"))=0,"",'Dvd Calendar'!$AE$399)))</f>
        <v/>
      </c>
      <c r="AD47" s="106">
        <f>IF(FF47="","",IF(ISNUMBER('Dvd Calendar'!$AF$399)=FALSE,"",IF((('Dvd Calendar'!$AF$401=TYPE1)*(TYPE1&lt;&gt;"")+('Dvd Calendar'!$AF$401=TYPE2)*(TYPE2&lt;&gt;"")+('Dvd Calendar'!$AF$401=TYPE3)*(TYPE3&lt;&gt;"")+('Dvd Calendar'!$AF$401=TYPE4)*(TYPE4&lt;&gt;"")+('Dvd Calendar'!$AF$401=SPECIAL_LBL)*(INC_SPECIALS="Y"))=0,"",'Dvd Calendar'!$AF$399)))</f>
        <v/>
      </c>
      <c r="AE47" s="106">
        <f>IF(FG47="","",IF(ISNUMBER('Dvd Calendar'!$AG$399)=FALSE,"",IF((('Dvd Calendar'!$AG$401=TYPE1)*(TYPE1&lt;&gt;"")+('Dvd Calendar'!$AG$401=TYPE2)*(TYPE2&lt;&gt;"")+('Dvd Calendar'!$AG$401=TYPE3)*(TYPE3&lt;&gt;"")+('Dvd Calendar'!$AG$401=TYPE4)*(TYPE4&lt;&gt;"")+('Dvd Calendar'!$AG$401=SPECIAL_LBL)*(INC_SPECIALS="Y"))=0,"",'Dvd Calendar'!$AG$399)))</f>
        <v/>
      </c>
      <c r="AF47" s="106">
        <f>IF(FH47="","",IF(ISNUMBER('Dvd Calendar'!$AH$399)=FALSE,"",IF((('Dvd Calendar'!$AH$401=TYPE1)*(TYPE1&lt;&gt;"")+('Dvd Calendar'!$AH$401=TYPE2)*(TYPE2&lt;&gt;"")+('Dvd Calendar'!$AH$401=TYPE3)*(TYPE3&lt;&gt;"")+('Dvd Calendar'!$AH$401=TYPE4)*(TYPE4&lt;&gt;"")+('Dvd Calendar'!$AH$401=SPECIAL_LBL)*(INC_SPECIALS="Y"))=0,"",'Dvd Calendar'!$AH$399)))</f>
        <v/>
      </c>
      <c r="AG47" s="106">
        <f>IF(FI47="","",IF(ISNUMBER('Dvd Calendar'!$AI$399)=FALSE,"",IF((('Dvd Calendar'!$AI$401=TYPE1)*(TYPE1&lt;&gt;"")+('Dvd Calendar'!$AI$401=TYPE2)*(TYPE2&lt;&gt;"")+('Dvd Calendar'!$AI$401=TYPE3)*(TYPE3&lt;&gt;"")+('Dvd Calendar'!$AI$401=TYPE4)*(TYPE4&lt;&gt;"")+('Dvd Calendar'!$AI$401=SPECIAL_LBL)*(INC_SPECIALS="Y"))=0,"",'Dvd Calendar'!$AI$399)))</f>
        <v/>
      </c>
      <c r="AH47" s="106">
        <f>IF(FJ47="","",IF(ISNUMBER('Dvd Calendar'!$AJ$399)=FALSE,"",IF((('Dvd Calendar'!$AJ$401=TYPE1)*(TYPE1&lt;&gt;"")+('Dvd Calendar'!$AJ$401=TYPE2)*(TYPE2&lt;&gt;"")+('Dvd Calendar'!$AJ$401=TYPE3)*(TYPE3&lt;&gt;"")+('Dvd Calendar'!$AJ$401=TYPE4)*(TYPE4&lt;&gt;"")+('Dvd Calendar'!$AJ$401=SPECIAL_LBL)*(INC_SPECIALS="Y"))=0,"",'Dvd Calendar'!$AJ$399)))</f>
        <v/>
      </c>
      <c r="AI47" s="106">
        <f>IF(FK47="","",IF(ISNUMBER('Dvd Calendar'!$AK$399)=FALSE,"",IF((('Dvd Calendar'!$AK$401=TYPE1)*(TYPE1&lt;&gt;"")+('Dvd Calendar'!$AK$401=TYPE2)*(TYPE2&lt;&gt;"")+('Dvd Calendar'!$AK$401=TYPE3)*(TYPE3&lt;&gt;"")+('Dvd Calendar'!$AK$401=TYPE4)*(TYPE4&lt;&gt;"")+('Dvd Calendar'!$AK$401=SPECIAL_LBL)*(INC_SPECIALS="Y"))=0,"",'Dvd Calendar'!$AK$399)))</f>
        <v/>
      </c>
      <c r="AJ47" s="106">
        <f>IF(FL47="","",IF(ISNUMBER('Dvd Calendar'!$AL$399)=FALSE,"",IF((('Dvd Calendar'!$AL$401=TYPE1)*(TYPE1&lt;&gt;"")+('Dvd Calendar'!$AL$401=TYPE2)*(TYPE2&lt;&gt;"")+('Dvd Calendar'!$AL$401=TYPE3)*(TYPE3&lt;&gt;"")+('Dvd Calendar'!$AL$401=TYPE4)*(TYPE4&lt;&gt;"")+('Dvd Calendar'!$AL$401=SPECIAL_LBL)*(INC_SPECIALS="Y"))=0,"",'Dvd Calendar'!$AL$399)))</f>
        <v/>
      </c>
      <c r="AK47" s="106">
        <f>IF(FM47="","",IF(ISNUMBER('Dvd Calendar'!$AM$399)=FALSE,"",IF((('Dvd Calendar'!$AM$401=TYPE1)*(TYPE1&lt;&gt;"")+('Dvd Calendar'!$AM$401=TYPE2)*(TYPE2&lt;&gt;"")+('Dvd Calendar'!$AM$401=TYPE3)*(TYPE3&lt;&gt;"")+('Dvd Calendar'!$AM$401=TYPE4)*(TYPE4&lt;&gt;"")+('Dvd Calendar'!$AM$401=SPECIAL_LBL)*(INC_SPECIALS="Y"))=0,"",'Dvd Calendar'!$AM$399)))</f>
        <v/>
      </c>
      <c r="AL47" s="106">
        <f>IF(FN47="","",IF(ISNUMBER('Dvd Calendar'!$AN$399)=FALSE,"",IF((('Dvd Calendar'!$AN$401=TYPE1)*(TYPE1&lt;&gt;"")+('Dvd Calendar'!$AN$401=TYPE2)*(TYPE2&lt;&gt;"")+('Dvd Calendar'!$AN$401=TYPE3)*(TYPE3&lt;&gt;"")+('Dvd Calendar'!$AN$401=TYPE4)*(TYPE4&lt;&gt;"")+('Dvd Calendar'!$AN$401=SPECIAL_LBL)*(INC_SPECIALS="Y"))=0,"",'Dvd Calendar'!$AN$399)))</f>
        <v/>
      </c>
      <c r="AM47" s="106">
        <f>IF(FO47="","",IF(ISNUMBER('Dvd Calendar'!$AO$399)=FALSE,"",IF((('Dvd Calendar'!$AO$401=TYPE1)*(TYPE1&lt;&gt;"")+('Dvd Calendar'!$AO$401=TYPE2)*(TYPE2&lt;&gt;"")+('Dvd Calendar'!$AO$401=TYPE3)*(TYPE3&lt;&gt;"")+('Dvd Calendar'!$AO$401=TYPE4)*(TYPE4&lt;&gt;"")+('Dvd Calendar'!$AO$401=SPECIAL_LBL)*(INC_SPECIALS="Y"))=0,"",'Dvd Calendar'!$AO$399)))</f>
        <v/>
      </c>
      <c r="AN47" s="106">
        <f>IF(FP47="","",IF(ISNUMBER('Dvd Calendar'!$AP$399)=FALSE,"",IF((('Dvd Calendar'!$AP$401=TYPE1)*(TYPE1&lt;&gt;"")+('Dvd Calendar'!$AP$401=TYPE2)*(TYPE2&lt;&gt;"")+('Dvd Calendar'!$AP$401=TYPE3)*(TYPE3&lt;&gt;"")+('Dvd Calendar'!$AP$401=TYPE4)*(TYPE4&lt;&gt;"")+('Dvd Calendar'!$AP$401=SPECIAL_LBL)*(INC_SPECIALS="Y"))=0,"",'Dvd Calendar'!$AP$399)))</f>
        <v/>
      </c>
      <c r="AO47" s="106">
        <f>IF(FQ47="","",IF(ISNUMBER('Dvd Calendar'!$AQ$399)=FALSE,"",IF((('Dvd Calendar'!$AQ$401=TYPE1)*(TYPE1&lt;&gt;"")+('Dvd Calendar'!$AQ$401=TYPE2)*(TYPE2&lt;&gt;"")+('Dvd Calendar'!$AQ$401=TYPE3)*(TYPE3&lt;&gt;"")+('Dvd Calendar'!$AQ$401=TYPE4)*(TYPE4&lt;&gt;"")+('Dvd Calendar'!$AQ$401=SPECIAL_LBL)*(INC_SPECIALS="Y"))=0,"",'Dvd Calendar'!$AQ$399)))</f>
        <v/>
      </c>
      <c r="AP47" s="106">
        <f>IF(FR47="","",IF(ISNUMBER('Dvd Calendar'!$AR$399)=FALSE,"",IF((('Dvd Calendar'!$AR$401=TYPE1)*(TYPE1&lt;&gt;"")+('Dvd Calendar'!$AR$401=TYPE2)*(TYPE2&lt;&gt;"")+('Dvd Calendar'!$AR$401=TYPE3)*(TYPE3&lt;&gt;"")+('Dvd Calendar'!$AR$401=TYPE4)*(TYPE4&lt;&gt;"")+('Dvd Calendar'!$AR$401=SPECIAL_LBL)*(INC_SPECIALS="Y"))=0,"",'Dvd Calendar'!$AR$399)))</f>
        <v/>
      </c>
      <c r="AQ47" s="106">
        <f>IF(FS47="","",IF(ISNUMBER('Dvd Calendar'!$E$404)=FALSE,"",'Dvd Calendar'!$E$404))</f>
        <v/>
      </c>
      <c r="AR47" s="106">
        <f>IF(FT47="","",IF(ISNUMBER('Dvd Calendar'!$F$404)=FALSE,"",'Dvd Calendar'!$F$404))</f>
        <v/>
      </c>
      <c r="AS47" s="106">
        <f>IF(FU47="","",IF(ISNUMBER('Dvd Calendar'!$G$404)=FALSE,"",'Dvd Calendar'!$G$404))</f>
        <v/>
      </c>
      <c r="AT47" s="106">
        <f>IF(FV47="","",IF(ISNUMBER('Dvd Calendar'!$H$404)=FALSE,"",'Dvd Calendar'!$H$404))</f>
        <v/>
      </c>
      <c r="AU47" s="106">
        <f>IF(FW47="","",IF(ISNUMBER('Dvd Calendar'!$I$404)=FALSE,"",'Dvd Calendar'!$I$404))</f>
        <v/>
      </c>
      <c r="AV47" s="106">
        <f>IF(FX47="","",IF(ISNUMBER('Dvd Calendar'!$J$404)=FALSE,"",'Dvd Calendar'!$J$404))</f>
        <v/>
      </c>
      <c r="AW47" s="106">
        <f>IF(FY47="","",IF(ISNUMBER('Dvd Calendar'!$K$404)=FALSE,"",'Dvd Calendar'!$K$404))</f>
        <v/>
      </c>
      <c r="AX47" s="106">
        <f>IF(FZ47="","",IF(ISNUMBER('Dvd Calendar'!$L$404)=FALSE,"",'Dvd Calendar'!$L$404))</f>
        <v/>
      </c>
      <c r="AY47" s="106">
        <f>IF(GA47="","",IF(ISNUMBER('Dvd Calendar'!$M$404)=FALSE,"",'Dvd Calendar'!$M$404))</f>
        <v/>
      </c>
      <c r="AZ47" s="106">
        <f>IF(GB47="","",IF(ISNUMBER('Dvd Calendar'!$N$404)=FALSE,"",'Dvd Calendar'!$N$404))</f>
        <v/>
      </c>
      <c r="BA47" s="106">
        <f>IF(GC47="","",IF(ISNUMBER('Dvd Calendar'!$O$404)=FALSE,"",'Dvd Calendar'!$O$404))</f>
        <v/>
      </c>
      <c r="BB47" s="106">
        <f>IF(GD47="","",IF(ISNUMBER('Dvd Calendar'!$P$404)=FALSE,"",'Dvd Calendar'!$P$404))</f>
        <v/>
      </c>
      <c r="BC47" s="106">
        <f>IF(GE47="","",IF(ISNUMBER('Dvd Calendar'!$Q$404)=FALSE,"",'Dvd Calendar'!$Q$404))</f>
        <v/>
      </c>
      <c r="BD47" s="106">
        <f>IF(GF47="","",IF(ISNUMBER('Dvd Calendar'!$R$404)=FALSE,"",'Dvd Calendar'!$R$404))</f>
        <v/>
      </c>
      <c r="BE47" s="106">
        <f>IF(GG47="","",IF(ISNUMBER('Dvd Calendar'!$S$404)=FALSE,"",'Dvd Calendar'!$S$404))</f>
        <v/>
      </c>
      <c r="BF47" s="106">
        <f>IF(GH47="","",IF(ISNUMBER('Dvd Calendar'!$T$404)=FALSE,"",'Dvd Calendar'!$T$404))</f>
        <v/>
      </c>
      <c r="BG47" s="106">
        <f>IF(GI47="","",IF(ISNUMBER('Dvd Calendar'!$U$404)=FALSE,"",'Dvd Calendar'!$U$404))</f>
        <v/>
      </c>
      <c r="BH47" s="106">
        <f>IF(GJ47="","",IF(ISNUMBER('Dvd Calendar'!$V$404)=FALSE,"",'Dvd Calendar'!$V$404))</f>
        <v/>
      </c>
      <c r="BI47" s="106">
        <f>IF(GK47="","",IF(ISNUMBER('Dvd Calendar'!$W$404)=FALSE,"",'Dvd Calendar'!$W$404))</f>
        <v/>
      </c>
      <c r="BJ47" s="106">
        <f>IF(GL47="","",IF(ISNUMBER('Dvd Calendar'!$X$404)=FALSE,"",'Dvd Calendar'!$X$404))</f>
        <v/>
      </c>
      <c r="BK47" s="106">
        <f>IF(GM47="","",IF(ISNUMBER('Dvd Calendar'!$Y$404)=FALSE,"",'Dvd Calendar'!$Y$404))</f>
        <v/>
      </c>
      <c r="BL47" s="106">
        <f>IF(GN47="","",IF(ISNUMBER('Dvd Calendar'!$Z$404)=FALSE,"",'Dvd Calendar'!$Z$404))</f>
        <v/>
      </c>
      <c r="BM47" s="106">
        <f>IF(GO47="","",IF(ISNUMBER('Dvd Calendar'!$AA$404)=FALSE,"",'Dvd Calendar'!$AA$404))</f>
        <v/>
      </c>
      <c r="BN47" s="106">
        <f>IF(GP47="","",IF(ISNUMBER('Dvd Calendar'!$AB$404)=FALSE,"",'Dvd Calendar'!$AB$404))</f>
        <v/>
      </c>
      <c r="BO47" s="106">
        <f>IF(GQ47="","",IF(ISNUMBER('Dvd Calendar'!$AC$404)=FALSE,"",'Dvd Calendar'!$AC$404))</f>
        <v/>
      </c>
      <c r="BQ47" s="106">
        <f>IF(C47="","",IFERROR(C47*HSI!$B$42*HSI!$G$42/HSI!$B$3,""))</f>
        <v/>
      </c>
      <c r="BR47" s="106">
        <f>IF(D47="","",IFERROR(D47*HSI!$B$42*HSI!$G$42/HSI!$B$3,""))</f>
        <v/>
      </c>
      <c r="BS47" s="106">
        <f>IF(E47="","",IFERROR(E47*HSI!$B$42*HSI!$G$42/HSI!$B$3,""))</f>
        <v/>
      </c>
      <c r="BT47" s="106">
        <f>IF(F47="","",IFERROR(F47*HSI!$B$42*HSI!$G$42/HSI!$B$3,""))</f>
        <v/>
      </c>
      <c r="BU47" s="106">
        <f>IF(G47="","",IFERROR(G47*HSI!$B$42*HSI!$G$42/HSI!$B$3,""))</f>
        <v/>
      </c>
      <c r="BV47" s="106">
        <f>IF(H47="","",IFERROR(H47*HSI!$B$42*HSI!$G$42/HSI!$B$3,""))</f>
        <v/>
      </c>
      <c r="BW47" s="106">
        <f>IF(I47="","",IFERROR(I47*HSI!$B$42*HSI!$G$42/HSI!$B$3,""))</f>
        <v/>
      </c>
      <c r="BX47" s="106">
        <f>IF(J47="","",IFERROR(J47*HSI!$B$42*HSI!$G$42/HSI!$B$3,""))</f>
        <v/>
      </c>
      <c r="BY47" s="106">
        <f>IF(K47="","",IFERROR(K47*HSI!$B$42*HSI!$G$42/HSI!$B$3,""))</f>
        <v/>
      </c>
      <c r="BZ47" s="106">
        <f>IF(L47="","",IFERROR(L47*HSI!$B$42*HSI!$G$42/HSI!$B$3,""))</f>
        <v/>
      </c>
      <c r="CA47" s="106">
        <f>IF(M47="","",IFERROR(M47*HSI!$B$42*HSI!$G$42/HSI!$B$3,""))</f>
        <v/>
      </c>
      <c r="CB47" s="106">
        <f>IF(N47="","",IFERROR(N47*HSI!$B$42*HSI!$G$42/HSI!$B$3,""))</f>
        <v/>
      </c>
      <c r="CC47" s="106">
        <f>IF(O47="","",IFERROR(O47*HSI!$B$42*HSI!$G$42/HSI!$B$3,""))</f>
        <v/>
      </c>
      <c r="CD47" s="106">
        <f>IF(P47="","",IFERROR(P47*HSI!$B$42*HSI!$G$42/HSI!$B$3,""))</f>
        <v/>
      </c>
      <c r="CE47" s="106">
        <f>IF(Q47="","",IFERROR(Q47*HSI!$B$42*HSI!$G$42/HSI!$B$3,""))</f>
        <v/>
      </c>
      <c r="CF47" s="106">
        <f>IF(R47="","",IFERROR(R47*HSI!$B$42*HSI!$G$42/HSI!$B$3,""))</f>
        <v/>
      </c>
      <c r="CG47" s="106">
        <f>IF(S47="","",IFERROR(S47*HSI!$B$42*HSI!$G$42/HSI!$B$3,""))</f>
        <v/>
      </c>
      <c r="CH47" s="106">
        <f>IF(T47="","",IFERROR(T47*HSI!$B$42*HSI!$G$42/HSI!$B$3,""))</f>
        <v/>
      </c>
      <c r="CI47" s="106">
        <f>IF(U47="","",IFERROR(U47*HSI!$B$42*HSI!$G$42/HSI!$B$3,""))</f>
        <v/>
      </c>
      <c r="CJ47" s="106">
        <f>IF(V47="","",IFERROR(V47*HSI!$B$42*HSI!$G$42/HSI!$B$3,""))</f>
        <v/>
      </c>
      <c r="CK47" s="106">
        <f>IF(W47="","",IFERROR(W47*HSI!$B$42*HSI!$G$42/HSI!$B$3,""))</f>
        <v/>
      </c>
      <c r="CL47" s="106">
        <f>IF(X47="","",IFERROR(X47*HSI!$B$42*HSI!$G$42/HSI!$B$3,""))</f>
        <v/>
      </c>
      <c r="CM47" s="106">
        <f>IF(Y47="","",IFERROR(Y47*HSI!$B$42*HSI!$G$42/HSI!$B$3,""))</f>
        <v/>
      </c>
      <c r="CN47" s="106">
        <f>IF(Z47="","",IFERROR(Z47*HSI!$B$42*HSI!$G$42/HSI!$B$3,""))</f>
        <v/>
      </c>
      <c r="CO47" s="106">
        <f>IF(AA47="","",IFERROR(AA47*HSI!$B$42*HSI!$G$42/HSI!$B$3,""))</f>
        <v/>
      </c>
      <c r="CP47" s="106">
        <f>IF(AB47="","",IFERROR(AB47*HSI!$B$42*HSI!$G$42/HSI!$B$3,""))</f>
        <v/>
      </c>
      <c r="CQ47" s="106">
        <f>IF(AC47="","",IFERROR(AC47*HSI!$B$42*HSI!$G$42/HSI!$B$3,""))</f>
        <v/>
      </c>
      <c r="CR47" s="106">
        <f>IF(AD47="","",IFERROR(AD47*HSI!$B$42*HSI!$G$42/HSI!$B$3,""))</f>
        <v/>
      </c>
      <c r="CS47" s="106">
        <f>IF(AE47="","",IFERROR(AE47*HSI!$B$42*HSI!$G$42/HSI!$B$3,""))</f>
        <v/>
      </c>
      <c r="CT47" s="106">
        <f>IF(AF47="","",IFERROR(AF47*HSI!$B$42*HSI!$G$42/HSI!$B$3,""))</f>
        <v/>
      </c>
      <c r="CU47" s="106">
        <f>IF(AG47="","",IFERROR(AG47*HSI!$B$42*HSI!$G$42/HSI!$B$3,""))</f>
        <v/>
      </c>
      <c r="CV47" s="106">
        <f>IF(AH47="","",IFERROR(AH47*HSI!$B$42*HSI!$G$42/HSI!$B$3,""))</f>
        <v/>
      </c>
      <c r="CW47" s="106">
        <f>IF(AI47="","",IFERROR(AI47*HSI!$B$42*HSI!$G$42/HSI!$B$3,""))</f>
        <v/>
      </c>
      <c r="CX47" s="106">
        <f>IF(AJ47="","",IFERROR(AJ47*HSI!$B$42*HSI!$G$42/HSI!$B$3,""))</f>
        <v/>
      </c>
      <c r="CY47" s="106">
        <f>IF(AK47="","",IFERROR(AK47*HSI!$B$42*HSI!$G$42/HSI!$B$3,""))</f>
        <v/>
      </c>
      <c r="CZ47" s="106">
        <f>IF(AL47="","",IFERROR(AL47*HSI!$B$42*HSI!$G$42/HSI!$B$3,""))</f>
        <v/>
      </c>
      <c r="DA47" s="106">
        <f>IF(AM47="","",IFERROR(AM47*HSI!$B$42*HSI!$G$42/HSI!$B$3,""))</f>
        <v/>
      </c>
      <c r="DB47" s="106">
        <f>IF(AN47="","",IFERROR(AN47*HSI!$B$42*HSI!$G$42/HSI!$B$3,""))</f>
        <v/>
      </c>
      <c r="DC47" s="106">
        <f>IF(AO47="","",IFERROR(AO47*HSI!$B$42*HSI!$G$42/HSI!$B$3,""))</f>
        <v/>
      </c>
      <c r="DD47" s="106">
        <f>IF(AP47="","",IFERROR(AP47*HSI!$B$42*HSI!$G$42/HSI!$B$3,""))</f>
        <v/>
      </c>
      <c r="DE47" s="106">
        <f>IF(AQ47="","",IFERROR(AQ47*HSI!$B$42*HSI!$G$42/HSI!$B$3,""))</f>
        <v/>
      </c>
      <c r="DF47" s="106">
        <f>IF(AR47="","",IFERROR(AR47*HSI!$B$42*HSI!$G$42/HSI!$B$3,""))</f>
        <v/>
      </c>
      <c r="DG47" s="106">
        <f>IF(AS47="","",IFERROR(AS47*HSI!$B$42*HSI!$G$42/HSI!$B$3,""))</f>
        <v/>
      </c>
      <c r="DH47" s="106">
        <f>IF(AT47="","",IFERROR(AT47*HSI!$B$42*HSI!$G$42/HSI!$B$3,""))</f>
        <v/>
      </c>
      <c r="DI47" s="106">
        <f>IF(AU47="","",IFERROR(AU47*HSI!$B$42*HSI!$G$42/HSI!$B$3,""))</f>
        <v/>
      </c>
      <c r="DJ47" s="106">
        <f>IF(AV47="","",IFERROR(AV47*HSI!$B$42*HSI!$G$42/HSI!$B$3,""))</f>
        <v/>
      </c>
      <c r="DK47" s="106">
        <f>IF(AW47="","",IFERROR(AW47*HSI!$B$42*HSI!$G$42/HSI!$B$3,""))</f>
        <v/>
      </c>
      <c r="DL47" s="106">
        <f>IF(AX47="","",IFERROR(AX47*HSI!$B$42*HSI!$G$42/HSI!$B$3,""))</f>
        <v/>
      </c>
      <c r="DM47" s="106">
        <f>IF(AY47="","",IFERROR(AY47*HSI!$B$42*HSI!$G$42/HSI!$B$3,""))</f>
        <v/>
      </c>
      <c r="DN47" s="106">
        <f>IF(AZ47="","",IFERROR(AZ47*HSI!$B$42*HSI!$G$42/HSI!$B$3,""))</f>
        <v/>
      </c>
      <c r="DO47" s="106">
        <f>IF(BA47="","",IFERROR(BA47*HSI!$B$42*HSI!$G$42/HSI!$B$3,""))</f>
        <v/>
      </c>
      <c r="DP47" s="106">
        <f>IF(BB47="","",IFERROR(BB47*HSI!$B$42*HSI!$G$42/HSI!$B$3,""))</f>
        <v/>
      </c>
      <c r="DQ47" s="106">
        <f>IF(BC47="","",IFERROR(BC47*HSI!$B$42*HSI!$G$42/HSI!$B$3,""))</f>
        <v/>
      </c>
      <c r="DR47" s="106">
        <f>IF(BD47="","",IFERROR(BD47*HSI!$B$42*HSI!$G$42/HSI!$B$3,""))</f>
        <v/>
      </c>
      <c r="DS47" s="106">
        <f>IF(BE47="","",IFERROR(BE47*HSI!$B$42*HSI!$G$42/HSI!$B$3,""))</f>
        <v/>
      </c>
      <c r="DT47" s="106">
        <f>IF(BF47="","",IFERROR(BF47*HSI!$B$42*HSI!$G$42/HSI!$B$3,""))</f>
        <v/>
      </c>
      <c r="DU47" s="106">
        <f>IF(BG47="","",IFERROR(BG47*HSI!$B$42*HSI!$G$42/HSI!$B$3,""))</f>
        <v/>
      </c>
      <c r="DV47" s="106">
        <f>IF(BH47="","",IFERROR(BH47*HSI!$B$42*HSI!$G$42/HSI!$B$3,""))</f>
        <v/>
      </c>
      <c r="DW47" s="106">
        <f>IF(BI47="","",IFERROR(BI47*HSI!$B$42*HSI!$G$42/HSI!$B$3,""))</f>
        <v/>
      </c>
      <c r="DX47" s="106">
        <f>IF(BJ47="","",IFERROR(BJ47*HSI!$B$42*HSI!$G$42/HSI!$B$3,""))</f>
        <v/>
      </c>
      <c r="DY47" s="106">
        <f>IF(BK47="","",IFERROR(BK47*HSI!$B$42*HSI!$G$42/HSI!$B$3,""))</f>
        <v/>
      </c>
      <c r="DZ47" s="106">
        <f>IF(BL47="","",IFERROR(BL47*HSI!$B$42*HSI!$G$42/HSI!$B$3,""))</f>
        <v/>
      </c>
      <c r="EA47" s="106">
        <f>IF(BM47="","",IFERROR(BM47*HSI!$B$42*HSI!$G$42/HSI!$B$3,""))</f>
        <v/>
      </c>
      <c r="EB47" s="106">
        <f>IF(BN47="","",IFERROR(BN47*HSI!$B$42*HSI!$G$42/HSI!$B$3,""))</f>
        <v/>
      </c>
      <c r="EC47" s="106">
        <f>IF(BO47="","",IFERROR(BO47*HSI!$B$42*HSI!$G$42/HSI!$B$3,""))</f>
        <v/>
      </c>
      <c r="EE47" s="35">
        <f>IF(N('Dvd Calendar'!$E$396)=0,"",IF(('Dvd Calendar'!$E$396&gt;=GRID_FROM)*('Dvd Calendar'!$E$396&lt;=GRID_TO)*('Dvd Calendar'!$E$396&lt;=VAL_DATE)=0,"",'Dvd Calendar'!$E$396*1000000000+ISNUMBER('Dvd Calendar'!$E$399)*100000000+('Dvd Calendar'!$E$401=SPECIAL_LBL)*10000000+0*1000000+36*1000+1))</f>
        <v/>
      </c>
      <c r="EF47" s="35">
        <f>IF(N('Dvd Calendar'!$F$396)=0,"",IF(('Dvd Calendar'!$F$396&gt;=GRID_FROM)*('Dvd Calendar'!$F$396&lt;=GRID_TO)*('Dvd Calendar'!$F$396&lt;=VAL_DATE)=0,"",'Dvd Calendar'!$F$396*1000000000+ISNUMBER('Dvd Calendar'!$F$399)*100000000+('Dvd Calendar'!$F$401=SPECIAL_LBL)*10000000+0*1000000+36*1000+2))</f>
        <v/>
      </c>
      <c r="EG47" s="35">
        <f>IF(N('Dvd Calendar'!$G$396)=0,"",IF(('Dvd Calendar'!$G$396&gt;=GRID_FROM)*('Dvd Calendar'!$G$396&lt;=GRID_TO)*('Dvd Calendar'!$G$396&lt;=VAL_DATE)=0,"",'Dvd Calendar'!$G$396*1000000000+ISNUMBER('Dvd Calendar'!$G$399)*100000000+('Dvd Calendar'!$G$401=SPECIAL_LBL)*10000000+0*1000000+36*1000+3))</f>
        <v/>
      </c>
      <c r="EH47" s="35">
        <f>IF(N('Dvd Calendar'!$H$396)=0,"",IF(('Dvd Calendar'!$H$396&gt;=GRID_FROM)*('Dvd Calendar'!$H$396&lt;=GRID_TO)*('Dvd Calendar'!$H$396&lt;=VAL_DATE)=0,"",'Dvd Calendar'!$H$396*1000000000+ISNUMBER('Dvd Calendar'!$H$399)*100000000+('Dvd Calendar'!$H$401=SPECIAL_LBL)*10000000+0*1000000+36*1000+4))</f>
        <v/>
      </c>
      <c r="EI47" s="35">
        <f>IF(N('Dvd Calendar'!$I$396)=0,"",IF(('Dvd Calendar'!$I$396&gt;=GRID_FROM)*('Dvd Calendar'!$I$396&lt;=GRID_TO)*('Dvd Calendar'!$I$396&lt;=VAL_DATE)=0,"",'Dvd Calendar'!$I$396*1000000000+ISNUMBER('Dvd Calendar'!$I$399)*100000000+('Dvd Calendar'!$I$401=SPECIAL_LBL)*10000000+0*1000000+36*1000+5))</f>
        <v/>
      </c>
      <c r="EJ47" s="35">
        <f>IF(N('Dvd Calendar'!$J$396)=0,"",IF(('Dvd Calendar'!$J$396&gt;=GRID_FROM)*('Dvd Calendar'!$J$396&lt;=GRID_TO)*('Dvd Calendar'!$J$396&lt;=VAL_DATE)=0,"",'Dvd Calendar'!$J$396*1000000000+ISNUMBER('Dvd Calendar'!$J$399)*100000000+('Dvd Calendar'!$J$401=SPECIAL_LBL)*10000000+0*1000000+36*1000+6))</f>
        <v/>
      </c>
      <c r="EK47" s="35">
        <f>IF(N('Dvd Calendar'!$K$396)=0,"",IF(('Dvd Calendar'!$K$396&gt;=GRID_FROM)*('Dvd Calendar'!$K$396&lt;=GRID_TO)*('Dvd Calendar'!$K$396&lt;=VAL_DATE)=0,"",'Dvd Calendar'!$K$396*1000000000+ISNUMBER('Dvd Calendar'!$K$399)*100000000+('Dvd Calendar'!$K$401=SPECIAL_LBL)*10000000+0*1000000+36*1000+7))</f>
        <v/>
      </c>
      <c r="EL47" s="35">
        <f>IF(N('Dvd Calendar'!$L$396)=0,"",IF(('Dvd Calendar'!$L$396&gt;=GRID_FROM)*('Dvd Calendar'!$L$396&lt;=GRID_TO)*('Dvd Calendar'!$L$396&lt;=VAL_DATE)=0,"",'Dvd Calendar'!$L$396*1000000000+ISNUMBER('Dvd Calendar'!$L$399)*100000000+('Dvd Calendar'!$L$401=SPECIAL_LBL)*10000000+0*1000000+36*1000+8))</f>
        <v/>
      </c>
      <c r="EM47" s="35">
        <f>IF(N('Dvd Calendar'!$M$396)=0,"",IF(('Dvd Calendar'!$M$396&gt;=GRID_FROM)*('Dvd Calendar'!$M$396&lt;=GRID_TO)*('Dvd Calendar'!$M$396&lt;=VAL_DATE)=0,"",'Dvd Calendar'!$M$396*1000000000+ISNUMBER('Dvd Calendar'!$M$399)*100000000+('Dvd Calendar'!$M$401=SPECIAL_LBL)*10000000+0*1000000+36*1000+9))</f>
        <v/>
      </c>
      <c r="EN47" s="35">
        <f>IF(N('Dvd Calendar'!$N$396)=0,"",IF(('Dvd Calendar'!$N$396&gt;=GRID_FROM)*('Dvd Calendar'!$N$396&lt;=GRID_TO)*('Dvd Calendar'!$N$396&lt;=VAL_DATE)=0,"",'Dvd Calendar'!$N$396*1000000000+ISNUMBER('Dvd Calendar'!$N$399)*100000000+('Dvd Calendar'!$N$401=SPECIAL_LBL)*10000000+0*1000000+36*1000+10))</f>
        <v/>
      </c>
      <c r="EO47" s="35">
        <f>IF(N('Dvd Calendar'!$O$396)=0,"",IF(('Dvd Calendar'!$O$396&gt;=GRID_FROM)*('Dvd Calendar'!$O$396&lt;=GRID_TO)*('Dvd Calendar'!$O$396&lt;=VAL_DATE)=0,"",'Dvd Calendar'!$O$396*1000000000+ISNUMBER('Dvd Calendar'!$O$399)*100000000+('Dvd Calendar'!$O$401=SPECIAL_LBL)*10000000+0*1000000+36*1000+11))</f>
        <v/>
      </c>
      <c r="EP47" s="35">
        <f>IF(N('Dvd Calendar'!$P$396)=0,"",IF(('Dvd Calendar'!$P$396&gt;=GRID_FROM)*('Dvd Calendar'!$P$396&lt;=GRID_TO)*('Dvd Calendar'!$P$396&lt;=VAL_DATE)=0,"",'Dvd Calendar'!$P$396*1000000000+ISNUMBER('Dvd Calendar'!$P$399)*100000000+('Dvd Calendar'!$P$401=SPECIAL_LBL)*10000000+0*1000000+36*1000+12))</f>
        <v/>
      </c>
      <c r="EQ47" s="35">
        <f>IF(N('Dvd Calendar'!$Q$396)=0,"",IF(('Dvd Calendar'!$Q$396&gt;=GRID_FROM)*('Dvd Calendar'!$Q$396&lt;=GRID_TO)*('Dvd Calendar'!$Q$396&lt;=VAL_DATE)=0,"",'Dvd Calendar'!$Q$396*1000000000+ISNUMBER('Dvd Calendar'!$Q$399)*100000000+('Dvd Calendar'!$Q$401=SPECIAL_LBL)*10000000+0*1000000+36*1000+13))</f>
        <v/>
      </c>
      <c r="ER47" s="35">
        <f>IF(N('Dvd Calendar'!$R$396)=0,"",IF(('Dvd Calendar'!$R$396&gt;=GRID_FROM)*('Dvd Calendar'!$R$396&lt;=GRID_TO)*('Dvd Calendar'!$R$396&lt;=VAL_DATE)=0,"",'Dvd Calendar'!$R$396*1000000000+ISNUMBER('Dvd Calendar'!$R$399)*100000000+('Dvd Calendar'!$R$401=SPECIAL_LBL)*10000000+0*1000000+36*1000+14))</f>
        <v/>
      </c>
      <c r="ES47" s="35">
        <f>IF(N('Dvd Calendar'!$S$396)=0,"",IF(('Dvd Calendar'!$S$396&gt;=GRID_FROM)*('Dvd Calendar'!$S$396&lt;=GRID_TO)*('Dvd Calendar'!$S$396&lt;=VAL_DATE)=0,"",'Dvd Calendar'!$S$396*1000000000+ISNUMBER('Dvd Calendar'!$S$399)*100000000+('Dvd Calendar'!$S$401=SPECIAL_LBL)*10000000+0*1000000+36*1000+15))</f>
        <v/>
      </c>
      <c r="ET47" s="35">
        <f>IF(N('Dvd Calendar'!$T$396)=0,"",IF(('Dvd Calendar'!$T$396&gt;=GRID_FROM)*('Dvd Calendar'!$T$396&lt;=GRID_TO)*('Dvd Calendar'!$T$396&lt;=VAL_DATE)=0,"",'Dvd Calendar'!$T$396*1000000000+ISNUMBER('Dvd Calendar'!$T$399)*100000000+('Dvd Calendar'!$T$401=SPECIAL_LBL)*10000000+0*1000000+36*1000+16))</f>
        <v/>
      </c>
      <c r="EU47" s="35">
        <f>IF(N('Dvd Calendar'!$U$396)=0,"",IF(('Dvd Calendar'!$U$396&gt;=GRID_FROM)*('Dvd Calendar'!$U$396&lt;=GRID_TO)*('Dvd Calendar'!$U$396&lt;=VAL_DATE)=0,"",'Dvd Calendar'!$U$396*1000000000+ISNUMBER('Dvd Calendar'!$U$399)*100000000+('Dvd Calendar'!$U$401=SPECIAL_LBL)*10000000+0*1000000+36*1000+17))</f>
        <v/>
      </c>
      <c r="EV47" s="35">
        <f>IF(N('Dvd Calendar'!$V$396)=0,"",IF(('Dvd Calendar'!$V$396&gt;=GRID_FROM)*('Dvd Calendar'!$V$396&lt;=GRID_TO)*('Dvd Calendar'!$V$396&lt;=VAL_DATE)=0,"",'Dvd Calendar'!$V$396*1000000000+ISNUMBER('Dvd Calendar'!$V$399)*100000000+('Dvd Calendar'!$V$401=SPECIAL_LBL)*10000000+0*1000000+36*1000+18))</f>
        <v/>
      </c>
      <c r="EW47" s="35">
        <f>IF(N('Dvd Calendar'!$W$396)=0,"",IF(('Dvd Calendar'!$W$396&gt;=GRID_FROM)*('Dvd Calendar'!$W$396&lt;=GRID_TO)*('Dvd Calendar'!$W$396&lt;=VAL_DATE)=0,"",'Dvd Calendar'!$W$396*1000000000+ISNUMBER('Dvd Calendar'!$W$399)*100000000+('Dvd Calendar'!$W$401=SPECIAL_LBL)*10000000+0*1000000+36*1000+19))</f>
        <v/>
      </c>
      <c r="EX47" s="35">
        <f>IF(N('Dvd Calendar'!$X$396)=0,"",IF(('Dvd Calendar'!$X$396&gt;=GRID_FROM)*('Dvd Calendar'!$X$396&lt;=GRID_TO)*('Dvd Calendar'!$X$396&lt;=VAL_DATE)=0,"",'Dvd Calendar'!$X$396*1000000000+ISNUMBER('Dvd Calendar'!$X$399)*100000000+('Dvd Calendar'!$X$401=SPECIAL_LBL)*10000000+0*1000000+36*1000+20))</f>
        <v/>
      </c>
      <c r="EY47" s="35">
        <f>IF(N('Dvd Calendar'!$Y$396)=0,"",IF(('Dvd Calendar'!$Y$396&gt;=GRID_FROM)*('Dvd Calendar'!$Y$396&lt;=GRID_TO)*('Dvd Calendar'!$Y$396&lt;=VAL_DATE)=0,"",'Dvd Calendar'!$Y$396*1000000000+ISNUMBER('Dvd Calendar'!$Y$399)*100000000+('Dvd Calendar'!$Y$401=SPECIAL_LBL)*10000000+0*1000000+36*1000+21))</f>
        <v/>
      </c>
      <c r="EZ47" s="35">
        <f>IF(N('Dvd Calendar'!$Z$396)=0,"",IF(('Dvd Calendar'!$Z$396&gt;=GRID_FROM)*('Dvd Calendar'!$Z$396&lt;=GRID_TO)*('Dvd Calendar'!$Z$396&lt;=VAL_DATE)=0,"",'Dvd Calendar'!$Z$396*1000000000+ISNUMBER('Dvd Calendar'!$Z$399)*100000000+('Dvd Calendar'!$Z$401=SPECIAL_LBL)*10000000+0*1000000+36*1000+22))</f>
        <v/>
      </c>
      <c r="FA47" s="35">
        <f>IF(N('Dvd Calendar'!$AA$396)=0,"",IF(('Dvd Calendar'!$AA$396&gt;=GRID_FROM)*('Dvd Calendar'!$AA$396&lt;=GRID_TO)*('Dvd Calendar'!$AA$396&lt;=VAL_DATE)=0,"",'Dvd Calendar'!$AA$396*1000000000+ISNUMBER('Dvd Calendar'!$AA$399)*100000000+('Dvd Calendar'!$AA$401=SPECIAL_LBL)*10000000+0*1000000+36*1000+23))</f>
        <v/>
      </c>
      <c r="FB47" s="35">
        <f>IF(N('Dvd Calendar'!$AB$396)=0,"",IF(('Dvd Calendar'!$AB$396&gt;=GRID_FROM)*('Dvd Calendar'!$AB$396&lt;=GRID_TO)*('Dvd Calendar'!$AB$396&lt;=VAL_DATE)=0,"",'Dvd Calendar'!$AB$396*1000000000+ISNUMBER('Dvd Calendar'!$AB$399)*100000000+('Dvd Calendar'!$AB$401=SPECIAL_LBL)*10000000+0*1000000+36*1000+24))</f>
        <v/>
      </c>
      <c r="FC47" s="35">
        <f>IF(N('Dvd Calendar'!$AC$396)=0,"",IF(('Dvd Calendar'!$AC$396&gt;=GRID_FROM)*('Dvd Calendar'!$AC$396&lt;=GRID_TO)*('Dvd Calendar'!$AC$396&lt;=VAL_DATE)=0,"",'Dvd Calendar'!$AC$396*1000000000+ISNUMBER('Dvd Calendar'!$AC$399)*100000000+('Dvd Calendar'!$AC$401=SPECIAL_LBL)*10000000+0*1000000+36*1000+25))</f>
        <v/>
      </c>
      <c r="FD47" s="35">
        <f>IF(N('Dvd Calendar'!$AD$396)=0,"",IF(('Dvd Calendar'!$AD$396&gt;=GRID_FROM)*('Dvd Calendar'!$AD$396&lt;=GRID_TO)*('Dvd Calendar'!$AD$396&lt;=VAL_DATE)=0,"",'Dvd Calendar'!$AD$396*1000000000+ISNUMBER('Dvd Calendar'!$AD$399)*100000000+('Dvd Calendar'!$AD$401=SPECIAL_LBL)*10000000+0*1000000+36*1000+26))</f>
        <v/>
      </c>
      <c r="FE47" s="35">
        <f>IF(N('Dvd Calendar'!$AE$396)=0,"",IF(('Dvd Calendar'!$AE$396&gt;=GRID_FROM)*('Dvd Calendar'!$AE$396&lt;=GRID_TO)*('Dvd Calendar'!$AE$396&lt;=VAL_DATE)=0,"",'Dvd Calendar'!$AE$396*1000000000+ISNUMBER('Dvd Calendar'!$AE$399)*100000000+('Dvd Calendar'!$AE$401=SPECIAL_LBL)*10000000+0*1000000+36*1000+27))</f>
        <v/>
      </c>
      <c r="FF47" s="35">
        <f>IF(N('Dvd Calendar'!$AF$396)=0,"",IF(('Dvd Calendar'!$AF$396&gt;=GRID_FROM)*('Dvd Calendar'!$AF$396&lt;=GRID_TO)*('Dvd Calendar'!$AF$396&lt;=VAL_DATE)=0,"",'Dvd Calendar'!$AF$396*1000000000+ISNUMBER('Dvd Calendar'!$AF$399)*100000000+('Dvd Calendar'!$AF$401=SPECIAL_LBL)*10000000+0*1000000+36*1000+28))</f>
        <v/>
      </c>
      <c r="FG47" s="35">
        <f>IF(N('Dvd Calendar'!$AG$396)=0,"",IF(('Dvd Calendar'!$AG$396&gt;=GRID_FROM)*('Dvd Calendar'!$AG$396&lt;=GRID_TO)*('Dvd Calendar'!$AG$396&lt;=VAL_DATE)=0,"",'Dvd Calendar'!$AG$396*1000000000+ISNUMBER('Dvd Calendar'!$AG$399)*100000000+('Dvd Calendar'!$AG$401=SPECIAL_LBL)*10000000+0*1000000+36*1000+29))</f>
        <v/>
      </c>
      <c r="FH47" s="35">
        <f>IF(N('Dvd Calendar'!$AH$396)=0,"",IF(('Dvd Calendar'!$AH$396&gt;=GRID_FROM)*('Dvd Calendar'!$AH$396&lt;=GRID_TO)*('Dvd Calendar'!$AH$396&lt;=VAL_DATE)=0,"",'Dvd Calendar'!$AH$396*1000000000+ISNUMBER('Dvd Calendar'!$AH$399)*100000000+('Dvd Calendar'!$AH$401=SPECIAL_LBL)*10000000+0*1000000+36*1000+30))</f>
        <v/>
      </c>
      <c r="FI47" s="35">
        <f>IF(N('Dvd Calendar'!$AI$396)=0,"",IF(('Dvd Calendar'!$AI$396&gt;=GRID_FROM)*('Dvd Calendar'!$AI$396&lt;=GRID_TO)*('Dvd Calendar'!$AI$396&lt;=VAL_DATE)=0,"",'Dvd Calendar'!$AI$396*1000000000+ISNUMBER('Dvd Calendar'!$AI$399)*100000000+('Dvd Calendar'!$AI$401=SPECIAL_LBL)*10000000+0*1000000+36*1000+31))</f>
        <v/>
      </c>
      <c r="FJ47" s="35">
        <f>IF(N('Dvd Calendar'!$AJ$396)=0,"",IF(('Dvd Calendar'!$AJ$396&gt;=GRID_FROM)*('Dvd Calendar'!$AJ$396&lt;=GRID_TO)*('Dvd Calendar'!$AJ$396&lt;=VAL_DATE)=0,"",'Dvd Calendar'!$AJ$396*1000000000+ISNUMBER('Dvd Calendar'!$AJ$399)*100000000+('Dvd Calendar'!$AJ$401=SPECIAL_LBL)*10000000+0*1000000+36*1000+32))</f>
        <v/>
      </c>
      <c r="FK47" s="35">
        <f>IF(N('Dvd Calendar'!$AK$396)=0,"",IF(('Dvd Calendar'!$AK$396&gt;=GRID_FROM)*('Dvd Calendar'!$AK$396&lt;=GRID_TO)*('Dvd Calendar'!$AK$396&lt;=VAL_DATE)=0,"",'Dvd Calendar'!$AK$396*1000000000+ISNUMBER('Dvd Calendar'!$AK$399)*100000000+('Dvd Calendar'!$AK$401=SPECIAL_LBL)*10000000+0*1000000+36*1000+33))</f>
        <v/>
      </c>
      <c r="FL47" s="35">
        <f>IF(N('Dvd Calendar'!$AL$396)=0,"",IF(('Dvd Calendar'!$AL$396&gt;=GRID_FROM)*('Dvd Calendar'!$AL$396&lt;=GRID_TO)*('Dvd Calendar'!$AL$396&lt;=VAL_DATE)=0,"",'Dvd Calendar'!$AL$396*1000000000+ISNUMBER('Dvd Calendar'!$AL$399)*100000000+('Dvd Calendar'!$AL$401=SPECIAL_LBL)*10000000+0*1000000+36*1000+34))</f>
        <v/>
      </c>
      <c r="FM47" s="35">
        <f>IF(N('Dvd Calendar'!$AM$396)=0,"",IF(('Dvd Calendar'!$AM$396&gt;=GRID_FROM)*('Dvd Calendar'!$AM$396&lt;=GRID_TO)*('Dvd Calendar'!$AM$396&lt;=VAL_DATE)=0,"",'Dvd Calendar'!$AM$396*1000000000+ISNUMBER('Dvd Calendar'!$AM$399)*100000000+('Dvd Calendar'!$AM$401=SPECIAL_LBL)*10000000+0*1000000+36*1000+35))</f>
        <v/>
      </c>
      <c r="FN47" s="35">
        <f>IF(N('Dvd Calendar'!$AN$396)=0,"",IF(('Dvd Calendar'!$AN$396&gt;=GRID_FROM)*('Dvd Calendar'!$AN$396&lt;=GRID_TO)*('Dvd Calendar'!$AN$396&lt;=VAL_DATE)=0,"",'Dvd Calendar'!$AN$396*1000000000+ISNUMBER('Dvd Calendar'!$AN$399)*100000000+('Dvd Calendar'!$AN$401=SPECIAL_LBL)*10000000+0*1000000+36*1000+36))</f>
        <v/>
      </c>
      <c r="FO47" s="35">
        <f>IF(N('Dvd Calendar'!$AO$396)=0,"",IF(('Dvd Calendar'!$AO$396&gt;=GRID_FROM)*('Dvd Calendar'!$AO$396&lt;=GRID_TO)*('Dvd Calendar'!$AO$396&lt;=VAL_DATE)=0,"",'Dvd Calendar'!$AO$396*1000000000+ISNUMBER('Dvd Calendar'!$AO$399)*100000000+('Dvd Calendar'!$AO$401=SPECIAL_LBL)*10000000+0*1000000+36*1000+37))</f>
        <v/>
      </c>
      <c r="FP47" s="35">
        <f>IF(N('Dvd Calendar'!$AP$396)=0,"",IF(('Dvd Calendar'!$AP$396&gt;=GRID_FROM)*('Dvd Calendar'!$AP$396&lt;=GRID_TO)*('Dvd Calendar'!$AP$396&lt;=VAL_DATE)=0,"",'Dvd Calendar'!$AP$396*1000000000+ISNUMBER('Dvd Calendar'!$AP$399)*100000000+('Dvd Calendar'!$AP$401=SPECIAL_LBL)*10000000+0*1000000+36*1000+38))</f>
        <v/>
      </c>
      <c r="FQ47" s="35">
        <f>IF(N('Dvd Calendar'!$AQ$396)=0,"",IF(('Dvd Calendar'!$AQ$396&gt;=GRID_FROM)*('Dvd Calendar'!$AQ$396&lt;=GRID_TO)*('Dvd Calendar'!$AQ$396&lt;=VAL_DATE)=0,"",'Dvd Calendar'!$AQ$396*1000000000+ISNUMBER('Dvd Calendar'!$AQ$399)*100000000+('Dvd Calendar'!$AQ$401=SPECIAL_LBL)*10000000+0*1000000+36*1000+39))</f>
        <v/>
      </c>
      <c r="FR47" s="35">
        <f>IF(N('Dvd Calendar'!$AR$396)=0,"",IF(('Dvd Calendar'!$AR$396&gt;=GRID_FROM)*('Dvd Calendar'!$AR$396&lt;=GRID_TO)*('Dvd Calendar'!$AR$396&lt;=VAL_DATE)=0,"",'Dvd Calendar'!$AR$396*1000000000+ISNUMBER('Dvd Calendar'!$AR$399)*100000000+('Dvd Calendar'!$AR$401=SPECIAL_LBL)*10000000+0*1000000+36*1000+40))</f>
        <v/>
      </c>
      <c r="FS47" s="35">
        <f>IF(N('Dvd Calendar'!$E$403)=0,"",IF(('Dvd Calendar'!$E$403&gt;=GRID_FROM)*('Dvd Calendar'!$E$403&lt;=GRID_TO)*('Dvd Calendar'!$E$403&gt;VAL_DATE)=0,"",'Dvd Calendar'!$E$403*1000000000+ISNUMBER('Dvd Calendar'!$E$404)*100000000+0*10000000+(N('Dvd Calendar'!$E$402)&gt;0)*(N('Dvd Calendar'!$E$402)&lt;=VAL_SERIAL)*1000000+36*1000+41))</f>
        <v/>
      </c>
      <c r="FT47" s="35">
        <f>IF(N('Dvd Calendar'!$F$403)=0,"",IF(('Dvd Calendar'!$F$403&gt;=GRID_FROM)*('Dvd Calendar'!$F$403&lt;=GRID_TO)*('Dvd Calendar'!$F$403&gt;VAL_DATE)=0,"",'Dvd Calendar'!$F$403*1000000000+ISNUMBER('Dvd Calendar'!$F$404)*100000000+0*10000000+(N('Dvd Calendar'!$F$402)&gt;0)*(N('Dvd Calendar'!$F$402)&lt;=VAL_SERIAL)*1000000+36*1000+42))</f>
        <v/>
      </c>
      <c r="FU47" s="35">
        <f>IF(N('Dvd Calendar'!$G$403)=0,"",IF(('Dvd Calendar'!$G$403&gt;=GRID_FROM)*('Dvd Calendar'!$G$403&lt;=GRID_TO)*('Dvd Calendar'!$G$403&gt;VAL_DATE)=0,"",'Dvd Calendar'!$G$403*1000000000+ISNUMBER('Dvd Calendar'!$G$404)*100000000+0*10000000+(N('Dvd Calendar'!$G$402)&gt;0)*(N('Dvd Calendar'!$G$402)&lt;=VAL_SERIAL)*1000000+36*1000+43))</f>
        <v/>
      </c>
      <c r="FV47" s="35">
        <f>IF(N('Dvd Calendar'!$H$403)=0,"",IF(('Dvd Calendar'!$H$403&gt;=GRID_FROM)*('Dvd Calendar'!$H$403&lt;=GRID_TO)*('Dvd Calendar'!$H$403&gt;VAL_DATE)=0,"",'Dvd Calendar'!$H$403*1000000000+ISNUMBER('Dvd Calendar'!$H$404)*100000000+0*10000000+(N('Dvd Calendar'!$H$402)&gt;0)*(N('Dvd Calendar'!$H$402)&lt;=VAL_SERIAL)*1000000+36*1000+44))</f>
        <v/>
      </c>
      <c r="FW47" s="35">
        <f>IF(N('Dvd Calendar'!$I$403)=0,"",IF(('Dvd Calendar'!$I$403&gt;=GRID_FROM)*('Dvd Calendar'!$I$403&lt;=GRID_TO)*('Dvd Calendar'!$I$403&gt;VAL_DATE)=0,"",'Dvd Calendar'!$I$403*1000000000+ISNUMBER('Dvd Calendar'!$I$404)*100000000+0*10000000+(N('Dvd Calendar'!$I$402)&gt;0)*(N('Dvd Calendar'!$I$402)&lt;=VAL_SERIAL)*1000000+36*1000+45))</f>
        <v/>
      </c>
      <c r="FX47" s="35">
        <f>IF(N('Dvd Calendar'!$J$403)=0,"",IF(('Dvd Calendar'!$J$403&gt;=GRID_FROM)*('Dvd Calendar'!$J$403&lt;=GRID_TO)*('Dvd Calendar'!$J$403&gt;VAL_DATE)=0,"",'Dvd Calendar'!$J$403*1000000000+ISNUMBER('Dvd Calendar'!$J$404)*100000000+0*10000000+(N('Dvd Calendar'!$J$402)&gt;0)*(N('Dvd Calendar'!$J$402)&lt;=VAL_SERIAL)*1000000+36*1000+46))</f>
        <v/>
      </c>
      <c r="FY47" s="35">
        <f>IF(N('Dvd Calendar'!$K$403)=0,"",IF(('Dvd Calendar'!$K$403&gt;=GRID_FROM)*('Dvd Calendar'!$K$403&lt;=GRID_TO)*('Dvd Calendar'!$K$403&gt;VAL_DATE)=0,"",'Dvd Calendar'!$K$403*1000000000+ISNUMBER('Dvd Calendar'!$K$404)*100000000+0*10000000+(N('Dvd Calendar'!$K$402)&gt;0)*(N('Dvd Calendar'!$K$402)&lt;=VAL_SERIAL)*1000000+36*1000+47))</f>
        <v/>
      </c>
      <c r="FZ47" s="35">
        <f>IF(N('Dvd Calendar'!$L$403)=0,"",IF(('Dvd Calendar'!$L$403&gt;=GRID_FROM)*('Dvd Calendar'!$L$403&lt;=GRID_TO)*('Dvd Calendar'!$L$403&gt;VAL_DATE)=0,"",'Dvd Calendar'!$L$403*1000000000+ISNUMBER('Dvd Calendar'!$L$404)*100000000+0*10000000+(N('Dvd Calendar'!$L$402)&gt;0)*(N('Dvd Calendar'!$L$402)&lt;=VAL_SERIAL)*1000000+36*1000+48))</f>
        <v/>
      </c>
      <c r="GA47" s="35">
        <f>IF(N('Dvd Calendar'!$M$403)=0,"",IF(('Dvd Calendar'!$M$403&gt;=GRID_FROM)*('Dvd Calendar'!$M$403&lt;=GRID_TO)*('Dvd Calendar'!$M$403&gt;VAL_DATE)=0,"",'Dvd Calendar'!$M$403*1000000000+ISNUMBER('Dvd Calendar'!$M$404)*100000000+0*10000000+(N('Dvd Calendar'!$M$402)&gt;0)*(N('Dvd Calendar'!$M$402)&lt;=VAL_SERIAL)*1000000+36*1000+49))</f>
        <v/>
      </c>
      <c r="GB47" s="35">
        <f>IF(N('Dvd Calendar'!$N$403)=0,"",IF(('Dvd Calendar'!$N$403&gt;=GRID_FROM)*('Dvd Calendar'!$N$403&lt;=GRID_TO)*('Dvd Calendar'!$N$403&gt;VAL_DATE)=0,"",'Dvd Calendar'!$N$403*1000000000+ISNUMBER('Dvd Calendar'!$N$404)*100000000+0*10000000+(N('Dvd Calendar'!$N$402)&gt;0)*(N('Dvd Calendar'!$N$402)&lt;=VAL_SERIAL)*1000000+36*1000+50))</f>
        <v/>
      </c>
      <c r="GC47" s="35">
        <f>IF(N('Dvd Calendar'!$O$403)=0,"",IF(('Dvd Calendar'!$O$403&gt;=GRID_FROM)*('Dvd Calendar'!$O$403&lt;=GRID_TO)*('Dvd Calendar'!$O$403&gt;VAL_DATE)=0,"",'Dvd Calendar'!$O$403*1000000000+ISNUMBER('Dvd Calendar'!$O$404)*100000000+0*10000000+(N('Dvd Calendar'!$O$402)&gt;0)*(N('Dvd Calendar'!$O$402)&lt;=VAL_SERIAL)*1000000+36*1000+51))</f>
        <v/>
      </c>
      <c r="GD47" s="35">
        <f>IF(N('Dvd Calendar'!$P$403)=0,"",IF(('Dvd Calendar'!$P$403&gt;=GRID_FROM)*('Dvd Calendar'!$P$403&lt;=GRID_TO)*('Dvd Calendar'!$P$403&gt;VAL_DATE)=0,"",'Dvd Calendar'!$P$403*1000000000+ISNUMBER('Dvd Calendar'!$P$404)*100000000+0*10000000+(N('Dvd Calendar'!$P$402)&gt;0)*(N('Dvd Calendar'!$P$402)&lt;=VAL_SERIAL)*1000000+36*1000+52))</f>
        <v/>
      </c>
      <c r="GE47" s="35">
        <f>IF(N('Dvd Calendar'!$Q$403)=0,"",IF(('Dvd Calendar'!$Q$403&gt;=GRID_FROM)*('Dvd Calendar'!$Q$403&lt;=GRID_TO)*('Dvd Calendar'!$Q$403&gt;VAL_DATE)=0,"",'Dvd Calendar'!$Q$403*1000000000+ISNUMBER('Dvd Calendar'!$Q$404)*100000000+0*10000000+(N('Dvd Calendar'!$Q$402)&gt;0)*(N('Dvd Calendar'!$Q$402)&lt;=VAL_SERIAL)*1000000+36*1000+53))</f>
        <v/>
      </c>
      <c r="GF47" s="35">
        <f>IF(N('Dvd Calendar'!$R$403)=0,"",IF(('Dvd Calendar'!$R$403&gt;=GRID_FROM)*('Dvd Calendar'!$R$403&lt;=GRID_TO)*('Dvd Calendar'!$R$403&gt;VAL_DATE)=0,"",'Dvd Calendar'!$R$403*1000000000+ISNUMBER('Dvd Calendar'!$R$404)*100000000+0*10000000+(N('Dvd Calendar'!$R$402)&gt;0)*(N('Dvd Calendar'!$R$402)&lt;=VAL_SERIAL)*1000000+36*1000+54))</f>
        <v/>
      </c>
      <c r="GG47" s="35">
        <f>IF(N('Dvd Calendar'!$S$403)=0,"",IF(('Dvd Calendar'!$S$403&gt;=GRID_FROM)*('Dvd Calendar'!$S$403&lt;=GRID_TO)*('Dvd Calendar'!$S$403&gt;VAL_DATE)=0,"",'Dvd Calendar'!$S$403*1000000000+ISNUMBER('Dvd Calendar'!$S$404)*100000000+0*10000000+(N('Dvd Calendar'!$S$402)&gt;0)*(N('Dvd Calendar'!$S$402)&lt;=VAL_SERIAL)*1000000+36*1000+55))</f>
        <v/>
      </c>
      <c r="GH47" s="35">
        <f>IF(N('Dvd Calendar'!$T$403)=0,"",IF(('Dvd Calendar'!$T$403&gt;=GRID_FROM)*('Dvd Calendar'!$T$403&lt;=GRID_TO)*('Dvd Calendar'!$T$403&gt;VAL_DATE)=0,"",'Dvd Calendar'!$T$403*1000000000+ISNUMBER('Dvd Calendar'!$T$404)*100000000+0*10000000+(N('Dvd Calendar'!$T$402)&gt;0)*(N('Dvd Calendar'!$T$402)&lt;=VAL_SERIAL)*1000000+36*1000+56))</f>
        <v/>
      </c>
      <c r="GI47" s="35">
        <f>IF(N('Dvd Calendar'!$U$403)=0,"",IF(('Dvd Calendar'!$U$403&gt;=GRID_FROM)*('Dvd Calendar'!$U$403&lt;=GRID_TO)*('Dvd Calendar'!$U$403&gt;VAL_DATE)=0,"",'Dvd Calendar'!$U$403*1000000000+ISNUMBER('Dvd Calendar'!$U$404)*100000000+0*10000000+(N('Dvd Calendar'!$U$402)&gt;0)*(N('Dvd Calendar'!$U$402)&lt;=VAL_SERIAL)*1000000+36*1000+57))</f>
        <v/>
      </c>
      <c r="GJ47" s="35">
        <f>IF(N('Dvd Calendar'!$V$403)=0,"",IF(('Dvd Calendar'!$V$403&gt;=GRID_FROM)*('Dvd Calendar'!$V$403&lt;=GRID_TO)*('Dvd Calendar'!$V$403&gt;VAL_DATE)=0,"",'Dvd Calendar'!$V$403*1000000000+ISNUMBER('Dvd Calendar'!$V$404)*100000000+0*10000000+(N('Dvd Calendar'!$V$402)&gt;0)*(N('Dvd Calendar'!$V$402)&lt;=VAL_SERIAL)*1000000+36*1000+58))</f>
        <v/>
      </c>
      <c r="GK47" s="35">
        <f>IF(N('Dvd Calendar'!$W$403)=0,"",IF(('Dvd Calendar'!$W$403&gt;=GRID_FROM)*('Dvd Calendar'!$W$403&lt;=GRID_TO)*('Dvd Calendar'!$W$403&gt;VAL_DATE)=0,"",'Dvd Calendar'!$W$403*1000000000+ISNUMBER('Dvd Calendar'!$W$404)*100000000+0*10000000+(N('Dvd Calendar'!$W$402)&gt;0)*(N('Dvd Calendar'!$W$402)&lt;=VAL_SERIAL)*1000000+36*1000+59))</f>
        <v/>
      </c>
      <c r="GL47" s="35">
        <f>IF(N('Dvd Calendar'!$X$403)=0,"",IF(('Dvd Calendar'!$X$403&gt;=GRID_FROM)*('Dvd Calendar'!$X$403&lt;=GRID_TO)*('Dvd Calendar'!$X$403&gt;VAL_DATE)=0,"",'Dvd Calendar'!$X$403*1000000000+ISNUMBER('Dvd Calendar'!$X$404)*100000000+0*10000000+(N('Dvd Calendar'!$X$402)&gt;0)*(N('Dvd Calendar'!$X$402)&lt;=VAL_SERIAL)*1000000+36*1000+60))</f>
        <v/>
      </c>
      <c r="GM47" s="35">
        <f>IF(N('Dvd Calendar'!$Y$403)=0,"",IF(('Dvd Calendar'!$Y$403&gt;=GRID_FROM)*('Dvd Calendar'!$Y$403&lt;=GRID_TO)*('Dvd Calendar'!$Y$403&gt;VAL_DATE)=0,"",'Dvd Calendar'!$Y$403*1000000000+ISNUMBER('Dvd Calendar'!$Y$404)*100000000+0*10000000+(N('Dvd Calendar'!$Y$402)&gt;0)*(N('Dvd Calendar'!$Y$402)&lt;=VAL_SERIAL)*1000000+36*1000+61))</f>
        <v/>
      </c>
      <c r="GN47" s="35">
        <f>IF(N('Dvd Calendar'!$Z$403)=0,"",IF(('Dvd Calendar'!$Z$403&gt;=GRID_FROM)*('Dvd Calendar'!$Z$403&lt;=GRID_TO)*('Dvd Calendar'!$Z$403&gt;VAL_DATE)=0,"",'Dvd Calendar'!$Z$403*1000000000+ISNUMBER('Dvd Calendar'!$Z$404)*100000000+0*10000000+(N('Dvd Calendar'!$Z$402)&gt;0)*(N('Dvd Calendar'!$Z$402)&lt;=VAL_SERIAL)*1000000+36*1000+62))</f>
        <v/>
      </c>
      <c r="GO47" s="35">
        <f>IF(N('Dvd Calendar'!$AA$403)=0,"",IF(('Dvd Calendar'!$AA$403&gt;=GRID_FROM)*('Dvd Calendar'!$AA$403&lt;=GRID_TO)*('Dvd Calendar'!$AA$403&gt;VAL_DATE)=0,"",'Dvd Calendar'!$AA$403*1000000000+ISNUMBER('Dvd Calendar'!$AA$404)*100000000+0*10000000+(N('Dvd Calendar'!$AA$402)&gt;0)*(N('Dvd Calendar'!$AA$402)&lt;=VAL_SERIAL)*1000000+36*1000+63))</f>
        <v/>
      </c>
      <c r="GP47" s="35">
        <f>IF(N('Dvd Calendar'!$AB$403)=0,"",IF(('Dvd Calendar'!$AB$403&gt;=GRID_FROM)*('Dvd Calendar'!$AB$403&lt;=GRID_TO)*('Dvd Calendar'!$AB$403&gt;VAL_DATE)=0,"",'Dvd Calendar'!$AB$403*1000000000+ISNUMBER('Dvd Calendar'!$AB$404)*100000000+0*10000000+(N('Dvd Calendar'!$AB$402)&gt;0)*(N('Dvd Calendar'!$AB$402)&lt;=VAL_SERIAL)*1000000+36*1000+64))</f>
        <v/>
      </c>
      <c r="GQ47" s="35">
        <f>IF(N('Dvd Calendar'!$AC$403)=0,"",IF(('Dvd Calendar'!$AC$403&gt;=GRID_FROM)*('Dvd Calendar'!$AC$403&lt;=GRID_TO)*('Dvd Calendar'!$AC$403&gt;VAL_DATE)=0,"",'Dvd Calendar'!$AC$403*1000000000+ISNUMBER('Dvd Calendar'!$AC$404)*100000000+0*10000000+(N('Dvd Calendar'!$AC$402)&gt;0)*(N('Dvd Calendar'!$AC$402)&lt;=VAL_SERIAL)*1000000+36*1000+65))</f>
        <v/>
      </c>
    </row>
    <row r="48">
      <c r="B48" s="2">
        <f>IF(HSI!$C$43="","",HSI!$C$43)</f>
        <v/>
      </c>
      <c r="C48" s="106">
        <f>IF(EE48="","",IF(ISNUMBER('Dvd Calendar'!$E$410)=FALSE,"",IF((('Dvd Calendar'!$E$412=TYPE1)*(TYPE1&lt;&gt;"")+('Dvd Calendar'!$E$412=TYPE2)*(TYPE2&lt;&gt;"")+('Dvd Calendar'!$E$412=TYPE3)*(TYPE3&lt;&gt;"")+('Dvd Calendar'!$E$412=TYPE4)*(TYPE4&lt;&gt;"")+('Dvd Calendar'!$E$412=SPECIAL_LBL)*(INC_SPECIALS="Y"))=0,"",'Dvd Calendar'!$E$410)))</f>
        <v/>
      </c>
      <c r="D48" s="106">
        <f>IF(EF48="","",IF(ISNUMBER('Dvd Calendar'!$F$410)=FALSE,"",IF((('Dvd Calendar'!$F$412=TYPE1)*(TYPE1&lt;&gt;"")+('Dvd Calendar'!$F$412=TYPE2)*(TYPE2&lt;&gt;"")+('Dvd Calendar'!$F$412=TYPE3)*(TYPE3&lt;&gt;"")+('Dvd Calendar'!$F$412=TYPE4)*(TYPE4&lt;&gt;"")+('Dvd Calendar'!$F$412=SPECIAL_LBL)*(INC_SPECIALS="Y"))=0,"",'Dvd Calendar'!$F$410)))</f>
        <v/>
      </c>
      <c r="E48" s="106">
        <f>IF(EG48="","",IF(ISNUMBER('Dvd Calendar'!$G$410)=FALSE,"",IF((('Dvd Calendar'!$G$412=TYPE1)*(TYPE1&lt;&gt;"")+('Dvd Calendar'!$G$412=TYPE2)*(TYPE2&lt;&gt;"")+('Dvd Calendar'!$G$412=TYPE3)*(TYPE3&lt;&gt;"")+('Dvd Calendar'!$G$412=TYPE4)*(TYPE4&lt;&gt;"")+('Dvd Calendar'!$G$412=SPECIAL_LBL)*(INC_SPECIALS="Y"))=0,"",'Dvd Calendar'!$G$410)))</f>
        <v/>
      </c>
      <c r="F48" s="106">
        <f>IF(EH48="","",IF(ISNUMBER('Dvd Calendar'!$H$410)=FALSE,"",IF((('Dvd Calendar'!$H$412=TYPE1)*(TYPE1&lt;&gt;"")+('Dvd Calendar'!$H$412=TYPE2)*(TYPE2&lt;&gt;"")+('Dvd Calendar'!$H$412=TYPE3)*(TYPE3&lt;&gt;"")+('Dvd Calendar'!$H$412=TYPE4)*(TYPE4&lt;&gt;"")+('Dvd Calendar'!$H$412=SPECIAL_LBL)*(INC_SPECIALS="Y"))=0,"",'Dvd Calendar'!$H$410)))</f>
        <v/>
      </c>
      <c r="G48" s="106">
        <f>IF(EI48="","",IF(ISNUMBER('Dvd Calendar'!$I$410)=FALSE,"",IF((('Dvd Calendar'!$I$412=TYPE1)*(TYPE1&lt;&gt;"")+('Dvd Calendar'!$I$412=TYPE2)*(TYPE2&lt;&gt;"")+('Dvd Calendar'!$I$412=TYPE3)*(TYPE3&lt;&gt;"")+('Dvd Calendar'!$I$412=TYPE4)*(TYPE4&lt;&gt;"")+('Dvd Calendar'!$I$412=SPECIAL_LBL)*(INC_SPECIALS="Y"))=0,"",'Dvd Calendar'!$I$410)))</f>
        <v/>
      </c>
      <c r="H48" s="106">
        <f>IF(EJ48="","",IF(ISNUMBER('Dvd Calendar'!$J$410)=FALSE,"",IF((('Dvd Calendar'!$J$412=TYPE1)*(TYPE1&lt;&gt;"")+('Dvd Calendar'!$J$412=TYPE2)*(TYPE2&lt;&gt;"")+('Dvd Calendar'!$J$412=TYPE3)*(TYPE3&lt;&gt;"")+('Dvd Calendar'!$J$412=TYPE4)*(TYPE4&lt;&gt;"")+('Dvd Calendar'!$J$412=SPECIAL_LBL)*(INC_SPECIALS="Y"))=0,"",'Dvd Calendar'!$J$410)))</f>
        <v/>
      </c>
      <c r="I48" s="106">
        <f>IF(EK48="","",IF(ISNUMBER('Dvd Calendar'!$K$410)=FALSE,"",IF((('Dvd Calendar'!$K$412=TYPE1)*(TYPE1&lt;&gt;"")+('Dvd Calendar'!$K$412=TYPE2)*(TYPE2&lt;&gt;"")+('Dvd Calendar'!$K$412=TYPE3)*(TYPE3&lt;&gt;"")+('Dvd Calendar'!$K$412=TYPE4)*(TYPE4&lt;&gt;"")+('Dvd Calendar'!$K$412=SPECIAL_LBL)*(INC_SPECIALS="Y"))=0,"",'Dvd Calendar'!$K$410)))</f>
        <v/>
      </c>
      <c r="J48" s="106">
        <f>IF(EL48="","",IF(ISNUMBER('Dvd Calendar'!$L$410)=FALSE,"",IF((('Dvd Calendar'!$L$412=TYPE1)*(TYPE1&lt;&gt;"")+('Dvd Calendar'!$L$412=TYPE2)*(TYPE2&lt;&gt;"")+('Dvd Calendar'!$L$412=TYPE3)*(TYPE3&lt;&gt;"")+('Dvd Calendar'!$L$412=TYPE4)*(TYPE4&lt;&gt;"")+('Dvd Calendar'!$L$412=SPECIAL_LBL)*(INC_SPECIALS="Y"))=0,"",'Dvd Calendar'!$L$410)))</f>
        <v/>
      </c>
      <c r="K48" s="106">
        <f>IF(EM48="","",IF(ISNUMBER('Dvd Calendar'!$M$410)=FALSE,"",IF((('Dvd Calendar'!$M$412=TYPE1)*(TYPE1&lt;&gt;"")+('Dvd Calendar'!$M$412=TYPE2)*(TYPE2&lt;&gt;"")+('Dvd Calendar'!$M$412=TYPE3)*(TYPE3&lt;&gt;"")+('Dvd Calendar'!$M$412=TYPE4)*(TYPE4&lt;&gt;"")+('Dvd Calendar'!$M$412=SPECIAL_LBL)*(INC_SPECIALS="Y"))=0,"",'Dvd Calendar'!$M$410)))</f>
        <v/>
      </c>
      <c r="L48" s="106">
        <f>IF(EN48="","",IF(ISNUMBER('Dvd Calendar'!$N$410)=FALSE,"",IF((('Dvd Calendar'!$N$412=TYPE1)*(TYPE1&lt;&gt;"")+('Dvd Calendar'!$N$412=TYPE2)*(TYPE2&lt;&gt;"")+('Dvd Calendar'!$N$412=TYPE3)*(TYPE3&lt;&gt;"")+('Dvd Calendar'!$N$412=TYPE4)*(TYPE4&lt;&gt;"")+('Dvd Calendar'!$N$412=SPECIAL_LBL)*(INC_SPECIALS="Y"))=0,"",'Dvd Calendar'!$N$410)))</f>
        <v/>
      </c>
      <c r="M48" s="106">
        <f>IF(EO48="","",IF(ISNUMBER('Dvd Calendar'!$O$410)=FALSE,"",IF((('Dvd Calendar'!$O$412=TYPE1)*(TYPE1&lt;&gt;"")+('Dvd Calendar'!$O$412=TYPE2)*(TYPE2&lt;&gt;"")+('Dvd Calendar'!$O$412=TYPE3)*(TYPE3&lt;&gt;"")+('Dvd Calendar'!$O$412=TYPE4)*(TYPE4&lt;&gt;"")+('Dvd Calendar'!$O$412=SPECIAL_LBL)*(INC_SPECIALS="Y"))=0,"",'Dvd Calendar'!$O$410)))</f>
        <v/>
      </c>
      <c r="N48" s="106">
        <f>IF(EP48="","",IF(ISNUMBER('Dvd Calendar'!$P$410)=FALSE,"",IF((('Dvd Calendar'!$P$412=TYPE1)*(TYPE1&lt;&gt;"")+('Dvd Calendar'!$P$412=TYPE2)*(TYPE2&lt;&gt;"")+('Dvd Calendar'!$P$412=TYPE3)*(TYPE3&lt;&gt;"")+('Dvd Calendar'!$P$412=TYPE4)*(TYPE4&lt;&gt;"")+('Dvd Calendar'!$P$412=SPECIAL_LBL)*(INC_SPECIALS="Y"))=0,"",'Dvd Calendar'!$P$410)))</f>
        <v/>
      </c>
      <c r="O48" s="106">
        <f>IF(EQ48="","",IF(ISNUMBER('Dvd Calendar'!$Q$410)=FALSE,"",IF((('Dvd Calendar'!$Q$412=TYPE1)*(TYPE1&lt;&gt;"")+('Dvd Calendar'!$Q$412=TYPE2)*(TYPE2&lt;&gt;"")+('Dvd Calendar'!$Q$412=TYPE3)*(TYPE3&lt;&gt;"")+('Dvd Calendar'!$Q$412=TYPE4)*(TYPE4&lt;&gt;"")+('Dvd Calendar'!$Q$412=SPECIAL_LBL)*(INC_SPECIALS="Y"))=0,"",'Dvd Calendar'!$Q$410)))</f>
        <v/>
      </c>
      <c r="P48" s="106">
        <f>IF(ER48="","",IF(ISNUMBER('Dvd Calendar'!$R$410)=FALSE,"",IF((('Dvd Calendar'!$R$412=TYPE1)*(TYPE1&lt;&gt;"")+('Dvd Calendar'!$R$412=TYPE2)*(TYPE2&lt;&gt;"")+('Dvd Calendar'!$R$412=TYPE3)*(TYPE3&lt;&gt;"")+('Dvd Calendar'!$R$412=TYPE4)*(TYPE4&lt;&gt;"")+('Dvd Calendar'!$R$412=SPECIAL_LBL)*(INC_SPECIALS="Y"))=0,"",'Dvd Calendar'!$R$410)))</f>
        <v/>
      </c>
      <c r="Q48" s="106">
        <f>IF(ES48="","",IF(ISNUMBER('Dvd Calendar'!$S$410)=FALSE,"",IF((('Dvd Calendar'!$S$412=TYPE1)*(TYPE1&lt;&gt;"")+('Dvd Calendar'!$S$412=TYPE2)*(TYPE2&lt;&gt;"")+('Dvd Calendar'!$S$412=TYPE3)*(TYPE3&lt;&gt;"")+('Dvd Calendar'!$S$412=TYPE4)*(TYPE4&lt;&gt;"")+('Dvd Calendar'!$S$412=SPECIAL_LBL)*(INC_SPECIALS="Y"))=0,"",'Dvd Calendar'!$S$410)))</f>
        <v/>
      </c>
      <c r="R48" s="106">
        <f>IF(ET48="","",IF(ISNUMBER('Dvd Calendar'!$T$410)=FALSE,"",IF((('Dvd Calendar'!$T$412=TYPE1)*(TYPE1&lt;&gt;"")+('Dvd Calendar'!$T$412=TYPE2)*(TYPE2&lt;&gt;"")+('Dvd Calendar'!$T$412=TYPE3)*(TYPE3&lt;&gt;"")+('Dvd Calendar'!$T$412=TYPE4)*(TYPE4&lt;&gt;"")+('Dvd Calendar'!$T$412=SPECIAL_LBL)*(INC_SPECIALS="Y"))=0,"",'Dvd Calendar'!$T$410)))</f>
        <v/>
      </c>
      <c r="S48" s="106">
        <f>IF(EU48="","",IF(ISNUMBER('Dvd Calendar'!$U$410)=FALSE,"",IF((('Dvd Calendar'!$U$412=TYPE1)*(TYPE1&lt;&gt;"")+('Dvd Calendar'!$U$412=TYPE2)*(TYPE2&lt;&gt;"")+('Dvd Calendar'!$U$412=TYPE3)*(TYPE3&lt;&gt;"")+('Dvd Calendar'!$U$412=TYPE4)*(TYPE4&lt;&gt;"")+('Dvd Calendar'!$U$412=SPECIAL_LBL)*(INC_SPECIALS="Y"))=0,"",'Dvd Calendar'!$U$410)))</f>
        <v/>
      </c>
      <c r="T48" s="106">
        <f>IF(EV48="","",IF(ISNUMBER('Dvd Calendar'!$V$410)=FALSE,"",IF((('Dvd Calendar'!$V$412=TYPE1)*(TYPE1&lt;&gt;"")+('Dvd Calendar'!$V$412=TYPE2)*(TYPE2&lt;&gt;"")+('Dvd Calendar'!$V$412=TYPE3)*(TYPE3&lt;&gt;"")+('Dvd Calendar'!$V$412=TYPE4)*(TYPE4&lt;&gt;"")+('Dvd Calendar'!$V$412=SPECIAL_LBL)*(INC_SPECIALS="Y"))=0,"",'Dvd Calendar'!$V$410)))</f>
        <v/>
      </c>
      <c r="U48" s="106">
        <f>IF(EW48="","",IF(ISNUMBER('Dvd Calendar'!$W$410)=FALSE,"",IF((('Dvd Calendar'!$W$412=TYPE1)*(TYPE1&lt;&gt;"")+('Dvd Calendar'!$W$412=TYPE2)*(TYPE2&lt;&gt;"")+('Dvd Calendar'!$W$412=TYPE3)*(TYPE3&lt;&gt;"")+('Dvd Calendar'!$W$412=TYPE4)*(TYPE4&lt;&gt;"")+('Dvd Calendar'!$W$412=SPECIAL_LBL)*(INC_SPECIALS="Y"))=0,"",'Dvd Calendar'!$W$410)))</f>
        <v/>
      </c>
      <c r="V48" s="106">
        <f>IF(EX48="","",IF(ISNUMBER('Dvd Calendar'!$X$410)=FALSE,"",IF((('Dvd Calendar'!$X$412=TYPE1)*(TYPE1&lt;&gt;"")+('Dvd Calendar'!$X$412=TYPE2)*(TYPE2&lt;&gt;"")+('Dvd Calendar'!$X$412=TYPE3)*(TYPE3&lt;&gt;"")+('Dvd Calendar'!$X$412=TYPE4)*(TYPE4&lt;&gt;"")+('Dvd Calendar'!$X$412=SPECIAL_LBL)*(INC_SPECIALS="Y"))=0,"",'Dvd Calendar'!$X$410)))</f>
        <v/>
      </c>
      <c r="W48" s="106">
        <f>IF(EY48="","",IF(ISNUMBER('Dvd Calendar'!$Y$410)=FALSE,"",IF((('Dvd Calendar'!$Y$412=TYPE1)*(TYPE1&lt;&gt;"")+('Dvd Calendar'!$Y$412=TYPE2)*(TYPE2&lt;&gt;"")+('Dvd Calendar'!$Y$412=TYPE3)*(TYPE3&lt;&gt;"")+('Dvd Calendar'!$Y$412=TYPE4)*(TYPE4&lt;&gt;"")+('Dvd Calendar'!$Y$412=SPECIAL_LBL)*(INC_SPECIALS="Y"))=0,"",'Dvd Calendar'!$Y$410)))</f>
        <v/>
      </c>
      <c r="X48" s="106">
        <f>IF(EZ48="","",IF(ISNUMBER('Dvd Calendar'!$Z$410)=FALSE,"",IF((('Dvd Calendar'!$Z$412=TYPE1)*(TYPE1&lt;&gt;"")+('Dvd Calendar'!$Z$412=TYPE2)*(TYPE2&lt;&gt;"")+('Dvd Calendar'!$Z$412=TYPE3)*(TYPE3&lt;&gt;"")+('Dvd Calendar'!$Z$412=TYPE4)*(TYPE4&lt;&gt;"")+('Dvd Calendar'!$Z$412=SPECIAL_LBL)*(INC_SPECIALS="Y"))=0,"",'Dvd Calendar'!$Z$410)))</f>
        <v/>
      </c>
      <c r="Y48" s="106">
        <f>IF(FA48="","",IF(ISNUMBER('Dvd Calendar'!$AA$410)=FALSE,"",IF((('Dvd Calendar'!$AA$412=TYPE1)*(TYPE1&lt;&gt;"")+('Dvd Calendar'!$AA$412=TYPE2)*(TYPE2&lt;&gt;"")+('Dvd Calendar'!$AA$412=TYPE3)*(TYPE3&lt;&gt;"")+('Dvd Calendar'!$AA$412=TYPE4)*(TYPE4&lt;&gt;"")+('Dvd Calendar'!$AA$412=SPECIAL_LBL)*(INC_SPECIALS="Y"))=0,"",'Dvd Calendar'!$AA$410)))</f>
        <v/>
      </c>
      <c r="Z48" s="106">
        <f>IF(FB48="","",IF(ISNUMBER('Dvd Calendar'!$AB$410)=FALSE,"",IF((('Dvd Calendar'!$AB$412=TYPE1)*(TYPE1&lt;&gt;"")+('Dvd Calendar'!$AB$412=TYPE2)*(TYPE2&lt;&gt;"")+('Dvd Calendar'!$AB$412=TYPE3)*(TYPE3&lt;&gt;"")+('Dvd Calendar'!$AB$412=TYPE4)*(TYPE4&lt;&gt;"")+('Dvd Calendar'!$AB$412=SPECIAL_LBL)*(INC_SPECIALS="Y"))=0,"",'Dvd Calendar'!$AB$410)))</f>
        <v/>
      </c>
      <c r="AA48" s="106">
        <f>IF(FC48="","",IF(ISNUMBER('Dvd Calendar'!$AC$410)=FALSE,"",IF((('Dvd Calendar'!$AC$412=TYPE1)*(TYPE1&lt;&gt;"")+('Dvd Calendar'!$AC$412=TYPE2)*(TYPE2&lt;&gt;"")+('Dvd Calendar'!$AC$412=TYPE3)*(TYPE3&lt;&gt;"")+('Dvd Calendar'!$AC$412=TYPE4)*(TYPE4&lt;&gt;"")+('Dvd Calendar'!$AC$412=SPECIAL_LBL)*(INC_SPECIALS="Y"))=0,"",'Dvd Calendar'!$AC$410)))</f>
        <v/>
      </c>
      <c r="AB48" s="106">
        <f>IF(FD48="","",IF(ISNUMBER('Dvd Calendar'!$AD$410)=FALSE,"",IF((('Dvd Calendar'!$AD$412=TYPE1)*(TYPE1&lt;&gt;"")+('Dvd Calendar'!$AD$412=TYPE2)*(TYPE2&lt;&gt;"")+('Dvd Calendar'!$AD$412=TYPE3)*(TYPE3&lt;&gt;"")+('Dvd Calendar'!$AD$412=TYPE4)*(TYPE4&lt;&gt;"")+('Dvd Calendar'!$AD$412=SPECIAL_LBL)*(INC_SPECIALS="Y"))=0,"",'Dvd Calendar'!$AD$410)))</f>
        <v/>
      </c>
      <c r="AC48" s="106">
        <f>IF(FE48="","",IF(ISNUMBER('Dvd Calendar'!$AE$410)=FALSE,"",IF((('Dvd Calendar'!$AE$412=TYPE1)*(TYPE1&lt;&gt;"")+('Dvd Calendar'!$AE$412=TYPE2)*(TYPE2&lt;&gt;"")+('Dvd Calendar'!$AE$412=TYPE3)*(TYPE3&lt;&gt;"")+('Dvd Calendar'!$AE$412=TYPE4)*(TYPE4&lt;&gt;"")+('Dvd Calendar'!$AE$412=SPECIAL_LBL)*(INC_SPECIALS="Y"))=0,"",'Dvd Calendar'!$AE$410)))</f>
        <v/>
      </c>
      <c r="AD48" s="106">
        <f>IF(FF48="","",IF(ISNUMBER('Dvd Calendar'!$AF$410)=FALSE,"",IF((('Dvd Calendar'!$AF$412=TYPE1)*(TYPE1&lt;&gt;"")+('Dvd Calendar'!$AF$412=TYPE2)*(TYPE2&lt;&gt;"")+('Dvd Calendar'!$AF$412=TYPE3)*(TYPE3&lt;&gt;"")+('Dvd Calendar'!$AF$412=TYPE4)*(TYPE4&lt;&gt;"")+('Dvd Calendar'!$AF$412=SPECIAL_LBL)*(INC_SPECIALS="Y"))=0,"",'Dvd Calendar'!$AF$410)))</f>
        <v/>
      </c>
      <c r="AE48" s="106">
        <f>IF(FG48="","",IF(ISNUMBER('Dvd Calendar'!$AG$410)=FALSE,"",IF((('Dvd Calendar'!$AG$412=TYPE1)*(TYPE1&lt;&gt;"")+('Dvd Calendar'!$AG$412=TYPE2)*(TYPE2&lt;&gt;"")+('Dvd Calendar'!$AG$412=TYPE3)*(TYPE3&lt;&gt;"")+('Dvd Calendar'!$AG$412=TYPE4)*(TYPE4&lt;&gt;"")+('Dvd Calendar'!$AG$412=SPECIAL_LBL)*(INC_SPECIALS="Y"))=0,"",'Dvd Calendar'!$AG$410)))</f>
        <v/>
      </c>
      <c r="AF48" s="106">
        <f>IF(FH48="","",IF(ISNUMBER('Dvd Calendar'!$AH$410)=FALSE,"",IF((('Dvd Calendar'!$AH$412=TYPE1)*(TYPE1&lt;&gt;"")+('Dvd Calendar'!$AH$412=TYPE2)*(TYPE2&lt;&gt;"")+('Dvd Calendar'!$AH$412=TYPE3)*(TYPE3&lt;&gt;"")+('Dvd Calendar'!$AH$412=TYPE4)*(TYPE4&lt;&gt;"")+('Dvd Calendar'!$AH$412=SPECIAL_LBL)*(INC_SPECIALS="Y"))=0,"",'Dvd Calendar'!$AH$410)))</f>
        <v/>
      </c>
      <c r="AG48" s="106">
        <f>IF(FI48="","",IF(ISNUMBER('Dvd Calendar'!$AI$410)=FALSE,"",IF((('Dvd Calendar'!$AI$412=TYPE1)*(TYPE1&lt;&gt;"")+('Dvd Calendar'!$AI$412=TYPE2)*(TYPE2&lt;&gt;"")+('Dvd Calendar'!$AI$412=TYPE3)*(TYPE3&lt;&gt;"")+('Dvd Calendar'!$AI$412=TYPE4)*(TYPE4&lt;&gt;"")+('Dvd Calendar'!$AI$412=SPECIAL_LBL)*(INC_SPECIALS="Y"))=0,"",'Dvd Calendar'!$AI$410)))</f>
        <v/>
      </c>
      <c r="AH48" s="106">
        <f>IF(FJ48="","",IF(ISNUMBER('Dvd Calendar'!$AJ$410)=FALSE,"",IF((('Dvd Calendar'!$AJ$412=TYPE1)*(TYPE1&lt;&gt;"")+('Dvd Calendar'!$AJ$412=TYPE2)*(TYPE2&lt;&gt;"")+('Dvd Calendar'!$AJ$412=TYPE3)*(TYPE3&lt;&gt;"")+('Dvd Calendar'!$AJ$412=TYPE4)*(TYPE4&lt;&gt;"")+('Dvd Calendar'!$AJ$412=SPECIAL_LBL)*(INC_SPECIALS="Y"))=0,"",'Dvd Calendar'!$AJ$410)))</f>
        <v/>
      </c>
      <c r="AI48" s="106">
        <f>IF(FK48="","",IF(ISNUMBER('Dvd Calendar'!$AK$410)=FALSE,"",IF((('Dvd Calendar'!$AK$412=TYPE1)*(TYPE1&lt;&gt;"")+('Dvd Calendar'!$AK$412=TYPE2)*(TYPE2&lt;&gt;"")+('Dvd Calendar'!$AK$412=TYPE3)*(TYPE3&lt;&gt;"")+('Dvd Calendar'!$AK$412=TYPE4)*(TYPE4&lt;&gt;"")+('Dvd Calendar'!$AK$412=SPECIAL_LBL)*(INC_SPECIALS="Y"))=0,"",'Dvd Calendar'!$AK$410)))</f>
        <v/>
      </c>
      <c r="AJ48" s="106">
        <f>IF(FL48="","",IF(ISNUMBER('Dvd Calendar'!$AL$410)=FALSE,"",IF((('Dvd Calendar'!$AL$412=TYPE1)*(TYPE1&lt;&gt;"")+('Dvd Calendar'!$AL$412=TYPE2)*(TYPE2&lt;&gt;"")+('Dvd Calendar'!$AL$412=TYPE3)*(TYPE3&lt;&gt;"")+('Dvd Calendar'!$AL$412=TYPE4)*(TYPE4&lt;&gt;"")+('Dvd Calendar'!$AL$412=SPECIAL_LBL)*(INC_SPECIALS="Y"))=0,"",'Dvd Calendar'!$AL$410)))</f>
        <v/>
      </c>
      <c r="AK48" s="106">
        <f>IF(FM48="","",IF(ISNUMBER('Dvd Calendar'!$AM$410)=FALSE,"",IF((('Dvd Calendar'!$AM$412=TYPE1)*(TYPE1&lt;&gt;"")+('Dvd Calendar'!$AM$412=TYPE2)*(TYPE2&lt;&gt;"")+('Dvd Calendar'!$AM$412=TYPE3)*(TYPE3&lt;&gt;"")+('Dvd Calendar'!$AM$412=TYPE4)*(TYPE4&lt;&gt;"")+('Dvd Calendar'!$AM$412=SPECIAL_LBL)*(INC_SPECIALS="Y"))=0,"",'Dvd Calendar'!$AM$410)))</f>
        <v/>
      </c>
      <c r="AL48" s="106">
        <f>IF(FN48="","",IF(ISNUMBER('Dvd Calendar'!$AN$410)=FALSE,"",IF((('Dvd Calendar'!$AN$412=TYPE1)*(TYPE1&lt;&gt;"")+('Dvd Calendar'!$AN$412=TYPE2)*(TYPE2&lt;&gt;"")+('Dvd Calendar'!$AN$412=TYPE3)*(TYPE3&lt;&gt;"")+('Dvd Calendar'!$AN$412=TYPE4)*(TYPE4&lt;&gt;"")+('Dvd Calendar'!$AN$412=SPECIAL_LBL)*(INC_SPECIALS="Y"))=0,"",'Dvd Calendar'!$AN$410)))</f>
        <v/>
      </c>
      <c r="AM48" s="106">
        <f>IF(FO48="","",IF(ISNUMBER('Dvd Calendar'!$AO$410)=FALSE,"",IF((('Dvd Calendar'!$AO$412=TYPE1)*(TYPE1&lt;&gt;"")+('Dvd Calendar'!$AO$412=TYPE2)*(TYPE2&lt;&gt;"")+('Dvd Calendar'!$AO$412=TYPE3)*(TYPE3&lt;&gt;"")+('Dvd Calendar'!$AO$412=TYPE4)*(TYPE4&lt;&gt;"")+('Dvd Calendar'!$AO$412=SPECIAL_LBL)*(INC_SPECIALS="Y"))=0,"",'Dvd Calendar'!$AO$410)))</f>
        <v/>
      </c>
      <c r="AN48" s="106">
        <f>IF(FP48="","",IF(ISNUMBER('Dvd Calendar'!$AP$410)=FALSE,"",IF((('Dvd Calendar'!$AP$412=TYPE1)*(TYPE1&lt;&gt;"")+('Dvd Calendar'!$AP$412=TYPE2)*(TYPE2&lt;&gt;"")+('Dvd Calendar'!$AP$412=TYPE3)*(TYPE3&lt;&gt;"")+('Dvd Calendar'!$AP$412=TYPE4)*(TYPE4&lt;&gt;"")+('Dvd Calendar'!$AP$412=SPECIAL_LBL)*(INC_SPECIALS="Y"))=0,"",'Dvd Calendar'!$AP$410)))</f>
        <v/>
      </c>
      <c r="AO48" s="106">
        <f>IF(FQ48="","",IF(ISNUMBER('Dvd Calendar'!$AQ$410)=FALSE,"",IF((('Dvd Calendar'!$AQ$412=TYPE1)*(TYPE1&lt;&gt;"")+('Dvd Calendar'!$AQ$412=TYPE2)*(TYPE2&lt;&gt;"")+('Dvd Calendar'!$AQ$412=TYPE3)*(TYPE3&lt;&gt;"")+('Dvd Calendar'!$AQ$412=TYPE4)*(TYPE4&lt;&gt;"")+('Dvd Calendar'!$AQ$412=SPECIAL_LBL)*(INC_SPECIALS="Y"))=0,"",'Dvd Calendar'!$AQ$410)))</f>
        <v/>
      </c>
      <c r="AP48" s="106">
        <f>IF(FR48="","",IF(ISNUMBER('Dvd Calendar'!$AR$410)=FALSE,"",IF((('Dvd Calendar'!$AR$412=TYPE1)*(TYPE1&lt;&gt;"")+('Dvd Calendar'!$AR$412=TYPE2)*(TYPE2&lt;&gt;"")+('Dvd Calendar'!$AR$412=TYPE3)*(TYPE3&lt;&gt;"")+('Dvd Calendar'!$AR$412=TYPE4)*(TYPE4&lt;&gt;"")+('Dvd Calendar'!$AR$412=SPECIAL_LBL)*(INC_SPECIALS="Y"))=0,"",'Dvd Calendar'!$AR$410)))</f>
        <v/>
      </c>
      <c r="AQ48" s="106">
        <f>IF(FS48="","",IF(ISNUMBER('Dvd Calendar'!$E$415)=FALSE,"",'Dvd Calendar'!$E$415))</f>
        <v/>
      </c>
      <c r="AR48" s="106">
        <f>IF(FT48="","",IF(ISNUMBER('Dvd Calendar'!$F$415)=FALSE,"",'Dvd Calendar'!$F$415))</f>
        <v/>
      </c>
      <c r="AS48" s="106">
        <f>IF(FU48="","",IF(ISNUMBER('Dvd Calendar'!$G$415)=FALSE,"",'Dvd Calendar'!$G$415))</f>
        <v/>
      </c>
      <c r="AT48" s="106">
        <f>IF(FV48="","",IF(ISNUMBER('Dvd Calendar'!$H$415)=FALSE,"",'Dvd Calendar'!$H$415))</f>
        <v/>
      </c>
      <c r="AU48" s="106">
        <f>IF(FW48="","",IF(ISNUMBER('Dvd Calendar'!$I$415)=FALSE,"",'Dvd Calendar'!$I$415))</f>
        <v/>
      </c>
      <c r="AV48" s="106">
        <f>IF(FX48="","",IF(ISNUMBER('Dvd Calendar'!$J$415)=FALSE,"",'Dvd Calendar'!$J$415))</f>
        <v/>
      </c>
      <c r="AW48" s="106">
        <f>IF(FY48="","",IF(ISNUMBER('Dvd Calendar'!$K$415)=FALSE,"",'Dvd Calendar'!$K$415))</f>
        <v/>
      </c>
      <c r="AX48" s="106">
        <f>IF(FZ48="","",IF(ISNUMBER('Dvd Calendar'!$L$415)=FALSE,"",'Dvd Calendar'!$L$415))</f>
        <v/>
      </c>
      <c r="AY48" s="106">
        <f>IF(GA48="","",IF(ISNUMBER('Dvd Calendar'!$M$415)=FALSE,"",'Dvd Calendar'!$M$415))</f>
        <v/>
      </c>
      <c r="AZ48" s="106">
        <f>IF(GB48="","",IF(ISNUMBER('Dvd Calendar'!$N$415)=FALSE,"",'Dvd Calendar'!$N$415))</f>
        <v/>
      </c>
      <c r="BA48" s="106">
        <f>IF(GC48="","",IF(ISNUMBER('Dvd Calendar'!$O$415)=FALSE,"",'Dvd Calendar'!$O$415))</f>
        <v/>
      </c>
      <c r="BB48" s="106">
        <f>IF(GD48="","",IF(ISNUMBER('Dvd Calendar'!$P$415)=FALSE,"",'Dvd Calendar'!$P$415))</f>
        <v/>
      </c>
      <c r="BC48" s="106">
        <f>IF(GE48="","",IF(ISNUMBER('Dvd Calendar'!$Q$415)=FALSE,"",'Dvd Calendar'!$Q$415))</f>
        <v/>
      </c>
      <c r="BD48" s="106">
        <f>IF(GF48="","",IF(ISNUMBER('Dvd Calendar'!$R$415)=FALSE,"",'Dvd Calendar'!$R$415))</f>
        <v/>
      </c>
      <c r="BE48" s="106">
        <f>IF(GG48="","",IF(ISNUMBER('Dvd Calendar'!$S$415)=FALSE,"",'Dvd Calendar'!$S$415))</f>
        <v/>
      </c>
      <c r="BF48" s="106">
        <f>IF(GH48="","",IF(ISNUMBER('Dvd Calendar'!$T$415)=FALSE,"",'Dvd Calendar'!$T$415))</f>
        <v/>
      </c>
      <c r="BG48" s="106">
        <f>IF(GI48="","",IF(ISNUMBER('Dvd Calendar'!$U$415)=FALSE,"",'Dvd Calendar'!$U$415))</f>
        <v/>
      </c>
      <c r="BH48" s="106">
        <f>IF(GJ48="","",IF(ISNUMBER('Dvd Calendar'!$V$415)=FALSE,"",'Dvd Calendar'!$V$415))</f>
        <v/>
      </c>
      <c r="BI48" s="106">
        <f>IF(GK48="","",IF(ISNUMBER('Dvd Calendar'!$W$415)=FALSE,"",'Dvd Calendar'!$W$415))</f>
        <v/>
      </c>
      <c r="BJ48" s="106">
        <f>IF(GL48="","",IF(ISNUMBER('Dvd Calendar'!$X$415)=FALSE,"",'Dvd Calendar'!$X$415))</f>
        <v/>
      </c>
      <c r="BK48" s="106">
        <f>IF(GM48="","",IF(ISNUMBER('Dvd Calendar'!$Y$415)=FALSE,"",'Dvd Calendar'!$Y$415))</f>
        <v/>
      </c>
      <c r="BL48" s="106">
        <f>IF(GN48="","",IF(ISNUMBER('Dvd Calendar'!$Z$415)=FALSE,"",'Dvd Calendar'!$Z$415))</f>
        <v/>
      </c>
      <c r="BM48" s="106">
        <f>IF(GO48="","",IF(ISNUMBER('Dvd Calendar'!$AA$415)=FALSE,"",'Dvd Calendar'!$AA$415))</f>
        <v/>
      </c>
      <c r="BN48" s="106">
        <f>IF(GP48="","",IF(ISNUMBER('Dvd Calendar'!$AB$415)=FALSE,"",'Dvd Calendar'!$AB$415))</f>
        <v/>
      </c>
      <c r="BO48" s="106">
        <f>IF(GQ48="","",IF(ISNUMBER('Dvd Calendar'!$AC$415)=FALSE,"",'Dvd Calendar'!$AC$415))</f>
        <v/>
      </c>
      <c r="BQ48" s="106">
        <f>IF(C48="","",IFERROR(C48*HSI!$B$43*HSI!$G$43/HSI!$B$3,""))</f>
        <v/>
      </c>
      <c r="BR48" s="106">
        <f>IF(D48="","",IFERROR(D48*HSI!$B$43*HSI!$G$43/HSI!$B$3,""))</f>
        <v/>
      </c>
      <c r="BS48" s="106">
        <f>IF(E48="","",IFERROR(E48*HSI!$B$43*HSI!$G$43/HSI!$B$3,""))</f>
        <v/>
      </c>
      <c r="BT48" s="106">
        <f>IF(F48="","",IFERROR(F48*HSI!$B$43*HSI!$G$43/HSI!$B$3,""))</f>
        <v/>
      </c>
      <c r="BU48" s="106">
        <f>IF(G48="","",IFERROR(G48*HSI!$B$43*HSI!$G$43/HSI!$B$3,""))</f>
        <v/>
      </c>
      <c r="BV48" s="106">
        <f>IF(H48="","",IFERROR(H48*HSI!$B$43*HSI!$G$43/HSI!$B$3,""))</f>
        <v/>
      </c>
      <c r="BW48" s="106">
        <f>IF(I48="","",IFERROR(I48*HSI!$B$43*HSI!$G$43/HSI!$B$3,""))</f>
        <v/>
      </c>
      <c r="BX48" s="106">
        <f>IF(J48="","",IFERROR(J48*HSI!$B$43*HSI!$G$43/HSI!$B$3,""))</f>
        <v/>
      </c>
      <c r="BY48" s="106">
        <f>IF(K48="","",IFERROR(K48*HSI!$B$43*HSI!$G$43/HSI!$B$3,""))</f>
        <v/>
      </c>
      <c r="BZ48" s="106">
        <f>IF(L48="","",IFERROR(L48*HSI!$B$43*HSI!$G$43/HSI!$B$3,""))</f>
        <v/>
      </c>
      <c r="CA48" s="106">
        <f>IF(M48="","",IFERROR(M48*HSI!$B$43*HSI!$G$43/HSI!$B$3,""))</f>
        <v/>
      </c>
      <c r="CB48" s="106">
        <f>IF(N48="","",IFERROR(N48*HSI!$B$43*HSI!$G$43/HSI!$B$3,""))</f>
        <v/>
      </c>
      <c r="CC48" s="106">
        <f>IF(O48="","",IFERROR(O48*HSI!$B$43*HSI!$G$43/HSI!$B$3,""))</f>
        <v/>
      </c>
      <c r="CD48" s="106">
        <f>IF(P48="","",IFERROR(P48*HSI!$B$43*HSI!$G$43/HSI!$B$3,""))</f>
        <v/>
      </c>
      <c r="CE48" s="106">
        <f>IF(Q48="","",IFERROR(Q48*HSI!$B$43*HSI!$G$43/HSI!$B$3,""))</f>
        <v/>
      </c>
      <c r="CF48" s="106">
        <f>IF(R48="","",IFERROR(R48*HSI!$B$43*HSI!$G$43/HSI!$B$3,""))</f>
        <v/>
      </c>
      <c r="CG48" s="106">
        <f>IF(S48="","",IFERROR(S48*HSI!$B$43*HSI!$G$43/HSI!$B$3,""))</f>
        <v/>
      </c>
      <c r="CH48" s="106">
        <f>IF(T48="","",IFERROR(T48*HSI!$B$43*HSI!$G$43/HSI!$B$3,""))</f>
        <v/>
      </c>
      <c r="CI48" s="106">
        <f>IF(U48="","",IFERROR(U48*HSI!$B$43*HSI!$G$43/HSI!$B$3,""))</f>
        <v/>
      </c>
      <c r="CJ48" s="106">
        <f>IF(V48="","",IFERROR(V48*HSI!$B$43*HSI!$G$43/HSI!$B$3,""))</f>
        <v/>
      </c>
      <c r="CK48" s="106">
        <f>IF(W48="","",IFERROR(W48*HSI!$B$43*HSI!$G$43/HSI!$B$3,""))</f>
        <v/>
      </c>
      <c r="CL48" s="106">
        <f>IF(X48="","",IFERROR(X48*HSI!$B$43*HSI!$G$43/HSI!$B$3,""))</f>
        <v/>
      </c>
      <c r="CM48" s="106">
        <f>IF(Y48="","",IFERROR(Y48*HSI!$B$43*HSI!$G$43/HSI!$B$3,""))</f>
        <v/>
      </c>
      <c r="CN48" s="106">
        <f>IF(Z48="","",IFERROR(Z48*HSI!$B$43*HSI!$G$43/HSI!$B$3,""))</f>
        <v/>
      </c>
      <c r="CO48" s="106">
        <f>IF(AA48="","",IFERROR(AA48*HSI!$B$43*HSI!$G$43/HSI!$B$3,""))</f>
        <v/>
      </c>
      <c r="CP48" s="106">
        <f>IF(AB48="","",IFERROR(AB48*HSI!$B$43*HSI!$G$43/HSI!$B$3,""))</f>
        <v/>
      </c>
      <c r="CQ48" s="106">
        <f>IF(AC48="","",IFERROR(AC48*HSI!$B$43*HSI!$G$43/HSI!$B$3,""))</f>
        <v/>
      </c>
      <c r="CR48" s="106">
        <f>IF(AD48="","",IFERROR(AD48*HSI!$B$43*HSI!$G$43/HSI!$B$3,""))</f>
        <v/>
      </c>
      <c r="CS48" s="106">
        <f>IF(AE48="","",IFERROR(AE48*HSI!$B$43*HSI!$G$43/HSI!$B$3,""))</f>
        <v/>
      </c>
      <c r="CT48" s="106">
        <f>IF(AF48="","",IFERROR(AF48*HSI!$B$43*HSI!$G$43/HSI!$B$3,""))</f>
        <v/>
      </c>
      <c r="CU48" s="106">
        <f>IF(AG48="","",IFERROR(AG48*HSI!$B$43*HSI!$G$43/HSI!$B$3,""))</f>
        <v/>
      </c>
      <c r="CV48" s="106">
        <f>IF(AH48="","",IFERROR(AH48*HSI!$B$43*HSI!$G$43/HSI!$B$3,""))</f>
        <v/>
      </c>
      <c r="CW48" s="106">
        <f>IF(AI48="","",IFERROR(AI48*HSI!$B$43*HSI!$G$43/HSI!$B$3,""))</f>
        <v/>
      </c>
      <c r="CX48" s="106">
        <f>IF(AJ48="","",IFERROR(AJ48*HSI!$B$43*HSI!$G$43/HSI!$B$3,""))</f>
        <v/>
      </c>
      <c r="CY48" s="106">
        <f>IF(AK48="","",IFERROR(AK48*HSI!$B$43*HSI!$G$43/HSI!$B$3,""))</f>
        <v/>
      </c>
      <c r="CZ48" s="106">
        <f>IF(AL48="","",IFERROR(AL48*HSI!$B$43*HSI!$G$43/HSI!$B$3,""))</f>
        <v/>
      </c>
      <c r="DA48" s="106">
        <f>IF(AM48="","",IFERROR(AM48*HSI!$B$43*HSI!$G$43/HSI!$B$3,""))</f>
        <v/>
      </c>
      <c r="DB48" s="106">
        <f>IF(AN48="","",IFERROR(AN48*HSI!$B$43*HSI!$G$43/HSI!$B$3,""))</f>
        <v/>
      </c>
      <c r="DC48" s="106">
        <f>IF(AO48="","",IFERROR(AO48*HSI!$B$43*HSI!$G$43/HSI!$B$3,""))</f>
        <v/>
      </c>
      <c r="DD48" s="106">
        <f>IF(AP48="","",IFERROR(AP48*HSI!$B$43*HSI!$G$43/HSI!$B$3,""))</f>
        <v/>
      </c>
      <c r="DE48" s="106">
        <f>IF(AQ48="","",IFERROR(AQ48*HSI!$B$43*HSI!$G$43/HSI!$B$3,""))</f>
        <v/>
      </c>
      <c r="DF48" s="106">
        <f>IF(AR48="","",IFERROR(AR48*HSI!$B$43*HSI!$G$43/HSI!$B$3,""))</f>
        <v/>
      </c>
      <c r="DG48" s="106">
        <f>IF(AS48="","",IFERROR(AS48*HSI!$B$43*HSI!$G$43/HSI!$B$3,""))</f>
        <v/>
      </c>
      <c r="DH48" s="106">
        <f>IF(AT48="","",IFERROR(AT48*HSI!$B$43*HSI!$G$43/HSI!$B$3,""))</f>
        <v/>
      </c>
      <c r="DI48" s="106">
        <f>IF(AU48="","",IFERROR(AU48*HSI!$B$43*HSI!$G$43/HSI!$B$3,""))</f>
        <v/>
      </c>
      <c r="DJ48" s="106">
        <f>IF(AV48="","",IFERROR(AV48*HSI!$B$43*HSI!$G$43/HSI!$B$3,""))</f>
        <v/>
      </c>
      <c r="DK48" s="106">
        <f>IF(AW48="","",IFERROR(AW48*HSI!$B$43*HSI!$G$43/HSI!$B$3,""))</f>
        <v/>
      </c>
      <c r="DL48" s="106">
        <f>IF(AX48="","",IFERROR(AX48*HSI!$B$43*HSI!$G$43/HSI!$B$3,""))</f>
        <v/>
      </c>
      <c r="DM48" s="106">
        <f>IF(AY48="","",IFERROR(AY48*HSI!$B$43*HSI!$G$43/HSI!$B$3,""))</f>
        <v/>
      </c>
      <c r="DN48" s="106">
        <f>IF(AZ48="","",IFERROR(AZ48*HSI!$B$43*HSI!$G$43/HSI!$B$3,""))</f>
        <v/>
      </c>
      <c r="DO48" s="106">
        <f>IF(BA48="","",IFERROR(BA48*HSI!$B$43*HSI!$G$43/HSI!$B$3,""))</f>
        <v/>
      </c>
      <c r="DP48" s="106">
        <f>IF(BB48="","",IFERROR(BB48*HSI!$B$43*HSI!$G$43/HSI!$B$3,""))</f>
        <v/>
      </c>
      <c r="DQ48" s="106">
        <f>IF(BC48="","",IFERROR(BC48*HSI!$B$43*HSI!$G$43/HSI!$B$3,""))</f>
        <v/>
      </c>
      <c r="DR48" s="106">
        <f>IF(BD48="","",IFERROR(BD48*HSI!$B$43*HSI!$G$43/HSI!$B$3,""))</f>
        <v/>
      </c>
      <c r="DS48" s="106">
        <f>IF(BE48="","",IFERROR(BE48*HSI!$B$43*HSI!$G$43/HSI!$B$3,""))</f>
        <v/>
      </c>
      <c r="DT48" s="106">
        <f>IF(BF48="","",IFERROR(BF48*HSI!$B$43*HSI!$G$43/HSI!$B$3,""))</f>
        <v/>
      </c>
      <c r="DU48" s="106">
        <f>IF(BG48="","",IFERROR(BG48*HSI!$B$43*HSI!$G$43/HSI!$B$3,""))</f>
        <v/>
      </c>
      <c r="DV48" s="106">
        <f>IF(BH48="","",IFERROR(BH48*HSI!$B$43*HSI!$G$43/HSI!$B$3,""))</f>
        <v/>
      </c>
      <c r="DW48" s="106">
        <f>IF(BI48="","",IFERROR(BI48*HSI!$B$43*HSI!$G$43/HSI!$B$3,""))</f>
        <v/>
      </c>
      <c r="DX48" s="106">
        <f>IF(BJ48="","",IFERROR(BJ48*HSI!$B$43*HSI!$G$43/HSI!$B$3,""))</f>
        <v/>
      </c>
      <c r="DY48" s="106">
        <f>IF(BK48="","",IFERROR(BK48*HSI!$B$43*HSI!$G$43/HSI!$B$3,""))</f>
        <v/>
      </c>
      <c r="DZ48" s="106">
        <f>IF(BL48="","",IFERROR(BL48*HSI!$B$43*HSI!$G$43/HSI!$B$3,""))</f>
        <v/>
      </c>
      <c r="EA48" s="106">
        <f>IF(BM48="","",IFERROR(BM48*HSI!$B$43*HSI!$G$43/HSI!$B$3,""))</f>
        <v/>
      </c>
      <c r="EB48" s="106">
        <f>IF(BN48="","",IFERROR(BN48*HSI!$B$43*HSI!$G$43/HSI!$B$3,""))</f>
        <v/>
      </c>
      <c r="EC48" s="106">
        <f>IF(BO48="","",IFERROR(BO48*HSI!$B$43*HSI!$G$43/HSI!$B$3,""))</f>
        <v/>
      </c>
      <c r="EE48" s="35">
        <f>IF(N('Dvd Calendar'!$E$407)=0,"",IF(('Dvd Calendar'!$E$407&gt;=GRID_FROM)*('Dvd Calendar'!$E$407&lt;=GRID_TO)*('Dvd Calendar'!$E$407&lt;=VAL_DATE)=0,"",'Dvd Calendar'!$E$407*1000000000+ISNUMBER('Dvd Calendar'!$E$410)*100000000+('Dvd Calendar'!$E$412=SPECIAL_LBL)*10000000+0*1000000+37*1000+1))</f>
        <v/>
      </c>
      <c r="EF48" s="35">
        <f>IF(N('Dvd Calendar'!$F$407)=0,"",IF(('Dvd Calendar'!$F$407&gt;=GRID_FROM)*('Dvd Calendar'!$F$407&lt;=GRID_TO)*('Dvd Calendar'!$F$407&lt;=VAL_DATE)=0,"",'Dvd Calendar'!$F$407*1000000000+ISNUMBER('Dvd Calendar'!$F$410)*100000000+('Dvd Calendar'!$F$412=SPECIAL_LBL)*10000000+0*1000000+37*1000+2))</f>
        <v/>
      </c>
      <c r="EG48" s="35">
        <f>IF(N('Dvd Calendar'!$G$407)=0,"",IF(('Dvd Calendar'!$G$407&gt;=GRID_FROM)*('Dvd Calendar'!$G$407&lt;=GRID_TO)*('Dvd Calendar'!$G$407&lt;=VAL_DATE)=0,"",'Dvd Calendar'!$G$407*1000000000+ISNUMBER('Dvd Calendar'!$G$410)*100000000+('Dvd Calendar'!$G$412=SPECIAL_LBL)*10000000+0*1000000+37*1000+3))</f>
        <v/>
      </c>
      <c r="EH48" s="35">
        <f>IF(N('Dvd Calendar'!$H$407)=0,"",IF(('Dvd Calendar'!$H$407&gt;=GRID_FROM)*('Dvd Calendar'!$H$407&lt;=GRID_TO)*('Dvd Calendar'!$H$407&lt;=VAL_DATE)=0,"",'Dvd Calendar'!$H$407*1000000000+ISNUMBER('Dvd Calendar'!$H$410)*100000000+('Dvd Calendar'!$H$412=SPECIAL_LBL)*10000000+0*1000000+37*1000+4))</f>
        <v/>
      </c>
      <c r="EI48" s="35">
        <f>IF(N('Dvd Calendar'!$I$407)=0,"",IF(('Dvd Calendar'!$I$407&gt;=GRID_FROM)*('Dvd Calendar'!$I$407&lt;=GRID_TO)*('Dvd Calendar'!$I$407&lt;=VAL_DATE)=0,"",'Dvd Calendar'!$I$407*1000000000+ISNUMBER('Dvd Calendar'!$I$410)*100000000+('Dvd Calendar'!$I$412=SPECIAL_LBL)*10000000+0*1000000+37*1000+5))</f>
        <v/>
      </c>
      <c r="EJ48" s="35">
        <f>IF(N('Dvd Calendar'!$J$407)=0,"",IF(('Dvd Calendar'!$J$407&gt;=GRID_FROM)*('Dvd Calendar'!$J$407&lt;=GRID_TO)*('Dvd Calendar'!$J$407&lt;=VAL_DATE)=0,"",'Dvd Calendar'!$J$407*1000000000+ISNUMBER('Dvd Calendar'!$J$410)*100000000+('Dvd Calendar'!$J$412=SPECIAL_LBL)*10000000+0*1000000+37*1000+6))</f>
        <v/>
      </c>
      <c r="EK48" s="35">
        <f>IF(N('Dvd Calendar'!$K$407)=0,"",IF(('Dvd Calendar'!$K$407&gt;=GRID_FROM)*('Dvd Calendar'!$K$407&lt;=GRID_TO)*('Dvd Calendar'!$K$407&lt;=VAL_DATE)=0,"",'Dvd Calendar'!$K$407*1000000000+ISNUMBER('Dvd Calendar'!$K$410)*100000000+('Dvd Calendar'!$K$412=SPECIAL_LBL)*10000000+0*1000000+37*1000+7))</f>
        <v/>
      </c>
      <c r="EL48" s="35">
        <f>IF(N('Dvd Calendar'!$L$407)=0,"",IF(('Dvd Calendar'!$L$407&gt;=GRID_FROM)*('Dvd Calendar'!$L$407&lt;=GRID_TO)*('Dvd Calendar'!$L$407&lt;=VAL_DATE)=0,"",'Dvd Calendar'!$L$407*1000000000+ISNUMBER('Dvd Calendar'!$L$410)*100000000+('Dvd Calendar'!$L$412=SPECIAL_LBL)*10000000+0*1000000+37*1000+8))</f>
        <v/>
      </c>
      <c r="EM48" s="35">
        <f>IF(N('Dvd Calendar'!$M$407)=0,"",IF(('Dvd Calendar'!$M$407&gt;=GRID_FROM)*('Dvd Calendar'!$M$407&lt;=GRID_TO)*('Dvd Calendar'!$M$407&lt;=VAL_DATE)=0,"",'Dvd Calendar'!$M$407*1000000000+ISNUMBER('Dvd Calendar'!$M$410)*100000000+('Dvd Calendar'!$M$412=SPECIAL_LBL)*10000000+0*1000000+37*1000+9))</f>
        <v/>
      </c>
      <c r="EN48" s="35">
        <f>IF(N('Dvd Calendar'!$N$407)=0,"",IF(('Dvd Calendar'!$N$407&gt;=GRID_FROM)*('Dvd Calendar'!$N$407&lt;=GRID_TO)*('Dvd Calendar'!$N$407&lt;=VAL_DATE)=0,"",'Dvd Calendar'!$N$407*1000000000+ISNUMBER('Dvd Calendar'!$N$410)*100000000+('Dvd Calendar'!$N$412=SPECIAL_LBL)*10000000+0*1000000+37*1000+10))</f>
        <v/>
      </c>
      <c r="EO48" s="35">
        <f>IF(N('Dvd Calendar'!$O$407)=0,"",IF(('Dvd Calendar'!$O$407&gt;=GRID_FROM)*('Dvd Calendar'!$O$407&lt;=GRID_TO)*('Dvd Calendar'!$O$407&lt;=VAL_DATE)=0,"",'Dvd Calendar'!$O$407*1000000000+ISNUMBER('Dvd Calendar'!$O$410)*100000000+('Dvd Calendar'!$O$412=SPECIAL_LBL)*10000000+0*1000000+37*1000+11))</f>
        <v/>
      </c>
      <c r="EP48" s="35">
        <f>IF(N('Dvd Calendar'!$P$407)=0,"",IF(('Dvd Calendar'!$P$407&gt;=GRID_FROM)*('Dvd Calendar'!$P$407&lt;=GRID_TO)*('Dvd Calendar'!$P$407&lt;=VAL_DATE)=0,"",'Dvd Calendar'!$P$407*1000000000+ISNUMBER('Dvd Calendar'!$P$410)*100000000+('Dvd Calendar'!$P$412=SPECIAL_LBL)*10000000+0*1000000+37*1000+12))</f>
        <v/>
      </c>
      <c r="EQ48" s="35">
        <f>IF(N('Dvd Calendar'!$Q$407)=0,"",IF(('Dvd Calendar'!$Q$407&gt;=GRID_FROM)*('Dvd Calendar'!$Q$407&lt;=GRID_TO)*('Dvd Calendar'!$Q$407&lt;=VAL_DATE)=0,"",'Dvd Calendar'!$Q$407*1000000000+ISNUMBER('Dvd Calendar'!$Q$410)*100000000+('Dvd Calendar'!$Q$412=SPECIAL_LBL)*10000000+0*1000000+37*1000+13))</f>
        <v/>
      </c>
      <c r="ER48" s="35">
        <f>IF(N('Dvd Calendar'!$R$407)=0,"",IF(('Dvd Calendar'!$R$407&gt;=GRID_FROM)*('Dvd Calendar'!$R$407&lt;=GRID_TO)*('Dvd Calendar'!$R$407&lt;=VAL_DATE)=0,"",'Dvd Calendar'!$R$407*1000000000+ISNUMBER('Dvd Calendar'!$R$410)*100000000+('Dvd Calendar'!$R$412=SPECIAL_LBL)*10000000+0*1000000+37*1000+14))</f>
        <v/>
      </c>
      <c r="ES48" s="35">
        <f>IF(N('Dvd Calendar'!$S$407)=0,"",IF(('Dvd Calendar'!$S$407&gt;=GRID_FROM)*('Dvd Calendar'!$S$407&lt;=GRID_TO)*('Dvd Calendar'!$S$407&lt;=VAL_DATE)=0,"",'Dvd Calendar'!$S$407*1000000000+ISNUMBER('Dvd Calendar'!$S$410)*100000000+('Dvd Calendar'!$S$412=SPECIAL_LBL)*10000000+0*1000000+37*1000+15))</f>
        <v/>
      </c>
      <c r="ET48" s="35">
        <f>IF(N('Dvd Calendar'!$T$407)=0,"",IF(('Dvd Calendar'!$T$407&gt;=GRID_FROM)*('Dvd Calendar'!$T$407&lt;=GRID_TO)*('Dvd Calendar'!$T$407&lt;=VAL_DATE)=0,"",'Dvd Calendar'!$T$407*1000000000+ISNUMBER('Dvd Calendar'!$T$410)*100000000+('Dvd Calendar'!$T$412=SPECIAL_LBL)*10000000+0*1000000+37*1000+16))</f>
        <v/>
      </c>
      <c r="EU48" s="35">
        <f>IF(N('Dvd Calendar'!$U$407)=0,"",IF(('Dvd Calendar'!$U$407&gt;=GRID_FROM)*('Dvd Calendar'!$U$407&lt;=GRID_TO)*('Dvd Calendar'!$U$407&lt;=VAL_DATE)=0,"",'Dvd Calendar'!$U$407*1000000000+ISNUMBER('Dvd Calendar'!$U$410)*100000000+('Dvd Calendar'!$U$412=SPECIAL_LBL)*10000000+0*1000000+37*1000+17))</f>
        <v/>
      </c>
      <c r="EV48" s="35">
        <f>IF(N('Dvd Calendar'!$V$407)=0,"",IF(('Dvd Calendar'!$V$407&gt;=GRID_FROM)*('Dvd Calendar'!$V$407&lt;=GRID_TO)*('Dvd Calendar'!$V$407&lt;=VAL_DATE)=0,"",'Dvd Calendar'!$V$407*1000000000+ISNUMBER('Dvd Calendar'!$V$410)*100000000+('Dvd Calendar'!$V$412=SPECIAL_LBL)*10000000+0*1000000+37*1000+18))</f>
        <v/>
      </c>
      <c r="EW48" s="35">
        <f>IF(N('Dvd Calendar'!$W$407)=0,"",IF(('Dvd Calendar'!$W$407&gt;=GRID_FROM)*('Dvd Calendar'!$W$407&lt;=GRID_TO)*('Dvd Calendar'!$W$407&lt;=VAL_DATE)=0,"",'Dvd Calendar'!$W$407*1000000000+ISNUMBER('Dvd Calendar'!$W$410)*100000000+('Dvd Calendar'!$W$412=SPECIAL_LBL)*10000000+0*1000000+37*1000+19))</f>
        <v/>
      </c>
      <c r="EX48" s="35">
        <f>IF(N('Dvd Calendar'!$X$407)=0,"",IF(('Dvd Calendar'!$X$407&gt;=GRID_FROM)*('Dvd Calendar'!$X$407&lt;=GRID_TO)*('Dvd Calendar'!$X$407&lt;=VAL_DATE)=0,"",'Dvd Calendar'!$X$407*1000000000+ISNUMBER('Dvd Calendar'!$X$410)*100000000+('Dvd Calendar'!$X$412=SPECIAL_LBL)*10000000+0*1000000+37*1000+20))</f>
        <v/>
      </c>
      <c r="EY48" s="35">
        <f>IF(N('Dvd Calendar'!$Y$407)=0,"",IF(('Dvd Calendar'!$Y$407&gt;=GRID_FROM)*('Dvd Calendar'!$Y$407&lt;=GRID_TO)*('Dvd Calendar'!$Y$407&lt;=VAL_DATE)=0,"",'Dvd Calendar'!$Y$407*1000000000+ISNUMBER('Dvd Calendar'!$Y$410)*100000000+('Dvd Calendar'!$Y$412=SPECIAL_LBL)*10000000+0*1000000+37*1000+21))</f>
        <v/>
      </c>
      <c r="EZ48" s="35">
        <f>IF(N('Dvd Calendar'!$Z$407)=0,"",IF(('Dvd Calendar'!$Z$407&gt;=GRID_FROM)*('Dvd Calendar'!$Z$407&lt;=GRID_TO)*('Dvd Calendar'!$Z$407&lt;=VAL_DATE)=0,"",'Dvd Calendar'!$Z$407*1000000000+ISNUMBER('Dvd Calendar'!$Z$410)*100000000+('Dvd Calendar'!$Z$412=SPECIAL_LBL)*10000000+0*1000000+37*1000+22))</f>
        <v/>
      </c>
      <c r="FA48" s="35">
        <f>IF(N('Dvd Calendar'!$AA$407)=0,"",IF(('Dvd Calendar'!$AA$407&gt;=GRID_FROM)*('Dvd Calendar'!$AA$407&lt;=GRID_TO)*('Dvd Calendar'!$AA$407&lt;=VAL_DATE)=0,"",'Dvd Calendar'!$AA$407*1000000000+ISNUMBER('Dvd Calendar'!$AA$410)*100000000+('Dvd Calendar'!$AA$412=SPECIAL_LBL)*10000000+0*1000000+37*1000+23))</f>
        <v/>
      </c>
      <c r="FB48" s="35">
        <f>IF(N('Dvd Calendar'!$AB$407)=0,"",IF(('Dvd Calendar'!$AB$407&gt;=GRID_FROM)*('Dvd Calendar'!$AB$407&lt;=GRID_TO)*('Dvd Calendar'!$AB$407&lt;=VAL_DATE)=0,"",'Dvd Calendar'!$AB$407*1000000000+ISNUMBER('Dvd Calendar'!$AB$410)*100000000+('Dvd Calendar'!$AB$412=SPECIAL_LBL)*10000000+0*1000000+37*1000+24))</f>
        <v/>
      </c>
      <c r="FC48" s="35">
        <f>IF(N('Dvd Calendar'!$AC$407)=0,"",IF(('Dvd Calendar'!$AC$407&gt;=GRID_FROM)*('Dvd Calendar'!$AC$407&lt;=GRID_TO)*('Dvd Calendar'!$AC$407&lt;=VAL_DATE)=0,"",'Dvd Calendar'!$AC$407*1000000000+ISNUMBER('Dvd Calendar'!$AC$410)*100000000+('Dvd Calendar'!$AC$412=SPECIAL_LBL)*10000000+0*1000000+37*1000+25))</f>
        <v/>
      </c>
      <c r="FD48" s="35">
        <f>IF(N('Dvd Calendar'!$AD$407)=0,"",IF(('Dvd Calendar'!$AD$407&gt;=GRID_FROM)*('Dvd Calendar'!$AD$407&lt;=GRID_TO)*('Dvd Calendar'!$AD$407&lt;=VAL_DATE)=0,"",'Dvd Calendar'!$AD$407*1000000000+ISNUMBER('Dvd Calendar'!$AD$410)*100000000+('Dvd Calendar'!$AD$412=SPECIAL_LBL)*10000000+0*1000000+37*1000+26))</f>
        <v/>
      </c>
      <c r="FE48" s="35">
        <f>IF(N('Dvd Calendar'!$AE$407)=0,"",IF(('Dvd Calendar'!$AE$407&gt;=GRID_FROM)*('Dvd Calendar'!$AE$407&lt;=GRID_TO)*('Dvd Calendar'!$AE$407&lt;=VAL_DATE)=0,"",'Dvd Calendar'!$AE$407*1000000000+ISNUMBER('Dvd Calendar'!$AE$410)*100000000+('Dvd Calendar'!$AE$412=SPECIAL_LBL)*10000000+0*1000000+37*1000+27))</f>
        <v/>
      </c>
      <c r="FF48" s="35">
        <f>IF(N('Dvd Calendar'!$AF$407)=0,"",IF(('Dvd Calendar'!$AF$407&gt;=GRID_FROM)*('Dvd Calendar'!$AF$407&lt;=GRID_TO)*('Dvd Calendar'!$AF$407&lt;=VAL_DATE)=0,"",'Dvd Calendar'!$AF$407*1000000000+ISNUMBER('Dvd Calendar'!$AF$410)*100000000+('Dvd Calendar'!$AF$412=SPECIAL_LBL)*10000000+0*1000000+37*1000+28))</f>
        <v/>
      </c>
      <c r="FG48" s="35">
        <f>IF(N('Dvd Calendar'!$AG$407)=0,"",IF(('Dvd Calendar'!$AG$407&gt;=GRID_FROM)*('Dvd Calendar'!$AG$407&lt;=GRID_TO)*('Dvd Calendar'!$AG$407&lt;=VAL_DATE)=0,"",'Dvd Calendar'!$AG$407*1000000000+ISNUMBER('Dvd Calendar'!$AG$410)*100000000+('Dvd Calendar'!$AG$412=SPECIAL_LBL)*10000000+0*1000000+37*1000+29))</f>
        <v/>
      </c>
      <c r="FH48" s="35">
        <f>IF(N('Dvd Calendar'!$AH$407)=0,"",IF(('Dvd Calendar'!$AH$407&gt;=GRID_FROM)*('Dvd Calendar'!$AH$407&lt;=GRID_TO)*('Dvd Calendar'!$AH$407&lt;=VAL_DATE)=0,"",'Dvd Calendar'!$AH$407*1000000000+ISNUMBER('Dvd Calendar'!$AH$410)*100000000+('Dvd Calendar'!$AH$412=SPECIAL_LBL)*10000000+0*1000000+37*1000+30))</f>
        <v/>
      </c>
      <c r="FI48" s="35">
        <f>IF(N('Dvd Calendar'!$AI$407)=0,"",IF(('Dvd Calendar'!$AI$407&gt;=GRID_FROM)*('Dvd Calendar'!$AI$407&lt;=GRID_TO)*('Dvd Calendar'!$AI$407&lt;=VAL_DATE)=0,"",'Dvd Calendar'!$AI$407*1000000000+ISNUMBER('Dvd Calendar'!$AI$410)*100000000+('Dvd Calendar'!$AI$412=SPECIAL_LBL)*10000000+0*1000000+37*1000+31))</f>
        <v/>
      </c>
      <c r="FJ48" s="35">
        <f>IF(N('Dvd Calendar'!$AJ$407)=0,"",IF(('Dvd Calendar'!$AJ$407&gt;=GRID_FROM)*('Dvd Calendar'!$AJ$407&lt;=GRID_TO)*('Dvd Calendar'!$AJ$407&lt;=VAL_DATE)=0,"",'Dvd Calendar'!$AJ$407*1000000000+ISNUMBER('Dvd Calendar'!$AJ$410)*100000000+('Dvd Calendar'!$AJ$412=SPECIAL_LBL)*10000000+0*1000000+37*1000+32))</f>
        <v/>
      </c>
      <c r="FK48" s="35">
        <f>IF(N('Dvd Calendar'!$AK$407)=0,"",IF(('Dvd Calendar'!$AK$407&gt;=GRID_FROM)*('Dvd Calendar'!$AK$407&lt;=GRID_TO)*('Dvd Calendar'!$AK$407&lt;=VAL_DATE)=0,"",'Dvd Calendar'!$AK$407*1000000000+ISNUMBER('Dvd Calendar'!$AK$410)*100000000+('Dvd Calendar'!$AK$412=SPECIAL_LBL)*10000000+0*1000000+37*1000+33))</f>
        <v/>
      </c>
      <c r="FL48" s="35">
        <f>IF(N('Dvd Calendar'!$AL$407)=0,"",IF(('Dvd Calendar'!$AL$407&gt;=GRID_FROM)*('Dvd Calendar'!$AL$407&lt;=GRID_TO)*('Dvd Calendar'!$AL$407&lt;=VAL_DATE)=0,"",'Dvd Calendar'!$AL$407*1000000000+ISNUMBER('Dvd Calendar'!$AL$410)*100000000+('Dvd Calendar'!$AL$412=SPECIAL_LBL)*10000000+0*1000000+37*1000+34))</f>
        <v/>
      </c>
      <c r="FM48" s="35">
        <f>IF(N('Dvd Calendar'!$AM$407)=0,"",IF(('Dvd Calendar'!$AM$407&gt;=GRID_FROM)*('Dvd Calendar'!$AM$407&lt;=GRID_TO)*('Dvd Calendar'!$AM$407&lt;=VAL_DATE)=0,"",'Dvd Calendar'!$AM$407*1000000000+ISNUMBER('Dvd Calendar'!$AM$410)*100000000+('Dvd Calendar'!$AM$412=SPECIAL_LBL)*10000000+0*1000000+37*1000+35))</f>
        <v/>
      </c>
      <c r="FN48" s="35">
        <f>IF(N('Dvd Calendar'!$AN$407)=0,"",IF(('Dvd Calendar'!$AN$407&gt;=GRID_FROM)*('Dvd Calendar'!$AN$407&lt;=GRID_TO)*('Dvd Calendar'!$AN$407&lt;=VAL_DATE)=0,"",'Dvd Calendar'!$AN$407*1000000000+ISNUMBER('Dvd Calendar'!$AN$410)*100000000+('Dvd Calendar'!$AN$412=SPECIAL_LBL)*10000000+0*1000000+37*1000+36))</f>
        <v/>
      </c>
      <c r="FO48" s="35">
        <f>IF(N('Dvd Calendar'!$AO$407)=0,"",IF(('Dvd Calendar'!$AO$407&gt;=GRID_FROM)*('Dvd Calendar'!$AO$407&lt;=GRID_TO)*('Dvd Calendar'!$AO$407&lt;=VAL_DATE)=0,"",'Dvd Calendar'!$AO$407*1000000000+ISNUMBER('Dvd Calendar'!$AO$410)*100000000+('Dvd Calendar'!$AO$412=SPECIAL_LBL)*10000000+0*1000000+37*1000+37))</f>
        <v/>
      </c>
      <c r="FP48" s="35">
        <f>IF(N('Dvd Calendar'!$AP$407)=0,"",IF(('Dvd Calendar'!$AP$407&gt;=GRID_FROM)*('Dvd Calendar'!$AP$407&lt;=GRID_TO)*('Dvd Calendar'!$AP$407&lt;=VAL_DATE)=0,"",'Dvd Calendar'!$AP$407*1000000000+ISNUMBER('Dvd Calendar'!$AP$410)*100000000+('Dvd Calendar'!$AP$412=SPECIAL_LBL)*10000000+0*1000000+37*1000+38))</f>
        <v/>
      </c>
      <c r="FQ48" s="35">
        <f>IF(N('Dvd Calendar'!$AQ$407)=0,"",IF(('Dvd Calendar'!$AQ$407&gt;=GRID_FROM)*('Dvd Calendar'!$AQ$407&lt;=GRID_TO)*('Dvd Calendar'!$AQ$407&lt;=VAL_DATE)=0,"",'Dvd Calendar'!$AQ$407*1000000000+ISNUMBER('Dvd Calendar'!$AQ$410)*100000000+('Dvd Calendar'!$AQ$412=SPECIAL_LBL)*10000000+0*1000000+37*1000+39))</f>
        <v/>
      </c>
      <c r="FR48" s="35">
        <f>IF(N('Dvd Calendar'!$AR$407)=0,"",IF(('Dvd Calendar'!$AR$407&gt;=GRID_FROM)*('Dvd Calendar'!$AR$407&lt;=GRID_TO)*('Dvd Calendar'!$AR$407&lt;=VAL_DATE)=0,"",'Dvd Calendar'!$AR$407*1000000000+ISNUMBER('Dvd Calendar'!$AR$410)*100000000+('Dvd Calendar'!$AR$412=SPECIAL_LBL)*10000000+0*1000000+37*1000+40))</f>
        <v/>
      </c>
      <c r="FS48" s="35">
        <f>IF(N('Dvd Calendar'!$E$414)=0,"",IF(('Dvd Calendar'!$E$414&gt;=GRID_FROM)*('Dvd Calendar'!$E$414&lt;=GRID_TO)*('Dvd Calendar'!$E$414&gt;VAL_DATE)=0,"",'Dvd Calendar'!$E$414*1000000000+ISNUMBER('Dvd Calendar'!$E$415)*100000000+0*10000000+(N('Dvd Calendar'!$E$413)&gt;0)*(N('Dvd Calendar'!$E$413)&lt;=VAL_SERIAL)*1000000+37*1000+41))</f>
        <v/>
      </c>
      <c r="FT48" s="35">
        <f>IF(N('Dvd Calendar'!$F$414)=0,"",IF(('Dvd Calendar'!$F$414&gt;=GRID_FROM)*('Dvd Calendar'!$F$414&lt;=GRID_TO)*('Dvd Calendar'!$F$414&gt;VAL_DATE)=0,"",'Dvd Calendar'!$F$414*1000000000+ISNUMBER('Dvd Calendar'!$F$415)*100000000+0*10000000+(N('Dvd Calendar'!$F$413)&gt;0)*(N('Dvd Calendar'!$F$413)&lt;=VAL_SERIAL)*1000000+37*1000+42))</f>
        <v/>
      </c>
      <c r="FU48" s="35">
        <f>IF(N('Dvd Calendar'!$G$414)=0,"",IF(('Dvd Calendar'!$G$414&gt;=GRID_FROM)*('Dvd Calendar'!$G$414&lt;=GRID_TO)*('Dvd Calendar'!$G$414&gt;VAL_DATE)=0,"",'Dvd Calendar'!$G$414*1000000000+ISNUMBER('Dvd Calendar'!$G$415)*100000000+0*10000000+(N('Dvd Calendar'!$G$413)&gt;0)*(N('Dvd Calendar'!$G$413)&lt;=VAL_SERIAL)*1000000+37*1000+43))</f>
        <v/>
      </c>
      <c r="FV48" s="35">
        <f>IF(N('Dvd Calendar'!$H$414)=0,"",IF(('Dvd Calendar'!$H$414&gt;=GRID_FROM)*('Dvd Calendar'!$H$414&lt;=GRID_TO)*('Dvd Calendar'!$H$414&gt;VAL_DATE)=0,"",'Dvd Calendar'!$H$414*1000000000+ISNUMBER('Dvd Calendar'!$H$415)*100000000+0*10000000+(N('Dvd Calendar'!$H$413)&gt;0)*(N('Dvd Calendar'!$H$413)&lt;=VAL_SERIAL)*1000000+37*1000+44))</f>
        <v/>
      </c>
      <c r="FW48" s="35">
        <f>IF(N('Dvd Calendar'!$I$414)=0,"",IF(('Dvd Calendar'!$I$414&gt;=GRID_FROM)*('Dvd Calendar'!$I$414&lt;=GRID_TO)*('Dvd Calendar'!$I$414&gt;VAL_DATE)=0,"",'Dvd Calendar'!$I$414*1000000000+ISNUMBER('Dvd Calendar'!$I$415)*100000000+0*10000000+(N('Dvd Calendar'!$I$413)&gt;0)*(N('Dvd Calendar'!$I$413)&lt;=VAL_SERIAL)*1000000+37*1000+45))</f>
        <v/>
      </c>
      <c r="FX48" s="35">
        <f>IF(N('Dvd Calendar'!$J$414)=0,"",IF(('Dvd Calendar'!$J$414&gt;=GRID_FROM)*('Dvd Calendar'!$J$414&lt;=GRID_TO)*('Dvd Calendar'!$J$414&gt;VAL_DATE)=0,"",'Dvd Calendar'!$J$414*1000000000+ISNUMBER('Dvd Calendar'!$J$415)*100000000+0*10000000+(N('Dvd Calendar'!$J$413)&gt;0)*(N('Dvd Calendar'!$J$413)&lt;=VAL_SERIAL)*1000000+37*1000+46))</f>
        <v/>
      </c>
      <c r="FY48" s="35">
        <f>IF(N('Dvd Calendar'!$K$414)=0,"",IF(('Dvd Calendar'!$K$414&gt;=GRID_FROM)*('Dvd Calendar'!$K$414&lt;=GRID_TO)*('Dvd Calendar'!$K$414&gt;VAL_DATE)=0,"",'Dvd Calendar'!$K$414*1000000000+ISNUMBER('Dvd Calendar'!$K$415)*100000000+0*10000000+(N('Dvd Calendar'!$K$413)&gt;0)*(N('Dvd Calendar'!$K$413)&lt;=VAL_SERIAL)*1000000+37*1000+47))</f>
        <v/>
      </c>
      <c r="FZ48" s="35">
        <f>IF(N('Dvd Calendar'!$L$414)=0,"",IF(('Dvd Calendar'!$L$414&gt;=GRID_FROM)*('Dvd Calendar'!$L$414&lt;=GRID_TO)*('Dvd Calendar'!$L$414&gt;VAL_DATE)=0,"",'Dvd Calendar'!$L$414*1000000000+ISNUMBER('Dvd Calendar'!$L$415)*100000000+0*10000000+(N('Dvd Calendar'!$L$413)&gt;0)*(N('Dvd Calendar'!$L$413)&lt;=VAL_SERIAL)*1000000+37*1000+48))</f>
        <v/>
      </c>
      <c r="GA48" s="35">
        <f>IF(N('Dvd Calendar'!$M$414)=0,"",IF(('Dvd Calendar'!$M$414&gt;=GRID_FROM)*('Dvd Calendar'!$M$414&lt;=GRID_TO)*('Dvd Calendar'!$M$414&gt;VAL_DATE)=0,"",'Dvd Calendar'!$M$414*1000000000+ISNUMBER('Dvd Calendar'!$M$415)*100000000+0*10000000+(N('Dvd Calendar'!$M$413)&gt;0)*(N('Dvd Calendar'!$M$413)&lt;=VAL_SERIAL)*1000000+37*1000+49))</f>
        <v/>
      </c>
      <c r="GB48" s="35">
        <f>IF(N('Dvd Calendar'!$N$414)=0,"",IF(('Dvd Calendar'!$N$414&gt;=GRID_FROM)*('Dvd Calendar'!$N$414&lt;=GRID_TO)*('Dvd Calendar'!$N$414&gt;VAL_DATE)=0,"",'Dvd Calendar'!$N$414*1000000000+ISNUMBER('Dvd Calendar'!$N$415)*100000000+0*10000000+(N('Dvd Calendar'!$N$413)&gt;0)*(N('Dvd Calendar'!$N$413)&lt;=VAL_SERIAL)*1000000+37*1000+50))</f>
        <v/>
      </c>
      <c r="GC48" s="35">
        <f>IF(N('Dvd Calendar'!$O$414)=0,"",IF(('Dvd Calendar'!$O$414&gt;=GRID_FROM)*('Dvd Calendar'!$O$414&lt;=GRID_TO)*('Dvd Calendar'!$O$414&gt;VAL_DATE)=0,"",'Dvd Calendar'!$O$414*1000000000+ISNUMBER('Dvd Calendar'!$O$415)*100000000+0*10000000+(N('Dvd Calendar'!$O$413)&gt;0)*(N('Dvd Calendar'!$O$413)&lt;=VAL_SERIAL)*1000000+37*1000+51))</f>
        <v/>
      </c>
      <c r="GD48" s="35">
        <f>IF(N('Dvd Calendar'!$P$414)=0,"",IF(('Dvd Calendar'!$P$414&gt;=GRID_FROM)*('Dvd Calendar'!$P$414&lt;=GRID_TO)*('Dvd Calendar'!$P$414&gt;VAL_DATE)=0,"",'Dvd Calendar'!$P$414*1000000000+ISNUMBER('Dvd Calendar'!$P$415)*100000000+0*10000000+(N('Dvd Calendar'!$P$413)&gt;0)*(N('Dvd Calendar'!$P$413)&lt;=VAL_SERIAL)*1000000+37*1000+52))</f>
        <v/>
      </c>
      <c r="GE48" s="35">
        <f>IF(N('Dvd Calendar'!$Q$414)=0,"",IF(('Dvd Calendar'!$Q$414&gt;=GRID_FROM)*('Dvd Calendar'!$Q$414&lt;=GRID_TO)*('Dvd Calendar'!$Q$414&gt;VAL_DATE)=0,"",'Dvd Calendar'!$Q$414*1000000000+ISNUMBER('Dvd Calendar'!$Q$415)*100000000+0*10000000+(N('Dvd Calendar'!$Q$413)&gt;0)*(N('Dvd Calendar'!$Q$413)&lt;=VAL_SERIAL)*1000000+37*1000+53))</f>
        <v/>
      </c>
      <c r="GF48" s="35">
        <f>IF(N('Dvd Calendar'!$R$414)=0,"",IF(('Dvd Calendar'!$R$414&gt;=GRID_FROM)*('Dvd Calendar'!$R$414&lt;=GRID_TO)*('Dvd Calendar'!$R$414&gt;VAL_DATE)=0,"",'Dvd Calendar'!$R$414*1000000000+ISNUMBER('Dvd Calendar'!$R$415)*100000000+0*10000000+(N('Dvd Calendar'!$R$413)&gt;0)*(N('Dvd Calendar'!$R$413)&lt;=VAL_SERIAL)*1000000+37*1000+54))</f>
        <v/>
      </c>
      <c r="GG48" s="35">
        <f>IF(N('Dvd Calendar'!$S$414)=0,"",IF(('Dvd Calendar'!$S$414&gt;=GRID_FROM)*('Dvd Calendar'!$S$414&lt;=GRID_TO)*('Dvd Calendar'!$S$414&gt;VAL_DATE)=0,"",'Dvd Calendar'!$S$414*1000000000+ISNUMBER('Dvd Calendar'!$S$415)*100000000+0*10000000+(N('Dvd Calendar'!$S$413)&gt;0)*(N('Dvd Calendar'!$S$413)&lt;=VAL_SERIAL)*1000000+37*1000+55))</f>
        <v/>
      </c>
      <c r="GH48" s="35">
        <f>IF(N('Dvd Calendar'!$T$414)=0,"",IF(('Dvd Calendar'!$T$414&gt;=GRID_FROM)*('Dvd Calendar'!$T$414&lt;=GRID_TO)*('Dvd Calendar'!$T$414&gt;VAL_DATE)=0,"",'Dvd Calendar'!$T$414*1000000000+ISNUMBER('Dvd Calendar'!$T$415)*100000000+0*10000000+(N('Dvd Calendar'!$T$413)&gt;0)*(N('Dvd Calendar'!$T$413)&lt;=VAL_SERIAL)*1000000+37*1000+56))</f>
        <v/>
      </c>
      <c r="GI48" s="35">
        <f>IF(N('Dvd Calendar'!$U$414)=0,"",IF(('Dvd Calendar'!$U$414&gt;=GRID_FROM)*('Dvd Calendar'!$U$414&lt;=GRID_TO)*('Dvd Calendar'!$U$414&gt;VAL_DATE)=0,"",'Dvd Calendar'!$U$414*1000000000+ISNUMBER('Dvd Calendar'!$U$415)*100000000+0*10000000+(N('Dvd Calendar'!$U$413)&gt;0)*(N('Dvd Calendar'!$U$413)&lt;=VAL_SERIAL)*1000000+37*1000+57))</f>
        <v/>
      </c>
      <c r="GJ48" s="35">
        <f>IF(N('Dvd Calendar'!$V$414)=0,"",IF(('Dvd Calendar'!$V$414&gt;=GRID_FROM)*('Dvd Calendar'!$V$414&lt;=GRID_TO)*('Dvd Calendar'!$V$414&gt;VAL_DATE)=0,"",'Dvd Calendar'!$V$414*1000000000+ISNUMBER('Dvd Calendar'!$V$415)*100000000+0*10000000+(N('Dvd Calendar'!$V$413)&gt;0)*(N('Dvd Calendar'!$V$413)&lt;=VAL_SERIAL)*1000000+37*1000+58))</f>
        <v/>
      </c>
      <c r="GK48" s="35">
        <f>IF(N('Dvd Calendar'!$W$414)=0,"",IF(('Dvd Calendar'!$W$414&gt;=GRID_FROM)*('Dvd Calendar'!$W$414&lt;=GRID_TO)*('Dvd Calendar'!$W$414&gt;VAL_DATE)=0,"",'Dvd Calendar'!$W$414*1000000000+ISNUMBER('Dvd Calendar'!$W$415)*100000000+0*10000000+(N('Dvd Calendar'!$W$413)&gt;0)*(N('Dvd Calendar'!$W$413)&lt;=VAL_SERIAL)*1000000+37*1000+59))</f>
        <v/>
      </c>
      <c r="GL48" s="35">
        <f>IF(N('Dvd Calendar'!$X$414)=0,"",IF(('Dvd Calendar'!$X$414&gt;=GRID_FROM)*('Dvd Calendar'!$X$414&lt;=GRID_TO)*('Dvd Calendar'!$X$414&gt;VAL_DATE)=0,"",'Dvd Calendar'!$X$414*1000000000+ISNUMBER('Dvd Calendar'!$X$415)*100000000+0*10000000+(N('Dvd Calendar'!$X$413)&gt;0)*(N('Dvd Calendar'!$X$413)&lt;=VAL_SERIAL)*1000000+37*1000+60))</f>
        <v/>
      </c>
      <c r="GM48" s="35">
        <f>IF(N('Dvd Calendar'!$Y$414)=0,"",IF(('Dvd Calendar'!$Y$414&gt;=GRID_FROM)*('Dvd Calendar'!$Y$414&lt;=GRID_TO)*('Dvd Calendar'!$Y$414&gt;VAL_DATE)=0,"",'Dvd Calendar'!$Y$414*1000000000+ISNUMBER('Dvd Calendar'!$Y$415)*100000000+0*10000000+(N('Dvd Calendar'!$Y$413)&gt;0)*(N('Dvd Calendar'!$Y$413)&lt;=VAL_SERIAL)*1000000+37*1000+61))</f>
        <v/>
      </c>
      <c r="GN48" s="35">
        <f>IF(N('Dvd Calendar'!$Z$414)=0,"",IF(('Dvd Calendar'!$Z$414&gt;=GRID_FROM)*('Dvd Calendar'!$Z$414&lt;=GRID_TO)*('Dvd Calendar'!$Z$414&gt;VAL_DATE)=0,"",'Dvd Calendar'!$Z$414*1000000000+ISNUMBER('Dvd Calendar'!$Z$415)*100000000+0*10000000+(N('Dvd Calendar'!$Z$413)&gt;0)*(N('Dvd Calendar'!$Z$413)&lt;=VAL_SERIAL)*1000000+37*1000+62))</f>
        <v/>
      </c>
      <c r="GO48" s="35">
        <f>IF(N('Dvd Calendar'!$AA$414)=0,"",IF(('Dvd Calendar'!$AA$414&gt;=GRID_FROM)*('Dvd Calendar'!$AA$414&lt;=GRID_TO)*('Dvd Calendar'!$AA$414&gt;VAL_DATE)=0,"",'Dvd Calendar'!$AA$414*1000000000+ISNUMBER('Dvd Calendar'!$AA$415)*100000000+0*10000000+(N('Dvd Calendar'!$AA$413)&gt;0)*(N('Dvd Calendar'!$AA$413)&lt;=VAL_SERIAL)*1000000+37*1000+63))</f>
        <v/>
      </c>
      <c r="GP48" s="35">
        <f>IF(N('Dvd Calendar'!$AB$414)=0,"",IF(('Dvd Calendar'!$AB$414&gt;=GRID_FROM)*('Dvd Calendar'!$AB$414&lt;=GRID_TO)*('Dvd Calendar'!$AB$414&gt;VAL_DATE)=0,"",'Dvd Calendar'!$AB$414*1000000000+ISNUMBER('Dvd Calendar'!$AB$415)*100000000+0*10000000+(N('Dvd Calendar'!$AB$413)&gt;0)*(N('Dvd Calendar'!$AB$413)&lt;=VAL_SERIAL)*1000000+37*1000+64))</f>
        <v/>
      </c>
      <c r="GQ48" s="35">
        <f>IF(N('Dvd Calendar'!$AC$414)=0,"",IF(('Dvd Calendar'!$AC$414&gt;=GRID_FROM)*('Dvd Calendar'!$AC$414&lt;=GRID_TO)*('Dvd Calendar'!$AC$414&gt;VAL_DATE)=0,"",'Dvd Calendar'!$AC$414*1000000000+ISNUMBER('Dvd Calendar'!$AC$415)*100000000+0*10000000+(N('Dvd Calendar'!$AC$413)&gt;0)*(N('Dvd Calendar'!$AC$413)&lt;=VAL_SERIAL)*1000000+37*1000+65))</f>
        <v/>
      </c>
    </row>
    <row r="49">
      <c r="B49" s="2">
        <f>IF(HSI!$C$44="","",HSI!$C$44)</f>
        <v/>
      </c>
      <c r="C49" s="106">
        <f>IF(EE49="","",IF(ISNUMBER('Dvd Calendar'!$E$421)=FALSE,"",IF((('Dvd Calendar'!$E$423=TYPE1)*(TYPE1&lt;&gt;"")+('Dvd Calendar'!$E$423=TYPE2)*(TYPE2&lt;&gt;"")+('Dvd Calendar'!$E$423=TYPE3)*(TYPE3&lt;&gt;"")+('Dvd Calendar'!$E$423=TYPE4)*(TYPE4&lt;&gt;"")+('Dvd Calendar'!$E$423=SPECIAL_LBL)*(INC_SPECIALS="Y"))=0,"",'Dvd Calendar'!$E$421)))</f>
        <v/>
      </c>
      <c r="D49" s="106">
        <f>IF(EF49="","",IF(ISNUMBER('Dvd Calendar'!$F$421)=FALSE,"",IF((('Dvd Calendar'!$F$423=TYPE1)*(TYPE1&lt;&gt;"")+('Dvd Calendar'!$F$423=TYPE2)*(TYPE2&lt;&gt;"")+('Dvd Calendar'!$F$423=TYPE3)*(TYPE3&lt;&gt;"")+('Dvd Calendar'!$F$423=TYPE4)*(TYPE4&lt;&gt;"")+('Dvd Calendar'!$F$423=SPECIAL_LBL)*(INC_SPECIALS="Y"))=0,"",'Dvd Calendar'!$F$421)))</f>
        <v/>
      </c>
      <c r="E49" s="106">
        <f>IF(EG49="","",IF(ISNUMBER('Dvd Calendar'!$G$421)=FALSE,"",IF((('Dvd Calendar'!$G$423=TYPE1)*(TYPE1&lt;&gt;"")+('Dvd Calendar'!$G$423=TYPE2)*(TYPE2&lt;&gt;"")+('Dvd Calendar'!$G$423=TYPE3)*(TYPE3&lt;&gt;"")+('Dvd Calendar'!$G$423=TYPE4)*(TYPE4&lt;&gt;"")+('Dvd Calendar'!$G$423=SPECIAL_LBL)*(INC_SPECIALS="Y"))=0,"",'Dvd Calendar'!$G$421)))</f>
        <v/>
      </c>
      <c r="F49" s="106">
        <f>IF(EH49="","",IF(ISNUMBER('Dvd Calendar'!$H$421)=FALSE,"",IF((('Dvd Calendar'!$H$423=TYPE1)*(TYPE1&lt;&gt;"")+('Dvd Calendar'!$H$423=TYPE2)*(TYPE2&lt;&gt;"")+('Dvd Calendar'!$H$423=TYPE3)*(TYPE3&lt;&gt;"")+('Dvd Calendar'!$H$423=TYPE4)*(TYPE4&lt;&gt;"")+('Dvd Calendar'!$H$423=SPECIAL_LBL)*(INC_SPECIALS="Y"))=0,"",'Dvd Calendar'!$H$421)))</f>
        <v/>
      </c>
      <c r="G49" s="106">
        <f>IF(EI49="","",IF(ISNUMBER('Dvd Calendar'!$I$421)=FALSE,"",IF((('Dvd Calendar'!$I$423=TYPE1)*(TYPE1&lt;&gt;"")+('Dvd Calendar'!$I$423=TYPE2)*(TYPE2&lt;&gt;"")+('Dvd Calendar'!$I$423=TYPE3)*(TYPE3&lt;&gt;"")+('Dvd Calendar'!$I$423=TYPE4)*(TYPE4&lt;&gt;"")+('Dvd Calendar'!$I$423=SPECIAL_LBL)*(INC_SPECIALS="Y"))=0,"",'Dvd Calendar'!$I$421)))</f>
        <v/>
      </c>
      <c r="H49" s="106">
        <f>IF(EJ49="","",IF(ISNUMBER('Dvd Calendar'!$J$421)=FALSE,"",IF((('Dvd Calendar'!$J$423=TYPE1)*(TYPE1&lt;&gt;"")+('Dvd Calendar'!$J$423=TYPE2)*(TYPE2&lt;&gt;"")+('Dvd Calendar'!$J$423=TYPE3)*(TYPE3&lt;&gt;"")+('Dvd Calendar'!$J$423=TYPE4)*(TYPE4&lt;&gt;"")+('Dvd Calendar'!$J$423=SPECIAL_LBL)*(INC_SPECIALS="Y"))=0,"",'Dvd Calendar'!$J$421)))</f>
        <v/>
      </c>
      <c r="I49" s="106">
        <f>IF(EK49="","",IF(ISNUMBER('Dvd Calendar'!$K$421)=FALSE,"",IF((('Dvd Calendar'!$K$423=TYPE1)*(TYPE1&lt;&gt;"")+('Dvd Calendar'!$K$423=TYPE2)*(TYPE2&lt;&gt;"")+('Dvd Calendar'!$K$423=TYPE3)*(TYPE3&lt;&gt;"")+('Dvd Calendar'!$K$423=TYPE4)*(TYPE4&lt;&gt;"")+('Dvd Calendar'!$K$423=SPECIAL_LBL)*(INC_SPECIALS="Y"))=0,"",'Dvd Calendar'!$K$421)))</f>
        <v/>
      </c>
      <c r="J49" s="106">
        <f>IF(EL49="","",IF(ISNUMBER('Dvd Calendar'!$L$421)=FALSE,"",IF((('Dvd Calendar'!$L$423=TYPE1)*(TYPE1&lt;&gt;"")+('Dvd Calendar'!$L$423=TYPE2)*(TYPE2&lt;&gt;"")+('Dvd Calendar'!$L$423=TYPE3)*(TYPE3&lt;&gt;"")+('Dvd Calendar'!$L$423=TYPE4)*(TYPE4&lt;&gt;"")+('Dvd Calendar'!$L$423=SPECIAL_LBL)*(INC_SPECIALS="Y"))=0,"",'Dvd Calendar'!$L$421)))</f>
        <v/>
      </c>
      <c r="K49" s="106">
        <f>IF(EM49="","",IF(ISNUMBER('Dvd Calendar'!$M$421)=FALSE,"",IF((('Dvd Calendar'!$M$423=TYPE1)*(TYPE1&lt;&gt;"")+('Dvd Calendar'!$M$423=TYPE2)*(TYPE2&lt;&gt;"")+('Dvd Calendar'!$M$423=TYPE3)*(TYPE3&lt;&gt;"")+('Dvd Calendar'!$M$423=TYPE4)*(TYPE4&lt;&gt;"")+('Dvd Calendar'!$M$423=SPECIAL_LBL)*(INC_SPECIALS="Y"))=0,"",'Dvd Calendar'!$M$421)))</f>
        <v/>
      </c>
      <c r="L49" s="106">
        <f>IF(EN49="","",IF(ISNUMBER('Dvd Calendar'!$N$421)=FALSE,"",IF((('Dvd Calendar'!$N$423=TYPE1)*(TYPE1&lt;&gt;"")+('Dvd Calendar'!$N$423=TYPE2)*(TYPE2&lt;&gt;"")+('Dvd Calendar'!$N$423=TYPE3)*(TYPE3&lt;&gt;"")+('Dvd Calendar'!$N$423=TYPE4)*(TYPE4&lt;&gt;"")+('Dvd Calendar'!$N$423=SPECIAL_LBL)*(INC_SPECIALS="Y"))=0,"",'Dvd Calendar'!$N$421)))</f>
        <v/>
      </c>
      <c r="M49" s="106">
        <f>IF(EO49="","",IF(ISNUMBER('Dvd Calendar'!$O$421)=FALSE,"",IF((('Dvd Calendar'!$O$423=TYPE1)*(TYPE1&lt;&gt;"")+('Dvd Calendar'!$O$423=TYPE2)*(TYPE2&lt;&gt;"")+('Dvd Calendar'!$O$423=TYPE3)*(TYPE3&lt;&gt;"")+('Dvd Calendar'!$O$423=TYPE4)*(TYPE4&lt;&gt;"")+('Dvd Calendar'!$O$423=SPECIAL_LBL)*(INC_SPECIALS="Y"))=0,"",'Dvd Calendar'!$O$421)))</f>
        <v/>
      </c>
      <c r="N49" s="106">
        <f>IF(EP49="","",IF(ISNUMBER('Dvd Calendar'!$P$421)=FALSE,"",IF((('Dvd Calendar'!$P$423=TYPE1)*(TYPE1&lt;&gt;"")+('Dvd Calendar'!$P$423=TYPE2)*(TYPE2&lt;&gt;"")+('Dvd Calendar'!$P$423=TYPE3)*(TYPE3&lt;&gt;"")+('Dvd Calendar'!$P$423=TYPE4)*(TYPE4&lt;&gt;"")+('Dvd Calendar'!$P$423=SPECIAL_LBL)*(INC_SPECIALS="Y"))=0,"",'Dvd Calendar'!$P$421)))</f>
        <v/>
      </c>
      <c r="O49" s="106">
        <f>IF(EQ49="","",IF(ISNUMBER('Dvd Calendar'!$Q$421)=FALSE,"",IF((('Dvd Calendar'!$Q$423=TYPE1)*(TYPE1&lt;&gt;"")+('Dvd Calendar'!$Q$423=TYPE2)*(TYPE2&lt;&gt;"")+('Dvd Calendar'!$Q$423=TYPE3)*(TYPE3&lt;&gt;"")+('Dvd Calendar'!$Q$423=TYPE4)*(TYPE4&lt;&gt;"")+('Dvd Calendar'!$Q$423=SPECIAL_LBL)*(INC_SPECIALS="Y"))=0,"",'Dvd Calendar'!$Q$421)))</f>
        <v/>
      </c>
      <c r="P49" s="106">
        <f>IF(ER49="","",IF(ISNUMBER('Dvd Calendar'!$R$421)=FALSE,"",IF((('Dvd Calendar'!$R$423=TYPE1)*(TYPE1&lt;&gt;"")+('Dvd Calendar'!$R$423=TYPE2)*(TYPE2&lt;&gt;"")+('Dvd Calendar'!$R$423=TYPE3)*(TYPE3&lt;&gt;"")+('Dvd Calendar'!$R$423=TYPE4)*(TYPE4&lt;&gt;"")+('Dvd Calendar'!$R$423=SPECIAL_LBL)*(INC_SPECIALS="Y"))=0,"",'Dvd Calendar'!$R$421)))</f>
        <v/>
      </c>
      <c r="Q49" s="106">
        <f>IF(ES49="","",IF(ISNUMBER('Dvd Calendar'!$S$421)=FALSE,"",IF((('Dvd Calendar'!$S$423=TYPE1)*(TYPE1&lt;&gt;"")+('Dvd Calendar'!$S$423=TYPE2)*(TYPE2&lt;&gt;"")+('Dvd Calendar'!$S$423=TYPE3)*(TYPE3&lt;&gt;"")+('Dvd Calendar'!$S$423=TYPE4)*(TYPE4&lt;&gt;"")+('Dvd Calendar'!$S$423=SPECIAL_LBL)*(INC_SPECIALS="Y"))=0,"",'Dvd Calendar'!$S$421)))</f>
        <v/>
      </c>
      <c r="R49" s="106">
        <f>IF(ET49="","",IF(ISNUMBER('Dvd Calendar'!$T$421)=FALSE,"",IF((('Dvd Calendar'!$T$423=TYPE1)*(TYPE1&lt;&gt;"")+('Dvd Calendar'!$T$423=TYPE2)*(TYPE2&lt;&gt;"")+('Dvd Calendar'!$T$423=TYPE3)*(TYPE3&lt;&gt;"")+('Dvd Calendar'!$T$423=TYPE4)*(TYPE4&lt;&gt;"")+('Dvd Calendar'!$T$423=SPECIAL_LBL)*(INC_SPECIALS="Y"))=0,"",'Dvd Calendar'!$T$421)))</f>
        <v/>
      </c>
      <c r="S49" s="106">
        <f>IF(EU49="","",IF(ISNUMBER('Dvd Calendar'!$U$421)=FALSE,"",IF((('Dvd Calendar'!$U$423=TYPE1)*(TYPE1&lt;&gt;"")+('Dvd Calendar'!$U$423=TYPE2)*(TYPE2&lt;&gt;"")+('Dvd Calendar'!$U$423=TYPE3)*(TYPE3&lt;&gt;"")+('Dvd Calendar'!$U$423=TYPE4)*(TYPE4&lt;&gt;"")+('Dvd Calendar'!$U$423=SPECIAL_LBL)*(INC_SPECIALS="Y"))=0,"",'Dvd Calendar'!$U$421)))</f>
        <v/>
      </c>
      <c r="T49" s="106">
        <f>IF(EV49="","",IF(ISNUMBER('Dvd Calendar'!$V$421)=FALSE,"",IF((('Dvd Calendar'!$V$423=TYPE1)*(TYPE1&lt;&gt;"")+('Dvd Calendar'!$V$423=TYPE2)*(TYPE2&lt;&gt;"")+('Dvd Calendar'!$V$423=TYPE3)*(TYPE3&lt;&gt;"")+('Dvd Calendar'!$V$423=TYPE4)*(TYPE4&lt;&gt;"")+('Dvd Calendar'!$V$423=SPECIAL_LBL)*(INC_SPECIALS="Y"))=0,"",'Dvd Calendar'!$V$421)))</f>
        <v/>
      </c>
      <c r="U49" s="106">
        <f>IF(EW49="","",IF(ISNUMBER('Dvd Calendar'!$W$421)=FALSE,"",IF((('Dvd Calendar'!$W$423=TYPE1)*(TYPE1&lt;&gt;"")+('Dvd Calendar'!$W$423=TYPE2)*(TYPE2&lt;&gt;"")+('Dvd Calendar'!$W$423=TYPE3)*(TYPE3&lt;&gt;"")+('Dvd Calendar'!$W$423=TYPE4)*(TYPE4&lt;&gt;"")+('Dvd Calendar'!$W$423=SPECIAL_LBL)*(INC_SPECIALS="Y"))=0,"",'Dvd Calendar'!$W$421)))</f>
        <v/>
      </c>
      <c r="V49" s="106">
        <f>IF(EX49="","",IF(ISNUMBER('Dvd Calendar'!$X$421)=FALSE,"",IF((('Dvd Calendar'!$X$423=TYPE1)*(TYPE1&lt;&gt;"")+('Dvd Calendar'!$X$423=TYPE2)*(TYPE2&lt;&gt;"")+('Dvd Calendar'!$X$423=TYPE3)*(TYPE3&lt;&gt;"")+('Dvd Calendar'!$X$423=TYPE4)*(TYPE4&lt;&gt;"")+('Dvd Calendar'!$X$423=SPECIAL_LBL)*(INC_SPECIALS="Y"))=0,"",'Dvd Calendar'!$X$421)))</f>
        <v/>
      </c>
      <c r="W49" s="106">
        <f>IF(EY49="","",IF(ISNUMBER('Dvd Calendar'!$Y$421)=FALSE,"",IF((('Dvd Calendar'!$Y$423=TYPE1)*(TYPE1&lt;&gt;"")+('Dvd Calendar'!$Y$423=TYPE2)*(TYPE2&lt;&gt;"")+('Dvd Calendar'!$Y$423=TYPE3)*(TYPE3&lt;&gt;"")+('Dvd Calendar'!$Y$423=TYPE4)*(TYPE4&lt;&gt;"")+('Dvd Calendar'!$Y$423=SPECIAL_LBL)*(INC_SPECIALS="Y"))=0,"",'Dvd Calendar'!$Y$421)))</f>
        <v/>
      </c>
      <c r="X49" s="106">
        <f>IF(EZ49="","",IF(ISNUMBER('Dvd Calendar'!$Z$421)=FALSE,"",IF((('Dvd Calendar'!$Z$423=TYPE1)*(TYPE1&lt;&gt;"")+('Dvd Calendar'!$Z$423=TYPE2)*(TYPE2&lt;&gt;"")+('Dvd Calendar'!$Z$423=TYPE3)*(TYPE3&lt;&gt;"")+('Dvd Calendar'!$Z$423=TYPE4)*(TYPE4&lt;&gt;"")+('Dvd Calendar'!$Z$423=SPECIAL_LBL)*(INC_SPECIALS="Y"))=0,"",'Dvd Calendar'!$Z$421)))</f>
        <v/>
      </c>
      <c r="Y49" s="106">
        <f>IF(FA49="","",IF(ISNUMBER('Dvd Calendar'!$AA$421)=FALSE,"",IF((('Dvd Calendar'!$AA$423=TYPE1)*(TYPE1&lt;&gt;"")+('Dvd Calendar'!$AA$423=TYPE2)*(TYPE2&lt;&gt;"")+('Dvd Calendar'!$AA$423=TYPE3)*(TYPE3&lt;&gt;"")+('Dvd Calendar'!$AA$423=TYPE4)*(TYPE4&lt;&gt;"")+('Dvd Calendar'!$AA$423=SPECIAL_LBL)*(INC_SPECIALS="Y"))=0,"",'Dvd Calendar'!$AA$421)))</f>
        <v/>
      </c>
      <c r="Z49" s="106">
        <f>IF(FB49="","",IF(ISNUMBER('Dvd Calendar'!$AB$421)=FALSE,"",IF((('Dvd Calendar'!$AB$423=TYPE1)*(TYPE1&lt;&gt;"")+('Dvd Calendar'!$AB$423=TYPE2)*(TYPE2&lt;&gt;"")+('Dvd Calendar'!$AB$423=TYPE3)*(TYPE3&lt;&gt;"")+('Dvd Calendar'!$AB$423=TYPE4)*(TYPE4&lt;&gt;"")+('Dvd Calendar'!$AB$423=SPECIAL_LBL)*(INC_SPECIALS="Y"))=0,"",'Dvd Calendar'!$AB$421)))</f>
        <v/>
      </c>
      <c r="AA49" s="106">
        <f>IF(FC49="","",IF(ISNUMBER('Dvd Calendar'!$AC$421)=FALSE,"",IF((('Dvd Calendar'!$AC$423=TYPE1)*(TYPE1&lt;&gt;"")+('Dvd Calendar'!$AC$423=TYPE2)*(TYPE2&lt;&gt;"")+('Dvd Calendar'!$AC$423=TYPE3)*(TYPE3&lt;&gt;"")+('Dvd Calendar'!$AC$423=TYPE4)*(TYPE4&lt;&gt;"")+('Dvd Calendar'!$AC$423=SPECIAL_LBL)*(INC_SPECIALS="Y"))=0,"",'Dvd Calendar'!$AC$421)))</f>
        <v/>
      </c>
      <c r="AB49" s="106">
        <f>IF(FD49="","",IF(ISNUMBER('Dvd Calendar'!$AD$421)=FALSE,"",IF((('Dvd Calendar'!$AD$423=TYPE1)*(TYPE1&lt;&gt;"")+('Dvd Calendar'!$AD$423=TYPE2)*(TYPE2&lt;&gt;"")+('Dvd Calendar'!$AD$423=TYPE3)*(TYPE3&lt;&gt;"")+('Dvd Calendar'!$AD$423=TYPE4)*(TYPE4&lt;&gt;"")+('Dvd Calendar'!$AD$423=SPECIAL_LBL)*(INC_SPECIALS="Y"))=0,"",'Dvd Calendar'!$AD$421)))</f>
        <v/>
      </c>
      <c r="AC49" s="106">
        <f>IF(FE49="","",IF(ISNUMBER('Dvd Calendar'!$AE$421)=FALSE,"",IF((('Dvd Calendar'!$AE$423=TYPE1)*(TYPE1&lt;&gt;"")+('Dvd Calendar'!$AE$423=TYPE2)*(TYPE2&lt;&gt;"")+('Dvd Calendar'!$AE$423=TYPE3)*(TYPE3&lt;&gt;"")+('Dvd Calendar'!$AE$423=TYPE4)*(TYPE4&lt;&gt;"")+('Dvd Calendar'!$AE$423=SPECIAL_LBL)*(INC_SPECIALS="Y"))=0,"",'Dvd Calendar'!$AE$421)))</f>
        <v/>
      </c>
      <c r="AD49" s="106">
        <f>IF(FF49="","",IF(ISNUMBER('Dvd Calendar'!$AF$421)=FALSE,"",IF((('Dvd Calendar'!$AF$423=TYPE1)*(TYPE1&lt;&gt;"")+('Dvd Calendar'!$AF$423=TYPE2)*(TYPE2&lt;&gt;"")+('Dvd Calendar'!$AF$423=TYPE3)*(TYPE3&lt;&gt;"")+('Dvd Calendar'!$AF$423=TYPE4)*(TYPE4&lt;&gt;"")+('Dvd Calendar'!$AF$423=SPECIAL_LBL)*(INC_SPECIALS="Y"))=0,"",'Dvd Calendar'!$AF$421)))</f>
        <v/>
      </c>
      <c r="AE49" s="106">
        <f>IF(FG49="","",IF(ISNUMBER('Dvd Calendar'!$AG$421)=FALSE,"",IF((('Dvd Calendar'!$AG$423=TYPE1)*(TYPE1&lt;&gt;"")+('Dvd Calendar'!$AG$423=TYPE2)*(TYPE2&lt;&gt;"")+('Dvd Calendar'!$AG$423=TYPE3)*(TYPE3&lt;&gt;"")+('Dvd Calendar'!$AG$423=TYPE4)*(TYPE4&lt;&gt;"")+('Dvd Calendar'!$AG$423=SPECIAL_LBL)*(INC_SPECIALS="Y"))=0,"",'Dvd Calendar'!$AG$421)))</f>
        <v/>
      </c>
      <c r="AF49" s="106">
        <f>IF(FH49="","",IF(ISNUMBER('Dvd Calendar'!$AH$421)=FALSE,"",IF((('Dvd Calendar'!$AH$423=TYPE1)*(TYPE1&lt;&gt;"")+('Dvd Calendar'!$AH$423=TYPE2)*(TYPE2&lt;&gt;"")+('Dvd Calendar'!$AH$423=TYPE3)*(TYPE3&lt;&gt;"")+('Dvd Calendar'!$AH$423=TYPE4)*(TYPE4&lt;&gt;"")+('Dvd Calendar'!$AH$423=SPECIAL_LBL)*(INC_SPECIALS="Y"))=0,"",'Dvd Calendar'!$AH$421)))</f>
        <v/>
      </c>
      <c r="AG49" s="106">
        <f>IF(FI49="","",IF(ISNUMBER('Dvd Calendar'!$AI$421)=FALSE,"",IF((('Dvd Calendar'!$AI$423=TYPE1)*(TYPE1&lt;&gt;"")+('Dvd Calendar'!$AI$423=TYPE2)*(TYPE2&lt;&gt;"")+('Dvd Calendar'!$AI$423=TYPE3)*(TYPE3&lt;&gt;"")+('Dvd Calendar'!$AI$423=TYPE4)*(TYPE4&lt;&gt;"")+('Dvd Calendar'!$AI$423=SPECIAL_LBL)*(INC_SPECIALS="Y"))=0,"",'Dvd Calendar'!$AI$421)))</f>
        <v/>
      </c>
      <c r="AH49" s="106">
        <f>IF(FJ49="","",IF(ISNUMBER('Dvd Calendar'!$AJ$421)=FALSE,"",IF((('Dvd Calendar'!$AJ$423=TYPE1)*(TYPE1&lt;&gt;"")+('Dvd Calendar'!$AJ$423=TYPE2)*(TYPE2&lt;&gt;"")+('Dvd Calendar'!$AJ$423=TYPE3)*(TYPE3&lt;&gt;"")+('Dvd Calendar'!$AJ$423=TYPE4)*(TYPE4&lt;&gt;"")+('Dvd Calendar'!$AJ$423=SPECIAL_LBL)*(INC_SPECIALS="Y"))=0,"",'Dvd Calendar'!$AJ$421)))</f>
        <v/>
      </c>
      <c r="AI49" s="106">
        <f>IF(FK49="","",IF(ISNUMBER('Dvd Calendar'!$AK$421)=FALSE,"",IF((('Dvd Calendar'!$AK$423=TYPE1)*(TYPE1&lt;&gt;"")+('Dvd Calendar'!$AK$423=TYPE2)*(TYPE2&lt;&gt;"")+('Dvd Calendar'!$AK$423=TYPE3)*(TYPE3&lt;&gt;"")+('Dvd Calendar'!$AK$423=TYPE4)*(TYPE4&lt;&gt;"")+('Dvd Calendar'!$AK$423=SPECIAL_LBL)*(INC_SPECIALS="Y"))=0,"",'Dvd Calendar'!$AK$421)))</f>
        <v/>
      </c>
      <c r="AJ49" s="106">
        <f>IF(FL49="","",IF(ISNUMBER('Dvd Calendar'!$AL$421)=FALSE,"",IF((('Dvd Calendar'!$AL$423=TYPE1)*(TYPE1&lt;&gt;"")+('Dvd Calendar'!$AL$423=TYPE2)*(TYPE2&lt;&gt;"")+('Dvd Calendar'!$AL$423=TYPE3)*(TYPE3&lt;&gt;"")+('Dvd Calendar'!$AL$423=TYPE4)*(TYPE4&lt;&gt;"")+('Dvd Calendar'!$AL$423=SPECIAL_LBL)*(INC_SPECIALS="Y"))=0,"",'Dvd Calendar'!$AL$421)))</f>
        <v/>
      </c>
      <c r="AK49" s="106">
        <f>IF(FM49="","",IF(ISNUMBER('Dvd Calendar'!$AM$421)=FALSE,"",IF((('Dvd Calendar'!$AM$423=TYPE1)*(TYPE1&lt;&gt;"")+('Dvd Calendar'!$AM$423=TYPE2)*(TYPE2&lt;&gt;"")+('Dvd Calendar'!$AM$423=TYPE3)*(TYPE3&lt;&gt;"")+('Dvd Calendar'!$AM$423=TYPE4)*(TYPE4&lt;&gt;"")+('Dvd Calendar'!$AM$423=SPECIAL_LBL)*(INC_SPECIALS="Y"))=0,"",'Dvd Calendar'!$AM$421)))</f>
        <v/>
      </c>
      <c r="AL49" s="106">
        <f>IF(FN49="","",IF(ISNUMBER('Dvd Calendar'!$AN$421)=FALSE,"",IF((('Dvd Calendar'!$AN$423=TYPE1)*(TYPE1&lt;&gt;"")+('Dvd Calendar'!$AN$423=TYPE2)*(TYPE2&lt;&gt;"")+('Dvd Calendar'!$AN$423=TYPE3)*(TYPE3&lt;&gt;"")+('Dvd Calendar'!$AN$423=TYPE4)*(TYPE4&lt;&gt;"")+('Dvd Calendar'!$AN$423=SPECIAL_LBL)*(INC_SPECIALS="Y"))=0,"",'Dvd Calendar'!$AN$421)))</f>
        <v/>
      </c>
      <c r="AM49" s="106">
        <f>IF(FO49="","",IF(ISNUMBER('Dvd Calendar'!$AO$421)=FALSE,"",IF((('Dvd Calendar'!$AO$423=TYPE1)*(TYPE1&lt;&gt;"")+('Dvd Calendar'!$AO$423=TYPE2)*(TYPE2&lt;&gt;"")+('Dvd Calendar'!$AO$423=TYPE3)*(TYPE3&lt;&gt;"")+('Dvd Calendar'!$AO$423=TYPE4)*(TYPE4&lt;&gt;"")+('Dvd Calendar'!$AO$423=SPECIAL_LBL)*(INC_SPECIALS="Y"))=0,"",'Dvd Calendar'!$AO$421)))</f>
        <v/>
      </c>
      <c r="AN49" s="106">
        <f>IF(FP49="","",IF(ISNUMBER('Dvd Calendar'!$AP$421)=FALSE,"",IF((('Dvd Calendar'!$AP$423=TYPE1)*(TYPE1&lt;&gt;"")+('Dvd Calendar'!$AP$423=TYPE2)*(TYPE2&lt;&gt;"")+('Dvd Calendar'!$AP$423=TYPE3)*(TYPE3&lt;&gt;"")+('Dvd Calendar'!$AP$423=TYPE4)*(TYPE4&lt;&gt;"")+('Dvd Calendar'!$AP$423=SPECIAL_LBL)*(INC_SPECIALS="Y"))=0,"",'Dvd Calendar'!$AP$421)))</f>
        <v/>
      </c>
      <c r="AO49" s="106">
        <f>IF(FQ49="","",IF(ISNUMBER('Dvd Calendar'!$AQ$421)=FALSE,"",IF((('Dvd Calendar'!$AQ$423=TYPE1)*(TYPE1&lt;&gt;"")+('Dvd Calendar'!$AQ$423=TYPE2)*(TYPE2&lt;&gt;"")+('Dvd Calendar'!$AQ$423=TYPE3)*(TYPE3&lt;&gt;"")+('Dvd Calendar'!$AQ$423=TYPE4)*(TYPE4&lt;&gt;"")+('Dvd Calendar'!$AQ$423=SPECIAL_LBL)*(INC_SPECIALS="Y"))=0,"",'Dvd Calendar'!$AQ$421)))</f>
        <v/>
      </c>
      <c r="AP49" s="106">
        <f>IF(FR49="","",IF(ISNUMBER('Dvd Calendar'!$AR$421)=FALSE,"",IF((('Dvd Calendar'!$AR$423=TYPE1)*(TYPE1&lt;&gt;"")+('Dvd Calendar'!$AR$423=TYPE2)*(TYPE2&lt;&gt;"")+('Dvd Calendar'!$AR$423=TYPE3)*(TYPE3&lt;&gt;"")+('Dvd Calendar'!$AR$423=TYPE4)*(TYPE4&lt;&gt;"")+('Dvd Calendar'!$AR$423=SPECIAL_LBL)*(INC_SPECIALS="Y"))=0,"",'Dvd Calendar'!$AR$421)))</f>
        <v/>
      </c>
      <c r="AQ49" s="106">
        <f>IF(FS49="","",IF(ISNUMBER('Dvd Calendar'!$E$426)=FALSE,"",'Dvd Calendar'!$E$426))</f>
        <v/>
      </c>
      <c r="AR49" s="106">
        <f>IF(FT49="","",IF(ISNUMBER('Dvd Calendar'!$F$426)=FALSE,"",'Dvd Calendar'!$F$426))</f>
        <v/>
      </c>
      <c r="AS49" s="106">
        <f>IF(FU49="","",IF(ISNUMBER('Dvd Calendar'!$G$426)=FALSE,"",'Dvd Calendar'!$G$426))</f>
        <v/>
      </c>
      <c r="AT49" s="106">
        <f>IF(FV49="","",IF(ISNUMBER('Dvd Calendar'!$H$426)=FALSE,"",'Dvd Calendar'!$H$426))</f>
        <v/>
      </c>
      <c r="AU49" s="106">
        <f>IF(FW49="","",IF(ISNUMBER('Dvd Calendar'!$I$426)=FALSE,"",'Dvd Calendar'!$I$426))</f>
        <v/>
      </c>
      <c r="AV49" s="106">
        <f>IF(FX49="","",IF(ISNUMBER('Dvd Calendar'!$J$426)=FALSE,"",'Dvd Calendar'!$J$426))</f>
        <v/>
      </c>
      <c r="AW49" s="106">
        <f>IF(FY49="","",IF(ISNUMBER('Dvd Calendar'!$K$426)=FALSE,"",'Dvd Calendar'!$K$426))</f>
        <v/>
      </c>
      <c r="AX49" s="106">
        <f>IF(FZ49="","",IF(ISNUMBER('Dvd Calendar'!$L$426)=FALSE,"",'Dvd Calendar'!$L$426))</f>
        <v/>
      </c>
      <c r="AY49" s="106">
        <f>IF(GA49="","",IF(ISNUMBER('Dvd Calendar'!$M$426)=FALSE,"",'Dvd Calendar'!$M$426))</f>
        <v/>
      </c>
      <c r="AZ49" s="106">
        <f>IF(GB49="","",IF(ISNUMBER('Dvd Calendar'!$N$426)=FALSE,"",'Dvd Calendar'!$N$426))</f>
        <v/>
      </c>
      <c r="BA49" s="106">
        <f>IF(GC49="","",IF(ISNUMBER('Dvd Calendar'!$O$426)=FALSE,"",'Dvd Calendar'!$O$426))</f>
        <v/>
      </c>
      <c r="BB49" s="106">
        <f>IF(GD49="","",IF(ISNUMBER('Dvd Calendar'!$P$426)=FALSE,"",'Dvd Calendar'!$P$426))</f>
        <v/>
      </c>
      <c r="BC49" s="106">
        <f>IF(GE49="","",IF(ISNUMBER('Dvd Calendar'!$Q$426)=FALSE,"",'Dvd Calendar'!$Q$426))</f>
        <v/>
      </c>
      <c r="BD49" s="106">
        <f>IF(GF49="","",IF(ISNUMBER('Dvd Calendar'!$R$426)=FALSE,"",'Dvd Calendar'!$R$426))</f>
        <v/>
      </c>
      <c r="BE49" s="106">
        <f>IF(GG49="","",IF(ISNUMBER('Dvd Calendar'!$S$426)=FALSE,"",'Dvd Calendar'!$S$426))</f>
        <v/>
      </c>
      <c r="BF49" s="106">
        <f>IF(GH49="","",IF(ISNUMBER('Dvd Calendar'!$T$426)=FALSE,"",'Dvd Calendar'!$T$426))</f>
        <v/>
      </c>
      <c r="BG49" s="106">
        <f>IF(GI49="","",IF(ISNUMBER('Dvd Calendar'!$U$426)=FALSE,"",'Dvd Calendar'!$U$426))</f>
        <v/>
      </c>
      <c r="BH49" s="106">
        <f>IF(GJ49="","",IF(ISNUMBER('Dvd Calendar'!$V$426)=FALSE,"",'Dvd Calendar'!$V$426))</f>
        <v/>
      </c>
      <c r="BI49" s="106">
        <f>IF(GK49="","",IF(ISNUMBER('Dvd Calendar'!$W$426)=FALSE,"",'Dvd Calendar'!$W$426))</f>
        <v/>
      </c>
      <c r="BJ49" s="106">
        <f>IF(GL49="","",IF(ISNUMBER('Dvd Calendar'!$X$426)=FALSE,"",'Dvd Calendar'!$X$426))</f>
        <v/>
      </c>
      <c r="BK49" s="106">
        <f>IF(GM49="","",IF(ISNUMBER('Dvd Calendar'!$Y$426)=FALSE,"",'Dvd Calendar'!$Y$426))</f>
        <v/>
      </c>
      <c r="BL49" s="106">
        <f>IF(GN49="","",IF(ISNUMBER('Dvd Calendar'!$Z$426)=FALSE,"",'Dvd Calendar'!$Z$426))</f>
        <v/>
      </c>
      <c r="BM49" s="106">
        <f>IF(GO49="","",IF(ISNUMBER('Dvd Calendar'!$AA$426)=FALSE,"",'Dvd Calendar'!$AA$426))</f>
        <v/>
      </c>
      <c r="BN49" s="106">
        <f>IF(GP49="","",IF(ISNUMBER('Dvd Calendar'!$AB$426)=FALSE,"",'Dvd Calendar'!$AB$426))</f>
        <v/>
      </c>
      <c r="BO49" s="106">
        <f>IF(GQ49="","",IF(ISNUMBER('Dvd Calendar'!$AC$426)=FALSE,"",'Dvd Calendar'!$AC$426))</f>
        <v/>
      </c>
      <c r="BQ49" s="106">
        <f>IF(C49="","",IFERROR(C49*HSI!$B$44*HSI!$G$44/HSI!$B$3,""))</f>
        <v/>
      </c>
      <c r="BR49" s="106">
        <f>IF(D49="","",IFERROR(D49*HSI!$B$44*HSI!$G$44/HSI!$B$3,""))</f>
        <v/>
      </c>
      <c r="BS49" s="106">
        <f>IF(E49="","",IFERROR(E49*HSI!$B$44*HSI!$G$44/HSI!$B$3,""))</f>
        <v/>
      </c>
      <c r="BT49" s="106">
        <f>IF(F49="","",IFERROR(F49*HSI!$B$44*HSI!$G$44/HSI!$B$3,""))</f>
        <v/>
      </c>
      <c r="BU49" s="106">
        <f>IF(G49="","",IFERROR(G49*HSI!$B$44*HSI!$G$44/HSI!$B$3,""))</f>
        <v/>
      </c>
      <c r="BV49" s="106">
        <f>IF(H49="","",IFERROR(H49*HSI!$B$44*HSI!$G$44/HSI!$B$3,""))</f>
        <v/>
      </c>
      <c r="BW49" s="106">
        <f>IF(I49="","",IFERROR(I49*HSI!$B$44*HSI!$G$44/HSI!$B$3,""))</f>
        <v/>
      </c>
      <c r="BX49" s="106">
        <f>IF(J49="","",IFERROR(J49*HSI!$B$44*HSI!$G$44/HSI!$B$3,""))</f>
        <v/>
      </c>
      <c r="BY49" s="106">
        <f>IF(K49="","",IFERROR(K49*HSI!$B$44*HSI!$G$44/HSI!$B$3,""))</f>
        <v/>
      </c>
      <c r="BZ49" s="106">
        <f>IF(L49="","",IFERROR(L49*HSI!$B$44*HSI!$G$44/HSI!$B$3,""))</f>
        <v/>
      </c>
      <c r="CA49" s="106">
        <f>IF(M49="","",IFERROR(M49*HSI!$B$44*HSI!$G$44/HSI!$B$3,""))</f>
        <v/>
      </c>
      <c r="CB49" s="106">
        <f>IF(N49="","",IFERROR(N49*HSI!$B$44*HSI!$G$44/HSI!$B$3,""))</f>
        <v/>
      </c>
      <c r="CC49" s="106">
        <f>IF(O49="","",IFERROR(O49*HSI!$B$44*HSI!$G$44/HSI!$B$3,""))</f>
        <v/>
      </c>
      <c r="CD49" s="106">
        <f>IF(P49="","",IFERROR(P49*HSI!$B$44*HSI!$G$44/HSI!$B$3,""))</f>
        <v/>
      </c>
      <c r="CE49" s="106">
        <f>IF(Q49="","",IFERROR(Q49*HSI!$B$44*HSI!$G$44/HSI!$B$3,""))</f>
        <v/>
      </c>
      <c r="CF49" s="106">
        <f>IF(R49="","",IFERROR(R49*HSI!$B$44*HSI!$G$44/HSI!$B$3,""))</f>
        <v/>
      </c>
      <c r="CG49" s="106">
        <f>IF(S49="","",IFERROR(S49*HSI!$B$44*HSI!$G$44/HSI!$B$3,""))</f>
        <v/>
      </c>
      <c r="CH49" s="106">
        <f>IF(T49="","",IFERROR(T49*HSI!$B$44*HSI!$G$44/HSI!$B$3,""))</f>
        <v/>
      </c>
      <c r="CI49" s="106">
        <f>IF(U49="","",IFERROR(U49*HSI!$B$44*HSI!$G$44/HSI!$B$3,""))</f>
        <v/>
      </c>
      <c r="CJ49" s="106">
        <f>IF(V49="","",IFERROR(V49*HSI!$B$44*HSI!$G$44/HSI!$B$3,""))</f>
        <v/>
      </c>
      <c r="CK49" s="106">
        <f>IF(W49="","",IFERROR(W49*HSI!$B$44*HSI!$G$44/HSI!$B$3,""))</f>
        <v/>
      </c>
      <c r="CL49" s="106">
        <f>IF(X49="","",IFERROR(X49*HSI!$B$44*HSI!$G$44/HSI!$B$3,""))</f>
        <v/>
      </c>
      <c r="CM49" s="106">
        <f>IF(Y49="","",IFERROR(Y49*HSI!$B$44*HSI!$G$44/HSI!$B$3,""))</f>
        <v/>
      </c>
      <c r="CN49" s="106">
        <f>IF(Z49="","",IFERROR(Z49*HSI!$B$44*HSI!$G$44/HSI!$B$3,""))</f>
        <v/>
      </c>
      <c r="CO49" s="106">
        <f>IF(AA49="","",IFERROR(AA49*HSI!$B$44*HSI!$G$44/HSI!$B$3,""))</f>
        <v/>
      </c>
      <c r="CP49" s="106">
        <f>IF(AB49="","",IFERROR(AB49*HSI!$B$44*HSI!$G$44/HSI!$B$3,""))</f>
        <v/>
      </c>
      <c r="CQ49" s="106">
        <f>IF(AC49="","",IFERROR(AC49*HSI!$B$44*HSI!$G$44/HSI!$B$3,""))</f>
        <v/>
      </c>
      <c r="CR49" s="106">
        <f>IF(AD49="","",IFERROR(AD49*HSI!$B$44*HSI!$G$44/HSI!$B$3,""))</f>
        <v/>
      </c>
      <c r="CS49" s="106">
        <f>IF(AE49="","",IFERROR(AE49*HSI!$B$44*HSI!$G$44/HSI!$B$3,""))</f>
        <v/>
      </c>
      <c r="CT49" s="106">
        <f>IF(AF49="","",IFERROR(AF49*HSI!$B$44*HSI!$G$44/HSI!$B$3,""))</f>
        <v/>
      </c>
      <c r="CU49" s="106">
        <f>IF(AG49="","",IFERROR(AG49*HSI!$B$44*HSI!$G$44/HSI!$B$3,""))</f>
        <v/>
      </c>
      <c r="CV49" s="106">
        <f>IF(AH49="","",IFERROR(AH49*HSI!$B$44*HSI!$G$44/HSI!$B$3,""))</f>
        <v/>
      </c>
      <c r="CW49" s="106">
        <f>IF(AI49="","",IFERROR(AI49*HSI!$B$44*HSI!$G$44/HSI!$B$3,""))</f>
        <v/>
      </c>
      <c r="CX49" s="106">
        <f>IF(AJ49="","",IFERROR(AJ49*HSI!$B$44*HSI!$G$44/HSI!$B$3,""))</f>
        <v/>
      </c>
      <c r="CY49" s="106">
        <f>IF(AK49="","",IFERROR(AK49*HSI!$B$44*HSI!$G$44/HSI!$B$3,""))</f>
        <v/>
      </c>
      <c r="CZ49" s="106">
        <f>IF(AL49="","",IFERROR(AL49*HSI!$B$44*HSI!$G$44/HSI!$B$3,""))</f>
        <v/>
      </c>
      <c r="DA49" s="106">
        <f>IF(AM49="","",IFERROR(AM49*HSI!$B$44*HSI!$G$44/HSI!$B$3,""))</f>
        <v/>
      </c>
      <c r="DB49" s="106">
        <f>IF(AN49="","",IFERROR(AN49*HSI!$B$44*HSI!$G$44/HSI!$B$3,""))</f>
        <v/>
      </c>
      <c r="DC49" s="106">
        <f>IF(AO49="","",IFERROR(AO49*HSI!$B$44*HSI!$G$44/HSI!$B$3,""))</f>
        <v/>
      </c>
      <c r="DD49" s="106">
        <f>IF(AP49="","",IFERROR(AP49*HSI!$B$44*HSI!$G$44/HSI!$B$3,""))</f>
        <v/>
      </c>
      <c r="DE49" s="106">
        <f>IF(AQ49="","",IFERROR(AQ49*HSI!$B$44*HSI!$G$44/HSI!$B$3,""))</f>
        <v/>
      </c>
      <c r="DF49" s="106">
        <f>IF(AR49="","",IFERROR(AR49*HSI!$B$44*HSI!$G$44/HSI!$B$3,""))</f>
        <v/>
      </c>
      <c r="DG49" s="106">
        <f>IF(AS49="","",IFERROR(AS49*HSI!$B$44*HSI!$G$44/HSI!$B$3,""))</f>
        <v/>
      </c>
      <c r="DH49" s="106">
        <f>IF(AT49="","",IFERROR(AT49*HSI!$B$44*HSI!$G$44/HSI!$B$3,""))</f>
        <v/>
      </c>
      <c r="DI49" s="106">
        <f>IF(AU49="","",IFERROR(AU49*HSI!$B$44*HSI!$G$44/HSI!$B$3,""))</f>
        <v/>
      </c>
      <c r="DJ49" s="106">
        <f>IF(AV49="","",IFERROR(AV49*HSI!$B$44*HSI!$G$44/HSI!$B$3,""))</f>
        <v/>
      </c>
      <c r="DK49" s="106">
        <f>IF(AW49="","",IFERROR(AW49*HSI!$B$44*HSI!$G$44/HSI!$B$3,""))</f>
        <v/>
      </c>
      <c r="DL49" s="106">
        <f>IF(AX49="","",IFERROR(AX49*HSI!$B$44*HSI!$G$44/HSI!$B$3,""))</f>
        <v/>
      </c>
      <c r="DM49" s="106">
        <f>IF(AY49="","",IFERROR(AY49*HSI!$B$44*HSI!$G$44/HSI!$B$3,""))</f>
        <v/>
      </c>
      <c r="DN49" s="106">
        <f>IF(AZ49="","",IFERROR(AZ49*HSI!$B$44*HSI!$G$44/HSI!$B$3,""))</f>
        <v/>
      </c>
      <c r="DO49" s="106">
        <f>IF(BA49="","",IFERROR(BA49*HSI!$B$44*HSI!$G$44/HSI!$B$3,""))</f>
        <v/>
      </c>
      <c r="DP49" s="106">
        <f>IF(BB49="","",IFERROR(BB49*HSI!$B$44*HSI!$G$44/HSI!$B$3,""))</f>
        <v/>
      </c>
      <c r="DQ49" s="106">
        <f>IF(BC49="","",IFERROR(BC49*HSI!$B$44*HSI!$G$44/HSI!$B$3,""))</f>
        <v/>
      </c>
      <c r="DR49" s="106">
        <f>IF(BD49="","",IFERROR(BD49*HSI!$B$44*HSI!$G$44/HSI!$B$3,""))</f>
        <v/>
      </c>
      <c r="DS49" s="106">
        <f>IF(BE49="","",IFERROR(BE49*HSI!$B$44*HSI!$G$44/HSI!$B$3,""))</f>
        <v/>
      </c>
      <c r="DT49" s="106">
        <f>IF(BF49="","",IFERROR(BF49*HSI!$B$44*HSI!$G$44/HSI!$B$3,""))</f>
        <v/>
      </c>
      <c r="DU49" s="106">
        <f>IF(BG49="","",IFERROR(BG49*HSI!$B$44*HSI!$G$44/HSI!$B$3,""))</f>
        <v/>
      </c>
      <c r="DV49" s="106">
        <f>IF(BH49="","",IFERROR(BH49*HSI!$B$44*HSI!$G$44/HSI!$B$3,""))</f>
        <v/>
      </c>
      <c r="DW49" s="106">
        <f>IF(BI49="","",IFERROR(BI49*HSI!$B$44*HSI!$G$44/HSI!$B$3,""))</f>
        <v/>
      </c>
      <c r="DX49" s="106">
        <f>IF(BJ49="","",IFERROR(BJ49*HSI!$B$44*HSI!$G$44/HSI!$B$3,""))</f>
        <v/>
      </c>
      <c r="DY49" s="106">
        <f>IF(BK49="","",IFERROR(BK49*HSI!$B$44*HSI!$G$44/HSI!$B$3,""))</f>
        <v/>
      </c>
      <c r="DZ49" s="106">
        <f>IF(BL49="","",IFERROR(BL49*HSI!$B$44*HSI!$G$44/HSI!$B$3,""))</f>
        <v/>
      </c>
      <c r="EA49" s="106">
        <f>IF(BM49="","",IFERROR(BM49*HSI!$B$44*HSI!$G$44/HSI!$B$3,""))</f>
        <v/>
      </c>
      <c r="EB49" s="106">
        <f>IF(BN49="","",IFERROR(BN49*HSI!$B$44*HSI!$G$44/HSI!$B$3,""))</f>
        <v/>
      </c>
      <c r="EC49" s="106">
        <f>IF(BO49="","",IFERROR(BO49*HSI!$B$44*HSI!$G$44/HSI!$B$3,""))</f>
        <v/>
      </c>
      <c r="EE49" s="35">
        <f>IF(N('Dvd Calendar'!$E$418)=0,"",IF(('Dvd Calendar'!$E$418&gt;=GRID_FROM)*('Dvd Calendar'!$E$418&lt;=GRID_TO)*('Dvd Calendar'!$E$418&lt;=VAL_DATE)=0,"",'Dvd Calendar'!$E$418*1000000000+ISNUMBER('Dvd Calendar'!$E$421)*100000000+('Dvd Calendar'!$E$423=SPECIAL_LBL)*10000000+0*1000000+38*1000+1))</f>
        <v/>
      </c>
      <c r="EF49" s="35">
        <f>IF(N('Dvd Calendar'!$F$418)=0,"",IF(('Dvd Calendar'!$F$418&gt;=GRID_FROM)*('Dvd Calendar'!$F$418&lt;=GRID_TO)*('Dvd Calendar'!$F$418&lt;=VAL_DATE)=0,"",'Dvd Calendar'!$F$418*1000000000+ISNUMBER('Dvd Calendar'!$F$421)*100000000+('Dvd Calendar'!$F$423=SPECIAL_LBL)*10000000+0*1000000+38*1000+2))</f>
        <v/>
      </c>
      <c r="EG49" s="35">
        <f>IF(N('Dvd Calendar'!$G$418)=0,"",IF(('Dvd Calendar'!$G$418&gt;=GRID_FROM)*('Dvd Calendar'!$G$418&lt;=GRID_TO)*('Dvd Calendar'!$G$418&lt;=VAL_DATE)=0,"",'Dvd Calendar'!$G$418*1000000000+ISNUMBER('Dvd Calendar'!$G$421)*100000000+('Dvd Calendar'!$G$423=SPECIAL_LBL)*10000000+0*1000000+38*1000+3))</f>
        <v/>
      </c>
      <c r="EH49" s="35">
        <f>IF(N('Dvd Calendar'!$H$418)=0,"",IF(('Dvd Calendar'!$H$418&gt;=GRID_FROM)*('Dvd Calendar'!$H$418&lt;=GRID_TO)*('Dvd Calendar'!$H$418&lt;=VAL_DATE)=0,"",'Dvd Calendar'!$H$418*1000000000+ISNUMBER('Dvd Calendar'!$H$421)*100000000+('Dvd Calendar'!$H$423=SPECIAL_LBL)*10000000+0*1000000+38*1000+4))</f>
        <v/>
      </c>
      <c r="EI49" s="35">
        <f>IF(N('Dvd Calendar'!$I$418)=0,"",IF(('Dvd Calendar'!$I$418&gt;=GRID_FROM)*('Dvd Calendar'!$I$418&lt;=GRID_TO)*('Dvd Calendar'!$I$418&lt;=VAL_DATE)=0,"",'Dvd Calendar'!$I$418*1000000000+ISNUMBER('Dvd Calendar'!$I$421)*100000000+('Dvd Calendar'!$I$423=SPECIAL_LBL)*10000000+0*1000000+38*1000+5))</f>
        <v/>
      </c>
      <c r="EJ49" s="35">
        <f>IF(N('Dvd Calendar'!$J$418)=0,"",IF(('Dvd Calendar'!$J$418&gt;=GRID_FROM)*('Dvd Calendar'!$J$418&lt;=GRID_TO)*('Dvd Calendar'!$J$418&lt;=VAL_DATE)=0,"",'Dvd Calendar'!$J$418*1000000000+ISNUMBER('Dvd Calendar'!$J$421)*100000000+('Dvd Calendar'!$J$423=SPECIAL_LBL)*10000000+0*1000000+38*1000+6))</f>
        <v/>
      </c>
      <c r="EK49" s="35">
        <f>IF(N('Dvd Calendar'!$K$418)=0,"",IF(('Dvd Calendar'!$K$418&gt;=GRID_FROM)*('Dvd Calendar'!$K$418&lt;=GRID_TO)*('Dvd Calendar'!$K$418&lt;=VAL_DATE)=0,"",'Dvd Calendar'!$K$418*1000000000+ISNUMBER('Dvd Calendar'!$K$421)*100000000+('Dvd Calendar'!$K$423=SPECIAL_LBL)*10000000+0*1000000+38*1000+7))</f>
        <v/>
      </c>
      <c r="EL49" s="35">
        <f>IF(N('Dvd Calendar'!$L$418)=0,"",IF(('Dvd Calendar'!$L$418&gt;=GRID_FROM)*('Dvd Calendar'!$L$418&lt;=GRID_TO)*('Dvd Calendar'!$L$418&lt;=VAL_DATE)=0,"",'Dvd Calendar'!$L$418*1000000000+ISNUMBER('Dvd Calendar'!$L$421)*100000000+('Dvd Calendar'!$L$423=SPECIAL_LBL)*10000000+0*1000000+38*1000+8))</f>
        <v/>
      </c>
      <c r="EM49" s="35">
        <f>IF(N('Dvd Calendar'!$M$418)=0,"",IF(('Dvd Calendar'!$M$418&gt;=GRID_FROM)*('Dvd Calendar'!$M$418&lt;=GRID_TO)*('Dvd Calendar'!$M$418&lt;=VAL_DATE)=0,"",'Dvd Calendar'!$M$418*1000000000+ISNUMBER('Dvd Calendar'!$M$421)*100000000+('Dvd Calendar'!$M$423=SPECIAL_LBL)*10000000+0*1000000+38*1000+9))</f>
        <v/>
      </c>
      <c r="EN49" s="35">
        <f>IF(N('Dvd Calendar'!$N$418)=0,"",IF(('Dvd Calendar'!$N$418&gt;=GRID_FROM)*('Dvd Calendar'!$N$418&lt;=GRID_TO)*('Dvd Calendar'!$N$418&lt;=VAL_DATE)=0,"",'Dvd Calendar'!$N$418*1000000000+ISNUMBER('Dvd Calendar'!$N$421)*100000000+('Dvd Calendar'!$N$423=SPECIAL_LBL)*10000000+0*1000000+38*1000+10))</f>
        <v/>
      </c>
      <c r="EO49" s="35">
        <f>IF(N('Dvd Calendar'!$O$418)=0,"",IF(('Dvd Calendar'!$O$418&gt;=GRID_FROM)*('Dvd Calendar'!$O$418&lt;=GRID_TO)*('Dvd Calendar'!$O$418&lt;=VAL_DATE)=0,"",'Dvd Calendar'!$O$418*1000000000+ISNUMBER('Dvd Calendar'!$O$421)*100000000+('Dvd Calendar'!$O$423=SPECIAL_LBL)*10000000+0*1000000+38*1000+11))</f>
        <v/>
      </c>
      <c r="EP49" s="35">
        <f>IF(N('Dvd Calendar'!$P$418)=0,"",IF(('Dvd Calendar'!$P$418&gt;=GRID_FROM)*('Dvd Calendar'!$P$418&lt;=GRID_TO)*('Dvd Calendar'!$P$418&lt;=VAL_DATE)=0,"",'Dvd Calendar'!$P$418*1000000000+ISNUMBER('Dvd Calendar'!$P$421)*100000000+('Dvd Calendar'!$P$423=SPECIAL_LBL)*10000000+0*1000000+38*1000+12))</f>
        <v/>
      </c>
      <c r="EQ49" s="35">
        <f>IF(N('Dvd Calendar'!$Q$418)=0,"",IF(('Dvd Calendar'!$Q$418&gt;=GRID_FROM)*('Dvd Calendar'!$Q$418&lt;=GRID_TO)*('Dvd Calendar'!$Q$418&lt;=VAL_DATE)=0,"",'Dvd Calendar'!$Q$418*1000000000+ISNUMBER('Dvd Calendar'!$Q$421)*100000000+('Dvd Calendar'!$Q$423=SPECIAL_LBL)*10000000+0*1000000+38*1000+13))</f>
        <v/>
      </c>
      <c r="ER49" s="35">
        <f>IF(N('Dvd Calendar'!$R$418)=0,"",IF(('Dvd Calendar'!$R$418&gt;=GRID_FROM)*('Dvd Calendar'!$R$418&lt;=GRID_TO)*('Dvd Calendar'!$R$418&lt;=VAL_DATE)=0,"",'Dvd Calendar'!$R$418*1000000000+ISNUMBER('Dvd Calendar'!$R$421)*100000000+('Dvd Calendar'!$R$423=SPECIAL_LBL)*10000000+0*1000000+38*1000+14))</f>
        <v/>
      </c>
      <c r="ES49" s="35">
        <f>IF(N('Dvd Calendar'!$S$418)=0,"",IF(('Dvd Calendar'!$S$418&gt;=GRID_FROM)*('Dvd Calendar'!$S$418&lt;=GRID_TO)*('Dvd Calendar'!$S$418&lt;=VAL_DATE)=0,"",'Dvd Calendar'!$S$418*1000000000+ISNUMBER('Dvd Calendar'!$S$421)*100000000+('Dvd Calendar'!$S$423=SPECIAL_LBL)*10000000+0*1000000+38*1000+15))</f>
        <v/>
      </c>
      <c r="ET49" s="35">
        <f>IF(N('Dvd Calendar'!$T$418)=0,"",IF(('Dvd Calendar'!$T$418&gt;=GRID_FROM)*('Dvd Calendar'!$T$418&lt;=GRID_TO)*('Dvd Calendar'!$T$418&lt;=VAL_DATE)=0,"",'Dvd Calendar'!$T$418*1000000000+ISNUMBER('Dvd Calendar'!$T$421)*100000000+('Dvd Calendar'!$T$423=SPECIAL_LBL)*10000000+0*1000000+38*1000+16))</f>
        <v/>
      </c>
      <c r="EU49" s="35">
        <f>IF(N('Dvd Calendar'!$U$418)=0,"",IF(('Dvd Calendar'!$U$418&gt;=GRID_FROM)*('Dvd Calendar'!$U$418&lt;=GRID_TO)*('Dvd Calendar'!$U$418&lt;=VAL_DATE)=0,"",'Dvd Calendar'!$U$418*1000000000+ISNUMBER('Dvd Calendar'!$U$421)*100000000+('Dvd Calendar'!$U$423=SPECIAL_LBL)*10000000+0*1000000+38*1000+17))</f>
        <v/>
      </c>
      <c r="EV49" s="35">
        <f>IF(N('Dvd Calendar'!$V$418)=0,"",IF(('Dvd Calendar'!$V$418&gt;=GRID_FROM)*('Dvd Calendar'!$V$418&lt;=GRID_TO)*('Dvd Calendar'!$V$418&lt;=VAL_DATE)=0,"",'Dvd Calendar'!$V$418*1000000000+ISNUMBER('Dvd Calendar'!$V$421)*100000000+('Dvd Calendar'!$V$423=SPECIAL_LBL)*10000000+0*1000000+38*1000+18))</f>
        <v/>
      </c>
      <c r="EW49" s="35">
        <f>IF(N('Dvd Calendar'!$W$418)=0,"",IF(('Dvd Calendar'!$W$418&gt;=GRID_FROM)*('Dvd Calendar'!$W$418&lt;=GRID_TO)*('Dvd Calendar'!$W$418&lt;=VAL_DATE)=0,"",'Dvd Calendar'!$W$418*1000000000+ISNUMBER('Dvd Calendar'!$W$421)*100000000+('Dvd Calendar'!$W$423=SPECIAL_LBL)*10000000+0*1000000+38*1000+19))</f>
        <v/>
      </c>
      <c r="EX49" s="35">
        <f>IF(N('Dvd Calendar'!$X$418)=0,"",IF(('Dvd Calendar'!$X$418&gt;=GRID_FROM)*('Dvd Calendar'!$X$418&lt;=GRID_TO)*('Dvd Calendar'!$X$418&lt;=VAL_DATE)=0,"",'Dvd Calendar'!$X$418*1000000000+ISNUMBER('Dvd Calendar'!$X$421)*100000000+('Dvd Calendar'!$X$423=SPECIAL_LBL)*10000000+0*1000000+38*1000+20))</f>
        <v/>
      </c>
      <c r="EY49" s="35">
        <f>IF(N('Dvd Calendar'!$Y$418)=0,"",IF(('Dvd Calendar'!$Y$418&gt;=GRID_FROM)*('Dvd Calendar'!$Y$418&lt;=GRID_TO)*('Dvd Calendar'!$Y$418&lt;=VAL_DATE)=0,"",'Dvd Calendar'!$Y$418*1000000000+ISNUMBER('Dvd Calendar'!$Y$421)*100000000+('Dvd Calendar'!$Y$423=SPECIAL_LBL)*10000000+0*1000000+38*1000+21))</f>
        <v/>
      </c>
      <c r="EZ49" s="35">
        <f>IF(N('Dvd Calendar'!$Z$418)=0,"",IF(('Dvd Calendar'!$Z$418&gt;=GRID_FROM)*('Dvd Calendar'!$Z$418&lt;=GRID_TO)*('Dvd Calendar'!$Z$418&lt;=VAL_DATE)=0,"",'Dvd Calendar'!$Z$418*1000000000+ISNUMBER('Dvd Calendar'!$Z$421)*100000000+('Dvd Calendar'!$Z$423=SPECIAL_LBL)*10000000+0*1000000+38*1000+22))</f>
        <v/>
      </c>
      <c r="FA49" s="35">
        <f>IF(N('Dvd Calendar'!$AA$418)=0,"",IF(('Dvd Calendar'!$AA$418&gt;=GRID_FROM)*('Dvd Calendar'!$AA$418&lt;=GRID_TO)*('Dvd Calendar'!$AA$418&lt;=VAL_DATE)=0,"",'Dvd Calendar'!$AA$418*1000000000+ISNUMBER('Dvd Calendar'!$AA$421)*100000000+('Dvd Calendar'!$AA$423=SPECIAL_LBL)*10000000+0*1000000+38*1000+23))</f>
        <v/>
      </c>
      <c r="FB49" s="35">
        <f>IF(N('Dvd Calendar'!$AB$418)=0,"",IF(('Dvd Calendar'!$AB$418&gt;=GRID_FROM)*('Dvd Calendar'!$AB$418&lt;=GRID_TO)*('Dvd Calendar'!$AB$418&lt;=VAL_DATE)=0,"",'Dvd Calendar'!$AB$418*1000000000+ISNUMBER('Dvd Calendar'!$AB$421)*100000000+('Dvd Calendar'!$AB$423=SPECIAL_LBL)*10000000+0*1000000+38*1000+24))</f>
        <v/>
      </c>
      <c r="FC49" s="35">
        <f>IF(N('Dvd Calendar'!$AC$418)=0,"",IF(('Dvd Calendar'!$AC$418&gt;=GRID_FROM)*('Dvd Calendar'!$AC$418&lt;=GRID_TO)*('Dvd Calendar'!$AC$418&lt;=VAL_DATE)=0,"",'Dvd Calendar'!$AC$418*1000000000+ISNUMBER('Dvd Calendar'!$AC$421)*100000000+('Dvd Calendar'!$AC$423=SPECIAL_LBL)*10000000+0*1000000+38*1000+25))</f>
        <v/>
      </c>
      <c r="FD49" s="35">
        <f>IF(N('Dvd Calendar'!$AD$418)=0,"",IF(('Dvd Calendar'!$AD$418&gt;=GRID_FROM)*('Dvd Calendar'!$AD$418&lt;=GRID_TO)*('Dvd Calendar'!$AD$418&lt;=VAL_DATE)=0,"",'Dvd Calendar'!$AD$418*1000000000+ISNUMBER('Dvd Calendar'!$AD$421)*100000000+('Dvd Calendar'!$AD$423=SPECIAL_LBL)*10000000+0*1000000+38*1000+26))</f>
        <v/>
      </c>
      <c r="FE49" s="35">
        <f>IF(N('Dvd Calendar'!$AE$418)=0,"",IF(('Dvd Calendar'!$AE$418&gt;=GRID_FROM)*('Dvd Calendar'!$AE$418&lt;=GRID_TO)*('Dvd Calendar'!$AE$418&lt;=VAL_DATE)=0,"",'Dvd Calendar'!$AE$418*1000000000+ISNUMBER('Dvd Calendar'!$AE$421)*100000000+('Dvd Calendar'!$AE$423=SPECIAL_LBL)*10000000+0*1000000+38*1000+27))</f>
        <v/>
      </c>
      <c r="FF49" s="35">
        <f>IF(N('Dvd Calendar'!$AF$418)=0,"",IF(('Dvd Calendar'!$AF$418&gt;=GRID_FROM)*('Dvd Calendar'!$AF$418&lt;=GRID_TO)*('Dvd Calendar'!$AF$418&lt;=VAL_DATE)=0,"",'Dvd Calendar'!$AF$418*1000000000+ISNUMBER('Dvd Calendar'!$AF$421)*100000000+('Dvd Calendar'!$AF$423=SPECIAL_LBL)*10000000+0*1000000+38*1000+28))</f>
        <v/>
      </c>
      <c r="FG49" s="35">
        <f>IF(N('Dvd Calendar'!$AG$418)=0,"",IF(('Dvd Calendar'!$AG$418&gt;=GRID_FROM)*('Dvd Calendar'!$AG$418&lt;=GRID_TO)*('Dvd Calendar'!$AG$418&lt;=VAL_DATE)=0,"",'Dvd Calendar'!$AG$418*1000000000+ISNUMBER('Dvd Calendar'!$AG$421)*100000000+('Dvd Calendar'!$AG$423=SPECIAL_LBL)*10000000+0*1000000+38*1000+29))</f>
        <v/>
      </c>
      <c r="FH49" s="35">
        <f>IF(N('Dvd Calendar'!$AH$418)=0,"",IF(('Dvd Calendar'!$AH$418&gt;=GRID_FROM)*('Dvd Calendar'!$AH$418&lt;=GRID_TO)*('Dvd Calendar'!$AH$418&lt;=VAL_DATE)=0,"",'Dvd Calendar'!$AH$418*1000000000+ISNUMBER('Dvd Calendar'!$AH$421)*100000000+('Dvd Calendar'!$AH$423=SPECIAL_LBL)*10000000+0*1000000+38*1000+30))</f>
        <v/>
      </c>
      <c r="FI49" s="35">
        <f>IF(N('Dvd Calendar'!$AI$418)=0,"",IF(('Dvd Calendar'!$AI$418&gt;=GRID_FROM)*('Dvd Calendar'!$AI$418&lt;=GRID_TO)*('Dvd Calendar'!$AI$418&lt;=VAL_DATE)=0,"",'Dvd Calendar'!$AI$418*1000000000+ISNUMBER('Dvd Calendar'!$AI$421)*100000000+('Dvd Calendar'!$AI$423=SPECIAL_LBL)*10000000+0*1000000+38*1000+31))</f>
        <v/>
      </c>
      <c r="FJ49" s="35">
        <f>IF(N('Dvd Calendar'!$AJ$418)=0,"",IF(('Dvd Calendar'!$AJ$418&gt;=GRID_FROM)*('Dvd Calendar'!$AJ$418&lt;=GRID_TO)*('Dvd Calendar'!$AJ$418&lt;=VAL_DATE)=0,"",'Dvd Calendar'!$AJ$418*1000000000+ISNUMBER('Dvd Calendar'!$AJ$421)*100000000+('Dvd Calendar'!$AJ$423=SPECIAL_LBL)*10000000+0*1000000+38*1000+32))</f>
        <v/>
      </c>
      <c r="FK49" s="35">
        <f>IF(N('Dvd Calendar'!$AK$418)=0,"",IF(('Dvd Calendar'!$AK$418&gt;=GRID_FROM)*('Dvd Calendar'!$AK$418&lt;=GRID_TO)*('Dvd Calendar'!$AK$418&lt;=VAL_DATE)=0,"",'Dvd Calendar'!$AK$418*1000000000+ISNUMBER('Dvd Calendar'!$AK$421)*100000000+('Dvd Calendar'!$AK$423=SPECIAL_LBL)*10000000+0*1000000+38*1000+33))</f>
        <v/>
      </c>
      <c r="FL49" s="35">
        <f>IF(N('Dvd Calendar'!$AL$418)=0,"",IF(('Dvd Calendar'!$AL$418&gt;=GRID_FROM)*('Dvd Calendar'!$AL$418&lt;=GRID_TO)*('Dvd Calendar'!$AL$418&lt;=VAL_DATE)=0,"",'Dvd Calendar'!$AL$418*1000000000+ISNUMBER('Dvd Calendar'!$AL$421)*100000000+('Dvd Calendar'!$AL$423=SPECIAL_LBL)*10000000+0*1000000+38*1000+34))</f>
        <v/>
      </c>
      <c r="FM49" s="35">
        <f>IF(N('Dvd Calendar'!$AM$418)=0,"",IF(('Dvd Calendar'!$AM$418&gt;=GRID_FROM)*('Dvd Calendar'!$AM$418&lt;=GRID_TO)*('Dvd Calendar'!$AM$418&lt;=VAL_DATE)=0,"",'Dvd Calendar'!$AM$418*1000000000+ISNUMBER('Dvd Calendar'!$AM$421)*100000000+('Dvd Calendar'!$AM$423=SPECIAL_LBL)*10000000+0*1000000+38*1000+35))</f>
        <v/>
      </c>
      <c r="FN49" s="35">
        <f>IF(N('Dvd Calendar'!$AN$418)=0,"",IF(('Dvd Calendar'!$AN$418&gt;=GRID_FROM)*('Dvd Calendar'!$AN$418&lt;=GRID_TO)*('Dvd Calendar'!$AN$418&lt;=VAL_DATE)=0,"",'Dvd Calendar'!$AN$418*1000000000+ISNUMBER('Dvd Calendar'!$AN$421)*100000000+('Dvd Calendar'!$AN$423=SPECIAL_LBL)*10000000+0*1000000+38*1000+36))</f>
        <v/>
      </c>
      <c r="FO49" s="35">
        <f>IF(N('Dvd Calendar'!$AO$418)=0,"",IF(('Dvd Calendar'!$AO$418&gt;=GRID_FROM)*('Dvd Calendar'!$AO$418&lt;=GRID_TO)*('Dvd Calendar'!$AO$418&lt;=VAL_DATE)=0,"",'Dvd Calendar'!$AO$418*1000000000+ISNUMBER('Dvd Calendar'!$AO$421)*100000000+('Dvd Calendar'!$AO$423=SPECIAL_LBL)*10000000+0*1000000+38*1000+37))</f>
        <v/>
      </c>
      <c r="FP49" s="35">
        <f>IF(N('Dvd Calendar'!$AP$418)=0,"",IF(('Dvd Calendar'!$AP$418&gt;=GRID_FROM)*('Dvd Calendar'!$AP$418&lt;=GRID_TO)*('Dvd Calendar'!$AP$418&lt;=VAL_DATE)=0,"",'Dvd Calendar'!$AP$418*1000000000+ISNUMBER('Dvd Calendar'!$AP$421)*100000000+('Dvd Calendar'!$AP$423=SPECIAL_LBL)*10000000+0*1000000+38*1000+38))</f>
        <v/>
      </c>
      <c r="FQ49" s="35">
        <f>IF(N('Dvd Calendar'!$AQ$418)=0,"",IF(('Dvd Calendar'!$AQ$418&gt;=GRID_FROM)*('Dvd Calendar'!$AQ$418&lt;=GRID_TO)*('Dvd Calendar'!$AQ$418&lt;=VAL_DATE)=0,"",'Dvd Calendar'!$AQ$418*1000000000+ISNUMBER('Dvd Calendar'!$AQ$421)*100000000+('Dvd Calendar'!$AQ$423=SPECIAL_LBL)*10000000+0*1000000+38*1000+39))</f>
        <v/>
      </c>
      <c r="FR49" s="35">
        <f>IF(N('Dvd Calendar'!$AR$418)=0,"",IF(('Dvd Calendar'!$AR$418&gt;=GRID_FROM)*('Dvd Calendar'!$AR$418&lt;=GRID_TO)*('Dvd Calendar'!$AR$418&lt;=VAL_DATE)=0,"",'Dvd Calendar'!$AR$418*1000000000+ISNUMBER('Dvd Calendar'!$AR$421)*100000000+('Dvd Calendar'!$AR$423=SPECIAL_LBL)*10000000+0*1000000+38*1000+40))</f>
        <v/>
      </c>
      <c r="FS49" s="35">
        <f>IF(N('Dvd Calendar'!$E$425)=0,"",IF(('Dvd Calendar'!$E$425&gt;=GRID_FROM)*('Dvd Calendar'!$E$425&lt;=GRID_TO)*('Dvd Calendar'!$E$425&gt;VAL_DATE)=0,"",'Dvd Calendar'!$E$425*1000000000+ISNUMBER('Dvd Calendar'!$E$426)*100000000+0*10000000+(N('Dvd Calendar'!$E$424)&gt;0)*(N('Dvd Calendar'!$E$424)&lt;=VAL_SERIAL)*1000000+38*1000+41))</f>
        <v/>
      </c>
      <c r="FT49" s="35">
        <f>IF(N('Dvd Calendar'!$F$425)=0,"",IF(('Dvd Calendar'!$F$425&gt;=GRID_FROM)*('Dvd Calendar'!$F$425&lt;=GRID_TO)*('Dvd Calendar'!$F$425&gt;VAL_DATE)=0,"",'Dvd Calendar'!$F$425*1000000000+ISNUMBER('Dvd Calendar'!$F$426)*100000000+0*10000000+(N('Dvd Calendar'!$F$424)&gt;0)*(N('Dvd Calendar'!$F$424)&lt;=VAL_SERIAL)*1000000+38*1000+42))</f>
        <v/>
      </c>
      <c r="FU49" s="35">
        <f>IF(N('Dvd Calendar'!$G$425)=0,"",IF(('Dvd Calendar'!$G$425&gt;=GRID_FROM)*('Dvd Calendar'!$G$425&lt;=GRID_TO)*('Dvd Calendar'!$G$425&gt;VAL_DATE)=0,"",'Dvd Calendar'!$G$425*1000000000+ISNUMBER('Dvd Calendar'!$G$426)*100000000+0*10000000+(N('Dvd Calendar'!$G$424)&gt;0)*(N('Dvd Calendar'!$G$424)&lt;=VAL_SERIAL)*1000000+38*1000+43))</f>
        <v/>
      </c>
      <c r="FV49" s="35">
        <f>IF(N('Dvd Calendar'!$H$425)=0,"",IF(('Dvd Calendar'!$H$425&gt;=GRID_FROM)*('Dvd Calendar'!$H$425&lt;=GRID_TO)*('Dvd Calendar'!$H$425&gt;VAL_DATE)=0,"",'Dvd Calendar'!$H$425*1000000000+ISNUMBER('Dvd Calendar'!$H$426)*100000000+0*10000000+(N('Dvd Calendar'!$H$424)&gt;0)*(N('Dvd Calendar'!$H$424)&lt;=VAL_SERIAL)*1000000+38*1000+44))</f>
        <v/>
      </c>
      <c r="FW49" s="35">
        <f>IF(N('Dvd Calendar'!$I$425)=0,"",IF(('Dvd Calendar'!$I$425&gt;=GRID_FROM)*('Dvd Calendar'!$I$425&lt;=GRID_TO)*('Dvd Calendar'!$I$425&gt;VAL_DATE)=0,"",'Dvd Calendar'!$I$425*1000000000+ISNUMBER('Dvd Calendar'!$I$426)*100000000+0*10000000+(N('Dvd Calendar'!$I$424)&gt;0)*(N('Dvd Calendar'!$I$424)&lt;=VAL_SERIAL)*1000000+38*1000+45))</f>
        <v/>
      </c>
      <c r="FX49" s="35">
        <f>IF(N('Dvd Calendar'!$J$425)=0,"",IF(('Dvd Calendar'!$J$425&gt;=GRID_FROM)*('Dvd Calendar'!$J$425&lt;=GRID_TO)*('Dvd Calendar'!$J$425&gt;VAL_DATE)=0,"",'Dvd Calendar'!$J$425*1000000000+ISNUMBER('Dvd Calendar'!$J$426)*100000000+0*10000000+(N('Dvd Calendar'!$J$424)&gt;0)*(N('Dvd Calendar'!$J$424)&lt;=VAL_SERIAL)*1000000+38*1000+46))</f>
        <v/>
      </c>
      <c r="FY49" s="35">
        <f>IF(N('Dvd Calendar'!$K$425)=0,"",IF(('Dvd Calendar'!$K$425&gt;=GRID_FROM)*('Dvd Calendar'!$K$425&lt;=GRID_TO)*('Dvd Calendar'!$K$425&gt;VAL_DATE)=0,"",'Dvd Calendar'!$K$425*1000000000+ISNUMBER('Dvd Calendar'!$K$426)*100000000+0*10000000+(N('Dvd Calendar'!$K$424)&gt;0)*(N('Dvd Calendar'!$K$424)&lt;=VAL_SERIAL)*1000000+38*1000+47))</f>
        <v/>
      </c>
      <c r="FZ49" s="35">
        <f>IF(N('Dvd Calendar'!$L$425)=0,"",IF(('Dvd Calendar'!$L$425&gt;=GRID_FROM)*('Dvd Calendar'!$L$425&lt;=GRID_TO)*('Dvd Calendar'!$L$425&gt;VAL_DATE)=0,"",'Dvd Calendar'!$L$425*1000000000+ISNUMBER('Dvd Calendar'!$L$426)*100000000+0*10000000+(N('Dvd Calendar'!$L$424)&gt;0)*(N('Dvd Calendar'!$L$424)&lt;=VAL_SERIAL)*1000000+38*1000+48))</f>
        <v/>
      </c>
      <c r="GA49" s="35">
        <f>IF(N('Dvd Calendar'!$M$425)=0,"",IF(('Dvd Calendar'!$M$425&gt;=GRID_FROM)*('Dvd Calendar'!$M$425&lt;=GRID_TO)*('Dvd Calendar'!$M$425&gt;VAL_DATE)=0,"",'Dvd Calendar'!$M$425*1000000000+ISNUMBER('Dvd Calendar'!$M$426)*100000000+0*10000000+(N('Dvd Calendar'!$M$424)&gt;0)*(N('Dvd Calendar'!$M$424)&lt;=VAL_SERIAL)*1000000+38*1000+49))</f>
        <v/>
      </c>
      <c r="GB49" s="35">
        <f>IF(N('Dvd Calendar'!$N$425)=0,"",IF(('Dvd Calendar'!$N$425&gt;=GRID_FROM)*('Dvd Calendar'!$N$425&lt;=GRID_TO)*('Dvd Calendar'!$N$425&gt;VAL_DATE)=0,"",'Dvd Calendar'!$N$425*1000000000+ISNUMBER('Dvd Calendar'!$N$426)*100000000+0*10000000+(N('Dvd Calendar'!$N$424)&gt;0)*(N('Dvd Calendar'!$N$424)&lt;=VAL_SERIAL)*1000000+38*1000+50))</f>
        <v/>
      </c>
      <c r="GC49" s="35">
        <f>IF(N('Dvd Calendar'!$O$425)=0,"",IF(('Dvd Calendar'!$O$425&gt;=GRID_FROM)*('Dvd Calendar'!$O$425&lt;=GRID_TO)*('Dvd Calendar'!$O$425&gt;VAL_DATE)=0,"",'Dvd Calendar'!$O$425*1000000000+ISNUMBER('Dvd Calendar'!$O$426)*100000000+0*10000000+(N('Dvd Calendar'!$O$424)&gt;0)*(N('Dvd Calendar'!$O$424)&lt;=VAL_SERIAL)*1000000+38*1000+51))</f>
        <v/>
      </c>
      <c r="GD49" s="35">
        <f>IF(N('Dvd Calendar'!$P$425)=0,"",IF(('Dvd Calendar'!$P$425&gt;=GRID_FROM)*('Dvd Calendar'!$P$425&lt;=GRID_TO)*('Dvd Calendar'!$P$425&gt;VAL_DATE)=0,"",'Dvd Calendar'!$P$425*1000000000+ISNUMBER('Dvd Calendar'!$P$426)*100000000+0*10000000+(N('Dvd Calendar'!$P$424)&gt;0)*(N('Dvd Calendar'!$P$424)&lt;=VAL_SERIAL)*1000000+38*1000+52))</f>
        <v/>
      </c>
      <c r="GE49" s="35">
        <f>IF(N('Dvd Calendar'!$Q$425)=0,"",IF(('Dvd Calendar'!$Q$425&gt;=GRID_FROM)*('Dvd Calendar'!$Q$425&lt;=GRID_TO)*('Dvd Calendar'!$Q$425&gt;VAL_DATE)=0,"",'Dvd Calendar'!$Q$425*1000000000+ISNUMBER('Dvd Calendar'!$Q$426)*100000000+0*10000000+(N('Dvd Calendar'!$Q$424)&gt;0)*(N('Dvd Calendar'!$Q$424)&lt;=VAL_SERIAL)*1000000+38*1000+53))</f>
        <v/>
      </c>
      <c r="GF49" s="35">
        <f>IF(N('Dvd Calendar'!$R$425)=0,"",IF(('Dvd Calendar'!$R$425&gt;=GRID_FROM)*('Dvd Calendar'!$R$425&lt;=GRID_TO)*('Dvd Calendar'!$R$425&gt;VAL_DATE)=0,"",'Dvd Calendar'!$R$425*1000000000+ISNUMBER('Dvd Calendar'!$R$426)*100000000+0*10000000+(N('Dvd Calendar'!$R$424)&gt;0)*(N('Dvd Calendar'!$R$424)&lt;=VAL_SERIAL)*1000000+38*1000+54))</f>
        <v/>
      </c>
      <c r="GG49" s="35">
        <f>IF(N('Dvd Calendar'!$S$425)=0,"",IF(('Dvd Calendar'!$S$425&gt;=GRID_FROM)*('Dvd Calendar'!$S$425&lt;=GRID_TO)*('Dvd Calendar'!$S$425&gt;VAL_DATE)=0,"",'Dvd Calendar'!$S$425*1000000000+ISNUMBER('Dvd Calendar'!$S$426)*100000000+0*10000000+(N('Dvd Calendar'!$S$424)&gt;0)*(N('Dvd Calendar'!$S$424)&lt;=VAL_SERIAL)*1000000+38*1000+55))</f>
        <v/>
      </c>
      <c r="GH49" s="35">
        <f>IF(N('Dvd Calendar'!$T$425)=0,"",IF(('Dvd Calendar'!$T$425&gt;=GRID_FROM)*('Dvd Calendar'!$T$425&lt;=GRID_TO)*('Dvd Calendar'!$T$425&gt;VAL_DATE)=0,"",'Dvd Calendar'!$T$425*1000000000+ISNUMBER('Dvd Calendar'!$T$426)*100000000+0*10000000+(N('Dvd Calendar'!$T$424)&gt;0)*(N('Dvd Calendar'!$T$424)&lt;=VAL_SERIAL)*1000000+38*1000+56))</f>
        <v/>
      </c>
      <c r="GI49" s="35">
        <f>IF(N('Dvd Calendar'!$U$425)=0,"",IF(('Dvd Calendar'!$U$425&gt;=GRID_FROM)*('Dvd Calendar'!$U$425&lt;=GRID_TO)*('Dvd Calendar'!$U$425&gt;VAL_DATE)=0,"",'Dvd Calendar'!$U$425*1000000000+ISNUMBER('Dvd Calendar'!$U$426)*100000000+0*10000000+(N('Dvd Calendar'!$U$424)&gt;0)*(N('Dvd Calendar'!$U$424)&lt;=VAL_SERIAL)*1000000+38*1000+57))</f>
        <v/>
      </c>
      <c r="GJ49" s="35">
        <f>IF(N('Dvd Calendar'!$V$425)=0,"",IF(('Dvd Calendar'!$V$425&gt;=GRID_FROM)*('Dvd Calendar'!$V$425&lt;=GRID_TO)*('Dvd Calendar'!$V$425&gt;VAL_DATE)=0,"",'Dvd Calendar'!$V$425*1000000000+ISNUMBER('Dvd Calendar'!$V$426)*100000000+0*10000000+(N('Dvd Calendar'!$V$424)&gt;0)*(N('Dvd Calendar'!$V$424)&lt;=VAL_SERIAL)*1000000+38*1000+58))</f>
        <v/>
      </c>
      <c r="GK49" s="35">
        <f>IF(N('Dvd Calendar'!$W$425)=0,"",IF(('Dvd Calendar'!$W$425&gt;=GRID_FROM)*('Dvd Calendar'!$W$425&lt;=GRID_TO)*('Dvd Calendar'!$W$425&gt;VAL_DATE)=0,"",'Dvd Calendar'!$W$425*1000000000+ISNUMBER('Dvd Calendar'!$W$426)*100000000+0*10000000+(N('Dvd Calendar'!$W$424)&gt;0)*(N('Dvd Calendar'!$W$424)&lt;=VAL_SERIAL)*1000000+38*1000+59))</f>
        <v/>
      </c>
      <c r="GL49" s="35">
        <f>IF(N('Dvd Calendar'!$X$425)=0,"",IF(('Dvd Calendar'!$X$425&gt;=GRID_FROM)*('Dvd Calendar'!$X$425&lt;=GRID_TO)*('Dvd Calendar'!$X$425&gt;VAL_DATE)=0,"",'Dvd Calendar'!$X$425*1000000000+ISNUMBER('Dvd Calendar'!$X$426)*100000000+0*10000000+(N('Dvd Calendar'!$X$424)&gt;0)*(N('Dvd Calendar'!$X$424)&lt;=VAL_SERIAL)*1000000+38*1000+60))</f>
        <v/>
      </c>
      <c r="GM49" s="35">
        <f>IF(N('Dvd Calendar'!$Y$425)=0,"",IF(('Dvd Calendar'!$Y$425&gt;=GRID_FROM)*('Dvd Calendar'!$Y$425&lt;=GRID_TO)*('Dvd Calendar'!$Y$425&gt;VAL_DATE)=0,"",'Dvd Calendar'!$Y$425*1000000000+ISNUMBER('Dvd Calendar'!$Y$426)*100000000+0*10000000+(N('Dvd Calendar'!$Y$424)&gt;0)*(N('Dvd Calendar'!$Y$424)&lt;=VAL_SERIAL)*1000000+38*1000+61))</f>
        <v/>
      </c>
      <c r="GN49" s="35">
        <f>IF(N('Dvd Calendar'!$Z$425)=0,"",IF(('Dvd Calendar'!$Z$425&gt;=GRID_FROM)*('Dvd Calendar'!$Z$425&lt;=GRID_TO)*('Dvd Calendar'!$Z$425&gt;VAL_DATE)=0,"",'Dvd Calendar'!$Z$425*1000000000+ISNUMBER('Dvd Calendar'!$Z$426)*100000000+0*10000000+(N('Dvd Calendar'!$Z$424)&gt;0)*(N('Dvd Calendar'!$Z$424)&lt;=VAL_SERIAL)*1000000+38*1000+62))</f>
        <v/>
      </c>
      <c r="GO49" s="35">
        <f>IF(N('Dvd Calendar'!$AA$425)=0,"",IF(('Dvd Calendar'!$AA$425&gt;=GRID_FROM)*('Dvd Calendar'!$AA$425&lt;=GRID_TO)*('Dvd Calendar'!$AA$425&gt;VAL_DATE)=0,"",'Dvd Calendar'!$AA$425*1000000000+ISNUMBER('Dvd Calendar'!$AA$426)*100000000+0*10000000+(N('Dvd Calendar'!$AA$424)&gt;0)*(N('Dvd Calendar'!$AA$424)&lt;=VAL_SERIAL)*1000000+38*1000+63))</f>
        <v/>
      </c>
      <c r="GP49" s="35">
        <f>IF(N('Dvd Calendar'!$AB$425)=0,"",IF(('Dvd Calendar'!$AB$425&gt;=GRID_FROM)*('Dvd Calendar'!$AB$425&lt;=GRID_TO)*('Dvd Calendar'!$AB$425&gt;VAL_DATE)=0,"",'Dvd Calendar'!$AB$425*1000000000+ISNUMBER('Dvd Calendar'!$AB$426)*100000000+0*10000000+(N('Dvd Calendar'!$AB$424)&gt;0)*(N('Dvd Calendar'!$AB$424)&lt;=VAL_SERIAL)*1000000+38*1000+64))</f>
        <v/>
      </c>
      <c r="GQ49" s="35">
        <f>IF(N('Dvd Calendar'!$AC$425)=0,"",IF(('Dvd Calendar'!$AC$425&gt;=GRID_FROM)*('Dvd Calendar'!$AC$425&lt;=GRID_TO)*('Dvd Calendar'!$AC$425&gt;VAL_DATE)=0,"",'Dvd Calendar'!$AC$425*1000000000+ISNUMBER('Dvd Calendar'!$AC$426)*100000000+0*10000000+(N('Dvd Calendar'!$AC$424)&gt;0)*(N('Dvd Calendar'!$AC$424)&lt;=VAL_SERIAL)*1000000+38*1000+65))</f>
        <v/>
      </c>
    </row>
    <row r="50">
      <c r="B50" s="2">
        <f>IF(HSI!$C$45="","",HSI!$C$45)</f>
        <v/>
      </c>
      <c r="C50" s="106">
        <f>IF(EE50="","",IF(ISNUMBER('Dvd Calendar'!$E$432)=FALSE,"",IF((('Dvd Calendar'!$E$434=TYPE1)*(TYPE1&lt;&gt;"")+('Dvd Calendar'!$E$434=TYPE2)*(TYPE2&lt;&gt;"")+('Dvd Calendar'!$E$434=TYPE3)*(TYPE3&lt;&gt;"")+('Dvd Calendar'!$E$434=TYPE4)*(TYPE4&lt;&gt;"")+('Dvd Calendar'!$E$434=SPECIAL_LBL)*(INC_SPECIALS="Y"))=0,"",'Dvd Calendar'!$E$432)))</f>
        <v/>
      </c>
      <c r="D50" s="106">
        <f>IF(EF50="","",IF(ISNUMBER('Dvd Calendar'!$F$432)=FALSE,"",IF((('Dvd Calendar'!$F$434=TYPE1)*(TYPE1&lt;&gt;"")+('Dvd Calendar'!$F$434=TYPE2)*(TYPE2&lt;&gt;"")+('Dvd Calendar'!$F$434=TYPE3)*(TYPE3&lt;&gt;"")+('Dvd Calendar'!$F$434=TYPE4)*(TYPE4&lt;&gt;"")+('Dvd Calendar'!$F$434=SPECIAL_LBL)*(INC_SPECIALS="Y"))=0,"",'Dvd Calendar'!$F$432)))</f>
        <v/>
      </c>
      <c r="E50" s="106">
        <f>IF(EG50="","",IF(ISNUMBER('Dvd Calendar'!$G$432)=FALSE,"",IF((('Dvd Calendar'!$G$434=TYPE1)*(TYPE1&lt;&gt;"")+('Dvd Calendar'!$G$434=TYPE2)*(TYPE2&lt;&gt;"")+('Dvd Calendar'!$G$434=TYPE3)*(TYPE3&lt;&gt;"")+('Dvd Calendar'!$G$434=TYPE4)*(TYPE4&lt;&gt;"")+('Dvd Calendar'!$G$434=SPECIAL_LBL)*(INC_SPECIALS="Y"))=0,"",'Dvd Calendar'!$G$432)))</f>
        <v/>
      </c>
      <c r="F50" s="106">
        <f>IF(EH50="","",IF(ISNUMBER('Dvd Calendar'!$H$432)=FALSE,"",IF((('Dvd Calendar'!$H$434=TYPE1)*(TYPE1&lt;&gt;"")+('Dvd Calendar'!$H$434=TYPE2)*(TYPE2&lt;&gt;"")+('Dvd Calendar'!$H$434=TYPE3)*(TYPE3&lt;&gt;"")+('Dvd Calendar'!$H$434=TYPE4)*(TYPE4&lt;&gt;"")+('Dvd Calendar'!$H$434=SPECIAL_LBL)*(INC_SPECIALS="Y"))=0,"",'Dvd Calendar'!$H$432)))</f>
        <v/>
      </c>
      <c r="G50" s="106">
        <f>IF(EI50="","",IF(ISNUMBER('Dvd Calendar'!$I$432)=FALSE,"",IF((('Dvd Calendar'!$I$434=TYPE1)*(TYPE1&lt;&gt;"")+('Dvd Calendar'!$I$434=TYPE2)*(TYPE2&lt;&gt;"")+('Dvd Calendar'!$I$434=TYPE3)*(TYPE3&lt;&gt;"")+('Dvd Calendar'!$I$434=TYPE4)*(TYPE4&lt;&gt;"")+('Dvd Calendar'!$I$434=SPECIAL_LBL)*(INC_SPECIALS="Y"))=0,"",'Dvd Calendar'!$I$432)))</f>
        <v/>
      </c>
      <c r="H50" s="106">
        <f>IF(EJ50="","",IF(ISNUMBER('Dvd Calendar'!$J$432)=FALSE,"",IF((('Dvd Calendar'!$J$434=TYPE1)*(TYPE1&lt;&gt;"")+('Dvd Calendar'!$J$434=TYPE2)*(TYPE2&lt;&gt;"")+('Dvd Calendar'!$J$434=TYPE3)*(TYPE3&lt;&gt;"")+('Dvd Calendar'!$J$434=TYPE4)*(TYPE4&lt;&gt;"")+('Dvd Calendar'!$J$434=SPECIAL_LBL)*(INC_SPECIALS="Y"))=0,"",'Dvd Calendar'!$J$432)))</f>
        <v/>
      </c>
      <c r="I50" s="106">
        <f>IF(EK50="","",IF(ISNUMBER('Dvd Calendar'!$K$432)=FALSE,"",IF((('Dvd Calendar'!$K$434=TYPE1)*(TYPE1&lt;&gt;"")+('Dvd Calendar'!$K$434=TYPE2)*(TYPE2&lt;&gt;"")+('Dvd Calendar'!$K$434=TYPE3)*(TYPE3&lt;&gt;"")+('Dvd Calendar'!$K$434=TYPE4)*(TYPE4&lt;&gt;"")+('Dvd Calendar'!$K$434=SPECIAL_LBL)*(INC_SPECIALS="Y"))=0,"",'Dvd Calendar'!$K$432)))</f>
        <v/>
      </c>
      <c r="J50" s="106">
        <f>IF(EL50="","",IF(ISNUMBER('Dvd Calendar'!$L$432)=FALSE,"",IF((('Dvd Calendar'!$L$434=TYPE1)*(TYPE1&lt;&gt;"")+('Dvd Calendar'!$L$434=TYPE2)*(TYPE2&lt;&gt;"")+('Dvd Calendar'!$L$434=TYPE3)*(TYPE3&lt;&gt;"")+('Dvd Calendar'!$L$434=TYPE4)*(TYPE4&lt;&gt;"")+('Dvd Calendar'!$L$434=SPECIAL_LBL)*(INC_SPECIALS="Y"))=0,"",'Dvd Calendar'!$L$432)))</f>
        <v/>
      </c>
      <c r="K50" s="106">
        <f>IF(EM50="","",IF(ISNUMBER('Dvd Calendar'!$M$432)=FALSE,"",IF((('Dvd Calendar'!$M$434=TYPE1)*(TYPE1&lt;&gt;"")+('Dvd Calendar'!$M$434=TYPE2)*(TYPE2&lt;&gt;"")+('Dvd Calendar'!$M$434=TYPE3)*(TYPE3&lt;&gt;"")+('Dvd Calendar'!$M$434=TYPE4)*(TYPE4&lt;&gt;"")+('Dvd Calendar'!$M$434=SPECIAL_LBL)*(INC_SPECIALS="Y"))=0,"",'Dvd Calendar'!$M$432)))</f>
        <v/>
      </c>
      <c r="L50" s="106">
        <f>IF(EN50="","",IF(ISNUMBER('Dvd Calendar'!$N$432)=FALSE,"",IF((('Dvd Calendar'!$N$434=TYPE1)*(TYPE1&lt;&gt;"")+('Dvd Calendar'!$N$434=TYPE2)*(TYPE2&lt;&gt;"")+('Dvd Calendar'!$N$434=TYPE3)*(TYPE3&lt;&gt;"")+('Dvd Calendar'!$N$434=TYPE4)*(TYPE4&lt;&gt;"")+('Dvd Calendar'!$N$434=SPECIAL_LBL)*(INC_SPECIALS="Y"))=0,"",'Dvd Calendar'!$N$432)))</f>
        <v/>
      </c>
      <c r="M50" s="106">
        <f>IF(EO50="","",IF(ISNUMBER('Dvd Calendar'!$O$432)=FALSE,"",IF((('Dvd Calendar'!$O$434=TYPE1)*(TYPE1&lt;&gt;"")+('Dvd Calendar'!$O$434=TYPE2)*(TYPE2&lt;&gt;"")+('Dvd Calendar'!$O$434=TYPE3)*(TYPE3&lt;&gt;"")+('Dvd Calendar'!$O$434=TYPE4)*(TYPE4&lt;&gt;"")+('Dvd Calendar'!$O$434=SPECIAL_LBL)*(INC_SPECIALS="Y"))=0,"",'Dvd Calendar'!$O$432)))</f>
        <v/>
      </c>
      <c r="N50" s="106">
        <f>IF(EP50="","",IF(ISNUMBER('Dvd Calendar'!$P$432)=FALSE,"",IF((('Dvd Calendar'!$P$434=TYPE1)*(TYPE1&lt;&gt;"")+('Dvd Calendar'!$P$434=TYPE2)*(TYPE2&lt;&gt;"")+('Dvd Calendar'!$P$434=TYPE3)*(TYPE3&lt;&gt;"")+('Dvd Calendar'!$P$434=TYPE4)*(TYPE4&lt;&gt;"")+('Dvd Calendar'!$P$434=SPECIAL_LBL)*(INC_SPECIALS="Y"))=0,"",'Dvd Calendar'!$P$432)))</f>
        <v/>
      </c>
      <c r="O50" s="106">
        <f>IF(EQ50="","",IF(ISNUMBER('Dvd Calendar'!$Q$432)=FALSE,"",IF((('Dvd Calendar'!$Q$434=TYPE1)*(TYPE1&lt;&gt;"")+('Dvd Calendar'!$Q$434=TYPE2)*(TYPE2&lt;&gt;"")+('Dvd Calendar'!$Q$434=TYPE3)*(TYPE3&lt;&gt;"")+('Dvd Calendar'!$Q$434=TYPE4)*(TYPE4&lt;&gt;"")+('Dvd Calendar'!$Q$434=SPECIAL_LBL)*(INC_SPECIALS="Y"))=0,"",'Dvd Calendar'!$Q$432)))</f>
        <v/>
      </c>
      <c r="P50" s="106">
        <f>IF(ER50="","",IF(ISNUMBER('Dvd Calendar'!$R$432)=FALSE,"",IF((('Dvd Calendar'!$R$434=TYPE1)*(TYPE1&lt;&gt;"")+('Dvd Calendar'!$R$434=TYPE2)*(TYPE2&lt;&gt;"")+('Dvd Calendar'!$R$434=TYPE3)*(TYPE3&lt;&gt;"")+('Dvd Calendar'!$R$434=TYPE4)*(TYPE4&lt;&gt;"")+('Dvd Calendar'!$R$434=SPECIAL_LBL)*(INC_SPECIALS="Y"))=0,"",'Dvd Calendar'!$R$432)))</f>
        <v/>
      </c>
      <c r="Q50" s="106">
        <f>IF(ES50="","",IF(ISNUMBER('Dvd Calendar'!$S$432)=FALSE,"",IF((('Dvd Calendar'!$S$434=TYPE1)*(TYPE1&lt;&gt;"")+('Dvd Calendar'!$S$434=TYPE2)*(TYPE2&lt;&gt;"")+('Dvd Calendar'!$S$434=TYPE3)*(TYPE3&lt;&gt;"")+('Dvd Calendar'!$S$434=TYPE4)*(TYPE4&lt;&gt;"")+('Dvd Calendar'!$S$434=SPECIAL_LBL)*(INC_SPECIALS="Y"))=0,"",'Dvd Calendar'!$S$432)))</f>
        <v/>
      </c>
      <c r="R50" s="106">
        <f>IF(ET50="","",IF(ISNUMBER('Dvd Calendar'!$T$432)=FALSE,"",IF((('Dvd Calendar'!$T$434=TYPE1)*(TYPE1&lt;&gt;"")+('Dvd Calendar'!$T$434=TYPE2)*(TYPE2&lt;&gt;"")+('Dvd Calendar'!$T$434=TYPE3)*(TYPE3&lt;&gt;"")+('Dvd Calendar'!$T$434=TYPE4)*(TYPE4&lt;&gt;"")+('Dvd Calendar'!$T$434=SPECIAL_LBL)*(INC_SPECIALS="Y"))=0,"",'Dvd Calendar'!$T$432)))</f>
        <v/>
      </c>
      <c r="S50" s="106">
        <f>IF(EU50="","",IF(ISNUMBER('Dvd Calendar'!$U$432)=FALSE,"",IF((('Dvd Calendar'!$U$434=TYPE1)*(TYPE1&lt;&gt;"")+('Dvd Calendar'!$U$434=TYPE2)*(TYPE2&lt;&gt;"")+('Dvd Calendar'!$U$434=TYPE3)*(TYPE3&lt;&gt;"")+('Dvd Calendar'!$U$434=TYPE4)*(TYPE4&lt;&gt;"")+('Dvd Calendar'!$U$434=SPECIAL_LBL)*(INC_SPECIALS="Y"))=0,"",'Dvd Calendar'!$U$432)))</f>
        <v/>
      </c>
      <c r="T50" s="106">
        <f>IF(EV50="","",IF(ISNUMBER('Dvd Calendar'!$V$432)=FALSE,"",IF((('Dvd Calendar'!$V$434=TYPE1)*(TYPE1&lt;&gt;"")+('Dvd Calendar'!$V$434=TYPE2)*(TYPE2&lt;&gt;"")+('Dvd Calendar'!$V$434=TYPE3)*(TYPE3&lt;&gt;"")+('Dvd Calendar'!$V$434=TYPE4)*(TYPE4&lt;&gt;"")+('Dvd Calendar'!$V$434=SPECIAL_LBL)*(INC_SPECIALS="Y"))=0,"",'Dvd Calendar'!$V$432)))</f>
        <v/>
      </c>
      <c r="U50" s="106">
        <f>IF(EW50="","",IF(ISNUMBER('Dvd Calendar'!$W$432)=FALSE,"",IF((('Dvd Calendar'!$W$434=TYPE1)*(TYPE1&lt;&gt;"")+('Dvd Calendar'!$W$434=TYPE2)*(TYPE2&lt;&gt;"")+('Dvd Calendar'!$W$434=TYPE3)*(TYPE3&lt;&gt;"")+('Dvd Calendar'!$W$434=TYPE4)*(TYPE4&lt;&gt;"")+('Dvd Calendar'!$W$434=SPECIAL_LBL)*(INC_SPECIALS="Y"))=0,"",'Dvd Calendar'!$W$432)))</f>
        <v/>
      </c>
      <c r="V50" s="106">
        <f>IF(EX50="","",IF(ISNUMBER('Dvd Calendar'!$X$432)=FALSE,"",IF((('Dvd Calendar'!$X$434=TYPE1)*(TYPE1&lt;&gt;"")+('Dvd Calendar'!$X$434=TYPE2)*(TYPE2&lt;&gt;"")+('Dvd Calendar'!$X$434=TYPE3)*(TYPE3&lt;&gt;"")+('Dvd Calendar'!$X$434=TYPE4)*(TYPE4&lt;&gt;"")+('Dvd Calendar'!$X$434=SPECIAL_LBL)*(INC_SPECIALS="Y"))=0,"",'Dvd Calendar'!$X$432)))</f>
        <v/>
      </c>
      <c r="W50" s="106">
        <f>IF(EY50="","",IF(ISNUMBER('Dvd Calendar'!$Y$432)=FALSE,"",IF((('Dvd Calendar'!$Y$434=TYPE1)*(TYPE1&lt;&gt;"")+('Dvd Calendar'!$Y$434=TYPE2)*(TYPE2&lt;&gt;"")+('Dvd Calendar'!$Y$434=TYPE3)*(TYPE3&lt;&gt;"")+('Dvd Calendar'!$Y$434=TYPE4)*(TYPE4&lt;&gt;"")+('Dvd Calendar'!$Y$434=SPECIAL_LBL)*(INC_SPECIALS="Y"))=0,"",'Dvd Calendar'!$Y$432)))</f>
        <v/>
      </c>
      <c r="X50" s="106">
        <f>IF(EZ50="","",IF(ISNUMBER('Dvd Calendar'!$Z$432)=FALSE,"",IF((('Dvd Calendar'!$Z$434=TYPE1)*(TYPE1&lt;&gt;"")+('Dvd Calendar'!$Z$434=TYPE2)*(TYPE2&lt;&gt;"")+('Dvd Calendar'!$Z$434=TYPE3)*(TYPE3&lt;&gt;"")+('Dvd Calendar'!$Z$434=TYPE4)*(TYPE4&lt;&gt;"")+('Dvd Calendar'!$Z$434=SPECIAL_LBL)*(INC_SPECIALS="Y"))=0,"",'Dvd Calendar'!$Z$432)))</f>
        <v/>
      </c>
      <c r="Y50" s="106">
        <f>IF(FA50="","",IF(ISNUMBER('Dvd Calendar'!$AA$432)=FALSE,"",IF((('Dvd Calendar'!$AA$434=TYPE1)*(TYPE1&lt;&gt;"")+('Dvd Calendar'!$AA$434=TYPE2)*(TYPE2&lt;&gt;"")+('Dvd Calendar'!$AA$434=TYPE3)*(TYPE3&lt;&gt;"")+('Dvd Calendar'!$AA$434=TYPE4)*(TYPE4&lt;&gt;"")+('Dvd Calendar'!$AA$434=SPECIAL_LBL)*(INC_SPECIALS="Y"))=0,"",'Dvd Calendar'!$AA$432)))</f>
        <v/>
      </c>
      <c r="Z50" s="106">
        <f>IF(FB50="","",IF(ISNUMBER('Dvd Calendar'!$AB$432)=FALSE,"",IF((('Dvd Calendar'!$AB$434=TYPE1)*(TYPE1&lt;&gt;"")+('Dvd Calendar'!$AB$434=TYPE2)*(TYPE2&lt;&gt;"")+('Dvd Calendar'!$AB$434=TYPE3)*(TYPE3&lt;&gt;"")+('Dvd Calendar'!$AB$434=TYPE4)*(TYPE4&lt;&gt;"")+('Dvd Calendar'!$AB$434=SPECIAL_LBL)*(INC_SPECIALS="Y"))=0,"",'Dvd Calendar'!$AB$432)))</f>
        <v/>
      </c>
      <c r="AA50" s="106">
        <f>IF(FC50="","",IF(ISNUMBER('Dvd Calendar'!$AC$432)=FALSE,"",IF((('Dvd Calendar'!$AC$434=TYPE1)*(TYPE1&lt;&gt;"")+('Dvd Calendar'!$AC$434=TYPE2)*(TYPE2&lt;&gt;"")+('Dvd Calendar'!$AC$434=TYPE3)*(TYPE3&lt;&gt;"")+('Dvd Calendar'!$AC$434=TYPE4)*(TYPE4&lt;&gt;"")+('Dvd Calendar'!$AC$434=SPECIAL_LBL)*(INC_SPECIALS="Y"))=0,"",'Dvd Calendar'!$AC$432)))</f>
        <v/>
      </c>
      <c r="AB50" s="106">
        <f>IF(FD50="","",IF(ISNUMBER('Dvd Calendar'!$AD$432)=FALSE,"",IF((('Dvd Calendar'!$AD$434=TYPE1)*(TYPE1&lt;&gt;"")+('Dvd Calendar'!$AD$434=TYPE2)*(TYPE2&lt;&gt;"")+('Dvd Calendar'!$AD$434=TYPE3)*(TYPE3&lt;&gt;"")+('Dvd Calendar'!$AD$434=TYPE4)*(TYPE4&lt;&gt;"")+('Dvd Calendar'!$AD$434=SPECIAL_LBL)*(INC_SPECIALS="Y"))=0,"",'Dvd Calendar'!$AD$432)))</f>
        <v/>
      </c>
      <c r="AC50" s="106">
        <f>IF(FE50="","",IF(ISNUMBER('Dvd Calendar'!$AE$432)=FALSE,"",IF((('Dvd Calendar'!$AE$434=TYPE1)*(TYPE1&lt;&gt;"")+('Dvd Calendar'!$AE$434=TYPE2)*(TYPE2&lt;&gt;"")+('Dvd Calendar'!$AE$434=TYPE3)*(TYPE3&lt;&gt;"")+('Dvd Calendar'!$AE$434=TYPE4)*(TYPE4&lt;&gt;"")+('Dvd Calendar'!$AE$434=SPECIAL_LBL)*(INC_SPECIALS="Y"))=0,"",'Dvd Calendar'!$AE$432)))</f>
        <v/>
      </c>
      <c r="AD50" s="106">
        <f>IF(FF50="","",IF(ISNUMBER('Dvd Calendar'!$AF$432)=FALSE,"",IF((('Dvd Calendar'!$AF$434=TYPE1)*(TYPE1&lt;&gt;"")+('Dvd Calendar'!$AF$434=TYPE2)*(TYPE2&lt;&gt;"")+('Dvd Calendar'!$AF$434=TYPE3)*(TYPE3&lt;&gt;"")+('Dvd Calendar'!$AF$434=TYPE4)*(TYPE4&lt;&gt;"")+('Dvd Calendar'!$AF$434=SPECIAL_LBL)*(INC_SPECIALS="Y"))=0,"",'Dvd Calendar'!$AF$432)))</f>
        <v/>
      </c>
      <c r="AE50" s="106">
        <f>IF(FG50="","",IF(ISNUMBER('Dvd Calendar'!$AG$432)=FALSE,"",IF((('Dvd Calendar'!$AG$434=TYPE1)*(TYPE1&lt;&gt;"")+('Dvd Calendar'!$AG$434=TYPE2)*(TYPE2&lt;&gt;"")+('Dvd Calendar'!$AG$434=TYPE3)*(TYPE3&lt;&gt;"")+('Dvd Calendar'!$AG$434=TYPE4)*(TYPE4&lt;&gt;"")+('Dvd Calendar'!$AG$434=SPECIAL_LBL)*(INC_SPECIALS="Y"))=0,"",'Dvd Calendar'!$AG$432)))</f>
        <v/>
      </c>
      <c r="AF50" s="106">
        <f>IF(FH50="","",IF(ISNUMBER('Dvd Calendar'!$AH$432)=FALSE,"",IF((('Dvd Calendar'!$AH$434=TYPE1)*(TYPE1&lt;&gt;"")+('Dvd Calendar'!$AH$434=TYPE2)*(TYPE2&lt;&gt;"")+('Dvd Calendar'!$AH$434=TYPE3)*(TYPE3&lt;&gt;"")+('Dvd Calendar'!$AH$434=TYPE4)*(TYPE4&lt;&gt;"")+('Dvd Calendar'!$AH$434=SPECIAL_LBL)*(INC_SPECIALS="Y"))=0,"",'Dvd Calendar'!$AH$432)))</f>
        <v/>
      </c>
      <c r="AG50" s="106">
        <f>IF(FI50="","",IF(ISNUMBER('Dvd Calendar'!$AI$432)=FALSE,"",IF((('Dvd Calendar'!$AI$434=TYPE1)*(TYPE1&lt;&gt;"")+('Dvd Calendar'!$AI$434=TYPE2)*(TYPE2&lt;&gt;"")+('Dvd Calendar'!$AI$434=TYPE3)*(TYPE3&lt;&gt;"")+('Dvd Calendar'!$AI$434=TYPE4)*(TYPE4&lt;&gt;"")+('Dvd Calendar'!$AI$434=SPECIAL_LBL)*(INC_SPECIALS="Y"))=0,"",'Dvd Calendar'!$AI$432)))</f>
        <v/>
      </c>
      <c r="AH50" s="106">
        <f>IF(FJ50="","",IF(ISNUMBER('Dvd Calendar'!$AJ$432)=FALSE,"",IF((('Dvd Calendar'!$AJ$434=TYPE1)*(TYPE1&lt;&gt;"")+('Dvd Calendar'!$AJ$434=TYPE2)*(TYPE2&lt;&gt;"")+('Dvd Calendar'!$AJ$434=TYPE3)*(TYPE3&lt;&gt;"")+('Dvd Calendar'!$AJ$434=TYPE4)*(TYPE4&lt;&gt;"")+('Dvd Calendar'!$AJ$434=SPECIAL_LBL)*(INC_SPECIALS="Y"))=0,"",'Dvd Calendar'!$AJ$432)))</f>
        <v/>
      </c>
      <c r="AI50" s="106">
        <f>IF(FK50="","",IF(ISNUMBER('Dvd Calendar'!$AK$432)=FALSE,"",IF((('Dvd Calendar'!$AK$434=TYPE1)*(TYPE1&lt;&gt;"")+('Dvd Calendar'!$AK$434=TYPE2)*(TYPE2&lt;&gt;"")+('Dvd Calendar'!$AK$434=TYPE3)*(TYPE3&lt;&gt;"")+('Dvd Calendar'!$AK$434=TYPE4)*(TYPE4&lt;&gt;"")+('Dvd Calendar'!$AK$434=SPECIAL_LBL)*(INC_SPECIALS="Y"))=0,"",'Dvd Calendar'!$AK$432)))</f>
        <v/>
      </c>
      <c r="AJ50" s="106">
        <f>IF(FL50="","",IF(ISNUMBER('Dvd Calendar'!$AL$432)=FALSE,"",IF((('Dvd Calendar'!$AL$434=TYPE1)*(TYPE1&lt;&gt;"")+('Dvd Calendar'!$AL$434=TYPE2)*(TYPE2&lt;&gt;"")+('Dvd Calendar'!$AL$434=TYPE3)*(TYPE3&lt;&gt;"")+('Dvd Calendar'!$AL$434=TYPE4)*(TYPE4&lt;&gt;"")+('Dvd Calendar'!$AL$434=SPECIAL_LBL)*(INC_SPECIALS="Y"))=0,"",'Dvd Calendar'!$AL$432)))</f>
        <v/>
      </c>
      <c r="AK50" s="106">
        <f>IF(FM50="","",IF(ISNUMBER('Dvd Calendar'!$AM$432)=FALSE,"",IF((('Dvd Calendar'!$AM$434=TYPE1)*(TYPE1&lt;&gt;"")+('Dvd Calendar'!$AM$434=TYPE2)*(TYPE2&lt;&gt;"")+('Dvd Calendar'!$AM$434=TYPE3)*(TYPE3&lt;&gt;"")+('Dvd Calendar'!$AM$434=TYPE4)*(TYPE4&lt;&gt;"")+('Dvd Calendar'!$AM$434=SPECIAL_LBL)*(INC_SPECIALS="Y"))=0,"",'Dvd Calendar'!$AM$432)))</f>
        <v/>
      </c>
      <c r="AL50" s="106">
        <f>IF(FN50="","",IF(ISNUMBER('Dvd Calendar'!$AN$432)=FALSE,"",IF((('Dvd Calendar'!$AN$434=TYPE1)*(TYPE1&lt;&gt;"")+('Dvd Calendar'!$AN$434=TYPE2)*(TYPE2&lt;&gt;"")+('Dvd Calendar'!$AN$434=TYPE3)*(TYPE3&lt;&gt;"")+('Dvd Calendar'!$AN$434=TYPE4)*(TYPE4&lt;&gt;"")+('Dvd Calendar'!$AN$434=SPECIAL_LBL)*(INC_SPECIALS="Y"))=0,"",'Dvd Calendar'!$AN$432)))</f>
        <v/>
      </c>
      <c r="AM50" s="106">
        <f>IF(FO50="","",IF(ISNUMBER('Dvd Calendar'!$AO$432)=FALSE,"",IF((('Dvd Calendar'!$AO$434=TYPE1)*(TYPE1&lt;&gt;"")+('Dvd Calendar'!$AO$434=TYPE2)*(TYPE2&lt;&gt;"")+('Dvd Calendar'!$AO$434=TYPE3)*(TYPE3&lt;&gt;"")+('Dvd Calendar'!$AO$434=TYPE4)*(TYPE4&lt;&gt;"")+('Dvd Calendar'!$AO$434=SPECIAL_LBL)*(INC_SPECIALS="Y"))=0,"",'Dvd Calendar'!$AO$432)))</f>
        <v/>
      </c>
      <c r="AN50" s="106">
        <f>IF(FP50="","",IF(ISNUMBER('Dvd Calendar'!$AP$432)=FALSE,"",IF((('Dvd Calendar'!$AP$434=TYPE1)*(TYPE1&lt;&gt;"")+('Dvd Calendar'!$AP$434=TYPE2)*(TYPE2&lt;&gt;"")+('Dvd Calendar'!$AP$434=TYPE3)*(TYPE3&lt;&gt;"")+('Dvd Calendar'!$AP$434=TYPE4)*(TYPE4&lt;&gt;"")+('Dvd Calendar'!$AP$434=SPECIAL_LBL)*(INC_SPECIALS="Y"))=0,"",'Dvd Calendar'!$AP$432)))</f>
        <v/>
      </c>
      <c r="AO50" s="106">
        <f>IF(FQ50="","",IF(ISNUMBER('Dvd Calendar'!$AQ$432)=FALSE,"",IF((('Dvd Calendar'!$AQ$434=TYPE1)*(TYPE1&lt;&gt;"")+('Dvd Calendar'!$AQ$434=TYPE2)*(TYPE2&lt;&gt;"")+('Dvd Calendar'!$AQ$434=TYPE3)*(TYPE3&lt;&gt;"")+('Dvd Calendar'!$AQ$434=TYPE4)*(TYPE4&lt;&gt;"")+('Dvd Calendar'!$AQ$434=SPECIAL_LBL)*(INC_SPECIALS="Y"))=0,"",'Dvd Calendar'!$AQ$432)))</f>
        <v/>
      </c>
      <c r="AP50" s="106">
        <f>IF(FR50="","",IF(ISNUMBER('Dvd Calendar'!$AR$432)=FALSE,"",IF((('Dvd Calendar'!$AR$434=TYPE1)*(TYPE1&lt;&gt;"")+('Dvd Calendar'!$AR$434=TYPE2)*(TYPE2&lt;&gt;"")+('Dvd Calendar'!$AR$434=TYPE3)*(TYPE3&lt;&gt;"")+('Dvd Calendar'!$AR$434=TYPE4)*(TYPE4&lt;&gt;"")+('Dvd Calendar'!$AR$434=SPECIAL_LBL)*(INC_SPECIALS="Y"))=0,"",'Dvd Calendar'!$AR$432)))</f>
        <v/>
      </c>
      <c r="AQ50" s="106">
        <f>IF(FS50="","",IF(ISNUMBER('Dvd Calendar'!$E$437)=FALSE,"",'Dvd Calendar'!$E$437))</f>
        <v/>
      </c>
      <c r="AR50" s="106">
        <f>IF(FT50="","",IF(ISNUMBER('Dvd Calendar'!$F$437)=FALSE,"",'Dvd Calendar'!$F$437))</f>
        <v/>
      </c>
      <c r="AS50" s="106">
        <f>IF(FU50="","",IF(ISNUMBER('Dvd Calendar'!$G$437)=FALSE,"",'Dvd Calendar'!$G$437))</f>
        <v/>
      </c>
      <c r="AT50" s="106">
        <f>IF(FV50="","",IF(ISNUMBER('Dvd Calendar'!$H$437)=FALSE,"",'Dvd Calendar'!$H$437))</f>
        <v/>
      </c>
      <c r="AU50" s="106">
        <f>IF(FW50="","",IF(ISNUMBER('Dvd Calendar'!$I$437)=FALSE,"",'Dvd Calendar'!$I$437))</f>
        <v/>
      </c>
      <c r="AV50" s="106">
        <f>IF(FX50="","",IF(ISNUMBER('Dvd Calendar'!$J$437)=FALSE,"",'Dvd Calendar'!$J$437))</f>
        <v/>
      </c>
      <c r="AW50" s="106">
        <f>IF(FY50="","",IF(ISNUMBER('Dvd Calendar'!$K$437)=FALSE,"",'Dvd Calendar'!$K$437))</f>
        <v/>
      </c>
      <c r="AX50" s="106">
        <f>IF(FZ50="","",IF(ISNUMBER('Dvd Calendar'!$L$437)=FALSE,"",'Dvd Calendar'!$L$437))</f>
        <v/>
      </c>
      <c r="AY50" s="106">
        <f>IF(GA50="","",IF(ISNUMBER('Dvd Calendar'!$M$437)=FALSE,"",'Dvd Calendar'!$M$437))</f>
        <v/>
      </c>
      <c r="AZ50" s="106">
        <f>IF(GB50="","",IF(ISNUMBER('Dvd Calendar'!$N$437)=FALSE,"",'Dvd Calendar'!$N$437))</f>
        <v/>
      </c>
      <c r="BA50" s="106">
        <f>IF(GC50="","",IF(ISNUMBER('Dvd Calendar'!$O$437)=FALSE,"",'Dvd Calendar'!$O$437))</f>
        <v/>
      </c>
      <c r="BB50" s="106">
        <f>IF(GD50="","",IF(ISNUMBER('Dvd Calendar'!$P$437)=FALSE,"",'Dvd Calendar'!$P$437))</f>
        <v/>
      </c>
      <c r="BC50" s="106">
        <f>IF(GE50="","",IF(ISNUMBER('Dvd Calendar'!$Q$437)=FALSE,"",'Dvd Calendar'!$Q$437))</f>
        <v/>
      </c>
      <c r="BD50" s="106">
        <f>IF(GF50="","",IF(ISNUMBER('Dvd Calendar'!$R$437)=FALSE,"",'Dvd Calendar'!$R$437))</f>
        <v/>
      </c>
      <c r="BE50" s="106">
        <f>IF(GG50="","",IF(ISNUMBER('Dvd Calendar'!$S$437)=FALSE,"",'Dvd Calendar'!$S$437))</f>
        <v/>
      </c>
      <c r="BF50" s="106">
        <f>IF(GH50="","",IF(ISNUMBER('Dvd Calendar'!$T$437)=FALSE,"",'Dvd Calendar'!$T$437))</f>
        <v/>
      </c>
      <c r="BG50" s="106">
        <f>IF(GI50="","",IF(ISNUMBER('Dvd Calendar'!$U$437)=FALSE,"",'Dvd Calendar'!$U$437))</f>
        <v/>
      </c>
      <c r="BH50" s="106">
        <f>IF(GJ50="","",IF(ISNUMBER('Dvd Calendar'!$V$437)=FALSE,"",'Dvd Calendar'!$V$437))</f>
        <v/>
      </c>
      <c r="BI50" s="106">
        <f>IF(GK50="","",IF(ISNUMBER('Dvd Calendar'!$W$437)=FALSE,"",'Dvd Calendar'!$W$437))</f>
        <v/>
      </c>
      <c r="BJ50" s="106">
        <f>IF(GL50="","",IF(ISNUMBER('Dvd Calendar'!$X$437)=FALSE,"",'Dvd Calendar'!$X$437))</f>
        <v/>
      </c>
      <c r="BK50" s="106">
        <f>IF(GM50="","",IF(ISNUMBER('Dvd Calendar'!$Y$437)=FALSE,"",'Dvd Calendar'!$Y$437))</f>
        <v/>
      </c>
      <c r="BL50" s="106">
        <f>IF(GN50="","",IF(ISNUMBER('Dvd Calendar'!$Z$437)=FALSE,"",'Dvd Calendar'!$Z$437))</f>
        <v/>
      </c>
      <c r="BM50" s="106">
        <f>IF(GO50="","",IF(ISNUMBER('Dvd Calendar'!$AA$437)=FALSE,"",'Dvd Calendar'!$AA$437))</f>
        <v/>
      </c>
      <c r="BN50" s="106">
        <f>IF(GP50="","",IF(ISNUMBER('Dvd Calendar'!$AB$437)=FALSE,"",'Dvd Calendar'!$AB$437))</f>
        <v/>
      </c>
      <c r="BO50" s="106">
        <f>IF(GQ50="","",IF(ISNUMBER('Dvd Calendar'!$AC$437)=FALSE,"",'Dvd Calendar'!$AC$437))</f>
        <v/>
      </c>
      <c r="BQ50" s="106">
        <f>IF(C50="","",IFERROR(C50*HSI!$B$45*HSI!$G$45/HSI!$B$3,""))</f>
        <v/>
      </c>
      <c r="BR50" s="106">
        <f>IF(D50="","",IFERROR(D50*HSI!$B$45*HSI!$G$45/HSI!$B$3,""))</f>
        <v/>
      </c>
      <c r="BS50" s="106">
        <f>IF(E50="","",IFERROR(E50*HSI!$B$45*HSI!$G$45/HSI!$B$3,""))</f>
        <v/>
      </c>
      <c r="BT50" s="106">
        <f>IF(F50="","",IFERROR(F50*HSI!$B$45*HSI!$G$45/HSI!$B$3,""))</f>
        <v/>
      </c>
      <c r="BU50" s="106">
        <f>IF(G50="","",IFERROR(G50*HSI!$B$45*HSI!$G$45/HSI!$B$3,""))</f>
        <v/>
      </c>
      <c r="BV50" s="106">
        <f>IF(H50="","",IFERROR(H50*HSI!$B$45*HSI!$G$45/HSI!$B$3,""))</f>
        <v/>
      </c>
      <c r="BW50" s="106">
        <f>IF(I50="","",IFERROR(I50*HSI!$B$45*HSI!$G$45/HSI!$B$3,""))</f>
        <v/>
      </c>
      <c r="BX50" s="106">
        <f>IF(J50="","",IFERROR(J50*HSI!$B$45*HSI!$G$45/HSI!$B$3,""))</f>
        <v/>
      </c>
      <c r="BY50" s="106">
        <f>IF(K50="","",IFERROR(K50*HSI!$B$45*HSI!$G$45/HSI!$B$3,""))</f>
        <v/>
      </c>
      <c r="BZ50" s="106">
        <f>IF(L50="","",IFERROR(L50*HSI!$B$45*HSI!$G$45/HSI!$B$3,""))</f>
        <v/>
      </c>
      <c r="CA50" s="106">
        <f>IF(M50="","",IFERROR(M50*HSI!$B$45*HSI!$G$45/HSI!$B$3,""))</f>
        <v/>
      </c>
      <c r="CB50" s="106">
        <f>IF(N50="","",IFERROR(N50*HSI!$B$45*HSI!$G$45/HSI!$B$3,""))</f>
        <v/>
      </c>
      <c r="CC50" s="106">
        <f>IF(O50="","",IFERROR(O50*HSI!$B$45*HSI!$G$45/HSI!$B$3,""))</f>
        <v/>
      </c>
      <c r="CD50" s="106">
        <f>IF(P50="","",IFERROR(P50*HSI!$B$45*HSI!$G$45/HSI!$B$3,""))</f>
        <v/>
      </c>
      <c r="CE50" s="106">
        <f>IF(Q50="","",IFERROR(Q50*HSI!$B$45*HSI!$G$45/HSI!$B$3,""))</f>
        <v/>
      </c>
      <c r="CF50" s="106">
        <f>IF(R50="","",IFERROR(R50*HSI!$B$45*HSI!$G$45/HSI!$B$3,""))</f>
        <v/>
      </c>
      <c r="CG50" s="106">
        <f>IF(S50="","",IFERROR(S50*HSI!$B$45*HSI!$G$45/HSI!$B$3,""))</f>
        <v/>
      </c>
      <c r="CH50" s="106">
        <f>IF(T50="","",IFERROR(T50*HSI!$B$45*HSI!$G$45/HSI!$B$3,""))</f>
        <v/>
      </c>
      <c r="CI50" s="106">
        <f>IF(U50="","",IFERROR(U50*HSI!$B$45*HSI!$G$45/HSI!$B$3,""))</f>
        <v/>
      </c>
      <c r="CJ50" s="106">
        <f>IF(V50="","",IFERROR(V50*HSI!$B$45*HSI!$G$45/HSI!$B$3,""))</f>
        <v/>
      </c>
      <c r="CK50" s="106">
        <f>IF(W50="","",IFERROR(W50*HSI!$B$45*HSI!$G$45/HSI!$B$3,""))</f>
        <v/>
      </c>
      <c r="CL50" s="106">
        <f>IF(X50="","",IFERROR(X50*HSI!$B$45*HSI!$G$45/HSI!$B$3,""))</f>
        <v/>
      </c>
      <c r="CM50" s="106">
        <f>IF(Y50="","",IFERROR(Y50*HSI!$B$45*HSI!$G$45/HSI!$B$3,""))</f>
        <v/>
      </c>
      <c r="CN50" s="106">
        <f>IF(Z50="","",IFERROR(Z50*HSI!$B$45*HSI!$G$45/HSI!$B$3,""))</f>
        <v/>
      </c>
      <c r="CO50" s="106">
        <f>IF(AA50="","",IFERROR(AA50*HSI!$B$45*HSI!$G$45/HSI!$B$3,""))</f>
        <v/>
      </c>
      <c r="CP50" s="106">
        <f>IF(AB50="","",IFERROR(AB50*HSI!$B$45*HSI!$G$45/HSI!$B$3,""))</f>
        <v/>
      </c>
      <c r="CQ50" s="106">
        <f>IF(AC50="","",IFERROR(AC50*HSI!$B$45*HSI!$G$45/HSI!$B$3,""))</f>
        <v/>
      </c>
      <c r="CR50" s="106">
        <f>IF(AD50="","",IFERROR(AD50*HSI!$B$45*HSI!$G$45/HSI!$B$3,""))</f>
        <v/>
      </c>
      <c r="CS50" s="106">
        <f>IF(AE50="","",IFERROR(AE50*HSI!$B$45*HSI!$G$45/HSI!$B$3,""))</f>
        <v/>
      </c>
      <c r="CT50" s="106">
        <f>IF(AF50="","",IFERROR(AF50*HSI!$B$45*HSI!$G$45/HSI!$B$3,""))</f>
        <v/>
      </c>
      <c r="CU50" s="106">
        <f>IF(AG50="","",IFERROR(AG50*HSI!$B$45*HSI!$G$45/HSI!$B$3,""))</f>
        <v/>
      </c>
      <c r="CV50" s="106">
        <f>IF(AH50="","",IFERROR(AH50*HSI!$B$45*HSI!$G$45/HSI!$B$3,""))</f>
        <v/>
      </c>
      <c r="CW50" s="106">
        <f>IF(AI50="","",IFERROR(AI50*HSI!$B$45*HSI!$G$45/HSI!$B$3,""))</f>
        <v/>
      </c>
      <c r="CX50" s="106">
        <f>IF(AJ50="","",IFERROR(AJ50*HSI!$B$45*HSI!$G$45/HSI!$B$3,""))</f>
        <v/>
      </c>
      <c r="CY50" s="106">
        <f>IF(AK50="","",IFERROR(AK50*HSI!$B$45*HSI!$G$45/HSI!$B$3,""))</f>
        <v/>
      </c>
      <c r="CZ50" s="106">
        <f>IF(AL50="","",IFERROR(AL50*HSI!$B$45*HSI!$G$45/HSI!$B$3,""))</f>
        <v/>
      </c>
      <c r="DA50" s="106">
        <f>IF(AM50="","",IFERROR(AM50*HSI!$B$45*HSI!$G$45/HSI!$B$3,""))</f>
        <v/>
      </c>
      <c r="DB50" s="106">
        <f>IF(AN50="","",IFERROR(AN50*HSI!$B$45*HSI!$G$45/HSI!$B$3,""))</f>
        <v/>
      </c>
      <c r="DC50" s="106">
        <f>IF(AO50="","",IFERROR(AO50*HSI!$B$45*HSI!$G$45/HSI!$B$3,""))</f>
        <v/>
      </c>
      <c r="DD50" s="106">
        <f>IF(AP50="","",IFERROR(AP50*HSI!$B$45*HSI!$G$45/HSI!$B$3,""))</f>
        <v/>
      </c>
      <c r="DE50" s="106">
        <f>IF(AQ50="","",IFERROR(AQ50*HSI!$B$45*HSI!$G$45/HSI!$B$3,""))</f>
        <v/>
      </c>
      <c r="DF50" s="106">
        <f>IF(AR50="","",IFERROR(AR50*HSI!$B$45*HSI!$G$45/HSI!$B$3,""))</f>
        <v/>
      </c>
      <c r="DG50" s="106">
        <f>IF(AS50="","",IFERROR(AS50*HSI!$B$45*HSI!$G$45/HSI!$B$3,""))</f>
        <v/>
      </c>
      <c r="DH50" s="106">
        <f>IF(AT50="","",IFERROR(AT50*HSI!$B$45*HSI!$G$45/HSI!$B$3,""))</f>
        <v/>
      </c>
      <c r="DI50" s="106">
        <f>IF(AU50="","",IFERROR(AU50*HSI!$B$45*HSI!$G$45/HSI!$B$3,""))</f>
        <v/>
      </c>
      <c r="DJ50" s="106">
        <f>IF(AV50="","",IFERROR(AV50*HSI!$B$45*HSI!$G$45/HSI!$B$3,""))</f>
        <v/>
      </c>
      <c r="DK50" s="106">
        <f>IF(AW50="","",IFERROR(AW50*HSI!$B$45*HSI!$G$45/HSI!$B$3,""))</f>
        <v/>
      </c>
      <c r="DL50" s="106">
        <f>IF(AX50="","",IFERROR(AX50*HSI!$B$45*HSI!$G$45/HSI!$B$3,""))</f>
        <v/>
      </c>
      <c r="DM50" s="106">
        <f>IF(AY50="","",IFERROR(AY50*HSI!$B$45*HSI!$G$45/HSI!$B$3,""))</f>
        <v/>
      </c>
      <c r="DN50" s="106">
        <f>IF(AZ50="","",IFERROR(AZ50*HSI!$B$45*HSI!$G$45/HSI!$B$3,""))</f>
        <v/>
      </c>
      <c r="DO50" s="106">
        <f>IF(BA50="","",IFERROR(BA50*HSI!$B$45*HSI!$G$45/HSI!$B$3,""))</f>
        <v/>
      </c>
      <c r="DP50" s="106">
        <f>IF(BB50="","",IFERROR(BB50*HSI!$B$45*HSI!$G$45/HSI!$B$3,""))</f>
        <v/>
      </c>
      <c r="DQ50" s="106">
        <f>IF(BC50="","",IFERROR(BC50*HSI!$B$45*HSI!$G$45/HSI!$B$3,""))</f>
        <v/>
      </c>
      <c r="DR50" s="106">
        <f>IF(BD50="","",IFERROR(BD50*HSI!$B$45*HSI!$G$45/HSI!$B$3,""))</f>
        <v/>
      </c>
      <c r="DS50" s="106">
        <f>IF(BE50="","",IFERROR(BE50*HSI!$B$45*HSI!$G$45/HSI!$B$3,""))</f>
        <v/>
      </c>
      <c r="DT50" s="106">
        <f>IF(BF50="","",IFERROR(BF50*HSI!$B$45*HSI!$G$45/HSI!$B$3,""))</f>
        <v/>
      </c>
      <c r="DU50" s="106">
        <f>IF(BG50="","",IFERROR(BG50*HSI!$B$45*HSI!$G$45/HSI!$B$3,""))</f>
        <v/>
      </c>
      <c r="DV50" s="106">
        <f>IF(BH50="","",IFERROR(BH50*HSI!$B$45*HSI!$G$45/HSI!$B$3,""))</f>
        <v/>
      </c>
      <c r="DW50" s="106">
        <f>IF(BI50="","",IFERROR(BI50*HSI!$B$45*HSI!$G$45/HSI!$B$3,""))</f>
        <v/>
      </c>
      <c r="DX50" s="106">
        <f>IF(BJ50="","",IFERROR(BJ50*HSI!$B$45*HSI!$G$45/HSI!$B$3,""))</f>
        <v/>
      </c>
      <c r="DY50" s="106">
        <f>IF(BK50="","",IFERROR(BK50*HSI!$B$45*HSI!$G$45/HSI!$B$3,""))</f>
        <v/>
      </c>
      <c r="DZ50" s="106">
        <f>IF(BL50="","",IFERROR(BL50*HSI!$B$45*HSI!$G$45/HSI!$B$3,""))</f>
        <v/>
      </c>
      <c r="EA50" s="106">
        <f>IF(BM50="","",IFERROR(BM50*HSI!$B$45*HSI!$G$45/HSI!$B$3,""))</f>
        <v/>
      </c>
      <c r="EB50" s="106">
        <f>IF(BN50="","",IFERROR(BN50*HSI!$B$45*HSI!$G$45/HSI!$B$3,""))</f>
        <v/>
      </c>
      <c r="EC50" s="106">
        <f>IF(BO50="","",IFERROR(BO50*HSI!$B$45*HSI!$G$45/HSI!$B$3,""))</f>
        <v/>
      </c>
      <c r="EE50" s="35">
        <f>IF(N('Dvd Calendar'!$E$429)=0,"",IF(('Dvd Calendar'!$E$429&gt;=GRID_FROM)*('Dvd Calendar'!$E$429&lt;=GRID_TO)*('Dvd Calendar'!$E$429&lt;=VAL_DATE)=0,"",'Dvd Calendar'!$E$429*1000000000+ISNUMBER('Dvd Calendar'!$E$432)*100000000+('Dvd Calendar'!$E$434=SPECIAL_LBL)*10000000+0*1000000+39*1000+1))</f>
        <v/>
      </c>
      <c r="EF50" s="35">
        <f>IF(N('Dvd Calendar'!$F$429)=0,"",IF(('Dvd Calendar'!$F$429&gt;=GRID_FROM)*('Dvd Calendar'!$F$429&lt;=GRID_TO)*('Dvd Calendar'!$F$429&lt;=VAL_DATE)=0,"",'Dvd Calendar'!$F$429*1000000000+ISNUMBER('Dvd Calendar'!$F$432)*100000000+('Dvd Calendar'!$F$434=SPECIAL_LBL)*10000000+0*1000000+39*1000+2))</f>
        <v/>
      </c>
      <c r="EG50" s="35">
        <f>IF(N('Dvd Calendar'!$G$429)=0,"",IF(('Dvd Calendar'!$G$429&gt;=GRID_FROM)*('Dvd Calendar'!$G$429&lt;=GRID_TO)*('Dvd Calendar'!$G$429&lt;=VAL_DATE)=0,"",'Dvd Calendar'!$G$429*1000000000+ISNUMBER('Dvd Calendar'!$G$432)*100000000+('Dvd Calendar'!$G$434=SPECIAL_LBL)*10000000+0*1000000+39*1000+3))</f>
        <v/>
      </c>
      <c r="EH50" s="35">
        <f>IF(N('Dvd Calendar'!$H$429)=0,"",IF(('Dvd Calendar'!$H$429&gt;=GRID_FROM)*('Dvd Calendar'!$H$429&lt;=GRID_TO)*('Dvd Calendar'!$H$429&lt;=VAL_DATE)=0,"",'Dvd Calendar'!$H$429*1000000000+ISNUMBER('Dvd Calendar'!$H$432)*100000000+('Dvd Calendar'!$H$434=SPECIAL_LBL)*10000000+0*1000000+39*1000+4))</f>
        <v/>
      </c>
      <c r="EI50" s="35">
        <f>IF(N('Dvd Calendar'!$I$429)=0,"",IF(('Dvd Calendar'!$I$429&gt;=GRID_FROM)*('Dvd Calendar'!$I$429&lt;=GRID_TO)*('Dvd Calendar'!$I$429&lt;=VAL_DATE)=0,"",'Dvd Calendar'!$I$429*1000000000+ISNUMBER('Dvd Calendar'!$I$432)*100000000+('Dvd Calendar'!$I$434=SPECIAL_LBL)*10000000+0*1000000+39*1000+5))</f>
        <v/>
      </c>
      <c r="EJ50" s="35">
        <f>IF(N('Dvd Calendar'!$J$429)=0,"",IF(('Dvd Calendar'!$J$429&gt;=GRID_FROM)*('Dvd Calendar'!$J$429&lt;=GRID_TO)*('Dvd Calendar'!$J$429&lt;=VAL_DATE)=0,"",'Dvd Calendar'!$J$429*1000000000+ISNUMBER('Dvd Calendar'!$J$432)*100000000+('Dvd Calendar'!$J$434=SPECIAL_LBL)*10000000+0*1000000+39*1000+6))</f>
        <v/>
      </c>
      <c r="EK50" s="35">
        <f>IF(N('Dvd Calendar'!$K$429)=0,"",IF(('Dvd Calendar'!$K$429&gt;=GRID_FROM)*('Dvd Calendar'!$K$429&lt;=GRID_TO)*('Dvd Calendar'!$K$429&lt;=VAL_DATE)=0,"",'Dvd Calendar'!$K$429*1000000000+ISNUMBER('Dvd Calendar'!$K$432)*100000000+('Dvd Calendar'!$K$434=SPECIAL_LBL)*10000000+0*1000000+39*1000+7))</f>
        <v/>
      </c>
      <c r="EL50" s="35">
        <f>IF(N('Dvd Calendar'!$L$429)=0,"",IF(('Dvd Calendar'!$L$429&gt;=GRID_FROM)*('Dvd Calendar'!$L$429&lt;=GRID_TO)*('Dvd Calendar'!$L$429&lt;=VAL_DATE)=0,"",'Dvd Calendar'!$L$429*1000000000+ISNUMBER('Dvd Calendar'!$L$432)*100000000+('Dvd Calendar'!$L$434=SPECIAL_LBL)*10000000+0*1000000+39*1000+8))</f>
        <v/>
      </c>
      <c r="EM50" s="35">
        <f>IF(N('Dvd Calendar'!$M$429)=0,"",IF(('Dvd Calendar'!$M$429&gt;=GRID_FROM)*('Dvd Calendar'!$M$429&lt;=GRID_TO)*('Dvd Calendar'!$M$429&lt;=VAL_DATE)=0,"",'Dvd Calendar'!$M$429*1000000000+ISNUMBER('Dvd Calendar'!$M$432)*100000000+('Dvd Calendar'!$M$434=SPECIAL_LBL)*10000000+0*1000000+39*1000+9))</f>
        <v/>
      </c>
      <c r="EN50" s="35">
        <f>IF(N('Dvd Calendar'!$N$429)=0,"",IF(('Dvd Calendar'!$N$429&gt;=GRID_FROM)*('Dvd Calendar'!$N$429&lt;=GRID_TO)*('Dvd Calendar'!$N$429&lt;=VAL_DATE)=0,"",'Dvd Calendar'!$N$429*1000000000+ISNUMBER('Dvd Calendar'!$N$432)*100000000+('Dvd Calendar'!$N$434=SPECIAL_LBL)*10000000+0*1000000+39*1000+10))</f>
        <v/>
      </c>
      <c r="EO50" s="35">
        <f>IF(N('Dvd Calendar'!$O$429)=0,"",IF(('Dvd Calendar'!$O$429&gt;=GRID_FROM)*('Dvd Calendar'!$O$429&lt;=GRID_TO)*('Dvd Calendar'!$O$429&lt;=VAL_DATE)=0,"",'Dvd Calendar'!$O$429*1000000000+ISNUMBER('Dvd Calendar'!$O$432)*100000000+('Dvd Calendar'!$O$434=SPECIAL_LBL)*10000000+0*1000000+39*1000+11))</f>
        <v/>
      </c>
      <c r="EP50" s="35">
        <f>IF(N('Dvd Calendar'!$P$429)=0,"",IF(('Dvd Calendar'!$P$429&gt;=GRID_FROM)*('Dvd Calendar'!$P$429&lt;=GRID_TO)*('Dvd Calendar'!$P$429&lt;=VAL_DATE)=0,"",'Dvd Calendar'!$P$429*1000000000+ISNUMBER('Dvd Calendar'!$P$432)*100000000+('Dvd Calendar'!$P$434=SPECIAL_LBL)*10000000+0*1000000+39*1000+12))</f>
        <v/>
      </c>
      <c r="EQ50" s="35">
        <f>IF(N('Dvd Calendar'!$Q$429)=0,"",IF(('Dvd Calendar'!$Q$429&gt;=GRID_FROM)*('Dvd Calendar'!$Q$429&lt;=GRID_TO)*('Dvd Calendar'!$Q$429&lt;=VAL_DATE)=0,"",'Dvd Calendar'!$Q$429*1000000000+ISNUMBER('Dvd Calendar'!$Q$432)*100000000+('Dvd Calendar'!$Q$434=SPECIAL_LBL)*10000000+0*1000000+39*1000+13))</f>
        <v/>
      </c>
      <c r="ER50" s="35">
        <f>IF(N('Dvd Calendar'!$R$429)=0,"",IF(('Dvd Calendar'!$R$429&gt;=GRID_FROM)*('Dvd Calendar'!$R$429&lt;=GRID_TO)*('Dvd Calendar'!$R$429&lt;=VAL_DATE)=0,"",'Dvd Calendar'!$R$429*1000000000+ISNUMBER('Dvd Calendar'!$R$432)*100000000+('Dvd Calendar'!$R$434=SPECIAL_LBL)*10000000+0*1000000+39*1000+14))</f>
        <v/>
      </c>
      <c r="ES50" s="35">
        <f>IF(N('Dvd Calendar'!$S$429)=0,"",IF(('Dvd Calendar'!$S$429&gt;=GRID_FROM)*('Dvd Calendar'!$S$429&lt;=GRID_TO)*('Dvd Calendar'!$S$429&lt;=VAL_DATE)=0,"",'Dvd Calendar'!$S$429*1000000000+ISNUMBER('Dvd Calendar'!$S$432)*100000000+('Dvd Calendar'!$S$434=SPECIAL_LBL)*10000000+0*1000000+39*1000+15))</f>
        <v/>
      </c>
      <c r="ET50" s="35">
        <f>IF(N('Dvd Calendar'!$T$429)=0,"",IF(('Dvd Calendar'!$T$429&gt;=GRID_FROM)*('Dvd Calendar'!$T$429&lt;=GRID_TO)*('Dvd Calendar'!$T$429&lt;=VAL_DATE)=0,"",'Dvd Calendar'!$T$429*1000000000+ISNUMBER('Dvd Calendar'!$T$432)*100000000+('Dvd Calendar'!$T$434=SPECIAL_LBL)*10000000+0*1000000+39*1000+16))</f>
        <v/>
      </c>
      <c r="EU50" s="35">
        <f>IF(N('Dvd Calendar'!$U$429)=0,"",IF(('Dvd Calendar'!$U$429&gt;=GRID_FROM)*('Dvd Calendar'!$U$429&lt;=GRID_TO)*('Dvd Calendar'!$U$429&lt;=VAL_DATE)=0,"",'Dvd Calendar'!$U$429*1000000000+ISNUMBER('Dvd Calendar'!$U$432)*100000000+('Dvd Calendar'!$U$434=SPECIAL_LBL)*10000000+0*1000000+39*1000+17))</f>
        <v/>
      </c>
      <c r="EV50" s="35">
        <f>IF(N('Dvd Calendar'!$V$429)=0,"",IF(('Dvd Calendar'!$V$429&gt;=GRID_FROM)*('Dvd Calendar'!$V$429&lt;=GRID_TO)*('Dvd Calendar'!$V$429&lt;=VAL_DATE)=0,"",'Dvd Calendar'!$V$429*1000000000+ISNUMBER('Dvd Calendar'!$V$432)*100000000+('Dvd Calendar'!$V$434=SPECIAL_LBL)*10000000+0*1000000+39*1000+18))</f>
        <v/>
      </c>
      <c r="EW50" s="35">
        <f>IF(N('Dvd Calendar'!$W$429)=0,"",IF(('Dvd Calendar'!$W$429&gt;=GRID_FROM)*('Dvd Calendar'!$W$429&lt;=GRID_TO)*('Dvd Calendar'!$W$429&lt;=VAL_DATE)=0,"",'Dvd Calendar'!$W$429*1000000000+ISNUMBER('Dvd Calendar'!$W$432)*100000000+('Dvd Calendar'!$W$434=SPECIAL_LBL)*10000000+0*1000000+39*1000+19))</f>
        <v/>
      </c>
      <c r="EX50" s="35">
        <f>IF(N('Dvd Calendar'!$X$429)=0,"",IF(('Dvd Calendar'!$X$429&gt;=GRID_FROM)*('Dvd Calendar'!$X$429&lt;=GRID_TO)*('Dvd Calendar'!$X$429&lt;=VAL_DATE)=0,"",'Dvd Calendar'!$X$429*1000000000+ISNUMBER('Dvd Calendar'!$X$432)*100000000+('Dvd Calendar'!$X$434=SPECIAL_LBL)*10000000+0*1000000+39*1000+20))</f>
        <v/>
      </c>
      <c r="EY50" s="35">
        <f>IF(N('Dvd Calendar'!$Y$429)=0,"",IF(('Dvd Calendar'!$Y$429&gt;=GRID_FROM)*('Dvd Calendar'!$Y$429&lt;=GRID_TO)*('Dvd Calendar'!$Y$429&lt;=VAL_DATE)=0,"",'Dvd Calendar'!$Y$429*1000000000+ISNUMBER('Dvd Calendar'!$Y$432)*100000000+('Dvd Calendar'!$Y$434=SPECIAL_LBL)*10000000+0*1000000+39*1000+21))</f>
        <v/>
      </c>
      <c r="EZ50" s="35">
        <f>IF(N('Dvd Calendar'!$Z$429)=0,"",IF(('Dvd Calendar'!$Z$429&gt;=GRID_FROM)*('Dvd Calendar'!$Z$429&lt;=GRID_TO)*('Dvd Calendar'!$Z$429&lt;=VAL_DATE)=0,"",'Dvd Calendar'!$Z$429*1000000000+ISNUMBER('Dvd Calendar'!$Z$432)*100000000+('Dvd Calendar'!$Z$434=SPECIAL_LBL)*10000000+0*1000000+39*1000+22))</f>
        <v/>
      </c>
      <c r="FA50" s="35">
        <f>IF(N('Dvd Calendar'!$AA$429)=0,"",IF(('Dvd Calendar'!$AA$429&gt;=GRID_FROM)*('Dvd Calendar'!$AA$429&lt;=GRID_TO)*('Dvd Calendar'!$AA$429&lt;=VAL_DATE)=0,"",'Dvd Calendar'!$AA$429*1000000000+ISNUMBER('Dvd Calendar'!$AA$432)*100000000+('Dvd Calendar'!$AA$434=SPECIAL_LBL)*10000000+0*1000000+39*1000+23))</f>
        <v/>
      </c>
      <c r="FB50" s="35">
        <f>IF(N('Dvd Calendar'!$AB$429)=0,"",IF(('Dvd Calendar'!$AB$429&gt;=GRID_FROM)*('Dvd Calendar'!$AB$429&lt;=GRID_TO)*('Dvd Calendar'!$AB$429&lt;=VAL_DATE)=0,"",'Dvd Calendar'!$AB$429*1000000000+ISNUMBER('Dvd Calendar'!$AB$432)*100000000+('Dvd Calendar'!$AB$434=SPECIAL_LBL)*10000000+0*1000000+39*1000+24))</f>
        <v/>
      </c>
      <c r="FC50" s="35">
        <f>IF(N('Dvd Calendar'!$AC$429)=0,"",IF(('Dvd Calendar'!$AC$429&gt;=GRID_FROM)*('Dvd Calendar'!$AC$429&lt;=GRID_TO)*('Dvd Calendar'!$AC$429&lt;=VAL_DATE)=0,"",'Dvd Calendar'!$AC$429*1000000000+ISNUMBER('Dvd Calendar'!$AC$432)*100000000+('Dvd Calendar'!$AC$434=SPECIAL_LBL)*10000000+0*1000000+39*1000+25))</f>
        <v/>
      </c>
      <c r="FD50" s="35">
        <f>IF(N('Dvd Calendar'!$AD$429)=0,"",IF(('Dvd Calendar'!$AD$429&gt;=GRID_FROM)*('Dvd Calendar'!$AD$429&lt;=GRID_TO)*('Dvd Calendar'!$AD$429&lt;=VAL_DATE)=0,"",'Dvd Calendar'!$AD$429*1000000000+ISNUMBER('Dvd Calendar'!$AD$432)*100000000+('Dvd Calendar'!$AD$434=SPECIAL_LBL)*10000000+0*1000000+39*1000+26))</f>
        <v/>
      </c>
      <c r="FE50" s="35">
        <f>IF(N('Dvd Calendar'!$AE$429)=0,"",IF(('Dvd Calendar'!$AE$429&gt;=GRID_FROM)*('Dvd Calendar'!$AE$429&lt;=GRID_TO)*('Dvd Calendar'!$AE$429&lt;=VAL_DATE)=0,"",'Dvd Calendar'!$AE$429*1000000000+ISNUMBER('Dvd Calendar'!$AE$432)*100000000+('Dvd Calendar'!$AE$434=SPECIAL_LBL)*10000000+0*1000000+39*1000+27))</f>
        <v/>
      </c>
      <c r="FF50" s="35">
        <f>IF(N('Dvd Calendar'!$AF$429)=0,"",IF(('Dvd Calendar'!$AF$429&gt;=GRID_FROM)*('Dvd Calendar'!$AF$429&lt;=GRID_TO)*('Dvd Calendar'!$AF$429&lt;=VAL_DATE)=0,"",'Dvd Calendar'!$AF$429*1000000000+ISNUMBER('Dvd Calendar'!$AF$432)*100000000+('Dvd Calendar'!$AF$434=SPECIAL_LBL)*10000000+0*1000000+39*1000+28))</f>
        <v/>
      </c>
      <c r="FG50" s="35">
        <f>IF(N('Dvd Calendar'!$AG$429)=0,"",IF(('Dvd Calendar'!$AG$429&gt;=GRID_FROM)*('Dvd Calendar'!$AG$429&lt;=GRID_TO)*('Dvd Calendar'!$AG$429&lt;=VAL_DATE)=0,"",'Dvd Calendar'!$AG$429*1000000000+ISNUMBER('Dvd Calendar'!$AG$432)*100000000+('Dvd Calendar'!$AG$434=SPECIAL_LBL)*10000000+0*1000000+39*1000+29))</f>
        <v/>
      </c>
      <c r="FH50" s="35">
        <f>IF(N('Dvd Calendar'!$AH$429)=0,"",IF(('Dvd Calendar'!$AH$429&gt;=GRID_FROM)*('Dvd Calendar'!$AH$429&lt;=GRID_TO)*('Dvd Calendar'!$AH$429&lt;=VAL_DATE)=0,"",'Dvd Calendar'!$AH$429*1000000000+ISNUMBER('Dvd Calendar'!$AH$432)*100000000+('Dvd Calendar'!$AH$434=SPECIAL_LBL)*10000000+0*1000000+39*1000+30))</f>
        <v/>
      </c>
      <c r="FI50" s="35">
        <f>IF(N('Dvd Calendar'!$AI$429)=0,"",IF(('Dvd Calendar'!$AI$429&gt;=GRID_FROM)*('Dvd Calendar'!$AI$429&lt;=GRID_TO)*('Dvd Calendar'!$AI$429&lt;=VAL_DATE)=0,"",'Dvd Calendar'!$AI$429*1000000000+ISNUMBER('Dvd Calendar'!$AI$432)*100000000+('Dvd Calendar'!$AI$434=SPECIAL_LBL)*10000000+0*1000000+39*1000+31))</f>
        <v/>
      </c>
      <c r="FJ50" s="35">
        <f>IF(N('Dvd Calendar'!$AJ$429)=0,"",IF(('Dvd Calendar'!$AJ$429&gt;=GRID_FROM)*('Dvd Calendar'!$AJ$429&lt;=GRID_TO)*('Dvd Calendar'!$AJ$429&lt;=VAL_DATE)=0,"",'Dvd Calendar'!$AJ$429*1000000000+ISNUMBER('Dvd Calendar'!$AJ$432)*100000000+('Dvd Calendar'!$AJ$434=SPECIAL_LBL)*10000000+0*1000000+39*1000+32))</f>
        <v/>
      </c>
      <c r="FK50" s="35">
        <f>IF(N('Dvd Calendar'!$AK$429)=0,"",IF(('Dvd Calendar'!$AK$429&gt;=GRID_FROM)*('Dvd Calendar'!$AK$429&lt;=GRID_TO)*('Dvd Calendar'!$AK$429&lt;=VAL_DATE)=0,"",'Dvd Calendar'!$AK$429*1000000000+ISNUMBER('Dvd Calendar'!$AK$432)*100000000+('Dvd Calendar'!$AK$434=SPECIAL_LBL)*10000000+0*1000000+39*1000+33))</f>
        <v/>
      </c>
      <c r="FL50" s="35">
        <f>IF(N('Dvd Calendar'!$AL$429)=0,"",IF(('Dvd Calendar'!$AL$429&gt;=GRID_FROM)*('Dvd Calendar'!$AL$429&lt;=GRID_TO)*('Dvd Calendar'!$AL$429&lt;=VAL_DATE)=0,"",'Dvd Calendar'!$AL$429*1000000000+ISNUMBER('Dvd Calendar'!$AL$432)*100000000+('Dvd Calendar'!$AL$434=SPECIAL_LBL)*10000000+0*1000000+39*1000+34))</f>
        <v/>
      </c>
      <c r="FM50" s="35">
        <f>IF(N('Dvd Calendar'!$AM$429)=0,"",IF(('Dvd Calendar'!$AM$429&gt;=GRID_FROM)*('Dvd Calendar'!$AM$429&lt;=GRID_TO)*('Dvd Calendar'!$AM$429&lt;=VAL_DATE)=0,"",'Dvd Calendar'!$AM$429*1000000000+ISNUMBER('Dvd Calendar'!$AM$432)*100000000+('Dvd Calendar'!$AM$434=SPECIAL_LBL)*10000000+0*1000000+39*1000+35))</f>
        <v/>
      </c>
      <c r="FN50" s="35">
        <f>IF(N('Dvd Calendar'!$AN$429)=0,"",IF(('Dvd Calendar'!$AN$429&gt;=GRID_FROM)*('Dvd Calendar'!$AN$429&lt;=GRID_TO)*('Dvd Calendar'!$AN$429&lt;=VAL_DATE)=0,"",'Dvd Calendar'!$AN$429*1000000000+ISNUMBER('Dvd Calendar'!$AN$432)*100000000+('Dvd Calendar'!$AN$434=SPECIAL_LBL)*10000000+0*1000000+39*1000+36))</f>
        <v/>
      </c>
      <c r="FO50" s="35">
        <f>IF(N('Dvd Calendar'!$AO$429)=0,"",IF(('Dvd Calendar'!$AO$429&gt;=GRID_FROM)*('Dvd Calendar'!$AO$429&lt;=GRID_TO)*('Dvd Calendar'!$AO$429&lt;=VAL_DATE)=0,"",'Dvd Calendar'!$AO$429*1000000000+ISNUMBER('Dvd Calendar'!$AO$432)*100000000+('Dvd Calendar'!$AO$434=SPECIAL_LBL)*10000000+0*1000000+39*1000+37))</f>
        <v/>
      </c>
      <c r="FP50" s="35">
        <f>IF(N('Dvd Calendar'!$AP$429)=0,"",IF(('Dvd Calendar'!$AP$429&gt;=GRID_FROM)*('Dvd Calendar'!$AP$429&lt;=GRID_TO)*('Dvd Calendar'!$AP$429&lt;=VAL_DATE)=0,"",'Dvd Calendar'!$AP$429*1000000000+ISNUMBER('Dvd Calendar'!$AP$432)*100000000+('Dvd Calendar'!$AP$434=SPECIAL_LBL)*10000000+0*1000000+39*1000+38))</f>
        <v/>
      </c>
      <c r="FQ50" s="35">
        <f>IF(N('Dvd Calendar'!$AQ$429)=0,"",IF(('Dvd Calendar'!$AQ$429&gt;=GRID_FROM)*('Dvd Calendar'!$AQ$429&lt;=GRID_TO)*('Dvd Calendar'!$AQ$429&lt;=VAL_DATE)=0,"",'Dvd Calendar'!$AQ$429*1000000000+ISNUMBER('Dvd Calendar'!$AQ$432)*100000000+('Dvd Calendar'!$AQ$434=SPECIAL_LBL)*10000000+0*1000000+39*1000+39))</f>
        <v/>
      </c>
      <c r="FR50" s="35">
        <f>IF(N('Dvd Calendar'!$AR$429)=0,"",IF(('Dvd Calendar'!$AR$429&gt;=GRID_FROM)*('Dvd Calendar'!$AR$429&lt;=GRID_TO)*('Dvd Calendar'!$AR$429&lt;=VAL_DATE)=0,"",'Dvd Calendar'!$AR$429*1000000000+ISNUMBER('Dvd Calendar'!$AR$432)*100000000+('Dvd Calendar'!$AR$434=SPECIAL_LBL)*10000000+0*1000000+39*1000+40))</f>
        <v/>
      </c>
      <c r="FS50" s="35">
        <f>IF(N('Dvd Calendar'!$E$436)=0,"",IF(('Dvd Calendar'!$E$436&gt;=GRID_FROM)*('Dvd Calendar'!$E$436&lt;=GRID_TO)*('Dvd Calendar'!$E$436&gt;VAL_DATE)=0,"",'Dvd Calendar'!$E$436*1000000000+ISNUMBER('Dvd Calendar'!$E$437)*100000000+0*10000000+(N('Dvd Calendar'!$E$435)&gt;0)*(N('Dvd Calendar'!$E$435)&lt;=VAL_SERIAL)*1000000+39*1000+41))</f>
        <v/>
      </c>
      <c r="FT50" s="35">
        <f>IF(N('Dvd Calendar'!$F$436)=0,"",IF(('Dvd Calendar'!$F$436&gt;=GRID_FROM)*('Dvd Calendar'!$F$436&lt;=GRID_TO)*('Dvd Calendar'!$F$436&gt;VAL_DATE)=0,"",'Dvd Calendar'!$F$436*1000000000+ISNUMBER('Dvd Calendar'!$F$437)*100000000+0*10000000+(N('Dvd Calendar'!$F$435)&gt;0)*(N('Dvd Calendar'!$F$435)&lt;=VAL_SERIAL)*1000000+39*1000+42))</f>
        <v/>
      </c>
      <c r="FU50" s="35">
        <f>IF(N('Dvd Calendar'!$G$436)=0,"",IF(('Dvd Calendar'!$G$436&gt;=GRID_FROM)*('Dvd Calendar'!$G$436&lt;=GRID_TO)*('Dvd Calendar'!$G$436&gt;VAL_DATE)=0,"",'Dvd Calendar'!$G$436*1000000000+ISNUMBER('Dvd Calendar'!$G$437)*100000000+0*10000000+(N('Dvd Calendar'!$G$435)&gt;0)*(N('Dvd Calendar'!$G$435)&lt;=VAL_SERIAL)*1000000+39*1000+43))</f>
        <v/>
      </c>
      <c r="FV50" s="35">
        <f>IF(N('Dvd Calendar'!$H$436)=0,"",IF(('Dvd Calendar'!$H$436&gt;=GRID_FROM)*('Dvd Calendar'!$H$436&lt;=GRID_TO)*('Dvd Calendar'!$H$436&gt;VAL_DATE)=0,"",'Dvd Calendar'!$H$436*1000000000+ISNUMBER('Dvd Calendar'!$H$437)*100000000+0*10000000+(N('Dvd Calendar'!$H$435)&gt;0)*(N('Dvd Calendar'!$H$435)&lt;=VAL_SERIAL)*1000000+39*1000+44))</f>
        <v/>
      </c>
      <c r="FW50" s="35">
        <f>IF(N('Dvd Calendar'!$I$436)=0,"",IF(('Dvd Calendar'!$I$436&gt;=GRID_FROM)*('Dvd Calendar'!$I$436&lt;=GRID_TO)*('Dvd Calendar'!$I$436&gt;VAL_DATE)=0,"",'Dvd Calendar'!$I$436*1000000000+ISNUMBER('Dvd Calendar'!$I$437)*100000000+0*10000000+(N('Dvd Calendar'!$I$435)&gt;0)*(N('Dvd Calendar'!$I$435)&lt;=VAL_SERIAL)*1000000+39*1000+45))</f>
        <v/>
      </c>
      <c r="FX50" s="35">
        <f>IF(N('Dvd Calendar'!$J$436)=0,"",IF(('Dvd Calendar'!$J$436&gt;=GRID_FROM)*('Dvd Calendar'!$J$436&lt;=GRID_TO)*('Dvd Calendar'!$J$436&gt;VAL_DATE)=0,"",'Dvd Calendar'!$J$436*1000000000+ISNUMBER('Dvd Calendar'!$J$437)*100000000+0*10000000+(N('Dvd Calendar'!$J$435)&gt;0)*(N('Dvd Calendar'!$J$435)&lt;=VAL_SERIAL)*1000000+39*1000+46))</f>
        <v/>
      </c>
      <c r="FY50" s="35">
        <f>IF(N('Dvd Calendar'!$K$436)=0,"",IF(('Dvd Calendar'!$K$436&gt;=GRID_FROM)*('Dvd Calendar'!$K$436&lt;=GRID_TO)*('Dvd Calendar'!$K$436&gt;VAL_DATE)=0,"",'Dvd Calendar'!$K$436*1000000000+ISNUMBER('Dvd Calendar'!$K$437)*100000000+0*10000000+(N('Dvd Calendar'!$K$435)&gt;0)*(N('Dvd Calendar'!$K$435)&lt;=VAL_SERIAL)*1000000+39*1000+47))</f>
        <v/>
      </c>
      <c r="FZ50" s="35">
        <f>IF(N('Dvd Calendar'!$L$436)=0,"",IF(('Dvd Calendar'!$L$436&gt;=GRID_FROM)*('Dvd Calendar'!$L$436&lt;=GRID_TO)*('Dvd Calendar'!$L$436&gt;VAL_DATE)=0,"",'Dvd Calendar'!$L$436*1000000000+ISNUMBER('Dvd Calendar'!$L$437)*100000000+0*10000000+(N('Dvd Calendar'!$L$435)&gt;0)*(N('Dvd Calendar'!$L$435)&lt;=VAL_SERIAL)*1000000+39*1000+48))</f>
        <v/>
      </c>
      <c r="GA50" s="35">
        <f>IF(N('Dvd Calendar'!$M$436)=0,"",IF(('Dvd Calendar'!$M$436&gt;=GRID_FROM)*('Dvd Calendar'!$M$436&lt;=GRID_TO)*('Dvd Calendar'!$M$436&gt;VAL_DATE)=0,"",'Dvd Calendar'!$M$436*1000000000+ISNUMBER('Dvd Calendar'!$M$437)*100000000+0*10000000+(N('Dvd Calendar'!$M$435)&gt;0)*(N('Dvd Calendar'!$M$435)&lt;=VAL_SERIAL)*1000000+39*1000+49))</f>
        <v/>
      </c>
      <c r="GB50" s="35">
        <f>IF(N('Dvd Calendar'!$N$436)=0,"",IF(('Dvd Calendar'!$N$436&gt;=GRID_FROM)*('Dvd Calendar'!$N$436&lt;=GRID_TO)*('Dvd Calendar'!$N$436&gt;VAL_DATE)=0,"",'Dvd Calendar'!$N$436*1000000000+ISNUMBER('Dvd Calendar'!$N$437)*100000000+0*10000000+(N('Dvd Calendar'!$N$435)&gt;0)*(N('Dvd Calendar'!$N$435)&lt;=VAL_SERIAL)*1000000+39*1000+50))</f>
        <v/>
      </c>
      <c r="GC50" s="35">
        <f>IF(N('Dvd Calendar'!$O$436)=0,"",IF(('Dvd Calendar'!$O$436&gt;=GRID_FROM)*('Dvd Calendar'!$O$436&lt;=GRID_TO)*('Dvd Calendar'!$O$436&gt;VAL_DATE)=0,"",'Dvd Calendar'!$O$436*1000000000+ISNUMBER('Dvd Calendar'!$O$437)*100000000+0*10000000+(N('Dvd Calendar'!$O$435)&gt;0)*(N('Dvd Calendar'!$O$435)&lt;=VAL_SERIAL)*1000000+39*1000+51))</f>
        <v/>
      </c>
      <c r="GD50" s="35">
        <f>IF(N('Dvd Calendar'!$P$436)=0,"",IF(('Dvd Calendar'!$P$436&gt;=GRID_FROM)*('Dvd Calendar'!$P$436&lt;=GRID_TO)*('Dvd Calendar'!$P$436&gt;VAL_DATE)=0,"",'Dvd Calendar'!$P$436*1000000000+ISNUMBER('Dvd Calendar'!$P$437)*100000000+0*10000000+(N('Dvd Calendar'!$P$435)&gt;0)*(N('Dvd Calendar'!$P$435)&lt;=VAL_SERIAL)*1000000+39*1000+52))</f>
        <v/>
      </c>
      <c r="GE50" s="35">
        <f>IF(N('Dvd Calendar'!$Q$436)=0,"",IF(('Dvd Calendar'!$Q$436&gt;=GRID_FROM)*('Dvd Calendar'!$Q$436&lt;=GRID_TO)*('Dvd Calendar'!$Q$436&gt;VAL_DATE)=0,"",'Dvd Calendar'!$Q$436*1000000000+ISNUMBER('Dvd Calendar'!$Q$437)*100000000+0*10000000+(N('Dvd Calendar'!$Q$435)&gt;0)*(N('Dvd Calendar'!$Q$435)&lt;=VAL_SERIAL)*1000000+39*1000+53))</f>
        <v/>
      </c>
      <c r="GF50" s="35">
        <f>IF(N('Dvd Calendar'!$R$436)=0,"",IF(('Dvd Calendar'!$R$436&gt;=GRID_FROM)*('Dvd Calendar'!$R$436&lt;=GRID_TO)*('Dvd Calendar'!$R$436&gt;VAL_DATE)=0,"",'Dvd Calendar'!$R$436*1000000000+ISNUMBER('Dvd Calendar'!$R$437)*100000000+0*10000000+(N('Dvd Calendar'!$R$435)&gt;0)*(N('Dvd Calendar'!$R$435)&lt;=VAL_SERIAL)*1000000+39*1000+54))</f>
        <v/>
      </c>
      <c r="GG50" s="35">
        <f>IF(N('Dvd Calendar'!$S$436)=0,"",IF(('Dvd Calendar'!$S$436&gt;=GRID_FROM)*('Dvd Calendar'!$S$436&lt;=GRID_TO)*('Dvd Calendar'!$S$436&gt;VAL_DATE)=0,"",'Dvd Calendar'!$S$436*1000000000+ISNUMBER('Dvd Calendar'!$S$437)*100000000+0*10000000+(N('Dvd Calendar'!$S$435)&gt;0)*(N('Dvd Calendar'!$S$435)&lt;=VAL_SERIAL)*1000000+39*1000+55))</f>
        <v/>
      </c>
      <c r="GH50" s="35">
        <f>IF(N('Dvd Calendar'!$T$436)=0,"",IF(('Dvd Calendar'!$T$436&gt;=GRID_FROM)*('Dvd Calendar'!$T$436&lt;=GRID_TO)*('Dvd Calendar'!$T$436&gt;VAL_DATE)=0,"",'Dvd Calendar'!$T$436*1000000000+ISNUMBER('Dvd Calendar'!$T$437)*100000000+0*10000000+(N('Dvd Calendar'!$T$435)&gt;0)*(N('Dvd Calendar'!$T$435)&lt;=VAL_SERIAL)*1000000+39*1000+56))</f>
        <v/>
      </c>
      <c r="GI50" s="35">
        <f>IF(N('Dvd Calendar'!$U$436)=0,"",IF(('Dvd Calendar'!$U$436&gt;=GRID_FROM)*('Dvd Calendar'!$U$436&lt;=GRID_TO)*('Dvd Calendar'!$U$436&gt;VAL_DATE)=0,"",'Dvd Calendar'!$U$436*1000000000+ISNUMBER('Dvd Calendar'!$U$437)*100000000+0*10000000+(N('Dvd Calendar'!$U$435)&gt;0)*(N('Dvd Calendar'!$U$435)&lt;=VAL_SERIAL)*1000000+39*1000+57))</f>
        <v/>
      </c>
      <c r="GJ50" s="35">
        <f>IF(N('Dvd Calendar'!$V$436)=0,"",IF(('Dvd Calendar'!$V$436&gt;=GRID_FROM)*('Dvd Calendar'!$V$436&lt;=GRID_TO)*('Dvd Calendar'!$V$436&gt;VAL_DATE)=0,"",'Dvd Calendar'!$V$436*1000000000+ISNUMBER('Dvd Calendar'!$V$437)*100000000+0*10000000+(N('Dvd Calendar'!$V$435)&gt;0)*(N('Dvd Calendar'!$V$435)&lt;=VAL_SERIAL)*1000000+39*1000+58))</f>
        <v/>
      </c>
      <c r="GK50" s="35">
        <f>IF(N('Dvd Calendar'!$W$436)=0,"",IF(('Dvd Calendar'!$W$436&gt;=GRID_FROM)*('Dvd Calendar'!$W$436&lt;=GRID_TO)*('Dvd Calendar'!$W$436&gt;VAL_DATE)=0,"",'Dvd Calendar'!$W$436*1000000000+ISNUMBER('Dvd Calendar'!$W$437)*100000000+0*10000000+(N('Dvd Calendar'!$W$435)&gt;0)*(N('Dvd Calendar'!$W$435)&lt;=VAL_SERIAL)*1000000+39*1000+59))</f>
        <v/>
      </c>
      <c r="GL50" s="35">
        <f>IF(N('Dvd Calendar'!$X$436)=0,"",IF(('Dvd Calendar'!$X$436&gt;=GRID_FROM)*('Dvd Calendar'!$X$436&lt;=GRID_TO)*('Dvd Calendar'!$X$436&gt;VAL_DATE)=0,"",'Dvd Calendar'!$X$436*1000000000+ISNUMBER('Dvd Calendar'!$X$437)*100000000+0*10000000+(N('Dvd Calendar'!$X$435)&gt;0)*(N('Dvd Calendar'!$X$435)&lt;=VAL_SERIAL)*1000000+39*1000+60))</f>
        <v/>
      </c>
      <c r="GM50" s="35">
        <f>IF(N('Dvd Calendar'!$Y$436)=0,"",IF(('Dvd Calendar'!$Y$436&gt;=GRID_FROM)*('Dvd Calendar'!$Y$436&lt;=GRID_TO)*('Dvd Calendar'!$Y$436&gt;VAL_DATE)=0,"",'Dvd Calendar'!$Y$436*1000000000+ISNUMBER('Dvd Calendar'!$Y$437)*100000000+0*10000000+(N('Dvd Calendar'!$Y$435)&gt;0)*(N('Dvd Calendar'!$Y$435)&lt;=VAL_SERIAL)*1000000+39*1000+61))</f>
        <v/>
      </c>
      <c r="GN50" s="35">
        <f>IF(N('Dvd Calendar'!$Z$436)=0,"",IF(('Dvd Calendar'!$Z$436&gt;=GRID_FROM)*('Dvd Calendar'!$Z$436&lt;=GRID_TO)*('Dvd Calendar'!$Z$436&gt;VAL_DATE)=0,"",'Dvd Calendar'!$Z$436*1000000000+ISNUMBER('Dvd Calendar'!$Z$437)*100000000+0*10000000+(N('Dvd Calendar'!$Z$435)&gt;0)*(N('Dvd Calendar'!$Z$435)&lt;=VAL_SERIAL)*1000000+39*1000+62))</f>
        <v/>
      </c>
      <c r="GO50" s="35">
        <f>IF(N('Dvd Calendar'!$AA$436)=0,"",IF(('Dvd Calendar'!$AA$436&gt;=GRID_FROM)*('Dvd Calendar'!$AA$436&lt;=GRID_TO)*('Dvd Calendar'!$AA$436&gt;VAL_DATE)=0,"",'Dvd Calendar'!$AA$436*1000000000+ISNUMBER('Dvd Calendar'!$AA$437)*100000000+0*10000000+(N('Dvd Calendar'!$AA$435)&gt;0)*(N('Dvd Calendar'!$AA$435)&lt;=VAL_SERIAL)*1000000+39*1000+63))</f>
        <v/>
      </c>
      <c r="GP50" s="35">
        <f>IF(N('Dvd Calendar'!$AB$436)=0,"",IF(('Dvd Calendar'!$AB$436&gt;=GRID_FROM)*('Dvd Calendar'!$AB$436&lt;=GRID_TO)*('Dvd Calendar'!$AB$436&gt;VAL_DATE)=0,"",'Dvd Calendar'!$AB$436*1000000000+ISNUMBER('Dvd Calendar'!$AB$437)*100000000+0*10000000+(N('Dvd Calendar'!$AB$435)&gt;0)*(N('Dvd Calendar'!$AB$435)&lt;=VAL_SERIAL)*1000000+39*1000+64))</f>
        <v/>
      </c>
      <c r="GQ50" s="35">
        <f>IF(N('Dvd Calendar'!$AC$436)=0,"",IF(('Dvd Calendar'!$AC$436&gt;=GRID_FROM)*('Dvd Calendar'!$AC$436&lt;=GRID_TO)*('Dvd Calendar'!$AC$436&gt;VAL_DATE)=0,"",'Dvd Calendar'!$AC$436*1000000000+ISNUMBER('Dvd Calendar'!$AC$437)*100000000+0*10000000+(N('Dvd Calendar'!$AC$435)&gt;0)*(N('Dvd Calendar'!$AC$435)&lt;=VAL_SERIAL)*1000000+39*1000+65))</f>
        <v/>
      </c>
    </row>
    <row r="51">
      <c r="B51" s="2">
        <f>IF(HSI!$C$46="","",HSI!$C$46)</f>
        <v/>
      </c>
      <c r="C51" s="106">
        <f>IF(EE51="","",IF(ISNUMBER('Dvd Calendar'!$E$443)=FALSE,"",IF((('Dvd Calendar'!$E$445=TYPE1)*(TYPE1&lt;&gt;"")+('Dvd Calendar'!$E$445=TYPE2)*(TYPE2&lt;&gt;"")+('Dvd Calendar'!$E$445=TYPE3)*(TYPE3&lt;&gt;"")+('Dvd Calendar'!$E$445=TYPE4)*(TYPE4&lt;&gt;"")+('Dvd Calendar'!$E$445=SPECIAL_LBL)*(INC_SPECIALS="Y"))=0,"",'Dvd Calendar'!$E$443)))</f>
        <v/>
      </c>
      <c r="D51" s="106">
        <f>IF(EF51="","",IF(ISNUMBER('Dvd Calendar'!$F$443)=FALSE,"",IF((('Dvd Calendar'!$F$445=TYPE1)*(TYPE1&lt;&gt;"")+('Dvd Calendar'!$F$445=TYPE2)*(TYPE2&lt;&gt;"")+('Dvd Calendar'!$F$445=TYPE3)*(TYPE3&lt;&gt;"")+('Dvd Calendar'!$F$445=TYPE4)*(TYPE4&lt;&gt;"")+('Dvd Calendar'!$F$445=SPECIAL_LBL)*(INC_SPECIALS="Y"))=0,"",'Dvd Calendar'!$F$443)))</f>
        <v/>
      </c>
      <c r="E51" s="106">
        <f>IF(EG51="","",IF(ISNUMBER('Dvd Calendar'!$G$443)=FALSE,"",IF((('Dvd Calendar'!$G$445=TYPE1)*(TYPE1&lt;&gt;"")+('Dvd Calendar'!$G$445=TYPE2)*(TYPE2&lt;&gt;"")+('Dvd Calendar'!$G$445=TYPE3)*(TYPE3&lt;&gt;"")+('Dvd Calendar'!$G$445=TYPE4)*(TYPE4&lt;&gt;"")+('Dvd Calendar'!$G$445=SPECIAL_LBL)*(INC_SPECIALS="Y"))=0,"",'Dvd Calendar'!$G$443)))</f>
        <v/>
      </c>
      <c r="F51" s="106">
        <f>IF(EH51="","",IF(ISNUMBER('Dvd Calendar'!$H$443)=FALSE,"",IF((('Dvd Calendar'!$H$445=TYPE1)*(TYPE1&lt;&gt;"")+('Dvd Calendar'!$H$445=TYPE2)*(TYPE2&lt;&gt;"")+('Dvd Calendar'!$H$445=TYPE3)*(TYPE3&lt;&gt;"")+('Dvd Calendar'!$H$445=TYPE4)*(TYPE4&lt;&gt;"")+('Dvd Calendar'!$H$445=SPECIAL_LBL)*(INC_SPECIALS="Y"))=0,"",'Dvd Calendar'!$H$443)))</f>
        <v/>
      </c>
      <c r="G51" s="106">
        <f>IF(EI51="","",IF(ISNUMBER('Dvd Calendar'!$I$443)=FALSE,"",IF((('Dvd Calendar'!$I$445=TYPE1)*(TYPE1&lt;&gt;"")+('Dvd Calendar'!$I$445=TYPE2)*(TYPE2&lt;&gt;"")+('Dvd Calendar'!$I$445=TYPE3)*(TYPE3&lt;&gt;"")+('Dvd Calendar'!$I$445=TYPE4)*(TYPE4&lt;&gt;"")+('Dvd Calendar'!$I$445=SPECIAL_LBL)*(INC_SPECIALS="Y"))=0,"",'Dvd Calendar'!$I$443)))</f>
        <v/>
      </c>
      <c r="H51" s="106">
        <f>IF(EJ51="","",IF(ISNUMBER('Dvd Calendar'!$J$443)=FALSE,"",IF((('Dvd Calendar'!$J$445=TYPE1)*(TYPE1&lt;&gt;"")+('Dvd Calendar'!$J$445=TYPE2)*(TYPE2&lt;&gt;"")+('Dvd Calendar'!$J$445=TYPE3)*(TYPE3&lt;&gt;"")+('Dvd Calendar'!$J$445=TYPE4)*(TYPE4&lt;&gt;"")+('Dvd Calendar'!$J$445=SPECIAL_LBL)*(INC_SPECIALS="Y"))=0,"",'Dvd Calendar'!$J$443)))</f>
        <v/>
      </c>
      <c r="I51" s="106">
        <f>IF(EK51="","",IF(ISNUMBER('Dvd Calendar'!$K$443)=FALSE,"",IF((('Dvd Calendar'!$K$445=TYPE1)*(TYPE1&lt;&gt;"")+('Dvd Calendar'!$K$445=TYPE2)*(TYPE2&lt;&gt;"")+('Dvd Calendar'!$K$445=TYPE3)*(TYPE3&lt;&gt;"")+('Dvd Calendar'!$K$445=TYPE4)*(TYPE4&lt;&gt;"")+('Dvd Calendar'!$K$445=SPECIAL_LBL)*(INC_SPECIALS="Y"))=0,"",'Dvd Calendar'!$K$443)))</f>
        <v/>
      </c>
      <c r="J51" s="106">
        <f>IF(EL51="","",IF(ISNUMBER('Dvd Calendar'!$L$443)=FALSE,"",IF((('Dvd Calendar'!$L$445=TYPE1)*(TYPE1&lt;&gt;"")+('Dvd Calendar'!$L$445=TYPE2)*(TYPE2&lt;&gt;"")+('Dvd Calendar'!$L$445=TYPE3)*(TYPE3&lt;&gt;"")+('Dvd Calendar'!$L$445=TYPE4)*(TYPE4&lt;&gt;"")+('Dvd Calendar'!$L$445=SPECIAL_LBL)*(INC_SPECIALS="Y"))=0,"",'Dvd Calendar'!$L$443)))</f>
        <v/>
      </c>
      <c r="K51" s="106">
        <f>IF(EM51="","",IF(ISNUMBER('Dvd Calendar'!$M$443)=FALSE,"",IF((('Dvd Calendar'!$M$445=TYPE1)*(TYPE1&lt;&gt;"")+('Dvd Calendar'!$M$445=TYPE2)*(TYPE2&lt;&gt;"")+('Dvd Calendar'!$M$445=TYPE3)*(TYPE3&lt;&gt;"")+('Dvd Calendar'!$M$445=TYPE4)*(TYPE4&lt;&gt;"")+('Dvd Calendar'!$M$445=SPECIAL_LBL)*(INC_SPECIALS="Y"))=0,"",'Dvd Calendar'!$M$443)))</f>
        <v/>
      </c>
      <c r="L51" s="106">
        <f>IF(EN51="","",IF(ISNUMBER('Dvd Calendar'!$N$443)=FALSE,"",IF((('Dvd Calendar'!$N$445=TYPE1)*(TYPE1&lt;&gt;"")+('Dvd Calendar'!$N$445=TYPE2)*(TYPE2&lt;&gt;"")+('Dvd Calendar'!$N$445=TYPE3)*(TYPE3&lt;&gt;"")+('Dvd Calendar'!$N$445=TYPE4)*(TYPE4&lt;&gt;"")+('Dvd Calendar'!$N$445=SPECIAL_LBL)*(INC_SPECIALS="Y"))=0,"",'Dvd Calendar'!$N$443)))</f>
        <v/>
      </c>
      <c r="M51" s="106">
        <f>IF(EO51="","",IF(ISNUMBER('Dvd Calendar'!$O$443)=FALSE,"",IF((('Dvd Calendar'!$O$445=TYPE1)*(TYPE1&lt;&gt;"")+('Dvd Calendar'!$O$445=TYPE2)*(TYPE2&lt;&gt;"")+('Dvd Calendar'!$O$445=TYPE3)*(TYPE3&lt;&gt;"")+('Dvd Calendar'!$O$445=TYPE4)*(TYPE4&lt;&gt;"")+('Dvd Calendar'!$O$445=SPECIAL_LBL)*(INC_SPECIALS="Y"))=0,"",'Dvd Calendar'!$O$443)))</f>
        <v/>
      </c>
      <c r="N51" s="106">
        <f>IF(EP51="","",IF(ISNUMBER('Dvd Calendar'!$P$443)=FALSE,"",IF((('Dvd Calendar'!$P$445=TYPE1)*(TYPE1&lt;&gt;"")+('Dvd Calendar'!$P$445=TYPE2)*(TYPE2&lt;&gt;"")+('Dvd Calendar'!$P$445=TYPE3)*(TYPE3&lt;&gt;"")+('Dvd Calendar'!$P$445=TYPE4)*(TYPE4&lt;&gt;"")+('Dvd Calendar'!$P$445=SPECIAL_LBL)*(INC_SPECIALS="Y"))=0,"",'Dvd Calendar'!$P$443)))</f>
        <v/>
      </c>
      <c r="O51" s="106">
        <f>IF(EQ51="","",IF(ISNUMBER('Dvd Calendar'!$Q$443)=FALSE,"",IF((('Dvd Calendar'!$Q$445=TYPE1)*(TYPE1&lt;&gt;"")+('Dvd Calendar'!$Q$445=TYPE2)*(TYPE2&lt;&gt;"")+('Dvd Calendar'!$Q$445=TYPE3)*(TYPE3&lt;&gt;"")+('Dvd Calendar'!$Q$445=TYPE4)*(TYPE4&lt;&gt;"")+('Dvd Calendar'!$Q$445=SPECIAL_LBL)*(INC_SPECIALS="Y"))=0,"",'Dvd Calendar'!$Q$443)))</f>
        <v/>
      </c>
      <c r="P51" s="106">
        <f>IF(ER51="","",IF(ISNUMBER('Dvd Calendar'!$R$443)=FALSE,"",IF((('Dvd Calendar'!$R$445=TYPE1)*(TYPE1&lt;&gt;"")+('Dvd Calendar'!$R$445=TYPE2)*(TYPE2&lt;&gt;"")+('Dvd Calendar'!$R$445=TYPE3)*(TYPE3&lt;&gt;"")+('Dvd Calendar'!$R$445=TYPE4)*(TYPE4&lt;&gt;"")+('Dvd Calendar'!$R$445=SPECIAL_LBL)*(INC_SPECIALS="Y"))=0,"",'Dvd Calendar'!$R$443)))</f>
        <v/>
      </c>
      <c r="Q51" s="106">
        <f>IF(ES51="","",IF(ISNUMBER('Dvd Calendar'!$S$443)=FALSE,"",IF((('Dvd Calendar'!$S$445=TYPE1)*(TYPE1&lt;&gt;"")+('Dvd Calendar'!$S$445=TYPE2)*(TYPE2&lt;&gt;"")+('Dvd Calendar'!$S$445=TYPE3)*(TYPE3&lt;&gt;"")+('Dvd Calendar'!$S$445=TYPE4)*(TYPE4&lt;&gt;"")+('Dvd Calendar'!$S$445=SPECIAL_LBL)*(INC_SPECIALS="Y"))=0,"",'Dvd Calendar'!$S$443)))</f>
        <v/>
      </c>
      <c r="R51" s="106">
        <f>IF(ET51="","",IF(ISNUMBER('Dvd Calendar'!$T$443)=FALSE,"",IF((('Dvd Calendar'!$T$445=TYPE1)*(TYPE1&lt;&gt;"")+('Dvd Calendar'!$T$445=TYPE2)*(TYPE2&lt;&gt;"")+('Dvd Calendar'!$T$445=TYPE3)*(TYPE3&lt;&gt;"")+('Dvd Calendar'!$T$445=TYPE4)*(TYPE4&lt;&gt;"")+('Dvd Calendar'!$T$445=SPECIAL_LBL)*(INC_SPECIALS="Y"))=0,"",'Dvd Calendar'!$T$443)))</f>
        <v/>
      </c>
      <c r="S51" s="106">
        <f>IF(EU51="","",IF(ISNUMBER('Dvd Calendar'!$U$443)=FALSE,"",IF((('Dvd Calendar'!$U$445=TYPE1)*(TYPE1&lt;&gt;"")+('Dvd Calendar'!$U$445=TYPE2)*(TYPE2&lt;&gt;"")+('Dvd Calendar'!$U$445=TYPE3)*(TYPE3&lt;&gt;"")+('Dvd Calendar'!$U$445=TYPE4)*(TYPE4&lt;&gt;"")+('Dvd Calendar'!$U$445=SPECIAL_LBL)*(INC_SPECIALS="Y"))=0,"",'Dvd Calendar'!$U$443)))</f>
        <v/>
      </c>
      <c r="T51" s="106">
        <f>IF(EV51="","",IF(ISNUMBER('Dvd Calendar'!$V$443)=FALSE,"",IF((('Dvd Calendar'!$V$445=TYPE1)*(TYPE1&lt;&gt;"")+('Dvd Calendar'!$V$445=TYPE2)*(TYPE2&lt;&gt;"")+('Dvd Calendar'!$V$445=TYPE3)*(TYPE3&lt;&gt;"")+('Dvd Calendar'!$V$445=TYPE4)*(TYPE4&lt;&gt;"")+('Dvd Calendar'!$V$445=SPECIAL_LBL)*(INC_SPECIALS="Y"))=0,"",'Dvd Calendar'!$V$443)))</f>
        <v/>
      </c>
      <c r="U51" s="106">
        <f>IF(EW51="","",IF(ISNUMBER('Dvd Calendar'!$W$443)=FALSE,"",IF((('Dvd Calendar'!$W$445=TYPE1)*(TYPE1&lt;&gt;"")+('Dvd Calendar'!$W$445=TYPE2)*(TYPE2&lt;&gt;"")+('Dvd Calendar'!$W$445=TYPE3)*(TYPE3&lt;&gt;"")+('Dvd Calendar'!$W$445=TYPE4)*(TYPE4&lt;&gt;"")+('Dvd Calendar'!$W$445=SPECIAL_LBL)*(INC_SPECIALS="Y"))=0,"",'Dvd Calendar'!$W$443)))</f>
        <v/>
      </c>
      <c r="V51" s="106">
        <f>IF(EX51="","",IF(ISNUMBER('Dvd Calendar'!$X$443)=FALSE,"",IF((('Dvd Calendar'!$X$445=TYPE1)*(TYPE1&lt;&gt;"")+('Dvd Calendar'!$X$445=TYPE2)*(TYPE2&lt;&gt;"")+('Dvd Calendar'!$X$445=TYPE3)*(TYPE3&lt;&gt;"")+('Dvd Calendar'!$X$445=TYPE4)*(TYPE4&lt;&gt;"")+('Dvd Calendar'!$X$445=SPECIAL_LBL)*(INC_SPECIALS="Y"))=0,"",'Dvd Calendar'!$X$443)))</f>
        <v/>
      </c>
      <c r="W51" s="106">
        <f>IF(EY51="","",IF(ISNUMBER('Dvd Calendar'!$Y$443)=FALSE,"",IF((('Dvd Calendar'!$Y$445=TYPE1)*(TYPE1&lt;&gt;"")+('Dvd Calendar'!$Y$445=TYPE2)*(TYPE2&lt;&gt;"")+('Dvd Calendar'!$Y$445=TYPE3)*(TYPE3&lt;&gt;"")+('Dvd Calendar'!$Y$445=TYPE4)*(TYPE4&lt;&gt;"")+('Dvd Calendar'!$Y$445=SPECIAL_LBL)*(INC_SPECIALS="Y"))=0,"",'Dvd Calendar'!$Y$443)))</f>
        <v/>
      </c>
      <c r="X51" s="106">
        <f>IF(EZ51="","",IF(ISNUMBER('Dvd Calendar'!$Z$443)=FALSE,"",IF((('Dvd Calendar'!$Z$445=TYPE1)*(TYPE1&lt;&gt;"")+('Dvd Calendar'!$Z$445=TYPE2)*(TYPE2&lt;&gt;"")+('Dvd Calendar'!$Z$445=TYPE3)*(TYPE3&lt;&gt;"")+('Dvd Calendar'!$Z$445=TYPE4)*(TYPE4&lt;&gt;"")+('Dvd Calendar'!$Z$445=SPECIAL_LBL)*(INC_SPECIALS="Y"))=0,"",'Dvd Calendar'!$Z$443)))</f>
        <v/>
      </c>
      <c r="Y51" s="106">
        <f>IF(FA51="","",IF(ISNUMBER('Dvd Calendar'!$AA$443)=FALSE,"",IF((('Dvd Calendar'!$AA$445=TYPE1)*(TYPE1&lt;&gt;"")+('Dvd Calendar'!$AA$445=TYPE2)*(TYPE2&lt;&gt;"")+('Dvd Calendar'!$AA$445=TYPE3)*(TYPE3&lt;&gt;"")+('Dvd Calendar'!$AA$445=TYPE4)*(TYPE4&lt;&gt;"")+('Dvd Calendar'!$AA$445=SPECIAL_LBL)*(INC_SPECIALS="Y"))=0,"",'Dvd Calendar'!$AA$443)))</f>
        <v/>
      </c>
      <c r="Z51" s="106">
        <f>IF(FB51="","",IF(ISNUMBER('Dvd Calendar'!$AB$443)=FALSE,"",IF((('Dvd Calendar'!$AB$445=TYPE1)*(TYPE1&lt;&gt;"")+('Dvd Calendar'!$AB$445=TYPE2)*(TYPE2&lt;&gt;"")+('Dvd Calendar'!$AB$445=TYPE3)*(TYPE3&lt;&gt;"")+('Dvd Calendar'!$AB$445=TYPE4)*(TYPE4&lt;&gt;"")+('Dvd Calendar'!$AB$445=SPECIAL_LBL)*(INC_SPECIALS="Y"))=0,"",'Dvd Calendar'!$AB$443)))</f>
        <v/>
      </c>
      <c r="AA51" s="106">
        <f>IF(FC51="","",IF(ISNUMBER('Dvd Calendar'!$AC$443)=FALSE,"",IF((('Dvd Calendar'!$AC$445=TYPE1)*(TYPE1&lt;&gt;"")+('Dvd Calendar'!$AC$445=TYPE2)*(TYPE2&lt;&gt;"")+('Dvd Calendar'!$AC$445=TYPE3)*(TYPE3&lt;&gt;"")+('Dvd Calendar'!$AC$445=TYPE4)*(TYPE4&lt;&gt;"")+('Dvd Calendar'!$AC$445=SPECIAL_LBL)*(INC_SPECIALS="Y"))=0,"",'Dvd Calendar'!$AC$443)))</f>
        <v/>
      </c>
      <c r="AB51" s="106">
        <f>IF(FD51="","",IF(ISNUMBER('Dvd Calendar'!$AD$443)=FALSE,"",IF((('Dvd Calendar'!$AD$445=TYPE1)*(TYPE1&lt;&gt;"")+('Dvd Calendar'!$AD$445=TYPE2)*(TYPE2&lt;&gt;"")+('Dvd Calendar'!$AD$445=TYPE3)*(TYPE3&lt;&gt;"")+('Dvd Calendar'!$AD$445=TYPE4)*(TYPE4&lt;&gt;"")+('Dvd Calendar'!$AD$445=SPECIAL_LBL)*(INC_SPECIALS="Y"))=0,"",'Dvd Calendar'!$AD$443)))</f>
        <v/>
      </c>
      <c r="AC51" s="106">
        <f>IF(FE51="","",IF(ISNUMBER('Dvd Calendar'!$AE$443)=FALSE,"",IF((('Dvd Calendar'!$AE$445=TYPE1)*(TYPE1&lt;&gt;"")+('Dvd Calendar'!$AE$445=TYPE2)*(TYPE2&lt;&gt;"")+('Dvd Calendar'!$AE$445=TYPE3)*(TYPE3&lt;&gt;"")+('Dvd Calendar'!$AE$445=TYPE4)*(TYPE4&lt;&gt;"")+('Dvd Calendar'!$AE$445=SPECIAL_LBL)*(INC_SPECIALS="Y"))=0,"",'Dvd Calendar'!$AE$443)))</f>
        <v/>
      </c>
      <c r="AD51" s="106">
        <f>IF(FF51="","",IF(ISNUMBER('Dvd Calendar'!$AF$443)=FALSE,"",IF((('Dvd Calendar'!$AF$445=TYPE1)*(TYPE1&lt;&gt;"")+('Dvd Calendar'!$AF$445=TYPE2)*(TYPE2&lt;&gt;"")+('Dvd Calendar'!$AF$445=TYPE3)*(TYPE3&lt;&gt;"")+('Dvd Calendar'!$AF$445=TYPE4)*(TYPE4&lt;&gt;"")+('Dvd Calendar'!$AF$445=SPECIAL_LBL)*(INC_SPECIALS="Y"))=0,"",'Dvd Calendar'!$AF$443)))</f>
        <v/>
      </c>
      <c r="AE51" s="106">
        <f>IF(FG51="","",IF(ISNUMBER('Dvd Calendar'!$AG$443)=FALSE,"",IF((('Dvd Calendar'!$AG$445=TYPE1)*(TYPE1&lt;&gt;"")+('Dvd Calendar'!$AG$445=TYPE2)*(TYPE2&lt;&gt;"")+('Dvd Calendar'!$AG$445=TYPE3)*(TYPE3&lt;&gt;"")+('Dvd Calendar'!$AG$445=TYPE4)*(TYPE4&lt;&gt;"")+('Dvd Calendar'!$AG$445=SPECIAL_LBL)*(INC_SPECIALS="Y"))=0,"",'Dvd Calendar'!$AG$443)))</f>
        <v/>
      </c>
      <c r="AF51" s="106">
        <f>IF(FH51="","",IF(ISNUMBER('Dvd Calendar'!$AH$443)=FALSE,"",IF((('Dvd Calendar'!$AH$445=TYPE1)*(TYPE1&lt;&gt;"")+('Dvd Calendar'!$AH$445=TYPE2)*(TYPE2&lt;&gt;"")+('Dvd Calendar'!$AH$445=TYPE3)*(TYPE3&lt;&gt;"")+('Dvd Calendar'!$AH$445=TYPE4)*(TYPE4&lt;&gt;"")+('Dvd Calendar'!$AH$445=SPECIAL_LBL)*(INC_SPECIALS="Y"))=0,"",'Dvd Calendar'!$AH$443)))</f>
        <v/>
      </c>
      <c r="AG51" s="106">
        <f>IF(FI51="","",IF(ISNUMBER('Dvd Calendar'!$AI$443)=FALSE,"",IF((('Dvd Calendar'!$AI$445=TYPE1)*(TYPE1&lt;&gt;"")+('Dvd Calendar'!$AI$445=TYPE2)*(TYPE2&lt;&gt;"")+('Dvd Calendar'!$AI$445=TYPE3)*(TYPE3&lt;&gt;"")+('Dvd Calendar'!$AI$445=TYPE4)*(TYPE4&lt;&gt;"")+('Dvd Calendar'!$AI$445=SPECIAL_LBL)*(INC_SPECIALS="Y"))=0,"",'Dvd Calendar'!$AI$443)))</f>
        <v/>
      </c>
      <c r="AH51" s="106">
        <f>IF(FJ51="","",IF(ISNUMBER('Dvd Calendar'!$AJ$443)=FALSE,"",IF((('Dvd Calendar'!$AJ$445=TYPE1)*(TYPE1&lt;&gt;"")+('Dvd Calendar'!$AJ$445=TYPE2)*(TYPE2&lt;&gt;"")+('Dvd Calendar'!$AJ$445=TYPE3)*(TYPE3&lt;&gt;"")+('Dvd Calendar'!$AJ$445=TYPE4)*(TYPE4&lt;&gt;"")+('Dvd Calendar'!$AJ$445=SPECIAL_LBL)*(INC_SPECIALS="Y"))=0,"",'Dvd Calendar'!$AJ$443)))</f>
        <v/>
      </c>
      <c r="AI51" s="106">
        <f>IF(FK51="","",IF(ISNUMBER('Dvd Calendar'!$AK$443)=FALSE,"",IF((('Dvd Calendar'!$AK$445=TYPE1)*(TYPE1&lt;&gt;"")+('Dvd Calendar'!$AK$445=TYPE2)*(TYPE2&lt;&gt;"")+('Dvd Calendar'!$AK$445=TYPE3)*(TYPE3&lt;&gt;"")+('Dvd Calendar'!$AK$445=TYPE4)*(TYPE4&lt;&gt;"")+('Dvd Calendar'!$AK$445=SPECIAL_LBL)*(INC_SPECIALS="Y"))=0,"",'Dvd Calendar'!$AK$443)))</f>
        <v/>
      </c>
      <c r="AJ51" s="106">
        <f>IF(FL51="","",IF(ISNUMBER('Dvd Calendar'!$AL$443)=FALSE,"",IF((('Dvd Calendar'!$AL$445=TYPE1)*(TYPE1&lt;&gt;"")+('Dvd Calendar'!$AL$445=TYPE2)*(TYPE2&lt;&gt;"")+('Dvd Calendar'!$AL$445=TYPE3)*(TYPE3&lt;&gt;"")+('Dvd Calendar'!$AL$445=TYPE4)*(TYPE4&lt;&gt;"")+('Dvd Calendar'!$AL$445=SPECIAL_LBL)*(INC_SPECIALS="Y"))=0,"",'Dvd Calendar'!$AL$443)))</f>
        <v/>
      </c>
      <c r="AK51" s="106">
        <f>IF(FM51="","",IF(ISNUMBER('Dvd Calendar'!$AM$443)=FALSE,"",IF((('Dvd Calendar'!$AM$445=TYPE1)*(TYPE1&lt;&gt;"")+('Dvd Calendar'!$AM$445=TYPE2)*(TYPE2&lt;&gt;"")+('Dvd Calendar'!$AM$445=TYPE3)*(TYPE3&lt;&gt;"")+('Dvd Calendar'!$AM$445=TYPE4)*(TYPE4&lt;&gt;"")+('Dvd Calendar'!$AM$445=SPECIAL_LBL)*(INC_SPECIALS="Y"))=0,"",'Dvd Calendar'!$AM$443)))</f>
        <v/>
      </c>
      <c r="AL51" s="106">
        <f>IF(FN51="","",IF(ISNUMBER('Dvd Calendar'!$AN$443)=FALSE,"",IF((('Dvd Calendar'!$AN$445=TYPE1)*(TYPE1&lt;&gt;"")+('Dvd Calendar'!$AN$445=TYPE2)*(TYPE2&lt;&gt;"")+('Dvd Calendar'!$AN$445=TYPE3)*(TYPE3&lt;&gt;"")+('Dvd Calendar'!$AN$445=TYPE4)*(TYPE4&lt;&gt;"")+('Dvd Calendar'!$AN$445=SPECIAL_LBL)*(INC_SPECIALS="Y"))=0,"",'Dvd Calendar'!$AN$443)))</f>
        <v/>
      </c>
      <c r="AM51" s="106">
        <f>IF(FO51="","",IF(ISNUMBER('Dvd Calendar'!$AO$443)=FALSE,"",IF((('Dvd Calendar'!$AO$445=TYPE1)*(TYPE1&lt;&gt;"")+('Dvd Calendar'!$AO$445=TYPE2)*(TYPE2&lt;&gt;"")+('Dvd Calendar'!$AO$445=TYPE3)*(TYPE3&lt;&gt;"")+('Dvd Calendar'!$AO$445=TYPE4)*(TYPE4&lt;&gt;"")+('Dvd Calendar'!$AO$445=SPECIAL_LBL)*(INC_SPECIALS="Y"))=0,"",'Dvd Calendar'!$AO$443)))</f>
        <v/>
      </c>
      <c r="AN51" s="106">
        <f>IF(FP51="","",IF(ISNUMBER('Dvd Calendar'!$AP$443)=FALSE,"",IF((('Dvd Calendar'!$AP$445=TYPE1)*(TYPE1&lt;&gt;"")+('Dvd Calendar'!$AP$445=TYPE2)*(TYPE2&lt;&gt;"")+('Dvd Calendar'!$AP$445=TYPE3)*(TYPE3&lt;&gt;"")+('Dvd Calendar'!$AP$445=TYPE4)*(TYPE4&lt;&gt;"")+('Dvd Calendar'!$AP$445=SPECIAL_LBL)*(INC_SPECIALS="Y"))=0,"",'Dvd Calendar'!$AP$443)))</f>
        <v/>
      </c>
      <c r="AO51" s="106">
        <f>IF(FQ51="","",IF(ISNUMBER('Dvd Calendar'!$AQ$443)=FALSE,"",IF((('Dvd Calendar'!$AQ$445=TYPE1)*(TYPE1&lt;&gt;"")+('Dvd Calendar'!$AQ$445=TYPE2)*(TYPE2&lt;&gt;"")+('Dvd Calendar'!$AQ$445=TYPE3)*(TYPE3&lt;&gt;"")+('Dvd Calendar'!$AQ$445=TYPE4)*(TYPE4&lt;&gt;"")+('Dvd Calendar'!$AQ$445=SPECIAL_LBL)*(INC_SPECIALS="Y"))=0,"",'Dvd Calendar'!$AQ$443)))</f>
        <v/>
      </c>
      <c r="AP51" s="106">
        <f>IF(FR51="","",IF(ISNUMBER('Dvd Calendar'!$AR$443)=FALSE,"",IF((('Dvd Calendar'!$AR$445=TYPE1)*(TYPE1&lt;&gt;"")+('Dvd Calendar'!$AR$445=TYPE2)*(TYPE2&lt;&gt;"")+('Dvd Calendar'!$AR$445=TYPE3)*(TYPE3&lt;&gt;"")+('Dvd Calendar'!$AR$445=TYPE4)*(TYPE4&lt;&gt;"")+('Dvd Calendar'!$AR$445=SPECIAL_LBL)*(INC_SPECIALS="Y"))=0,"",'Dvd Calendar'!$AR$443)))</f>
        <v/>
      </c>
      <c r="AQ51" s="106">
        <f>IF(FS51="","",IF(ISNUMBER('Dvd Calendar'!$E$448)=FALSE,"",'Dvd Calendar'!$E$448))</f>
        <v/>
      </c>
      <c r="AR51" s="106">
        <f>IF(FT51="","",IF(ISNUMBER('Dvd Calendar'!$F$448)=FALSE,"",'Dvd Calendar'!$F$448))</f>
        <v/>
      </c>
      <c r="AS51" s="106">
        <f>IF(FU51="","",IF(ISNUMBER('Dvd Calendar'!$G$448)=FALSE,"",'Dvd Calendar'!$G$448))</f>
        <v/>
      </c>
      <c r="AT51" s="106">
        <f>IF(FV51="","",IF(ISNUMBER('Dvd Calendar'!$H$448)=FALSE,"",'Dvd Calendar'!$H$448))</f>
        <v/>
      </c>
      <c r="AU51" s="106">
        <f>IF(FW51="","",IF(ISNUMBER('Dvd Calendar'!$I$448)=FALSE,"",'Dvd Calendar'!$I$448))</f>
        <v/>
      </c>
      <c r="AV51" s="106">
        <f>IF(FX51="","",IF(ISNUMBER('Dvd Calendar'!$J$448)=FALSE,"",'Dvd Calendar'!$J$448))</f>
        <v/>
      </c>
      <c r="AW51" s="106">
        <f>IF(FY51="","",IF(ISNUMBER('Dvd Calendar'!$K$448)=FALSE,"",'Dvd Calendar'!$K$448))</f>
        <v/>
      </c>
      <c r="AX51" s="106">
        <f>IF(FZ51="","",IF(ISNUMBER('Dvd Calendar'!$L$448)=FALSE,"",'Dvd Calendar'!$L$448))</f>
        <v/>
      </c>
      <c r="AY51" s="106">
        <f>IF(GA51="","",IF(ISNUMBER('Dvd Calendar'!$M$448)=FALSE,"",'Dvd Calendar'!$M$448))</f>
        <v/>
      </c>
      <c r="AZ51" s="106">
        <f>IF(GB51="","",IF(ISNUMBER('Dvd Calendar'!$N$448)=FALSE,"",'Dvd Calendar'!$N$448))</f>
        <v/>
      </c>
      <c r="BA51" s="106">
        <f>IF(GC51="","",IF(ISNUMBER('Dvd Calendar'!$O$448)=FALSE,"",'Dvd Calendar'!$O$448))</f>
        <v/>
      </c>
      <c r="BB51" s="106">
        <f>IF(GD51="","",IF(ISNUMBER('Dvd Calendar'!$P$448)=FALSE,"",'Dvd Calendar'!$P$448))</f>
        <v/>
      </c>
      <c r="BC51" s="106">
        <f>IF(GE51="","",IF(ISNUMBER('Dvd Calendar'!$Q$448)=FALSE,"",'Dvd Calendar'!$Q$448))</f>
        <v/>
      </c>
      <c r="BD51" s="106">
        <f>IF(GF51="","",IF(ISNUMBER('Dvd Calendar'!$R$448)=FALSE,"",'Dvd Calendar'!$R$448))</f>
        <v/>
      </c>
      <c r="BE51" s="106">
        <f>IF(GG51="","",IF(ISNUMBER('Dvd Calendar'!$S$448)=FALSE,"",'Dvd Calendar'!$S$448))</f>
        <v/>
      </c>
      <c r="BF51" s="106">
        <f>IF(GH51="","",IF(ISNUMBER('Dvd Calendar'!$T$448)=FALSE,"",'Dvd Calendar'!$T$448))</f>
        <v/>
      </c>
      <c r="BG51" s="106">
        <f>IF(GI51="","",IF(ISNUMBER('Dvd Calendar'!$U$448)=FALSE,"",'Dvd Calendar'!$U$448))</f>
        <v/>
      </c>
      <c r="BH51" s="106">
        <f>IF(GJ51="","",IF(ISNUMBER('Dvd Calendar'!$V$448)=FALSE,"",'Dvd Calendar'!$V$448))</f>
        <v/>
      </c>
      <c r="BI51" s="106">
        <f>IF(GK51="","",IF(ISNUMBER('Dvd Calendar'!$W$448)=FALSE,"",'Dvd Calendar'!$W$448))</f>
        <v/>
      </c>
      <c r="BJ51" s="106">
        <f>IF(GL51="","",IF(ISNUMBER('Dvd Calendar'!$X$448)=FALSE,"",'Dvd Calendar'!$X$448))</f>
        <v/>
      </c>
      <c r="BK51" s="106">
        <f>IF(GM51="","",IF(ISNUMBER('Dvd Calendar'!$Y$448)=FALSE,"",'Dvd Calendar'!$Y$448))</f>
        <v/>
      </c>
      <c r="BL51" s="106">
        <f>IF(GN51="","",IF(ISNUMBER('Dvd Calendar'!$Z$448)=FALSE,"",'Dvd Calendar'!$Z$448))</f>
        <v/>
      </c>
      <c r="BM51" s="106">
        <f>IF(GO51="","",IF(ISNUMBER('Dvd Calendar'!$AA$448)=FALSE,"",'Dvd Calendar'!$AA$448))</f>
        <v/>
      </c>
      <c r="BN51" s="106">
        <f>IF(GP51="","",IF(ISNUMBER('Dvd Calendar'!$AB$448)=FALSE,"",'Dvd Calendar'!$AB$448))</f>
        <v/>
      </c>
      <c r="BO51" s="106">
        <f>IF(GQ51="","",IF(ISNUMBER('Dvd Calendar'!$AC$448)=FALSE,"",'Dvd Calendar'!$AC$448))</f>
        <v/>
      </c>
      <c r="BQ51" s="106">
        <f>IF(C51="","",IFERROR(C51*HSI!$B$46*HSI!$G$46/HSI!$B$3,""))</f>
        <v/>
      </c>
      <c r="BR51" s="106">
        <f>IF(D51="","",IFERROR(D51*HSI!$B$46*HSI!$G$46/HSI!$B$3,""))</f>
        <v/>
      </c>
      <c r="BS51" s="106">
        <f>IF(E51="","",IFERROR(E51*HSI!$B$46*HSI!$G$46/HSI!$B$3,""))</f>
        <v/>
      </c>
      <c r="BT51" s="106">
        <f>IF(F51="","",IFERROR(F51*HSI!$B$46*HSI!$G$46/HSI!$B$3,""))</f>
        <v/>
      </c>
      <c r="BU51" s="106">
        <f>IF(G51="","",IFERROR(G51*HSI!$B$46*HSI!$G$46/HSI!$B$3,""))</f>
        <v/>
      </c>
      <c r="BV51" s="106">
        <f>IF(H51="","",IFERROR(H51*HSI!$B$46*HSI!$G$46/HSI!$B$3,""))</f>
        <v/>
      </c>
      <c r="BW51" s="106">
        <f>IF(I51="","",IFERROR(I51*HSI!$B$46*HSI!$G$46/HSI!$B$3,""))</f>
        <v/>
      </c>
      <c r="BX51" s="106">
        <f>IF(J51="","",IFERROR(J51*HSI!$B$46*HSI!$G$46/HSI!$B$3,""))</f>
        <v/>
      </c>
      <c r="BY51" s="106">
        <f>IF(K51="","",IFERROR(K51*HSI!$B$46*HSI!$G$46/HSI!$B$3,""))</f>
        <v/>
      </c>
      <c r="BZ51" s="106">
        <f>IF(L51="","",IFERROR(L51*HSI!$B$46*HSI!$G$46/HSI!$B$3,""))</f>
        <v/>
      </c>
      <c r="CA51" s="106">
        <f>IF(M51="","",IFERROR(M51*HSI!$B$46*HSI!$G$46/HSI!$B$3,""))</f>
        <v/>
      </c>
      <c r="CB51" s="106">
        <f>IF(N51="","",IFERROR(N51*HSI!$B$46*HSI!$G$46/HSI!$B$3,""))</f>
        <v/>
      </c>
      <c r="CC51" s="106">
        <f>IF(O51="","",IFERROR(O51*HSI!$B$46*HSI!$G$46/HSI!$B$3,""))</f>
        <v/>
      </c>
      <c r="CD51" s="106">
        <f>IF(P51="","",IFERROR(P51*HSI!$B$46*HSI!$G$46/HSI!$B$3,""))</f>
        <v/>
      </c>
      <c r="CE51" s="106">
        <f>IF(Q51="","",IFERROR(Q51*HSI!$B$46*HSI!$G$46/HSI!$B$3,""))</f>
        <v/>
      </c>
      <c r="CF51" s="106">
        <f>IF(R51="","",IFERROR(R51*HSI!$B$46*HSI!$G$46/HSI!$B$3,""))</f>
        <v/>
      </c>
      <c r="CG51" s="106">
        <f>IF(S51="","",IFERROR(S51*HSI!$B$46*HSI!$G$46/HSI!$B$3,""))</f>
        <v/>
      </c>
      <c r="CH51" s="106">
        <f>IF(T51="","",IFERROR(T51*HSI!$B$46*HSI!$G$46/HSI!$B$3,""))</f>
        <v/>
      </c>
      <c r="CI51" s="106">
        <f>IF(U51="","",IFERROR(U51*HSI!$B$46*HSI!$G$46/HSI!$B$3,""))</f>
        <v/>
      </c>
      <c r="CJ51" s="106">
        <f>IF(V51="","",IFERROR(V51*HSI!$B$46*HSI!$G$46/HSI!$B$3,""))</f>
        <v/>
      </c>
      <c r="CK51" s="106">
        <f>IF(W51="","",IFERROR(W51*HSI!$B$46*HSI!$G$46/HSI!$B$3,""))</f>
        <v/>
      </c>
      <c r="CL51" s="106">
        <f>IF(X51="","",IFERROR(X51*HSI!$B$46*HSI!$G$46/HSI!$B$3,""))</f>
        <v/>
      </c>
      <c r="CM51" s="106">
        <f>IF(Y51="","",IFERROR(Y51*HSI!$B$46*HSI!$G$46/HSI!$B$3,""))</f>
        <v/>
      </c>
      <c r="CN51" s="106">
        <f>IF(Z51="","",IFERROR(Z51*HSI!$B$46*HSI!$G$46/HSI!$B$3,""))</f>
        <v/>
      </c>
      <c r="CO51" s="106">
        <f>IF(AA51="","",IFERROR(AA51*HSI!$B$46*HSI!$G$46/HSI!$B$3,""))</f>
        <v/>
      </c>
      <c r="CP51" s="106">
        <f>IF(AB51="","",IFERROR(AB51*HSI!$B$46*HSI!$G$46/HSI!$B$3,""))</f>
        <v/>
      </c>
      <c r="CQ51" s="106">
        <f>IF(AC51="","",IFERROR(AC51*HSI!$B$46*HSI!$G$46/HSI!$B$3,""))</f>
        <v/>
      </c>
      <c r="CR51" s="106">
        <f>IF(AD51="","",IFERROR(AD51*HSI!$B$46*HSI!$G$46/HSI!$B$3,""))</f>
        <v/>
      </c>
      <c r="CS51" s="106">
        <f>IF(AE51="","",IFERROR(AE51*HSI!$B$46*HSI!$G$46/HSI!$B$3,""))</f>
        <v/>
      </c>
      <c r="CT51" s="106">
        <f>IF(AF51="","",IFERROR(AF51*HSI!$B$46*HSI!$G$46/HSI!$B$3,""))</f>
        <v/>
      </c>
      <c r="CU51" s="106">
        <f>IF(AG51="","",IFERROR(AG51*HSI!$B$46*HSI!$G$46/HSI!$B$3,""))</f>
        <v/>
      </c>
      <c r="CV51" s="106">
        <f>IF(AH51="","",IFERROR(AH51*HSI!$B$46*HSI!$G$46/HSI!$B$3,""))</f>
        <v/>
      </c>
      <c r="CW51" s="106">
        <f>IF(AI51="","",IFERROR(AI51*HSI!$B$46*HSI!$G$46/HSI!$B$3,""))</f>
        <v/>
      </c>
      <c r="CX51" s="106">
        <f>IF(AJ51="","",IFERROR(AJ51*HSI!$B$46*HSI!$G$46/HSI!$B$3,""))</f>
        <v/>
      </c>
      <c r="CY51" s="106">
        <f>IF(AK51="","",IFERROR(AK51*HSI!$B$46*HSI!$G$46/HSI!$B$3,""))</f>
        <v/>
      </c>
      <c r="CZ51" s="106">
        <f>IF(AL51="","",IFERROR(AL51*HSI!$B$46*HSI!$G$46/HSI!$B$3,""))</f>
        <v/>
      </c>
      <c r="DA51" s="106">
        <f>IF(AM51="","",IFERROR(AM51*HSI!$B$46*HSI!$G$46/HSI!$B$3,""))</f>
        <v/>
      </c>
      <c r="DB51" s="106">
        <f>IF(AN51="","",IFERROR(AN51*HSI!$B$46*HSI!$G$46/HSI!$B$3,""))</f>
        <v/>
      </c>
      <c r="DC51" s="106">
        <f>IF(AO51="","",IFERROR(AO51*HSI!$B$46*HSI!$G$46/HSI!$B$3,""))</f>
        <v/>
      </c>
      <c r="DD51" s="106">
        <f>IF(AP51="","",IFERROR(AP51*HSI!$B$46*HSI!$G$46/HSI!$B$3,""))</f>
        <v/>
      </c>
      <c r="DE51" s="106">
        <f>IF(AQ51="","",IFERROR(AQ51*HSI!$B$46*HSI!$G$46/HSI!$B$3,""))</f>
        <v/>
      </c>
      <c r="DF51" s="106">
        <f>IF(AR51="","",IFERROR(AR51*HSI!$B$46*HSI!$G$46/HSI!$B$3,""))</f>
        <v/>
      </c>
      <c r="DG51" s="106">
        <f>IF(AS51="","",IFERROR(AS51*HSI!$B$46*HSI!$G$46/HSI!$B$3,""))</f>
        <v/>
      </c>
      <c r="DH51" s="106">
        <f>IF(AT51="","",IFERROR(AT51*HSI!$B$46*HSI!$G$46/HSI!$B$3,""))</f>
        <v/>
      </c>
      <c r="DI51" s="106">
        <f>IF(AU51="","",IFERROR(AU51*HSI!$B$46*HSI!$G$46/HSI!$B$3,""))</f>
        <v/>
      </c>
      <c r="DJ51" s="106">
        <f>IF(AV51="","",IFERROR(AV51*HSI!$B$46*HSI!$G$46/HSI!$B$3,""))</f>
        <v/>
      </c>
      <c r="DK51" s="106">
        <f>IF(AW51="","",IFERROR(AW51*HSI!$B$46*HSI!$G$46/HSI!$B$3,""))</f>
        <v/>
      </c>
      <c r="DL51" s="106">
        <f>IF(AX51="","",IFERROR(AX51*HSI!$B$46*HSI!$G$46/HSI!$B$3,""))</f>
        <v/>
      </c>
      <c r="DM51" s="106">
        <f>IF(AY51="","",IFERROR(AY51*HSI!$B$46*HSI!$G$46/HSI!$B$3,""))</f>
        <v/>
      </c>
      <c r="DN51" s="106">
        <f>IF(AZ51="","",IFERROR(AZ51*HSI!$B$46*HSI!$G$46/HSI!$B$3,""))</f>
        <v/>
      </c>
      <c r="DO51" s="106">
        <f>IF(BA51="","",IFERROR(BA51*HSI!$B$46*HSI!$G$46/HSI!$B$3,""))</f>
        <v/>
      </c>
      <c r="DP51" s="106">
        <f>IF(BB51="","",IFERROR(BB51*HSI!$B$46*HSI!$G$46/HSI!$B$3,""))</f>
        <v/>
      </c>
      <c r="DQ51" s="106">
        <f>IF(BC51="","",IFERROR(BC51*HSI!$B$46*HSI!$G$46/HSI!$B$3,""))</f>
        <v/>
      </c>
      <c r="DR51" s="106">
        <f>IF(BD51="","",IFERROR(BD51*HSI!$B$46*HSI!$G$46/HSI!$B$3,""))</f>
        <v/>
      </c>
      <c r="DS51" s="106">
        <f>IF(BE51="","",IFERROR(BE51*HSI!$B$46*HSI!$G$46/HSI!$B$3,""))</f>
        <v/>
      </c>
      <c r="DT51" s="106">
        <f>IF(BF51="","",IFERROR(BF51*HSI!$B$46*HSI!$G$46/HSI!$B$3,""))</f>
        <v/>
      </c>
      <c r="DU51" s="106">
        <f>IF(BG51="","",IFERROR(BG51*HSI!$B$46*HSI!$G$46/HSI!$B$3,""))</f>
        <v/>
      </c>
      <c r="DV51" s="106">
        <f>IF(BH51="","",IFERROR(BH51*HSI!$B$46*HSI!$G$46/HSI!$B$3,""))</f>
        <v/>
      </c>
      <c r="DW51" s="106">
        <f>IF(BI51="","",IFERROR(BI51*HSI!$B$46*HSI!$G$46/HSI!$B$3,""))</f>
        <v/>
      </c>
      <c r="DX51" s="106">
        <f>IF(BJ51="","",IFERROR(BJ51*HSI!$B$46*HSI!$G$46/HSI!$B$3,""))</f>
        <v/>
      </c>
      <c r="DY51" s="106">
        <f>IF(BK51="","",IFERROR(BK51*HSI!$B$46*HSI!$G$46/HSI!$B$3,""))</f>
        <v/>
      </c>
      <c r="DZ51" s="106">
        <f>IF(BL51="","",IFERROR(BL51*HSI!$B$46*HSI!$G$46/HSI!$B$3,""))</f>
        <v/>
      </c>
      <c r="EA51" s="106">
        <f>IF(BM51="","",IFERROR(BM51*HSI!$B$46*HSI!$G$46/HSI!$B$3,""))</f>
        <v/>
      </c>
      <c r="EB51" s="106">
        <f>IF(BN51="","",IFERROR(BN51*HSI!$B$46*HSI!$G$46/HSI!$B$3,""))</f>
        <v/>
      </c>
      <c r="EC51" s="106">
        <f>IF(BO51="","",IFERROR(BO51*HSI!$B$46*HSI!$G$46/HSI!$B$3,""))</f>
        <v/>
      </c>
      <c r="EE51" s="35">
        <f>IF(N('Dvd Calendar'!$E$440)=0,"",IF(('Dvd Calendar'!$E$440&gt;=GRID_FROM)*('Dvd Calendar'!$E$440&lt;=GRID_TO)*('Dvd Calendar'!$E$440&lt;=VAL_DATE)=0,"",'Dvd Calendar'!$E$440*1000000000+ISNUMBER('Dvd Calendar'!$E$443)*100000000+('Dvd Calendar'!$E$445=SPECIAL_LBL)*10000000+0*1000000+40*1000+1))</f>
        <v/>
      </c>
      <c r="EF51" s="35">
        <f>IF(N('Dvd Calendar'!$F$440)=0,"",IF(('Dvd Calendar'!$F$440&gt;=GRID_FROM)*('Dvd Calendar'!$F$440&lt;=GRID_TO)*('Dvd Calendar'!$F$440&lt;=VAL_DATE)=0,"",'Dvd Calendar'!$F$440*1000000000+ISNUMBER('Dvd Calendar'!$F$443)*100000000+('Dvd Calendar'!$F$445=SPECIAL_LBL)*10000000+0*1000000+40*1000+2))</f>
        <v/>
      </c>
      <c r="EG51" s="35">
        <f>IF(N('Dvd Calendar'!$G$440)=0,"",IF(('Dvd Calendar'!$G$440&gt;=GRID_FROM)*('Dvd Calendar'!$G$440&lt;=GRID_TO)*('Dvd Calendar'!$G$440&lt;=VAL_DATE)=0,"",'Dvd Calendar'!$G$440*1000000000+ISNUMBER('Dvd Calendar'!$G$443)*100000000+('Dvd Calendar'!$G$445=SPECIAL_LBL)*10000000+0*1000000+40*1000+3))</f>
        <v/>
      </c>
      <c r="EH51" s="35">
        <f>IF(N('Dvd Calendar'!$H$440)=0,"",IF(('Dvd Calendar'!$H$440&gt;=GRID_FROM)*('Dvd Calendar'!$H$440&lt;=GRID_TO)*('Dvd Calendar'!$H$440&lt;=VAL_DATE)=0,"",'Dvd Calendar'!$H$440*1000000000+ISNUMBER('Dvd Calendar'!$H$443)*100000000+('Dvd Calendar'!$H$445=SPECIAL_LBL)*10000000+0*1000000+40*1000+4))</f>
        <v/>
      </c>
      <c r="EI51" s="35">
        <f>IF(N('Dvd Calendar'!$I$440)=0,"",IF(('Dvd Calendar'!$I$440&gt;=GRID_FROM)*('Dvd Calendar'!$I$440&lt;=GRID_TO)*('Dvd Calendar'!$I$440&lt;=VAL_DATE)=0,"",'Dvd Calendar'!$I$440*1000000000+ISNUMBER('Dvd Calendar'!$I$443)*100000000+('Dvd Calendar'!$I$445=SPECIAL_LBL)*10000000+0*1000000+40*1000+5))</f>
        <v/>
      </c>
      <c r="EJ51" s="35">
        <f>IF(N('Dvd Calendar'!$J$440)=0,"",IF(('Dvd Calendar'!$J$440&gt;=GRID_FROM)*('Dvd Calendar'!$J$440&lt;=GRID_TO)*('Dvd Calendar'!$J$440&lt;=VAL_DATE)=0,"",'Dvd Calendar'!$J$440*1000000000+ISNUMBER('Dvd Calendar'!$J$443)*100000000+('Dvd Calendar'!$J$445=SPECIAL_LBL)*10000000+0*1000000+40*1000+6))</f>
        <v/>
      </c>
      <c r="EK51" s="35">
        <f>IF(N('Dvd Calendar'!$K$440)=0,"",IF(('Dvd Calendar'!$K$440&gt;=GRID_FROM)*('Dvd Calendar'!$K$440&lt;=GRID_TO)*('Dvd Calendar'!$K$440&lt;=VAL_DATE)=0,"",'Dvd Calendar'!$K$440*1000000000+ISNUMBER('Dvd Calendar'!$K$443)*100000000+('Dvd Calendar'!$K$445=SPECIAL_LBL)*10000000+0*1000000+40*1000+7))</f>
        <v/>
      </c>
      <c r="EL51" s="35">
        <f>IF(N('Dvd Calendar'!$L$440)=0,"",IF(('Dvd Calendar'!$L$440&gt;=GRID_FROM)*('Dvd Calendar'!$L$440&lt;=GRID_TO)*('Dvd Calendar'!$L$440&lt;=VAL_DATE)=0,"",'Dvd Calendar'!$L$440*1000000000+ISNUMBER('Dvd Calendar'!$L$443)*100000000+('Dvd Calendar'!$L$445=SPECIAL_LBL)*10000000+0*1000000+40*1000+8))</f>
        <v/>
      </c>
      <c r="EM51" s="35">
        <f>IF(N('Dvd Calendar'!$M$440)=0,"",IF(('Dvd Calendar'!$M$440&gt;=GRID_FROM)*('Dvd Calendar'!$M$440&lt;=GRID_TO)*('Dvd Calendar'!$M$440&lt;=VAL_DATE)=0,"",'Dvd Calendar'!$M$440*1000000000+ISNUMBER('Dvd Calendar'!$M$443)*100000000+('Dvd Calendar'!$M$445=SPECIAL_LBL)*10000000+0*1000000+40*1000+9))</f>
        <v/>
      </c>
      <c r="EN51" s="35">
        <f>IF(N('Dvd Calendar'!$N$440)=0,"",IF(('Dvd Calendar'!$N$440&gt;=GRID_FROM)*('Dvd Calendar'!$N$440&lt;=GRID_TO)*('Dvd Calendar'!$N$440&lt;=VAL_DATE)=0,"",'Dvd Calendar'!$N$440*1000000000+ISNUMBER('Dvd Calendar'!$N$443)*100000000+('Dvd Calendar'!$N$445=SPECIAL_LBL)*10000000+0*1000000+40*1000+10))</f>
        <v/>
      </c>
      <c r="EO51" s="35">
        <f>IF(N('Dvd Calendar'!$O$440)=0,"",IF(('Dvd Calendar'!$O$440&gt;=GRID_FROM)*('Dvd Calendar'!$O$440&lt;=GRID_TO)*('Dvd Calendar'!$O$440&lt;=VAL_DATE)=0,"",'Dvd Calendar'!$O$440*1000000000+ISNUMBER('Dvd Calendar'!$O$443)*100000000+('Dvd Calendar'!$O$445=SPECIAL_LBL)*10000000+0*1000000+40*1000+11))</f>
        <v/>
      </c>
      <c r="EP51" s="35">
        <f>IF(N('Dvd Calendar'!$P$440)=0,"",IF(('Dvd Calendar'!$P$440&gt;=GRID_FROM)*('Dvd Calendar'!$P$440&lt;=GRID_TO)*('Dvd Calendar'!$P$440&lt;=VAL_DATE)=0,"",'Dvd Calendar'!$P$440*1000000000+ISNUMBER('Dvd Calendar'!$P$443)*100000000+('Dvd Calendar'!$P$445=SPECIAL_LBL)*10000000+0*1000000+40*1000+12))</f>
        <v/>
      </c>
      <c r="EQ51" s="35">
        <f>IF(N('Dvd Calendar'!$Q$440)=0,"",IF(('Dvd Calendar'!$Q$440&gt;=GRID_FROM)*('Dvd Calendar'!$Q$440&lt;=GRID_TO)*('Dvd Calendar'!$Q$440&lt;=VAL_DATE)=0,"",'Dvd Calendar'!$Q$440*1000000000+ISNUMBER('Dvd Calendar'!$Q$443)*100000000+('Dvd Calendar'!$Q$445=SPECIAL_LBL)*10000000+0*1000000+40*1000+13))</f>
        <v/>
      </c>
      <c r="ER51" s="35">
        <f>IF(N('Dvd Calendar'!$R$440)=0,"",IF(('Dvd Calendar'!$R$440&gt;=GRID_FROM)*('Dvd Calendar'!$R$440&lt;=GRID_TO)*('Dvd Calendar'!$R$440&lt;=VAL_DATE)=0,"",'Dvd Calendar'!$R$440*1000000000+ISNUMBER('Dvd Calendar'!$R$443)*100000000+('Dvd Calendar'!$R$445=SPECIAL_LBL)*10000000+0*1000000+40*1000+14))</f>
        <v/>
      </c>
      <c r="ES51" s="35">
        <f>IF(N('Dvd Calendar'!$S$440)=0,"",IF(('Dvd Calendar'!$S$440&gt;=GRID_FROM)*('Dvd Calendar'!$S$440&lt;=GRID_TO)*('Dvd Calendar'!$S$440&lt;=VAL_DATE)=0,"",'Dvd Calendar'!$S$440*1000000000+ISNUMBER('Dvd Calendar'!$S$443)*100000000+('Dvd Calendar'!$S$445=SPECIAL_LBL)*10000000+0*1000000+40*1000+15))</f>
        <v/>
      </c>
      <c r="ET51" s="35">
        <f>IF(N('Dvd Calendar'!$T$440)=0,"",IF(('Dvd Calendar'!$T$440&gt;=GRID_FROM)*('Dvd Calendar'!$T$440&lt;=GRID_TO)*('Dvd Calendar'!$T$440&lt;=VAL_DATE)=0,"",'Dvd Calendar'!$T$440*1000000000+ISNUMBER('Dvd Calendar'!$T$443)*100000000+('Dvd Calendar'!$T$445=SPECIAL_LBL)*10000000+0*1000000+40*1000+16))</f>
        <v/>
      </c>
      <c r="EU51" s="35">
        <f>IF(N('Dvd Calendar'!$U$440)=0,"",IF(('Dvd Calendar'!$U$440&gt;=GRID_FROM)*('Dvd Calendar'!$U$440&lt;=GRID_TO)*('Dvd Calendar'!$U$440&lt;=VAL_DATE)=0,"",'Dvd Calendar'!$U$440*1000000000+ISNUMBER('Dvd Calendar'!$U$443)*100000000+('Dvd Calendar'!$U$445=SPECIAL_LBL)*10000000+0*1000000+40*1000+17))</f>
        <v/>
      </c>
      <c r="EV51" s="35">
        <f>IF(N('Dvd Calendar'!$V$440)=0,"",IF(('Dvd Calendar'!$V$440&gt;=GRID_FROM)*('Dvd Calendar'!$V$440&lt;=GRID_TO)*('Dvd Calendar'!$V$440&lt;=VAL_DATE)=0,"",'Dvd Calendar'!$V$440*1000000000+ISNUMBER('Dvd Calendar'!$V$443)*100000000+('Dvd Calendar'!$V$445=SPECIAL_LBL)*10000000+0*1000000+40*1000+18))</f>
        <v/>
      </c>
      <c r="EW51" s="35">
        <f>IF(N('Dvd Calendar'!$W$440)=0,"",IF(('Dvd Calendar'!$W$440&gt;=GRID_FROM)*('Dvd Calendar'!$W$440&lt;=GRID_TO)*('Dvd Calendar'!$W$440&lt;=VAL_DATE)=0,"",'Dvd Calendar'!$W$440*1000000000+ISNUMBER('Dvd Calendar'!$W$443)*100000000+('Dvd Calendar'!$W$445=SPECIAL_LBL)*10000000+0*1000000+40*1000+19))</f>
        <v/>
      </c>
      <c r="EX51" s="35">
        <f>IF(N('Dvd Calendar'!$X$440)=0,"",IF(('Dvd Calendar'!$X$440&gt;=GRID_FROM)*('Dvd Calendar'!$X$440&lt;=GRID_TO)*('Dvd Calendar'!$X$440&lt;=VAL_DATE)=0,"",'Dvd Calendar'!$X$440*1000000000+ISNUMBER('Dvd Calendar'!$X$443)*100000000+('Dvd Calendar'!$X$445=SPECIAL_LBL)*10000000+0*1000000+40*1000+20))</f>
        <v/>
      </c>
      <c r="EY51" s="35">
        <f>IF(N('Dvd Calendar'!$Y$440)=0,"",IF(('Dvd Calendar'!$Y$440&gt;=GRID_FROM)*('Dvd Calendar'!$Y$440&lt;=GRID_TO)*('Dvd Calendar'!$Y$440&lt;=VAL_DATE)=0,"",'Dvd Calendar'!$Y$440*1000000000+ISNUMBER('Dvd Calendar'!$Y$443)*100000000+('Dvd Calendar'!$Y$445=SPECIAL_LBL)*10000000+0*1000000+40*1000+21))</f>
        <v/>
      </c>
      <c r="EZ51" s="35">
        <f>IF(N('Dvd Calendar'!$Z$440)=0,"",IF(('Dvd Calendar'!$Z$440&gt;=GRID_FROM)*('Dvd Calendar'!$Z$440&lt;=GRID_TO)*('Dvd Calendar'!$Z$440&lt;=VAL_DATE)=0,"",'Dvd Calendar'!$Z$440*1000000000+ISNUMBER('Dvd Calendar'!$Z$443)*100000000+('Dvd Calendar'!$Z$445=SPECIAL_LBL)*10000000+0*1000000+40*1000+22))</f>
        <v/>
      </c>
      <c r="FA51" s="35">
        <f>IF(N('Dvd Calendar'!$AA$440)=0,"",IF(('Dvd Calendar'!$AA$440&gt;=GRID_FROM)*('Dvd Calendar'!$AA$440&lt;=GRID_TO)*('Dvd Calendar'!$AA$440&lt;=VAL_DATE)=0,"",'Dvd Calendar'!$AA$440*1000000000+ISNUMBER('Dvd Calendar'!$AA$443)*100000000+('Dvd Calendar'!$AA$445=SPECIAL_LBL)*10000000+0*1000000+40*1000+23))</f>
        <v/>
      </c>
      <c r="FB51" s="35">
        <f>IF(N('Dvd Calendar'!$AB$440)=0,"",IF(('Dvd Calendar'!$AB$440&gt;=GRID_FROM)*('Dvd Calendar'!$AB$440&lt;=GRID_TO)*('Dvd Calendar'!$AB$440&lt;=VAL_DATE)=0,"",'Dvd Calendar'!$AB$440*1000000000+ISNUMBER('Dvd Calendar'!$AB$443)*100000000+('Dvd Calendar'!$AB$445=SPECIAL_LBL)*10000000+0*1000000+40*1000+24))</f>
        <v/>
      </c>
      <c r="FC51" s="35">
        <f>IF(N('Dvd Calendar'!$AC$440)=0,"",IF(('Dvd Calendar'!$AC$440&gt;=GRID_FROM)*('Dvd Calendar'!$AC$440&lt;=GRID_TO)*('Dvd Calendar'!$AC$440&lt;=VAL_DATE)=0,"",'Dvd Calendar'!$AC$440*1000000000+ISNUMBER('Dvd Calendar'!$AC$443)*100000000+('Dvd Calendar'!$AC$445=SPECIAL_LBL)*10000000+0*1000000+40*1000+25))</f>
        <v/>
      </c>
      <c r="FD51" s="35">
        <f>IF(N('Dvd Calendar'!$AD$440)=0,"",IF(('Dvd Calendar'!$AD$440&gt;=GRID_FROM)*('Dvd Calendar'!$AD$440&lt;=GRID_TO)*('Dvd Calendar'!$AD$440&lt;=VAL_DATE)=0,"",'Dvd Calendar'!$AD$440*1000000000+ISNUMBER('Dvd Calendar'!$AD$443)*100000000+('Dvd Calendar'!$AD$445=SPECIAL_LBL)*10000000+0*1000000+40*1000+26))</f>
        <v/>
      </c>
      <c r="FE51" s="35">
        <f>IF(N('Dvd Calendar'!$AE$440)=0,"",IF(('Dvd Calendar'!$AE$440&gt;=GRID_FROM)*('Dvd Calendar'!$AE$440&lt;=GRID_TO)*('Dvd Calendar'!$AE$440&lt;=VAL_DATE)=0,"",'Dvd Calendar'!$AE$440*1000000000+ISNUMBER('Dvd Calendar'!$AE$443)*100000000+('Dvd Calendar'!$AE$445=SPECIAL_LBL)*10000000+0*1000000+40*1000+27))</f>
        <v/>
      </c>
      <c r="FF51" s="35">
        <f>IF(N('Dvd Calendar'!$AF$440)=0,"",IF(('Dvd Calendar'!$AF$440&gt;=GRID_FROM)*('Dvd Calendar'!$AF$440&lt;=GRID_TO)*('Dvd Calendar'!$AF$440&lt;=VAL_DATE)=0,"",'Dvd Calendar'!$AF$440*1000000000+ISNUMBER('Dvd Calendar'!$AF$443)*100000000+('Dvd Calendar'!$AF$445=SPECIAL_LBL)*10000000+0*1000000+40*1000+28))</f>
        <v/>
      </c>
      <c r="FG51" s="35">
        <f>IF(N('Dvd Calendar'!$AG$440)=0,"",IF(('Dvd Calendar'!$AG$440&gt;=GRID_FROM)*('Dvd Calendar'!$AG$440&lt;=GRID_TO)*('Dvd Calendar'!$AG$440&lt;=VAL_DATE)=0,"",'Dvd Calendar'!$AG$440*1000000000+ISNUMBER('Dvd Calendar'!$AG$443)*100000000+('Dvd Calendar'!$AG$445=SPECIAL_LBL)*10000000+0*1000000+40*1000+29))</f>
        <v/>
      </c>
      <c r="FH51" s="35">
        <f>IF(N('Dvd Calendar'!$AH$440)=0,"",IF(('Dvd Calendar'!$AH$440&gt;=GRID_FROM)*('Dvd Calendar'!$AH$440&lt;=GRID_TO)*('Dvd Calendar'!$AH$440&lt;=VAL_DATE)=0,"",'Dvd Calendar'!$AH$440*1000000000+ISNUMBER('Dvd Calendar'!$AH$443)*100000000+('Dvd Calendar'!$AH$445=SPECIAL_LBL)*10000000+0*1000000+40*1000+30))</f>
        <v/>
      </c>
      <c r="FI51" s="35">
        <f>IF(N('Dvd Calendar'!$AI$440)=0,"",IF(('Dvd Calendar'!$AI$440&gt;=GRID_FROM)*('Dvd Calendar'!$AI$440&lt;=GRID_TO)*('Dvd Calendar'!$AI$440&lt;=VAL_DATE)=0,"",'Dvd Calendar'!$AI$440*1000000000+ISNUMBER('Dvd Calendar'!$AI$443)*100000000+('Dvd Calendar'!$AI$445=SPECIAL_LBL)*10000000+0*1000000+40*1000+31))</f>
        <v/>
      </c>
      <c r="FJ51" s="35">
        <f>IF(N('Dvd Calendar'!$AJ$440)=0,"",IF(('Dvd Calendar'!$AJ$440&gt;=GRID_FROM)*('Dvd Calendar'!$AJ$440&lt;=GRID_TO)*('Dvd Calendar'!$AJ$440&lt;=VAL_DATE)=0,"",'Dvd Calendar'!$AJ$440*1000000000+ISNUMBER('Dvd Calendar'!$AJ$443)*100000000+('Dvd Calendar'!$AJ$445=SPECIAL_LBL)*10000000+0*1000000+40*1000+32))</f>
        <v/>
      </c>
      <c r="FK51" s="35">
        <f>IF(N('Dvd Calendar'!$AK$440)=0,"",IF(('Dvd Calendar'!$AK$440&gt;=GRID_FROM)*('Dvd Calendar'!$AK$440&lt;=GRID_TO)*('Dvd Calendar'!$AK$440&lt;=VAL_DATE)=0,"",'Dvd Calendar'!$AK$440*1000000000+ISNUMBER('Dvd Calendar'!$AK$443)*100000000+('Dvd Calendar'!$AK$445=SPECIAL_LBL)*10000000+0*1000000+40*1000+33))</f>
        <v/>
      </c>
      <c r="FL51" s="35">
        <f>IF(N('Dvd Calendar'!$AL$440)=0,"",IF(('Dvd Calendar'!$AL$440&gt;=GRID_FROM)*('Dvd Calendar'!$AL$440&lt;=GRID_TO)*('Dvd Calendar'!$AL$440&lt;=VAL_DATE)=0,"",'Dvd Calendar'!$AL$440*1000000000+ISNUMBER('Dvd Calendar'!$AL$443)*100000000+('Dvd Calendar'!$AL$445=SPECIAL_LBL)*10000000+0*1000000+40*1000+34))</f>
        <v/>
      </c>
      <c r="FM51" s="35">
        <f>IF(N('Dvd Calendar'!$AM$440)=0,"",IF(('Dvd Calendar'!$AM$440&gt;=GRID_FROM)*('Dvd Calendar'!$AM$440&lt;=GRID_TO)*('Dvd Calendar'!$AM$440&lt;=VAL_DATE)=0,"",'Dvd Calendar'!$AM$440*1000000000+ISNUMBER('Dvd Calendar'!$AM$443)*100000000+('Dvd Calendar'!$AM$445=SPECIAL_LBL)*10000000+0*1000000+40*1000+35))</f>
        <v/>
      </c>
      <c r="FN51" s="35">
        <f>IF(N('Dvd Calendar'!$AN$440)=0,"",IF(('Dvd Calendar'!$AN$440&gt;=GRID_FROM)*('Dvd Calendar'!$AN$440&lt;=GRID_TO)*('Dvd Calendar'!$AN$440&lt;=VAL_DATE)=0,"",'Dvd Calendar'!$AN$440*1000000000+ISNUMBER('Dvd Calendar'!$AN$443)*100000000+('Dvd Calendar'!$AN$445=SPECIAL_LBL)*10000000+0*1000000+40*1000+36))</f>
        <v/>
      </c>
      <c r="FO51" s="35">
        <f>IF(N('Dvd Calendar'!$AO$440)=0,"",IF(('Dvd Calendar'!$AO$440&gt;=GRID_FROM)*('Dvd Calendar'!$AO$440&lt;=GRID_TO)*('Dvd Calendar'!$AO$440&lt;=VAL_DATE)=0,"",'Dvd Calendar'!$AO$440*1000000000+ISNUMBER('Dvd Calendar'!$AO$443)*100000000+('Dvd Calendar'!$AO$445=SPECIAL_LBL)*10000000+0*1000000+40*1000+37))</f>
        <v/>
      </c>
      <c r="FP51" s="35">
        <f>IF(N('Dvd Calendar'!$AP$440)=0,"",IF(('Dvd Calendar'!$AP$440&gt;=GRID_FROM)*('Dvd Calendar'!$AP$440&lt;=GRID_TO)*('Dvd Calendar'!$AP$440&lt;=VAL_DATE)=0,"",'Dvd Calendar'!$AP$440*1000000000+ISNUMBER('Dvd Calendar'!$AP$443)*100000000+('Dvd Calendar'!$AP$445=SPECIAL_LBL)*10000000+0*1000000+40*1000+38))</f>
        <v/>
      </c>
      <c r="FQ51" s="35">
        <f>IF(N('Dvd Calendar'!$AQ$440)=0,"",IF(('Dvd Calendar'!$AQ$440&gt;=GRID_FROM)*('Dvd Calendar'!$AQ$440&lt;=GRID_TO)*('Dvd Calendar'!$AQ$440&lt;=VAL_DATE)=0,"",'Dvd Calendar'!$AQ$440*1000000000+ISNUMBER('Dvd Calendar'!$AQ$443)*100000000+('Dvd Calendar'!$AQ$445=SPECIAL_LBL)*10000000+0*1000000+40*1000+39))</f>
        <v/>
      </c>
      <c r="FR51" s="35">
        <f>IF(N('Dvd Calendar'!$AR$440)=0,"",IF(('Dvd Calendar'!$AR$440&gt;=GRID_FROM)*('Dvd Calendar'!$AR$440&lt;=GRID_TO)*('Dvd Calendar'!$AR$440&lt;=VAL_DATE)=0,"",'Dvd Calendar'!$AR$440*1000000000+ISNUMBER('Dvd Calendar'!$AR$443)*100000000+('Dvd Calendar'!$AR$445=SPECIAL_LBL)*10000000+0*1000000+40*1000+40))</f>
        <v/>
      </c>
      <c r="FS51" s="35">
        <f>IF(N('Dvd Calendar'!$E$447)=0,"",IF(('Dvd Calendar'!$E$447&gt;=GRID_FROM)*('Dvd Calendar'!$E$447&lt;=GRID_TO)*('Dvd Calendar'!$E$447&gt;VAL_DATE)=0,"",'Dvd Calendar'!$E$447*1000000000+ISNUMBER('Dvd Calendar'!$E$448)*100000000+0*10000000+(N('Dvd Calendar'!$E$446)&gt;0)*(N('Dvd Calendar'!$E$446)&lt;=VAL_SERIAL)*1000000+40*1000+41))</f>
        <v/>
      </c>
      <c r="FT51" s="35">
        <f>IF(N('Dvd Calendar'!$F$447)=0,"",IF(('Dvd Calendar'!$F$447&gt;=GRID_FROM)*('Dvd Calendar'!$F$447&lt;=GRID_TO)*('Dvd Calendar'!$F$447&gt;VAL_DATE)=0,"",'Dvd Calendar'!$F$447*1000000000+ISNUMBER('Dvd Calendar'!$F$448)*100000000+0*10000000+(N('Dvd Calendar'!$F$446)&gt;0)*(N('Dvd Calendar'!$F$446)&lt;=VAL_SERIAL)*1000000+40*1000+42))</f>
        <v/>
      </c>
      <c r="FU51" s="35">
        <f>IF(N('Dvd Calendar'!$G$447)=0,"",IF(('Dvd Calendar'!$G$447&gt;=GRID_FROM)*('Dvd Calendar'!$G$447&lt;=GRID_TO)*('Dvd Calendar'!$G$447&gt;VAL_DATE)=0,"",'Dvd Calendar'!$G$447*1000000000+ISNUMBER('Dvd Calendar'!$G$448)*100000000+0*10000000+(N('Dvd Calendar'!$G$446)&gt;0)*(N('Dvd Calendar'!$G$446)&lt;=VAL_SERIAL)*1000000+40*1000+43))</f>
        <v/>
      </c>
      <c r="FV51" s="35">
        <f>IF(N('Dvd Calendar'!$H$447)=0,"",IF(('Dvd Calendar'!$H$447&gt;=GRID_FROM)*('Dvd Calendar'!$H$447&lt;=GRID_TO)*('Dvd Calendar'!$H$447&gt;VAL_DATE)=0,"",'Dvd Calendar'!$H$447*1000000000+ISNUMBER('Dvd Calendar'!$H$448)*100000000+0*10000000+(N('Dvd Calendar'!$H$446)&gt;0)*(N('Dvd Calendar'!$H$446)&lt;=VAL_SERIAL)*1000000+40*1000+44))</f>
        <v/>
      </c>
      <c r="FW51" s="35">
        <f>IF(N('Dvd Calendar'!$I$447)=0,"",IF(('Dvd Calendar'!$I$447&gt;=GRID_FROM)*('Dvd Calendar'!$I$447&lt;=GRID_TO)*('Dvd Calendar'!$I$447&gt;VAL_DATE)=0,"",'Dvd Calendar'!$I$447*1000000000+ISNUMBER('Dvd Calendar'!$I$448)*100000000+0*10000000+(N('Dvd Calendar'!$I$446)&gt;0)*(N('Dvd Calendar'!$I$446)&lt;=VAL_SERIAL)*1000000+40*1000+45))</f>
        <v/>
      </c>
      <c r="FX51" s="35">
        <f>IF(N('Dvd Calendar'!$J$447)=0,"",IF(('Dvd Calendar'!$J$447&gt;=GRID_FROM)*('Dvd Calendar'!$J$447&lt;=GRID_TO)*('Dvd Calendar'!$J$447&gt;VAL_DATE)=0,"",'Dvd Calendar'!$J$447*1000000000+ISNUMBER('Dvd Calendar'!$J$448)*100000000+0*10000000+(N('Dvd Calendar'!$J$446)&gt;0)*(N('Dvd Calendar'!$J$446)&lt;=VAL_SERIAL)*1000000+40*1000+46))</f>
        <v/>
      </c>
      <c r="FY51" s="35">
        <f>IF(N('Dvd Calendar'!$K$447)=0,"",IF(('Dvd Calendar'!$K$447&gt;=GRID_FROM)*('Dvd Calendar'!$K$447&lt;=GRID_TO)*('Dvd Calendar'!$K$447&gt;VAL_DATE)=0,"",'Dvd Calendar'!$K$447*1000000000+ISNUMBER('Dvd Calendar'!$K$448)*100000000+0*10000000+(N('Dvd Calendar'!$K$446)&gt;0)*(N('Dvd Calendar'!$K$446)&lt;=VAL_SERIAL)*1000000+40*1000+47))</f>
        <v/>
      </c>
      <c r="FZ51" s="35">
        <f>IF(N('Dvd Calendar'!$L$447)=0,"",IF(('Dvd Calendar'!$L$447&gt;=GRID_FROM)*('Dvd Calendar'!$L$447&lt;=GRID_TO)*('Dvd Calendar'!$L$447&gt;VAL_DATE)=0,"",'Dvd Calendar'!$L$447*1000000000+ISNUMBER('Dvd Calendar'!$L$448)*100000000+0*10000000+(N('Dvd Calendar'!$L$446)&gt;0)*(N('Dvd Calendar'!$L$446)&lt;=VAL_SERIAL)*1000000+40*1000+48))</f>
        <v/>
      </c>
      <c r="GA51" s="35">
        <f>IF(N('Dvd Calendar'!$M$447)=0,"",IF(('Dvd Calendar'!$M$447&gt;=GRID_FROM)*('Dvd Calendar'!$M$447&lt;=GRID_TO)*('Dvd Calendar'!$M$447&gt;VAL_DATE)=0,"",'Dvd Calendar'!$M$447*1000000000+ISNUMBER('Dvd Calendar'!$M$448)*100000000+0*10000000+(N('Dvd Calendar'!$M$446)&gt;0)*(N('Dvd Calendar'!$M$446)&lt;=VAL_SERIAL)*1000000+40*1000+49))</f>
        <v/>
      </c>
      <c r="GB51" s="35">
        <f>IF(N('Dvd Calendar'!$N$447)=0,"",IF(('Dvd Calendar'!$N$447&gt;=GRID_FROM)*('Dvd Calendar'!$N$447&lt;=GRID_TO)*('Dvd Calendar'!$N$447&gt;VAL_DATE)=0,"",'Dvd Calendar'!$N$447*1000000000+ISNUMBER('Dvd Calendar'!$N$448)*100000000+0*10000000+(N('Dvd Calendar'!$N$446)&gt;0)*(N('Dvd Calendar'!$N$446)&lt;=VAL_SERIAL)*1000000+40*1000+50))</f>
        <v/>
      </c>
      <c r="GC51" s="35">
        <f>IF(N('Dvd Calendar'!$O$447)=0,"",IF(('Dvd Calendar'!$O$447&gt;=GRID_FROM)*('Dvd Calendar'!$O$447&lt;=GRID_TO)*('Dvd Calendar'!$O$447&gt;VAL_DATE)=0,"",'Dvd Calendar'!$O$447*1000000000+ISNUMBER('Dvd Calendar'!$O$448)*100000000+0*10000000+(N('Dvd Calendar'!$O$446)&gt;0)*(N('Dvd Calendar'!$O$446)&lt;=VAL_SERIAL)*1000000+40*1000+51))</f>
        <v/>
      </c>
      <c r="GD51" s="35">
        <f>IF(N('Dvd Calendar'!$P$447)=0,"",IF(('Dvd Calendar'!$P$447&gt;=GRID_FROM)*('Dvd Calendar'!$P$447&lt;=GRID_TO)*('Dvd Calendar'!$P$447&gt;VAL_DATE)=0,"",'Dvd Calendar'!$P$447*1000000000+ISNUMBER('Dvd Calendar'!$P$448)*100000000+0*10000000+(N('Dvd Calendar'!$P$446)&gt;0)*(N('Dvd Calendar'!$P$446)&lt;=VAL_SERIAL)*1000000+40*1000+52))</f>
        <v/>
      </c>
      <c r="GE51" s="35">
        <f>IF(N('Dvd Calendar'!$Q$447)=0,"",IF(('Dvd Calendar'!$Q$447&gt;=GRID_FROM)*('Dvd Calendar'!$Q$447&lt;=GRID_TO)*('Dvd Calendar'!$Q$447&gt;VAL_DATE)=0,"",'Dvd Calendar'!$Q$447*1000000000+ISNUMBER('Dvd Calendar'!$Q$448)*100000000+0*10000000+(N('Dvd Calendar'!$Q$446)&gt;0)*(N('Dvd Calendar'!$Q$446)&lt;=VAL_SERIAL)*1000000+40*1000+53))</f>
        <v/>
      </c>
      <c r="GF51" s="35">
        <f>IF(N('Dvd Calendar'!$R$447)=0,"",IF(('Dvd Calendar'!$R$447&gt;=GRID_FROM)*('Dvd Calendar'!$R$447&lt;=GRID_TO)*('Dvd Calendar'!$R$447&gt;VAL_DATE)=0,"",'Dvd Calendar'!$R$447*1000000000+ISNUMBER('Dvd Calendar'!$R$448)*100000000+0*10000000+(N('Dvd Calendar'!$R$446)&gt;0)*(N('Dvd Calendar'!$R$446)&lt;=VAL_SERIAL)*1000000+40*1000+54))</f>
        <v/>
      </c>
      <c r="GG51" s="35">
        <f>IF(N('Dvd Calendar'!$S$447)=0,"",IF(('Dvd Calendar'!$S$447&gt;=GRID_FROM)*('Dvd Calendar'!$S$447&lt;=GRID_TO)*('Dvd Calendar'!$S$447&gt;VAL_DATE)=0,"",'Dvd Calendar'!$S$447*1000000000+ISNUMBER('Dvd Calendar'!$S$448)*100000000+0*10000000+(N('Dvd Calendar'!$S$446)&gt;0)*(N('Dvd Calendar'!$S$446)&lt;=VAL_SERIAL)*1000000+40*1000+55))</f>
        <v/>
      </c>
      <c r="GH51" s="35">
        <f>IF(N('Dvd Calendar'!$T$447)=0,"",IF(('Dvd Calendar'!$T$447&gt;=GRID_FROM)*('Dvd Calendar'!$T$447&lt;=GRID_TO)*('Dvd Calendar'!$T$447&gt;VAL_DATE)=0,"",'Dvd Calendar'!$T$447*1000000000+ISNUMBER('Dvd Calendar'!$T$448)*100000000+0*10000000+(N('Dvd Calendar'!$T$446)&gt;0)*(N('Dvd Calendar'!$T$446)&lt;=VAL_SERIAL)*1000000+40*1000+56))</f>
        <v/>
      </c>
      <c r="GI51" s="35">
        <f>IF(N('Dvd Calendar'!$U$447)=0,"",IF(('Dvd Calendar'!$U$447&gt;=GRID_FROM)*('Dvd Calendar'!$U$447&lt;=GRID_TO)*('Dvd Calendar'!$U$447&gt;VAL_DATE)=0,"",'Dvd Calendar'!$U$447*1000000000+ISNUMBER('Dvd Calendar'!$U$448)*100000000+0*10000000+(N('Dvd Calendar'!$U$446)&gt;0)*(N('Dvd Calendar'!$U$446)&lt;=VAL_SERIAL)*1000000+40*1000+57))</f>
        <v/>
      </c>
      <c r="GJ51" s="35">
        <f>IF(N('Dvd Calendar'!$V$447)=0,"",IF(('Dvd Calendar'!$V$447&gt;=GRID_FROM)*('Dvd Calendar'!$V$447&lt;=GRID_TO)*('Dvd Calendar'!$V$447&gt;VAL_DATE)=0,"",'Dvd Calendar'!$V$447*1000000000+ISNUMBER('Dvd Calendar'!$V$448)*100000000+0*10000000+(N('Dvd Calendar'!$V$446)&gt;0)*(N('Dvd Calendar'!$V$446)&lt;=VAL_SERIAL)*1000000+40*1000+58))</f>
        <v/>
      </c>
      <c r="GK51" s="35">
        <f>IF(N('Dvd Calendar'!$W$447)=0,"",IF(('Dvd Calendar'!$W$447&gt;=GRID_FROM)*('Dvd Calendar'!$W$447&lt;=GRID_TO)*('Dvd Calendar'!$W$447&gt;VAL_DATE)=0,"",'Dvd Calendar'!$W$447*1000000000+ISNUMBER('Dvd Calendar'!$W$448)*100000000+0*10000000+(N('Dvd Calendar'!$W$446)&gt;0)*(N('Dvd Calendar'!$W$446)&lt;=VAL_SERIAL)*1000000+40*1000+59))</f>
        <v/>
      </c>
      <c r="GL51" s="35">
        <f>IF(N('Dvd Calendar'!$X$447)=0,"",IF(('Dvd Calendar'!$X$447&gt;=GRID_FROM)*('Dvd Calendar'!$X$447&lt;=GRID_TO)*('Dvd Calendar'!$X$447&gt;VAL_DATE)=0,"",'Dvd Calendar'!$X$447*1000000000+ISNUMBER('Dvd Calendar'!$X$448)*100000000+0*10000000+(N('Dvd Calendar'!$X$446)&gt;0)*(N('Dvd Calendar'!$X$446)&lt;=VAL_SERIAL)*1000000+40*1000+60))</f>
        <v/>
      </c>
      <c r="GM51" s="35">
        <f>IF(N('Dvd Calendar'!$Y$447)=0,"",IF(('Dvd Calendar'!$Y$447&gt;=GRID_FROM)*('Dvd Calendar'!$Y$447&lt;=GRID_TO)*('Dvd Calendar'!$Y$447&gt;VAL_DATE)=0,"",'Dvd Calendar'!$Y$447*1000000000+ISNUMBER('Dvd Calendar'!$Y$448)*100000000+0*10000000+(N('Dvd Calendar'!$Y$446)&gt;0)*(N('Dvd Calendar'!$Y$446)&lt;=VAL_SERIAL)*1000000+40*1000+61))</f>
        <v/>
      </c>
      <c r="GN51" s="35">
        <f>IF(N('Dvd Calendar'!$Z$447)=0,"",IF(('Dvd Calendar'!$Z$447&gt;=GRID_FROM)*('Dvd Calendar'!$Z$447&lt;=GRID_TO)*('Dvd Calendar'!$Z$447&gt;VAL_DATE)=0,"",'Dvd Calendar'!$Z$447*1000000000+ISNUMBER('Dvd Calendar'!$Z$448)*100000000+0*10000000+(N('Dvd Calendar'!$Z$446)&gt;0)*(N('Dvd Calendar'!$Z$446)&lt;=VAL_SERIAL)*1000000+40*1000+62))</f>
        <v/>
      </c>
      <c r="GO51" s="35">
        <f>IF(N('Dvd Calendar'!$AA$447)=0,"",IF(('Dvd Calendar'!$AA$447&gt;=GRID_FROM)*('Dvd Calendar'!$AA$447&lt;=GRID_TO)*('Dvd Calendar'!$AA$447&gt;VAL_DATE)=0,"",'Dvd Calendar'!$AA$447*1000000000+ISNUMBER('Dvd Calendar'!$AA$448)*100000000+0*10000000+(N('Dvd Calendar'!$AA$446)&gt;0)*(N('Dvd Calendar'!$AA$446)&lt;=VAL_SERIAL)*1000000+40*1000+63))</f>
        <v/>
      </c>
      <c r="GP51" s="35">
        <f>IF(N('Dvd Calendar'!$AB$447)=0,"",IF(('Dvd Calendar'!$AB$447&gt;=GRID_FROM)*('Dvd Calendar'!$AB$447&lt;=GRID_TO)*('Dvd Calendar'!$AB$447&gt;VAL_DATE)=0,"",'Dvd Calendar'!$AB$447*1000000000+ISNUMBER('Dvd Calendar'!$AB$448)*100000000+0*10000000+(N('Dvd Calendar'!$AB$446)&gt;0)*(N('Dvd Calendar'!$AB$446)&lt;=VAL_SERIAL)*1000000+40*1000+64))</f>
        <v/>
      </c>
      <c r="GQ51" s="35">
        <f>IF(N('Dvd Calendar'!$AC$447)=0,"",IF(('Dvd Calendar'!$AC$447&gt;=GRID_FROM)*('Dvd Calendar'!$AC$447&lt;=GRID_TO)*('Dvd Calendar'!$AC$447&gt;VAL_DATE)=0,"",'Dvd Calendar'!$AC$447*1000000000+ISNUMBER('Dvd Calendar'!$AC$448)*100000000+0*10000000+(N('Dvd Calendar'!$AC$446)&gt;0)*(N('Dvd Calendar'!$AC$446)&lt;=VAL_SERIAL)*1000000+40*1000+65))</f>
        <v/>
      </c>
    </row>
    <row r="52">
      <c r="B52" s="2">
        <f>IF(HSI!$C$47="","",HSI!$C$47)</f>
        <v/>
      </c>
      <c r="C52" s="106">
        <f>IF(EE52="","",IF(ISNUMBER('Dvd Calendar'!$E$454)=FALSE,"",IF((('Dvd Calendar'!$E$456=TYPE1)*(TYPE1&lt;&gt;"")+('Dvd Calendar'!$E$456=TYPE2)*(TYPE2&lt;&gt;"")+('Dvd Calendar'!$E$456=TYPE3)*(TYPE3&lt;&gt;"")+('Dvd Calendar'!$E$456=TYPE4)*(TYPE4&lt;&gt;"")+('Dvd Calendar'!$E$456=SPECIAL_LBL)*(INC_SPECIALS="Y"))=0,"",'Dvd Calendar'!$E$454)))</f>
        <v/>
      </c>
      <c r="D52" s="106">
        <f>IF(EF52="","",IF(ISNUMBER('Dvd Calendar'!$F$454)=FALSE,"",IF((('Dvd Calendar'!$F$456=TYPE1)*(TYPE1&lt;&gt;"")+('Dvd Calendar'!$F$456=TYPE2)*(TYPE2&lt;&gt;"")+('Dvd Calendar'!$F$456=TYPE3)*(TYPE3&lt;&gt;"")+('Dvd Calendar'!$F$456=TYPE4)*(TYPE4&lt;&gt;"")+('Dvd Calendar'!$F$456=SPECIAL_LBL)*(INC_SPECIALS="Y"))=0,"",'Dvd Calendar'!$F$454)))</f>
        <v/>
      </c>
      <c r="E52" s="106">
        <f>IF(EG52="","",IF(ISNUMBER('Dvd Calendar'!$G$454)=FALSE,"",IF((('Dvd Calendar'!$G$456=TYPE1)*(TYPE1&lt;&gt;"")+('Dvd Calendar'!$G$456=TYPE2)*(TYPE2&lt;&gt;"")+('Dvd Calendar'!$G$456=TYPE3)*(TYPE3&lt;&gt;"")+('Dvd Calendar'!$G$456=TYPE4)*(TYPE4&lt;&gt;"")+('Dvd Calendar'!$G$456=SPECIAL_LBL)*(INC_SPECIALS="Y"))=0,"",'Dvd Calendar'!$G$454)))</f>
        <v/>
      </c>
      <c r="F52" s="106">
        <f>IF(EH52="","",IF(ISNUMBER('Dvd Calendar'!$H$454)=FALSE,"",IF((('Dvd Calendar'!$H$456=TYPE1)*(TYPE1&lt;&gt;"")+('Dvd Calendar'!$H$456=TYPE2)*(TYPE2&lt;&gt;"")+('Dvd Calendar'!$H$456=TYPE3)*(TYPE3&lt;&gt;"")+('Dvd Calendar'!$H$456=TYPE4)*(TYPE4&lt;&gt;"")+('Dvd Calendar'!$H$456=SPECIAL_LBL)*(INC_SPECIALS="Y"))=0,"",'Dvd Calendar'!$H$454)))</f>
        <v/>
      </c>
      <c r="G52" s="106">
        <f>IF(EI52="","",IF(ISNUMBER('Dvd Calendar'!$I$454)=FALSE,"",IF((('Dvd Calendar'!$I$456=TYPE1)*(TYPE1&lt;&gt;"")+('Dvd Calendar'!$I$456=TYPE2)*(TYPE2&lt;&gt;"")+('Dvd Calendar'!$I$456=TYPE3)*(TYPE3&lt;&gt;"")+('Dvd Calendar'!$I$456=TYPE4)*(TYPE4&lt;&gt;"")+('Dvd Calendar'!$I$456=SPECIAL_LBL)*(INC_SPECIALS="Y"))=0,"",'Dvd Calendar'!$I$454)))</f>
        <v/>
      </c>
      <c r="H52" s="106">
        <f>IF(EJ52="","",IF(ISNUMBER('Dvd Calendar'!$J$454)=FALSE,"",IF((('Dvd Calendar'!$J$456=TYPE1)*(TYPE1&lt;&gt;"")+('Dvd Calendar'!$J$456=TYPE2)*(TYPE2&lt;&gt;"")+('Dvd Calendar'!$J$456=TYPE3)*(TYPE3&lt;&gt;"")+('Dvd Calendar'!$J$456=TYPE4)*(TYPE4&lt;&gt;"")+('Dvd Calendar'!$J$456=SPECIAL_LBL)*(INC_SPECIALS="Y"))=0,"",'Dvd Calendar'!$J$454)))</f>
        <v/>
      </c>
      <c r="I52" s="106">
        <f>IF(EK52="","",IF(ISNUMBER('Dvd Calendar'!$K$454)=FALSE,"",IF((('Dvd Calendar'!$K$456=TYPE1)*(TYPE1&lt;&gt;"")+('Dvd Calendar'!$K$456=TYPE2)*(TYPE2&lt;&gt;"")+('Dvd Calendar'!$K$456=TYPE3)*(TYPE3&lt;&gt;"")+('Dvd Calendar'!$K$456=TYPE4)*(TYPE4&lt;&gt;"")+('Dvd Calendar'!$K$456=SPECIAL_LBL)*(INC_SPECIALS="Y"))=0,"",'Dvd Calendar'!$K$454)))</f>
        <v/>
      </c>
      <c r="J52" s="106">
        <f>IF(EL52="","",IF(ISNUMBER('Dvd Calendar'!$L$454)=FALSE,"",IF((('Dvd Calendar'!$L$456=TYPE1)*(TYPE1&lt;&gt;"")+('Dvd Calendar'!$L$456=TYPE2)*(TYPE2&lt;&gt;"")+('Dvd Calendar'!$L$456=TYPE3)*(TYPE3&lt;&gt;"")+('Dvd Calendar'!$L$456=TYPE4)*(TYPE4&lt;&gt;"")+('Dvd Calendar'!$L$456=SPECIAL_LBL)*(INC_SPECIALS="Y"))=0,"",'Dvd Calendar'!$L$454)))</f>
        <v/>
      </c>
      <c r="K52" s="106">
        <f>IF(EM52="","",IF(ISNUMBER('Dvd Calendar'!$M$454)=FALSE,"",IF((('Dvd Calendar'!$M$456=TYPE1)*(TYPE1&lt;&gt;"")+('Dvd Calendar'!$M$456=TYPE2)*(TYPE2&lt;&gt;"")+('Dvd Calendar'!$M$456=TYPE3)*(TYPE3&lt;&gt;"")+('Dvd Calendar'!$M$456=TYPE4)*(TYPE4&lt;&gt;"")+('Dvd Calendar'!$M$456=SPECIAL_LBL)*(INC_SPECIALS="Y"))=0,"",'Dvd Calendar'!$M$454)))</f>
        <v/>
      </c>
      <c r="L52" s="106">
        <f>IF(EN52="","",IF(ISNUMBER('Dvd Calendar'!$N$454)=FALSE,"",IF((('Dvd Calendar'!$N$456=TYPE1)*(TYPE1&lt;&gt;"")+('Dvd Calendar'!$N$456=TYPE2)*(TYPE2&lt;&gt;"")+('Dvd Calendar'!$N$456=TYPE3)*(TYPE3&lt;&gt;"")+('Dvd Calendar'!$N$456=TYPE4)*(TYPE4&lt;&gt;"")+('Dvd Calendar'!$N$456=SPECIAL_LBL)*(INC_SPECIALS="Y"))=0,"",'Dvd Calendar'!$N$454)))</f>
        <v/>
      </c>
      <c r="M52" s="106">
        <f>IF(EO52="","",IF(ISNUMBER('Dvd Calendar'!$O$454)=FALSE,"",IF((('Dvd Calendar'!$O$456=TYPE1)*(TYPE1&lt;&gt;"")+('Dvd Calendar'!$O$456=TYPE2)*(TYPE2&lt;&gt;"")+('Dvd Calendar'!$O$456=TYPE3)*(TYPE3&lt;&gt;"")+('Dvd Calendar'!$O$456=TYPE4)*(TYPE4&lt;&gt;"")+('Dvd Calendar'!$O$456=SPECIAL_LBL)*(INC_SPECIALS="Y"))=0,"",'Dvd Calendar'!$O$454)))</f>
        <v/>
      </c>
      <c r="N52" s="106">
        <f>IF(EP52="","",IF(ISNUMBER('Dvd Calendar'!$P$454)=FALSE,"",IF((('Dvd Calendar'!$P$456=TYPE1)*(TYPE1&lt;&gt;"")+('Dvd Calendar'!$P$456=TYPE2)*(TYPE2&lt;&gt;"")+('Dvd Calendar'!$P$456=TYPE3)*(TYPE3&lt;&gt;"")+('Dvd Calendar'!$P$456=TYPE4)*(TYPE4&lt;&gt;"")+('Dvd Calendar'!$P$456=SPECIAL_LBL)*(INC_SPECIALS="Y"))=0,"",'Dvd Calendar'!$P$454)))</f>
        <v/>
      </c>
      <c r="O52" s="106">
        <f>IF(EQ52="","",IF(ISNUMBER('Dvd Calendar'!$Q$454)=FALSE,"",IF((('Dvd Calendar'!$Q$456=TYPE1)*(TYPE1&lt;&gt;"")+('Dvd Calendar'!$Q$456=TYPE2)*(TYPE2&lt;&gt;"")+('Dvd Calendar'!$Q$456=TYPE3)*(TYPE3&lt;&gt;"")+('Dvd Calendar'!$Q$456=TYPE4)*(TYPE4&lt;&gt;"")+('Dvd Calendar'!$Q$456=SPECIAL_LBL)*(INC_SPECIALS="Y"))=0,"",'Dvd Calendar'!$Q$454)))</f>
        <v/>
      </c>
      <c r="P52" s="106">
        <f>IF(ER52="","",IF(ISNUMBER('Dvd Calendar'!$R$454)=FALSE,"",IF((('Dvd Calendar'!$R$456=TYPE1)*(TYPE1&lt;&gt;"")+('Dvd Calendar'!$R$456=TYPE2)*(TYPE2&lt;&gt;"")+('Dvd Calendar'!$R$456=TYPE3)*(TYPE3&lt;&gt;"")+('Dvd Calendar'!$R$456=TYPE4)*(TYPE4&lt;&gt;"")+('Dvd Calendar'!$R$456=SPECIAL_LBL)*(INC_SPECIALS="Y"))=0,"",'Dvd Calendar'!$R$454)))</f>
        <v/>
      </c>
      <c r="Q52" s="106">
        <f>IF(ES52="","",IF(ISNUMBER('Dvd Calendar'!$S$454)=FALSE,"",IF((('Dvd Calendar'!$S$456=TYPE1)*(TYPE1&lt;&gt;"")+('Dvd Calendar'!$S$456=TYPE2)*(TYPE2&lt;&gt;"")+('Dvd Calendar'!$S$456=TYPE3)*(TYPE3&lt;&gt;"")+('Dvd Calendar'!$S$456=TYPE4)*(TYPE4&lt;&gt;"")+('Dvd Calendar'!$S$456=SPECIAL_LBL)*(INC_SPECIALS="Y"))=0,"",'Dvd Calendar'!$S$454)))</f>
        <v/>
      </c>
      <c r="R52" s="106">
        <f>IF(ET52="","",IF(ISNUMBER('Dvd Calendar'!$T$454)=FALSE,"",IF((('Dvd Calendar'!$T$456=TYPE1)*(TYPE1&lt;&gt;"")+('Dvd Calendar'!$T$456=TYPE2)*(TYPE2&lt;&gt;"")+('Dvd Calendar'!$T$456=TYPE3)*(TYPE3&lt;&gt;"")+('Dvd Calendar'!$T$456=TYPE4)*(TYPE4&lt;&gt;"")+('Dvd Calendar'!$T$456=SPECIAL_LBL)*(INC_SPECIALS="Y"))=0,"",'Dvd Calendar'!$T$454)))</f>
        <v/>
      </c>
      <c r="S52" s="106">
        <f>IF(EU52="","",IF(ISNUMBER('Dvd Calendar'!$U$454)=FALSE,"",IF((('Dvd Calendar'!$U$456=TYPE1)*(TYPE1&lt;&gt;"")+('Dvd Calendar'!$U$456=TYPE2)*(TYPE2&lt;&gt;"")+('Dvd Calendar'!$U$456=TYPE3)*(TYPE3&lt;&gt;"")+('Dvd Calendar'!$U$456=TYPE4)*(TYPE4&lt;&gt;"")+('Dvd Calendar'!$U$456=SPECIAL_LBL)*(INC_SPECIALS="Y"))=0,"",'Dvd Calendar'!$U$454)))</f>
        <v/>
      </c>
      <c r="T52" s="106">
        <f>IF(EV52="","",IF(ISNUMBER('Dvd Calendar'!$V$454)=FALSE,"",IF((('Dvd Calendar'!$V$456=TYPE1)*(TYPE1&lt;&gt;"")+('Dvd Calendar'!$V$456=TYPE2)*(TYPE2&lt;&gt;"")+('Dvd Calendar'!$V$456=TYPE3)*(TYPE3&lt;&gt;"")+('Dvd Calendar'!$V$456=TYPE4)*(TYPE4&lt;&gt;"")+('Dvd Calendar'!$V$456=SPECIAL_LBL)*(INC_SPECIALS="Y"))=0,"",'Dvd Calendar'!$V$454)))</f>
        <v/>
      </c>
      <c r="U52" s="106">
        <f>IF(EW52="","",IF(ISNUMBER('Dvd Calendar'!$W$454)=FALSE,"",IF((('Dvd Calendar'!$W$456=TYPE1)*(TYPE1&lt;&gt;"")+('Dvd Calendar'!$W$456=TYPE2)*(TYPE2&lt;&gt;"")+('Dvd Calendar'!$W$456=TYPE3)*(TYPE3&lt;&gt;"")+('Dvd Calendar'!$W$456=TYPE4)*(TYPE4&lt;&gt;"")+('Dvd Calendar'!$W$456=SPECIAL_LBL)*(INC_SPECIALS="Y"))=0,"",'Dvd Calendar'!$W$454)))</f>
        <v/>
      </c>
      <c r="V52" s="106">
        <f>IF(EX52="","",IF(ISNUMBER('Dvd Calendar'!$X$454)=FALSE,"",IF((('Dvd Calendar'!$X$456=TYPE1)*(TYPE1&lt;&gt;"")+('Dvd Calendar'!$X$456=TYPE2)*(TYPE2&lt;&gt;"")+('Dvd Calendar'!$X$456=TYPE3)*(TYPE3&lt;&gt;"")+('Dvd Calendar'!$X$456=TYPE4)*(TYPE4&lt;&gt;"")+('Dvd Calendar'!$X$456=SPECIAL_LBL)*(INC_SPECIALS="Y"))=0,"",'Dvd Calendar'!$X$454)))</f>
        <v/>
      </c>
      <c r="W52" s="106">
        <f>IF(EY52="","",IF(ISNUMBER('Dvd Calendar'!$Y$454)=FALSE,"",IF((('Dvd Calendar'!$Y$456=TYPE1)*(TYPE1&lt;&gt;"")+('Dvd Calendar'!$Y$456=TYPE2)*(TYPE2&lt;&gt;"")+('Dvd Calendar'!$Y$456=TYPE3)*(TYPE3&lt;&gt;"")+('Dvd Calendar'!$Y$456=TYPE4)*(TYPE4&lt;&gt;"")+('Dvd Calendar'!$Y$456=SPECIAL_LBL)*(INC_SPECIALS="Y"))=0,"",'Dvd Calendar'!$Y$454)))</f>
        <v/>
      </c>
      <c r="X52" s="106">
        <f>IF(EZ52="","",IF(ISNUMBER('Dvd Calendar'!$Z$454)=FALSE,"",IF((('Dvd Calendar'!$Z$456=TYPE1)*(TYPE1&lt;&gt;"")+('Dvd Calendar'!$Z$456=TYPE2)*(TYPE2&lt;&gt;"")+('Dvd Calendar'!$Z$456=TYPE3)*(TYPE3&lt;&gt;"")+('Dvd Calendar'!$Z$456=TYPE4)*(TYPE4&lt;&gt;"")+('Dvd Calendar'!$Z$456=SPECIAL_LBL)*(INC_SPECIALS="Y"))=0,"",'Dvd Calendar'!$Z$454)))</f>
        <v/>
      </c>
      <c r="Y52" s="106">
        <f>IF(FA52="","",IF(ISNUMBER('Dvd Calendar'!$AA$454)=FALSE,"",IF((('Dvd Calendar'!$AA$456=TYPE1)*(TYPE1&lt;&gt;"")+('Dvd Calendar'!$AA$456=TYPE2)*(TYPE2&lt;&gt;"")+('Dvd Calendar'!$AA$456=TYPE3)*(TYPE3&lt;&gt;"")+('Dvd Calendar'!$AA$456=TYPE4)*(TYPE4&lt;&gt;"")+('Dvd Calendar'!$AA$456=SPECIAL_LBL)*(INC_SPECIALS="Y"))=0,"",'Dvd Calendar'!$AA$454)))</f>
        <v/>
      </c>
      <c r="Z52" s="106">
        <f>IF(FB52="","",IF(ISNUMBER('Dvd Calendar'!$AB$454)=FALSE,"",IF((('Dvd Calendar'!$AB$456=TYPE1)*(TYPE1&lt;&gt;"")+('Dvd Calendar'!$AB$456=TYPE2)*(TYPE2&lt;&gt;"")+('Dvd Calendar'!$AB$456=TYPE3)*(TYPE3&lt;&gt;"")+('Dvd Calendar'!$AB$456=TYPE4)*(TYPE4&lt;&gt;"")+('Dvd Calendar'!$AB$456=SPECIAL_LBL)*(INC_SPECIALS="Y"))=0,"",'Dvd Calendar'!$AB$454)))</f>
        <v/>
      </c>
      <c r="AA52" s="106">
        <f>IF(FC52="","",IF(ISNUMBER('Dvd Calendar'!$AC$454)=FALSE,"",IF((('Dvd Calendar'!$AC$456=TYPE1)*(TYPE1&lt;&gt;"")+('Dvd Calendar'!$AC$456=TYPE2)*(TYPE2&lt;&gt;"")+('Dvd Calendar'!$AC$456=TYPE3)*(TYPE3&lt;&gt;"")+('Dvd Calendar'!$AC$456=TYPE4)*(TYPE4&lt;&gt;"")+('Dvd Calendar'!$AC$456=SPECIAL_LBL)*(INC_SPECIALS="Y"))=0,"",'Dvd Calendar'!$AC$454)))</f>
        <v/>
      </c>
      <c r="AB52" s="106">
        <f>IF(FD52="","",IF(ISNUMBER('Dvd Calendar'!$AD$454)=FALSE,"",IF((('Dvd Calendar'!$AD$456=TYPE1)*(TYPE1&lt;&gt;"")+('Dvd Calendar'!$AD$456=TYPE2)*(TYPE2&lt;&gt;"")+('Dvd Calendar'!$AD$456=TYPE3)*(TYPE3&lt;&gt;"")+('Dvd Calendar'!$AD$456=TYPE4)*(TYPE4&lt;&gt;"")+('Dvd Calendar'!$AD$456=SPECIAL_LBL)*(INC_SPECIALS="Y"))=0,"",'Dvd Calendar'!$AD$454)))</f>
        <v/>
      </c>
      <c r="AC52" s="106">
        <f>IF(FE52="","",IF(ISNUMBER('Dvd Calendar'!$AE$454)=FALSE,"",IF((('Dvd Calendar'!$AE$456=TYPE1)*(TYPE1&lt;&gt;"")+('Dvd Calendar'!$AE$456=TYPE2)*(TYPE2&lt;&gt;"")+('Dvd Calendar'!$AE$456=TYPE3)*(TYPE3&lt;&gt;"")+('Dvd Calendar'!$AE$456=TYPE4)*(TYPE4&lt;&gt;"")+('Dvd Calendar'!$AE$456=SPECIAL_LBL)*(INC_SPECIALS="Y"))=0,"",'Dvd Calendar'!$AE$454)))</f>
        <v/>
      </c>
      <c r="AD52" s="106">
        <f>IF(FF52="","",IF(ISNUMBER('Dvd Calendar'!$AF$454)=FALSE,"",IF((('Dvd Calendar'!$AF$456=TYPE1)*(TYPE1&lt;&gt;"")+('Dvd Calendar'!$AF$456=TYPE2)*(TYPE2&lt;&gt;"")+('Dvd Calendar'!$AF$456=TYPE3)*(TYPE3&lt;&gt;"")+('Dvd Calendar'!$AF$456=TYPE4)*(TYPE4&lt;&gt;"")+('Dvd Calendar'!$AF$456=SPECIAL_LBL)*(INC_SPECIALS="Y"))=0,"",'Dvd Calendar'!$AF$454)))</f>
        <v/>
      </c>
      <c r="AE52" s="106">
        <f>IF(FG52="","",IF(ISNUMBER('Dvd Calendar'!$AG$454)=FALSE,"",IF((('Dvd Calendar'!$AG$456=TYPE1)*(TYPE1&lt;&gt;"")+('Dvd Calendar'!$AG$456=TYPE2)*(TYPE2&lt;&gt;"")+('Dvd Calendar'!$AG$456=TYPE3)*(TYPE3&lt;&gt;"")+('Dvd Calendar'!$AG$456=TYPE4)*(TYPE4&lt;&gt;"")+('Dvd Calendar'!$AG$456=SPECIAL_LBL)*(INC_SPECIALS="Y"))=0,"",'Dvd Calendar'!$AG$454)))</f>
        <v/>
      </c>
      <c r="AF52" s="106">
        <f>IF(FH52="","",IF(ISNUMBER('Dvd Calendar'!$AH$454)=FALSE,"",IF((('Dvd Calendar'!$AH$456=TYPE1)*(TYPE1&lt;&gt;"")+('Dvd Calendar'!$AH$456=TYPE2)*(TYPE2&lt;&gt;"")+('Dvd Calendar'!$AH$456=TYPE3)*(TYPE3&lt;&gt;"")+('Dvd Calendar'!$AH$456=TYPE4)*(TYPE4&lt;&gt;"")+('Dvd Calendar'!$AH$456=SPECIAL_LBL)*(INC_SPECIALS="Y"))=0,"",'Dvd Calendar'!$AH$454)))</f>
        <v/>
      </c>
      <c r="AG52" s="106">
        <f>IF(FI52="","",IF(ISNUMBER('Dvd Calendar'!$AI$454)=FALSE,"",IF((('Dvd Calendar'!$AI$456=TYPE1)*(TYPE1&lt;&gt;"")+('Dvd Calendar'!$AI$456=TYPE2)*(TYPE2&lt;&gt;"")+('Dvd Calendar'!$AI$456=TYPE3)*(TYPE3&lt;&gt;"")+('Dvd Calendar'!$AI$456=TYPE4)*(TYPE4&lt;&gt;"")+('Dvd Calendar'!$AI$456=SPECIAL_LBL)*(INC_SPECIALS="Y"))=0,"",'Dvd Calendar'!$AI$454)))</f>
        <v/>
      </c>
      <c r="AH52" s="106">
        <f>IF(FJ52="","",IF(ISNUMBER('Dvd Calendar'!$AJ$454)=FALSE,"",IF((('Dvd Calendar'!$AJ$456=TYPE1)*(TYPE1&lt;&gt;"")+('Dvd Calendar'!$AJ$456=TYPE2)*(TYPE2&lt;&gt;"")+('Dvd Calendar'!$AJ$456=TYPE3)*(TYPE3&lt;&gt;"")+('Dvd Calendar'!$AJ$456=TYPE4)*(TYPE4&lt;&gt;"")+('Dvd Calendar'!$AJ$456=SPECIAL_LBL)*(INC_SPECIALS="Y"))=0,"",'Dvd Calendar'!$AJ$454)))</f>
        <v/>
      </c>
      <c r="AI52" s="106">
        <f>IF(FK52="","",IF(ISNUMBER('Dvd Calendar'!$AK$454)=FALSE,"",IF((('Dvd Calendar'!$AK$456=TYPE1)*(TYPE1&lt;&gt;"")+('Dvd Calendar'!$AK$456=TYPE2)*(TYPE2&lt;&gt;"")+('Dvd Calendar'!$AK$456=TYPE3)*(TYPE3&lt;&gt;"")+('Dvd Calendar'!$AK$456=TYPE4)*(TYPE4&lt;&gt;"")+('Dvd Calendar'!$AK$456=SPECIAL_LBL)*(INC_SPECIALS="Y"))=0,"",'Dvd Calendar'!$AK$454)))</f>
        <v/>
      </c>
      <c r="AJ52" s="106">
        <f>IF(FL52="","",IF(ISNUMBER('Dvd Calendar'!$AL$454)=FALSE,"",IF((('Dvd Calendar'!$AL$456=TYPE1)*(TYPE1&lt;&gt;"")+('Dvd Calendar'!$AL$456=TYPE2)*(TYPE2&lt;&gt;"")+('Dvd Calendar'!$AL$456=TYPE3)*(TYPE3&lt;&gt;"")+('Dvd Calendar'!$AL$456=TYPE4)*(TYPE4&lt;&gt;"")+('Dvd Calendar'!$AL$456=SPECIAL_LBL)*(INC_SPECIALS="Y"))=0,"",'Dvd Calendar'!$AL$454)))</f>
        <v/>
      </c>
      <c r="AK52" s="106">
        <f>IF(FM52="","",IF(ISNUMBER('Dvd Calendar'!$AM$454)=FALSE,"",IF((('Dvd Calendar'!$AM$456=TYPE1)*(TYPE1&lt;&gt;"")+('Dvd Calendar'!$AM$456=TYPE2)*(TYPE2&lt;&gt;"")+('Dvd Calendar'!$AM$456=TYPE3)*(TYPE3&lt;&gt;"")+('Dvd Calendar'!$AM$456=TYPE4)*(TYPE4&lt;&gt;"")+('Dvd Calendar'!$AM$456=SPECIAL_LBL)*(INC_SPECIALS="Y"))=0,"",'Dvd Calendar'!$AM$454)))</f>
        <v/>
      </c>
      <c r="AL52" s="106">
        <f>IF(FN52="","",IF(ISNUMBER('Dvd Calendar'!$AN$454)=FALSE,"",IF((('Dvd Calendar'!$AN$456=TYPE1)*(TYPE1&lt;&gt;"")+('Dvd Calendar'!$AN$456=TYPE2)*(TYPE2&lt;&gt;"")+('Dvd Calendar'!$AN$456=TYPE3)*(TYPE3&lt;&gt;"")+('Dvd Calendar'!$AN$456=TYPE4)*(TYPE4&lt;&gt;"")+('Dvd Calendar'!$AN$456=SPECIAL_LBL)*(INC_SPECIALS="Y"))=0,"",'Dvd Calendar'!$AN$454)))</f>
        <v/>
      </c>
      <c r="AM52" s="106">
        <f>IF(FO52="","",IF(ISNUMBER('Dvd Calendar'!$AO$454)=FALSE,"",IF((('Dvd Calendar'!$AO$456=TYPE1)*(TYPE1&lt;&gt;"")+('Dvd Calendar'!$AO$456=TYPE2)*(TYPE2&lt;&gt;"")+('Dvd Calendar'!$AO$456=TYPE3)*(TYPE3&lt;&gt;"")+('Dvd Calendar'!$AO$456=TYPE4)*(TYPE4&lt;&gt;"")+('Dvd Calendar'!$AO$456=SPECIAL_LBL)*(INC_SPECIALS="Y"))=0,"",'Dvd Calendar'!$AO$454)))</f>
        <v/>
      </c>
      <c r="AN52" s="106">
        <f>IF(FP52="","",IF(ISNUMBER('Dvd Calendar'!$AP$454)=FALSE,"",IF((('Dvd Calendar'!$AP$456=TYPE1)*(TYPE1&lt;&gt;"")+('Dvd Calendar'!$AP$456=TYPE2)*(TYPE2&lt;&gt;"")+('Dvd Calendar'!$AP$456=TYPE3)*(TYPE3&lt;&gt;"")+('Dvd Calendar'!$AP$456=TYPE4)*(TYPE4&lt;&gt;"")+('Dvd Calendar'!$AP$456=SPECIAL_LBL)*(INC_SPECIALS="Y"))=0,"",'Dvd Calendar'!$AP$454)))</f>
        <v/>
      </c>
      <c r="AO52" s="106">
        <f>IF(FQ52="","",IF(ISNUMBER('Dvd Calendar'!$AQ$454)=FALSE,"",IF((('Dvd Calendar'!$AQ$456=TYPE1)*(TYPE1&lt;&gt;"")+('Dvd Calendar'!$AQ$456=TYPE2)*(TYPE2&lt;&gt;"")+('Dvd Calendar'!$AQ$456=TYPE3)*(TYPE3&lt;&gt;"")+('Dvd Calendar'!$AQ$456=TYPE4)*(TYPE4&lt;&gt;"")+('Dvd Calendar'!$AQ$456=SPECIAL_LBL)*(INC_SPECIALS="Y"))=0,"",'Dvd Calendar'!$AQ$454)))</f>
        <v/>
      </c>
      <c r="AP52" s="106">
        <f>IF(FR52="","",IF(ISNUMBER('Dvd Calendar'!$AR$454)=FALSE,"",IF((('Dvd Calendar'!$AR$456=TYPE1)*(TYPE1&lt;&gt;"")+('Dvd Calendar'!$AR$456=TYPE2)*(TYPE2&lt;&gt;"")+('Dvd Calendar'!$AR$456=TYPE3)*(TYPE3&lt;&gt;"")+('Dvd Calendar'!$AR$456=TYPE4)*(TYPE4&lt;&gt;"")+('Dvd Calendar'!$AR$456=SPECIAL_LBL)*(INC_SPECIALS="Y"))=0,"",'Dvd Calendar'!$AR$454)))</f>
        <v/>
      </c>
      <c r="AQ52" s="106">
        <f>IF(FS52="","",IF(ISNUMBER('Dvd Calendar'!$E$459)=FALSE,"",'Dvd Calendar'!$E$459))</f>
        <v/>
      </c>
      <c r="AR52" s="106">
        <f>IF(FT52="","",IF(ISNUMBER('Dvd Calendar'!$F$459)=FALSE,"",'Dvd Calendar'!$F$459))</f>
        <v/>
      </c>
      <c r="AS52" s="106">
        <f>IF(FU52="","",IF(ISNUMBER('Dvd Calendar'!$G$459)=FALSE,"",'Dvd Calendar'!$G$459))</f>
        <v/>
      </c>
      <c r="AT52" s="106">
        <f>IF(FV52="","",IF(ISNUMBER('Dvd Calendar'!$H$459)=FALSE,"",'Dvd Calendar'!$H$459))</f>
        <v/>
      </c>
      <c r="AU52" s="106">
        <f>IF(FW52="","",IF(ISNUMBER('Dvd Calendar'!$I$459)=FALSE,"",'Dvd Calendar'!$I$459))</f>
        <v/>
      </c>
      <c r="AV52" s="106">
        <f>IF(FX52="","",IF(ISNUMBER('Dvd Calendar'!$J$459)=FALSE,"",'Dvd Calendar'!$J$459))</f>
        <v/>
      </c>
      <c r="AW52" s="106">
        <f>IF(FY52="","",IF(ISNUMBER('Dvd Calendar'!$K$459)=FALSE,"",'Dvd Calendar'!$K$459))</f>
        <v/>
      </c>
      <c r="AX52" s="106">
        <f>IF(FZ52="","",IF(ISNUMBER('Dvd Calendar'!$L$459)=FALSE,"",'Dvd Calendar'!$L$459))</f>
        <v/>
      </c>
      <c r="AY52" s="106">
        <f>IF(GA52="","",IF(ISNUMBER('Dvd Calendar'!$M$459)=FALSE,"",'Dvd Calendar'!$M$459))</f>
        <v/>
      </c>
      <c r="AZ52" s="106">
        <f>IF(GB52="","",IF(ISNUMBER('Dvd Calendar'!$N$459)=FALSE,"",'Dvd Calendar'!$N$459))</f>
        <v/>
      </c>
      <c r="BA52" s="106">
        <f>IF(GC52="","",IF(ISNUMBER('Dvd Calendar'!$O$459)=FALSE,"",'Dvd Calendar'!$O$459))</f>
        <v/>
      </c>
      <c r="BB52" s="106">
        <f>IF(GD52="","",IF(ISNUMBER('Dvd Calendar'!$P$459)=FALSE,"",'Dvd Calendar'!$P$459))</f>
        <v/>
      </c>
      <c r="BC52" s="106">
        <f>IF(GE52="","",IF(ISNUMBER('Dvd Calendar'!$Q$459)=FALSE,"",'Dvd Calendar'!$Q$459))</f>
        <v/>
      </c>
      <c r="BD52" s="106">
        <f>IF(GF52="","",IF(ISNUMBER('Dvd Calendar'!$R$459)=FALSE,"",'Dvd Calendar'!$R$459))</f>
        <v/>
      </c>
      <c r="BE52" s="106">
        <f>IF(GG52="","",IF(ISNUMBER('Dvd Calendar'!$S$459)=FALSE,"",'Dvd Calendar'!$S$459))</f>
        <v/>
      </c>
      <c r="BF52" s="106">
        <f>IF(GH52="","",IF(ISNUMBER('Dvd Calendar'!$T$459)=FALSE,"",'Dvd Calendar'!$T$459))</f>
        <v/>
      </c>
      <c r="BG52" s="106">
        <f>IF(GI52="","",IF(ISNUMBER('Dvd Calendar'!$U$459)=FALSE,"",'Dvd Calendar'!$U$459))</f>
        <v/>
      </c>
      <c r="BH52" s="106">
        <f>IF(GJ52="","",IF(ISNUMBER('Dvd Calendar'!$V$459)=FALSE,"",'Dvd Calendar'!$V$459))</f>
        <v/>
      </c>
      <c r="BI52" s="106">
        <f>IF(GK52="","",IF(ISNUMBER('Dvd Calendar'!$W$459)=FALSE,"",'Dvd Calendar'!$W$459))</f>
        <v/>
      </c>
      <c r="BJ52" s="106">
        <f>IF(GL52="","",IF(ISNUMBER('Dvd Calendar'!$X$459)=FALSE,"",'Dvd Calendar'!$X$459))</f>
        <v/>
      </c>
      <c r="BK52" s="106">
        <f>IF(GM52="","",IF(ISNUMBER('Dvd Calendar'!$Y$459)=FALSE,"",'Dvd Calendar'!$Y$459))</f>
        <v/>
      </c>
      <c r="BL52" s="106">
        <f>IF(GN52="","",IF(ISNUMBER('Dvd Calendar'!$Z$459)=FALSE,"",'Dvd Calendar'!$Z$459))</f>
        <v/>
      </c>
      <c r="BM52" s="106">
        <f>IF(GO52="","",IF(ISNUMBER('Dvd Calendar'!$AA$459)=FALSE,"",'Dvd Calendar'!$AA$459))</f>
        <v/>
      </c>
      <c r="BN52" s="106">
        <f>IF(GP52="","",IF(ISNUMBER('Dvd Calendar'!$AB$459)=FALSE,"",'Dvd Calendar'!$AB$459))</f>
        <v/>
      </c>
      <c r="BO52" s="106">
        <f>IF(GQ52="","",IF(ISNUMBER('Dvd Calendar'!$AC$459)=FALSE,"",'Dvd Calendar'!$AC$459))</f>
        <v/>
      </c>
      <c r="BQ52" s="106">
        <f>IF(C52="","",IFERROR(C52*HSI!$B$47*HSI!$G$47/HSI!$B$3,""))</f>
        <v/>
      </c>
      <c r="BR52" s="106">
        <f>IF(D52="","",IFERROR(D52*HSI!$B$47*HSI!$G$47/HSI!$B$3,""))</f>
        <v/>
      </c>
      <c r="BS52" s="106">
        <f>IF(E52="","",IFERROR(E52*HSI!$B$47*HSI!$G$47/HSI!$B$3,""))</f>
        <v/>
      </c>
      <c r="BT52" s="106">
        <f>IF(F52="","",IFERROR(F52*HSI!$B$47*HSI!$G$47/HSI!$B$3,""))</f>
        <v/>
      </c>
      <c r="BU52" s="106">
        <f>IF(G52="","",IFERROR(G52*HSI!$B$47*HSI!$G$47/HSI!$B$3,""))</f>
        <v/>
      </c>
      <c r="BV52" s="106">
        <f>IF(H52="","",IFERROR(H52*HSI!$B$47*HSI!$G$47/HSI!$B$3,""))</f>
        <v/>
      </c>
      <c r="BW52" s="106">
        <f>IF(I52="","",IFERROR(I52*HSI!$B$47*HSI!$G$47/HSI!$B$3,""))</f>
        <v/>
      </c>
      <c r="BX52" s="106">
        <f>IF(J52="","",IFERROR(J52*HSI!$B$47*HSI!$G$47/HSI!$B$3,""))</f>
        <v/>
      </c>
      <c r="BY52" s="106">
        <f>IF(K52="","",IFERROR(K52*HSI!$B$47*HSI!$G$47/HSI!$B$3,""))</f>
        <v/>
      </c>
      <c r="BZ52" s="106">
        <f>IF(L52="","",IFERROR(L52*HSI!$B$47*HSI!$G$47/HSI!$B$3,""))</f>
        <v/>
      </c>
      <c r="CA52" s="106">
        <f>IF(M52="","",IFERROR(M52*HSI!$B$47*HSI!$G$47/HSI!$B$3,""))</f>
        <v/>
      </c>
      <c r="CB52" s="106">
        <f>IF(N52="","",IFERROR(N52*HSI!$B$47*HSI!$G$47/HSI!$B$3,""))</f>
        <v/>
      </c>
      <c r="CC52" s="106">
        <f>IF(O52="","",IFERROR(O52*HSI!$B$47*HSI!$G$47/HSI!$B$3,""))</f>
        <v/>
      </c>
      <c r="CD52" s="106">
        <f>IF(P52="","",IFERROR(P52*HSI!$B$47*HSI!$G$47/HSI!$B$3,""))</f>
        <v/>
      </c>
      <c r="CE52" s="106">
        <f>IF(Q52="","",IFERROR(Q52*HSI!$B$47*HSI!$G$47/HSI!$B$3,""))</f>
        <v/>
      </c>
      <c r="CF52" s="106">
        <f>IF(R52="","",IFERROR(R52*HSI!$B$47*HSI!$G$47/HSI!$B$3,""))</f>
        <v/>
      </c>
      <c r="CG52" s="106">
        <f>IF(S52="","",IFERROR(S52*HSI!$B$47*HSI!$G$47/HSI!$B$3,""))</f>
        <v/>
      </c>
      <c r="CH52" s="106">
        <f>IF(T52="","",IFERROR(T52*HSI!$B$47*HSI!$G$47/HSI!$B$3,""))</f>
        <v/>
      </c>
      <c r="CI52" s="106">
        <f>IF(U52="","",IFERROR(U52*HSI!$B$47*HSI!$G$47/HSI!$B$3,""))</f>
        <v/>
      </c>
      <c r="CJ52" s="106">
        <f>IF(V52="","",IFERROR(V52*HSI!$B$47*HSI!$G$47/HSI!$B$3,""))</f>
        <v/>
      </c>
      <c r="CK52" s="106">
        <f>IF(W52="","",IFERROR(W52*HSI!$B$47*HSI!$G$47/HSI!$B$3,""))</f>
        <v/>
      </c>
      <c r="CL52" s="106">
        <f>IF(X52="","",IFERROR(X52*HSI!$B$47*HSI!$G$47/HSI!$B$3,""))</f>
        <v/>
      </c>
      <c r="CM52" s="106">
        <f>IF(Y52="","",IFERROR(Y52*HSI!$B$47*HSI!$G$47/HSI!$B$3,""))</f>
        <v/>
      </c>
      <c r="CN52" s="106">
        <f>IF(Z52="","",IFERROR(Z52*HSI!$B$47*HSI!$G$47/HSI!$B$3,""))</f>
        <v/>
      </c>
      <c r="CO52" s="106">
        <f>IF(AA52="","",IFERROR(AA52*HSI!$B$47*HSI!$G$47/HSI!$B$3,""))</f>
        <v/>
      </c>
      <c r="CP52" s="106">
        <f>IF(AB52="","",IFERROR(AB52*HSI!$B$47*HSI!$G$47/HSI!$B$3,""))</f>
        <v/>
      </c>
      <c r="CQ52" s="106">
        <f>IF(AC52="","",IFERROR(AC52*HSI!$B$47*HSI!$G$47/HSI!$B$3,""))</f>
        <v/>
      </c>
      <c r="CR52" s="106">
        <f>IF(AD52="","",IFERROR(AD52*HSI!$B$47*HSI!$G$47/HSI!$B$3,""))</f>
        <v/>
      </c>
      <c r="CS52" s="106">
        <f>IF(AE52="","",IFERROR(AE52*HSI!$B$47*HSI!$G$47/HSI!$B$3,""))</f>
        <v/>
      </c>
      <c r="CT52" s="106">
        <f>IF(AF52="","",IFERROR(AF52*HSI!$B$47*HSI!$G$47/HSI!$B$3,""))</f>
        <v/>
      </c>
      <c r="CU52" s="106">
        <f>IF(AG52="","",IFERROR(AG52*HSI!$B$47*HSI!$G$47/HSI!$B$3,""))</f>
        <v/>
      </c>
      <c r="CV52" s="106">
        <f>IF(AH52="","",IFERROR(AH52*HSI!$B$47*HSI!$G$47/HSI!$B$3,""))</f>
        <v/>
      </c>
      <c r="CW52" s="106">
        <f>IF(AI52="","",IFERROR(AI52*HSI!$B$47*HSI!$G$47/HSI!$B$3,""))</f>
        <v/>
      </c>
      <c r="CX52" s="106">
        <f>IF(AJ52="","",IFERROR(AJ52*HSI!$B$47*HSI!$G$47/HSI!$B$3,""))</f>
        <v/>
      </c>
      <c r="CY52" s="106">
        <f>IF(AK52="","",IFERROR(AK52*HSI!$B$47*HSI!$G$47/HSI!$B$3,""))</f>
        <v/>
      </c>
      <c r="CZ52" s="106">
        <f>IF(AL52="","",IFERROR(AL52*HSI!$B$47*HSI!$G$47/HSI!$B$3,""))</f>
        <v/>
      </c>
      <c r="DA52" s="106">
        <f>IF(AM52="","",IFERROR(AM52*HSI!$B$47*HSI!$G$47/HSI!$B$3,""))</f>
        <v/>
      </c>
      <c r="DB52" s="106">
        <f>IF(AN52="","",IFERROR(AN52*HSI!$B$47*HSI!$G$47/HSI!$B$3,""))</f>
        <v/>
      </c>
      <c r="DC52" s="106">
        <f>IF(AO52="","",IFERROR(AO52*HSI!$B$47*HSI!$G$47/HSI!$B$3,""))</f>
        <v/>
      </c>
      <c r="DD52" s="106">
        <f>IF(AP52="","",IFERROR(AP52*HSI!$B$47*HSI!$G$47/HSI!$B$3,""))</f>
        <v/>
      </c>
      <c r="DE52" s="106">
        <f>IF(AQ52="","",IFERROR(AQ52*HSI!$B$47*HSI!$G$47/HSI!$B$3,""))</f>
        <v/>
      </c>
      <c r="DF52" s="106">
        <f>IF(AR52="","",IFERROR(AR52*HSI!$B$47*HSI!$G$47/HSI!$B$3,""))</f>
        <v/>
      </c>
      <c r="DG52" s="106">
        <f>IF(AS52="","",IFERROR(AS52*HSI!$B$47*HSI!$G$47/HSI!$B$3,""))</f>
        <v/>
      </c>
      <c r="DH52" s="106">
        <f>IF(AT52="","",IFERROR(AT52*HSI!$B$47*HSI!$G$47/HSI!$B$3,""))</f>
        <v/>
      </c>
      <c r="DI52" s="106">
        <f>IF(AU52="","",IFERROR(AU52*HSI!$B$47*HSI!$G$47/HSI!$B$3,""))</f>
        <v/>
      </c>
      <c r="DJ52" s="106">
        <f>IF(AV52="","",IFERROR(AV52*HSI!$B$47*HSI!$G$47/HSI!$B$3,""))</f>
        <v/>
      </c>
      <c r="DK52" s="106">
        <f>IF(AW52="","",IFERROR(AW52*HSI!$B$47*HSI!$G$47/HSI!$B$3,""))</f>
        <v/>
      </c>
      <c r="DL52" s="106">
        <f>IF(AX52="","",IFERROR(AX52*HSI!$B$47*HSI!$G$47/HSI!$B$3,""))</f>
        <v/>
      </c>
      <c r="DM52" s="106">
        <f>IF(AY52="","",IFERROR(AY52*HSI!$B$47*HSI!$G$47/HSI!$B$3,""))</f>
        <v/>
      </c>
      <c r="DN52" s="106">
        <f>IF(AZ52="","",IFERROR(AZ52*HSI!$B$47*HSI!$G$47/HSI!$B$3,""))</f>
        <v/>
      </c>
      <c r="DO52" s="106">
        <f>IF(BA52="","",IFERROR(BA52*HSI!$B$47*HSI!$G$47/HSI!$B$3,""))</f>
        <v/>
      </c>
      <c r="DP52" s="106">
        <f>IF(BB52="","",IFERROR(BB52*HSI!$B$47*HSI!$G$47/HSI!$B$3,""))</f>
        <v/>
      </c>
      <c r="DQ52" s="106">
        <f>IF(BC52="","",IFERROR(BC52*HSI!$B$47*HSI!$G$47/HSI!$B$3,""))</f>
        <v/>
      </c>
      <c r="DR52" s="106">
        <f>IF(BD52="","",IFERROR(BD52*HSI!$B$47*HSI!$G$47/HSI!$B$3,""))</f>
        <v/>
      </c>
      <c r="DS52" s="106">
        <f>IF(BE52="","",IFERROR(BE52*HSI!$B$47*HSI!$G$47/HSI!$B$3,""))</f>
        <v/>
      </c>
      <c r="DT52" s="106">
        <f>IF(BF52="","",IFERROR(BF52*HSI!$B$47*HSI!$G$47/HSI!$B$3,""))</f>
        <v/>
      </c>
      <c r="DU52" s="106">
        <f>IF(BG52="","",IFERROR(BG52*HSI!$B$47*HSI!$G$47/HSI!$B$3,""))</f>
        <v/>
      </c>
      <c r="DV52" s="106">
        <f>IF(BH52="","",IFERROR(BH52*HSI!$B$47*HSI!$G$47/HSI!$B$3,""))</f>
        <v/>
      </c>
      <c r="DW52" s="106">
        <f>IF(BI52="","",IFERROR(BI52*HSI!$B$47*HSI!$G$47/HSI!$B$3,""))</f>
        <v/>
      </c>
      <c r="DX52" s="106">
        <f>IF(BJ52="","",IFERROR(BJ52*HSI!$B$47*HSI!$G$47/HSI!$B$3,""))</f>
        <v/>
      </c>
      <c r="DY52" s="106">
        <f>IF(BK52="","",IFERROR(BK52*HSI!$B$47*HSI!$G$47/HSI!$B$3,""))</f>
        <v/>
      </c>
      <c r="DZ52" s="106">
        <f>IF(BL52="","",IFERROR(BL52*HSI!$B$47*HSI!$G$47/HSI!$B$3,""))</f>
        <v/>
      </c>
      <c r="EA52" s="106">
        <f>IF(BM52="","",IFERROR(BM52*HSI!$B$47*HSI!$G$47/HSI!$B$3,""))</f>
        <v/>
      </c>
      <c r="EB52" s="106">
        <f>IF(BN52="","",IFERROR(BN52*HSI!$B$47*HSI!$G$47/HSI!$B$3,""))</f>
        <v/>
      </c>
      <c r="EC52" s="106">
        <f>IF(BO52="","",IFERROR(BO52*HSI!$B$47*HSI!$G$47/HSI!$B$3,""))</f>
        <v/>
      </c>
      <c r="EE52" s="35">
        <f>IF(N('Dvd Calendar'!$E$451)=0,"",IF(('Dvd Calendar'!$E$451&gt;=GRID_FROM)*('Dvd Calendar'!$E$451&lt;=GRID_TO)*('Dvd Calendar'!$E$451&lt;=VAL_DATE)=0,"",'Dvd Calendar'!$E$451*1000000000+ISNUMBER('Dvd Calendar'!$E$454)*100000000+('Dvd Calendar'!$E$456=SPECIAL_LBL)*10000000+0*1000000+41*1000+1))</f>
        <v/>
      </c>
      <c r="EF52" s="35">
        <f>IF(N('Dvd Calendar'!$F$451)=0,"",IF(('Dvd Calendar'!$F$451&gt;=GRID_FROM)*('Dvd Calendar'!$F$451&lt;=GRID_TO)*('Dvd Calendar'!$F$451&lt;=VAL_DATE)=0,"",'Dvd Calendar'!$F$451*1000000000+ISNUMBER('Dvd Calendar'!$F$454)*100000000+('Dvd Calendar'!$F$456=SPECIAL_LBL)*10000000+0*1000000+41*1000+2))</f>
        <v/>
      </c>
      <c r="EG52" s="35">
        <f>IF(N('Dvd Calendar'!$G$451)=0,"",IF(('Dvd Calendar'!$G$451&gt;=GRID_FROM)*('Dvd Calendar'!$G$451&lt;=GRID_TO)*('Dvd Calendar'!$G$451&lt;=VAL_DATE)=0,"",'Dvd Calendar'!$G$451*1000000000+ISNUMBER('Dvd Calendar'!$G$454)*100000000+('Dvd Calendar'!$G$456=SPECIAL_LBL)*10000000+0*1000000+41*1000+3))</f>
        <v/>
      </c>
      <c r="EH52" s="35">
        <f>IF(N('Dvd Calendar'!$H$451)=0,"",IF(('Dvd Calendar'!$H$451&gt;=GRID_FROM)*('Dvd Calendar'!$H$451&lt;=GRID_TO)*('Dvd Calendar'!$H$451&lt;=VAL_DATE)=0,"",'Dvd Calendar'!$H$451*1000000000+ISNUMBER('Dvd Calendar'!$H$454)*100000000+('Dvd Calendar'!$H$456=SPECIAL_LBL)*10000000+0*1000000+41*1000+4))</f>
        <v/>
      </c>
      <c r="EI52" s="35">
        <f>IF(N('Dvd Calendar'!$I$451)=0,"",IF(('Dvd Calendar'!$I$451&gt;=GRID_FROM)*('Dvd Calendar'!$I$451&lt;=GRID_TO)*('Dvd Calendar'!$I$451&lt;=VAL_DATE)=0,"",'Dvd Calendar'!$I$451*1000000000+ISNUMBER('Dvd Calendar'!$I$454)*100000000+('Dvd Calendar'!$I$456=SPECIAL_LBL)*10000000+0*1000000+41*1000+5))</f>
        <v/>
      </c>
      <c r="EJ52" s="35">
        <f>IF(N('Dvd Calendar'!$J$451)=0,"",IF(('Dvd Calendar'!$J$451&gt;=GRID_FROM)*('Dvd Calendar'!$J$451&lt;=GRID_TO)*('Dvd Calendar'!$J$451&lt;=VAL_DATE)=0,"",'Dvd Calendar'!$J$451*1000000000+ISNUMBER('Dvd Calendar'!$J$454)*100000000+('Dvd Calendar'!$J$456=SPECIAL_LBL)*10000000+0*1000000+41*1000+6))</f>
        <v/>
      </c>
      <c r="EK52" s="35">
        <f>IF(N('Dvd Calendar'!$K$451)=0,"",IF(('Dvd Calendar'!$K$451&gt;=GRID_FROM)*('Dvd Calendar'!$K$451&lt;=GRID_TO)*('Dvd Calendar'!$K$451&lt;=VAL_DATE)=0,"",'Dvd Calendar'!$K$451*1000000000+ISNUMBER('Dvd Calendar'!$K$454)*100000000+('Dvd Calendar'!$K$456=SPECIAL_LBL)*10000000+0*1000000+41*1000+7))</f>
        <v/>
      </c>
      <c r="EL52" s="35">
        <f>IF(N('Dvd Calendar'!$L$451)=0,"",IF(('Dvd Calendar'!$L$451&gt;=GRID_FROM)*('Dvd Calendar'!$L$451&lt;=GRID_TO)*('Dvd Calendar'!$L$451&lt;=VAL_DATE)=0,"",'Dvd Calendar'!$L$451*1000000000+ISNUMBER('Dvd Calendar'!$L$454)*100000000+('Dvd Calendar'!$L$456=SPECIAL_LBL)*10000000+0*1000000+41*1000+8))</f>
        <v/>
      </c>
      <c r="EM52" s="35">
        <f>IF(N('Dvd Calendar'!$M$451)=0,"",IF(('Dvd Calendar'!$M$451&gt;=GRID_FROM)*('Dvd Calendar'!$M$451&lt;=GRID_TO)*('Dvd Calendar'!$M$451&lt;=VAL_DATE)=0,"",'Dvd Calendar'!$M$451*1000000000+ISNUMBER('Dvd Calendar'!$M$454)*100000000+('Dvd Calendar'!$M$456=SPECIAL_LBL)*10000000+0*1000000+41*1000+9))</f>
        <v/>
      </c>
      <c r="EN52" s="35">
        <f>IF(N('Dvd Calendar'!$N$451)=0,"",IF(('Dvd Calendar'!$N$451&gt;=GRID_FROM)*('Dvd Calendar'!$N$451&lt;=GRID_TO)*('Dvd Calendar'!$N$451&lt;=VAL_DATE)=0,"",'Dvd Calendar'!$N$451*1000000000+ISNUMBER('Dvd Calendar'!$N$454)*100000000+('Dvd Calendar'!$N$456=SPECIAL_LBL)*10000000+0*1000000+41*1000+10))</f>
        <v/>
      </c>
      <c r="EO52" s="35">
        <f>IF(N('Dvd Calendar'!$O$451)=0,"",IF(('Dvd Calendar'!$O$451&gt;=GRID_FROM)*('Dvd Calendar'!$O$451&lt;=GRID_TO)*('Dvd Calendar'!$O$451&lt;=VAL_DATE)=0,"",'Dvd Calendar'!$O$451*1000000000+ISNUMBER('Dvd Calendar'!$O$454)*100000000+('Dvd Calendar'!$O$456=SPECIAL_LBL)*10000000+0*1000000+41*1000+11))</f>
        <v/>
      </c>
      <c r="EP52" s="35">
        <f>IF(N('Dvd Calendar'!$P$451)=0,"",IF(('Dvd Calendar'!$P$451&gt;=GRID_FROM)*('Dvd Calendar'!$P$451&lt;=GRID_TO)*('Dvd Calendar'!$P$451&lt;=VAL_DATE)=0,"",'Dvd Calendar'!$P$451*1000000000+ISNUMBER('Dvd Calendar'!$P$454)*100000000+('Dvd Calendar'!$P$456=SPECIAL_LBL)*10000000+0*1000000+41*1000+12))</f>
        <v/>
      </c>
      <c r="EQ52" s="35">
        <f>IF(N('Dvd Calendar'!$Q$451)=0,"",IF(('Dvd Calendar'!$Q$451&gt;=GRID_FROM)*('Dvd Calendar'!$Q$451&lt;=GRID_TO)*('Dvd Calendar'!$Q$451&lt;=VAL_DATE)=0,"",'Dvd Calendar'!$Q$451*1000000000+ISNUMBER('Dvd Calendar'!$Q$454)*100000000+('Dvd Calendar'!$Q$456=SPECIAL_LBL)*10000000+0*1000000+41*1000+13))</f>
        <v/>
      </c>
      <c r="ER52" s="35">
        <f>IF(N('Dvd Calendar'!$R$451)=0,"",IF(('Dvd Calendar'!$R$451&gt;=GRID_FROM)*('Dvd Calendar'!$R$451&lt;=GRID_TO)*('Dvd Calendar'!$R$451&lt;=VAL_DATE)=0,"",'Dvd Calendar'!$R$451*1000000000+ISNUMBER('Dvd Calendar'!$R$454)*100000000+('Dvd Calendar'!$R$456=SPECIAL_LBL)*10000000+0*1000000+41*1000+14))</f>
        <v/>
      </c>
      <c r="ES52" s="35">
        <f>IF(N('Dvd Calendar'!$S$451)=0,"",IF(('Dvd Calendar'!$S$451&gt;=GRID_FROM)*('Dvd Calendar'!$S$451&lt;=GRID_TO)*('Dvd Calendar'!$S$451&lt;=VAL_DATE)=0,"",'Dvd Calendar'!$S$451*1000000000+ISNUMBER('Dvd Calendar'!$S$454)*100000000+('Dvd Calendar'!$S$456=SPECIAL_LBL)*10000000+0*1000000+41*1000+15))</f>
        <v/>
      </c>
      <c r="ET52" s="35">
        <f>IF(N('Dvd Calendar'!$T$451)=0,"",IF(('Dvd Calendar'!$T$451&gt;=GRID_FROM)*('Dvd Calendar'!$T$451&lt;=GRID_TO)*('Dvd Calendar'!$T$451&lt;=VAL_DATE)=0,"",'Dvd Calendar'!$T$451*1000000000+ISNUMBER('Dvd Calendar'!$T$454)*100000000+('Dvd Calendar'!$T$456=SPECIAL_LBL)*10000000+0*1000000+41*1000+16))</f>
        <v/>
      </c>
      <c r="EU52" s="35">
        <f>IF(N('Dvd Calendar'!$U$451)=0,"",IF(('Dvd Calendar'!$U$451&gt;=GRID_FROM)*('Dvd Calendar'!$U$451&lt;=GRID_TO)*('Dvd Calendar'!$U$451&lt;=VAL_DATE)=0,"",'Dvd Calendar'!$U$451*1000000000+ISNUMBER('Dvd Calendar'!$U$454)*100000000+('Dvd Calendar'!$U$456=SPECIAL_LBL)*10000000+0*1000000+41*1000+17))</f>
        <v/>
      </c>
      <c r="EV52" s="35">
        <f>IF(N('Dvd Calendar'!$V$451)=0,"",IF(('Dvd Calendar'!$V$451&gt;=GRID_FROM)*('Dvd Calendar'!$V$451&lt;=GRID_TO)*('Dvd Calendar'!$V$451&lt;=VAL_DATE)=0,"",'Dvd Calendar'!$V$451*1000000000+ISNUMBER('Dvd Calendar'!$V$454)*100000000+('Dvd Calendar'!$V$456=SPECIAL_LBL)*10000000+0*1000000+41*1000+18))</f>
        <v/>
      </c>
      <c r="EW52" s="35">
        <f>IF(N('Dvd Calendar'!$W$451)=0,"",IF(('Dvd Calendar'!$W$451&gt;=GRID_FROM)*('Dvd Calendar'!$W$451&lt;=GRID_TO)*('Dvd Calendar'!$W$451&lt;=VAL_DATE)=0,"",'Dvd Calendar'!$W$451*1000000000+ISNUMBER('Dvd Calendar'!$W$454)*100000000+('Dvd Calendar'!$W$456=SPECIAL_LBL)*10000000+0*1000000+41*1000+19))</f>
        <v/>
      </c>
      <c r="EX52" s="35">
        <f>IF(N('Dvd Calendar'!$X$451)=0,"",IF(('Dvd Calendar'!$X$451&gt;=GRID_FROM)*('Dvd Calendar'!$X$451&lt;=GRID_TO)*('Dvd Calendar'!$X$451&lt;=VAL_DATE)=0,"",'Dvd Calendar'!$X$451*1000000000+ISNUMBER('Dvd Calendar'!$X$454)*100000000+('Dvd Calendar'!$X$456=SPECIAL_LBL)*10000000+0*1000000+41*1000+20))</f>
        <v/>
      </c>
      <c r="EY52" s="35">
        <f>IF(N('Dvd Calendar'!$Y$451)=0,"",IF(('Dvd Calendar'!$Y$451&gt;=GRID_FROM)*('Dvd Calendar'!$Y$451&lt;=GRID_TO)*('Dvd Calendar'!$Y$451&lt;=VAL_DATE)=0,"",'Dvd Calendar'!$Y$451*1000000000+ISNUMBER('Dvd Calendar'!$Y$454)*100000000+('Dvd Calendar'!$Y$456=SPECIAL_LBL)*10000000+0*1000000+41*1000+21))</f>
        <v/>
      </c>
      <c r="EZ52" s="35">
        <f>IF(N('Dvd Calendar'!$Z$451)=0,"",IF(('Dvd Calendar'!$Z$451&gt;=GRID_FROM)*('Dvd Calendar'!$Z$451&lt;=GRID_TO)*('Dvd Calendar'!$Z$451&lt;=VAL_DATE)=0,"",'Dvd Calendar'!$Z$451*1000000000+ISNUMBER('Dvd Calendar'!$Z$454)*100000000+('Dvd Calendar'!$Z$456=SPECIAL_LBL)*10000000+0*1000000+41*1000+22))</f>
        <v/>
      </c>
      <c r="FA52" s="35">
        <f>IF(N('Dvd Calendar'!$AA$451)=0,"",IF(('Dvd Calendar'!$AA$451&gt;=GRID_FROM)*('Dvd Calendar'!$AA$451&lt;=GRID_TO)*('Dvd Calendar'!$AA$451&lt;=VAL_DATE)=0,"",'Dvd Calendar'!$AA$451*1000000000+ISNUMBER('Dvd Calendar'!$AA$454)*100000000+('Dvd Calendar'!$AA$456=SPECIAL_LBL)*10000000+0*1000000+41*1000+23))</f>
        <v/>
      </c>
      <c r="FB52" s="35">
        <f>IF(N('Dvd Calendar'!$AB$451)=0,"",IF(('Dvd Calendar'!$AB$451&gt;=GRID_FROM)*('Dvd Calendar'!$AB$451&lt;=GRID_TO)*('Dvd Calendar'!$AB$451&lt;=VAL_DATE)=0,"",'Dvd Calendar'!$AB$451*1000000000+ISNUMBER('Dvd Calendar'!$AB$454)*100000000+('Dvd Calendar'!$AB$456=SPECIAL_LBL)*10000000+0*1000000+41*1000+24))</f>
        <v/>
      </c>
      <c r="FC52" s="35">
        <f>IF(N('Dvd Calendar'!$AC$451)=0,"",IF(('Dvd Calendar'!$AC$451&gt;=GRID_FROM)*('Dvd Calendar'!$AC$451&lt;=GRID_TO)*('Dvd Calendar'!$AC$451&lt;=VAL_DATE)=0,"",'Dvd Calendar'!$AC$451*1000000000+ISNUMBER('Dvd Calendar'!$AC$454)*100000000+('Dvd Calendar'!$AC$456=SPECIAL_LBL)*10000000+0*1000000+41*1000+25))</f>
        <v/>
      </c>
      <c r="FD52" s="35">
        <f>IF(N('Dvd Calendar'!$AD$451)=0,"",IF(('Dvd Calendar'!$AD$451&gt;=GRID_FROM)*('Dvd Calendar'!$AD$451&lt;=GRID_TO)*('Dvd Calendar'!$AD$451&lt;=VAL_DATE)=0,"",'Dvd Calendar'!$AD$451*1000000000+ISNUMBER('Dvd Calendar'!$AD$454)*100000000+('Dvd Calendar'!$AD$456=SPECIAL_LBL)*10000000+0*1000000+41*1000+26))</f>
        <v/>
      </c>
      <c r="FE52" s="35">
        <f>IF(N('Dvd Calendar'!$AE$451)=0,"",IF(('Dvd Calendar'!$AE$451&gt;=GRID_FROM)*('Dvd Calendar'!$AE$451&lt;=GRID_TO)*('Dvd Calendar'!$AE$451&lt;=VAL_DATE)=0,"",'Dvd Calendar'!$AE$451*1000000000+ISNUMBER('Dvd Calendar'!$AE$454)*100000000+('Dvd Calendar'!$AE$456=SPECIAL_LBL)*10000000+0*1000000+41*1000+27))</f>
        <v/>
      </c>
      <c r="FF52" s="35">
        <f>IF(N('Dvd Calendar'!$AF$451)=0,"",IF(('Dvd Calendar'!$AF$451&gt;=GRID_FROM)*('Dvd Calendar'!$AF$451&lt;=GRID_TO)*('Dvd Calendar'!$AF$451&lt;=VAL_DATE)=0,"",'Dvd Calendar'!$AF$451*1000000000+ISNUMBER('Dvd Calendar'!$AF$454)*100000000+('Dvd Calendar'!$AF$456=SPECIAL_LBL)*10000000+0*1000000+41*1000+28))</f>
        <v/>
      </c>
      <c r="FG52" s="35">
        <f>IF(N('Dvd Calendar'!$AG$451)=0,"",IF(('Dvd Calendar'!$AG$451&gt;=GRID_FROM)*('Dvd Calendar'!$AG$451&lt;=GRID_TO)*('Dvd Calendar'!$AG$451&lt;=VAL_DATE)=0,"",'Dvd Calendar'!$AG$451*1000000000+ISNUMBER('Dvd Calendar'!$AG$454)*100000000+('Dvd Calendar'!$AG$456=SPECIAL_LBL)*10000000+0*1000000+41*1000+29))</f>
        <v/>
      </c>
      <c r="FH52" s="35">
        <f>IF(N('Dvd Calendar'!$AH$451)=0,"",IF(('Dvd Calendar'!$AH$451&gt;=GRID_FROM)*('Dvd Calendar'!$AH$451&lt;=GRID_TO)*('Dvd Calendar'!$AH$451&lt;=VAL_DATE)=0,"",'Dvd Calendar'!$AH$451*1000000000+ISNUMBER('Dvd Calendar'!$AH$454)*100000000+('Dvd Calendar'!$AH$456=SPECIAL_LBL)*10000000+0*1000000+41*1000+30))</f>
        <v/>
      </c>
      <c r="FI52" s="35">
        <f>IF(N('Dvd Calendar'!$AI$451)=0,"",IF(('Dvd Calendar'!$AI$451&gt;=GRID_FROM)*('Dvd Calendar'!$AI$451&lt;=GRID_TO)*('Dvd Calendar'!$AI$451&lt;=VAL_DATE)=0,"",'Dvd Calendar'!$AI$451*1000000000+ISNUMBER('Dvd Calendar'!$AI$454)*100000000+('Dvd Calendar'!$AI$456=SPECIAL_LBL)*10000000+0*1000000+41*1000+31))</f>
        <v/>
      </c>
      <c r="FJ52" s="35">
        <f>IF(N('Dvd Calendar'!$AJ$451)=0,"",IF(('Dvd Calendar'!$AJ$451&gt;=GRID_FROM)*('Dvd Calendar'!$AJ$451&lt;=GRID_TO)*('Dvd Calendar'!$AJ$451&lt;=VAL_DATE)=0,"",'Dvd Calendar'!$AJ$451*1000000000+ISNUMBER('Dvd Calendar'!$AJ$454)*100000000+('Dvd Calendar'!$AJ$456=SPECIAL_LBL)*10000000+0*1000000+41*1000+32))</f>
        <v/>
      </c>
      <c r="FK52" s="35">
        <f>IF(N('Dvd Calendar'!$AK$451)=0,"",IF(('Dvd Calendar'!$AK$451&gt;=GRID_FROM)*('Dvd Calendar'!$AK$451&lt;=GRID_TO)*('Dvd Calendar'!$AK$451&lt;=VAL_DATE)=0,"",'Dvd Calendar'!$AK$451*1000000000+ISNUMBER('Dvd Calendar'!$AK$454)*100000000+('Dvd Calendar'!$AK$456=SPECIAL_LBL)*10000000+0*1000000+41*1000+33))</f>
        <v/>
      </c>
      <c r="FL52" s="35">
        <f>IF(N('Dvd Calendar'!$AL$451)=0,"",IF(('Dvd Calendar'!$AL$451&gt;=GRID_FROM)*('Dvd Calendar'!$AL$451&lt;=GRID_TO)*('Dvd Calendar'!$AL$451&lt;=VAL_DATE)=0,"",'Dvd Calendar'!$AL$451*1000000000+ISNUMBER('Dvd Calendar'!$AL$454)*100000000+('Dvd Calendar'!$AL$456=SPECIAL_LBL)*10000000+0*1000000+41*1000+34))</f>
        <v/>
      </c>
      <c r="FM52" s="35">
        <f>IF(N('Dvd Calendar'!$AM$451)=0,"",IF(('Dvd Calendar'!$AM$451&gt;=GRID_FROM)*('Dvd Calendar'!$AM$451&lt;=GRID_TO)*('Dvd Calendar'!$AM$451&lt;=VAL_DATE)=0,"",'Dvd Calendar'!$AM$451*1000000000+ISNUMBER('Dvd Calendar'!$AM$454)*100000000+('Dvd Calendar'!$AM$456=SPECIAL_LBL)*10000000+0*1000000+41*1000+35))</f>
        <v/>
      </c>
      <c r="FN52" s="35">
        <f>IF(N('Dvd Calendar'!$AN$451)=0,"",IF(('Dvd Calendar'!$AN$451&gt;=GRID_FROM)*('Dvd Calendar'!$AN$451&lt;=GRID_TO)*('Dvd Calendar'!$AN$451&lt;=VAL_DATE)=0,"",'Dvd Calendar'!$AN$451*1000000000+ISNUMBER('Dvd Calendar'!$AN$454)*100000000+('Dvd Calendar'!$AN$456=SPECIAL_LBL)*10000000+0*1000000+41*1000+36))</f>
        <v/>
      </c>
      <c r="FO52" s="35">
        <f>IF(N('Dvd Calendar'!$AO$451)=0,"",IF(('Dvd Calendar'!$AO$451&gt;=GRID_FROM)*('Dvd Calendar'!$AO$451&lt;=GRID_TO)*('Dvd Calendar'!$AO$451&lt;=VAL_DATE)=0,"",'Dvd Calendar'!$AO$451*1000000000+ISNUMBER('Dvd Calendar'!$AO$454)*100000000+('Dvd Calendar'!$AO$456=SPECIAL_LBL)*10000000+0*1000000+41*1000+37))</f>
        <v/>
      </c>
      <c r="FP52" s="35">
        <f>IF(N('Dvd Calendar'!$AP$451)=0,"",IF(('Dvd Calendar'!$AP$451&gt;=GRID_FROM)*('Dvd Calendar'!$AP$451&lt;=GRID_TO)*('Dvd Calendar'!$AP$451&lt;=VAL_DATE)=0,"",'Dvd Calendar'!$AP$451*1000000000+ISNUMBER('Dvd Calendar'!$AP$454)*100000000+('Dvd Calendar'!$AP$456=SPECIAL_LBL)*10000000+0*1000000+41*1000+38))</f>
        <v/>
      </c>
      <c r="FQ52" s="35">
        <f>IF(N('Dvd Calendar'!$AQ$451)=0,"",IF(('Dvd Calendar'!$AQ$451&gt;=GRID_FROM)*('Dvd Calendar'!$AQ$451&lt;=GRID_TO)*('Dvd Calendar'!$AQ$451&lt;=VAL_DATE)=0,"",'Dvd Calendar'!$AQ$451*1000000000+ISNUMBER('Dvd Calendar'!$AQ$454)*100000000+('Dvd Calendar'!$AQ$456=SPECIAL_LBL)*10000000+0*1000000+41*1000+39))</f>
        <v/>
      </c>
      <c r="FR52" s="35">
        <f>IF(N('Dvd Calendar'!$AR$451)=0,"",IF(('Dvd Calendar'!$AR$451&gt;=GRID_FROM)*('Dvd Calendar'!$AR$451&lt;=GRID_TO)*('Dvd Calendar'!$AR$451&lt;=VAL_DATE)=0,"",'Dvd Calendar'!$AR$451*1000000000+ISNUMBER('Dvd Calendar'!$AR$454)*100000000+('Dvd Calendar'!$AR$456=SPECIAL_LBL)*10000000+0*1000000+41*1000+40))</f>
        <v/>
      </c>
      <c r="FS52" s="35">
        <f>IF(N('Dvd Calendar'!$E$458)=0,"",IF(('Dvd Calendar'!$E$458&gt;=GRID_FROM)*('Dvd Calendar'!$E$458&lt;=GRID_TO)*('Dvd Calendar'!$E$458&gt;VAL_DATE)=0,"",'Dvd Calendar'!$E$458*1000000000+ISNUMBER('Dvd Calendar'!$E$459)*100000000+0*10000000+(N('Dvd Calendar'!$E$457)&gt;0)*(N('Dvd Calendar'!$E$457)&lt;=VAL_SERIAL)*1000000+41*1000+41))</f>
        <v/>
      </c>
      <c r="FT52" s="35">
        <f>IF(N('Dvd Calendar'!$F$458)=0,"",IF(('Dvd Calendar'!$F$458&gt;=GRID_FROM)*('Dvd Calendar'!$F$458&lt;=GRID_TO)*('Dvd Calendar'!$F$458&gt;VAL_DATE)=0,"",'Dvd Calendar'!$F$458*1000000000+ISNUMBER('Dvd Calendar'!$F$459)*100000000+0*10000000+(N('Dvd Calendar'!$F$457)&gt;0)*(N('Dvd Calendar'!$F$457)&lt;=VAL_SERIAL)*1000000+41*1000+42))</f>
        <v/>
      </c>
      <c r="FU52" s="35">
        <f>IF(N('Dvd Calendar'!$G$458)=0,"",IF(('Dvd Calendar'!$G$458&gt;=GRID_FROM)*('Dvd Calendar'!$G$458&lt;=GRID_TO)*('Dvd Calendar'!$G$458&gt;VAL_DATE)=0,"",'Dvd Calendar'!$G$458*1000000000+ISNUMBER('Dvd Calendar'!$G$459)*100000000+0*10000000+(N('Dvd Calendar'!$G$457)&gt;0)*(N('Dvd Calendar'!$G$457)&lt;=VAL_SERIAL)*1000000+41*1000+43))</f>
        <v/>
      </c>
      <c r="FV52" s="35">
        <f>IF(N('Dvd Calendar'!$H$458)=0,"",IF(('Dvd Calendar'!$H$458&gt;=GRID_FROM)*('Dvd Calendar'!$H$458&lt;=GRID_TO)*('Dvd Calendar'!$H$458&gt;VAL_DATE)=0,"",'Dvd Calendar'!$H$458*1000000000+ISNUMBER('Dvd Calendar'!$H$459)*100000000+0*10000000+(N('Dvd Calendar'!$H$457)&gt;0)*(N('Dvd Calendar'!$H$457)&lt;=VAL_SERIAL)*1000000+41*1000+44))</f>
        <v/>
      </c>
      <c r="FW52" s="35">
        <f>IF(N('Dvd Calendar'!$I$458)=0,"",IF(('Dvd Calendar'!$I$458&gt;=GRID_FROM)*('Dvd Calendar'!$I$458&lt;=GRID_TO)*('Dvd Calendar'!$I$458&gt;VAL_DATE)=0,"",'Dvd Calendar'!$I$458*1000000000+ISNUMBER('Dvd Calendar'!$I$459)*100000000+0*10000000+(N('Dvd Calendar'!$I$457)&gt;0)*(N('Dvd Calendar'!$I$457)&lt;=VAL_SERIAL)*1000000+41*1000+45))</f>
        <v/>
      </c>
      <c r="FX52" s="35">
        <f>IF(N('Dvd Calendar'!$J$458)=0,"",IF(('Dvd Calendar'!$J$458&gt;=GRID_FROM)*('Dvd Calendar'!$J$458&lt;=GRID_TO)*('Dvd Calendar'!$J$458&gt;VAL_DATE)=0,"",'Dvd Calendar'!$J$458*1000000000+ISNUMBER('Dvd Calendar'!$J$459)*100000000+0*10000000+(N('Dvd Calendar'!$J$457)&gt;0)*(N('Dvd Calendar'!$J$457)&lt;=VAL_SERIAL)*1000000+41*1000+46))</f>
        <v/>
      </c>
      <c r="FY52" s="35">
        <f>IF(N('Dvd Calendar'!$K$458)=0,"",IF(('Dvd Calendar'!$K$458&gt;=GRID_FROM)*('Dvd Calendar'!$K$458&lt;=GRID_TO)*('Dvd Calendar'!$K$458&gt;VAL_DATE)=0,"",'Dvd Calendar'!$K$458*1000000000+ISNUMBER('Dvd Calendar'!$K$459)*100000000+0*10000000+(N('Dvd Calendar'!$K$457)&gt;0)*(N('Dvd Calendar'!$K$457)&lt;=VAL_SERIAL)*1000000+41*1000+47))</f>
        <v/>
      </c>
      <c r="FZ52" s="35">
        <f>IF(N('Dvd Calendar'!$L$458)=0,"",IF(('Dvd Calendar'!$L$458&gt;=GRID_FROM)*('Dvd Calendar'!$L$458&lt;=GRID_TO)*('Dvd Calendar'!$L$458&gt;VAL_DATE)=0,"",'Dvd Calendar'!$L$458*1000000000+ISNUMBER('Dvd Calendar'!$L$459)*100000000+0*10000000+(N('Dvd Calendar'!$L$457)&gt;0)*(N('Dvd Calendar'!$L$457)&lt;=VAL_SERIAL)*1000000+41*1000+48))</f>
        <v/>
      </c>
      <c r="GA52" s="35">
        <f>IF(N('Dvd Calendar'!$M$458)=0,"",IF(('Dvd Calendar'!$M$458&gt;=GRID_FROM)*('Dvd Calendar'!$M$458&lt;=GRID_TO)*('Dvd Calendar'!$M$458&gt;VAL_DATE)=0,"",'Dvd Calendar'!$M$458*1000000000+ISNUMBER('Dvd Calendar'!$M$459)*100000000+0*10000000+(N('Dvd Calendar'!$M$457)&gt;0)*(N('Dvd Calendar'!$M$457)&lt;=VAL_SERIAL)*1000000+41*1000+49))</f>
        <v/>
      </c>
      <c r="GB52" s="35">
        <f>IF(N('Dvd Calendar'!$N$458)=0,"",IF(('Dvd Calendar'!$N$458&gt;=GRID_FROM)*('Dvd Calendar'!$N$458&lt;=GRID_TO)*('Dvd Calendar'!$N$458&gt;VAL_DATE)=0,"",'Dvd Calendar'!$N$458*1000000000+ISNUMBER('Dvd Calendar'!$N$459)*100000000+0*10000000+(N('Dvd Calendar'!$N$457)&gt;0)*(N('Dvd Calendar'!$N$457)&lt;=VAL_SERIAL)*1000000+41*1000+50))</f>
        <v/>
      </c>
      <c r="GC52" s="35">
        <f>IF(N('Dvd Calendar'!$O$458)=0,"",IF(('Dvd Calendar'!$O$458&gt;=GRID_FROM)*('Dvd Calendar'!$O$458&lt;=GRID_TO)*('Dvd Calendar'!$O$458&gt;VAL_DATE)=0,"",'Dvd Calendar'!$O$458*1000000000+ISNUMBER('Dvd Calendar'!$O$459)*100000000+0*10000000+(N('Dvd Calendar'!$O$457)&gt;0)*(N('Dvd Calendar'!$O$457)&lt;=VAL_SERIAL)*1000000+41*1000+51))</f>
        <v/>
      </c>
      <c r="GD52" s="35">
        <f>IF(N('Dvd Calendar'!$P$458)=0,"",IF(('Dvd Calendar'!$P$458&gt;=GRID_FROM)*('Dvd Calendar'!$P$458&lt;=GRID_TO)*('Dvd Calendar'!$P$458&gt;VAL_DATE)=0,"",'Dvd Calendar'!$P$458*1000000000+ISNUMBER('Dvd Calendar'!$P$459)*100000000+0*10000000+(N('Dvd Calendar'!$P$457)&gt;0)*(N('Dvd Calendar'!$P$457)&lt;=VAL_SERIAL)*1000000+41*1000+52))</f>
        <v/>
      </c>
      <c r="GE52" s="35">
        <f>IF(N('Dvd Calendar'!$Q$458)=0,"",IF(('Dvd Calendar'!$Q$458&gt;=GRID_FROM)*('Dvd Calendar'!$Q$458&lt;=GRID_TO)*('Dvd Calendar'!$Q$458&gt;VAL_DATE)=0,"",'Dvd Calendar'!$Q$458*1000000000+ISNUMBER('Dvd Calendar'!$Q$459)*100000000+0*10000000+(N('Dvd Calendar'!$Q$457)&gt;0)*(N('Dvd Calendar'!$Q$457)&lt;=VAL_SERIAL)*1000000+41*1000+53))</f>
        <v/>
      </c>
      <c r="GF52" s="35">
        <f>IF(N('Dvd Calendar'!$R$458)=0,"",IF(('Dvd Calendar'!$R$458&gt;=GRID_FROM)*('Dvd Calendar'!$R$458&lt;=GRID_TO)*('Dvd Calendar'!$R$458&gt;VAL_DATE)=0,"",'Dvd Calendar'!$R$458*1000000000+ISNUMBER('Dvd Calendar'!$R$459)*100000000+0*10000000+(N('Dvd Calendar'!$R$457)&gt;0)*(N('Dvd Calendar'!$R$457)&lt;=VAL_SERIAL)*1000000+41*1000+54))</f>
        <v/>
      </c>
      <c r="GG52" s="35">
        <f>IF(N('Dvd Calendar'!$S$458)=0,"",IF(('Dvd Calendar'!$S$458&gt;=GRID_FROM)*('Dvd Calendar'!$S$458&lt;=GRID_TO)*('Dvd Calendar'!$S$458&gt;VAL_DATE)=0,"",'Dvd Calendar'!$S$458*1000000000+ISNUMBER('Dvd Calendar'!$S$459)*100000000+0*10000000+(N('Dvd Calendar'!$S$457)&gt;0)*(N('Dvd Calendar'!$S$457)&lt;=VAL_SERIAL)*1000000+41*1000+55))</f>
        <v/>
      </c>
      <c r="GH52" s="35">
        <f>IF(N('Dvd Calendar'!$T$458)=0,"",IF(('Dvd Calendar'!$T$458&gt;=GRID_FROM)*('Dvd Calendar'!$T$458&lt;=GRID_TO)*('Dvd Calendar'!$T$458&gt;VAL_DATE)=0,"",'Dvd Calendar'!$T$458*1000000000+ISNUMBER('Dvd Calendar'!$T$459)*100000000+0*10000000+(N('Dvd Calendar'!$T$457)&gt;0)*(N('Dvd Calendar'!$T$457)&lt;=VAL_SERIAL)*1000000+41*1000+56))</f>
        <v/>
      </c>
      <c r="GI52" s="35">
        <f>IF(N('Dvd Calendar'!$U$458)=0,"",IF(('Dvd Calendar'!$U$458&gt;=GRID_FROM)*('Dvd Calendar'!$U$458&lt;=GRID_TO)*('Dvd Calendar'!$U$458&gt;VAL_DATE)=0,"",'Dvd Calendar'!$U$458*1000000000+ISNUMBER('Dvd Calendar'!$U$459)*100000000+0*10000000+(N('Dvd Calendar'!$U$457)&gt;0)*(N('Dvd Calendar'!$U$457)&lt;=VAL_SERIAL)*1000000+41*1000+57))</f>
        <v/>
      </c>
      <c r="GJ52" s="35">
        <f>IF(N('Dvd Calendar'!$V$458)=0,"",IF(('Dvd Calendar'!$V$458&gt;=GRID_FROM)*('Dvd Calendar'!$V$458&lt;=GRID_TO)*('Dvd Calendar'!$V$458&gt;VAL_DATE)=0,"",'Dvd Calendar'!$V$458*1000000000+ISNUMBER('Dvd Calendar'!$V$459)*100000000+0*10000000+(N('Dvd Calendar'!$V$457)&gt;0)*(N('Dvd Calendar'!$V$457)&lt;=VAL_SERIAL)*1000000+41*1000+58))</f>
        <v/>
      </c>
      <c r="GK52" s="35">
        <f>IF(N('Dvd Calendar'!$W$458)=0,"",IF(('Dvd Calendar'!$W$458&gt;=GRID_FROM)*('Dvd Calendar'!$W$458&lt;=GRID_TO)*('Dvd Calendar'!$W$458&gt;VAL_DATE)=0,"",'Dvd Calendar'!$W$458*1000000000+ISNUMBER('Dvd Calendar'!$W$459)*100000000+0*10000000+(N('Dvd Calendar'!$W$457)&gt;0)*(N('Dvd Calendar'!$W$457)&lt;=VAL_SERIAL)*1000000+41*1000+59))</f>
        <v/>
      </c>
      <c r="GL52" s="35">
        <f>IF(N('Dvd Calendar'!$X$458)=0,"",IF(('Dvd Calendar'!$X$458&gt;=GRID_FROM)*('Dvd Calendar'!$X$458&lt;=GRID_TO)*('Dvd Calendar'!$X$458&gt;VAL_DATE)=0,"",'Dvd Calendar'!$X$458*1000000000+ISNUMBER('Dvd Calendar'!$X$459)*100000000+0*10000000+(N('Dvd Calendar'!$X$457)&gt;0)*(N('Dvd Calendar'!$X$457)&lt;=VAL_SERIAL)*1000000+41*1000+60))</f>
        <v/>
      </c>
      <c r="GM52" s="35">
        <f>IF(N('Dvd Calendar'!$Y$458)=0,"",IF(('Dvd Calendar'!$Y$458&gt;=GRID_FROM)*('Dvd Calendar'!$Y$458&lt;=GRID_TO)*('Dvd Calendar'!$Y$458&gt;VAL_DATE)=0,"",'Dvd Calendar'!$Y$458*1000000000+ISNUMBER('Dvd Calendar'!$Y$459)*100000000+0*10000000+(N('Dvd Calendar'!$Y$457)&gt;0)*(N('Dvd Calendar'!$Y$457)&lt;=VAL_SERIAL)*1000000+41*1000+61))</f>
        <v/>
      </c>
      <c r="GN52" s="35">
        <f>IF(N('Dvd Calendar'!$Z$458)=0,"",IF(('Dvd Calendar'!$Z$458&gt;=GRID_FROM)*('Dvd Calendar'!$Z$458&lt;=GRID_TO)*('Dvd Calendar'!$Z$458&gt;VAL_DATE)=0,"",'Dvd Calendar'!$Z$458*1000000000+ISNUMBER('Dvd Calendar'!$Z$459)*100000000+0*10000000+(N('Dvd Calendar'!$Z$457)&gt;0)*(N('Dvd Calendar'!$Z$457)&lt;=VAL_SERIAL)*1000000+41*1000+62))</f>
        <v/>
      </c>
      <c r="GO52" s="35">
        <f>IF(N('Dvd Calendar'!$AA$458)=0,"",IF(('Dvd Calendar'!$AA$458&gt;=GRID_FROM)*('Dvd Calendar'!$AA$458&lt;=GRID_TO)*('Dvd Calendar'!$AA$458&gt;VAL_DATE)=0,"",'Dvd Calendar'!$AA$458*1000000000+ISNUMBER('Dvd Calendar'!$AA$459)*100000000+0*10000000+(N('Dvd Calendar'!$AA$457)&gt;0)*(N('Dvd Calendar'!$AA$457)&lt;=VAL_SERIAL)*1000000+41*1000+63))</f>
        <v/>
      </c>
      <c r="GP52" s="35">
        <f>IF(N('Dvd Calendar'!$AB$458)=0,"",IF(('Dvd Calendar'!$AB$458&gt;=GRID_FROM)*('Dvd Calendar'!$AB$458&lt;=GRID_TO)*('Dvd Calendar'!$AB$458&gt;VAL_DATE)=0,"",'Dvd Calendar'!$AB$458*1000000000+ISNUMBER('Dvd Calendar'!$AB$459)*100000000+0*10000000+(N('Dvd Calendar'!$AB$457)&gt;0)*(N('Dvd Calendar'!$AB$457)&lt;=VAL_SERIAL)*1000000+41*1000+64))</f>
        <v/>
      </c>
      <c r="GQ52" s="35">
        <f>IF(N('Dvd Calendar'!$AC$458)=0,"",IF(('Dvd Calendar'!$AC$458&gt;=GRID_FROM)*('Dvd Calendar'!$AC$458&lt;=GRID_TO)*('Dvd Calendar'!$AC$458&gt;VAL_DATE)=0,"",'Dvd Calendar'!$AC$458*1000000000+ISNUMBER('Dvd Calendar'!$AC$459)*100000000+0*10000000+(N('Dvd Calendar'!$AC$457)&gt;0)*(N('Dvd Calendar'!$AC$457)&lt;=VAL_SERIAL)*1000000+41*1000+65))</f>
        <v/>
      </c>
    </row>
    <row r="53">
      <c r="B53" s="2">
        <f>IF(HSI!$C$48="","",HSI!$C$48)</f>
        <v/>
      </c>
      <c r="C53" s="106">
        <f>IF(EE53="","",IF(ISNUMBER('Dvd Calendar'!$E$465)=FALSE,"",IF((('Dvd Calendar'!$E$467=TYPE1)*(TYPE1&lt;&gt;"")+('Dvd Calendar'!$E$467=TYPE2)*(TYPE2&lt;&gt;"")+('Dvd Calendar'!$E$467=TYPE3)*(TYPE3&lt;&gt;"")+('Dvd Calendar'!$E$467=TYPE4)*(TYPE4&lt;&gt;"")+('Dvd Calendar'!$E$467=SPECIAL_LBL)*(INC_SPECIALS="Y"))=0,"",'Dvd Calendar'!$E$465)))</f>
        <v/>
      </c>
      <c r="D53" s="106">
        <f>IF(EF53="","",IF(ISNUMBER('Dvd Calendar'!$F$465)=FALSE,"",IF((('Dvd Calendar'!$F$467=TYPE1)*(TYPE1&lt;&gt;"")+('Dvd Calendar'!$F$467=TYPE2)*(TYPE2&lt;&gt;"")+('Dvd Calendar'!$F$467=TYPE3)*(TYPE3&lt;&gt;"")+('Dvd Calendar'!$F$467=TYPE4)*(TYPE4&lt;&gt;"")+('Dvd Calendar'!$F$467=SPECIAL_LBL)*(INC_SPECIALS="Y"))=0,"",'Dvd Calendar'!$F$465)))</f>
        <v/>
      </c>
      <c r="E53" s="106">
        <f>IF(EG53="","",IF(ISNUMBER('Dvd Calendar'!$G$465)=FALSE,"",IF((('Dvd Calendar'!$G$467=TYPE1)*(TYPE1&lt;&gt;"")+('Dvd Calendar'!$G$467=TYPE2)*(TYPE2&lt;&gt;"")+('Dvd Calendar'!$G$467=TYPE3)*(TYPE3&lt;&gt;"")+('Dvd Calendar'!$G$467=TYPE4)*(TYPE4&lt;&gt;"")+('Dvd Calendar'!$G$467=SPECIAL_LBL)*(INC_SPECIALS="Y"))=0,"",'Dvd Calendar'!$G$465)))</f>
        <v/>
      </c>
      <c r="F53" s="106">
        <f>IF(EH53="","",IF(ISNUMBER('Dvd Calendar'!$H$465)=FALSE,"",IF((('Dvd Calendar'!$H$467=TYPE1)*(TYPE1&lt;&gt;"")+('Dvd Calendar'!$H$467=TYPE2)*(TYPE2&lt;&gt;"")+('Dvd Calendar'!$H$467=TYPE3)*(TYPE3&lt;&gt;"")+('Dvd Calendar'!$H$467=TYPE4)*(TYPE4&lt;&gt;"")+('Dvd Calendar'!$H$467=SPECIAL_LBL)*(INC_SPECIALS="Y"))=0,"",'Dvd Calendar'!$H$465)))</f>
        <v/>
      </c>
      <c r="G53" s="106">
        <f>IF(EI53="","",IF(ISNUMBER('Dvd Calendar'!$I$465)=FALSE,"",IF((('Dvd Calendar'!$I$467=TYPE1)*(TYPE1&lt;&gt;"")+('Dvd Calendar'!$I$467=TYPE2)*(TYPE2&lt;&gt;"")+('Dvd Calendar'!$I$467=TYPE3)*(TYPE3&lt;&gt;"")+('Dvd Calendar'!$I$467=TYPE4)*(TYPE4&lt;&gt;"")+('Dvd Calendar'!$I$467=SPECIAL_LBL)*(INC_SPECIALS="Y"))=0,"",'Dvd Calendar'!$I$465)))</f>
        <v/>
      </c>
      <c r="H53" s="106">
        <f>IF(EJ53="","",IF(ISNUMBER('Dvd Calendar'!$J$465)=FALSE,"",IF((('Dvd Calendar'!$J$467=TYPE1)*(TYPE1&lt;&gt;"")+('Dvd Calendar'!$J$467=TYPE2)*(TYPE2&lt;&gt;"")+('Dvd Calendar'!$J$467=TYPE3)*(TYPE3&lt;&gt;"")+('Dvd Calendar'!$J$467=TYPE4)*(TYPE4&lt;&gt;"")+('Dvd Calendar'!$J$467=SPECIAL_LBL)*(INC_SPECIALS="Y"))=0,"",'Dvd Calendar'!$J$465)))</f>
        <v/>
      </c>
      <c r="I53" s="106">
        <f>IF(EK53="","",IF(ISNUMBER('Dvd Calendar'!$K$465)=FALSE,"",IF((('Dvd Calendar'!$K$467=TYPE1)*(TYPE1&lt;&gt;"")+('Dvd Calendar'!$K$467=TYPE2)*(TYPE2&lt;&gt;"")+('Dvd Calendar'!$K$467=TYPE3)*(TYPE3&lt;&gt;"")+('Dvd Calendar'!$K$467=TYPE4)*(TYPE4&lt;&gt;"")+('Dvd Calendar'!$K$467=SPECIAL_LBL)*(INC_SPECIALS="Y"))=0,"",'Dvd Calendar'!$K$465)))</f>
        <v/>
      </c>
      <c r="J53" s="106">
        <f>IF(EL53="","",IF(ISNUMBER('Dvd Calendar'!$L$465)=FALSE,"",IF((('Dvd Calendar'!$L$467=TYPE1)*(TYPE1&lt;&gt;"")+('Dvd Calendar'!$L$467=TYPE2)*(TYPE2&lt;&gt;"")+('Dvd Calendar'!$L$467=TYPE3)*(TYPE3&lt;&gt;"")+('Dvd Calendar'!$L$467=TYPE4)*(TYPE4&lt;&gt;"")+('Dvd Calendar'!$L$467=SPECIAL_LBL)*(INC_SPECIALS="Y"))=0,"",'Dvd Calendar'!$L$465)))</f>
        <v/>
      </c>
      <c r="K53" s="106">
        <f>IF(EM53="","",IF(ISNUMBER('Dvd Calendar'!$M$465)=FALSE,"",IF((('Dvd Calendar'!$M$467=TYPE1)*(TYPE1&lt;&gt;"")+('Dvd Calendar'!$M$467=TYPE2)*(TYPE2&lt;&gt;"")+('Dvd Calendar'!$M$467=TYPE3)*(TYPE3&lt;&gt;"")+('Dvd Calendar'!$M$467=TYPE4)*(TYPE4&lt;&gt;"")+('Dvd Calendar'!$M$467=SPECIAL_LBL)*(INC_SPECIALS="Y"))=0,"",'Dvd Calendar'!$M$465)))</f>
        <v/>
      </c>
      <c r="L53" s="106">
        <f>IF(EN53="","",IF(ISNUMBER('Dvd Calendar'!$N$465)=FALSE,"",IF((('Dvd Calendar'!$N$467=TYPE1)*(TYPE1&lt;&gt;"")+('Dvd Calendar'!$N$467=TYPE2)*(TYPE2&lt;&gt;"")+('Dvd Calendar'!$N$467=TYPE3)*(TYPE3&lt;&gt;"")+('Dvd Calendar'!$N$467=TYPE4)*(TYPE4&lt;&gt;"")+('Dvd Calendar'!$N$467=SPECIAL_LBL)*(INC_SPECIALS="Y"))=0,"",'Dvd Calendar'!$N$465)))</f>
        <v/>
      </c>
      <c r="M53" s="106">
        <f>IF(EO53="","",IF(ISNUMBER('Dvd Calendar'!$O$465)=FALSE,"",IF((('Dvd Calendar'!$O$467=TYPE1)*(TYPE1&lt;&gt;"")+('Dvd Calendar'!$O$467=TYPE2)*(TYPE2&lt;&gt;"")+('Dvd Calendar'!$O$467=TYPE3)*(TYPE3&lt;&gt;"")+('Dvd Calendar'!$O$467=TYPE4)*(TYPE4&lt;&gt;"")+('Dvd Calendar'!$O$467=SPECIAL_LBL)*(INC_SPECIALS="Y"))=0,"",'Dvd Calendar'!$O$465)))</f>
        <v/>
      </c>
      <c r="N53" s="106">
        <f>IF(EP53="","",IF(ISNUMBER('Dvd Calendar'!$P$465)=FALSE,"",IF((('Dvd Calendar'!$P$467=TYPE1)*(TYPE1&lt;&gt;"")+('Dvd Calendar'!$P$467=TYPE2)*(TYPE2&lt;&gt;"")+('Dvd Calendar'!$P$467=TYPE3)*(TYPE3&lt;&gt;"")+('Dvd Calendar'!$P$467=TYPE4)*(TYPE4&lt;&gt;"")+('Dvd Calendar'!$P$467=SPECIAL_LBL)*(INC_SPECIALS="Y"))=0,"",'Dvd Calendar'!$P$465)))</f>
        <v/>
      </c>
      <c r="O53" s="106">
        <f>IF(EQ53="","",IF(ISNUMBER('Dvd Calendar'!$Q$465)=FALSE,"",IF((('Dvd Calendar'!$Q$467=TYPE1)*(TYPE1&lt;&gt;"")+('Dvd Calendar'!$Q$467=TYPE2)*(TYPE2&lt;&gt;"")+('Dvd Calendar'!$Q$467=TYPE3)*(TYPE3&lt;&gt;"")+('Dvd Calendar'!$Q$467=TYPE4)*(TYPE4&lt;&gt;"")+('Dvd Calendar'!$Q$467=SPECIAL_LBL)*(INC_SPECIALS="Y"))=0,"",'Dvd Calendar'!$Q$465)))</f>
        <v/>
      </c>
      <c r="P53" s="106">
        <f>IF(ER53="","",IF(ISNUMBER('Dvd Calendar'!$R$465)=FALSE,"",IF((('Dvd Calendar'!$R$467=TYPE1)*(TYPE1&lt;&gt;"")+('Dvd Calendar'!$R$467=TYPE2)*(TYPE2&lt;&gt;"")+('Dvd Calendar'!$R$467=TYPE3)*(TYPE3&lt;&gt;"")+('Dvd Calendar'!$R$467=TYPE4)*(TYPE4&lt;&gt;"")+('Dvd Calendar'!$R$467=SPECIAL_LBL)*(INC_SPECIALS="Y"))=0,"",'Dvd Calendar'!$R$465)))</f>
        <v/>
      </c>
      <c r="Q53" s="106">
        <f>IF(ES53="","",IF(ISNUMBER('Dvd Calendar'!$S$465)=FALSE,"",IF((('Dvd Calendar'!$S$467=TYPE1)*(TYPE1&lt;&gt;"")+('Dvd Calendar'!$S$467=TYPE2)*(TYPE2&lt;&gt;"")+('Dvd Calendar'!$S$467=TYPE3)*(TYPE3&lt;&gt;"")+('Dvd Calendar'!$S$467=TYPE4)*(TYPE4&lt;&gt;"")+('Dvd Calendar'!$S$467=SPECIAL_LBL)*(INC_SPECIALS="Y"))=0,"",'Dvd Calendar'!$S$465)))</f>
        <v/>
      </c>
      <c r="R53" s="106">
        <f>IF(ET53="","",IF(ISNUMBER('Dvd Calendar'!$T$465)=FALSE,"",IF((('Dvd Calendar'!$T$467=TYPE1)*(TYPE1&lt;&gt;"")+('Dvd Calendar'!$T$467=TYPE2)*(TYPE2&lt;&gt;"")+('Dvd Calendar'!$T$467=TYPE3)*(TYPE3&lt;&gt;"")+('Dvd Calendar'!$T$467=TYPE4)*(TYPE4&lt;&gt;"")+('Dvd Calendar'!$T$467=SPECIAL_LBL)*(INC_SPECIALS="Y"))=0,"",'Dvd Calendar'!$T$465)))</f>
        <v/>
      </c>
      <c r="S53" s="106">
        <f>IF(EU53="","",IF(ISNUMBER('Dvd Calendar'!$U$465)=FALSE,"",IF((('Dvd Calendar'!$U$467=TYPE1)*(TYPE1&lt;&gt;"")+('Dvd Calendar'!$U$467=TYPE2)*(TYPE2&lt;&gt;"")+('Dvd Calendar'!$U$467=TYPE3)*(TYPE3&lt;&gt;"")+('Dvd Calendar'!$U$467=TYPE4)*(TYPE4&lt;&gt;"")+('Dvd Calendar'!$U$467=SPECIAL_LBL)*(INC_SPECIALS="Y"))=0,"",'Dvd Calendar'!$U$465)))</f>
        <v/>
      </c>
      <c r="T53" s="106">
        <f>IF(EV53="","",IF(ISNUMBER('Dvd Calendar'!$V$465)=FALSE,"",IF((('Dvd Calendar'!$V$467=TYPE1)*(TYPE1&lt;&gt;"")+('Dvd Calendar'!$V$467=TYPE2)*(TYPE2&lt;&gt;"")+('Dvd Calendar'!$V$467=TYPE3)*(TYPE3&lt;&gt;"")+('Dvd Calendar'!$V$467=TYPE4)*(TYPE4&lt;&gt;"")+('Dvd Calendar'!$V$467=SPECIAL_LBL)*(INC_SPECIALS="Y"))=0,"",'Dvd Calendar'!$V$465)))</f>
        <v/>
      </c>
      <c r="U53" s="106">
        <f>IF(EW53="","",IF(ISNUMBER('Dvd Calendar'!$W$465)=FALSE,"",IF((('Dvd Calendar'!$W$467=TYPE1)*(TYPE1&lt;&gt;"")+('Dvd Calendar'!$W$467=TYPE2)*(TYPE2&lt;&gt;"")+('Dvd Calendar'!$W$467=TYPE3)*(TYPE3&lt;&gt;"")+('Dvd Calendar'!$W$467=TYPE4)*(TYPE4&lt;&gt;"")+('Dvd Calendar'!$W$467=SPECIAL_LBL)*(INC_SPECIALS="Y"))=0,"",'Dvd Calendar'!$W$465)))</f>
        <v/>
      </c>
      <c r="V53" s="106">
        <f>IF(EX53="","",IF(ISNUMBER('Dvd Calendar'!$X$465)=FALSE,"",IF((('Dvd Calendar'!$X$467=TYPE1)*(TYPE1&lt;&gt;"")+('Dvd Calendar'!$X$467=TYPE2)*(TYPE2&lt;&gt;"")+('Dvd Calendar'!$X$467=TYPE3)*(TYPE3&lt;&gt;"")+('Dvd Calendar'!$X$467=TYPE4)*(TYPE4&lt;&gt;"")+('Dvd Calendar'!$X$467=SPECIAL_LBL)*(INC_SPECIALS="Y"))=0,"",'Dvd Calendar'!$X$465)))</f>
        <v/>
      </c>
      <c r="W53" s="106">
        <f>IF(EY53="","",IF(ISNUMBER('Dvd Calendar'!$Y$465)=FALSE,"",IF((('Dvd Calendar'!$Y$467=TYPE1)*(TYPE1&lt;&gt;"")+('Dvd Calendar'!$Y$467=TYPE2)*(TYPE2&lt;&gt;"")+('Dvd Calendar'!$Y$467=TYPE3)*(TYPE3&lt;&gt;"")+('Dvd Calendar'!$Y$467=TYPE4)*(TYPE4&lt;&gt;"")+('Dvd Calendar'!$Y$467=SPECIAL_LBL)*(INC_SPECIALS="Y"))=0,"",'Dvd Calendar'!$Y$465)))</f>
        <v/>
      </c>
      <c r="X53" s="106">
        <f>IF(EZ53="","",IF(ISNUMBER('Dvd Calendar'!$Z$465)=FALSE,"",IF((('Dvd Calendar'!$Z$467=TYPE1)*(TYPE1&lt;&gt;"")+('Dvd Calendar'!$Z$467=TYPE2)*(TYPE2&lt;&gt;"")+('Dvd Calendar'!$Z$467=TYPE3)*(TYPE3&lt;&gt;"")+('Dvd Calendar'!$Z$467=TYPE4)*(TYPE4&lt;&gt;"")+('Dvd Calendar'!$Z$467=SPECIAL_LBL)*(INC_SPECIALS="Y"))=0,"",'Dvd Calendar'!$Z$465)))</f>
        <v/>
      </c>
      <c r="Y53" s="106">
        <f>IF(FA53="","",IF(ISNUMBER('Dvd Calendar'!$AA$465)=FALSE,"",IF((('Dvd Calendar'!$AA$467=TYPE1)*(TYPE1&lt;&gt;"")+('Dvd Calendar'!$AA$467=TYPE2)*(TYPE2&lt;&gt;"")+('Dvd Calendar'!$AA$467=TYPE3)*(TYPE3&lt;&gt;"")+('Dvd Calendar'!$AA$467=TYPE4)*(TYPE4&lt;&gt;"")+('Dvd Calendar'!$AA$467=SPECIAL_LBL)*(INC_SPECIALS="Y"))=0,"",'Dvd Calendar'!$AA$465)))</f>
        <v/>
      </c>
      <c r="Z53" s="106">
        <f>IF(FB53="","",IF(ISNUMBER('Dvd Calendar'!$AB$465)=FALSE,"",IF((('Dvd Calendar'!$AB$467=TYPE1)*(TYPE1&lt;&gt;"")+('Dvd Calendar'!$AB$467=TYPE2)*(TYPE2&lt;&gt;"")+('Dvd Calendar'!$AB$467=TYPE3)*(TYPE3&lt;&gt;"")+('Dvd Calendar'!$AB$467=TYPE4)*(TYPE4&lt;&gt;"")+('Dvd Calendar'!$AB$467=SPECIAL_LBL)*(INC_SPECIALS="Y"))=0,"",'Dvd Calendar'!$AB$465)))</f>
        <v/>
      </c>
      <c r="AA53" s="106">
        <f>IF(FC53="","",IF(ISNUMBER('Dvd Calendar'!$AC$465)=FALSE,"",IF((('Dvd Calendar'!$AC$467=TYPE1)*(TYPE1&lt;&gt;"")+('Dvd Calendar'!$AC$467=TYPE2)*(TYPE2&lt;&gt;"")+('Dvd Calendar'!$AC$467=TYPE3)*(TYPE3&lt;&gt;"")+('Dvd Calendar'!$AC$467=TYPE4)*(TYPE4&lt;&gt;"")+('Dvd Calendar'!$AC$467=SPECIAL_LBL)*(INC_SPECIALS="Y"))=0,"",'Dvd Calendar'!$AC$465)))</f>
        <v/>
      </c>
      <c r="AB53" s="106">
        <f>IF(FD53="","",IF(ISNUMBER('Dvd Calendar'!$AD$465)=FALSE,"",IF((('Dvd Calendar'!$AD$467=TYPE1)*(TYPE1&lt;&gt;"")+('Dvd Calendar'!$AD$467=TYPE2)*(TYPE2&lt;&gt;"")+('Dvd Calendar'!$AD$467=TYPE3)*(TYPE3&lt;&gt;"")+('Dvd Calendar'!$AD$467=TYPE4)*(TYPE4&lt;&gt;"")+('Dvd Calendar'!$AD$467=SPECIAL_LBL)*(INC_SPECIALS="Y"))=0,"",'Dvd Calendar'!$AD$465)))</f>
        <v/>
      </c>
      <c r="AC53" s="106">
        <f>IF(FE53="","",IF(ISNUMBER('Dvd Calendar'!$AE$465)=FALSE,"",IF((('Dvd Calendar'!$AE$467=TYPE1)*(TYPE1&lt;&gt;"")+('Dvd Calendar'!$AE$467=TYPE2)*(TYPE2&lt;&gt;"")+('Dvd Calendar'!$AE$467=TYPE3)*(TYPE3&lt;&gt;"")+('Dvd Calendar'!$AE$467=TYPE4)*(TYPE4&lt;&gt;"")+('Dvd Calendar'!$AE$467=SPECIAL_LBL)*(INC_SPECIALS="Y"))=0,"",'Dvd Calendar'!$AE$465)))</f>
        <v/>
      </c>
      <c r="AD53" s="106">
        <f>IF(FF53="","",IF(ISNUMBER('Dvd Calendar'!$AF$465)=FALSE,"",IF((('Dvd Calendar'!$AF$467=TYPE1)*(TYPE1&lt;&gt;"")+('Dvd Calendar'!$AF$467=TYPE2)*(TYPE2&lt;&gt;"")+('Dvd Calendar'!$AF$467=TYPE3)*(TYPE3&lt;&gt;"")+('Dvd Calendar'!$AF$467=TYPE4)*(TYPE4&lt;&gt;"")+('Dvd Calendar'!$AF$467=SPECIAL_LBL)*(INC_SPECIALS="Y"))=0,"",'Dvd Calendar'!$AF$465)))</f>
        <v/>
      </c>
      <c r="AE53" s="106">
        <f>IF(FG53="","",IF(ISNUMBER('Dvd Calendar'!$AG$465)=FALSE,"",IF((('Dvd Calendar'!$AG$467=TYPE1)*(TYPE1&lt;&gt;"")+('Dvd Calendar'!$AG$467=TYPE2)*(TYPE2&lt;&gt;"")+('Dvd Calendar'!$AG$467=TYPE3)*(TYPE3&lt;&gt;"")+('Dvd Calendar'!$AG$467=TYPE4)*(TYPE4&lt;&gt;"")+('Dvd Calendar'!$AG$467=SPECIAL_LBL)*(INC_SPECIALS="Y"))=0,"",'Dvd Calendar'!$AG$465)))</f>
        <v/>
      </c>
      <c r="AF53" s="106">
        <f>IF(FH53="","",IF(ISNUMBER('Dvd Calendar'!$AH$465)=FALSE,"",IF((('Dvd Calendar'!$AH$467=TYPE1)*(TYPE1&lt;&gt;"")+('Dvd Calendar'!$AH$467=TYPE2)*(TYPE2&lt;&gt;"")+('Dvd Calendar'!$AH$467=TYPE3)*(TYPE3&lt;&gt;"")+('Dvd Calendar'!$AH$467=TYPE4)*(TYPE4&lt;&gt;"")+('Dvd Calendar'!$AH$467=SPECIAL_LBL)*(INC_SPECIALS="Y"))=0,"",'Dvd Calendar'!$AH$465)))</f>
        <v/>
      </c>
      <c r="AG53" s="106">
        <f>IF(FI53="","",IF(ISNUMBER('Dvd Calendar'!$AI$465)=FALSE,"",IF((('Dvd Calendar'!$AI$467=TYPE1)*(TYPE1&lt;&gt;"")+('Dvd Calendar'!$AI$467=TYPE2)*(TYPE2&lt;&gt;"")+('Dvd Calendar'!$AI$467=TYPE3)*(TYPE3&lt;&gt;"")+('Dvd Calendar'!$AI$467=TYPE4)*(TYPE4&lt;&gt;"")+('Dvd Calendar'!$AI$467=SPECIAL_LBL)*(INC_SPECIALS="Y"))=0,"",'Dvd Calendar'!$AI$465)))</f>
        <v/>
      </c>
      <c r="AH53" s="106">
        <f>IF(FJ53="","",IF(ISNUMBER('Dvd Calendar'!$AJ$465)=FALSE,"",IF((('Dvd Calendar'!$AJ$467=TYPE1)*(TYPE1&lt;&gt;"")+('Dvd Calendar'!$AJ$467=TYPE2)*(TYPE2&lt;&gt;"")+('Dvd Calendar'!$AJ$467=TYPE3)*(TYPE3&lt;&gt;"")+('Dvd Calendar'!$AJ$467=TYPE4)*(TYPE4&lt;&gt;"")+('Dvd Calendar'!$AJ$467=SPECIAL_LBL)*(INC_SPECIALS="Y"))=0,"",'Dvd Calendar'!$AJ$465)))</f>
        <v/>
      </c>
      <c r="AI53" s="106">
        <f>IF(FK53="","",IF(ISNUMBER('Dvd Calendar'!$AK$465)=FALSE,"",IF((('Dvd Calendar'!$AK$467=TYPE1)*(TYPE1&lt;&gt;"")+('Dvd Calendar'!$AK$467=TYPE2)*(TYPE2&lt;&gt;"")+('Dvd Calendar'!$AK$467=TYPE3)*(TYPE3&lt;&gt;"")+('Dvd Calendar'!$AK$467=TYPE4)*(TYPE4&lt;&gt;"")+('Dvd Calendar'!$AK$467=SPECIAL_LBL)*(INC_SPECIALS="Y"))=0,"",'Dvd Calendar'!$AK$465)))</f>
        <v/>
      </c>
      <c r="AJ53" s="106">
        <f>IF(FL53="","",IF(ISNUMBER('Dvd Calendar'!$AL$465)=FALSE,"",IF((('Dvd Calendar'!$AL$467=TYPE1)*(TYPE1&lt;&gt;"")+('Dvd Calendar'!$AL$467=TYPE2)*(TYPE2&lt;&gt;"")+('Dvd Calendar'!$AL$467=TYPE3)*(TYPE3&lt;&gt;"")+('Dvd Calendar'!$AL$467=TYPE4)*(TYPE4&lt;&gt;"")+('Dvd Calendar'!$AL$467=SPECIAL_LBL)*(INC_SPECIALS="Y"))=0,"",'Dvd Calendar'!$AL$465)))</f>
        <v/>
      </c>
      <c r="AK53" s="106">
        <f>IF(FM53="","",IF(ISNUMBER('Dvd Calendar'!$AM$465)=FALSE,"",IF((('Dvd Calendar'!$AM$467=TYPE1)*(TYPE1&lt;&gt;"")+('Dvd Calendar'!$AM$467=TYPE2)*(TYPE2&lt;&gt;"")+('Dvd Calendar'!$AM$467=TYPE3)*(TYPE3&lt;&gt;"")+('Dvd Calendar'!$AM$467=TYPE4)*(TYPE4&lt;&gt;"")+('Dvd Calendar'!$AM$467=SPECIAL_LBL)*(INC_SPECIALS="Y"))=0,"",'Dvd Calendar'!$AM$465)))</f>
        <v/>
      </c>
      <c r="AL53" s="106">
        <f>IF(FN53="","",IF(ISNUMBER('Dvd Calendar'!$AN$465)=FALSE,"",IF((('Dvd Calendar'!$AN$467=TYPE1)*(TYPE1&lt;&gt;"")+('Dvd Calendar'!$AN$467=TYPE2)*(TYPE2&lt;&gt;"")+('Dvd Calendar'!$AN$467=TYPE3)*(TYPE3&lt;&gt;"")+('Dvd Calendar'!$AN$467=TYPE4)*(TYPE4&lt;&gt;"")+('Dvd Calendar'!$AN$467=SPECIAL_LBL)*(INC_SPECIALS="Y"))=0,"",'Dvd Calendar'!$AN$465)))</f>
        <v/>
      </c>
      <c r="AM53" s="106">
        <f>IF(FO53="","",IF(ISNUMBER('Dvd Calendar'!$AO$465)=FALSE,"",IF((('Dvd Calendar'!$AO$467=TYPE1)*(TYPE1&lt;&gt;"")+('Dvd Calendar'!$AO$467=TYPE2)*(TYPE2&lt;&gt;"")+('Dvd Calendar'!$AO$467=TYPE3)*(TYPE3&lt;&gt;"")+('Dvd Calendar'!$AO$467=TYPE4)*(TYPE4&lt;&gt;"")+('Dvd Calendar'!$AO$467=SPECIAL_LBL)*(INC_SPECIALS="Y"))=0,"",'Dvd Calendar'!$AO$465)))</f>
        <v/>
      </c>
      <c r="AN53" s="106">
        <f>IF(FP53="","",IF(ISNUMBER('Dvd Calendar'!$AP$465)=FALSE,"",IF((('Dvd Calendar'!$AP$467=TYPE1)*(TYPE1&lt;&gt;"")+('Dvd Calendar'!$AP$467=TYPE2)*(TYPE2&lt;&gt;"")+('Dvd Calendar'!$AP$467=TYPE3)*(TYPE3&lt;&gt;"")+('Dvd Calendar'!$AP$467=TYPE4)*(TYPE4&lt;&gt;"")+('Dvd Calendar'!$AP$467=SPECIAL_LBL)*(INC_SPECIALS="Y"))=0,"",'Dvd Calendar'!$AP$465)))</f>
        <v/>
      </c>
      <c r="AO53" s="106">
        <f>IF(FQ53="","",IF(ISNUMBER('Dvd Calendar'!$AQ$465)=FALSE,"",IF((('Dvd Calendar'!$AQ$467=TYPE1)*(TYPE1&lt;&gt;"")+('Dvd Calendar'!$AQ$467=TYPE2)*(TYPE2&lt;&gt;"")+('Dvd Calendar'!$AQ$467=TYPE3)*(TYPE3&lt;&gt;"")+('Dvd Calendar'!$AQ$467=TYPE4)*(TYPE4&lt;&gt;"")+('Dvd Calendar'!$AQ$467=SPECIAL_LBL)*(INC_SPECIALS="Y"))=0,"",'Dvd Calendar'!$AQ$465)))</f>
        <v/>
      </c>
      <c r="AP53" s="106">
        <f>IF(FR53="","",IF(ISNUMBER('Dvd Calendar'!$AR$465)=FALSE,"",IF((('Dvd Calendar'!$AR$467=TYPE1)*(TYPE1&lt;&gt;"")+('Dvd Calendar'!$AR$467=TYPE2)*(TYPE2&lt;&gt;"")+('Dvd Calendar'!$AR$467=TYPE3)*(TYPE3&lt;&gt;"")+('Dvd Calendar'!$AR$467=TYPE4)*(TYPE4&lt;&gt;"")+('Dvd Calendar'!$AR$467=SPECIAL_LBL)*(INC_SPECIALS="Y"))=0,"",'Dvd Calendar'!$AR$465)))</f>
        <v/>
      </c>
      <c r="AQ53" s="106">
        <f>IF(FS53="","",IF(ISNUMBER('Dvd Calendar'!$E$470)=FALSE,"",'Dvd Calendar'!$E$470))</f>
        <v/>
      </c>
      <c r="AR53" s="106">
        <f>IF(FT53="","",IF(ISNUMBER('Dvd Calendar'!$F$470)=FALSE,"",'Dvd Calendar'!$F$470))</f>
        <v/>
      </c>
      <c r="AS53" s="106">
        <f>IF(FU53="","",IF(ISNUMBER('Dvd Calendar'!$G$470)=FALSE,"",'Dvd Calendar'!$G$470))</f>
        <v/>
      </c>
      <c r="AT53" s="106">
        <f>IF(FV53="","",IF(ISNUMBER('Dvd Calendar'!$H$470)=FALSE,"",'Dvd Calendar'!$H$470))</f>
        <v/>
      </c>
      <c r="AU53" s="106">
        <f>IF(FW53="","",IF(ISNUMBER('Dvd Calendar'!$I$470)=FALSE,"",'Dvd Calendar'!$I$470))</f>
        <v/>
      </c>
      <c r="AV53" s="106">
        <f>IF(FX53="","",IF(ISNUMBER('Dvd Calendar'!$J$470)=FALSE,"",'Dvd Calendar'!$J$470))</f>
        <v/>
      </c>
      <c r="AW53" s="106">
        <f>IF(FY53="","",IF(ISNUMBER('Dvd Calendar'!$K$470)=FALSE,"",'Dvd Calendar'!$K$470))</f>
        <v/>
      </c>
      <c r="AX53" s="106">
        <f>IF(FZ53="","",IF(ISNUMBER('Dvd Calendar'!$L$470)=FALSE,"",'Dvd Calendar'!$L$470))</f>
        <v/>
      </c>
      <c r="AY53" s="106">
        <f>IF(GA53="","",IF(ISNUMBER('Dvd Calendar'!$M$470)=FALSE,"",'Dvd Calendar'!$M$470))</f>
        <v/>
      </c>
      <c r="AZ53" s="106">
        <f>IF(GB53="","",IF(ISNUMBER('Dvd Calendar'!$N$470)=FALSE,"",'Dvd Calendar'!$N$470))</f>
        <v/>
      </c>
      <c r="BA53" s="106">
        <f>IF(GC53="","",IF(ISNUMBER('Dvd Calendar'!$O$470)=FALSE,"",'Dvd Calendar'!$O$470))</f>
        <v/>
      </c>
      <c r="BB53" s="106">
        <f>IF(GD53="","",IF(ISNUMBER('Dvd Calendar'!$P$470)=FALSE,"",'Dvd Calendar'!$P$470))</f>
        <v/>
      </c>
      <c r="BC53" s="106">
        <f>IF(GE53="","",IF(ISNUMBER('Dvd Calendar'!$Q$470)=FALSE,"",'Dvd Calendar'!$Q$470))</f>
        <v/>
      </c>
      <c r="BD53" s="106">
        <f>IF(GF53="","",IF(ISNUMBER('Dvd Calendar'!$R$470)=FALSE,"",'Dvd Calendar'!$R$470))</f>
        <v/>
      </c>
      <c r="BE53" s="106">
        <f>IF(GG53="","",IF(ISNUMBER('Dvd Calendar'!$S$470)=FALSE,"",'Dvd Calendar'!$S$470))</f>
        <v/>
      </c>
      <c r="BF53" s="106">
        <f>IF(GH53="","",IF(ISNUMBER('Dvd Calendar'!$T$470)=FALSE,"",'Dvd Calendar'!$T$470))</f>
        <v/>
      </c>
      <c r="BG53" s="106">
        <f>IF(GI53="","",IF(ISNUMBER('Dvd Calendar'!$U$470)=FALSE,"",'Dvd Calendar'!$U$470))</f>
        <v/>
      </c>
      <c r="BH53" s="106">
        <f>IF(GJ53="","",IF(ISNUMBER('Dvd Calendar'!$V$470)=FALSE,"",'Dvd Calendar'!$V$470))</f>
        <v/>
      </c>
      <c r="BI53" s="106">
        <f>IF(GK53="","",IF(ISNUMBER('Dvd Calendar'!$W$470)=FALSE,"",'Dvd Calendar'!$W$470))</f>
        <v/>
      </c>
      <c r="BJ53" s="106">
        <f>IF(GL53="","",IF(ISNUMBER('Dvd Calendar'!$X$470)=FALSE,"",'Dvd Calendar'!$X$470))</f>
        <v/>
      </c>
      <c r="BK53" s="106">
        <f>IF(GM53="","",IF(ISNUMBER('Dvd Calendar'!$Y$470)=FALSE,"",'Dvd Calendar'!$Y$470))</f>
        <v/>
      </c>
      <c r="BL53" s="106">
        <f>IF(GN53="","",IF(ISNUMBER('Dvd Calendar'!$Z$470)=FALSE,"",'Dvd Calendar'!$Z$470))</f>
        <v/>
      </c>
      <c r="BM53" s="106">
        <f>IF(GO53="","",IF(ISNUMBER('Dvd Calendar'!$AA$470)=FALSE,"",'Dvd Calendar'!$AA$470))</f>
        <v/>
      </c>
      <c r="BN53" s="106">
        <f>IF(GP53="","",IF(ISNUMBER('Dvd Calendar'!$AB$470)=FALSE,"",'Dvd Calendar'!$AB$470))</f>
        <v/>
      </c>
      <c r="BO53" s="106">
        <f>IF(GQ53="","",IF(ISNUMBER('Dvd Calendar'!$AC$470)=FALSE,"",'Dvd Calendar'!$AC$470))</f>
        <v/>
      </c>
      <c r="BQ53" s="106">
        <f>IF(C53="","",IFERROR(C53*HSI!$B$48*HSI!$G$48/HSI!$B$3,""))</f>
        <v/>
      </c>
      <c r="BR53" s="106">
        <f>IF(D53="","",IFERROR(D53*HSI!$B$48*HSI!$G$48/HSI!$B$3,""))</f>
        <v/>
      </c>
      <c r="BS53" s="106">
        <f>IF(E53="","",IFERROR(E53*HSI!$B$48*HSI!$G$48/HSI!$B$3,""))</f>
        <v/>
      </c>
      <c r="BT53" s="106">
        <f>IF(F53="","",IFERROR(F53*HSI!$B$48*HSI!$G$48/HSI!$B$3,""))</f>
        <v/>
      </c>
      <c r="BU53" s="106">
        <f>IF(G53="","",IFERROR(G53*HSI!$B$48*HSI!$G$48/HSI!$B$3,""))</f>
        <v/>
      </c>
      <c r="BV53" s="106">
        <f>IF(H53="","",IFERROR(H53*HSI!$B$48*HSI!$G$48/HSI!$B$3,""))</f>
        <v/>
      </c>
      <c r="BW53" s="106">
        <f>IF(I53="","",IFERROR(I53*HSI!$B$48*HSI!$G$48/HSI!$B$3,""))</f>
        <v/>
      </c>
      <c r="BX53" s="106">
        <f>IF(J53="","",IFERROR(J53*HSI!$B$48*HSI!$G$48/HSI!$B$3,""))</f>
        <v/>
      </c>
      <c r="BY53" s="106">
        <f>IF(K53="","",IFERROR(K53*HSI!$B$48*HSI!$G$48/HSI!$B$3,""))</f>
        <v/>
      </c>
      <c r="BZ53" s="106">
        <f>IF(L53="","",IFERROR(L53*HSI!$B$48*HSI!$G$48/HSI!$B$3,""))</f>
        <v/>
      </c>
      <c r="CA53" s="106">
        <f>IF(M53="","",IFERROR(M53*HSI!$B$48*HSI!$G$48/HSI!$B$3,""))</f>
        <v/>
      </c>
      <c r="CB53" s="106">
        <f>IF(N53="","",IFERROR(N53*HSI!$B$48*HSI!$G$48/HSI!$B$3,""))</f>
        <v/>
      </c>
      <c r="CC53" s="106">
        <f>IF(O53="","",IFERROR(O53*HSI!$B$48*HSI!$G$48/HSI!$B$3,""))</f>
        <v/>
      </c>
      <c r="CD53" s="106">
        <f>IF(P53="","",IFERROR(P53*HSI!$B$48*HSI!$G$48/HSI!$B$3,""))</f>
        <v/>
      </c>
      <c r="CE53" s="106">
        <f>IF(Q53="","",IFERROR(Q53*HSI!$B$48*HSI!$G$48/HSI!$B$3,""))</f>
        <v/>
      </c>
      <c r="CF53" s="106">
        <f>IF(R53="","",IFERROR(R53*HSI!$B$48*HSI!$G$48/HSI!$B$3,""))</f>
        <v/>
      </c>
      <c r="CG53" s="106">
        <f>IF(S53="","",IFERROR(S53*HSI!$B$48*HSI!$G$48/HSI!$B$3,""))</f>
        <v/>
      </c>
      <c r="CH53" s="106">
        <f>IF(T53="","",IFERROR(T53*HSI!$B$48*HSI!$G$48/HSI!$B$3,""))</f>
        <v/>
      </c>
      <c r="CI53" s="106">
        <f>IF(U53="","",IFERROR(U53*HSI!$B$48*HSI!$G$48/HSI!$B$3,""))</f>
        <v/>
      </c>
      <c r="CJ53" s="106">
        <f>IF(V53="","",IFERROR(V53*HSI!$B$48*HSI!$G$48/HSI!$B$3,""))</f>
        <v/>
      </c>
      <c r="CK53" s="106">
        <f>IF(W53="","",IFERROR(W53*HSI!$B$48*HSI!$G$48/HSI!$B$3,""))</f>
        <v/>
      </c>
      <c r="CL53" s="106">
        <f>IF(X53="","",IFERROR(X53*HSI!$B$48*HSI!$G$48/HSI!$B$3,""))</f>
        <v/>
      </c>
      <c r="CM53" s="106">
        <f>IF(Y53="","",IFERROR(Y53*HSI!$B$48*HSI!$G$48/HSI!$B$3,""))</f>
        <v/>
      </c>
      <c r="CN53" s="106">
        <f>IF(Z53="","",IFERROR(Z53*HSI!$B$48*HSI!$G$48/HSI!$B$3,""))</f>
        <v/>
      </c>
      <c r="CO53" s="106">
        <f>IF(AA53="","",IFERROR(AA53*HSI!$B$48*HSI!$G$48/HSI!$B$3,""))</f>
        <v/>
      </c>
      <c r="CP53" s="106">
        <f>IF(AB53="","",IFERROR(AB53*HSI!$B$48*HSI!$G$48/HSI!$B$3,""))</f>
        <v/>
      </c>
      <c r="CQ53" s="106">
        <f>IF(AC53="","",IFERROR(AC53*HSI!$B$48*HSI!$G$48/HSI!$B$3,""))</f>
        <v/>
      </c>
      <c r="CR53" s="106">
        <f>IF(AD53="","",IFERROR(AD53*HSI!$B$48*HSI!$G$48/HSI!$B$3,""))</f>
        <v/>
      </c>
      <c r="CS53" s="106">
        <f>IF(AE53="","",IFERROR(AE53*HSI!$B$48*HSI!$G$48/HSI!$B$3,""))</f>
        <v/>
      </c>
      <c r="CT53" s="106">
        <f>IF(AF53="","",IFERROR(AF53*HSI!$B$48*HSI!$G$48/HSI!$B$3,""))</f>
        <v/>
      </c>
      <c r="CU53" s="106">
        <f>IF(AG53="","",IFERROR(AG53*HSI!$B$48*HSI!$G$48/HSI!$B$3,""))</f>
        <v/>
      </c>
      <c r="CV53" s="106">
        <f>IF(AH53="","",IFERROR(AH53*HSI!$B$48*HSI!$G$48/HSI!$B$3,""))</f>
        <v/>
      </c>
      <c r="CW53" s="106">
        <f>IF(AI53="","",IFERROR(AI53*HSI!$B$48*HSI!$G$48/HSI!$B$3,""))</f>
        <v/>
      </c>
      <c r="CX53" s="106">
        <f>IF(AJ53="","",IFERROR(AJ53*HSI!$B$48*HSI!$G$48/HSI!$B$3,""))</f>
        <v/>
      </c>
      <c r="CY53" s="106">
        <f>IF(AK53="","",IFERROR(AK53*HSI!$B$48*HSI!$G$48/HSI!$B$3,""))</f>
        <v/>
      </c>
      <c r="CZ53" s="106">
        <f>IF(AL53="","",IFERROR(AL53*HSI!$B$48*HSI!$G$48/HSI!$B$3,""))</f>
        <v/>
      </c>
      <c r="DA53" s="106">
        <f>IF(AM53="","",IFERROR(AM53*HSI!$B$48*HSI!$G$48/HSI!$B$3,""))</f>
        <v/>
      </c>
      <c r="DB53" s="106">
        <f>IF(AN53="","",IFERROR(AN53*HSI!$B$48*HSI!$G$48/HSI!$B$3,""))</f>
        <v/>
      </c>
      <c r="DC53" s="106">
        <f>IF(AO53="","",IFERROR(AO53*HSI!$B$48*HSI!$G$48/HSI!$B$3,""))</f>
        <v/>
      </c>
      <c r="DD53" s="106">
        <f>IF(AP53="","",IFERROR(AP53*HSI!$B$48*HSI!$G$48/HSI!$B$3,""))</f>
        <v/>
      </c>
      <c r="DE53" s="106">
        <f>IF(AQ53="","",IFERROR(AQ53*HSI!$B$48*HSI!$G$48/HSI!$B$3,""))</f>
        <v/>
      </c>
      <c r="DF53" s="106">
        <f>IF(AR53="","",IFERROR(AR53*HSI!$B$48*HSI!$G$48/HSI!$B$3,""))</f>
        <v/>
      </c>
      <c r="DG53" s="106">
        <f>IF(AS53="","",IFERROR(AS53*HSI!$B$48*HSI!$G$48/HSI!$B$3,""))</f>
        <v/>
      </c>
      <c r="DH53" s="106">
        <f>IF(AT53="","",IFERROR(AT53*HSI!$B$48*HSI!$G$48/HSI!$B$3,""))</f>
        <v/>
      </c>
      <c r="DI53" s="106">
        <f>IF(AU53="","",IFERROR(AU53*HSI!$B$48*HSI!$G$48/HSI!$B$3,""))</f>
        <v/>
      </c>
      <c r="DJ53" s="106">
        <f>IF(AV53="","",IFERROR(AV53*HSI!$B$48*HSI!$G$48/HSI!$B$3,""))</f>
        <v/>
      </c>
      <c r="DK53" s="106">
        <f>IF(AW53="","",IFERROR(AW53*HSI!$B$48*HSI!$G$48/HSI!$B$3,""))</f>
        <v/>
      </c>
      <c r="DL53" s="106">
        <f>IF(AX53="","",IFERROR(AX53*HSI!$B$48*HSI!$G$48/HSI!$B$3,""))</f>
        <v/>
      </c>
      <c r="DM53" s="106">
        <f>IF(AY53="","",IFERROR(AY53*HSI!$B$48*HSI!$G$48/HSI!$B$3,""))</f>
        <v/>
      </c>
      <c r="DN53" s="106">
        <f>IF(AZ53="","",IFERROR(AZ53*HSI!$B$48*HSI!$G$48/HSI!$B$3,""))</f>
        <v/>
      </c>
      <c r="DO53" s="106">
        <f>IF(BA53="","",IFERROR(BA53*HSI!$B$48*HSI!$G$48/HSI!$B$3,""))</f>
        <v/>
      </c>
      <c r="DP53" s="106">
        <f>IF(BB53="","",IFERROR(BB53*HSI!$B$48*HSI!$G$48/HSI!$B$3,""))</f>
        <v/>
      </c>
      <c r="DQ53" s="106">
        <f>IF(BC53="","",IFERROR(BC53*HSI!$B$48*HSI!$G$48/HSI!$B$3,""))</f>
        <v/>
      </c>
      <c r="DR53" s="106">
        <f>IF(BD53="","",IFERROR(BD53*HSI!$B$48*HSI!$G$48/HSI!$B$3,""))</f>
        <v/>
      </c>
      <c r="DS53" s="106">
        <f>IF(BE53="","",IFERROR(BE53*HSI!$B$48*HSI!$G$48/HSI!$B$3,""))</f>
        <v/>
      </c>
      <c r="DT53" s="106">
        <f>IF(BF53="","",IFERROR(BF53*HSI!$B$48*HSI!$G$48/HSI!$B$3,""))</f>
        <v/>
      </c>
      <c r="DU53" s="106">
        <f>IF(BG53="","",IFERROR(BG53*HSI!$B$48*HSI!$G$48/HSI!$B$3,""))</f>
        <v/>
      </c>
      <c r="DV53" s="106">
        <f>IF(BH53="","",IFERROR(BH53*HSI!$B$48*HSI!$G$48/HSI!$B$3,""))</f>
        <v/>
      </c>
      <c r="DW53" s="106">
        <f>IF(BI53="","",IFERROR(BI53*HSI!$B$48*HSI!$G$48/HSI!$B$3,""))</f>
        <v/>
      </c>
      <c r="DX53" s="106">
        <f>IF(BJ53="","",IFERROR(BJ53*HSI!$B$48*HSI!$G$48/HSI!$B$3,""))</f>
        <v/>
      </c>
      <c r="DY53" s="106">
        <f>IF(BK53="","",IFERROR(BK53*HSI!$B$48*HSI!$G$48/HSI!$B$3,""))</f>
        <v/>
      </c>
      <c r="DZ53" s="106">
        <f>IF(BL53="","",IFERROR(BL53*HSI!$B$48*HSI!$G$48/HSI!$B$3,""))</f>
        <v/>
      </c>
      <c r="EA53" s="106">
        <f>IF(BM53="","",IFERROR(BM53*HSI!$B$48*HSI!$G$48/HSI!$B$3,""))</f>
        <v/>
      </c>
      <c r="EB53" s="106">
        <f>IF(BN53="","",IFERROR(BN53*HSI!$B$48*HSI!$G$48/HSI!$B$3,""))</f>
        <v/>
      </c>
      <c r="EC53" s="106">
        <f>IF(BO53="","",IFERROR(BO53*HSI!$B$48*HSI!$G$48/HSI!$B$3,""))</f>
        <v/>
      </c>
      <c r="EE53" s="35">
        <f>IF(N('Dvd Calendar'!$E$462)=0,"",IF(('Dvd Calendar'!$E$462&gt;=GRID_FROM)*('Dvd Calendar'!$E$462&lt;=GRID_TO)*('Dvd Calendar'!$E$462&lt;=VAL_DATE)=0,"",'Dvd Calendar'!$E$462*1000000000+ISNUMBER('Dvd Calendar'!$E$465)*100000000+('Dvd Calendar'!$E$467=SPECIAL_LBL)*10000000+0*1000000+42*1000+1))</f>
        <v/>
      </c>
      <c r="EF53" s="35">
        <f>IF(N('Dvd Calendar'!$F$462)=0,"",IF(('Dvd Calendar'!$F$462&gt;=GRID_FROM)*('Dvd Calendar'!$F$462&lt;=GRID_TO)*('Dvd Calendar'!$F$462&lt;=VAL_DATE)=0,"",'Dvd Calendar'!$F$462*1000000000+ISNUMBER('Dvd Calendar'!$F$465)*100000000+('Dvd Calendar'!$F$467=SPECIAL_LBL)*10000000+0*1000000+42*1000+2))</f>
        <v/>
      </c>
      <c r="EG53" s="35">
        <f>IF(N('Dvd Calendar'!$G$462)=0,"",IF(('Dvd Calendar'!$G$462&gt;=GRID_FROM)*('Dvd Calendar'!$G$462&lt;=GRID_TO)*('Dvd Calendar'!$G$462&lt;=VAL_DATE)=0,"",'Dvd Calendar'!$G$462*1000000000+ISNUMBER('Dvd Calendar'!$G$465)*100000000+('Dvd Calendar'!$G$467=SPECIAL_LBL)*10000000+0*1000000+42*1000+3))</f>
        <v/>
      </c>
      <c r="EH53" s="35">
        <f>IF(N('Dvd Calendar'!$H$462)=0,"",IF(('Dvd Calendar'!$H$462&gt;=GRID_FROM)*('Dvd Calendar'!$H$462&lt;=GRID_TO)*('Dvd Calendar'!$H$462&lt;=VAL_DATE)=0,"",'Dvd Calendar'!$H$462*1000000000+ISNUMBER('Dvd Calendar'!$H$465)*100000000+('Dvd Calendar'!$H$467=SPECIAL_LBL)*10000000+0*1000000+42*1000+4))</f>
        <v/>
      </c>
      <c r="EI53" s="35">
        <f>IF(N('Dvd Calendar'!$I$462)=0,"",IF(('Dvd Calendar'!$I$462&gt;=GRID_FROM)*('Dvd Calendar'!$I$462&lt;=GRID_TO)*('Dvd Calendar'!$I$462&lt;=VAL_DATE)=0,"",'Dvd Calendar'!$I$462*1000000000+ISNUMBER('Dvd Calendar'!$I$465)*100000000+('Dvd Calendar'!$I$467=SPECIAL_LBL)*10000000+0*1000000+42*1000+5))</f>
        <v/>
      </c>
      <c r="EJ53" s="35">
        <f>IF(N('Dvd Calendar'!$J$462)=0,"",IF(('Dvd Calendar'!$J$462&gt;=GRID_FROM)*('Dvd Calendar'!$J$462&lt;=GRID_TO)*('Dvd Calendar'!$J$462&lt;=VAL_DATE)=0,"",'Dvd Calendar'!$J$462*1000000000+ISNUMBER('Dvd Calendar'!$J$465)*100000000+('Dvd Calendar'!$J$467=SPECIAL_LBL)*10000000+0*1000000+42*1000+6))</f>
        <v/>
      </c>
      <c r="EK53" s="35">
        <f>IF(N('Dvd Calendar'!$K$462)=0,"",IF(('Dvd Calendar'!$K$462&gt;=GRID_FROM)*('Dvd Calendar'!$K$462&lt;=GRID_TO)*('Dvd Calendar'!$K$462&lt;=VAL_DATE)=0,"",'Dvd Calendar'!$K$462*1000000000+ISNUMBER('Dvd Calendar'!$K$465)*100000000+('Dvd Calendar'!$K$467=SPECIAL_LBL)*10000000+0*1000000+42*1000+7))</f>
        <v/>
      </c>
      <c r="EL53" s="35">
        <f>IF(N('Dvd Calendar'!$L$462)=0,"",IF(('Dvd Calendar'!$L$462&gt;=GRID_FROM)*('Dvd Calendar'!$L$462&lt;=GRID_TO)*('Dvd Calendar'!$L$462&lt;=VAL_DATE)=0,"",'Dvd Calendar'!$L$462*1000000000+ISNUMBER('Dvd Calendar'!$L$465)*100000000+('Dvd Calendar'!$L$467=SPECIAL_LBL)*10000000+0*1000000+42*1000+8))</f>
        <v/>
      </c>
      <c r="EM53" s="35">
        <f>IF(N('Dvd Calendar'!$M$462)=0,"",IF(('Dvd Calendar'!$M$462&gt;=GRID_FROM)*('Dvd Calendar'!$M$462&lt;=GRID_TO)*('Dvd Calendar'!$M$462&lt;=VAL_DATE)=0,"",'Dvd Calendar'!$M$462*1000000000+ISNUMBER('Dvd Calendar'!$M$465)*100000000+('Dvd Calendar'!$M$467=SPECIAL_LBL)*10000000+0*1000000+42*1000+9))</f>
        <v/>
      </c>
      <c r="EN53" s="35">
        <f>IF(N('Dvd Calendar'!$N$462)=0,"",IF(('Dvd Calendar'!$N$462&gt;=GRID_FROM)*('Dvd Calendar'!$N$462&lt;=GRID_TO)*('Dvd Calendar'!$N$462&lt;=VAL_DATE)=0,"",'Dvd Calendar'!$N$462*1000000000+ISNUMBER('Dvd Calendar'!$N$465)*100000000+('Dvd Calendar'!$N$467=SPECIAL_LBL)*10000000+0*1000000+42*1000+10))</f>
        <v/>
      </c>
      <c r="EO53" s="35">
        <f>IF(N('Dvd Calendar'!$O$462)=0,"",IF(('Dvd Calendar'!$O$462&gt;=GRID_FROM)*('Dvd Calendar'!$O$462&lt;=GRID_TO)*('Dvd Calendar'!$O$462&lt;=VAL_DATE)=0,"",'Dvd Calendar'!$O$462*1000000000+ISNUMBER('Dvd Calendar'!$O$465)*100000000+('Dvd Calendar'!$O$467=SPECIAL_LBL)*10000000+0*1000000+42*1000+11))</f>
        <v/>
      </c>
      <c r="EP53" s="35">
        <f>IF(N('Dvd Calendar'!$P$462)=0,"",IF(('Dvd Calendar'!$P$462&gt;=GRID_FROM)*('Dvd Calendar'!$P$462&lt;=GRID_TO)*('Dvd Calendar'!$P$462&lt;=VAL_DATE)=0,"",'Dvd Calendar'!$P$462*1000000000+ISNUMBER('Dvd Calendar'!$P$465)*100000000+('Dvd Calendar'!$P$467=SPECIAL_LBL)*10000000+0*1000000+42*1000+12))</f>
        <v/>
      </c>
      <c r="EQ53" s="35">
        <f>IF(N('Dvd Calendar'!$Q$462)=0,"",IF(('Dvd Calendar'!$Q$462&gt;=GRID_FROM)*('Dvd Calendar'!$Q$462&lt;=GRID_TO)*('Dvd Calendar'!$Q$462&lt;=VAL_DATE)=0,"",'Dvd Calendar'!$Q$462*1000000000+ISNUMBER('Dvd Calendar'!$Q$465)*100000000+('Dvd Calendar'!$Q$467=SPECIAL_LBL)*10000000+0*1000000+42*1000+13))</f>
        <v/>
      </c>
      <c r="ER53" s="35">
        <f>IF(N('Dvd Calendar'!$R$462)=0,"",IF(('Dvd Calendar'!$R$462&gt;=GRID_FROM)*('Dvd Calendar'!$R$462&lt;=GRID_TO)*('Dvd Calendar'!$R$462&lt;=VAL_DATE)=0,"",'Dvd Calendar'!$R$462*1000000000+ISNUMBER('Dvd Calendar'!$R$465)*100000000+('Dvd Calendar'!$R$467=SPECIAL_LBL)*10000000+0*1000000+42*1000+14))</f>
        <v/>
      </c>
      <c r="ES53" s="35">
        <f>IF(N('Dvd Calendar'!$S$462)=0,"",IF(('Dvd Calendar'!$S$462&gt;=GRID_FROM)*('Dvd Calendar'!$S$462&lt;=GRID_TO)*('Dvd Calendar'!$S$462&lt;=VAL_DATE)=0,"",'Dvd Calendar'!$S$462*1000000000+ISNUMBER('Dvd Calendar'!$S$465)*100000000+('Dvd Calendar'!$S$467=SPECIAL_LBL)*10000000+0*1000000+42*1000+15))</f>
        <v/>
      </c>
      <c r="ET53" s="35">
        <f>IF(N('Dvd Calendar'!$T$462)=0,"",IF(('Dvd Calendar'!$T$462&gt;=GRID_FROM)*('Dvd Calendar'!$T$462&lt;=GRID_TO)*('Dvd Calendar'!$T$462&lt;=VAL_DATE)=0,"",'Dvd Calendar'!$T$462*1000000000+ISNUMBER('Dvd Calendar'!$T$465)*100000000+('Dvd Calendar'!$T$467=SPECIAL_LBL)*10000000+0*1000000+42*1000+16))</f>
        <v/>
      </c>
      <c r="EU53" s="35">
        <f>IF(N('Dvd Calendar'!$U$462)=0,"",IF(('Dvd Calendar'!$U$462&gt;=GRID_FROM)*('Dvd Calendar'!$U$462&lt;=GRID_TO)*('Dvd Calendar'!$U$462&lt;=VAL_DATE)=0,"",'Dvd Calendar'!$U$462*1000000000+ISNUMBER('Dvd Calendar'!$U$465)*100000000+('Dvd Calendar'!$U$467=SPECIAL_LBL)*10000000+0*1000000+42*1000+17))</f>
        <v/>
      </c>
      <c r="EV53" s="35">
        <f>IF(N('Dvd Calendar'!$V$462)=0,"",IF(('Dvd Calendar'!$V$462&gt;=GRID_FROM)*('Dvd Calendar'!$V$462&lt;=GRID_TO)*('Dvd Calendar'!$V$462&lt;=VAL_DATE)=0,"",'Dvd Calendar'!$V$462*1000000000+ISNUMBER('Dvd Calendar'!$V$465)*100000000+('Dvd Calendar'!$V$467=SPECIAL_LBL)*10000000+0*1000000+42*1000+18))</f>
        <v/>
      </c>
      <c r="EW53" s="35">
        <f>IF(N('Dvd Calendar'!$W$462)=0,"",IF(('Dvd Calendar'!$W$462&gt;=GRID_FROM)*('Dvd Calendar'!$W$462&lt;=GRID_TO)*('Dvd Calendar'!$W$462&lt;=VAL_DATE)=0,"",'Dvd Calendar'!$W$462*1000000000+ISNUMBER('Dvd Calendar'!$W$465)*100000000+('Dvd Calendar'!$W$467=SPECIAL_LBL)*10000000+0*1000000+42*1000+19))</f>
        <v/>
      </c>
      <c r="EX53" s="35">
        <f>IF(N('Dvd Calendar'!$X$462)=0,"",IF(('Dvd Calendar'!$X$462&gt;=GRID_FROM)*('Dvd Calendar'!$X$462&lt;=GRID_TO)*('Dvd Calendar'!$X$462&lt;=VAL_DATE)=0,"",'Dvd Calendar'!$X$462*1000000000+ISNUMBER('Dvd Calendar'!$X$465)*100000000+('Dvd Calendar'!$X$467=SPECIAL_LBL)*10000000+0*1000000+42*1000+20))</f>
        <v/>
      </c>
      <c r="EY53" s="35">
        <f>IF(N('Dvd Calendar'!$Y$462)=0,"",IF(('Dvd Calendar'!$Y$462&gt;=GRID_FROM)*('Dvd Calendar'!$Y$462&lt;=GRID_TO)*('Dvd Calendar'!$Y$462&lt;=VAL_DATE)=0,"",'Dvd Calendar'!$Y$462*1000000000+ISNUMBER('Dvd Calendar'!$Y$465)*100000000+('Dvd Calendar'!$Y$467=SPECIAL_LBL)*10000000+0*1000000+42*1000+21))</f>
        <v/>
      </c>
      <c r="EZ53" s="35">
        <f>IF(N('Dvd Calendar'!$Z$462)=0,"",IF(('Dvd Calendar'!$Z$462&gt;=GRID_FROM)*('Dvd Calendar'!$Z$462&lt;=GRID_TO)*('Dvd Calendar'!$Z$462&lt;=VAL_DATE)=0,"",'Dvd Calendar'!$Z$462*1000000000+ISNUMBER('Dvd Calendar'!$Z$465)*100000000+('Dvd Calendar'!$Z$467=SPECIAL_LBL)*10000000+0*1000000+42*1000+22))</f>
        <v/>
      </c>
      <c r="FA53" s="35">
        <f>IF(N('Dvd Calendar'!$AA$462)=0,"",IF(('Dvd Calendar'!$AA$462&gt;=GRID_FROM)*('Dvd Calendar'!$AA$462&lt;=GRID_TO)*('Dvd Calendar'!$AA$462&lt;=VAL_DATE)=0,"",'Dvd Calendar'!$AA$462*1000000000+ISNUMBER('Dvd Calendar'!$AA$465)*100000000+('Dvd Calendar'!$AA$467=SPECIAL_LBL)*10000000+0*1000000+42*1000+23))</f>
        <v/>
      </c>
      <c r="FB53" s="35">
        <f>IF(N('Dvd Calendar'!$AB$462)=0,"",IF(('Dvd Calendar'!$AB$462&gt;=GRID_FROM)*('Dvd Calendar'!$AB$462&lt;=GRID_TO)*('Dvd Calendar'!$AB$462&lt;=VAL_DATE)=0,"",'Dvd Calendar'!$AB$462*1000000000+ISNUMBER('Dvd Calendar'!$AB$465)*100000000+('Dvd Calendar'!$AB$467=SPECIAL_LBL)*10000000+0*1000000+42*1000+24))</f>
        <v/>
      </c>
      <c r="FC53" s="35">
        <f>IF(N('Dvd Calendar'!$AC$462)=0,"",IF(('Dvd Calendar'!$AC$462&gt;=GRID_FROM)*('Dvd Calendar'!$AC$462&lt;=GRID_TO)*('Dvd Calendar'!$AC$462&lt;=VAL_DATE)=0,"",'Dvd Calendar'!$AC$462*1000000000+ISNUMBER('Dvd Calendar'!$AC$465)*100000000+('Dvd Calendar'!$AC$467=SPECIAL_LBL)*10000000+0*1000000+42*1000+25))</f>
        <v/>
      </c>
      <c r="FD53" s="35">
        <f>IF(N('Dvd Calendar'!$AD$462)=0,"",IF(('Dvd Calendar'!$AD$462&gt;=GRID_FROM)*('Dvd Calendar'!$AD$462&lt;=GRID_TO)*('Dvd Calendar'!$AD$462&lt;=VAL_DATE)=0,"",'Dvd Calendar'!$AD$462*1000000000+ISNUMBER('Dvd Calendar'!$AD$465)*100000000+('Dvd Calendar'!$AD$467=SPECIAL_LBL)*10000000+0*1000000+42*1000+26))</f>
        <v/>
      </c>
      <c r="FE53" s="35">
        <f>IF(N('Dvd Calendar'!$AE$462)=0,"",IF(('Dvd Calendar'!$AE$462&gt;=GRID_FROM)*('Dvd Calendar'!$AE$462&lt;=GRID_TO)*('Dvd Calendar'!$AE$462&lt;=VAL_DATE)=0,"",'Dvd Calendar'!$AE$462*1000000000+ISNUMBER('Dvd Calendar'!$AE$465)*100000000+('Dvd Calendar'!$AE$467=SPECIAL_LBL)*10000000+0*1000000+42*1000+27))</f>
        <v/>
      </c>
      <c r="FF53" s="35">
        <f>IF(N('Dvd Calendar'!$AF$462)=0,"",IF(('Dvd Calendar'!$AF$462&gt;=GRID_FROM)*('Dvd Calendar'!$AF$462&lt;=GRID_TO)*('Dvd Calendar'!$AF$462&lt;=VAL_DATE)=0,"",'Dvd Calendar'!$AF$462*1000000000+ISNUMBER('Dvd Calendar'!$AF$465)*100000000+('Dvd Calendar'!$AF$467=SPECIAL_LBL)*10000000+0*1000000+42*1000+28))</f>
        <v/>
      </c>
      <c r="FG53" s="35">
        <f>IF(N('Dvd Calendar'!$AG$462)=0,"",IF(('Dvd Calendar'!$AG$462&gt;=GRID_FROM)*('Dvd Calendar'!$AG$462&lt;=GRID_TO)*('Dvd Calendar'!$AG$462&lt;=VAL_DATE)=0,"",'Dvd Calendar'!$AG$462*1000000000+ISNUMBER('Dvd Calendar'!$AG$465)*100000000+('Dvd Calendar'!$AG$467=SPECIAL_LBL)*10000000+0*1000000+42*1000+29))</f>
        <v/>
      </c>
      <c r="FH53" s="35">
        <f>IF(N('Dvd Calendar'!$AH$462)=0,"",IF(('Dvd Calendar'!$AH$462&gt;=GRID_FROM)*('Dvd Calendar'!$AH$462&lt;=GRID_TO)*('Dvd Calendar'!$AH$462&lt;=VAL_DATE)=0,"",'Dvd Calendar'!$AH$462*1000000000+ISNUMBER('Dvd Calendar'!$AH$465)*100000000+('Dvd Calendar'!$AH$467=SPECIAL_LBL)*10000000+0*1000000+42*1000+30))</f>
        <v/>
      </c>
      <c r="FI53" s="35">
        <f>IF(N('Dvd Calendar'!$AI$462)=0,"",IF(('Dvd Calendar'!$AI$462&gt;=GRID_FROM)*('Dvd Calendar'!$AI$462&lt;=GRID_TO)*('Dvd Calendar'!$AI$462&lt;=VAL_DATE)=0,"",'Dvd Calendar'!$AI$462*1000000000+ISNUMBER('Dvd Calendar'!$AI$465)*100000000+('Dvd Calendar'!$AI$467=SPECIAL_LBL)*10000000+0*1000000+42*1000+31))</f>
        <v/>
      </c>
      <c r="FJ53" s="35">
        <f>IF(N('Dvd Calendar'!$AJ$462)=0,"",IF(('Dvd Calendar'!$AJ$462&gt;=GRID_FROM)*('Dvd Calendar'!$AJ$462&lt;=GRID_TO)*('Dvd Calendar'!$AJ$462&lt;=VAL_DATE)=0,"",'Dvd Calendar'!$AJ$462*1000000000+ISNUMBER('Dvd Calendar'!$AJ$465)*100000000+('Dvd Calendar'!$AJ$467=SPECIAL_LBL)*10000000+0*1000000+42*1000+32))</f>
        <v/>
      </c>
      <c r="FK53" s="35">
        <f>IF(N('Dvd Calendar'!$AK$462)=0,"",IF(('Dvd Calendar'!$AK$462&gt;=GRID_FROM)*('Dvd Calendar'!$AK$462&lt;=GRID_TO)*('Dvd Calendar'!$AK$462&lt;=VAL_DATE)=0,"",'Dvd Calendar'!$AK$462*1000000000+ISNUMBER('Dvd Calendar'!$AK$465)*100000000+('Dvd Calendar'!$AK$467=SPECIAL_LBL)*10000000+0*1000000+42*1000+33))</f>
        <v/>
      </c>
      <c r="FL53" s="35">
        <f>IF(N('Dvd Calendar'!$AL$462)=0,"",IF(('Dvd Calendar'!$AL$462&gt;=GRID_FROM)*('Dvd Calendar'!$AL$462&lt;=GRID_TO)*('Dvd Calendar'!$AL$462&lt;=VAL_DATE)=0,"",'Dvd Calendar'!$AL$462*1000000000+ISNUMBER('Dvd Calendar'!$AL$465)*100000000+('Dvd Calendar'!$AL$467=SPECIAL_LBL)*10000000+0*1000000+42*1000+34))</f>
        <v/>
      </c>
      <c r="FM53" s="35">
        <f>IF(N('Dvd Calendar'!$AM$462)=0,"",IF(('Dvd Calendar'!$AM$462&gt;=GRID_FROM)*('Dvd Calendar'!$AM$462&lt;=GRID_TO)*('Dvd Calendar'!$AM$462&lt;=VAL_DATE)=0,"",'Dvd Calendar'!$AM$462*1000000000+ISNUMBER('Dvd Calendar'!$AM$465)*100000000+('Dvd Calendar'!$AM$467=SPECIAL_LBL)*10000000+0*1000000+42*1000+35))</f>
        <v/>
      </c>
      <c r="FN53" s="35">
        <f>IF(N('Dvd Calendar'!$AN$462)=0,"",IF(('Dvd Calendar'!$AN$462&gt;=GRID_FROM)*('Dvd Calendar'!$AN$462&lt;=GRID_TO)*('Dvd Calendar'!$AN$462&lt;=VAL_DATE)=0,"",'Dvd Calendar'!$AN$462*1000000000+ISNUMBER('Dvd Calendar'!$AN$465)*100000000+('Dvd Calendar'!$AN$467=SPECIAL_LBL)*10000000+0*1000000+42*1000+36))</f>
        <v/>
      </c>
      <c r="FO53" s="35">
        <f>IF(N('Dvd Calendar'!$AO$462)=0,"",IF(('Dvd Calendar'!$AO$462&gt;=GRID_FROM)*('Dvd Calendar'!$AO$462&lt;=GRID_TO)*('Dvd Calendar'!$AO$462&lt;=VAL_DATE)=0,"",'Dvd Calendar'!$AO$462*1000000000+ISNUMBER('Dvd Calendar'!$AO$465)*100000000+('Dvd Calendar'!$AO$467=SPECIAL_LBL)*10000000+0*1000000+42*1000+37))</f>
        <v/>
      </c>
      <c r="FP53" s="35">
        <f>IF(N('Dvd Calendar'!$AP$462)=0,"",IF(('Dvd Calendar'!$AP$462&gt;=GRID_FROM)*('Dvd Calendar'!$AP$462&lt;=GRID_TO)*('Dvd Calendar'!$AP$462&lt;=VAL_DATE)=0,"",'Dvd Calendar'!$AP$462*1000000000+ISNUMBER('Dvd Calendar'!$AP$465)*100000000+('Dvd Calendar'!$AP$467=SPECIAL_LBL)*10000000+0*1000000+42*1000+38))</f>
        <v/>
      </c>
      <c r="FQ53" s="35">
        <f>IF(N('Dvd Calendar'!$AQ$462)=0,"",IF(('Dvd Calendar'!$AQ$462&gt;=GRID_FROM)*('Dvd Calendar'!$AQ$462&lt;=GRID_TO)*('Dvd Calendar'!$AQ$462&lt;=VAL_DATE)=0,"",'Dvd Calendar'!$AQ$462*1000000000+ISNUMBER('Dvd Calendar'!$AQ$465)*100000000+('Dvd Calendar'!$AQ$467=SPECIAL_LBL)*10000000+0*1000000+42*1000+39))</f>
        <v/>
      </c>
      <c r="FR53" s="35">
        <f>IF(N('Dvd Calendar'!$AR$462)=0,"",IF(('Dvd Calendar'!$AR$462&gt;=GRID_FROM)*('Dvd Calendar'!$AR$462&lt;=GRID_TO)*('Dvd Calendar'!$AR$462&lt;=VAL_DATE)=0,"",'Dvd Calendar'!$AR$462*1000000000+ISNUMBER('Dvd Calendar'!$AR$465)*100000000+('Dvd Calendar'!$AR$467=SPECIAL_LBL)*10000000+0*1000000+42*1000+40))</f>
        <v/>
      </c>
      <c r="FS53" s="35">
        <f>IF(N('Dvd Calendar'!$E$469)=0,"",IF(('Dvd Calendar'!$E$469&gt;=GRID_FROM)*('Dvd Calendar'!$E$469&lt;=GRID_TO)*('Dvd Calendar'!$E$469&gt;VAL_DATE)=0,"",'Dvd Calendar'!$E$469*1000000000+ISNUMBER('Dvd Calendar'!$E$470)*100000000+0*10000000+(N('Dvd Calendar'!$E$468)&gt;0)*(N('Dvd Calendar'!$E$468)&lt;=VAL_SERIAL)*1000000+42*1000+41))</f>
        <v/>
      </c>
      <c r="FT53" s="35">
        <f>IF(N('Dvd Calendar'!$F$469)=0,"",IF(('Dvd Calendar'!$F$469&gt;=GRID_FROM)*('Dvd Calendar'!$F$469&lt;=GRID_TO)*('Dvd Calendar'!$F$469&gt;VAL_DATE)=0,"",'Dvd Calendar'!$F$469*1000000000+ISNUMBER('Dvd Calendar'!$F$470)*100000000+0*10000000+(N('Dvd Calendar'!$F$468)&gt;0)*(N('Dvd Calendar'!$F$468)&lt;=VAL_SERIAL)*1000000+42*1000+42))</f>
        <v/>
      </c>
      <c r="FU53" s="35">
        <f>IF(N('Dvd Calendar'!$G$469)=0,"",IF(('Dvd Calendar'!$G$469&gt;=GRID_FROM)*('Dvd Calendar'!$G$469&lt;=GRID_TO)*('Dvd Calendar'!$G$469&gt;VAL_DATE)=0,"",'Dvd Calendar'!$G$469*1000000000+ISNUMBER('Dvd Calendar'!$G$470)*100000000+0*10000000+(N('Dvd Calendar'!$G$468)&gt;0)*(N('Dvd Calendar'!$G$468)&lt;=VAL_SERIAL)*1000000+42*1000+43))</f>
        <v/>
      </c>
      <c r="FV53" s="35">
        <f>IF(N('Dvd Calendar'!$H$469)=0,"",IF(('Dvd Calendar'!$H$469&gt;=GRID_FROM)*('Dvd Calendar'!$H$469&lt;=GRID_TO)*('Dvd Calendar'!$H$469&gt;VAL_DATE)=0,"",'Dvd Calendar'!$H$469*1000000000+ISNUMBER('Dvd Calendar'!$H$470)*100000000+0*10000000+(N('Dvd Calendar'!$H$468)&gt;0)*(N('Dvd Calendar'!$H$468)&lt;=VAL_SERIAL)*1000000+42*1000+44))</f>
        <v/>
      </c>
      <c r="FW53" s="35">
        <f>IF(N('Dvd Calendar'!$I$469)=0,"",IF(('Dvd Calendar'!$I$469&gt;=GRID_FROM)*('Dvd Calendar'!$I$469&lt;=GRID_TO)*('Dvd Calendar'!$I$469&gt;VAL_DATE)=0,"",'Dvd Calendar'!$I$469*1000000000+ISNUMBER('Dvd Calendar'!$I$470)*100000000+0*10000000+(N('Dvd Calendar'!$I$468)&gt;0)*(N('Dvd Calendar'!$I$468)&lt;=VAL_SERIAL)*1000000+42*1000+45))</f>
        <v/>
      </c>
      <c r="FX53" s="35">
        <f>IF(N('Dvd Calendar'!$J$469)=0,"",IF(('Dvd Calendar'!$J$469&gt;=GRID_FROM)*('Dvd Calendar'!$J$469&lt;=GRID_TO)*('Dvd Calendar'!$J$469&gt;VAL_DATE)=0,"",'Dvd Calendar'!$J$469*1000000000+ISNUMBER('Dvd Calendar'!$J$470)*100000000+0*10000000+(N('Dvd Calendar'!$J$468)&gt;0)*(N('Dvd Calendar'!$J$468)&lt;=VAL_SERIAL)*1000000+42*1000+46))</f>
        <v/>
      </c>
      <c r="FY53" s="35">
        <f>IF(N('Dvd Calendar'!$K$469)=0,"",IF(('Dvd Calendar'!$K$469&gt;=GRID_FROM)*('Dvd Calendar'!$K$469&lt;=GRID_TO)*('Dvd Calendar'!$K$469&gt;VAL_DATE)=0,"",'Dvd Calendar'!$K$469*1000000000+ISNUMBER('Dvd Calendar'!$K$470)*100000000+0*10000000+(N('Dvd Calendar'!$K$468)&gt;0)*(N('Dvd Calendar'!$K$468)&lt;=VAL_SERIAL)*1000000+42*1000+47))</f>
        <v/>
      </c>
      <c r="FZ53" s="35">
        <f>IF(N('Dvd Calendar'!$L$469)=0,"",IF(('Dvd Calendar'!$L$469&gt;=GRID_FROM)*('Dvd Calendar'!$L$469&lt;=GRID_TO)*('Dvd Calendar'!$L$469&gt;VAL_DATE)=0,"",'Dvd Calendar'!$L$469*1000000000+ISNUMBER('Dvd Calendar'!$L$470)*100000000+0*10000000+(N('Dvd Calendar'!$L$468)&gt;0)*(N('Dvd Calendar'!$L$468)&lt;=VAL_SERIAL)*1000000+42*1000+48))</f>
        <v/>
      </c>
      <c r="GA53" s="35">
        <f>IF(N('Dvd Calendar'!$M$469)=0,"",IF(('Dvd Calendar'!$M$469&gt;=GRID_FROM)*('Dvd Calendar'!$M$469&lt;=GRID_TO)*('Dvd Calendar'!$M$469&gt;VAL_DATE)=0,"",'Dvd Calendar'!$M$469*1000000000+ISNUMBER('Dvd Calendar'!$M$470)*100000000+0*10000000+(N('Dvd Calendar'!$M$468)&gt;0)*(N('Dvd Calendar'!$M$468)&lt;=VAL_SERIAL)*1000000+42*1000+49))</f>
        <v/>
      </c>
      <c r="GB53" s="35">
        <f>IF(N('Dvd Calendar'!$N$469)=0,"",IF(('Dvd Calendar'!$N$469&gt;=GRID_FROM)*('Dvd Calendar'!$N$469&lt;=GRID_TO)*('Dvd Calendar'!$N$469&gt;VAL_DATE)=0,"",'Dvd Calendar'!$N$469*1000000000+ISNUMBER('Dvd Calendar'!$N$470)*100000000+0*10000000+(N('Dvd Calendar'!$N$468)&gt;0)*(N('Dvd Calendar'!$N$468)&lt;=VAL_SERIAL)*1000000+42*1000+50))</f>
        <v/>
      </c>
      <c r="GC53" s="35">
        <f>IF(N('Dvd Calendar'!$O$469)=0,"",IF(('Dvd Calendar'!$O$469&gt;=GRID_FROM)*('Dvd Calendar'!$O$469&lt;=GRID_TO)*('Dvd Calendar'!$O$469&gt;VAL_DATE)=0,"",'Dvd Calendar'!$O$469*1000000000+ISNUMBER('Dvd Calendar'!$O$470)*100000000+0*10000000+(N('Dvd Calendar'!$O$468)&gt;0)*(N('Dvd Calendar'!$O$468)&lt;=VAL_SERIAL)*1000000+42*1000+51))</f>
        <v/>
      </c>
      <c r="GD53" s="35">
        <f>IF(N('Dvd Calendar'!$P$469)=0,"",IF(('Dvd Calendar'!$P$469&gt;=GRID_FROM)*('Dvd Calendar'!$P$469&lt;=GRID_TO)*('Dvd Calendar'!$P$469&gt;VAL_DATE)=0,"",'Dvd Calendar'!$P$469*1000000000+ISNUMBER('Dvd Calendar'!$P$470)*100000000+0*10000000+(N('Dvd Calendar'!$P$468)&gt;0)*(N('Dvd Calendar'!$P$468)&lt;=VAL_SERIAL)*1000000+42*1000+52))</f>
        <v/>
      </c>
      <c r="GE53" s="35">
        <f>IF(N('Dvd Calendar'!$Q$469)=0,"",IF(('Dvd Calendar'!$Q$469&gt;=GRID_FROM)*('Dvd Calendar'!$Q$469&lt;=GRID_TO)*('Dvd Calendar'!$Q$469&gt;VAL_DATE)=0,"",'Dvd Calendar'!$Q$469*1000000000+ISNUMBER('Dvd Calendar'!$Q$470)*100000000+0*10000000+(N('Dvd Calendar'!$Q$468)&gt;0)*(N('Dvd Calendar'!$Q$468)&lt;=VAL_SERIAL)*1000000+42*1000+53))</f>
        <v/>
      </c>
      <c r="GF53" s="35">
        <f>IF(N('Dvd Calendar'!$R$469)=0,"",IF(('Dvd Calendar'!$R$469&gt;=GRID_FROM)*('Dvd Calendar'!$R$469&lt;=GRID_TO)*('Dvd Calendar'!$R$469&gt;VAL_DATE)=0,"",'Dvd Calendar'!$R$469*1000000000+ISNUMBER('Dvd Calendar'!$R$470)*100000000+0*10000000+(N('Dvd Calendar'!$R$468)&gt;0)*(N('Dvd Calendar'!$R$468)&lt;=VAL_SERIAL)*1000000+42*1000+54))</f>
        <v/>
      </c>
      <c r="GG53" s="35">
        <f>IF(N('Dvd Calendar'!$S$469)=0,"",IF(('Dvd Calendar'!$S$469&gt;=GRID_FROM)*('Dvd Calendar'!$S$469&lt;=GRID_TO)*('Dvd Calendar'!$S$469&gt;VAL_DATE)=0,"",'Dvd Calendar'!$S$469*1000000000+ISNUMBER('Dvd Calendar'!$S$470)*100000000+0*10000000+(N('Dvd Calendar'!$S$468)&gt;0)*(N('Dvd Calendar'!$S$468)&lt;=VAL_SERIAL)*1000000+42*1000+55))</f>
        <v/>
      </c>
      <c r="GH53" s="35">
        <f>IF(N('Dvd Calendar'!$T$469)=0,"",IF(('Dvd Calendar'!$T$469&gt;=GRID_FROM)*('Dvd Calendar'!$T$469&lt;=GRID_TO)*('Dvd Calendar'!$T$469&gt;VAL_DATE)=0,"",'Dvd Calendar'!$T$469*1000000000+ISNUMBER('Dvd Calendar'!$T$470)*100000000+0*10000000+(N('Dvd Calendar'!$T$468)&gt;0)*(N('Dvd Calendar'!$T$468)&lt;=VAL_SERIAL)*1000000+42*1000+56))</f>
        <v/>
      </c>
      <c r="GI53" s="35">
        <f>IF(N('Dvd Calendar'!$U$469)=0,"",IF(('Dvd Calendar'!$U$469&gt;=GRID_FROM)*('Dvd Calendar'!$U$469&lt;=GRID_TO)*('Dvd Calendar'!$U$469&gt;VAL_DATE)=0,"",'Dvd Calendar'!$U$469*1000000000+ISNUMBER('Dvd Calendar'!$U$470)*100000000+0*10000000+(N('Dvd Calendar'!$U$468)&gt;0)*(N('Dvd Calendar'!$U$468)&lt;=VAL_SERIAL)*1000000+42*1000+57))</f>
        <v/>
      </c>
      <c r="GJ53" s="35">
        <f>IF(N('Dvd Calendar'!$V$469)=0,"",IF(('Dvd Calendar'!$V$469&gt;=GRID_FROM)*('Dvd Calendar'!$V$469&lt;=GRID_TO)*('Dvd Calendar'!$V$469&gt;VAL_DATE)=0,"",'Dvd Calendar'!$V$469*1000000000+ISNUMBER('Dvd Calendar'!$V$470)*100000000+0*10000000+(N('Dvd Calendar'!$V$468)&gt;0)*(N('Dvd Calendar'!$V$468)&lt;=VAL_SERIAL)*1000000+42*1000+58))</f>
        <v/>
      </c>
      <c r="GK53" s="35">
        <f>IF(N('Dvd Calendar'!$W$469)=0,"",IF(('Dvd Calendar'!$W$469&gt;=GRID_FROM)*('Dvd Calendar'!$W$469&lt;=GRID_TO)*('Dvd Calendar'!$W$469&gt;VAL_DATE)=0,"",'Dvd Calendar'!$W$469*1000000000+ISNUMBER('Dvd Calendar'!$W$470)*100000000+0*10000000+(N('Dvd Calendar'!$W$468)&gt;0)*(N('Dvd Calendar'!$W$468)&lt;=VAL_SERIAL)*1000000+42*1000+59))</f>
        <v/>
      </c>
      <c r="GL53" s="35">
        <f>IF(N('Dvd Calendar'!$X$469)=0,"",IF(('Dvd Calendar'!$X$469&gt;=GRID_FROM)*('Dvd Calendar'!$X$469&lt;=GRID_TO)*('Dvd Calendar'!$X$469&gt;VAL_DATE)=0,"",'Dvd Calendar'!$X$469*1000000000+ISNUMBER('Dvd Calendar'!$X$470)*100000000+0*10000000+(N('Dvd Calendar'!$X$468)&gt;0)*(N('Dvd Calendar'!$X$468)&lt;=VAL_SERIAL)*1000000+42*1000+60))</f>
        <v/>
      </c>
      <c r="GM53" s="35">
        <f>IF(N('Dvd Calendar'!$Y$469)=0,"",IF(('Dvd Calendar'!$Y$469&gt;=GRID_FROM)*('Dvd Calendar'!$Y$469&lt;=GRID_TO)*('Dvd Calendar'!$Y$469&gt;VAL_DATE)=0,"",'Dvd Calendar'!$Y$469*1000000000+ISNUMBER('Dvd Calendar'!$Y$470)*100000000+0*10000000+(N('Dvd Calendar'!$Y$468)&gt;0)*(N('Dvd Calendar'!$Y$468)&lt;=VAL_SERIAL)*1000000+42*1000+61))</f>
        <v/>
      </c>
      <c r="GN53" s="35">
        <f>IF(N('Dvd Calendar'!$Z$469)=0,"",IF(('Dvd Calendar'!$Z$469&gt;=GRID_FROM)*('Dvd Calendar'!$Z$469&lt;=GRID_TO)*('Dvd Calendar'!$Z$469&gt;VAL_DATE)=0,"",'Dvd Calendar'!$Z$469*1000000000+ISNUMBER('Dvd Calendar'!$Z$470)*100000000+0*10000000+(N('Dvd Calendar'!$Z$468)&gt;0)*(N('Dvd Calendar'!$Z$468)&lt;=VAL_SERIAL)*1000000+42*1000+62))</f>
        <v/>
      </c>
      <c r="GO53" s="35">
        <f>IF(N('Dvd Calendar'!$AA$469)=0,"",IF(('Dvd Calendar'!$AA$469&gt;=GRID_FROM)*('Dvd Calendar'!$AA$469&lt;=GRID_TO)*('Dvd Calendar'!$AA$469&gt;VAL_DATE)=0,"",'Dvd Calendar'!$AA$469*1000000000+ISNUMBER('Dvd Calendar'!$AA$470)*100000000+0*10000000+(N('Dvd Calendar'!$AA$468)&gt;0)*(N('Dvd Calendar'!$AA$468)&lt;=VAL_SERIAL)*1000000+42*1000+63))</f>
        <v/>
      </c>
      <c r="GP53" s="35">
        <f>IF(N('Dvd Calendar'!$AB$469)=0,"",IF(('Dvd Calendar'!$AB$469&gt;=GRID_FROM)*('Dvd Calendar'!$AB$469&lt;=GRID_TO)*('Dvd Calendar'!$AB$469&gt;VAL_DATE)=0,"",'Dvd Calendar'!$AB$469*1000000000+ISNUMBER('Dvd Calendar'!$AB$470)*100000000+0*10000000+(N('Dvd Calendar'!$AB$468)&gt;0)*(N('Dvd Calendar'!$AB$468)&lt;=VAL_SERIAL)*1000000+42*1000+64))</f>
        <v/>
      </c>
      <c r="GQ53" s="35">
        <f>IF(N('Dvd Calendar'!$AC$469)=0,"",IF(('Dvd Calendar'!$AC$469&gt;=GRID_FROM)*('Dvd Calendar'!$AC$469&lt;=GRID_TO)*('Dvd Calendar'!$AC$469&gt;VAL_DATE)=0,"",'Dvd Calendar'!$AC$469*1000000000+ISNUMBER('Dvd Calendar'!$AC$470)*100000000+0*10000000+(N('Dvd Calendar'!$AC$468)&gt;0)*(N('Dvd Calendar'!$AC$468)&lt;=VAL_SERIAL)*1000000+42*1000+65))</f>
        <v/>
      </c>
    </row>
    <row r="54">
      <c r="B54" s="2">
        <f>IF(HSI!$C$49="","",HSI!$C$49)</f>
        <v/>
      </c>
      <c r="C54" s="106">
        <f>IF(EE54="","",IF(ISNUMBER('Dvd Calendar'!$E$476)=FALSE,"",IF((('Dvd Calendar'!$E$478=TYPE1)*(TYPE1&lt;&gt;"")+('Dvd Calendar'!$E$478=TYPE2)*(TYPE2&lt;&gt;"")+('Dvd Calendar'!$E$478=TYPE3)*(TYPE3&lt;&gt;"")+('Dvd Calendar'!$E$478=TYPE4)*(TYPE4&lt;&gt;"")+('Dvd Calendar'!$E$478=SPECIAL_LBL)*(INC_SPECIALS="Y"))=0,"",'Dvd Calendar'!$E$476)))</f>
        <v/>
      </c>
      <c r="D54" s="106">
        <f>IF(EF54="","",IF(ISNUMBER('Dvd Calendar'!$F$476)=FALSE,"",IF((('Dvd Calendar'!$F$478=TYPE1)*(TYPE1&lt;&gt;"")+('Dvd Calendar'!$F$478=TYPE2)*(TYPE2&lt;&gt;"")+('Dvd Calendar'!$F$478=TYPE3)*(TYPE3&lt;&gt;"")+('Dvd Calendar'!$F$478=TYPE4)*(TYPE4&lt;&gt;"")+('Dvd Calendar'!$F$478=SPECIAL_LBL)*(INC_SPECIALS="Y"))=0,"",'Dvd Calendar'!$F$476)))</f>
        <v/>
      </c>
      <c r="E54" s="106">
        <f>IF(EG54="","",IF(ISNUMBER('Dvd Calendar'!$G$476)=FALSE,"",IF((('Dvd Calendar'!$G$478=TYPE1)*(TYPE1&lt;&gt;"")+('Dvd Calendar'!$G$478=TYPE2)*(TYPE2&lt;&gt;"")+('Dvd Calendar'!$G$478=TYPE3)*(TYPE3&lt;&gt;"")+('Dvd Calendar'!$G$478=TYPE4)*(TYPE4&lt;&gt;"")+('Dvd Calendar'!$G$478=SPECIAL_LBL)*(INC_SPECIALS="Y"))=0,"",'Dvd Calendar'!$G$476)))</f>
        <v/>
      </c>
      <c r="F54" s="106">
        <f>IF(EH54="","",IF(ISNUMBER('Dvd Calendar'!$H$476)=FALSE,"",IF((('Dvd Calendar'!$H$478=TYPE1)*(TYPE1&lt;&gt;"")+('Dvd Calendar'!$H$478=TYPE2)*(TYPE2&lt;&gt;"")+('Dvd Calendar'!$H$478=TYPE3)*(TYPE3&lt;&gt;"")+('Dvd Calendar'!$H$478=TYPE4)*(TYPE4&lt;&gt;"")+('Dvd Calendar'!$H$478=SPECIAL_LBL)*(INC_SPECIALS="Y"))=0,"",'Dvd Calendar'!$H$476)))</f>
        <v/>
      </c>
      <c r="G54" s="106">
        <f>IF(EI54="","",IF(ISNUMBER('Dvd Calendar'!$I$476)=FALSE,"",IF((('Dvd Calendar'!$I$478=TYPE1)*(TYPE1&lt;&gt;"")+('Dvd Calendar'!$I$478=TYPE2)*(TYPE2&lt;&gt;"")+('Dvd Calendar'!$I$478=TYPE3)*(TYPE3&lt;&gt;"")+('Dvd Calendar'!$I$478=TYPE4)*(TYPE4&lt;&gt;"")+('Dvd Calendar'!$I$478=SPECIAL_LBL)*(INC_SPECIALS="Y"))=0,"",'Dvd Calendar'!$I$476)))</f>
        <v/>
      </c>
      <c r="H54" s="106">
        <f>IF(EJ54="","",IF(ISNUMBER('Dvd Calendar'!$J$476)=FALSE,"",IF((('Dvd Calendar'!$J$478=TYPE1)*(TYPE1&lt;&gt;"")+('Dvd Calendar'!$J$478=TYPE2)*(TYPE2&lt;&gt;"")+('Dvd Calendar'!$J$478=TYPE3)*(TYPE3&lt;&gt;"")+('Dvd Calendar'!$J$478=TYPE4)*(TYPE4&lt;&gt;"")+('Dvd Calendar'!$J$478=SPECIAL_LBL)*(INC_SPECIALS="Y"))=0,"",'Dvd Calendar'!$J$476)))</f>
        <v/>
      </c>
      <c r="I54" s="106">
        <f>IF(EK54="","",IF(ISNUMBER('Dvd Calendar'!$K$476)=FALSE,"",IF((('Dvd Calendar'!$K$478=TYPE1)*(TYPE1&lt;&gt;"")+('Dvd Calendar'!$K$478=TYPE2)*(TYPE2&lt;&gt;"")+('Dvd Calendar'!$K$478=TYPE3)*(TYPE3&lt;&gt;"")+('Dvd Calendar'!$K$478=TYPE4)*(TYPE4&lt;&gt;"")+('Dvd Calendar'!$K$478=SPECIAL_LBL)*(INC_SPECIALS="Y"))=0,"",'Dvd Calendar'!$K$476)))</f>
        <v/>
      </c>
      <c r="J54" s="106">
        <f>IF(EL54="","",IF(ISNUMBER('Dvd Calendar'!$L$476)=FALSE,"",IF((('Dvd Calendar'!$L$478=TYPE1)*(TYPE1&lt;&gt;"")+('Dvd Calendar'!$L$478=TYPE2)*(TYPE2&lt;&gt;"")+('Dvd Calendar'!$L$478=TYPE3)*(TYPE3&lt;&gt;"")+('Dvd Calendar'!$L$478=TYPE4)*(TYPE4&lt;&gt;"")+('Dvd Calendar'!$L$478=SPECIAL_LBL)*(INC_SPECIALS="Y"))=0,"",'Dvd Calendar'!$L$476)))</f>
        <v/>
      </c>
      <c r="K54" s="106">
        <f>IF(EM54="","",IF(ISNUMBER('Dvd Calendar'!$M$476)=FALSE,"",IF((('Dvd Calendar'!$M$478=TYPE1)*(TYPE1&lt;&gt;"")+('Dvd Calendar'!$M$478=TYPE2)*(TYPE2&lt;&gt;"")+('Dvd Calendar'!$M$478=TYPE3)*(TYPE3&lt;&gt;"")+('Dvd Calendar'!$M$478=TYPE4)*(TYPE4&lt;&gt;"")+('Dvd Calendar'!$M$478=SPECIAL_LBL)*(INC_SPECIALS="Y"))=0,"",'Dvd Calendar'!$M$476)))</f>
        <v/>
      </c>
      <c r="L54" s="106">
        <f>IF(EN54="","",IF(ISNUMBER('Dvd Calendar'!$N$476)=FALSE,"",IF((('Dvd Calendar'!$N$478=TYPE1)*(TYPE1&lt;&gt;"")+('Dvd Calendar'!$N$478=TYPE2)*(TYPE2&lt;&gt;"")+('Dvd Calendar'!$N$478=TYPE3)*(TYPE3&lt;&gt;"")+('Dvd Calendar'!$N$478=TYPE4)*(TYPE4&lt;&gt;"")+('Dvd Calendar'!$N$478=SPECIAL_LBL)*(INC_SPECIALS="Y"))=0,"",'Dvd Calendar'!$N$476)))</f>
        <v/>
      </c>
      <c r="M54" s="106">
        <f>IF(EO54="","",IF(ISNUMBER('Dvd Calendar'!$O$476)=FALSE,"",IF((('Dvd Calendar'!$O$478=TYPE1)*(TYPE1&lt;&gt;"")+('Dvd Calendar'!$O$478=TYPE2)*(TYPE2&lt;&gt;"")+('Dvd Calendar'!$O$478=TYPE3)*(TYPE3&lt;&gt;"")+('Dvd Calendar'!$O$478=TYPE4)*(TYPE4&lt;&gt;"")+('Dvd Calendar'!$O$478=SPECIAL_LBL)*(INC_SPECIALS="Y"))=0,"",'Dvd Calendar'!$O$476)))</f>
        <v/>
      </c>
      <c r="N54" s="106">
        <f>IF(EP54="","",IF(ISNUMBER('Dvd Calendar'!$P$476)=FALSE,"",IF((('Dvd Calendar'!$P$478=TYPE1)*(TYPE1&lt;&gt;"")+('Dvd Calendar'!$P$478=TYPE2)*(TYPE2&lt;&gt;"")+('Dvd Calendar'!$P$478=TYPE3)*(TYPE3&lt;&gt;"")+('Dvd Calendar'!$P$478=TYPE4)*(TYPE4&lt;&gt;"")+('Dvd Calendar'!$P$478=SPECIAL_LBL)*(INC_SPECIALS="Y"))=0,"",'Dvd Calendar'!$P$476)))</f>
        <v/>
      </c>
      <c r="O54" s="106">
        <f>IF(EQ54="","",IF(ISNUMBER('Dvd Calendar'!$Q$476)=FALSE,"",IF((('Dvd Calendar'!$Q$478=TYPE1)*(TYPE1&lt;&gt;"")+('Dvd Calendar'!$Q$478=TYPE2)*(TYPE2&lt;&gt;"")+('Dvd Calendar'!$Q$478=TYPE3)*(TYPE3&lt;&gt;"")+('Dvd Calendar'!$Q$478=TYPE4)*(TYPE4&lt;&gt;"")+('Dvd Calendar'!$Q$478=SPECIAL_LBL)*(INC_SPECIALS="Y"))=0,"",'Dvd Calendar'!$Q$476)))</f>
        <v/>
      </c>
      <c r="P54" s="106">
        <f>IF(ER54="","",IF(ISNUMBER('Dvd Calendar'!$R$476)=FALSE,"",IF((('Dvd Calendar'!$R$478=TYPE1)*(TYPE1&lt;&gt;"")+('Dvd Calendar'!$R$478=TYPE2)*(TYPE2&lt;&gt;"")+('Dvd Calendar'!$R$478=TYPE3)*(TYPE3&lt;&gt;"")+('Dvd Calendar'!$R$478=TYPE4)*(TYPE4&lt;&gt;"")+('Dvd Calendar'!$R$478=SPECIAL_LBL)*(INC_SPECIALS="Y"))=0,"",'Dvd Calendar'!$R$476)))</f>
        <v/>
      </c>
      <c r="Q54" s="106">
        <f>IF(ES54="","",IF(ISNUMBER('Dvd Calendar'!$S$476)=FALSE,"",IF((('Dvd Calendar'!$S$478=TYPE1)*(TYPE1&lt;&gt;"")+('Dvd Calendar'!$S$478=TYPE2)*(TYPE2&lt;&gt;"")+('Dvd Calendar'!$S$478=TYPE3)*(TYPE3&lt;&gt;"")+('Dvd Calendar'!$S$478=TYPE4)*(TYPE4&lt;&gt;"")+('Dvd Calendar'!$S$478=SPECIAL_LBL)*(INC_SPECIALS="Y"))=0,"",'Dvd Calendar'!$S$476)))</f>
        <v/>
      </c>
      <c r="R54" s="106">
        <f>IF(ET54="","",IF(ISNUMBER('Dvd Calendar'!$T$476)=FALSE,"",IF((('Dvd Calendar'!$T$478=TYPE1)*(TYPE1&lt;&gt;"")+('Dvd Calendar'!$T$478=TYPE2)*(TYPE2&lt;&gt;"")+('Dvd Calendar'!$T$478=TYPE3)*(TYPE3&lt;&gt;"")+('Dvd Calendar'!$T$478=TYPE4)*(TYPE4&lt;&gt;"")+('Dvd Calendar'!$T$478=SPECIAL_LBL)*(INC_SPECIALS="Y"))=0,"",'Dvd Calendar'!$T$476)))</f>
        <v/>
      </c>
      <c r="S54" s="106">
        <f>IF(EU54="","",IF(ISNUMBER('Dvd Calendar'!$U$476)=FALSE,"",IF((('Dvd Calendar'!$U$478=TYPE1)*(TYPE1&lt;&gt;"")+('Dvd Calendar'!$U$478=TYPE2)*(TYPE2&lt;&gt;"")+('Dvd Calendar'!$U$478=TYPE3)*(TYPE3&lt;&gt;"")+('Dvd Calendar'!$U$478=TYPE4)*(TYPE4&lt;&gt;"")+('Dvd Calendar'!$U$478=SPECIAL_LBL)*(INC_SPECIALS="Y"))=0,"",'Dvd Calendar'!$U$476)))</f>
        <v/>
      </c>
      <c r="T54" s="106">
        <f>IF(EV54="","",IF(ISNUMBER('Dvd Calendar'!$V$476)=FALSE,"",IF((('Dvd Calendar'!$V$478=TYPE1)*(TYPE1&lt;&gt;"")+('Dvd Calendar'!$V$478=TYPE2)*(TYPE2&lt;&gt;"")+('Dvd Calendar'!$V$478=TYPE3)*(TYPE3&lt;&gt;"")+('Dvd Calendar'!$V$478=TYPE4)*(TYPE4&lt;&gt;"")+('Dvd Calendar'!$V$478=SPECIAL_LBL)*(INC_SPECIALS="Y"))=0,"",'Dvd Calendar'!$V$476)))</f>
        <v/>
      </c>
      <c r="U54" s="106">
        <f>IF(EW54="","",IF(ISNUMBER('Dvd Calendar'!$W$476)=FALSE,"",IF((('Dvd Calendar'!$W$478=TYPE1)*(TYPE1&lt;&gt;"")+('Dvd Calendar'!$W$478=TYPE2)*(TYPE2&lt;&gt;"")+('Dvd Calendar'!$W$478=TYPE3)*(TYPE3&lt;&gt;"")+('Dvd Calendar'!$W$478=TYPE4)*(TYPE4&lt;&gt;"")+('Dvd Calendar'!$W$478=SPECIAL_LBL)*(INC_SPECIALS="Y"))=0,"",'Dvd Calendar'!$W$476)))</f>
        <v/>
      </c>
      <c r="V54" s="106">
        <f>IF(EX54="","",IF(ISNUMBER('Dvd Calendar'!$X$476)=FALSE,"",IF((('Dvd Calendar'!$X$478=TYPE1)*(TYPE1&lt;&gt;"")+('Dvd Calendar'!$X$478=TYPE2)*(TYPE2&lt;&gt;"")+('Dvd Calendar'!$X$478=TYPE3)*(TYPE3&lt;&gt;"")+('Dvd Calendar'!$X$478=TYPE4)*(TYPE4&lt;&gt;"")+('Dvd Calendar'!$X$478=SPECIAL_LBL)*(INC_SPECIALS="Y"))=0,"",'Dvd Calendar'!$X$476)))</f>
        <v/>
      </c>
      <c r="W54" s="106">
        <f>IF(EY54="","",IF(ISNUMBER('Dvd Calendar'!$Y$476)=FALSE,"",IF((('Dvd Calendar'!$Y$478=TYPE1)*(TYPE1&lt;&gt;"")+('Dvd Calendar'!$Y$478=TYPE2)*(TYPE2&lt;&gt;"")+('Dvd Calendar'!$Y$478=TYPE3)*(TYPE3&lt;&gt;"")+('Dvd Calendar'!$Y$478=TYPE4)*(TYPE4&lt;&gt;"")+('Dvd Calendar'!$Y$478=SPECIAL_LBL)*(INC_SPECIALS="Y"))=0,"",'Dvd Calendar'!$Y$476)))</f>
        <v/>
      </c>
      <c r="X54" s="106">
        <f>IF(EZ54="","",IF(ISNUMBER('Dvd Calendar'!$Z$476)=FALSE,"",IF((('Dvd Calendar'!$Z$478=TYPE1)*(TYPE1&lt;&gt;"")+('Dvd Calendar'!$Z$478=TYPE2)*(TYPE2&lt;&gt;"")+('Dvd Calendar'!$Z$478=TYPE3)*(TYPE3&lt;&gt;"")+('Dvd Calendar'!$Z$478=TYPE4)*(TYPE4&lt;&gt;"")+('Dvd Calendar'!$Z$478=SPECIAL_LBL)*(INC_SPECIALS="Y"))=0,"",'Dvd Calendar'!$Z$476)))</f>
        <v/>
      </c>
      <c r="Y54" s="106">
        <f>IF(FA54="","",IF(ISNUMBER('Dvd Calendar'!$AA$476)=FALSE,"",IF((('Dvd Calendar'!$AA$478=TYPE1)*(TYPE1&lt;&gt;"")+('Dvd Calendar'!$AA$478=TYPE2)*(TYPE2&lt;&gt;"")+('Dvd Calendar'!$AA$478=TYPE3)*(TYPE3&lt;&gt;"")+('Dvd Calendar'!$AA$478=TYPE4)*(TYPE4&lt;&gt;"")+('Dvd Calendar'!$AA$478=SPECIAL_LBL)*(INC_SPECIALS="Y"))=0,"",'Dvd Calendar'!$AA$476)))</f>
        <v/>
      </c>
      <c r="Z54" s="106">
        <f>IF(FB54="","",IF(ISNUMBER('Dvd Calendar'!$AB$476)=FALSE,"",IF((('Dvd Calendar'!$AB$478=TYPE1)*(TYPE1&lt;&gt;"")+('Dvd Calendar'!$AB$478=TYPE2)*(TYPE2&lt;&gt;"")+('Dvd Calendar'!$AB$478=TYPE3)*(TYPE3&lt;&gt;"")+('Dvd Calendar'!$AB$478=TYPE4)*(TYPE4&lt;&gt;"")+('Dvd Calendar'!$AB$478=SPECIAL_LBL)*(INC_SPECIALS="Y"))=0,"",'Dvd Calendar'!$AB$476)))</f>
        <v/>
      </c>
      <c r="AA54" s="106">
        <f>IF(FC54="","",IF(ISNUMBER('Dvd Calendar'!$AC$476)=FALSE,"",IF((('Dvd Calendar'!$AC$478=TYPE1)*(TYPE1&lt;&gt;"")+('Dvd Calendar'!$AC$478=TYPE2)*(TYPE2&lt;&gt;"")+('Dvd Calendar'!$AC$478=TYPE3)*(TYPE3&lt;&gt;"")+('Dvd Calendar'!$AC$478=TYPE4)*(TYPE4&lt;&gt;"")+('Dvd Calendar'!$AC$478=SPECIAL_LBL)*(INC_SPECIALS="Y"))=0,"",'Dvd Calendar'!$AC$476)))</f>
        <v/>
      </c>
      <c r="AB54" s="106">
        <f>IF(FD54="","",IF(ISNUMBER('Dvd Calendar'!$AD$476)=FALSE,"",IF((('Dvd Calendar'!$AD$478=TYPE1)*(TYPE1&lt;&gt;"")+('Dvd Calendar'!$AD$478=TYPE2)*(TYPE2&lt;&gt;"")+('Dvd Calendar'!$AD$478=TYPE3)*(TYPE3&lt;&gt;"")+('Dvd Calendar'!$AD$478=TYPE4)*(TYPE4&lt;&gt;"")+('Dvd Calendar'!$AD$478=SPECIAL_LBL)*(INC_SPECIALS="Y"))=0,"",'Dvd Calendar'!$AD$476)))</f>
        <v/>
      </c>
      <c r="AC54" s="106">
        <f>IF(FE54="","",IF(ISNUMBER('Dvd Calendar'!$AE$476)=FALSE,"",IF((('Dvd Calendar'!$AE$478=TYPE1)*(TYPE1&lt;&gt;"")+('Dvd Calendar'!$AE$478=TYPE2)*(TYPE2&lt;&gt;"")+('Dvd Calendar'!$AE$478=TYPE3)*(TYPE3&lt;&gt;"")+('Dvd Calendar'!$AE$478=TYPE4)*(TYPE4&lt;&gt;"")+('Dvd Calendar'!$AE$478=SPECIAL_LBL)*(INC_SPECIALS="Y"))=0,"",'Dvd Calendar'!$AE$476)))</f>
        <v/>
      </c>
      <c r="AD54" s="106">
        <f>IF(FF54="","",IF(ISNUMBER('Dvd Calendar'!$AF$476)=FALSE,"",IF((('Dvd Calendar'!$AF$478=TYPE1)*(TYPE1&lt;&gt;"")+('Dvd Calendar'!$AF$478=TYPE2)*(TYPE2&lt;&gt;"")+('Dvd Calendar'!$AF$478=TYPE3)*(TYPE3&lt;&gt;"")+('Dvd Calendar'!$AF$478=TYPE4)*(TYPE4&lt;&gt;"")+('Dvd Calendar'!$AF$478=SPECIAL_LBL)*(INC_SPECIALS="Y"))=0,"",'Dvd Calendar'!$AF$476)))</f>
        <v/>
      </c>
      <c r="AE54" s="106">
        <f>IF(FG54="","",IF(ISNUMBER('Dvd Calendar'!$AG$476)=FALSE,"",IF((('Dvd Calendar'!$AG$478=TYPE1)*(TYPE1&lt;&gt;"")+('Dvd Calendar'!$AG$478=TYPE2)*(TYPE2&lt;&gt;"")+('Dvd Calendar'!$AG$478=TYPE3)*(TYPE3&lt;&gt;"")+('Dvd Calendar'!$AG$478=TYPE4)*(TYPE4&lt;&gt;"")+('Dvd Calendar'!$AG$478=SPECIAL_LBL)*(INC_SPECIALS="Y"))=0,"",'Dvd Calendar'!$AG$476)))</f>
        <v/>
      </c>
      <c r="AF54" s="106">
        <f>IF(FH54="","",IF(ISNUMBER('Dvd Calendar'!$AH$476)=FALSE,"",IF((('Dvd Calendar'!$AH$478=TYPE1)*(TYPE1&lt;&gt;"")+('Dvd Calendar'!$AH$478=TYPE2)*(TYPE2&lt;&gt;"")+('Dvd Calendar'!$AH$478=TYPE3)*(TYPE3&lt;&gt;"")+('Dvd Calendar'!$AH$478=TYPE4)*(TYPE4&lt;&gt;"")+('Dvd Calendar'!$AH$478=SPECIAL_LBL)*(INC_SPECIALS="Y"))=0,"",'Dvd Calendar'!$AH$476)))</f>
        <v/>
      </c>
      <c r="AG54" s="106">
        <f>IF(FI54="","",IF(ISNUMBER('Dvd Calendar'!$AI$476)=FALSE,"",IF((('Dvd Calendar'!$AI$478=TYPE1)*(TYPE1&lt;&gt;"")+('Dvd Calendar'!$AI$478=TYPE2)*(TYPE2&lt;&gt;"")+('Dvd Calendar'!$AI$478=TYPE3)*(TYPE3&lt;&gt;"")+('Dvd Calendar'!$AI$478=TYPE4)*(TYPE4&lt;&gt;"")+('Dvd Calendar'!$AI$478=SPECIAL_LBL)*(INC_SPECIALS="Y"))=0,"",'Dvd Calendar'!$AI$476)))</f>
        <v/>
      </c>
      <c r="AH54" s="106">
        <f>IF(FJ54="","",IF(ISNUMBER('Dvd Calendar'!$AJ$476)=FALSE,"",IF((('Dvd Calendar'!$AJ$478=TYPE1)*(TYPE1&lt;&gt;"")+('Dvd Calendar'!$AJ$478=TYPE2)*(TYPE2&lt;&gt;"")+('Dvd Calendar'!$AJ$478=TYPE3)*(TYPE3&lt;&gt;"")+('Dvd Calendar'!$AJ$478=TYPE4)*(TYPE4&lt;&gt;"")+('Dvd Calendar'!$AJ$478=SPECIAL_LBL)*(INC_SPECIALS="Y"))=0,"",'Dvd Calendar'!$AJ$476)))</f>
        <v/>
      </c>
      <c r="AI54" s="106">
        <f>IF(FK54="","",IF(ISNUMBER('Dvd Calendar'!$AK$476)=FALSE,"",IF((('Dvd Calendar'!$AK$478=TYPE1)*(TYPE1&lt;&gt;"")+('Dvd Calendar'!$AK$478=TYPE2)*(TYPE2&lt;&gt;"")+('Dvd Calendar'!$AK$478=TYPE3)*(TYPE3&lt;&gt;"")+('Dvd Calendar'!$AK$478=TYPE4)*(TYPE4&lt;&gt;"")+('Dvd Calendar'!$AK$478=SPECIAL_LBL)*(INC_SPECIALS="Y"))=0,"",'Dvd Calendar'!$AK$476)))</f>
        <v/>
      </c>
      <c r="AJ54" s="106">
        <f>IF(FL54="","",IF(ISNUMBER('Dvd Calendar'!$AL$476)=FALSE,"",IF((('Dvd Calendar'!$AL$478=TYPE1)*(TYPE1&lt;&gt;"")+('Dvd Calendar'!$AL$478=TYPE2)*(TYPE2&lt;&gt;"")+('Dvd Calendar'!$AL$478=TYPE3)*(TYPE3&lt;&gt;"")+('Dvd Calendar'!$AL$478=TYPE4)*(TYPE4&lt;&gt;"")+('Dvd Calendar'!$AL$478=SPECIAL_LBL)*(INC_SPECIALS="Y"))=0,"",'Dvd Calendar'!$AL$476)))</f>
        <v/>
      </c>
      <c r="AK54" s="106">
        <f>IF(FM54="","",IF(ISNUMBER('Dvd Calendar'!$AM$476)=FALSE,"",IF((('Dvd Calendar'!$AM$478=TYPE1)*(TYPE1&lt;&gt;"")+('Dvd Calendar'!$AM$478=TYPE2)*(TYPE2&lt;&gt;"")+('Dvd Calendar'!$AM$478=TYPE3)*(TYPE3&lt;&gt;"")+('Dvd Calendar'!$AM$478=TYPE4)*(TYPE4&lt;&gt;"")+('Dvd Calendar'!$AM$478=SPECIAL_LBL)*(INC_SPECIALS="Y"))=0,"",'Dvd Calendar'!$AM$476)))</f>
        <v/>
      </c>
      <c r="AL54" s="106">
        <f>IF(FN54="","",IF(ISNUMBER('Dvd Calendar'!$AN$476)=FALSE,"",IF((('Dvd Calendar'!$AN$478=TYPE1)*(TYPE1&lt;&gt;"")+('Dvd Calendar'!$AN$478=TYPE2)*(TYPE2&lt;&gt;"")+('Dvd Calendar'!$AN$478=TYPE3)*(TYPE3&lt;&gt;"")+('Dvd Calendar'!$AN$478=TYPE4)*(TYPE4&lt;&gt;"")+('Dvd Calendar'!$AN$478=SPECIAL_LBL)*(INC_SPECIALS="Y"))=0,"",'Dvd Calendar'!$AN$476)))</f>
        <v/>
      </c>
      <c r="AM54" s="106">
        <f>IF(FO54="","",IF(ISNUMBER('Dvd Calendar'!$AO$476)=FALSE,"",IF((('Dvd Calendar'!$AO$478=TYPE1)*(TYPE1&lt;&gt;"")+('Dvd Calendar'!$AO$478=TYPE2)*(TYPE2&lt;&gt;"")+('Dvd Calendar'!$AO$478=TYPE3)*(TYPE3&lt;&gt;"")+('Dvd Calendar'!$AO$478=TYPE4)*(TYPE4&lt;&gt;"")+('Dvd Calendar'!$AO$478=SPECIAL_LBL)*(INC_SPECIALS="Y"))=0,"",'Dvd Calendar'!$AO$476)))</f>
        <v/>
      </c>
      <c r="AN54" s="106">
        <f>IF(FP54="","",IF(ISNUMBER('Dvd Calendar'!$AP$476)=FALSE,"",IF((('Dvd Calendar'!$AP$478=TYPE1)*(TYPE1&lt;&gt;"")+('Dvd Calendar'!$AP$478=TYPE2)*(TYPE2&lt;&gt;"")+('Dvd Calendar'!$AP$478=TYPE3)*(TYPE3&lt;&gt;"")+('Dvd Calendar'!$AP$478=TYPE4)*(TYPE4&lt;&gt;"")+('Dvd Calendar'!$AP$478=SPECIAL_LBL)*(INC_SPECIALS="Y"))=0,"",'Dvd Calendar'!$AP$476)))</f>
        <v/>
      </c>
      <c r="AO54" s="106">
        <f>IF(FQ54="","",IF(ISNUMBER('Dvd Calendar'!$AQ$476)=FALSE,"",IF((('Dvd Calendar'!$AQ$478=TYPE1)*(TYPE1&lt;&gt;"")+('Dvd Calendar'!$AQ$478=TYPE2)*(TYPE2&lt;&gt;"")+('Dvd Calendar'!$AQ$478=TYPE3)*(TYPE3&lt;&gt;"")+('Dvd Calendar'!$AQ$478=TYPE4)*(TYPE4&lt;&gt;"")+('Dvd Calendar'!$AQ$478=SPECIAL_LBL)*(INC_SPECIALS="Y"))=0,"",'Dvd Calendar'!$AQ$476)))</f>
        <v/>
      </c>
      <c r="AP54" s="106">
        <f>IF(FR54="","",IF(ISNUMBER('Dvd Calendar'!$AR$476)=FALSE,"",IF((('Dvd Calendar'!$AR$478=TYPE1)*(TYPE1&lt;&gt;"")+('Dvd Calendar'!$AR$478=TYPE2)*(TYPE2&lt;&gt;"")+('Dvd Calendar'!$AR$478=TYPE3)*(TYPE3&lt;&gt;"")+('Dvd Calendar'!$AR$478=TYPE4)*(TYPE4&lt;&gt;"")+('Dvd Calendar'!$AR$478=SPECIAL_LBL)*(INC_SPECIALS="Y"))=0,"",'Dvd Calendar'!$AR$476)))</f>
        <v/>
      </c>
      <c r="AQ54" s="106">
        <f>IF(FS54="","",IF(ISNUMBER('Dvd Calendar'!$E$481)=FALSE,"",'Dvd Calendar'!$E$481))</f>
        <v/>
      </c>
      <c r="AR54" s="106">
        <f>IF(FT54="","",IF(ISNUMBER('Dvd Calendar'!$F$481)=FALSE,"",'Dvd Calendar'!$F$481))</f>
        <v/>
      </c>
      <c r="AS54" s="106">
        <f>IF(FU54="","",IF(ISNUMBER('Dvd Calendar'!$G$481)=FALSE,"",'Dvd Calendar'!$G$481))</f>
        <v/>
      </c>
      <c r="AT54" s="106">
        <f>IF(FV54="","",IF(ISNUMBER('Dvd Calendar'!$H$481)=FALSE,"",'Dvd Calendar'!$H$481))</f>
        <v/>
      </c>
      <c r="AU54" s="106">
        <f>IF(FW54="","",IF(ISNUMBER('Dvd Calendar'!$I$481)=FALSE,"",'Dvd Calendar'!$I$481))</f>
        <v/>
      </c>
      <c r="AV54" s="106">
        <f>IF(FX54="","",IF(ISNUMBER('Dvd Calendar'!$J$481)=FALSE,"",'Dvd Calendar'!$J$481))</f>
        <v/>
      </c>
      <c r="AW54" s="106">
        <f>IF(FY54="","",IF(ISNUMBER('Dvd Calendar'!$K$481)=FALSE,"",'Dvd Calendar'!$K$481))</f>
        <v/>
      </c>
      <c r="AX54" s="106">
        <f>IF(FZ54="","",IF(ISNUMBER('Dvd Calendar'!$L$481)=FALSE,"",'Dvd Calendar'!$L$481))</f>
        <v/>
      </c>
      <c r="AY54" s="106">
        <f>IF(GA54="","",IF(ISNUMBER('Dvd Calendar'!$M$481)=FALSE,"",'Dvd Calendar'!$M$481))</f>
        <v/>
      </c>
      <c r="AZ54" s="106">
        <f>IF(GB54="","",IF(ISNUMBER('Dvd Calendar'!$N$481)=FALSE,"",'Dvd Calendar'!$N$481))</f>
        <v/>
      </c>
      <c r="BA54" s="106">
        <f>IF(GC54="","",IF(ISNUMBER('Dvd Calendar'!$O$481)=FALSE,"",'Dvd Calendar'!$O$481))</f>
        <v/>
      </c>
      <c r="BB54" s="106">
        <f>IF(GD54="","",IF(ISNUMBER('Dvd Calendar'!$P$481)=FALSE,"",'Dvd Calendar'!$P$481))</f>
        <v/>
      </c>
      <c r="BC54" s="106">
        <f>IF(GE54="","",IF(ISNUMBER('Dvd Calendar'!$Q$481)=FALSE,"",'Dvd Calendar'!$Q$481))</f>
        <v/>
      </c>
      <c r="BD54" s="106">
        <f>IF(GF54="","",IF(ISNUMBER('Dvd Calendar'!$R$481)=FALSE,"",'Dvd Calendar'!$R$481))</f>
        <v/>
      </c>
      <c r="BE54" s="106">
        <f>IF(GG54="","",IF(ISNUMBER('Dvd Calendar'!$S$481)=FALSE,"",'Dvd Calendar'!$S$481))</f>
        <v/>
      </c>
      <c r="BF54" s="106">
        <f>IF(GH54="","",IF(ISNUMBER('Dvd Calendar'!$T$481)=FALSE,"",'Dvd Calendar'!$T$481))</f>
        <v/>
      </c>
      <c r="BG54" s="106">
        <f>IF(GI54="","",IF(ISNUMBER('Dvd Calendar'!$U$481)=FALSE,"",'Dvd Calendar'!$U$481))</f>
        <v/>
      </c>
      <c r="BH54" s="106">
        <f>IF(GJ54="","",IF(ISNUMBER('Dvd Calendar'!$V$481)=FALSE,"",'Dvd Calendar'!$V$481))</f>
        <v/>
      </c>
      <c r="BI54" s="106">
        <f>IF(GK54="","",IF(ISNUMBER('Dvd Calendar'!$W$481)=FALSE,"",'Dvd Calendar'!$W$481))</f>
        <v/>
      </c>
      <c r="BJ54" s="106">
        <f>IF(GL54="","",IF(ISNUMBER('Dvd Calendar'!$X$481)=FALSE,"",'Dvd Calendar'!$X$481))</f>
        <v/>
      </c>
      <c r="BK54" s="106">
        <f>IF(GM54="","",IF(ISNUMBER('Dvd Calendar'!$Y$481)=FALSE,"",'Dvd Calendar'!$Y$481))</f>
        <v/>
      </c>
      <c r="BL54" s="106">
        <f>IF(GN54="","",IF(ISNUMBER('Dvd Calendar'!$Z$481)=FALSE,"",'Dvd Calendar'!$Z$481))</f>
        <v/>
      </c>
      <c r="BM54" s="106">
        <f>IF(GO54="","",IF(ISNUMBER('Dvd Calendar'!$AA$481)=FALSE,"",'Dvd Calendar'!$AA$481))</f>
        <v/>
      </c>
      <c r="BN54" s="106">
        <f>IF(GP54="","",IF(ISNUMBER('Dvd Calendar'!$AB$481)=FALSE,"",'Dvd Calendar'!$AB$481))</f>
        <v/>
      </c>
      <c r="BO54" s="106">
        <f>IF(GQ54="","",IF(ISNUMBER('Dvd Calendar'!$AC$481)=FALSE,"",'Dvd Calendar'!$AC$481))</f>
        <v/>
      </c>
      <c r="BQ54" s="106">
        <f>IF(C54="","",IFERROR(C54*HSI!$B$49*HSI!$G$49/HSI!$B$3,""))</f>
        <v/>
      </c>
      <c r="BR54" s="106">
        <f>IF(D54="","",IFERROR(D54*HSI!$B$49*HSI!$G$49/HSI!$B$3,""))</f>
        <v/>
      </c>
      <c r="BS54" s="106">
        <f>IF(E54="","",IFERROR(E54*HSI!$B$49*HSI!$G$49/HSI!$B$3,""))</f>
        <v/>
      </c>
      <c r="BT54" s="106">
        <f>IF(F54="","",IFERROR(F54*HSI!$B$49*HSI!$G$49/HSI!$B$3,""))</f>
        <v/>
      </c>
      <c r="BU54" s="106">
        <f>IF(G54="","",IFERROR(G54*HSI!$B$49*HSI!$G$49/HSI!$B$3,""))</f>
        <v/>
      </c>
      <c r="BV54" s="106">
        <f>IF(H54="","",IFERROR(H54*HSI!$B$49*HSI!$G$49/HSI!$B$3,""))</f>
        <v/>
      </c>
      <c r="BW54" s="106">
        <f>IF(I54="","",IFERROR(I54*HSI!$B$49*HSI!$G$49/HSI!$B$3,""))</f>
        <v/>
      </c>
      <c r="BX54" s="106">
        <f>IF(J54="","",IFERROR(J54*HSI!$B$49*HSI!$G$49/HSI!$B$3,""))</f>
        <v/>
      </c>
      <c r="BY54" s="106">
        <f>IF(K54="","",IFERROR(K54*HSI!$B$49*HSI!$G$49/HSI!$B$3,""))</f>
        <v/>
      </c>
      <c r="BZ54" s="106">
        <f>IF(L54="","",IFERROR(L54*HSI!$B$49*HSI!$G$49/HSI!$B$3,""))</f>
        <v/>
      </c>
      <c r="CA54" s="106">
        <f>IF(M54="","",IFERROR(M54*HSI!$B$49*HSI!$G$49/HSI!$B$3,""))</f>
        <v/>
      </c>
      <c r="CB54" s="106">
        <f>IF(N54="","",IFERROR(N54*HSI!$B$49*HSI!$G$49/HSI!$B$3,""))</f>
        <v/>
      </c>
      <c r="CC54" s="106">
        <f>IF(O54="","",IFERROR(O54*HSI!$B$49*HSI!$G$49/HSI!$B$3,""))</f>
        <v/>
      </c>
      <c r="CD54" s="106">
        <f>IF(P54="","",IFERROR(P54*HSI!$B$49*HSI!$G$49/HSI!$B$3,""))</f>
        <v/>
      </c>
      <c r="CE54" s="106">
        <f>IF(Q54="","",IFERROR(Q54*HSI!$B$49*HSI!$G$49/HSI!$B$3,""))</f>
        <v/>
      </c>
      <c r="CF54" s="106">
        <f>IF(R54="","",IFERROR(R54*HSI!$B$49*HSI!$G$49/HSI!$B$3,""))</f>
        <v/>
      </c>
      <c r="CG54" s="106">
        <f>IF(S54="","",IFERROR(S54*HSI!$B$49*HSI!$G$49/HSI!$B$3,""))</f>
        <v/>
      </c>
      <c r="CH54" s="106">
        <f>IF(T54="","",IFERROR(T54*HSI!$B$49*HSI!$G$49/HSI!$B$3,""))</f>
        <v/>
      </c>
      <c r="CI54" s="106">
        <f>IF(U54="","",IFERROR(U54*HSI!$B$49*HSI!$G$49/HSI!$B$3,""))</f>
        <v/>
      </c>
      <c r="CJ54" s="106">
        <f>IF(V54="","",IFERROR(V54*HSI!$B$49*HSI!$G$49/HSI!$B$3,""))</f>
        <v/>
      </c>
      <c r="CK54" s="106">
        <f>IF(W54="","",IFERROR(W54*HSI!$B$49*HSI!$G$49/HSI!$B$3,""))</f>
        <v/>
      </c>
      <c r="CL54" s="106">
        <f>IF(X54="","",IFERROR(X54*HSI!$B$49*HSI!$G$49/HSI!$B$3,""))</f>
        <v/>
      </c>
      <c r="CM54" s="106">
        <f>IF(Y54="","",IFERROR(Y54*HSI!$B$49*HSI!$G$49/HSI!$B$3,""))</f>
        <v/>
      </c>
      <c r="CN54" s="106">
        <f>IF(Z54="","",IFERROR(Z54*HSI!$B$49*HSI!$G$49/HSI!$B$3,""))</f>
        <v/>
      </c>
      <c r="CO54" s="106">
        <f>IF(AA54="","",IFERROR(AA54*HSI!$B$49*HSI!$G$49/HSI!$B$3,""))</f>
        <v/>
      </c>
      <c r="CP54" s="106">
        <f>IF(AB54="","",IFERROR(AB54*HSI!$B$49*HSI!$G$49/HSI!$B$3,""))</f>
        <v/>
      </c>
      <c r="CQ54" s="106">
        <f>IF(AC54="","",IFERROR(AC54*HSI!$B$49*HSI!$G$49/HSI!$B$3,""))</f>
        <v/>
      </c>
      <c r="CR54" s="106">
        <f>IF(AD54="","",IFERROR(AD54*HSI!$B$49*HSI!$G$49/HSI!$B$3,""))</f>
        <v/>
      </c>
      <c r="CS54" s="106">
        <f>IF(AE54="","",IFERROR(AE54*HSI!$B$49*HSI!$G$49/HSI!$B$3,""))</f>
        <v/>
      </c>
      <c r="CT54" s="106">
        <f>IF(AF54="","",IFERROR(AF54*HSI!$B$49*HSI!$G$49/HSI!$B$3,""))</f>
        <v/>
      </c>
      <c r="CU54" s="106">
        <f>IF(AG54="","",IFERROR(AG54*HSI!$B$49*HSI!$G$49/HSI!$B$3,""))</f>
        <v/>
      </c>
      <c r="CV54" s="106">
        <f>IF(AH54="","",IFERROR(AH54*HSI!$B$49*HSI!$G$49/HSI!$B$3,""))</f>
        <v/>
      </c>
      <c r="CW54" s="106">
        <f>IF(AI54="","",IFERROR(AI54*HSI!$B$49*HSI!$G$49/HSI!$B$3,""))</f>
        <v/>
      </c>
      <c r="CX54" s="106">
        <f>IF(AJ54="","",IFERROR(AJ54*HSI!$B$49*HSI!$G$49/HSI!$B$3,""))</f>
        <v/>
      </c>
      <c r="CY54" s="106">
        <f>IF(AK54="","",IFERROR(AK54*HSI!$B$49*HSI!$G$49/HSI!$B$3,""))</f>
        <v/>
      </c>
      <c r="CZ54" s="106">
        <f>IF(AL54="","",IFERROR(AL54*HSI!$B$49*HSI!$G$49/HSI!$B$3,""))</f>
        <v/>
      </c>
      <c r="DA54" s="106">
        <f>IF(AM54="","",IFERROR(AM54*HSI!$B$49*HSI!$G$49/HSI!$B$3,""))</f>
        <v/>
      </c>
      <c r="DB54" s="106">
        <f>IF(AN54="","",IFERROR(AN54*HSI!$B$49*HSI!$G$49/HSI!$B$3,""))</f>
        <v/>
      </c>
      <c r="DC54" s="106">
        <f>IF(AO54="","",IFERROR(AO54*HSI!$B$49*HSI!$G$49/HSI!$B$3,""))</f>
        <v/>
      </c>
      <c r="DD54" s="106">
        <f>IF(AP54="","",IFERROR(AP54*HSI!$B$49*HSI!$G$49/HSI!$B$3,""))</f>
        <v/>
      </c>
      <c r="DE54" s="106">
        <f>IF(AQ54="","",IFERROR(AQ54*HSI!$B$49*HSI!$G$49/HSI!$B$3,""))</f>
        <v/>
      </c>
      <c r="DF54" s="106">
        <f>IF(AR54="","",IFERROR(AR54*HSI!$B$49*HSI!$G$49/HSI!$B$3,""))</f>
        <v/>
      </c>
      <c r="DG54" s="106">
        <f>IF(AS54="","",IFERROR(AS54*HSI!$B$49*HSI!$G$49/HSI!$B$3,""))</f>
        <v/>
      </c>
      <c r="DH54" s="106">
        <f>IF(AT54="","",IFERROR(AT54*HSI!$B$49*HSI!$G$49/HSI!$B$3,""))</f>
        <v/>
      </c>
      <c r="DI54" s="106">
        <f>IF(AU54="","",IFERROR(AU54*HSI!$B$49*HSI!$G$49/HSI!$B$3,""))</f>
        <v/>
      </c>
      <c r="DJ54" s="106">
        <f>IF(AV54="","",IFERROR(AV54*HSI!$B$49*HSI!$G$49/HSI!$B$3,""))</f>
        <v/>
      </c>
      <c r="DK54" s="106">
        <f>IF(AW54="","",IFERROR(AW54*HSI!$B$49*HSI!$G$49/HSI!$B$3,""))</f>
        <v/>
      </c>
      <c r="DL54" s="106">
        <f>IF(AX54="","",IFERROR(AX54*HSI!$B$49*HSI!$G$49/HSI!$B$3,""))</f>
        <v/>
      </c>
      <c r="DM54" s="106">
        <f>IF(AY54="","",IFERROR(AY54*HSI!$B$49*HSI!$G$49/HSI!$B$3,""))</f>
        <v/>
      </c>
      <c r="DN54" s="106">
        <f>IF(AZ54="","",IFERROR(AZ54*HSI!$B$49*HSI!$G$49/HSI!$B$3,""))</f>
        <v/>
      </c>
      <c r="DO54" s="106">
        <f>IF(BA54="","",IFERROR(BA54*HSI!$B$49*HSI!$G$49/HSI!$B$3,""))</f>
        <v/>
      </c>
      <c r="DP54" s="106">
        <f>IF(BB54="","",IFERROR(BB54*HSI!$B$49*HSI!$G$49/HSI!$B$3,""))</f>
        <v/>
      </c>
      <c r="DQ54" s="106">
        <f>IF(BC54="","",IFERROR(BC54*HSI!$B$49*HSI!$G$49/HSI!$B$3,""))</f>
        <v/>
      </c>
      <c r="DR54" s="106">
        <f>IF(BD54="","",IFERROR(BD54*HSI!$B$49*HSI!$G$49/HSI!$B$3,""))</f>
        <v/>
      </c>
      <c r="DS54" s="106">
        <f>IF(BE54="","",IFERROR(BE54*HSI!$B$49*HSI!$G$49/HSI!$B$3,""))</f>
        <v/>
      </c>
      <c r="DT54" s="106">
        <f>IF(BF54="","",IFERROR(BF54*HSI!$B$49*HSI!$G$49/HSI!$B$3,""))</f>
        <v/>
      </c>
      <c r="DU54" s="106">
        <f>IF(BG54="","",IFERROR(BG54*HSI!$B$49*HSI!$G$49/HSI!$B$3,""))</f>
        <v/>
      </c>
      <c r="DV54" s="106">
        <f>IF(BH54="","",IFERROR(BH54*HSI!$B$49*HSI!$G$49/HSI!$B$3,""))</f>
        <v/>
      </c>
      <c r="DW54" s="106">
        <f>IF(BI54="","",IFERROR(BI54*HSI!$B$49*HSI!$G$49/HSI!$B$3,""))</f>
        <v/>
      </c>
      <c r="DX54" s="106">
        <f>IF(BJ54="","",IFERROR(BJ54*HSI!$B$49*HSI!$G$49/HSI!$B$3,""))</f>
        <v/>
      </c>
      <c r="DY54" s="106">
        <f>IF(BK54="","",IFERROR(BK54*HSI!$B$49*HSI!$G$49/HSI!$B$3,""))</f>
        <v/>
      </c>
      <c r="DZ54" s="106">
        <f>IF(BL54="","",IFERROR(BL54*HSI!$B$49*HSI!$G$49/HSI!$B$3,""))</f>
        <v/>
      </c>
      <c r="EA54" s="106">
        <f>IF(BM54="","",IFERROR(BM54*HSI!$B$49*HSI!$G$49/HSI!$B$3,""))</f>
        <v/>
      </c>
      <c r="EB54" s="106">
        <f>IF(BN54="","",IFERROR(BN54*HSI!$B$49*HSI!$G$49/HSI!$B$3,""))</f>
        <v/>
      </c>
      <c r="EC54" s="106">
        <f>IF(BO54="","",IFERROR(BO54*HSI!$B$49*HSI!$G$49/HSI!$B$3,""))</f>
        <v/>
      </c>
      <c r="EE54" s="35">
        <f>IF(N('Dvd Calendar'!$E$473)=0,"",IF(('Dvd Calendar'!$E$473&gt;=GRID_FROM)*('Dvd Calendar'!$E$473&lt;=GRID_TO)*('Dvd Calendar'!$E$473&lt;=VAL_DATE)=0,"",'Dvd Calendar'!$E$473*1000000000+ISNUMBER('Dvd Calendar'!$E$476)*100000000+('Dvd Calendar'!$E$478=SPECIAL_LBL)*10000000+0*1000000+43*1000+1))</f>
        <v/>
      </c>
      <c r="EF54" s="35">
        <f>IF(N('Dvd Calendar'!$F$473)=0,"",IF(('Dvd Calendar'!$F$473&gt;=GRID_FROM)*('Dvd Calendar'!$F$473&lt;=GRID_TO)*('Dvd Calendar'!$F$473&lt;=VAL_DATE)=0,"",'Dvd Calendar'!$F$473*1000000000+ISNUMBER('Dvd Calendar'!$F$476)*100000000+('Dvd Calendar'!$F$478=SPECIAL_LBL)*10000000+0*1000000+43*1000+2))</f>
        <v/>
      </c>
      <c r="EG54" s="35">
        <f>IF(N('Dvd Calendar'!$G$473)=0,"",IF(('Dvd Calendar'!$G$473&gt;=GRID_FROM)*('Dvd Calendar'!$G$473&lt;=GRID_TO)*('Dvd Calendar'!$G$473&lt;=VAL_DATE)=0,"",'Dvd Calendar'!$G$473*1000000000+ISNUMBER('Dvd Calendar'!$G$476)*100000000+('Dvd Calendar'!$G$478=SPECIAL_LBL)*10000000+0*1000000+43*1000+3))</f>
        <v/>
      </c>
      <c r="EH54" s="35">
        <f>IF(N('Dvd Calendar'!$H$473)=0,"",IF(('Dvd Calendar'!$H$473&gt;=GRID_FROM)*('Dvd Calendar'!$H$473&lt;=GRID_TO)*('Dvd Calendar'!$H$473&lt;=VAL_DATE)=0,"",'Dvd Calendar'!$H$473*1000000000+ISNUMBER('Dvd Calendar'!$H$476)*100000000+('Dvd Calendar'!$H$478=SPECIAL_LBL)*10000000+0*1000000+43*1000+4))</f>
        <v/>
      </c>
      <c r="EI54" s="35">
        <f>IF(N('Dvd Calendar'!$I$473)=0,"",IF(('Dvd Calendar'!$I$473&gt;=GRID_FROM)*('Dvd Calendar'!$I$473&lt;=GRID_TO)*('Dvd Calendar'!$I$473&lt;=VAL_DATE)=0,"",'Dvd Calendar'!$I$473*1000000000+ISNUMBER('Dvd Calendar'!$I$476)*100000000+('Dvd Calendar'!$I$478=SPECIAL_LBL)*10000000+0*1000000+43*1000+5))</f>
        <v/>
      </c>
      <c r="EJ54" s="35">
        <f>IF(N('Dvd Calendar'!$J$473)=0,"",IF(('Dvd Calendar'!$J$473&gt;=GRID_FROM)*('Dvd Calendar'!$J$473&lt;=GRID_TO)*('Dvd Calendar'!$J$473&lt;=VAL_DATE)=0,"",'Dvd Calendar'!$J$473*1000000000+ISNUMBER('Dvd Calendar'!$J$476)*100000000+('Dvd Calendar'!$J$478=SPECIAL_LBL)*10000000+0*1000000+43*1000+6))</f>
        <v/>
      </c>
      <c r="EK54" s="35">
        <f>IF(N('Dvd Calendar'!$K$473)=0,"",IF(('Dvd Calendar'!$K$473&gt;=GRID_FROM)*('Dvd Calendar'!$K$473&lt;=GRID_TO)*('Dvd Calendar'!$K$473&lt;=VAL_DATE)=0,"",'Dvd Calendar'!$K$473*1000000000+ISNUMBER('Dvd Calendar'!$K$476)*100000000+('Dvd Calendar'!$K$478=SPECIAL_LBL)*10000000+0*1000000+43*1000+7))</f>
        <v/>
      </c>
      <c r="EL54" s="35">
        <f>IF(N('Dvd Calendar'!$L$473)=0,"",IF(('Dvd Calendar'!$L$473&gt;=GRID_FROM)*('Dvd Calendar'!$L$473&lt;=GRID_TO)*('Dvd Calendar'!$L$473&lt;=VAL_DATE)=0,"",'Dvd Calendar'!$L$473*1000000000+ISNUMBER('Dvd Calendar'!$L$476)*100000000+('Dvd Calendar'!$L$478=SPECIAL_LBL)*10000000+0*1000000+43*1000+8))</f>
        <v/>
      </c>
      <c r="EM54" s="35">
        <f>IF(N('Dvd Calendar'!$M$473)=0,"",IF(('Dvd Calendar'!$M$473&gt;=GRID_FROM)*('Dvd Calendar'!$M$473&lt;=GRID_TO)*('Dvd Calendar'!$M$473&lt;=VAL_DATE)=0,"",'Dvd Calendar'!$M$473*1000000000+ISNUMBER('Dvd Calendar'!$M$476)*100000000+('Dvd Calendar'!$M$478=SPECIAL_LBL)*10000000+0*1000000+43*1000+9))</f>
        <v/>
      </c>
      <c r="EN54" s="35">
        <f>IF(N('Dvd Calendar'!$N$473)=0,"",IF(('Dvd Calendar'!$N$473&gt;=GRID_FROM)*('Dvd Calendar'!$N$473&lt;=GRID_TO)*('Dvd Calendar'!$N$473&lt;=VAL_DATE)=0,"",'Dvd Calendar'!$N$473*1000000000+ISNUMBER('Dvd Calendar'!$N$476)*100000000+('Dvd Calendar'!$N$478=SPECIAL_LBL)*10000000+0*1000000+43*1000+10))</f>
        <v/>
      </c>
      <c r="EO54" s="35">
        <f>IF(N('Dvd Calendar'!$O$473)=0,"",IF(('Dvd Calendar'!$O$473&gt;=GRID_FROM)*('Dvd Calendar'!$O$473&lt;=GRID_TO)*('Dvd Calendar'!$O$473&lt;=VAL_DATE)=0,"",'Dvd Calendar'!$O$473*1000000000+ISNUMBER('Dvd Calendar'!$O$476)*100000000+('Dvd Calendar'!$O$478=SPECIAL_LBL)*10000000+0*1000000+43*1000+11))</f>
        <v/>
      </c>
      <c r="EP54" s="35">
        <f>IF(N('Dvd Calendar'!$P$473)=0,"",IF(('Dvd Calendar'!$P$473&gt;=GRID_FROM)*('Dvd Calendar'!$P$473&lt;=GRID_TO)*('Dvd Calendar'!$P$473&lt;=VAL_DATE)=0,"",'Dvd Calendar'!$P$473*1000000000+ISNUMBER('Dvd Calendar'!$P$476)*100000000+('Dvd Calendar'!$P$478=SPECIAL_LBL)*10000000+0*1000000+43*1000+12))</f>
        <v/>
      </c>
      <c r="EQ54" s="35">
        <f>IF(N('Dvd Calendar'!$Q$473)=0,"",IF(('Dvd Calendar'!$Q$473&gt;=GRID_FROM)*('Dvd Calendar'!$Q$473&lt;=GRID_TO)*('Dvd Calendar'!$Q$473&lt;=VAL_DATE)=0,"",'Dvd Calendar'!$Q$473*1000000000+ISNUMBER('Dvd Calendar'!$Q$476)*100000000+('Dvd Calendar'!$Q$478=SPECIAL_LBL)*10000000+0*1000000+43*1000+13))</f>
        <v/>
      </c>
      <c r="ER54" s="35">
        <f>IF(N('Dvd Calendar'!$R$473)=0,"",IF(('Dvd Calendar'!$R$473&gt;=GRID_FROM)*('Dvd Calendar'!$R$473&lt;=GRID_TO)*('Dvd Calendar'!$R$473&lt;=VAL_DATE)=0,"",'Dvd Calendar'!$R$473*1000000000+ISNUMBER('Dvd Calendar'!$R$476)*100000000+('Dvd Calendar'!$R$478=SPECIAL_LBL)*10000000+0*1000000+43*1000+14))</f>
        <v/>
      </c>
      <c r="ES54" s="35">
        <f>IF(N('Dvd Calendar'!$S$473)=0,"",IF(('Dvd Calendar'!$S$473&gt;=GRID_FROM)*('Dvd Calendar'!$S$473&lt;=GRID_TO)*('Dvd Calendar'!$S$473&lt;=VAL_DATE)=0,"",'Dvd Calendar'!$S$473*1000000000+ISNUMBER('Dvd Calendar'!$S$476)*100000000+('Dvd Calendar'!$S$478=SPECIAL_LBL)*10000000+0*1000000+43*1000+15))</f>
        <v/>
      </c>
      <c r="ET54" s="35">
        <f>IF(N('Dvd Calendar'!$T$473)=0,"",IF(('Dvd Calendar'!$T$473&gt;=GRID_FROM)*('Dvd Calendar'!$T$473&lt;=GRID_TO)*('Dvd Calendar'!$T$473&lt;=VAL_DATE)=0,"",'Dvd Calendar'!$T$473*1000000000+ISNUMBER('Dvd Calendar'!$T$476)*100000000+('Dvd Calendar'!$T$478=SPECIAL_LBL)*10000000+0*1000000+43*1000+16))</f>
        <v/>
      </c>
      <c r="EU54" s="35">
        <f>IF(N('Dvd Calendar'!$U$473)=0,"",IF(('Dvd Calendar'!$U$473&gt;=GRID_FROM)*('Dvd Calendar'!$U$473&lt;=GRID_TO)*('Dvd Calendar'!$U$473&lt;=VAL_DATE)=0,"",'Dvd Calendar'!$U$473*1000000000+ISNUMBER('Dvd Calendar'!$U$476)*100000000+('Dvd Calendar'!$U$478=SPECIAL_LBL)*10000000+0*1000000+43*1000+17))</f>
        <v/>
      </c>
      <c r="EV54" s="35">
        <f>IF(N('Dvd Calendar'!$V$473)=0,"",IF(('Dvd Calendar'!$V$473&gt;=GRID_FROM)*('Dvd Calendar'!$V$473&lt;=GRID_TO)*('Dvd Calendar'!$V$473&lt;=VAL_DATE)=0,"",'Dvd Calendar'!$V$473*1000000000+ISNUMBER('Dvd Calendar'!$V$476)*100000000+('Dvd Calendar'!$V$478=SPECIAL_LBL)*10000000+0*1000000+43*1000+18))</f>
        <v/>
      </c>
      <c r="EW54" s="35">
        <f>IF(N('Dvd Calendar'!$W$473)=0,"",IF(('Dvd Calendar'!$W$473&gt;=GRID_FROM)*('Dvd Calendar'!$W$473&lt;=GRID_TO)*('Dvd Calendar'!$W$473&lt;=VAL_DATE)=0,"",'Dvd Calendar'!$W$473*1000000000+ISNUMBER('Dvd Calendar'!$W$476)*100000000+('Dvd Calendar'!$W$478=SPECIAL_LBL)*10000000+0*1000000+43*1000+19))</f>
        <v/>
      </c>
      <c r="EX54" s="35">
        <f>IF(N('Dvd Calendar'!$X$473)=0,"",IF(('Dvd Calendar'!$X$473&gt;=GRID_FROM)*('Dvd Calendar'!$X$473&lt;=GRID_TO)*('Dvd Calendar'!$X$473&lt;=VAL_DATE)=0,"",'Dvd Calendar'!$X$473*1000000000+ISNUMBER('Dvd Calendar'!$X$476)*100000000+('Dvd Calendar'!$X$478=SPECIAL_LBL)*10000000+0*1000000+43*1000+20))</f>
        <v/>
      </c>
      <c r="EY54" s="35">
        <f>IF(N('Dvd Calendar'!$Y$473)=0,"",IF(('Dvd Calendar'!$Y$473&gt;=GRID_FROM)*('Dvd Calendar'!$Y$473&lt;=GRID_TO)*('Dvd Calendar'!$Y$473&lt;=VAL_DATE)=0,"",'Dvd Calendar'!$Y$473*1000000000+ISNUMBER('Dvd Calendar'!$Y$476)*100000000+('Dvd Calendar'!$Y$478=SPECIAL_LBL)*10000000+0*1000000+43*1000+21))</f>
        <v/>
      </c>
      <c r="EZ54" s="35">
        <f>IF(N('Dvd Calendar'!$Z$473)=0,"",IF(('Dvd Calendar'!$Z$473&gt;=GRID_FROM)*('Dvd Calendar'!$Z$473&lt;=GRID_TO)*('Dvd Calendar'!$Z$473&lt;=VAL_DATE)=0,"",'Dvd Calendar'!$Z$473*1000000000+ISNUMBER('Dvd Calendar'!$Z$476)*100000000+('Dvd Calendar'!$Z$478=SPECIAL_LBL)*10000000+0*1000000+43*1000+22))</f>
        <v/>
      </c>
      <c r="FA54" s="35">
        <f>IF(N('Dvd Calendar'!$AA$473)=0,"",IF(('Dvd Calendar'!$AA$473&gt;=GRID_FROM)*('Dvd Calendar'!$AA$473&lt;=GRID_TO)*('Dvd Calendar'!$AA$473&lt;=VAL_DATE)=0,"",'Dvd Calendar'!$AA$473*1000000000+ISNUMBER('Dvd Calendar'!$AA$476)*100000000+('Dvd Calendar'!$AA$478=SPECIAL_LBL)*10000000+0*1000000+43*1000+23))</f>
        <v/>
      </c>
      <c r="FB54" s="35">
        <f>IF(N('Dvd Calendar'!$AB$473)=0,"",IF(('Dvd Calendar'!$AB$473&gt;=GRID_FROM)*('Dvd Calendar'!$AB$473&lt;=GRID_TO)*('Dvd Calendar'!$AB$473&lt;=VAL_DATE)=0,"",'Dvd Calendar'!$AB$473*1000000000+ISNUMBER('Dvd Calendar'!$AB$476)*100000000+('Dvd Calendar'!$AB$478=SPECIAL_LBL)*10000000+0*1000000+43*1000+24))</f>
        <v/>
      </c>
      <c r="FC54" s="35">
        <f>IF(N('Dvd Calendar'!$AC$473)=0,"",IF(('Dvd Calendar'!$AC$473&gt;=GRID_FROM)*('Dvd Calendar'!$AC$473&lt;=GRID_TO)*('Dvd Calendar'!$AC$473&lt;=VAL_DATE)=0,"",'Dvd Calendar'!$AC$473*1000000000+ISNUMBER('Dvd Calendar'!$AC$476)*100000000+('Dvd Calendar'!$AC$478=SPECIAL_LBL)*10000000+0*1000000+43*1000+25))</f>
        <v/>
      </c>
      <c r="FD54" s="35">
        <f>IF(N('Dvd Calendar'!$AD$473)=0,"",IF(('Dvd Calendar'!$AD$473&gt;=GRID_FROM)*('Dvd Calendar'!$AD$473&lt;=GRID_TO)*('Dvd Calendar'!$AD$473&lt;=VAL_DATE)=0,"",'Dvd Calendar'!$AD$473*1000000000+ISNUMBER('Dvd Calendar'!$AD$476)*100000000+('Dvd Calendar'!$AD$478=SPECIAL_LBL)*10000000+0*1000000+43*1000+26))</f>
        <v/>
      </c>
      <c r="FE54" s="35">
        <f>IF(N('Dvd Calendar'!$AE$473)=0,"",IF(('Dvd Calendar'!$AE$473&gt;=GRID_FROM)*('Dvd Calendar'!$AE$473&lt;=GRID_TO)*('Dvd Calendar'!$AE$473&lt;=VAL_DATE)=0,"",'Dvd Calendar'!$AE$473*1000000000+ISNUMBER('Dvd Calendar'!$AE$476)*100000000+('Dvd Calendar'!$AE$478=SPECIAL_LBL)*10000000+0*1000000+43*1000+27))</f>
        <v/>
      </c>
      <c r="FF54" s="35">
        <f>IF(N('Dvd Calendar'!$AF$473)=0,"",IF(('Dvd Calendar'!$AF$473&gt;=GRID_FROM)*('Dvd Calendar'!$AF$473&lt;=GRID_TO)*('Dvd Calendar'!$AF$473&lt;=VAL_DATE)=0,"",'Dvd Calendar'!$AF$473*1000000000+ISNUMBER('Dvd Calendar'!$AF$476)*100000000+('Dvd Calendar'!$AF$478=SPECIAL_LBL)*10000000+0*1000000+43*1000+28))</f>
        <v/>
      </c>
      <c r="FG54" s="35">
        <f>IF(N('Dvd Calendar'!$AG$473)=0,"",IF(('Dvd Calendar'!$AG$473&gt;=GRID_FROM)*('Dvd Calendar'!$AG$473&lt;=GRID_TO)*('Dvd Calendar'!$AG$473&lt;=VAL_DATE)=0,"",'Dvd Calendar'!$AG$473*1000000000+ISNUMBER('Dvd Calendar'!$AG$476)*100000000+('Dvd Calendar'!$AG$478=SPECIAL_LBL)*10000000+0*1000000+43*1000+29))</f>
        <v/>
      </c>
      <c r="FH54" s="35">
        <f>IF(N('Dvd Calendar'!$AH$473)=0,"",IF(('Dvd Calendar'!$AH$473&gt;=GRID_FROM)*('Dvd Calendar'!$AH$473&lt;=GRID_TO)*('Dvd Calendar'!$AH$473&lt;=VAL_DATE)=0,"",'Dvd Calendar'!$AH$473*1000000000+ISNUMBER('Dvd Calendar'!$AH$476)*100000000+('Dvd Calendar'!$AH$478=SPECIAL_LBL)*10000000+0*1000000+43*1000+30))</f>
        <v/>
      </c>
      <c r="FI54" s="35">
        <f>IF(N('Dvd Calendar'!$AI$473)=0,"",IF(('Dvd Calendar'!$AI$473&gt;=GRID_FROM)*('Dvd Calendar'!$AI$473&lt;=GRID_TO)*('Dvd Calendar'!$AI$473&lt;=VAL_DATE)=0,"",'Dvd Calendar'!$AI$473*1000000000+ISNUMBER('Dvd Calendar'!$AI$476)*100000000+('Dvd Calendar'!$AI$478=SPECIAL_LBL)*10000000+0*1000000+43*1000+31))</f>
        <v/>
      </c>
      <c r="FJ54" s="35">
        <f>IF(N('Dvd Calendar'!$AJ$473)=0,"",IF(('Dvd Calendar'!$AJ$473&gt;=GRID_FROM)*('Dvd Calendar'!$AJ$473&lt;=GRID_TO)*('Dvd Calendar'!$AJ$473&lt;=VAL_DATE)=0,"",'Dvd Calendar'!$AJ$473*1000000000+ISNUMBER('Dvd Calendar'!$AJ$476)*100000000+('Dvd Calendar'!$AJ$478=SPECIAL_LBL)*10000000+0*1000000+43*1000+32))</f>
        <v/>
      </c>
      <c r="FK54" s="35">
        <f>IF(N('Dvd Calendar'!$AK$473)=0,"",IF(('Dvd Calendar'!$AK$473&gt;=GRID_FROM)*('Dvd Calendar'!$AK$473&lt;=GRID_TO)*('Dvd Calendar'!$AK$473&lt;=VAL_DATE)=0,"",'Dvd Calendar'!$AK$473*1000000000+ISNUMBER('Dvd Calendar'!$AK$476)*100000000+('Dvd Calendar'!$AK$478=SPECIAL_LBL)*10000000+0*1000000+43*1000+33))</f>
        <v/>
      </c>
      <c r="FL54" s="35">
        <f>IF(N('Dvd Calendar'!$AL$473)=0,"",IF(('Dvd Calendar'!$AL$473&gt;=GRID_FROM)*('Dvd Calendar'!$AL$473&lt;=GRID_TO)*('Dvd Calendar'!$AL$473&lt;=VAL_DATE)=0,"",'Dvd Calendar'!$AL$473*1000000000+ISNUMBER('Dvd Calendar'!$AL$476)*100000000+('Dvd Calendar'!$AL$478=SPECIAL_LBL)*10000000+0*1000000+43*1000+34))</f>
        <v/>
      </c>
      <c r="FM54" s="35">
        <f>IF(N('Dvd Calendar'!$AM$473)=0,"",IF(('Dvd Calendar'!$AM$473&gt;=GRID_FROM)*('Dvd Calendar'!$AM$473&lt;=GRID_TO)*('Dvd Calendar'!$AM$473&lt;=VAL_DATE)=0,"",'Dvd Calendar'!$AM$473*1000000000+ISNUMBER('Dvd Calendar'!$AM$476)*100000000+('Dvd Calendar'!$AM$478=SPECIAL_LBL)*10000000+0*1000000+43*1000+35))</f>
        <v/>
      </c>
      <c r="FN54" s="35">
        <f>IF(N('Dvd Calendar'!$AN$473)=0,"",IF(('Dvd Calendar'!$AN$473&gt;=GRID_FROM)*('Dvd Calendar'!$AN$473&lt;=GRID_TO)*('Dvd Calendar'!$AN$473&lt;=VAL_DATE)=0,"",'Dvd Calendar'!$AN$473*1000000000+ISNUMBER('Dvd Calendar'!$AN$476)*100000000+('Dvd Calendar'!$AN$478=SPECIAL_LBL)*10000000+0*1000000+43*1000+36))</f>
        <v/>
      </c>
      <c r="FO54" s="35">
        <f>IF(N('Dvd Calendar'!$AO$473)=0,"",IF(('Dvd Calendar'!$AO$473&gt;=GRID_FROM)*('Dvd Calendar'!$AO$473&lt;=GRID_TO)*('Dvd Calendar'!$AO$473&lt;=VAL_DATE)=0,"",'Dvd Calendar'!$AO$473*1000000000+ISNUMBER('Dvd Calendar'!$AO$476)*100000000+('Dvd Calendar'!$AO$478=SPECIAL_LBL)*10000000+0*1000000+43*1000+37))</f>
        <v/>
      </c>
      <c r="FP54" s="35">
        <f>IF(N('Dvd Calendar'!$AP$473)=0,"",IF(('Dvd Calendar'!$AP$473&gt;=GRID_FROM)*('Dvd Calendar'!$AP$473&lt;=GRID_TO)*('Dvd Calendar'!$AP$473&lt;=VAL_DATE)=0,"",'Dvd Calendar'!$AP$473*1000000000+ISNUMBER('Dvd Calendar'!$AP$476)*100000000+('Dvd Calendar'!$AP$478=SPECIAL_LBL)*10000000+0*1000000+43*1000+38))</f>
        <v/>
      </c>
      <c r="FQ54" s="35">
        <f>IF(N('Dvd Calendar'!$AQ$473)=0,"",IF(('Dvd Calendar'!$AQ$473&gt;=GRID_FROM)*('Dvd Calendar'!$AQ$473&lt;=GRID_TO)*('Dvd Calendar'!$AQ$473&lt;=VAL_DATE)=0,"",'Dvd Calendar'!$AQ$473*1000000000+ISNUMBER('Dvd Calendar'!$AQ$476)*100000000+('Dvd Calendar'!$AQ$478=SPECIAL_LBL)*10000000+0*1000000+43*1000+39))</f>
        <v/>
      </c>
      <c r="FR54" s="35">
        <f>IF(N('Dvd Calendar'!$AR$473)=0,"",IF(('Dvd Calendar'!$AR$473&gt;=GRID_FROM)*('Dvd Calendar'!$AR$473&lt;=GRID_TO)*('Dvd Calendar'!$AR$473&lt;=VAL_DATE)=0,"",'Dvd Calendar'!$AR$473*1000000000+ISNUMBER('Dvd Calendar'!$AR$476)*100000000+('Dvd Calendar'!$AR$478=SPECIAL_LBL)*10000000+0*1000000+43*1000+40))</f>
        <v/>
      </c>
      <c r="FS54" s="35">
        <f>IF(N('Dvd Calendar'!$E$480)=0,"",IF(('Dvd Calendar'!$E$480&gt;=GRID_FROM)*('Dvd Calendar'!$E$480&lt;=GRID_TO)*('Dvd Calendar'!$E$480&gt;VAL_DATE)=0,"",'Dvd Calendar'!$E$480*1000000000+ISNUMBER('Dvd Calendar'!$E$481)*100000000+0*10000000+(N('Dvd Calendar'!$E$479)&gt;0)*(N('Dvd Calendar'!$E$479)&lt;=VAL_SERIAL)*1000000+43*1000+41))</f>
        <v/>
      </c>
      <c r="FT54" s="35">
        <f>IF(N('Dvd Calendar'!$F$480)=0,"",IF(('Dvd Calendar'!$F$480&gt;=GRID_FROM)*('Dvd Calendar'!$F$480&lt;=GRID_TO)*('Dvd Calendar'!$F$480&gt;VAL_DATE)=0,"",'Dvd Calendar'!$F$480*1000000000+ISNUMBER('Dvd Calendar'!$F$481)*100000000+0*10000000+(N('Dvd Calendar'!$F$479)&gt;0)*(N('Dvd Calendar'!$F$479)&lt;=VAL_SERIAL)*1000000+43*1000+42))</f>
        <v/>
      </c>
      <c r="FU54" s="35">
        <f>IF(N('Dvd Calendar'!$G$480)=0,"",IF(('Dvd Calendar'!$G$480&gt;=GRID_FROM)*('Dvd Calendar'!$G$480&lt;=GRID_TO)*('Dvd Calendar'!$G$480&gt;VAL_DATE)=0,"",'Dvd Calendar'!$G$480*1000000000+ISNUMBER('Dvd Calendar'!$G$481)*100000000+0*10000000+(N('Dvd Calendar'!$G$479)&gt;0)*(N('Dvd Calendar'!$G$479)&lt;=VAL_SERIAL)*1000000+43*1000+43))</f>
        <v/>
      </c>
      <c r="FV54" s="35">
        <f>IF(N('Dvd Calendar'!$H$480)=0,"",IF(('Dvd Calendar'!$H$480&gt;=GRID_FROM)*('Dvd Calendar'!$H$480&lt;=GRID_TO)*('Dvd Calendar'!$H$480&gt;VAL_DATE)=0,"",'Dvd Calendar'!$H$480*1000000000+ISNUMBER('Dvd Calendar'!$H$481)*100000000+0*10000000+(N('Dvd Calendar'!$H$479)&gt;0)*(N('Dvd Calendar'!$H$479)&lt;=VAL_SERIAL)*1000000+43*1000+44))</f>
        <v/>
      </c>
      <c r="FW54" s="35">
        <f>IF(N('Dvd Calendar'!$I$480)=0,"",IF(('Dvd Calendar'!$I$480&gt;=GRID_FROM)*('Dvd Calendar'!$I$480&lt;=GRID_TO)*('Dvd Calendar'!$I$480&gt;VAL_DATE)=0,"",'Dvd Calendar'!$I$480*1000000000+ISNUMBER('Dvd Calendar'!$I$481)*100000000+0*10000000+(N('Dvd Calendar'!$I$479)&gt;0)*(N('Dvd Calendar'!$I$479)&lt;=VAL_SERIAL)*1000000+43*1000+45))</f>
        <v/>
      </c>
      <c r="FX54" s="35">
        <f>IF(N('Dvd Calendar'!$J$480)=0,"",IF(('Dvd Calendar'!$J$480&gt;=GRID_FROM)*('Dvd Calendar'!$J$480&lt;=GRID_TO)*('Dvd Calendar'!$J$480&gt;VAL_DATE)=0,"",'Dvd Calendar'!$J$480*1000000000+ISNUMBER('Dvd Calendar'!$J$481)*100000000+0*10000000+(N('Dvd Calendar'!$J$479)&gt;0)*(N('Dvd Calendar'!$J$479)&lt;=VAL_SERIAL)*1000000+43*1000+46))</f>
        <v/>
      </c>
      <c r="FY54" s="35">
        <f>IF(N('Dvd Calendar'!$K$480)=0,"",IF(('Dvd Calendar'!$K$480&gt;=GRID_FROM)*('Dvd Calendar'!$K$480&lt;=GRID_TO)*('Dvd Calendar'!$K$480&gt;VAL_DATE)=0,"",'Dvd Calendar'!$K$480*1000000000+ISNUMBER('Dvd Calendar'!$K$481)*100000000+0*10000000+(N('Dvd Calendar'!$K$479)&gt;0)*(N('Dvd Calendar'!$K$479)&lt;=VAL_SERIAL)*1000000+43*1000+47))</f>
        <v/>
      </c>
      <c r="FZ54" s="35">
        <f>IF(N('Dvd Calendar'!$L$480)=0,"",IF(('Dvd Calendar'!$L$480&gt;=GRID_FROM)*('Dvd Calendar'!$L$480&lt;=GRID_TO)*('Dvd Calendar'!$L$480&gt;VAL_DATE)=0,"",'Dvd Calendar'!$L$480*1000000000+ISNUMBER('Dvd Calendar'!$L$481)*100000000+0*10000000+(N('Dvd Calendar'!$L$479)&gt;0)*(N('Dvd Calendar'!$L$479)&lt;=VAL_SERIAL)*1000000+43*1000+48))</f>
        <v/>
      </c>
      <c r="GA54" s="35">
        <f>IF(N('Dvd Calendar'!$M$480)=0,"",IF(('Dvd Calendar'!$M$480&gt;=GRID_FROM)*('Dvd Calendar'!$M$480&lt;=GRID_TO)*('Dvd Calendar'!$M$480&gt;VAL_DATE)=0,"",'Dvd Calendar'!$M$480*1000000000+ISNUMBER('Dvd Calendar'!$M$481)*100000000+0*10000000+(N('Dvd Calendar'!$M$479)&gt;0)*(N('Dvd Calendar'!$M$479)&lt;=VAL_SERIAL)*1000000+43*1000+49))</f>
        <v/>
      </c>
      <c r="GB54" s="35">
        <f>IF(N('Dvd Calendar'!$N$480)=0,"",IF(('Dvd Calendar'!$N$480&gt;=GRID_FROM)*('Dvd Calendar'!$N$480&lt;=GRID_TO)*('Dvd Calendar'!$N$480&gt;VAL_DATE)=0,"",'Dvd Calendar'!$N$480*1000000000+ISNUMBER('Dvd Calendar'!$N$481)*100000000+0*10000000+(N('Dvd Calendar'!$N$479)&gt;0)*(N('Dvd Calendar'!$N$479)&lt;=VAL_SERIAL)*1000000+43*1000+50))</f>
        <v/>
      </c>
      <c r="GC54" s="35">
        <f>IF(N('Dvd Calendar'!$O$480)=0,"",IF(('Dvd Calendar'!$O$480&gt;=GRID_FROM)*('Dvd Calendar'!$O$480&lt;=GRID_TO)*('Dvd Calendar'!$O$480&gt;VAL_DATE)=0,"",'Dvd Calendar'!$O$480*1000000000+ISNUMBER('Dvd Calendar'!$O$481)*100000000+0*10000000+(N('Dvd Calendar'!$O$479)&gt;0)*(N('Dvd Calendar'!$O$479)&lt;=VAL_SERIAL)*1000000+43*1000+51))</f>
        <v/>
      </c>
      <c r="GD54" s="35">
        <f>IF(N('Dvd Calendar'!$P$480)=0,"",IF(('Dvd Calendar'!$P$480&gt;=GRID_FROM)*('Dvd Calendar'!$P$480&lt;=GRID_TO)*('Dvd Calendar'!$P$480&gt;VAL_DATE)=0,"",'Dvd Calendar'!$P$480*1000000000+ISNUMBER('Dvd Calendar'!$P$481)*100000000+0*10000000+(N('Dvd Calendar'!$P$479)&gt;0)*(N('Dvd Calendar'!$P$479)&lt;=VAL_SERIAL)*1000000+43*1000+52))</f>
        <v/>
      </c>
      <c r="GE54" s="35">
        <f>IF(N('Dvd Calendar'!$Q$480)=0,"",IF(('Dvd Calendar'!$Q$480&gt;=GRID_FROM)*('Dvd Calendar'!$Q$480&lt;=GRID_TO)*('Dvd Calendar'!$Q$480&gt;VAL_DATE)=0,"",'Dvd Calendar'!$Q$480*1000000000+ISNUMBER('Dvd Calendar'!$Q$481)*100000000+0*10000000+(N('Dvd Calendar'!$Q$479)&gt;0)*(N('Dvd Calendar'!$Q$479)&lt;=VAL_SERIAL)*1000000+43*1000+53))</f>
        <v/>
      </c>
      <c r="GF54" s="35">
        <f>IF(N('Dvd Calendar'!$R$480)=0,"",IF(('Dvd Calendar'!$R$480&gt;=GRID_FROM)*('Dvd Calendar'!$R$480&lt;=GRID_TO)*('Dvd Calendar'!$R$480&gt;VAL_DATE)=0,"",'Dvd Calendar'!$R$480*1000000000+ISNUMBER('Dvd Calendar'!$R$481)*100000000+0*10000000+(N('Dvd Calendar'!$R$479)&gt;0)*(N('Dvd Calendar'!$R$479)&lt;=VAL_SERIAL)*1000000+43*1000+54))</f>
        <v/>
      </c>
      <c r="GG54" s="35">
        <f>IF(N('Dvd Calendar'!$S$480)=0,"",IF(('Dvd Calendar'!$S$480&gt;=GRID_FROM)*('Dvd Calendar'!$S$480&lt;=GRID_TO)*('Dvd Calendar'!$S$480&gt;VAL_DATE)=0,"",'Dvd Calendar'!$S$480*1000000000+ISNUMBER('Dvd Calendar'!$S$481)*100000000+0*10000000+(N('Dvd Calendar'!$S$479)&gt;0)*(N('Dvd Calendar'!$S$479)&lt;=VAL_SERIAL)*1000000+43*1000+55))</f>
        <v/>
      </c>
      <c r="GH54" s="35">
        <f>IF(N('Dvd Calendar'!$T$480)=0,"",IF(('Dvd Calendar'!$T$480&gt;=GRID_FROM)*('Dvd Calendar'!$T$480&lt;=GRID_TO)*('Dvd Calendar'!$T$480&gt;VAL_DATE)=0,"",'Dvd Calendar'!$T$480*1000000000+ISNUMBER('Dvd Calendar'!$T$481)*100000000+0*10000000+(N('Dvd Calendar'!$T$479)&gt;0)*(N('Dvd Calendar'!$T$479)&lt;=VAL_SERIAL)*1000000+43*1000+56))</f>
        <v/>
      </c>
      <c r="GI54" s="35">
        <f>IF(N('Dvd Calendar'!$U$480)=0,"",IF(('Dvd Calendar'!$U$480&gt;=GRID_FROM)*('Dvd Calendar'!$U$480&lt;=GRID_TO)*('Dvd Calendar'!$U$480&gt;VAL_DATE)=0,"",'Dvd Calendar'!$U$480*1000000000+ISNUMBER('Dvd Calendar'!$U$481)*100000000+0*10000000+(N('Dvd Calendar'!$U$479)&gt;0)*(N('Dvd Calendar'!$U$479)&lt;=VAL_SERIAL)*1000000+43*1000+57))</f>
        <v/>
      </c>
      <c r="GJ54" s="35">
        <f>IF(N('Dvd Calendar'!$V$480)=0,"",IF(('Dvd Calendar'!$V$480&gt;=GRID_FROM)*('Dvd Calendar'!$V$480&lt;=GRID_TO)*('Dvd Calendar'!$V$480&gt;VAL_DATE)=0,"",'Dvd Calendar'!$V$480*1000000000+ISNUMBER('Dvd Calendar'!$V$481)*100000000+0*10000000+(N('Dvd Calendar'!$V$479)&gt;0)*(N('Dvd Calendar'!$V$479)&lt;=VAL_SERIAL)*1000000+43*1000+58))</f>
        <v/>
      </c>
      <c r="GK54" s="35">
        <f>IF(N('Dvd Calendar'!$W$480)=0,"",IF(('Dvd Calendar'!$W$480&gt;=GRID_FROM)*('Dvd Calendar'!$W$480&lt;=GRID_TO)*('Dvd Calendar'!$W$480&gt;VAL_DATE)=0,"",'Dvd Calendar'!$W$480*1000000000+ISNUMBER('Dvd Calendar'!$W$481)*100000000+0*10000000+(N('Dvd Calendar'!$W$479)&gt;0)*(N('Dvd Calendar'!$W$479)&lt;=VAL_SERIAL)*1000000+43*1000+59))</f>
        <v/>
      </c>
      <c r="GL54" s="35">
        <f>IF(N('Dvd Calendar'!$X$480)=0,"",IF(('Dvd Calendar'!$X$480&gt;=GRID_FROM)*('Dvd Calendar'!$X$480&lt;=GRID_TO)*('Dvd Calendar'!$X$480&gt;VAL_DATE)=0,"",'Dvd Calendar'!$X$480*1000000000+ISNUMBER('Dvd Calendar'!$X$481)*100000000+0*10000000+(N('Dvd Calendar'!$X$479)&gt;0)*(N('Dvd Calendar'!$X$479)&lt;=VAL_SERIAL)*1000000+43*1000+60))</f>
        <v/>
      </c>
      <c r="GM54" s="35">
        <f>IF(N('Dvd Calendar'!$Y$480)=0,"",IF(('Dvd Calendar'!$Y$480&gt;=GRID_FROM)*('Dvd Calendar'!$Y$480&lt;=GRID_TO)*('Dvd Calendar'!$Y$480&gt;VAL_DATE)=0,"",'Dvd Calendar'!$Y$480*1000000000+ISNUMBER('Dvd Calendar'!$Y$481)*100000000+0*10000000+(N('Dvd Calendar'!$Y$479)&gt;0)*(N('Dvd Calendar'!$Y$479)&lt;=VAL_SERIAL)*1000000+43*1000+61))</f>
        <v/>
      </c>
      <c r="GN54" s="35">
        <f>IF(N('Dvd Calendar'!$Z$480)=0,"",IF(('Dvd Calendar'!$Z$480&gt;=GRID_FROM)*('Dvd Calendar'!$Z$480&lt;=GRID_TO)*('Dvd Calendar'!$Z$480&gt;VAL_DATE)=0,"",'Dvd Calendar'!$Z$480*1000000000+ISNUMBER('Dvd Calendar'!$Z$481)*100000000+0*10000000+(N('Dvd Calendar'!$Z$479)&gt;0)*(N('Dvd Calendar'!$Z$479)&lt;=VAL_SERIAL)*1000000+43*1000+62))</f>
        <v/>
      </c>
      <c r="GO54" s="35">
        <f>IF(N('Dvd Calendar'!$AA$480)=0,"",IF(('Dvd Calendar'!$AA$480&gt;=GRID_FROM)*('Dvd Calendar'!$AA$480&lt;=GRID_TO)*('Dvd Calendar'!$AA$480&gt;VAL_DATE)=0,"",'Dvd Calendar'!$AA$480*1000000000+ISNUMBER('Dvd Calendar'!$AA$481)*100000000+0*10000000+(N('Dvd Calendar'!$AA$479)&gt;0)*(N('Dvd Calendar'!$AA$479)&lt;=VAL_SERIAL)*1000000+43*1000+63))</f>
        <v/>
      </c>
      <c r="GP54" s="35">
        <f>IF(N('Dvd Calendar'!$AB$480)=0,"",IF(('Dvd Calendar'!$AB$480&gt;=GRID_FROM)*('Dvd Calendar'!$AB$480&lt;=GRID_TO)*('Dvd Calendar'!$AB$480&gt;VAL_DATE)=0,"",'Dvd Calendar'!$AB$480*1000000000+ISNUMBER('Dvd Calendar'!$AB$481)*100000000+0*10000000+(N('Dvd Calendar'!$AB$479)&gt;0)*(N('Dvd Calendar'!$AB$479)&lt;=VAL_SERIAL)*1000000+43*1000+64))</f>
        <v/>
      </c>
      <c r="GQ54" s="35">
        <f>IF(N('Dvd Calendar'!$AC$480)=0,"",IF(('Dvd Calendar'!$AC$480&gt;=GRID_FROM)*('Dvd Calendar'!$AC$480&lt;=GRID_TO)*('Dvd Calendar'!$AC$480&gt;VAL_DATE)=0,"",'Dvd Calendar'!$AC$480*1000000000+ISNUMBER('Dvd Calendar'!$AC$481)*100000000+0*10000000+(N('Dvd Calendar'!$AC$479)&gt;0)*(N('Dvd Calendar'!$AC$479)&lt;=VAL_SERIAL)*1000000+43*1000+65))</f>
        <v/>
      </c>
    </row>
    <row r="55">
      <c r="B55" s="2">
        <f>IF(HSI!$C$50="","",HSI!$C$50)</f>
        <v/>
      </c>
      <c r="C55" s="106">
        <f>IF(EE55="","",IF(ISNUMBER('Dvd Calendar'!$E$487)=FALSE,"",IF((('Dvd Calendar'!$E$489=TYPE1)*(TYPE1&lt;&gt;"")+('Dvd Calendar'!$E$489=TYPE2)*(TYPE2&lt;&gt;"")+('Dvd Calendar'!$E$489=TYPE3)*(TYPE3&lt;&gt;"")+('Dvd Calendar'!$E$489=TYPE4)*(TYPE4&lt;&gt;"")+('Dvd Calendar'!$E$489=SPECIAL_LBL)*(INC_SPECIALS="Y"))=0,"",'Dvd Calendar'!$E$487)))</f>
        <v/>
      </c>
      <c r="D55" s="106">
        <f>IF(EF55="","",IF(ISNUMBER('Dvd Calendar'!$F$487)=FALSE,"",IF((('Dvd Calendar'!$F$489=TYPE1)*(TYPE1&lt;&gt;"")+('Dvd Calendar'!$F$489=TYPE2)*(TYPE2&lt;&gt;"")+('Dvd Calendar'!$F$489=TYPE3)*(TYPE3&lt;&gt;"")+('Dvd Calendar'!$F$489=TYPE4)*(TYPE4&lt;&gt;"")+('Dvd Calendar'!$F$489=SPECIAL_LBL)*(INC_SPECIALS="Y"))=0,"",'Dvd Calendar'!$F$487)))</f>
        <v/>
      </c>
      <c r="E55" s="106">
        <f>IF(EG55="","",IF(ISNUMBER('Dvd Calendar'!$G$487)=FALSE,"",IF((('Dvd Calendar'!$G$489=TYPE1)*(TYPE1&lt;&gt;"")+('Dvd Calendar'!$G$489=TYPE2)*(TYPE2&lt;&gt;"")+('Dvd Calendar'!$G$489=TYPE3)*(TYPE3&lt;&gt;"")+('Dvd Calendar'!$G$489=TYPE4)*(TYPE4&lt;&gt;"")+('Dvd Calendar'!$G$489=SPECIAL_LBL)*(INC_SPECIALS="Y"))=0,"",'Dvd Calendar'!$G$487)))</f>
        <v/>
      </c>
      <c r="F55" s="106">
        <f>IF(EH55="","",IF(ISNUMBER('Dvd Calendar'!$H$487)=FALSE,"",IF((('Dvd Calendar'!$H$489=TYPE1)*(TYPE1&lt;&gt;"")+('Dvd Calendar'!$H$489=TYPE2)*(TYPE2&lt;&gt;"")+('Dvd Calendar'!$H$489=TYPE3)*(TYPE3&lt;&gt;"")+('Dvd Calendar'!$H$489=TYPE4)*(TYPE4&lt;&gt;"")+('Dvd Calendar'!$H$489=SPECIAL_LBL)*(INC_SPECIALS="Y"))=0,"",'Dvd Calendar'!$H$487)))</f>
        <v/>
      </c>
      <c r="G55" s="106">
        <f>IF(EI55="","",IF(ISNUMBER('Dvd Calendar'!$I$487)=FALSE,"",IF((('Dvd Calendar'!$I$489=TYPE1)*(TYPE1&lt;&gt;"")+('Dvd Calendar'!$I$489=TYPE2)*(TYPE2&lt;&gt;"")+('Dvd Calendar'!$I$489=TYPE3)*(TYPE3&lt;&gt;"")+('Dvd Calendar'!$I$489=TYPE4)*(TYPE4&lt;&gt;"")+('Dvd Calendar'!$I$489=SPECIAL_LBL)*(INC_SPECIALS="Y"))=0,"",'Dvd Calendar'!$I$487)))</f>
        <v/>
      </c>
      <c r="H55" s="106">
        <f>IF(EJ55="","",IF(ISNUMBER('Dvd Calendar'!$J$487)=FALSE,"",IF((('Dvd Calendar'!$J$489=TYPE1)*(TYPE1&lt;&gt;"")+('Dvd Calendar'!$J$489=TYPE2)*(TYPE2&lt;&gt;"")+('Dvd Calendar'!$J$489=TYPE3)*(TYPE3&lt;&gt;"")+('Dvd Calendar'!$J$489=TYPE4)*(TYPE4&lt;&gt;"")+('Dvd Calendar'!$J$489=SPECIAL_LBL)*(INC_SPECIALS="Y"))=0,"",'Dvd Calendar'!$J$487)))</f>
        <v/>
      </c>
      <c r="I55" s="106">
        <f>IF(EK55="","",IF(ISNUMBER('Dvd Calendar'!$K$487)=FALSE,"",IF((('Dvd Calendar'!$K$489=TYPE1)*(TYPE1&lt;&gt;"")+('Dvd Calendar'!$K$489=TYPE2)*(TYPE2&lt;&gt;"")+('Dvd Calendar'!$K$489=TYPE3)*(TYPE3&lt;&gt;"")+('Dvd Calendar'!$K$489=TYPE4)*(TYPE4&lt;&gt;"")+('Dvd Calendar'!$K$489=SPECIAL_LBL)*(INC_SPECIALS="Y"))=0,"",'Dvd Calendar'!$K$487)))</f>
        <v/>
      </c>
      <c r="J55" s="106">
        <f>IF(EL55="","",IF(ISNUMBER('Dvd Calendar'!$L$487)=FALSE,"",IF((('Dvd Calendar'!$L$489=TYPE1)*(TYPE1&lt;&gt;"")+('Dvd Calendar'!$L$489=TYPE2)*(TYPE2&lt;&gt;"")+('Dvd Calendar'!$L$489=TYPE3)*(TYPE3&lt;&gt;"")+('Dvd Calendar'!$L$489=TYPE4)*(TYPE4&lt;&gt;"")+('Dvd Calendar'!$L$489=SPECIAL_LBL)*(INC_SPECIALS="Y"))=0,"",'Dvd Calendar'!$L$487)))</f>
        <v/>
      </c>
      <c r="K55" s="106">
        <f>IF(EM55="","",IF(ISNUMBER('Dvd Calendar'!$M$487)=FALSE,"",IF((('Dvd Calendar'!$M$489=TYPE1)*(TYPE1&lt;&gt;"")+('Dvd Calendar'!$M$489=TYPE2)*(TYPE2&lt;&gt;"")+('Dvd Calendar'!$M$489=TYPE3)*(TYPE3&lt;&gt;"")+('Dvd Calendar'!$M$489=TYPE4)*(TYPE4&lt;&gt;"")+('Dvd Calendar'!$M$489=SPECIAL_LBL)*(INC_SPECIALS="Y"))=0,"",'Dvd Calendar'!$M$487)))</f>
        <v/>
      </c>
      <c r="L55" s="106">
        <f>IF(EN55="","",IF(ISNUMBER('Dvd Calendar'!$N$487)=FALSE,"",IF((('Dvd Calendar'!$N$489=TYPE1)*(TYPE1&lt;&gt;"")+('Dvd Calendar'!$N$489=TYPE2)*(TYPE2&lt;&gt;"")+('Dvd Calendar'!$N$489=TYPE3)*(TYPE3&lt;&gt;"")+('Dvd Calendar'!$N$489=TYPE4)*(TYPE4&lt;&gt;"")+('Dvd Calendar'!$N$489=SPECIAL_LBL)*(INC_SPECIALS="Y"))=0,"",'Dvd Calendar'!$N$487)))</f>
        <v/>
      </c>
      <c r="M55" s="106">
        <f>IF(EO55="","",IF(ISNUMBER('Dvd Calendar'!$O$487)=FALSE,"",IF((('Dvd Calendar'!$O$489=TYPE1)*(TYPE1&lt;&gt;"")+('Dvd Calendar'!$O$489=TYPE2)*(TYPE2&lt;&gt;"")+('Dvd Calendar'!$O$489=TYPE3)*(TYPE3&lt;&gt;"")+('Dvd Calendar'!$O$489=TYPE4)*(TYPE4&lt;&gt;"")+('Dvd Calendar'!$O$489=SPECIAL_LBL)*(INC_SPECIALS="Y"))=0,"",'Dvd Calendar'!$O$487)))</f>
        <v/>
      </c>
      <c r="N55" s="106">
        <f>IF(EP55="","",IF(ISNUMBER('Dvd Calendar'!$P$487)=FALSE,"",IF((('Dvd Calendar'!$P$489=TYPE1)*(TYPE1&lt;&gt;"")+('Dvd Calendar'!$P$489=TYPE2)*(TYPE2&lt;&gt;"")+('Dvd Calendar'!$P$489=TYPE3)*(TYPE3&lt;&gt;"")+('Dvd Calendar'!$P$489=TYPE4)*(TYPE4&lt;&gt;"")+('Dvd Calendar'!$P$489=SPECIAL_LBL)*(INC_SPECIALS="Y"))=0,"",'Dvd Calendar'!$P$487)))</f>
        <v/>
      </c>
      <c r="O55" s="106">
        <f>IF(EQ55="","",IF(ISNUMBER('Dvd Calendar'!$Q$487)=FALSE,"",IF((('Dvd Calendar'!$Q$489=TYPE1)*(TYPE1&lt;&gt;"")+('Dvd Calendar'!$Q$489=TYPE2)*(TYPE2&lt;&gt;"")+('Dvd Calendar'!$Q$489=TYPE3)*(TYPE3&lt;&gt;"")+('Dvd Calendar'!$Q$489=TYPE4)*(TYPE4&lt;&gt;"")+('Dvd Calendar'!$Q$489=SPECIAL_LBL)*(INC_SPECIALS="Y"))=0,"",'Dvd Calendar'!$Q$487)))</f>
        <v/>
      </c>
      <c r="P55" s="106">
        <f>IF(ER55="","",IF(ISNUMBER('Dvd Calendar'!$R$487)=FALSE,"",IF((('Dvd Calendar'!$R$489=TYPE1)*(TYPE1&lt;&gt;"")+('Dvd Calendar'!$R$489=TYPE2)*(TYPE2&lt;&gt;"")+('Dvd Calendar'!$R$489=TYPE3)*(TYPE3&lt;&gt;"")+('Dvd Calendar'!$R$489=TYPE4)*(TYPE4&lt;&gt;"")+('Dvd Calendar'!$R$489=SPECIAL_LBL)*(INC_SPECIALS="Y"))=0,"",'Dvd Calendar'!$R$487)))</f>
        <v/>
      </c>
      <c r="Q55" s="106">
        <f>IF(ES55="","",IF(ISNUMBER('Dvd Calendar'!$S$487)=FALSE,"",IF((('Dvd Calendar'!$S$489=TYPE1)*(TYPE1&lt;&gt;"")+('Dvd Calendar'!$S$489=TYPE2)*(TYPE2&lt;&gt;"")+('Dvd Calendar'!$S$489=TYPE3)*(TYPE3&lt;&gt;"")+('Dvd Calendar'!$S$489=TYPE4)*(TYPE4&lt;&gt;"")+('Dvd Calendar'!$S$489=SPECIAL_LBL)*(INC_SPECIALS="Y"))=0,"",'Dvd Calendar'!$S$487)))</f>
        <v/>
      </c>
      <c r="R55" s="106">
        <f>IF(ET55="","",IF(ISNUMBER('Dvd Calendar'!$T$487)=FALSE,"",IF((('Dvd Calendar'!$T$489=TYPE1)*(TYPE1&lt;&gt;"")+('Dvd Calendar'!$T$489=TYPE2)*(TYPE2&lt;&gt;"")+('Dvd Calendar'!$T$489=TYPE3)*(TYPE3&lt;&gt;"")+('Dvd Calendar'!$T$489=TYPE4)*(TYPE4&lt;&gt;"")+('Dvd Calendar'!$T$489=SPECIAL_LBL)*(INC_SPECIALS="Y"))=0,"",'Dvd Calendar'!$T$487)))</f>
        <v/>
      </c>
      <c r="S55" s="106">
        <f>IF(EU55="","",IF(ISNUMBER('Dvd Calendar'!$U$487)=FALSE,"",IF((('Dvd Calendar'!$U$489=TYPE1)*(TYPE1&lt;&gt;"")+('Dvd Calendar'!$U$489=TYPE2)*(TYPE2&lt;&gt;"")+('Dvd Calendar'!$U$489=TYPE3)*(TYPE3&lt;&gt;"")+('Dvd Calendar'!$U$489=TYPE4)*(TYPE4&lt;&gt;"")+('Dvd Calendar'!$U$489=SPECIAL_LBL)*(INC_SPECIALS="Y"))=0,"",'Dvd Calendar'!$U$487)))</f>
        <v/>
      </c>
      <c r="T55" s="106">
        <f>IF(EV55="","",IF(ISNUMBER('Dvd Calendar'!$V$487)=FALSE,"",IF((('Dvd Calendar'!$V$489=TYPE1)*(TYPE1&lt;&gt;"")+('Dvd Calendar'!$V$489=TYPE2)*(TYPE2&lt;&gt;"")+('Dvd Calendar'!$V$489=TYPE3)*(TYPE3&lt;&gt;"")+('Dvd Calendar'!$V$489=TYPE4)*(TYPE4&lt;&gt;"")+('Dvd Calendar'!$V$489=SPECIAL_LBL)*(INC_SPECIALS="Y"))=0,"",'Dvd Calendar'!$V$487)))</f>
        <v/>
      </c>
      <c r="U55" s="106">
        <f>IF(EW55="","",IF(ISNUMBER('Dvd Calendar'!$W$487)=FALSE,"",IF((('Dvd Calendar'!$W$489=TYPE1)*(TYPE1&lt;&gt;"")+('Dvd Calendar'!$W$489=TYPE2)*(TYPE2&lt;&gt;"")+('Dvd Calendar'!$W$489=TYPE3)*(TYPE3&lt;&gt;"")+('Dvd Calendar'!$W$489=TYPE4)*(TYPE4&lt;&gt;"")+('Dvd Calendar'!$W$489=SPECIAL_LBL)*(INC_SPECIALS="Y"))=0,"",'Dvd Calendar'!$W$487)))</f>
        <v/>
      </c>
      <c r="V55" s="106">
        <f>IF(EX55="","",IF(ISNUMBER('Dvd Calendar'!$X$487)=FALSE,"",IF((('Dvd Calendar'!$X$489=TYPE1)*(TYPE1&lt;&gt;"")+('Dvd Calendar'!$X$489=TYPE2)*(TYPE2&lt;&gt;"")+('Dvd Calendar'!$X$489=TYPE3)*(TYPE3&lt;&gt;"")+('Dvd Calendar'!$X$489=TYPE4)*(TYPE4&lt;&gt;"")+('Dvd Calendar'!$X$489=SPECIAL_LBL)*(INC_SPECIALS="Y"))=0,"",'Dvd Calendar'!$X$487)))</f>
        <v/>
      </c>
      <c r="W55" s="106">
        <f>IF(EY55="","",IF(ISNUMBER('Dvd Calendar'!$Y$487)=FALSE,"",IF((('Dvd Calendar'!$Y$489=TYPE1)*(TYPE1&lt;&gt;"")+('Dvd Calendar'!$Y$489=TYPE2)*(TYPE2&lt;&gt;"")+('Dvd Calendar'!$Y$489=TYPE3)*(TYPE3&lt;&gt;"")+('Dvd Calendar'!$Y$489=TYPE4)*(TYPE4&lt;&gt;"")+('Dvd Calendar'!$Y$489=SPECIAL_LBL)*(INC_SPECIALS="Y"))=0,"",'Dvd Calendar'!$Y$487)))</f>
        <v/>
      </c>
      <c r="X55" s="106">
        <f>IF(EZ55="","",IF(ISNUMBER('Dvd Calendar'!$Z$487)=FALSE,"",IF((('Dvd Calendar'!$Z$489=TYPE1)*(TYPE1&lt;&gt;"")+('Dvd Calendar'!$Z$489=TYPE2)*(TYPE2&lt;&gt;"")+('Dvd Calendar'!$Z$489=TYPE3)*(TYPE3&lt;&gt;"")+('Dvd Calendar'!$Z$489=TYPE4)*(TYPE4&lt;&gt;"")+('Dvd Calendar'!$Z$489=SPECIAL_LBL)*(INC_SPECIALS="Y"))=0,"",'Dvd Calendar'!$Z$487)))</f>
        <v/>
      </c>
      <c r="Y55" s="106">
        <f>IF(FA55="","",IF(ISNUMBER('Dvd Calendar'!$AA$487)=FALSE,"",IF((('Dvd Calendar'!$AA$489=TYPE1)*(TYPE1&lt;&gt;"")+('Dvd Calendar'!$AA$489=TYPE2)*(TYPE2&lt;&gt;"")+('Dvd Calendar'!$AA$489=TYPE3)*(TYPE3&lt;&gt;"")+('Dvd Calendar'!$AA$489=TYPE4)*(TYPE4&lt;&gt;"")+('Dvd Calendar'!$AA$489=SPECIAL_LBL)*(INC_SPECIALS="Y"))=0,"",'Dvd Calendar'!$AA$487)))</f>
        <v/>
      </c>
      <c r="Z55" s="106">
        <f>IF(FB55="","",IF(ISNUMBER('Dvd Calendar'!$AB$487)=FALSE,"",IF((('Dvd Calendar'!$AB$489=TYPE1)*(TYPE1&lt;&gt;"")+('Dvd Calendar'!$AB$489=TYPE2)*(TYPE2&lt;&gt;"")+('Dvd Calendar'!$AB$489=TYPE3)*(TYPE3&lt;&gt;"")+('Dvd Calendar'!$AB$489=TYPE4)*(TYPE4&lt;&gt;"")+('Dvd Calendar'!$AB$489=SPECIAL_LBL)*(INC_SPECIALS="Y"))=0,"",'Dvd Calendar'!$AB$487)))</f>
        <v/>
      </c>
      <c r="AA55" s="106">
        <f>IF(FC55="","",IF(ISNUMBER('Dvd Calendar'!$AC$487)=FALSE,"",IF((('Dvd Calendar'!$AC$489=TYPE1)*(TYPE1&lt;&gt;"")+('Dvd Calendar'!$AC$489=TYPE2)*(TYPE2&lt;&gt;"")+('Dvd Calendar'!$AC$489=TYPE3)*(TYPE3&lt;&gt;"")+('Dvd Calendar'!$AC$489=TYPE4)*(TYPE4&lt;&gt;"")+('Dvd Calendar'!$AC$489=SPECIAL_LBL)*(INC_SPECIALS="Y"))=0,"",'Dvd Calendar'!$AC$487)))</f>
        <v/>
      </c>
      <c r="AB55" s="106">
        <f>IF(FD55="","",IF(ISNUMBER('Dvd Calendar'!$AD$487)=FALSE,"",IF((('Dvd Calendar'!$AD$489=TYPE1)*(TYPE1&lt;&gt;"")+('Dvd Calendar'!$AD$489=TYPE2)*(TYPE2&lt;&gt;"")+('Dvd Calendar'!$AD$489=TYPE3)*(TYPE3&lt;&gt;"")+('Dvd Calendar'!$AD$489=TYPE4)*(TYPE4&lt;&gt;"")+('Dvd Calendar'!$AD$489=SPECIAL_LBL)*(INC_SPECIALS="Y"))=0,"",'Dvd Calendar'!$AD$487)))</f>
        <v/>
      </c>
      <c r="AC55" s="106">
        <f>IF(FE55="","",IF(ISNUMBER('Dvd Calendar'!$AE$487)=FALSE,"",IF((('Dvd Calendar'!$AE$489=TYPE1)*(TYPE1&lt;&gt;"")+('Dvd Calendar'!$AE$489=TYPE2)*(TYPE2&lt;&gt;"")+('Dvd Calendar'!$AE$489=TYPE3)*(TYPE3&lt;&gt;"")+('Dvd Calendar'!$AE$489=TYPE4)*(TYPE4&lt;&gt;"")+('Dvd Calendar'!$AE$489=SPECIAL_LBL)*(INC_SPECIALS="Y"))=0,"",'Dvd Calendar'!$AE$487)))</f>
        <v/>
      </c>
      <c r="AD55" s="106">
        <f>IF(FF55="","",IF(ISNUMBER('Dvd Calendar'!$AF$487)=FALSE,"",IF((('Dvd Calendar'!$AF$489=TYPE1)*(TYPE1&lt;&gt;"")+('Dvd Calendar'!$AF$489=TYPE2)*(TYPE2&lt;&gt;"")+('Dvd Calendar'!$AF$489=TYPE3)*(TYPE3&lt;&gt;"")+('Dvd Calendar'!$AF$489=TYPE4)*(TYPE4&lt;&gt;"")+('Dvd Calendar'!$AF$489=SPECIAL_LBL)*(INC_SPECIALS="Y"))=0,"",'Dvd Calendar'!$AF$487)))</f>
        <v/>
      </c>
      <c r="AE55" s="106">
        <f>IF(FG55="","",IF(ISNUMBER('Dvd Calendar'!$AG$487)=FALSE,"",IF((('Dvd Calendar'!$AG$489=TYPE1)*(TYPE1&lt;&gt;"")+('Dvd Calendar'!$AG$489=TYPE2)*(TYPE2&lt;&gt;"")+('Dvd Calendar'!$AG$489=TYPE3)*(TYPE3&lt;&gt;"")+('Dvd Calendar'!$AG$489=TYPE4)*(TYPE4&lt;&gt;"")+('Dvd Calendar'!$AG$489=SPECIAL_LBL)*(INC_SPECIALS="Y"))=0,"",'Dvd Calendar'!$AG$487)))</f>
        <v/>
      </c>
      <c r="AF55" s="106">
        <f>IF(FH55="","",IF(ISNUMBER('Dvd Calendar'!$AH$487)=FALSE,"",IF((('Dvd Calendar'!$AH$489=TYPE1)*(TYPE1&lt;&gt;"")+('Dvd Calendar'!$AH$489=TYPE2)*(TYPE2&lt;&gt;"")+('Dvd Calendar'!$AH$489=TYPE3)*(TYPE3&lt;&gt;"")+('Dvd Calendar'!$AH$489=TYPE4)*(TYPE4&lt;&gt;"")+('Dvd Calendar'!$AH$489=SPECIAL_LBL)*(INC_SPECIALS="Y"))=0,"",'Dvd Calendar'!$AH$487)))</f>
        <v/>
      </c>
      <c r="AG55" s="106">
        <f>IF(FI55="","",IF(ISNUMBER('Dvd Calendar'!$AI$487)=FALSE,"",IF((('Dvd Calendar'!$AI$489=TYPE1)*(TYPE1&lt;&gt;"")+('Dvd Calendar'!$AI$489=TYPE2)*(TYPE2&lt;&gt;"")+('Dvd Calendar'!$AI$489=TYPE3)*(TYPE3&lt;&gt;"")+('Dvd Calendar'!$AI$489=TYPE4)*(TYPE4&lt;&gt;"")+('Dvd Calendar'!$AI$489=SPECIAL_LBL)*(INC_SPECIALS="Y"))=0,"",'Dvd Calendar'!$AI$487)))</f>
        <v/>
      </c>
      <c r="AH55" s="106">
        <f>IF(FJ55="","",IF(ISNUMBER('Dvd Calendar'!$AJ$487)=FALSE,"",IF((('Dvd Calendar'!$AJ$489=TYPE1)*(TYPE1&lt;&gt;"")+('Dvd Calendar'!$AJ$489=TYPE2)*(TYPE2&lt;&gt;"")+('Dvd Calendar'!$AJ$489=TYPE3)*(TYPE3&lt;&gt;"")+('Dvd Calendar'!$AJ$489=TYPE4)*(TYPE4&lt;&gt;"")+('Dvd Calendar'!$AJ$489=SPECIAL_LBL)*(INC_SPECIALS="Y"))=0,"",'Dvd Calendar'!$AJ$487)))</f>
        <v/>
      </c>
      <c r="AI55" s="106">
        <f>IF(FK55="","",IF(ISNUMBER('Dvd Calendar'!$AK$487)=FALSE,"",IF((('Dvd Calendar'!$AK$489=TYPE1)*(TYPE1&lt;&gt;"")+('Dvd Calendar'!$AK$489=TYPE2)*(TYPE2&lt;&gt;"")+('Dvd Calendar'!$AK$489=TYPE3)*(TYPE3&lt;&gt;"")+('Dvd Calendar'!$AK$489=TYPE4)*(TYPE4&lt;&gt;"")+('Dvd Calendar'!$AK$489=SPECIAL_LBL)*(INC_SPECIALS="Y"))=0,"",'Dvd Calendar'!$AK$487)))</f>
        <v/>
      </c>
      <c r="AJ55" s="106">
        <f>IF(FL55="","",IF(ISNUMBER('Dvd Calendar'!$AL$487)=FALSE,"",IF((('Dvd Calendar'!$AL$489=TYPE1)*(TYPE1&lt;&gt;"")+('Dvd Calendar'!$AL$489=TYPE2)*(TYPE2&lt;&gt;"")+('Dvd Calendar'!$AL$489=TYPE3)*(TYPE3&lt;&gt;"")+('Dvd Calendar'!$AL$489=TYPE4)*(TYPE4&lt;&gt;"")+('Dvd Calendar'!$AL$489=SPECIAL_LBL)*(INC_SPECIALS="Y"))=0,"",'Dvd Calendar'!$AL$487)))</f>
        <v/>
      </c>
      <c r="AK55" s="106">
        <f>IF(FM55="","",IF(ISNUMBER('Dvd Calendar'!$AM$487)=FALSE,"",IF((('Dvd Calendar'!$AM$489=TYPE1)*(TYPE1&lt;&gt;"")+('Dvd Calendar'!$AM$489=TYPE2)*(TYPE2&lt;&gt;"")+('Dvd Calendar'!$AM$489=TYPE3)*(TYPE3&lt;&gt;"")+('Dvd Calendar'!$AM$489=TYPE4)*(TYPE4&lt;&gt;"")+('Dvd Calendar'!$AM$489=SPECIAL_LBL)*(INC_SPECIALS="Y"))=0,"",'Dvd Calendar'!$AM$487)))</f>
        <v/>
      </c>
      <c r="AL55" s="106">
        <f>IF(FN55="","",IF(ISNUMBER('Dvd Calendar'!$AN$487)=FALSE,"",IF((('Dvd Calendar'!$AN$489=TYPE1)*(TYPE1&lt;&gt;"")+('Dvd Calendar'!$AN$489=TYPE2)*(TYPE2&lt;&gt;"")+('Dvd Calendar'!$AN$489=TYPE3)*(TYPE3&lt;&gt;"")+('Dvd Calendar'!$AN$489=TYPE4)*(TYPE4&lt;&gt;"")+('Dvd Calendar'!$AN$489=SPECIAL_LBL)*(INC_SPECIALS="Y"))=0,"",'Dvd Calendar'!$AN$487)))</f>
        <v/>
      </c>
      <c r="AM55" s="106">
        <f>IF(FO55="","",IF(ISNUMBER('Dvd Calendar'!$AO$487)=FALSE,"",IF((('Dvd Calendar'!$AO$489=TYPE1)*(TYPE1&lt;&gt;"")+('Dvd Calendar'!$AO$489=TYPE2)*(TYPE2&lt;&gt;"")+('Dvd Calendar'!$AO$489=TYPE3)*(TYPE3&lt;&gt;"")+('Dvd Calendar'!$AO$489=TYPE4)*(TYPE4&lt;&gt;"")+('Dvd Calendar'!$AO$489=SPECIAL_LBL)*(INC_SPECIALS="Y"))=0,"",'Dvd Calendar'!$AO$487)))</f>
        <v/>
      </c>
      <c r="AN55" s="106">
        <f>IF(FP55="","",IF(ISNUMBER('Dvd Calendar'!$AP$487)=FALSE,"",IF((('Dvd Calendar'!$AP$489=TYPE1)*(TYPE1&lt;&gt;"")+('Dvd Calendar'!$AP$489=TYPE2)*(TYPE2&lt;&gt;"")+('Dvd Calendar'!$AP$489=TYPE3)*(TYPE3&lt;&gt;"")+('Dvd Calendar'!$AP$489=TYPE4)*(TYPE4&lt;&gt;"")+('Dvd Calendar'!$AP$489=SPECIAL_LBL)*(INC_SPECIALS="Y"))=0,"",'Dvd Calendar'!$AP$487)))</f>
        <v/>
      </c>
      <c r="AO55" s="106">
        <f>IF(FQ55="","",IF(ISNUMBER('Dvd Calendar'!$AQ$487)=FALSE,"",IF((('Dvd Calendar'!$AQ$489=TYPE1)*(TYPE1&lt;&gt;"")+('Dvd Calendar'!$AQ$489=TYPE2)*(TYPE2&lt;&gt;"")+('Dvd Calendar'!$AQ$489=TYPE3)*(TYPE3&lt;&gt;"")+('Dvd Calendar'!$AQ$489=TYPE4)*(TYPE4&lt;&gt;"")+('Dvd Calendar'!$AQ$489=SPECIAL_LBL)*(INC_SPECIALS="Y"))=0,"",'Dvd Calendar'!$AQ$487)))</f>
        <v/>
      </c>
      <c r="AP55" s="106">
        <f>IF(FR55="","",IF(ISNUMBER('Dvd Calendar'!$AR$487)=FALSE,"",IF((('Dvd Calendar'!$AR$489=TYPE1)*(TYPE1&lt;&gt;"")+('Dvd Calendar'!$AR$489=TYPE2)*(TYPE2&lt;&gt;"")+('Dvd Calendar'!$AR$489=TYPE3)*(TYPE3&lt;&gt;"")+('Dvd Calendar'!$AR$489=TYPE4)*(TYPE4&lt;&gt;"")+('Dvd Calendar'!$AR$489=SPECIAL_LBL)*(INC_SPECIALS="Y"))=0,"",'Dvd Calendar'!$AR$487)))</f>
        <v/>
      </c>
      <c r="AQ55" s="106">
        <f>IF(FS55="","",IF(ISNUMBER('Dvd Calendar'!$E$492)=FALSE,"",'Dvd Calendar'!$E$492))</f>
        <v/>
      </c>
      <c r="AR55" s="106">
        <f>IF(FT55="","",IF(ISNUMBER('Dvd Calendar'!$F$492)=FALSE,"",'Dvd Calendar'!$F$492))</f>
        <v/>
      </c>
      <c r="AS55" s="106">
        <f>IF(FU55="","",IF(ISNUMBER('Dvd Calendar'!$G$492)=FALSE,"",'Dvd Calendar'!$G$492))</f>
        <v/>
      </c>
      <c r="AT55" s="106">
        <f>IF(FV55="","",IF(ISNUMBER('Dvd Calendar'!$H$492)=FALSE,"",'Dvd Calendar'!$H$492))</f>
        <v/>
      </c>
      <c r="AU55" s="106">
        <f>IF(FW55="","",IF(ISNUMBER('Dvd Calendar'!$I$492)=FALSE,"",'Dvd Calendar'!$I$492))</f>
        <v/>
      </c>
      <c r="AV55" s="106">
        <f>IF(FX55="","",IF(ISNUMBER('Dvd Calendar'!$J$492)=FALSE,"",'Dvd Calendar'!$J$492))</f>
        <v/>
      </c>
      <c r="AW55" s="106">
        <f>IF(FY55="","",IF(ISNUMBER('Dvd Calendar'!$K$492)=FALSE,"",'Dvd Calendar'!$K$492))</f>
        <v/>
      </c>
      <c r="AX55" s="106">
        <f>IF(FZ55="","",IF(ISNUMBER('Dvd Calendar'!$L$492)=FALSE,"",'Dvd Calendar'!$L$492))</f>
        <v/>
      </c>
      <c r="AY55" s="106">
        <f>IF(GA55="","",IF(ISNUMBER('Dvd Calendar'!$M$492)=FALSE,"",'Dvd Calendar'!$M$492))</f>
        <v/>
      </c>
      <c r="AZ55" s="106">
        <f>IF(GB55="","",IF(ISNUMBER('Dvd Calendar'!$N$492)=FALSE,"",'Dvd Calendar'!$N$492))</f>
        <v/>
      </c>
      <c r="BA55" s="106">
        <f>IF(GC55="","",IF(ISNUMBER('Dvd Calendar'!$O$492)=FALSE,"",'Dvd Calendar'!$O$492))</f>
        <v/>
      </c>
      <c r="BB55" s="106">
        <f>IF(GD55="","",IF(ISNUMBER('Dvd Calendar'!$P$492)=FALSE,"",'Dvd Calendar'!$P$492))</f>
        <v/>
      </c>
      <c r="BC55" s="106">
        <f>IF(GE55="","",IF(ISNUMBER('Dvd Calendar'!$Q$492)=FALSE,"",'Dvd Calendar'!$Q$492))</f>
        <v/>
      </c>
      <c r="BD55" s="106">
        <f>IF(GF55="","",IF(ISNUMBER('Dvd Calendar'!$R$492)=FALSE,"",'Dvd Calendar'!$R$492))</f>
        <v/>
      </c>
      <c r="BE55" s="106">
        <f>IF(GG55="","",IF(ISNUMBER('Dvd Calendar'!$S$492)=FALSE,"",'Dvd Calendar'!$S$492))</f>
        <v/>
      </c>
      <c r="BF55" s="106">
        <f>IF(GH55="","",IF(ISNUMBER('Dvd Calendar'!$T$492)=FALSE,"",'Dvd Calendar'!$T$492))</f>
        <v/>
      </c>
      <c r="BG55" s="106">
        <f>IF(GI55="","",IF(ISNUMBER('Dvd Calendar'!$U$492)=FALSE,"",'Dvd Calendar'!$U$492))</f>
        <v/>
      </c>
      <c r="BH55" s="106">
        <f>IF(GJ55="","",IF(ISNUMBER('Dvd Calendar'!$V$492)=FALSE,"",'Dvd Calendar'!$V$492))</f>
        <v/>
      </c>
      <c r="BI55" s="106">
        <f>IF(GK55="","",IF(ISNUMBER('Dvd Calendar'!$W$492)=FALSE,"",'Dvd Calendar'!$W$492))</f>
        <v/>
      </c>
      <c r="BJ55" s="106">
        <f>IF(GL55="","",IF(ISNUMBER('Dvd Calendar'!$X$492)=FALSE,"",'Dvd Calendar'!$X$492))</f>
        <v/>
      </c>
      <c r="BK55" s="106">
        <f>IF(GM55="","",IF(ISNUMBER('Dvd Calendar'!$Y$492)=FALSE,"",'Dvd Calendar'!$Y$492))</f>
        <v/>
      </c>
      <c r="BL55" s="106">
        <f>IF(GN55="","",IF(ISNUMBER('Dvd Calendar'!$Z$492)=FALSE,"",'Dvd Calendar'!$Z$492))</f>
        <v/>
      </c>
      <c r="BM55" s="106">
        <f>IF(GO55="","",IF(ISNUMBER('Dvd Calendar'!$AA$492)=FALSE,"",'Dvd Calendar'!$AA$492))</f>
        <v/>
      </c>
      <c r="BN55" s="106">
        <f>IF(GP55="","",IF(ISNUMBER('Dvd Calendar'!$AB$492)=FALSE,"",'Dvd Calendar'!$AB$492))</f>
        <v/>
      </c>
      <c r="BO55" s="106">
        <f>IF(GQ55="","",IF(ISNUMBER('Dvd Calendar'!$AC$492)=FALSE,"",'Dvd Calendar'!$AC$492))</f>
        <v/>
      </c>
      <c r="BQ55" s="106">
        <f>IF(C55="","",IFERROR(C55*HSI!$B$50*HSI!$G$50/HSI!$B$3,""))</f>
        <v/>
      </c>
      <c r="BR55" s="106">
        <f>IF(D55="","",IFERROR(D55*HSI!$B$50*HSI!$G$50/HSI!$B$3,""))</f>
        <v/>
      </c>
      <c r="BS55" s="106">
        <f>IF(E55="","",IFERROR(E55*HSI!$B$50*HSI!$G$50/HSI!$B$3,""))</f>
        <v/>
      </c>
      <c r="BT55" s="106">
        <f>IF(F55="","",IFERROR(F55*HSI!$B$50*HSI!$G$50/HSI!$B$3,""))</f>
        <v/>
      </c>
      <c r="BU55" s="106">
        <f>IF(G55="","",IFERROR(G55*HSI!$B$50*HSI!$G$50/HSI!$B$3,""))</f>
        <v/>
      </c>
      <c r="BV55" s="106">
        <f>IF(H55="","",IFERROR(H55*HSI!$B$50*HSI!$G$50/HSI!$B$3,""))</f>
        <v/>
      </c>
      <c r="BW55" s="106">
        <f>IF(I55="","",IFERROR(I55*HSI!$B$50*HSI!$G$50/HSI!$B$3,""))</f>
        <v/>
      </c>
      <c r="BX55" s="106">
        <f>IF(J55="","",IFERROR(J55*HSI!$B$50*HSI!$G$50/HSI!$B$3,""))</f>
        <v/>
      </c>
      <c r="BY55" s="106">
        <f>IF(K55="","",IFERROR(K55*HSI!$B$50*HSI!$G$50/HSI!$B$3,""))</f>
        <v/>
      </c>
      <c r="BZ55" s="106">
        <f>IF(L55="","",IFERROR(L55*HSI!$B$50*HSI!$G$50/HSI!$B$3,""))</f>
        <v/>
      </c>
      <c r="CA55" s="106">
        <f>IF(M55="","",IFERROR(M55*HSI!$B$50*HSI!$G$50/HSI!$B$3,""))</f>
        <v/>
      </c>
      <c r="CB55" s="106">
        <f>IF(N55="","",IFERROR(N55*HSI!$B$50*HSI!$G$50/HSI!$B$3,""))</f>
        <v/>
      </c>
      <c r="CC55" s="106">
        <f>IF(O55="","",IFERROR(O55*HSI!$B$50*HSI!$G$50/HSI!$B$3,""))</f>
        <v/>
      </c>
      <c r="CD55" s="106">
        <f>IF(P55="","",IFERROR(P55*HSI!$B$50*HSI!$G$50/HSI!$B$3,""))</f>
        <v/>
      </c>
      <c r="CE55" s="106">
        <f>IF(Q55="","",IFERROR(Q55*HSI!$B$50*HSI!$G$50/HSI!$B$3,""))</f>
        <v/>
      </c>
      <c r="CF55" s="106">
        <f>IF(R55="","",IFERROR(R55*HSI!$B$50*HSI!$G$50/HSI!$B$3,""))</f>
        <v/>
      </c>
      <c r="CG55" s="106">
        <f>IF(S55="","",IFERROR(S55*HSI!$B$50*HSI!$G$50/HSI!$B$3,""))</f>
        <v/>
      </c>
      <c r="CH55" s="106">
        <f>IF(T55="","",IFERROR(T55*HSI!$B$50*HSI!$G$50/HSI!$B$3,""))</f>
        <v/>
      </c>
      <c r="CI55" s="106">
        <f>IF(U55="","",IFERROR(U55*HSI!$B$50*HSI!$G$50/HSI!$B$3,""))</f>
        <v/>
      </c>
      <c r="CJ55" s="106">
        <f>IF(V55="","",IFERROR(V55*HSI!$B$50*HSI!$G$50/HSI!$B$3,""))</f>
        <v/>
      </c>
      <c r="CK55" s="106">
        <f>IF(W55="","",IFERROR(W55*HSI!$B$50*HSI!$G$50/HSI!$B$3,""))</f>
        <v/>
      </c>
      <c r="CL55" s="106">
        <f>IF(X55="","",IFERROR(X55*HSI!$B$50*HSI!$G$50/HSI!$B$3,""))</f>
        <v/>
      </c>
      <c r="CM55" s="106">
        <f>IF(Y55="","",IFERROR(Y55*HSI!$B$50*HSI!$G$50/HSI!$B$3,""))</f>
        <v/>
      </c>
      <c r="CN55" s="106">
        <f>IF(Z55="","",IFERROR(Z55*HSI!$B$50*HSI!$G$50/HSI!$B$3,""))</f>
        <v/>
      </c>
      <c r="CO55" s="106">
        <f>IF(AA55="","",IFERROR(AA55*HSI!$B$50*HSI!$G$50/HSI!$B$3,""))</f>
        <v/>
      </c>
      <c r="CP55" s="106">
        <f>IF(AB55="","",IFERROR(AB55*HSI!$B$50*HSI!$G$50/HSI!$B$3,""))</f>
        <v/>
      </c>
      <c r="CQ55" s="106">
        <f>IF(AC55="","",IFERROR(AC55*HSI!$B$50*HSI!$G$50/HSI!$B$3,""))</f>
        <v/>
      </c>
      <c r="CR55" s="106">
        <f>IF(AD55="","",IFERROR(AD55*HSI!$B$50*HSI!$G$50/HSI!$B$3,""))</f>
        <v/>
      </c>
      <c r="CS55" s="106">
        <f>IF(AE55="","",IFERROR(AE55*HSI!$B$50*HSI!$G$50/HSI!$B$3,""))</f>
        <v/>
      </c>
      <c r="CT55" s="106">
        <f>IF(AF55="","",IFERROR(AF55*HSI!$B$50*HSI!$G$50/HSI!$B$3,""))</f>
        <v/>
      </c>
      <c r="CU55" s="106">
        <f>IF(AG55="","",IFERROR(AG55*HSI!$B$50*HSI!$G$50/HSI!$B$3,""))</f>
        <v/>
      </c>
      <c r="CV55" s="106">
        <f>IF(AH55="","",IFERROR(AH55*HSI!$B$50*HSI!$G$50/HSI!$B$3,""))</f>
        <v/>
      </c>
      <c r="CW55" s="106">
        <f>IF(AI55="","",IFERROR(AI55*HSI!$B$50*HSI!$G$50/HSI!$B$3,""))</f>
        <v/>
      </c>
      <c r="CX55" s="106">
        <f>IF(AJ55="","",IFERROR(AJ55*HSI!$B$50*HSI!$G$50/HSI!$B$3,""))</f>
        <v/>
      </c>
      <c r="CY55" s="106">
        <f>IF(AK55="","",IFERROR(AK55*HSI!$B$50*HSI!$G$50/HSI!$B$3,""))</f>
        <v/>
      </c>
      <c r="CZ55" s="106">
        <f>IF(AL55="","",IFERROR(AL55*HSI!$B$50*HSI!$G$50/HSI!$B$3,""))</f>
        <v/>
      </c>
      <c r="DA55" s="106">
        <f>IF(AM55="","",IFERROR(AM55*HSI!$B$50*HSI!$G$50/HSI!$B$3,""))</f>
        <v/>
      </c>
      <c r="DB55" s="106">
        <f>IF(AN55="","",IFERROR(AN55*HSI!$B$50*HSI!$G$50/HSI!$B$3,""))</f>
        <v/>
      </c>
      <c r="DC55" s="106">
        <f>IF(AO55="","",IFERROR(AO55*HSI!$B$50*HSI!$G$50/HSI!$B$3,""))</f>
        <v/>
      </c>
      <c r="DD55" s="106">
        <f>IF(AP55="","",IFERROR(AP55*HSI!$B$50*HSI!$G$50/HSI!$B$3,""))</f>
        <v/>
      </c>
      <c r="DE55" s="106">
        <f>IF(AQ55="","",IFERROR(AQ55*HSI!$B$50*HSI!$G$50/HSI!$B$3,""))</f>
        <v/>
      </c>
      <c r="DF55" s="106">
        <f>IF(AR55="","",IFERROR(AR55*HSI!$B$50*HSI!$G$50/HSI!$B$3,""))</f>
        <v/>
      </c>
      <c r="DG55" s="106">
        <f>IF(AS55="","",IFERROR(AS55*HSI!$B$50*HSI!$G$50/HSI!$B$3,""))</f>
        <v/>
      </c>
      <c r="DH55" s="106">
        <f>IF(AT55="","",IFERROR(AT55*HSI!$B$50*HSI!$G$50/HSI!$B$3,""))</f>
        <v/>
      </c>
      <c r="DI55" s="106">
        <f>IF(AU55="","",IFERROR(AU55*HSI!$B$50*HSI!$G$50/HSI!$B$3,""))</f>
        <v/>
      </c>
      <c r="DJ55" s="106">
        <f>IF(AV55="","",IFERROR(AV55*HSI!$B$50*HSI!$G$50/HSI!$B$3,""))</f>
        <v/>
      </c>
      <c r="DK55" s="106">
        <f>IF(AW55="","",IFERROR(AW55*HSI!$B$50*HSI!$G$50/HSI!$B$3,""))</f>
        <v/>
      </c>
      <c r="DL55" s="106">
        <f>IF(AX55="","",IFERROR(AX55*HSI!$B$50*HSI!$G$50/HSI!$B$3,""))</f>
        <v/>
      </c>
      <c r="DM55" s="106">
        <f>IF(AY55="","",IFERROR(AY55*HSI!$B$50*HSI!$G$50/HSI!$B$3,""))</f>
        <v/>
      </c>
      <c r="DN55" s="106">
        <f>IF(AZ55="","",IFERROR(AZ55*HSI!$B$50*HSI!$G$50/HSI!$B$3,""))</f>
        <v/>
      </c>
      <c r="DO55" s="106">
        <f>IF(BA55="","",IFERROR(BA55*HSI!$B$50*HSI!$G$50/HSI!$B$3,""))</f>
        <v/>
      </c>
      <c r="DP55" s="106">
        <f>IF(BB55="","",IFERROR(BB55*HSI!$B$50*HSI!$G$50/HSI!$B$3,""))</f>
        <v/>
      </c>
      <c r="DQ55" s="106">
        <f>IF(BC55="","",IFERROR(BC55*HSI!$B$50*HSI!$G$50/HSI!$B$3,""))</f>
        <v/>
      </c>
      <c r="DR55" s="106">
        <f>IF(BD55="","",IFERROR(BD55*HSI!$B$50*HSI!$G$50/HSI!$B$3,""))</f>
        <v/>
      </c>
      <c r="DS55" s="106">
        <f>IF(BE55="","",IFERROR(BE55*HSI!$B$50*HSI!$G$50/HSI!$B$3,""))</f>
        <v/>
      </c>
      <c r="DT55" s="106">
        <f>IF(BF55="","",IFERROR(BF55*HSI!$B$50*HSI!$G$50/HSI!$B$3,""))</f>
        <v/>
      </c>
      <c r="DU55" s="106">
        <f>IF(BG55="","",IFERROR(BG55*HSI!$B$50*HSI!$G$50/HSI!$B$3,""))</f>
        <v/>
      </c>
      <c r="DV55" s="106">
        <f>IF(BH55="","",IFERROR(BH55*HSI!$B$50*HSI!$G$50/HSI!$B$3,""))</f>
        <v/>
      </c>
      <c r="DW55" s="106">
        <f>IF(BI55="","",IFERROR(BI55*HSI!$B$50*HSI!$G$50/HSI!$B$3,""))</f>
        <v/>
      </c>
      <c r="DX55" s="106">
        <f>IF(BJ55="","",IFERROR(BJ55*HSI!$B$50*HSI!$G$50/HSI!$B$3,""))</f>
        <v/>
      </c>
      <c r="DY55" s="106">
        <f>IF(BK55="","",IFERROR(BK55*HSI!$B$50*HSI!$G$50/HSI!$B$3,""))</f>
        <v/>
      </c>
      <c r="DZ55" s="106">
        <f>IF(BL55="","",IFERROR(BL55*HSI!$B$50*HSI!$G$50/HSI!$B$3,""))</f>
        <v/>
      </c>
      <c r="EA55" s="106">
        <f>IF(BM55="","",IFERROR(BM55*HSI!$B$50*HSI!$G$50/HSI!$B$3,""))</f>
        <v/>
      </c>
      <c r="EB55" s="106">
        <f>IF(BN55="","",IFERROR(BN55*HSI!$B$50*HSI!$G$50/HSI!$B$3,""))</f>
        <v/>
      </c>
      <c r="EC55" s="106">
        <f>IF(BO55="","",IFERROR(BO55*HSI!$B$50*HSI!$G$50/HSI!$B$3,""))</f>
        <v/>
      </c>
      <c r="EE55" s="35">
        <f>IF(N('Dvd Calendar'!$E$484)=0,"",IF(('Dvd Calendar'!$E$484&gt;=GRID_FROM)*('Dvd Calendar'!$E$484&lt;=GRID_TO)*('Dvd Calendar'!$E$484&lt;=VAL_DATE)=0,"",'Dvd Calendar'!$E$484*1000000000+ISNUMBER('Dvd Calendar'!$E$487)*100000000+('Dvd Calendar'!$E$489=SPECIAL_LBL)*10000000+0*1000000+44*1000+1))</f>
        <v/>
      </c>
      <c r="EF55" s="35">
        <f>IF(N('Dvd Calendar'!$F$484)=0,"",IF(('Dvd Calendar'!$F$484&gt;=GRID_FROM)*('Dvd Calendar'!$F$484&lt;=GRID_TO)*('Dvd Calendar'!$F$484&lt;=VAL_DATE)=0,"",'Dvd Calendar'!$F$484*1000000000+ISNUMBER('Dvd Calendar'!$F$487)*100000000+('Dvd Calendar'!$F$489=SPECIAL_LBL)*10000000+0*1000000+44*1000+2))</f>
        <v/>
      </c>
      <c r="EG55" s="35">
        <f>IF(N('Dvd Calendar'!$G$484)=0,"",IF(('Dvd Calendar'!$G$484&gt;=GRID_FROM)*('Dvd Calendar'!$G$484&lt;=GRID_TO)*('Dvd Calendar'!$G$484&lt;=VAL_DATE)=0,"",'Dvd Calendar'!$G$484*1000000000+ISNUMBER('Dvd Calendar'!$G$487)*100000000+('Dvd Calendar'!$G$489=SPECIAL_LBL)*10000000+0*1000000+44*1000+3))</f>
        <v/>
      </c>
      <c r="EH55" s="35">
        <f>IF(N('Dvd Calendar'!$H$484)=0,"",IF(('Dvd Calendar'!$H$484&gt;=GRID_FROM)*('Dvd Calendar'!$H$484&lt;=GRID_TO)*('Dvd Calendar'!$H$484&lt;=VAL_DATE)=0,"",'Dvd Calendar'!$H$484*1000000000+ISNUMBER('Dvd Calendar'!$H$487)*100000000+('Dvd Calendar'!$H$489=SPECIAL_LBL)*10000000+0*1000000+44*1000+4))</f>
        <v/>
      </c>
      <c r="EI55" s="35">
        <f>IF(N('Dvd Calendar'!$I$484)=0,"",IF(('Dvd Calendar'!$I$484&gt;=GRID_FROM)*('Dvd Calendar'!$I$484&lt;=GRID_TO)*('Dvd Calendar'!$I$484&lt;=VAL_DATE)=0,"",'Dvd Calendar'!$I$484*1000000000+ISNUMBER('Dvd Calendar'!$I$487)*100000000+('Dvd Calendar'!$I$489=SPECIAL_LBL)*10000000+0*1000000+44*1000+5))</f>
        <v/>
      </c>
      <c r="EJ55" s="35">
        <f>IF(N('Dvd Calendar'!$J$484)=0,"",IF(('Dvd Calendar'!$J$484&gt;=GRID_FROM)*('Dvd Calendar'!$J$484&lt;=GRID_TO)*('Dvd Calendar'!$J$484&lt;=VAL_DATE)=0,"",'Dvd Calendar'!$J$484*1000000000+ISNUMBER('Dvd Calendar'!$J$487)*100000000+('Dvd Calendar'!$J$489=SPECIAL_LBL)*10000000+0*1000000+44*1000+6))</f>
        <v/>
      </c>
      <c r="EK55" s="35">
        <f>IF(N('Dvd Calendar'!$K$484)=0,"",IF(('Dvd Calendar'!$K$484&gt;=GRID_FROM)*('Dvd Calendar'!$K$484&lt;=GRID_TO)*('Dvd Calendar'!$K$484&lt;=VAL_DATE)=0,"",'Dvd Calendar'!$K$484*1000000000+ISNUMBER('Dvd Calendar'!$K$487)*100000000+('Dvd Calendar'!$K$489=SPECIAL_LBL)*10000000+0*1000000+44*1000+7))</f>
        <v/>
      </c>
      <c r="EL55" s="35">
        <f>IF(N('Dvd Calendar'!$L$484)=0,"",IF(('Dvd Calendar'!$L$484&gt;=GRID_FROM)*('Dvd Calendar'!$L$484&lt;=GRID_TO)*('Dvd Calendar'!$L$484&lt;=VAL_DATE)=0,"",'Dvd Calendar'!$L$484*1000000000+ISNUMBER('Dvd Calendar'!$L$487)*100000000+('Dvd Calendar'!$L$489=SPECIAL_LBL)*10000000+0*1000000+44*1000+8))</f>
        <v/>
      </c>
      <c r="EM55" s="35">
        <f>IF(N('Dvd Calendar'!$M$484)=0,"",IF(('Dvd Calendar'!$M$484&gt;=GRID_FROM)*('Dvd Calendar'!$M$484&lt;=GRID_TO)*('Dvd Calendar'!$M$484&lt;=VAL_DATE)=0,"",'Dvd Calendar'!$M$484*1000000000+ISNUMBER('Dvd Calendar'!$M$487)*100000000+('Dvd Calendar'!$M$489=SPECIAL_LBL)*10000000+0*1000000+44*1000+9))</f>
        <v/>
      </c>
      <c r="EN55" s="35">
        <f>IF(N('Dvd Calendar'!$N$484)=0,"",IF(('Dvd Calendar'!$N$484&gt;=GRID_FROM)*('Dvd Calendar'!$N$484&lt;=GRID_TO)*('Dvd Calendar'!$N$484&lt;=VAL_DATE)=0,"",'Dvd Calendar'!$N$484*1000000000+ISNUMBER('Dvd Calendar'!$N$487)*100000000+('Dvd Calendar'!$N$489=SPECIAL_LBL)*10000000+0*1000000+44*1000+10))</f>
        <v/>
      </c>
      <c r="EO55" s="35">
        <f>IF(N('Dvd Calendar'!$O$484)=0,"",IF(('Dvd Calendar'!$O$484&gt;=GRID_FROM)*('Dvd Calendar'!$O$484&lt;=GRID_TO)*('Dvd Calendar'!$O$484&lt;=VAL_DATE)=0,"",'Dvd Calendar'!$O$484*1000000000+ISNUMBER('Dvd Calendar'!$O$487)*100000000+('Dvd Calendar'!$O$489=SPECIAL_LBL)*10000000+0*1000000+44*1000+11))</f>
        <v/>
      </c>
      <c r="EP55" s="35">
        <f>IF(N('Dvd Calendar'!$P$484)=0,"",IF(('Dvd Calendar'!$P$484&gt;=GRID_FROM)*('Dvd Calendar'!$P$484&lt;=GRID_TO)*('Dvd Calendar'!$P$484&lt;=VAL_DATE)=0,"",'Dvd Calendar'!$P$484*1000000000+ISNUMBER('Dvd Calendar'!$P$487)*100000000+('Dvd Calendar'!$P$489=SPECIAL_LBL)*10000000+0*1000000+44*1000+12))</f>
        <v/>
      </c>
      <c r="EQ55" s="35">
        <f>IF(N('Dvd Calendar'!$Q$484)=0,"",IF(('Dvd Calendar'!$Q$484&gt;=GRID_FROM)*('Dvd Calendar'!$Q$484&lt;=GRID_TO)*('Dvd Calendar'!$Q$484&lt;=VAL_DATE)=0,"",'Dvd Calendar'!$Q$484*1000000000+ISNUMBER('Dvd Calendar'!$Q$487)*100000000+('Dvd Calendar'!$Q$489=SPECIAL_LBL)*10000000+0*1000000+44*1000+13))</f>
        <v/>
      </c>
      <c r="ER55" s="35">
        <f>IF(N('Dvd Calendar'!$R$484)=0,"",IF(('Dvd Calendar'!$R$484&gt;=GRID_FROM)*('Dvd Calendar'!$R$484&lt;=GRID_TO)*('Dvd Calendar'!$R$484&lt;=VAL_DATE)=0,"",'Dvd Calendar'!$R$484*1000000000+ISNUMBER('Dvd Calendar'!$R$487)*100000000+('Dvd Calendar'!$R$489=SPECIAL_LBL)*10000000+0*1000000+44*1000+14))</f>
        <v/>
      </c>
      <c r="ES55" s="35">
        <f>IF(N('Dvd Calendar'!$S$484)=0,"",IF(('Dvd Calendar'!$S$484&gt;=GRID_FROM)*('Dvd Calendar'!$S$484&lt;=GRID_TO)*('Dvd Calendar'!$S$484&lt;=VAL_DATE)=0,"",'Dvd Calendar'!$S$484*1000000000+ISNUMBER('Dvd Calendar'!$S$487)*100000000+('Dvd Calendar'!$S$489=SPECIAL_LBL)*10000000+0*1000000+44*1000+15))</f>
        <v/>
      </c>
      <c r="ET55" s="35">
        <f>IF(N('Dvd Calendar'!$T$484)=0,"",IF(('Dvd Calendar'!$T$484&gt;=GRID_FROM)*('Dvd Calendar'!$T$484&lt;=GRID_TO)*('Dvd Calendar'!$T$484&lt;=VAL_DATE)=0,"",'Dvd Calendar'!$T$484*1000000000+ISNUMBER('Dvd Calendar'!$T$487)*100000000+('Dvd Calendar'!$T$489=SPECIAL_LBL)*10000000+0*1000000+44*1000+16))</f>
        <v/>
      </c>
      <c r="EU55" s="35">
        <f>IF(N('Dvd Calendar'!$U$484)=0,"",IF(('Dvd Calendar'!$U$484&gt;=GRID_FROM)*('Dvd Calendar'!$U$484&lt;=GRID_TO)*('Dvd Calendar'!$U$484&lt;=VAL_DATE)=0,"",'Dvd Calendar'!$U$484*1000000000+ISNUMBER('Dvd Calendar'!$U$487)*100000000+('Dvd Calendar'!$U$489=SPECIAL_LBL)*10000000+0*1000000+44*1000+17))</f>
        <v/>
      </c>
      <c r="EV55" s="35">
        <f>IF(N('Dvd Calendar'!$V$484)=0,"",IF(('Dvd Calendar'!$V$484&gt;=GRID_FROM)*('Dvd Calendar'!$V$484&lt;=GRID_TO)*('Dvd Calendar'!$V$484&lt;=VAL_DATE)=0,"",'Dvd Calendar'!$V$484*1000000000+ISNUMBER('Dvd Calendar'!$V$487)*100000000+('Dvd Calendar'!$V$489=SPECIAL_LBL)*10000000+0*1000000+44*1000+18))</f>
        <v/>
      </c>
      <c r="EW55" s="35">
        <f>IF(N('Dvd Calendar'!$W$484)=0,"",IF(('Dvd Calendar'!$W$484&gt;=GRID_FROM)*('Dvd Calendar'!$W$484&lt;=GRID_TO)*('Dvd Calendar'!$W$484&lt;=VAL_DATE)=0,"",'Dvd Calendar'!$W$484*1000000000+ISNUMBER('Dvd Calendar'!$W$487)*100000000+('Dvd Calendar'!$W$489=SPECIAL_LBL)*10000000+0*1000000+44*1000+19))</f>
        <v/>
      </c>
      <c r="EX55" s="35">
        <f>IF(N('Dvd Calendar'!$X$484)=0,"",IF(('Dvd Calendar'!$X$484&gt;=GRID_FROM)*('Dvd Calendar'!$X$484&lt;=GRID_TO)*('Dvd Calendar'!$X$484&lt;=VAL_DATE)=0,"",'Dvd Calendar'!$X$484*1000000000+ISNUMBER('Dvd Calendar'!$X$487)*100000000+('Dvd Calendar'!$X$489=SPECIAL_LBL)*10000000+0*1000000+44*1000+20))</f>
        <v/>
      </c>
      <c r="EY55" s="35">
        <f>IF(N('Dvd Calendar'!$Y$484)=0,"",IF(('Dvd Calendar'!$Y$484&gt;=GRID_FROM)*('Dvd Calendar'!$Y$484&lt;=GRID_TO)*('Dvd Calendar'!$Y$484&lt;=VAL_DATE)=0,"",'Dvd Calendar'!$Y$484*1000000000+ISNUMBER('Dvd Calendar'!$Y$487)*100000000+('Dvd Calendar'!$Y$489=SPECIAL_LBL)*10000000+0*1000000+44*1000+21))</f>
        <v/>
      </c>
      <c r="EZ55" s="35">
        <f>IF(N('Dvd Calendar'!$Z$484)=0,"",IF(('Dvd Calendar'!$Z$484&gt;=GRID_FROM)*('Dvd Calendar'!$Z$484&lt;=GRID_TO)*('Dvd Calendar'!$Z$484&lt;=VAL_DATE)=0,"",'Dvd Calendar'!$Z$484*1000000000+ISNUMBER('Dvd Calendar'!$Z$487)*100000000+('Dvd Calendar'!$Z$489=SPECIAL_LBL)*10000000+0*1000000+44*1000+22))</f>
        <v/>
      </c>
      <c r="FA55" s="35">
        <f>IF(N('Dvd Calendar'!$AA$484)=0,"",IF(('Dvd Calendar'!$AA$484&gt;=GRID_FROM)*('Dvd Calendar'!$AA$484&lt;=GRID_TO)*('Dvd Calendar'!$AA$484&lt;=VAL_DATE)=0,"",'Dvd Calendar'!$AA$484*1000000000+ISNUMBER('Dvd Calendar'!$AA$487)*100000000+('Dvd Calendar'!$AA$489=SPECIAL_LBL)*10000000+0*1000000+44*1000+23))</f>
        <v/>
      </c>
      <c r="FB55" s="35">
        <f>IF(N('Dvd Calendar'!$AB$484)=0,"",IF(('Dvd Calendar'!$AB$484&gt;=GRID_FROM)*('Dvd Calendar'!$AB$484&lt;=GRID_TO)*('Dvd Calendar'!$AB$484&lt;=VAL_DATE)=0,"",'Dvd Calendar'!$AB$484*1000000000+ISNUMBER('Dvd Calendar'!$AB$487)*100000000+('Dvd Calendar'!$AB$489=SPECIAL_LBL)*10000000+0*1000000+44*1000+24))</f>
        <v/>
      </c>
      <c r="FC55" s="35">
        <f>IF(N('Dvd Calendar'!$AC$484)=0,"",IF(('Dvd Calendar'!$AC$484&gt;=GRID_FROM)*('Dvd Calendar'!$AC$484&lt;=GRID_TO)*('Dvd Calendar'!$AC$484&lt;=VAL_DATE)=0,"",'Dvd Calendar'!$AC$484*1000000000+ISNUMBER('Dvd Calendar'!$AC$487)*100000000+('Dvd Calendar'!$AC$489=SPECIAL_LBL)*10000000+0*1000000+44*1000+25))</f>
        <v/>
      </c>
      <c r="FD55" s="35">
        <f>IF(N('Dvd Calendar'!$AD$484)=0,"",IF(('Dvd Calendar'!$AD$484&gt;=GRID_FROM)*('Dvd Calendar'!$AD$484&lt;=GRID_TO)*('Dvd Calendar'!$AD$484&lt;=VAL_DATE)=0,"",'Dvd Calendar'!$AD$484*1000000000+ISNUMBER('Dvd Calendar'!$AD$487)*100000000+('Dvd Calendar'!$AD$489=SPECIAL_LBL)*10000000+0*1000000+44*1000+26))</f>
        <v/>
      </c>
      <c r="FE55" s="35">
        <f>IF(N('Dvd Calendar'!$AE$484)=0,"",IF(('Dvd Calendar'!$AE$484&gt;=GRID_FROM)*('Dvd Calendar'!$AE$484&lt;=GRID_TO)*('Dvd Calendar'!$AE$484&lt;=VAL_DATE)=0,"",'Dvd Calendar'!$AE$484*1000000000+ISNUMBER('Dvd Calendar'!$AE$487)*100000000+('Dvd Calendar'!$AE$489=SPECIAL_LBL)*10000000+0*1000000+44*1000+27))</f>
        <v/>
      </c>
      <c r="FF55" s="35">
        <f>IF(N('Dvd Calendar'!$AF$484)=0,"",IF(('Dvd Calendar'!$AF$484&gt;=GRID_FROM)*('Dvd Calendar'!$AF$484&lt;=GRID_TO)*('Dvd Calendar'!$AF$484&lt;=VAL_DATE)=0,"",'Dvd Calendar'!$AF$484*1000000000+ISNUMBER('Dvd Calendar'!$AF$487)*100000000+('Dvd Calendar'!$AF$489=SPECIAL_LBL)*10000000+0*1000000+44*1000+28))</f>
        <v/>
      </c>
      <c r="FG55" s="35">
        <f>IF(N('Dvd Calendar'!$AG$484)=0,"",IF(('Dvd Calendar'!$AG$484&gt;=GRID_FROM)*('Dvd Calendar'!$AG$484&lt;=GRID_TO)*('Dvd Calendar'!$AG$484&lt;=VAL_DATE)=0,"",'Dvd Calendar'!$AG$484*1000000000+ISNUMBER('Dvd Calendar'!$AG$487)*100000000+('Dvd Calendar'!$AG$489=SPECIAL_LBL)*10000000+0*1000000+44*1000+29))</f>
        <v/>
      </c>
      <c r="FH55" s="35">
        <f>IF(N('Dvd Calendar'!$AH$484)=0,"",IF(('Dvd Calendar'!$AH$484&gt;=GRID_FROM)*('Dvd Calendar'!$AH$484&lt;=GRID_TO)*('Dvd Calendar'!$AH$484&lt;=VAL_DATE)=0,"",'Dvd Calendar'!$AH$484*1000000000+ISNUMBER('Dvd Calendar'!$AH$487)*100000000+('Dvd Calendar'!$AH$489=SPECIAL_LBL)*10000000+0*1000000+44*1000+30))</f>
        <v/>
      </c>
      <c r="FI55" s="35">
        <f>IF(N('Dvd Calendar'!$AI$484)=0,"",IF(('Dvd Calendar'!$AI$484&gt;=GRID_FROM)*('Dvd Calendar'!$AI$484&lt;=GRID_TO)*('Dvd Calendar'!$AI$484&lt;=VAL_DATE)=0,"",'Dvd Calendar'!$AI$484*1000000000+ISNUMBER('Dvd Calendar'!$AI$487)*100000000+('Dvd Calendar'!$AI$489=SPECIAL_LBL)*10000000+0*1000000+44*1000+31))</f>
        <v/>
      </c>
      <c r="FJ55" s="35">
        <f>IF(N('Dvd Calendar'!$AJ$484)=0,"",IF(('Dvd Calendar'!$AJ$484&gt;=GRID_FROM)*('Dvd Calendar'!$AJ$484&lt;=GRID_TO)*('Dvd Calendar'!$AJ$484&lt;=VAL_DATE)=0,"",'Dvd Calendar'!$AJ$484*1000000000+ISNUMBER('Dvd Calendar'!$AJ$487)*100000000+('Dvd Calendar'!$AJ$489=SPECIAL_LBL)*10000000+0*1000000+44*1000+32))</f>
        <v/>
      </c>
      <c r="FK55" s="35">
        <f>IF(N('Dvd Calendar'!$AK$484)=0,"",IF(('Dvd Calendar'!$AK$484&gt;=GRID_FROM)*('Dvd Calendar'!$AK$484&lt;=GRID_TO)*('Dvd Calendar'!$AK$484&lt;=VAL_DATE)=0,"",'Dvd Calendar'!$AK$484*1000000000+ISNUMBER('Dvd Calendar'!$AK$487)*100000000+('Dvd Calendar'!$AK$489=SPECIAL_LBL)*10000000+0*1000000+44*1000+33))</f>
        <v/>
      </c>
      <c r="FL55" s="35">
        <f>IF(N('Dvd Calendar'!$AL$484)=0,"",IF(('Dvd Calendar'!$AL$484&gt;=GRID_FROM)*('Dvd Calendar'!$AL$484&lt;=GRID_TO)*('Dvd Calendar'!$AL$484&lt;=VAL_DATE)=0,"",'Dvd Calendar'!$AL$484*1000000000+ISNUMBER('Dvd Calendar'!$AL$487)*100000000+('Dvd Calendar'!$AL$489=SPECIAL_LBL)*10000000+0*1000000+44*1000+34))</f>
        <v/>
      </c>
      <c r="FM55" s="35">
        <f>IF(N('Dvd Calendar'!$AM$484)=0,"",IF(('Dvd Calendar'!$AM$484&gt;=GRID_FROM)*('Dvd Calendar'!$AM$484&lt;=GRID_TO)*('Dvd Calendar'!$AM$484&lt;=VAL_DATE)=0,"",'Dvd Calendar'!$AM$484*1000000000+ISNUMBER('Dvd Calendar'!$AM$487)*100000000+('Dvd Calendar'!$AM$489=SPECIAL_LBL)*10000000+0*1000000+44*1000+35))</f>
        <v/>
      </c>
      <c r="FN55" s="35">
        <f>IF(N('Dvd Calendar'!$AN$484)=0,"",IF(('Dvd Calendar'!$AN$484&gt;=GRID_FROM)*('Dvd Calendar'!$AN$484&lt;=GRID_TO)*('Dvd Calendar'!$AN$484&lt;=VAL_DATE)=0,"",'Dvd Calendar'!$AN$484*1000000000+ISNUMBER('Dvd Calendar'!$AN$487)*100000000+('Dvd Calendar'!$AN$489=SPECIAL_LBL)*10000000+0*1000000+44*1000+36))</f>
        <v/>
      </c>
      <c r="FO55" s="35">
        <f>IF(N('Dvd Calendar'!$AO$484)=0,"",IF(('Dvd Calendar'!$AO$484&gt;=GRID_FROM)*('Dvd Calendar'!$AO$484&lt;=GRID_TO)*('Dvd Calendar'!$AO$484&lt;=VAL_DATE)=0,"",'Dvd Calendar'!$AO$484*1000000000+ISNUMBER('Dvd Calendar'!$AO$487)*100000000+('Dvd Calendar'!$AO$489=SPECIAL_LBL)*10000000+0*1000000+44*1000+37))</f>
        <v/>
      </c>
      <c r="FP55" s="35">
        <f>IF(N('Dvd Calendar'!$AP$484)=0,"",IF(('Dvd Calendar'!$AP$484&gt;=GRID_FROM)*('Dvd Calendar'!$AP$484&lt;=GRID_TO)*('Dvd Calendar'!$AP$484&lt;=VAL_DATE)=0,"",'Dvd Calendar'!$AP$484*1000000000+ISNUMBER('Dvd Calendar'!$AP$487)*100000000+('Dvd Calendar'!$AP$489=SPECIAL_LBL)*10000000+0*1000000+44*1000+38))</f>
        <v/>
      </c>
      <c r="FQ55" s="35">
        <f>IF(N('Dvd Calendar'!$AQ$484)=0,"",IF(('Dvd Calendar'!$AQ$484&gt;=GRID_FROM)*('Dvd Calendar'!$AQ$484&lt;=GRID_TO)*('Dvd Calendar'!$AQ$484&lt;=VAL_DATE)=0,"",'Dvd Calendar'!$AQ$484*1000000000+ISNUMBER('Dvd Calendar'!$AQ$487)*100000000+('Dvd Calendar'!$AQ$489=SPECIAL_LBL)*10000000+0*1000000+44*1000+39))</f>
        <v/>
      </c>
      <c r="FR55" s="35">
        <f>IF(N('Dvd Calendar'!$AR$484)=0,"",IF(('Dvd Calendar'!$AR$484&gt;=GRID_FROM)*('Dvd Calendar'!$AR$484&lt;=GRID_TO)*('Dvd Calendar'!$AR$484&lt;=VAL_DATE)=0,"",'Dvd Calendar'!$AR$484*1000000000+ISNUMBER('Dvd Calendar'!$AR$487)*100000000+('Dvd Calendar'!$AR$489=SPECIAL_LBL)*10000000+0*1000000+44*1000+40))</f>
        <v/>
      </c>
      <c r="FS55" s="35">
        <f>IF(N('Dvd Calendar'!$E$491)=0,"",IF(('Dvd Calendar'!$E$491&gt;=GRID_FROM)*('Dvd Calendar'!$E$491&lt;=GRID_TO)*('Dvd Calendar'!$E$491&gt;VAL_DATE)=0,"",'Dvd Calendar'!$E$491*1000000000+ISNUMBER('Dvd Calendar'!$E$492)*100000000+0*10000000+(N('Dvd Calendar'!$E$490)&gt;0)*(N('Dvd Calendar'!$E$490)&lt;=VAL_SERIAL)*1000000+44*1000+41))</f>
        <v/>
      </c>
      <c r="FT55" s="35">
        <f>IF(N('Dvd Calendar'!$F$491)=0,"",IF(('Dvd Calendar'!$F$491&gt;=GRID_FROM)*('Dvd Calendar'!$F$491&lt;=GRID_TO)*('Dvd Calendar'!$F$491&gt;VAL_DATE)=0,"",'Dvd Calendar'!$F$491*1000000000+ISNUMBER('Dvd Calendar'!$F$492)*100000000+0*10000000+(N('Dvd Calendar'!$F$490)&gt;0)*(N('Dvd Calendar'!$F$490)&lt;=VAL_SERIAL)*1000000+44*1000+42))</f>
        <v/>
      </c>
      <c r="FU55" s="35">
        <f>IF(N('Dvd Calendar'!$G$491)=0,"",IF(('Dvd Calendar'!$G$491&gt;=GRID_FROM)*('Dvd Calendar'!$G$491&lt;=GRID_TO)*('Dvd Calendar'!$G$491&gt;VAL_DATE)=0,"",'Dvd Calendar'!$G$491*1000000000+ISNUMBER('Dvd Calendar'!$G$492)*100000000+0*10000000+(N('Dvd Calendar'!$G$490)&gt;0)*(N('Dvd Calendar'!$G$490)&lt;=VAL_SERIAL)*1000000+44*1000+43))</f>
        <v/>
      </c>
      <c r="FV55" s="35">
        <f>IF(N('Dvd Calendar'!$H$491)=0,"",IF(('Dvd Calendar'!$H$491&gt;=GRID_FROM)*('Dvd Calendar'!$H$491&lt;=GRID_TO)*('Dvd Calendar'!$H$491&gt;VAL_DATE)=0,"",'Dvd Calendar'!$H$491*1000000000+ISNUMBER('Dvd Calendar'!$H$492)*100000000+0*10000000+(N('Dvd Calendar'!$H$490)&gt;0)*(N('Dvd Calendar'!$H$490)&lt;=VAL_SERIAL)*1000000+44*1000+44))</f>
        <v/>
      </c>
      <c r="FW55" s="35">
        <f>IF(N('Dvd Calendar'!$I$491)=0,"",IF(('Dvd Calendar'!$I$491&gt;=GRID_FROM)*('Dvd Calendar'!$I$491&lt;=GRID_TO)*('Dvd Calendar'!$I$491&gt;VAL_DATE)=0,"",'Dvd Calendar'!$I$491*1000000000+ISNUMBER('Dvd Calendar'!$I$492)*100000000+0*10000000+(N('Dvd Calendar'!$I$490)&gt;0)*(N('Dvd Calendar'!$I$490)&lt;=VAL_SERIAL)*1000000+44*1000+45))</f>
        <v/>
      </c>
      <c r="FX55" s="35">
        <f>IF(N('Dvd Calendar'!$J$491)=0,"",IF(('Dvd Calendar'!$J$491&gt;=GRID_FROM)*('Dvd Calendar'!$J$491&lt;=GRID_TO)*('Dvd Calendar'!$J$491&gt;VAL_DATE)=0,"",'Dvd Calendar'!$J$491*1000000000+ISNUMBER('Dvd Calendar'!$J$492)*100000000+0*10000000+(N('Dvd Calendar'!$J$490)&gt;0)*(N('Dvd Calendar'!$J$490)&lt;=VAL_SERIAL)*1000000+44*1000+46))</f>
        <v/>
      </c>
      <c r="FY55" s="35">
        <f>IF(N('Dvd Calendar'!$K$491)=0,"",IF(('Dvd Calendar'!$K$491&gt;=GRID_FROM)*('Dvd Calendar'!$K$491&lt;=GRID_TO)*('Dvd Calendar'!$K$491&gt;VAL_DATE)=0,"",'Dvd Calendar'!$K$491*1000000000+ISNUMBER('Dvd Calendar'!$K$492)*100000000+0*10000000+(N('Dvd Calendar'!$K$490)&gt;0)*(N('Dvd Calendar'!$K$490)&lt;=VAL_SERIAL)*1000000+44*1000+47))</f>
        <v/>
      </c>
      <c r="FZ55" s="35">
        <f>IF(N('Dvd Calendar'!$L$491)=0,"",IF(('Dvd Calendar'!$L$491&gt;=GRID_FROM)*('Dvd Calendar'!$L$491&lt;=GRID_TO)*('Dvd Calendar'!$L$491&gt;VAL_DATE)=0,"",'Dvd Calendar'!$L$491*1000000000+ISNUMBER('Dvd Calendar'!$L$492)*100000000+0*10000000+(N('Dvd Calendar'!$L$490)&gt;0)*(N('Dvd Calendar'!$L$490)&lt;=VAL_SERIAL)*1000000+44*1000+48))</f>
        <v/>
      </c>
      <c r="GA55" s="35">
        <f>IF(N('Dvd Calendar'!$M$491)=0,"",IF(('Dvd Calendar'!$M$491&gt;=GRID_FROM)*('Dvd Calendar'!$M$491&lt;=GRID_TO)*('Dvd Calendar'!$M$491&gt;VAL_DATE)=0,"",'Dvd Calendar'!$M$491*1000000000+ISNUMBER('Dvd Calendar'!$M$492)*100000000+0*10000000+(N('Dvd Calendar'!$M$490)&gt;0)*(N('Dvd Calendar'!$M$490)&lt;=VAL_SERIAL)*1000000+44*1000+49))</f>
        <v/>
      </c>
      <c r="GB55" s="35">
        <f>IF(N('Dvd Calendar'!$N$491)=0,"",IF(('Dvd Calendar'!$N$491&gt;=GRID_FROM)*('Dvd Calendar'!$N$491&lt;=GRID_TO)*('Dvd Calendar'!$N$491&gt;VAL_DATE)=0,"",'Dvd Calendar'!$N$491*1000000000+ISNUMBER('Dvd Calendar'!$N$492)*100000000+0*10000000+(N('Dvd Calendar'!$N$490)&gt;0)*(N('Dvd Calendar'!$N$490)&lt;=VAL_SERIAL)*1000000+44*1000+50))</f>
        <v/>
      </c>
      <c r="GC55" s="35">
        <f>IF(N('Dvd Calendar'!$O$491)=0,"",IF(('Dvd Calendar'!$O$491&gt;=GRID_FROM)*('Dvd Calendar'!$O$491&lt;=GRID_TO)*('Dvd Calendar'!$O$491&gt;VAL_DATE)=0,"",'Dvd Calendar'!$O$491*1000000000+ISNUMBER('Dvd Calendar'!$O$492)*100000000+0*10000000+(N('Dvd Calendar'!$O$490)&gt;0)*(N('Dvd Calendar'!$O$490)&lt;=VAL_SERIAL)*1000000+44*1000+51))</f>
        <v/>
      </c>
      <c r="GD55" s="35">
        <f>IF(N('Dvd Calendar'!$P$491)=0,"",IF(('Dvd Calendar'!$P$491&gt;=GRID_FROM)*('Dvd Calendar'!$P$491&lt;=GRID_TO)*('Dvd Calendar'!$P$491&gt;VAL_DATE)=0,"",'Dvd Calendar'!$P$491*1000000000+ISNUMBER('Dvd Calendar'!$P$492)*100000000+0*10000000+(N('Dvd Calendar'!$P$490)&gt;0)*(N('Dvd Calendar'!$P$490)&lt;=VAL_SERIAL)*1000000+44*1000+52))</f>
        <v/>
      </c>
      <c r="GE55" s="35">
        <f>IF(N('Dvd Calendar'!$Q$491)=0,"",IF(('Dvd Calendar'!$Q$491&gt;=GRID_FROM)*('Dvd Calendar'!$Q$491&lt;=GRID_TO)*('Dvd Calendar'!$Q$491&gt;VAL_DATE)=0,"",'Dvd Calendar'!$Q$491*1000000000+ISNUMBER('Dvd Calendar'!$Q$492)*100000000+0*10000000+(N('Dvd Calendar'!$Q$490)&gt;0)*(N('Dvd Calendar'!$Q$490)&lt;=VAL_SERIAL)*1000000+44*1000+53))</f>
        <v/>
      </c>
      <c r="GF55" s="35">
        <f>IF(N('Dvd Calendar'!$R$491)=0,"",IF(('Dvd Calendar'!$R$491&gt;=GRID_FROM)*('Dvd Calendar'!$R$491&lt;=GRID_TO)*('Dvd Calendar'!$R$491&gt;VAL_DATE)=0,"",'Dvd Calendar'!$R$491*1000000000+ISNUMBER('Dvd Calendar'!$R$492)*100000000+0*10000000+(N('Dvd Calendar'!$R$490)&gt;0)*(N('Dvd Calendar'!$R$490)&lt;=VAL_SERIAL)*1000000+44*1000+54))</f>
        <v/>
      </c>
      <c r="GG55" s="35">
        <f>IF(N('Dvd Calendar'!$S$491)=0,"",IF(('Dvd Calendar'!$S$491&gt;=GRID_FROM)*('Dvd Calendar'!$S$491&lt;=GRID_TO)*('Dvd Calendar'!$S$491&gt;VAL_DATE)=0,"",'Dvd Calendar'!$S$491*1000000000+ISNUMBER('Dvd Calendar'!$S$492)*100000000+0*10000000+(N('Dvd Calendar'!$S$490)&gt;0)*(N('Dvd Calendar'!$S$490)&lt;=VAL_SERIAL)*1000000+44*1000+55))</f>
        <v/>
      </c>
      <c r="GH55" s="35">
        <f>IF(N('Dvd Calendar'!$T$491)=0,"",IF(('Dvd Calendar'!$T$491&gt;=GRID_FROM)*('Dvd Calendar'!$T$491&lt;=GRID_TO)*('Dvd Calendar'!$T$491&gt;VAL_DATE)=0,"",'Dvd Calendar'!$T$491*1000000000+ISNUMBER('Dvd Calendar'!$T$492)*100000000+0*10000000+(N('Dvd Calendar'!$T$490)&gt;0)*(N('Dvd Calendar'!$T$490)&lt;=VAL_SERIAL)*1000000+44*1000+56))</f>
        <v/>
      </c>
      <c r="GI55" s="35">
        <f>IF(N('Dvd Calendar'!$U$491)=0,"",IF(('Dvd Calendar'!$U$491&gt;=GRID_FROM)*('Dvd Calendar'!$U$491&lt;=GRID_TO)*('Dvd Calendar'!$U$491&gt;VAL_DATE)=0,"",'Dvd Calendar'!$U$491*1000000000+ISNUMBER('Dvd Calendar'!$U$492)*100000000+0*10000000+(N('Dvd Calendar'!$U$490)&gt;0)*(N('Dvd Calendar'!$U$490)&lt;=VAL_SERIAL)*1000000+44*1000+57))</f>
        <v/>
      </c>
      <c r="GJ55" s="35">
        <f>IF(N('Dvd Calendar'!$V$491)=0,"",IF(('Dvd Calendar'!$V$491&gt;=GRID_FROM)*('Dvd Calendar'!$V$491&lt;=GRID_TO)*('Dvd Calendar'!$V$491&gt;VAL_DATE)=0,"",'Dvd Calendar'!$V$491*1000000000+ISNUMBER('Dvd Calendar'!$V$492)*100000000+0*10000000+(N('Dvd Calendar'!$V$490)&gt;0)*(N('Dvd Calendar'!$V$490)&lt;=VAL_SERIAL)*1000000+44*1000+58))</f>
        <v/>
      </c>
      <c r="GK55" s="35">
        <f>IF(N('Dvd Calendar'!$W$491)=0,"",IF(('Dvd Calendar'!$W$491&gt;=GRID_FROM)*('Dvd Calendar'!$W$491&lt;=GRID_TO)*('Dvd Calendar'!$W$491&gt;VAL_DATE)=0,"",'Dvd Calendar'!$W$491*1000000000+ISNUMBER('Dvd Calendar'!$W$492)*100000000+0*10000000+(N('Dvd Calendar'!$W$490)&gt;0)*(N('Dvd Calendar'!$W$490)&lt;=VAL_SERIAL)*1000000+44*1000+59))</f>
        <v/>
      </c>
      <c r="GL55" s="35">
        <f>IF(N('Dvd Calendar'!$X$491)=0,"",IF(('Dvd Calendar'!$X$491&gt;=GRID_FROM)*('Dvd Calendar'!$X$491&lt;=GRID_TO)*('Dvd Calendar'!$X$491&gt;VAL_DATE)=0,"",'Dvd Calendar'!$X$491*1000000000+ISNUMBER('Dvd Calendar'!$X$492)*100000000+0*10000000+(N('Dvd Calendar'!$X$490)&gt;0)*(N('Dvd Calendar'!$X$490)&lt;=VAL_SERIAL)*1000000+44*1000+60))</f>
        <v/>
      </c>
      <c r="GM55" s="35">
        <f>IF(N('Dvd Calendar'!$Y$491)=0,"",IF(('Dvd Calendar'!$Y$491&gt;=GRID_FROM)*('Dvd Calendar'!$Y$491&lt;=GRID_TO)*('Dvd Calendar'!$Y$491&gt;VAL_DATE)=0,"",'Dvd Calendar'!$Y$491*1000000000+ISNUMBER('Dvd Calendar'!$Y$492)*100000000+0*10000000+(N('Dvd Calendar'!$Y$490)&gt;0)*(N('Dvd Calendar'!$Y$490)&lt;=VAL_SERIAL)*1000000+44*1000+61))</f>
        <v/>
      </c>
      <c r="GN55" s="35">
        <f>IF(N('Dvd Calendar'!$Z$491)=0,"",IF(('Dvd Calendar'!$Z$491&gt;=GRID_FROM)*('Dvd Calendar'!$Z$491&lt;=GRID_TO)*('Dvd Calendar'!$Z$491&gt;VAL_DATE)=0,"",'Dvd Calendar'!$Z$491*1000000000+ISNUMBER('Dvd Calendar'!$Z$492)*100000000+0*10000000+(N('Dvd Calendar'!$Z$490)&gt;0)*(N('Dvd Calendar'!$Z$490)&lt;=VAL_SERIAL)*1000000+44*1000+62))</f>
        <v/>
      </c>
      <c r="GO55" s="35">
        <f>IF(N('Dvd Calendar'!$AA$491)=0,"",IF(('Dvd Calendar'!$AA$491&gt;=GRID_FROM)*('Dvd Calendar'!$AA$491&lt;=GRID_TO)*('Dvd Calendar'!$AA$491&gt;VAL_DATE)=0,"",'Dvd Calendar'!$AA$491*1000000000+ISNUMBER('Dvd Calendar'!$AA$492)*100000000+0*10000000+(N('Dvd Calendar'!$AA$490)&gt;0)*(N('Dvd Calendar'!$AA$490)&lt;=VAL_SERIAL)*1000000+44*1000+63))</f>
        <v/>
      </c>
      <c r="GP55" s="35">
        <f>IF(N('Dvd Calendar'!$AB$491)=0,"",IF(('Dvd Calendar'!$AB$491&gt;=GRID_FROM)*('Dvd Calendar'!$AB$491&lt;=GRID_TO)*('Dvd Calendar'!$AB$491&gt;VAL_DATE)=0,"",'Dvd Calendar'!$AB$491*1000000000+ISNUMBER('Dvd Calendar'!$AB$492)*100000000+0*10000000+(N('Dvd Calendar'!$AB$490)&gt;0)*(N('Dvd Calendar'!$AB$490)&lt;=VAL_SERIAL)*1000000+44*1000+64))</f>
        <v/>
      </c>
      <c r="GQ55" s="35">
        <f>IF(N('Dvd Calendar'!$AC$491)=0,"",IF(('Dvd Calendar'!$AC$491&gt;=GRID_FROM)*('Dvd Calendar'!$AC$491&lt;=GRID_TO)*('Dvd Calendar'!$AC$491&gt;VAL_DATE)=0,"",'Dvd Calendar'!$AC$491*1000000000+ISNUMBER('Dvd Calendar'!$AC$492)*100000000+0*10000000+(N('Dvd Calendar'!$AC$490)&gt;0)*(N('Dvd Calendar'!$AC$490)&lt;=VAL_SERIAL)*1000000+44*1000+65))</f>
        <v/>
      </c>
    </row>
    <row r="56">
      <c r="B56" s="2">
        <f>IF(HSI!$C$51="","",HSI!$C$51)</f>
        <v/>
      </c>
      <c r="C56" s="106">
        <f>IF(EE56="","",IF(ISNUMBER('Dvd Calendar'!$E$498)=FALSE,"",IF((('Dvd Calendar'!$E$500=TYPE1)*(TYPE1&lt;&gt;"")+('Dvd Calendar'!$E$500=TYPE2)*(TYPE2&lt;&gt;"")+('Dvd Calendar'!$E$500=TYPE3)*(TYPE3&lt;&gt;"")+('Dvd Calendar'!$E$500=TYPE4)*(TYPE4&lt;&gt;"")+('Dvd Calendar'!$E$500=SPECIAL_LBL)*(INC_SPECIALS="Y"))=0,"",'Dvd Calendar'!$E$498)))</f>
        <v/>
      </c>
      <c r="D56" s="106">
        <f>IF(EF56="","",IF(ISNUMBER('Dvd Calendar'!$F$498)=FALSE,"",IF((('Dvd Calendar'!$F$500=TYPE1)*(TYPE1&lt;&gt;"")+('Dvd Calendar'!$F$500=TYPE2)*(TYPE2&lt;&gt;"")+('Dvd Calendar'!$F$500=TYPE3)*(TYPE3&lt;&gt;"")+('Dvd Calendar'!$F$500=TYPE4)*(TYPE4&lt;&gt;"")+('Dvd Calendar'!$F$500=SPECIAL_LBL)*(INC_SPECIALS="Y"))=0,"",'Dvd Calendar'!$F$498)))</f>
        <v/>
      </c>
      <c r="E56" s="106">
        <f>IF(EG56="","",IF(ISNUMBER('Dvd Calendar'!$G$498)=FALSE,"",IF((('Dvd Calendar'!$G$500=TYPE1)*(TYPE1&lt;&gt;"")+('Dvd Calendar'!$G$500=TYPE2)*(TYPE2&lt;&gt;"")+('Dvd Calendar'!$G$500=TYPE3)*(TYPE3&lt;&gt;"")+('Dvd Calendar'!$G$500=TYPE4)*(TYPE4&lt;&gt;"")+('Dvd Calendar'!$G$500=SPECIAL_LBL)*(INC_SPECIALS="Y"))=0,"",'Dvd Calendar'!$G$498)))</f>
        <v/>
      </c>
      <c r="F56" s="106">
        <f>IF(EH56="","",IF(ISNUMBER('Dvd Calendar'!$H$498)=FALSE,"",IF((('Dvd Calendar'!$H$500=TYPE1)*(TYPE1&lt;&gt;"")+('Dvd Calendar'!$H$500=TYPE2)*(TYPE2&lt;&gt;"")+('Dvd Calendar'!$H$500=TYPE3)*(TYPE3&lt;&gt;"")+('Dvd Calendar'!$H$500=TYPE4)*(TYPE4&lt;&gt;"")+('Dvd Calendar'!$H$500=SPECIAL_LBL)*(INC_SPECIALS="Y"))=0,"",'Dvd Calendar'!$H$498)))</f>
        <v/>
      </c>
      <c r="G56" s="106">
        <f>IF(EI56="","",IF(ISNUMBER('Dvd Calendar'!$I$498)=FALSE,"",IF((('Dvd Calendar'!$I$500=TYPE1)*(TYPE1&lt;&gt;"")+('Dvd Calendar'!$I$500=TYPE2)*(TYPE2&lt;&gt;"")+('Dvd Calendar'!$I$500=TYPE3)*(TYPE3&lt;&gt;"")+('Dvd Calendar'!$I$500=TYPE4)*(TYPE4&lt;&gt;"")+('Dvd Calendar'!$I$500=SPECIAL_LBL)*(INC_SPECIALS="Y"))=0,"",'Dvd Calendar'!$I$498)))</f>
        <v/>
      </c>
      <c r="H56" s="106">
        <f>IF(EJ56="","",IF(ISNUMBER('Dvd Calendar'!$J$498)=FALSE,"",IF((('Dvd Calendar'!$J$500=TYPE1)*(TYPE1&lt;&gt;"")+('Dvd Calendar'!$J$500=TYPE2)*(TYPE2&lt;&gt;"")+('Dvd Calendar'!$J$500=TYPE3)*(TYPE3&lt;&gt;"")+('Dvd Calendar'!$J$500=TYPE4)*(TYPE4&lt;&gt;"")+('Dvd Calendar'!$J$500=SPECIAL_LBL)*(INC_SPECIALS="Y"))=0,"",'Dvd Calendar'!$J$498)))</f>
        <v/>
      </c>
      <c r="I56" s="106">
        <f>IF(EK56="","",IF(ISNUMBER('Dvd Calendar'!$K$498)=FALSE,"",IF((('Dvd Calendar'!$K$500=TYPE1)*(TYPE1&lt;&gt;"")+('Dvd Calendar'!$K$500=TYPE2)*(TYPE2&lt;&gt;"")+('Dvd Calendar'!$K$500=TYPE3)*(TYPE3&lt;&gt;"")+('Dvd Calendar'!$K$500=TYPE4)*(TYPE4&lt;&gt;"")+('Dvd Calendar'!$K$500=SPECIAL_LBL)*(INC_SPECIALS="Y"))=0,"",'Dvd Calendar'!$K$498)))</f>
        <v/>
      </c>
      <c r="J56" s="106">
        <f>IF(EL56="","",IF(ISNUMBER('Dvd Calendar'!$L$498)=FALSE,"",IF((('Dvd Calendar'!$L$500=TYPE1)*(TYPE1&lt;&gt;"")+('Dvd Calendar'!$L$500=TYPE2)*(TYPE2&lt;&gt;"")+('Dvd Calendar'!$L$500=TYPE3)*(TYPE3&lt;&gt;"")+('Dvd Calendar'!$L$500=TYPE4)*(TYPE4&lt;&gt;"")+('Dvd Calendar'!$L$500=SPECIAL_LBL)*(INC_SPECIALS="Y"))=0,"",'Dvd Calendar'!$L$498)))</f>
        <v/>
      </c>
      <c r="K56" s="106">
        <f>IF(EM56="","",IF(ISNUMBER('Dvd Calendar'!$M$498)=FALSE,"",IF((('Dvd Calendar'!$M$500=TYPE1)*(TYPE1&lt;&gt;"")+('Dvd Calendar'!$M$500=TYPE2)*(TYPE2&lt;&gt;"")+('Dvd Calendar'!$M$500=TYPE3)*(TYPE3&lt;&gt;"")+('Dvd Calendar'!$M$500=TYPE4)*(TYPE4&lt;&gt;"")+('Dvd Calendar'!$M$500=SPECIAL_LBL)*(INC_SPECIALS="Y"))=0,"",'Dvd Calendar'!$M$498)))</f>
        <v/>
      </c>
      <c r="L56" s="106">
        <f>IF(EN56="","",IF(ISNUMBER('Dvd Calendar'!$N$498)=FALSE,"",IF((('Dvd Calendar'!$N$500=TYPE1)*(TYPE1&lt;&gt;"")+('Dvd Calendar'!$N$500=TYPE2)*(TYPE2&lt;&gt;"")+('Dvd Calendar'!$N$500=TYPE3)*(TYPE3&lt;&gt;"")+('Dvd Calendar'!$N$500=TYPE4)*(TYPE4&lt;&gt;"")+('Dvd Calendar'!$N$500=SPECIAL_LBL)*(INC_SPECIALS="Y"))=0,"",'Dvd Calendar'!$N$498)))</f>
        <v/>
      </c>
      <c r="M56" s="106">
        <f>IF(EO56="","",IF(ISNUMBER('Dvd Calendar'!$O$498)=FALSE,"",IF((('Dvd Calendar'!$O$500=TYPE1)*(TYPE1&lt;&gt;"")+('Dvd Calendar'!$O$500=TYPE2)*(TYPE2&lt;&gt;"")+('Dvd Calendar'!$O$500=TYPE3)*(TYPE3&lt;&gt;"")+('Dvd Calendar'!$O$500=TYPE4)*(TYPE4&lt;&gt;"")+('Dvd Calendar'!$O$500=SPECIAL_LBL)*(INC_SPECIALS="Y"))=0,"",'Dvd Calendar'!$O$498)))</f>
        <v/>
      </c>
      <c r="N56" s="106">
        <f>IF(EP56="","",IF(ISNUMBER('Dvd Calendar'!$P$498)=FALSE,"",IF((('Dvd Calendar'!$P$500=TYPE1)*(TYPE1&lt;&gt;"")+('Dvd Calendar'!$P$500=TYPE2)*(TYPE2&lt;&gt;"")+('Dvd Calendar'!$P$500=TYPE3)*(TYPE3&lt;&gt;"")+('Dvd Calendar'!$P$500=TYPE4)*(TYPE4&lt;&gt;"")+('Dvd Calendar'!$P$500=SPECIAL_LBL)*(INC_SPECIALS="Y"))=0,"",'Dvd Calendar'!$P$498)))</f>
        <v/>
      </c>
      <c r="O56" s="106">
        <f>IF(EQ56="","",IF(ISNUMBER('Dvd Calendar'!$Q$498)=FALSE,"",IF((('Dvd Calendar'!$Q$500=TYPE1)*(TYPE1&lt;&gt;"")+('Dvd Calendar'!$Q$500=TYPE2)*(TYPE2&lt;&gt;"")+('Dvd Calendar'!$Q$500=TYPE3)*(TYPE3&lt;&gt;"")+('Dvd Calendar'!$Q$500=TYPE4)*(TYPE4&lt;&gt;"")+('Dvd Calendar'!$Q$500=SPECIAL_LBL)*(INC_SPECIALS="Y"))=0,"",'Dvd Calendar'!$Q$498)))</f>
        <v/>
      </c>
      <c r="P56" s="106">
        <f>IF(ER56="","",IF(ISNUMBER('Dvd Calendar'!$R$498)=FALSE,"",IF((('Dvd Calendar'!$R$500=TYPE1)*(TYPE1&lt;&gt;"")+('Dvd Calendar'!$R$500=TYPE2)*(TYPE2&lt;&gt;"")+('Dvd Calendar'!$R$500=TYPE3)*(TYPE3&lt;&gt;"")+('Dvd Calendar'!$R$500=TYPE4)*(TYPE4&lt;&gt;"")+('Dvd Calendar'!$R$500=SPECIAL_LBL)*(INC_SPECIALS="Y"))=0,"",'Dvd Calendar'!$R$498)))</f>
        <v/>
      </c>
      <c r="Q56" s="106">
        <f>IF(ES56="","",IF(ISNUMBER('Dvd Calendar'!$S$498)=FALSE,"",IF((('Dvd Calendar'!$S$500=TYPE1)*(TYPE1&lt;&gt;"")+('Dvd Calendar'!$S$500=TYPE2)*(TYPE2&lt;&gt;"")+('Dvd Calendar'!$S$500=TYPE3)*(TYPE3&lt;&gt;"")+('Dvd Calendar'!$S$500=TYPE4)*(TYPE4&lt;&gt;"")+('Dvd Calendar'!$S$500=SPECIAL_LBL)*(INC_SPECIALS="Y"))=0,"",'Dvd Calendar'!$S$498)))</f>
        <v/>
      </c>
      <c r="R56" s="106">
        <f>IF(ET56="","",IF(ISNUMBER('Dvd Calendar'!$T$498)=FALSE,"",IF((('Dvd Calendar'!$T$500=TYPE1)*(TYPE1&lt;&gt;"")+('Dvd Calendar'!$T$500=TYPE2)*(TYPE2&lt;&gt;"")+('Dvd Calendar'!$T$500=TYPE3)*(TYPE3&lt;&gt;"")+('Dvd Calendar'!$T$500=TYPE4)*(TYPE4&lt;&gt;"")+('Dvd Calendar'!$T$500=SPECIAL_LBL)*(INC_SPECIALS="Y"))=0,"",'Dvd Calendar'!$T$498)))</f>
        <v/>
      </c>
      <c r="S56" s="106">
        <f>IF(EU56="","",IF(ISNUMBER('Dvd Calendar'!$U$498)=FALSE,"",IF((('Dvd Calendar'!$U$500=TYPE1)*(TYPE1&lt;&gt;"")+('Dvd Calendar'!$U$500=TYPE2)*(TYPE2&lt;&gt;"")+('Dvd Calendar'!$U$500=TYPE3)*(TYPE3&lt;&gt;"")+('Dvd Calendar'!$U$500=TYPE4)*(TYPE4&lt;&gt;"")+('Dvd Calendar'!$U$500=SPECIAL_LBL)*(INC_SPECIALS="Y"))=0,"",'Dvd Calendar'!$U$498)))</f>
        <v/>
      </c>
      <c r="T56" s="106">
        <f>IF(EV56="","",IF(ISNUMBER('Dvd Calendar'!$V$498)=FALSE,"",IF((('Dvd Calendar'!$V$500=TYPE1)*(TYPE1&lt;&gt;"")+('Dvd Calendar'!$V$500=TYPE2)*(TYPE2&lt;&gt;"")+('Dvd Calendar'!$V$500=TYPE3)*(TYPE3&lt;&gt;"")+('Dvd Calendar'!$V$500=TYPE4)*(TYPE4&lt;&gt;"")+('Dvd Calendar'!$V$500=SPECIAL_LBL)*(INC_SPECIALS="Y"))=0,"",'Dvd Calendar'!$V$498)))</f>
        <v/>
      </c>
      <c r="U56" s="106">
        <f>IF(EW56="","",IF(ISNUMBER('Dvd Calendar'!$W$498)=FALSE,"",IF((('Dvd Calendar'!$W$500=TYPE1)*(TYPE1&lt;&gt;"")+('Dvd Calendar'!$W$500=TYPE2)*(TYPE2&lt;&gt;"")+('Dvd Calendar'!$W$500=TYPE3)*(TYPE3&lt;&gt;"")+('Dvd Calendar'!$W$500=TYPE4)*(TYPE4&lt;&gt;"")+('Dvd Calendar'!$W$500=SPECIAL_LBL)*(INC_SPECIALS="Y"))=0,"",'Dvd Calendar'!$W$498)))</f>
        <v/>
      </c>
      <c r="V56" s="106">
        <f>IF(EX56="","",IF(ISNUMBER('Dvd Calendar'!$X$498)=FALSE,"",IF((('Dvd Calendar'!$X$500=TYPE1)*(TYPE1&lt;&gt;"")+('Dvd Calendar'!$X$500=TYPE2)*(TYPE2&lt;&gt;"")+('Dvd Calendar'!$X$500=TYPE3)*(TYPE3&lt;&gt;"")+('Dvd Calendar'!$X$500=TYPE4)*(TYPE4&lt;&gt;"")+('Dvd Calendar'!$X$500=SPECIAL_LBL)*(INC_SPECIALS="Y"))=0,"",'Dvd Calendar'!$X$498)))</f>
        <v/>
      </c>
      <c r="W56" s="106">
        <f>IF(EY56="","",IF(ISNUMBER('Dvd Calendar'!$Y$498)=FALSE,"",IF((('Dvd Calendar'!$Y$500=TYPE1)*(TYPE1&lt;&gt;"")+('Dvd Calendar'!$Y$500=TYPE2)*(TYPE2&lt;&gt;"")+('Dvd Calendar'!$Y$500=TYPE3)*(TYPE3&lt;&gt;"")+('Dvd Calendar'!$Y$500=TYPE4)*(TYPE4&lt;&gt;"")+('Dvd Calendar'!$Y$500=SPECIAL_LBL)*(INC_SPECIALS="Y"))=0,"",'Dvd Calendar'!$Y$498)))</f>
        <v/>
      </c>
      <c r="X56" s="106">
        <f>IF(EZ56="","",IF(ISNUMBER('Dvd Calendar'!$Z$498)=FALSE,"",IF((('Dvd Calendar'!$Z$500=TYPE1)*(TYPE1&lt;&gt;"")+('Dvd Calendar'!$Z$500=TYPE2)*(TYPE2&lt;&gt;"")+('Dvd Calendar'!$Z$500=TYPE3)*(TYPE3&lt;&gt;"")+('Dvd Calendar'!$Z$500=TYPE4)*(TYPE4&lt;&gt;"")+('Dvd Calendar'!$Z$500=SPECIAL_LBL)*(INC_SPECIALS="Y"))=0,"",'Dvd Calendar'!$Z$498)))</f>
        <v/>
      </c>
      <c r="Y56" s="106">
        <f>IF(FA56="","",IF(ISNUMBER('Dvd Calendar'!$AA$498)=FALSE,"",IF((('Dvd Calendar'!$AA$500=TYPE1)*(TYPE1&lt;&gt;"")+('Dvd Calendar'!$AA$500=TYPE2)*(TYPE2&lt;&gt;"")+('Dvd Calendar'!$AA$500=TYPE3)*(TYPE3&lt;&gt;"")+('Dvd Calendar'!$AA$500=TYPE4)*(TYPE4&lt;&gt;"")+('Dvd Calendar'!$AA$500=SPECIAL_LBL)*(INC_SPECIALS="Y"))=0,"",'Dvd Calendar'!$AA$498)))</f>
        <v/>
      </c>
      <c r="Z56" s="106">
        <f>IF(FB56="","",IF(ISNUMBER('Dvd Calendar'!$AB$498)=FALSE,"",IF((('Dvd Calendar'!$AB$500=TYPE1)*(TYPE1&lt;&gt;"")+('Dvd Calendar'!$AB$500=TYPE2)*(TYPE2&lt;&gt;"")+('Dvd Calendar'!$AB$500=TYPE3)*(TYPE3&lt;&gt;"")+('Dvd Calendar'!$AB$500=TYPE4)*(TYPE4&lt;&gt;"")+('Dvd Calendar'!$AB$500=SPECIAL_LBL)*(INC_SPECIALS="Y"))=0,"",'Dvd Calendar'!$AB$498)))</f>
        <v/>
      </c>
      <c r="AA56" s="106">
        <f>IF(FC56="","",IF(ISNUMBER('Dvd Calendar'!$AC$498)=FALSE,"",IF((('Dvd Calendar'!$AC$500=TYPE1)*(TYPE1&lt;&gt;"")+('Dvd Calendar'!$AC$500=TYPE2)*(TYPE2&lt;&gt;"")+('Dvd Calendar'!$AC$500=TYPE3)*(TYPE3&lt;&gt;"")+('Dvd Calendar'!$AC$500=TYPE4)*(TYPE4&lt;&gt;"")+('Dvd Calendar'!$AC$500=SPECIAL_LBL)*(INC_SPECIALS="Y"))=0,"",'Dvd Calendar'!$AC$498)))</f>
        <v/>
      </c>
      <c r="AB56" s="106">
        <f>IF(FD56="","",IF(ISNUMBER('Dvd Calendar'!$AD$498)=FALSE,"",IF((('Dvd Calendar'!$AD$500=TYPE1)*(TYPE1&lt;&gt;"")+('Dvd Calendar'!$AD$500=TYPE2)*(TYPE2&lt;&gt;"")+('Dvd Calendar'!$AD$500=TYPE3)*(TYPE3&lt;&gt;"")+('Dvd Calendar'!$AD$500=TYPE4)*(TYPE4&lt;&gt;"")+('Dvd Calendar'!$AD$500=SPECIAL_LBL)*(INC_SPECIALS="Y"))=0,"",'Dvd Calendar'!$AD$498)))</f>
        <v/>
      </c>
      <c r="AC56" s="106">
        <f>IF(FE56="","",IF(ISNUMBER('Dvd Calendar'!$AE$498)=FALSE,"",IF((('Dvd Calendar'!$AE$500=TYPE1)*(TYPE1&lt;&gt;"")+('Dvd Calendar'!$AE$500=TYPE2)*(TYPE2&lt;&gt;"")+('Dvd Calendar'!$AE$500=TYPE3)*(TYPE3&lt;&gt;"")+('Dvd Calendar'!$AE$500=TYPE4)*(TYPE4&lt;&gt;"")+('Dvd Calendar'!$AE$500=SPECIAL_LBL)*(INC_SPECIALS="Y"))=0,"",'Dvd Calendar'!$AE$498)))</f>
        <v/>
      </c>
      <c r="AD56" s="106">
        <f>IF(FF56="","",IF(ISNUMBER('Dvd Calendar'!$AF$498)=FALSE,"",IF((('Dvd Calendar'!$AF$500=TYPE1)*(TYPE1&lt;&gt;"")+('Dvd Calendar'!$AF$500=TYPE2)*(TYPE2&lt;&gt;"")+('Dvd Calendar'!$AF$500=TYPE3)*(TYPE3&lt;&gt;"")+('Dvd Calendar'!$AF$500=TYPE4)*(TYPE4&lt;&gt;"")+('Dvd Calendar'!$AF$500=SPECIAL_LBL)*(INC_SPECIALS="Y"))=0,"",'Dvd Calendar'!$AF$498)))</f>
        <v/>
      </c>
      <c r="AE56" s="106">
        <f>IF(FG56="","",IF(ISNUMBER('Dvd Calendar'!$AG$498)=FALSE,"",IF((('Dvd Calendar'!$AG$500=TYPE1)*(TYPE1&lt;&gt;"")+('Dvd Calendar'!$AG$500=TYPE2)*(TYPE2&lt;&gt;"")+('Dvd Calendar'!$AG$500=TYPE3)*(TYPE3&lt;&gt;"")+('Dvd Calendar'!$AG$500=TYPE4)*(TYPE4&lt;&gt;"")+('Dvd Calendar'!$AG$500=SPECIAL_LBL)*(INC_SPECIALS="Y"))=0,"",'Dvd Calendar'!$AG$498)))</f>
        <v/>
      </c>
      <c r="AF56" s="106">
        <f>IF(FH56="","",IF(ISNUMBER('Dvd Calendar'!$AH$498)=FALSE,"",IF((('Dvd Calendar'!$AH$500=TYPE1)*(TYPE1&lt;&gt;"")+('Dvd Calendar'!$AH$500=TYPE2)*(TYPE2&lt;&gt;"")+('Dvd Calendar'!$AH$500=TYPE3)*(TYPE3&lt;&gt;"")+('Dvd Calendar'!$AH$500=TYPE4)*(TYPE4&lt;&gt;"")+('Dvd Calendar'!$AH$500=SPECIAL_LBL)*(INC_SPECIALS="Y"))=0,"",'Dvd Calendar'!$AH$498)))</f>
        <v/>
      </c>
      <c r="AG56" s="106">
        <f>IF(FI56="","",IF(ISNUMBER('Dvd Calendar'!$AI$498)=FALSE,"",IF((('Dvd Calendar'!$AI$500=TYPE1)*(TYPE1&lt;&gt;"")+('Dvd Calendar'!$AI$500=TYPE2)*(TYPE2&lt;&gt;"")+('Dvd Calendar'!$AI$500=TYPE3)*(TYPE3&lt;&gt;"")+('Dvd Calendar'!$AI$500=TYPE4)*(TYPE4&lt;&gt;"")+('Dvd Calendar'!$AI$500=SPECIAL_LBL)*(INC_SPECIALS="Y"))=0,"",'Dvd Calendar'!$AI$498)))</f>
        <v/>
      </c>
      <c r="AH56" s="106">
        <f>IF(FJ56="","",IF(ISNUMBER('Dvd Calendar'!$AJ$498)=FALSE,"",IF((('Dvd Calendar'!$AJ$500=TYPE1)*(TYPE1&lt;&gt;"")+('Dvd Calendar'!$AJ$500=TYPE2)*(TYPE2&lt;&gt;"")+('Dvd Calendar'!$AJ$500=TYPE3)*(TYPE3&lt;&gt;"")+('Dvd Calendar'!$AJ$500=TYPE4)*(TYPE4&lt;&gt;"")+('Dvd Calendar'!$AJ$500=SPECIAL_LBL)*(INC_SPECIALS="Y"))=0,"",'Dvd Calendar'!$AJ$498)))</f>
        <v/>
      </c>
      <c r="AI56" s="106">
        <f>IF(FK56="","",IF(ISNUMBER('Dvd Calendar'!$AK$498)=FALSE,"",IF((('Dvd Calendar'!$AK$500=TYPE1)*(TYPE1&lt;&gt;"")+('Dvd Calendar'!$AK$500=TYPE2)*(TYPE2&lt;&gt;"")+('Dvd Calendar'!$AK$500=TYPE3)*(TYPE3&lt;&gt;"")+('Dvd Calendar'!$AK$500=TYPE4)*(TYPE4&lt;&gt;"")+('Dvd Calendar'!$AK$500=SPECIAL_LBL)*(INC_SPECIALS="Y"))=0,"",'Dvd Calendar'!$AK$498)))</f>
        <v/>
      </c>
      <c r="AJ56" s="106">
        <f>IF(FL56="","",IF(ISNUMBER('Dvd Calendar'!$AL$498)=FALSE,"",IF((('Dvd Calendar'!$AL$500=TYPE1)*(TYPE1&lt;&gt;"")+('Dvd Calendar'!$AL$500=TYPE2)*(TYPE2&lt;&gt;"")+('Dvd Calendar'!$AL$500=TYPE3)*(TYPE3&lt;&gt;"")+('Dvd Calendar'!$AL$500=TYPE4)*(TYPE4&lt;&gt;"")+('Dvd Calendar'!$AL$500=SPECIAL_LBL)*(INC_SPECIALS="Y"))=0,"",'Dvd Calendar'!$AL$498)))</f>
        <v/>
      </c>
      <c r="AK56" s="106">
        <f>IF(FM56="","",IF(ISNUMBER('Dvd Calendar'!$AM$498)=FALSE,"",IF((('Dvd Calendar'!$AM$500=TYPE1)*(TYPE1&lt;&gt;"")+('Dvd Calendar'!$AM$500=TYPE2)*(TYPE2&lt;&gt;"")+('Dvd Calendar'!$AM$500=TYPE3)*(TYPE3&lt;&gt;"")+('Dvd Calendar'!$AM$500=TYPE4)*(TYPE4&lt;&gt;"")+('Dvd Calendar'!$AM$500=SPECIAL_LBL)*(INC_SPECIALS="Y"))=0,"",'Dvd Calendar'!$AM$498)))</f>
        <v/>
      </c>
      <c r="AL56" s="106">
        <f>IF(FN56="","",IF(ISNUMBER('Dvd Calendar'!$AN$498)=FALSE,"",IF((('Dvd Calendar'!$AN$500=TYPE1)*(TYPE1&lt;&gt;"")+('Dvd Calendar'!$AN$500=TYPE2)*(TYPE2&lt;&gt;"")+('Dvd Calendar'!$AN$500=TYPE3)*(TYPE3&lt;&gt;"")+('Dvd Calendar'!$AN$500=TYPE4)*(TYPE4&lt;&gt;"")+('Dvd Calendar'!$AN$500=SPECIAL_LBL)*(INC_SPECIALS="Y"))=0,"",'Dvd Calendar'!$AN$498)))</f>
        <v/>
      </c>
      <c r="AM56" s="106">
        <f>IF(FO56="","",IF(ISNUMBER('Dvd Calendar'!$AO$498)=FALSE,"",IF((('Dvd Calendar'!$AO$500=TYPE1)*(TYPE1&lt;&gt;"")+('Dvd Calendar'!$AO$500=TYPE2)*(TYPE2&lt;&gt;"")+('Dvd Calendar'!$AO$500=TYPE3)*(TYPE3&lt;&gt;"")+('Dvd Calendar'!$AO$500=TYPE4)*(TYPE4&lt;&gt;"")+('Dvd Calendar'!$AO$500=SPECIAL_LBL)*(INC_SPECIALS="Y"))=0,"",'Dvd Calendar'!$AO$498)))</f>
        <v/>
      </c>
      <c r="AN56" s="106">
        <f>IF(FP56="","",IF(ISNUMBER('Dvd Calendar'!$AP$498)=FALSE,"",IF((('Dvd Calendar'!$AP$500=TYPE1)*(TYPE1&lt;&gt;"")+('Dvd Calendar'!$AP$500=TYPE2)*(TYPE2&lt;&gt;"")+('Dvd Calendar'!$AP$500=TYPE3)*(TYPE3&lt;&gt;"")+('Dvd Calendar'!$AP$500=TYPE4)*(TYPE4&lt;&gt;"")+('Dvd Calendar'!$AP$500=SPECIAL_LBL)*(INC_SPECIALS="Y"))=0,"",'Dvd Calendar'!$AP$498)))</f>
        <v/>
      </c>
      <c r="AO56" s="106">
        <f>IF(FQ56="","",IF(ISNUMBER('Dvd Calendar'!$AQ$498)=FALSE,"",IF((('Dvd Calendar'!$AQ$500=TYPE1)*(TYPE1&lt;&gt;"")+('Dvd Calendar'!$AQ$500=TYPE2)*(TYPE2&lt;&gt;"")+('Dvd Calendar'!$AQ$500=TYPE3)*(TYPE3&lt;&gt;"")+('Dvd Calendar'!$AQ$500=TYPE4)*(TYPE4&lt;&gt;"")+('Dvd Calendar'!$AQ$500=SPECIAL_LBL)*(INC_SPECIALS="Y"))=0,"",'Dvd Calendar'!$AQ$498)))</f>
        <v/>
      </c>
      <c r="AP56" s="106">
        <f>IF(FR56="","",IF(ISNUMBER('Dvd Calendar'!$AR$498)=FALSE,"",IF((('Dvd Calendar'!$AR$500=TYPE1)*(TYPE1&lt;&gt;"")+('Dvd Calendar'!$AR$500=TYPE2)*(TYPE2&lt;&gt;"")+('Dvd Calendar'!$AR$500=TYPE3)*(TYPE3&lt;&gt;"")+('Dvd Calendar'!$AR$500=TYPE4)*(TYPE4&lt;&gt;"")+('Dvd Calendar'!$AR$500=SPECIAL_LBL)*(INC_SPECIALS="Y"))=0,"",'Dvd Calendar'!$AR$498)))</f>
        <v/>
      </c>
      <c r="AQ56" s="106">
        <f>IF(FS56="","",IF(ISNUMBER('Dvd Calendar'!$E$503)=FALSE,"",'Dvd Calendar'!$E$503))</f>
        <v/>
      </c>
      <c r="AR56" s="106">
        <f>IF(FT56="","",IF(ISNUMBER('Dvd Calendar'!$F$503)=FALSE,"",'Dvd Calendar'!$F$503))</f>
        <v/>
      </c>
      <c r="AS56" s="106">
        <f>IF(FU56="","",IF(ISNUMBER('Dvd Calendar'!$G$503)=FALSE,"",'Dvd Calendar'!$G$503))</f>
        <v/>
      </c>
      <c r="AT56" s="106">
        <f>IF(FV56="","",IF(ISNUMBER('Dvd Calendar'!$H$503)=FALSE,"",'Dvd Calendar'!$H$503))</f>
        <v/>
      </c>
      <c r="AU56" s="106">
        <f>IF(FW56="","",IF(ISNUMBER('Dvd Calendar'!$I$503)=FALSE,"",'Dvd Calendar'!$I$503))</f>
        <v/>
      </c>
      <c r="AV56" s="106">
        <f>IF(FX56="","",IF(ISNUMBER('Dvd Calendar'!$J$503)=FALSE,"",'Dvd Calendar'!$J$503))</f>
        <v/>
      </c>
      <c r="AW56" s="106">
        <f>IF(FY56="","",IF(ISNUMBER('Dvd Calendar'!$K$503)=FALSE,"",'Dvd Calendar'!$K$503))</f>
        <v/>
      </c>
      <c r="AX56" s="106">
        <f>IF(FZ56="","",IF(ISNUMBER('Dvd Calendar'!$L$503)=FALSE,"",'Dvd Calendar'!$L$503))</f>
        <v/>
      </c>
      <c r="AY56" s="106">
        <f>IF(GA56="","",IF(ISNUMBER('Dvd Calendar'!$M$503)=FALSE,"",'Dvd Calendar'!$M$503))</f>
        <v/>
      </c>
      <c r="AZ56" s="106">
        <f>IF(GB56="","",IF(ISNUMBER('Dvd Calendar'!$N$503)=FALSE,"",'Dvd Calendar'!$N$503))</f>
        <v/>
      </c>
      <c r="BA56" s="106">
        <f>IF(GC56="","",IF(ISNUMBER('Dvd Calendar'!$O$503)=FALSE,"",'Dvd Calendar'!$O$503))</f>
        <v/>
      </c>
      <c r="BB56" s="106">
        <f>IF(GD56="","",IF(ISNUMBER('Dvd Calendar'!$P$503)=FALSE,"",'Dvd Calendar'!$P$503))</f>
        <v/>
      </c>
      <c r="BC56" s="106">
        <f>IF(GE56="","",IF(ISNUMBER('Dvd Calendar'!$Q$503)=FALSE,"",'Dvd Calendar'!$Q$503))</f>
        <v/>
      </c>
      <c r="BD56" s="106">
        <f>IF(GF56="","",IF(ISNUMBER('Dvd Calendar'!$R$503)=FALSE,"",'Dvd Calendar'!$R$503))</f>
        <v/>
      </c>
      <c r="BE56" s="106">
        <f>IF(GG56="","",IF(ISNUMBER('Dvd Calendar'!$S$503)=FALSE,"",'Dvd Calendar'!$S$503))</f>
        <v/>
      </c>
      <c r="BF56" s="106">
        <f>IF(GH56="","",IF(ISNUMBER('Dvd Calendar'!$T$503)=FALSE,"",'Dvd Calendar'!$T$503))</f>
        <v/>
      </c>
      <c r="BG56" s="106">
        <f>IF(GI56="","",IF(ISNUMBER('Dvd Calendar'!$U$503)=FALSE,"",'Dvd Calendar'!$U$503))</f>
        <v/>
      </c>
      <c r="BH56" s="106">
        <f>IF(GJ56="","",IF(ISNUMBER('Dvd Calendar'!$V$503)=FALSE,"",'Dvd Calendar'!$V$503))</f>
        <v/>
      </c>
      <c r="BI56" s="106">
        <f>IF(GK56="","",IF(ISNUMBER('Dvd Calendar'!$W$503)=FALSE,"",'Dvd Calendar'!$W$503))</f>
        <v/>
      </c>
      <c r="BJ56" s="106">
        <f>IF(GL56="","",IF(ISNUMBER('Dvd Calendar'!$X$503)=FALSE,"",'Dvd Calendar'!$X$503))</f>
        <v/>
      </c>
      <c r="BK56" s="106">
        <f>IF(GM56="","",IF(ISNUMBER('Dvd Calendar'!$Y$503)=FALSE,"",'Dvd Calendar'!$Y$503))</f>
        <v/>
      </c>
      <c r="BL56" s="106">
        <f>IF(GN56="","",IF(ISNUMBER('Dvd Calendar'!$Z$503)=FALSE,"",'Dvd Calendar'!$Z$503))</f>
        <v/>
      </c>
      <c r="BM56" s="106">
        <f>IF(GO56="","",IF(ISNUMBER('Dvd Calendar'!$AA$503)=FALSE,"",'Dvd Calendar'!$AA$503))</f>
        <v/>
      </c>
      <c r="BN56" s="106">
        <f>IF(GP56="","",IF(ISNUMBER('Dvd Calendar'!$AB$503)=FALSE,"",'Dvd Calendar'!$AB$503))</f>
        <v/>
      </c>
      <c r="BO56" s="106">
        <f>IF(GQ56="","",IF(ISNUMBER('Dvd Calendar'!$AC$503)=FALSE,"",'Dvd Calendar'!$AC$503))</f>
        <v/>
      </c>
      <c r="BQ56" s="106">
        <f>IF(C56="","",IFERROR(C56*HSI!$B$51*HSI!$G$51/HSI!$B$3,""))</f>
        <v/>
      </c>
      <c r="BR56" s="106">
        <f>IF(D56="","",IFERROR(D56*HSI!$B$51*HSI!$G$51/HSI!$B$3,""))</f>
        <v/>
      </c>
      <c r="BS56" s="106">
        <f>IF(E56="","",IFERROR(E56*HSI!$B$51*HSI!$G$51/HSI!$B$3,""))</f>
        <v/>
      </c>
      <c r="BT56" s="106">
        <f>IF(F56="","",IFERROR(F56*HSI!$B$51*HSI!$G$51/HSI!$B$3,""))</f>
        <v/>
      </c>
      <c r="BU56" s="106">
        <f>IF(G56="","",IFERROR(G56*HSI!$B$51*HSI!$G$51/HSI!$B$3,""))</f>
        <v/>
      </c>
      <c r="BV56" s="106">
        <f>IF(H56="","",IFERROR(H56*HSI!$B$51*HSI!$G$51/HSI!$B$3,""))</f>
        <v/>
      </c>
      <c r="BW56" s="106">
        <f>IF(I56="","",IFERROR(I56*HSI!$B$51*HSI!$G$51/HSI!$B$3,""))</f>
        <v/>
      </c>
      <c r="BX56" s="106">
        <f>IF(J56="","",IFERROR(J56*HSI!$B$51*HSI!$G$51/HSI!$B$3,""))</f>
        <v/>
      </c>
      <c r="BY56" s="106">
        <f>IF(K56="","",IFERROR(K56*HSI!$B$51*HSI!$G$51/HSI!$B$3,""))</f>
        <v/>
      </c>
      <c r="BZ56" s="106">
        <f>IF(L56="","",IFERROR(L56*HSI!$B$51*HSI!$G$51/HSI!$B$3,""))</f>
        <v/>
      </c>
      <c r="CA56" s="106">
        <f>IF(M56="","",IFERROR(M56*HSI!$B$51*HSI!$G$51/HSI!$B$3,""))</f>
        <v/>
      </c>
      <c r="CB56" s="106">
        <f>IF(N56="","",IFERROR(N56*HSI!$B$51*HSI!$G$51/HSI!$B$3,""))</f>
        <v/>
      </c>
      <c r="CC56" s="106">
        <f>IF(O56="","",IFERROR(O56*HSI!$B$51*HSI!$G$51/HSI!$B$3,""))</f>
        <v/>
      </c>
      <c r="CD56" s="106">
        <f>IF(P56="","",IFERROR(P56*HSI!$B$51*HSI!$G$51/HSI!$B$3,""))</f>
        <v/>
      </c>
      <c r="CE56" s="106">
        <f>IF(Q56="","",IFERROR(Q56*HSI!$B$51*HSI!$G$51/HSI!$B$3,""))</f>
        <v/>
      </c>
      <c r="CF56" s="106">
        <f>IF(R56="","",IFERROR(R56*HSI!$B$51*HSI!$G$51/HSI!$B$3,""))</f>
        <v/>
      </c>
      <c r="CG56" s="106">
        <f>IF(S56="","",IFERROR(S56*HSI!$B$51*HSI!$G$51/HSI!$B$3,""))</f>
        <v/>
      </c>
      <c r="CH56" s="106">
        <f>IF(T56="","",IFERROR(T56*HSI!$B$51*HSI!$G$51/HSI!$B$3,""))</f>
        <v/>
      </c>
      <c r="CI56" s="106">
        <f>IF(U56="","",IFERROR(U56*HSI!$B$51*HSI!$G$51/HSI!$B$3,""))</f>
        <v/>
      </c>
      <c r="CJ56" s="106">
        <f>IF(V56="","",IFERROR(V56*HSI!$B$51*HSI!$G$51/HSI!$B$3,""))</f>
        <v/>
      </c>
      <c r="CK56" s="106">
        <f>IF(W56="","",IFERROR(W56*HSI!$B$51*HSI!$G$51/HSI!$B$3,""))</f>
        <v/>
      </c>
      <c r="CL56" s="106">
        <f>IF(X56="","",IFERROR(X56*HSI!$B$51*HSI!$G$51/HSI!$B$3,""))</f>
        <v/>
      </c>
      <c r="CM56" s="106">
        <f>IF(Y56="","",IFERROR(Y56*HSI!$B$51*HSI!$G$51/HSI!$B$3,""))</f>
        <v/>
      </c>
      <c r="CN56" s="106">
        <f>IF(Z56="","",IFERROR(Z56*HSI!$B$51*HSI!$G$51/HSI!$B$3,""))</f>
        <v/>
      </c>
      <c r="CO56" s="106">
        <f>IF(AA56="","",IFERROR(AA56*HSI!$B$51*HSI!$G$51/HSI!$B$3,""))</f>
        <v/>
      </c>
      <c r="CP56" s="106">
        <f>IF(AB56="","",IFERROR(AB56*HSI!$B$51*HSI!$G$51/HSI!$B$3,""))</f>
        <v/>
      </c>
      <c r="CQ56" s="106">
        <f>IF(AC56="","",IFERROR(AC56*HSI!$B$51*HSI!$G$51/HSI!$B$3,""))</f>
        <v/>
      </c>
      <c r="CR56" s="106">
        <f>IF(AD56="","",IFERROR(AD56*HSI!$B$51*HSI!$G$51/HSI!$B$3,""))</f>
        <v/>
      </c>
      <c r="CS56" s="106">
        <f>IF(AE56="","",IFERROR(AE56*HSI!$B$51*HSI!$G$51/HSI!$B$3,""))</f>
        <v/>
      </c>
      <c r="CT56" s="106">
        <f>IF(AF56="","",IFERROR(AF56*HSI!$B$51*HSI!$G$51/HSI!$B$3,""))</f>
        <v/>
      </c>
      <c r="CU56" s="106">
        <f>IF(AG56="","",IFERROR(AG56*HSI!$B$51*HSI!$G$51/HSI!$B$3,""))</f>
        <v/>
      </c>
      <c r="CV56" s="106">
        <f>IF(AH56="","",IFERROR(AH56*HSI!$B$51*HSI!$G$51/HSI!$B$3,""))</f>
        <v/>
      </c>
      <c r="CW56" s="106">
        <f>IF(AI56="","",IFERROR(AI56*HSI!$B$51*HSI!$G$51/HSI!$B$3,""))</f>
        <v/>
      </c>
      <c r="CX56" s="106">
        <f>IF(AJ56="","",IFERROR(AJ56*HSI!$B$51*HSI!$G$51/HSI!$B$3,""))</f>
        <v/>
      </c>
      <c r="CY56" s="106">
        <f>IF(AK56="","",IFERROR(AK56*HSI!$B$51*HSI!$G$51/HSI!$B$3,""))</f>
        <v/>
      </c>
      <c r="CZ56" s="106">
        <f>IF(AL56="","",IFERROR(AL56*HSI!$B$51*HSI!$G$51/HSI!$B$3,""))</f>
        <v/>
      </c>
      <c r="DA56" s="106">
        <f>IF(AM56="","",IFERROR(AM56*HSI!$B$51*HSI!$G$51/HSI!$B$3,""))</f>
        <v/>
      </c>
      <c r="DB56" s="106">
        <f>IF(AN56="","",IFERROR(AN56*HSI!$B$51*HSI!$G$51/HSI!$B$3,""))</f>
        <v/>
      </c>
      <c r="DC56" s="106">
        <f>IF(AO56="","",IFERROR(AO56*HSI!$B$51*HSI!$G$51/HSI!$B$3,""))</f>
        <v/>
      </c>
      <c r="DD56" s="106">
        <f>IF(AP56="","",IFERROR(AP56*HSI!$B$51*HSI!$G$51/HSI!$B$3,""))</f>
        <v/>
      </c>
      <c r="DE56" s="106">
        <f>IF(AQ56="","",IFERROR(AQ56*HSI!$B$51*HSI!$G$51/HSI!$B$3,""))</f>
        <v/>
      </c>
      <c r="DF56" s="106">
        <f>IF(AR56="","",IFERROR(AR56*HSI!$B$51*HSI!$G$51/HSI!$B$3,""))</f>
        <v/>
      </c>
      <c r="DG56" s="106">
        <f>IF(AS56="","",IFERROR(AS56*HSI!$B$51*HSI!$G$51/HSI!$B$3,""))</f>
        <v/>
      </c>
      <c r="DH56" s="106">
        <f>IF(AT56="","",IFERROR(AT56*HSI!$B$51*HSI!$G$51/HSI!$B$3,""))</f>
        <v/>
      </c>
      <c r="DI56" s="106">
        <f>IF(AU56="","",IFERROR(AU56*HSI!$B$51*HSI!$G$51/HSI!$B$3,""))</f>
        <v/>
      </c>
      <c r="DJ56" s="106">
        <f>IF(AV56="","",IFERROR(AV56*HSI!$B$51*HSI!$G$51/HSI!$B$3,""))</f>
        <v/>
      </c>
      <c r="DK56" s="106">
        <f>IF(AW56="","",IFERROR(AW56*HSI!$B$51*HSI!$G$51/HSI!$B$3,""))</f>
        <v/>
      </c>
      <c r="DL56" s="106">
        <f>IF(AX56="","",IFERROR(AX56*HSI!$B$51*HSI!$G$51/HSI!$B$3,""))</f>
        <v/>
      </c>
      <c r="DM56" s="106">
        <f>IF(AY56="","",IFERROR(AY56*HSI!$B$51*HSI!$G$51/HSI!$B$3,""))</f>
        <v/>
      </c>
      <c r="DN56" s="106">
        <f>IF(AZ56="","",IFERROR(AZ56*HSI!$B$51*HSI!$G$51/HSI!$B$3,""))</f>
        <v/>
      </c>
      <c r="DO56" s="106">
        <f>IF(BA56="","",IFERROR(BA56*HSI!$B$51*HSI!$G$51/HSI!$B$3,""))</f>
        <v/>
      </c>
      <c r="DP56" s="106">
        <f>IF(BB56="","",IFERROR(BB56*HSI!$B$51*HSI!$G$51/HSI!$B$3,""))</f>
        <v/>
      </c>
      <c r="DQ56" s="106">
        <f>IF(BC56="","",IFERROR(BC56*HSI!$B$51*HSI!$G$51/HSI!$B$3,""))</f>
        <v/>
      </c>
      <c r="DR56" s="106">
        <f>IF(BD56="","",IFERROR(BD56*HSI!$B$51*HSI!$G$51/HSI!$B$3,""))</f>
        <v/>
      </c>
      <c r="DS56" s="106">
        <f>IF(BE56="","",IFERROR(BE56*HSI!$B$51*HSI!$G$51/HSI!$B$3,""))</f>
        <v/>
      </c>
      <c r="DT56" s="106">
        <f>IF(BF56="","",IFERROR(BF56*HSI!$B$51*HSI!$G$51/HSI!$B$3,""))</f>
        <v/>
      </c>
      <c r="DU56" s="106">
        <f>IF(BG56="","",IFERROR(BG56*HSI!$B$51*HSI!$G$51/HSI!$B$3,""))</f>
        <v/>
      </c>
      <c r="DV56" s="106">
        <f>IF(BH56="","",IFERROR(BH56*HSI!$B$51*HSI!$G$51/HSI!$B$3,""))</f>
        <v/>
      </c>
      <c r="DW56" s="106">
        <f>IF(BI56="","",IFERROR(BI56*HSI!$B$51*HSI!$G$51/HSI!$B$3,""))</f>
        <v/>
      </c>
      <c r="DX56" s="106">
        <f>IF(BJ56="","",IFERROR(BJ56*HSI!$B$51*HSI!$G$51/HSI!$B$3,""))</f>
        <v/>
      </c>
      <c r="DY56" s="106">
        <f>IF(BK56="","",IFERROR(BK56*HSI!$B$51*HSI!$G$51/HSI!$B$3,""))</f>
        <v/>
      </c>
      <c r="DZ56" s="106">
        <f>IF(BL56="","",IFERROR(BL56*HSI!$B$51*HSI!$G$51/HSI!$B$3,""))</f>
        <v/>
      </c>
      <c r="EA56" s="106">
        <f>IF(BM56="","",IFERROR(BM56*HSI!$B$51*HSI!$G$51/HSI!$B$3,""))</f>
        <v/>
      </c>
      <c r="EB56" s="106">
        <f>IF(BN56="","",IFERROR(BN56*HSI!$B$51*HSI!$G$51/HSI!$B$3,""))</f>
        <v/>
      </c>
      <c r="EC56" s="106">
        <f>IF(BO56="","",IFERROR(BO56*HSI!$B$51*HSI!$G$51/HSI!$B$3,""))</f>
        <v/>
      </c>
      <c r="EE56" s="35">
        <f>IF(N('Dvd Calendar'!$E$495)=0,"",IF(('Dvd Calendar'!$E$495&gt;=GRID_FROM)*('Dvd Calendar'!$E$495&lt;=GRID_TO)*('Dvd Calendar'!$E$495&lt;=VAL_DATE)=0,"",'Dvd Calendar'!$E$495*1000000000+ISNUMBER('Dvd Calendar'!$E$498)*100000000+('Dvd Calendar'!$E$500=SPECIAL_LBL)*10000000+0*1000000+45*1000+1))</f>
        <v/>
      </c>
      <c r="EF56" s="35">
        <f>IF(N('Dvd Calendar'!$F$495)=0,"",IF(('Dvd Calendar'!$F$495&gt;=GRID_FROM)*('Dvd Calendar'!$F$495&lt;=GRID_TO)*('Dvd Calendar'!$F$495&lt;=VAL_DATE)=0,"",'Dvd Calendar'!$F$495*1000000000+ISNUMBER('Dvd Calendar'!$F$498)*100000000+('Dvd Calendar'!$F$500=SPECIAL_LBL)*10000000+0*1000000+45*1000+2))</f>
        <v/>
      </c>
      <c r="EG56" s="35">
        <f>IF(N('Dvd Calendar'!$G$495)=0,"",IF(('Dvd Calendar'!$G$495&gt;=GRID_FROM)*('Dvd Calendar'!$G$495&lt;=GRID_TO)*('Dvd Calendar'!$G$495&lt;=VAL_DATE)=0,"",'Dvd Calendar'!$G$495*1000000000+ISNUMBER('Dvd Calendar'!$G$498)*100000000+('Dvd Calendar'!$G$500=SPECIAL_LBL)*10000000+0*1000000+45*1000+3))</f>
        <v/>
      </c>
      <c r="EH56" s="35">
        <f>IF(N('Dvd Calendar'!$H$495)=0,"",IF(('Dvd Calendar'!$H$495&gt;=GRID_FROM)*('Dvd Calendar'!$H$495&lt;=GRID_TO)*('Dvd Calendar'!$H$495&lt;=VAL_DATE)=0,"",'Dvd Calendar'!$H$495*1000000000+ISNUMBER('Dvd Calendar'!$H$498)*100000000+('Dvd Calendar'!$H$500=SPECIAL_LBL)*10000000+0*1000000+45*1000+4))</f>
        <v/>
      </c>
      <c r="EI56" s="35">
        <f>IF(N('Dvd Calendar'!$I$495)=0,"",IF(('Dvd Calendar'!$I$495&gt;=GRID_FROM)*('Dvd Calendar'!$I$495&lt;=GRID_TO)*('Dvd Calendar'!$I$495&lt;=VAL_DATE)=0,"",'Dvd Calendar'!$I$495*1000000000+ISNUMBER('Dvd Calendar'!$I$498)*100000000+('Dvd Calendar'!$I$500=SPECIAL_LBL)*10000000+0*1000000+45*1000+5))</f>
        <v/>
      </c>
      <c r="EJ56" s="35">
        <f>IF(N('Dvd Calendar'!$J$495)=0,"",IF(('Dvd Calendar'!$J$495&gt;=GRID_FROM)*('Dvd Calendar'!$J$495&lt;=GRID_TO)*('Dvd Calendar'!$J$495&lt;=VAL_DATE)=0,"",'Dvd Calendar'!$J$495*1000000000+ISNUMBER('Dvd Calendar'!$J$498)*100000000+('Dvd Calendar'!$J$500=SPECIAL_LBL)*10000000+0*1000000+45*1000+6))</f>
        <v/>
      </c>
      <c r="EK56" s="35">
        <f>IF(N('Dvd Calendar'!$K$495)=0,"",IF(('Dvd Calendar'!$K$495&gt;=GRID_FROM)*('Dvd Calendar'!$K$495&lt;=GRID_TO)*('Dvd Calendar'!$K$495&lt;=VAL_DATE)=0,"",'Dvd Calendar'!$K$495*1000000000+ISNUMBER('Dvd Calendar'!$K$498)*100000000+('Dvd Calendar'!$K$500=SPECIAL_LBL)*10000000+0*1000000+45*1000+7))</f>
        <v/>
      </c>
      <c r="EL56" s="35">
        <f>IF(N('Dvd Calendar'!$L$495)=0,"",IF(('Dvd Calendar'!$L$495&gt;=GRID_FROM)*('Dvd Calendar'!$L$495&lt;=GRID_TO)*('Dvd Calendar'!$L$495&lt;=VAL_DATE)=0,"",'Dvd Calendar'!$L$495*1000000000+ISNUMBER('Dvd Calendar'!$L$498)*100000000+('Dvd Calendar'!$L$500=SPECIAL_LBL)*10000000+0*1000000+45*1000+8))</f>
        <v/>
      </c>
      <c r="EM56" s="35">
        <f>IF(N('Dvd Calendar'!$M$495)=0,"",IF(('Dvd Calendar'!$M$495&gt;=GRID_FROM)*('Dvd Calendar'!$M$495&lt;=GRID_TO)*('Dvd Calendar'!$M$495&lt;=VAL_DATE)=0,"",'Dvd Calendar'!$M$495*1000000000+ISNUMBER('Dvd Calendar'!$M$498)*100000000+('Dvd Calendar'!$M$500=SPECIAL_LBL)*10000000+0*1000000+45*1000+9))</f>
        <v/>
      </c>
      <c r="EN56" s="35">
        <f>IF(N('Dvd Calendar'!$N$495)=0,"",IF(('Dvd Calendar'!$N$495&gt;=GRID_FROM)*('Dvd Calendar'!$N$495&lt;=GRID_TO)*('Dvd Calendar'!$N$495&lt;=VAL_DATE)=0,"",'Dvd Calendar'!$N$495*1000000000+ISNUMBER('Dvd Calendar'!$N$498)*100000000+('Dvd Calendar'!$N$500=SPECIAL_LBL)*10000000+0*1000000+45*1000+10))</f>
        <v/>
      </c>
      <c r="EO56" s="35">
        <f>IF(N('Dvd Calendar'!$O$495)=0,"",IF(('Dvd Calendar'!$O$495&gt;=GRID_FROM)*('Dvd Calendar'!$O$495&lt;=GRID_TO)*('Dvd Calendar'!$O$495&lt;=VAL_DATE)=0,"",'Dvd Calendar'!$O$495*1000000000+ISNUMBER('Dvd Calendar'!$O$498)*100000000+('Dvd Calendar'!$O$500=SPECIAL_LBL)*10000000+0*1000000+45*1000+11))</f>
        <v/>
      </c>
      <c r="EP56" s="35">
        <f>IF(N('Dvd Calendar'!$P$495)=0,"",IF(('Dvd Calendar'!$P$495&gt;=GRID_FROM)*('Dvd Calendar'!$P$495&lt;=GRID_TO)*('Dvd Calendar'!$P$495&lt;=VAL_DATE)=0,"",'Dvd Calendar'!$P$495*1000000000+ISNUMBER('Dvd Calendar'!$P$498)*100000000+('Dvd Calendar'!$P$500=SPECIAL_LBL)*10000000+0*1000000+45*1000+12))</f>
        <v/>
      </c>
      <c r="EQ56" s="35">
        <f>IF(N('Dvd Calendar'!$Q$495)=0,"",IF(('Dvd Calendar'!$Q$495&gt;=GRID_FROM)*('Dvd Calendar'!$Q$495&lt;=GRID_TO)*('Dvd Calendar'!$Q$495&lt;=VAL_DATE)=0,"",'Dvd Calendar'!$Q$495*1000000000+ISNUMBER('Dvd Calendar'!$Q$498)*100000000+('Dvd Calendar'!$Q$500=SPECIAL_LBL)*10000000+0*1000000+45*1000+13))</f>
        <v/>
      </c>
      <c r="ER56" s="35">
        <f>IF(N('Dvd Calendar'!$R$495)=0,"",IF(('Dvd Calendar'!$R$495&gt;=GRID_FROM)*('Dvd Calendar'!$R$495&lt;=GRID_TO)*('Dvd Calendar'!$R$495&lt;=VAL_DATE)=0,"",'Dvd Calendar'!$R$495*1000000000+ISNUMBER('Dvd Calendar'!$R$498)*100000000+('Dvd Calendar'!$R$500=SPECIAL_LBL)*10000000+0*1000000+45*1000+14))</f>
        <v/>
      </c>
      <c r="ES56" s="35">
        <f>IF(N('Dvd Calendar'!$S$495)=0,"",IF(('Dvd Calendar'!$S$495&gt;=GRID_FROM)*('Dvd Calendar'!$S$495&lt;=GRID_TO)*('Dvd Calendar'!$S$495&lt;=VAL_DATE)=0,"",'Dvd Calendar'!$S$495*1000000000+ISNUMBER('Dvd Calendar'!$S$498)*100000000+('Dvd Calendar'!$S$500=SPECIAL_LBL)*10000000+0*1000000+45*1000+15))</f>
        <v/>
      </c>
      <c r="ET56" s="35">
        <f>IF(N('Dvd Calendar'!$T$495)=0,"",IF(('Dvd Calendar'!$T$495&gt;=GRID_FROM)*('Dvd Calendar'!$T$495&lt;=GRID_TO)*('Dvd Calendar'!$T$495&lt;=VAL_DATE)=0,"",'Dvd Calendar'!$T$495*1000000000+ISNUMBER('Dvd Calendar'!$T$498)*100000000+('Dvd Calendar'!$T$500=SPECIAL_LBL)*10000000+0*1000000+45*1000+16))</f>
        <v/>
      </c>
      <c r="EU56" s="35">
        <f>IF(N('Dvd Calendar'!$U$495)=0,"",IF(('Dvd Calendar'!$U$495&gt;=GRID_FROM)*('Dvd Calendar'!$U$495&lt;=GRID_TO)*('Dvd Calendar'!$U$495&lt;=VAL_DATE)=0,"",'Dvd Calendar'!$U$495*1000000000+ISNUMBER('Dvd Calendar'!$U$498)*100000000+('Dvd Calendar'!$U$500=SPECIAL_LBL)*10000000+0*1000000+45*1000+17))</f>
        <v/>
      </c>
      <c r="EV56" s="35">
        <f>IF(N('Dvd Calendar'!$V$495)=0,"",IF(('Dvd Calendar'!$V$495&gt;=GRID_FROM)*('Dvd Calendar'!$V$495&lt;=GRID_TO)*('Dvd Calendar'!$V$495&lt;=VAL_DATE)=0,"",'Dvd Calendar'!$V$495*1000000000+ISNUMBER('Dvd Calendar'!$V$498)*100000000+('Dvd Calendar'!$V$500=SPECIAL_LBL)*10000000+0*1000000+45*1000+18))</f>
        <v/>
      </c>
      <c r="EW56" s="35">
        <f>IF(N('Dvd Calendar'!$W$495)=0,"",IF(('Dvd Calendar'!$W$495&gt;=GRID_FROM)*('Dvd Calendar'!$W$495&lt;=GRID_TO)*('Dvd Calendar'!$W$495&lt;=VAL_DATE)=0,"",'Dvd Calendar'!$W$495*1000000000+ISNUMBER('Dvd Calendar'!$W$498)*100000000+('Dvd Calendar'!$W$500=SPECIAL_LBL)*10000000+0*1000000+45*1000+19))</f>
        <v/>
      </c>
      <c r="EX56" s="35">
        <f>IF(N('Dvd Calendar'!$X$495)=0,"",IF(('Dvd Calendar'!$X$495&gt;=GRID_FROM)*('Dvd Calendar'!$X$495&lt;=GRID_TO)*('Dvd Calendar'!$X$495&lt;=VAL_DATE)=0,"",'Dvd Calendar'!$X$495*1000000000+ISNUMBER('Dvd Calendar'!$X$498)*100000000+('Dvd Calendar'!$X$500=SPECIAL_LBL)*10000000+0*1000000+45*1000+20))</f>
        <v/>
      </c>
      <c r="EY56" s="35">
        <f>IF(N('Dvd Calendar'!$Y$495)=0,"",IF(('Dvd Calendar'!$Y$495&gt;=GRID_FROM)*('Dvd Calendar'!$Y$495&lt;=GRID_TO)*('Dvd Calendar'!$Y$495&lt;=VAL_DATE)=0,"",'Dvd Calendar'!$Y$495*1000000000+ISNUMBER('Dvd Calendar'!$Y$498)*100000000+('Dvd Calendar'!$Y$500=SPECIAL_LBL)*10000000+0*1000000+45*1000+21))</f>
        <v/>
      </c>
      <c r="EZ56" s="35">
        <f>IF(N('Dvd Calendar'!$Z$495)=0,"",IF(('Dvd Calendar'!$Z$495&gt;=GRID_FROM)*('Dvd Calendar'!$Z$495&lt;=GRID_TO)*('Dvd Calendar'!$Z$495&lt;=VAL_DATE)=0,"",'Dvd Calendar'!$Z$495*1000000000+ISNUMBER('Dvd Calendar'!$Z$498)*100000000+('Dvd Calendar'!$Z$500=SPECIAL_LBL)*10000000+0*1000000+45*1000+22))</f>
        <v/>
      </c>
      <c r="FA56" s="35">
        <f>IF(N('Dvd Calendar'!$AA$495)=0,"",IF(('Dvd Calendar'!$AA$495&gt;=GRID_FROM)*('Dvd Calendar'!$AA$495&lt;=GRID_TO)*('Dvd Calendar'!$AA$495&lt;=VAL_DATE)=0,"",'Dvd Calendar'!$AA$495*1000000000+ISNUMBER('Dvd Calendar'!$AA$498)*100000000+('Dvd Calendar'!$AA$500=SPECIAL_LBL)*10000000+0*1000000+45*1000+23))</f>
        <v/>
      </c>
      <c r="FB56" s="35">
        <f>IF(N('Dvd Calendar'!$AB$495)=0,"",IF(('Dvd Calendar'!$AB$495&gt;=GRID_FROM)*('Dvd Calendar'!$AB$495&lt;=GRID_TO)*('Dvd Calendar'!$AB$495&lt;=VAL_DATE)=0,"",'Dvd Calendar'!$AB$495*1000000000+ISNUMBER('Dvd Calendar'!$AB$498)*100000000+('Dvd Calendar'!$AB$500=SPECIAL_LBL)*10000000+0*1000000+45*1000+24))</f>
        <v/>
      </c>
      <c r="FC56" s="35">
        <f>IF(N('Dvd Calendar'!$AC$495)=0,"",IF(('Dvd Calendar'!$AC$495&gt;=GRID_FROM)*('Dvd Calendar'!$AC$495&lt;=GRID_TO)*('Dvd Calendar'!$AC$495&lt;=VAL_DATE)=0,"",'Dvd Calendar'!$AC$495*1000000000+ISNUMBER('Dvd Calendar'!$AC$498)*100000000+('Dvd Calendar'!$AC$500=SPECIAL_LBL)*10000000+0*1000000+45*1000+25))</f>
        <v/>
      </c>
      <c r="FD56" s="35">
        <f>IF(N('Dvd Calendar'!$AD$495)=0,"",IF(('Dvd Calendar'!$AD$495&gt;=GRID_FROM)*('Dvd Calendar'!$AD$495&lt;=GRID_TO)*('Dvd Calendar'!$AD$495&lt;=VAL_DATE)=0,"",'Dvd Calendar'!$AD$495*1000000000+ISNUMBER('Dvd Calendar'!$AD$498)*100000000+('Dvd Calendar'!$AD$500=SPECIAL_LBL)*10000000+0*1000000+45*1000+26))</f>
        <v/>
      </c>
      <c r="FE56" s="35">
        <f>IF(N('Dvd Calendar'!$AE$495)=0,"",IF(('Dvd Calendar'!$AE$495&gt;=GRID_FROM)*('Dvd Calendar'!$AE$495&lt;=GRID_TO)*('Dvd Calendar'!$AE$495&lt;=VAL_DATE)=0,"",'Dvd Calendar'!$AE$495*1000000000+ISNUMBER('Dvd Calendar'!$AE$498)*100000000+('Dvd Calendar'!$AE$500=SPECIAL_LBL)*10000000+0*1000000+45*1000+27))</f>
        <v/>
      </c>
      <c r="FF56" s="35">
        <f>IF(N('Dvd Calendar'!$AF$495)=0,"",IF(('Dvd Calendar'!$AF$495&gt;=GRID_FROM)*('Dvd Calendar'!$AF$495&lt;=GRID_TO)*('Dvd Calendar'!$AF$495&lt;=VAL_DATE)=0,"",'Dvd Calendar'!$AF$495*1000000000+ISNUMBER('Dvd Calendar'!$AF$498)*100000000+('Dvd Calendar'!$AF$500=SPECIAL_LBL)*10000000+0*1000000+45*1000+28))</f>
        <v/>
      </c>
      <c r="FG56" s="35">
        <f>IF(N('Dvd Calendar'!$AG$495)=0,"",IF(('Dvd Calendar'!$AG$495&gt;=GRID_FROM)*('Dvd Calendar'!$AG$495&lt;=GRID_TO)*('Dvd Calendar'!$AG$495&lt;=VAL_DATE)=0,"",'Dvd Calendar'!$AG$495*1000000000+ISNUMBER('Dvd Calendar'!$AG$498)*100000000+('Dvd Calendar'!$AG$500=SPECIAL_LBL)*10000000+0*1000000+45*1000+29))</f>
        <v/>
      </c>
      <c r="FH56" s="35">
        <f>IF(N('Dvd Calendar'!$AH$495)=0,"",IF(('Dvd Calendar'!$AH$495&gt;=GRID_FROM)*('Dvd Calendar'!$AH$495&lt;=GRID_TO)*('Dvd Calendar'!$AH$495&lt;=VAL_DATE)=0,"",'Dvd Calendar'!$AH$495*1000000000+ISNUMBER('Dvd Calendar'!$AH$498)*100000000+('Dvd Calendar'!$AH$500=SPECIAL_LBL)*10000000+0*1000000+45*1000+30))</f>
        <v/>
      </c>
      <c r="FI56" s="35">
        <f>IF(N('Dvd Calendar'!$AI$495)=0,"",IF(('Dvd Calendar'!$AI$495&gt;=GRID_FROM)*('Dvd Calendar'!$AI$495&lt;=GRID_TO)*('Dvd Calendar'!$AI$495&lt;=VAL_DATE)=0,"",'Dvd Calendar'!$AI$495*1000000000+ISNUMBER('Dvd Calendar'!$AI$498)*100000000+('Dvd Calendar'!$AI$500=SPECIAL_LBL)*10000000+0*1000000+45*1000+31))</f>
        <v/>
      </c>
      <c r="FJ56" s="35">
        <f>IF(N('Dvd Calendar'!$AJ$495)=0,"",IF(('Dvd Calendar'!$AJ$495&gt;=GRID_FROM)*('Dvd Calendar'!$AJ$495&lt;=GRID_TO)*('Dvd Calendar'!$AJ$495&lt;=VAL_DATE)=0,"",'Dvd Calendar'!$AJ$495*1000000000+ISNUMBER('Dvd Calendar'!$AJ$498)*100000000+('Dvd Calendar'!$AJ$500=SPECIAL_LBL)*10000000+0*1000000+45*1000+32))</f>
        <v/>
      </c>
      <c r="FK56" s="35">
        <f>IF(N('Dvd Calendar'!$AK$495)=0,"",IF(('Dvd Calendar'!$AK$495&gt;=GRID_FROM)*('Dvd Calendar'!$AK$495&lt;=GRID_TO)*('Dvd Calendar'!$AK$495&lt;=VAL_DATE)=0,"",'Dvd Calendar'!$AK$495*1000000000+ISNUMBER('Dvd Calendar'!$AK$498)*100000000+('Dvd Calendar'!$AK$500=SPECIAL_LBL)*10000000+0*1000000+45*1000+33))</f>
        <v/>
      </c>
      <c r="FL56" s="35">
        <f>IF(N('Dvd Calendar'!$AL$495)=0,"",IF(('Dvd Calendar'!$AL$495&gt;=GRID_FROM)*('Dvd Calendar'!$AL$495&lt;=GRID_TO)*('Dvd Calendar'!$AL$495&lt;=VAL_DATE)=0,"",'Dvd Calendar'!$AL$495*1000000000+ISNUMBER('Dvd Calendar'!$AL$498)*100000000+('Dvd Calendar'!$AL$500=SPECIAL_LBL)*10000000+0*1000000+45*1000+34))</f>
        <v/>
      </c>
      <c r="FM56" s="35">
        <f>IF(N('Dvd Calendar'!$AM$495)=0,"",IF(('Dvd Calendar'!$AM$495&gt;=GRID_FROM)*('Dvd Calendar'!$AM$495&lt;=GRID_TO)*('Dvd Calendar'!$AM$495&lt;=VAL_DATE)=0,"",'Dvd Calendar'!$AM$495*1000000000+ISNUMBER('Dvd Calendar'!$AM$498)*100000000+('Dvd Calendar'!$AM$500=SPECIAL_LBL)*10000000+0*1000000+45*1000+35))</f>
        <v/>
      </c>
      <c r="FN56" s="35">
        <f>IF(N('Dvd Calendar'!$AN$495)=0,"",IF(('Dvd Calendar'!$AN$495&gt;=GRID_FROM)*('Dvd Calendar'!$AN$495&lt;=GRID_TO)*('Dvd Calendar'!$AN$495&lt;=VAL_DATE)=0,"",'Dvd Calendar'!$AN$495*1000000000+ISNUMBER('Dvd Calendar'!$AN$498)*100000000+('Dvd Calendar'!$AN$500=SPECIAL_LBL)*10000000+0*1000000+45*1000+36))</f>
        <v/>
      </c>
      <c r="FO56" s="35">
        <f>IF(N('Dvd Calendar'!$AO$495)=0,"",IF(('Dvd Calendar'!$AO$495&gt;=GRID_FROM)*('Dvd Calendar'!$AO$495&lt;=GRID_TO)*('Dvd Calendar'!$AO$495&lt;=VAL_DATE)=0,"",'Dvd Calendar'!$AO$495*1000000000+ISNUMBER('Dvd Calendar'!$AO$498)*100000000+('Dvd Calendar'!$AO$500=SPECIAL_LBL)*10000000+0*1000000+45*1000+37))</f>
        <v/>
      </c>
      <c r="FP56" s="35">
        <f>IF(N('Dvd Calendar'!$AP$495)=0,"",IF(('Dvd Calendar'!$AP$495&gt;=GRID_FROM)*('Dvd Calendar'!$AP$495&lt;=GRID_TO)*('Dvd Calendar'!$AP$495&lt;=VAL_DATE)=0,"",'Dvd Calendar'!$AP$495*1000000000+ISNUMBER('Dvd Calendar'!$AP$498)*100000000+('Dvd Calendar'!$AP$500=SPECIAL_LBL)*10000000+0*1000000+45*1000+38))</f>
        <v/>
      </c>
      <c r="FQ56" s="35">
        <f>IF(N('Dvd Calendar'!$AQ$495)=0,"",IF(('Dvd Calendar'!$AQ$495&gt;=GRID_FROM)*('Dvd Calendar'!$AQ$495&lt;=GRID_TO)*('Dvd Calendar'!$AQ$495&lt;=VAL_DATE)=0,"",'Dvd Calendar'!$AQ$495*1000000000+ISNUMBER('Dvd Calendar'!$AQ$498)*100000000+('Dvd Calendar'!$AQ$500=SPECIAL_LBL)*10000000+0*1000000+45*1000+39))</f>
        <v/>
      </c>
      <c r="FR56" s="35">
        <f>IF(N('Dvd Calendar'!$AR$495)=0,"",IF(('Dvd Calendar'!$AR$495&gt;=GRID_FROM)*('Dvd Calendar'!$AR$495&lt;=GRID_TO)*('Dvd Calendar'!$AR$495&lt;=VAL_DATE)=0,"",'Dvd Calendar'!$AR$495*1000000000+ISNUMBER('Dvd Calendar'!$AR$498)*100000000+('Dvd Calendar'!$AR$500=SPECIAL_LBL)*10000000+0*1000000+45*1000+40))</f>
        <v/>
      </c>
      <c r="FS56" s="35">
        <f>IF(N('Dvd Calendar'!$E$502)=0,"",IF(('Dvd Calendar'!$E$502&gt;=GRID_FROM)*('Dvd Calendar'!$E$502&lt;=GRID_TO)*('Dvd Calendar'!$E$502&gt;VAL_DATE)=0,"",'Dvd Calendar'!$E$502*1000000000+ISNUMBER('Dvd Calendar'!$E$503)*100000000+0*10000000+(N('Dvd Calendar'!$E$501)&gt;0)*(N('Dvd Calendar'!$E$501)&lt;=VAL_SERIAL)*1000000+45*1000+41))</f>
        <v/>
      </c>
      <c r="FT56" s="35">
        <f>IF(N('Dvd Calendar'!$F$502)=0,"",IF(('Dvd Calendar'!$F$502&gt;=GRID_FROM)*('Dvd Calendar'!$F$502&lt;=GRID_TO)*('Dvd Calendar'!$F$502&gt;VAL_DATE)=0,"",'Dvd Calendar'!$F$502*1000000000+ISNUMBER('Dvd Calendar'!$F$503)*100000000+0*10000000+(N('Dvd Calendar'!$F$501)&gt;0)*(N('Dvd Calendar'!$F$501)&lt;=VAL_SERIAL)*1000000+45*1000+42))</f>
        <v/>
      </c>
      <c r="FU56" s="35">
        <f>IF(N('Dvd Calendar'!$G$502)=0,"",IF(('Dvd Calendar'!$G$502&gt;=GRID_FROM)*('Dvd Calendar'!$G$502&lt;=GRID_TO)*('Dvd Calendar'!$G$502&gt;VAL_DATE)=0,"",'Dvd Calendar'!$G$502*1000000000+ISNUMBER('Dvd Calendar'!$G$503)*100000000+0*10000000+(N('Dvd Calendar'!$G$501)&gt;0)*(N('Dvd Calendar'!$G$501)&lt;=VAL_SERIAL)*1000000+45*1000+43))</f>
        <v/>
      </c>
      <c r="FV56" s="35">
        <f>IF(N('Dvd Calendar'!$H$502)=0,"",IF(('Dvd Calendar'!$H$502&gt;=GRID_FROM)*('Dvd Calendar'!$H$502&lt;=GRID_TO)*('Dvd Calendar'!$H$502&gt;VAL_DATE)=0,"",'Dvd Calendar'!$H$502*1000000000+ISNUMBER('Dvd Calendar'!$H$503)*100000000+0*10000000+(N('Dvd Calendar'!$H$501)&gt;0)*(N('Dvd Calendar'!$H$501)&lt;=VAL_SERIAL)*1000000+45*1000+44))</f>
        <v/>
      </c>
      <c r="FW56" s="35">
        <f>IF(N('Dvd Calendar'!$I$502)=0,"",IF(('Dvd Calendar'!$I$502&gt;=GRID_FROM)*('Dvd Calendar'!$I$502&lt;=GRID_TO)*('Dvd Calendar'!$I$502&gt;VAL_DATE)=0,"",'Dvd Calendar'!$I$502*1000000000+ISNUMBER('Dvd Calendar'!$I$503)*100000000+0*10000000+(N('Dvd Calendar'!$I$501)&gt;0)*(N('Dvd Calendar'!$I$501)&lt;=VAL_SERIAL)*1000000+45*1000+45))</f>
        <v/>
      </c>
      <c r="FX56" s="35">
        <f>IF(N('Dvd Calendar'!$J$502)=0,"",IF(('Dvd Calendar'!$J$502&gt;=GRID_FROM)*('Dvd Calendar'!$J$502&lt;=GRID_TO)*('Dvd Calendar'!$J$502&gt;VAL_DATE)=0,"",'Dvd Calendar'!$J$502*1000000000+ISNUMBER('Dvd Calendar'!$J$503)*100000000+0*10000000+(N('Dvd Calendar'!$J$501)&gt;0)*(N('Dvd Calendar'!$J$501)&lt;=VAL_SERIAL)*1000000+45*1000+46))</f>
        <v/>
      </c>
      <c r="FY56" s="35">
        <f>IF(N('Dvd Calendar'!$K$502)=0,"",IF(('Dvd Calendar'!$K$502&gt;=GRID_FROM)*('Dvd Calendar'!$K$502&lt;=GRID_TO)*('Dvd Calendar'!$K$502&gt;VAL_DATE)=0,"",'Dvd Calendar'!$K$502*1000000000+ISNUMBER('Dvd Calendar'!$K$503)*100000000+0*10000000+(N('Dvd Calendar'!$K$501)&gt;0)*(N('Dvd Calendar'!$K$501)&lt;=VAL_SERIAL)*1000000+45*1000+47))</f>
        <v/>
      </c>
      <c r="FZ56" s="35">
        <f>IF(N('Dvd Calendar'!$L$502)=0,"",IF(('Dvd Calendar'!$L$502&gt;=GRID_FROM)*('Dvd Calendar'!$L$502&lt;=GRID_TO)*('Dvd Calendar'!$L$502&gt;VAL_DATE)=0,"",'Dvd Calendar'!$L$502*1000000000+ISNUMBER('Dvd Calendar'!$L$503)*100000000+0*10000000+(N('Dvd Calendar'!$L$501)&gt;0)*(N('Dvd Calendar'!$L$501)&lt;=VAL_SERIAL)*1000000+45*1000+48))</f>
        <v/>
      </c>
      <c r="GA56" s="35">
        <f>IF(N('Dvd Calendar'!$M$502)=0,"",IF(('Dvd Calendar'!$M$502&gt;=GRID_FROM)*('Dvd Calendar'!$M$502&lt;=GRID_TO)*('Dvd Calendar'!$M$502&gt;VAL_DATE)=0,"",'Dvd Calendar'!$M$502*1000000000+ISNUMBER('Dvd Calendar'!$M$503)*100000000+0*10000000+(N('Dvd Calendar'!$M$501)&gt;0)*(N('Dvd Calendar'!$M$501)&lt;=VAL_SERIAL)*1000000+45*1000+49))</f>
        <v/>
      </c>
      <c r="GB56" s="35">
        <f>IF(N('Dvd Calendar'!$N$502)=0,"",IF(('Dvd Calendar'!$N$502&gt;=GRID_FROM)*('Dvd Calendar'!$N$502&lt;=GRID_TO)*('Dvd Calendar'!$N$502&gt;VAL_DATE)=0,"",'Dvd Calendar'!$N$502*1000000000+ISNUMBER('Dvd Calendar'!$N$503)*100000000+0*10000000+(N('Dvd Calendar'!$N$501)&gt;0)*(N('Dvd Calendar'!$N$501)&lt;=VAL_SERIAL)*1000000+45*1000+50))</f>
        <v/>
      </c>
      <c r="GC56" s="35">
        <f>IF(N('Dvd Calendar'!$O$502)=0,"",IF(('Dvd Calendar'!$O$502&gt;=GRID_FROM)*('Dvd Calendar'!$O$502&lt;=GRID_TO)*('Dvd Calendar'!$O$502&gt;VAL_DATE)=0,"",'Dvd Calendar'!$O$502*1000000000+ISNUMBER('Dvd Calendar'!$O$503)*100000000+0*10000000+(N('Dvd Calendar'!$O$501)&gt;0)*(N('Dvd Calendar'!$O$501)&lt;=VAL_SERIAL)*1000000+45*1000+51))</f>
        <v/>
      </c>
      <c r="GD56" s="35">
        <f>IF(N('Dvd Calendar'!$P$502)=0,"",IF(('Dvd Calendar'!$P$502&gt;=GRID_FROM)*('Dvd Calendar'!$P$502&lt;=GRID_TO)*('Dvd Calendar'!$P$502&gt;VAL_DATE)=0,"",'Dvd Calendar'!$P$502*1000000000+ISNUMBER('Dvd Calendar'!$P$503)*100000000+0*10000000+(N('Dvd Calendar'!$P$501)&gt;0)*(N('Dvd Calendar'!$P$501)&lt;=VAL_SERIAL)*1000000+45*1000+52))</f>
        <v/>
      </c>
      <c r="GE56" s="35">
        <f>IF(N('Dvd Calendar'!$Q$502)=0,"",IF(('Dvd Calendar'!$Q$502&gt;=GRID_FROM)*('Dvd Calendar'!$Q$502&lt;=GRID_TO)*('Dvd Calendar'!$Q$502&gt;VAL_DATE)=0,"",'Dvd Calendar'!$Q$502*1000000000+ISNUMBER('Dvd Calendar'!$Q$503)*100000000+0*10000000+(N('Dvd Calendar'!$Q$501)&gt;0)*(N('Dvd Calendar'!$Q$501)&lt;=VAL_SERIAL)*1000000+45*1000+53))</f>
        <v/>
      </c>
      <c r="GF56" s="35">
        <f>IF(N('Dvd Calendar'!$R$502)=0,"",IF(('Dvd Calendar'!$R$502&gt;=GRID_FROM)*('Dvd Calendar'!$R$502&lt;=GRID_TO)*('Dvd Calendar'!$R$502&gt;VAL_DATE)=0,"",'Dvd Calendar'!$R$502*1000000000+ISNUMBER('Dvd Calendar'!$R$503)*100000000+0*10000000+(N('Dvd Calendar'!$R$501)&gt;0)*(N('Dvd Calendar'!$R$501)&lt;=VAL_SERIAL)*1000000+45*1000+54))</f>
        <v/>
      </c>
      <c r="GG56" s="35">
        <f>IF(N('Dvd Calendar'!$S$502)=0,"",IF(('Dvd Calendar'!$S$502&gt;=GRID_FROM)*('Dvd Calendar'!$S$502&lt;=GRID_TO)*('Dvd Calendar'!$S$502&gt;VAL_DATE)=0,"",'Dvd Calendar'!$S$502*1000000000+ISNUMBER('Dvd Calendar'!$S$503)*100000000+0*10000000+(N('Dvd Calendar'!$S$501)&gt;0)*(N('Dvd Calendar'!$S$501)&lt;=VAL_SERIAL)*1000000+45*1000+55))</f>
        <v/>
      </c>
      <c r="GH56" s="35">
        <f>IF(N('Dvd Calendar'!$T$502)=0,"",IF(('Dvd Calendar'!$T$502&gt;=GRID_FROM)*('Dvd Calendar'!$T$502&lt;=GRID_TO)*('Dvd Calendar'!$T$502&gt;VAL_DATE)=0,"",'Dvd Calendar'!$T$502*1000000000+ISNUMBER('Dvd Calendar'!$T$503)*100000000+0*10000000+(N('Dvd Calendar'!$T$501)&gt;0)*(N('Dvd Calendar'!$T$501)&lt;=VAL_SERIAL)*1000000+45*1000+56))</f>
        <v/>
      </c>
      <c r="GI56" s="35">
        <f>IF(N('Dvd Calendar'!$U$502)=0,"",IF(('Dvd Calendar'!$U$502&gt;=GRID_FROM)*('Dvd Calendar'!$U$502&lt;=GRID_TO)*('Dvd Calendar'!$U$502&gt;VAL_DATE)=0,"",'Dvd Calendar'!$U$502*1000000000+ISNUMBER('Dvd Calendar'!$U$503)*100000000+0*10000000+(N('Dvd Calendar'!$U$501)&gt;0)*(N('Dvd Calendar'!$U$501)&lt;=VAL_SERIAL)*1000000+45*1000+57))</f>
        <v/>
      </c>
      <c r="GJ56" s="35">
        <f>IF(N('Dvd Calendar'!$V$502)=0,"",IF(('Dvd Calendar'!$V$502&gt;=GRID_FROM)*('Dvd Calendar'!$V$502&lt;=GRID_TO)*('Dvd Calendar'!$V$502&gt;VAL_DATE)=0,"",'Dvd Calendar'!$V$502*1000000000+ISNUMBER('Dvd Calendar'!$V$503)*100000000+0*10000000+(N('Dvd Calendar'!$V$501)&gt;0)*(N('Dvd Calendar'!$V$501)&lt;=VAL_SERIAL)*1000000+45*1000+58))</f>
        <v/>
      </c>
      <c r="GK56" s="35">
        <f>IF(N('Dvd Calendar'!$W$502)=0,"",IF(('Dvd Calendar'!$W$502&gt;=GRID_FROM)*('Dvd Calendar'!$W$502&lt;=GRID_TO)*('Dvd Calendar'!$W$502&gt;VAL_DATE)=0,"",'Dvd Calendar'!$W$502*1000000000+ISNUMBER('Dvd Calendar'!$W$503)*100000000+0*10000000+(N('Dvd Calendar'!$W$501)&gt;0)*(N('Dvd Calendar'!$W$501)&lt;=VAL_SERIAL)*1000000+45*1000+59))</f>
        <v/>
      </c>
      <c r="GL56" s="35">
        <f>IF(N('Dvd Calendar'!$X$502)=0,"",IF(('Dvd Calendar'!$X$502&gt;=GRID_FROM)*('Dvd Calendar'!$X$502&lt;=GRID_TO)*('Dvd Calendar'!$X$502&gt;VAL_DATE)=0,"",'Dvd Calendar'!$X$502*1000000000+ISNUMBER('Dvd Calendar'!$X$503)*100000000+0*10000000+(N('Dvd Calendar'!$X$501)&gt;0)*(N('Dvd Calendar'!$X$501)&lt;=VAL_SERIAL)*1000000+45*1000+60))</f>
        <v/>
      </c>
      <c r="GM56" s="35">
        <f>IF(N('Dvd Calendar'!$Y$502)=0,"",IF(('Dvd Calendar'!$Y$502&gt;=GRID_FROM)*('Dvd Calendar'!$Y$502&lt;=GRID_TO)*('Dvd Calendar'!$Y$502&gt;VAL_DATE)=0,"",'Dvd Calendar'!$Y$502*1000000000+ISNUMBER('Dvd Calendar'!$Y$503)*100000000+0*10000000+(N('Dvd Calendar'!$Y$501)&gt;0)*(N('Dvd Calendar'!$Y$501)&lt;=VAL_SERIAL)*1000000+45*1000+61))</f>
        <v/>
      </c>
      <c r="GN56" s="35">
        <f>IF(N('Dvd Calendar'!$Z$502)=0,"",IF(('Dvd Calendar'!$Z$502&gt;=GRID_FROM)*('Dvd Calendar'!$Z$502&lt;=GRID_TO)*('Dvd Calendar'!$Z$502&gt;VAL_DATE)=0,"",'Dvd Calendar'!$Z$502*1000000000+ISNUMBER('Dvd Calendar'!$Z$503)*100000000+0*10000000+(N('Dvd Calendar'!$Z$501)&gt;0)*(N('Dvd Calendar'!$Z$501)&lt;=VAL_SERIAL)*1000000+45*1000+62))</f>
        <v/>
      </c>
      <c r="GO56" s="35">
        <f>IF(N('Dvd Calendar'!$AA$502)=0,"",IF(('Dvd Calendar'!$AA$502&gt;=GRID_FROM)*('Dvd Calendar'!$AA$502&lt;=GRID_TO)*('Dvd Calendar'!$AA$502&gt;VAL_DATE)=0,"",'Dvd Calendar'!$AA$502*1000000000+ISNUMBER('Dvd Calendar'!$AA$503)*100000000+0*10000000+(N('Dvd Calendar'!$AA$501)&gt;0)*(N('Dvd Calendar'!$AA$501)&lt;=VAL_SERIAL)*1000000+45*1000+63))</f>
        <v/>
      </c>
      <c r="GP56" s="35">
        <f>IF(N('Dvd Calendar'!$AB$502)=0,"",IF(('Dvd Calendar'!$AB$502&gt;=GRID_FROM)*('Dvd Calendar'!$AB$502&lt;=GRID_TO)*('Dvd Calendar'!$AB$502&gt;VAL_DATE)=0,"",'Dvd Calendar'!$AB$502*1000000000+ISNUMBER('Dvd Calendar'!$AB$503)*100000000+0*10000000+(N('Dvd Calendar'!$AB$501)&gt;0)*(N('Dvd Calendar'!$AB$501)&lt;=VAL_SERIAL)*1000000+45*1000+64))</f>
        <v/>
      </c>
      <c r="GQ56" s="35">
        <f>IF(N('Dvd Calendar'!$AC$502)=0,"",IF(('Dvd Calendar'!$AC$502&gt;=GRID_FROM)*('Dvd Calendar'!$AC$502&lt;=GRID_TO)*('Dvd Calendar'!$AC$502&gt;VAL_DATE)=0,"",'Dvd Calendar'!$AC$502*1000000000+ISNUMBER('Dvd Calendar'!$AC$503)*100000000+0*10000000+(N('Dvd Calendar'!$AC$501)&gt;0)*(N('Dvd Calendar'!$AC$501)&lt;=VAL_SERIAL)*1000000+45*1000+65))</f>
        <v/>
      </c>
    </row>
    <row r="57">
      <c r="B57" s="2">
        <f>IF(HSI!$C$52="","",HSI!$C$52)</f>
        <v/>
      </c>
      <c r="C57" s="106">
        <f>IF(EE57="","",IF(ISNUMBER('Dvd Calendar'!$E$509)=FALSE,"",IF((('Dvd Calendar'!$E$511=TYPE1)*(TYPE1&lt;&gt;"")+('Dvd Calendar'!$E$511=TYPE2)*(TYPE2&lt;&gt;"")+('Dvd Calendar'!$E$511=TYPE3)*(TYPE3&lt;&gt;"")+('Dvd Calendar'!$E$511=TYPE4)*(TYPE4&lt;&gt;"")+('Dvd Calendar'!$E$511=SPECIAL_LBL)*(INC_SPECIALS="Y"))=0,"",'Dvd Calendar'!$E$509)))</f>
        <v/>
      </c>
      <c r="D57" s="106">
        <f>IF(EF57="","",IF(ISNUMBER('Dvd Calendar'!$F$509)=FALSE,"",IF((('Dvd Calendar'!$F$511=TYPE1)*(TYPE1&lt;&gt;"")+('Dvd Calendar'!$F$511=TYPE2)*(TYPE2&lt;&gt;"")+('Dvd Calendar'!$F$511=TYPE3)*(TYPE3&lt;&gt;"")+('Dvd Calendar'!$F$511=TYPE4)*(TYPE4&lt;&gt;"")+('Dvd Calendar'!$F$511=SPECIAL_LBL)*(INC_SPECIALS="Y"))=0,"",'Dvd Calendar'!$F$509)))</f>
        <v/>
      </c>
      <c r="E57" s="106">
        <f>IF(EG57="","",IF(ISNUMBER('Dvd Calendar'!$G$509)=FALSE,"",IF((('Dvd Calendar'!$G$511=TYPE1)*(TYPE1&lt;&gt;"")+('Dvd Calendar'!$G$511=TYPE2)*(TYPE2&lt;&gt;"")+('Dvd Calendar'!$G$511=TYPE3)*(TYPE3&lt;&gt;"")+('Dvd Calendar'!$G$511=TYPE4)*(TYPE4&lt;&gt;"")+('Dvd Calendar'!$G$511=SPECIAL_LBL)*(INC_SPECIALS="Y"))=0,"",'Dvd Calendar'!$G$509)))</f>
        <v/>
      </c>
      <c r="F57" s="106">
        <f>IF(EH57="","",IF(ISNUMBER('Dvd Calendar'!$H$509)=FALSE,"",IF((('Dvd Calendar'!$H$511=TYPE1)*(TYPE1&lt;&gt;"")+('Dvd Calendar'!$H$511=TYPE2)*(TYPE2&lt;&gt;"")+('Dvd Calendar'!$H$511=TYPE3)*(TYPE3&lt;&gt;"")+('Dvd Calendar'!$H$511=TYPE4)*(TYPE4&lt;&gt;"")+('Dvd Calendar'!$H$511=SPECIAL_LBL)*(INC_SPECIALS="Y"))=0,"",'Dvd Calendar'!$H$509)))</f>
        <v/>
      </c>
      <c r="G57" s="106">
        <f>IF(EI57="","",IF(ISNUMBER('Dvd Calendar'!$I$509)=FALSE,"",IF((('Dvd Calendar'!$I$511=TYPE1)*(TYPE1&lt;&gt;"")+('Dvd Calendar'!$I$511=TYPE2)*(TYPE2&lt;&gt;"")+('Dvd Calendar'!$I$511=TYPE3)*(TYPE3&lt;&gt;"")+('Dvd Calendar'!$I$511=TYPE4)*(TYPE4&lt;&gt;"")+('Dvd Calendar'!$I$511=SPECIAL_LBL)*(INC_SPECIALS="Y"))=0,"",'Dvd Calendar'!$I$509)))</f>
        <v/>
      </c>
      <c r="H57" s="106">
        <f>IF(EJ57="","",IF(ISNUMBER('Dvd Calendar'!$J$509)=FALSE,"",IF((('Dvd Calendar'!$J$511=TYPE1)*(TYPE1&lt;&gt;"")+('Dvd Calendar'!$J$511=TYPE2)*(TYPE2&lt;&gt;"")+('Dvd Calendar'!$J$511=TYPE3)*(TYPE3&lt;&gt;"")+('Dvd Calendar'!$J$511=TYPE4)*(TYPE4&lt;&gt;"")+('Dvd Calendar'!$J$511=SPECIAL_LBL)*(INC_SPECIALS="Y"))=0,"",'Dvd Calendar'!$J$509)))</f>
        <v/>
      </c>
      <c r="I57" s="106">
        <f>IF(EK57="","",IF(ISNUMBER('Dvd Calendar'!$K$509)=FALSE,"",IF((('Dvd Calendar'!$K$511=TYPE1)*(TYPE1&lt;&gt;"")+('Dvd Calendar'!$K$511=TYPE2)*(TYPE2&lt;&gt;"")+('Dvd Calendar'!$K$511=TYPE3)*(TYPE3&lt;&gt;"")+('Dvd Calendar'!$K$511=TYPE4)*(TYPE4&lt;&gt;"")+('Dvd Calendar'!$K$511=SPECIAL_LBL)*(INC_SPECIALS="Y"))=0,"",'Dvd Calendar'!$K$509)))</f>
        <v/>
      </c>
      <c r="J57" s="106">
        <f>IF(EL57="","",IF(ISNUMBER('Dvd Calendar'!$L$509)=FALSE,"",IF((('Dvd Calendar'!$L$511=TYPE1)*(TYPE1&lt;&gt;"")+('Dvd Calendar'!$L$511=TYPE2)*(TYPE2&lt;&gt;"")+('Dvd Calendar'!$L$511=TYPE3)*(TYPE3&lt;&gt;"")+('Dvd Calendar'!$L$511=TYPE4)*(TYPE4&lt;&gt;"")+('Dvd Calendar'!$L$511=SPECIAL_LBL)*(INC_SPECIALS="Y"))=0,"",'Dvd Calendar'!$L$509)))</f>
        <v/>
      </c>
      <c r="K57" s="106">
        <f>IF(EM57="","",IF(ISNUMBER('Dvd Calendar'!$M$509)=FALSE,"",IF((('Dvd Calendar'!$M$511=TYPE1)*(TYPE1&lt;&gt;"")+('Dvd Calendar'!$M$511=TYPE2)*(TYPE2&lt;&gt;"")+('Dvd Calendar'!$M$511=TYPE3)*(TYPE3&lt;&gt;"")+('Dvd Calendar'!$M$511=TYPE4)*(TYPE4&lt;&gt;"")+('Dvd Calendar'!$M$511=SPECIAL_LBL)*(INC_SPECIALS="Y"))=0,"",'Dvd Calendar'!$M$509)))</f>
        <v/>
      </c>
      <c r="L57" s="106">
        <f>IF(EN57="","",IF(ISNUMBER('Dvd Calendar'!$N$509)=FALSE,"",IF((('Dvd Calendar'!$N$511=TYPE1)*(TYPE1&lt;&gt;"")+('Dvd Calendar'!$N$511=TYPE2)*(TYPE2&lt;&gt;"")+('Dvd Calendar'!$N$511=TYPE3)*(TYPE3&lt;&gt;"")+('Dvd Calendar'!$N$511=TYPE4)*(TYPE4&lt;&gt;"")+('Dvd Calendar'!$N$511=SPECIAL_LBL)*(INC_SPECIALS="Y"))=0,"",'Dvd Calendar'!$N$509)))</f>
        <v/>
      </c>
      <c r="M57" s="106">
        <f>IF(EO57="","",IF(ISNUMBER('Dvd Calendar'!$O$509)=FALSE,"",IF((('Dvd Calendar'!$O$511=TYPE1)*(TYPE1&lt;&gt;"")+('Dvd Calendar'!$O$511=TYPE2)*(TYPE2&lt;&gt;"")+('Dvd Calendar'!$O$511=TYPE3)*(TYPE3&lt;&gt;"")+('Dvd Calendar'!$O$511=TYPE4)*(TYPE4&lt;&gt;"")+('Dvd Calendar'!$O$511=SPECIAL_LBL)*(INC_SPECIALS="Y"))=0,"",'Dvd Calendar'!$O$509)))</f>
        <v/>
      </c>
      <c r="N57" s="106">
        <f>IF(EP57="","",IF(ISNUMBER('Dvd Calendar'!$P$509)=FALSE,"",IF((('Dvd Calendar'!$P$511=TYPE1)*(TYPE1&lt;&gt;"")+('Dvd Calendar'!$P$511=TYPE2)*(TYPE2&lt;&gt;"")+('Dvd Calendar'!$P$511=TYPE3)*(TYPE3&lt;&gt;"")+('Dvd Calendar'!$P$511=TYPE4)*(TYPE4&lt;&gt;"")+('Dvd Calendar'!$P$511=SPECIAL_LBL)*(INC_SPECIALS="Y"))=0,"",'Dvd Calendar'!$P$509)))</f>
        <v/>
      </c>
      <c r="O57" s="106">
        <f>IF(EQ57="","",IF(ISNUMBER('Dvd Calendar'!$Q$509)=FALSE,"",IF((('Dvd Calendar'!$Q$511=TYPE1)*(TYPE1&lt;&gt;"")+('Dvd Calendar'!$Q$511=TYPE2)*(TYPE2&lt;&gt;"")+('Dvd Calendar'!$Q$511=TYPE3)*(TYPE3&lt;&gt;"")+('Dvd Calendar'!$Q$511=TYPE4)*(TYPE4&lt;&gt;"")+('Dvd Calendar'!$Q$511=SPECIAL_LBL)*(INC_SPECIALS="Y"))=0,"",'Dvd Calendar'!$Q$509)))</f>
        <v/>
      </c>
      <c r="P57" s="106">
        <f>IF(ER57="","",IF(ISNUMBER('Dvd Calendar'!$R$509)=FALSE,"",IF((('Dvd Calendar'!$R$511=TYPE1)*(TYPE1&lt;&gt;"")+('Dvd Calendar'!$R$511=TYPE2)*(TYPE2&lt;&gt;"")+('Dvd Calendar'!$R$511=TYPE3)*(TYPE3&lt;&gt;"")+('Dvd Calendar'!$R$511=TYPE4)*(TYPE4&lt;&gt;"")+('Dvd Calendar'!$R$511=SPECIAL_LBL)*(INC_SPECIALS="Y"))=0,"",'Dvd Calendar'!$R$509)))</f>
        <v/>
      </c>
      <c r="Q57" s="106">
        <f>IF(ES57="","",IF(ISNUMBER('Dvd Calendar'!$S$509)=FALSE,"",IF((('Dvd Calendar'!$S$511=TYPE1)*(TYPE1&lt;&gt;"")+('Dvd Calendar'!$S$511=TYPE2)*(TYPE2&lt;&gt;"")+('Dvd Calendar'!$S$511=TYPE3)*(TYPE3&lt;&gt;"")+('Dvd Calendar'!$S$511=TYPE4)*(TYPE4&lt;&gt;"")+('Dvd Calendar'!$S$511=SPECIAL_LBL)*(INC_SPECIALS="Y"))=0,"",'Dvd Calendar'!$S$509)))</f>
        <v/>
      </c>
      <c r="R57" s="106">
        <f>IF(ET57="","",IF(ISNUMBER('Dvd Calendar'!$T$509)=FALSE,"",IF((('Dvd Calendar'!$T$511=TYPE1)*(TYPE1&lt;&gt;"")+('Dvd Calendar'!$T$511=TYPE2)*(TYPE2&lt;&gt;"")+('Dvd Calendar'!$T$511=TYPE3)*(TYPE3&lt;&gt;"")+('Dvd Calendar'!$T$511=TYPE4)*(TYPE4&lt;&gt;"")+('Dvd Calendar'!$T$511=SPECIAL_LBL)*(INC_SPECIALS="Y"))=0,"",'Dvd Calendar'!$T$509)))</f>
        <v/>
      </c>
      <c r="S57" s="106">
        <f>IF(EU57="","",IF(ISNUMBER('Dvd Calendar'!$U$509)=FALSE,"",IF((('Dvd Calendar'!$U$511=TYPE1)*(TYPE1&lt;&gt;"")+('Dvd Calendar'!$U$511=TYPE2)*(TYPE2&lt;&gt;"")+('Dvd Calendar'!$U$511=TYPE3)*(TYPE3&lt;&gt;"")+('Dvd Calendar'!$U$511=TYPE4)*(TYPE4&lt;&gt;"")+('Dvd Calendar'!$U$511=SPECIAL_LBL)*(INC_SPECIALS="Y"))=0,"",'Dvd Calendar'!$U$509)))</f>
        <v/>
      </c>
      <c r="T57" s="106">
        <f>IF(EV57="","",IF(ISNUMBER('Dvd Calendar'!$V$509)=FALSE,"",IF((('Dvd Calendar'!$V$511=TYPE1)*(TYPE1&lt;&gt;"")+('Dvd Calendar'!$V$511=TYPE2)*(TYPE2&lt;&gt;"")+('Dvd Calendar'!$V$511=TYPE3)*(TYPE3&lt;&gt;"")+('Dvd Calendar'!$V$511=TYPE4)*(TYPE4&lt;&gt;"")+('Dvd Calendar'!$V$511=SPECIAL_LBL)*(INC_SPECIALS="Y"))=0,"",'Dvd Calendar'!$V$509)))</f>
        <v/>
      </c>
      <c r="U57" s="106">
        <f>IF(EW57="","",IF(ISNUMBER('Dvd Calendar'!$W$509)=FALSE,"",IF((('Dvd Calendar'!$W$511=TYPE1)*(TYPE1&lt;&gt;"")+('Dvd Calendar'!$W$511=TYPE2)*(TYPE2&lt;&gt;"")+('Dvd Calendar'!$W$511=TYPE3)*(TYPE3&lt;&gt;"")+('Dvd Calendar'!$W$511=TYPE4)*(TYPE4&lt;&gt;"")+('Dvd Calendar'!$W$511=SPECIAL_LBL)*(INC_SPECIALS="Y"))=0,"",'Dvd Calendar'!$W$509)))</f>
        <v/>
      </c>
      <c r="V57" s="106">
        <f>IF(EX57="","",IF(ISNUMBER('Dvd Calendar'!$X$509)=FALSE,"",IF((('Dvd Calendar'!$X$511=TYPE1)*(TYPE1&lt;&gt;"")+('Dvd Calendar'!$X$511=TYPE2)*(TYPE2&lt;&gt;"")+('Dvd Calendar'!$X$511=TYPE3)*(TYPE3&lt;&gt;"")+('Dvd Calendar'!$X$511=TYPE4)*(TYPE4&lt;&gt;"")+('Dvd Calendar'!$X$511=SPECIAL_LBL)*(INC_SPECIALS="Y"))=0,"",'Dvd Calendar'!$X$509)))</f>
        <v/>
      </c>
      <c r="W57" s="106">
        <f>IF(EY57="","",IF(ISNUMBER('Dvd Calendar'!$Y$509)=FALSE,"",IF((('Dvd Calendar'!$Y$511=TYPE1)*(TYPE1&lt;&gt;"")+('Dvd Calendar'!$Y$511=TYPE2)*(TYPE2&lt;&gt;"")+('Dvd Calendar'!$Y$511=TYPE3)*(TYPE3&lt;&gt;"")+('Dvd Calendar'!$Y$511=TYPE4)*(TYPE4&lt;&gt;"")+('Dvd Calendar'!$Y$511=SPECIAL_LBL)*(INC_SPECIALS="Y"))=0,"",'Dvd Calendar'!$Y$509)))</f>
        <v/>
      </c>
      <c r="X57" s="106">
        <f>IF(EZ57="","",IF(ISNUMBER('Dvd Calendar'!$Z$509)=FALSE,"",IF((('Dvd Calendar'!$Z$511=TYPE1)*(TYPE1&lt;&gt;"")+('Dvd Calendar'!$Z$511=TYPE2)*(TYPE2&lt;&gt;"")+('Dvd Calendar'!$Z$511=TYPE3)*(TYPE3&lt;&gt;"")+('Dvd Calendar'!$Z$511=TYPE4)*(TYPE4&lt;&gt;"")+('Dvd Calendar'!$Z$511=SPECIAL_LBL)*(INC_SPECIALS="Y"))=0,"",'Dvd Calendar'!$Z$509)))</f>
        <v/>
      </c>
      <c r="Y57" s="106">
        <f>IF(FA57="","",IF(ISNUMBER('Dvd Calendar'!$AA$509)=FALSE,"",IF((('Dvd Calendar'!$AA$511=TYPE1)*(TYPE1&lt;&gt;"")+('Dvd Calendar'!$AA$511=TYPE2)*(TYPE2&lt;&gt;"")+('Dvd Calendar'!$AA$511=TYPE3)*(TYPE3&lt;&gt;"")+('Dvd Calendar'!$AA$511=TYPE4)*(TYPE4&lt;&gt;"")+('Dvd Calendar'!$AA$511=SPECIAL_LBL)*(INC_SPECIALS="Y"))=0,"",'Dvd Calendar'!$AA$509)))</f>
        <v/>
      </c>
      <c r="Z57" s="106">
        <f>IF(FB57="","",IF(ISNUMBER('Dvd Calendar'!$AB$509)=FALSE,"",IF((('Dvd Calendar'!$AB$511=TYPE1)*(TYPE1&lt;&gt;"")+('Dvd Calendar'!$AB$511=TYPE2)*(TYPE2&lt;&gt;"")+('Dvd Calendar'!$AB$511=TYPE3)*(TYPE3&lt;&gt;"")+('Dvd Calendar'!$AB$511=TYPE4)*(TYPE4&lt;&gt;"")+('Dvd Calendar'!$AB$511=SPECIAL_LBL)*(INC_SPECIALS="Y"))=0,"",'Dvd Calendar'!$AB$509)))</f>
        <v/>
      </c>
      <c r="AA57" s="106">
        <f>IF(FC57="","",IF(ISNUMBER('Dvd Calendar'!$AC$509)=FALSE,"",IF((('Dvd Calendar'!$AC$511=TYPE1)*(TYPE1&lt;&gt;"")+('Dvd Calendar'!$AC$511=TYPE2)*(TYPE2&lt;&gt;"")+('Dvd Calendar'!$AC$511=TYPE3)*(TYPE3&lt;&gt;"")+('Dvd Calendar'!$AC$511=TYPE4)*(TYPE4&lt;&gt;"")+('Dvd Calendar'!$AC$511=SPECIAL_LBL)*(INC_SPECIALS="Y"))=0,"",'Dvd Calendar'!$AC$509)))</f>
        <v/>
      </c>
      <c r="AB57" s="106">
        <f>IF(FD57="","",IF(ISNUMBER('Dvd Calendar'!$AD$509)=FALSE,"",IF((('Dvd Calendar'!$AD$511=TYPE1)*(TYPE1&lt;&gt;"")+('Dvd Calendar'!$AD$511=TYPE2)*(TYPE2&lt;&gt;"")+('Dvd Calendar'!$AD$511=TYPE3)*(TYPE3&lt;&gt;"")+('Dvd Calendar'!$AD$511=TYPE4)*(TYPE4&lt;&gt;"")+('Dvd Calendar'!$AD$511=SPECIAL_LBL)*(INC_SPECIALS="Y"))=0,"",'Dvd Calendar'!$AD$509)))</f>
        <v/>
      </c>
      <c r="AC57" s="106">
        <f>IF(FE57="","",IF(ISNUMBER('Dvd Calendar'!$AE$509)=FALSE,"",IF((('Dvd Calendar'!$AE$511=TYPE1)*(TYPE1&lt;&gt;"")+('Dvd Calendar'!$AE$511=TYPE2)*(TYPE2&lt;&gt;"")+('Dvd Calendar'!$AE$511=TYPE3)*(TYPE3&lt;&gt;"")+('Dvd Calendar'!$AE$511=TYPE4)*(TYPE4&lt;&gt;"")+('Dvd Calendar'!$AE$511=SPECIAL_LBL)*(INC_SPECIALS="Y"))=0,"",'Dvd Calendar'!$AE$509)))</f>
        <v/>
      </c>
      <c r="AD57" s="106">
        <f>IF(FF57="","",IF(ISNUMBER('Dvd Calendar'!$AF$509)=FALSE,"",IF((('Dvd Calendar'!$AF$511=TYPE1)*(TYPE1&lt;&gt;"")+('Dvd Calendar'!$AF$511=TYPE2)*(TYPE2&lt;&gt;"")+('Dvd Calendar'!$AF$511=TYPE3)*(TYPE3&lt;&gt;"")+('Dvd Calendar'!$AF$511=TYPE4)*(TYPE4&lt;&gt;"")+('Dvd Calendar'!$AF$511=SPECIAL_LBL)*(INC_SPECIALS="Y"))=0,"",'Dvd Calendar'!$AF$509)))</f>
        <v/>
      </c>
      <c r="AE57" s="106">
        <f>IF(FG57="","",IF(ISNUMBER('Dvd Calendar'!$AG$509)=FALSE,"",IF((('Dvd Calendar'!$AG$511=TYPE1)*(TYPE1&lt;&gt;"")+('Dvd Calendar'!$AG$511=TYPE2)*(TYPE2&lt;&gt;"")+('Dvd Calendar'!$AG$511=TYPE3)*(TYPE3&lt;&gt;"")+('Dvd Calendar'!$AG$511=TYPE4)*(TYPE4&lt;&gt;"")+('Dvd Calendar'!$AG$511=SPECIAL_LBL)*(INC_SPECIALS="Y"))=0,"",'Dvd Calendar'!$AG$509)))</f>
        <v/>
      </c>
      <c r="AF57" s="106">
        <f>IF(FH57="","",IF(ISNUMBER('Dvd Calendar'!$AH$509)=FALSE,"",IF((('Dvd Calendar'!$AH$511=TYPE1)*(TYPE1&lt;&gt;"")+('Dvd Calendar'!$AH$511=TYPE2)*(TYPE2&lt;&gt;"")+('Dvd Calendar'!$AH$511=TYPE3)*(TYPE3&lt;&gt;"")+('Dvd Calendar'!$AH$511=TYPE4)*(TYPE4&lt;&gt;"")+('Dvd Calendar'!$AH$511=SPECIAL_LBL)*(INC_SPECIALS="Y"))=0,"",'Dvd Calendar'!$AH$509)))</f>
        <v/>
      </c>
      <c r="AG57" s="106">
        <f>IF(FI57="","",IF(ISNUMBER('Dvd Calendar'!$AI$509)=FALSE,"",IF((('Dvd Calendar'!$AI$511=TYPE1)*(TYPE1&lt;&gt;"")+('Dvd Calendar'!$AI$511=TYPE2)*(TYPE2&lt;&gt;"")+('Dvd Calendar'!$AI$511=TYPE3)*(TYPE3&lt;&gt;"")+('Dvd Calendar'!$AI$511=TYPE4)*(TYPE4&lt;&gt;"")+('Dvd Calendar'!$AI$511=SPECIAL_LBL)*(INC_SPECIALS="Y"))=0,"",'Dvd Calendar'!$AI$509)))</f>
        <v/>
      </c>
      <c r="AH57" s="106">
        <f>IF(FJ57="","",IF(ISNUMBER('Dvd Calendar'!$AJ$509)=FALSE,"",IF((('Dvd Calendar'!$AJ$511=TYPE1)*(TYPE1&lt;&gt;"")+('Dvd Calendar'!$AJ$511=TYPE2)*(TYPE2&lt;&gt;"")+('Dvd Calendar'!$AJ$511=TYPE3)*(TYPE3&lt;&gt;"")+('Dvd Calendar'!$AJ$511=TYPE4)*(TYPE4&lt;&gt;"")+('Dvd Calendar'!$AJ$511=SPECIAL_LBL)*(INC_SPECIALS="Y"))=0,"",'Dvd Calendar'!$AJ$509)))</f>
        <v/>
      </c>
      <c r="AI57" s="106">
        <f>IF(FK57="","",IF(ISNUMBER('Dvd Calendar'!$AK$509)=FALSE,"",IF((('Dvd Calendar'!$AK$511=TYPE1)*(TYPE1&lt;&gt;"")+('Dvd Calendar'!$AK$511=TYPE2)*(TYPE2&lt;&gt;"")+('Dvd Calendar'!$AK$511=TYPE3)*(TYPE3&lt;&gt;"")+('Dvd Calendar'!$AK$511=TYPE4)*(TYPE4&lt;&gt;"")+('Dvd Calendar'!$AK$511=SPECIAL_LBL)*(INC_SPECIALS="Y"))=0,"",'Dvd Calendar'!$AK$509)))</f>
        <v/>
      </c>
      <c r="AJ57" s="106">
        <f>IF(FL57="","",IF(ISNUMBER('Dvd Calendar'!$AL$509)=FALSE,"",IF((('Dvd Calendar'!$AL$511=TYPE1)*(TYPE1&lt;&gt;"")+('Dvd Calendar'!$AL$511=TYPE2)*(TYPE2&lt;&gt;"")+('Dvd Calendar'!$AL$511=TYPE3)*(TYPE3&lt;&gt;"")+('Dvd Calendar'!$AL$511=TYPE4)*(TYPE4&lt;&gt;"")+('Dvd Calendar'!$AL$511=SPECIAL_LBL)*(INC_SPECIALS="Y"))=0,"",'Dvd Calendar'!$AL$509)))</f>
        <v/>
      </c>
      <c r="AK57" s="106">
        <f>IF(FM57="","",IF(ISNUMBER('Dvd Calendar'!$AM$509)=FALSE,"",IF((('Dvd Calendar'!$AM$511=TYPE1)*(TYPE1&lt;&gt;"")+('Dvd Calendar'!$AM$511=TYPE2)*(TYPE2&lt;&gt;"")+('Dvd Calendar'!$AM$511=TYPE3)*(TYPE3&lt;&gt;"")+('Dvd Calendar'!$AM$511=TYPE4)*(TYPE4&lt;&gt;"")+('Dvd Calendar'!$AM$511=SPECIAL_LBL)*(INC_SPECIALS="Y"))=0,"",'Dvd Calendar'!$AM$509)))</f>
        <v/>
      </c>
      <c r="AL57" s="106">
        <f>IF(FN57="","",IF(ISNUMBER('Dvd Calendar'!$AN$509)=FALSE,"",IF((('Dvd Calendar'!$AN$511=TYPE1)*(TYPE1&lt;&gt;"")+('Dvd Calendar'!$AN$511=TYPE2)*(TYPE2&lt;&gt;"")+('Dvd Calendar'!$AN$511=TYPE3)*(TYPE3&lt;&gt;"")+('Dvd Calendar'!$AN$511=TYPE4)*(TYPE4&lt;&gt;"")+('Dvd Calendar'!$AN$511=SPECIAL_LBL)*(INC_SPECIALS="Y"))=0,"",'Dvd Calendar'!$AN$509)))</f>
        <v/>
      </c>
      <c r="AM57" s="106">
        <f>IF(FO57="","",IF(ISNUMBER('Dvd Calendar'!$AO$509)=FALSE,"",IF((('Dvd Calendar'!$AO$511=TYPE1)*(TYPE1&lt;&gt;"")+('Dvd Calendar'!$AO$511=TYPE2)*(TYPE2&lt;&gt;"")+('Dvd Calendar'!$AO$511=TYPE3)*(TYPE3&lt;&gt;"")+('Dvd Calendar'!$AO$511=TYPE4)*(TYPE4&lt;&gt;"")+('Dvd Calendar'!$AO$511=SPECIAL_LBL)*(INC_SPECIALS="Y"))=0,"",'Dvd Calendar'!$AO$509)))</f>
        <v/>
      </c>
      <c r="AN57" s="106">
        <f>IF(FP57="","",IF(ISNUMBER('Dvd Calendar'!$AP$509)=FALSE,"",IF((('Dvd Calendar'!$AP$511=TYPE1)*(TYPE1&lt;&gt;"")+('Dvd Calendar'!$AP$511=TYPE2)*(TYPE2&lt;&gt;"")+('Dvd Calendar'!$AP$511=TYPE3)*(TYPE3&lt;&gt;"")+('Dvd Calendar'!$AP$511=TYPE4)*(TYPE4&lt;&gt;"")+('Dvd Calendar'!$AP$511=SPECIAL_LBL)*(INC_SPECIALS="Y"))=0,"",'Dvd Calendar'!$AP$509)))</f>
        <v/>
      </c>
      <c r="AO57" s="106">
        <f>IF(FQ57="","",IF(ISNUMBER('Dvd Calendar'!$AQ$509)=FALSE,"",IF((('Dvd Calendar'!$AQ$511=TYPE1)*(TYPE1&lt;&gt;"")+('Dvd Calendar'!$AQ$511=TYPE2)*(TYPE2&lt;&gt;"")+('Dvd Calendar'!$AQ$511=TYPE3)*(TYPE3&lt;&gt;"")+('Dvd Calendar'!$AQ$511=TYPE4)*(TYPE4&lt;&gt;"")+('Dvd Calendar'!$AQ$511=SPECIAL_LBL)*(INC_SPECIALS="Y"))=0,"",'Dvd Calendar'!$AQ$509)))</f>
        <v/>
      </c>
      <c r="AP57" s="106">
        <f>IF(FR57="","",IF(ISNUMBER('Dvd Calendar'!$AR$509)=FALSE,"",IF((('Dvd Calendar'!$AR$511=TYPE1)*(TYPE1&lt;&gt;"")+('Dvd Calendar'!$AR$511=TYPE2)*(TYPE2&lt;&gt;"")+('Dvd Calendar'!$AR$511=TYPE3)*(TYPE3&lt;&gt;"")+('Dvd Calendar'!$AR$511=TYPE4)*(TYPE4&lt;&gt;"")+('Dvd Calendar'!$AR$511=SPECIAL_LBL)*(INC_SPECIALS="Y"))=0,"",'Dvd Calendar'!$AR$509)))</f>
        <v/>
      </c>
      <c r="AQ57" s="106">
        <f>IF(FS57="","",IF(ISNUMBER('Dvd Calendar'!$E$514)=FALSE,"",'Dvd Calendar'!$E$514))</f>
        <v/>
      </c>
      <c r="AR57" s="106">
        <f>IF(FT57="","",IF(ISNUMBER('Dvd Calendar'!$F$514)=FALSE,"",'Dvd Calendar'!$F$514))</f>
        <v/>
      </c>
      <c r="AS57" s="106">
        <f>IF(FU57="","",IF(ISNUMBER('Dvd Calendar'!$G$514)=FALSE,"",'Dvd Calendar'!$G$514))</f>
        <v/>
      </c>
      <c r="AT57" s="106">
        <f>IF(FV57="","",IF(ISNUMBER('Dvd Calendar'!$H$514)=FALSE,"",'Dvd Calendar'!$H$514))</f>
        <v/>
      </c>
      <c r="AU57" s="106">
        <f>IF(FW57="","",IF(ISNUMBER('Dvd Calendar'!$I$514)=FALSE,"",'Dvd Calendar'!$I$514))</f>
        <v/>
      </c>
      <c r="AV57" s="106">
        <f>IF(FX57="","",IF(ISNUMBER('Dvd Calendar'!$J$514)=FALSE,"",'Dvd Calendar'!$J$514))</f>
        <v/>
      </c>
      <c r="AW57" s="106">
        <f>IF(FY57="","",IF(ISNUMBER('Dvd Calendar'!$K$514)=FALSE,"",'Dvd Calendar'!$K$514))</f>
        <v/>
      </c>
      <c r="AX57" s="106">
        <f>IF(FZ57="","",IF(ISNUMBER('Dvd Calendar'!$L$514)=FALSE,"",'Dvd Calendar'!$L$514))</f>
        <v/>
      </c>
      <c r="AY57" s="106">
        <f>IF(GA57="","",IF(ISNUMBER('Dvd Calendar'!$M$514)=FALSE,"",'Dvd Calendar'!$M$514))</f>
        <v/>
      </c>
      <c r="AZ57" s="106">
        <f>IF(GB57="","",IF(ISNUMBER('Dvd Calendar'!$N$514)=FALSE,"",'Dvd Calendar'!$N$514))</f>
        <v/>
      </c>
      <c r="BA57" s="106">
        <f>IF(GC57="","",IF(ISNUMBER('Dvd Calendar'!$O$514)=FALSE,"",'Dvd Calendar'!$O$514))</f>
        <v/>
      </c>
      <c r="BB57" s="106">
        <f>IF(GD57="","",IF(ISNUMBER('Dvd Calendar'!$P$514)=FALSE,"",'Dvd Calendar'!$P$514))</f>
        <v/>
      </c>
      <c r="BC57" s="106">
        <f>IF(GE57="","",IF(ISNUMBER('Dvd Calendar'!$Q$514)=FALSE,"",'Dvd Calendar'!$Q$514))</f>
        <v/>
      </c>
      <c r="BD57" s="106">
        <f>IF(GF57="","",IF(ISNUMBER('Dvd Calendar'!$R$514)=FALSE,"",'Dvd Calendar'!$R$514))</f>
        <v/>
      </c>
      <c r="BE57" s="106">
        <f>IF(GG57="","",IF(ISNUMBER('Dvd Calendar'!$S$514)=FALSE,"",'Dvd Calendar'!$S$514))</f>
        <v/>
      </c>
      <c r="BF57" s="106">
        <f>IF(GH57="","",IF(ISNUMBER('Dvd Calendar'!$T$514)=FALSE,"",'Dvd Calendar'!$T$514))</f>
        <v/>
      </c>
      <c r="BG57" s="106">
        <f>IF(GI57="","",IF(ISNUMBER('Dvd Calendar'!$U$514)=FALSE,"",'Dvd Calendar'!$U$514))</f>
        <v/>
      </c>
      <c r="BH57" s="106">
        <f>IF(GJ57="","",IF(ISNUMBER('Dvd Calendar'!$V$514)=FALSE,"",'Dvd Calendar'!$V$514))</f>
        <v/>
      </c>
      <c r="BI57" s="106">
        <f>IF(GK57="","",IF(ISNUMBER('Dvd Calendar'!$W$514)=FALSE,"",'Dvd Calendar'!$W$514))</f>
        <v/>
      </c>
      <c r="BJ57" s="106">
        <f>IF(GL57="","",IF(ISNUMBER('Dvd Calendar'!$X$514)=FALSE,"",'Dvd Calendar'!$X$514))</f>
        <v/>
      </c>
      <c r="BK57" s="106">
        <f>IF(GM57="","",IF(ISNUMBER('Dvd Calendar'!$Y$514)=FALSE,"",'Dvd Calendar'!$Y$514))</f>
        <v/>
      </c>
      <c r="BL57" s="106">
        <f>IF(GN57="","",IF(ISNUMBER('Dvd Calendar'!$Z$514)=FALSE,"",'Dvd Calendar'!$Z$514))</f>
        <v/>
      </c>
      <c r="BM57" s="106">
        <f>IF(GO57="","",IF(ISNUMBER('Dvd Calendar'!$AA$514)=FALSE,"",'Dvd Calendar'!$AA$514))</f>
        <v/>
      </c>
      <c r="BN57" s="106">
        <f>IF(GP57="","",IF(ISNUMBER('Dvd Calendar'!$AB$514)=FALSE,"",'Dvd Calendar'!$AB$514))</f>
        <v/>
      </c>
      <c r="BO57" s="106">
        <f>IF(GQ57="","",IF(ISNUMBER('Dvd Calendar'!$AC$514)=FALSE,"",'Dvd Calendar'!$AC$514))</f>
        <v/>
      </c>
      <c r="BQ57" s="106">
        <f>IF(C57="","",IFERROR(C57*HSI!$B$52*HSI!$G$52/HSI!$B$3,""))</f>
        <v/>
      </c>
      <c r="BR57" s="106">
        <f>IF(D57="","",IFERROR(D57*HSI!$B$52*HSI!$G$52/HSI!$B$3,""))</f>
        <v/>
      </c>
      <c r="BS57" s="106">
        <f>IF(E57="","",IFERROR(E57*HSI!$B$52*HSI!$G$52/HSI!$B$3,""))</f>
        <v/>
      </c>
      <c r="BT57" s="106">
        <f>IF(F57="","",IFERROR(F57*HSI!$B$52*HSI!$G$52/HSI!$B$3,""))</f>
        <v/>
      </c>
      <c r="BU57" s="106">
        <f>IF(G57="","",IFERROR(G57*HSI!$B$52*HSI!$G$52/HSI!$B$3,""))</f>
        <v/>
      </c>
      <c r="BV57" s="106">
        <f>IF(H57="","",IFERROR(H57*HSI!$B$52*HSI!$G$52/HSI!$B$3,""))</f>
        <v/>
      </c>
      <c r="BW57" s="106">
        <f>IF(I57="","",IFERROR(I57*HSI!$B$52*HSI!$G$52/HSI!$B$3,""))</f>
        <v/>
      </c>
      <c r="BX57" s="106">
        <f>IF(J57="","",IFERROR(J57*HSI!$B$52*HSI!$G$52/HSI!$B$3,""))</f>
        <v/>
      </c>
      <c r="BY57" s="106">
        <f>IF(K57="","",IFERROR(K57*HSI!$B$52*HSI!$G$52/HSI!$B$3,""))</f>
        <v/>
      </c>
      <c r="BZ57" s="106">
        <f>IF(L57="","",IFERROR(L57*HSI!$B$52*HSI!$G$52/HSI!$B$3,""))</f>
        <v/>
      </c>
      <c r="CA57" s="106">
        <f>IF(M57="","",IFERROR(M57*HSI!$B$52*HSI!$G$52/HSI!$B$3,""))</f>
        <v/>
      </c>
      <c r="CB57" s="106">
        <f>IF(N57="","",IFERROR(N57*HSI!$B$52*HSI!$G$52/HSI!$B$3,""))</f>
        <v/>
      </c>
      <c r="CC57" s="106">
        <f>IF(O57="","",IFERROR(O57*HSI!$B$52*HSI!$G$52/HSI!$B$3,""))</f>
        <v/>
      </c>
      <c r="CD57" s="106">
        <f>IF(P57="","",IFERROR(P57*HSI!$B$52*HSI!$G$52/HSI!$B$3,""))</f>
        <v/>
      </c>
      <c r="CE57" s="106">
        <f>IF(Q57="","",IFERROR(Q57*HSI!$B$52*HSI!$G$52/HSI!$B$3,""))</f>
        <v/>
      </c>
      <c r="CF57" s="106">
        <f>IF(R57="","",IFERROR(R57*HSI!$B$52*HSI!$G$52/HSI!$B$3,""))</f>
        <v/>
      </c>
      <c r="CG57" s="106">
        <f>IF(S57="","",IFERROR(S57*HSI!$B$52*HSI!$G$52/HSI!$B$3,""))</f>
        <v/>
      </c>
      <c r="CH57" s="106">
        <f>IF(T57="","",IFERROR(T57*HSI!$B$52*HSI!$G$52/HSI!$B$3,""))</f>
        <v/>
      </c>
      <c r="CI57" s="106">
        <f>IF(U57="","",IFERROR(U57*HSI!$B$52*HSI!$G$52/HSI!$B$3,""))</f>
        <v/>
      </c>
      <c r="CJ57" s="106">
        <f>IF(V57="","",IFERROR(V57*HSI!$B$52*HSI!$G$52/HSI!$B$3,""))</f>
        <v/>
      </c>
      <c r="CK57" s="106">
        <f>IF(W57="","",IFERROR(W57*HSI!$B$52*HSI!$G$52/HSI!$B$3,""))</f>
        <v/>
      </c>
      <c r="CL57" s="106">
        <f>IF(X57="","",IFERROR(X57*HSI!$B$52*HSI!$G$52/HSI!$B$3,""))</f>
        <v/>
      </c>
      <c r="CM57" s="106">
        <f>IF(Y57="","",IFERROR(Y57*HSI!$B$52*HSI!$G$52/HSI!$B$3,""))</f>
        <v/>
      </c>
      <c r="CN57" s="106">
        <f>IF(Z57="","",IFERROR(Z57*HSI!$B$52*HSI!$G$52/HSI!$B$3,""))</f>
        <v/>
      </c>
      <c r="CO57" s="106">
        <f>IF(AA57="","",IFERROR(AA57*HSI!$B$52*HSI!$G$52/HSI!$B$3,""))</f>
        <v/>
      </c>
      <c r="CP57" s="106">
        <f>IF(AB57="","",IFERROR(AB57*HSI!$B$52*HSI!$G$52/HSI!$B$3,""))</f>
        <v/>
      </c>
      <c r="CQ57" s="106">
        <f>IF(AC57="","",IFERROR(AC57*HSI!$B$52*HSI!$G$52/HSI!$B$3,""))</f>
        <v/>
      </c>
      <c r="CR57" s="106">
        <f>IF(AD57="","",IFERROR(AD57*HSI!$B$52*HSI!$G$52/HSI!$B$3,""))</f>
        <v/>
      </c>
      <c r="CS57" s="106">
        <f>IF(AE57="","",IFERROR(AE57*HSI!$B$52*HSI!$G$52/HSI!$B$3,""))</f>
        <v/>
      </c>
      <c r="CT57" s="106">
        <f>IF(AF57="","",IFERROR(AF57*HSI!$B$52*HSI!$G$52/HSI!$B$3,""))</f>
        <v/>
      </c>
      <c r="CU57" s="106">
        <f>IF(AG57="","",IFERROR(AG57*HSI!$B$52*HSI!$G$52/HSI!$B$3,""))</f>
        <v/>
      </c>
      <c r="CV57" s="106">
        <f>IF(AH57="","",IFERROR(AH57*HSI!$B$52*HSI!$G$52/HSI!$B$3,""))</f>
        <v/>
      </c>
      <c r="CW57" s="106">
        <f>IF(AI57="","",IFERROR(AI57*HSI!$B$52*HSI!$G$52/HSI!$B$3,""))</f>
        <v/>
      </c>
      <c r="CX57" s="106">
        <f>IF(AJ57="","",IFERROR(AJ57*HSI!$B$52*HSI!$G$52/HSI!$B$3,""))</f>
        <v/>
      </c>
      <c r="CY57" s="106">
        <f>IF(AK57="","",IFERROR(AK57*HSI!$B$52*HSI!$G$52/HSI!$B$3,""))</f>
        <v/>
      </c>
      <c r="CZ57" s="106">
        <f>IF(AL57="","",IFERROR(AL57*HSI!$B$52*HSI!$G$52/HSI!$B$3,""))</f>
        <v/>
      </c>
      <c r="DA57" s="106">
        <f>IF(AM57="","",IFERROR(AM57*HSI!$B$52*HSI!$G$52/HSI!$B$3,""))</f>
        <v/>
      </c>
      <c r="DB57" s="106">
        <f>IF(AN57="","",IFERROR(AN57*HSI!$B$52*HSI!$G$52/HSI!$B$3,""))</f>
        <v/>
      </c>
      <c r="DC57" s="106">
        <f>IF(AO57="","",IFERROR(AO57*HSI!$B$52*HSI!$G$52/HSI!$B$3,""))</f>
        <v/>
      </c>
      <c r="DD57" s="106">
        <f>IF(AP57="","",IFERROR(AP57*HSI!$B$52*HSI!$G$52/HSI!$B$3,""))</f>
        <v/>
      </c>
      <c r="DE57" s="106">
        <f>IF(AQ57="","",IFERROR(AQ57*HSI!$B$52*HSI!$G$52/HSI!$B$3,""))</f>
        <v/>
      </c>
      <c r="DF57" s="106">
        <f>IF(AR57="","",IFERROR(AR57*HSI!$B$52*HSI!$G$52/HSI!$B$3,""))</f>
        <v/>
      </c>
      <c r="DG57" s="106">
        <f>IF(AS57="","",IFERROR(AS57*HSI!$B$52*HSI!$G$52/HSI!$B$3,""))</f>
        <v/>
      </c>
      <c r="DH57" s="106">
        <f>IF(AT57="","",IFERROR(AT57*HSI!$B$52*HSI!$G$52/HSI!$B$3,""))</f>
        <v/>
      </c>
      <c r="DI57" s="106">
        <f>IF(AU57="","",IFERROR(AU57*HSI!$B$52*HSI!$G$52/HSI!$B$3,""))</f>
        <v/>
      </c>
      <c r="DJ57" s="106">
        <f>IF(AV57="","",IFERROR(AV57*HSI!$B$52*HSI!$G$52/HSI!$B$3,""))</f>
        <v/>
      </c>
      <c r="DK57" s="106">
        <f>IF(AW57="","",IFERROR(AW57*HSI!$B$52*HSI!$G$52/HSI!$B$3,""))</f>
        <v/>
      </c>
      <c r="DL57" s="106">
        <f>IF(AX57="","",IFERROR(AX57*HSI!$B$52*HSI!$G$52/HSI!$B$3,""))</f>
        <v/>
      </c>
      <c r="DM57" s="106">
        <f>IF(AY57="","",IFERROR(AY57*HSI!$B$52*HSI!$G$52/HSI!$B$3,""))</f>
        <v/>
      </c>
      <c r="DN57" s="106">
        <f>IF(AZ57="","",IFERROR(AZ57*HSI!$B$52*HSI!$G$52/HSI!$B$3,""))</f>
        <v/>
      </c>
      <c r="DO57" s="106">
        <f>IF(BA57="","",IFERROR(BA57*HSI!$B$52*HSI!$G$52/HSI!$B$3,""))</f>
        <v/>
      </c>
      <c r="DP57" s="106">
        <f>IF(BB57="","",IFERROR(BB57*HSI!$B$52*HSI!$G$52/HSI!$B$3,""))</f>
        <v/>
      </c>
      <c r="DQ57" s="106">
        <f>IF(BC57="","",IFERROR(BC57*HSI!$B$52*HSI!$G$52/HSI!$B$3,""))</f>
        <v/>
      </c>
      <c r="DR57" s="106">
        <f>IF(BD57="","",IFERROR(BD57*HSI!$B$52*HSI!$G$52/HSI!$B$3,""))</f>
        <v/>
      </c>
      <c r="DS57" s="106">
        <f>IF(BE57="","",IFERROR(BE57*HSI!$B$52*HSI!$G$52/HSI!$B$3,""))</f>
        <v/>
      </c>
      <c r="DT57" s="106">
        <f>IF(BF57="","",IFERROR(BF57*HSI!$B$52*HSI!$G$52/HSI!$B$3,""))</f>
        <v/>
      </c>
      <c r="DU57" s="106">
        <f>IF(BG57="","",IFERROR(BG57*HSI!$B$52*HSI!$G$52/HSI!$B$3,""))</f>
        <v/>
      </c>
      <c r="DV57" s="106">
        <f>IF(BH57="","",IFERROR(BH57*HSI!$B$52*HSI!$G$52/HSI!$B$3,""))</f>
        <v/>
      </c>
      <c r="DW57" s="106">
        <f>IF(BI57="","",IFERROR(BI57*HSI!$B$52*HSI!$G$52/HSI!$B$3,""))</f>
        <v/>
      </c>
      <c r="DX57" s="106">
        <f>IF(BJ57="","",IFERROR(BJ57*HSI!$B$52*HSI!$G$52/HSI!$B$3,""))</f>
        <v/>
      </c>
      <c r="DY57" s="106">
        <f>IF(BK57="","",IFERROR(BK57*HSI!$B$52*HSI!$G$52/HSI!$B$3,""))</f>
        <v/>
      </c>
      <c r="DZ57" s="106">
        <f>IF(BL57="","",IFERROR(BL57*HSI!$B$52*HSI!$G$52/HSI!$B$3,""))</f>
        <v/>
      </c>
      <c r="EA57" s="106">
        <f>IF(BM57="","",IFERROR(BM57*HSI!$B$52*HSI!$G$52/HSI!$B$3,""))</f>
        <v/>
      </c>
      <c r="EB57" s="106">
        <f>IF(BN57="","",IFERROR(BN57*HSI!$B$52*HSI!$G$52/HSI!$B$3,""))</f>
        <v/>
      </c>
      <c r="EC57" s="106">
        <f>IF(BO57="","",IFERROR(BO57*HSI!$B$52*HSI!$G$52/HSI!$B$3,""))</f>
        <v/>
      </c>
      <c r="EE57" s="35">
        <f>IF(N('Dvd Calendar'!$E$506)=0,"",IF(('Dvd Calendar'!$E$506&gt;=GRID_FROM)*('Dvd Calendar'!$E$506&lt;=GRID_TO)*('Dvd Calendar'!$E$506&lt;=VAL_DATE)=0,"",'Dvd Calendar'!$E$506*1000000000+ISNUMBER('Dvd Calendar'!$E$509)*100000000+('Dvd Calendar'!$E$511=SPECIAL_LBL)*10000000+0*1000000+46*1000+1))</f>
        <v/>
      </c>
      <c r="EF57" s="35">
        <f>IF(N('Dvd Calendar'!$F$506)=0,"",IF(('Dvd Calendar'!$F$506&gt;=GRID_FROM)*('Dvd Calendar'!$F$506&lt;=GRID_TO)*('Dvd Calendar'!$F$506&lt;=VAL_DATE)=0,"",'Dvd Calendar'!$F$506*1000000000+ISNUMBER('Dvd Calendar'!$F$509)*100000000+('Dvd Calendar'!$F$511=SPECIAL_LBL)*10000000+0*1000000+46*1000+2))</f>
        <v/>
      </c>
      <c r="EG57" s="35">
        <f>IF(N('Dvd Calendar'!$G$506)=0,"",IF(('Dvd Calendar'!$G$506&gt;=GRID_FROM)*('Dvd Calendar'!$G$506&lt;=GRID_TO)*('Dvd Calendar'!$G$506&lt;=VAL_DATE)=0,"",'Dvd Calendar'!$G$506*1000000000+ISNUMBER('Dvd Calendar'!$G$509)*100000000+('Dvd Calendar'!$G$511=SPECIAL_LBL)*10000000+0*1000000+46*1000+3))</f>
        <v/>
      </c>
      <c r="EH57" s="35">
        <f>IF(N('Dvd Calendar'!$H$506)=0,"",IF(('Dvd Calendar'!$H$506&gt;=GRID_FROM)*('Dvd Calendar'!$H$506&lt;=GRID_TO)*('Dvd Calendar'!$H$506&lt;=VAL_DATE)=0,"",'Dvd Calendar'!$H$506*1000000000+ISNUMBER('Dvd Calendar'!$H$509)*100000000+('Dvd Calendar'!$H$511=SPECIAL_LBL)*10000000+0*1000000+46*1000+4))</f>
        <v/>
      </c>
      <c r="EI57" s="35">
        <f>IF(N('Dvd Calendar'!$I$506)=0,"",IF(('Dvd Calendar'!$I$506&gt;=GRID_FROM)*('Dvd Calendar'!$I$506&lt;=GRID_TO)*('Dvd Calendar'!$I$506&lt;=VAL_DATE)=0,"",'Dvd Calendar'!$I$506*1000000000+ISNUMBER('Dvd Calendar'!$I$509)*100000000+('Dvd Calendar'!$I$511=SPECIAL_LBL)*10000000+0*1000000+46*1000+5))</f>
        <v/>
      </c>
      <c r="EJ57" s="35">
        <f>IF(N('Dvd Calendar'!$J$506)=0,"",IF(('Dvd Calendar'!$J$506&gt;=GRID_FROM)*('Dvd Calendar'!$J$506&lt;=GRID_TO)*('Dvd Calendar'!$J$506&lt;=VAL_DATE)=0,"",'Dvd Calendar'!$J$506*1000000000+ISNUMBER('Dvd Calendar'!$J$509)*100000000+('Dvd Calendar'!$J$511=SPECIAL_LBL)*10000000+0*1000000+46*1000+6))</f>
        <v/>
      </c>
      <c r="EK57" s="35">
        <f>IF(N('Dvd Calendar'!$K$506)=0,"",IF(('Dvd Calendar'!$K$506&gt;=GRID_FROM)*('Dvd Calendar'!$K$506&lt;=GRID_TO)*('Dvd Calendar'!$K$506&lt;=VAL_DATE)=0,"",'Dvd Calendar'!$K$506*1000000000+ISNUMBER('Dvd Calendar'!$K$509)*100000000+('Dvd Calendar'!$K$511=SPECIAL_LBL)*10000000+0*1000000+46*1000+7))</f>
        <v/>
      </c>
      <c r="EL57" s="35">
        <f>IF(N('Dvd Calendar'!$L$506)=0,"",IF(('Dvd Calendar'!$L$506&gt;=GRID_FROM)*('Dvd Calendar'!$L$506&lt;=GRID_TO)*('Dvd Calendar'!$L$506&lt;=VAL_DATE)=0,"",'Dvd Calendar'!$L$506*1000000000+ISNUMBER('Dvd Calendar'!$L$509)*100000000+('Dvd Calendar'!$L$511=SPECIAL_LBL)*10000000+0*1000000+46*1000+8))</f>
        <v/>
      </c>
      <c r="EM57" s="35">
        <f>IF(N('Dvd Calendar'!$M$506)=0,"",IF(('Dvd Calendar'!$M$506&gt;=GRID_FROM)*('Dvd Calendar'!$M$506&lt;=GRID_TO)*('Dvd Calendar'!$M$506&lt;=VAL_DATE)=0,"",'Dvd Calendar'!$M$506*1000000000+ISNUMBER('Dvd Calendar'!$M$509)*100000000+('Dvd Calendar'!$M$511=SPECIAL_LBL)*10000000+0*1000000+46*1000+9))</f>
        <v/>
      </c>
      <c r="EN57" s="35">
        <f>IF(N('Dvd Calendar'!$N$506)=0,"",IF(('Dvd Calendar'!$N$506&gt;=GRID_FROM)*('Dvd Calendar'!$N$506&lt;=GRID_TO)*('Dvd Calendar'!$N$506&lt;=VAL_DATE)=0,"",'Dvd Calendar'!$N$506*1000000000+ISNUMBER('Dvd Calendar'!$N$509)*100000000+('Dvd Calendar'!$N$511=SPECIAL_LBL)*10000000+0*1000000+46*1000+10))</f>
        <v/>
      </c>
      <c r="EO57" s="35">
        <f>IF(N('Dvd Calendar'!$O$506)=0,"",IF(('Dvd Calendar'!$O$506&gt;=GRID_FROM)*('Dvd Calendar'!$O$506&lt;=GRID_TO)*('Dvd Calendar'!$O$506&lt;=VAL_DATE)=0,"",'Dvd Calendar'!$O$506*1000000000+ISNUMBER('Dvd Calendar'!$O$509)*100000000+('Dvd Calendar'!$O$511=SPECIAL_LBL)*10000000+0*1000000+46*1000+11))</f>
        <v/>
      </c>
      <c r="EP57" s="35">
        <f>IF(N('Dvd Calendar'!$P$506)=0,"",IF(('Dvd Calendar'!$P$506&gt;=GRID_FROM)*('Dvd Calendar'!$P$506&lt;=GRID_TO)*('Dvd Calendar'!$P$506&lt;=VAL_DATE)=0,"",'Dvd Calendar'!$P$506*1000000000+ISNUMBER('Dvd Calendar'!$P$509)*100000000+('Dvd Calendar'!$P$511=SPECIAL_LBL)*10000000+0*1000000+46*1000+12))</f>
        <v/>
      </c>
      <c r="EQ57" s="35">
        <f>IF(N('Dvd Calendar'!$Q$506)=0,"",IF(('Dvd Calendar'!$Q$506&gt;=GRID_FROM)*('Dvd Calendar'!$Q$506&lt;=GRID_TO)*('Dvd Calendar'!$Q$506&lt;=VAL_DATE)=0,"",'Dvd Calendar'!$Q$506*1000000000+ISNUMBER('Dvd Calendar'!$Q$509)*100000000+('Dvd Calendar'!$Q$511=SPECIAL_LBL)*10000000+0*1000000+46*1000+13))</f>
        <v/>
      </c>
      <c r="ER57" s="35">
        <f>IF(N('Dvd Calendar'!$R$506)=0,"",IF(('Dvd Calendar'!$R$506&gt;=GRID_FROM)*('Dvd Calendar'!$R$506&lt;=GRID_TO)*('Dvd Calendar'!$R$506&lt;=VAL_DATE)=0,"",'Dvd Calendar'!$R$506*1000000000+ISNUMBER('Dvd Calendar'!$R$509)*100000000+('Dvd Calendar'!$R$511=SPECIAL_LBL)*10000000+0*1000000+46*1000+14))</f>
        <v/>
      </c>
      <c r="ES57" s="35">
        <f>IF(N('Dvd Calendar'!$S$506)=0,"",IF(('Dvd Calendar'!$S$506&gt;=GRID_FROM)*('Dvd Calendar'!$S$506&lt;=GRID_TO)*('Dvd Calendar'!$S$506&lt;=VAL_DATE)=0,"",'Dvd Calendar'!$S$506*1000000000+ISNUMBER('Dvd Calendar'!$S$509)*100000000+('Dvd Calendar'!$S$511=SPECIAL_LBL)*10000000+0*1000000+46*1000+15))</f>
        <v/>
      </c>
      <c r="ET57" s="35">
        <f>IF(N('Dvd Calendar'!$T$506)=0,"",IF(('Dvd Calendar'!$T$506&gt;=GRID_FROM)*('Dvd Calendar'!$T$506&lt;=GRID_TO)*('Dvd Calendar'!$T$506&lt;=VAL_DATE)=0,"",'Dvd Calendar'!$T$506*1000000000+ISNUMBER('Dvd Calendar'!$T$509)*100000000+('Dvd Calendar'!$T$511=SPECIAL_LBL)*10000000+0*1000000+46*1000+16))</f>
        <v/>
      </c>
      <c r="EU57" s="35">
        <f>IF(N('Dvd Calendar'!$U$506)=0,"",IF(('Dvd Calendar'!$U$506&gt;=GRID_FROM)*('Dvd Calendar'!$U$506&lt;=GRID_TO)*('Dvd Calendar'!$U$506&lt;=VAL_DATE)=0,"",'Dvd Calendar'!$U$506*1000000000+ISNUMBER('Dvd Calendar'!$U$509)*100000000+('Dvd Calendar'!$U$511=SPECIAL_LBL)*10000000+0*1000000+46*1000+17))</f>
        <v/>
      </c>
      <c r="EV57" s="35">
        <f>IF(N('Dvd Calendar'!$V$506)=0,"",IF(('Dvd Calendar'!$V$506&gt;=GRID_FROM)*('Dvd Calendar'!$V$506&lt;=GRID_TO)*('Dvd Calendar'!$V$506&lt;=VAL_DATE)=0,"",'Dvd Calendar'!$V$506*1000000000+ISNUMBER('Dvd Calendar'!$V$509)*100000000+('Dvd Calendar'!$V$511=SPECIAL_LBL)*10000000+0*1000000+46*1000+18))</f>
        <v/>
      </c>
      <c r="EW57" s="35">
        <f>IF(N('Dvd Calendar'!$W$506)=0,"",IF(('Dvd Calendar'!$W$506&gt;=GRID_FROM)*('Dvd Calendar'!$W$506&lt;=GRID_TO)*('Dvd Calendar'!$W$506&lt;=VAL_DATE)=0,"",'Dvd Calendar'!$W$506*1000000000+ISNUMBER('Dvd Calendar'!$W$509)*100000000+('Dvd Calendar'!$W$511=SPECIAL_LBL)*10000000+0*1000000+46*1000+19))</f>
        <v/>
      </c>
      <c r="EX57" s="35">
        <f>IF(N('Dvd Calendar'!$X$506)=0,"",IF(('Dvd Calendar'!$X$506&gt;=GRID_FROM)*('Dvd Calendar'!$X$506&lt;=GRID_TO)*('Dvd Calendar'!$X$506&lt;=VAL_DATE)=0,"",'Dvd Calendar'!$X$506*1000000000+ISNUMBER('Dvd Calendar'!$X$509)*100000000+('Dvd Calendar'!$X$511=SPECIAL_LBL)*10000000+0*1000000+46*1000+20))</f>
        <v/>
      </c>
      <c r="EY57" s="35">
        <f>IF(N('Dvd Calendar'!$Y$506)=0,"",IF(('Dvd Calendar'!$Y$506&gt;=GRID_FROM)*('Dvd Calendar'!$Y$506&lt;=GRID_TO)*('Dvd Calendar'!$Y$506&lt;=VAL_DATE)=0,"",'Dvd Calendar'!$Y$506*1000000000+ISNUMBER('Dvd Calendar'!$Y$509)*100000000+('Dvd Calendar'!$Y$511=SPECIAL_LBL)*10000000+0*1000000+46*1000+21))</f>
        <v/>
      </c>
      <c r="EZ57" s="35">
        <f>IF(N('Dvd Calendar'!$Z$506)=0,"",IF(('Dvd Calendar'!$Z$506&gt;=GRID_FROM)*('Dvd Calendar'!$Z$506&lt;=GRID_TO)*('Dvd Calendar'!$Z$506&lt;=VAL_DATE)=0,"",'Dvd Calendar'!$Z$506*1000000000+ISNUMBER('Dvd Calendar'!$Z$509)*100000000+('Dvd Calendar'!$Z$511=SPECIAL_LBL)*10000000+0*1000000+46*1000+22))</f>
        <v/>
      </c>
      <c r="FA57" s="35">
        <f>IF(N('Dvd Calendar'!$AA$506)=0,"",IF(('Dvd Calendar'!$AA$506&gt;=GRID_FROM)*('Dvd Calendar'!$AA$506&lt;=GRID_TO)*('Dvd Calendar'!$AA$506&lt;=VAL_DATE)=0,"",'Dvd Calendar'!$AA$506*1000000000+ISNUMBER('Dvd Calendar'!$AA$509)*100000000+('Dvd Calendar'!$AA$511=SPECIAL_LBL)*10000000+0*1000000+46*1000+23))</f>
        <v/>
      </c>
      <c r="FB57" s="35">
        <f>IF(N('Dvd Calendar'!$AB$506)=0,"",IF(('Dvd Calendar'!$AB$506&gt;=GRID_FROM)*('Dvd Calendar'!$AB$506&lt;=GRID_TO)*('Dvd Calendar'!$AB$506&lt;=VAL_DATE)=0,"",'Dvd Calendar'!$AB$506*1000000000+ISNUMBER('Dvd Calendar'!$AB$509)*100000000+('Dvd Calendar'!$AB$511=SPECIAL_LBL)*10000000+0*1000000+46*1000+24))</f>
        <v/>
      </c>
      <c r="FC57" s="35">
        <f>IF(N('Dvd Calendar'!$AC$506)=0,"",IF(('Dvd Calendar'!$AC$506&gt;=GRID_FROM)*('Dvd Calendar'!$AC$506&lt;=GRID_TO)*('Dvd Calendar'!$AC$506&lt;=VAL_DATE)=0,"",'Dvd Calendar'!$AC$506*1000000000+ISNUMBER('Dvd Calendar'!$AC$509)*100000000+('Dvd Calendar'!$AC$511=SPECIAL_LBL)*10000000+0*1000000+46*1000+25))</f>
        <v/>
      </c>
      <c r="FD57" s="35">
        <f>IF(N('Dvd Calendar'!$AD$506)=0,"",IF(('Dvd Calendar'!$AD$506&gt;=GRID_FROM)*('Dvd Calendar'!$AD$506&lt;=GRID_TO)*('Dvd Calendar'!$AD$506&lt;=VAL_DATE)=0,"",'Dvd Calendar'!$AD$506*1000000000+ISNUMBER('Dvd Calendar'!$AD$509)*100000000+('Dvd Calendar'!$AD$511=SPECIAL_LBL)*10000000+0*1000000+46*1000+26))</f>
        <v/>
      </c>
      <c r="FE57" s="35">
        <f>IF(N('Dvd Calendar'!$AE$506)=0,"",IF(('Dvd Calendar'!$AE$506&gt;=GRID_FROM)*('Dvd Calendar'!$AE$506&lt;=GRID_TO)*('Dvd Calendar'!$AE$506&lt;=VAL_DATE)=0,"",'Dvd Calendar'!$AE$506*1000000000+ISNUMBER('Dvd Calendar'!$AE$509)*100000000+('Dvd Calendar'!$AE$511=SPECIAL_LBL)*10000000+0*1000000+46*1000+27))</f>
        <v/>
      </c>
      <c r="FF57" s="35">
        <f>IF(N('Dvd Calendar'!$AF$506)=0,"",IF(('Dvd Calendar'!$AF$506&gt;=GRID_FROM)*('Dvd Calendar'!$AF$506&lt;=GRID_TO)*('Dvd Calendar'!$AF$506&lt;=VAL_DATE)=0,"",'Dvd Calendar'!$AF$506*1000000000+ISNUMBER('Dvd Calendar'!$AF$509)*100000000+('Dvd Calendar'!$AF$511=SPECIAL_LBL)*10000000+0*1000000+46*1000+28))</f>
        <v/>
      </c>
      <c r="FG57" s="35">
        <f>IF(N('Dvd Calendar'!$AG$506)=0,"",IF(('Dvd Calendar'!$AG$506&gt;=GRID_FROM)*('Dvd Calendar'!$AG$506&lt;=GRID_TO)*('Dvd Calendar'!$AG$506&lt;=VAL_DATE)=0,"",'Dvd Calendar'!$AG$506*1000000000+ISNUMBER('Dvd Calendar'!$AG$509)*100000000+('Dvd Calendar'!$AG$511=SPECIAL_LBL)*10000000+0*1000000+46*1000+29))</f>
        <v/>
      </c>
      <c r="FH57" s="35">
        <f>IF(N('Dvd Calendar'!$AH$506)=0,"",IF(('Dvd Calendar'!$AH$506&gt;=GRID_FROM)*('Dvd Calendar'!$AH$506&lt;=GRID_TO)*('Dvd Calendar'!$AH$506&lt;=VAL_DATE)=0,"",'Dvd Calendar'!$AH$506*1000000000+ISNUMBER('Dvd Calendar'!$AH$509)*100000000+('Dvd Calendar'!$AH$511=SPECIAL_LBL)*10000000+0*1000000+46*1000+30))</f>
        <v/>
      </c>
      <c r="FI57" s="35">
        <f>IF(N('Dvd Calendar'!$AI$506)=0,"",IF(('Dvd Calendar'!$AI$506&gt;=GRID_FROM)*('Dvd Calendar'!$AI$506&lt;=GRID_TO)*('Dvd Calendar'!$AI$506&lt;=VAL_DATE)=0,"",'Dvd Calendar'!$AI$506*1000000000+ISNUMBER('Dvd Calendar'!$AI$509)*100000000+('Dvd Calendar'!$AI$511=SPECIAL_LBL)*10000000+0*1000000+46*1000+31))</f>
        <v/>
      </c>
      <c r="FJ57" s="35">
        <f>IF(N('Dvd Calendar'!$AJ$506)=0,"",IF(('Dvd Calendar'!$AJ$506&gt;=GRID_FROM)*('Dvd Calendar'!$AJ$506&lt;=GRID_TO)*('Dvd Calendar'!$AJ$506&lt;=VAL_DATE)=0,"",'Dvd Calendar'!$AJ$506*1000000000+ISNUMBER('Dvd Calendar'!$AJ$509)*100000000+('Dvd Calendar'!$AJ$511=SPECIAL_LBL)*10000000+0*1000000+46*1000+32))</f>
        <v/>
      </c>
      <c r="FK57" s="35">
        <f>IF(N('Dvd Calendar'!$AK$506)=0,"",IF(('Dvd Calendar'!$AK$506&gt;=GRID_FROM)*('Dvd Calendar'!$AK$506&lt;=GRID_TO)*('Dvd Calendar'!$AK$506&lt;=VAL_DATE)=0,"",'Dvd Calendar'!$AK$506*1000000000+ISNUMBER('Dvd Calendar'!$AK$509)*100000000+('Dvd Calendar'!$AK$511=SPECIAL_LBL)*10000000+0*1000000+46*1000+33))</f>
        <v/>
      </c>
      <c r="FL57" s="35">
        <f>IF(N('Dvd Calendar'!$AL$506)=0,"",IF(('Dvd Calendar'!$AL$506&gt;=GRID_FROM)*('Dvd Calendar'!$AL$506&lt;=GRID_TO)*('Dvd Calendar'!$AL$506&lt;=VAL_DATE)=0,"",'Dvd Calendar'!$AL$506*1000000000+ISNUMBER('Dvd Calendar'!$AL$509)*100000000+('Dvd Calendar'!$AL$511=SPECIAL_LBL)*10000000+0*1000000+46*1000+34))</f>
        <v/>
      </c>
      <c r="FM57" s="35">
        <f>IF(N('Dvd Calendar'!$AM$506)=0,"",IF(('Dvd Calendar'!$AM$506&gt;=GRID_FROM)*('Dvd Calendar'!$AM$506&lt;=GRID_TO)*('Dvd Calendar'!$AM$506&lt;=VAL_DATE)=0,"",'Dvd Calendar'!$AM$506*1000000000+ISNUMBER('Dvd Calendar'!$AM$509)*100000000+('Dvd Calendar'!$AM$511=SPECIAL_LBL)*10000000+0*1000000+46*1000+35))</f>
        <v/>
      </c>
      <c r="FN57" s="35">
        <f>IF(N('Dvd Calendar'!$AN$506)=0,"",IF(('Dvd Calendar'!$AN$506&gt;=GRID_FROM)*('Dvd Calendar'!$AN$506&lt;=GRID_TO)*('Dvd Calendar'!$AN$506&lt;=VAL_DATE)=0,"",'Dvd Calendar'!$AN$506*1000000000+ISNUMBER('Dvd Calendar'!$AN$509)*100000000+('Dvd Calendar'!$AN$511=SPECIAL_LBL)*10000000+0*1000000+46*1000+36))</f>
        <v/>
      </c>
      <c r="FO57" s="35">
        <f>IF(N('Dvd Calendar'!$AO$506)=0,"",IF(('Dvd Calendar'!$AO$506&gt;=GRID_FROM)*('Dvd Calendar'!$AO$506&lt;=GRID_TO)*('Dvd Calendar'!$AO$506&lt;=VAL_DATE)=0,"",'Dvd Calendar'!$AO$506*1000000000+ISNUMBER('Dvd Calendar'!$AO$509)*100000000+('Dvd Calendar'!$AO$511=SPECIAL_LBL)*10000000+0*1000000+46*1000+37))</f>
        <v/>
      </c>
      <c r="FP57" s="35">
        <f>IF(N('Dvd Calendar'!$AP$506)=0,"",IF(('Dvd Calendar'!$AP$506&gt;=GRID_FROM)*('Dvd Calendar'!$AP$506&lt;=GRID_TO)*('Dvd Calendar'!$AP$506&lt;=VAL_DATE)=0,"",'Dvd Calendar'!$AP$506*1000000000+ISNUMBER('Dvd Calendar'!$AP$509)*100000000+('Dvd Calendar'!$AP$511=SPECIAL_LBL)*10000000+0*1000000+46*1000+38))</f>
        <v/>
      </c>
      <c r="FQ57" s="35">
        <f>IF(N('Dvd Calendar'!$AQ$506)=0,"",IF(('Dvd Calendar'!$AQ$506&gt;=GRID_FROM)*('Dvd Calendar'!$AQ$506&lt;=GRID_TO)*('Dvd Calendar'!$AQ$506&lt;=VAL_DATE)=0,"",'Dvd Calendar'!$AQ$506*1000000000+ISNUMBER('Dvd Calendar'!$AQ$509)*100000000+('Dvd Calendar'!$AQ$511=SPECIAL_LBL)*10000000+0*1000000+46*1000+39))</f>
        <v/>
      </c>
      <c r="FR57" s="35">
        <f>IF(N('Dvd Calendar'!$AR$506)=0,"",IF(('Dvd Calendar'!$AR$506&gt;=GRID_FROM)*('Dvd Calendar'!$AR$506&lt;=GRID_TO)*('Dvd Calendar'!$AR$506&lt;=VAL_DATE)=0,"",'Dvd Calendar'!$AR$506*1000000000+ISNUMBER('Dvd Calendar'!$AR$509)*100000000+('Dvd Calendar'!$AR$511=SPECIAL_LBL)*10000000+0*1000000+46*1000+40))</f>
        <v/>
      </c>
      <c r="FS57" s="35">
        <f>IF(N('Dvd Calendar'!$E$513)=0,"",IF(('Dvd Calendar'!$E$513&gt;=GRID_FROM)*('Dvd Calendar'!$E$513&lt;=GRID_TO)*('Dvd Calendar'!$E$513&gt;VAL_DATE)=0,"",'Dvd Calendar'!$E$513*1000000000+ISNUMBER('Dvd Calendar'!$E$514)*100000000+0*10000000+(N('Dvd Calendar'!$E$512)&gt;0)*(N('Dvd Calendar'!$E$512)&lt;=VAL_SERIAL)*1000000+46*1000+41))</f>
        <v/>
      </c>
      <c r="FT57" s="35">
        <f>IF(N('Dvd Calendar'!$F$513)=0,"",IF(('Dvd Calendar'!$F$513&gt;=GRID_FROM)*('Dvd Calendar'!$F$513&lt;=GRID_TO)*('Dvd Calendar'!$F$513&gt;VAL_DATE)=0,"",'Dvd Calendar'!$F$513*1000000000+ISNUMBER('Dvd Calendar'!$F$514)*100000000+0*10000000+(N('Dvd Calendar'!$F$512)&gt;0)*(N('Dvd Calendar'!$F$512)&lt;=VAL_SERIAL)*1000000+46*1000+42))</f>
        <v/>
      </c>
      <c r="FU57" s="35">
        <f>IF(N('Dvd Calendar'!$G$513)=0,"",IF(('Dvd Calendar'!$G$513&gt;=GRID_FROM)*('Dvd Calendar'!$G$513&lt;=GRID_TO)*('Dvd Calendar'!$G$513&gt;VAL_DATE)=0,"",'Dvd Calendar'!$G$513*1000000000+ISNUMBER('Dvd Calendar'!$G$514)*100000000+0*10000000+(N('Dvd Calendar'!$G$512)&gt;0)*(N('Dvd Calendar'!$G$512)&lt;=VAL_SERIAL)*1000000+46*1000+43))</f>
        <v/>
      </c>
      <c r="FV57" s="35">
        <f>IF(N('Dvd Calendar'!$H$513)=0,"",IF(('Dvd Calendar'!$H$513&gt;=GRID_FROM)*('Dvd Calendar'!$H$513&lt;=GRID_TO)*('Dvd Calendar'!$H$513&gt;VAL_DATE)=0,"",'Dvd Calendar'!$H$513*1000000000+ISNUMBER('Dvd Calendar'!$H$514)*100000000+0*10000000+(N('Dvd Calendar'!$H$512)&gt;0)*(N('Dvd Calendar'!$H$512)&lt;=VAL_SERIAL)*1000000+46*1000+44))</f>
        <v/>
      </c>
      <c r="FW57" s="35">
        <f>IF(N('Dvd Calendar'!$I$513)=0,"",IF(('Dvd Calendar'!$I$513&gt;=GRID_FROM)*('Dvd Calendar'!$I$513&lt;=GRID_TO)*('Dvd Calendar'!$I$513&gt;VAL_DATE)=0,"",'Dvd Calendar'!$I$513*1000000000+ISNUMBER('Dvd Calendar'!$I$514)*100000000+0*10000000+(N('Dvd Calendar'!$I$512)&gt;0)*(N('Dvd Calendar'!$I$512)&lt;=VAL_SERIAL)*1000000+46*1000+45))</f>
        <v/>
      </c>
      <c r="FX57" s="35">
        <f>IF(N('Dvd Calendar'!$J$513)=0,"",IF(('Dvd Calendar'!$J$513&gt;=GRID_FROM)*('Dvd Calendar'!$J$513&lt;=GRID_TO)*('Dvd Calendar'!$J$513&gt;VAL_DATE)=0,"",'Dvd Calendar'!$J$513*1000000000+ISNUMBER('Dvd Calendar'!$J$514)*100000000+0*10000000+(N('Dvd Calendar'!$J$512)&gt;0)*(N('Dvd Calendar'!$J$512)&lt;=VAL_SERIAL)*1000000+46*1000+46))</f>
        <v/>
      </c>
      <c r="FY57" s="35">
        <f>IF(N('Dvd Calendar'!$K$513)=0,"",IF(('Dvd Calendar'!$K$513&gt;=GRID_FROM)*('Dvd Calendar'!$K$513&lt;=GRID_TO)*('Dvd Calendar'!$K$513&gt;VAL_DATE)=0,"",'Dvd Calendar'!$K$513*1000000000+ISNUMBER('Dvd Calendar'!$K$514)*100000000+0*10000000+(N('Dvd Calendar'!$K$512)&gt;0)*(N('Dvd Calendar'!$K$512)&lt;=VAL_SERIAL)*1000000+46*1000+47))</f>
        <v/>
      </c>
      <c r="FZ57" s="35">
        <f>IF(N('Dvd Calendar'!$L$513)=0,"",IF(('Dvd Calendar'!$L$513&gt;=GRID_FROM)*('Dvd Calendar'!$L$513&lt;=GRID_TO)*('Dvd Calendar'!$L$513&gt;VAL_DATE)=0,"",'Dvd Calendar'!$L$513*1000000000+ISNUMBER('Dvd Calendar'!$L$514)*100000000+0*10000000+(N('Dvd Calendar'!$L$512)&gt;0)*(N('Dvd Calendar'!$L$512)&lt;=VAL_SERIAL)*1000000+46*1000+48))</f>
        <v/>
      </c>
      <c r="GA57" s="35">
        <f>IF(N('Dvd Calendar'!$M$513)=0,"",IF(('Dvd Calendar'!$M$513&gt;=GRID_FROM)*('Dvd Calendar'!$M$513&lt;=GRID_TO)*('Dvd Calendar'!$M$513&gt;VAL_DATE)=0,"",'Dvd Calendar'!$M$513*1000000000+ISNUMBER('Dvd Calendar'!$M$514)*100000000+0*10000000+(N('Dvd Calendar'!$M$512)&gt;0)*(N('Dvd Calendar'!$M$512)&lt;=VAL_SERIAL)*1000000+46*1000+49))</f>
        <v/>
      </c>
      <c r="GB57" s="35">
        <f>IF(N('Dvd Calendar'!$N$513)=0,"",IF(('Dvd Calendar'!$N$513&gt;=GRID_FROM)*('Dvd Calendar'!$N$513&lt;=GRID_TO)*('Dvd Calendar'!$N$513&gt;VAL_DATE)=0,"",'Dvd Calendar'!$N$513*1000000000+ISNUMBER('Dvd Calendar'!$N$514)*100000000+0*10000000+(N('Dvd Calendar'!$N$512)&gt;0)*(N('Dvd Calendar'!$N$512)&lt;=VAL_SERIAL)*1000000+46*1000+50))</f>
        <v/>
      </c>
      <c r="GC57" s="35">
        <f>IF(N('Dvd Calendar'!$O$513)=0,"",IF(('Dvd Calendar'!$O$513&gt;=GRID_FROM)*('Dvd Calendar'!$O$513&lt;=GRID_TO)*('Dvd Calendar'!$O$513&gt;VAL_DATE)=0,"",'Dvd Calendar'!$O$513*1000000000+ISNUMBER('Dvd Calendar'!$O$514)*100000000+0*10000000+(N('Dvd Calendar'!$O$512)&gt;0)*(N('Dvd Calendar'!$O$512)&lt;=VAL_SERIAL)*1000000+46*1000+51))</f>
        <v/>
      </c>
      <c r="GD57" s="35">
        <f>IF(N('Dvd Calendar'!$P$513)=0,"",IF(('Dvd Calendar'!$P$513&gt;=GRID_FROM)*('Dvd Calendar'!$P$513&lt;=GRID_TO)*('Dvd Calendar'!$P$513&gt;VAL_DATE)=0,"",'Dvd Calendar'!$P$513*1000000000+ISNUMBER('Dvd Calendar'!$P$514)*100000000+0*10000000+(N('Dvd Calendar'!$P$512)&gt;0)*(N('Dvd Calendar'!$P$512)&lt;=VAL_SERIAL)*1000000+46*1000+52))</f>
        <v/>
      </c>
      <c r="GE57" s="35">
        <f>IF(N('Dvd Calendar'!$Q$513)=0,"",IF(('Dvd Calendar'!$Q$513&gt;=GRID_FROM)*('Dvd Calendar'!$Q$513&lt;=GRID_TO)*('Dvd Calendar'!$Q$513&gt;VAL_DATE)=0,"",'Dvd Calendar'!$Q$513*1000000000+ISNUMBER('Dvd Calendar'!$Q$514)*100000000+0*10000000+(N('Dvd Calendar'!$Q$512)&gt;0)*(N('Dvd Calendar'!$Q$512)&lt;=VAL_SERIAL)*1000000+46*1000+53))</f>
        <v/>
      </c>
      <c r="GF57" s="35">
        <f>IF(N('Dvd Calendar'!$R$513)=0,"",IF(('Dvd Calendar'!$R$513&gt;=GRID_FROM)*('Dvd Calendar'!$R$513&lt;=GRID_TO)*('Dvd Calendar'!$R$513&gt;VAL_DATE)=0,"",'Dvd Calendar'!$R$513*1000000000+ISNUMBER('Dvd Calendar'!$R$514)*100000000+0*10000000+(N('Dvd Calendar'!$R$512)&gt;0)*(N('Dvd Calendar'!$R$512)&lt;=VAL_SERIAL)*1000000+46*1000+54))</f>
        <v/>
      </c>
      <c r="GG57" s="35">
        <f>IF(N('Dvd Calendar'!$S$513)=0,"",IF(('Dvd Calendar'!$S$513&gt;=GRID_FROM)*('Dvd Calendar'!$S$513&lt;=GRID_TO)*('Dvd Calendar'!$S$513&gt;VAL_DATE)=0,"",'Dvd Calendar'!$S$513*1000000000+ISNUMBER('Dvd Calendar'!$S$514)*100000000+0*10000000+(N('Dvd Calendar'!$S$512)&gt;0)*(N('Dvd Calendar'!$S$512)&lt;=VAL_SERIAL)*1000000+46*1000+55))</f>
        <v/>
      </c>
      <c r="GH57" s="35">
        <f>IF(N('Dvd Calendar'!$T$513)=0,"",IF(('Dvd Calendar'!$T$513&gt;=GRID_FROM)*('Dvd Calendar'!$T$513&lt;=GRID_TO)*('Dvd Calendar'!$T$513&gt;VAL_DATE)=0,"",'Dvd Calendar'!$T$513*1000000000+ISNUMBER('Dvd Calendar'!$T$514)*100000000+0*10000000+(N('Dvd Calendar'!$T$512)&gt;0)*(N('Dvd Calendar'!$T$512)&lt;=VAL_SERIAL)*1000000+46*1000+56))</f>
        <v/>
      </c>
      <c r="GI57" s="35">
        <f>IF(N('Dvd Calendar'!$U$513)=0,"",IF(('Dvd Calendar'!$U$513&gt;=GRID_FROM)*('Dvd Calendar'!$U$513&lt;=GRID_TO)*('Dvd Calendar'!$U$513&gt;VAL_DATE)=0,"",'Dvd Calendar'!$U$513*1000000000+ISNUMBER('Dvd Calendar'!$U$514)*100000000+0*10000000+(N('Dvd Calendar'!$U$512)&gt;0)*(N('Dvd Calendar'!$U$512)&lt;=VAL_SERIAL)*1000000+46*1000+57))</f>
        <v/>
      </c>
      <c r="GJ57" s="35">
        <f>IF(N('Dvd Calendar'!$V$513)=0,"",IF(('Dvd Calendar'!$V$513&gt;=GRID_FROM)*('Dvd Calendar'!$V$513&lt;=GRID_TO)*('Dvd Calendar'!$V$513&gt;VAL_DATE)=0,"",'Dvd Calendar'!$V$513*1000000000+ISNUMBER('Dvd Calendar'!$V$514)*100000000+0*10000000+(N('Dvd Calendar'!$V$512)&gt;0)*(N('Dvd Calendar'!$V$512)&lt;=VAL_SERIAL)*1000000+46*1000+58))</f>
        <v/>
      </c>
      <c r="GK57" s="35">
        <f>IF(N('Dvd Calendar'!$W$513)=0,"",IF(('Dvd Calendar'!$W$513&gt;=GRID_FROM)*('Dvd Calendar'!$W$513&lt;=GRID_TO)*('Dvd Calendar'!$W$513&gt;VAL_DATE)=0,"",'Dvd Calendar'!$W$513*1000000000+ISNUMBER('Dvd Calendar'!$W$514)*100000000+0*10000000+(N('Dvd Calendar'!$W$512)&gt;0)*(N('Dvd Calendar'!$W$512)&lt;=VAL_SERIAL)*1000000+46*1000+59))</f>
        <v/>
      </c>
      <c r="GL57" s="35">
        <f>IF(N('Dvd Calendar'!$X$513)=0,"",IF(('Dvd Calendar'!$X$513&gt;=GRID_FROM)*('Dvd Calendar'!$X$513&lt;=GRID_TO)*('Dvd Calendar'!$X$513&gt;VAL_DATE)=0,"",'Dvd Calendar'!$X$513*1000000000+ISNUMBER('Dvd Calendar'!$X$514)*100000000+0*10000000+(N('Dvd Calendar'!$X$512)&gt;0)*(N('Dvd Calendar'!$X$512)&lt;=VAL_SERIAL)*1000000+46*1000+60))</f>
        <v/>
      </c>
      <c r="GM57" s="35">
        <f>IF(N('Dvd Calendar'!$Y$513)=0,"",IF(('Dvd Calendar'!$Y$513&gt;=GRID_FROM)*('Dvd Calendar'!$Y$513&lt;=GRID_TO)*('Dvd Calendar'!$Y$513&gt;VAL_DATE)=0,"",'Dvd Calendar'!$Y$513*1000000000+ISNUMBER('Dvd Calendar'!$Y$514)*100000000+0*10000000+(N('Dvd Calendar'!$Y$512)&gt;0)*(N('Dvd Calendar'!$Y$512)&lt;=VAL_SERIAL)*1000000+46*1000+61))</f>
        <v/>
      </c>
      <c r="GN57" s="35">
        <f>IF(N('Dvd Calendar'!$Z$513)=0,"",IF(('Dvd Calendar'!$Z$513&gt;=GRID_FROM)*('Dvd Calendar'!$Z$513&lt;=GRID_TO)*('Dvd Calendar'!$Z$513&gt;VAL_DATE)=0,"",'Dvd Calendar'!$Z$513*1000000000+ISNUMBER('Dvd Calendar'!$Z$514)*100000000+0*10000000+(N('Dvd Calendar'!$Z$512)&gt;0)*(N('Dvd Calendar'!$Z$512)&lt;=VAL_SERIAL)*1000000+46*1000+62))</f>
        <v/>
      </c>
      <c r="GO57" s="35">
        <f>IF(N('Dvd Calendar'!$AA$513)=0,"",IF(('Dvd Calendar'!$AA$513&gt;=GRID_FROM)*('Dvd Calendar'!$AA$513&lt;=GRID_TO)*('Dvd Calendar'!$AA$513&gt;VAL_DATE)=0,"",'Dvd Calendar'!$AA$513*1000000000+ISNUMBER('Dvd Calendar'!$AA$514)*100000000+0*10000000+(N('Dvd Calendar'!$AA$512)&gt;0)*(N('Dvd Calendar'!$AA$512)&lt;=VAL_SERIAL)*1000000+46*1000+63))</f>
        <v/>
      </c>
      <c r="GP57" s="35">
        <f>IF(N('Dvd Calendar'!$AB$513)=0,"",IF(('Dvd Calendar'!$AB$513&gt;=GRID_FROM)*('Dvd Calendar'!$AB$513&lt;=GRID_TO)*('Dvd Calendar'!$AB$513&gt;VAL_DATE)=0,"",'Dvd Calendar'!$AB$513*1000000000+ISNUMBER('Dvd Calendar'!$AB$514)*100000000+0*10000000+(N('Dvd Calendar'!$AB$512)&gt;0)*(N('Dvd Calendar'!$AB$512)&lt;=VAL_SERIAL)*1000000+46*1000+64))</f>
        <v/>
      </c>
      <c r="GQ57" s="35">
        <f>IF(N('Dvd Calendar'!$AC$513)=0,"",IF(('Dvd Calendar'!$AC$513&gt;=GRID_FROM)*('Dvd Calendar'!$AC$513&lt;=GRID_TO)*('Dvd Calendar'!$AC$513&gt;VAL_DATE)=0,"",'Dvd Calendar'!$AC$513*1000000000+ISNUMBER('Dvd Calendar'!$AC$514)*100000000+0*10000000+(N('Dvd Calendar'!$AC$512)&gt;0)*(N('Dvd Calendar'!$AC$512)&lt;=VAL_SERIAL)*1000000+46*1000+65))</f>
        <v/>
      </c>
    </row>
    <row r="58">
      <c r="B58" s="2">
        <f>IF(HSI!$C$53="","",HSI!$C$53)</f>
        <v/>
      </c>
      <c r="C58" s="106">
        <f>IF(EE58="","",IF(ISNUMBER('Dvd Calendar'!$E$520)=FALSE,"",IF((('Dvd Calendar'!$E$522=TYPE1)*(TYPE1&lt;&gt;"")+('Dvd Calendar'!$E$522=TYPE2)*(TYPE2&lt;&gt;"")+('Dvd Calendar'!$E$522=TYPE3)*(TYPE3&lt;&gt;"")+('Dvd Calendar'!$E$522=TYPE4)*(TYPE4&lt;&gt;"")+('Dvd Calendar'!$E$522=SPECIAL_LBL)*(INC_SPECIALS="Y"))=0,"",'Dvd Calendar'!$E$520)))</f>
        <v/>
      </c>
      <c r="D58" s="106">
        <f>IF(EF58="","",IF(ISNUMBER('Dvd Calendar'!$F$520)=FALSE,"",IF((('Dvd Calendar'!$F$522=TYPE1)*(TYPE1&lt;&gt;"")+('Dvd Calendar'!$F$522=TYPE2)*(TYPE2&lt;&gt;"")+('Dvd Calendar'!$F$522=TYPE3)*(TYPE3&lt;&gt;"")+('Dvd Calendar'!$F$522=TYPE4)*(TYPE4&lt;&gt;"")+('Dvd Calendar'!$F$522=SPECIAL_LBL)*(INC_SPECIALS="Y"))=0,"",'Dvd Calendar'!$F$520)))</f>
        <v/>
      </c>
      <c r="E58" s="106">
        <f>IF(EG58="","",IF(ISNUMBER('Dvd Calendar'!$G$520)=FALSE,"",IF((('Dvd Calendar'!$G$522=TYPE1)*(TYPE1&lt;&gt;"")+('Dvd Calendar'!$G$522=TYPE2)*(TYPE2&lt;&gt;"")+('Dvd Calendar'!$G$522=TYPE3)*(TYPE3&lt;&gt;"")+('Dvd Calendar'!$G$522=TYPE4)*(TYPE4&lt;&gt;"")+('Dvd Calendar'!$G$522=SPECIAL_LBL)*(INC_SPECIALS="Y"))=0,"",'Dvd Calendar'!$G$520)))</f>
        <v/>
      </c>
      <c r="F58" s="106">
        <f>IF(EH58="","",IF(ISNUMBER('Dvd Calendar'!$H$520)=FALSE,"",IF((('Dvd Calendar'!$H$522=TYPE1)*(TYPE1&lt;&gt;"")+('Dvd Calendar'!$H$522=TYPE2)*(TYPE2&lt;&gt;"")+('Dvd Calendar'!$H$522=TYPE3)*(TYPE3&lt;&gt;"")+('Dvd Calendar'!$H$522=TYPE4)*(TYPE4&lt;&gt;"")+('Dvd Calendar'!$H$522=SPECIAL_LBL)*(INC_SPECIALS="Y"))=0,"",'Dvd Calendar'!$H$520)))</f>
        <v/>
      </c>
      <c r="G58" s="106">
        <f>IF(EI58="","",IF(ISNUMBER('Dvd Calendar'!$I$520)=FALSE,"",IF((('Dvd Calendar'!$I$522=TYPE1)*(TYPE1&lt;&gt;"")+('Dvd Calendar'!$I$522=TYPE2)*(TYPE2&lt;&gt;"")+('Dvd Calendar'!$I$522=TYPE3)*(TYPE3&lt;&gt;"")+('Dvd Calendar'!$I$522=TYPE4)*(TYPE4&lt;&gt;"")+('Dvd Calendar'!$I$522=SPECIAL_LBL)*(INC_SPECIALS="Y"))=0,"",'Dvd Calendar'!$I$520)))</f>
        <v/>
      </c>
      <c r="H58" s="106">
        <f>IF(EJ58="","",IF(ISNUMBER('Dvd Calendar'!$J$520)=FALSE,"",IF((('Dvd Calendar'!$J$522=TYPE1)*(TYPE1&lt;&gt;"")+('Dvd Calendar'!$J$522=TYPE2)*(TYPE2&lt;&gt;"")+('Dvd Calendar'!$J$522=TYPE3)*(TYPE3&lt;&gt;"")+('Dvd Calendar'!$J$522=TYPE4)*(TYPE4&lt;&gt;"")+('Dvd Calendar'!$J$522=SPECIAL_LBL)*(INC_SPECIALS="Y"))=0,"",'Dvd Calendar'!$J$520)))</f>
        <v/>
      </c>
      <c r="I58" s="106">
        <f>IF(EK58="","",IF(ISNUMBER('Dvd Calendar'!$K$520)=FALSE,"",IF((('Dvd Calendar'!$K$522=TYPE1)*(TYPE1&lt;&gt;"")+('Dvd Calendar'!$K$522=TYPE2)*(TYPE2&lt;&gt;"")+('Dvd Calendar'!$K$522=TYPE3)*(TYPE3&lt;&gt;"")+('Dvd Calendar'!$K$522=TYPE4)*(TYPE4&lt;&gt;"")+('Dvd Calendar'!$K$522=SPECIAL_LBL)*(INC_SPECIALS="Y"))=0,"",'Dvd Calendar'!$K$520)))</f>
        <v/>
      </c>
      <c r="J58" s="106">
        <f>IF(EL58="","",IF(ISNUMBER('Dvd Calendar'!$L$520)=FALSE,"",IF((('Dvd Calendar'!$L$522=TYPE1)*(TYPE1&lt;&gt;"")+('Dvd Calendar'!$L$522=TYPE2)*(TYPE2&lt;&gt;"")+('Dvd Calendar'!$L$522=TYPE3)*(TYPE3&lt;&gt;"")+('Dvd Calendar'!$L$522=TYPE4)*(TYPE4&lt;&gt;"")+('Dvd Calendar'!$L$522=SPECIAL_LBL)*(INC_SPECIALS="Y"))=0,"",'Dvd Calendar'!$L$520)))</f>
        <v/>
      </c>
      <c r="K58" s="106">
        <f>IF(EM58="","",IF(ISNUMBER('Dvd Calendar'!$M$520)=FALSE,"",IF((('Dvd Calendar'!$M$522=TYPE1)*(TYPE1&lt;&gt;"")+('Dvd Calendar'!$M$522=TYPE2)*(TYPE2&lt;&gt;"")+('Dvd Calendar'!$M$522=TYPE3)*(TYPE3&lt;&gt;"")+('Dvd Calendar'!$M$522=TYPE4)*(TYPE4&lt;&gt;"")+('Dvd Calendar'!$M$522=SPECIAL_LBL)*(INC_SPECIALS="Y"))=0,"",'Dvd Calendar'!$M$520)))</f>
        <v/>
      </c>
      <c r="L58" s="106">
        <f>IF(EN58="","",IF(ISNUMBER('Dvd Calendar'!$N$520)=FALSE,"",IF((('Dvd Calendar'!$N$522=TYPE1)*(TYPE1&lt;&gt;"")+('Dvd Calendar'!$N$522=TYPE2)*(TYPE2&lt;&gt;"")+('Dvd Calendar'!$N$522=TYPE3)*(TYPE3&lt;&gt;"")+('Dvd Calendar'!$N$522=TYPE4)*(TYPE4&lt;&gt;"")+('Dvd Calendar'!$N$522=SPECIAL_LBL)*(INC_SPECIALS="Y"))=0,"",'Dvd Calendar'!$N$520)))</f>
        <v/>
      </c>
      <c r="M58" s="106">
        <f>IF(EO58="","",IF(ISNUMBER('Dvd Calendar'!$O$520)=FALSE,"",IF((('Dvd Calendar'!$O$522=TYPE1)*(TYPE1&lt;&gt;"")+('Dvd Calendar'!$O$522=TYPE2)*(TYPE2&lt;&gt;"")+('Dvd Calendar'!$O$522=TYPE3)*(TYPE3&lt;&gt;"")+('Dvd Calendar'!$O$522=TYPE4)*(TYPE4&lt;&gt;"")+('Dvd Calendar'!$O$522=SPECIAL_LBL)*(INC_SPECIALS="Y"))=0,"",'Dvd Calendar'!$O$520)))</f>
        <v/>
      </c>
      <c r="N58" s="106">
        <f>IF(EP58="","",IF(ISNUMBER('Dvd Calendar'!$P$520)=FALSE,"",IF((('Dvd Calendar'!$P$522=TYPE1)*(TYPE1&lt;&gt;"")+('Dvd Calendar'!$P$522=TYPE2)*(TYPE2&lt;&gt;"")+('Dvd Calendar'!$P$522=TYPE3)*(TYPE3&lt;&gt;"")+('Dvd Calendar'!$P$522=TYPE4)*(TYPE4&lt;&gt;"")+('Dvd Calendar'!$P$522=SPECIAL_LBL)*(INC_SPECIALS="Y"))=0,"",'Dvd Calendar'!$P$520)))</f>
        <v/>
      </c>
      <c r="O58" s="106">
        <f>IF(EQ58="","",IF(ISNUMBER('Dvd Calendar'!$Q$520)=FALSE,"",IF((('Dvd Calendar'!$Q$522=TYPE1)*(TYPE1&lt;&gt;"")+('Dvd Calendar'!$Q$522=TYPE2)*(TYPE2&lt;&gt;"")+('Dvd Calendar'!$Q$522=TYPE3)*(TYPE3&lt;&gt;"")+('Dvd Calendar'!$Q$522=TYPE4)*(TYPE4&lt;&gt;"")+('Dvd Calendar'!$Q$522=SPECIAL_LBL)*(INC_SPECIALS="Y"))=0,"",'Dvd Calendar'!$Q$520)))</f>
        <v/>
      </c>
      <c r="P58" s="106">
        <f>IF(ER58="","",IF(ISNUMBER('Dvd Calendar'!$R$520)=FALSE,"",IF((('Dvd Calendar'!$R$522=TYPE1)*(TYPE1&lt;&gt;"")+('Dvd Calendar'!$R$522=TYPE2)*(TYPE2&lt;&gt;"")+('Dvd Calendar'!$R$522=TYPE3)*(TYPE3&lt;&gt;"")+('Dvd Calendar'!$R$522=TYPE4)*(TYPE4&lt;&gt;"")+('Dvd Calendar'!$R$522=SPECIAL_LBL)*(INC_SPECIALS="Y"))=0,"",'Dvd Calendar'!$R$520)))</f>
        <v/>
      </c>
      <c r="Q58" s="106">
        <f>IF(ES58="","",IF(ISNUMBER('Dvd Calendar'!$S$520)=FALSE,"",IF((('Dvd Calendar'!$S$522=TYPE1)*(TYPE1&lt;&gt;"")+('Dvd Calendar'!$S$522=TYPE2)*(TYPE2&lt;&gt;"")+('Dvd Calendar'!$S$522=TYPE3)*(TYPE3&lt;&gt;"")+('Dvd Calendar'!$S$522=TYPE4)*(TYPE4&lt;&gt;"")+('Dvd Calendar'!$S$522=SPECIAL_LBL)*(INC_SPECIALS="Y"))=0,"",'Dvd Calendar'!$S$520)))</f>
        <v/>
      </c>
      <c r="R58" s="106">
        <f>IF(ET58="","",IF(ISNUMBER('Dvd Calendar'!$T$520)=FALSE,"",IF((('Dvd Calendar'!$T$522=TYPE1)*(TYPE1&lt;&gt;"")+('Dvd Calendar'!$T$522=TYPE2)*(TYPE2&lt;&gt;"")+('Dvd Calendar'!$T$522=TYPE3)*(TYPE3&lt;&gt;"")+('Dvd Calendar'!$T$522=TYPE4)*(TYPE4&lt;&gt;"")+('Dvd Calendar'!$T$522=SPECIAL_LBL)*(INC_SPECIALS="Y"))=0,"",'Dvd Calendar'!$T$520)))</f>
        <v/>
      </c>
      <c r="S58" s="106">
        <f>IF(EU58="","",IF(ISNUMBER('Dvd Calendar'!$U$520)=FALSE,"",IF((('Dvd Calendar'!$U$522=TYPE1)*(TYPE1&lt;&gt;"")+('Dvd Calendar'!$U$522=TYPE2)*(TYPE2&lt;&gt;"")+('Dvd Calendar'!$U$522=TYPE3)*(TYPE3&lt;&gt;"")+('Dvd Calendar'!$U$522=TYPE4)*(TYPE4&lt;&gt;"")+('Dvd Calendar'!$U$522=SPECIAL_LBL)*(INC_SPECIALS="Y"))=0,"",'Dvd Calendar'!$U$520)))</f>
        <v/>
      </c>
      <c r="T58" s="106">
        <f>IF(EV58="","",IF(ISNUMBER('Dvd Calendar'!$V$520)=FALSE,"",IF((('Dvd Calendar'!$V$522=TYPE1)*(TYPE1&lt;&gt;"")+('Dvd Calendar'!$V$522=TYPE2)*(TYPE2&lt;&gt;"")+('Dvd Calendar'!$V$522=TYPE3)*(TYPE3&lt;&gt;"")+('Dvd Calendar'!$V$522=TYPE4)*(TYPE4&lt;&gt;"")+('Dvd Calendar'!$V$522=SPECIAL_LBL)*(INC_SPECIALS="Y"))=0,"",'Dvd Calendar'!$V$520)))</f>
        <v/>
      </c>
      <c r="U58" s="106">
        <f>IF(EW58="","",IF(ISNUMBER('Dvd Calendar'!$W$520)=FALSE,"",IF((('Dvd Calendar'!$W$522=TYPE1)*(TYPE1&lt;&gt;"")+('Dvd Calendar'!$W$522=TYPE2)*(TYPE2&lt;&gt;"")+('Dvd Calendar'!$W$522=TYPE3)*(TYPE3&lt;&gt;"")+('Dvd Calendar'!$W$522=TYPE4)*(TYPE4&lt;&gt;"")+('Dvd Calendar'!$W$522=SPECIAL_LBL)*(INC_SPECIALS="Y"))=0,"",'Dvd Calendar'!$W$520)))</f>
        <v/>
      </c>
      <c r="V58" s="106">
        <f>IF(EX58="","",IF(ISNUMBER('Dvd Calendar'!$X$520)=FALSE,"",IF((('Dvd Calendar'!$X$522=TYPE1)*(TYPE1&lt;&gt;"")+('Dvd Calendar'!$X$522=TYPE2)*(TYPE2&lt;&gt;"")+('Dvd Calendar'!$X$522=TYPE3)*(TYPE3&lt;&gt;"")+('Dvd Calendar'!$X$522=TYPE4)*(TYPE4&lt;&gt;"")+('Dvd Calendar'!$X$522=SPECIAL_LBL)*(INC_SPECIALS="Y"))=0,"",'Dvd Calendar'!$X$520)))</f>
        <v/>
      </c>
      <c r="W58" s="106">
        <f>IF(EY58="","",IF(ISNUMBER('Dvd Calendar'!$Y$520)=FALSE,"",IF((('Dvd Calendar'!$Y$522=TYPE1)*(TYPE1&lt;&gt;"")+('Dvd Calendar'!$Y$522=TYPE2)*(TYPE2&lt;&gt;"")+('Dvd Calendar'!$Y$522=TYPE3)*(TYPE3&lt;&gt;"")+('Dvd Calendar'!$Y$522=TYPE4)*(TYPE4&lt;&gt;"")+('Dvd Calendar'!$Y$522=SPECIAL_LBL)*(INC_SPECIALS="Y"))=0,"",'Dvd Calendar'!$Y$520)))</f>
        <v/>
      </c>
      <c r="X58" s="106">
        <f>IF(EZ58="","",IF(ISNUMBER('Dvd Calendar'!$Z$520)=FALSE,"",IF((('Dvd Calendar'!$Z$522=TYPE1)*(TYPE1&lt;&gt;"")+('Dvd Calendar'!$Z$522=TYPE2)*(TYPE2&lt;&gt;"")+('Dvd Calendar'!$Z$522=TYPE3)*(TYPE3&lt;&gt;"")+('Dvd Calendar'!$Z$522=TYPE4)*(TYPE4&lt;&gt;"")+('Dvd Calendar'!$Z$522=SPECIAL_LBL)*(INC_SPECIALS="Y"))=0,"",'Dvd Calendar'!$Z$520)))</f>
        <v/>
      </c>
      <c r="Y58" s="106">
        <f>IF(FA58="","",IF(ISNUMBER('Dvd Calendar'!$AA$520)=FALSE,"",IF((('Dvd Calendar'!$AA$522=TYPE1)*(TYPE1&lt;&gt;"")+('Dvd Calendar'!$AA$522=TYPE2)*(TYPE2&lt;&gt;"")+('Dvd Calendar'!$AA$522=TYPE3)*(TYPE3&lt;&gt;"")+('Dvd Calendar'!$AA$522=TYPE4)*(TYPE4&lt;&gt;"")+('Dvd Calendar'!$AA$522=SPECIAL_LBL)*(INC_SPECIALS="Y"))=0,"",'Dvd Calendar'!$AA$520)))</f>
        <v/>
      </c>
      <c r="Z58" s="106">
        <f>IF(FB58="","",IF(ISNUMBER('Dvd Calendar'!$AB$520)=FALSE,"",IF((('Dvd Calendar'!$AB$522=TYPE1)*(TYPE1&lt;&gt;"")+('Dvd Calendar'!$AB$522=TYPE2)*(TYPE2&lt;&gt;"")+('Dvd Calendar'!$AB$522=TYPE3)*(TYPE3&lt;&gt;"")+('Dvd Calendar'!$AB$522=TYPE4)*(TYPE4&lt;&gt;"")+('Dvd Calendar'!$AB$522=SPECIAL_LBL)*(INC_SPECIALS="Y"))=0,"",'Dvd Calendar'!$AB$520)))</f>
        <v/>
      </c>
      <c r="AA58" s="106">
        <f>IF(FC58="","",IF(ISNUMBER('Dvd Calendar'!$AC$520)=FALSE,"",IF((('Dvd Calendar'!$AC$522=TYPE1)*(TYPE1&lt;&gt;"")+('Dvd Calendar'!$AC$522=TYPE2)*(TYPE2&lt;&gt;"")+('Dvd Calendar'!$AC$522=TYPE3)*(TYPE3&lt;&gt;"")+('Dvd Calendar'!$AC$522=TYPE4)*(TYPE4&lt;&gt;"")+('Dvd Calendar'!$AC$522=SPECIAL_LBL)*(INC_SPECIALS="Y"))=0,"",'Dvd Calendar'!$AC$520)))</f>
        <v/>
      </c>
      <c r="AB58" s="106">
        <f>IF(FD58="","",IF(ISNUMBER('Dvd Calendar'!$AD$520)=FALSE,"",IF((('Dvd Calendar'!$AD$522=TYPE1)*(TYPE1&lt;&gt;"")+('Dvd Calendar'!$AD$522=TYPE2)*(TYPE2&lt;&gt;"")+('Dvd Calendar'!$AD$522=TYPE3)*(TYPE3&lt;&gt;"")+('Dvd Calendar'!$AD$522=TYPE4)*(TYPE4&lt;&gt;"")+('Dvd Calendar'!$AD$522=SPECIAL_LBL)*(INC_SPECIALS="Y"))=0,"",'Dvd Calendar'!$AD$520)))</f>
        <v/>
      </c>
      <c r="AC58" s="106">
        <f>IF(FE58="","",IF(ISNUMBER('Dvd Calendar'!$AE$520)=FALSE,"",IF((('Dvd Calendar'!$AE$522=TYPE1)*(TYPE1&lt;&gt;"")+('Dvd Calendar'!$AE$522=TYPE2)*(TYPE2&lt;&gt;"")+('Dvd Calendar'!$AE$522=TYPE3)*(TYPE3&lt;&gt;"")+('Dvd Calendar'!$AE$522=TYPE4)*(TYPE4&lt;&gt;"")+('Dvd Calendar'!$AE$522=SPECIAL_LBL)*(INC_SPECIALS="Y"))=0,"",'Dvd Calendar'!$AE$520)))</f>
        <v/>
      </c>
      <c r="AD58" s="106">
        <f>IF(FF58="","",IF(ISNUMBER('Dvd Calendar'!$AF$520)=FALSE,"",IF((('Dvd Calendar'!$AF$522=TYPE1)*(TYPE1&lt;&gt;"")+('Dvd Calendar'!$AF$522=TYPE2)*(TYPE2&lt;&gt;"")+('Dvd Calendar'!$AF$522=TYPE3)*(TYPE3&lt;&gt;"")+('Dvd Calendar'!$AF$522=TYPE4)*(TYPE4&lt;&gt;"")+('Dvd Calendar'!$AF$522=SPECIAL_LBL)*(INC_SPECIALS="Y"))=0,"",'Dvd Calendar'!$AF$520)))</f>
        <v/>
      </c>
      <c r="AE58" s="106">
        <f>IF(FG58="","",IF(ISNUMBER('Dvd Calendar'!$AG$520)=FALSE,"",IF((('Dvd Calendar'!$AG$522=TYPE1)*(TYPE1&lt;&gt;"")+('Dvd Calendar'!$AG$522=TYPE2)*(TYPE2&lt;&gt;"")+('Dvd Calendar'!$AG$522=TYPE3)*(TYPE3&lt;&gt;"")+('Dvd Calendar'!$AG$522=TYPE4)*(TYPE4&lt;&gt;"")+('Dvd Calendar'!$AG$522=SPECIAL_LBL)*(INC_SPECIALS="Y"))=0,"",'Dvd Calendar'!$AG$520)))</f>
        <v/>
      </c>
      <c r="AF58" s="106">
        <f>IF(FH58="","",IF(ISNUMBER('Dvd Calendar'!$AH$520)=FALSE,"",IF((('Dvd Calendar'!$AH$522=TYPE1)*(TYPE1&lt;&gt;"")+('Dvd Calendar'!$AH$522=TYPE2)*(TYPE2&lt;&gt;"")+('Dvd Calendar'!$AH$522=TYPE3)*(TYPE3&lt;&gt;"")+('Dvd Calendar'!$AH$522=TYPE4)*(TYPE4&lt;&gt;"")+('Dvd Calendar'!$AH$522=SPECIAL_LBL)*(INC_SPECIALS="Y"))=0,"",'Dvd Calendar'!$AH$520)))</f>
        <v/>
      </c>
      <c r="AG58" s="106">
        <f>IF(FI58="","",IF(ISNUMBER('Dvd Calendar'!$AI$520)=FALSE,"",IF((('Dvd Calendar'!$AI$522=TYPE1)*(TYPE1&lt;&gt;"")+('Dvd Calendar'!$AI$522=TYPE2)*(TYPE2&lt;&gt;"")+('Dvd Calendar'!$AI$522=TYPE3)*(TYPE3&lt;&gt;"")+('Dvd Calendar'!$AI$522=TYPE4)*(TYPE4&lt;&gt;"")+('Dvd Calendar'!$AI$522=SPECIAL_LBL)*(INC_SPECIALS="Y"))=0,"",'Dvd Calendar'!$AI$520)))</f>
        <v/>
      </c>
      <c r="AH58" s="106">
        <f>IF(FJ58="","",IF(ISNUMBER('Dvd Calendar'!$AJ$520)=FALSE,"",IF((('Dvd Calendar'!$AJ$522=TYPE1)*(TYPE1&lt;&gt;"")+('Dvd Calendar'!$AJ$522=TYPE2)*(TYPE2&lt;&gt;"")+('Dvd Calendar'!$AJ$522=TYPE3)*(TYPE3&lt;&gt;"")+('Dvd Calendar'!$AJ$522=TYPE4)*(TYPE4&lt;&gt;"")+('Dvd Calendar'!$AJ$522=SPECIAL_LBL)*(INC_SPECIALS="Y"))=0,"",'Dvd Calendar'!$AJ$520)))</f>
        <v/>
      </c>
      <c r="AI58" s="106">
        <f>IF(FK58="","",IF(ISNUMBER('Dvd Calendar'!$AK$520)=FALSE,"",IF((('Dvd Calendar'!$AK$522=TYPE1)*(TYPE1&lt;&gt;"")+('Dvd Calendar'!$AK$522=TYPE2)*(TYPE2&lt;&gt;"")+('Dvd Calendar'!$AK$522=TYPE3)*(TYPE3&lt;&gt;"")+('Dvd Calendar'!$AK$522=TYPE4)*(TYPE4&lt;&gt;"")+('Dvd Calendar'!$AK$522=SPECIAL_LBL)*(INC_SPECIALS="Y"))=0,"",'Dvd Calendar'!$AK$520)))</f>
        <v/>
      </c>
      <c r="AJ58" s="106">
        <f>IF(FL58="","",IF(ISNUMBER('Dvd Calendar'!$AL$520)=FALSE,"",IF((('Dvd Calendar'!$AL$522=TYPE1)*(TYPE1&lt;&gt;"")+('Dvd Calendar'!$AL$522=TYPE2)*(TYPE2&lt;&gt;"")+('Dvd Calendar'!$AL$522=TYPE3)*(TYPE3&lt;&gt;"")+('Dvd Calendar'!$AL$522=TYPE4)*(TYPE4&lt;&gt;"")+('Dvd Calendar'!$AL$522=SPECIAL_LBL)*(INC_SPECIALS="Y"))=0,"",'Dvd Calendar'!$AL$520)))</f>
        <v/>
      </c>
      <c r="AK58" s="106">
        <f>IF(FM58="","",IF(ISNUMBER('Dvd Calendar'!$AM$520)=FALSE,"",IF((('Dvd Calendar'!$AM$522=TYPE1)*(TYPE1&lt;&gt;"")+('Dvd Calendar'!$AM$522=TYPE2)*(TYPE2&lt;&gt;"")+('Dvd Calendar'!$AM$522=TYPE3)*(TYPE3&lt;&gt;"")+('Dvd Calendar'!$AM$522=TYPE4)*(TYPE4&lt;&gt;"")+('Dvd Calendar'!$AM$522=SPECIAL_LBL)*(INC_SPECIALS="Y"))=0,"",'Dvd Calendar'!$AM$520)))</f>
        <v/>
      </c>
      <c r="AL58" s="106">
        <f>IF(FN58="","",IF(ISNUMBER('Dvd Calendar'!$AN$520)=FALSE,"",IF((('Dvd Calendar'!$AN$522=TYPE1)*(TYPE1&lt;&gt;"")+('Dvd Calendar'!$AN$522=TYPE2)*(TYPE2&lt;&gt;"")+('Dvd Calendar'!$AN$522=TYPE3)*(TYPE3&lt;&gt;"")+('Dvd Calendar'!$AN$522=TYPE4)*(TYPE4&lt;&gt;"")+('Dvd Calendar'!$AN$522=SPECIAL_LBL)*(INC_SPECIALS="Y"))=0,"",'Dvd Calendar'!$AN$520)))</f>
        <v/>
      </c>
      <c r="AM58" s="106">
        <f>IF(FO58="","",IF(ISNUMBER('Dvd Calendar'!$AO$520)=FALSE,"",IF((('Dvd Calendar'!$AO$522=TYPE1)*(TYPE1&lt;&gt;"")+('Dvd Calendar'!$AO$522=TYPE2)*(TYPE2&lt;&gt;"")+('Dvd Calendar'!$AO$522=TYPE3)*(TYPE3&lt;&gt;"")+('Dvd Calendar'!$AO$522=TYPE4)*(TYPE4&lt;&gt;"")+('Dvd Calendar'!$AO$522=SPECIAL_LBL)*(INC_SPECIALS="Y"))=0,"",'Dvd Calendar'!$AO$520)))</f>
        <v/>
      </c>
      <c r="AN58" s="106">
        <f>IF(FP58="","",IF(ISNUMBER('Dvd Calendar'!$AP$520)=FALSE,"",IF((('Dvd Calendar'!$AP$522=TYPE1)*(TYPE1&lt;&gt;"")+('Dvd Calendar'!$AP$522=TYPE2)*(TYPE2&lt;&gt;"")+('Dvd Calendar'!$AP$522=TYPE3)*(TYPE3&lt;&gt;"")+('Dvd Calendar'!$AP$522=TYPE4)*(TYPE4&lt;&gt;"")+('Dvd Calendar'!$AP$522=SPECIAL_LBL)*(INC_SPECIALS="Y"))=0,"",'Dvd Calendar'!$AP$520)))</f>
        <v/>
      </c>
      <c r="AO58" s="106">
        <f>IF(FQ58="","",IF(ISNUMBER('Dvd Calendar'!$AQ$520)=FALSE,"",IF((('Dvd Calendar'!$AQ$522=TYPE1)*(TYPE1&lt;&gt;"")+('Dvd Calendar'!$AQ$522=TYPE2)*(TYPE2&lt;&gt;"")+('Dvd Calendar'!$AQ$522=TYPE3)*(TYPE3&lt;&gt;"")+('Dvd Calendar'!$AQ$522=TYPE4)*(TYPE4&lt;&gt;"")+('Dvd Calendar'!$AQ$522=SPECIAL_LBL)*(INC_SPECIALS="Y"))=0,"",'Dvd Calendar'!$AQ$520)))</f>
        <v/>
      </c>
      <c r="AP58" s="106">
        <f>IF(FR58="","",IF(ISNUMBER('Dvd Calendar'!$AR$520)=FALSE,"",IF((('Dvd Calendar'!$AR$522=TYPE1)*(TYPE1&lt;&gt;"")+('Dvd Calendar'!$AR$522=TYPE2)*(TYPE2&lt;&gt;"")+('Dvd Calendar'!$AR$522=TYPE3)*(TYPE3&lt;&gt;"")+('Dvd Calendar'!$AR$522=TYPE4)*(TYPE4&lt;&gt;"")+('Dvd Calendar'!$AR$522=SPECIAL_LBL)*(INC_SPECIALS="Y"))=0,"",'Dvd Calendar'!$AR$520)))</f>
        <v/>
      </c>
      <c r="AQ58" s="106">
        <f>IF(FS58="","",IF(ISNUMBER('Dvd Calendar'!$E$525)=FALSE,"",'Dvd Calendar'!$E$525))</f>
        <v/>
      </c>
      <c r="AR58" s="106">
        <f>IF(FT58="","",IF(ISNUMBER('Dvd Calendar'!$F$525)=FALSE,"",'Dvd Calendar'!$F$525))</f>
        <v/>
      </c>
      <c r="AS58" s="106">
        <f>IF(FU58="","",IF(ISNUMBER('Dvd Calendar'!$G$525)=FALSE,"",'Dvd Calendar'!$G$525))</f>
        <v/>
      </c>
      <c r="AT58" s="106">
        <f>IF(FV58="","",IF(ISNUMBER('Dvd Calendar'!$H$525)=FALSE,"",'Dvd Calendar'!$H$525))</f>
        <v/>
      </c>
      <c r="AU58" s="106">
        <f>IF(FW58="","",IF(ISNUMBER('Dvd Calendar'!$I$525)=FALSE,"",'Dvd Calendar'!$I$525))</f>
        <v/>
      </c>
      <c r="AV58" s="106">
        <f>IF(FX58="","",IF(ISNUMBER('Dvd Calendar'!$J$525)=FALSE,"",'Dvd Calendar'!$J$525))</f>
        <v/>
      </c>
      <c r="AW58" s="106">
        <f>IF(FY58="","",IF(ISNUMBER('Dvd Calendar'!$K$525)=FALSE,"",'Dvd Calendar'!$K$525))</f>
        <v/>
      </c>
      <c r="AX58" s="106">
        <f>IF(FZ58="","",IF(ISNUMBER('Dvd Calendar'!$L$525)=FALSE,"",'Dvd Calendar'!$L$525))</f>
        <v/>
      </c>
      <c r="AY58" s="106">
        <f>IF(GA58="","",IF(ISNUMBER('Dvd Calendar'!$M$525)=FALSE,"",'Dvd Calendar'!$M$525))</f>
        <v/>
      </c>
      <c r="AZ58" s="106">
        <f>IF(GB58="","",IF(ISNUMBER('Dvd Calendar'!$N$525)=FALSE,"",'Dvd Calendar'!$N$525))</f>
        <v/>
      </c>
      <c r="BA58" s="106">
        <f>IF(GC58="","",IF(ISNUMBER('Dvd Calendar'!$O$525)=FALSE,"",'Dvd Calendar'!$O$525))</f>
        <v/>
      </c>
      <c r="BB58" s="106">
        <f>IF(GD58="","",IF(ISNUMBER('Dvd Calendar'!$P$525)=FALSE,"",'Dvd Calendar'!$P$525))</f>
        <v/>
      </c>
      <c r="BC58" s="106">
        <f>IF(GE58="","",IF(ISNUMBER('Dvd Calendar'!$Q$525)=FALSE,"",'Dvd Calendar'!$Q$525))</f>
        <v/>
      </c>
      <c r="BD58" s="106">
        <f>IF(GF58="","",IF(ISNUMBER('Dvd Calendar'!$R$525)=FALSE,"",'Dvd Calendar'!$R$525))</f>
        <v/>
      </c>
      <c r="BE58" s="106">
        <f>IF(GG58="","",IF(ISNUMBER('Dvd Calendar'!$S$525)=FALSE,"",'Dvd Calendar'!$S$525))</f>
        <v/>
      </c>
      <c r="BF58" s="106">
        <f>IF(GH58="","",IF(ISNUMBER('Dvd Calendar'!$T$525)=FALSE,"",'Dvd Calendar'!$T$525))</f>
        <v/>
      </c>
      <c r="BG58" s="106">
        <f>IF(GI58="","",IF(ISNUMBER('Dvd Calendar'!$U$525)=FALSE,"",'Dvd Calendar'!$U$525))</f>
        <v/>
      </c>
      <c r="BH58" s="106">
        <f>IF(GJ58="","",IF(ISNUMBER('Dvd Calendar'!$V$525)=FALSE,"",'Dvd Calendar'!$V$525))</f>
        <v/>
      </c>
      <c r="BI58" s="106">
        <f>IF(GK58="","",IF(ISNUMBER('Dvd Calendar'!$W$525)=FALSE,"",'Dvd Calendar'!$W$525))</f>
        <v/>
      </c>
      <c r="BJ58" s="106">
        <f>IF(GL58="","",IF(ISNUMBER('Dvd Calendar'!$X$525)=FALSE,"",'Dvd Calendar'!$X$525))</f>
        <v/>
      </c>
      <c r="BK58" s="106">
        <f>IF(GM58="","",IF(ISNUMBER('Dvd Calendar'!$Y$525)=FALSE,"",'Dvd Calendar'!$Y$525))</f>
        <v/>
      </c>
      <c r="BL58" s="106">
        <f>IF(GN58="","",IF(ISNUMBER('Dvd Calendar'!$Z$525)=FALSE,"",'Dvd Calendar'!$Z$525))</f>
        <v/>
      </c>
      <c r="BM58" s="106">
        <f>IF(GO58="","",IF(ISNUMBER('Dvd Calendar'!$AA$525)=FALSE,"",'Dvd Calendar'!$AA$525))</f>
        <v/>
      </c>
      <c r="BN58" s="106">
        <f>IF(GP58="","",IF(ISNUMBER('Dvd Calendar'!$AB$525)=FALSE,"",'Dvd Calendar'!$AB$525))</f>
        <v/>
      </c>
      <c r="BO58" s="106">
        <f>IF(GQ58="","",IF(ISNUMBER('Dvd Calendar'!$AC$525)=FALSE,"",'Dvd Calendar'!$AC$525))</f>
        <v/>
      </c>
      <c r="BQ58" s="106">
        <f>IF(C58="","",IFERROR(C58*HSI!$B$53*HSI!$G$53/HSI!$B$3,""))</f>
        <v/>
      </c>
      <c r="BR58" s="106">
        <f>IF(D58="","",IFERROR(D58*HSI!$B$53*HSI!$G$53/HSI!$B$3,""))</f>
        <v/>
      </c>
      <c r="BS58" s="106">
        <f>IF(E58="","",IFERROR(E58*HSI!$B$53*HSI!$G$53/HSI!$B$3,""))</f>
        <v/>
      </c>
      <c r="BT58" s="106">
        <f>IF(F58="","",IFERROR(F58*HSI!$B$53*HSI!$G$53/HSI!$B$3,""))</f>
        <v/>
      </c>
      <c r="BU58" s="106">
        <f>IF(G58="","",IFERROR(G58*HSI!$B$53*HSI!$G$53/HSI!$B$3,""))</f>
        <v/>
      </c>
      <c r="BV58" s="106">
        <f>IF(H58="","",IFERROR(H58*HSI!$B$53*HSI!$G$53/HSI!$B$3,""))</f>
        <v/>
      </c>
      <c r="BW58" s="106">
        <f>IF(I58="","",IFERROR(I58*HSI!$B$53*HSI!$G$53/HSI!$B$3,""))</f>
        <v/>
      </c>
      <c r="BX58" s="106">
        <f>IF(J58="","",IFERROR(J58*HSI!$B$53*HSI!$G$53/HSI!$B$3,""))</f>
        <v/>
      </c>
      <c r="BY58" s="106">
        <f>IF(K58="","",IFERROR(K58*HSI!$B$53*HSI!$G$53/HSI!$B$3,""))</f>
        <v/>
      </c>
      <c r="BZ58" s="106">
        <f>IF(L58="","",IFERROR(L58*HSI!$B$53*HSI!$G$53/HSI!$B$3,""))</f>
        <v/>
      </c>
      <c r="CA58" s="106">
        <f>IF(M58="","",IFERROR(M58*HSI!$B$53*HSI!$G$53/HSI!$B$3,""))</f>
        <v/>
      </c>
      <c r="CB58" s="106">
        <f>IF(N58="","",IFERROR(N58*HSI!$B$53*HSI!$G$53/HSI!$B$3,""))</f>
        <v/>
      </c>
      <c r="CC58" s="106">
        <f>IF(O58="","",IFERROR(O58*HSI!$B$53*HSI!$G$53/HSI!$B$3,""))</f>
        <v/>
      </c>
      <c r="CD58" s="106">
        <f>IF(P58="","",IFERROR(P58*HSI!$B$53*HSI!$G$53/HSI!$B$3,""))</f>
        <v/>
      </c>
      <c r="CE58" s="106">
        <f>IF(Q58="","",IFERROR(Q58*HSI!$B$53*HSI!$G$53/HSI!$B$3,""))</f>
        <v/>
      </c>
      <c r="CF58" s="106">
        <f>IF(R58="","",IFERROR(R58*HSI!$B$53*HSI!$G$53/HSI!$B$3,""))</f>
        <v/>
      </c>
      <c r="CG58" s="106">
        <f>IF(S58="","",IFERROR(S58*HSI!$B$53*HSI!$G$53/HSI!$B$3,""))</f>
        <v/>
      </c>
      <c r="CH58" s="106">
        <f>IF(T58="","",IFERROR(T58*HSI!$B$53*HSI!$G$53/HSI!$B$3,""))</f>
        <v/>
      </c>
      <c r="CI58" s="106">
        <f>IF(U58="","",IFERROR(U58*HSI!$B$53*HSI!$G$53/HSI!$B$3,""))</f>
        <v/>
      </c>
      <c r="CJ58" s="106">
        <f>IF(V58="","",IFERROR(V58*HSI!$B$53*HSI!$G$53/HSI!$B$3,""))</f>
        <v/>
      </c>
      <c r="CK58" s="106">
        <f>IF(W58="","",IFERROR(W58*HSI!$B$53*HSI!$G$53/HSI!$B$3,""))</f>
        <v/>
      </c>
      <c r="CL58" s="106">
        <f>IF(X58="","",IFERROR(X58*HSI!$B$53*HSI!$G$53/HSI!$B$3,""))</f>
        <v/>
      </c>
      <c r="CM58" s="106">
        <f>IF(Y58="","",IFERROR(Y58*HSI!$B$53*HSI!$G$53/HSI!$B$3,""))</f>
        <v/>
      </c>
      <c r="CN58" s="106">
        <f>IF(Z58="","",IFERROR(Z58*HSI!$B$53*HSI!$G$53/HSI!$B$3,""))</f>
        <v/>
      </c>
      <c r="CO58" s="106">
        <f>IF(AA58="","",IFERROR(AA58*HSI!$B$53*HSI!$G$53/HSI!$B$3,""))</f>
        <v/>
      </c>
      <c r="CP58" s="106">
        <f>IF(AB58="","",IFERROR(AB58*HSI!$B$53*HSI!$G$53/HSI!$B$3,""))</f>
        <v/>
      </c>
      <c r="CQ58" s="106">
        <f>IF(AC58="","",IFERROR(AC58*HSI!$B$53*HSI!$G$53/HSI!$B$3,""))</f>
        <v/>
      </c>
      <c r="CR58" s="106">
        <f>IF(AD58="","",IFERROR(AD58*HSI!$B$53*HSI!$G$53/HSI!$B$3,""))</f>
        <v/>
      </c>
      <c r="CS58" s="106">
        <f>IF(AE58="","",IFERROR(AE58*HSI!$B$53*HSI!$G$53/HSI!$B$3,""))</f>
        <v/>
      </c>
      <c r="CT58" s="106">
        <f>IF(AF58="","",IFERROR(AF58*HSI!$B$53*HSI!$G$53/HSI!$B$3,""))</f>
        <v/>
      </c>
      <c r="CU58" s="106">
        <f>IF(AG58="","",IFERROR(AG58*HSI!$B$53*HSI!$G$53/HSI!$B$3,""))</f>
        <v/>
      </c>
      <c r="CV58" s="106">
        <f>IF(AH58="","",IFERROR(AH58*HSI!$B$53*HSI!$G$53/HSI!$B$3,""))</f>
        <v/>
      </c>
      <c r="CW58" s="106">
        <f>IF(AI58="","",IFERROR(AI58*HSI!$B$53*HSI!$G$53/HSI!$B$3,""))</f>
        <v/>
      </c>
      <c r="CX58" s="106">
        <f>IF(AJ58="","",IFERROR(AJ58*HSI!$B$53*HSI!$G$53/HSI!$B$3,""))</f>
        <v/>
      </c>
      <c r="CY58" s="106">
        <f>IF(AK58="","",IFERROR(AK58*HSI!$B$53*HSI!$G$53/HSI!$B$3,""))</f>
        <v/>
      </c>
      <c r="CZ58" s="106">
        <f>IF(AL58="","",IFERROR(AL58*HSI!$B$53*HSI!$G$53/HSI!$B$3,""))</f>
        <v/>
      </c>
      <c r="DA58" s="106">
        <f>IF(AM58="","",IFERROR(AM58*HSI!$B$53*HSI!$G$53/HSI!$B$3,""))</f>
        <v/>
      </c>
      <c r="DB58" s="106">
        <f>IF(AN58="","",IFERROR(AN58*HSI!$B$53*HSI!$G$53/HSI!$B$3,""))</f>
        <v/>
      </c>
      <c r="DC58" s="106">
        <f>IF(AO58="","",IFERROR(AO58*HSI!$B$53*HSI!$G$53/HSI!$B$3,""))</f>
        <v/>
      </c>
      <c r="DD58" s="106">
        <f>IF(AP58="","",IFERROR(AP58*HSI!$B$53*HSI!$G$53/HSI!$B$3,""))</f>
        <v/>
      </c>
      <c r="DE58" s="106">
        <f>IF(AQ58="","",IFERROR(AQ58*HSI!$B$53*HSI!$G$53/HSI!$B$3,""))</f>
        <v/>
      </c>
      <c r="DF58" s="106">
        <f>IF(AR58="","",IFERROR(AR58*HSI!$B$53*HSI!$G$53/HSI!$B$3,""))</f>
        <v/>
      </c>
      <c r="DG58" s="106">
        <f>IF(AS58="","",IFERROR(AS58*HSI!$B$53*HSI!$G$53/HSI!$B$3,""))</f>
        <v/>
      </c>
      <c r="DH58" s="106">
        <f>IF(AT58="","",IFERROR(AT58*HSI!$B$53*HSI!$G$53/HSI!$B$3,""))</f>
        <v/>
      </c>
      <c r="DI58" s="106">
        <f>IF(AU58="","",IFERROR(AU58*HSI!$B$53*HSI!$G$53/HSI!$B$3,""))</f>
        <v/>
      </c>
      <c r="DJ58" s="106">
        <f>IF(AV58="","",IFERROR(AV58*HSI!$B$53*HSI!$G$53/HSI!$B$3,""))</f>
        <v/>
      </c>
      <c r="DK58" s="106">
        <f>IF(AW58="","",IFERROR(AW58*HSI!$B$53*HSI!$G$53/HSI!$B$3,""))</f>
        <v/>
      </c>
      <c r="DL58" s="106">
        <f>IF(AX58="","",IFERROR(AX58*HSI!$B$53*HSI!$G$53/HSI!$B$3,""))</f>
        <v/>
      </c>
      <c r="DM58" s="106">
        <f>IF(AY58="","",IFERROR(AY58*HSI!$B$53*HSI!$G$53/HSI!$B$3,""))</f>
        <v/>
      </c>
      <c r="DN58" s="106">
        <f>IF(AZ58="","",IFERROR(AZ58*HSI!$B$53*HSI!$G$53/HSI!$B$3,""))</f>
        <v/>
      </c>
      <c r="DO58" s="106">
        <f>IF(BA58="","",IFERROR(BA58*HSI!$B$53*HSI!$G$53/HSI!$B$3,""))</f>
        <v/>
      </c>
      <c r="DP58" s="106">
        <f>IF(BB58="","",IFERROR(BB58*HSI!$B$53*HSI!$G$53/HSI!$B$3,""))</f>
        <v/>
      </c>
      <c r="DQ58" s="106">
        <f>IF(BC58="","",IFERROR(BC58*HSI!$B$53*HSI!$G$53/HSI!$B$3,""))</f>
        <v/>
      </c>
      <c r="DR58" s="106">
        <f>IF(BD58="","",IFERROR(BD58*HSI!$B$53*HSI!$G$53/HSI!$B$3,""))</f>
        <v/>
      </c>
      <c r="DS58" s="106">
        <f>IF(BE58="","",IFERROR(BE58*HSI!$B$53*HSI!$G$53/HSI!$B$3,""))</f>
        <v/>
      </c>
      <c r="DT58" s="106">
        <f>IF(BF58="","",IFERROR(BF58*HSI!$B$53*HSI!$G$53/HSI!$B$3,""))</f>
        <v/>
      </c>
      <c r="DU58" s="106">
        <f>IF(BG58="","",IFERROR(BG58*HSI!$B$53*HSI!$G$53/HSI!$B$3,""))</f>
        <v/>
      </c>
      <c r="DV58" s="106">
        <f>IF(BH58="","",IFERROR(BH58*HSI!$B$53*HSI!$G$53/HSI!$B$3,""))</f>
        <v/>
      </c>
      <c r="DW58" s="106">
        <f>IF(BI58="","",IFERROR(BI58*HSI!$B$53*HSI!$G$53/HSI!$B$3,""))</f>
        <v/>
      </c>
      <c r="DX58" s="106">
        <f>IF(BJ58="","",IFERROR(BJ58*HSI!$B$53*HSI!$G$53/HSI!$B$3,""))</f>
        <v/>
      </c>
      <c r="DY58" s="106">
        <f>IF(BK58="","",IFERROR(BK58*HSI!$B$53*HSI!$G$53/HSI!$B$3,""))</f>
        <v/>
      </c>
      <c r="DZ58" s="106">
        <f>IF(BL58="","",IFERROR(BL58*HSI!$B$53*HSI!$G$53/HSI!$B$3,""))</f>
        <v/>
      </c>
      <c r="EA58" s="106">
        <f>IF(BM58="","",IFERROR(BM58*HSI!$B$53*HSI!$G$53/HSI!$B$3,""))</f>
        <v/>
      </c>
      <c r="EB58" s="106">
        <f>IF(BN58="","",IFERROR(BN58*HSI!$B$53*HSI!$G$53/HSI!$B$3,""))</f>
        <v/>
      </c>
      <c r="EC58" s="106">
        <f>IF(BO58="","",IFERROR(BO58*HSI!$B$53*HSI!$G$53/HSI!$B$3,""))</f>
        <v/>
      </c>
      <c r="EE58" s="35">
        <f>IF(N('Dvd Calendar'!$E$517)=0,"",IF(('Dvd Calendar'!$E$517&gt;=GRID_FROM)*('Dvd Calendar'!$E$517&lt;=GRID_TO)*('Dvd Calendar'!$E$517&lt;=VAL_DATE)=0,"",'Dvd Calendar'!$E$517*1000000000+ISNUMBER('Dvd Calendar'!$E$520)*100000000+('Dvd Calendar'!$E$522=SPECIAL_LBL)*10000000+0*1000000+47*1000+1))</f>
        <v/>
      </c>
      <c r="EF58" s="35">
        <f>IF(N('Dvd Calendar'!$F$517)=0,"",IF(('Dvd Calendar'!$F$517&gt;=GRID_FROM)*('Dvd Calendar'!$F$517&lt;=GRID_TO)*('Dvd Calendar'!$F$517&lt;=VAL_DATE)=0,"",'Dvd Calendar'!$F$517*1000000000+ISNUMBER('Dvd Calendar'!$F$520)*100000000+('Dvd Calendar'!$F$522=SPECIAL_LBL)*10000000+0*1000000+47*1000+2))</f>
        <v/>
      </c>
      <c r="EG58" s="35">
        <f>IF(N('Dvd Calendar'!$G$517)=0,"",IF(('Dvd Calendar'!$G$517&gt;=GRID_FROM)*('Dvd Calendar'!$G$517&lt;=GRID_TO)*('Dvd Calendar'!$G$517&lt;=VAL_DATE)=0,"",'Dvd Calendar'!$G$517*1000000000+ISNUMBER('Dvd Calendar'!$G$520)*100000000+('Dvd Calendar'!$G$522=SPECIAL_LBL)*10000000+0*1000000+47*1000+3))</f>
        <v/>
      </c>
      <c r="EH58" s="35">
        <f>IF(N('Dvd Calendar'!$H$517)=0,"",IF(('Dvd Calendar'!$H$517&gt;=GRID_FROM)*('Dvd Calendar'!$H$517&lt;=GRID_TO)*('Dvd Calendar'!$H$517&lt;=VAL_DATE)=0,"",'Dvd Calendar'!$H$517*1000000000+ISNUMBER('Dvd Calendar'!$H$520)*100000000+('Dvd Calendar'!$H$522=SPECIAL_LBL)*10000000+0*1000000+47*1000+4))</f>
        <v/>
      </c>
      <c r="EI58" s="35">
        <f>IF(N('Dvd Calendar'!$I$517)=0,"",IF(('Dvd Calendar'!$I$517&gt;=GRID_FROM)*('Dvd Calendar'!$I$517&lt;=GRID_TO)*('Dvd Calendar'!$I$517&lt;=VAL_DATE)=0,"",'Dvd Calendar'!$I$517*1000000000+ISNUMBER('Dvd Calendar'!$I$520)*100000000+('Dvd Calendar'!$I$522=SPECIAL_LBL)*10000000+0*1000000+47*1000+5))</f>
        <v/>
      </c>
      <c r="EJ58" s="35">
        <f>IF(N('Dvd Calendar'!$J$517)=0,"",IF(('Dvd Calendar'!$J$517&gt;=GRID_FROM)*('Dvd Calendar'!$J$517&lt;=GRID_TO)*('Dvd Calendar'!$J$517&lt;=VAL_DATE)=0,"",'Dvd Calendar'!$J$517*1000000000+ISNUMBER('Dvd Calendar'!$J$520)*100000000+('Dvd Calendar'!$J$522=SPECIAL_LBL)*10000000+0*1000000+47*1000+6))</f>
        <v/>
      </c>
      <c r="EK58" s="35">
        <f>IF(N('Dvd Calendar'!$K$517)=0,"",IF(('Dvd Calendar'!$K$517&gt;=GRID_FROM)*('Dvd Calendar'!$K$517&lt;=GRID_TO)*('Dvd Calendar'!$K$517&lt;=VAL_DATE)=0,"",'Dvd Calendar'!$K$517*1000000000+ISNUMBER('Dvd Calendar'!$K$520)*100000000+('Dvd Calendar'!$K$522=SPECIAL_LBL)*10000000+0*1000000+47*1000+7))</f>
        <v/>
      </c>
      <c r="EL58" s="35">
        <f>IF(N('Dvd Calendar'!$L$517)=0,"",IF(('Dvd Calendar'!$L$517&gt;=GRID_FROM)*('Dvd Calendar'!$L$517&lt;=GRID_TO)*('Dvd Calendar'!$L$517&lt;=VAL_DATE)=0,"",'Dvd Calendar'!$L$517*1000000000+ISNUMBER('Dvd Calendar'!$L$520)*100000000+('Dvd Calendar'!$L$522=SPECIAL_LBL)*10000000+0*1000000+47*1000+8))</f>
        <v/>
      </c>
      <c r="EM58" s="35">
        <f>IF(N('Dvd Calendar'!$M$517)=0,"",IF(('Dvd Calendar'!$M$517&gt;=GRID_FROM)*('Dvd Calendar'!$M$517&lt;=GRID_TO)*('Dvd Calendar'!$M$517&lt;=VAL_DATE)=0,"",'Dvd Calendar'!$M$517*1000000000+ISNUMBER('Dvd Calendar'!$M$520)*100000000+('Dvd Calendar'!$M$522=SPECIAL_LBL)*10000000+0*1000000+47*1000+9))</f>
        <v/>
      </c>
      <c r="EN58" s="35">
        <f>IF(N('Dvd Calendar'!$N$517)=0,"",IF(('Dvd Calendar'!$N$517&gt;=GRID_FROM)*('Dvd Calendar'!$N$517&lt;=GRID_TO)*('Dvd Calendar'!$N$517&lt;=VAL_DATE)=0,"",'Dvd Calendar'!$N$517*1000000000+ISNUMBER('Dvd Calendar'!$N$520)*100000000+('Dvd Calendar'!$N$522=SPECIAL_LBL)*10000000+0*1000000+47*1000+10))</f>
        <v/>
      </c>
      <c r="EO58" s="35">
        <f>IF(N('Dvd Calendar'!$O$517)=0,"",IF(('Dvd Calendar'!$O$517&gt;=GRID_FROM)*('Dvd Calendar'!$O$517&lt;=GRID_TO)*('Dvd Calendar'!$O$517&lt;=VAL_DATE)=0,"",'Dvd Calendar'!$O$517*1000000000+ISNUMBER('Dvd Calendar'!$O$520)*100000000+('Dvd Calendar'!$O$522=SPECIAL_LBL)*10000000+0*1000000+47*1000+11))</f>
        <v/>
      </c>
      <c r="EP58" s="35">
        <f>IF(N('Dvd Calendar'!$P$517)=0,"",IF(('Dvd Calendar'!$P$517&gt;=GRID_FROM)*('Dvd Calendar'!$P$517&lt;=GRID_TO)*('Dvd Calendar'!$P$517&lt;=VAL_DATE)=0,"",'Dvd Calendar'!$P$517*1000000000+ISNUMBER('Dvd Calendar'!$P$520)*100000000+('Dvd Calendar'!$P$522=SPECIAL_LBL)*10000000+0*1000000+47*1000+12))</f>
        <v/>
      </c>
      <c r="EQ58" s="35">
        <f>IF(N('Dvd Calendar'!$Q$517)=0,"",IF(('Dvd Calendar'!$Q$517&gt;=GRID_FROM)*('Dvd Calendar'!$Q$517&lt;=GRID_TO)*('Dvd Calendar'!$Q$517&lt;=VAL_DATE)=0,"",'Dvd Calendar'!$Q$517*1000000000+ISNUMBER('Dvd Calendar'!$Q$520)*100000000+('Dvd Calendar'!$Q$522=SPECIAL_LBL)*10000000+0*1000000+47*1000+13))</f>
        <v/>
      </c>
      <c r="ER58" s="35">
        <f>IF(N('Dvd Calendar'!$R$517)=0,"",IF(('Dvd Calendar'!$R$517&gt;=GRID_FROM)*('Dvd Calendar'!$R$517&lt;=GRID_TO)*('Dvd Calendar'!$R$517&lt;=VAL_DATE)=0,"",'Dvd Calendar'!$R$517*1000000000+ISNUMBER('Dvd Calendar'!$R$520)*100000000+('Dvd Calendar'!$R$522=SPECIAL_LBL)*10000000+0*1000000+47*1000+14))</f>
        <v/>
      </c>
      <c r="ES58" s="35">
        <f>IF(N('Dvd Calendar'!$S$517)=0,"",IF(('Dvd Calendar'!$S$517&gt;=GRID_FROM)*('Dvd Calendar'!$S$517&lt;=GRID_TO)*('Dvd Calendar'!$S$517&lt;=VAL_DATE)=0,"",'Dvd Calendar'!$S$517*1000000000+ISNUMBER('Dvd Calendar'!$S$520)*100000000+('Dvd Calendar'!$S$522=SPECIAL_LBL)*10000000+0*1000000+47*1000+15))</f>
        <v/>
      </c>
      <c r="ET58" s="35">
        <f>IF(N('Dvd Calendar'!$T$517)=0,"",IF(('Dvd Calendar'!$T$517&gt;=GRID_FROM)*('Dvd Calendar'!$T$517&lt;=GRID_TO)*('Dvd Calendar'!$T$517&lt;=VAL_DATE)=0,"",'Dvd Calendar'!$T$517*1000000000+ISNUMBER('Dvd Calendar'!$T$520)*100000000+('Dvd Calendar'!$T$522=SPECIAL_LBL)*10000000+0*1000000+47*1000+16))</f>
        <v/>
      </c>
      <c r="EU58" s="35">
        <f>IF(N('Dvd Calendar'!$U$517)=0,"",IF(('Dvd Calendar'!$U$517&gt;=GRID_FROM)*('Dvd Calendar'!$U$517&lt;=GRID_TO)*('Dvd Calendar'!$U$517&lt;=VAL_DATE)=0,"",'Dvd Calendar'!$U$517*1000000000+ISNUMBER('Dvd Calendar'!$U$520)*100000000+('Dvd Calendar'!$U$522=SPECIAL_LBL)*10000000+0*1000000+47*1000+17))</f>
        <v/>
      </c>
      <c r="EV58" s="35">
        <f>IF(N('Dvd Calendar'!$V$517)=0,"",IF(('Dvd Calendar'!$V$517&gt;=GRID_FROM)*('Dvd Calendar'!$V$517&lt;=GRID_TO)*('Dvd Calendar'!$V$517&lt;=VAL_DATE)=0,"",'Dvd Calendar'!$V$517*1000000000+ISNUMBER('Dvd Calendar'!$V$520)*100000000+('Dvd Calendar'!$V$522=SPECIAL_LBL)*10000000+0*1000000+47*1000+18))</f>
        <v/>
      </c>
      <c r="EW58" s="35">
        <f>IF(N('Dvd Calendar'!$W$517)=0,"",IF(('Dvd Calendar'!$W$517&gt;=GRID_FROM)*('Dvd Calendar'!$W$517&lt;=GRID_TO)*('Dvd Calendar'!$W$517&lt;=VAL_DATE)=0,"",'Dvd Calendar'!$W$517*1000000000+ISNUMBER('Dvd Calendar'!$W$520)*100000000+('Dvd Calendar'!$W$522=SPECIAL_LBL)*10000000+0*1000000+47*1000+19))</f>
        <v/>
      </c>
      <c r="EX58" s="35">
        <f>IF(N('Dvd Calendar'!$X$517)=0,"",IF(('Dvd Calendar'!$X$517&gt;=GRID_FROM)*('Dvd Calendar'!$X$517&lt;=GRID_TO)*('Dvd Calendar'!$X$517&lt;=VAL_DATE)=0,"",'Dvd Calendar'!$X$517*1000000000+ISNUMBER('Dvd Calendar'!$X$520)*100000000+('Dvd Calendar'!$X$522=SPECIAL_LBL)*10000000+0*1000000+47*1000+20))</f>
        <v/>
      </c>
      <c r="EY58" s="35">
        <f>IF(N('Dvd Calendar'!$Y$517)=0,"",IF(('Dvd Calendar'!$Y$517&gt;=GRID_FROM)*('Dvd Calendar'!$Y$517&lt;=GRID_TO)*('Dvd Calendar'!$Y$517&lt;=VAL_DATE)=0,"",'Dvd Calendar'!$Y$517*1000000000+ISNUMBER('Dvd Calendar'!$Y$520)*100000000+('Dvd Calendar'!$Y$522=SPECIAL_LBL)*10000000+0*1000000+47*1000+21))</f>
        <v/>
      </c>
      <c r="EZ58" s="35">
        <f>IF(N('Dvd Calendar'!$Z$517)=0,"",IF(('Dvd Calendar'!$Z$517&gt;=GRID_FROM)*('Dvd Calendar'!$Z$517&lt;=GRID_TO)*('Dvd Calendar'!$Z$517&lt;=VAL_DATE)=0,"",'Dvd Calendar'!$Z$517*1000000000+ISNUMBER('Dvd Calendar'!$Z$520)*100000000+('Dvd Calendar'!$Z$522=SPECIAL_LBL)*10000000+0*1000000+47*1000+22))</f>
        <v/>
      </c>
      <c r="FA58" s="35">
        <f>IF(N('Dvd Calendar'!$AA$517)=0,"",IF(('Dvd Calendar'!$AA$517&gt;=GRID_FROM)*('Dvd Calendar'!$AA$517&lt;=GRID_TO)*('Dvd Calendar'!$AA$517&lt;=VAL_DATE)=0,"",'Dvd Calendar'!$AA$517*1000000000+ISNUMBER('Dvd Calendar'!$AA$520)*100000000+('Dvd Calendar'!$AA$522=SPECIAL_LBL)*10000000+0*1000000+47*1000+23))</f>
        <v/>
      </c>
      <c r="FB58" s="35">
        <f>IF(N('Dvd Calendar'!$AB$517)=0,"",IF(('Dvd Calendar'!$AB$517&gt;=GRID_FROM)*('Dvd Calendar'!$AB$517&lt;=GRID_TO)*('Dvd Calendar'!$AB$517&lt;=VAL_DATE)=0,"",'Dvd Calendar'!$AB$517*1000000000+ISNUMBER('Dvd Calendar'!$AB$520)*100000000+('Dvd Calendar'!$AB$522=SPECIAL_LBL)*10000000+0*1000000+47*1000+24))</f>
        <v/>
      </c>
      <c r="FC58" s="35">
        <f>IF(N('Dvd Calendar'!$AC$517)=0,"",IF(('Dvd Calendar'!$AC$517&gt;=GRID_FROM)*('Dvd Calendar'!$AC$517&lt;=GRID_TO)*('Dvd Calendar'!$AC$517&lt;=VAL_DATE)=0,"",'Dvd Calendar'!$AC$517*1000000000+ISNUMBER('Dvd Calendar'!$AC$520)*100000000+('Dvd Calendar'!$AC$522=SPECIAL_LBL)*10000000+0*1000000+47*1000+25))</f>
        <v/>
      </c>
      <c r="FD58" s="35">
        <f>IF(N('Dvd Calendar'!$AD$517)=0,"",IF(('Dvd Calendar'!$AD$517&gt;=GRID_FROM)*('Dvd Calendar'!$AD$517&lt;=GRID_TO)*('Dvd Calendar'!$AD$517&lt;=VAL_DATE)=0,"",'Dvd Calendar'!$AD$517*1000000000+ISNUMBER('Dvd Calendar'!$AD$520)*100000000+('Dvd Calendar'!$AD$522=SPECIAL_LBL)*10000000+0*1000000+47*1000+26))</f>
        <v/>
      </c>
      <c r="FE58" s="35">
        <f>IF(N('Dvd Calendar'!$AE$517)=0,"",IF(('Dvd Calendar'!$AE$517&gt;=GRID_FROM)*('Dvd Calendar'!$AE$517&lt;=GRID_TO)*('Dvd Calendar'!$AE$517&lt;=VAL_DATE)=0,"",'Dvd Calendar'!$AE$517*1000000000+ISNUMBER('Dvd Calendar'!$AE$520)*100000000+('Dvd Calendar'!$AE$522=SPECIAL_LBL)*10000000+0*1000000+47*1000+27))</f>
        <v/>
      </c>
      <c r="FF58" s="35">
        <f>IF(N('Dvd Calendar'!$AF$517)=0,"",IF(('Dvd Calendar'!$AF$517&gt;=GRID_FROM)*('Dvd Calendar'!$AF$517&lt;=GRID_TO)*('Dvd Calendar'!$AF$517&lt;=VAL_DATE)=0,"",'Dvd Calendar'!$AF$517*1000000000+ISNUMBER('Dvd Calendar'!$AF$520)*100000000+('Dvd Calendar'!$AF$522=SPECIAL_LBL)*10000000+0*1000000+47*1000+28))</f>
        <v/>
      </c>
      <c r="FG58" s="35">
        <f>IF(N('Dvd Calendar'!$AG$517)=0,"",IF(('Dvd Calendar'!$AG$517&gt;=GRID_FROM)*('Dvd Calendar'!$AG$517&lt;=GRID_TO)*('Dvd Calendar'!$AG$517&lt;=VAL_DATE)=0,"",'Dvd Calendar'!$AG$517*1000000000+ISNUMBER('Dvd Calendar'!$AG$520)*100000000+('Dvd Calendar'!$AG$522=SPECIAL_LBL)*10000000+0*1000000+47*1000+29))</f>
        <v/>
      </c>
      <c r="FH58" s="35">
        <f>IF(N('Dvd Calendar'!$AH$517)=0,"",IF(('Dvd Calendar'!$AH$517&gt;=GRID_FROM)*('Dvd Calendar'!$AH$517&lt;=GRID_TO)*('Dvd Calendar'!$AH$517&lt;=VAL_DATE)=0,"",'Dvd Calendar'!$AH$517*1000000000+ISNUMBER('Dvd Calendar'!$AH$520)*100000000+('Dvd Calendar'!$AH$522=SPECIAL_LBL)*10000000+0*1000000+47*1000+30))</f>
        <v/>
      </c>
      <c r="FI58" s="35">
        <f>IF(N('Dvd Calendar'!$AI$517)=0,"",IF(('Dvd Calendar'!$AI$517&gt;=GRID_FROM)*('Dvd Calendar'!$AI$517&lt;=GRID_TO)*('Dvd Calendar'!$AI$517&lt;=VAL_DATE)=0,"",'Dvd Calendar'!$AI$517*1000000000+ISNUMBER('Dvd Calendar'!$AI$520)*100000000+('Dvd Calendar'!$AI$522=SPECIAL_LBL)*10000000+0*1000000+47*1000+31))</f>
        <v/>
      </c>
      <c r="FJ58" s="35">
        <f>IF(N('Dvd Calendar'!$AJ$517)=0,"",IF(('Dvd Calendar'!$AJ$517&gt;=GRID_FROM)*('Dvd Calendar'!$AJ$517&lt;=GRID_TO)*('Dvd Calendar'!$AJ$517&lt;=VAL_DATE)=0,"",'Dvd Calendar'!$AJ$517*1000000000+ISNUMBER('Dvd Calendar'!$AJ$520)*100000000+('Dvd Calendar'!$AJ$522=SPECIAL_LBL)*10000000+0*1000000+47*1000+32))</f>
        <v/>
      </c>
      <c r="FK58" s="35">
        <f>IF(N('Dvd Calendar'!$AK$517)=0,"",IF(('Dvd Calendar'!$AK$517&gt;=GRID_FROM)*('Dvd Calendar'!$AK$517&lt;=GRID_TO)*('Dvd Calendar'!$AK$517&lt;=VAL_DATE)=0,"",'Dvd Calendar'!$AK$517*1000000000+ISNUMBER('Dvd Calendar'!$AK$520)*100000000+('Dvd Calendar'!$AK$522=SPECIAL_LBL)*10000000+0*1000000+47*1000+33))</f>
        <v/>
      </c>
      <c r="FL58" s="35">
        <f>IF(N('Dvd Calendar'!$AL$517)=0,"",IF(('Dvd Calendar'!$AL$517&gt;=GRID_FROM)*('Dvd Calendar'!$AL$517&lt;=GRID_TO)*('Dvd Calendar'!$AL$517&lt;=VAL_DATE)=0,"",'Dvd Calendar'!$AL$517*1000000000+ISNUMBER('Dvd Calendar'!$AL$520)*100000000+('Dvd Calendar'!$AL$522=SPECIAL_LBL)*10000000+0*1000000+47*1000+34))</f>
        <v/>
      </c>
      <c r="FM58" s="35">
        <f>IF(N('Dvd Calendar'!$AM$517)=0,"",IF(('Dvd Calendar'!$AM$517&gt;=GRID_FROM)*('Dvd Calendar'!$AM$517&lt;=GRID_TO)*('Dvd Calendar'!$AM$517&lt;=VAL_DATE)=0,"",'Dvd Calendar'!$AM$517*1000000000+ISNUMBER('Dvd Calendar'!$AM$520)*100000000+('Dvd Calendar'!$AM$522=SPECIAL_LBL)*10000000+0*1000000+47*1000+35))</f>
        <v/>
      </c>
      <c r="FN58" s="35">
        <f>IF(N('Dvd Calendar'!$AN$517)=0,"",IF(('Dvd Calendar'!$AN$517&gt;=GRID_FROM)*('Dvd Calendar'!$AN$517&lt;=GRID_TO)*('Dvd Calendar'!$AN$517&lt;=VAL_DATE)=0,"",'Dvd Calendar'!$AN$517*1000000000+ISNUMBER('Dvd Calendar'!$AN$520)*100000000+('Dvd Calendar'!$AN$522=SPECIAL_LBL)*10000000+0*1000000+47*1000+36))</f>
        <v/>
      </c>
      <c r="FO58" s="35">
        <f>IF(N('Dvd Calendar'!$AO$517)=0,"",IF(('Dvd Calendar'!$AO$517&gt;=GRID_FROM)*('Dvd Calendar'!$AO$517&lt;=GRID_TO)*('Dvd Calendar'!$AO$517&lt;=VAL_DATE)=0,"",'Dvd Calendar'!$AO$517*1000000000+ISNUMBER('Dvd Calendar'!$AO$520)*100000000+('Dvd Calendar'!$AO$522=SPECIAL_LBL)*10000000+0*1000000+47*1000+37))</f>
        <v/>
      </c>
      <c r="FP58" s="35">
        <f>IF(N('Dvd Calendar'!$AP$517)=0,"",IF(('Dvd Calendar'!$AP$517&gt;=GRID_FROM)*('Dvd Calendar'!$AP$517&lt;=GRID_TO)*('Dvd Calendar'!$AP$517&lt;=VAL_DATE)=0,"",'Dvd Calendar'!$AP$517*1000000000+ISNUMBER('Dvd Calendar'!$AP$520)*100000000+('Dvd Calendar'!$AP$522=SPECIAL_LBL)*10000000+0*1000000+47*1000+38))</f>
        <v/>
      </c>
      <c r="FQ58" s="35">
        <f>IF(N('Dvd Calendar'!$AQ$517)=0,"",IF(('Dvd Calendar'!$AQ$517&gt;=GRID_FROM)*('Dvd Calendar'!$AQ$517&lt;=GRID_TO)*('Dvd Calendar'!$AQ$517&lt;=VAL_DATE)=0,"",'Dvd Calendar'!$AQ$517*1000000000+ISNUMBER('Dvd Calendar'!$AQ$520)*100000000+('Dvd Calendar'!$AQ$522=SPECIAL_LBL)*10000000+0*1000000+47*1000+39))</f>
        <v/>
      </c>
      <c r="FR58" s="35">
        <f>IF(N('Dvd Calendar'!$AR$517)=0,"",IF(('Dvd Calendar'!$AR$517&gt;=GRID_FROM)*('Dvd Calendar'!$AR$517&lt;=GRID_TO)*('Dvd Calendar'!$AR$517&lt;=VAL_DATE)=0,"",'Dvd Calendar'!$AR$517*1000000000+ISNUMBER('Dvd Calendar'!$AR$520)*100000000+('Dvd Calendar'!$AR$522=SPECIAL_LBL)*10000000+0*1000000+47*1000+40))</f>
        <v/>
      </c>
      <c r="FS58" s="35">
        <f>IF(N('Dvd Calendar'!$E$524)=0,"",IF(('Dvd Calendar'!$E$524&gt;=GRID_FROM)*('Dvd Calendar'!$E$524&lt;=GRID_TO)*('Dvd Calendar'!$E$524&gt;VAL_DATE)=0,"",'Dvd Calendar'!$E$524*1000000000+ISNUMBER('Dvd Calendar'!$E$525)*100000000+0*10000000+(N('Dvd Calendar'!$E$523)&gt;0)*(N('Dvd Calendar'!$E$523)&lt;=VAL_SERIAL)*1000000+47*1000+41))</f>
        <v/>
      </c>
      <c r="FT58" s="35">
        <f>IF(N('Dvd Calendar'!$F$524)=0,"",IF(('Dvd Calendar'!$F$524&gt;=GRID_FROM)*('Dvd Calendar'!$F$524&lt;=GRID_TO)*('Dvd Calendar'!$F$524&gt;VAL_DATE)=0,"",'Dvd Calendar'!$F$524*1000000000+ISNUMBER('Dvd Calendar'!$F$525)*100000000+0*10000000+(N('Dvd Calendar'!$F$523)&gt;0)*(N('Dvd Calendar'!$F$523)&lt;=VAL_SERIAL)*1000000+47*1000+42))</f>
        <v/>
      </c>
      <c r="FU58" s="35">
        <f>IF(N('Dvd Calendar'!$G$524)=0,"",IF(('Dvd Calendar'!$G$524&gt;=GRID_FROM)*('Dvd Calendar'!$G$524&lt;=GRID_TO)*('Dvd Calendar'!$G$524&gt;VAL_DATE)=0,"",'Dvd Calendar'!$G$524*1000000000+ISNUMBER('Dvd Calendar'!$G$525)*100000000+0*10000000+(N('Dvd Calendar'!$G$523)&gt;0)*(N('Dvd Calendar'!$G$523)&lt;=VAL_SERIAL)*1000000+47*1000+43))</f>
        <v/>
      </c>
      <c r="FV58" s="35">
        <f>IF(N('Dvd Calendar'!$H$524)=0,"",IF(('Dvd Calendar'!$H$524&gt;=GRID_FROM)*('Dvd Calendar'!$H$524&lt;=GRID_TO)*('Dvd Calendar'!$H$524&gt;VAL_DATE)=0,"",'Dvd Calendar'!$H$524*1000000000+ISNUMBER('Dvd Calendar'!$H$525)*100000000+0*10000000+(N('Dvd Calendar'!$H$523)&gt;0)*(N('Dvd Calendar'!$H$523)&lt;=VAL_SERIAL)*1000000+47*1000+44))</f>
        <v/>
      </c>
      <c r="FW58" s="35">
        <f>IF(N('Dvd Calendar'!$I$524)=0,"",IF(('Dvd Calendar'!$I$524&gt;=GRID_FROM)*('Dvd Calendar'!$I$524&lt;=GRID_TO)*('Dvd Calendar'!$I$524&gt;VAL_DATE)=0,"",'Dvd Calendar'!$I$524*1000000000+ISNUMBER('Dvd Calendar'!$I$525)*100000000+0*10000000+(N('Dvd Calendar'!$I$523)&gt;0)*(N('Dvd Calendar'!$I$523)&lt;=VAL_SERIAL)*1000000+47*1000+45))</f>
        <v/>
      </c>
      <c r="FX58" s="35">
        <f>IF(N('Dvd Calendar'!$J$524)=0,"",IF(('Dvd Calendar'!$J$524&gt;=GRID_FROM)*('Dvd Calendar'!$J$524&lt;=GRID_TO)*('Dvd Calendar'!$J$524&gt;VAL_DATE)=0,"",'Dvd Calendar'!$J$524*1000000000+ISNUMBER('Dvd Calendar'!$J$525)*100000000+0*10000000+(N('Dvd Calendar'!$J$523)&gt;0)*(N('Dvd Calendar'!$J$523)&lt;=VAL_SERIAL)*1000000+47*1000+46))</f>
        <v/>
      </c>
      <c r="FY58" s="35">
        <f>IF(N('Dvd Calendar'!$K$524)=0,"",IF(('Dvd Calendar'!$K$524&gt;=GRID_FROM)*('Dvd Calendar'!$K$524&lt;=GRID_TO)*('Dvd Calendar'!$K$524&gt;VAL_DATE)=0,"",'Dvd Calendar'!$K$524*1000000000+ISNUMBER('Dvd Calendar'!$K$525)*100000000+0*10000000+(N('Dvd Calendar'!$K$523)&gt;0)*(N('Dvd Calendar'!$K$523)&lt;=VAL_SERIAL)*1000000+47*1000+47))</f>
        <v/>
      </c>
      <c r="FZ58" s="35">
        <f>IF(N('Dvd Calendar'!$L$524)=0,"",IF(('Dvd Calendar'!$L$524&gt;=GRID_FROM)*('Dvd Calendar'!$L$524&lt;=GRID_TO)*('Dvd Calendar'!$L$524&gt;VAL_DATE)=0,"",'Dvd Calendar'!$L$524*1000000000+ISNUMBER('Dvd Calendar'!$L$525)*100000000+0*10000000+(N('Dvd Calendar'!$L$523)&gt;0)*(N('Dvd Calendar'!$L$523)&lt;=VAL_SERIAL)*1000000+47*1000+48))</f>
        <v/>
      </c>
      <c r="GA58" s="35">
        <f>IF(N('Dvd Calendar'!$M$524)=0,"",IF(('Dvd Calendar'!$M$524&gt;=GRID_FROM)*('Dvd Calendar'!$M$524&lt;=GRID_TO)*('Dvd Calendar'!$M$524&gt;VAL_DATE)=0,"",'Dvd Calendar'!$M$524*1000000000+ISNUMBER('Dvd Calendar'!$M$525)*100000000+0*10000000+(N('Dvd Calendar'!$M$523)&gt;0)*(N('Dvd Calendar'!$M$523)&lt;=VAL_SERIAL)*1000000+47*1000+49))</f>
        <v/>
      </c>
      <c r="GB58" s="35">
        <f>IF(N('Dvd Calendar'!$N$524)=0,"",IF(('Dvd Calendar'!$N$524&gt;=GRID_FROM)*('Dvd Calendar'!$N$524&lt;=GRID_TO)*('Dvd Calendar'!$N$524&gt;VAL_DATE)=0,"",'Dvd Calendar'!$N$524*1000000000+ISNUMBER('Dvd Calendar'!$N$525)*100000000+0*10000000+(N('Dvd Calendar'!$N$523)&gt;0)*(N('Dvd Calendar'!$N$523)&lt;=VAL_SERIAL)*1000000+47*1000+50))</f>
        <v/>
      </c>
      <c r="GC58" s="35">
        <f>IF(N('Dvd Calendar'!$O$524)=0,"",IF(('Dvd Calendar'!$O$524&gt;=GRID_FROM)*('Dvd Calendar'!$O$524&lt;=GRID_TO)*('Dvd Calendar'!$O$524&gt;VAL_DATE)=0,"",'Dvd Calendar'!$O$524*1000000000+ISNUMBER('Dvd Calendar'!$O$525)*100000000+0*10000000+(N('Dvd Calendar'!$O$523)&gt;0)*(N('Dvd Calendar'!$O$523)&lt;=VAL_SERIAL)*1000000+47*1000+51))</f>
        <v/>
      </c>
      <c r="GD58" s="35">
        <f>IF(N('Dvd Calendar'!$P$524)=0,"",IF(('Dvd Calendar'!$P$524&gt;=GRID_FROM)*('Dvd Calendar'!$P$524&lt;=GRID_TO)*('Dvd Calendar'!$P$524&gt;VAL_DATE)=0,"",'Dvd Calendar'!$P$524*1000000000+ISNUMBER('Dvd Calendar'!$P$525)*100000000+0*10000000+(N('Dvd Calendar'!$P$523)&gt;0)*(N('Dvd Calendar'!$P$523)&lt;=VAL_SERIAL)*1000000+47*1000+52))</f>
        <v/>
      </c>
      <c r="GE58" s="35">
        <f>IF(N('Dvd Calendar'!$Q$524)=0,"",IF(('Dvd Calendar'!$Q$524&gt;=GRID_FROM)*('Dvd Calendar'!$Q$524&lt;=GRID_TO)*('Dvd Calendar'!$Q$524&gt;VAL_DATE)=0,"",'Dvd Calendar'!$Q$524*1000000000+ISNUMBER('Dvd Calendar'!$Q$525)*100000000+0*10000000+(N('Dvd Calendar'!$Q$523)&gt;0)*(N('Dvd Calendar'!$Q$523)&lt;=VAL_SERIAL)*1000000+47*1000+53))</f>
        <v/>
      </c>
      <c r="GF58" s="35">
        <f>IF(N('Dvd Calendar'!$R$524)=0,"",IF(('Dvd Calendar'!$R$524&gt;=GRID_FROM)*('Dvd Calendar'!$R$524&lt;=GRID_TO)*('Dvd Calendar'!$R$524&gt;VAL_DATE)=0,"",'Dvd Calendar'!$R$524*1000000000+ISNUMBER('Dvd Calendar'!$R$525)*100000000+0*10000000+(N('Dvd Calendar'!$R$523)&gt;0)*(N('Dvd Calendar'!$R$523)&lt;=VAL_SERIAL)*1000000+47*1000+54))</f>
        <v/>
      </c>
      <c r="GG58" s="35">
        <f>IF(N('Dvd Calendar'!$S$524)=0,"",IF(('Dvd Calendar'!$S$524&gt;=GRID_FROM)*('Dvd Calendar'!$S$524&lt;=GRID_TO)*('Dvd Calendar'!$S$524&gt;VAL_DATE)=0,"",'Dvd Calendar'!$S$524*1000000000+ISNUMBER('Dvd Calendar'!$S$525)*100000000+0*10000000+(N('Dvd Calendar'!$S$523)&gt;0)*(N('Dvd Calendar'!$S$523)&lt;=VAL_SERIAL)*1000000+47*1000+55))</f>
        <v/>
      </c>
      <c r="GH58" s="35">
        <f>IF(N('Dvd Calendar'!$T$524)=0,"",IF(('Dvd Calendar'!$T$524&gt;=GRID_FROM)*('Dvd Calendar'!$T$524&lt;=GRID_TO)*('Dvd Calendar'!$T$524&gt;VAL_DATE)=0,"",'Dvd Calendar'!$T$524*1000000000+ISNUMBER('Dvd Calendar'!$T$525)*100000000+0*10000000+(N('Dvd Calendar'!$T$523)&gt;0)*(N('Dvd Calendar'!$T$523)&lt;=VAL_SERIAL)*1000000+47*1000+56))</f>
        <v/>
      </c>
      <c r="GI58" s="35">
        <f>IF(N('Dvd Calendar'!$U$524)=0,"",IF(('Dvd Calendar'!$U$524&gt;=GRID_FROM)*('Dvd Calendar'!$U$524&lt;=GRID_TO)*('Dvd Calendar'!$U$524&gt;VAL_DATE)=0,"",'Dvd Calendar'!$U$524*1000000000+ISNUMBER('Dvd Calendar'!$U$525)*100000000+0*10000000+(N('Dvd Calendar'!$U$523)&gt;0)*(N('Dvd Calendar'!$U$523)&lt;=VAL_SERIAL)*1000000+47*1000+57))</f>
        <v/>
      </c>
      <c r="GJ58" s="35">
        <f>IF(N('Dvd Calendar'!$V$524)=0,"",IF(('Dvd Calendar'!$V$524&gt;=GRID_FROM)*('Dvd Calendar'!$V$524&lt;=GRID_TO)*('Dvd Calendar'!$V$524&gt;VAL_DATE)=0,"",'Dvd Calendar'!$V$524*1000000000+ISNUMBER('Dvd Calendar'!$V$525)*100000000+0*10000000+(N('Dvd Calendar'!$V$523)&gt;0)*(N('Dvd Calendar'!$V$523)&lt;=VAL_SERIAL)*1000000+47*1000+58))</f>
        <v/>
      </c>
      <c r="GK58" s="35">
        <f>IF(N('Dvd Calendar'!$W$524)=0,"",IF(('Dvd Calendar'!$W$524&gt;=GRID_FROM)*('Dvd Calendar'!$W$524&lt;=GRID_TO)*('Dvd Calendar'!$W$524&gt;VAL_DATE)=0,"",'Dvd Calendar'!$W$524*1000000000+ISNUMBER('Dvd Calendar'!$W$525)*100000000+0*10000000+(N('Dvd Calendar'!$W$523)&gt;0)*(N('Dvd Calendar'!$W$523)&lt;=VAL_SERIAL)*1000000+47*1000+59))</f>
        <v/>
      </c>
      <c r="GL58" s="35">
        <f>IF(N('Dvd Calendar'!$X$524)=0,"",IF(('Dvd Calendar'!$X$524&gt;=GRID_FROM)*('Dvd Calendar'!$X$524&lt;=GRID_TO)*('Dvd Calendar'!$X$524&gt;VAL_DATE)=0,"",'Dvd Calendar'!$X$524*1000000000+ISNUMBER('Dvd Calendar'!$X$525)*100000000+0*10000000+(N('Dvd Calendar'!$X$523)&gt;0)*(N('Dvd Calendar'!$X$523)&lt;=VAL_SERIAL)*1000000+47*1000+60))</f>
        <v/>
      </c>
      <c r="GM58" s="35">
        <f>IF(N('Dvd Calendar'!$Y$524)=0,"",IF(('Dvd Calendar'!$Y$524&gt;=GRID_FROM)*('Dvd Calendar'!$Y$524&lt;=GRID_TO)*('Dvd Calendar'!$Y$524&gt;VAL_DATE)=0,"",'Dvd Calendar'!$Y$524*1000000000+ISNUMBER('Dvd Calendar'!$Y$525)*100000000+0*10000000+(N('Dvd Calendar'!$Y$523)&gt;0)*(N('Dvd Calendar'!$Y$523)&lt;=VAL_SERIAL)*1000000+47*1000+61))</f>
        <v/>
      </c>
      <c r="GN58" s="35">
        <f>IF(N('Dvd Calendar'!$Z$524)=0,"",IF(('Dvd Calendar'!$Z$524&gt;=GRID_FROM)*('Dvd Calendar'!$Z$524&lt;=GRID_TO)*('Dvd Calendar'!$Z$524&gt;VAL_DATE)=0,"",'Dvd Calendar'!$Z$524*1000000000+ISNUMBER('Dvd Calendar'!$Z$525)*100000000+0*10000000+(N('Dvd Calendar'!$Z$523)&gt;0)*(N('Dvd Calendar'!$Z$523)&lt;=VAL_SERIAL)*1000000+47*1000+62))</f>
        <v/>
      </c>
      <c r="GO58" s="35">
        <f>IF(N('Dvd Calendar'!$AA$524)=0,"",IF(('Dvd Calendar'!$AA$524&gt;=GRID_FROM)*('Dvd Calendar'!$AA$524&lt;=GRID_TO)*('Dvd Calendar'!$AA$524&gt;VAL_DATE)=0,"",'Dvd Calendar'!$AA$524*1000000000+ISNUMBER('Dvd Calendar'!$AA$525)*100000000+0*10000000+(N('Dvd Calendar'!$AA$523)&gt;0)*(N('Dvd Calendar'!$AA$523)&lt;=VAL_SERIAL)*1000000+47*1000+63))</f>
        <v/>
      </c>
      <c r="GP58" s="35">
        <f>IF(N('Dvd Calendar'!$AB$524)=0,"",IF(('Dvd Calendar'!$AB$524&gt;=GRID_FROM)*('Dvd Calendar'!$AB$524&lt;=GRID_TO)*('Dvd Calendar'!$AB$524&gt;VAL_DATE)=0,"",'Dvd Calendar'!$AB$524*1000000000+ISNUMBER('Dvd Calendar'!$AB$525)*100000000+0*10000000+(N('Dvd Calendar'!$AB$523)&gt;0)*(N('Dvd Calendar'!$AB$523)&lt;=VAL_SERIAL)*1000000+47*1000+64))</f>
        <v/>
      </c>
      <c r="GQ58" s="35">
        <f>IF(N('Dvd Calendar'!$AC$524)=0,"",IF(('Dvd Calendar'!$AC$524&gt;=GRID_FROM)*('Dvd Calendar'!$AC$524&lt;=GRID_TO)*('Dvd Calendar'!$AC$524&gt;VAL_DATE)=0,"",'Dvd Calendar'!$AC$524*1000000000+ISNUMBER('Dvd Calendar'!$AC$525)*100000000+0*10000000+(N('Dvd Calendar'!$AC$523)&gt;0)*(N('Dvd Calendar'!$AC$523)&lt;=VAL_SERIAL)*1000000+47*1000+65))</f>
        <v/>
      </c>
    </row>
    <row r="59">
      <c r="B59" s="2">
        <f>IF(HSI!$C$54="","",HSI!$C$54)</f>
        <v/>
      </c>
      <c r="C59" s="106">
        <f>IF(EE59="","",IF(ISNUMBER('Dvd Calendar'!$E$531)=FALSE,"",IF((('Dvd Calendar'!$E$533=TYPE1)*(TYPE1&lt;&gt;"")+('Dvd Calendar'!$E$533=TYPE2)*(TYPE2&lt;&gt;"")+('Dvd Calendar'!$E$533=TYPE3)*(TYPE3&lt;&gt;"")+('Dvd Calendar'!$E$533=TYPE4)*(TYPE4&lt;&gt;"")+('Dvd Calendar'!$E$533=SPECIAL_LBL)*(INC_SPECIALS="Y"))=0,"",'Dvd Calendar'!$E$531)))</f>
        <v/>
      </c>
      <c r="D59" s="106">
        <f>IF(EF59="","",IF(ISNUMBER('Dvd Calendar'!$F$531)=FALSE,"",IF((('Dvd Calendar'!$F$533=TYPE1)*(TYPE1&lt;&gt;"")+('Dvd Calendar'!$F$533=TYPE2)*(TYPE2&lt;&gt;"")+('Dvd Calendar'!$F$533=TYPE3)*(TYPE3&lt;&gt;"")+('Dvd Calendar'!$F$533=TYPE4)*(TYPE4&lt;&gt;"")+('Dvd Calendar'!$F$533=SPECIAL_LBL)*(INC_SPECIALS="Y"))=0,"",'Dvd Calendar'!$F$531)))</f>
        <v/>
      </c>
      <c r="E59" s="106">
        <f>IF(EG59="","",IF(ISNUMBER('Dvd Calendar'!$G$531)=FALSE,"",IF((('Dvd Calendar'!$G$533=TYPE1)*(TYPE1&lt;&gt;"")+('Dvd Calendar'!$G$533=TYPE2)*(TYPE2&lt;&gt;"")+('Dvd Calendar'!$G$533=TYPE3)*(TYPE3&lt;&gt;"")+('Dvd Calendar'!$G$533=TYPE4)*(TYPE4&lt;&gt;"")+('Dvd Calendar'!$G$533=SPECIAL_LBL)*(INC_SPECIALS="Y"))=0,"",'Dvd Calendar'!$G$531)))</f>
        <v/>
      </c>
      <c r="F59" s="106">
        <f>IF(EH59="","",IF(ISNUMBER('Dvd Calendar'!$H$531)=FALSE,"",IF((('Dvd Calendar'!$H$533=TYPE1)*(TYPE1&lt;&gt;"")+('Dvd Calendar'!$H$533=TYPE2)*(TYPE2&lt;&gt;"")+('Dvd Calendar'!$H$533=TYPE3)*(TYPE3&lt;&gt;"")+('Dvd Calendar'!$H$533=TYPE4)*(TYPE4&lt;&gt;"")+('Dvd Calendar'!$H$533=SPECIAL_LBL)*(INC_SPECIALS="Y"))=0,"",'Dvd Calendar'!$H$531)))</f>
        <v/>
      </c>
      <c r="G59" s="106">
        <f>IF(EI59="","",IF(ISNUMBER('Dvd Calendar'!$I$531)=FALSE,"",IF((('Dvd Calendar'!$I$533=TYPE1)*(TYPE1&lt;&gt;"")+('Dvd Calendar'!$I$533=TYPE2)*(TYPE2&lt;&gt;"")+('Dvd Calendar'!$I$533=TYPE3)*(TYPE3&lt;&gt;"")+('Dvd Calendar'!$I$533=TYPE4)*(TYPE4&lt;&gt;"")+('Dvd Calendar'!$I$533=SPECIAL_LBL)*(INC_SPECIALS="Y"))=0,"",'Dvd Calendar'!$I$531)))</f>
        <v/>
      </c>
      <c r="H59" s="106">
        <f>IF(EJ59="","",IF(ISNUMBER('Dvd Calendar'!$J$531)=FALSE,"",IF((('Dvd Calendar'!$J$533=TYPE1)*(TYPE1&lt;&gt;"")+('Dvd Calendar'!$J$533=TYPE2)*(TYPE2&lt;&gt;"")+('Dvd Calendar'!$J$533=TYPE3)*(TYPE3&lt;&gt;"")+('Dvd Calendar'!$J$533=TYPE4)*(TYPE4&lt;&gt;"")+('Dvd Calendar'!$J$533=SPECIAL_LBL)*(INC_SPECIALS="Y"))=0,"",'Dvd Calendar'!$J$531)))</f>
        <v/>
      </c>
      <c r="I59" s="106">
        <f>IF(EK59="","",IF(ISNUMBER('Dvd Calendar'!$K$531)=FALSE,"",IF((('Dvd Calendar'!$K$533=TYPE1)*(TYPE1&lt;&gt;"")+('Dvd Calendar'!$K$533=TYPE2)*(TYPE2&lt;&gt;"")+('Dvd Calendar'!$K$533=TYPE3)*(TYPE3&lt;&gt;"")+('Dvd Calendar'!$K$533=TYPE4)*(TYPE4&lt;&gt;"")+('Dvd Calendar'!$K$533=SPECIAL_LBL)*(INC_SPECIALS="Y"))=0,"",'Dvd Calendar'!$K$531)))</f>
        <v/>
      </c>
      <c r="J59" s="106">
        <f>IF(EL59="","",IF(ISNUMBER('Dvd Calendar'!$L$531)=FALSE,"",IF((('Dvd Calendar'!$L$533=TYPE1)*(TYPE1&lt;&gt;"")+('Dvd Calendar'!$L$533=TYPE2)*(TYPE2&lt;&gt;"")+('Dvd Calendar'!$L$533=TYPE3)*(TYPE3&lt;&gt;"")+('Dvd Calendar'!$L$533=TYPE4)*(TYPE4&lt;&gt;"")+('Dvd Calendar'!$L$533=SPECIAL_LBL)*(INC_SPECIALS="Y"))=0,"",'Dvd Calendar'!$L$531)))</f>
        <v/>
      </c>
      <c r="K59" s="106">
        <f>IF(EM59="","",IF(ISNUMBER('Dvd Calendar'!$M$531)=FALSE,"",IF((('Dvd Calendar'!$M$533=TYPE1)*(TYPE1&lt;&gt;"")+('Dvd Calendar'!$M$533=TYPE2)*(TYPE2&lt;&gt;"")+('Dvd Calendar'!$M$533=TYPE3)*(TYPE3&lt;&gt;"")+('Dvd Calendar'!$M$533=TYPE4)*(TYPE4&lt;&gt;"")+('Dvd Calendar'!$M$533=SPECIAL_LBL)*(INC_SPECIALS="Y"))=0,"",'Dvd Calendar'!$M$531)))</f>
        <v/>
      </c>
      <c r="L59" s="106">
        <f>IF(EN59="","",IF(ISNUMBER('Dvd Calendar'!$N$531)=FALSE,"",IF((('Dvd Calendar'!$N$533=TYPE1)*(TYPE1&lt;&gt;"")+('Dvd Calendar'!$N$533=TYPE2)*(TYPE2&lt;&gt;"")+('Dvd Calendar'!$N$533=TYPE3)*(TYPE3&lt;&gt;"")+('Dvd Calendar'!$N$533=TYPE4)*(TYPE4&lt;&gt;"")+('Dvd Calendar'!$N$533=SPECIAL_LBL)*(INC_SPECIALS="Y"))=0,"",'Dvd Calendar'!$N$531)))</f>
        <v/>
      </c>
      <c r="M59" s="106">
        <f>IF(EO59="","",IF(ISNUMBER('Dvd Calendar'!$O$531)=FALSE,"",IF((('Dvd Calendar'!$O$533=TYPE1)*(TYPE1&lt;&gt;"")+('Dvd Calendar'!$O$533=TYPE2)*(TYPE2&lt;&gt;"")+('Dvd Calendar'!$O$533=TYPE3)*(TYPE3&lt;&gt;"")+('Dvd Calendar'!$O$533=TYPE4)*(TYPE4&lt;&gt;"")+('Dvd Calendar'!$O$533=SPECIAL_LBL)*(INC_SPECIALS="Y"))=0,"",'Dvd Calendar'!$O$531)))</f>
        <v/>
      </c>
      <c r="N59" s="106">
        <f>IF(EP59="","",IF(ISNUMBER('Dvd Calendar'!$P$531)=FALSE,"",IF((('Dvd Calendar'!$P$533=TYPE1)*(TYPE1&lt;&gt;"")+('Dvd Calendar'!$P$533=TYPE2)*(TYPE2&lt;&gt;"")+('Dvd Calendar'!$P$533=TYPE3)*(TYPE3&lt;&gt;"")+('Dvd Calendar'!$P$533=TYPE4)*(TYPE4&lt;&gt;"")+('Dvd Calendar'!$P$533=SPECIAL_LBL)*(INC_SPECIALS="Y"))=0,"",'Dvd Calendar'!$P$531)))</f>
        <v/>
      </c>
      <c r="O59" s="106">
        <f>IF(EQ59="","",IF(ISNUMBER('Dvd Calendar'!$Q$531)=FALSE,"",IF((('Dvd Calendar'!$Q$533=TYPE1)*(TYPE1&lt;&gt;"")+('Dvd Calendar'!$Q$533=TYPE2)*(TYPE2&lt;&gt;"")+('Dvd Calendar'!$Q$533=TYPE3)*(TYPE3&lt;&gt;"")+('Dvd Calendar'!$Q$533=TYPE4)*(TYPE4&lt;&gt;"")+('Dvd Calendar'!$Q$533=SPECIAL_LBL)*(INC_SPECIALS="Y"))=0,"",'Dvd Calendar'!$Q$531)))</f>
        <v/>
      </c>
      <c r="P59" s="106">
        <f>IF(ER59="","",IF(ISNUMBER('Dvd Calendar'!$R$531)=FALSE,"",IF((('Dvd Calendar'!$R$533=TYPE1)*(TYPE1&lt;&gt;"")+('Dvd Calendar'!$R$533=TYPE2)*(TYPE2&lt;&gt;"")+('Dvd Calendar'!$R$533=TYPE3)*(TYPE3&lt;&gt;"")+('Dvd Calendar'!$R$533=TYPE4)*(TYPE4&lt;&gt;"")+('Dvd Calendar'!$R$533=SPECIAL_LBL)*(INC_SPECIALS="Y"))=0,"",'Dvd Calendar'!$R$531)))</f>
        <v/>
      </c>
      <c r="Q59" s="106">
        <f>IF(ES59="","",IF(ISNUMBER('Dvd Calendar'!$S$531)=FALSE,"",IF((('Dvd Calendar'!$S$533=TYPE1)*(TYPE1&lt;&gt;"")+('Dvd Calendar'!$S$533=TYPE2)*(TYPE2&lt;&gt;"")+('Dvd Calendar'!$S$533=TYPE3)*(TYPE3&lt;&gt;"")+('Dvd Calendar'!$S$533=TYPE4)*(TYPE4&lt;&gt;"")+('Dvd Calendar'!$S$533=SPECIAL_LBL)*(INC_SPECIALS="Y"))=0,"",'Dvd Calendar'!$S$531)))</f>
        <v/>
      </c>
      <c r="R59" s="106">
        <f>IF(ET59="","",IF(ISNUMBER('Dvd Calendar'!$T$531)=FALSE,"",IF((('Dvd Calendar'!$T$533=TYPE1)*(TYPE1&lt;&gt;"")+('Dvd Calendar'!$T$533=TYPE2)*(TYPE2&lt;&gt;"")+('Dvd Calendar'!$T$533=TYPE3)*(TYPE3&lt;&gt;"")+('Dvd Calendar'!$T$533=TYPE4)*(TYPE4&lt;&gt;"")+('Dvd Calendar'!$T$533=SPECIAL_LBL)*(INC_SPECIALS="Y"))=0,"",'Dvd Calendar'!$T$531)))</f>
        <v/>
      </c>
      <c r="S59" s="106">
        <f>IF(EU59="","",IF(ISNUMBER('Dvd Calendar'!$U$531)=FALSE,"",IF((('Dvd Calendar'!$U$533=TYPE1)*(TYPE1&lt;&gt;"")+('Dvd Calendar'!$U$533=TYPE2)*(TYPE2&lt;&gt;"")+('Dvd Calendar'!$U$533=TYPE3)*(TYPE3&lt;&gt;"")+('Dvd Calendar'!$U$533=TYPE4)*(TYPE4&lt;&gt;"")+('Dvd Calendar'!$U$533=SPECIAL_LBL)*(INC_SPECIALS="Y"))=0,"",'Dvd Calendar'!$U$531)))</f>
        <v/>
      </c>
      <c r="T59" s="106">
        <f>IF(EV59="","",IF(ISNUMBER('Dvd Calendar'!$V$531)=FALSE,"",IF((('Dvd Calendar'!$V$533=TYPE1)*(TYPE1&lt;&gt;"")+('Dvd Calendar'!$V$533=TYPE2)*(TYPE2&lt;&gt;"")+('Dvd Calendar'!$V$533=TYPE3)*(TYPE3&lt;&gt;"")+('Dvd Calendar'!$V$533=TYPE4)*(TYPE4&lt;&gt;"")+('Dvd Calendar'!$V$533=SPECIAL_LBL)*(INC_SPECIALS="Y"))=0,"",'Dvd Calendar'!$V$531)))</f>
        <v/>
      </c>
      <c r="U59" s="106">
        <f>IF(EW59="","",IF(ISNUMBER('Dvd Calendar'!$W$531)=FALSE,"",IF((('Dvd Calendar'!$W$533=TYPE1)*(TYPE1&lt;&gt;"")+('Dvd Calendar'!$W$533=TYPE2)*(TYPE2&lt;&gt;"")+('Dvd Calendar'!$W$533=TYPE3)*(TYPE3&lt;&gt;"")+('Dvd Calendar'!$W$533=TYPE4)*(TYPE4&lt;&gt;"")+('Dvd Calendar'!$W$533=SPECIAL_LBL)*(INC_SPECIALS="Y"))=0,"",'Dvd Calendar'!$W$531)))</f>
        <v/>
      </c>
      <c r="V59" s="106">
        <f>IF(EX59="","",IF(ISNUMBER('Dvd Calendar'!$X$531)=FALSE,"",IF((('Dvd Calendar'!$X$533=TYPE1)*(TYPE1&lt;&gt;"")+('Dvd Calendar'!$X$533=TYPE2)*(TYPE2&lt;&gt;"")+('Dvd Calendar'!$X$533=TYPE3)*(TYPE3&lt;&gt;"")+('Dvd Calendar'!$X$533=TYPE4)*(TYPE4&lt;&gt;"")+('Dvd Calendar'!$X$533=SPECIAL_LBL)*(INC_SPECIALS="Y"))=0,"",'Dvd Calendar'!$X$531)))</f>
        <v/>
      </c>
      <c r="W59" s="106">
        <f>IF(EY59="","",IF(ISNUMBER('Dvd Calendar'!$Y$531)=FALSE,"",IF((('Dvd Calendar'!$Y$533=TYPE1)*(TYPE1&lt;&gt;"")+('Dvd Calendar'!$Y$533=TYPE2)*(TYPE2&lt;&gt;"")+('Dvd Calendar'!$Y$533=TYPE3)*(TYPE3&lt;&gt;"")+('Dvd Calendar'!$Y$533=TYPE4)*(TYPE4&lt;&gt;"")+('Dvd Calendar'!$Y$533=SPECIAL_LBL)*(INC_SPECIALS="Y"))=0,"",'Dvd Calendar'!$Y$531)))</f>
        <v/>
      </c>
      <c r="X59" s="106">
        <f>IF(EZ59="","",IF(ISNUMBER('Dvd Calendar'!$Z$531)=FALSE,"",IF((('Dvd Calendar'!$Z$533=TYPE1)*(TYPE1&lt;&gt;"")+('Dvd Calendar'!$Z$533=TYPE2)*(TYPE2&lt;&gt;"")+('Dvd Calendar'!$Z$533=TYPE3)*(TYPE3&lt;&gt;"")+('Dvd Calendar'!$Z$533=TYPE4)*(TYPE4&lt;&gt;"")+('Dvd Calendar'!$Z$533=SPECIAL_LBL)*(INC_SPECIALS="Y"))=0,"",'Dvd Calendar'!$Z$531)))</f>
        <v/>
      </c>
      <c r="Y59" s="106">
        <f>IF(FA59="","",IF(ISNUMBER('Dvd Calendar'!$AA$531)=FALSE,"",IF((('Dvd Calendar'!$AA$533=TYPE1)*(TYPE1&lt;&gt;"")+('Dvd Calendar'!$AA$533=TYPE2)*(TYPE2&lt;&gt;"")+('Dvd Calendar'!$AA$533=TYPE3)*(TYPE3&lt;&gt;"")+('Dvd Calendar'!$AA$533=TYPE4)*(TYPE4&lt;&gt;"")+('Dvd Calendar'!$AA$533=SPECIAL_LBL)*(INC_SPECIALS="Y"))=0,"",'Dvd Calendar'!$AA$531)))</f>
        <v/>
      </c>
      <c r="Z59" s="106">
        <f>IF(FB59="","",IF(ISNUMBER('Dvd Calendar'!$AB$531)=FALSE,"",IF((('Dvd Calendar'!$AB$533=TYPE1)*(TYPE1&lt;&gt;"")+('Dvd Calendar'!$AB$533=TYPE2)*(TYPE2&lt;&gt;"")+('Dvd Calendar'!$AB$533=TYPE3)*(TYPE3&lt;&gt;"")+('Dvd Calendar'!$AB$533=TYPE4)*(TYPE4&lt;&gt;"")+('Dvd Calendar'!$AB$533=SPECIAL_LBL)*(INC_SPECIALS="Y"))=0,"",'Dvd Calendar'!$AB$531)))</f>
        <v/>
      </c>
      <c r="AA59" s="106">
        <f>IF(FC59="","",IF(ISNUMBER('Dvd Calendar'!$AC$531)=FALSE,"",IF((('Dvd Calendar'!$AC$533=TYPE1)*(TYPE1&lt;&gt;"")+('Dvd Calendar'!$AC$533=TYPE2)*(TYPE2&lt;&gt;"")+('Dvd Calendar'!$AC$533=TYPE3)*(TYPE3&lt;&gt;"")+('Dvd Calendar'!$AC$533=TYPE4)*(TYPE4&lt;&gt;"")+('Dvd Calendar'!$AC$533=SPECIAL_LBL)*(INC_SPECIALS="Y"))=0,"",'Dvd Calendar'!$AC$531)))</f>
        <v/>
      </c>
      <c r="AB59" s="106">
        <f>IF(FD59="","",IF(ISNUMBER('Dvd Calendar'!$AD$531)=FALSE,"",IF((('Dvd Calendar'!$AD$533=TYPE1)*(TYPE1&lt;&gt;"")+('Dvd Calendar'!$AD$533=TYPE2)*(TYPE2&lt;&gt;"")+('Dvd Calendar'!$AD$533=TYPE3)*(TYPE3&lt;&gt;"")+('Dvd Calendar'!$AD$533=TYPE4)*(TYPE4&lt;&gt;"")+('Dvd Calendar'!$AD$533=SPECIAL_LBL)*(INC_SPECIALS="Y"))=0,"",'Dvd Calendar'!$AD$531)))</f>
        <v/>
      </c>
      <c r="AC59" s="106">
        <f>IF(FE59="","",IF(ISNUMBER('Dvd Calendar'!$AE$531)=FALSE,"",IF((('Dvd Calendar'!$AE$533=TYPE1)*(TYPE1&lt;&gt;"")+('Dvd Calendar'!$AE$533=TYPE2)*(TYPE2&lt;&gt;"")+('Dvd Calendar'!$AE$533=TYPE3)*(TYPE3&lt;&gt;"")+('Dvd Calendar'!$AE$533=TYPE4)*(TYPE4&lt;&gt;"")+('Dvd Calendar'!$AE$533=SPECIAL_LBL)*(INC_SPECIALS="Y"))=0,"",'Dvd Calendar'!$AE$531)))</f>
        <v/>
      </c>
      <c r="AD59" s="106">
        <f>IF(FF59="","",IF(ISNUMBER('Dvd Calendar'!$AF$531)=FALSE,"",IF((('Dvd Calendar'!$AF$533=TYPE1)*(TYPE1&lt;&gt;"")+('Dvd Calendar'!$AF$533=TYPE2)*(TYPE2&lt;&gt;"")+('Dvd Calendar'!$AF$533=TYPE3)*(TYPE3&lt;&gt;"")+('Dvd Calendar'!$AF$533=TYPE4)*(TYPE4&lt;&gt;"")+('Dvd Calendar'!$AF$533=SPECIAL_LBL)*(INC_SPECIALS="Y"))=0,"",'Dvd Calendar'!$AF$531)))</f>
        <v/>
      </c>
      <c r="AE59" s="106">
        <f>IF(FG59="","",IF(ISNUMBER('Dvd Calendar'!$AG$531)=FALSE,"",IF((('Dvd Calendar'!$AG$533=TYPE1)*(TYPE1&lt;&gt;"")+('Dvd Calendar'!$AG$533=TYPE2)*(TYPE2&lt;&gt;"")+('Dvd Calendar'!$AG$533=TYPE3)*(TYPE3&lt;&gt;"")+('Dvd Calendar'!$AG$533=TYPE4)*(TYPE4&lt;&gt;"")+('Dvd Calendar'!$AG$533=SPECIAL_LBL)*(INC_SPECIALS="Y"))=0,"",'Dvd Calendar'!$AG$531)))</f>
        <v/>
      </c>
      <c r="AF59" s="106">
        <f>IF(FH59="","",IF(ISNUMBER('Dvd Calendar'!$AH$531)=FALSE,"",IF((('Dvd Calendar'!$AH$533=TYPE1)*(TYPE1&lt;&gt;"")+('Dvd Calendar'!$AH$533=TYPE2)*(TYPE2&lt;&gt;"")+('Dvd Calendar'!$AH$533=TYPE3)*(TYPE3&lt;&gt;"")+('Dvd Calendar'!$AH$533=TYPE4)*(TYPE4&lt;&gt;"")+('Dvd Calendar'!$AH$533=SPECIAL_LBL)*(INC_SPECIALS="Y"))=0,"",'Dvd Calendar'!$AH$531)))</f>
        <v/>
      </c>
      <c r="AG59" s="106">
        <f>IF(FI59="","",IF(ISNUMBER('Dvd Calendar'!$AI$531)=FALSE,"",IF((('Dvd Calendar'!$AI$533=TYPE1)*(TYPE1&lt;&gt;"")+('Dvd Calendar'!$AI$533=TYPE2)*(TYPE2&lt;&gt;"")+('Dvd Calendar'!$AI$533=TYPE3)*(TYPE3&lt;&gt;"")+('Dvd Calendar'!$AI$533=TYPE4)*(TYPE4&lt;&gt;"")+('Dvd Calendar'!$AI$533=SPECIAL_LBL)*(INC_SPECIALS="Y"))=0,"",'Dvd Calendar'!$AI$531)))</f>
        <v/>
      </c>
      <c r="AH59" s="106">
        <f>IF(FJ59="","",IF(ISNUMBER('Dvd Calendar'!$AJ$531)=FALSE,"",IF((('Dvd Calendar'!$AJ$533=TYPE1)*(TYPE1&lt;&gt;"")+('Dvd Calendar'!$AJ$533=TYPE2)*(TYPE2&lt;&gt;"")+('Dvd Calendar'!$AJ$533=TYPE3)*(TYPE3&lt;&gt;"")+('Dvd Calendar'!$AJ$533=TYPE4)*(TYPE4&lt;&gt;"")+('Dvd Calendar'!$AJ$533=SPECIAL_LBL)*(INC_SPECIALS="Y"))=0,"",'Dvd Calendar'!$AJ$531)))</f>
        <v/>
      </c>
      <c r="AI59" s="106">
        <f>IF(FK59="","",IF(ISNUMBER('Dvd Calendar'!$AK$531)=FALSE,"",IF((('Dvd Calendar'!$AK$533=TYPE1)*(TYPE1&lt;&gt;"")+('Dvd Calendar'!$AK$533=TYPE2)*(TYPE2&lt;&gt;"")+('Dvd Calendar'!$AK$533=TYPE3)*(TYPE3&lt;&gt;"")+('Dvd Calendar'!$AK$533=TYPE4)*(TYPE4&lt;&gt;"")+('Dvd Calendar'!$AK$533=SPECIAL_LBL)*(INC_SPECIALS="Y"))=0,"",'Dvd Calendar'!$AK$531)))</f>
        <v/>
      </c>
      <c r="AJ59" s="106">
        <f>IF(FL59="","",IF(ISNUMBER('Dvd Calendar'!$AL$531)=FALSE,"",IF((('Dvd Calendar'!$AL$533=TYPE1)*(TYPE1&lt;&gt;"")+('Dvd Calendar'!$AL$533=TYPE2)*(TYPE2&lt;&gt;"")+('Dvd Calendar'!$AL$533=TYPE3)*(TYPE3&lt;&gt;"")+('Dvd Calendar'!$AL$533=TYPE4)*(TYPE4&lt;&gt;"")+('Dvd Calendar'!$AL$533=SPECIAL_LBL)*(INC_SPECIALS="Y"))=0,"",'Dvd Calendar'!$AL$531)))</f>
        <v/>
      </c>
      <c r="AK59" s="106">
        <f>IF(FM59="","",IF(ISNUMBER('Dvd Calendar'!$AM$531)=FALSE,"",IF((('Dvd Calendar'!$AM$533=TYPE1)*(TYPE1&lt;&gt;"")+('Dvd Calendar'!$AM$533=TYPE2)*(TYPE2&lt;&gt;"")+('Dvd Calendar'!$AM$533=TYPE3)*(TYPE3&lt;&gt;"")+('Dvd Calendar'!$AM$533=TYPE4)*(TYPE4&lt;&gt;"")+('Dvd Calendar'!$AM$533=SPECIAL_LBL)*(INC_SPECIALS="Y"))=0,"",'Dvd Calendar'!$AM$531)))</f>
        <v/>
      </c>
      <c r="AL59" s="106">
        <f>IF(FN59="","",IF(ISNUMBER('Dvd Calendar'!$AN$531)=FALSE,"",IF((('Dvd Calendar'!$AN$533=TYPE1)*(TYPE1&lt;&gt;"")+('Dvd Calendar'!$AN$533=TYPE2)*(TYPE2&lt;&gt;"")+('Dvd Calendar'!$AN$533=TYPE3)*(TYPE3&lt;&gt;"")+('Dvd Calendar'!$AN$533=TYPE4)*(TYPE4&lt;&gt;"")+('Dvd Calendar'!$AN$533=SPECIAL_LBL)*(INC_SPECIALS="Y"))=0,"",'Dvd Calendar'!$AN$531)))</f>
        <v/>
      </c>
      <c r="AM59" s="106">
        <f>IF(FO59="","",IF(ISNUMBER('Dvd Calendar'!$AO$531)=FALSE,"",IF((('Dvd Calendar'!$AO$533=TYPE1)*(TYPE1&lt;&gt;"")+('Dvd Calendar'!$AO$533=TYPE2)*(TYPE2&lt;&gt;"")+('Dvd Calendar'!$AO$533=TYPE3)*(TYPE3&lt;&gt;"")+('Dvd Calendar'!$AO$533=TYPE4)*(TYPE4&lt;&gt;"")+('Dvd Calendar'!$AO$533=SPECIAL_LBL)*(INC_SPECIALS="Y"))=0,"",'Dvd Calendar'!$AO$531)))</f>
        <v/>
      </c>
      <c r="AN59" s="106">
        <f>IF(FP59="","",IF(ISNUMBER('Dvd Calendar'!$AP$531)=FALSE,"",IF((('Dvd Calendar'!$AP$533=TYPE1)*(TYPE1&lt;&gt;"")+('Dvd Calendar'!$AP$533=TYPE2)*(TYPE2&lt;&gt;"")+('Dvd Calendar'!$AP$533=TYPE3)*(TYPE3&lt;&gt;"")+('Dvd Calendar'!$AP$533=TYPE4)*(TYPE4&lt;&gt;"")+('Dvd Calendar'!$AP$533=SPECIAL_LBL)*(INC_SPECIALS="Y"))=0,"",'Dvd Calendar'!$AP$531)))</f>
        <v/>
      </c>
      <c r="AO59" s="106">
        <f>IF(FQ59="","",IF(ISNUMBER('Dvd Calendar'!$AQ$531)=FALSE,"",IF((('Dvd Calendar'!$AQ$533=TYPE1)*(TYPE1&lt;&gt;"")+('Dvd Calendar'!$AQ$533=TYPE2)*(TYPE2&lt;&gt;"")+('Dvd Calendar'!$AQ$533=TYPE3)*(TYPE3&lt;&gt;"")+('Dvd Calendar'!$AQ$533=TYPE4)*(TYPE4&lt;&gt;"")+('Dvd Calendar'!$AQ$533=SPECIAL_LBL)*(INC_SPECIALS="Y"))=0,"",'Dvd Calendar'!$AQ$531)))</f>
        <v/>
      </c>
      <c r="AP59" s="106">
        <f>IF(FR59="","",IF(ISNUMBER('Dvd Calendar'!$AR$531)=FALSE,"",IF((('Dvd Calendar'!$AR$533=TYPE1)*(TYPE1&lt;&gt;"")+('Dvd Calendar'!$AR$533=TYPE2)*(TYPE2&lt;&gt;"")+('Dvd Calendar'!$AR$533=TYPE3)*(TYPE3&lt;&gt;"")+('Dvd Calendar'!$AR$533=TYPE4)*(TYPE4&lt;&gt;"")+('Dvd Calendar'!$AR$533=SPECIAL_LBL)*(INC_SPECIALS="Y"))=0,"",'Dvd Calendar'!$AR$531)))</f>
        <v/>
      </c>
      <c r="AQ59" s="106">
        <f>IF(FS59="","",IF(ISNUMBER('Dvd Calendar'!$E$536)=FALSE,"",'Dvd Calendar'!$E$536))</f>
        <v/>
      </c>
      <c r="AR59" s="106">
        <f>IF(FT59="","",IF(ISNUMBER('Dvd Calendar'!$F$536)=FALSE,"",'Dvd Calendar'!$F$536))</f>
        <v/>
      </c>
      <c r="AS59" s="106">
        <f>IF(FU59="","",IF(ISNUMBER('Dvd Calendar'!$G$536)=FALSE,"",'Dvd Calendar'!$G$536))</f>
        <v/>
      </c>
      <c r="AT59" s="106">
        <f>IF(FV59="","",IF(ISNUMBER('Dvd Calendar'!$H$536)=FALSE,"",'Dvd Calendar'!$H$536))</f>
        <v/>
      </c>
      <c r="AU59" s="106">
        <f>IF(FW59="","",IF(ISNUMBER('Dvd Calendar'!$I$536)=FALSE,"",'Dvd Calendar'!$I$536))</f>
        <v/>
      </c>
      <c r="AV59" s="106">
        <f>IF(FX59="","",IF(ISNUMBER('Dvd Calendar'!$J$536)=FALSE,"",'Dvd Calendar'!$J$536))</f>
        <v/>
      </c>
      <c r="AW59" s="106">
        <f>IF(FY59="","",IF(ISNUMBER('Dvd Calendar'!$K$536)=FALSE,"",'Dvd Calendar'!$K$536))</f>
        <v/>
      </c>
      <c r="AX59" s="106">
        <f>IF(FZ59="","",IF(ISNUMBER('Dvd Calendar'!$L$536)=FALSE,"",'Dvd Calendar'!$L$536))</f>
        <v/>
      </c>
      <c r="AY59" s="106">
        <f>IF(GA59="","",IF(ISNUMBER('Dvd Calendar'!$M$536)=FALSE,"",'Dvd Calendar'!$M$536))</f>
        <v/>
      </c>
      <c r="AZ59" s="106">
        <f>IF(GB59="","",IF(ISNUMBER('Dvd Calendar'!$N$536)=FALSE,"",'Dvd Calendar'!$N$536))</f>
        <v/>
      </c>
      <c r="BA59" s="106">
        <f>IF(GC59="","",IF(ISNUMBER('Dvd Calendar'!$O$536)=FALSE,"",'Dvd Calendar'!$O$536))</f>
        <v/>
      </c>
      <c r="BB59" s="106">
        <f>IF(GD59="","",IF(ISNUMBER('Dvd Calendar'!$P$536)=FALSE,"",'Dvd Calendar'!$P$536))</f>
        <v/>
      </c>
      <c r="BC59" s="106">
        <f>IF(GE59="","",IF(ISNUMBER('Dvd Calendar'!$Q$536)=FALSE,"",'Dvd Calendar'!$Q$536))</f>
        <v/>
      </c>
      <c r="BD59" s="106">
        <f>IF(GF59="","",IF(ISNUMBER('Dvd Calendar'!$R$536)=FALSE,"",'Dvd Calendar'!$R$536))</f>
        <v/>
      </c>
      <c r="BE59" s="106">
        <f>IF(GG59="","",IF(ISNUMBER('Dvd Calendar'!$S$536)=FALSE,"",'Dvd Calendar'!$S$536))</f>
        <v/>
      </c>
      <c r="BF59" s="106">
        <f>IF(GH59="","",IF(ISNUMBER('Dvd Calendar'!$T$536)=FALSE,"",'Dvd Calendar'!$T$536))</f>
        <v/>
      </c>
      <c r="BG59" s="106">
        <f>IF(GI59="","",IF(ISNUMBER('Dvd Calendar'!$U$536)=FALSE,"",'Dvd Calendar'!$U$536))</f>
        <v/>
      </c>
      <c r="BH59" s="106">
        <f>IF(GJ59="","",IF(ISNUMBER('Dvd Calendar'!$V$536)=FALSE,"",'Dvd Calendar'!$V$536))</f>
        <v/>
      </c>
      <c r="BI59" s="106">
        <f>IF(GK59="","",IF(ISNUMBER('Dvd Calendar'!$W$536)=FALSE,"",'Dvd Calendar'!$W$536))</f>
        <v/>
      </c>
      <c r="BJ59" s="106">
        <f>IF(GL59="","",IF(ISNUMBER('Dvd Calendar'!$X$536)=FALSE,"",'Dvd Calendar'!$X$536))</f>
        <v/>
      </c>
      <c r="BK59" s="106">
        <f>IF(GM59="","",IF(ISNUMBER('Dvd Calendar'!$Y$536)=FALSE,"",'Dvd Calendar'!$Y$536))</f>
        <v/>
      </c>
      <c r="BL59" s="106">
        <f>IF(GN59="","",IF(ISNUMBER('Dvd Calendar'!$Z$536)=FALSE,"",'Dvd Calendar'!$Z$536))</f>
        <v/>
      </c>
      <c r="BM59" s="106">
        <f>IF(GO59="","",IF(ISNUMBER('Dvd Calendar'!$AA$536)=FALSE,"",'Dvd Calendar'!$AA$536))</f>
        <v/>
      </c>
      <c r="BN59" s="106">
        <f>IF(GP59="","",IF(ISNUMBER('Dvd Calendar'!$AB$536)=FALSE,"",'Dvd Calendar'!$AB$536))</f>
        <v/>
      </c>
      <c r="BO59" s="106">
        <f>IF(GQ59="","",IF(ISNUMBER('Dvd Calendar'!$AC$536)=FALSE,"",'Dvd Calendar'!$AC$536))</f>
        <v/>
      </c>
      <c r="BQ59" s="106">
        <f>IF(C59="","",IFERROR(C59*HSI!$B$54*HSI!$G$54/HSI!$B$3,""))</f>
        <v/>
      </c>
      <c r="BR59" s="106">
        <f>IF(D59="","",IFERROR(D59*HSI!$B$54*HSI!$G$54/HSI!$B$3,""))</f>
        <v/>
      </c>
      <c r="BS59" s="106">
        <f>IF(E59="","",IFERROR(E59*HSI!$B$54*HSI!$G$54/HSI!$B$3,""))</f>
        <v/>
      </c>
      <c r="BT59" s="106">
        <f>IF(F59="","",IFERROR(F59*HSI!$B$54*HSI!$G$54/HSI!$B$3,""))</f>
        <v/>
      </c>
      <c r="BU59" s="106">
        <f>IF(G59="","",IFERROR(G59*HSI!$B$54*HSI!$G$54/HSI!$B$3,""))</f>
        <v/>
      </c>
      <c r="BV59" s="106">
        <f>IF(H59="","",IFERROR(H59*HSI!$B$54*HSI!$G$54/HSI!$B$3,""))</f>
        <v/>
      </c>
      <c r="BW59" s="106">
        <f>IF(I59="","",IFERROR(I59*HSI!$B$54*HSI!$G$54/HSI!$B$3,""))</f>
        <v/>
      </c>
      <c r="BX59" s="106">
        <f>IF(J59="","",IFERROR(J59*HSI!$B$54*HSI!$G$54/HSI!$B$3,""))</f>
        <v/>
      </c>
      <c r="BY59" s="106">
        <f>IF(K59="","",IFERROR(K59*HSI!$B$54*HSI!$G$54/HSI!$B$3,""))</f>
        <v/>
      </c>
      <c r="BZ59" s="106">
        <f>IF(L59="","",IFERROR(L59*HSI!$B$54*HSI!$G$54/HSI!$B$3,""))</f>
        <v/>
      </c>
      <c r="CA59" s="106">
        <f>IF(M59="","",IFERROR(M59*HSI!$B$54*HSI!$G$54/HSI!$B$3,""))</f>
        <v/>
      </c>
      <c r="CB59" s="106">
        <f>IF(N59="","",IFERROR(N59*HSI!$B$54*HSI!$G$54/HSI!$B$3,""))</f>
        <v/>
      </c>
      <c r="CC59" s="106">
        <f>IF(O59="","",IFERROR(O59*HSI!$B$54*HSI!$G$54/HSI!$B$3,""))</f>
        <v/>
      </c>
      <c r="CD59" s="106">
        <f>IF(P59="","",IFERROR(P59*HSI!$B$54*HSI!$G$54/HSI!$B$3,""))</f>
        <v/>
      </c>
      <c r="CE59" s="106">
        <f>IF(Q59="","",IFERROR(Q59*HSI!$B$54*HSI!$G$54/HSI!$B$3,""))</f>
        <v/>
      </c>
      <c r="CF59" s="106">
        <f>IF(R59="","",IFERROR(R59*HSI!$B$54*HSI!$G$54/HSI!$B$3,""))</f>
        <v/>
      </c>
      <c r="CG59" s="106">
        <f>IF(S59="","",IFERROR(S59*HSI!$B$54*HSI!$G$54/HSI!$B$3,""))</f>
        <v/>
      </c>
      <c r="CH59" s="106">
        <f>IF(T59="","",IFERROR(T59*HSI!$B$54*HSI!$G$54/HSI!$B$3,""))</f>
        <v/>
      </c>
      <c r="CI59" s="106">
        <f>IF(U59="","",IFERROR(U59*HSI!$B$54*HSI!$G$54/HSI!$B$3,""))</f>
        <v/>
      </c>
      <c r="CJ59" s="106">
        <f>IF(V59="","",IFERROR(V59*HSI!$B$54*HSI!$G$54/HSI!$B$3,""))</f>
        <v/>
      </c>
      <c r="CK59" s="106">
        <f>IF(W59="","",IFERROR(W59*HSI!$B$54*HSI!$G$54/HSI!$B$3,""))</f>
        <v/>
      </c>
      <c r="CL59" s="106">
        <f>IF(X59="","",IFERROR(X59*HSI!$B$54*HSI!$G$54/HSI!$B$3,""))</f>
        <v/>
      </c>
      <c r="CM59" s="106">
        <f>IF(Y59="","",IFERROR(Y59*HSI!$B$54*HSI!$G$54/HSI!$B$3,""))</f>
        <v/>
      </c>
      <c r="CN59" s="106">
        <f>IF(Z59="","",IFERROR(Z59*HSI!$B$54*HSI!$G$54/HSI!$B$3,""))</f>
        <v/>
      </c>
      <c r="CO59" s="106">
        <f>IF(AA59="","",IFERROR(AA59*HSI!$B$54*HSI!$G$54/HSI!$B$3,""))</f>
        <v/>
      </c>
      <c r="CP59" s="106">
        <f>IF(AB59="","",IFERROR(AB59*HSI!$B$54*HSI!$G$54/HSI!$B$3,""))</f>
        <v/>
      </c>
      <c r="CQ59" s="106">
        <f>IF(AC59="","",IFERROR(AC59*HSI!$B$54*HSI!$G$54/HSI!$B$3,""))</f>
        <v/>
      </c>
      <c r="CR59" s="106">
        <f>IF(AD59="","",IFERROR(AD59*HSI!$B$54*HSI!$G$54/HSI!$B$3,""))</f>
        <v/>
      </c>
      <c r="CS59" s="106">
        <f>IF(AE59="","",IFERROR(AE59*HSI!$B$54*HSI!$G$54/HSI!$B$3,""))</f>
        <v/>
      </c>
      <c r="CT59" s="106">
        <f>IF(AF59="","",IFERROR(AF59*HSI!$B$54*HSI!$G$54/HSI!$B$3,""))</f>
        <v/>
      </c>
      <c r="CU59" s="106">
        <f>IF(AG59="","",IFERROR(AG59*HSI!$B$54*HSI!$G$54/HSI!$B$3,""))</f>
        <v/>
      </c>
      <c r="CV59" s="106">
        <f>IF(AH59="","",IFERROR(AH59*HSI!$B$54*HSI!$G$54/HSI!$B$3,""))</f>
        <v/>
      </c>
      <c r="CW59" s="106">
        <f>IF(AI59="","",IFERROR(AI59*HSI!$B$54*HSI!$G$54/HSI!$B$3,""))</f>
        <v/>
      </c>
      <c r="CX59" s="106">
        <f>IF(AJ59="","",IFERROR(AJ59*HSI!$B$54*HSI!$G$54/HSI!$B$3,""))</f>
        <v/>
      </c>
      <c r="CY59" s="106">
        <f>IF(AK59="","",IFERROR(AK59*HSI!$B$54*HSI!$G$54/HSI!$B$3,""))</f>
        <v/>
      </c>
      <c r="CZ59" s="106">
        <f>IF(AL59="","",IFERROR(AL59*HSI!$B$54*HSI!$G$54/HSI!$B$3,""))</f>
        <v/>
      </c>
      <c r="DA59" s="106">
        <f>IF(AM59="","",IFERROR(AM59*HSI!$B$54*HSI!$G$54/HSI!$B$3,""))</f>
        <v/>
      </c>
      <c r="DB59" s="106">
        <f>IF(AN59="","",IFERROR(AN59*HSI!$B$54*HSI!$G$54/HSI!$B$3,""))</f>
        <v/>
      </c>
      <c r="DC59" s="106">
        <f>IF(AO59="","",IFERROR(AO59*HSI!$B$54*HSI!$G$54/HSI!$B$3,""))</f>
        <v/>
      </c>
      <c r="DD59" s="106">
        <f>IF(AP59="","",IFERROR(AP59*HSI!$B$54*HSI!$G$54/HSI!$B$3,""))</f>
        <v/>
      </c>
      <c r="DE59" s="106">
        <f>IF(AQ59="","",IFERROR(AQ59*HSI!$B$54*HSI!$G$54/HSI!$B$3,""))</f>
        <v/>
      </c>
      <c r="DF59" s="106">
        <f>IF(AR59="","",IFERROR(AR59*HSI!$B$54*HSI!$G$54/HSI!$B$3,""))</f>
        <v/>
      </c>
      <c r="DG59" s="106">
        <f>IF(AS59="","",IFERROR(AS59*HSI!$B$54*HSI!$G$54/HSI!$B$3,""))</f>
        <v/>
      </c>
      <c r="DH59" s="106">
        <f>IF(AT59="","",IFERROR(AT59*HSI!$B$54*HSI!$G$54/HSI!$B$3,""))</f>
        <v/>
      </c>
      <c r="DI59" s="106">
        <f>IF(AU59="","",IFERROR(AU59*HSI!$B$54*HSI!$G$54/HSI!$B$3,""))</f>
        <v/>
      </c>
      <c r="DJ59" s="106">
        <f>IF(AV59="","",IFERROR(AV59*HSI!$B$54*HSI!$G$54/HSI!$B$3,""))</f>
        <v/>
      </c>
      <c r="DK59" s="106">
        <f>IF(AW59="","",IFERROR(AW59*HSI!$B$54*HSI!$G$54/HSI!$B$3,""))</f>
        <v/>
      </c>
      <c r="DL59" s="106">
        <f>IF(AX59="","",IFERROR(AX59*HSI!$B$54*HSI!$G$54/HSI!$B$3,""))</f>
        <v/>
      </c>
      <c r="DM59" s="106">
        <f>IF(AY59="","",IFERROR(AY59*HSI!$B$54*HSI!$G$54/HSI!$B$3,""))</f>
        <v/>
      </c>
      <c r="DN59" s="106">
        <f>IF(AZ59="","",IFERROR(AZ59*HSI!$B$54*HSI!$G$54/HSI!$B$3,""))</f>
        <v/>
      </c>
      <c r="DO59" s="106">
        <f>IF(BA59="","",IFERROR(BA59*HSI!$B$54*HSI!$G$54/HSI!$B$3,""))</f>
        <v/>
      </c>
      <c r="DP59" s="106">
        <f>IF(BB59="","",IFERROR(BB59*HSI!$B$54*HSI!$G$54/HSI!$B$3,""))</f>
        <v/>
      </c>
      <c r="DQ59" s="106">
        <f>IF(BC59="","",IFERROR(BC59*HSI!$B$54*HSI!$G$54/HSI!$B$3,""))</f>
        <v/>
      </c>
      <c r="DR59" s="106">
        <f>IF(BD59="","",IFERROR(BD59*HSI!$B$54*HSI!$G$54/HSI!$B$3,""))</f>
        <v/>
      </c>
      <c r="DS59" s="106">
        <f>IF(BE59="","",IFERROR(BE59*HSI!$B$54*HSI!$G$54/HSI!$B$3,""))</f>
        <v/>
      </c>
      <c r="DT59" s="106">
        <f>IF(BF59="","",IFERROR(BF59*HSI!$B$54*HSI!$G$54/HSI!$B$3,""))</f>
        <v/>
      </c>
      <c r="DU59" s="106">
        <f>IF(BG59="","",IFERROR(BG59*HSI!$B$54*HSI!$G$54/HSI!$B$3,""))</f>
        <v/>
      </c>
      <c r="DV59" s="106">
        <f>IF(BH59="","",IFERROR(BH59*HSI!$B$54*HSI!$G$54/HSI!$B$3,""))</f>
        <v/>
      </c>
      <c r="DW59" s="106">
        <f>IF(BI59="","",IFERROR(BI59*HSI!$B$54*HSI!$G$54/HSI!$B$3,""))</f>
        <v/>
      </c>
      <c r="DX59" s="106">
        <f>IF(BJ59="","",IFERROR(BJ59*HSI!$B$54*HSI!$G$54/HSI!$B$3,""))</f>
        <v/>
      </c>
      <c r="DY59" s="106">
        <f>IF(BK59="","",IFERROR(BK59*HSI!$B$54*HSI!$G$54/HSI!$B$3,""))</f>
        <v/>
      </c>
      <c r="DZ59" s="106">
        <f>IF(BL59="","",IFERROR(BL59*HSI!$B$54*HSI!$G$54/HSI!$B$3,""))</f>
        <v/>
      </c>
      <c r="EA59" s="106">
        <f>IF(BM59="","",IFERROR(BM59*HSI!$B$54*HSI!$G$54/HSI!$B$3,""))</f>
        <v/>
      </c>
      <c r="EB59" s="106">
        <f>IF(BN59="","",IFERROR(BN59*HSI!$B$54*HSI!$G$54/HSI!$B$3,""))</f>
        <v/>
      </c>
      <c r="EC59" s="106">
        <f>IF(BO59="","",IFERROR(BO59*HSI!$B$54*HSI!$G$54/HSI!$B$3,""))</f>
        <v/>
      </c>
      <c r="EE59" s="35">
        <f>IF(N('Dvd Calendar'!$E$528)=0,"",IF(('Dvd Calendar'!$E$528&gt;=GRID_FROM)*('Dvd Calendar'!$E$528&lt;=GRID_TO)*('Dvd Calendar'!$E$528&lt;=VAL_DATE)=0,"",'Dvd Calendar'!$E$528*1000000000+ISNUMBER('Dvd Calendar'!$E$531)*100000000+('Dvd Calendar'!$E$533=SPECIAL_LBL)*10000000+0*1000000+48*1000+1))</f>
        <v/>
      </c>
      <c r="EF59" s="35">
        <f>IF(N('Dvd Calendar'!$F$528)=0,"",IF(('Dvd Calendar'!$F$528&gt;=GRID_FROM)*('Dvd Calendar'!$F$528&lt;=GRID_TO)*('Dvd Calendar'!$F$528&lt;=VAL_DATE)=0,"",'Dvd Calendar'!$F$528*1000000000+ISNUMBER('Dvd Calendar'!$F$531)*100000000+('Dvd Calendar'!$F$533=SPECIAL_LBL)*10000000+0*1000000+48*1000+2))</f>
        <v/>
      </c>
      <c r="EG59" s="35">
        <f>IF(N('Dvd Calendar'!$G$528)=0,"",IF(('Dvd Calendar'!$G$528&gt;=GRID_FROM)*('Dvd Calendar'!$G$528&lt;=GRID_TO)*('Dvd Calendar'!$G$528&lt;=VAL_DATE)=0,"",'Dvd Calendar'!$G$528*1000000000+ISNUMBER('Dvd Calendar'!$G$531)*100000000+('Dvd Calendar'!$G$533=SPECIAL_LBL)*10000000+0*1000000+48*1000+3))</f>
        <v/>
      </c>
      <c r="EH59" s="35">
        <f>IF(N('Dvd Calendar'!$H$528)=0,"",IF(('Dvd Calendar'!$H$528&gt;=GRID_FROM)*('Dvd Calendar'!$H$528&lt;=GRID_TO)*('Dvd Calendar'!$H$528&lt;=VAL_DATE)=0,"",'Dvd Calendar'!$H$528*1000000000+ISNUMBER('Dvd Calendar'!$H$531)*100000000+('Dvd Calendar'!$H$533=SPECIAL_LBL)*10000000+0*1000000+48*1000+4))</f>
        <v/>
      </c>
      <c r="EI59" s="35">
        <f>IF(N('Dvd Calendar'!$I$528)=0,"",IF(('Dvd Calendar'!$I$528&gt;=GRID_FROM)*('Dvd Calendar'!$I$528&lt;=GRID_TO)*('Dvd Calendar'!$I$528&lt;=VAL_DATE)=0,"",'Dvd Calendar'!$I$528*1000000000+ISNUMBER('Dvd Calendar'!$I$531)*100000000+('Dvd Calendar'!$I$533=SPECIAL_LBL)*10000000+0*1000000+48*1000+5))</f>
        <v/>
      </c>
      <c r="EJ59" s="35">
        <f>IF(N('Dvd Calendar'!$J$528)=0,"",IF(('Dvd Calendar'!$J$528&gt;=GRID_FROM)*('Dvd Calendar'!$J$528&lt;=GRID_TO)*('Dvd Calendar'!$J$528&lt;=VAL_DATE)=0,"",'Dvd Calendar'!$J$528*1000000000+ISNUMBER('Dvd Calendar'!$J$531)*100000000+('Dvd Calendar'!$J$533=SPECIAL_LBL)*10000000+0*1000000+48*1000+6))</f>
        <v/>
      </c>
      <c r="EK59" s="35">
        <f>IF(N('Dvd Calendar'!$K$528)=0,"",IF(('Dvd Calendar'!$K$528&gt;=GRID_FROM)*('Dvd Calendar'!$K$528&lt;=GRID_TO)*('Dvd Calendar'!$K$528&lt;=VAL_DATE)=0,"",'Dvd Calendar'!$K$528*1000000000+ISNUMBER('Dvd Calendar'!$K$531)*100000000+('Dvd Calendar'!$K$533=SPECIAL_LBL)*10000000+0*1000000+48*1000+7))</f>
        <v/>
      </c>
      <c r="EL59" s="35">
        <f>IF(N('Dvd Calendar'!$L$528)=0,"",IF(('Dvd Calendar'!$L$528&gt;=GRID_FROM)*('Dvd Calendar'!$L$528&lt;=GRID_TO)*('Dvd Calendar'!$L$528&lt;=VAL_DATE)=0,"",'Dvd Calendar'!$L$528*1000000000+ISNUMBER('Dvd Calendar'!$L$531)*100000000+('Dvd Calendar'!$L$533=SPECIAL_LBL)*10000000+0*1000000+48*1000+8))</f>
        <v/>
      </c>
      <c r="EM59" s="35">
        <f>IF(N('Dvd Calendar'!$M$528)=0,"",IF(('Dvd Calendar'!$M$528&gt;=GRID_FROM)*('Dvd Calendar'!$M$528&lt;=GRID_TO)*('Dvd Calendar'!$M$528&lt;=VAL_DATE)=0,"",'Dvd Calendar'!$M$528*1000000000+ISNUMBER('Dvd Calendar'!$M$531)*100000000+('Dvd Calendar'!$M$533=SPECIAL_LBL)*10000000+0*1000000+48*1000+9))</f>
        <v/>
      </c>
      <c r="EN59" s="35">
        <f>IF(N('Dvd Calendar'!$N$528)=0,"",IF(('Dvd Calendar'!$N$528&gt;=GRID_FROM)*('Dvd Calendar'!$N$528&lt;=GRID_TO)*('Dvd Calendar'!$N$528&lt;=VAL_DATE)=0,"",'Dvd Calendar'!$N$528*1000000000+ISNUMBER('Dvd Calendar'!$N$531)*100000000+('Dvd Calendar'!$N$533=SPECIAL_LBL)*10000000+0*1000000+48*1000+10))</f>
        <v/>
      </c>
      <c r="EO59" s="35">
        <f>IF(N('Dvd Calendar'!$O$528)=0,"",IF(('Dvd Calendar'!$O$528&gt;=GRID_FROM)*('Dvd Calendar'!$O$528&lt;=GRID_TO)*('Dvd Calendar'!$O$528&lt;=VAL_DATE)=0,"",'Dvd Calendar'!$O$528*1000000000+ISNUMBER('Dvd Calendar'!$O$531)*100000000+('Dvd Calendar'!$O$533=SPECIAL_LBL)*10000000+0*1000000+48*1000+11))</f>
        <v/>
      </c>
      <c r="EP59" s="35">
        <f>IF(N('Dvd Calendar'!$P$528)=0,"",IF(('Dvd Calendar'!$P$528&gt;=GRID_FROM)*('Dvd Calendar'!$P$528&lt;=GRID_TO)*('Dvd Calendar'!$P$528&lt;=VAL_DATE)=0,"",'Dvd Calendar'!$P$528*1000000000+ISNUMBER('Dvd Calendar'!$P$531)*100000000+('Dvd Calendar'!$P$533=SPECIAL_LBL)*10000000+0*1000000+48*1000+12))</f>
        <v/>
      </c>
      <c r="EQ59" s="35">
        <f>IF(N('Dvd Calendar'!$Q$528)=0,"",IF(('Dvd Calendar'!$Q$528&gt;=GRID_FROM)*('Dvd Calendar'!$Q$528&lt;=GRID_TO)*('Dvd Calendar'!$Q$528&lt;=VAL_DATE)=0,"",'Dvd Calendar'!$Q$528*1000000000+ISNUMBER('Dvd Calendar'!$Q$531)*100000000+('Dvd Calendar'!$Q$533=SPECIAL_LBL)*10000000+0*1000000+48*1000+13))</f>
        <v/>
      </c>
      <c r="ER59" s="35">
        <f>IF(N('Dvd Calendar'!$R$528)=0,"",IF(('Dvd Calendar'!$R$528&gt;=GRID_FROM)*('Dvd Calendar'!$R$528&lt;=GRID_TO)*('Dvd Calendar'!$R$528&lt;=VAL_DATE)=0,"",'Dvd Calendar'!$R$528*1000000000+ISNUMBER('Dvd Calendar'!$R$531)*100000000+('Dvd Calendar'!$R$533=SPECIAL_LBL)*10000000+0*1000000+48*1000+14))</f>
        <v/>
      </c>
      <c r="ES59" s="35">
        <f>IF(N('Dvd Calendar'!$S$528)=0,"",IF(('Dvd Calendar'!$S$528&gt;=GRID_FROM)*('Dvd Calendar'!$S$528&lt;=GRID_TO)*('Dvd Calendar'!$S$528&lt;=VAL_DATE)=0,"",'Dvd Calendar'!$S$528*1000000000+ISNUMBER('Dvd Calendar'!$S$531)*100000000+('Dvd Calendar'!$S$533=SPECIAL_LBL)*10000000+0*1000000+48*1000+15))</f>
        <v/>
      </c>
      <c r="ET59" s="35">
        <f>IF(N('Dvd Calendar'!$T$528)=0,"",IF(('Dvd Calendar'!$T$528&gt;=GRID_FROM)*('Dvd Calendar'!$T$528&lt;=GRID_TO)*('Dvd Calendar'!$T$528&lt;=VAL_DATE)=0,"",'Dvd Calendar'!$T$528*1000000000+ISNUMBER('Dvd Calendar'!$T$531)*100000000+('Dvd Calendar'!$T$533=SPECIAL_LBL)*10000000+0*1000000+48*1000+16))</f>
        <v/>
      </c>
      <c r="EU59" s="35">
        <f>IF(N('Dvd Calendar'!$U$528)=0,"",IF(('Dvd Calendar'!$U$528&gt;=GRID_FROM)*('Dvd Calendar'!$U$528&lt;=GRID_TO)*('Dvd Calendar'!$U$528&lt;=VAL_DATE)=0,"",'Dvd Calendar'!$U$528*1000000000+ISNUMBER('Dvd Calendar'!$U$531)*100000000+('Dvd Calendar'!$U$533=SPECIAL_LBL)*10000000+0*1000000+48*1000+17))</f>
        <v/>
      </c>
      <c r="EV59" s="35">
        <f>IF(N('Dvd Calendar'!$V$528)=0,"",IF(('Dvd Calendar'!$V$528&gt;=GRID_FROM)*('Dvd Calendar'!$V$528&lt;=GRID_TO)*('Dvd Calendar'!$V$528&lt;=VAL_DATE)=0,"",'Dvd Calendar'!$V$528*1000000000+ISNUMBER('Dvd Calendar'!$V$531)*100000000+('Dvd Calendar'!$V$533=SPECIAL_LBL)*10000000+0*1000000+48*1000+18))</f>
        <v/>
      </c>
      <c r="EW59" s="35">
        <f>IF(N('Dvd Calendar'!$W$528)=0,"",IF(('Dvd Calendar'!$W$528&gt;=GRID_FROM)*('Dvd Calendar'!$W$528&lt;=GRID_TO)*('Dvd Calendar'!$W$528&lt;=VAL_DATE)=0,"",'Dvd Calendar'!$W$528*1000000000+ISNUMBER('Dvd Calendar'!$W$531)*100000000+('Dvd Calendar'!$W$533=SPECIAL_LBL)*10000000+0*1000000+48*1000+19))</f>
        <v/>
      </c>
      <c r="EX59" s="35">
        <f>IF(N('Dvd Calendar'!$X$528)=0,"",IF(('Dvd Calendar'!$X$528&gt;=GRID_FROM)*('Dvd Calendar'!$X$528&lt;=GRID_TO)*('Dvd Calendar'!$X$528&lt;=VAL_DATE)=0,"",'Dvd Calendar'!$X$528*1000000000+ISNUMBER('Dvd Calendar'!$X$531)*100000000+('Dvd Calendar'!$X$533=SPECIAL_LBL)*10000000+0*1000000+48*1000+20))</f>
        <v/>
      </c>
      <c r="EY59" s="35">
        <f>IF(N('Dvd Calendar'!$Y$528)=0,"",IF(('Dvd Calendar'!$Y$528&gt;=GRID_FROM)*('Dvd Calendar'!$Y$528&lt;=GRID_TO)*('Dvd Calendar'!$Y$528&lt;=VAL_DATE)=0,"",'Dvd Calendar'!$Y$528*1000000000+ISNUMBER('Dvd Calendar'!$Y$531)*100000000+('Dvd Calendar'!$Y$533=SPECIAL_LBL)*10000000+0*1000000+48*1000+21))</f>
        <v/>
      </c>
      <c r="EZ59" s="35">
        <f>IF(N('Dvd Calendar'!$Z$528)=0,"",IF(('Dvd Calendar'!$Z$528&gt;=GRID_FROM)*('Dvd Calendar'!$Z$528&lt;=GRID_TO)*('Dvd Calendar'!$Z$528&lt;=VAL_DATE)=0,"",'Dvd Calendar'!$Z$528*1000000000+ISNUMBER('Dvd Calendar'!$Z$531)*100000000+('Dvd Calendar'!$Z$533=SPECIAL_LBL)*10000000+0*1000000+48*1000+22))</f>
        <v/>
      </c>
      <c r="FA59" s="35">
        <f>IF(N('Dvd Calendar'!$AA$528)=0,"",IF(('Dvd Calendar'!$AA$528&gt;=GRID_FROM)*('Dvd Calendar'!$AA$528&lt;=GRID_TO)*('Dvd Calendar'!$AA$528&lt;=VAL_DATE)=0,"",'Dvd Calendar'!$AA$528*1000000000+ISNUMBER('Dvd Calendar'!$AA$531)*100000000+('Dvd Calendar'!$AA$533=SPECIAL_LBL)*10000000+0*1000000+48*1000+23))</f>
        <v/>
      </c>
      <c r="FB59" s="35">
        <f>IF(N('Dvd Calendar'!$AB$528)=0,"",IF(('Dvd Calendar'!$AB$528&gt;=GRID_FROM)*('Dvd Calendar'!$AB$528&lt;=GRID_TO)*('Dvd Calendar'!$AB$528&lt;=VAL_DATE)=0,"",'Dvd Calendar'!$AB$528*1000000000+ISNUMBER('Dvd Calendar'!$AB$531)*100000000+('Dvd Calendar'!$AB$533=SPECIAL_LBL)*10000000+0*1000000+48*1000+24))</f>
        <v/>
      </c>
      <c r="FC59" s="35">
        <f>IF(N('Dvd Calendar'!$AC$528)=0,"",IF(('Dvd Calendar'!$AC$528&gt;=GRID_FROM)*('Dvd Calendar'!$AC$528&lt;=GRID_TO)*('Dvd Calendar'!$AC$528&lt;=VAL_DATE)=0,"",'Dvd Calendar'!$AC$528*1000000000+ISNUMBER('Dvd Calendar'!$AC$531)*100000000+('Dvd Calendar'!$AC$533=SPECIAL_LBL)*10000000+0*1000000+48*1000+25))</f>
        <v/>
      </c>
      <c r="FD59" s="35">
        <f>IF(N('Dvd Calendar'!$AD$528)=0,"",IF(('Dvd Calendar'!$AD$528&gt;=GRID_FROM)*('Dvd Calendar'!$AD$528&lt;=GRID_TO)*('Dvd Calendar'!$AD$528&lt;=VAL_DATE)=0,"",'Dvd Calendar'!$AD$528*1000000000+ISNUMBER('Dvd Calendar'!$AD$531)*100000000+('Dvd Calendar'!$AD$533=SPECIAL_LBL)*10000000+0*1000000+48*1000+26))</f>
        <v/>
      </c>
      <c r="FE59" s="35">
        <f>IF(N('Dvd Calendar'!$AE$528)=0,"",IF(('Dvd Calendar'!$AE$528&gt;=GRID_FROM)*('Dvd Calendar'!$AE$528&lt;=GRID_TO)*('Dvd Calendar'!$AE$528&lt;=VAL_DATE)=0,"",'Dvd Calendar'!$AE$528*1000000000+ISNUMBER('Dvd Calendar'!$AE$531)*100000000+('Dvd Calendar'!$AE$533=SPECIAL_LBL)*10000000+0*1000000+48*1000+27))</f>
        <v/>
      </c>
      <c r="FF59" s="35">
        <f>IF(N('Dvd Calendar'!$AF$528)=0,"",IF(('Dvd Calendar'!$AF$528&gt;=GRID_FROM)*('Dvd Calendar'!$AF$528&lt;=GRID_TO)*('Dvd Calendar'!$AF$528&lt;=VAL_DATE)=0,"",'Dvd Calendar'!$AF$528*1000000000+ISNUMBER('Dvd Calendar'!$AF$531)*100000000+('Dvd Calendar'!$AF$533=SPECIAL_LBL)*10000000+0*1000000+48*1000+28))</f>
        <v/>
      </c>
      <c r="FG59" s="35">
        <f>IF(N('Dvd Calendar'!$AG$528)=0,"",IF(('Dvd Calendar'!$AG$528&gt;=GRID_FROM)*('Dvd Calendar'!$AG$528&lt;=GRID_TO)*('Dvd Calendar'!$AG$528&lt;=VAL_DATE)=0,"",'Dvd Calendar'!$AG$528*1000000000+ISNUMBER('Dvd Calendar'!$AG$531)*100000000+('Dvd Calendar'!$AG$533=SPECIAL_LBL)*10000000+0*1000000+48*1000+29))</f>
        <v/>
      </c>
      <c r="FH59" s="35">
        <f>IF(N('Dvd Calendar'!$AH$528)=0,"",IF(('Dvd Calendar'!$AH$528&gt;=GRID_FROM)*('Dvd Calendar'!$AH$528&lt;=GRID_TO)*('Dvd Calendar'!$AH$528&lt;=VAL_DATE)=0,"",'Dvd Calendar'!$AH$528*1000000000+ISNUMBER('Dvd Calendar'!$AH$531)*100000000+('Dvd Calendar'!$AH$533=SPECIAL_LBL)*10000000+0*1000000+48*1000+30))</f>
        <v/>
      </c>
      <c r="FI59" s="35">
        <f>IF(N('Dvd Calendar'!$AI$528)=0,"",IF(('Dvd Calendar'!$AI$528&gt;=GRID_FROM)*('Dvd Calendar'!$AI$528&lt;=GRID_TO)*('Dvd Calendar'!$AI$528&lt;=VAL_DATE)=0,"",'Dvd Calendar'!$AI$528*1000000000+ISNUMBER('Dvd Calendar'!$AI$531)*100000000+('Dvd Calendar'!$AI$533=SPECIAL_LBL)*10000000+0*1000000+48*1000+31))</f>
        <v/>
      </c>
      <c r="FJ59" s="35">
        <f>IF(N('Dvd Calendar'!$AJ$528)=0,"",IF(('Dvd Calendar'!$AJ$528&gt;=GRID_FROM)*('Dvd Calendar'!$AJ$528&lt;=GRID_TO)*('Dvd Calendar'!$AJ$528&lt;=VAL_DATE)=0,"",'Dvd Calendar'!$AJ$528*1000000000+ISNUMBER('Dvd Calendar'!$AJ$531)*100000000+('Dvd Calendar'!$AJ$533=SPECIAL_LBL)*10000000+0*1000000+48*1000+32))</f>
        <v/>
      </c>
      <c r="FK59" s="35">
        <f>IF(N('Dvd Calendar'!$AK$528)=0,"",IF(('Dvd Calendar'!$AK$528&gt;=GRID_FROM)*('Dvd Calendar'!$AK$528&lt;=GRID_TO)*('Dvd Calendar'!$AK$528&lt;=VAL_DATE)=0,"",'Dvd Calendar'!$AK$528*1000000000+ISNUMBER('Dvd Calendar'!$AK$531)*100000000+('Dvd Calendar'!$AK$533=SPECIAL_LBL)*10000000+0*1000000+48*1000+33))</f>
        <v/>
      </c>
      <c r="FL59" s="35">
        <f>IF(N('Dvd Calendar'!$AL$528)=0,"",IF(('Dvd Calendar'!$AL$528&gt;=GRID_FROM)*('Dvd Calendar'!$AL$528&lt;=GRID_TO)*('Dvd Calendar'!$AL$528&lt;=VAL_DATE)=0,"",'Dvd Calendar'!$AL$528*1000000000+ISNUMBER('Dvd Calendar'!$AL$531)*100000000+('Dvd Calendar'!$AL$533=SPECIAL_LBL)*10000000+0*1000000+48*1000+34))</f>
        <v/>
      </c>
      <c r="FM59" s="35">
        <f>IF(N('Dvd Calendar'!$AM$528)=0,"",IF(('Dvd Calendar'!$AM$528&gt;=GRID_FROM)*('Dvd Calendar'!$AM$528&lt;=GRID_TO)*('Dvd Calendar'!$AM$528&lt;=VAL_DATE)=0,"",'Dvd Calendar'!$AM$528*1000000000+ISNUMBER('Dvd Calendar'!$AM$531)*100000000+('Dvd Calendar'!$AM$533=SPECIAL_LBL)*10000000+0*1000000+48*1000+35))</f>
        <v/>
      </c>
      <c r="FN59" s="35">
        <f>IF(N('Dvd Calendar'!$AN$528)=0,"",IF(('Dvd Calendar'!$AN$528&gt;=GRID_FROM)*('Dvd Calendar'!$AN$528&lt;=GRID_TO)*('Dvd Calendar'!$AN$528&lt;=VAL_DATE)=0,"",'Dvd Calendar'!$AN$528*1000000000+ISNUMBER('Dvd Calendar'!$AN$531)*100000000+('Dvd Calendar'!$AN$533=SPECIAL_LBL)*10000000+0*1000000+48*1000+36))</f>
        <v/>
      </c>
      <c r="FO59" s="35">
        <f>IF(N('Dvd Calendar'!$AO$528)=0,"",IF(('Dvd Calendar'!$AO$528&gt;=GRID_FROM)*('Dvd Calendar'!$AO$528&lt;=GRID_TO)*('Dvd Calendar'!$AO$528&lt;=VAL_DATE)=0,"",'Dvd Calendar'!$AO$528*1000000000+ISNUMBER('Dvd Calendar'!$AO$531)*100000000+('Dvd Calendar'!$AO$533=SPECIAL_LBL)*10000000+0*1000000+48*1000+37))</f>
        <v/>
      </c>
      <c r="FP59" s="35">
        <f>IF(N('Dvd Calendar'!$AP$528)=0,"",IF(('Dvd Calendar'!$AP$528&gt;=GRID_FROM)*('Dvd Calendar'!$AP$528&lt;=GRID_TO)*('Dvd Calendar'!$AP$528&lt;=VAL_DATE)=0,"",'Dvd Calendar'!$AP$528*1000000000+ISNUMBER('Dvd Calendar'!$AP$531)*100000000+('Dvd Calendar'!$AP$533=SPECIAL_LBL)*10000000+0*1000000+48*1000+38))</f>
        <v/>
      </c>
      <c r="FQ59" s="35">
        <f>IF(N('Dvd Calendar'!$AQ$528)=0,"",IF(('Dvd Calendar'!$AQ$528&gt;=GRID_FROM)*('Dvd Calendar'!$AQ$528&lt;=GRID_TO)*('Dvd Calendar'!$AQ$528&lt;=VAL_DATE)=0,"",'Dvd Calendar'!$AQ$528*1000000000+ISNUMBER('Dvd Calendar'!$AQ$531)*100000000+('Dvd Calendar'!$AQ$533=SPECIAL_LBL)*10000000+0*1000000+48*1000+39))</f>
        <v/>
      </c>
      <c r="FR59" s="35">
        <f>IF(N('Dvd Calendar'!$AR$528)=0,"",IF(('Dvd Calendar'!$AR$528&gt;=GRID_FROM)*('Dvd Calendar'!$AR$528&lt;=GRID_TO)*('Dvd Calendar'!$AR$528&lt;=VAL_DATE)=0,"",'Dvd Calendar'!$AR$528*1000000000+ISNUMBER('Dvd Calendar'!$AR$531)*100000000+('Dvd Calendar'!$AR$533=SPECIAL_LBL)*10000000+0*1000000+48*1000+40))</f>
        <v/>
      </c>
      <c r="FS59" s="35">
        <f>IF(N('Dvd Calendar'!$E$535)=0,"",IF(('Dvd Calendar'!$E$535&gt;=GRID_FROM)*('Dvd Calendar'!$E$535&lt;=GRID_TO)*('Dvd Calendar'!$E$535&gt;VAL_DATE)=0,"",'Dvd Calendar'!$E$535*1000000000+ISNUMBER('Dvd Calendar'!$E$536)*100000000+0*10000000+(N('Dvd Calendar'!$E$534)&gt;0)*(N('Dvd Calendar'!$E$534)&lt;=VAL_SERIAL)*1000000+48*1000+41))</f>
        <v/>
      </c>
      <c r="FT59" s="35">
        <f>IF(N('Dvd Calendar'!$F$535)=0,"",IF(('Dvd Calendar'!$F$535&gt;=GRID_FROM)*('Dvd Calendar'!$F$535&lt;=GRID_TO)*('Dvd Calendar'!$F$535&gt;VAL_DATE)=0,"",'Dvd Calendar'!$F$535*1000000000+ISNUMBER('Dvd Calendar'!$F$536)*100000000+0*10000000+(N('Dvd Calendar'!$F$534)&gt;0)*(N('Dvd Calendar'!$F$534)&lt;=VAL_SERIAL)*1000000+48*1000+42))</f>
        <v/>
      </c>
      <c r="FU59" s="35">
        <f>IF(N('Dvd Calendar'!$G$535)=0,"",IF(('Dvd Calendar'!$G$535&gt;=GRID_FROM)*('Dvd Calendar'!$G$535&lt;=GRID_TO)*('Dvd Calendar'!$G$535&gt;VAL_DATE)=0,"",'Dvd Calendar'!$G$535*1000000000+ISNUMBER('Dvd Calendar'!$G$536)*100000000+0*10000000+(N('Dvd Calendar'!$G$534)&gt;0)*(N('Dvd Calendar'!$G$534)&lt;=VAL_SERIAL)*1000000+48*1000+43))</f>
        <v/>
      </c>
      <c r="FV59" s="35">
        <f>IF(N('Dvd Calendar'!$H$535)=0,"",IF(('Dvd Calendar'!$H$535&gt;=GRID_FROM)*('Dvd Calendar'!$H$535&lt;=GRID_TO)*('Dvd Calendar'!$H$535&gt;VAL_DATE)=0,"",'Dvd Calendar'!$H$535*1000000000+ISNUMBER('Dvd Calendar'!$H$536)*100000000+0*10000000+(N('Dvd Calendar'!$H$534)&gt;0)*(N('Dvd Calendar'!$H$534)&lt;=VAL_SERIAL)*1000000+48*1000+44))</f>
        <v/>
      </c>
      <c r="FW59" s="35">
        <f>IF(N('Dvd Calendar'!$I$535)=0,"",IF(('Dvd Calendar'!$I$535&gt;=GRID_FROM)*('Dvd Calendar'!$I$535&lt;=GRID_TO)*('Dvd Calendar'!$I$535&gt;VAL_DATE)=0,"",'Dvd Calendar'!$I$535*1000000000+ISNUMBER('Dvd Calendar'!$I$536)*100000000+0*10000000+(N('Dvd Calendar'!$I$534)&gt;0)*(N('Dvd Calendar'!$I$534)&lt;=VAL_SERIAL)*1000000+48*1000+45))</f>
        <v/>
      </c>
      <c r="FX59" s="35">
        <f>IF(N('Dvd Calendar'!$J$535)=0,"",IF(('Dvd Calendar'!$J$535&gt;=GRID_FROM)*('Dvd Calendar'!$J$535&lt;=GRID_TO)*('Dvd Calendar'!$J$535&gt;VAL_DATE)=0,"",'Dvd Calendar'!$J$535*1000000000+ISNUMBER('Dvd Calendar'!$J$536)*100000000+0*10000000+(N('Dvd Calendar'!$J$534)&gt;0)*(N('Dvd Calendar'!$J$534)&lt;=VAL_SERIAL)*1000000+48*1000+46))</f>
        <v/>
      </c>
      <c r="FY59" s="35">
        <f>IF(N('Dvd Calendar'!$K$535)=0,"",IF(('Dvd Calendar'!$K$535&gt;=GRID_FROM)*('Dvd Calendar'!$K$535&lt;=GRID_TO)*('Dvd Calendar'!$K$535&gt;VAL_DATE)=0,"",'Dvd Calendar'!$K$535*1000000000+ISNUMBER('Dvd Calendar'!$K$536)*100000000+0*10000000+(N('Dvd Calendar'!$K$534)&gt;0)*(N('Dvd Calendar'!$K$534)&lt;=VAL_SERIAL)*1000000+48*1000+47))</f>
        <v/>
      </c>
      <c r="FZ59" s="35">
        <f>IF(N('Dvd Calendar'!$L$535)=0,"",IF(('Dvd Calendar'!$L$535&gt;=GRID_FROM)*('Dvd Calendar'!$L$535&lt;=GRID_TO)*('Dvd Calendar'!$L$535&gt;VAL_DATE)=0,"",'Dvd Calendar'!$L$535*1000000000+ISNUMBER('Dvd Calendar'!$L$536)*100000000+0*10000000+(N('Dvd Calendar'!$L$534)&gt;0)*(N('Dvd Calendar'!$L$534)&lt;=VAL_SERIAL)*1000000+48*1000+48))</f>
        <v/>
      </c>
      <c r="GA59" s="35">
        <f>IF(N('Dvd Calendar'!$M$535)=0,"",IF(('Dvd Calendar'!$M$535&gt;=GRID_FROM)*('Dvd Calendar'!$M$535&lt;=GRID_TO)*('Dvd Calendar'!$M$535&gt;VAL_DATE)=0,"",'Dvd Calendar'!$M$535*1000000000+ISNUMBER('Dvd Calendar'!$M$536)*100000000+0*10000000+(N('Dvd Calendar'!$M$534)&gt;0)*(N('Dvd Calendar'!$M$534)&lt;=VAL_SERIAL)*1000000+48*1000+49))</f>
        <v/>
      </c>
      <c r="GB59" s="35">
        <f>IF(N('Dvd Calendar'!$N$535)=0,"",IF(('Dvd Calendar'!$N$535&gt;=GRID_FROM)*('Dvd Calendar'!$N$535&lt;=GRID_TO)*('Dvd Calendar'!$N$535&gt;VAL_DATE)=0,"",'Dvd Calendar'!$N$535*1000000000+ISNUMBER('Dvd Calendar'!$N$536)*100000000+0*10000000+(N('Dvd Calendar'!$N$534)&gt;0)*(N('Dvd Calendar'!$N$534)&lt;=VAL_SERIAL)*1000000+48*1000+50))</f>
        <v/>
      </c>
      <c r="GC59" s="35">
        <f>IF(N('Dvd Calendar'!$O$535)=0,"",IF(('Dvd Calendar'!$O$535&gt;=GRID_FROM)*('Dvd Calendar'!$O$535&lt;=GRID_TO)*('Dvd Calendar'!$O$535&gt;VAL_DATE)=0,"",'Dvd Calendar'!$O$535*1000000000+ISNUMBER('Dvd Calendar'!$O$536)*100000000+0*10000000+(N('Dvd Calendar'!$O$534)&gt;0)*(N('Dvd Calendar'!$O$534)&lt;=VAL_SERIAL)*1000000+48*1000+51))</f>
        <v/>
      </c>
      <c r="GD59" s="35">
        <f>IF(N('Dvd Calendar'!$P$535)=0,"",IF(('Dvd Calendar'!$P$535&gt;=GRID_FROM)*('Dvd Calendar'!$P$535&lt;=GRID_TO)*('Dvd Calendar'!$P$535&gt;VAL_DATE)=0,"",'Dvd Calendar'!$P$535*1000000000+ISNUMBER('Dvd Calendar'!$P$536)*100000000+0*10000000+(N('Dvd Calendar'!$P$534)&gt;0)*(N('Dvd Calendar'!$P$534)&lt;=VAL_SERIAL)*1000000+48*1000+52))</f>
        <v/>
      </c>
      <c r="GE59" s="35">
        <f>IF(N('Dvd Calendar'!$Q$535)=0,"",IF(('Dvd Calendar'!$Q$535&gt;=GRID_FROM)*('Dvd Calendar'!$Q$535&lt;=GRID_TO)*('Dvd Calendar'!$Q$535&gt;VAL_DATE)=0,"",'Dvd Calendar'!$Q$535*1000000000+ISNUMBER('Dvd Calendar'!$Q$536)*100000000+0*10000000+(N('Dvd Calendar'!$Q$534)&gt;0)*(N('Dvd Calendar'!$Q$534)&lt;=VAL_SERIAL)*1000000+48*1000+53))</f>
        <v/>
      </c>
      <c r="GF59" s="35">
        <f>IF(N('Dvd Calendar'!$R$535)=0,"",IF(('Dvd Calendar'!$R$535&gt;=GRID_FROM)*('Dvd Calendar'!$R$535&lt;=GRID_TO)*('Dvd Calendar'!$R$535&gt;VAL_DATE)=0,"",'Dvd Calendar'!$R$535*1000000000+ISNUMBER('Dvd Calendar'!$R$536)*100000000+0*10000000+(N('Dvd Calendar'!$R$534)&gt;0)*(N('Dvd Calendar'!$R$534)&lt;=VAL_SERIAL)*1000000+48*1000+54))</f>
        <v/>
      </c>
      <c r="GG59" s="35">
        <f>IF(N('Dvd Calendar'!$S$535)=0,"",IF(('Dvd Calendar'!$S$535&gt;=GRID_FROM)*('Dvd Calendar'!$S$535&lt;=GRID_TO)*('Dvd Calendar'!$S$535&gt;VAL_DATE)=0,"",'Dvd Calendar'!$S$535*1000000000+ISNUMBER('Dvd Calendar'!$S$536)*100000000+0*10000000+(N('Dvd Calendar'!$S$534)&gt;0)*(N('Dvd Calendar'!$S$534)&lt;=VAL_SERIAL)*1000000+48*1000+55))</f>
        <v/>
      </c>
      <c r="GH59" s="35">
        <f>IF(N('Dvd Calendar'!$T$535)=0,"",IF(('Dvd Calendar'!$T$535&gt;=GRID_FROM)*('Dvd Calendar'!$T$535&lt;=GRID_TO)*('Dvd Calendar'!$T$535&gt;VAL_DATE)=0,"",'Dvd Calendar'!$T$535*1000000000+ISNUMBER('Dvd Calendar'!$T$536)*100000000+0*10000000+(N('Dvd Calendar'!$T$534)&gt;0)*(N('Dvd Calendar'!$T$534)&lt;=VAL_SERIAL)*1000000+48*1000+56))</f>
        <v/>
      </c>
      <c r="GI59" s="35">
        <f>IF(N('Dvd Calendar'!$U$535)=0,"",IF(('Dvd Calendar'!$U$535&gt;=GRID_FROM)*('Dvd Calendar'!$U$535&lt;=GRID_TO)*('Dvd Calendar'!$U$535&gt;VAL_DATE)=0,"",'Dvd Calendar'!$U$535*1000000000+ISNUMBER('Dvd Calendar'!$U$536)*100000000+0*10000000+(N('Dvd Calendar'!$U$534)&gt;0)*(N('Dvd Calendar'!$U$534)&lt;=VAL_SERIAL)*1000000+48*1000+57))</f>
        <v/>
      </c>
      <c r="GJ59" s="35">
        <f>IF(N('Dvd Calendar'!$V$535)=0,"",IF(('Dvd Calendar'!$V$535&gt;=GRID_FROM)*('Dvd Calendar'!$V$535&lt;=GRID_TO)*('Dvd Calendar'!$V$535&gt;VAL_DATE)=0,"",'Dvd Calendar'!$V$535*1000000000+ISNUMBER('Dvd Calendar'!$V$536)*100000000+0*10000000+(N('Dvd Calendar'!$V$534)&gt;0)*(N('Dvd Calendar'!$V$534)&lt;=VAL_SERIAL)*1000000+48*1000+58))</f>
        <v/>
      </c>
      <c r="GK59" s="35">
        <f>IF(N('Dvd Calendar'!$W$535)=0,"",IF(('Dvd Calendar'!$W$535&gt;=GRID_FROM)*('Dvd Calendar'!$W$535&lt;=GRID_TO)*('Dvd Calendar'!$W$535&gt;VAL_DATE)=0,"",'Dvd Calendar'!$W$535*1000000000+ISNUMBER('Dvd Calendar'!$W$536)*100000000+0*10000000+(N('Dvd Calendar'!$W$534)&gt;0)*(N('Dvd Calendar'!$W$534)&lt;=VAL_SERIAL)*1000000+48*1000+59))</f>
        <v/>
      </c>
      <c r="GL59" s="35">
        <f>IF(N('Dvd Calendar'!$X$535)=0,"",IF(('Dvd Calendar'!$X$535&gt;=GRID_FROM)*('Dvd Calendar'!$X$535&lt;=GRID_TO)*('Dvd Calendar'!$X$535&gt;VAL_DATE)=0,"",'Dvd Calendar'!$X$535*1000000000+ISNUMBER('Dvd Calendar'!$X$536)*100000000+0*10000000+(N('Dvd Calendar'!$X$534)&gt;0)*(N('Dvd Calendar'!$X$534)&lt;=VAL_SERIAL)*1000000+48*1000+60))</f>
        <v/>
      </c>
      <c r="GM59" s="35">
        <f>IF(N('Dvd Calendar'!$Y$535)=0,"",IF(('Dvd Calendar'!$Y$535&gt;=GRID_FROM)*('Dvd Calendar'!$Y$535&lt;=GRID_TO)*('Dvd Calendar'!$Y$535&gt;VAL_DATE)=0,"",'Dvd Calendar'!$Y$535*1000000000+ISNUMBER('Dvd Calendar'!$Y$536)*100000000+0*10000000+(N('Dvd Calendar'!$Y$534)&gt;0)*(N('Dvd Calendar'!$Y$534)&lt;=VAL_SERIAL)*1000000+48*1000+61))</f>
        <v/>
      </c>
      <c r="GN59" s="35">
        <f>IF(N('Dvd Calendar'!$Z$535)=0,"",IF(('Dvd Calendar'!$Z$535&gt;=GRID_FROM)*('Dvd Calendar'!$Z$535&lt;=GRID_TO)*('Dvd Calendar'!$Z$535&gt;VAL_DATE)=0,"",'Dvd Calendar'!$Z$535*1000000000+ISNUMBER('Dvd Calendar'!$Z$536)*100000000+0*10000000+(N('Dvd Calendar'!$Z$534)&gt;0)*(N('Dvd Calendar'!$Z$534)&lt;=VAL_SERIAL)*1000000+48*1000+62))</f>
        <v/>
      </c>
      <c r="GO59" s="35">
        <f>IF(N('Dvd Calendar'!$AA$535)=0,"",IF(('Dvd Calendar'!$AA$535&gt;=GRID_FROM)*('Dvd Calendar'!$AA$535&lt;=GRID_TO)*('Dvd Calendar'!$AA$535&gt;VAL_DATE)=0,"",'Dvd Calendar'!$AA$535*1000000000+ISNUMBER('Dvd Calendar'!$AA$536)*100000000+0*10000000+(N('Dvd Calendar'!$AA$534)&gt;0)*(N('Dvd Calendar'!$AA$534)&lt;=VAL_SERIAL)*1000000+48*1000+63))</f>
        <v/>
      </c>
      <c r="GP59" s="35">
        <f>IF(N('Dvd Calendar'!$AB$535)=0,"",IF(('Dvd Calendar'!$AB$535&gt;=GRID_FROM)*('Dvd Calendar'!$AB$535&lt;=GRID_TO)*('Dvd Calendar'!$AB$535&gt;VAL_DATE)=0,"",'Dvd Calendar'!$AB$535*1000000000+ISNUMBER('Dvd Calendar'!$AB$536)*100000000+0*10000000+(N('Dvd Calendar'!$AB$534)&gt;0)*(N('Dvd Calendar'!$AB$534)&lt;=VAL_SERIAL)*1000000+48*1000+64))</f>
        <v/>
      </c>
      <c r="GQ59" s="35">
        <f>IF(N('Dvd Calendar'!$AC$535)=0,"",IF(('Dvd Calendar'!$AC$535&gt;=GRID_FROM)*('Dvd Calendar'!$AC$535&lt;=GRID_TO)*('Dvd Calendar'!$AC$535&gt;VAL_DATE)=0,"",'Dvd Calendar'!$AC$535*1000000000+ISNUMBER('Dvd Calendar'!$AC$536)*100000000+0*10000000+(N('Dvd Calendar'!$AC$534)&gt;0)*(N('Dvd Calendar'!$AC$534)&lt;=VAL_SERIAL)*1000000+48*1000+65))</f>
        <v/>
      </c>
    </row>
    <row r="60">
      <c r="B60" s="2">
        <f>IF(HSI!$C$55="","",HSI!$C$55)</f>
        <v/>
      </c>
      <c r="C60" s="106">
        <f>IF(EE60="","",IF(ISNUMBER('Dvd Calendar'!$E$542)=FALSE,"",IF((('Dvd Calendar'!$E$544=TYPE1)*(TYPE1&lt;&gt;"")+('Dvd Calendar'!$E$544=TYPE2)*(TYPE2&lt;&gt;"")+('Dvd Calendar'!$E$544=TYPE3)*(TYPE3&lt;&gt;"")+('Dvd Calendar'!$E$544=TYPE4)*(TYPE4&lt;&gt;"")+('Dvd Calendar'!$E$544=SPECIAL_LBL)*(INC_SPECIALS="Y"))=0,"",'Dvd Calendar'!$E$542)))</f>
        <v/>
      </c>
      <c r="D60" s="106">
        <f>IF(EF60="","",IF(ISNUMBER('Dvd Calendar'!$F$542)=FALSE,"",IF((('Dvd Calendar'!$F$544=TYPE1)*(TYPE1&lt;&gt;"")+('Dvd Calendar'!$F$544=TYPE2)*(TYPE2&lt;&gt;"")+('Dvd Calendar'!$F$544=TYPE3)*(TYPE3&lt;&gt;"")+('Dvd Calendar'!$F$544=TYPE4)*(TYPE4&lt;&gt;"")+('Dvd Calendar'!$F$544=SPECIAL_LBL)*(INC_SPECIALS="Y"))=0,"",'Dvd Calendar'!$F$542)))</f>
        <v/>
      </c>
      <c r="E60" s="106">
        <f>IF(EG60="","",IF(ISNUMBER('Dvd Calendar'!$G$542)=FALSE,"",IF((('Dvd Calendar'!$G$544=TYPE1)*(TYPE1&lt;&gt;"")+('Dvd Calendar'!$G$544=TYPE2)*(TYPE2&lt;&gt;"")+('Dvd Calendar'!$G$544=TYPE3)*(TYPE3&lt;&gt;"")+('Dvd Calendar'!$G$544=TYPE4)*(TYPE4&lt;&gt;"")+('Dvd Calendar'!$G$544=SPECIAL_LBL)*(INC_SPECIALS="Y"))=0,"",'Dvd Calendar'!$G$542)))</f>
        <v/>
      </c>
      <c r="F60" s="106">
        <f>IF(EH60="","",IF(ISNUMBER('Dvd Calendar'!$H$542)=FALSE,"",IF((('Dvd Calendar'!$H$544=TYPE1)*(TYPE1&lt;&gt;"")+('Dvd Calendar'!$H$544=TYPE2)*(TYPE2&lt;&gt;"")+('Dvd Calendar'!$H$544=TYPE3)*(TYPE3&lt;&gt;"")+('Dvd Calendar'!$H$544=TYPE4)*(TYPE4&lt;&gt;"")+('Dvd Calendar'!$H$544=SPECIAL_LBL)*(INC_SPECIALS="Y"))=0,"",'Dvd Calendar'!$H$542)))</f>
        <v/>
      </c>
      <c r="G60" s="106">
        <f>IF(EI60="","",IF(ISNUMBER('Dvd Calendar'!$I$542)=FALSE,"",IF((('Dvd Calendar'!$I$544=TYPE1)*(TYPE1&lt;&gt;"")+('Dvd Calendar'!$I$544=TYPE2)*(TYPE2&lt;&gt;"")+('Dvd Calendar'!$I$544=TYPE3)*(TYPE3&lt;&gt;"")+('Dvd Calendar'!$I$544=TYPE4)*(TYPE4&lt;&gt;"")+('Dvd Calendar'!$I$544=SPECIAL_LBL)*(INC_SPECIALS="Y"))=0,"",'Dvd Calendar'!$I$542)))</f>
        <v/>
      </c>
      <c r="H60" s="106">
        <f>IF(EJ60="","",IF(ISNUMBER('Dvd Calendar'!$J$542)=FALSE,"",IF((('Dvd Calendar'!$J$544=TYPE1)*(TYPE1&lt;&gt;"")+('Dvd Calendar'!$J$544=TYPE2)*(TYPE2&lt;&gt;"")+('Dvd Calendar'!$J$544=TYPE3)*(TYPE3&lt;&gt;"")+('Dvd Calendar'!$J$544=TYPE4)*(TYPE4&lt;&gt;"")+('Dvd Calendar'!$J$544=SPECIAL_LBL)*(INC_SPECIALS="Y"))=0,"",'Dvd Calendar'!$J$542)))</f>
        <v/>
      </c>
      <c r="I60" s="106">
        <f>IF(EK60="","",IF(ISNUMBER('Dvd Calendar'!$K$542)=FALSE,"",IF((('Dvd Calendar'!$K$544=TYPE1)*(TYPE1&lt;&gt;"")+('Dvd Calendar'!$K$544=TYPE2)*(TYPE2&lt;&gt;"")+('Dvd Calendar'!$K$544=TYPE3)*(TYPE3&lt;&gt;"")+('Dvd Calendar'!$K$544=TYPE4)*(TYPE4&lt;&gt;"")+('Dvd Calendar'!$K$544=SPECIAL_LBL)*(INC_SPECIALS="Y"))=0,"",'Dvd Calendar'!$K$542)))</f>
        <v/>
      </c>
      <c r="J60" s="106">
        <f>IF(EL60="","",IF(ISNUMBER('Dvd Calendar'!$L$542)=FALSE,"",IF((('Dvd Calendar'!$L$544=TYPE1)*(TYPE1&lt;&gt;"")+('Dvd Calendar'!$L$544=TYPE2)*(TYPE2&lt;&gt;"")+('Dvd Calendar'!$L$544=TYPE3)*(TYPE3&lt;&gt;"")+('Dvd Calendar'!$L$544=TYPE4)*(TYPE4&lt;&gt;"")+('Dvd Calendar'!$L$544=SPECIAL_LBL)*(INC_SPECIALS="Y"))=0,"",'Dvd Calendar'!$L$542)))</f>
        <v/>
      </c>
      <c r="K60" s="106">
        <f>IF(EM60="","",IF(ISNUMBER('Dvd Calendar'!$M$542)=FALSE,"",IF((('Dvd Calendar'!$M$544=TYPE1)*(TYPE1&lt;&gt;"")+('Dvd Calendar'!$M$544=TYPE2)*(TYPE2&lt;&gt;"")+('Dvd Calendar'!$M$544=TYPE3)*(TYPE3&lt;&gt;"")+('Dvd Calendar'!$M$544=TYPE4)*(TYPE4&lt;&gt;"")+('Dvd Calendar'!$M$544=SPECIAL_LBL)*(INC_SPECIALS="Y"))=0,"",'Dvd Calendar'!$M$542)))</f>
        <v/>
      </c>
      <c r="L60" s="106">
        <f>IF(EN60="","",IF(ISNUMBER('Dvd Calendar'!$N$542)=FALSE,"",IF((('Dvd Calendar'!$N$544=TYPE1)*(TYPE1&lt;&gt;"")+('Dvd Calendar'!$N$544=TYPE2)*(TYPE2&lt;&gt;"")+('Dvd Calendar'!$N$544=TYPE3)*(TYPE3&lt;&gt;"")+('Dvd Calendar'!$N$544=TYPE4)*(TYPE4&lt;&gt;"")+('Dvd Calendar'!$N$544=SPECIAL_LBL)*(INC_SPECIALS="Y"))=0,"",'Dvd Calendar'!$N$542)))</f>
        <v/>
      </c>
      <c r="M60" s="106">
        <f>IF(EO60="","",IF(ISNUMBER('Dvd Calendar'!$O$542)=FALSE,"",IF((('Dvd Calendar'!$O$544=TYPE1)*(TYPE1&lt;&gt;"")+('Dvd Calendar'!$O$544=TYPE2)*(TYPE2&lt;&gt;"")+('Dvd Calendar'!$O$544=TYPE3)*(TYPE3&lt;&gt;"")+('Dvd Calendar'!$O$544=TYPE4)*(TYPE4&lt;&gt;"")+('Dvd Calendar'!$O$544=SPECIAL_LBL)*(INC_SPECIALS="Y"))=0,"",'Dvd Calendar'!$O$542)))</f>
        <v/>
      </c>
      <c r="N60" s="106">
        <f>IF(EP60="","",IF(ISNUMBER('Dvd Calendar'!$P$542)=FALSE,"",IF((('Dvd Calendar'!$P$544=TYPE1)*(TYPE1&lt;&gt;"")+('Dvd Calendar'!$P$544=TYPE2)*(TYPE2&lt;&gt;"")+('Dvd Calendar'!$P$544=TYPE3)*(TYPE3&lt;&gt;"")+('Dvd Calendar'!$P$544=TYPE4)*(TYPE4&lt;&gt;"")+('Dvd Calendar'!$P$544=SPECIAL_LBL)*(INC_SPECIALS="Y"))=0,"",'Dvd Calendar'!$P$542)))</f>
        <v/>
      </c>
      <c r="O60" s="106">
        <f>IF(EQ60="","",IF(ISNUMBER('Dvd Calendar'!$Q$542)=FALSE,"",IF((('Dvd Calendar'!$Q$544=TYPE1)*(TYPE1&lt;&gt;"")+('Dvd Calendar'!$Q$544=TYPE2)*(TYPE2&lt;&gt;"")+('Dvd Calendar'!$Q$544=TYPE3)*(TYPE3&lt;&gt;"")+('Dvd Calendar'!$Q$544=TYPE4)*(TYPE4&lt;&gt;"")+('Dvd Calendar'!$Q$544=SPECIAL_LBL)*(INC_SPECIALS="Y"))=0,"",'Dvd Calendar'!$Q$542)))</f>
        <v/>
      </c>
      <c r="P60" s="106">
        <f>IF(ER60="","",IF(ISNUMBER('Dvd Calendar'!$R$542)=FALSE,"",IF((('Dvd Calendar'!$R$544=TYPE1)*(TYPE1&lt;&gt;"")+('Dvd Calendar'!$R$544=TYPE2)*(TYPE2&lt;&gt;"")+('Dvd Calendar'!$R$544=TYPE3)*(TYPE3&lt;&gt;"")+('Dvd Calendar'!$R$544=TYPE4)*(TYPE4&lt;&gt;"")+('Dvd Calendar'!$R$544=SPECIAL_LBL)*(INC_SPECIALS="Y"))=0,"",'Dvd Calendar'!$R$542)))</f>
        <v/>
      </c>
      <c r="Q60" s="106">
        <f>IF(ES60="","",IF(ISNUMBER('Dvd Calendar'!$S$542)=FALSE,"",IF((('Dvd Calendar'!$S$544=TYPE1)*(TYPE1&lt;&gt;"")+('Dvd Calendar'!$S$544=TYPE2)*(TYPE2&lt;&gt;"")+('Dvd Calendar'!$S$544=TYPE3)*(TYPE3&lt;&gt;"")+('Dvd Calendar'!$S$544=TYPE4)*(TYPE4&lt;&gt;"")+('Dvd Calendar'!$S$544=SPECIAL_LBL)*(INC_SPECIALS="Y"))=0,"",'Dvd Calendar'!$S$542)))</f>
        <v/>
      </c>
      <c r="R60" s="106">
        <f>IF(ET60="","",IF(ISNUMBER('Dvd Calendar'!$T$542)=FALSE,"",IF((('Dvd Calendar'!$T$544=TYPE1)*(TYPE1&lt;&gt;"")+('Dvd Calendar'!$T$544=TYPE2)*(TYPE2&lt;&gt;"")+('Dvd Calendar'!$T$544=TYPE3)*(TYPE3&lt;&gt;"")+('Dvd Calendar'!$T$544=TYPE4)*(TYPE4&lt;&gt;"")+('Dvd Calendar'!$T$544=SPECIAL_LBL)*(INC_SPECIALS="Y"))=0,"",'Dvd Calendar'!$T$542)))</f>
        <v/>
      </c>
      <c r="S60" s="106">
        <f>IF(EU60="","",IF(ISNUMBER('Dvd Calendar'!$U$542)=FALSE,"",IF((('Dvd Calendar'!$U$544=TYPE1)*(TYPE1&lt;&gt;"")+('Dvd Calendar'!$U$544=TYPE2)*(TYPE2&lt;&gt;"")+('Dvd Calendar'!$U$544=TYPE3)*(TYPE3&lt;&gt;"")+('Dvd Calendar'!$U$544=TYPE4)*(TYPE4&lt;&gt;"")+('Dvd Calendar'!$U$544=SPECIAL_LBL)*(INC_SPECIALS="Y"))=0,"",'Dvd Calendar'!$U$542)))</f>
        <v/>
      </c>
      <c r="T60" s="106">
        <f>IF(EV60="","",IF(ISNUMBER('Dvd Calendar'!$V$542)=FALSE,"",IF((('Dvd Calendar'!$V$544=TYPE1)*(TYPE1&lt;&gt;"")+('Dvd Calendar'!$V$544=TYPE2)*(TYPE2&lt;&gt;"")+('Dvd Calendar'!$V$544=TYPE3)*(TYPE3&lt;&gt;"")+('Dvd Calendar'!$V$544=TYPE4)*(TYPE4&lt;&gt;"")+('Dvd Calendar'!$V$544=SPECIAL_LBL)*(INC_SPECIALS="Y"))=0,"",'Dvd Calendar'!$V$542)))</f>
        <v/>
      </c>
      <c r="U60" s="106">
        <f>IF(EW60="","",IF(ISNUMBER('Dvd Calendar'!$W$542)=FALSE,"",IF((('Dvd Calendar'!$W$544=TYPE1)*(TYPE1&lt;&gt;"")+('Dvd Calendar'!$W$544=TYPE2)*(TYPE2&lt;&gt;"")+('Dvd Calendar'!$W$544=TYPE3)*(TYPE3&lt;&gt;"")+('Dvd Calendar'!$W$544=TYPE4)*(TYPE4&lt;&gt;"")+('Dvd Calendar'!$W$544=SPECIAL_LBL)*(INC_SPECIALS="Y"))=0,"",'Dvd Calendar'!$W$542)))</f>
        <v/>
      </c>
      <c r="V60" s="106">
        <f>IF(EX60="","",IF(ISNUMBER('Dvd Calendar'!$X$542)=FALSE,"",IF((('Dvd Calendar'!$X$544=TYPE1)*(TYPE1&lt;&gt;"")+('Dvd Calendar'!$X$544=TYPE2)*(TYPE2&lt;&gt;"")+('Dvd Calendar'!$X$544=TYPE3)*(TYPE3&lt;&gt;"")+('Dvd Calendar'!$X$544=TYPE4)*(TYPE4&lt;&gt;"")+('Dvd Calendar'!$X$544=SPECIAL_LBL)*(INC_SPECIALS="Y"))=0,"",'Dvd Calendar'!$X$542)))</f>
        <v/>
      </c>
      <c r="W60" s="106">
        <f>IF(EY60="","",IF(ISNUMBER('Dvd Calendar'!$Y$542)=FALSE,"",IF((('Dvd Calendar'!$Y$544=TYPE1)*(TYPE1&lt;&gt;"")+('Dvd Calendar'!$Y$544=TYPE2)*(TYPE2&lt;&gt;"")+('Dvd Calendar'!$Y$544=TYPE3)*(TYPE3&lt;&gt;"")+('Dvd Calendar'!$Y$544=TYPE4)*(TYPE4&lt;&gt;"")+('Dvd Calendar'!$Y$544=SPECIAL_LBL)*(INC_SPECIALS="Y"))=0,"",'Dvd Calendar'!$Y$542)))</f>
        <v/>
      </c>
      <c r="X60" s="106">
        <f>IF(EZ60="","",IF(ISNUMBER('Dvd Calendar'!$Z$542)=FALSE,"",IF((('Dvd Calendar'!$Z$544=TYPE1)*(TYPE1&lt;&gt;"")+('Dvd Calendar'!$Z$544=TYPE2)*(TYPE2&lt;&gt;"")+('Dvd Calendar'!$Z$544=TYPE3)*(TYPE3&lt;&gt;"")+('Dvd Calendar'!$Z$544=TYPE4)*(TYPE4&lt;&gt;"")+('Dvd Calendar'!$Z$544=SPECIAL_LBL)*(INC_SPECIALS="Y"))=0,"",'Dvd Calendar'!$Z$542)))</f>
        <v/>
      </c>
      <c r="Y60" s="106">
        <f>IF(FA60="","",IF(ISNUMBER('Dvd Calendar'!$AA$542)=FALSE,"",IF((('Dvd Calendar'!$AA$544=TYPE1)*(TYPE1&lt;&gt;"")+('Dvd Calendar'!$AA$544=TYPE2)*(TYPE2&lt;&gt;"")+('Dvd Calendar'!$AA$544=TYPE3)*(TYPE3&lt;&gt;"")+('Dvd Calendar'!$AA$544=TYPE4)*(TYPE4&lt;&gt;"")+('Dvd Calendar'!$AA$544=SPECIAL_LBL)*(INC_SPECIALS="Y"))=0,"",'Dvd Calendar'!$AA$542)))</f>
        <v/>
      </c>
      <c r="Z60" s="106">
        <f>IF(FB60="","",IF(ISNUMBER('Dvd Calendar'!$AB$542)=FALSE,"",IF((('Dvd Calendar'!$AB$544=TYPE1)*(TYPE1&lt;&gt;"")+('Dvd Calendar'!$AB$544=TYPE2)*(TYPE2&lt;&gt;"")+('Dvd Calendar'!$AB$544=TYPE3)*(TYPE3&lt;&gt;"")+('Dvd Calendar'!$AB$544=TYPE4)*(TYPE4&lt;&gt;"")+('Dvd Calendar'!$AB$544=SPECIAL_LBL)*(INC_SPECIALS="Y"))=0,"",'Dvd Calendar'!$AB$542)))</f>
        <v/>
      </c>
      <c r="AA60" s="106">
        <f>IF(FC60="","",IF(ISNUMBER('Dvd Calendar'!$AC$542)=FALSE,"",IF((('Dvd Calendar'!$AC$544=TYPE1)*(TYPE1&lt;&gt;"")+('Dvd Calendar'!$AC$544=TYPE2)*(TYPE2&lt;&gt;"")+('Dvd Calendar'!$AC$544=TYPE3)*(TYPE3&lt;&gt;"")+('Dvd Calendar'!$AC$544=TYPE4)*(TYPE4&lt;&gt;"")+('Dvd Calendar'!$AC$544=SPECIAL_LBL)*(INC_SPECIALS="Y"))=0,"",'Dvd Calendar'!$AC$542)))</f>
        <v/>
      </c>
      <c r="AB60" s="106">
        <f>IF(FD60="","",IF(ISNUMBER('Dvd Calendar'!$AD$542)=FALSE,"",IF((('Dvd Calendar'!$AD$544=TYPE1)*(TYPE1&lt;&gt;"")+('Dvd Calendar'!$AD$544=TYPE2)*(TYPE2&lt;&gt;"")+('Dvd Calendar'!$AD$544=TYPE3)*(TYPE3&lt;&gt;"")+('Dvd Calendar'!$AD$544=TYPE4)*(TYPE4&lt;&gt;"")+('Dvd Calendar'!$AD$544=SPECIAL_LBL)*(INC_SPECIALS="Y"))=0,"",'Dvd Calendar'!$AD$542)))</f>
        <v/>
      </c>
      <c r="AC60" s="106">
        <f>IF(FE60="","",IF(ISNUMBER('Dvd Calendar'!$AE$542)=FALSE,"",IF((('Dvd Calendar'!$AE$544=TYPE1)*(TYPE1&lt;&gt;"")+('Dvd Calendar'!$AE$544=TYPE2)*(TYPE2&lt;&gt;"")+('Dvd Calendar'!$AE$544=TYPE3)*(TYPE3&lt;&gt;"")+('Dvd Calendar'!$AE$544=TYPE4)*(TYPE4&lt;&gt;"")+('Dvd Calendar'!$AE$544=SPECIAL_LBL)*(INC_SPECIALS="Y"))=0,"",'Dvd Calendar'!$AE$542)))</f>
        <v/>
      </c>
      <c r="AD60" s="106">
        <f>IF(FF60="","",IF(ISNUMBER('Dvd Calendar'!$AF$542)=FALSE,"",IF((('Dvd Calendar'!$AF$544=TYPE1)*(TYPE1&lt;&gt;"")+('Dvd Calendar'!$AF$544=TYPE2)*(TYPE2&lt;&gt;"")+('Dvd Calendar'!$AF$544=TYPE3)*(TYPE3&lt;&gt;"")+('Dvd Calendar'!$AF$544=TYPE4)*(TYPE4&lt;&gt;"")+('Dvd Calendar'!$AF$544=SPECIAL_LBL)*(INC_SPECIALS="Y"))=0,"",'Dvd Calendar'!$AF$542)))</f>
        <v/>
      </c>
      <c r="AE60" s="106">
        <f>IF(FG60="","",IF(ISNUMBER('Dvd Calendar'!$AG$542)=FALSE,"",IF((('Dvd Calendar'!$AG$544=TYPE1)*(TYPE1&lt;&gt;"")+('Dvd Calendar'!$AG$544=TYPE2)*(TYPE2&lt;&gt;"")+('Dvd Calendar'!$AG$544=TYPE3)*(TYPE3&lt;&gt;"")+('Dvd Calendar'!$AG$544=TYPE4)*(TYPE4&lt;&gt;"")+('Dvd Calendar'!$AG$544=SPECIAL_LBL)*(INC_SPECIALS="Y"))=0,"",'Dvd Calendar'!$AG$542)))</f>
        <v/>
      </c>
      <c r="AF60" s="106">
        <f>IF(FH60="","",IF(ISNUMBER('Dvd Calendar'!$AH$542)=FALSE,"",IF((('Dvd Calendar'!$AH$544=TYPE1)*(TYPE1&lt;&gt;"")+('Dvd Calendar'!$AH$544=TYPE2)*(TYPE2&lt;&gt;"")+('Dvd Calendar'!$AH$544=TYPE3)*(TYPE3&lt;&gt;"")+('Dvd Calendar'!$AH$544=TYPE4)*(TYPE4&lt;&gt;"")+('Dvd Calendar'!$AH$544=SPECIAL_LBL)*(INC_SPECIALS="Y"))=0,"",'Dvd Calendar'!$AH$542)))</f>
        <v/>
      </c>
      <c r="AG60" s="106">
        <f>IF(FI60="","",IF(ISNUMBER('Dvd Calendar'!$AI$542)=FALSE,"",IF((('Dvd Calendar'!$AI$544=TYPE1)*(TYPE1&lt;&gt;"")+('Dvd Calendar'!$AI$544=TYPE2)*(TYPE2&lt;&gt;"")+('Dvd Calendar'!$AI$544=TYPE3)*(TYPE3&lt;&gt;"")+('Dvd Calendar'!$AI$544=TYPE4)*(TYPE4&lt;&gt;"")+('Dvd Calendar'!$AI$544=SPECIAL_LBL)*(INC_SPECIALS="Y"))=0,"",'Dvd Calendar'!$AI$542)))</f>
        <v/>
      </c>
      <c r="AH60" s="106">
        <f>IF(FJ60="","",IF(ISNUMBER('Dvd Calendar'!$AJ$542)=FALSE,"",IF((('Dvd Calendar'!$AJ$544=TYPE1)*(TYPE1&lt;&gt;"")+('Dvd Calendar'!$AJ$544=TYPE2)*(TYPE2&lt;&gt;"")+('Dvd Calendar'!$AJ$544=TYPE3)*(TYPE3&lt;&gt;"")+('Dvd Calendar'!$AJ$544=TYPE4)*(TYPE4&lt;&gt;"")+('Dvd Calendar'!$AJ$544=SPECIAL_LBL)*(INC_SPECIALS="Y"))=0,"",'Dvd Calendar'!$AJ$542)))</f>
        <v/>
      </c>
      <c r="AI60" s="106">
        <f>IF(FK60="","",IF(ISNUMBER('Dvd Calendar'!$AK$542)=FALSE,"",IF((('Dvd Calendar'!$AK$544=TYPE1)*(TYPE1&lt;&gt;"")+('Dvd Calendar'!$AK$544=TYPE2)*(TYPE2&lt;&gt;"")+('Dvd Calendar'!$AK$544=TYPE3)*(TYPE3&lt;&gt;"")+('Dvd Calendar'!$AK$544=TYPE4)*(TYPE4&lt;&gt;"")+('Dvd Calendar'!$AK$544=SPECIAL_LBL)*(INC_SPECIALS="Y"))=0,"",'Dvd Calendar'!$AK$542)))</f>
        <v/>
      </c>
      <c r="AJ60" s="106">
        <f>IF(FL60="","",IF(ISNUMBER('Dvd Calendar'!$AL$542)=FALSE,"",IF((('Dvd Calendar'!$AL$544=TYPE1)*(TYPE1&lt;&gt;"")+('Dvd Calendar'!$AL$544=TYPE2)*(TYPE2&lt;&gt;"")+('Dvd Calendar'!$AL$544=TYPE3)*(TYPE3&lt;&gt;"")+('Dvd Calendar'!$AL$544=TYPE4)*(TYPE4&lt;&gt;"")+('Dvd Calendar'!$AL$544=SPECIAL_LBL)*(INC_SPECIALS="Y"))=0,"",'Dvd Calendar'!$AL$542)))</f>
        <v/>
      </c>
      <c r="AK60" s="106">
        <f>IF(FM60="","",IF(ISNUMBER('Dvd Calendar'!$AM$542)=FALSE,"",IF((('Dvd Calendar'!$AM$544=TYPE1)*(TYPE1&lt;&gt;"")+('Dvd Calendar'!$AM$544=TYPE2)*(TYPE2&lt;&gt;"")+('Dvd Calendar'!$AM$544=TYPE3)*(TYPE3&lt;&gt;"")+('Dvd Calendar'!$AM$544=TYPE4)*(TYPE4&lt;&gt;"")+('Dvd Calendar'!$AM$544=SPECIAL_LBL)*(INC_SPECIALS="Y"))=0,"",'Dvd Calendar'!$AM$542)))</f>
        <v/>
      </c>
      <c r="AL60" s="106">
        <f>IF(FN60="","",IF(ISNUMBER('Dvd Calendar'!$AN$542)=FALSE,"",IF((('Dvd Calendar'!$AN$544=TYPE1)*(TYPE1&lt;&gt;"")+('Dvd Calendar'!$AN$544=TYPE2)*(TYPE2&lt;&gt;"")+('Dvd Calendar'!$AN$544=TYPE3)*(TYPE3&lt;&gt;"")+('Dvd Calendar'!$AN$544=TYPE4)*(TYPE4&lt;&gt;"")+('Dvd Calendar'!$AN$544=SPECIAL_LBL)*(INC_SPECIALS="Y"))=0,"",'Dvd Calendar'!$AN$542)))</f>
        <v/>
      </c>
      <c r="AM60" s="106">
        <f>IF(FO60="","",IF(ISNUMBER('Dvd Calendar'!$AO$542)=FALSE,"",IF((('Dvd Calendar'!$AO$544=TYPE1)*(TYPE1&lt;&gt;"")+('Dvd Calendar'!$AO$544=TYPE2)*(TYPE2&lt;&gt;"")+('Dvd Calendar'!$AO$544=TYPE3)*(TYPE3&lt;&gt;"")+('Dvd Calendar'!$AO$544=TYPE4)*(TYPE4&lt;&gt;"")+('Dvd Calendar'!$AO$544=SPECIAL_LBL)*(INC_SPECIALS="Y"))=0,"",'Dvd Calendar'!$AO$542)))</f>
        <v/>
      </c>
      <c r="AN60" s="106">
        <f>IF(FP60="","",IF(ISNUMBER('Dvd Calendar'!$AP$542)=FALSE,"",IF((('Dvd Calendar'!$AP$544=TYPE1)*(TYPE1&lt;&gt;"")+('Dvd Calendar'!$AP$544=TYPE2)*(TYPE2&lt;&gt;"")+('Dvd Calendar'!$AP$544=TYPE3)*(TYPE3&lt;&gt;"")+('Dvd Calendar'!$AP$544=TYPE4)*(TYPE4&lt;&gt;"")+('Dvd Calendar'!$AP$544=SPECIAL_LBL)*(INC_SPECIALS="Y"))=0,"",'Dvd Calendar'!$AP$542)))</f>
        <v/>
      </c>
      <c r="AO60" s="106">
        <f>IF(FQ60="","",IF(ISNUMBER('Dvd Calendar'!$AQ$542)=FALSE,"",IF((('Dvd Calendar'!$AQ$544=TYPE1)*(TYPE1&lt;&gt;"")+('Dvd Calendar'!$AQ$544=TYPE2)*(TYPE2&lt;&gt;"")+('Dvd Calendar'!$AQ$544=TYPE3)*(TYPE3&lt;&gt;"")+('Dvd Calendar'!$AQ$544=TYPE4)*(TYPE4&lt;&gt;"")+('Dvd Calendar'!$AQ$544=SPECIAL_LBL)*(INC_SPECIALS="Y"))=0,"",'Dvd Calendar'!$AQ$542)))</f>
        <v/>
      </c>
      <c r="AP60" s="106">
        <f>IF(FR60="","",IF(ISNUMBER('Dvd Calendar'!$AR$542)=FALSE,"",IF((('Dvd Calendar'!$AR$544=TYPE1)*(TYPE1&lt;&gt;"")+('Dvd Calendar'!$AR$544=TYPE2)*(TYPE2&lt;&gt;"")+('Dvd Calendar'!$AR$544=TYPE3)*(TYPE3&lt;&gt;"")+('Dvd Calendar'!$AR$544=TYPE4)*(TYPE4&lt;&gt;"")+('Dvd Calendar'!$AR$544=SPECIAL_LBL)*(INC_SPECIALS="Y"))=0,"",'Dvd Calendar'!$AR$542)))</f>
        <v/>
      </c>
      <c r="AQ60" s="106">
        <f>IF(FS60="","",IF(ISNUMBER('Dvd Calendar'!$E$547)=FALSE,"",'Dvd Calendar'!$E$547))</f>
        <v/>
      </c>
      <c r="AR60" s="106">
        <f>IF(FT60="","",IF(ISNUMBER('Dvd Calendar'!$F$547)=FALSE,"",'Dvd Calendar'!$F$547))</f>
        <v/>
      </c>
      <c r="AS60" s="106">
        <f>IF(FU60="","",IF(ISNUMBER('Dvd Calendar'!$G$547)=FALSE,"",'Dvd Calendar'!$G$547))</f>
        <v/>
      </c>
      <c r="AT60" s="106">
        <f>IF(FV60="","",IF(ISNUMBER('Dvd Calendar'!$H$547)=FALSE,"",'Dvd Calendar'!$H$547))</f>
        <v/>
      </c>
      <c r="AU60" s="106">
        <f>IF(FW60="","",IF(ISNUMBER('Dvd Calendar'!$I$547)=FALSE,"",'Dvd Calendar'!$I$547))</f>
        <v/>
      </c>
      <c r="AV60" s="106">
        <f>IF(FX60="","",IF(ISNUMBER('Dvd Calendar'!$J$547)=FALSE,"",'Dvd Calendar'!$J$547))</f>
        <v/>
      </c>
      <c r="AW60" s="106">
        <f>IF(FY60="","",IF(ISNUMBER('Dvd Calendar'!$K$547)=FALSE,"",'Dvd Calendar'!$K$547))</f>
        <v/>
      </c>
      <c r="AX60" s="106">
        <f>IF(FZ60="","",IF(ISNUMBER('Dvd Calendar'!$L$547)=FALSE,"",'Dvd Calendar'!$L$547))</f>
        <v/>
      </c>
      <c r="AY60" s="106">
        <f>IF(GA60="","",IF(ISNUMBER('Dvd Calendar'!$M$547)=FALSE,"",'Dvd Calendar'!$M$547))</f>
        <v/>
      </c>
      <c r="AZ60" s="106">
        <f>IF(GB60="","",IF(ISNUMBER('Dvd Calendar'!$N$547)=FALSE,"",'Dvd Calendar'!$N$547))</f>
        <v/>
      </c>
      <c r="BA60" s="106">
        <f>IF(GC60="","",IF(ISNUMBER('Dvd Calendar'!$O$547)=FALSE,"",'Dvd Calendar'!$O$547))</f>
        <v/>
      </c>
      <c r="BB60" s="106">
        <f>IF(GD60="","",IF(ISNUMBER('Dvd Calendar'!$P$547)=FALSE,"",'Dvd Calendar'!$P$547))</f>
        <v/>
      </c>
      <c r="BC60" s="106">
        <f>IF(GE60="","",IF(ISNUMBER('Dvd Calendar'!$Q$547)=FALSE,"",'Dvd Calendar'!$Q$547))</f>
        <v/>
      </c>
      <c r="BD60" s="106">
        <f>IF(GF60="","",IF(ISNUMBER('Dvd Calendar'!$R$547)=FALSE,"",'Dvd Calendar'!$R$547))</f>
        <v/>
      </c>
      <c r="BE60" s="106">
        <f>IF(GG60="","",IF(ISNUMBER('Dvd Calendar'!$S$547)=FALSE,"",'Dvd Calendar'!$S$547))</f>
        <v/>
      </c>
      <c r="BF60" s="106">
        <f>IF(GH60="","",IF(ISNUMBER('Dvd Calendar'!$T$547)=FALSE,"",'Dvd Calendar'!$T$547))</f>
        <v/>
      </c>
      <c r="BG60" s="106">
        <f>IF(GI60="","",IF(ISNUMBER('Dvd Calendar'!$U$547)=FALSE,"",'Dvd Calendar'!$U$547))</f>
        <v/>
      </c>
      <c r="BH60" s="106">
        <f>IF(GJ60="","",IF(ISNUMBER('Dvd Calendar'!$V$547)=FALSE,"",'Dvd Calendar'!$V$547))</f>
        <v/>
      </c>
      <c r="BI60" s="106">
        <f>IF(GK60="","",IF(ISNUMBER('Dvd Calendar'!$W$547)=FALSE,"",'Dvd Calendar'!$W$547))</f>
        <v/>
      </c>
      <c r="BJ60" s="106">
        <f>IF(GL60="","",IF(ISNUMBER('Dvd Calendar'!$X$547)=FALSE,"",'Dvd Calendar'!$X$547))</f>
        <v/>
      </c>
      <c r="BK60" s="106">
        <f>IF(GM60="","",IF(ISNUMBER('Dvd Calendar'!$Y$547)=FALSE,"",'Dvd Calendar'!$Y$547))</f>
        <v/>
      </c>
      <c r="BL60" s="106">
        <f>IF(GN60="","",IF(ISNUMBER('Dvd Calendar'!$Z$547)=FALSE,"",'Dvd Calendar'!$Z$547))</f>
        <v/>
      </c>
      <c r="BM60" s="106">
        <f>IF(GO60="","",IF(ISNUMBER('Dvd Calendar'!$AA$547)=FALSE,"",'Dvd Calendar'!$AA$547))</f>
        <v/>
      </c>
      <c r="BN60" s="106">
        <f>IF(GP60="","",IF(ISNUMBER('Dvd Calendar'!$AB$547)=FALSE,"",'Dvd Calendar'!$AB$547))</f>
        <v/>
      </c>
      <c r="BO60" s="106">
        <f>IF(GQ60="","",IF(ISNUMBER('Dvd Calendar'!$AC$547)=FALSE,"",'Dvd Calendar'!$AC$547))</f>
        <v/>
      </c>
      <c r="BQ60" s="106">
        <f>IF(C60="","",IFERROR(C60*HSI!$B$55*HSI!$G$55/HSI!$B$3,""))</f>
        <v/>
      </c>
      <c r="BR60" s="106">
        <f>IF(D60="","",IFERROR(D60*HSI!$B$55*HSI!$G$55/HSI!$B$3,""))</f>
        <v/>
      </c>
      <c r="BS60" s="106">
        <f>IF(E60="","",IFERROR(E60*HSI!$B$55*HSI!$G$55/HSI!$B$3,""))</f>
        <v/>
      </c>
      <c r="BT60" s="106">
        <f>IF(F60="","",IFERROR(F60*HSI!$B$55*HSI!$G$55/HSI!$B$3,""))</f>
        <v/>
      </c>
      <c r="BU60" s="106">
        <f>IF(G60="","",IFERROR(G60*HSI!$B$55*HSI!$G$55/HSI!$B$3,""))</f>
        <v/>
      </c>
      <c r="BV60" s="106">
        <f>IF(H60="","",IFERROR(H60*HSI!$B$55*HSI!$G$55/HSI!$B$3,""))</f>
        <v/>
      </c>
      <c r="BW60" s="106">
        <f>IF(I60="","",IFERROR(I60*HSI!$B$55*HSI!$G$55/HSI!$B$3,""))</f>
        <v/>
      </c>
      <c r="BX60" s="106">
        <f>IF(J60="","",IFERROR(J60*HSI!$B$55*HSI!$G$55/HSI!$B$3,""))</f>
        <v/>
      </c>
      <c r="BY60" s="106">
        <f>IF(K60="","",IFERROR(K60*HSI!$B$55*HSI!$G$55/HSI!$B$3,""))</f>
        <v/>
      </c>
      <c r="BZ60" s="106">
        <f>IF(L60="","",IFERROR(L60*HSI!$B$55*HSI!$G$55/HSI!$B$3,""))</f>
        <v/>
      </c>
      <c r="CA60" s="106">
        <f>IF(M60="","",IFERROR(M60*HSI!$B$55*HSI!$G$55/HSI!$B$3,""))</f>
        <v/>
      </c>
      <c r="CB60" s="106">
        <f>IF(N60="","",IFERROR(N60*HSI!$B$55*HSI!$G$55/HSI!$B$3,""))</f>
        <v/>
      </c>
      <c r="CC60" s="106">
        <f>IF(O60="","",IFERROR(O60*HSI!$B$55*HSI!$G$55/HSI!$B$3,""))</f>
        <v/>
      </c>
      <c r="CD60" s="106">
        <f>IF(P60="","",IFERROR(P60*HSI!$B$55*HSI!$G$55/HSI!$B$3,""))</f>
        <v/>
      </c>
      <c r="CE60" s="106">
        <f>IF(Q60="","",IFERROR(Q60*HSI!$B$55*HSI!$G$55/HSI!$B$3,""))</f>
        <v/>
      </c>
      <c r="CF60" s="106">
        <f>IF(R60="","",IFERROR(R60*HSI!$B$55*HSI!$G$55/HSI!$B$3,""))</f>
        <v/>
      </c>
      <c r="CG60" s="106">
        <f>IF(S60="","",IFERROR(S60*HSI!$B$55*HSI!$G$55/HSI!$B$3,""))</f>
        <v/>
      </c>
      <c r="CH60" s="106">
        <f>IF(T60="","",IFERROR(T60*HSI!$B$55*HSI!$G$55/HSI!$B$3,""))</f>
        <v/>
      </c>
      <c r="CI60" s="106">
        <f>IF(U60="","",IFERROR(U60*HSI!$B$55*HSI!$G$55/HSI!$B$3,""))</f>
        <v/>
      </c>
      <c r="CJ60" s="106">
        <f>IF(V60="","",IFERROR(V60*HSI!$B$55*HSI!$G$55/HSI!$B$3,""))</f>
        <v/>
      </c>
      <c r="CK60" s="106">
        <f>IF(W60="","",IFERROR(W60*HSI!$B$55*HSI!$G$55/HSI!$B$3,""))</f>
        <v/>
      </c>
      <c r="CL60" s="106">
        <f>IF(X60="","",IFERROR(X60*HSI!$B$55*HSI!$G$55/HSI!$B$3,""))</f>
        <v/>
      </c>
      <c r="CM60" s="106">
        <f>IF(Y60="","",IFERROR(Y60*HSI!$B$55*HSI!$G$55/HSI!$B$3,""))</f>
        <v/>
      </c>
      <c r="CN60" s="106">
        <f>IF(Z60="","",IFERROR(Z60*HSI!$B$55*HSI!$G$55/HSI!$B$3,""))</f>
        <v/>
      </c>
      <c r="CO60" s="106">
        <f>IF(AA60="","",IFERROR(AA60*HSI!$B$55*HSI!$G$55/HSI!$B$3,""))</f>
        <v/>
      </c>
      <c r="CP60" s="106">
        <f>IF(AB60="","",IFERROR(AB60*HSI!$B$55*HSI!$G$55/HSI!$B$3,""))</f>
        <v/>
      </c>
      <c r="CQ60" s="106">
        <f>IF(AC60="","",IFERROR(AC60*HSI!$B$55*HSI!$G$55/HSI!$B$3,""))</f>
        <v/>
      </c>
      <c r="CR60" s="106">
        <f>IF(AD60="","",IFERROR(AD60*HSI!$B$55*HSI!$G$55/HSI!$B$3,""))</f>
        <v/>
      </c>
      <c r="CS60" s="106">
        <f>IF(AE60="","",IFERROR(AE60*HSI!$B$55*HSI!$G$55/HSI!$B$3,""))</f>
        <v/>
      </c>
      <c r="CT60" s="106">
        <f>IF(AF60="","",IFERROR(AF60*HSI!$B$55*HSI!$G$55/HSI!$B$3,""))</f>
        <v/>
      </c>
      <c r="CU60" s="106">
        <f>IF(AG60="","",IFERROR(AG60*HSI!$B$55*HSI!$G$55/HSI!$B$3,""))</f>
        <v/>
      </c>
      <c r="CV60" s="106">
        <f>IF(AH60="","",IFERROR(AH60*HSI!$B$55*HSI!$G$55/HSI!$B$3,""))</f>
        <v/>
      </c>
      <c r="CW60" s="106">
        <f>IF(AI60="","",IFERROR(AI60*HSI!$B$55*HSI!$G$55/HSI!$B$3,""))</f>
        <v/>
      </c>
      <c r="CX60" s="106">
        <f>IF(AJ60="","",IFERROR(AJ60*HSI!$B$55*HSI!$G$55/HSI!$B$3,""))</f>
        <v/>
      </c>
      <c r="CY60" s="106">
        <f>IF(AK60="","",IFERROR(AK60*HSI!$B$55*HSI!$G$55/HSI!$B$3,""))</f>
        <v/>
      </c>
      <c r="CZ60" s="106">
        <f>IF(AL60="","",IFERROR(AL60*HSI!$B$55*HSI!$G$55/HSI!$B$3,""))</f>
        <v/>
      </c>
      <c r="DA60" s="106">
        <f>IF(AM60="","",IFERROR(AM60*HSI!$B$55*HSI!$G$55/HSI!$B$3,""))</f>
        <v/>
      </c>
      <c r="DB60" s="106">
        <f>IF(AN60="","",IFERROR(AN60*HSI!$B$55*HSI!$G$55/HSI!$B$3,""))</f>
        <v/>
      </c>
      <c r="DC60" s="106">
        <f>IF(AO60="","",IFERROR(AO60*HSI!$B$55*HSI!$G$55/HSI!$B$3,""))</f>
        <v/>
      </c>
      <c r="DD60" s="106">
        <f>IF(AP60="","",IFERROR(AP60*HSI!$B$55*HSI!$G$55/HSI!$B$3,""))</f>
        <v/>
      </c>
      <c r="DE60" s="106">
        <f>IF(AQ60="","",IFERROR(AQ60*HSI!$B$55*HSI!$G$55/HSI!$B$3,""))</f>
        <v/>
      </c>
      <c r="DF60" s="106">
        <f>IF(AR60="","",IFERROR(AR60*HSI!$B$55*HSI!$G$55/HSI!$B$3,""))</f>
        <v/>
      </c>
      <c r="DG60" s="106">
        <f>IF(AS60="","",IFERROR(AS60*HSI!$B$55*HSI!$G$55/HSI!$B$3,""))</f>
        <v/>
      </c>
      <c r="DH60" s="106">
        <f>IF(AT60="","",IFERROR(AT60*HSI!$B$55*HSI!$G$55/HSI!$B$3,""))</f>
        <v/>
      </c>
      <c r="DI60" s="106">
        <f>IF(AU60="","",IFERROR(AU60*HSI!$B$55*HSI!$G$55/HSI!$B$3,""))</f>
        <v/>
      </c>
      <c r="DJ60" s="106">
        <f>IF(AV60="","",IFERROR(AV60*HSI!$B$55*HSI!$G$55/HSI!$B$3,""))</f>
        <v/>
      </c>
      <c r="DK60" s="106">
        <f>IF(AW60="","",IFERROR(AW60*HSI!$B$55*HSI!$G$55/HSI!$B$3,""))</f>
        <v/>
      </c>
      <c r="DL60" s="106">
        <f>IF(AX60="","",IFERROR(AX60*HSI!$B$55*HSI!$G$55/HSI!$B$3,""))</f>
        <v/>
      </c>
      <c r="DM60" s="106">
        <f>IF(AY60="","",IFERROR(AY60*HSI!$B$55*HSI!$G$55/HSI!$B$3,""))</f>
        <v/>
      </c>
      <c r="DN60" s="106">
        <f>IF(AZ60="","",IFERROR(AZ60*HSI!$B$55*HSI!$G$55/HSI!$B$3,""))</f>
        <v/>
      </c>
      <c r="DO60" s="106">
        <f>IF(BA60="","",IFERROR(BA60*HSI!$B$55*HSI!$G$55/HSI!$B$3,""))</f>
        <v/>
      </c>
      <c r="DP60" s="106">
        <f>IF(BB60="","",IFERROR(BB60*HSI!$B$55*HSI!$G$55/HSI!$B$3,""))</f>
        <v/>
      </c>
      <c r="DQ60" s="106">
        <f>IF(BC60="","",IFERROR(BC60*HSI!$B$55*HSI!$G$55/HSI!$B$3,""))</f>
        <v/>
      </c>
      <c r="DR60" s="106">
        <f>IF(BD60="","",IFERROR(BD60*HSI!$B$55*HSI!$G$55/HSI!$B$3,""))</f>
        <v/>
      </c>
      <c r="DS60" s="106">
        <f>IF(BE60="","",IFERROR(BE60*HSI!$B$55*HSI!$G$55/HSI!$B$3,""))</f>
        <v/>
      </c>
      <c r="DT60" s="106">
        <f>IF(BF60="","",IFERROR(BF60*HSI!$B$55*HSI!$G$55/HSI!$B$3,""))</f>
        <v/>
      </c>
      <c r="DU60" s="106">
        <f>IF(BG60="","",IFERROR(BG60*HSI!$B$55*HSI!$G$55/HSI!$B$3,""))</f>
        <v/>
      </c>
      <c r="DV60" s="106">
        <f>IF(BH60="","",IFERROR(BH60*HSI!$B$55*HSI!$G$55/HSI!$B$3,""))</f>
        <v/>
      </c>
      <c r="DW60" s="106">
        <f>IF(BI60="","",IFERROR(BI60*HSI!$B$55*HSI!$G$55/HSI!$B$3,""))</f>
        <v/>
      </c>
      <c r="DX60" s="106">
        <f>IF(BJ60="","",IFERROR(BJ60*HSI!$B$55*HSI!$G$55/HSI!$B$3,""))</f>
        <v/>
      </c>
      <c r="DY60" s="106">
        <f>IF(BK60="","",IFERROR(BK60*HSI!$B$55*HSI!$G$55/HSI!$B$3,""))</f>
        <v/>
      </c>
      <c r="DZ60" s="106">
        <f>IF(BL60="","",IFERROR(BL60*HSI!$B$55*HSI!$G$55/HSI!$B$3,""))</f>
        <v/>
      </c>
      <c r="EA60" s="106">
        <f>IF(BM60="","",IFERROR(BM60*HSI!$B$55*HSI!$G$55/HSI!$B$3,""))</f>
        <v/>
      </c>
      <c r="EB60" s="106">
        <f>IF(BN60="","",IFERROR(BN60*HSI!$B$55*HSI!$G$55/HSI!$B$3,""))</f>
        <v/>
      </c>
      <c r="EC60" s="106">
        <f>IF(BO60="","",IFERROR(BO60*HSI!$B$55*HSI!$G$55/HSI!$B$3,""))</f>
        <v/>
      </c>
      <c r="EE60" s="35">
        <f>IF(N('Dvd Calendar'!$E$539)=0,"",IF(('Dvd Calendar'!$E$539&gt;=GRID_FROM)*('Dvd Calendar'!$E$539&lt;=GRID_TO)*('Dvd Calendar'!$E$539&lt;=VAL_DATE)=0,"",'Dvd Calendar'!$E$539*1000000000+ISNUMBER('Dvd Calendar'!$E$542)*100000000+('Dvd Calendar'!$E$544=SPECIAL_LBL)*10000000+0*1000000+49*1000+1))</f>
        <v/>
      </c>
      <c r="EF60" s="35">
        <f>IF(N('Dvd Calendar'!$F$539)=0,"",IF(('Dvd Calendar'!$F$539&gt;=GRID_FROM)*('Dvd Calendar'!$F$539&lt;=GRID_TO)*('Dvd Calendar'!$F$539&lt;=VAL_DATE)=0,"",'Dvd Calendar'!$F$539*1000000000+ISNUMBER('Dvd Calendar'!$F$542)*100000000+('Dvd Calendar'!$F$544=SPECIAL_LBL)*10000000+0*1000000+49*1000+2))</f>
        <v/>
      </c>
      <c r="EG60" s="35">
        <f>IF(N('Dvd Calendar'!$G$539)=0,"",IF(('Dvd Calendar'!$G$539&gt;=GRID_FROM)*('Dvd Calendar'!$G$539&lt;=GRID_TO)*('Dvd Calendar'!$G$539&lt;=VAL_DATE)=0,"",'Dvd Calendar'!$G$539*1000000000+ISNUMBER('Dvd Calendar'!$G$542)*100000000+('Dvd Calendar'!$G$544=SPECIAL_LBL)*10000000+0*1000000+49*1000+3))</f>
        <v/>
      </c>
      <c r="EH60" s="35">
        <f>IF(N('Dvd Calendar'!$H$539)=0,"",IF(('Dvd Calendar'!$H$539&gt;=GRID_FROM)*('Dvd Calendar'!$H$539&lt;=GRID_TO)*('Dvd Calendar'!$H$539&lt;=VAL_DATE)=0,"",'Dvd Calendar'!$H$539*1000000000+ISNUMBER('Dvd Calendar'!$H$542)*100000000+('Dvd Calendar'!$H$544=SPECIAL_LBL)*10000000+0*1000000+49*1000+4))</f>
        <v/>
      </c>
      <c r="EI60" s="35">
        <f>IF(N('Dvd Calendar'!$I$539)=0,"",IF(('Dvd Calendar'!$I$539&gt;=GRID_FROM)*('Dvd Calendar'!$I$539&lt;=GRID_TO)*('Dvd Calendar'!$I$539&lt;=VAL_DATE)=0,"",'Dvd Calendar'!$I$539*1000000000+ISNUMBER('Dvd Calendar'!$I$542)*100000000+('Dvd Calendar'!$I$544=SPECIAL_LBL)*10000000+0*1000000+49*1000+5))</f>
        <v/>
      </c>
      <c r="EJ60" s="35">
        <f>IF(N('Dvd Calendar'!$J$539)=0,"",IF(('Dvd Calendar'!$J$539&gt;=GRID_FROM)*('Dvd Calendar'!$J$539&lt;=GRID_TO)*('Dvd Calendar'!$J$539&lt;=VAL_DATE)=0,"",'Dvd Calendar'!$J$539*1000000000+ISNUMBER('Dvd Calendar'!$J$542)*100000000+('Dvd Calendar'!$J$544=SPECIAL_LBL)*10000000+0*1000000+49*1000+6))</f>
        <v/>
      </c>
      <c r="EK60" s="35">
        <f>IF(N('Dvd Calendar'!$K$539)=0,"",IF(('Dvd Calendar'!$K$539&gt;=GRID_FROM)*('Dvd Calendar'!$K$539&lt;=GRID_TO)*('Dvd Calendar'!$K$539&lt;=VAL_DATE)=0,"",'Dvd Calendar'!$K$539*1000000000+ISNUMBER('Dvd Calendar'!$K$542)*100000000+('Dvd Calendar'!$K$544=SPECIAL_LBL)*10000000+0*1000000+49*1000+7))</f>
        <v/>
      </c>
      <c r="EL60" s="35">
        <f>IF(N('Dvd Calendar'!$L$539)=0,"",IF(('Dvd Calendar'!$L$539&gt;=GRID_FROM)*('Dvd Calendar'!$L$539&lt;=GRID_TO)*('Dvd Calendar'!$L$539&lt;=VAL_DATE)=0,"",'Dvd Calendar'!$L$539*1000000000+ISNUMBER('Dvd Calendar'!$L$542)*100000000+('Dvd Calendar'!$L$544=SPECIAL_LBL)*10000000+0*1000000+49*1000+8))</f>
        <v/>
      </c>
      <c r="EM60" s="35">
        <f>IF(N('Dvd Calendar'!$M$539)=0,"",IF(('Dvd Calendar'!$M$539&gt;=GRID_FROM)*('Dvd Calendar'!$M$539&lt;=GRID_TO)*('Dvd Calendar'!$M$539&lt;=VAL_DATE)=0,"",'Dvd Calendar'!$M$539*1000000000+ISNUMBER('Dvd Calendar'!$M$542)*100000000+('Dvd Calendar'!$M$544=SPECIAL_LBL)*10000000+0*1000000+49*1000+9))</f>
        <v/>
      </c>
      <c r="EN60" s="35">
        <f>IF(N('Dvd Calendar'!$N$539)=0,"",IF(('Dvd Calendar'!$N$539&gt;=GRID_FROM)*('Dvd Calendar'!$N$539&lt;=GRID_TO)*('Dvd Calendar'!$N$539&lt;=VAL_DATE)=0,"",'Dvd Calendar'!$N$539*1000000000+ISNUMBER('Dvd Calendar'!$N$542)*100000000+('Dvd Calendar'!$N$544=SPECIAL_LBL)*10000000+0*1000000+49*1000+10))</f>
        <v/>
      </c>
      <c r="EO60" s="35">
        <f>IF(N('Dvd Calendar'!$O$539)=0,"",IF(('Dvd Calendar'!$O$539&gt;=GRID_FROM)*('Dvd Calendar'!$O$539&lt;=GRID_TO)*('Dvd Calendar'!$O$539&lt;=VAL_DATE)=0,"",'Dvd Calendar'!$O$539*1000000000+ISNUMBER('Dvd Calendar'!$O$542)*100000000+('Dvd Calendar'!$O$544=SPECIAL_LBL)*10000000+0*1000000+49*1000+11))</f>
        <v/>
      </c>
      <c r="EP60" s="35">
        <f>IF(N('Dvd Calendar'!$P$539)=0,"",IF(('Dvd Calendar'!$P$539&gt;=GRID_FROM)*('Dvd Calendar'!$P$539&lt;=GRID_TO)*('Dvd Calendar'!$P$539&lt;=VAL_DATE)=0,"",'Dvd Calendar'!$P$539*1000000000+ISNUMBER('Dvd Calendar'!$P$542)*100000000+('Dvd Calendar'!$P$544=SPECIAL_LBL)*10000000+0*1000000+49*1000+12))</f>
        <v/>
      </c>
      <c r="EQ60" s="35">
        <f>IF(N('Dvd Calendar'!$Q$539)=0,"",IF(('Dvd Calendar'!$Q$539&gt;=GRID_FROM)*('Dvd Calendar'!$Q$539&lt;=GRID_TO)*('Dvd Calendar'!$Q$539&lt;=VAL_DATE)=0,"",'Dvd Calendar'!$Q$539*1000000000+ISNUMBER('Dvd Calendar'!$Q$542)*100000000+('Dvd Calendar'!$Q$544=SPECIAL_LBL)*10000000+0*1000000+49*1000+13))</f>
        <v/>
      </c>
      <c r="ER60" s="35">
        <f>IF(N('Dvd Calendar'!$R$539)=0,"",IF(('Dvd Calendar'!$R$539&gt;=GRID_FROM)*('Dvd Calendar'!$R$539&lt;=GRID_TO)*('Dvd Calendar'!$R$539&lt;=VAL_DATE)=0,"",'Dvd Calendar'!$R$539*1000000000+ISNUMBER('Dvd Calendar'!$R$542)*100000000+('Dvd Calendar'!$R$544=SPECIAL_LBL)*10000000+0*1000000+49*1000+14))</f>
        <v/>
      </c>
      <c r="ES60" s="35">
        <f>IF(N('Dvd Calendar'!$S$539)=0,"",IF(('Dvd Calendar'!$S$539&gt;=GRID_FROM)*('Dvd Calendar'!$S$539&lt;=GRID_TO)*('Dvd Calendar'!$S$539&lt;=VAL_DATE)=0,"",'Dvd Calendar'!$S$539*1000000000+ISNUMBER('Dvd Calendar'!$S$542)*100000000+('Dvd Calendar'!$S$544=SPECIAL_LBL)*10000000+0*1000000+49*1000+15))</f>
        <v/>
      </c>
      <c r="ET60" s="35">
        <f>IF(N('Dvd Calendar'!$T$539)=0,"",IF(('Dvd Calendar'!$T$539&gt;=GRID_FROM)*('Dvd Calendar'!$T$539&lt;=GRID_TO)*('Dvd Calendar'!$T$539&lt;=VAL_DATE)=0,"",'Dvd Calendar'!$T$539*1000000000+ISNUMBER('Dvd Calendar'!$T$542)*100000000+('Dvd Calendar'!$T$544=SPECIAL_LBL)*10000000+0*1000000+49*1000+16))</f>
        <v/>
      </c>
      <c r="EU60" s="35">
        <f>IF(N('Dvd Calendar'!$U$539)=0,"",IF(('Dvd Calendar'!$U$539&gt;=GRID_FROM)*('Dvd Calendar'!$U$539&lt;=GRID_TO)*('Dvd Calendar'!$U$539&lt;=VAL_DATE)=0,"",'Dvd Calendar'!$U$539*1000000000+ISNUMBER('Dvd Calendar'!$U$542)*100000000+('Dvd Calendar'!$U$544=SPECIAL_LBL)*10000000+0*1000000+49*1000+17))</f>
        <v/>
      </c>
      <c r="EV60" s="35">
        <f>IF(N('Dvd Calendar'!$V$539)=0,"",IF(('Dvd Calendar'!$V$539&gt;=GRID_FROM)*('Dvd Calendar'!$V$539&lt;=GRID_TO)*('Dvd Calendar'!$V$539&lt;=VAL_DATE)=0,"",'Dvd Calendar'!$V$539*1000000000+ISNUMBER('Dvd Calendar'!$V$542)*100000000+('Dvd Calendar'!$V$544=SPECIAL_LBL)*10000000+0*1000000+49*1000+18))</f>
        <v/>
      </c>
      <c r="EW60" s="35">
        <f>IF(N('Dvd Calendar'!$W$539)=0,"",IF(('Dvd Calendar'!$W$539&gt;=GRID_FROM)*('Dvd Calendar'!$W$539&lt;=GRID_TO)*('Dvd Calendar'!$W$539&lt;=VAL_DATE)=0,"",'Dvd Calendar'!$W$539*1000000000+ISNUMBER('Dvd Calendar'!$W$542)*100000000+('Dvd Calendar'!$W$544=SPECIAL_LBL)*10000000+0*1000000+49*1000+19))</f>
        <v/>
      </c>
      <c r="EX60" s="35">
        <f>IF(N('Dvd Calendar'!$X$539)=0,"",IF(('Dvd Calendar'!$X$539&gt;=GRID_FROM)*('Dvd Calendar'!$X$539&lt;=GRID_TO)*('Dvd Calendar'!$X$539&lt;=VAL_DATE)=0,"",'Dvd Calendar'!$X$539*1000000000+ISNUMBER('Dvd Calendar'!$X$542)*100000000+('Dvd Calendar'!$X$544=SPECIAL_LBL)*10000000+0*1000000+49*1000+20))</f>
        <v/>
      </c>
      <c r="EY60" s="35">
        <f>IF(N('Dvd Calendar'!$Y$539)=0,"",IF(('Dvd Calendar'!$Y$539&gt;=GRID_FROM)*('Dvd Calendar'!$Y$539&lt;=GRID_TO)*('Dvd Calendar'!$Y$539&lt;=VAL_DATE)=0,"",'Dvd Calendar'!$Y$539*1000000000+ISNUMBER('Dvd Calendar'!$Y$542)*100000000+('Dvd Calendar'!$Y$544=SPECIAL_LBL)*10000000+0*1000000+49*1000+21))</f>
        <v/>
      </c>
      <c r="EZ60" s="35">
        <f>IF(N('Dvd Calendar'!$Z$539)=0,"",IF(('Dvd Calendar'!$Z$539&gt;=GRID_FROM)*('Dvd Calendar'!$Z$539&lt;=GRID_TO)*('Dvd Calendar'!$Z$539&lt;=VAL_DATE)=0,"",'Dvd Calendar'!$Z$539*1000000000+ISNUMBER('Dvd Calendar'!$Z$542)*100000000+('Dvd Calendar'!$Z$544=SPECIAL_LBL)*10000000+0*1000000+49*1000+22))</f>
        <v/>
      </c>
      <c r="FA60" s="35">
        <f>IF(N('Dvd Calendar'!$AA$539)=0,"",IF(('Dvd Calendar'!$AA$539&gt;=GRID_FROM)*('Dvd Calendar'!$AA$539&lt;=GRID_TO)*('Dvd Calendar'!$AA$539&lt;=VAL_DATE)=0,"",'Dvd Calendar'!$AA$539*1000000000+ISNUMBER('Dvd Calendar'!$AA$542)*100000000+('Dvd Calendar'!$AA$544=SPECIAL_LBL)*10000000+0*1000000+49*1000+23))</f>
        <v/>
      </c>
      <c r="FB60" s="35">
        <f>IF(N('Dvd Calendar'!$AB$539)=0,"",IF(('Dvd Calendar'!$AB$539&gt;=GRID_FROM)*('Dvd Calendar'!$AB$539&lt;=GRID_TO)*('Dvd Calendar'!$AB$539&lt;=VAL_DATE)=0,"",'Dvd Calendar'!$AB$539*1000000000+ISNUMBER('Dvd Calendar'!$AB$542)*100000000+('Dvd Calendar'!$AB$544=SPECIAL_LBL)*10000000+0*1000000+49*1000+24))</f>
        <v/>
      </c>
      <c r="FC60" s="35">
        <f>IF(N('Dvd Calendar'!$AC$539)=0,"",IF(('Dvd Calendar'!$AC$539&gt;=GRID_FROM)*('Dvd Calendar'!$AC$539&lt;=GRID_TO)*('Dvd Calendar'!$AC$539&lt;=VAL_DATE)=0,"",'Dvd Calendar'!$AC$539*1000000000+ISNUMBER('Dvd Calendar'!$AC$542)*100000000+('Dvd Calendar'!$AC$544=SPECIAL_LBL)*10000000+0*1000000+49*1000+25))</f>
        <v/>
      </c>
      <c r="FD60" s="35">
        <f>IF(N('Dvd Calendar'!$AD$539)=0,"",IF(('Dvd Calendar'!$AD$539&gt;=GRID_FROM)*('Dvd Calendar'!$AD$539&lt;=GRID_TO)*('Dvd Calendar'!$AD$539&lt;=VAL_DATE)=0,"",'Dvd Calendar'!$AD$539*1000000000+ISNUMBER('Dvd Calendar'!$AD$542)*100000000+('Dvd Calendar'!$AD$544=SPECIAL_LBL)*10000000+0*1000000+49*1000+26))</f>
        <v/>
      </c>
      <c r="FE60" s="35">
        <f>IF(N('Dvd Calendar'!$AE$539)=0,"",IF(('Dvd Calendar'!$AE$539&gt;=GRID_FROM)*('Dvd Calendar'!$AE$539&lt;=GRID_TO)*('Dvd Calendar'!$AE$539&lt;=VAL_DATE)=0,"",'Dvd Calendar'!$AE$539*1000000000+ISNUMBER('Dvd Calendar'!$AE$542)*100000000+('Dvd Calendar'!$AE$544=SPECIAL_LBL)*10000000+0*1000000+49*1000+27))</f>
        <v/>
      </c>
      <c r="FF60" s="35">
        <f>IF(N('Dvd Calendar'!$AF$539)=0,"",IF(('Dvd Calendar'!$AF$539&gt;=GRID_FROM)*('Dvd Calendar'!$AF$539&lt;=GRID_TO)*('Dvd Calendar'!$AF$539&lt;=VAL_DATE)=0,"",'Dvd Calendar'!$AF$539*1000000000+ISNUMBER('Dvd Calendar'!$AF$542)*100000000+('Dvd Calendar'!$AF$544=SPECIAL_LBL)*10000000+0*1000000+49*1000+28))</f>
        <v/>
      </c>
      <c r="FG60" s="35">
        <f>IF(N('Dvd Calendar'!$AG$539)=0,"",IF(('Dvd Calendar'!$AG$539&gt;=GRID_FROM)*('Dvd Calendar'!$AG$539&lt;=GRID_TO)*('Dvd Calendar'!$AG$539&lt;=VAL_DATE)=0,"",'Dvd Calendar'!$AG$539*1000000000+ISNUMBER('Dvd Calendar'!$AG$542)*100000000+('Dvd Calendar'!$AG$544=SPECIAL_LBL)*10000000+0*1000000+49*1000+29))</f>
        <v/>
      </c>
      <c r="FH60" s="35">
        <f>IF(N('Dvd Calendar'!$AH$539)=0,"",IF(('Dvd Calendar'!$AH$539&gt;=GRID_FROM)*('Dvd Calendar'!$AH$539&lt;=GRID_TO)*('Dvd Calendar'!$AH$539&lt;=VAL_DATE)=0,"",'Dvd Calendar'!$AH$539*1000000000+ISNUMBER('Dvd Calendar'!$AH$542)*100000000+('Dvd Calendar'!$AH$544=SPECIAL_LBL)*10000000+0*1000000+49*1000+30))</f>
        <v/>
      </c>
      <c r="FI60" s="35">
        <f>IF(N('Dvd Calendar'!$AI$539)=0,"",IF(('Dvd Calendar'!$AI$539&gt;=GRID_FROM)*('Dvd Calendar'!$AI$539&lt;=GRID_TO)*('Dvd Calendar'!$AI$539&lt;=VAL_DATE)=0,"",'Dvd Calendar'!$AI$539*1000000000+ISNUMBER('Dvd Calendar'!$AI$542)*100000000+('Dvd Calendar'!$AI$544=SPECIAL_LBL)*10000000+0*1000000+49*1000+31))</f>
        <v/>
      </c>
      <c r="FJ60" s="35">
        <f>IF(N('Dvd Calendar'!$AJ$539)=0,"",IF(('Dvd Calendar'!$AJ$539&gt;=GRID_FROM)*('Dvd Calendar'!$AJ$539&lt;=GRID_TO)*('Dvd Calendar'!$AJ$539&lt;=VAL_DATE)=0,"",'Dvd Calendar'!$AJ$539*1000000000+ISNUMBER('Dvd Calendar'!$AJ$542)*100000000+('Dvd Calendar'!$AJ$544=SPECIAL_LBL)*10000000+0*1000000+49*1000+32))</f>
        <v/>
      </c>
      <c r="FK60" s="35">
        <f>IF(N('Dvd Calendar'!$AK$539)=0,"",IF(('Dvd Calendar'!$AK$539&gt;=GRID_FROM)*('Dvd Calendar'!$AK$539&lt;=GRID_TO)*('Dvd Calendar'!$AK$539&lt;=VAL_DATE)=0,"",'Dvd Calendar'!$AK$539*1000000000+ISNUMBER('Dvd Calendar'!$AK$542)*100000000+('Dvd Calendar'!$AK$544=SPECIAL_LBL)*10000000+0*1000000+49*1000+33))</f>
        <v/>
      </c>
      <c r="FL60" s="35">
        <f>IF(N('Dvd Calendar'!$AL$539)=0,"",IF(('Dvd Calendar'!$AL$539&gt;=GRID_FROM)*('Dvd Calendar'!$AL$539&lt;=GRID_TO)*('Dvd Calendar'!$AL$539&lt;=VAL_DATE)=0,"",'Dvd Calendar'!$AL$539*1000000000+ISNUMBER('Dvd Calendar'!$AL$542)*100000000+('Dvd Calendar'!$AL$544=SPECIAL_LBL)*10000000+0*1000000+49*1000+34))</f>
        <v/>
      </c>
      <c r="FM60" s="35">
        <f>IF(N('Dvd Calendar'!$AM$539)=0,"",IF(('Dvd Calendar'!$AM$539&gt;=GRID_FROM)*('Dvd Calendar'!$AM$539&lt;=GRID_TO)*('Dvd Calendar'!$AM$539&lt;=VAL_DATE)=0,"",'Dvd Calendar'!$AM$539*1000000000+ISNUMBER('Dvd Calendar'!$AM$542)*100000000+('Dvd Calendar'!$AM$544=SPECIAL_LBL)*10000000+0*1000000+49*1000+35))</f>
        <v/>
      </c>
      <c r="FN60" s="35">
        <f>IF(N('Dvd Calendar'!$AN$539)=0,"",IF(('Dvd Calendar'!$AN$539&gt;=GRID_FROM)*('Dvd Calendar'!$AN$539&lt;=GRID_TO)*('Dvd Calendar'!$AN$539&lt;=VAL_DATE)=0,"",'Dvd Calendar'!$AN$539*1000000000+ISNUMBER('Dvd Calendar'!$AN$542)*100000000+('Dvd Calendar'!$AN$544=SPECIAL_LBL)*10000000+0*1000000+49*1000+36))</f>
        <v/>
      </c>
      <c r="FO60" s="35">
        <f>IF(N('Dvd Calendar'!$AO$539)=0,"",IF(('Dvd Calendar'!$AO$539&gt;=GRID_FROM)*('Dvd Calendar'!$AO$539&lt;=GRID_TO)*('Dvd Calendar'!$AO$539&lt;=VAL_DATE)=0,"",'Dvd Calendar'!$AO$539*1000000000+ISNUMBER('Dvd Calendar'!$AO$542)*100000000+('Dvd Calendar'!$AO$544=SPECIAL_LBL)*10000000+0*1000000+49*1000+37))</f>
        <v/>
      </c>
      <c r="FP60" s="35">
        <f>IF(N('Dvd Calendar'!$AP$539)=0,"",IF(('Dvd Calendar'!$AP$539&gt;=GRID_FROM)*('Dvd Calendar'!$AP$539&lt;=GRID_TO)*('Dvd Calendar'!$AP$539&lt;=VAL_DATE)=0,"",'Dvd Calendar'!$AP$539*1000000000+ISNUMBER('Dvd Calendar'!$AP$542)*100000000+('Dvd Calendar'!$AP$544=SPECIAL_LBL)*10000000+0*1000000+49*1000+38))</f>
        <v/>
      </c>
      <c r="FQ60" s="35">
        <f>IF(N('Dvd Calendar'!$AQ$539)=0,"",IF(('Dvd Calendar'!$AQ$539&gt;=GRID_FROM)*('Dvd Calendar'!$AQ$539&lt;=GRID_TO)*('Dvd Calendar'!$AQ$539&lt;=VAL_DATE)=0,"",'Dvd Calendar'!$AQ$539*1000000000+ISNUMBER('Dvd Calendar'!$AQ$542)*100000000+('Dvd Calendar'!$AQ$544=SPECIAL_LBL)*10000000+0*1000000+49*1000+39))</f>
        <v/>
      </c>
      <c r="FR60" s="35">
        <f>IF(N('Dvd Calendar'!$AR$539)=0,"",IF(('Dvd Calendar'!$AR$539&gt;=GRID_FROM)*('Dvd Calendar'!$AR$539&lt;=GRID_TO)*('Dvd Calendar'!$AR$539&lt;=VAL_DATE)=0,"",'Dvd Calendar'!$AR$539*1000000000+ISNUMBER('Dvd Calendar'!$AR$542)*100000000+('Dvd Calendar'!$AR$544=SPECIAL_LBL)*10000000+0*1000000+49*1000+40))</f>
        <v/>
      </c>
      <c r="FS60" s="35">
        <f>IF(N('Dvd Calendar'!$E$546)=0,"",IF(('Dvd Calendar'!$E$546&gt;=GRID_FROM)*('Dvd Calendar'!$E$546&lt;=GRID_TO)*('Dvd Calendar'!$E$546&gt;VAL_DATE)=0,"",'Dvd Calendar'!$E$546*1000000000+ISNUMBER('Dvd Calendar'!$E$547)*100000000+0*10000000+(N('Dvd Calendar'!$E$545)&gt;0)*(N('Dvd Calendar'!$E$545)&lt;=VAL_SERIAL)*1000000+49*1000+41))</f>
        <v/>
      </c>
      <c r="FT60" s="35">
        <f>IF(N('Dvd Calendar'!$F$546)=0,"",IF(('Dvd Calendar'!$F$546&gt;=GRID_FROM)*('Dvd Calendar'!$F$546&lt;=GRID_TO)*('Dvd Calendar'!$F$546&gt;VAL_DATE)=0,"",'Dvd Calendar'!$F$546*1000000000+ISNUMBER('Dvd Calendar'!$F$547)*100000000+0*10000000+(N('Dvd Calendar'!$F$545)&gt;0)*(N('Dvd Calendar'!$F$545)&lt;=VAL_SERIAL)*1000000+49*1000+42))</f>
        <v/>
      </c>
      <c r="FU60" s="35">
        <f>IF(N('Dvd Calendar'!$G$546)=0,"",IF(('Dvd Calendar'!$G$546&gt;=GRID_FROM)*('Dvd Calendar'!$G$546&lt;=GRID_TO)*('Dvd Calendar'!$G$546&gt;VAL_DATE)=0,"",'Dvd Calendar'!$G$546*1000000000+ISNUMBER('Dvd Calendar'!$G$547)*100000000+0*10000000+(N('Dvd Calendar'!$G$545)&gt;0)*(N('Dvd Calendar'!$G$545)&lt;=VAL_SERIAL)*1000000+49*1000+43))</f>
        <v/>
      </c>
      <c r="FV60" s="35">
        <f>IF(N('Dvd Calendar'!$H$546)=0,"",IF(('Dvd Calendar'!$H$546&gt;=GRID_FROM)*('Dvd Calendar'!$H$546&lt;=GRID_TO)*('Dvd Calendar'!$H$546&gt;VAL_DATE)=0,"",'Dvd Calendar'!$H$546*1000000000+ISNUMBER('Dvd Calendar'!$H$547)*100000000+0*10000000+(N('Dvd Calendar'!$H$545)&gt;0)*(N('Dvd Calendar'!$H$545)&lt;=VAL_SERIAL)*1000000+49*1000+44))</f>
        <v/>
      </c>
      <c r="FW60" s="35">
        <f>IF(N('Dvd Calendar'!$I$546)=0,"",IF(('Dvd Calendar'!$I$546&gt;=GRID_FROM)*('Dvd Calendar'!$I$546&lt;=GRID_TO)*('Dvd Calendar'!$I$546&gt;VAL_DATE)=0,"",'Dvd Calendar'!$I$546*1000000000+ISNUMBER('Dvd Calendar'!$I$547)*100000000+0*10000000+(N('Dvd Calendar'!$I$545)&gt;0)*(N('Dvd Calendar'!$I$545)&lt;=VAL_SERIAL)*1000000+49*1000+45))</f>
        <v/>
      </c>
      <c r="FX60" s="35">
        <f>IF(N('Dvd Calendar'!$J$546)=0,"",IF(('Dvd Calendar'!$J$546&gt;=GRID_FROM)*('Dvd Calendar'!$J$546&lt;=GRID_TO)*('Dvd Calendar'!$J$546&gt;VAL_DATE)=0,"",'Dvd Calendar'!$J$546*1000000000+ISNUMBER('Dvd Calendar'!$J$547)*100000000+0*10000000+(N('Dvd Calendar'!$J$545)&gt;0)*(N('Dvd Calendar'!$J$545)&lt;=VAL_SERIAL)*1000000+49*1000+46))</f>
        <v/>
      </c>
      <c r="FY60" s="35">
        <f>IF(N('Dvd Calendar'!$K$546)=0,"",IF(('Dvd Calendar'!$K$546&gt;=GRID_FROM)*('Dvd Calendar'!$K$546&lt;=GRID_TO)*('Dvd Calendar'!$K$546&gt;VAL_DATE)=0,"",'Dvd Calendar'!$K$546*1000000000+ISNUMBER('Dvd Calendar'!$K$547)*100000000+0*10000000+(N('Dvd Calendar'!$K$545)&gt;0)*(N('Dvd Calendar'!$K$545)&lt;=VAL_SERIAL)*1000000+49*1000+47))</f>
        <v/>
      </c>
      <c r="FZ60" s="35">
        <f>IF(N('Dvd Calendar'!$L$546)=0,"",IF(('Dvd Calendar'!$L$546&gt;=GRID_FROM)*('Dvd Calendar'!$L$546&lt;=GRID_TO)*('Dvd Calendar'!$L$546&gt;VAL_DATE)=0,"",'Dvd Calendar'!$L$546*1000000000+ISNUMBER('Dvd Calendar'!$L$547)*100000000+0*10000000+(N('Dvd Calendar'!$L$545)&gt;0)*(N('Dvd Calendar'!$L$545)&lt;=VAL_SERIAL)*1000000+49*1000+48))</f>
        <v/>
      </c>
      <c r="GA60" s="35">
        <f>IF(N('Dvd Calendar'!$M$546)=0,"",IF(('Dvd Calendar'!$M$546&gt;=GRID_FROM)*('Dvd Calendar'!$M$546&lt;=GRID_TO)*('Dvd Calendar'!$M$546&gt;VAL_DATE)=0,"",'Dvd Calendar'!$M$546*1000000000+ISNUMBER('Dvd Calendar'!$M$547)*100000000+0*10000000+(N('Dvd Calendar'!$M$545)&gt;0)*(N('Dvd Calendar'!$M$545)&lt;=VAL_SERIAL)*1000000+49*1000+49))</f>
        <v/>
      </c>
      <c r="GB60" s="35">
        <f>IF(N('Dvd Calendar'!$N$546)=0,"",IF(('Dvd Calendar'!$N$546&gt;=GRID_FROM)*('Dvd Calendar'!$N$546&lt;=GRID_TO)*('Dvd Calendar'!$N$546&gt;VAL_DATE)=0,"",'Dvd Calendar'!$N$546*1000000000+ISNUMBER('Dvd Calendar'!$N$547)*100000000+0*10000000+(N('Dvd Calendar'!$N$545)&gt;0)*(N('Dvd Calendar'!$N$545)&lt;=VAL_SERIAL)*1000000+49*1000+50))</f>
        <v/>
      </c>
      <c r="GC60" s="35">
        <f>IF(N('Dvd Calendar'!$O$546)=0,"",IF(('Dvd Calendar'!$O$546&gt;=GRID_FROM)*('Dvd Calendar'!$O$546&lt;=GRID_TO)*('Dvd Calendar'!$O$546&gt;VAL_DATE)=0,"",'Dvd Calendar'!$O$546*1000000000+ISNUMBER('Dvd Calendar'!$O$547)*100000000+0*10000000+(N('Dvd Calendar'!$O$545)&gt;0)*(N('Dvd Calendar'!$O$545)&lt;=VAL_SERIAL)*1000000+49*1000+51))</f>
        <v/>
      </c>
      <c r="GD60" s="35">
        <f>IF(N('Dvd Calendar'!$P$546)=0,"",IF(('Dvd Calendar'!$P$546&gt;=GRID_FROM)*('Dvd Calendar'!$P$546&lt;=GRID_TO)*('Dvd Calendar'!$P$546&gt;VAL_DATE)=0,"",'Dvd Calendar'!$P$546*1000000000+ISNUMBER('Dvd Calendar'!$P$547)*100000000+0*10000000+(N('Dvd Calendar'!$P$545)&gt;0)*(N('Dvd Calendar'!$P$545)&lt;=VAL_SERIAL)*1000000+49*1000+52))</f>
        <v/>
      </c>
      <c r="GE60" s="35">
        <f>IF(N('Dvd Calendar'!$Q$546)=0,"",IF(('Dvd Calendar'!$Q$546&gt;=GRID_FROM)*('Dvd Calendar'!$Q$546&lt;=GRID_TO)*('Dvd Calendar'!$Q$546&gt;VAL_DATE)=0,"",'Dvd Calendar'!$Q$546*1000000000+ISNUMBER('Dvd Calendar'!$Q$547)*100000000+0*10000000+(N('Dvd Calendar'!$Q$545)&gt;0)*(N('Dvd Calendar'!$Q$545)&lt;=VAL_SERIAL)*1000000+49*1000+53))</f>
        <v/>
      </c>
      <c r="GF60" s="35">
        <f>IF(N('Dvd Calendar'!$R$546)=0,"",IF(('Dvd Calendar'!$R$546&gt;=GRID_FROM)*('Dvd Calendar'!$R$546&lt;=GRID_TO)*('Dvd Calendar'!$R$546&gt;VAL_DATE)=0,"",'Dvd Calendar'!$R$546*1000000000+ISNUMBER('Dvd Calendar'!$R$547)*100000000+0*10000000+(N('Dvd Calendar'!$R$545)&gt;0)*(N('Dvd Calendar'!$R$545)&lt;=VAL_SERIAL)*1000000+49*1000+54))</f>
        <v/>
      </c>
      <c r="GG60" s="35">
        <f>IF(N('Dvd Calendar'!$S$546)=0,"",IF(('Dvd Calendar'!$S$546&gt;=GRID_FROM)*('Dvd Calendar'!$S$546&lt;=GRID_TO)*('Dvd Calendar'!$S$546&gt;VAL_DATE)=0,"",'Dvd Calendar'!$S$546*1000000000+ISNUMBER('Dvd Calendar'!$S$547)*100000000+0*10000000+(N('Dvd Calendar'!$S$545)&gt;0)*(N('Dvd Calendar'!$S$545)&lt;=VAL_SERIAL)*1000000+49*1000+55))</f>
        <v/>
      </c>
      <c r="GH60" s="35">
        <f>IF(N('Dvd Calendar'!$T$546)=0,"",IF(('Dvd Calendar'!$T$546&gt;=GRID_FROM)*('Dvd Calendar'!$T$546&lt;=GRID_TO)*('Dvd Calendar'!$T$546&gt;VAL_DATE)=0,"",'Dvd Calendar'!$T$546*1000000000+ISNUMBER('Dvd Calendar'!$T$547)*100000000+0*10000000+(N('Dvd Calendar'!$T$545)&gt;0)*(N('Dvd Calendar'!$T$545)&lt;=VAL_SERIAL)*1000000+49*1000+56))</f>
        <v/>
      </c>
      <c r="GI60" s="35">
        <f>IF(N('Dvd Calendar'!$U$546)=0,"",IF(('Dvd Calendar'!$U$546&gt;=GRID_FROM)*('Dvd Calendar'!$U$546&lt;=GRID_TO)*('Dvd Calendar'!$U$546&gt;VAL_DATE)=0,"",'Dvd Calendar'!$U$546*1000000000+ISNUMBER('Dvd Calendar'!$U$547)*100000000+0*10000000+(N('Dvd Calendar'!$U$545)&gt;0)*(N('Dvd Calendar'!$U$545)&lt;=VAL_SERIAL)*1000000+49*1000+57))</f>
        <v/>
      </c>
      <c r="GJ60" s="35">
        <f>IF(N('Dvd Calendar'!$V$546)=0,"",IF(('Dvd Calendar'!$V$546&gt;=GRID_FROM)*('Dvd Calendar'!$V$546&lt;=GRID_TO)*('Dvd Calendar'!$V$546&gt;VAL_DATE)=0,"",'Dvd Calendar'!$V$546*1000000000+ISNUMBER('Dvd Calendar'!$V$547)*100000000+0*10000000+(N('Dvd Calendar'!$V$545)&gt;0)*(N('Dvd Calendar'!$V$545)&lt;=VAL_SERIAL)*1000000+49*1000+58))</f>
        <v/>
      </c>
      <c r="GK60" s="35">
        <f>IF(N('Dvd Calendar'!$W$546)=0,"",IF(('Dvd Calendar'!$W$546&gt;=GRID_FROM)*('Dvd Calendar'!$W$546&lt;=GRID_TO)*('Dvd Calendar'!$W$546&gt;VAL_DATE)=0,"",'Dvd Calendar'!$W$546*1000000000+ISNUMBER('Dvd Calendar'!$W$547)*100000000+0*10000000+(N('Dvd Calendar'!$W$545)&gt;0)*(N('Dvd Calendar'!$W$545)&lt;=VAL_SERIAL)*1000000+49*1000+59))</f>
        <v/>
      </c>
      <c r="GL60" s="35">
        <f>IF(N('Dvd Calendar'!$X$546)=0,"",IF(('Dvd Calendar'!$X$546&gt;=GRID_FROM)*('Dvd Calendar'!$X$546&lt;=GRID_TO)*('Dvd Calendar'!$X$546&gt;VAL_DATE)=0,"",'Dvd Calendar'!$X$546*1000000000+ISNUMBER('Dvd Calendar'!$X$547)*100000000+0*10000000+(N('Dvd Calendar'!$X$545)&gt;0)*(N('Dvd Calendar'!$X$545)&lt;=VAL_SERIAL)*1000000+49*1000+60))</f>
        <v/>
      </c>
      <c r="GM60" s="35">
        <f>IF(N('Dvd Calendar'!$Y$546)=0,"",IF(('Dvd Calendar'!$Y$546&gt;=GRID_FROM)*('Dvd Calendar'!$Y$546&lt;=GRID_TO)*('Dvd Calendar'!$Y$546&gt;VAL_DATE)=0,"",'Dvd Calendar'!$Y$546*1000000000+ISNUMBER('Dvd Calendar'!$Y$547)*100000000+0*10000000+(N('Dvd Calendar'!$Y$545)&gt;0)*(N('Dvd Calendar'!$Y$545)&lt;=VAL_SERIAL)*1000000+49*1000+61))</f>
        <v/>
      </c>
      <c r="GN60" s="35">
        <f>IF(N('Dvd Calendar'!$Z$546)=0,"",IF(('Dvd Calendar'!$Z$546&gt;=GRID_FROM)*('Dvd Calendar'!$Z$546&lt;=GRID_TO)*('Dvd Calendar'!$Z$546&gt;VAL_DATE)=0,"",'Dvd Calendar'!$Z$546*1000000000+ISNUMBER('Dvd Calendar'!$Z$547)*100000000+0*10000000+(N('Dvd Calendar'!$Z$545)&gt;0)*(N('Dvd Calendar'!$Z$545)&lt;=VAL_SERIAL)*1000000+49*1000+62))</f>
        <v/>
      </c>
      <c r="GO60" s="35">
        <f>IF(N('Dvd Calendar'!$AA$546)=0,"",IF(('Dvd Calendar'!$AA$546&gt;=GRID_FROM)*('Dvd Calendar'!$AA$546&lt;=GRID_TO)*('Dvd Calendar'!$AA$546&gt;VAL_DATE)=0,"",'Dvd Calendar'!$AA$546*1000000000+ISNUMBER('Dvd Calendar'!$AA$547)*100000000+0*10000000+(N('Dvd Calendar'!$AA$545)&gt;0)*(N('Dvd Calendar'!$AA$545)&lt;=VAL_SERIAL)*1000000+49*1000+63))</f>
        <v/>
      </c>
      <c r="GP60" s="35">
        <f>IF(N('Dvd Calendar'!$AB$546)=0,"",IF(('Dvd Calendar'!$AB$546&gt;=GRID_FROM)*('Dvd Calendar'!$AB$546&lt;=GRID_TO)*('Dvd Calendar'!$AB$546&gt;VAL_DATE)=0,"",'Dvd Calendar'!$AB$546*1000000000+ISNUMBER('Dvd Calendar'!$AB$547)*100000000+0*10000000+(N('Dvd Calendar'!$AB$545)&gt;0)*(N('Dvd Calendar'!$AB$545)&lt;=VAL_SERIAL)*1000000+49*1000+64))</f>
        <v/>
      </c>
      <c r="GQ60" s="35">
        <f>IF(N('Dvd Calendar'!$AC$546)=0,"",IF(('Dvd Calendar'!$AC$546&gt;=GRID_FROM)*('Dvd Calendar'!$AC$546&lt;=GRID_TO)*('Dvd Calendar'!$AC$546&gt;VAL_DATE)=0,"",'Dvd Calendar'!$AC$546*1000000000+ISNUMBER('Dvd Calendar'!$AC$547)*100000000+0*10000000+(N('Dvd Calendar'!$AC$545)&gt;0)*(N('Dvd Calendar'!$AC$545)&lt;=VAL_SERIAL)*1000000+49*1000+65))</f>
        <v/>
      </c>
    </row>
    <row r="61">
      <c r="B61" s="2">
        <f>IF(HSI!$C$56="","",HSI!$C$56)</f>
        <v/>
      </c>
      <c r="C61" s="106">
        <f>IF(EE61="","",IF(ISNUMBER('Dvd Calendar'!$E$553)=FALSE,"",IF((('Dvd Calendar'!$E$555=TYPE1)*(TYPE1&lt;&gt;"")+('Dvd Calendar'!$E$555=TYPE2)*(TYPE2&lt;&gt;"")+('Dvd Calendar'!$E$555=TYPE3)*(TYPE3&lt;&gt;"")+('Dvd Calendar'!$E$555=TYPE4)*(TYPE4&lt;&gt;"")+('Dvd Calendar'!$E$555=SPECIAL_LBL)*(INC_SPECIALS="Y"))=0,"",'Dvd Calendar'!$E$553)))</f>
        <v/>
      </c>
      <c r="D61" s="106">
        <f>IF(EF61="","",IF(ISNUMBER('Dvd Calendar'!$F$553)=FALSE,"",IF((('Dvd Calendar'!$F$555=TYPE1)*(TYPE1&lt;&gt;"")+('Dvd Calendar'!$F$555=TYPE2)*(TYPE2&lt;&gt;"")+('Dvd Calendar'!$F$555=TYPE3)*(TYPE3&lt;&gt;"")+('Dvd Calendar'!$F$555=TYPE4)*(TYPE4&lt;&gt;"")+('Dvd Calendar'!$F$555=SPECIAL_LBL)*(INC_SPECIALS="Y"))=0,"",'Dvd Calendar'!$F$553)))</f>
        <v/>
      </c>
      <c r="E61" s="106">
        <f>IF(EG61="","",IF(ISNUMBER('Dvd Calendar'!$G$553)=FALSE,"",IF((('Dvd Calendar'!$G$555=TYPE1)*(TYPE1&lt;&gt;"")+('Dvd Calendar'!$G$555=TYPE2)*(TYPE2&lt;&gt;"")+('Dvd Calendar'!$G$555=TYPE3)*(TYPE3&lt;&gt;"")+('Dvd Calendar'!$G$555=TYPE4)*(TYPE4&lt;&gt;"")+('Dvd Calendar'!$G$555=SPECIAL_LBL)*(INC_SPECIALS="Y"))=0,"",'Dvd Calendar'!$G$553)))</f>
        <v/>
      </c>
      <c r="F61" s="106">
        <f>IF(EH61="","",IF(ISNUMBER('Dvd Calendar'!$H$553)=FALSE,"",IF((('Dvd Calendar'!$H$555=TYPE1)*(TYPE1&lt;&gt;"")+('Dvd Calendar'!$H$555=TYPE2)*(TYPE2&lt;&gt;"")+('Dvd Calendar'!$H$555=TYPE3)*(TYPE3&lt;&gt;"")+('Dvd Calendar'!$H$555=TYPE4)*(TYPE4&lt;&gt;"")+('Dvd Calendar'!$H$555=SPECIAL_LBL)*(INC_SPECIALS="Y"))=0,"",'Dvd Calendar'!$H$553)))</f>
        <v/>
      </c>
      <c r="G61" s="106">
        <f>IF(EI61="","",IF(ISNUMBER('Dvd Calendar'!$I$553)=FALSE,"",IF((('Dvd Calendar'!$I$555=TYPE1)*(TYPE1&lt;&gt;"")+('Dvd Calendar'!$I$555=TYPE2)*(TYPE2&lt;&gt;"")+('Dvd Calendar'!$I$555=TYPE3)*(TYPE3&lt;&gt;"")+('Dvd Calendar'!$I$555=TYPE4)*(TYPE4&lt;&gt;"")+('Dvd Calendar'!$I$555=SPECIAL_LBL)*(INC_SPECIALS="Y"))=0,"",'Dvd Calendar'!$I$553)))</f>
        <v/>
      </c>
      <c r="H61" s="106">
        <f>IF(EJ61="","",IF(ISNUMBER('Dvd Calendar'!$J$553)=FALSE,"",IF((('Dvd Calendar'!$J$555=TYPE1)*(TYPE1&lt;&gt;"")+('Dvd Calendar'!$J$555=TYPE2)*(TYPE2&lt;&gt;"")+('Dvd Calendar'!$J$555=TYPE3)*(TYPE3&lt;&gt;"")+('Dvd Calendar'!$J$555=TYPE4)*(TYPE4&lt;&gt;"")+('Dvd Calendar'!$J$555=SPECIAL_LBL)*(INC_SPECIALS="Y"))=0,"",'Dvd Calendar'!$J$553)))</f>
        <v/>
      </c>
      <c r="I61" s="106">
        <f>IF(EK61="","",IF(ISNUMBER('Dvd Calendar'!$K$553)=FALSE,"",IF((('Dvd Calendar'!$K$555=TYPE1)*(TYPE1&lt;&gt;"")+('Dvd Calendar'!$K$555=TYPE2)*(TYPE2&lt;&gt;"")+('Dvd Calendar'!$K$555=TYPE3)*(TYPE3&lt;&gt;"")+('Dvd Calendar'!$K$555=TYPE4)*(TYPE4&lt;&gt;"")+('Dvd Calendar'!$K$555=SPECIAL_LBL)*(INC_SPECIALS="Y"))=0,"",'Dvd Calendar'!$K$553)))</f>
        <v/>
      </c>
      <c r="J61" s="106">
        <f>IF(EL61="","",IF(ISNUMBER('Dvd Calendar'!$L$553)=FALSE,"",IF((('Dvd Calendar'!$L$555=TYPE1)*(TYPE1&lt;&gt;"")+('Dvd Calendar'!$L$555=TYPE2)*(TYPE2&lt;&gt;"")+('Dvd Calendar'!$L$555=TYPE3)*(TYPE3&lt;&gt;"")+('Dvd Calendar'!$L$555=TYPE4)*(TYPE4&lt;&gt;"")+('Dvd Calendar'!$L$555=SPECIAL_LBL)*(INC_SPECIALS="Y"))=0,"",'Dvd Calendar'!$L$553)))</f>
        <v/>
      </c>
      <c r="K61" s="106">
        <f>IF(EM61="","",IF(ISNUMBER('Dvd Calendar'!$M$553)=FALSE,"",IF((('Dvd Calendar'!$M$555=TYPE1)*(TYPE1&lt;&gt;"")+('Dvd Calendar'!$M$555=TYPE2)*(TYPE2&lt;&gt;"")+('Dvd Calendar'!$M$555=TYPE3)*(TYPE3&lt;&gt;"")+('Dvd Calendar'!$M$555=TYPE4)*(TYPE4&lt;&gt;"")+('Dvd Calendar'!$M$555=SPECIAL_LBL)*(INC_SPECIALS="Y"))=0,"",'Dvd Calendar'!$M$553)))</f>
        <v/>
      </c>
      <c r="L61" s="106">
        <f>IF(EN61="","",IF(ISNUMBER('Dvd Calendar'!$N$553)=FALSE,"",IF((('Dvd Calendar'!$N$555=TYPE1)*(TYPE1&lt;&gt;"")+('Dvd Calendar'!$N$555=TYPE2)*(TYPE2&lt;&gt;"")+('Dvd Calendar'!$N$555=TYPE3)*(TYPE3&lt;&gt;"")+('Dvd Calendar'!$N$555=TYPE4)*(TYPE4&lt;&gt;"")+('Dvd Calendar'!$N$555=SPECIAL_LBL)*(INC_SPECIALS="Y"))=0,"",'Dvd Calendar'!$N$553)))</f>
        <v/>
      </c>
      <c r="M61" s="106">
        <f>IF(EO61="","",IF(ISNUMBER('Dvd Calendar'!$O$553)=FALSE,"",IF((('Dvd Calendar'!$O$555=TYPE1)*(TYPE1&lt;&gt;"")+('Dvd Calendar'!$O$555=TYPE2)*(TYPE2&lt;&gt;"")+('Dvd Calendar'!$O$555=TYPE3)*(TYPE3&lt;&gt;"")+('Dvd Calendar'!$O$555=TYPE4)*(TYPE4&lt;&gt;"")+('Dvd Calendar'!$O$555=SPECIAL_LBL)*(INC_SPECIALS="Y"))=0,"",'Dvd Calendar'!$O$553)))</f>
        <v/>
      </c>
      <c r="N61" s="106">
        <f>IF(EP61="","",IF(ISNUMBER('Dvd Calendar'!$P$553)=FALSE,"",IF((('Dvd Calendar'!$P$555=TYPE1)*(TYPE1&lt;&gt;"")+('Dvd Calendar'!$P$555=TYPE2)*(TYPE2&lt;&gt;"")+('Dvd Calendar'!$P$555=TYPE3)*(TYPE3&lt;&gt;"")+('Dvd Calendar'!$P$555=TYPE4)*(TYPE4&lt;&gt;"")+('Dvd Calendar'!$P$555=SPECIAL_LBL)*(INC_SPECIALS="Y"))=0,"",'Dvd Calendar'!$P$553)))</f>
        <v/>
      </c>
      <c r="O61" s="106">
        <f>IF(EQ61="","",IF(ISNUMBER('Dvd Calendar'!$Q$553)=FALSE,"",IF((('Dvd Calendar'!$Q$555=TYPE1)*(TYPE1&lt;&gt;"")+('Dvd Calendar'!$Q$555=TYPE2)*(TYPE2&lt;&gt;"")+('Dvd Calendar'!$Q$555=TYPE3)*(TYPE3&lt;&gt;"")+('Dvd Calendar'!$Q$555=TYPE4)*(TYPE4&lt;&gt;"")+('Dvd Calendar'!$Q$555=SPECIAL_LBL)*(INC_SPECIALS="Y"))=0,"",'Dvd Calendar'!$Q$553)))</f>
        <v/>
      </c>
      <c r="P61" s="106">
        <f>IF(ER61="","",IF(ISNUMBER('Dvd Calendar'!$R$553)=FALSE,"",IF((('Dvd Calendar'!$R$555=TYPE1)*(TYPE1&lt;&gt;"")+('Dvd Calendar'!$R$555=TYPE2)*(TYPE2&lt;&gt;"")+('Dvd Calendar'!$R$555=TYPE3)*(TYPE3&lt;&gt;"")+('Dvd Calendar'!$R$555=TYPE4)*(TYPE4&lt;&gt;"")+('Dvd Calendar'!$R$555=SPECIAL_LBL)*(INC_SPECIALS="Y"))=0,"",'Dvd Calendar'!$R$553)))</f>
        <v/>
      </c>
      <c r="Q61" s="106">
        <f>IF(ES61="","",IF(ISNUMBER('Dvd Calendar'!$S$553)=FALSE,"",IF((('Dvd Calendar'!$S$555=TYPE1)*(TYPE1&lt;&gt;"")+('Dvd Calendar'!$S$555=TYPE2)*(TYPE2&lt;&gt;"")+('Dvd Calendar'!$S$555=TYPE3)*(TYPE3&lt;&gt;"")+('Dvd Calendar'!$S$555=TYPE4)*(TYPE4&lt;&gt;"")+('Dvd Calendar'!$S$555=SPECIAL_LBL)*(INC_SPECIALS="Y"))=0,"",'Dvd Calendar'!$S$553)))</f>
        <v/>
      </c>
      <c r="R61" s="106">
        <f>IF(ET61="","",IF(ISNUMBER('Dvd Calendar'!$T$553)=FALSE,"",IF((('Dvd Calendar'!$T$555=TYPE1)*(TYPE1&lt;&gt;"")+('Dvd Calendar'!$T$555=TYPE2)*(TYPE2&lt;&gt;"")+('Dvd Calendar'!$T$555=TYPE3)*(TYPE3&lt;&gt;"")+('Dvd Calendar'!$T$555=TYPE4)*(TYPE4&lt;&gt;"")+('Dvd Calendar'!$T$555=SPECIAL_LBL)*(INC_SPECIALS="Y"))=0,"",'Dvd Calendar'!$T$553)))</f>
        <v/>
      </c>
      <c r="S61" s="106">
        <f>IF(EU61="","",IF(ISNUMBER('Dvd Calendar'!$U$553)=FALSE,"",IF((('Dvd Calendar'!$U$555=TYPE1)*(TYPE1&lt;&gt;"")+('Dvd Calendar'!$U$555=TYPE2)*(TYPE2&lt;&gt;"")+('Dvd Calendar'!$U$555=TYPE3)*(TYPE3&lt;&gt;"")+('Dvd Calendar'!$U$555=TYPE4)*(TYPE4&lt;&gt;"")+('Dvd Calendar'!$U$555=SPECIAL_LBL)*(INC_SPECIALS="Y"))=0,"",'Dvd Calendar'!$U$553)))</f>
        <v/>
      </c>
      <c r="T61" s="106">
        <f>IF(EV61="","",IF(ISNUMBER('Dvd Calendar'!$V$553)=FALSE,"",IF((('Dvd Calendar'!$V$555=TYPE1)*(TYPE1&lt;&gt;"")+('Dvd Calendar'!$V$555=TYPE2)*(TYPE2&lt;&gt;"")+('Dvd Calendar'!$V$555=TYPE3)*(TYPE3&lt;&gt;"")+('Dvd Calendar'!$V$555=TYPE4)*(TYPE4&lt;&gt;"")+('Dvd Calendar'!$V$555=SPECIAL_LBL)*(INC_SPECIALS="Y"))=0,"",'Dvd Calendar'!$V$553)))</f>
        <v/>
      </c>
      <c r="U61" s="106">
        <f>IF(EW61="","",IF(ISNUMBER('Dvd Calendar'!$W$553)=FALSE,"",IF((('Dvd Calendar'!$W$555=TYPE1)*(TYPE1&lt;&gt;"")+('Dvd Calendar'!$W$555=TYPE2)*(TYPE2&lt;&gt;"")+('Dvd Calendar'!$W$555=TYPE3)*(TYPE3&lt;&gt;"")+('Dvd Calendar'!$W$555=TYPE4)*(TYPE4&lt;&gt;"")+('Dvd Calendar'!$W$555=SPECIAL_LBL)*(INC_SPECIALS="Y"))=0,"",'Dvd Calendar'!$W$553)))</f>
        <v/>
      </c>
      <c r="V61" s="106">
        <f>IF(EX61="","",IF(ISNUMBER('Dvd Calendar'!$X$553)=FALSE,"",IF((('Dvd Calendar'!$X$555=TYPE1)*(TYPE1&lt;&gt;"")+('Dvd Calendar'!$X$555=TYPE2)*(TYPE2&lt;&gt;"")+('Dvd Calendar'!$X$555=TYPE3)*(TYPE3&lt;&gt;"")+('Dvd Calendar'!$X$555=TYPE4)*(TYPE4&lt;&gt;"")+('Dvd Calendar'!$X$555=SPECIAL_LBL)*(INC_SPECIALS="Y"))=0,"",'Dvd Calendar'!$X$553)))</f>
        <v/>
      </c>
      <c r="W61" s="106">
        <f>IF(EY61="","",IF(ISNUMBER('Dvd Calendar'!$Y$553)=FALSE,"",IF((('Dvd Calendar'!$Y$555=TYPE1)*(TYPE1&lt;&gt;"")+('Dvd Calendar'!$Y$555=TYPE2)*(TYPE2&lt;&gt;"")+('Dvd Calendar'!$Y$555=TYPE3)*(TYPE3&lt;&gt;"")+('Dvd Calendar'!$Y$555=TYPE4)*(TYPE4&lt;&gt;"")+('Dvd Calendar'!$Y$555=SPECIAL_LBL)*(INC_SPECIALS="Y"))=0,"",'Dvd Calendar'!$Y$553)))</f>
        <v/>
      </c>
      <c r="X61" s="106">
        <f>IF(EZ61="","",IF(ISNUMBER('Dvd Calendar'!$Z$553)=FALSE,"",IF((('Dvd Calendar'!$Z$555=TYPE1)*(TYPE1&lt;&gt;"")+('Dvd Calendar'!$Z$555=TYPE2)*(TYPE2&lt;&gt;"")+('Dvd Calendar'!$Z$555=TYPE3)*(TYPE3&lt;&gt;"")+('Dvd Calendar'!$Z$555=TYPE4)*(TYPE4&lt;&gt;"")+('Dvd Calendar'!$Z$555=SPECIAL_LBL)*(INC_SPECIALS="Y"))=0,"",'Dvd Calendar'!$Z$553)))</f>
        <v/>
      </c>
      <c r="Y61" s="106">
        <f>IF(FA61="","",IF(ISNUMBER('Dvd Calendar'!$AA$553)=FALSE,"",IF((('Dvd Calendar'!$AA$555=TYPE1)*(TYPE1&lt;&gt;"")+('Dvd Calendar'!$AA$555=TYPE2)*(TYPE2&lt;&gt;"")+('Dvd Calendar'!$AA$555=TYPE3)*(TYPE3&lt;&gt;"")+('Dvd Calendar'!$AA$555=TYPE4)*(TYPE4&lt;&gt;"")+('Dvd Calendar'!$AA$555=SPECIAL_LBL)*(INC_SPECIALS="Y"))=0,"",'Dvd Calendar'!$AA$553)))</f>
        <v/>
      </c>
      <c r="Z61" s="106">
        <f>IF(FB61="","",IF(ISNUMBER('Dvd Calendar'!$AB$553)=FALSE,"",IF((('Dvd Calendar'!$AB$555=TYPE1)*(TYPE1&lt;&gt;"")+('Dvd Calendar'!$AB$555=TYPE2)*(TYPE2&lt;&gt;"")+('Dvd Calendar'!$AB$555=TYPE3)*(TYPE3&lt;&gt;"")+('Dvd Calendar'!$AB$555=TYPE4)*(TYPE4&lt;&gt;"")+('Dvd Calendar'!$AB$555=SPECIAL_LBL)*(INC_SPECIALS="Y"))=0,"",'Dvd Calendar'!$AB$553)))</f>
        <v/>
      </c>
      <c r="AA61" s="106">
        <f>IF(FC61="","",IF(ISNUMBER('Dvd Calendar'!$AC$553)=FALSE,"",IF((('Dvd Calendar'!$AC$555=TYPE1)*(TYPE1&lt;&gt;"")+('Dvd Calendar'!$AC$555=TYPE2)*(TYPE2&lt;&gt;"")+('Dvd Calendar'!$AC$555=TYPE3)*(TYPE3&lt;&gt;"")+('Dvd Calendar'!$AC$555=TYPE4)*(TYPE4&lt;&gt;"")+('Dvd Calendar'!$AC$555=SPECIAL_LBL)*(INC_SPECIALS="Y"))=0,"",'Dvd Calendar'!$AC$553)))</f>
        <v/>
      </c>
      <c r="AB61" s="106">
        <f>IF(FD61="","",IF(ISNUMBER('Dvd Calendar'!$AD$553)=FALSE,"",IF((('Dvd Calendar'!$AD$555=TYPE1)*(TYPE1&lt;&gt;"")+('Dvd Calendar'!$AD$555=TYPE2)*(TYPE2&lt;&gt;"")+('Dvd Calendar'!$AD$555=TYPE3)*(TYPE3&lt;&gt;"")+('Dvd Calendar'!$AD$555=TYPE4)*(TYPE4&lt;&gt;"")+('Dvd Calendar'!$AD$555=SPECIAL_LBL)*(INC_SPECIALS="Y"))=0,"",'Dvd Calendar'!$AD$553)))</f>
        <v/>
      </c>
      <c r="AC61" s="106">
        <f>IF(FE61="","",IF(ISNUMBER('Dvd Calendar'!$AE$553)=FALSE,"",IF((('Dvd Calendar'!$AE$555=TYPE1)*(TYPE1&lt;&gt;"")+('Dvd Calendar'!$AE$555=TYPE2)*(TYPE2&lt;&gt;"")+('Dvd Calendar'!$AE$555=TYPE3)*(TYPE3&lt;&gt;"")+('Dvd Calendar'!$AE$555=TYPE4)*(TYPE4&lt;&gt;"")+('Dvd Calendar'!$AE$555=SPECIAL_LBL)*(INC_SPECIALS="Y"))=0,"",'Dvd Calendar'!$AE$553)))</f>
        <v/>
      </c>
      <c r="AD61" s="106">
        <f>IF(FF61="","",IF(ISNUMBER('Dvd Calendar'!$AF$553)=FALSE,"",IF((('Dvd Calendar'!$AF$555=TYPE1)*(TYPE1&lt;&gt;"")+('Dvd Calendar'!$AF$555=TYPE2)*(TYPE2&lt;&gt;"")+('Dvd Calendar'!$AF$555=TYPE3)*(TYPE3&lt;&gt;"")+('Dvd Calendar'!$AF$555=TYPE4)*(TYPE4&lt;&gt;"")+('Dvd Calendar'!$AF$555=SPECIAL_LBL)*(INC_SPECIALS="Y"))=0,"",'Dvd Calendar'!$AF$553)))</f>
        <v/>
      </c>
      <c r="AE61" s="106">
        <f>IF(FG61="","",IF(ISNUMBER('Dvd Calendar'!$AG$553)=FALSE,"",IF((('Dvd Calendar'!$AG$555=TYPE1)*(TYPE1&lt;&gt;"")+('Dvd Calendar'!$AG$555=TYPE2)*(TYPE2&lt;&gt;"")+('Dvd Calendar'!$AG$555=TYPE3)*(TYPE3&lt;&gt;"")+('Dvd Calendar'!$AG$555=TYPE4)*(TYPE4&lt;&gt;"")+('Dvd Calendar'!$AG$555=SPECIAL_LBL)*(INC_SPECIALS="Y"))=0,"",'Dvd Calendar'!$AG$553)))</f>
        <v/>
      </c>
      <c r="AF61" s="106">
        <f>IF(FH61="","",IF(ISNUMBER('Dvd Calendar'!$AH$553)=FALSE,"",IF((('Dvd Calendar'!$AH$555=TYPE1)*(TYPE1&lt;&gt;"")+('Dvd Calendar'!$AH$555=TYPE2)*(TYPE2&lt;&gt;"")+('Dvd Calendar'!$AH$555=TYPE3)*(TYPE3&lt;&gt;"")+('Dvd Calendar'!$AH$555=TYPE4)*(TYPE4&lt;&gt;"")+('Dvd Calendar'!$AH$555=SPECIAL_LBL)*(INC_SPECIALS="Y"))=0,"",'Dvd Calendar'!$AH$553)))</f>
        <v/>
      </c>
      <c r="AG61" s="106">
        <f>IF(FI61="","",IF(ISNUMBER('Dvd Calendar'!$AI$553)=FALSE,"",IF((('Dvd Calendar'!$AI$555=TYPE1)*(TYPE1&lt;&gt;"")+('Dvd Calendar'!$AI$555=TYPE2)*(TYPE2&lt;&gt;"")+('Dvd Calendar'!$AI$555=TYPE3)*(TYPE3&lt;&gt;"")+('Dvd Calendar'!$AI$555=TYPE4)*(TYPE4&lt;&gt;"")+('Dvd Calendar'!$AI$555=SPECIAL_LBL)*(INC_SPECIALS="Y"))=0,"",'Dvd Calendar'!$AI$553)))</f>
        <v/>
      </c>
      <c r="AH61" s="106">
        <f>IF(FJ61="","",IF(ISNUMBER('Dvd Calendar'!$AJ$553)=FALSE,"",IF((('Dvd Calendar'!$AJ$555=TYPE1)*(TYPE1&lt;&gt;"")+('Dvd Calendar'!$AJ$555=TYPE2)*(TYPE2&lt;&gt;"")+('Dvd Calendar'!$AJ$555=TYPE3)*(TYPE3&lt;&gt;"")+('Dvd Calendar'!$AJ$555=TYPE4)*(TYPE4&lt;&gt;"")+('Dvd Calendar'!$AJ$555=SPECIAL_LBL)*(INC_SPECIALS="Y"))=0,"",'Dvd Calendar'!$AJ$553)))</f>
        <v/>
      </c>
      <c r="AI61" s="106">
        <f>IF(FK61="","",IF(ISNUMBER('Dvd Calendar'!$AK$553)=FALSE,"",IF((('Dvd Calendar'!$AK$555=TYPE1)*(TYPE1&lt;&gt;"")+('Dvd Calendar'!$AK$555=TYPE2)*(TYPE2&lt;&gt;"")+('Dvd Calendar'!$AK$555=TYPE3)*(TYPE3&lt;&gt;"")+('Dvd Calendar'!$AK$555=TYPE4)*(TYPE4&lt;&gt;"")+('Dvd Calendar'!$AK$555=SPECIAL_LBL)*(INC_SPECIALS="Y"))=0,"",'Dvd Calendar'!$AK$553)))</f>
        <v/>
      </c>
      <c r="AJ61" s="106">
        <f>IF(FL61="","",IF(ISNUMBER('Dvd Calendar'!$AL$553)=FALSE,"",IF((('Dvd Calendar'!$AL$555=TYPE1)*(TYPE1&lt;&gt;"")+('Dvd Calendar'!$AL$555=TYPE2)*(TYPE2&lt;&gt;"")+('Dvd Calendar'!$AL$555=TYPE3)*(TYPE3&lt;&gt;"")+('Dvd Calendar'!$AL$555=TYPE4)*(TYPE4&lt;&gt;"")+('Dvd Calendar'!$AL$555=SPECIAL_LBL)*(INC_SPECIALS="Y"))=0,"",'Dvd Calendar'!$AL$553)))</f>
        <v/>
      </c>
      <c r="AK61" s="106">
        <f>IF(FM61="","",IF(ISNUMBER('Dvd Calendar'!$AM$553)=FALSE,"",IF((('Dvd Calendar'!$AM$555=TYPE1)*(TYPE1&lt;&gt;"")+('Dvd Calendar'!$AM$555=TYPE2)*(TYPE2&lt;&gt;"")+('Dvd Calendar'!$AM$555=TYPE3)*(TYPE3&lt;&gt;"")+('Dvd Calendar'!$AM$555=TYPE4)*(TYPE4&lt;&gt;"")+('Dvd Calendar'!$AM$555=SPECIAL_LBL)*(INC_SPECIALS="Y"))=0,"",'Dvd Calendar'!$AM$553)))</f>
        <v/>
      </c>
      <c r="AL61" s="106">
        <f>IF(FN61="","",IF(ISNUMBER('Dvd Calendar'!$AN$553)=FALSE,"",IF((('Dvd Calendar'!$AN$555=TYPE1)*(TYPE1&lt;&gt;"")+('Dvd Calendar'!$AN$555=TYPE2)*(TYPE2&lt;&gt;"")+('Dvd Calendar'!$AN$555=TYPE3)*(TYPE3&lt;&gt;"")+('Dvd Calendar'!$AN$555=TYPE4)*(TYPE4&lt;&gt;"")+('Dvd Calendar'!$AN$555=SPECIAL_LBL)*(INC_SPECIALS="Y"))=0,"",'Dvd Calendar'!$AN$553)))</f>
        <v/>
      </c>
      <c r="AM61" s="106">
        <f>IF(FO61="","",IF(ISNUMBER('Dvd Calendar'!$AO$553)=FALSE,"",IF((('Dvd Calendar'!$AO$555=TYPE1)*(TYPE1&lt;&gt;"")+('Dvd Calendar'!$AO$555=TYPE2)*(TYPE2&lt;&gt;"")+('Dvd Calendar'!$AO$555=TYPE3)*(TYPE3&lt;&gt;"")+('Dvd Calendar'!$AO$555=TYPE4)*(TYPE4&lt;&gt;"")+('Dvd Calendar'!$AO$555=SPECIAL_LBL)*(INC_SPECIALS="Y"))=0,"",'Dvd Calendar'!$AO$553)))</f>
        <v/>
      </c>
      <c r="AN61" s="106">
        <f>IF(FP61="","",IF(ISNUMBER('Dvd Calendar'!$AP$553)=FALSE,"",IF((('Dvd Calendar'!$AP$555=TYPE1)*(TYPE1&lt;&gt;"")+('Dvd Calendar'!$AP$555=TYPE2)*(TYPE2&lt;&gt;"")+('Dvd Calendar'!$AP$555=TYPE3)*(TYPE3&lt;&gt;"")+('Dvd Calendar'!$AP$555=TYPE4)*(TYPE4&lt;&gt;"")+('Dvd Calendar'!$AP$555=SPECIAL_LBL)*(INC_SPECIALS="Y"))=0,"",'Dvd Calendar'!$AP$553)))</f>
        <v/>
      </c>
      <c r="AO61" s="106">
        <f>IF(FQ61="","",IF(ISNUMBER('Dvd Calendar'!$AQ$553)=FALSE,"",IF((('Dvd Calendar'!$AQ$555=TYPE1)*(TYPE1&lt;&gt;"")+('Dvd Calendar'!$AQ$555=TYPE2)*(TYPE2&lt;&gt;"")+('Dvd Calendar'!$AQ$555=TYPE3)*(TYPE3&lt;&gt;"")+('Dvd Calendar'!$AQ$555=TYPE4)*(TYPE4&lt;&gt;"")+('Dvd Calendar'!$AQ$555=SPECIAL_LBL)*(INC_SPECIALS="Y"))=0,"",'Dvd Calendar'!$AQ$553)))</f>
        <v/>
      </c>
      <c r="AP61" s="106">
        <f>IF(FR61="","",IF(ISNUMBER('Dvd Calendar'!$AR$553)=FALSE,"",IF((('Dvd Calendar'!$AR$555=TYPE1)*(TYPE1&lt;&gt;"")+('Dvd Calendar'!$AR$555=TYPE2)*(TYPE2&lt;&gt;"")+('Dvd Calendar'!$AR$555=TYPE3)*(TYPE3&lt;&gt;"")+('Dvd Calendar'!$AR$555=TYPE4)*(TYPE4&lt;&gt;"")+('Dvd Calendar'!$AR$555=SPECIAL_LBL)*(INC_SPECIALS="Y"))=0,"",'Dvd Calendar'!$AR$553)))</f>
        <v/>
      </c>
      <c r="AQ61" s="106">
        <f>IF(FS61="","",IF(ISNUMBER('Dvd Calendar'!$E$558)=FALSE,"",'Dvd Calendar'!$E$558))</f>
        <v/>
      </c>
      <c r="AR61" s="106">
        <f>IF(FT61="","",IF(ISNUMBER('Dvd Calendar'!$F$558)=FALSE,"",'Dvd Calendar'!$F$558))</f>
        <v/>
      </c>
      <c r="AS61" s="106">
        <f>IF(FU61="","",IF(ISNUMBER('Dvd Calendar'!$G$558)=FALSE,"",'Dvd Calendar'!$G$558))</f>
        <v/>
      </c>
      <c r="AT61" s="106">
        <f>IF(FV61="","",IF(ISNUMBER('Dvd Calendar'!$H$558)=FALSE,"",'Dvd Calendar'!$H$558))</f>
        <v/>
      </c>
      <c r="AU61" s="106">
        <f>IF(FW61="","",IF(ISNUMBER('Dvd Calendar'!$I$558)=FALSE,"",'Dvd Calendar'!$I$558))</f>
        <v/>
      </c>
      <c r="AV61" s="106">
        <f>IF(FX61="","",IF(ISNUMBER('Dvd Calendar'!$J$558)=FALSE,"",'Dvd Calendar'!$J$558))</f>
        <v/>
      </c>
      <c r="AW61" s="106">
        <f>IF(FY61="","",IF(ISNUMBER('Dvd Calendar'!$K$558)=FALSE,"",'Dvd Calendar'!$K$558))</f>
        <v/>
      </c>
      <c r="AX61" s="106">
        <f>IF(FZ61="","",IF(ISNUMBER('Dvd Calendar'!$L$558)=FALSE,"",'Dvd Calendar'!$L$558))</f>
        <v/>
      </c>
      <c r="AY61" s="106">
        <f>IF(GA61="","",IF(ISNUMBER('Dvd Calendar'!$M$558)=FALSE,"",'Dvd Calendar'!$M$558))</f>
        <v/>
      </c>
      <c r="AZ61" s="106">
        <f>IF(GB61="","",IF(ISNUMBER('Dvd Calendar'!$N$558)=FALSE,"",'Dvd Calendar'!$N$558))</f>
        <v/>
      </c>
      <c r="BA61" s="106">
        <f>IF(GC61="","",IF(ISNUMBER('Dvd Calendar'!$O$558)=FALSE,"",'Dvd Calendar'!$O$558))</f>
        <v/>
      </c>
      <c r="BB61" s="106">
        <f>IF(GD61="","",IF(ISNUMBER('Dvd Calendar'!$P$558)=FALSE,"",'Dvd Calendar'!$P$558))</f>
        <v/>
      </c>
      <c r="BC61" s="106">
        <f>IF(GE61="","",IF(ISNUMBER('Dvd Calendar'!$Q$558)=FALSE,"",'Dvd Calendar'!$Q$558))</f>
        <v/>
      </c>
      <c r="BD61" s="106">
        <f>IF(GF61="","",IF(ISNUMBER('Dvd Calendar'!$R$558)=FALSE,"",'Dvd Calendar'!$R$558))</f>
        <v/>
      </c>
      <c r="BE61" s="106">
        <f>IF(GG61="","",IF(ISNUMBER('Dvd Calendar'!$S$558)=FALSE,"",'Dvd Calendar'!$S$558))</f>
        <v/>
      </c>
      <c r="BF61" s="106">
        <f>IF(GH61="","",IF(ISNUMBER('Dvd Calendar'!$T$558)=FALSE,"",'Dvd Calendar'!$T$558))</f>
        <v/>
      </c>
      <c r="BG61" s="106">
        <f>IF(GI61="","",IF(ISNUMBER('Dvd Calendar'!$U$558)=FALSE,"",'Dvd Calendar'!$U$558))</f>
        <v/>
      </c>
      <c r="BH61" s="106">
        <f>IF(GJ61="","",IF(ISNUMBER('Dvd Calendar'!$V$558)=FALSE,"",'Dvd Calendar'!$V$558))</f>
        <v/>
      </c>
      <c r="BI61" s="106">
        <f>IF(GK61="","",IF(ISNUMBER('Dvd Calendar'!$W$558)=FALSE,"",'Dvd Calendar'!$W$558))</f>
        <v/>
      </c>
      <c r="BJ61" s="106">
        <f>IF(GL61="","",IF(ISNUMBER('Dvd Calendar'!$X$558)=FALSE,"",'Dvd Calendar'!$X$558))</f>
        <v/>
      </c>
      <c r="BK61" s="106">
        <f>IF(GM61="","",IF(ISNUMBER('Dvd Calendar'!$Y$558)=FALSE,"",'Dvd Calendar'!$Y$558))</f>
        <v/>
      </c>
      <c r="BL61" s="106">
        <f>IF(GN61="","",IF(ISNUMBER('Dvd Calendar'!$Z$558)=FALSE,"",'Dvd Calendar'!$Z$558))</f>
        <v/>
      </c>
      <c r="BM61" s="106">
        <f>IF(GO61="","",IF(ISNUMBER('Dvd Calendar'!$AA$558)=FALSE,"",'Dvd Calendar'!$AA$558))</f>
        <v/>
      </c>
      <c r="BN61" s="106">
        <f>IF(GP61="","",IF(ISNUMBER('Dvd Calendar'!$AB$558)=FALSE,"",'Dvd Calendar'!$AB$558))</f>
        <v/>
      </c>
      <c r="BO61" s="106">
        <f>IF(GQ61="","",IF(ISNUMBER('Dvd Calendar'!$AC$558)=FALSE,"",'Dvd Calendar'!$AC$558))</f>
        <v/>
      </c>
      <c r="BQ61" s="106">
        <f>IF(C61="","",IFERROR(C61*HSI!$B$56*HSI!$G$56/HSI!$B$3,""))</f>
        <v/>
      </c>
      <c r="BR61" s="106">
        <f>IF(D61="","",IFERROR(D61*HSI!$B$56*HSI!$G$56/HSI!$B$3,""))</f>
        <v/>
      </c>
      <c r="BS61" s="106">
        <f>IF(E61="","",IFERROR(E61*HSI!$B$56*HSI!$G$56/HSI!$B$3,""))</f>
        <v/>
      </c>
      <c r="BT61" s="106">
        <f>IF(F61="","",IFERROR(F61*HSI!$B$56*HSI!$G$56/HSI!$B$3,""))</f>
        <v/>
      </c>
      <c r="BU61" s="106">
        <f>IF(G61="","",IFERROR(G61*HSI!$B$56*HSI!$G$56/HSI!$B$3,""))</f>
        <v/>
      </c>
      <c r="BV61" s="106">
        <f>IF(H61="","",IFERROR(H61*HSI!$B$56*HSI!$G$56/HSI!$B$3,""))</f>
        <v/>
      </c>
      <c r="BW61" s="106">
        <f>IF(I61="","",IFERROR(I61*HSI!$B$56*HSI!$G$56/HSI!$B$3,""))</f>
        <v/>
      </c>
      <c r="BX61" s="106">
        <f>IF(J61="","",IFERROR(J61*HSI!$B$56*HSI!$G$56/HSI!$B$3,""))</f>
        <v/>
      </c>
      <c r="BY61" s="106">
        <f>IF(K61="","",IFERROR(K61*HSI!$B$56*HSI!$G$56/HSI!$B$3,""))</f>
        <v/>
      </c>
      <c r="BZ61" s="106">
        <f>IF(L61="","",IFERROR(L61*HSI!$B$56*HSI!$G$56/HSI!$B$3,""))</f>
        <v/>
      </c>
      <c r="CA61" s="106">
        <f>IF(M61="","",IFERROR(M61*HSI!$B$56*HSI!$G$56/HSI!$B$3,""))</f>
        <v/>
      </c>
      <c r="CB61" s="106">
        <f>IF(N61="","",IFERROR(N61*HSI!$B$56*HSI!$G$56/HSI!$B$3,""))</f>
        <v/>
      </c>
      <c r="CC61" s="106">
        <f>IF(O61="","",IFERROR(O61*HSI!$B$56*HSI!$G$56/HSI!$B$3,""))</f>
        <v/>
      </c>
      <c r="CD61" s="106">
        <f>IF(P61="","",IFERROR(P61*HSI!$B$56*HSI!$G$56/HSI!$B$3,""))</f>
        <v/>
      </c>
      <c r="CE61" s="106">
        <f>IF(Q61="","",IFERROR(Q61*HSI!$B$56*HSI!$G$56/HSI!$B$3,""))</f>
        <v/>
      </c>
      <c r="CF61" s="106">
        <f>IF(R61="","",IFERROR(R61*HSI!$B$56*HSI!$G$56/HSI!$B$3,""))</f>
        <v/>
      </c>
      <c r="CG61" s="106">
        <f>IF(S61="","",IFERROR(S61*HSI!$B$56*HSI!$G$56/HSI!$B$3,""))</f>
        <v/>
      </c>
      <c r="CH61" s="106">
        <f>IF(T61="","",IFERROR(T61*HSI!$B$56*HSI!$G$56/HSI!$B$3,""))</f>
        <v/>
      </c>
      <c r="CI61" s="106">
        <f>IF(U61="","",IFERROR(U61*HSI!$B$56*HSI!$G$56/HSI!$B$3,""))</f>
        <v/>
      </c>
      <c r="CJ61" s="106">
        <f>IF(V61="","",IFERROR(V61*HSI!$B$56*HSI!$G$56/HSI!$B$3,""))</f>
        <v/>
      </c>
      <c r="CK61" s="106">
        <f>IF(W61="","",IFERROR(W61*HSI!$B$56*HSI!$G$56/HSI!$B$3,""))</f>
        <v/>
      </c>
      <c r="CL61" s="106">
        <f>IF(X61="","",IFERROR(X61*HSI!$B$56*HSI!$G$56/HSI!$B$3,""))</f>
        <v/>
      </c>
      <c r="CM61" s="106">
        <f>IF(Y61="","",IFERROR(Y61*HSI!$B$56*HSI!$G$56/HSI!$B$3,""))</f>
        <v/>
      </c>
      <c r="CN61" s="106">
        <f>IF(Z61="","",IFERROR(Z61*HSI!$B$56*HSI!$G$56/HSI!$B$3,""))</f>
        <v/>
      </c>
      <c r="CO61" s="106">
        <f>IF(AA61="","",IFERROR(AA61*HSI!$B$56*HSI!$G$56/HSI!$B$3,""))</f>
        <v/>
      </c>
      <c r="CP61" s="106">
        <f>IF(AB61="","",IFERROR(AB61*HSI!$B$56*HSI!$G$56/HSI!$B$3,""))</f>
        <v/>
      </c>
      <c r="CQ61" s="106">
        <f>IF(AC61="","",IFERROR(AC61*HSI!$B$56*HSI!$G$56/HSI!$B$3,""))</f>
        <v/>
      </c>
      <c r="CR61" s="106">
        <f>IF(AD61="","",IFERROR(AD61*HSI!$B$56*HSI!$G$56/HSI!$B$3,""))</f>
        <v/>
      </c>
      <c r="CS61" s="106">
        <f>IF(AE61="","",IFERROR(AE61*HSI!$B$56*HSI!$G$56/HSI!$B$3,""))</f>
        <v/>
      </c>
      <c r="CT61" s="106">
        <f>IF(AF61="","",IFERROR(AF61*HSI!$B$56*HSI!$G$56/HSI!$B$3,""))</f>
        <v/>
      </c>
      <c r="CU61" s="106">
        <f>IF(AG61="","",IFERROR(AG61*HSI!$B$56*HSI!$G$56/HSI!$B$3,""))</f>
        <v/>
      </c>
      <c r="CV61" s="106">
        <f>IF(AH61="","",IFERROR(AH61*HSI!$B$56*HSI!$G$56/HSI!$B$3,""))</f>
        <v/>
      </c>
      <c r="CW61" s="106">
        <f>IF(AI61="","",IFERROR(AI61*HSI!$B$56*HSI!$G$56/HSI!$B$3,""))</f>
        <v/>
      </c>
      <c r="CX61" s="106">
        <f>IF(AJ61="","",IFERROR(AJ61*HSI!$B$56*HSI!$G$56/HSI!$B$3,""))</f>
        <v/>
      </c>
      <c r="CY61" s="106">
        <f>IF(AK61="","",IFERROR(AK61*HSI!$B$56*HSI!$G$56/HSI!$B$3,""))</f>
        <v/>
      </c>
      <c r="CZ61" s="106">
        <f>IF(AL61="","",IFERROR(AL61*HSI!$B$56*HSI!$G$56/HSI!$B$3,""))</f>
        <v/>
      </c>
      <c r="DA61" s="106">
        <f>IF(AM61="","",IFERROR(AM61*HSI!$B$56*HSI!$G$56/HSI!$B$3,""))</f>
        <v/>
      </c>
      <c r="DB61" s="106">
        <f>IF(AN61="","",IFERROR(AN61*HSI!$B$56*HSI!$G$56/HSI!$B$3,""))</f>
        <v/>
      </c>
      <c r="DC61" s="106">
        <f>IF(AO61="","",IFERROR(AO61*HSI!$B$56*HSI!$G$56/HSI!$B$3,""))</f>
        <v/>
      </c>
      <c r="DD61" s="106">
        <f>IF(AP61="","",IFERROR(AP61*HSI!$B$56*HSI!$G$56/HSI!$B$3,""))</f>
        <v/>
      </c>
      <c r="DE61" s="106">
        <f>IF(AQ61="","",IFERROR(AQ61*HSI!$B$56*HSI!$G$56/HSI!$B$3,""))</f>
        <v/>
      </c>
      <c r="DF61" s="106">
        <f>IF(AR61="","",IFERROR(AR61*HSI!$B$56*HSI!$G$56/HSI!$B$3,""))</f>
        <v/>
      </c>
      <c r="DG61" s="106">
        <f>IF(AS61="","",IFERROR(AS61*HSI!$B$56*HSI!$G$56/HSI!$B$3,""))</f>
        <v/>
      </c>
      <c r="DH61" s="106">
        <f>IF(AT61="","",IFERROR(AT61*HSI!$B$56*HSI!$G$56/HSI!$B$3,""))</f>
        <v/>
      </c>
      <c r="DI61" s="106">
        <f>IF(AU61="","",IFERROR(AU61*HSI!$B$56*HSI!$G$56/HSI!$B$3,""))</f>
        <v/>
      </c>
      <c r="DJ61" s="106">
        <f>IF(AV61="","",IFERROR(AV61*HSI!$B$56*HSI!$G$56/HSI!$B$3,""))</f>
        <v/>
      </c>
      <c r="DK61" s="106">
        <f>IF(AW61="","",IFERROR(AW61*HSI!$B$56*HSI!$G$56/HSI!$B$3,""))</f>
        <v/>
      </c>
      <c r="DL61" s="106">
        <f>IF(AX61="","",IFERROR(AX61*HSI!$B$56*HSI!$G$56/HSI!$B$3,""))</f>
        <v/>
      </c>
      <c r="DM61" s="106">
        <f>IF(AY61="","",IFERROR(AY61*HSI!$B$56*HSI!$G$56/HSI!$B$3,""))</f>
        <v/>
      </c>
      <c r="DN61" s="106">
        <f>IF(AZ61="","",IFERROR(AZ61*HSI!$B$56*HSI!$G$56/HSI!$B$3,""))</f>
        <v/>
      </c>
      <c r="DO61" s="106">
        <f>IF(BA61="","",IFERROR(BA61*HSI!$B$56*HSI!$G$56/HSI!$B$3,""))</f>
        <v/>
      </c>
      <c r="DP61" s="106">
        <f>IF(BB61="","",IFERROR(BB61*HSI!$B$56*HSI!$G$56/HSI!$B$3,""))</f>
        <v/>
      </c>
      <c r="DQ61" s="106">
        <f>IF(BC61="","",IFERROR(BC61*HSI!$B$56*HSI!$G$56/HSI!$B$3,""))</f>
        <v/>
      </c>
      <c r="DR61" s="106">
        <f>IF(BD61="","",IFERROR(BD61*HSI!$B$56*HSI!$G$56/HSI!$B$3,""))</f>
        <v/>
      </c>
      <c r="DS61" s="106">
        <f>IF(BE61="","",IFERROR(BE61*HSI!$B$56*HSI!$G$56/HSI!$B$3,""))</f>
        <v/>
      </c>
      <c r="DT61" s="106">
        <f>IF(BF61="","",IFERROR(BF61*HSI!$B$56*HSI!$G$56/HSI!$B$3,""))</f>
        <v/>
      </c>
      <c r="DU61" s="106">
        <f>IF(BG61="","",IFERROR(BG61*HSI!$B$56*HSI!$G$56/HSI!$B$3,""))</f>
        <v/>
      </c>
      <c r="DV61" s="106">
        <f>IF(BH61="","",IFERROR(BH61*HSI!$B$56*HSI!$G$56/HSI!$B$3,""))</f>
        <v/>
      </c>
      <c r="DW61" s="106">
        <f>IF(BI61="","",IFERROR(BI61*HSI!$B$56*HSI!$G$56/HSI!$B$3,""))</f>
        <v/>
      </c>
      <c r="DX61" s="106">
        <f>IF(BJ61="","",IFERROR(BJ61*HSI!$B$56*HSI!$G$56/HSI!$B$3,""))</f>
        <v/>
      </c>
      <c r="DY61" s="106">
        <f>IF(BK61="","",IFERROR(BK61*HSI!$B$56*HSI!$G$56/HSI!$B$3,""))</f>
        <v/>
      </c>
      <c r="DZ61" s="106">
        <f>IF(BL61="","",IFERROR(BL61*HSI!$B$56*HSI!$G$56/HSI!$B$3,""))</f>
        <v/>
      </c>
      <c r="EA61" s="106">
        <f>IF(BM61="","",IFERROR(BM61*HSI!$B$56*HSI!$G$56/HSI!$B$3,""))</f>
        <v/>
      </c>
      <c r="EB61" s="106">
        <f>IF(BN61="","",IFERROR(BN61*HSI!$B$56*HSI!$G$56/HSI!$B$3,""))</f>
        <v/>
      </c>
      <c r="EC61" s="106">
        <f>IF(BO61="","",IFERROR(BO61*HSI!$B$56*HSI!$G$56/HSI!$B$3,""))</f>
        <v/>
      </c>
      <c r="EE61" s="35">
        <f>IF(N('Dvd Calendar'!$E$550)=0,"",IF(('Dvd Calendar'!$E$550&gt;=GRID_FROM)*('Dvd Calendar'!$E$550&lt;=GRID_TO)*('Dvd Calendar'!$E$550&lt;=VAL_DATE)=0,"",'Dvd Calendar'!$E$550*1000000000+ISNUMBER('Dvd Calendar'!$E$553)*100000000+('Dvd Calendar'!$E$555=SPECIAL_LBL)*10000000+0*1000000+50*1000+1))</f>
        <v/>
      </c>
      <c r="EF61" s="35">
        <f>IF(N('Dvd Calendar'!$F$550)=0,"",IF(('Dvd Calendar'!$F$550&gt;=GRID_FROM)*('Dvd Calendar'!$F$550&lt;=GRID_TO)*('Dvd Calendar'!$F$550&lt;=VAL_DATE)=0,"",'Dvd Calendar'!$F$550*1000000000+ISNUMBER('Dvd Calendar'!$F$553)*100000000+('Dvd Calendar'!$F$555=SPECIAL_LBL)*10000000+0*1000000+50*1000+2))</f>
        <v/>
      </c>
      <c r="EG61" s="35">
        <f>IF(N('Dvd Calendar'!$G$550)=0,"",IF(('Dvd Calendar'!$G$550&gt;=GRID_FROM)*('Dvd Calendar'!$G$550&lt;=GRID_TO)*('Dvd Calendar'!$G$550&lt;=VAL_DATE)=0,"",'Dvd Calendar'!$G$550*1000000000+ISNUMBER('Dvd Calendar'!$G$553)*100000000+('Dvd Calendar'!$G$555=SPECIAL_LBL)*10000000+0*1000000+50*1000+3))</f>
        <v/>
      </c>
      <c r="EH61" s="35">
        <f>IF(N('Dvd Calendar'!$H$550)=0,"",IF(('Dvd Calendar'!$H$550&gt;=GRID_FROM)*('Dvd Calendar'!$H$550&lt;=GRID_TO)*('Dvd Calendar'!$H$550&lt;=VAL_DATE)=0,"",'Dvd Calendar'!$H$550*1000000000+ISNUMBER('Dvd Calendar'!$H$553)*100000000+('Dvd Calendar'!$H$555=SPECIAL_LBL)*10000000+0*1000000+50*1000+4))</f>
        <v/>
      </c>
      <c r="EI61" s="35">
        <f>IF(N('Dvd Calendar'!$I$550)=0,"",IF(('Dvd Calendar'!$I$550&gt;=GRID_FROM)*('Dvd Calendar'!$I$550&lt;=GRID_TO)*('Dvd Calendar'!$I$550&lt;=VAL_DATE)=0,"",'Dvd Calendar'!$I$550*1000000000+ISNUMBER('Dvd Calendar'!$I$553)*100000000+('Dvd Calendar'!$I$555=SPECIAL_LBL)*10000000+0*1000000+50*1000+5))</f>
        <v/>
      </c>
      <c r="EJ61" s="35">
        <f>IF(N('Dvd Calendar'!$J$550)=0,"",IF(('Dvd Calendar'!$J$550&gt;=GRID_FROM)*('Dvd Calendar'!$J$550&lt;=GRID_TO)*('Dvd Calendar'!$J$550&lt;=VAL_DATE)=0,"",'Dvd Calendar'!$J$550*1000000000+ISNUMBER('Dvd Calendar'!$J$553)*100000000+('Dvd Calendar'!$J$555=SPECIAL_LBL)*10000000+0*1000000+50*1000+6))</f>
        <v/>
      </c>
      <c r="EK61" s="35">
        <f>IF(N('Dvd Calendar'!$K$550)=0,"",IF(('Dvd Calendar'!$K$550&gt;=GRID_FROM)*('Dvd Calendar'!$K$550&lt;=GRID_TO)*('Dvd Calendar'!$K$550&lt;=VAL_DATE)=0,"",'Dvd Calendar'!$K$550*1000000000+ISNUMBER('Dvd Calendar'!$K$553)*100000000+('Dvd Calendar'!$K$555=SPECIAL_LBL)*10000000+0*1000000+50*1000+7))</f>
        <v/>
      </c>
      <c r="EL61" s="35">
        <f>IF(N('Dvd Calendar'!$L$550)=0,"",IF(('Dvd Calendar'!$L$550&gt;=GRID_FROM)*('Dvd Calendar'!$L$550&lt;=GRID_TO)*('Dvd Calendar'!$L$550&lt;=VAL_DATE)=0,"",'Dvd Calendar'!$L$550*1000000000+ISNUMBER('Dvd Calendar'!$L$553)*100000000+('Dvd Calendar'!$L$555=SPECIAL_LBL)*10000000+0*1000000+50*1000+8))</f>
        <v/>
      </c>
      <c r="EM61" s="35">
        <f>IF(N('Dvd Calendar'!$M$550)=0,"",IF(('Dvd Calendar'!$M$550&gt;=GRID_FROM)*('Dvd Calendar'!$M$550&lt;=GRID_TO)*('Dvd Calendar'!$M$550&lt;=VAL_DATE)=0,"",'Dvd Calendar'!$M$550*1000000000+ISNUMBER('Dvd Calendar'!$M$553)*100000000+('Dvd Calendar'!$M$555=SPECIAL_LBL)*10000000+0*1000000+50*1000+9))</f>
        <v/>
      </c>
      <c r="EN61" s="35">
        <f>IF(N('Dvd Calendar'!$N$550)=0,"",IF(('Dvd Calendar'!$N$550&gt;=GRID_FROM)*('Dvd Calendar'!$N$550&lt;=GRID_TO)*('Dvd Calendar'!$N$550&lt;=VAL_DATE)=0,"",'Dvd Calendar'!$N$550*1000000000+ISNUMBER('Dvd Calendar'!$N$553)*100000000+('Dvd Calendar'!$N$555=SPECIAL_LBL)*10000000+0*1000000+50*1000+10))</f>
        <v/>
      </c>
      <c r="EO61" s="35">
        <f>IF(N('Dvd Calendar'!$O$550)=0,"",IF(('Dvd Calendar'!$O$550&gt;=GRID_FROM)*('Dvd Calendar'!$O$550&lt;=GRID_TO)*('Dvd Calendar'!$O$550&lt;=VAL_DATE)=0,"",'Dvd Calendar'!$O$550*1000000000+ISNUMBER('Dvd Calendar'!$O$553)*100000000+('Dvd Calendar'!$O$555=SPECIAL_LBL)*10000000+0*1000000+50*1000+11))</f>
        <v/>
      </c>
      <c r="EP61" s="35">
        <f>IF(N('Dvd Calendar'!$P$550)=0,"",IF(('Dvd Calendar'!$P$550&gt;=GRID_FROM)*('Dvd Calendar'!$P$550&lt;=GRID_TO)*('Dvd Calendar'!$P$550&lt;=VAL_DATE)=0,"",'Dvd Calendar'!$P$550*1000000000+ISNUMBER('Dvd Calendar'!$P$553)*100000000+('Dvd Calendar'!$P$555=SPECIAL_LBL)*10000000+0*1000000+50*1000+12))</f>
        <v/>
      </c>
      <c r="EQ61" s="35">
        <f>IF(N('Dvd Calendar'!$Q$550)=0,"",IF(('Dvd Calendar'!$Q$550&gt;=GRID_FROM)*('Dvd Calendar'!$Q$550&lt;=GRID_TO)*('Dvd Calendar'!$Q$550&lt;=VAL_DATE)=0,"",'Dvd Calendar'!$Q$550*1000000000+ISNUMBER('Dvd Calendar'!$Q$553)*100000000+('Dvd Calendar'!$Q$555=SPECIAL_LBL)*10000000+0*1000000+50*1000+13))</f>
        <v/>
      </c>
      <c r="ER61" s="35">
        <f>IF(N('Dvd Calendar'!$R$550)=0,"",IF(('Dvd Calendar'!$R$550&gt;=GRID_FROM)*('Dvd Calendar'!$R$550&lt;=GRID_TO)*('Dvd Calendar'!$R$550&lt;=VAL_DATE)=0,"",'Dvd Calendar'!$R$550*1000000000+ISNUMBER('Dvd Calendar'!$R$553)*100000000+('Dvd Calendar'!$R$555=SPECIAL_LBL)*10000000+0*1000000+50*1000+14))</f>
        <v/>
      </c>
      <c r="ES61" s="35">
        <f>IF(N('Dvd Calendar'!$S$550)=0,"",IF(('Dvd Calendar'!$S$550&gt;=GRID_FROM)*('Dvd Calendar'!$S$550&lt;=GRID_TO)*('Dvd Calendar'!$S$550&lt;=VAL_DATE)=0,"",'Dvd Calendar'!$S$550*1000000000+ISNUMBER('Dvd Calendar'!$S$553)*100000000+('Dvd Calendar'!$S$555=SPECIAL_LBL)*10000000+0*1000000+50*1000+15))</f>
        <v/>
      </c>
      <c r="ET61" s="35">
        <f>IF(N('Dvd Calendar'!$T$550)=0,"",IF(('Dvd Calendar'!$T$550&gt;=GRID_FROM)*('Dvd Calendar'!$T$550&lt;=GRID_TO)*('Dvd Calendar'!$T$550&lt;=VAL_DATE)=0,"",'Dvd Calendar'!$T$550*1000000000+ISNUMBER('Dvd Calendar'!$T$553)*100000000+('Dvd Calendar'!$T$555=SPECIAL_LBL)*10000000+0*1000000+50*1000+16))</f>
        <v/>
      </c>
      <c r="EU61" s="35">
        <f>IF(N('Dvd Calendar'!$U$550)=0,"",IF(('Dvd Calendar'!$U$550&gt;=GRID_FROM)*('Dvd Calendar'!$U$550&lt;=GRID_TO)*('Dvd Calendar'!$U$550&lt;=VAL_DATE)=0,"",'Dvd Calendar'!$U$550*1000000000+ISNUMBER('Dvd Calendar'!$U$553)*100000000+('Dvd Calendar'!$U$555=SPECIAL_LBL)*10000000+0*1000000+50*1000+17))</f>
        <v/>
      </c>
      <c r="EV61" s="35">
        <f>IF(N('Dvd Calendar'!$V$550)=0,"",IF(('Dvd Calendar'!$V$550&gt;=GRID_FROM)*('Dvd Calendar'!$V$550&lt;=GRID_TO)*('Dvd Calendar'!$V$550&lt;=VAL_DATE)=0,"",'Dvd Calendar'!$V$550*1000000000+ISNUMBER('Dvd Calendar'!$V$553)*100000000+('Dvd Calendar'!$V$555=SPECIAL_LBL)*10000000+0*1000000+50*1000+18))</f>
        <v/>
      </c>
      <c r="EW61" s="35">
        <f>IF(N('Dvd Calendar'!$W$550)=0,"",IF(('Dvd Calendar'!$W$550&gt;=GRID_FROM)*('Dvd Calendar'!$W$550&lt;=GRID_TO)*('Dvd Calendar'!$W$550&lt;=VAL_DATE)=0,"",'Dvd Calendar'!$W$550*1000000000+ISNUMBER('Dvd Calendar'!$W$553)*100000000+('Dvd Calendar'!$W$555=SPECIAL_LBL)*10000000+0*1000000+50*1000+19))</f>
        <v/>
      </c>
      <c r="EX61" s="35">
        <f>IF(N('Dvd Calendar'!$X$550)=0,"",IF(('Dvd Calendar'!$X$550&gt;=GRID_FROM)*('Dvd Calendar'!$X$550&lt;=GRID_TO)*('Dvd Calendar'!$X$550&lt;=VAL_DATE)=0,"",'Dvd Calendar'!$X$550*1000000000+ISNUMBER('Dvd Calendar'!$X$553)*100000000+('Dvd Calendar'!$X$555=SPECIAL_LBL)*10000000+0*1000000+50*1000+20))</f>
        <v/>
      </c>
      <c r="EY61" s="35">
        <f>IF(N('Dvd Calendar'!$Y$550)=0,"",IF(('Dvd Calendar'!$Y$550&gt;=GRID_FROM)*('Dvd Calendar'!$Y$550&lt;=GRID_TO)*('Dvd Calendar'!$Y$550&lt;=VAL_DATE)=0,"",'Dvd Calendar'!$Y$550*1000000000+ISNUMBER('Dvd Calendar'!$Y$553)*100000000+('Dvd Calendar'!$Y$555=SPECIAL_LBL)*10000000+0*1000000+50*1000+21))</f>
        <v/>
      </c>
      <c r="EZ61" s="35">
        <f>IF(N('Dvd Calendar'!$Z$550)=0,"",IF(('Dvd Calendar'!$Z$550&gt;=GRID_FROM)*('Dvd Calendar'!$Z$550&lt;=GRID_TO)*('Dvd Calendar'!$Z$550&lt;=VAL_DATE)=0,"",'Dvd Calendar'!$Z$550*1000000000+ISNUMBER('Dvd Calendar'!$Z$553)*100000000+('Dvd Calendar'!$Z$555=SPECIAL_LBL)*10000000+0*1000000+50*1000+22))</f>
        <v/>
      </c>
      <c r="FA61" s="35">
        <f>IF(N('Dvd Calendar'!$AA$550)=0,"",IF(('Dvd Calendar'!$AA$550&gt;=GRID_FROM)*('Dvd Calendar'!$AA$550&lt;=GRID_TO)*('Dvd Calendar'!$AA$550&lt;=VAL_DATE)=0,"",'Dvd Calendar'!$AA$550*1000000000+ISNUMBER('Dvd Calendar'!$AA$553)*100000000+('Dvd Calendar'!$AA$555=SPECIAL_LBL)*10000000+0*1000000+50*1000+23))</f>
        <v/>
      </c>
      <c r="FB61" s="35">
        <f>IF(N('Dvd Calendar'!$AB$550)=0,"",IF(('Dvd Calendar'!$AB$550&gt;=GRID_FROM)*('Dvd Calendar'!$AB$550&lt;=GRID_TO)*('Dvd Calendar'!$AB$550&lt;=VAL_DATE)=0,"",'Dvd Calendar'!$AB$550*1000000000+ISNUMBER('Dvd Calendar'!$AB$553)*100000000+('Dvd Calendar'!$AB$555=SPECIAL_LBL)*10000000+0*1000000+50*1000+24))</f>
        <v/>
      </c>
      <c r="FC61" s="35">
        <f>IF(N('Dvd Calendar'!$AC$550)=0,"",IF(('Dvd Calendar'!$AC$550&gt;=GRID_FROM)*('Dvd Calendar'!$AC$550&lt;=GRID_TO)*('Dvd Calendar'!$AC$550&lt;=VAL_DATE)=0,"",'Dvd Calendar'!$AC$550*1000000000+ISNUMBER('Dvd Calendar'!$AC$553)*100000000+('Dvd Calendar'!$AC$555=SPECIAL_LBL)*10000000+0*1000000+50*1000+25))</f>
        <v/>
      </c>
      <c r="FD61" s="35">
        <f>IF(N('Dvd Calendar'!$AD$550)=0,"",IF(('Dvd Calendar'!$AD$550&gt;=GRID_FROM)*('Dvd Calendar'!$AD$550&lt;=GRID_TO)*('Dvd Calendar'!$AD$550&lt;=VAL_DATE)=0,"",'Dvd Calendar'!$AD$550*1000000000+ISNUMBER('Dvd Calendar'!$AD$553)*100000000+('Dvd Calendar'!$AD$555=SPECIAL_LBL)*10000000+0*1000000+50*1000+26))</f>
        <v/>
      </c>
      <c r="FE61" s="35">
        <f>IF(N('Dvd Calendar'!$AE$550)=0,"",IF(('Dvd Calendar'!$AE$550&gt;=GRID_FROM)*('Dvd Calendar'!$AE$550&lt;=GRID_TO)*('Dvd Calendar'!$AE$550&lt;=VAL_DATE)=0,"",'Dvd Calendar'!$AE$550*1000000000+ISNUMBER('Dvd Calendar'!$AE$553)*100000000+('Dvd Calendar'!$AE$555=SPECIAL_LBL)*10000000+0*1000000+50*1000+27))</f>
        <v/>
      </c>
      <c r="FF61" s="35">
        <f>IF(N('Dvd Calendar'!$AF$550)=0,"",IF(('Dvd Calendar'!$AF$550&gt;=GRID_FROM)*('Dvd Calendar'!$AF$550&lt;=GRID_TO)*('Dvd Calendar'!$AF$550&lt;=VAL_DATE)=0,"",'Dvd Calendar'!$AF$550*1000000000+ISNUMBER('Dvd Calendar'!$AF$553)*100000000+('Dvd Calendar'!$AF$555=SPECIAL_LBL)*10000000+0*1000000+50*1000+28))</f>
        <v/>
      </c>
      <c r="FG61" s="35">
        <f>IF(N('Dvd Calendar'!$AG$550)=0,"",IF(('Dvd Calendar'!$AG$550&gt;=GRID_FROM)*('Dvd Calendar'!$AG$550&lt;=GRID_TO)*('Dvd Calendar'!$AG$550&lt;=VAL_DATE)=0,"",'Dvd Calendar'!$AG$550*1000000000+ISNUMBER('Dvd Calendar'!$AG$553)*100000000+('Dvd Calendar'!$AG$555=SPECIAL_LBL)*10000000+0*1000000+50*1000+29))</f>
        <v/>
      </c>
      <c r="FH61" s="35">
        <f>IF(N('Dvd Calendar'!$AH$550)=0,"",IF(('Dvd Calendar'!$AH$550&gt;=GRID_FROM)*('Dvd Calendar'!$AH$550&lt;=GRID_TO)*('Dvd Calendar'!$AH$550&lt;=VAL_DATE)=0,"",'Dvd Calendar'!$AH$550*1000000000+ISNUMBER('Dvd Calendar'!$AH$553)*100000000+('Dvd Calendar'!$AH$555=SPECIAL_LBL)*10000000+0*1000000+50*1000+30))</f>
        <v/>
      </c>
      <c r="FI61" s="35">
        <f>IF(N('Dvd Calendar'!$AI$550)=0,"",IF(('Dvd Calendar'!$AI$550&gt;=GRID_FROM)*('Dvd Calendar'!$AI$550&lt;=GRID_TO)*('Dvd Calendar'!$AI$550&lt;=VAL_DATE)=0,"",'Dvd Calendar'!$AI$550*1000000000+ISNUMBER('Dvd Calendar'!$AI$553)*100000000+('Dvd Calendar'!$AI$555=SPECIAL_LBL)*10000000+0*1000000+50*1000+31))</f>
        <v/>
      </c>
      <c r="FJ61" s="35">
        <f>IF(N('Dvd Calendar'!$AJ$550)=0,"",IF(('Dvd Calendar'!$AJ$550&gt;=GRID_FROM)*('Dvd Calendar'!$AJ$550&lt;=GRID_TO)*('Dvd Calendar'!$AJ$550&lt;=VAL_DATE)=0,"",'Dvd Calendar'!$AJ$550*1000000000+ISNUMBER('Dvd Calendar'!$AJ$553)*100000000+('Dvd Calendar'!$AJ$555=SPECIAL_LBL)*10000000+0*1000000+50*1000+32))</f>
        <v/>
      </c>
      <c r="FK61" s="35">
        <f>IF(N('Dvd Calendar'!$AK$550)=0,"",IF(('Dvd Calendar'!$AK$550&gt;=GRID_FROM)*('Dvd Calendar'!$AK$550&lt;=GRID_TO)*('Dvd Calendar'!$AK$550&lt;=VAL_DATE)=0,"",'Dvd Calendar'!$AK$550*1000000000+ISNUMBER('Dvd Calendar'!$AK$553)*100000000+('Dvd Calendar'!$AK$555=SPECIAL_LBL)*10000000+0*1000000+50*1000+33))</f>
        <v/>
      </c>
      <c r="FL61" s="35">
        <f>IF(N('Dvd Calendar'!$AL$550)=0,"",IF(('Dvd Calendar'!$AL$550&gt;=GRID_FROM)*('Dvd Calendar'!$AL$550&lt;=GRID_TO)*('Dvd Calendar'!$AL$550&lt;=VAL_DATE)=0,"",'Dvd Calendar'!$AL$550*1000000000+ISNUMBER('Dvd Calendar'!$AL$553)*100000000+('Dvd Calendar'!$AL$555=SPECIAL_LBL)*10000000+0*1000000+50*1000+34))</f>
        <v/>
      </c>
      <c r="FM61" s="35">
        <f>IF(N('Dvd Calendar'!$AM$550)=0,"",IF(('Dvd Calendar'!$AM$550&gt;=GRID_FROM)*('Dvd Calendar'!$AM$550&lt;=GRID_TO)*('Dvd Calendar'!$AM$550&lt;=VAL_DATE)=0,"",'Dvd Calendar'!$AM$550*1000000000+ISNUMBER('Dvd Calendar'!$AM$553)*100000000+('Dvd Calendar'!$AM$555=SPECIAL_LBL)*10000000+0*1000000+50*1000+35))</f>
        <v/>
      </c>
      <c r="FN61" s="35">
        <f>IF(N('Dvd Calendar'!$AN$550)=0,"",IF(('Dvd Calendar'!$AN$550&gt;=GRID_FROM)*('Dvd Calendar'!$AN$550&lt;=GRID_TO)*('Dvd Calendar'!$AN$550&lt;=VAL_DATE)=0,"",'Dvd Calendar'!$AN$550*1000000000+ISNUMBER('Dvd Calendar'!$AN$553)*100000000+('Dvd Calendar'!$AN$555=SPECIAL_LBL)*10000000+0*1000000+50*1000+36))</f>
        <v/>
      </c>
      <c r="FO61" s="35">
        <f>IF(N('Dvd Calendar'!$AO$550)=0,"",IF(('Dvd Calendar'!$AO$550&gt;=GRID_FROM)*('Dvd Calendar'!$AO$550&lt;=GRID_TO)*('Dvd Calendar'!$AO$550&lt;=VAL_DATE)=0,"",'Dvd Calendar'!$AO$550*1000000000+ISNUMBER('Dvd Calendar'!$AO$553)*100000000+('Dvd Calendar'!$AO$555=SPECIAL_LBL)*10000000+0*1000000+50*1000+37))</f>
        <v/>
      </c>
      <c r="FP61" s="35">
        <f>IF(N('Dvd Calendar'!$AP$550)=0,"",IF(('Dvd Calendar'!$AP$550&gt;=GRID_FROM)*('Dvd Calendar'!$AP$550&lt;=GRID_TO)*('Dvd Calendar'!$AP$550&lt;=VAL_DATE)=0,"",'Dvd Calendar'!$AP$550*1000000000+ISNUMBER('Dvd Calendar'!$AP$553)*100000000+('Dvd Calendar'!$AP$555=SPECIAL_LBL)*10000000+0*1000000+50*1000+38))</f>
        <v/>
      </c>
      <c r="FQ61" s="35">
        <f>IF(N('Dvd Calendar'!$AQ$550)=0,"",IF(('Dvd Calendar'!$AQ$550&gt;=GRID_FROM)*('Dvd Calendar'!$AQ$550&lt;=GRID_TO)*('Dvd Calendar'!$AQ$550&lt;=VAL_DATE)=0,"",'Dvd Calendar'!$AQ$550*1000000000+ISNUMBER('Dvd Calendar'!$AQ$553)*100000000+('Dvd Calendar'!$AQ$555=SPECIAL_LBL)*10000000+0*1000000+50*1000+39))</f>
        <v/>
      </c>
      <c r="FR61" s="35">
        <f>IF(N('Dvd Calendar'!$AR$550)=0,"",IF(('Dvd Calendar'!$AR$550&gt;=GRID_FROM)*('Dvd Calendar'!$AR$550&lt;=GRID_TO)*('Dvd Calendar'!$AR$550&lt;=VAL_DATE)=0,"",'Dvd Calendar'!$AR$550*1000000000+ISNUMBER('Dvd Calendar'!$AR$553)*100000000+('Dvd Calendar'!$AR$555=SPECIAL_LBL)*10000000+0*1000000+50*1000+40))</f>
        <v/>
      </c>
      <c r="FS61" s="35">
        <f>IF(N('Dvd Calendar'!$E$557)=0,"",IF(('Dvd Calendar'!$E$557&gt;=GRID_FROM)*('Dvd Calendar'!$E$557&lt;=GRID_TO)*('Dvd Calendar'!$E$557&gt;VAL_DATE)=0,"",'Dvd Calendar'!$E$557*1000000000+ISNUMBER('Dvd Calendar'!$E$558)*100000000+0*10000000+(N('Dvd Calendar'!$E$556)&gt;0)*(N('Dvd Calendar'!$E$556)&lt;=VAL_SERIAL)*1000000+50*1000+41))</f>
        <v/>
      </c>
      <c r="FT61" s="35">
        <f>IF(N('Dvd Calendar'!$F$557)=0,"",IF(('Dvd Calendar'!$F$557&gt;=GRID_FROM)*('Dvd Calendar'!$F$557&lt;=GRID_TO)*('Dvd Calendar'!$F$557&gt;VAL_DATE)=0,"",'Dvd Calendar'!$F$557*1000000000+ISNUMBER('Dvd Calendar'!$F$558)*100000000+0*10000000+(N('Dvd Calendar'!$F$556)&gt;0)*(N('Dvd Calendar'!$F$556)&lt;=VAL_SERIAL)*1000000+50*1000+42))</f>
        <v/>
      </c>
      <c r="FU61" s="35">
        <f>IF(N('Dvd Calendar'!$G$557)=0,"",IF(('Dvd Calendar'!$G$557&gt;=GRID_FROM)*('Dvd Calendar'!$G$557&lt;=GRID_TO)*('Dvd Calendar'!$G$557&gt;VAL_DATE)=0,"",'Dvd Calendar'!$G$557*1000000000+ISNUMBER('Dvd Calendar'!$G$558)*100000000+0*10000000+(N('Dvd Calendar'!$G$556)&gt;0)*(N('Dvd Calendar'!$G$556)&lt;=VAL_SERIAL)*1000000+50*1000+43))</f>
        <v/>
      </c>
      <c r="FV61" s="35">
        <f>IF(N('Dvd Calendar'!$H$557)=0,"",IF(('Dvd Calendar'!$H$557&gt;=GRID_FROM)*('Dvd Calendar'!$H$557&lt;=GRID_TO)*('Dvd Calendar'!$H$557&gt;VAL_DATE)=0,"",'Dvd Calendar'!$H$557*1000000000+ISNUMBER('Dvd Calendar'!$H$558)*100000000+0*10000000+(N('Dvd Calendar'!$H$556)&gt;0)*(N('Dvd Calendar'!$H$556)&lt;=VAL_SERIAL)*1000000+50*1000+44))</f>
        <v/>
      </c>
      <c r="FW61" s="35">
        <f>IF(N('Dvd Calendar'!$I$557)=0,"",IF(('Dvd Calendar'!$I$557&gt;=GRID_FROM)*('Dvd Calendar'!$I$557&lt;=GRID_TO)*('Dvd Calendar'!$I$557&gt;VAL_DATE)=0,"",'Dvd Calendar'!$I$557*1000000000+ISNUMBER('Dvd Calendar'!$I$558)*100000000+0*10000000+(N('Dvd Calendar'!$I$556)&gt;0)*(N('Dvd Calendar'!$I$556)&lt;=VAL_SERIAL)*1000000+50*1000+45))</f>
        <v/>
      </c>
      <c r="FX61" s="35">
        <f>IF(N('Dvd Calendar'!$J$557)=0,"",IF(('Dvd Calendar'!$J$557&gt;=GRID_FROM)*('Dvd Calendar'!$J$557&lt;=GRID_TO)*('Dvd Calendar'!$J$557&gt;VAL_DATE)=0,"",'Dvd Calendar'!$J$557*1000000000+ISNUMBER('Dvd Calendar'!$J$558)*100000000+0*10000000+(N('Dvd Calendar'!$J$556)&gt;0)*(N('Dvd Calendar'!$J$556)&lt;=VAL_SERIAL)*1000000+50*1000+46))</f>
        <v/>
      </c>
      <c r="FY61" s="35">
        <f>IF(N('Dvd Calendar'!$K$557)=0,"",IF(('Dvd Calendar'!$K$557&gt;=GRID_FROM)*('Dvd Calendar'!$K$557&lt;=GRID_TO)*('Dvd Calendar'!$K$557&gt;VAL_DATE)=0,"",'Dvd Calendar'!$K$557*1000000000+ISNUMBER('Dvd Calendar'!$K$558)*100000000+0*10000000+(N('Dvd Calendar'!$K$556)&gt;0)*(N('Dvd Calendar'!$K$556)&lt;=VAL_SERIAL)*1000000+50*1000+47))</f>
        <v/>
      </c>
      <c r="FZ61" s="35">
        <f>IF(N('Dvd Calendar'!$L$557)=0,"",IF(('Dvd Calendar'!$L$557&gt;=GRID_FROM)*('Dvd Calendar'!$L$557&lt;=GRID_TO)*('Dvd Calendar'!$L$557&gt;VAL_DATE)=0,"",'Dvd Calendar'!$L$557*1000000000+ISNUMBER('Dvd Calendar'!$L$558)*100000000+0*10000000+(N('Dvd Calendar'!$L$556)&gt;0)*(N('Dvd Calendar'!$L$556)&lt;=VAL_SERIAL)*1000000+50*1000+48))</f>
        <v/>
      </c>
      <c r="GA61" s="35">
        <f>IF(N('Dvd Calendar'!$M$557)=0,"",IF(('Dvd Calendar'!$M$557&gt;=GRID_FROM)*('Dvd Calendar'!$M$557&lt;=GRID_TO)*('Dvd Calendar'!$M$557&gt;VAL_DATE)=0,"",'Dvd Calendar'!$M$557*1000000000+ISNUMBER('Dvd Calendar'!$M$558)*100000000+0*10000000+(N('Dvd Calendar'!$M$556)&gt;0)*(N('Dvd Calendar'!$M$556)&lt;=VAL_SERIAL)*1000000+50*1000+49))</f>
        <v/>
      </c>
      <c r="GB61" s="35">
        <f>IF(N('Dvd Calendar'!$N$557)=0,"",IF(('Dvd Calendar'!$N$557&gt;=GRID_FROM)*('Dvd Calendar'!$N$557&lt;=GRID_TO)*('Dvd Calendar'!$N$557&gt;VAL_DATE)=0,"",'Dvd Calendar'!$N$557*1000000000+ISNUMBER('Dvd Calendar'!$N$558)*100000000+0*10000000+(N('Dvd Calendar'!$N$556)&gt;0)*(N('Dvd Calendar'!$N$556)&lt;=VAL_SERIAL)*1000000+50*1000+50))</f>
        <v/>
      </c>
      <c r="GC61" s="35">
        <f>IF(N('Dvd Calendar'!$O$557)=0,"",IF(('Dvd Calendar'!$O$557&gt;=GRID_FROM)*('Dvd Calendar'!$O$557&lt;=GRID_TO)*('Dvd Calendar'!$O$557&gt;VAL_DATE)=0,"",'Dvd Calendar'!$O$557*1000000000+ISNUMBER('Dvd Calendar'!$O$558)*100000000+0*10000000+(N('Dvd Calendar'!$O$556)&gt;0)*(N('Dvd Calendar'!$O$556)&lt;=VAL_SERIAL)*1000000+50*1000+51))</f>
        <v/>
      </c>
      <c r="GD61" s="35">
        <f>IF(N('Dvd Calendar'!$P$557)=0,"",IF(('Dvd Calendar'!$P$557&gt;=GRID_FROM)*('Dvd Calendar'!$P$557&lt;=GRID_TO)*('Dvd Calendar'!$P$557&gt;VAL_DATE)=0,"",'Dvd Calendar'!$P$557*1000000000+ISNUMBER('Dvd Calendar'!$P$558)*100000000+0*10000000+(N('Dvd Calendar'!$P$556)&gt;0)*(N('Dvd Calendar'!$P$556)&lt;=VAL_SERIAL)*1000000+50*1000+52))</f>
        <v/>
      </c>
      <c r="GE61" s="35">
        <f>IF(N('Dvd Calendar'!$Q$557)=0,"",IF(('Dvd Calendar'!$Q$557&gt;=GRID_FROM)*('Dvd Calendar'!$Q$557&lt;=GRID_TO)*('Dvd Calendar'!$Q$557&gt;VAL_DATE)=0,"",'Dvd Calendar'!$Q$557*1000000000+ISNUMBER('Dvd Calendar'!$Q$558)*100000000+0*10000000+(N('Dvd Calendar'!$Q$556)&gt;0)*(N('Dvd Calendar'!$Q$556)&lt;=VAL_SERIAL)*1000000+50*1000+53))</f>
        <v/>
      </c>
      <c r="GF61" s="35">
        <f>IF(N('Dvd Calendar'!$R$557)=0,"",IF(('Dvd Calendar'!$R$557&gt;=GRID_FROM)*('Dvd Calendar'!$R$557&lt;=GRID_TO)*('Dvd Calendar'!$R$557&gt;VAL_DATE)=0,"",'Dvd Calendar'!$R$557*1000000000+ISNUMBER('Dvd Calendar'!$R$558)*100000000+0*10000000+(N('Dvd Calendar'!$R$556)&gt;0)*(N('Dvd Calendar'!$R$556)&lt;=VAL_SERIAL)*1000000+50*1000+54))</f>
        <v/>
      </c>
      <c r="GG61" s="35">
        <f>IF(N('Dvd Calendar'!$S$557)=0,"",IF(('Dvd Calendar'!$S$557&gt;=GRID_FROM)*('Dvd Calendar'!$S$557&lt;=GRID_TO)*('Dvd Calendar'!$S$557&gt;VAL_DATE)=0,"",'Dvd Calendar'!$S$557*1000000000+ISNUMBER('Dvd Calendar'!$S$558)*100000000+0*10000000+(N('Dvd Calendar'!$S$556)&gt;0)*(N('Dvd Calendar'!$S$556)&lt;=VAL_SERIAL)*1000000+50*1000+55))</f>
        <v/>
      </c>
      <c r="GH61" s="35">
        <f>IF(N('Dvd Calendar'!$T$557)=0,"",IF(('Dvd Calendar'!$T$557&gt;=GRID_FROM)*('Dvd Calendar'!$T$557&lt;=GRID_TO)*('Dvd Calendar'!$T$557&gt;VAL_DATE)=0,"",'Dvd Calendar'!$T$557*1000000000+ISNUMBER('Dvd Calendar'!$T$558)*100000000+0*10000000+(N('Dvd Calendar'!$T$556)&gt;0)*(N('Dvd Calendar'!$T$556)&lt;=VAL_SERIAL)*1000000+50*1000+56))</f>
        <v/>
      </c>
      <c r="GI61" s="35">
        <f>IF(N('Dvd Calendar'!$U$557)=0,"",IF(('Dvd Calendar'!$U$557&gt;=GRID_FROM)*('Dvd Calendar'!$U$557&lt;=GRID_TO)*('Dvd Calendar'!$U$557&gt;VAL_DATE)=0,"",'Dvd Calendar'!$U$557*1000000000+ISNUMBER('Dvd Calendar'!$U$558)*100000000+0*10000000+(N('Dvd Calendar'!$U$556)&gt;0)*(N('Dvd Calendar'!$U$556)&lt;=VAL_SERIAL)*1000000+50*1000+57))</f>
        <v/>
      </c>
      <c r="GJ61" s="35">
        <f>IF(N('Dvd Calendar'!$V$557)=0,"",IF(('Dvd Calendar'!$V$557&gt;=GRID_FROM)*('Dvd Calendar'!$V$557&lt;=GRID_TO)*('Dvd Calendar'!$V$557&gt;VAL_DATE)=0,"",'Dvd Calendar'!$V$557*1000000000+ISNUMBER('Dvd Calendar'!$V$558)*100000000+0*10000000+(N('Dvd Calendar'!$V$556)&gt;0)*(N('Dvd Calendar'!$V$556)&lt;=VAL_SERIAL)*1000000+50*1000+58))</f>
        <v/>
      </c>
      <c r="GK61" s="35">
        <f>IF(N('Dvd Calendar'!$W$557)=0,"",IF(('Dvd Calendar'!$W$557&gt;=GRID_FROM)*('Dvd Calendar'!$W$557&lt;=GRID_TO)*('Dvd Calendar'!$W$557&gt;VAL_DATE)=0,"",'Dvd Calendar'!$W$557*1000000000+ISNUMBER('Dvd Calendar'!$W$558)*100000000+0*10000000+(N('Dvd Calendar'!$W$556)&gt;0)*(N('Dvd Calendar'!$W$556)&lt;=VAL_SERIAL)*1000000+50*1000+59))</f>
        <v/>
      </c>
      <c r="GL61" s="35">
        <f>IF(N('Dvd Calendar'!$X$557)=0,"",IF(('Dvd Calendar'!$X$557&gt;=GRID_FROM)*('Dvd Calendar'!$X$557&lt;=GRID_TO)*('Dvd Calendar'!$X$557&gt;VAL_DATE)=0,"",'Dvd Calendar'!$X$557*1000000000+ISNUMBER('Dvd Calendar'!$X$558)*100000000+0*10000000+(N('Dvd Calendar'!$X$556)&gt;0)*(N('Dvd Calendar'!$X$556)&lt;=VAL_SERIAL)*1000000+50*1000+60))</f>
        <v/>
      </c>
      <c r="GM61" s="35">
        <f>IF(N('Dvd Calendar'!$Y$557)=0,"",IF(('Dvd Calendar'!$Y$557&gt;=GRID_FROM)*('Dvd Calendar'!$Y$557&lt;=GRID_TO)*('Dvd Calendar'!$Y$557&gt;VAL_DATE)=0,"",'Dvd Calendar'!$Y$557*1000000000+ISNUMBER('Dvd Calendar'!$Y$558)*100000000+0*10000000+(N('Dvd Calendar'!$Y$556)&gt;0)*(N('Dvd Calendar'!$Y$556)&lt;=VAL_SERIAL)*1000000+50*1000+61))</f>
        <v/>
      </c>
      <c r="GN61" s="35">
        <f>IF(N('Dvd Calendar'!$Z$557)=0,"",IF(('Dvd Calendar'!$Z$557&gt;=GRID_FROM)*('Dvd Calendar'!$Z$557&lt;=GRID_TO)*('Dvd Calendar'!$Z$557&gt;VAL_DATE)=0,"",'Dvd Calendar'!$Z$557*1000000000+ISNUMBER('Dvd Calendar'!$Z$558)*100000000+0*10000000+(N('Dvd Calendar'!$Z$556)&gt;0)*(N('Dvd Calendar'!$Z$556)&lt;=VAL_SERIAL)*1000000+50*1000+62))</f>
        <v/>
      </c>
      <c r="GO61" s="35">
        <f>IF(N('Dvd Calendar'!$AA$557)=0,"",IF(('Dvd Calendar'!$AA$557&gt;=GRID_FROM)*('Dvd Calendar'!$AA$557&lt;=GRID_TO)*('Dvd Calendar'!$AA$557&gt;VAL_DATE)=0,"",'Dvd Calendar'!$AA$557*1000000000+ISNUMBER('Dvd Calendar'!$AA$558)*100000000+0*10000000+(N('Dvd Calendar'!$AA$556)&gt;0)*(N('Dvd Calendar'!$AA$556)&lt;=VAL_SERIAL)*1000000+50*1000+63))</f>
        <v/>
      </c>
      <c r="GP61" s="35">
        <f>IF(N('Dvd Calendar'!$AB$557)=0,"",IF(('Dvd Calendar'!$AB$557&gt;=GRID_FROM)*('Dvd Calendar'!$AB$557&lt;=GRID_TO)*('Dvd Calendar'!$AB$557&gt;VAL_DATE)=0,"",'Dvd Calendar'!$AB$557*1000000000+ISNUMBER('Dvd Calendar'!$AB$558)*100000000+0*10000000+(N('Dvd Calendar'!$AB$556)&gt;0)*(N('Dvd Calendar'!$AB$556)&lt;=VAL_SERIAL)*1000000+50*1000+64))</f>
        <v/>
      </c>
      <c r="GQ61" s="35">
        <f>IF(N('Dvd Calendar'!$AC$557)=0,"",IF(('Dvd Calendar'!$AC$557&gt;=GRID_FROM)*('Dvd Calendar'!$AC$557&lt;=GRID_TO)*('Dvd Calendar'!$AC$557&gt;VAL_DATE)=0,"",'Dvd Calendar'!$AC$557*1000000000+ISNUMBER('Dvd Calendar'!$AC$558)*100000000+0*10000000+(N('Dvd Calendar'!$AC$556)&gt;0)*(N('Dvd Calendar'!$AC$556)&lt;=VAL_SERIAL)*1000000+50*1000+65))</f>
        <v/>
      </c>
    </row>
    <row r="62">
      <c r="B62" s="2">
        <f>IF(HSI!$C$57="","",HSI!$C$57)</f>
        <v/>
      </c>
      <c r="C62" s="106">
        <f>IF(EE62="","",IF(ISNUMBER('Dvd Calendar'!$E$564)=FALSE,"",IF((('Dvd Calendar'!$E$566=TYPE1)*(TYPE1&lt;&gt;"")+('Dvd Calendar'!$E$566=TYPE2)*(TYPE2&lt;&gt;"")+('Dvd Calendar'!$E$566=TYPE3)*(TYPE3&lt;&gt;"")+('Dvd Calendar'!$E$566=TYPE4)*(TYPE4&lt;&gt;"")+('Dvd Calendar'!$E$566=SPECIAL_LBL)*(INC_SPECIALS="Y"))=0,"",'Dvd Calendar'!$E$564)))</f>
        <v/>
      </c>
      <c r="D62" s="106">
        <f>IF(EF62="","",IF(ISNUMBER('Dvd Calendar'!$F$564)=FALSE,"",IF((('Dvd Calendar'!$F$566=TYPE1)*(TYPE1&lt;&gt;"")+('Dvd Calendar'!$F$566=TYPE2)*(TYPE2&lt;&gt;"")+('Dvd Calendar'!$F$566=TYPE3)*(TYPE3&lt;&gt;"")+('Dvd Calendar'!$F$566=TYPE4)*(TYPE4&lt;&gt;"")+('Dvd Calendar'!$F$566=SPECIAL_LBL)*(INC_SPECIALS="Y"))=0,"",'Dvd Calendar'!$F$564)))</f>
        <v/>
      </c>
      <c r="E62" s="106">
        <f>IF(EG62="","",IF(ISNUMBER('Dvd Calendar'!$G$564)=FALSE,"",IF((('Dvd Calendar'!$G$566=TYPE1)*(TYPE1&lt;&gt;"")+('Dvd Calendar'!$G$566=TYPE2)*(TYPE2&lt;&gt;"")+('Dvd Calendar'!$G$566=TYPE3)*(TYPE3&lt;&gt;"")+('Dvd Calendar'!$G$566=TYPE4)*(TYPE4&lt;&gt;"")+('Dvd Calendar'!$G$566=SPECIAL_LBL)*(INC_SPECIALS="Y"))=0,"",'Dvd Calendar'!$G$564)))</f>
        <v/>
      </c>
      <c r="F62" s="106">
        <f>IF(EH62="","",IF(ISNUMBER('Dvd Calendar'!$H$564)=FALSE,"",IF((('Dvd Calendar'!$H$566=TYPE1)*(TYPE1&lt;&gt;"")+('Dvd Calendar'!$H$566=TYPE2)*(TYPE2&lt;&gt;"")+('Dvd Calendar'!$H$566=TYPE3)*(TYPE3&lt;&gt;"")+('Dvd Calendar'!$H$566=TYPE4)*(TYPE4&lt;&gt;"")+('Dvd Calendar'!$H$566=SPECIAL_LBL)*(INC_SPECIALS="Y"))=0,"",'Dvd Calendar'!$H$564)))</f>
        <v/>
      </c>
      <c r="G62" s="106">
        <f>IF(EI62="","",IF(ISNUMBER('Dvd Calendar'!$I$564)=FALSE,"",IF((('Dvd Calendar'!$I$566=TYPE1)*(TYPE1&lt;&gt;"")+('Dvd Calendar'!$I$566=TYPE2)*(TYPE2&lt;&gt;"")+('Dvd Calendar'!$I$566=TYPE3)*(TYPE3&lt;&gt;"")+('Dvd Calendar'!$I$566=TYPE4)*(TYPE4&lt;&gt;"")+('Dvd Calendar'!$I$566=SPECIAL_LBL)*(INC_SPECIALS="Y"))=0,"",'Dvd Calendar'!$I$564)))</f>
        <v/>
      </c>
      <c r="H62" s="106">
        <f>IF(EJ62="","",IF(ISNUMBER('Dvd Calendar'!$J$564)=FALSE,"",IF((('Dvd Calendar'!$J$566=TYPE1)*(TYPE1&lt;&gt;"")+('Dvd Calendar'!$J$566=TYPE2)*(TYPE2&lt;&gt;"")+('Dvd Calendar'!$J$566=TYPE3)*(TYPE3&lt;&gt;"")+('Dvd Calendar'!$J$566=TYPE4)*(TYPE4&lt;&gt;"")+('Dvd Calendar'!$J$566=SPECIAL_LBL)*(INC_SPECIALS="Y"))=0,"",'Dvd Calendar'!$J$564)))</f>
        <v/>
      </c>
      <c r="I62" s="106">
        <f>IF(EK62="","",IF(ISNUMBER('Dvd Calendar'!$K$564)=FALSE,"",IF((('Dvd Calendar'!$K$566=TYPE1)*(TYPE1&lt;&gt;"")+('Dvd Calendar'!$K$566=TYPE2)*(TYPE2&lt;&gt;"")+('Dvd Calendar'!$K$566=TYPE3)*(TYPE3&lt;&gt;"")+('Dvd Calendar'!$K$566=TYPE4)*(TYPE4&lt;&gt;"")+('Dvd Calendar'!$K$566=SPECIAL_LBL)*(INC_SPECIALS="Y"))=0,"",'Dvd Calendar'!$K$564)))</f>
        <v/>
      </c>
      <c r="J62" s="106">
        <f>IF(EL62="","",IF(ISNUMBER('Dvd Calendar'!$L$564)=FALSE,"",IF((('Dvd Calendar'!$L$566=TYPE1)*(TYPE1&lt;&gt;"")+('Dvd Calendar'!$L$566=TYPE2)*(TYPE2&lt;&gt;"")+('Dvd Calendar'!$L$566=TYPE3)*(TYPE3&lt;&gt;"")+('Dvd Calendar'!$L$566=TYPE4)*(TYPE4&lt;&gt;"")+('Dvd Calendar'!$L$566=SPECIAL_LBL)*(INC_SPECIALS="Y"))=0,"",'Dvd Calendar'!$L$564)))</f>
        <v/>
      </c>
      <c r="K62" s="106">
        <f>IF(EM62="","",IF(ISNUMBER('Dvd Calendar'!$M$564)=FALSE,"",IF((('Dvd Calendar'!$M$566=TYPE1)*(TYPE1&lt;&gt;"")+('Dvd Calendar'!$M$566=TYPE2)*(TYPE2&lt;&gt;"")+('Dvd Calendar'!$M$566=TYPE3)*(TYPE3&lt;&gt;"")+('Dvd Calendar'!$M$566=TYPE4)*(TYPE4&lt;&gt;"")+('Dvd Calendar'!$M$566=SPECIAL_LBL)*(INC_SPECIALS="Y"))=0,"",'Dvd Calendar'!$M$564)))</f>
        <v/>
      </c>
      <c r="L62" s="106">
        <f>IF(EN62="","",IF(ISNUMBER('Dvd Calendar'!$N$564)=FALSE,"",IF((('Dvd Calendar'!$N$566=TYPE1)*(TYPE1&lt;&gt;"")+('Dvd Calendar'!$N$566=TYPE2)*(TYPE2&lt;&gt;"")+('Dvd Calendar'!$N$566=TYPE3)*(TYPE3&lt;&gt;"")+('Dvd Calendar'!$N$566=TYPE4)*(TYPE4&lt;&gt;"")+('Dvd Calendar'!$N$566=SPECIAL_LBL)*(INC_SPECIALS="Y"))=0,"",'Dvd Calendar'!$N$564)))</f>
        <v/>
      </c>
      <c r="M62" s="106">
        <f>IF(EO62="","",IF(ISNUMBER('Dvd Calendar'!$O$564)=FALSE,"",IF((('Dvd Calendar'!$O$566=TYPE1)*(TYPE1&lt;&gt;"")+('Dvd Calendar'!$O$566=TYPE2)*(TYPE2&lt;&gt;"")+('Dvd Calendar'!$O$566=TYPE3)*(TYPE3&lt;&gt;"")+('Dvd Calendar'!$O$566=TYPE4)*(TYPE4&lt;&gt;"")+('Dvd Calendar'!$O$566=SPECIAL_LBL)*(INC_SPECIALS="Y"))=0,"",'Dvd Calendar'!$O$564)))</f>
        <v/>
      </c>
      <c r="N62" s="106">
        <f>IF(EP62="","",IF(ISNUMBER('Dvd Calendar'!$P$564)=FALSE,"",IF((('Dvd Calendar'!$P$566=TYPE1)*(TYPE1&lt;&gt;"")+('Dvd Calendar'!$P$566=TYPE2)*(TYPE2&lt;&gt;"")+('Dvd Calendar'!$P$566=TYPE3)*(TYPE3&lt;&gt;"")+('Dvd Calendar'!$P$566=TYPE4)*(TYPE4&lt;&gt;"")+('Dvd Calendar'!$P$566=SPECIAL_LBL)*(INC_SPECIALS="Y"))=0,"",'Dvd Calendar'!$P$564)))</f>
        <v/>
      </c>
      <c r="O62" s="106">
        <f>IF(EQ62="","",IF(ISNUMBER('Dvd Calendar'!$Q$564)=FALSE,"",IF((('Dvd Calendar'!$Q$566=TYPE1)*(TYPE1&lt;&gt;"")+('Dvd Calendar'!$Q$566=TYPE2)*(TYPE2&lt;&gt;"")+('Dvd Calendar'!$Q$566=TYPE3)*(TYPE3&lt;&gt;"")+('Dvd Calendar'!$Q$566=TYPE4)*(TYPE4&lt;&gt;"")+('Dvd Calendar'!$Q$566=SPECIAL_LBL)*(INC_SPECIALS="Y"))=0,"",'Dvd Calendar'!$Q$564)))</f>
        <v/>
      </c>
      <c r="P62" s="106">
        <f>IF(ER62="","",IF(ISNUMBER('Dvd Calendar'!$R$564)=FALSE,"",IF((('Dvd Calendar'!$R$566=TYPE1)*(TYPE1&lt;&gt;"")+('Dvd Calendar'!$R$566=TYPE2)*(TYPE2&lt;&gt;"")+('Dvd Calendar'!$R$566=TYPE3)*(TYPE3&lt;&gt;"")+('Dvd Calendar'!$R$566=TYPE4)*(TYPE4&lt;&gt;"")+('Dvd Calendar'!$R$566=SPECIAL_LBL)*(INC_SPECIALS="Y"))=0,"",'Dvd Calendar'!$R$564)))</f>
        <v/>
      </c>
      <c r="Q62" s="106">
        <f>IF(ES62="","",IF(ISNUMBER('Dvd Calendar'!$S$564)=FALSE,"",IF((('Dvd Calendar'!$S$566=TYPE1)*(TYPE1&lt;&gt;"")+('Dvd Calendar'!$S$566=TYPE2)*(TYPE2&lt;&gt;"")+('Dvd Calendar'!$S$566=TYPE3)*(TYPE3&lt;&gt;"")+('Dvd Calendar'!$S$566=TYPE4)*(TYPE4&lt;&gt;"")+('Dvd Calendar'!$S$566=SPECIAL_LBL)*(INC_SPECIALS="Y"))=0,"",'Dvd Calendar'!$S$564)))</f>
        <v/>
      </c>
      <c r="R62" s="106">
        <f>IF(ET62="","",IF(ISNUMBER('Dvd Calendar'!$T$564)=FALSE,"",IF((('Dvd Calendar'!$T$566=TYPE1)*(TYPE1&lt;&gt;"")+('Dvd Calendar'!$T$566=TYPE2)*(TYPE2&lt;&gt;"")+('Dvd Calendar'!$T$566=TYPE3)*(TYPE3&lt;&gt;"")+('Dvd Calendar'!$T$566=TYPE4)*(TYPE4&lt;&gt;"")+('Dvd Calendar'!$T$566=SPECIAL_LBL)*(INC_SPECIALS="Y"))=0,"",'Dvd Calendar'!$T$564)))</f>
        <v/>
      </c>
      <c r="S62" s="106">
        <f>IF(EU62="","",IF(ISNUMBER('Dvd Calendar'!$U$564)=FALSE,"",IF((('Dvd Calendar'!$U$566=TYPE1)*(TYPE1&lt;&gt;"")+('Dvd Calendar'!$U$566=TYPE2)*(TYPE2&lt;&gt;"")+('Dvd Calendar'!$U$566=TYPE3)*(TYPE3&lt;&gt;"")+('Dvd Calendar'!$U$566=TYPE4)*(TYPE4&lt;&gt;"")+('Dvd Calendar'!$U$566=SPECIAL_LBL)*(INC_SPECIALS="Y"))=0,"",'Dvd Calendar'!$U$564)))</f>
        <v/>
      </c>
      <c r="T62" s="106">
        <f>IF(EV62="","",IF(ISNUMBER('Dvd Calendar'!$V$564)=FALSE,"",IF((('Dvd Calendar'!$V$566=TYPE1)*(TYPE1&lt;&gt;"")+('Dvd Calendar'!$V$566=TYPE2)*(TYPE2&lt;&gt;"")+('Dvd Calendar'!$V$566=TYPE3)*(TYPE3&lt;&gt;"")+('Dvd Calendar'!$V$566=TYPE4)*(TYPE4&lt;&gt;"")+('Dvd Calendar'!$V$566=SPECIAL_LBL)*(INC_SPECIALS="Y"))=0,"",'Dvd Calendar'!$V$564)))</f>
        <v/>
      </c>
      <c r="U62" s="106">
        <f>IF(EW62="","",IF(ISNUMBER('Dvd Calendar'!$W$564)=FALSE,"",IF((('Dvd Calendar'!$W$566=TYPE1)*(TYPE1&lt;&gt;"")+('Dvd Calendar'!$W$566=TYPE2)*(TYPE2&lt;&gt;"")+('Dvd Calendar'!$W$566=TYPE3)*(TYPE3&lt;&gt;"")+('Dvd Calendar'!$W$566=TYPE4)*(TYPE4&lt;&gt;"")+('Dvd Calendar'!$W$566=SPECIAL_LBL)*(INC_SPECIALS="Y"))=0,"",'Dvd Calendar'!$W$564)))</f>
        <v/>
      </c>
      <c r="V62" s="106">
        <f>IF(EX62="","",IF(ISNUMBER('Dvd Calendar'!$X$564)=FALSE,"",IF((('Dvd Calendar'!$X$566=TYPE1)*(TYPE1&lt;&gt;"")+('Dvd Calendar'!$X$566=TYPE2)*(TYPE2&lt;&gt;"")+('Dvd Calendar'!$X$566=TYPE3)*(TYPE3&lt;&gt;"")+('Dvd Calendar'!$X$566=TYPE4)*(TYPE4&lt;&gt;"")+('Dvd Calendar'!$X$566=SPECIAL_LBL)*(INC_SPECIALS="Y"))=0,"",'Dvd Calendar'!$X$564)))</f>
        <v/>
      </c>
      <c r="W62" s="106">
        <f>IF(EY62="","",IF(ISNUMBER('Dvd Calendar'!$Y$564)=FALSE,"",IF((('Dvd Calendar'!$Y$566=TYPE1)*(TYPE1&lt;&gt;"")+('Dvd Calendar'!$Y$566=TYPE2)*(TYPE2&lt;&gt;"")+('Dvd Calendar'!$Y$566=TYPE3)*(TYPE3&lt;&gt;"")+('Dvd Calendar'!$Y$566=TYPE4)*(TYPE4&lt;&gt;"")+('Dvd Calendar'!$Y$566=SPECIAL_LBL)*(INC_SPECIALS="Y"))=0,"",'Dvd Calendar'!$Y$564)))</f>
        <v/>
      </c>
      <c r="X62" s="106">
        <f>IF(EZ62="","",IF(ISNUMBER('Dvd Calendar'!$Z$564)=FALSE,"",IF((('Dvd Calendar'!$Z$566=TYPE1)*(TYPE1&lt;&gt;"")+('Dvd Calendar'!$Z$566=TYPE2)*(TYPE2&lt;&gt;"")+('Dvd Calendar'!$Z$566=TYPE3)*(TYPE3&lt;&gt;"")+('Dvd Calendar'!$Z$566=TYPE4)*(TYPE4&lt;&gt;"")+('Dvd Calendar'!$Z$566=SPECIAL_LBL)*(INC_SPECIALS="Y"))=0,"",'Dvd Calendar'!$Z$564)))</f>
        <v/>
      </c>
      <c r="Y62" s="106">
        <f>IF(FA62="","",IF(ISNUMBER('Dvd Calendar'!$AA$564)=FALSE,"",IF((('Dvd Calendar'!$AA$566=TYPE1)*(TYPE1&lt;&gt;"")+('Dvd Calendar'!$AA$566=TYPE2)*(TYPE2&lt;&gt;"")+('Dvd Calendar'!$AA$566=TYPE3)*(TYPE3&lt;&gt;"")+('Dvd Calendar'!$AA$566=TYPE4)*(TYPE4&lt;&gt;"")+('Dvd Calendar'!$AA$566=SPECIAL_LBL)*(INC_SPECIALS="Y"))=0,"",'Dvd Calendar'!$AA$564)))</f>
        <v/>
      </c>
      <c r="Z62" s="106">
        <f>IF(FB62="","",IF(ISNUMBER('Dvd Calendar'!$AB$564)=FALSE,"",IF((('Dvd Calendar'!$AB$566=TYPE1)*(TYPE1&lt;&gt;"")+('Dvd Calendar'!$AB$566=TYPE2)*(TYPE2&lt;&gt;"")+('Dvd Calendar'!$AB$566=TYPE3)*(TYPE3&lt;&gt;"")+('Dvd Calendar'!$AB$566=TYPE4)*(TYPE4&lt;&gt;"")+('Dvd Calendar'!$AB$566=SPECIAL_LBL)*(INC_SPECIALS="Y"))=0,"",'Dvd Calendar'!$AB$564)))</f>
        <v/>
      </c>
      <c r="AA62" s="106">
        <f>IF(FC62="","",IF(ISNUMBER('Dvd Calendar'!$AC$564)=FALSE,"",IF((('Dvd Calendar'!$AC$566=TYPE1)*(TYPE1&lt;&gt;"")+('Dvd Calendar'!$AC$566=TYPE2)*(TYPE2&lt;&gt;"")+('Dvd Calendar'!$AC$566=TYPE3)*(TYPE3&lt;&gt;"")+('Dvd Calendar'!$AC$566=TYPE4)*(TYPE4&lt;&gt;"")+('Dvd Calendar'!$AC$566=SPECIAL_LBL)*(INC_SPECIALS="Y"))=0,"",'Dvd Calendar'!$AC$564)))</f>
        <v/>
      </c>
      <c r="AB62" s="106">
        <f>IF(FD62="","",IF(ISNUMBER('Dvd Calendar'!$AD$564)=FALSE,"",IF((('Dvd Calendar'!$AD$566=TYPE1)*(TYPE1&lt;&gt;"")+('Dvd Calendar'!$AD$566=TYPE2)*(TYPE2&lt;&gt;"")+('Dvd Calendar'!$AD$566=TYPE3)*(TYPE3&lt;&gt;"")+('Dvd Calendar'!$AD$566=TYPE4)*(TYPE4&lt;&gt;"")+('Dvd Calendar'!$AD$566=SPECIAL_LBL)*(INC_SPECIALS="Y"))=0,"",'Dvd Calendar'!$AD$564)))</f>
        <v/>
      </c>
      <c r="AC62" s="106">
        <f>IF(FE62="","",IF(ISNUMBER('Dvd Calendar'!$AE$564)=FALSE,"",IF((('Dvd Calendar'!$AE$566=TYPE1)*(TYPE1&lt;&gt;"")+('Dvd Calendar'!$AE$566=TYPE2)*(TYPE2&lt;&gt;"")+('Dvd Calendar'!$AE$566=TYPE3)*(TYPE3&lt;&gt;"")+('Dvd Calendar'!$AE$566=TYPE4)*(TYPE4&lt;&gt;"")+('Dvd Calendar'!$AE$566=SPECIAL_LBL)*(INC_SPECIALS="Y"))=0,"",'Dvd Calendar'!$AE$564)))</f>
        <v/>
      </c>
      <c r="AD62" s="106">
        <f>IF(FF62="","",IF(ISNUMBER('Dvd Calendar'!$AF$564)=FALSE,"",IF((('Dvd Calendar'!$AF$566=TYPE1)*(TYPE1&lt;&gt;"")+('Dvd Calendar'!$AF$566=TYPE2)*(TYPE2&lt;&gt;"")+('Dvd Calendar'!$AF$566=TYPE3)*(TYPE3&lt;&gt;"")+('Dvd Calendar'!$AF$566=TYPE4)*(TYPE4&lt;&gt;"")+('Dvd Calendar'!$AF$566=SPECIAL_LBL)*(INC_SPECIALS="Y"))=0,"",'Dvd Calendar'!$AF$564)))</f>
        <v/>
      </c>
      <c r="AE62" s="106">
        <f>IF(FG62="","",IF(ISNUMBER('Dvd Calendar'!$AG$564)=FALSE,"",IF((('Dvd Calendar'!$AG$566=TYPE1)*(TYPE1&lt;&gt;"")+('Dvd Calendar'!$AG$566=TYPE2)*(TYPE2&lt;&gt;"")+('Dvd Calendar'!$AG$566=TYPE3)*(TYPE3&lt;&gt;"")+('Dvd Calendar'!$AG$566=TYPE4)*(TYPE4&lt;&gt;"")+('Dvd Calendar'!$AG$566=SPECIAL_LBL)*(INC_SPECIALS="Y"))=0,"",'Dvd Calendar'!$AG$564)))</f>
        <v/>
      </c>
      <c r="AF62" s="106">
        <f>IF(FH62="","",IF(ISNUMBER('Dvd Calendar'!$AH$564)=FALSE,"",IF((('Dvd Calendar'!$AH$566=TYPE1)*(TYPE1&lt;&gt;"")+('Dvd Calendar'!$AH$566=TYPE2)*(TYPE2&lt;&gt;"")+('Dvd Calendar'!$AH$566=TYPE3)*(TYPE3&lt;&gt;"")+('Dvd Calendar'!$AH$566=TYPE4)*(TYPE4&lt;&gt;"")+('Dvd Calendar'!$AH$566=SPECIAL_LBL)*(INC_SPECIALS="Y"))=0,"",'Dvd Calendar'!$AH$564)))</f>
        <v/>
      </c>
      <c r="AG62" s="106">
        <f>IF(FI62="","",IF(ISNUMBER('Dvd Calendar'!$AI$564)=FALSE,"",IF((('Dvd Calendar'!$AI$566=TYPE1)*(TYPE1&lt;&gt;"")+('Dvd Calendar'!$AI$566=TYPE2)*(TYPE2&lt;&gt;"")+('Dvd Calendar'!$AI$566=TYPE3)*(TYPE3&lt;&gt;"")+('Dvd Calendar'!$AI$566=TYPE4)*(TYPE4&lt;&gt;"")+('Dvd Calendar'!$AI$566=SPECIAL_LBL)*(INC_SPECIALS="Y"))=0,"",'Dvd Calendar'!$AI$564)))</f>
        <v/>
      </c>
      <c r="AH62" s="106">
        <f>IF(FJ62="","",IF(ISNUMBER('Dvd Calendar'!$AJ$564)=FALSE,"",IF((('Dvd Calendar'!$AJ$566=TYPE1)*(TYPE1&lt;&gt;"")+('Dvd Calendar'!$AJ$566=TYPE2)*(TYPE2&lt;&gt;"")+('Dvd Calendar'!$AJ$566=TYPE3)*(TYPE3&lt;&gt;"")+('Dvd Calendar'!$AJ$566=TYPE4)*(TYPE4&lt;&gt;"")+('Dvd Calendar'!$AJ$566=SPECIAL_LBL)*(INC_SPECIALS="Y"))=0,"",'Dvd Calendar'!$AJ$564)))</f>
        <v/>
      </c>
      <c r="AI62" s="106">
        <f>IF(FK62="","",IF(ISNUMBER('Dvd Calendar'!$AK$564)=FALSE,"",IF((('Dvd Calendar'!$AK$566=TYPE1)*(TYPE1&lt;&gt;"")+('Dvd Calendar'!$AK$566=TYPE2)*(TYPE2&lt;&gt;"")+('Dvd Calendar'!$AK$566=TYPE3)*(TYPE3&lt;&gt;"")+('Dvd Calendar'!$AK$566=TYPE4)*(TYPE4&lt;&gt;"")+('Dvd Calendar'!$AK$566=SPECIAL_LBL)*(INC_SPECIALS="Y"))=0,"",'Dvd Calendar'!$AK$564)))</f>
        <v/>
      </c>
      <c r="AJ62" s="106">
        <f>IF(FL62="","",IF(ISNUMBER('Dvd Calendar'!$AL$564)=FALSE,"",IF((('Dvd Calendar'!$AL$566=TYPE1)*(TYPE1&lt;&gt;"")+('Dvd Calendar'!$AL$566=TYPE2)*(TYPE2&lt;&gt;"")+('Dvd Calendar'!$AL$566=TYPE3)*(TYPE3&lt;&gt;"")+('Dvd Calendar'!$AL$566=TYPE4)*(TYPE4&lt;&gt;"")+('Dvd Calendar'!$AL$566=SPECIAL_LBL)*(INC_SPECIALS="Y"))=0,"",'Dvd Calendar'!$AL$564)))</f>
        <v/>
      </c>
      <c r="AK62" s="106">
        <f>IF(FM62="","",IF(ISNUMBER('Dvd Calendar'!$AM$564)=FALSE,"",IF((('Dvd Calendar'!$AM$566=TYPE1)*(TYPE1&lt;&gt;"")+('Dvd Calendar'!$AM$566=TYPE2)*(TYPE2&lt;&gt;"")+('Dvd Calendar'!$AM$566=TYPE3)*(TYPE3&lt;&gt;"")+('Dvd Calendar'!$AM$566=TYPE4)*(TYPE4&lt;&gt;"")+('Dvd Calendar'!$AM$566=SPECIAL_LBL)*(INC_SPECIALS="Y"))=0,"",'Dvd Calendar'!$AM$564)))</f>
        <v/>
      </c>
      <c r="AL62" s="106">
        <f>IF(FN62="","",IF(ISNUMBER('Dvd Calendar'!$AN$564)=FALSE,"",IF((('Dvd Calendar'!$AN$566=TYPE1)*(TYPE1&lt;&gt;"")+('Dvd Calendar'!$AN$566=TYPE2)*(TYPE2&lt;&gt;"")+('Dvd Calendar'!$AN$566=TYPE3)*(TYPE3&lt;&gt;"")+('Dvd Calendar'!$AN$566=TYPE4)*(TYPE4&lt;&gt;"")+('Dvd Calendar'!$AN$566=SPECIAL_LBL)*(INC_SPECIALS="Y"))=0,"",'Dvd Calendar'!$AN$564)))</f>
        <v/>
      </c>
      <c r="AM62" s="106">
        <f>IF(FO62="","",IF(ISNUMBER('Dvd Calendar'!$AO$564)=FALSE,"",IF((('Dvd Calendar'!$AO$566=TYPE1)*(TYPE1&lt;&gt;"")+('Dvd Calendar'!$AO$566=TYPE2)*(TYPE2&lt;&gt;"")+('Dvd Calendar'!$AO$566=TYPE3)*(TYPE3&lt;&gt;"")+('Dvd Calendar'!$AO$566=TYPE4)*(TYPE4&lt;&gt;"")+('Dvd Calendar'!$AO$566=SPECIAL_LBL)*(INC_SPECIALS="Y"))=0,"",'Dvd Calendar'!$AO$564)))</f>
        <v/>
      </c>
      <c r="AN62" s="106">
        <f>IF(FP62="","",IF(ISNUMBER('Dvd Calendar'!$AP$564)=FALSE,"",IF((('Dvd Calendar'!$AP$566=TYPE1)*(TYPE1&lt;&gt;"")+('Dvd Calendar'!$AP$566=TYPE2)*(TYPE2&lt;&gt;"")+('Dvd Calendar'!$AP$566=TYPE3)*(TYPE3&lt;&gt;"")+('Dvd Calendar'!$AP$566=TYPE4)*(TYPE4&lt;&gt;"")+('Dvd Calendar'!$AP$566=SPECIAL_LBL)*(INC_SPECIALS="Y"))=0,"",'Dvd Calendar'!$AP$564)))</f>
        <v/>
      </c>
      <c r="AO62" s="106">
        <f>IF(FQ62="","",IF(ISNUMBER('Dvd Calendar'!$AQ$564)=FALSE,"",IF((('Dvd Calendar'!$AQ$566=TYPE1)*(TYPE1&lt;&gt;"")+('Dvd Calendar'!$AQ$566=TYPE2)*(TYPE2&lt;&gt;"")+('Dvd Calendar'!$AQ$566=TYPE3)*(TYPE3&lt;&gt;"")+('Dvd Calendar'!$AQ$566=TYPE4)*(TYPE4&lt;&gt;"")+('Dvd Calendar'!$AQ$566=SPECIAL_LBL)*(INC_SPECIALS="Y"))=0,"",'Dvd Calendar'!$AQ$564)))</f>
        <v/>
      </c>
      <c r="AP62" s="106">
        <f>IF(FR62="","",IF(ISNUMBER('Dvd Calendar'!$AR$564)=FALSE,"",IF((('Dvd Calendar'!$AR$566=TYPE1)*(TYPE1&lt;&gt;"")+('Dvd Calendar'!$AR$566=TYPE2)*(TYPE2&lt;&gt;"")+('Dvd Calendar'!$AR$566=TYPE3)*(TYPE3&lt;&gt;"")+('Dvd Calendar'!$AR$566=TYPE4)*(TYPE4&lt;&gt;"")+('Dvd Calendar'!$AR$566=SPECIAL_LBL)*(INC_SPECIALS="Y"))=0,"",'Dvd Calendar'!$AR$564)))</f>
        <v/>
      </c>
      <c r="AQ62" s="106">
        <f>IF(FS62="","",IF(ISNUMBER('Dvd Calendar'!$E$569)=FALSE,"",'Dvd Calendar'!$E$569))</f>
        <v/>
      </c>
      <c r="AR62" s="106">
        <f>IF(FT62="","",IF(ISNUMBER('Dvd Calendar'!$F$569)=FALSE,"",'Dvd Calendar'!$F$569))</f>
        <v/>
      </c>
      <c r="AS62" s="106">
        <f>IF(FU62="","",IF(ISNUMBER('Dvd Calendar'!$G$569)=FALSE,"",'Dvd Calendar'!$G$569))</f>
        <v/>
      </c>
      <c r="AT62" s="106">
        <f>IF(FV62="","",IF(ISNUMBER('Dvd Calendar'!$H$569)=FALSE,"",'Dvd Calendar'!$H$569))</f>
        <v/>
      </c>
      <c r="AU62" s="106">
        <f>IF(FW62="","",IF(ISNUMBER('Dvd Calendar'!$I$569)=FALSE,"",'Dvd Calendar'!$I$569))</f>
        <v/>
      </c>
      <c r="AV62" s="106">
        <f>IF(FX62="","",IF(ISNUMBER('Dvd Calendar'!$J$569)=FALSE,"",'Dvd Calendar'!$J$569))</f>
        <v/>
      </c>
      <c r="AW62" s="106">
        <f>IF(FY62="","",IF(ISNUMBER('Dvd Calendar'!$K$569)=FALSE,"",'Dvd Calendar'!$K$569))</f>
        <v/>
      </c>
      <c r="AX62" s="106">
        <f>IF(FZ62="","",IF(ISNUMBER('Dvd Calendar'!$L$569)=FALSE,"",'Dvd Calendar'!$L$569))</f>
        <v/>
      </c>
      <c r="AY62" s="106">
        <f>IF(GA62="","",IF(ISNUMBER('Dvd Calendar'!$M$569)=FALSE,"",'Dvd Calendar'!$M$569))</f>
        <v/>
      </c>
      <c r="AZ62" s="106">
        <f>IF(GB62="","",IF(ISNUMBER('Dvd Calendar'!$N$569)=FALSE,"",'Dvd Calendar'!$N$569))</f>
        <v/>
      </c>
      <c r="BA62" s="106">
        <f>IF(GC62="","",IF(ISNUMBER('Dvd Calendar'!$O$569)=FALSE,"",'Dvd Calendar'!$O$569))</f>
        <v/>
      </c>
      <c r="BB62" s="106">
        <f>IF(GD62="","",IF(ISNUMBER('Dvd Calendar'!$P$569)=FALSE,"",'Dvd Calendar'!$P$569))</f>
        <v/>
      </c>
      <c r="BC62" s="106">
        <f>IF(GE62="","",IF(ISNUMBER('Dvd Calendar'!$Q$569)=FALSE,"",'Dvd Calendar'!$Q$569))</f>
        <v/>
      </c>
      <c r="BD62" s="106">
        <f>IF(GF62="","",IF(ISNUMBER('Dvd Calendar'!$R$569)=FALSE,"",'Dvd Calendar'!$R$569))</f>
        <v/>
      </c>
      <c r="BE62" s="106">
        <f>IF(GG62="","",IF(ISNUMBER('Dvd Calendar'!$S$569)=FALSE,"",'Dvd Calendar'!$S$569))</f>
        <v/>
      </c>
      <c r="BF62" s="106">
        <f>IF(GH62="","",IF(ISNUMBER('Dvd Calendar'!$T$569)=FALSE,"",'Dvd Calendar'!$T$569))</f>
        <v/>
      </c>
      <c r="BG62" s="106">
        <f>IF(GI62="","",IF(ISNUMBER('Dvd Calendar'!$U$569)=FALSE,"",'Dvd Calendar'!$U$569))</f>
        <v/>
      </c>
      <c r="BH62" s="106">
        <f>IF(GJ62="","",IF(ISNUMBER('Dvd Calendar'!$V$569)=FALSE,"",'Dvd Calendar'!$V$569))</f>
        <v/>
      </c>
      <c r="BI62" s="106">
        <f>IF(GK62="","",IF(ISNUMBER('Dvd Calendar'!$W$569)=FALSE,"",'Dvd Calendar'!$W$569))</f>
        <v/>
      </c>
      <c r="BJ62" s="106">
        <f>IF(GL62="","",IF(ISNUMBER('Dvd Calendar'!$X$569)=FALSE,"",'Dvd Calendar'!$X$569))</f>
        <v/>
      </c>
      <c r="BK62" s="106">
        <f>IF(GM62="","",IF(ISNUMBER('Dvd Calendar'!$Y$569)=FALSE,"",'Dvd Calendar'!$Y$569))</f>
        <v/>
      </c>
      <c r="BL62" s="106">
        <f>IF(GN62="","",IF(ISNUMBER('Dvd Calendar'!$Z$569)=FALSE,"",'Dvd Calendar'!$Z$569))</f>
        <v/>
      </c>
      <c r="BM62" s="106">
        <f>IF(GO62="","",IF(ISNUMBER('Dvd Calendar'!$AA$569)=FALSE,"",'Dvd Calendar'!$AA$569))</f>
        <v/>
      </c>
      <c r="BN62" s="106">
        <f>IF(GP62="","",IF(ISNUMBER('Dvd Calendar'!$AB$569)=FALSE,"",'Dvd Calendar'!$AB$569))</f>
        <v/>
      </c>
      <c r="BO62" s="106">
        <f>IF(GQ62="","",IF(ISNUMBER('Dvd Calendar'!$AC$569)=FALSE,"",'Dvd Calendar'!$AC$569))</f>
        <v/>
      </c>
      <c r="BQ62" s="106">
        <f>IF(C62="","",IFERROR(C62*HSI!$B$57*HSI!$G$57/HSI!$B$3,""))</f>
        <v/>
      </c>
      <c r="BR62" s="106">
        <f>IF(D62="","",IFERROR(D62*HSI!$B$57*HSI!$G$57/HSI!$B$3,""))</f>
        <v/>
      </c>
      <c r="BS62" s="106">
        <f>IF(E62="","",IFERROR(E62*HSI!$B$57*HSI!$G$57/HSI!$B$3,""))</f>
        <v/>
      </c>
      <c r="BT62" s="106">
        <f>IF(F62="","",IFERROR(F62*HSI!$B$57*HSI!$G$57/HSI!$B$3,""))</f>
        <v/>
      </c>
      <c r="BU62" s="106">
        <f>IF(G62="","",IFERROR(G62*HSI!$B$57*HSI!$G$57/HSI!$B$3,""))</f>
        <v/>
      </c>
      <c r="BV62" s="106">
        <f>IF(H62="","",IFERROR(H62*HSI!$B$57*HSI!$G$57/HSI!$B$3,""))</f>
        <v/>
      </c>
      <c r="BW62" s="106">
        <f>IF(I62="","",IFERROR(I62*HSI!$B$57*HSI!$G$57/HSI!$B$3,""))</f>
        <v/>
      </c>
      <c r="BX62" s="106">
        <f>IF(J62="","",IFERROR(J62*HSI!$B$57*HSI!$G$57/HSI!$B$3,""))</f>
        <v/>
      </c>
      <c r="BY62" s="106">
        <f>IF(K62="","",IFERROR(K62*HSI!$B$57*HSI!$G$57/HSI!$B$3,""))</f>
        <v/>
      </c>
      <c r="BZ62" s="106">
        <f>IF(L62="","",IFERROR(L62*HSI!$B$57*HSI!$G$57/HSI!$B$3,""))</f>
        <v/>
      </c>
      <c r="CA62" s="106">
        <f>IF(M62="","",IFERROR(M62*HSI!$B$57*HSI!$G$57/HSI!$B$3,""))</f>
        <v/>
      </c>
      <c r="CB62" s="106">
        <f>IF(N62="","",IFERROR(N62*HSI!$B$57*HSI!$G$57/HSI!$B$3,""))</f>
        <v/>
      </c>
      <c r="CC62" s="106">
        <f>IF(O62="","",IFERROR(O62*HSI!$B$57*HSI!$G$57/HSI!$B$3,""))</f>
        <v/>
      </c>
      <c r="CD62" s="106">
        <f>IF(P62="","",IFERROR(P62*HSI!$B$57*HSI!$G$57/HSI!$B$3,""))</f>
        <v/>
      </c>
      <c r="CE62" s="106">
        <f>IF(Q62="","",IFERROR(Q62*HSI!$B$57*HSI!$G$57/HSI!$B$3,""))</f>
        <v/>
      </c>
      <c r="CF62" s="106">
        <f>IF(R62="","",IFERROR(R62*HSI!$B$57*HSI!$G$57/HSI!$B$3,""))</f>
        <v/>
      </c>
      <c r="CG62" s="106">
        <f>IF(S62="","",IFERROR(S62*HSI!$B$57*HSI!$G$57/HSI!$B$3,""))</f>
        <v/>
      </c>
      <c r="CH62" s="106">
        <f>IF(T62="","",IFERROR(T62*HSI!$B$57*HSI!$G$57/HSI!$B$3,""))</f>
        <v/>
      </c>
      <c r="CI62" s="106">
        <f>IF(U62="","",IFERROR(U62*HSI!$B$57*HSI!$G$57/HSI!$B$3,""))</f>
        <v/>
      </c>
      <c r="CJ62" s="106">
        <f>IF(V62="","",IFERROR(V62*HSI!$B$57*HSI!$G$57/HSI!$B$3,""))</f>
        <v/>
      </c>
      <c r="CK62" s="106">
        <f>IF(W62="","",IFERROR(W62*HSI!$B$57*HSI!$G$57/HSI!$B$3,""))</f>
        <v/>
      </c>
      <c r="CL62" s="106">
        <f>IF(X62="","",IFERROR(X62*HSI!$B$57*HSI!$G$57/HSI!$B$3,""))</f>
        <v/>
      </c>
      <c r="CM62" s="106">
        <f>IF(Y62="","",IFERROR(Y62*HSI!$B$57*HSI!$G$57/HSI!$B$3,""))</f>
        <v/>
      </c>
      <c r="CN62" s="106">
        <f>IF(Z62="","",IFERROR(Z62*HSI!$B$57*HSI!$G$57/HSI!$B$3,""))</f>
        <v/>
      </c>
      <c r="CO62" s="106">
        <f>IF(AA62="","",IFERROR(AA62*HSI!$B$57*HSI!$G$57/HSI!$B$3,""))</f>
        <v/>
      </c>
      <c r="CP62" s="106">
        <f>IF(AB62="","",IFERROR(AB62*HSI!$B$57*HSI!$G$57/HSI!$B$3,""))</f>
        <v/>
      </c>
      <c r="CQ62" s="106">
        <f>IF(AC62="","",IFERROR(AC62*HSI!$B$57*HSI!$G$57/HSI!$B$3,""))</f>
        <v/>
      </c>
      <c r="CR62" s="106">
        <f>IF(AD62="","",IFERROR(AD62*HSI!$B$57*HSI!$G$57/HSI!$B$3,""))</f>
        <v/>
      </c>
      <c r="CS62" s="106">
        <f>IF(AE62="","",IFERROR(AE62*HSI!$B$57*HSI!$G$57/HSI!$B$3,""))</f>
        <v/>
      </c>
      <c r="CT62" s="106">
        <f>IF(AF62="","",IFERROR(AF62*HSI!$B$57*HSI!$G$57/HSI!$B$3,""))</f>
        <v/>
      </c>
      <c r="CU62" s="106">
        <f>IF(AG62="","",IFERROR(AG62*HSI!$B$57*HSI!$G$57/HSI!$B$3,""))</f>
        <v/>
      </c>
      <c r="CV62" s="106">
        <f>IF(AH62="","",IFERROR(AH62*HSI!$B$57*HSI!$G$57/HSI!$B$3,""))</f>
        <v/>
      </c>
      <c r="CW62" s="106">
        <f>IF(AI62="","",IFERROR(AI62*HSI!$B$57*HSI!$G$57/HSI!$B$3,""))</f>
        <v/>
      </c>
      <c r="CX62" s="106">
        <f>IF(AJ62="","",IFERROR(AJ62*HSI!$B$57*HSI!$G$57/HSI!$B$3,""))</f>
        <v/>
      </c>
      <c r="CY62" s="106">
        <f>IF(AK62="","",IFERROR(AK62*HSI!$B$57*HSI!$G$57/HSI!$B$3,""))</f>
        <v/>
      </c>
      <c r="CZ62" s="106">
        <f>IF(AL62="","",IFERROR(AL62*HSI!$B$57*HSI!$G$57/HSI!$B$3,""))</f>
        <v/>
      </c>
      <c r="DA62" s="106">
        <f>IF(AM62="","",IFERROR(AM62*HSI!$B$57*HSI!$G$57/HSI!$B$3,""))</f>
        <v/>
      </c>
      <c r="DB62" s="106">
        <f>IF(AN62="","",IFERROR(AN62*HSI!$B$57*HSI!$G$57/HSI!$B$3,""))</f>
        <v/>
      </c>
      <c r="DC62" s="106">
        <f>IF(AO62="","",IFERROR(AO62*HSI!$B$57*HSI!$G$57/HSI!$B$3,""))</f>
        <v/>
      </c>
      <c r="DD62" s="106">
        <f>IF(AP62="","",IFERROR(AP62*HSI!$B$57*HSI!$G$57/HSI!$B$3,""))</f>
        <v/>
      </c>
      <c r="DE62" s="106">
        <f>IF(AQ62="","",IFERROR(AQ62*HSI!$B$57*HSI!$G$57/HSI!$B$3,""))</f>
        <v/>
      </c>
      <c r="DF62" s="106">
        <f>IF(AR62="","",IFERROR(AR62*HSI!$B$57*HSI!$G$57/HSI!$B$3,""))</f>
        <v/>
      </c>
      <c r="DG62" s="106">
        <f>IF(AS62="","",IFERROR(AS62*HSI!$B$57*HSI!$G$57/HSI!$B$3,""))</f>
        <v/>
      </c>
      <c r="DH62" s="106">
        <f>IF(AT62="","",IFERROR(AT62*HSI!$B$57*HSI!$G$57/HSI!$B$3,""))</f>
        <v/>
      </c>
      <c r="DI62" s="106">
        <f>IF(AU62="","",IFERROR(AU62*HSI!$B$57*HSI!$G$57/HSI!$B$3,""))</f>
        <v/>
      </c>
      <c r="DJ62" s="106">
        <f>IF(AV62="","",IFERROR(AV62*HSI!$B$57*HSI!$G$57/HSI!$B$3,""))</f>
        <v/>
      </c>
      <c r="DK62" s="106">
        <f>IF(AW62="","",IFERROR(AW62*HSI!$B$57*HSI!$G$57/HSI!$B$3,""))</f>
        <v/>
      </c>
      <c r="DL62" s="106">
        <f>IF(AX62="","",IFERROR(AX62*HSI!$B$57*HSI!$G$57/HSI!$B$3,""))</f>
        <v/>
      </c>
      <c r="DM62" s="106">
        <f>IF(AY62="","",IFERROR(AY62*HSI!$B$57*HSI!$G$57/HSI!$B$3,""))</f>
        <v/>
      </c>
      <c r="DN62" s="106">
        <f>IF(AZ62="","",IFERROR(AZ62*HSI!$B$57*HSI!$G$57/HSI!$B$3,""))</f>
        <v/>
      </c>
      <c r="DO62" s="106">
        <f>IF(BA62="","",IFERROR(BA62*HSI!$B$57*HSI!$G$57/HSI!$B$3,""))</f>
        <v/>
      </c>
      <c r="DP62" s="106">
        <f>IF(BB62="","",IFERROR(BB62*HSI!$B$57*HSI!$G$57/HSI!$B$3,""))</f>
        <v/>
      </c>
      <c r="DQ62" s="106">
        <f>IF(BC62="","",IFERROR(BC62*HSI!$B$57*HSI!$G$57/HSI!$B$3,""))</f>
        <v/>
      </c>
      <c r="DR62" s="106">
        <f>IF(BD62="","",IFERROR(BD62*HSI!$B$57*HSI!$G$57/HSI!$B$3,""))</f>
        <v/>
      </c>
      <c r="DS62" s="106">
        <f>IF(BE62="","",IFERROR(BE62*HSI!$B$57*HSI!$G$57/HSI!$B$3,""))</f>
        <v/>
      </c>
      <c r="DT62" s="106">
        <f>IF(BF62="","",IFERROR(BF62*HSI!$B$57*HSI!$G$57/HSI!$B$3,""))</f>
        <v/>
      </c>
      <c r="DU62" s="106">
        <f>IF(BG62="","",IFERROR(BG62*HSI!$B$57*HSI!$G$57/HSI!$B$3,""))</f>
        <v/>
      </c>
      <c r="DV62" s="106">
        <f>IF(BH62="","",IFERROR(BH62*HSI!$B$57*HSI!$G$57/HSI!$B$3,""))</f>
        <v/>
      </c>
      <c r="DW62" s="106">
        <f>IF(BI62="","",IFERROR(BI62*HSI!$B$57*HSI!$G$57/HSI!$B$3,""))</f>
        <v/>
      </c>
      <c r="DX62" s="106">
        <f>IF(BJ62="","",IFERROR(BJ62*HSI!$B$57*HSI!$G$57/HSI!$B$3,""))</f>
        <v/>
      </c>
      <c r="DY62" s="106">
        <f>IF(BK62="","",IFERROR(BK62*HSI!$B$57*HSI!$G$57/HSI!$B$3,""))</f>
        <v/>
      </c>
      <c r="DZ62" s="106">
        <f>IF(BL62="","",IFERROR(BL62*HSI!$B$57*HSI!$G$57/HSI!$B$3,""))</f>
        <v/>
      </c>
      <c r="EA62" s="106">
        <f>IF(BM62="","",IFERROR(BM62*HSI!$B$57*HSI!$G$57/HSI!$B$3,""))</f>
        <v/>
      </c>
      <c r="EB62" s="106">
        <f>IF(BN62="","",IFERROR(BN62*HSI!$B$57*HSI!$G$57/HSI!$B$3,""))</f>
        <v/>
      </c>
      <c r="EC62" s="106">
        <f>IF(BO62="","",IFERROR(BO62*HSI!$B$57*HSI!$G$57/HSI!$B$3,""))</f>
        <v/>
      </c>
      <c r="EE62" s="35">
        <f>IF(N('Dvd Calendar'!$E$561)=0,"",IF(('Dvd Calendar'!$E$561&gt;=GRID_FROM)*('Dvd Calendar'!$E$561&lt;=GRID_TO)*('Dvd Calendar'!$E$561&lt;=VAL_DATE)=0,"",'Dvd Calendar'!$E$561*1000000000+ISNUMBER('Dvd Calendar'!$E$564)*100000000+('Dvd Calendar'!$E$566=SPECIAL_LBL)*10000000+0*1000000+51*1000+1))</f>
        <v/>
      </c>
      <c r="EF62" s="35">
        <f>IF(N('Dvd Calendar'!$F$561)=0,"",IF(('Dvd Calendar'!$F$561&gt;=GRID_FROM)*('Dvd Calendar'!$F$561&lt;=GRID_TO)*('Dvd Calendar'!$F$561&lt;=VAL_DATE)=0,"",'Dvd Calendar'!$F$561*1000000000+ISNUMBER('Dvd Calendar'!$F$564)*100000000+('Dvd Calendar'!$F$566=SPECIAL_LBL)*10000000+0*1000000+51*1000+2))</f>
        <v/>
      </c>
      <c r="EG62" s="35">
        <f>IF(N('Dvd Calendar'!$G$561)=0,"",IF(('Dvd Calendar'!$G$561&gt;=GRID_FROM)*('Dvd Calendar'!$G$561&lt;=GRID_TO)*('Dvd Calendar'!$G$561&lt;=VAL_DATE)=0,"",'Dvd Calendar'!$G$561*1000000000+ISNUMBER('Dvd Calendar'!$G$564)*100000000+('Dvd Calendar'!$G$566=SPECIAL_LBL)*10000000+0*1000000+51*1000+3))</f>
        <v/>
      </c>
      <c r="EH62" s="35">
        <f>IF(N('Dvd Calendar'!$H$561)=0,"",IF(('Dvd Calendar'!$H$561&gt;=GRID_FROM)*('Dvd Calendar'!$H$561&lt;=GRID_TO)*('Dvd Calendar'!$H$561&lt;=VAL_DATE)=0,"",'Dvd Calendar'!$H$561*1000000000+ISNUMBER('Dvd Calendar'!$H$564)*100000000+('Dvd Calendar'!$H$566=SPECIAL_LBL)*10000000+0*1000000+51*1000+4))</f>
        <v/>
      </c>
      <c r="EI62" s="35">
        <f>IF(N('Dvd Calendar'!$I$561)=0,"",IF(('Dvd Calendar'!$I$561&gt;=GRID_FROM)*('Dvd Calendar'!$I$561&lt;=GRID_TO)*('Dvd Calendar'!$I$561&lt;=VAL_DATE)=0,"",'Dvd Calendar'!$I$561*1000000000+ISNUMBER('Dvd Calendar'!$I$564)*100000000+('Dvd Calendar'!$I$566=SPECIAL_LBL)*10000000+0*1000000+51*1000+5))</f>
        <v/>
      </c>
      <c r="EJ62" s="35">
        <f>IF(N('Dvd Calendar'!$J$561)=0,"",IF(('Dvd Calendar'!$J$561&gt;=GRID_FROM)*('Dvd Calendar'!$J$561&lt;=GRID_TO)*('Dvd Calendar'!$J$561&lt;=VAL_DATE)=0,"",'Dvd Calendar'!$J$561*1000000000+ISNUMBER('Dvd Calendar'!$J$564)*100000000+('Dvd Calendar'!$J$566=SPECIAL_LBL)*10000000+0*1000000+51*1000+6))</f>
        <v/>
      </c>
      <c r="EK62" s="35">
        <f>IF(N('Dvd Calendar'!$K$561)=0,"",IF(('Dvd Calendar'!$K$561&gt;=GRID_FROM)*('Dvd Calendar'!$K$561&lt;=GRID_TO)*('Dvd Calendar'!$K$561&lt;=VAL_DATE)=0,"",'Dvd Calendar'!$K$561*1000000000+ISNUMBER('Dvd Calendar'!$K$564)*100000000+('Dvd Calendar'!$K$566=SPECIAL_LBL)*10000000+0*1000000+51*1000+7))</f>
        <v/>
      </c>
      <c r="EL62" s="35">
        <f>IF(N('Dvd Calendar'!$L$561)=0,"",IF(('Dvd Calendar'!$L$561&gt;=GRID_FROM)*('Dvd Calendar'!$L$561&lt;=GRID_TO)*('Dvd Calendar'!$L$561&lt;=VAL_DATE)=0,"",'Dvd Calendar'!$L$561*1000000000+ISNUMBER('Dvd Calendar'!$L$564)*100000000+('Dvd Calendar'!$L$566=SPECIAL_LBL)*10000000+0*1000000+51*1000+8))</f>
        <v/>
      </c>
      <c r="EM62" s="35">
        <f>IF(N('Dvd Calendar'!$M$561)=0,"",IF(('Dvd Calendar'!$M$561&gt;=GRID_FROM)*('Dvd Calendar'!$M$561&lt;=GRID_TO)*('Dvd Calendar'!$M$561&lt;=VAL_DATE)=0,"",'Dvd Calendar'!$M$561*1000000000+ISNUMBER('Dvd Calendar'!$M$564)*100000000+('Dvd Calendar'!$M$566=SPECIAL_LBL)*10000000+0*1000000+51*1000+9))</f>
        <v/>
      </c>
      <c r="EN62" s="35">
        <f>IF(N('Dvd Calendar'!$N$561)=0,"",IF(('Dvd Calendar'!$N$561&gt;=GRID_FROM)*('Dvd Calendar'!$N$561&lt;=GRID_TO)*('Dvd Calendar'!$N$561&lt;=VAL_DATE)=0,"",'Dvd Calendar'!$N$561*1000000000+ISNUMBER('Dvd Calendar'!$N$564)*100000000+('Dvd Calendar'!$N$566=SPECIAL_LBL)*10000000+0*1000000+51*1000+10))</f>
        <v/>
      </c>
      <c r="EO62" s="35">
        <f>IF(N('Dvd Calendar'!$O$561)=0,"",IF(('Dvd Calendar'!$O$561&gt;=GRID_FROM)*('Dvd Calendar'!$O$561&lt;=GRID_TO)*('Dvd Calendar'!$O$561&lt;=VAL_DATE)=0,"",'Dvd Calendar'!$O$561*1000000000+ISNUMBER('Dvd Calendar'!$O$564)*100000000+('Dvd Calendar'!$O$566=SPECIAL_LBL)*10000000+0*1000000+51*1000+11))</f>
        <v/>
      </c>
      <c r="EP62" s="35">
        <f>IF(N('Dvd Calendar'!$P$561)=0,"",IF(('Dvd Calendar'!$P$561&gt;=GRID_FROM)*('Dvd Calendar'!$P$561&lt;=GRID_TO)*('Dvd Calendar'!$P$561&lt;=VAL_DATE)=0,"",'Dvd Calendar'!$P$561*1000000000+ISNUMBER('Dvd Calendar'!$P$564)*100000000+('Dvd Calendar'!$P$566=SPECIAL_LBL)*10000000+0*1000000+51*1000+12))</f>
        <v/>
      </c>
      <c r="EQ62" s="35">
        <f>IF(N('Dvd Calendar'!$Q$561)=0,"",IF(('Dvd Calendar'!$Q$561&gt;=GRID_FROM)*('Dvd Calendar'!$Q$561&lt;=GRID_TO)*('Dvd Calendar'!$Q$561&lt;=VAL_DATE)=0,"",'Dvd Calendar'!$Q$561*1000000000+ISNUMBER('Dvd Calendar'!$Q$564)*100000000+('Dvd Calendar'!$Q$566=SPECIAL_LBL)*10000000+0*1000000+51*1000+13))</f>
        <v/>
      </c>
      <c r="ER62" s="35">
        <f>IF(N('Dvd Calendar'!$R$561)=0,"",IF(('Dvd Calendar'!$R$561&gt;=GRID_FROM)*('Dvd Calendar'!$R$561&lt;=GRID_TO)*('Dvd Calendar'!$R$561&lt;=VAL_DATE)=0,"",'Dvd Calendar'!$R$561*1000000000+ISNUMBER('Dvd Calendar'!$R$564)*100000000+('Dvd Calendar'!$R$566=SPECIAL_LBL)*10000000+0*1000000+51*1000+14))</f>
        <v/>
      </c>
      <c r="ES62" s="35">
        <f>IF(N('Dvd Calendar'!$S$561)=0,"",IF(('Dvd Calendar'!$S$561&gt;=GRID_FROM)*('Dvd Calendar'!$S$561&lt;=GRID_TO)*('Dvd Calendar'!$S$561&lt;=VAL_DATE)=0,"",'Dvd Calendar'!$S$561*1000000000+ISNUMBER('Dvd Calendar'!$S$564)*100000000+('Dvd Calendar'!$S$566=SPECIAL_LBL)*10000000+0*1000000+51*1000+15))</f>
        <v/>
      </c>
      <c r="ET62" s="35">
        <f>IF(N('Dvd Calendar'!$T$561)=0,"",IF(('Dvd Calendar'!$T$561&gt;=GRID_FROM)*('Dvd Calendar'!$T$561&lt;=GRID_TO)*('Dvd Calendar'!$T$561&lt;=VAL_DATE)=0,"",'Dvd Calendar'!$T$561*1000000000+ISNUMBER('Dvd Calendar'!$T$564)*100000000+('Dvd Calendar'!$T$566=SPECIAL_LBL)*10000000+0*1000000+51*1000+16))</f>
        <v/>
      </c>
      <c r="EU62" s="35">
        <f>IF(N('Dvd Calendar'!$U$561)=0,"",IF(('Dvd Calendar'!$U$561&gt;=GRID_FROM)*('Dvd Calendar'!$U$561&lt;=GRID_TO)*('Dvd Calendar'!$U$561&lt;=VAL_DATE)=0,"",'Dvd Calendar'!$U$561*1000000000+ISNUMBER('Dvd Calendar'!$U$564)*100000000+('Dvd Calendar'!$U$566=SPECIAL_LBL)*10000000+0*1000000+51*1000+17))</f>
        <v/>
      </c>
      <c r="EV62" s="35">
        <f>IF(N('Dvd Calendar'!$V$561)=0,"",IF(('Dvd Calendar'!$V$561&gt;=GRID_FROM)*('Dvd Calendar'!$V$561&lt;=GRID_TO)*('Dvd Calendar'!$V$561&lt;=VAL_DATE)=0,"",'Dvd Calendar'!$V$561*1000000000+ISNUMBER('Dvd Calendar'!$V$564)*100000000+('Dvd Calendar'!$V$566=SPECIAL_LBL)*10000000+0*1000000+51*1000+18))</f>
        <v/>
      </c>
      <c r="EW62" s="35">
        <f>IF(N('Dvd Calendar'!$W$561)=0,"",IF(('Dvd Calendar'!$W$561&gt;=GRID_FROM)*('Dvd Calendar'!$W$561&lt;=GRID_TO)*('Dvd Calendar'!$W$561&lt;=VAL_DATE)=0,"",'Dvd Calendar'!$W$561*1000000000+ISNUMBER('Dvd Calendar'!$W$564)*100000000+('Dvd Calendar'!$W$566=SPECIAL_LBL)*10000000+0*1000000+51*1000+19))</f>
        <v/>
      </c>
      <c r="EX62" s="35">
        <f>IF(N('Dvd Calendar'!$X$561)=0,"",IF(('Dvd Calendar'!$X$561&gt;=GRID_FROM)*('Dvd Calendar'!$X$561&lt;=GRID_TO)*('Dvd Calendar'!$X$561&lt;=VAL_DATE)=0,"",'Dvd Calendar'!$X$561*1000000000+ISNUMBER('Dvd Calendar'!$X$564)*100000000+('Dvd Calendar'!$X$566=SPECIAL_LBL)*10000000+0*1000000+51*1000+20))</f>
        <v/>
      </c>
      <c r="EY62" s="35">
        <f>IF(N('Dvd Calendar'!$Y$561)=0,"",IF(('Dvd Calendar'!$Y$561&gt;=GRID_FROM)*('Dvd Calendar'!$Y$561&lt;=GRID_TO)*('Dvd Calendar'!$Y$561&lt;=VAL_DATE)=0,"",'Dvd Calendar'!$Y$561*1000000000+ISNUMBER('Dvd Calendar'!$Y$564)*100000000+('Dvd Calendar'!$Y$566=SPECIAL_LBL)*10000000+0*1000000+51*1000+21))</f>
        <v/>
      </c>
      <c r="EZ62" s="35">
        <f>IF(N('Dvd Calendar'!$Z$561)=0,"",IF(('Dvd Calendar'!$Z$561&gt;=GRID_FROM)*('Dvd Calendar'!$Z$561&lt;=GRID_TO)*('Dvd Calendar'!$Z$561&lt;=VAL_DATE)=0,"",'Dvd Calendar'!$Z$561*1000000000+ISNUMBER('Dvd Calendar'!$Z$564)*100000000+('Dvd Calendar'!$Z$566=SPECIAL_LBL)*10000000+0*1000000+51*1000+22))</f>
        <v/>
      </c>
      <c r="FA62" s="35">
        <f>IF(N('Dvd Calendar'!$AA$561)=0,"",IF(('Dvd Calendar'!$AA$561&gt;=GRID_FROM)*('Dvd Calendar'!$AA$561&lt;=GRID_TO)*('Dvd Calendar'!$AA$561&lt;=VAL_DATE)=0,"",'Dvd Calendar'!$AA$561*1000000000+ISNUMBER('Dvd Calendar'!$AA$564)*100000000+('Dvd Calendar'!$AA$566=SPECIAL_LBL)*10000000+0*1000000+51*1000+23))</f>
        <v/>
      </c>
      <c r="FB62" s="35">
        <f>IF(N('Dvd Calendar'!$AB$561)=0,"",IF(('Dvd Calendar'!$AB$561&gt;=GRID_FROM)*('Dvd Calendar'!$AB$561&lt;=GRID_TO)*('Dvd Calendar'!$AB$561&lt;=VAL_DATE)=0,"",'Dvd Calendar'!$AB$561*1000000000+ISNUMBER('Dvd Calendar'!$AB$564)*100000000+('Dvd Calendar'!$AB$566=SPECIAL_LBL)*10000000+0*1000000+51*1000+24))</f>
        <v/>
      </c>
      <c r="FC62" s="35">
        <f>IF(N('Dvd Calendar'!$AC$561)=0,"",IF(('Dvd Calendar'!$AC$561&gt;=GRID_FROM)*('Dvd Calendar'!$AC$561&lt;=GRID_TO)*('Dvd Calendar'!$AC$561&lt;=VAL_DATE)=0,"",'Dvd Calendar'!$AC$561*1000000000+ISNUMBER('Dvd Calendar'!$AC$564)*100000000+('Dvd Calendar'!$AC$566=SPECIAL_LBL)*10000000+0*1000000+51*1000+25))</f>
        <v/>
      </c>
      <c r="FD62" s="35">
        <f>IF(N('Dvd Calendar'!$AD$561)=0,"",IF(('Dvd Calendar'!$AD$561&gt;=GRID_FROM)*('Dvd Calendar'!$AD$561&lt;=GRID_TO)*('Dvd Calendar'!$AD$561&lt;=VAL_DATE)=0,"",'Dvd Calendar'!$AD$561*1000000000+ISNUMBER('Dvd Calendar'!$AD$564)*100000000+('Dvd Calendar'!$AD$566=SPECIAL_LBL)*10000000+0*1000000+51*1000+26))</f>
        <v/>
      </c>
      <c r="FE62" s="35">
        <f>IF(N('Dvd Calendar'!$AE$561)=0,"",IF(('Dvd Calendar'!$AE$561&gt;=GRID_FROM)*('Dvd Calendar'!$AE$561&lt;=GRID_TO)*('Dvd Calendar'!$AE$561&lt;=VAL_DATE)=0,"",'Dvd Calendar'!$AE$561*1000000000+ISNUMBER('Dvd Calendar'!$AE$564)*100000000+('Dvd Calendar'!$AE$566=SPECIAL_LBL)*10000000+0*1000000+51*1000+27))</f>
        <v/>
      </c>
      <c r="FF62" s="35">
        <f>IF(N('Dvd Calendar'!$AF$561)=0,"",IF(('Dvd Calendar'!$AF$561&gt;=GRID_FROM)*('Dvd Calendar'!$AF$561&lt;=GRID_TO)*('Dvd Calendar'!$AF$561&lt;=VAL_DATE)=0,"",'Dvd Calendar'!$AF$561*1000000000+ISNUMBER('Dvd Calendar'!$AF$564)*100000000+('Dvd Calendar'!$AF$566=SPECIAL_LBL)*10000000+0*1000000+51*1000+28))</f>
        <v/>
      </c>
      <c r="FG62" s="35">
        <f>IF(N('Dvd Calendar'!$AG$561)=0,"",IF(('Dvd Calendar'!$AG$561&gt;=GRID_FROM)*('Dvd Calendar'!$AG$561&lt;=GRID_TO)*('Dvd Calendar'!$AG$561&lt;=VAL_DATE)=0,"",'Dvd Calendar'!$AG$561*1000000000+ISNUMBER('Dvd Calendar'!$AG$564)*100000000+('Dvd Calendar'!$AG$566=SPECIAL_LBL)*10000000+0*1000000+51*1000+29))</f>
        <v/>
      </c>
      <c r="FH62" s="35">
        <f>IF(N('Dvd Calendar'!$AH$561)=0,"",IF(('Dvd Calendar'!$AH$561&gt;=GRID_FROM)*('Dvd Calendar'!$AH$561&lt;=GRID_TO)*('Dvd Calendar'!$AH$561&lt;=VAL_DATE)=0,"",'Dvd Calendar'!$AH$561*1000000000+ISNUMBER('Dvd Calendar'!$AH$564)*100000000+('Dvd Calendar'!$AH$566=SPECIAL_LBL)*10000000+0*1000000+51*1000+30))</f>
        <v/>
      </c>
      <c r="FI62" s="35">
        <f>IF(N('Dvd Calendar'!$AI$561)=0,"",IF(('Dvd Calendar'!$AI$561&gt;=GRID_FROM)*('Dvd Calendar'!$AI$561&lt;=GRID_TO)*('Dvd Calendar'!$AI$561&lt;=VAL_DATE)=0,"",'Dvd Calendar'!$AI$561*1000000000+ISNUMBER('Dvd Calendar'!$AI$564)*100000000+('Dvd Calendar'!$AI$566=SPECIAL_LBL)*10000000+0*1000000+51*1000+31))</f>
        <v/>
      </c>
      <c r="FJ62" s="35">
        <f>IF(N('Dvd Calendar'!$AJ$561)=0,"",IF(('Dvd Calendar'!$AJ$561&gt;=GRID_FROM)*('Dvd Calendar'!$AJ$561&lt;=GRID_TO)*('Dvd Calendar'!$AJ$561&lt;=VAL_DATE)=0,"",'Dvd Calendar'!$AJ$561*1000000000+ISNUMBER('Dvd Calendar'!$AJ$564)*100000000+('Dvd Calendar'!$AJ$566=SPECIAL_LBL)*10000000+0*1000000+51*1000+32))</f>
        <v/>
      </c>
      <c r="FK62" s="35">
        <f>IF(N('Dvd Calendar'!$AK$561)=0,"",IF(('Dvd Calendar'!$AK$561&gt;=GRID_FROM)*('Dvd Calendar'!$AK$561&lt;=GRID_TO)*('Dvd Calendar'!$AK$561&lt;=VAL_DATE)=0,"",'Dvd Calendar'!$AK$561*1000000000+ISNUMBER('Dvd Calendar'!$AK$564)*100000000+('Dvd Calendar'!$AK$566=SPECIAL_LBL)*10000000+0*1000000+51*1000+33))</f>
        <v/>
      </c>
      <c r="FL62" s="35">
        <f>IF(N('Dvd Calendar'!$AL$561)=0,"",IF(('Dvd Calendar'!$AL$561&gt;=GRID_FROM)*('Dvd Calendar'!$AL$561&lt;=GRID_TO)*('Dvd Calendar'!$AL$561&lt;=VAL_DATE)=0,"",'Dvd Calendar'!$AL$561*1000000000+ISNUMBER('Dvd Calendar'!$AL$564)*100000000+('Dvd Calendar'!$AL$566=SPECIAL_LBL)*10000000+0*1000000+51*1000+34))</f>
        <v/>
      </c>
      <c r="FM62" s="35">
        <f>IF(N('Dvd Calendar'!$AM$561)=0,"",IF(('Dvd Calendar'!$AM$561&gt;=GRID_FROM)*('Dvd Calendar'!$AM$561&lt;=GRID_TO)*('Dvd Calendar'!$AM$561&lt;=VAL_DATE)=0,"",'Dvd Calendar'!$AM$561*1000000000+ISNUMBER('Dvd Calendar'!$AM$564)*100000000+('Dvd Calendar'!$AM$566=SPECIAL_LBL)*10000000+0*1000000+51*1000+35))</f>
        <v/>
      </c>
      <c r="FN62" s="35">
        <f>IF(N('Dvd Calendar'!$AN$561)=0,"",IF(('Dvd Calendar'!$AN$561&gt;=GRID_FROM)*('Dvd Calendar'!$AN$561&lt;=GRID_TO)*('Dvd Calendar'!$AN$561&lt;=VAL_DATE)=0,"",'Dvd Calendar'!$AN$561*1000000000+ISNUMBER('Dvd Calendar'!$AN$564)*100000000+('Dvd Calendar'!$AN$566=SPECIAL_LBL)*10000000+0*1000000+51*1000+36))</f>
        <v/>
      </c>
      <c r="FO62" s="35">
        <f>IF(N('Dvd Calendar'!$AO$561)=0,"",IF(('Dvd Calendar'!$AO$561&gt;=GRID_FROM)*('Dvd Calendar'!$AO$561&lt;=GRID_TO)*('Dvd Calendar'!$AO$561&lt;=VAL_DATE)=0,"",'Dvd Calendar'!$AO$561*1000000000+ISNUMBER('Dvd Calendar'!$AO$564)*100000000+('Dvd Calendar'!$AO$566=SPECIAL_LBL)*10000000+0*1000000+51*1000+37))</f>
        <v/>
      </c>
      <c r="FP62" s="35">
        <f>IF(N('Dvd Calendar'!$AP$561)=0,"",IF(('Dvd Calendar'!$AP$561&gt;=GRID_FROM)*('Dvd Calendar'!$AP$561&lt;=GRID_TO)*('Dvd Calendar'!$AP$561&lt;=VAL_DATE)=0,"",'Dvd Calendar'!$AP$561*1000000000+ISNUMBER('Dvd Calendar'!$AP$564)*100000000+('Dvd Calendar'!$AP$566=SPECIAL_LBL)*10000000+0*1000000+51*1000+38))</f>
        <v/>
      </c>
      <c r="FQ62" s="35">
        <f>IF(N('Dvd Calendar'!$AQ$561)=0,"",IF(('Dvd Calendar'!$AQ$561&gt;=GRID_FROM)*('Dvd Calendar'!$AQ$561&lt;=GRID_TO)*('Dvd Calendar'!$AQ$561&lt;=VAL_DATE)=0,"",'Dvd Calendar'!$AQ$561*1000000000+ISNUMBER('Dvd Calendar'!$AQ$564)*100000000+('Dvd Calendar'!$AQ$566=SPECIAL_LBL)*10000000+0*1000000+51*1000+39))</f>
        <v/>
      </c>
      <c r="FR62" s="35">
        <f>IF(N('Dvd Calendar'!$AR$561)=0,"",IF(('Dvd Calendar'!$AR$561&gt;=GRID_FROM)*('Dvd Calendar'!$AR$561&lt;=GRID_TO)*('Dvd Calendar'!$AR$561&lt;=VAL_DATE)=0,"",'Dvd Calendar'!$AR$561*1000000000+ISNUMBER('Dvd Calendar'!$AR$564)*100000000+('Dvd Calendar'!$AR$566=SPECIAL_LBL)*10000000+0*1000000+51*1000+40))</f>
        <v/>
      </c>
      <c r="FS62" s="35">
        <f>IF(N('Dvd Calendar'!$E$568)=0,"",IF(('Dvd Calendar'!$E$568&gt;=GRID_FROM)*('Dvd Calendar'!$E$568&lt;=GRID_TO)*('Dvd Calendar'!$E$568&gt;VAL_DATE)=0,"",'Dvd Calendar'!$E$568*1000000000+ISNUMBER('Dvd Calendar'!$E$569)*100000000+0*10000000+(N('Dvd Calendar'!$E$567)&gt;0)*(N('Dvd Calendar'!$E$567)&lt;=VAL_SERIAL)*1000000+51*1000+41))</f>
        <v/>
      </c>
      <c r="FT62" s="35">
        <f>IF(N('Dvd Calendar'!$F$568)=0,"",IF(('Dvd Calendar'!$F$568&gt;=GRID_FROM)*('Dvd Calendar'!$F$568&lt;=GRID_TO)*('Dvd Calendar'!$F$568&gt;VAL_DATE)=0,"",'Dvd Calendar'!$F$568*1000000000+ISNUMBER('Dvd Calendar'!$F$569)*100000000+0*10000000+(N('Dvd Calendar'!$F$567)&gt;0)*(N('Dvd Calendar'!$F$567)&lt;=VAL_SERIAL)*1000000+51*1000+42))</f>
        <v/>
      </c>
      <c r="FU62" s="35">
        <f>IF(N('Dvd Calendar'!$G$568)=0,"",IF(('Dvd Calendar'!$G$568&gt;=GRID_FROM)*('Dvd Calendar'!$G$568&lt;=GRID_TO)*('Dvd Calendar'!$G$568&gt;VAL_DATE)=0,"",'Dvd Calendar'!$G$568*1000000000+ISNUMBER('Dvd Calendar'!$G$569)*100000000+0*10000000+(N('Dvd Calendar'!$G$567)&gt;0)*(N('Dvd Calendar'!$G$567)&lt;=VAL_SERIAL)*1000000+51*1000+43))</f>
        <v/>
      </c>
      <c r="FV62" s="35">
        <f>IF(N('Dvd Calendar'!$H$568)=0,"",IF(('Dvd Calendar'!$H$568&gt;=GRID_FROM)*('Dvd Calendar'!$H$568&lt;=GRID_TO)*('Dvd Calendar'!$H$568&gt;VAL_DATE)=0,"",'Dvd Calendar'!$H$568*1000000000+ISNUMBER('Dvd Calendar'!$H$569)*100000000+0*10000000+(N('Dvd Calendar'!$H$567)&gt;0)*(N('Dvd Calendar'!$H$567)&lt;=VAL_SERIAL)*1000000+51*1000+44))</f>
        <v/>
      </c>
      <c r="FW62" s="35">
        <f>IF(N('Dvd Calendar'!$I$568)=0,"",IF(('Dvd Calendar'!$I$568&gt;=GRID_FROM)*('Dvd Calendar'!$I$568&lt;=GRID_TO)*('Dvd Calendar'!$I$568&gt;VAL_DATE)=0,"",'Dvd Calendar'!$I$568*1000000000+ISNUMBER('Dvd Calendar'!$I$569)*100000000+0*10000000+(N('Dvd Calendar'!$I$567)&gt;0)*(N('Dvd Calendar'!$I$567)&lt;=VAL_SERIAL)*1000000+51*1000+45))</f>
        <v/>
      </c>
      <c r="FX62" s="35">
        <f>IF(N('Dvd Calendar'!$J$568)=0,"",IF(('Dvd Calendar'!$J$568&gt;=GRID_FROM)*('Dvd Calendar'!$J$568&lt;=GRID_TO)*('Dvd Calendar'!$J$568&gt;VAL_DATE)=0,"",'Dvd Calendar'!$J$568*1000000000+ISNUMBER('Dvd Calendar'!$J$569)*100000000+0*10000000+(N('Dvd Calendar'!$J$567)&gt;0)*(N('Dvd Calendar'!$J$567)&lt;=VAL_SERIAL)*1000000+51*1000+46))</f>
        <v/>
      </c>
      <c r="FY62" s="35">
        <f>IF(N('Dvd Calendar'!$K$568)=0,"",IF(('Dvd Calendar'!$K$568&gt;=GRID_FROM)*('Dvd Calendar'!$K$568&lt;=GRID_TO)*('Dvd Calendar'!$K$568&gt;VAL_DATE)=0,"",'Dvd Calendar'!$K$568*1000000000+ISNUMBER('Dvd Calendar'!$K$569)*100000000+0*10000000+(N('Dvd Calendar'!$K$567)&gt;0)*(N('Dvd Calendar'!$K$567)&lt;=VAL_SERIAL)*1000000+51*1000+47))</f>
        <v/>
      </c>
      <c r="FZ62" s="35">
        <f>IF(N('Dvd Calendar'!$L$568)=0,"",IF(('Dvd Calendar'!$L$568&gt;=GRID_FROM)*('Dvd Calendar'!$L$568&lt;=GRID_TO)*('Dvd Calendar'!$L$568&gt;VAL_DATE)=0,"",'Dvd Calendar'!$L$568*1000000000+ISNUMBER('Dvd Calendar'!$L$569)*100000000+0*10000000+(N('Dvd Calendar'!$L$567)&gt;0)*(N('Dvd Calendar'!$L$567)&lt;=VAL_SERIAL)*1000000+51*1000+48))</f>
        <v/>
      </c>
      <c r="GA62" s="35">
        <f>IF(N('Dvd Calendar'!$M$568)=0,"",IF(('Dvd Calendar'!$M$568&gt;=GRID_FROM)*('Dvd Calendar'!$M$568&lt;=GRID_TO)*('Dvd Calendar'!$M$568&gt;VAL_DATE)=0,"",'Dvd Calendar'!$M$568*1000000000+ISNUMBER('Dvd Calendar'!$M$569)*100000000+0*10000000+(N('Dvd Calendar'!$M$567)&gt;0)*(N('Dvd Calendar'!$M$567)&lt;=VAL_SERIAL)*1000000+51*1000+49))</f>
        <v/>
      </c>
      <c r="GB62" s="35">
        <f>IF(N('Dvd Calendar'!$N$568)=0,"",IF(('Dvd Calendar'!$N$568&gt;=GRID_FROM)*('Dvd Calendar'!$N$568&lt;=GRID_TO)*('Dvd Calendar'!$N$568&gt;VAL_DATE)=0,"",'Dvd Calendar'!$N$568*1000000000+ISNUMBER('Dvd Calendar'!$N$569)*100000000+0*10000000+(N('Dvd Calendar'!$N$567)&gt;0)*(N('Dvd Calendar'!$N$567)&lt;=VAL_SERIAL)*1000000+51*1000+50))</f>
        <v/>
      </c>
      <c r="GC62" s="35">
        <f>IF(N('Dvd Calendar'!$O$568)=0,"",IF(('Dvd Calendar'!$O$568&gt;=GRID_FROM)*('Dvd Calendar'!$O$568&lt;=GRID_TO)*('Dvd Calendar'!$O$568&gt;VAL_DATE)=0,"",'Dvd Calendar'!$O$568*1000000000+ISNUMBER('Dvd Calendar'!$O$569)*100000000+0*10000000+(N('Dvd Calendar'!$O$567)&gt;0)*(N('Dvd Calendar'!$O$567)&lt;=VAL_SERIAL)*1000000+51*1000+51))</f>
        <v/>
      </c>
      <c r="GD62" s="35">
        <f>IF(N('Dvd Calendar'!$P$568)=0,"",IF(('Dvd Calendar'!$P$568&gt;=GRID_FROM)*('Dvd Calendar'!$P$568&lt;=GRID_TO)*('Dvd Calendar'!$P$568&gt;VAL_DATE)=0,"",'Dvd Calendar'!$P$568*1000000000+ISNUMBER('Dvd Calendar'!$P$569)*100000000+0*10000000+(N('Dvd Calendar'!$P$567)&gt;0)*(N('Dvd Calendar'!$P$567)&lt;=VAL_SERIAL)*1000000+51*1000+52))</f>
        <v/>
      </c>
      <c r="GE62" s="35">
        <f>IF(N('Dvd Calendar'!$Q$568)=0,"",IF(('Dvd Calendar'!$Q$568&gt;=GRID_FROM)*('Dvd Calendar'!$Q$568&lt;=GRID_TO)*('Dvd Calendar'!$Q$568&gt;VAL_DATE)=0,"",'Dvd Calendar'!$Q$568*1000000000+ISNUMBER('Dvd Calendar'!$Q$569)*100000000+0*10000000+(N('Dvd Calendar'!$Q$567)&gt;0)*(N('Dvd Calendar'!$Q$567)&lt;=VAL_SERIAL)*1000000+51*1000+53))</f>
        <v/>
      </c>
      <c r="GF62" s="35">
        <f>IF(N('Dvd Calendar'!$R$568)=0,"",IF(('Dvd Calendar'!$R$568&gt;=GRID_FROM)*('Dvd Calendar'!$R$568&lt;=GRID_TO)*('Dvd Calendar'!$R$568&gt;VAL_DATE)=0,"",'Dvd Calendar'!$R$568*1000000000+ISNUMBER('Dvd Calendar'!$R$569)*100000000+0*10000000+(N('Dvd Calendar'!$R$567)&gt;0)*(N('Dvd Calendar'!$R$567)&lt;=VAL_SERIAL)*1000000+51*1000+54))</f>
        <v/>
      </c>
      <c r="GG62" s="35">
        <f>IF(N('Dvd Calendar'!$S$568)=0,"",IF(('Dvd Calendar'!$S$568&gt;=GRID_FROM)*('Dvd Calendar'!$S$568&lt;=GRID_TO)*('Dvd Calendar'!$S$568&gt;VAL_DATE)=0,"",'Dvd Calendar'!$S$568*1000000000+ISNUMBER('Dvd Calendar'!$S$569)*100000000+0*10000000+(N('Dvd Calendar'!$S$567)&gt;0)*(N('Dvd Calendar'!$S$567)&lt;=VAL_SERIAL)*1000000+51*1000+55))</f>
        <v/>
      </c>
      <c r="GH62" s="35">
        <f>IF(N('Dvd Calendar'!$T$568)=0,"",IF(('Dvd Calendar'!$T$568&gt;=GRID_FROM)*('Dvd Calendar'!$T$568&lt;=GRID_TO)*('Dvd Calendar'!$T$568&gt;VAL_DATE)=0,"",'Dvd Calendar'!$T$568*1000000000+ISNUMBER('Dvd Calendar'!$T$569)*100000000+0*10000000+(N('Dvd Calendar'!$T$567)&gt;0)*(N('Dvd Calendar'!$T$567)&lt;=VAL_SERIAL)*1000000+51*1000+56))</f>
        <v/>
      </c>
      <c r="GI62" s="35">
        <f>IF(N('Dvd Calendar'!$U$568)=0,"",IF(('Dvd Calendar'!$U$568&gt;=GRID_FROM)*('Dvd Calendar'!$U$568&lt;=GRID_TO)*('Dvd Calendar'!$U$568&gt;VAL_DATE)=0,"",'Dvd Calendar'!$U$568*1000000000+ISNUMBER('Dvd Calendar'!$U$569)*100000000+0*10000000+(N('Dvd Calendar'!$U$567)&gt;0)*(N('Dvd Calendar'!$U$567)&lt;=VAL_SERIAL)*1000000+51*1000+57))</f>
        <v/>
      </c>
      <c r="GJ62" s="35">
        <f>IF(N('Dvd Calendar'!$V$568)=0,"",IF(('Dvd Calendar'!$V$568&gt;=GRID_FROM)*('Dvd Calendar'!$V$568&lt;=GRID_TO)*('Dvd Calendar'!$V$568&gt;VAL_DATE)=0,"",'Dvd Calendar'!$V$568*1000000000+ISNUMBER('Dvd Calendar'!$V$569)*100000000+0*10000000+(N('Dvd Calendar'!$V$567)&gt;0)*(N('Dvd Calendar'!$V$567)&lt;=VAL_SERIAL)*1000000+51*1000+58))</f>
        <v/>
      </c>
      <c r="GK62" s="35">
        <f>IF(N('Dvd Calendar'!$W$568)=0,"",IF(('Dvd Calendar'!$W$568&gt;=GRID_FROM)*('Dvd Calendar'!$W$568&lt;=GRID_TO)*('Dvd Calendar'!$W$568&gt;VAL_DATE)=0,"",'Dvd Calendar'!$W$568*1000000000+ISNUMBER('Dvd Calendar'!$W$569)*100000000+0*10000000+(N('Dvd Calendar'!$W$567)&gt;0)*(N('Dvd Calendar'!$W$567)&lt;=VAL_SERIAL)*1000000+51*1000+59))</f>
        <v/>
      </c>
      <c r="GL62" s="35">
        <f>IF(N('Dvd Calendar'!$X$568)=0,"",IF(('Dvd Calendar'!$X$568&gt;=GRID_FROM)*('Dvd Calendar'!$X$568&lt;=GRID_TO)*('Dvd Calendar'!$X$568&gt;VAL_DATE)=0,"",'Dvd Calendar'!$X$568*1000000000+ISNUMBER('Dvd Calendar'!$X$569)*100000000+0*10000000+(N('Dvd Calendar'!$X$567)&gt;0)*(N('Dvd Calendar'!$X$567)&lt;=VAL_SERIAL)*1000000+51*1000+60))</f>
        <v/>
      </c>
      <c r="GM62" s="35">
        <f>IF(N('Dvd Calendar'!$Y$568)=0,"",IF(('Dvd Calendar'!$Y$568&gt;=GRID_FROM)*('Dvd Calendar'!$Y$568&lt;=GRID_TO)*('Dvd Calendar'!$Y$568&gt;VAL_DATE)=0,"",'Dvd Calendar'!$Y$568*1000000000+ISNUMBER('Dvd Calendar'!$Y$569)*100000000+0*10000000+(N('Dvd Calendar'!$Y$567)&gt;0)*(N('Dvd Calendar'!$Y$567)&lt;=VAL_SERIAL)*1000000+51*1000+61))</f>
        <v/>
      </c>
      <c r="GN62" s="35">
        <f>IF(N('Dvd Calendar'!$Z$568)=0,"",IF(('Dvd Calendar'!$Z$568&gt;=GRID_FROM)*('Dvd Calendar'!$Z$568&lt;=GRID_TO)*('Dvd Calendar'!$Z$568&gt;VAL_DATE)=0,"",'Dvd Calendar'!$Z$568*1000000000+ISNUMBER('Dvd Calendar'!$Z$569)*100000000+0*10000000+(N('Dvd Calendar'!$Z$567)&gt;0)*(N('Dvd Calendar'!$Z$567)&lt;=VAL_SERIAL)*1000000+51*1000+62))</f>
        <v/>
      </c>
      <c r="GO62" s="35">
        <f>IF(N('Dvd Calendar'!$AA$568)=0,"",IF(('Dvd Calendar'!$AA$568&gt;=GRID_FROM)*('Dvd Calendar'!$AA$568&lt;=GRID_TO)*('Dvd Calendar'!$AA$568&gt;VAL_DATE)=0,"",'Dvd Calendar'!$AA$568*1000000000+ISNUMBER('Dvd Calendar'!$AA$569)*100000000+0*10000000+(N('Dvd Calendar'!$AA$567)&gt;0)*(N('Dvd Calendar'!$AA$567)&lt;=VAL_SERIAL)*1000000+51*1000+63))</f>
        <v/>
      </c>
      <c r="GP62" s="35">
        <f>IF(N('Dvd Calendar'!$AB$568)=0,"",IF(('Dvd Calendar'!$AB$568&gt;=GRID_FROM)*('Dvd Calendar'!$AB$568&lt;=GRID_TO)*('Dvd Calendar'!$AB$568&gt;VAL_DATE)=0,"",'Dvd Calendar'!$AB$568*1000000000+ISNUMBER('Dvd Calendar'!$AB$569)*100000000+0*10000000+(N('Dvd Calendar'!$AB$567)&gt;0)*(N('Dvd Calendar'!$AB$567)&lt;=VAL_SERIAL)*1000000+51*1000+64))</f>
        <v/>
      </c>
      <c r="GQ62" s="35">
        <f>IF(N('Dvd Calendar'!$AC$568)=0,"",IF(('Dvd Calendar'!$AC$568&gt;=GRID_FROM)*('Dvd Calendar'!$AC$568&lt;=GRID_TO)*('Dvd Calendar'!$AC$568&gt;VAL_DATE)=0,"",'Dvd Calendar'!$AC$568*1000000000+ISNUMBER('Dvd Calendar'!$AC$569)*100000000+0*10000000+(N('Dvd Calendar'!$AC$567)&gt;0)*(N('Dvd Calendar'!$AC$567)&lt;=VAL_SERIAL)*1000000+51*1000+65))</f>
        <v/>
      </c>
    </row>
    <row r="63">
      <c r="B63" s="2">
        <f>IF(HSI!$C$58="","",HSI!$C$58)</f>
        <v/>
      </c>
      <c r="C63" s="106">
        <f>IF(EE63="","",IF(ISNUMBER('Dvd Calendar'!$E$575)=FALSE,"",IF((('Dvd Calendar'!$E$577=TYPE1)*(TYPE1&lt;&gt;"")+('Dvd Calendar'!$E$577=TYPE2)*(TYPE2&lt;&gt;"")+('Dvd Calendar'!$E$577=TYPE3)*(TYPE3&lt;&gt;"")+('Dvd Calendar'!$E$577=TYPE4)*(TYPE4&lt;&gt;"")+('Dvd Calendar'!$E$577=SPECIAL_LBL)*(INC_SPECIALS="Y"))=0,"",'Dvd Calendar'!$E$575)))</f>
        <v/>
      </c>
      <c r="D63" s="106">
        <f>IF(EF63="","",IF(ISNUMBER('Dvd Calendar'!$F$575)=FALSE,"",IF((('Dvd Calendar'!$F$577=TYPE1)*(TYPE1&lt;&gt;"")+('Dvd Calendar'!$F$577=TYPE2)*(TYPE2&lt;&gt;"")+('Dvd Calendar'!$F$577=TYPE3)*(TYPE3&lt;&gt;"")+('Dvd Calendar'!$F$577=TYPE4)*(TYPE4&lt;&gt;"")+('Dvd Calendar'!$F$577=SPECIAL_LBL)*(INC_SPECIALS="Y"))=0,"",'Dvd Calendar'!$F$575)))</f>
        <v/>
      </c>
      <c r="E63" s="106">
        <f>IF(EG63="","",IF(ISNUMBER('Dvd Calendar'!$G$575)=FALSE,"",IF((('Dvd Calendar'!$G$577=TYPE1)*(TYPE1&lt;&gt;"")+('Dvd Calendar'!$G$577=TYPE2)*(TYPE2&lt;&gt;"")+('Dvd Calendar'!$G$577=TYPE3)*(TYPE3&lt;&gt;"")+('Dvd Calendar'!$G$577=TYPE4)*(TYPE4&lt;&gt;"")+('Dvd Calendar'!$G$577=SPECIAL_LBL)*(INC_SPECIALS="Y"))=0,"",'Dvd Calendar'!$G$575)))</f>
        <v/>
      </c>
      <c r="F63" s="106">
        <f>IF(EH63="","",IF(ISNUMBER('Dvd Calendar'!$H$575)=FALSE,"",IF((('Dvd Calendar'!$H$577=TYPE1)*(TYPE1&lt;&gt;"")+('Dvd Calendar'!$H$577=TYPE2)*(TYPE2&lt;&gt;"")+('Dvd Calendar'!$H$577=TYPE3)*(TYPE3&lt;&gt;"")+('Dvd Calendar'!$H$577=TYPE4)*(TYPE4&lt;&gt;"")+('Dvd Calendar'!$H$577=SPECIAL_LBL)*(INC_SPECIALS="Y"))=0,"",'Dvd Calendar'!$H$575)))</f>
        <v/>
      </c>
      <c r="G63" s="106">
        <f>IF(EI63="","",IF(ISNUMBER('Dvd Calendar'!$I$575)=FALSE,"",IF((('Dvd Calendar'!$I$577=TYPE1)*(TYPE1&lt;&gt;"")+('Dvd Calendar'!$I$577=TYPE2)*(TYPE2&lt;&gt;"")+('Dvd Calendar'!$I$577=TYPE3)*(TYPE3&lt;&gt;"")+('Dvd Calendar'!$I$577=TYPE4)*(TYPE4&lt;&gt;"")+('Dvd Calendar'!$I$577=SPECIAL_LBL)*(INC_SPECIALS="Y"))=0,"",'Dvd Calendar'!$I$575)))</f>
        <v/>
      </c>
      <c r="H63" s="106">
        <f>IF(EJ63="","",IF(ISNUMBER('Dvd Calendar'!$J$575)=FALSE,"",IF((('Dvd Calendar'!$J$577=TYPE1)*(TYPE1&lt;&gt;"")+('Dvd Calendar'!$J$577=TYPE2)*(TYPE2&lt;&gt;"")+('Dvd Calendar'!$J$577=TYPE3)*(TYPE3&lt;&gt;"")+('Dvd Calendar'!$J$577=TYPE4)*(TYPE4&lt;&gt;"")+('Dvd Calendar'!$J$577=SPECIAL_LBL)*(INC_SPECIALS="Y"))=0,"",'Dvd Calendar'!$J$575)))</f>
        <v/>
      </c>
      <c r="I63" s="106">
        <f>IF(EK63="","",IF(ISNUMBER('Dvd Calendar'!$K$575)=FALSE,"",IF((('Dvd Calendar'!$K$577=TYPE1)*(TYPE1&lt;&gt;"")+('Dvd Calendar'!$K$577=TYPE2)*(TYPE2&lt;&gt;"")+('Dvd Calendar'!$K$577=TYPE3)*(TYPE3&lt;&gt;"")+('Dvd Calendar'!$K$577=TYPE4)*(TYPE4&lt;&gt;"")+('Dvd Calendar'!$K$577=SPECIAL_LBL)*(INC_SPECIALS="Y"))=0,"",'Dvd Calendar'!$K$575)))</f>
        <v/>
      </c>
      <c r="J63" s="106">
        <f>IF(EL63="","",IF(ISNUMBER('Dvd Calendar'!$L$575)=FALSE,"",IF((('Dvd Calendar'!$L$577=TYPE1)*(TYPE1&lt;&gt;"")+('Dvd Calendar'!$L$577=TYPE2)*(TYPE2&lt;&gt;"")+('Dvd Calendar'!$L$577=TYPE3)*(TYPE3&lt;&gt;"")+('Dvd Calendar'!$L$577=TYPE4)*(TYPE4&lt;&gt;"")+('Dvd Calendar'!$L$577=SPECIAL_LBL)*(INC_SPECIALS="Y"))=0,"",'Dvd Calendar'!$L$575)))</f>
        <v/>
      </c>
      <c r="K63" s="106">
        <f>IF(EM63="","",IF(ISNUMBER('Dvd Calendar'!$M$575)=FALSE,"",IF((('Dvd Calendar'!$M$577=TYPE1)*(TYPE1&lt;&gt;"")+('Dvd Calendar'!$M$577=TYPE2)*(TYPE2&lt;&gt;"")+('Dvd Calendar'!$M$577=TYPE3)*(TYPE3&lt;&gt;"")+('Dvd Calendar'!$M$577=TYPE4)*(TYPE4&lt;&gt;"")+('Dvd Calendar'!$M$577=SPECIAL_LBL)*(INC_SPECIALS="Y"))=0,"",'Dvd Calendar'!$M$575)))</f>
        <v/>
      </c>
      <c r="L63" s="106">
        <f>IF(EN63="","",IF(ISNUMBER('Dvd Calendar'!$N$575)=FALSE,"",IF((('Dvd Calendar'!$N$577=TYPE1)*(TYPE1&lt;&gt;"")+('Dvd Calendar'!$N$577=TYPE2)*(TYPE2&lt;&gt;"")+('Dvd Calendar'!$N$577=TYPE3)*(TYPE3&lt;&gt;"")+('Dvd Calendar'!$N$577=TYPE4)*(TYPE4&lt;&gt;"")+('Dvd Calendar'!$N$577=SPECIAL_LBL)*(INC_SPECIALS="Y"))=0,"",'Dvd Calendar'!$N$575)))</f>
        <v/>
      </c>
      <c r="M63" s="106">
        <f>IF(EO63="","",IF(ISNUMBER('Dvd Calendar'!$O$575)=FALSE,"",IF((('Dvd Calendar'!$O$577=TYPE1)*(TYPE1&lt;&gt;"")+('Dvd Calendar'!$O$577=TYPE2)*(TYPE2&lt;&gt;"")+('Dvd Calendar'!$O$577=TYPE3)*(TYPE3&lt;&gt;"")+('Dvd Calendar'!$O$577=TYPE4)*(TYPE4&lt;&gt;"")+('Dvd Calendar'!$O$577=SPECIAL_LBL)*(INC_SPECIALS="Y"))=0,"",'Dvd Calendar'!$O$575)))</f>
        <v/>
      </c>
      <c r="N63" s="106">
        <f>IF(EP63="","",IF(ISNUMBER('Dvd Calendar'!$P$575)=FALSE,"",IF((('Dvd Calendar'!$P$577=TYPE1)*(TYPE1&lt;&gt;"")+('Dvd Calendar'!$P$577=TYPE2)*(TYPE2&lt;&gt;"")+('Dvd Calendar'!$P$577=TYPE3)*(TYPE3&lt;&gt;"")+('Dvd Calendar'!$P$577=TYPE4)*(TYPE4&lt;&gt;"")+('Dvd Calendar'!$P$577=SPECIAL_LBL)*(INC_SPECIALS="Y"))=0,"",'Dvd Calendar'!$P$575)))</f>
        <v/>
      </c>
      <c r="O63" s="106">
        <f>IF(EQ63="","",IF(ISNUMBER('Dvd Calendar'!$Q$575)=FALSE,"",IF((('Dvd Calendar'!$Q$577=TYPE1)*(TYPE1&lt;&gt;"")+('Dvd Calendar'!$Q$577=TYPE2)*(TYPE2&lt;&gt;"")+('Dvd Calendar'!$Q$577=TYPE3)*(TYPE3&lt;&gt;"")+('Dvd Calendar'!$Q$577=TYPE4)*(TYPE4&lt;&gt;"")+('Dvd Calendar'!$Q$577=SPECIAL_LBL)*(INC_SPECIALS="Y"))=0,"",'Dvd Calendar'!$Q$575)))</f>
        <v/>
      </c>
      <c r="P63" s="106">
        <f>IF(ER63="","",IF(ISNUMBER('Dvd Calendar'!$R$575)=FALSE,"",IF((('Dvd Calendar'!$R$577=TYPE1)*(TYPE1&lt;&gt;"")+('Dvd Calendar'!$R$577=TYPE2)*(TYPE2&lt;&gt;"")+('Dvd Calendar'!$R$577=TYPE3)*(TYPE3&lt;&gt;"")+('Dvd Calendar'!$R$577=TYPE4)*(TYPE4&lt;&gt;"")+('Dvd Calendar'!$R$577=SPECIAL_LBL)*(INC_SPECIALS="Y"))=0,"",'Dvd Calendar'!$R$575)))</f>
        <v/>
      </c>
      <c r="Q63" s="106">
        <f>IF(ES63="","",IF(ISNUMBER('Dvd Calendar'!$S$575)=FALSE,"",IF((('Dvd Calendar'!$S$577=TYPE1)*(TYPE1&lt;&gt;"")+('Dvd Calendar'!$S$577=TYPE2)*(TYPE2&lt;&gt;"")+('Dvd Calendar'!$S$577=TYPE3)*(TYPE3&lt;&gt;"")+('Dvd Calendar'!$S$577=TYPE4)*(TYPE4&lt;&gt;"")+('Dvd Calendar'!$S$577=SPECIAL_LBL)*(INC_SPECIALS="Y"))=0,"",'Dvd Calendar'!$S$575)))</f>
        <v/>
      </c>
      <c r="R63" s="106">
        <f>IF(ET63="","",IF(ISNUMBER('Dvd Calendar'!$T$575)=FALSE,"",IF((('Dvd Calendar'!$T$577=TYPE1)*(TYPE1&lt;&gt;"")+('Dvd Calendar'!$T$577=TYPE2)*(TYPE2&lt;&gt;"")+('Dvd Calendar'!$T$577=TYPE3)*(TYPE3&lt;&gt;"")+('Dvd Calendar'!$T$577=TYPE4)*(TYPE4&lt;&gt;"")+('Dvd Calendar'!$T$577=SPECIAL_LBL)*(INC_SPECIALS="Y"))=0,"",'Dvd Calendar'!$T$575)))</f>
        <v/>
      </c>
      <c r="S63" s="106">
        <f>IF(EU63="","",IF(ISNUMBER('Dvd Calendar'!$U$575)=FALSE,"",IF((('Dvd Calendar'!$U$577=TYPE1)*(TYPE1&lt;&gt;"")+('Dvd Calendar'!$U$577=TYPE2)*(TYPE2&lt;&gt;"")+('Dvd Calendar'!$U$577=TYPE3)*(TYPE3&lt;&gt;"")+('Dvd Calendar'!$U$577=TYPE4)*(TYPE4&lt;&gt;"")+('Dvd Calendar'!$U$577=SPECIAL_LBL)*(INC_SPECIALS="Y"))=0,"",'Dvd Calendar'!$U$575)))</f>
        <v/>
      </c>
      <c r="T63" s="106">
        <f>IF(EV63="","",IF(ISNUMBER('Dvd Calendar'!$V$575)=FALSE,"",IF((('Dvd Calendar'!$V$577=TYPE1)*(TYPE1&lt;&gt;"")+('Dvd Calendar'!$V$577=TYPE2)*(TYPE2&lt;&gt;"")+('Dvd Calendar'!$V$577=TYPE3)*(TYPE3&lt;&gt;"")+('Dvd Calendar'!$V$577=TYPE4)*(TYPE4&lt;&gt;"")+('Dvd Calendar'!$V$577=SPECIAL_LBL)*(INC_SPECIALS="Y"))=0,"",'Dvd Calendar'!$V$575)))</f>
        <v/>
      </c>
      <c r="U63" s="106">
        <f>IF(EW63="","",IF(ISNUMBER('Dvd Calendar'!$W$575)=FALSE,"",IF((('Dvd Calendar'!$W$577=TYPE1)*(TYPE1&lt;&gt;"")+('Dvd Calendar'!$W$577=TYPE2)*(TYPE2&lt;&gt;"")+('Dvd Calendar'!$W$577=TYPE3)*(TYPE3&lt;&gt;"")+('Dvd Calendar'!$W$577=TYPE4)*(TYPE4&lt;&gt;"")+('Dvd Calendar'!$W$577=SPECIAL_LBL)*(INC_SPECIALS="Y"))=0,"",'Dvd Calendar'!$W$575)))</f>
        <v/>
      </c>
      <c r="V63" s="106">
        <f>IF(EX63="","",IF(ISNUMBER('Dvd Calendar'!$X$575)=FALSE,"",IF((('Dvd Calendar'!$X$577=TYPE1)*(TYPE1&lt;&gt;"")+('Dvd Calendar'!$X$577=TYPE2)*(TYPE2&lt;&gt;"")+('Dvd Calendar'!$X$577=TYPE3)*(TYPE3&lt;&gt;"")+('Dvd Calendar'!$X$577=TYPE4)*(TYPE4&lt;&gt;"")+('Dvd Calendar'!$X$577=SPECIAL_LBL)*(INC_SPECIALS="Y"))=0,"",'Dvd Calendar'!$X$575)))</f>
        <v/>
      </c>
      <c r="W63" s="106">
        <f>IF(EY63="","",IF(ISNUMBER('Dvd Calendar'!$Y$575)=FALSE,"",IF((('Dvd Calendar'!$Y$577=TYPE1)*(TYPE1&lt;&gt;"")+('Dvd Calendar'!$Y$577=TYPE2)*(TYPE2&lt;&gt;"")+('Dvd Calendar'!$Y$577=TYPE3)*(TYPE3&lt;&gt;"")+('Dvd Calendar'!$Y$577=TYPE4)*(TYPE4&lt;&gt;"")+('Dvd Calendar'!$Y$577=SPECIAL_LBL)*(INC_SPECIALS="Y"))=0,"",'Dvd Calendar'!$Y$575)))</f>
        <v/>
      </c>
      <c r="X63" s="106">
        <f>IF(EZ63="","",IF(ISNUMBER('Dvd Calendar'!$Z$575)=FALSE,"",IF((('Dvd Calendar'!$Z$577=TYPE1)*(TYPE1&lt;&gt;"")+('Dvd Calendar'!$Z$577=TYPE2)*(TYPE2&lt;&gt;"")+('Dvd Calendar'!$Z$577=TYPE3)*(TYPE3&lt;&gt;"")+('Dvd Calendar'!$Z$577=TYPE4)*(TYPE4&lt;&gt;"")+('Dvd Calendar'!$Z$577=SPECIAL_LBL)*(INC_SPECIALS="Y"))=0,"",'Dvd Calendar'!$Z$575)))</f>
        <v/>
      </c>
      <c r="Y63" s="106">
        <f>IF(FA63="","",IF(ISNUMBER('Dvd Calendar'!$AA$575)=FALSE,"",IF((('Dvd Calendar'!$AA$577=TYPE1)*(TYPE1&lt;&gt;"")+('Dvd Calendar'!$AA$577=TYPE2)*(TYPE2&lt;&gt;"")+('Dvd Calendar'!$AA$577=TYPE3)*(TYPE3&lt;&gt;"")+('Dvd Calendar'!$AA$577=TYPE4)*(TYPE4&lt;&gt;"")+('Dvd Calendar'!$AA$577=SPECIAL_LBL)*(INC_SPECIALS="Y"))=0,"",'Dvd Calendar'!$AA$575)))</f>
        <v/>
      </c>
      <c r="Z63" s="106">
        <f>IF(FB63="","",IF(ISNUMBER('Dvd Calendar'!$AB$575)=FALSE,"",IF((('Dvd Calendar'!$AB$577=TYPE1)*(TYPE1&lt;&gt;"")+('Dvd Calendar'!$AB$577=TYPE2)*(TYPE2&lt;&gt;"")+('Dvd Calendar'!$AB$577=TYPE3)*(TYPE3&lt;&gt;"")+('Dvd Calendar'!$AB$577=TYPE4)*(TYPE4&lt;&gt;"")+('Dvd Calendar'!$AB$577=SPECIAL_LBL)*(INC_SPECIALS="Y"))=0,"",'Dvd Calendar'!$AB$575)))</f>
        <v/>
      </c>
      <c r="AA63" s="106">
        <f>IF(FC63="","",IF(ISNUMBER('Dvd Calendar'!$AC$575)=FALSE,"",IF((('Dvd Calendar'!$AC$577=TYPE1)*(TYPE1&lt;&gt;"")+('Dvd Calendar'!$AC$577=TYPE2)*(TYPE2&lt;&gt;"")+('Dvd Calendar'!$AC$577=TYPE3)*(TYPE3&lt;&gt;"")+('Dvd Calendar'!$AC$577=TYPE4)*(TYPE4&lt;&gt;"")+('Dvd Calendar'!$AC$577=SPECIAL_LBL)*(INC_SPECIALS="Y"))=0,"",'Dvd Calendar'!$AC$575)))</f>
        <v/>
      </c>
      <c r="AB63" s="106">
        <f>IF(FD63="","",IF(ISNUMBER('Dvd Calendar'!$AD$575)=FALSE,"",IF((('Dvd Calendar'!$AD$577=TYPE1)*(TYPE1&lt;&gt;"")+('Dvd Calendar'!$AD$577=TYPE2)*(TYPE2&lt;&gt;"")+('Dvd Calendar'!$AD$577=TYPE3)*(TYPE3&lt;&gt;"")+('Dvd Calendar'!$AD$577=TYPE4)*(TYPE4&lt;&gt;"")+('Dvd Calendar'!$AD$577=SPECIAL_LBL)*(INC_SPECIALS="Y"))=0,"",'Dvd Calendar'!$AD$575)))</f>
        <v/>
      </c>
      <c r="AC63" s="106">
        <f>IF(FE63="","",IF(ISNUMBER('Dvd Calendar'!$AE$575)=FALSE,"",IF((('Dvd Calendar'!$AE$577=TYPE1)*(TYPE1&lt;&gt;"")+('Dvd Calendar'!$AE$577=TYPE2)*(TYPE2&lt;&gt;"")+('Dvd Calendar'!$AE$577=TYPE3)*(TYPE3&lt;&gt;"")+('Dvd Calendar'!$AE$577=TYPE4)*(TYPE4&lt;&gt;"")+('Dvd Calendar'!$AE$577=SPECIAL_LBL)*(INC_SPECIALS="Y"))=0,"",'Dvd Calendar'!$AE$575)))</f>
        <v/>
      </c>
      <c r="AD63" s="106">
        <f>IF(FF63="","",IF(ISNUMBER('Dvd Calendar'!$AF$575)=FALSE,"",IF((('Dvd Calendar'!$AF$577=TYPE1)*(TYPE1&lt;&gt;"")+('Dvd Calendar'!$AF$577=TYPE2)*(TYPE2&lt;&gt;"")+('Dvd Calendar'!$AF$577=TYPE3)*(TYPE3&lt;&gt;"")+('Dvd Calendar'!$AF$577=TYPE4)*(TYPE4&lt;&gt;"")+('Dvd Calendar'!$AF$577=SPECIAL_LBL)*(INC_SPECIALS="Y"))=0,"",'Dvd Calendar'!$AF$575)))</f>
        <v/>
      </c>
      <c r="AE63" s="106">
        <f>IF(FG63="","",IF(ISNUMBER('Dvd Calendar'!$AG$575)=FALSE,"",IF((('Dvd Calendar'!$AG$577=TYPE1)*(TYPE1&lt;&gt;"")+('Dvd Calendar'!$AG$577=TYPE2)*(TYPE2&lt;&gt;"")+('Dvd Calendar'!$AG$577=TYPE3)*(TYPE3&lt;&gt;"")+('Dvd Calendar'!$AG$577=TYPE4)*(TYPE4&lt;&gt;"")+('Dvd Calendar'!$AG$577=SPECIAL_LBL)*(INC_SPECIALS="Y"))=0,"",'Dvd Calendar'!$AG$575)))</f>
        <v/>
      </c>
      <c r="AF63" s="106">
        <f>IF(FH63="","",IF(ISNUMBER('Dvd Calendar'!$AH$575)=FALSE,"",IF((('Dvd Calendar'!$AH$577=TYPE1)*(TYPE1&lt;&gt;"")+('Dvd Calendar'!$AH$577=TYPE2)*(TYPE2&lt;&gt;"")+('Dvd Calendar'!$AH$577=TYPE3)*(TYPE3&lt;&gt;"")+('Dvd Calendar'!$AH$577=TYPE4)*(TYPE4&lt;&gt;"")+('Dvd Calendar'!$AH$577=SPECIAL_LBL)*(INC_SPECIALS="Y"))=0,"",'Dvd Calendar'!$AH$575)))</f>
        <v/>
      </c>
      <c r="AG63" s="106">
        <f>IF(FI63="","",IF(ISNUMBER('Dvd Calendar'!$AI$575)=FALSE,"",IF((('Dvd Calendar'!$AI$577=TYPE1)*(TYPE1&lt;&gt;"")+('Dvd Calendar'!$AI$577=TYPE2)*(TYPE2&lt;&gt;"")+('Dvd Calendar'!$AI$577=TYPE3)*(TYPE3&lt;&gt;"")+('Dvd Calendar'!$AI$577=TYPE4)*(TYPE4&lt;&gt;"")+('Dvd Calendar'!$AI$577=SPECIAL_LBL)*(INC_SPECIALS="Y"))=0,"",'Dvd Calendar'!$AI$575)))</f>
        <v/>
      </c>
      <c r="AH63" s="106">
        <f>IF(FJ63="","",IF(ISNUMBER('Dvd Calendar'!$AJ$575)=FALSE,"",IF((('Dvd Calendar'!$AJ$577=TYPE1)*(TYPE1&lt;&gt;"")+('Dvd Calendar'!$AJ$577=TYPE2)*(TYPE2&lt;&gt;"")+('Dvd Calendar'!$AJ$577=TYPE3)*(TYPE3&lt;&gt;"")+('Dvd Calendar'!$AJ$577=TYPE4)*(TYPE4&lt;&gt;"")+('Dvd Calendar'!$AJ$577=SPECIAL_LBL)*(INC_SPECIALS="Y"))=0,"",'Dvd Calendar'!$AJ$575)))</f>
        <v/>
      </c>
      <c r="AI63" s="106">
        <f>IF(FK63="","",IF(ISNUMBER('Dvd Calendar'!$AK$575)=FALSE,"",IF((('Dvd Calendar'!$AK$577=TYPE1)*(TYPE1&lt;&gt;"")+('Dvd Calendar'!$AK$577=TYPE2)*(TYPE2&lt;&gt;"")+('Dvd Calendar'!$AK$577=TYPE3)*(TYPE3&lt;&gt;"")+('Dvd Calendar'!$AK$577=TYPE4)*(TYPE4&lt;&gt;"")+('Dvd Calendar'!$AK$577=SPECIAL_LBL)*(INC_SPECIALS="Y"))=0,"",'Dvd Calendar'!$AK$575)))</f>
        <v/>
      </c>
      <c r="AJ63" s="106">
        <f>IF(FL63="","",IF(ISNUMBER('Dvd Calendar'!$AL$575)=FALSE,"",IF((('Dvd Calendar'!$AL$577=TYPE1)*(TYPE1&lt;&gt;"")+('Dvd Calendar'!$AL$577=TYPE2)*(TYPE2&lt;&gt;"")+('Dvd Calendar'!$AL$577=TYPE3)*(TYPE3&lt;&gt;"")+('Dvd Calendar'!$AL$577=TYPE4)*(TYPE4&lt;&gt;"")+('Dvd Calendar'!$AL$577=SPECIAL_LBL)*(INC_SPECIALS="Y"))=0,"",'Dvd Calendar'!$AL$575)))</f>
        <v/>
      </c>
      <c r="AK63" s="106">
        <f>IF(FM63="","",IF(ISNUMBER('Dvd Calendar'!$AM$575)=FALSE,"",IF((('Dvd Calendar'!$AM$577=TYPE1)*(TYPE1&lt;&gt;"")+('Dvd Calendar'!$AM$577=TYPE2)*(TYPE2&lt;&gt;"")+('Dvd Calendar'!$AM$577=TYPE3)*(TYPE3&lt;&gt;"")+('Dvd Calendar'!$AM$577=TYPE4)*(TYPE4&lt;&gt;"")+('Dvd Calendar'!$AM$577=SPECIAL_LBL)*(INC_SPECIALS="Y"))=0,"",'Dvd Calendar'!$AM$575)))</f>
        <v/>
      </c>
      <c r="AL63" s="106">
        <f>IF(FN63="","",IF(ISNUMBER('Dvd Calendar'!$AN$575)=FALSE,"",IF((('Dvd Calendar'!$AN$577=TYPE1)*(TYPE1&lt;&gt;"")+('Dvd Calendar'!$AN$577=TYPE2)*(TYPE2&lt;&gt;"")+('Dvd Calendar'!$AN$577=TYPE3)*(TYPE3&lt;&gt;"")+('Dvd Calendar'!$AN$577=TYPE4)*(TYPE4&lt;&gt;"")+('Dvd Calendar'!$AN$577=SPECIAL_LBL)*(INC_SPECIALS="Y"))=0,"",'Dvd Calendar'!$AN$575)))</f>
        <v/>
      </c>
      <c r="AM63" s="106">
        <f>IF(FO63="","",IF(ISNUMBER('Dvd Calendar'!$AO$575)=FALSE,"",IF((('Dvd Calendar'!$AO$577=TYPE1)*(TYPE1&lt;&gt;"")+('Dvd Calendar'!$AO$577=TYPE2)*(TYPE2&lt;&gt;"")+('Dvd Calendar'!$AO$577=TYPE3)*(TYPE3&lt;&gt;"")+('Dvd Calendar'!$AO$577=TYPE4)*(TYPE4&lt;&gt;"")+('Dvd Calendar'!$AO$577=SPECIAL_LBL)*(INC_SPECIALS="Y"))=0,"",'Dvd Calendar'!$AO$575)))</f>
        <v/>
      </c>
      <c r="AN63" s="106">
        <f>IF(FP63="","",IF(ISNUMBER('Dvd Calendar'!$AP$575)=FALSE,"",IF((('Dvd Calendar'!$AP$577=TYPE1)*(TYPE1&lt;&gt;"")+('Dvd Calendar'!$AP$577=TYPE2)*(TYPE2&lt;&gt;"")+('Dvd Calendar'!$AP$577=TYPE3)*(TYPE3&lt;&gt;"")+('Dvd Calendar'!$AP$577=TYPE4)*(TYPE4&lt;&gt;"")+('Dvd Calendar'!$AP$577=SPECIAL_LBL)*(INC_SPECIALS="Y"))=0,"",'Dvd Calendar'!$AP$575)))</f>
        <v/>
      </c>
      <c r="AO63" s="106">
        <f>IF(FQ63="","",IF(ISNUMBER('Dvd Calendar'!$AQ$575)=FALSE,"",IF((('Dvd Calendar'!$AQ$577=TYPE1)*(TYPE1&lt;&gt;"")+('Dvd Calendar'!$AQ$577=TYPE2)*(TYPE2&lt;&gt;"")+('Dvd Calendar'!$AQ$577=TYPE3)*(TYPE3&lt;&gt;"")+('Dvd Calendar'!$AQ$577=TYPE4)*(TYPE4&lt;&gt;"")+('Dvd Calendar'!$AQ$577=SPECIAL_LBL)*(INC_SPECIALS="Y"))=0,"",'Dvd Calendar'!$AQ$575)))</f>
        <v/>
      </c>
      <c r="AP63" s="106">
        <f>IF(FR63="","",IF(ISNUMBER('Dvd Calendar'!$AR$575)=FALSE,"",IF((('Dvd Calendar'!$AR$577=TYPE1)*(TYPE1&lt;&gt;"")+('Dvd Calendar'!$AR$577=TYPE2)*(TYPE2&lt;&gt;"")+('Dvd Calendar'!$AR$577=TYPE3)*(TYPE3&lt;&gt;"")+('Dvd Calendar'!$AR$577=TYPE4)*(TYPE4&lt;&gt;"")+('Dvd Calendar'!$AR$577=SPECIAL_LBL)*(INC_SPECIALS="Y"))=0,"",'Dvd Calendar'!$AR$575)))</f>
        <v/>
      </c>
      <c r="AQ63" s="106">
        <f>IF(FS63="","",IF(ISNUMBER('Dvd Calendar'!$E$580)=FALSE,"",'Dvd Calendar'!$E$580))</f>
        <v/>
      </c>
      <c r="AR63" s="106">
        <f>IF(FT63="","",IF(ISNUMBER('Dvd Calendar'!$F$580)=FALSE,"",'Dvd Calendar'!$F$580))</f>
        <v/>
      </c>
      <c r="AS63" s="106">
        <f>IF(FU63="","",IF(ISNUMBER('Dvd Calendar'!$G$580)=FALSE,"",'Dvd Calendar'!$G$580))</f>
        <v/>
      </c>
      <c r="AT63" s="106">
        <f>IF(FV63="","",IF(ISNUMBER('Dvd Calendar'!$H$580)=FALSE,"",'Dvd Calendar'!$H$580))</f>
        <v/>
      </c>
      <c r="AU63" s="106">
        <f>IF(FW63="","",IF(ISNUMBER('Dvd Calendar'!$I$580)=FALSE,"",'Dvd Calendar'!$I$580))</f>
        <v/>
      </c>
      <c r="AV63" s="106">
        <f>IF(FX63="","",IF(ISNUMBER('Dvd Calendar'!$J$580)=FALSE,"",'Dvd Calendar'!$J$580))</f>
        <v/>
      </c>
      <c r="AW63" s="106">
        <f>IF(FY63="","",IF(ISNUMBER('Dvd Calendar'!$K$580)=FALSE,"",'Dvd Calendar'!$K$580))</f>
        <v/>
      </c>
      <c r="AX63" s="106">
        <f>IF(FZ63="","",IF(ISNUMBER('Dvd Calendar'!$L$580)=FALSE,"",'Dvd Calendar'!$L$580))</f>
        <v/>
      </c>
      <c r="AY63" s="106">
        <f>IF(GA63="","",IF(ISNUMBER('Dvd Calendar'!$M$580)=FALSE,"",'Dvd Calendar'!$M$580))</f>
        <v/>
      </c>
      <c r="AZ63" s="106">
        <f>IF(GB63="","",IF(ISNUMBER('Dvd Calendar'!$N$580)=FALSE,"",'Dvd Calendar'!$N$580))</f>
        <v/>
      </c>
      <c r="BA63" s="106">
        <f>IF(GC63="","",IF(ISNUMBER('Dvd Calendar'!$O$580)=FALSE,"",'Dvd Calendar'!$O$580))</f>
        <v/>
      </c>
      <c r="BB63" s="106">
        <f>IF(GD63="","",IF(ISNUMBER('Dvd Calendar'!$P$580)=FALSE,"",'Dvd Calendar'!$P$580))</f>
        <v/>
      </c>
      <c r="BC63" s="106">
        <f>IF(GE63="","",IF(ISNUMBER('Dvd Calendar'!$Q$580)=FALSE,"",'Dvd Calendar'!$Q$580))</f>
        <v/>
      </c>
      <c r="BD63" s="106">
        <f>IF(GF63="","",IF(ISNUMBER('Dvd Calendar'!$R$580)=FALSE,"",'Dvd Calendar'!$R$580))</f>
        <v/>
      </c>
      <c r="BE63" s="106">
        <f>IF(GG63="","",IF(ISNUMBER('Dvd Calendar'!$S$580)=FALSE,"",'Dvd Calendar'!$S$580))</f>
        <v/>
      </c>
      <c r="BF63" s="106">
        <f>IF(GH63="","",IF(ISNUMBER('Dvd Calendar'!$T$580)=FALSE,"",'Dvd Calendar'!$T$580))</f>
        <v/>
      </c>
      <c r="BG63" s="106">
        <f>IF(GI63="","",IF(ISNUMBER('Dvd Calendar'!$U$580)=FALSE,"",'Dvd Calendar'!$U$580))</f>
        <v/>
      </c>
      <c r="BH63" s="106">
        <f>IF(GJ63="","",IF(ISNUMBER('Dvd Calendar'!$V$580)=FALSE,"",'Dvd Calendar'!$V$580))</f>
        <v/>
      </c>
      <c r="BI63" s="106">
        <f>IF(GK63="","",IF(ISNUMBER('Dvd Calendar'!$W$580)=FALSE,"",'Dvd Calendar'!$W$580))</f>
        <v/>
      </c>
      <c r="BJ63" s="106">
        <f>IF(GL63="","",IF(ISNUMBER('Dvd Calendar'!$X$580)=FALSE,"",'Dvd Calendar'!$X$580))</f>
        <v/>
      </c>
      <c r="BK63" s="106">
        <f>IF(GM63="","",IF(ISNUMBER('Dvd Calendar'!$Y$580)=FALSE,"",'Dvd Calendar'!$Y$580))</f>
        <v/>
      </c>
      <c r="BL63" s="106">
        <f>IF(GN63="","",IF(ISNUMBER('Dvd Calendar'!$Z$580)=FALSE,"",'Dvd Calendar'!$Z$580))</f>
        <v/>
      </c>
      <c r="BM63" s="106">
        <f>IF(GO63="","",IF(ISNUMBER('Dvd Calendar'!$AA$580)=FALSE,"",'Dvd Calendar'!$AA$580))</f>
        <v/>
      </c>
      <c r="BN63" s="106">
        <f>IF(GP63="","",IF(ISNUMBER('Dvd Calendar'!$AB$580)=FALSE,"",'Dvd Calendar'!$AB$580))</f>
        <v/>
      </c>
      <c r="BO63" s="106">
        <f>IF(GQ63="","",IF(ISNUMBER('Dvd Calendar'!$AC$580)=FALSE,"",'Dvd Calendar'!$AC$580))</f>
        <v/>
      </c>
      <c r="BQ63" s="106">
        <f>IF(C63="","",IFERROR(C63*HSI!$B$58*HSI!$G$58/HSI!$B$3,""))</f>
        <v/>
      </c>
      <c r="BR63" s="106">
        <f>IF(D63="","",IFERROR(D63*HSI!$B$58*HSI!$G$58/HSI!$B$3,""))</f>
        <v/>
      </c>
      <c r="BS63" s="106">
        <f>IF(E63="","",IFERROR(E63*HSI!$B$58*HSI!$G$58/HSI!$B$3,""))</f>
        <v/>
      </c>
      <c r="BT63" s="106">
        <f>IF(F63="","",IFERROR(F63*HSI!$B$58*HSI!$G$58/HSI!$B$3,""))</f>
        <v/>
      </c>
      <c r="BU63" s="106">
        <f>IF(G63="","",IFERROR(G63*HSI!$B$58*HSI!$G$58/HSI!$B$3,""))</f>
        <v/>
      </c>
      <c r="BV63" s="106">
        <f>IF(H63="","",IFERROR(H63*HSI!$B$58*HSI!$G$58/HSI!$B$3,""))</f>
        <v/>
      </c>
      <c r="BW63" s="106">
        <f>IF(I63="","",IFERROR(I63*HSI!$B$58*HSI!$G$58/HSI!$B$3,""))</f>
        <v/>
      </c>
      <c r="BX63" s="106">
        <f>IF(J63="","",IFERROR(J63*HSI!$B$58*HSI!$G$58/HSI!$B$3,""))</f>
        <v/>
      </c>
      <c r="BY63" s="106">
        <f>IF(K63="","",IFERROR(K63*HSI!$B$58*HSI!$G$58/HSI!$B$3,""))</f>
        <v/>
      </c>
      <c r="BZ63" s="106">
        <f>IF(L63="","",IFERROR(L63*HSI!$B$58*HSI!$G$58/HSI!$B$3,""))</f>
        <v/>
      </c>
      <c r="CA63" s="106">
        <f>IF(M63="","",IFERROR(M63*HSI!$B$58*HSI!$G$58/HSI!$B$3,""))</f>
        <v/>
      </c>
      <c r="CB63" s="106">
        <f>IF(N63="","",IFERROR(N63*HSI!$B$58*HSI!$G$58/HSI!$B$3,""))</f>
        <v/>
      </c>
      <c r="CC63" s="106">
        <f>IF(O63="","",IFERROR(O63*HSI!$B$58*HSI!$G$58/HSI!$B$3,""))</f>
        <v/>
      </c>
      <c r="CD63" s="106">
        <f>IF(P63="","",IFERROR(P63*HSI!$B$58*HSI!$G$58/HSI!$B$3,""))</f>
        <v/>
      </c>
      <c r="CE63" s="106">
        <f>IF(Q63="","",IFERROR(Q63*HSI!$B$58*HSI!$G$58/HSI!$B$3,""))</f>
        <v/>
      </c>
      <c r="CF63" s="106">
        <f>IF(R63="","",IFERROR(R63*HSI!$B$58*HSI!$G$58/HSI!$B$3,""))</f>
        <v/>
      </c>
      <c r="CG63" s="106">
        <f>IF(S63="","",IFERROR(S63*HSI!$B$58*HSI!$G$58/HSI!$B$3,""))</f>
        <v/>
      </c>
      <c r="CH63" s="106">
        <f>IF(T63="","",IFERROR(T63*HSI!$B$58*HSI!$G$58/HSI!$B$3,""))</f>
        <v/>
      </c>
      <c r="CI63" s="106">
        <f>IF(U63="","",IFERROR(U63*HSI!$B$58*HSI!$G$58/HSI!$B$3,""))</f>
        <v/>
      </c>
      <c r="CJ63" s="106">
        <f>IF(V63="","",IFERROR(V63*HSI!$B$58*HSI!$G$58/HSI!$B$3,""))</f>
        <v/>
      </c>
      <c r="CK63" s="106">
        <f>IF(W63="","",IFERROR(W63*HSI!$B$58*HSI!$G$58/HSI!$B$3,""))</f>
        <v/>
      </c>
      <c r="CL63" s="106">
        <f>IF(X63="","",IFERROR(X63*HSI!$B$58*HSI!$G$58/HSI!$B$3,""))</f>
        <v/>
      </c>
      <c r="CM63" s="106">
        <f>IF(Y63="","",IFERROR(Y63*HSI!$B$58*HSI!$G$58/HSI!$B$3,""))</f>
        <v/>
      </c>
      <c r="CN63" s="106">
        <f>IF(Z63="","",IFERROR(Z63*HSI!$B$58*HSI!$G$58/HSI!$B$3,""))</f>
        <v/>
      </c>
      <c r="CO63" s="106">
        <f>IF(AA63="","",IFERROR(AA63*HSI!$B$58*HSI!$G$58/HSI!$B$3,""))</f>
        <v/>
      </c>
      <c r="CP63" s="106">
        <f>IF(AB63="","",IFERROR(AB63*HSI!$B$58*HSI!$G$58/HSI!$B$3,""))</f>
        <v/>
      </c>
      <c r="CQ63" s="106">
        <f>IF(AC63="","",IFERROR(AC63*HSI!$B$58*HSI!$G$58/HSI!$B$3,""))</f>
        <v/>
      </c>
      <c r="CR63" s="106">
        <f>IF(AD63="","",IFERROR(AD63*HSI!$B$58*HSI!$G$58/HSI!$B$3,""))</f>
        <v/>
      </c>
      <c r="CS63" s="106">
        <f>IF(AE63="","",IFERROR(AE63*HSI!$B$58*HSI!$G$58/HSI!$B$3,""))</f>
        <v/>
      </c>
      <c r="CT63" s="106">
        <f>IF(AF63="","",IFERROR(AF63*HSI!$B$58*HSI!$G$58/HSI!$B$3,""))</f>
        <v/>
      </c>
      <c r="CU63" s="106">
        <f>IF(AG63="","",IFERROR(AG63*HSI!$B$58*HSI!$G$58/HSI!$B$3,""))</f>
        <v/>
      </c>
      <c r="CV63" s="106">
        <f>IF(AH63="","",IFERROR(AH63*HSI!$B$58*HSI!$G$58/HSI!$B$3,""))</f>
        <v/>
      </c>
      <c r="CW63" s="106">
        <f>IF(AI63="","",IFERROR(AI63*HSI!$B$58*HSI!$G$58/HSI!$B$3,""))</f>
        <v/>
      </c>
      <c r="CX63" s="106">
        <f>IF(AJ63="","",IFERROR(AJ63*HSI!$B$58*HSI!$G$58/HSI!$B$3,""))</f>
        <v/>
      </c>
      <c r="CY63" s="106">
        <f>IF(AK63="","",IFERROR(AK63*HSI!$B$58*HSI!$G$58/HSI!$B$3,""))</f>
        <v/>
      </c>
      <c r="CZ63" s="106">
        <f>IF(AL63="","",IFERROR(AL63*HSI!$B$58*HSI!$G$58/HSI!$B$3,""))</f>
        <v/>
      </c>
      <c r="DA63" s="106">
        <f>IF(AM63="","",IFERROR(AM63*HSI!$B$58*HSI!$G$58/HSI!$B$3,""))</f>
        <v/>
      </c>
      <c r="DB63" s="106">
        <f>IF(AN63="","",IFERROR(AN63*HSI!$B$58*HSI!$G$58/HSI!$B$3,""))</f>
        <v/>
      </c>
      <c r="DC63" s="106">
        <f>IF(AO63="","",IFERROR(AO63*HSI!$B$58*HSI!$G$58/HSI!$B$3,""))</f>
        <v/>
      </c>
      <c r="DD63" s="106">
        <f>IF(AP63="","",IFERROR(AP63*HSI!$B$58*HSI!$G$58/HSI!$B$3,""))</f>
        <v/>
      </c>
      <c r="DE63" s="106">
        <f>IF(AQ63="","",IFERROR(AQ63*HSI!$B$58*HSI!$G$58/HSI!$B$3,""))</f>
        <v/>
      </c>
      <c r="DF63" s="106">
        <f>IF(AR63="","",IFERROR(AR63*HSI!$B$58*HSI!$G$58/HSI!$B$3,""))</f>
        <v/>
      </c>
      <c r="DG63" s="106">
        <f>IF(AS63="","",IFERROR(AS63*HSI!$B$58*HSI!$G$58/HSI!$B$3,""))</f>
        <v/>
      </c>
      <c r="DH63" s="106">
        <f>IF(AT63="","",IFERROR(AT63*HSI!$B$58*HSI!$G$58/HSI!$B$3,""))</f>
        <v/>
      </c>
      <c r="DI63" s="106">
        <f>IF(AU63="","",IFERROR(AU63*HSI!$B$58*HSI!$G$58/HSI!$B$3,""))</f>
        <v/>
      </c>
      <c r="DJ63" s="106">
        <f>IF(AV63="","",IFERROR(AV63*HSI!$B$58*HSI!$G$58/HSI!$B$3,""))</f>
        <v/>
      </c>
      <c r="DK63" s="106">
        <f>IF(AW63="","",IFERROR(AW63*HSI!$B$58*HSI!$G$58/HSI!$B$3,""))</f>
        <v/>
      </c>
      <c r="DL63" s="106">
        <f>IF(AX63="","",IFERROR(AX63*HSI!$B$58*HSI!$G$58/HSI!$B$3,""))</f>
        <v/>
      </c>
      <c r="DM63" s="106">
        <f>IF(AY63="","",IFERROR(AY63*HSI!$B$58*HSI!$G$58/HSI!$B$3,""))</f>
        <v/>
      </c>
      <c r="DN63" s="106">
        <f>IF(AZ63="","",IFERROR(AZ63*HSI!$B$58*HSI!$G$58/HSI!$B$3,""))</f>
        <v/>
      </c>
      <c r="DO63" s="106">
        <f>IF(BA63="","",IFERROR(BA63*HSI!$B$58*HSI!$G$58/HSI!$B$3,""))</f>
        <v/>
      </c>
      <c r="DP63" s="106">
        <f>IF(BB63="","",IFERROR(BB63*HSI!$B$58*HSI!$G$58/HSI!$B$3,""))</f>
        <v/>
      </c>
      <c r="DQ63" s="106">
        <f>IF(BC63="","",IFERROR(BC63*HSI!$B$58*HSI!$G$58/HSI!$B$3,""))</f>
        <v/>
      </c>
      <c r="DR63" s="106">
        <f>IF(BD63="","",IFERROR(BD63*HSI!$B$58*HSI!$G$58/HSI!$B$3,""))</f>
        <v/>
      </c>
      <c r="DS63" s="106">
        <f>IF(BE63="","",IFERROR(BE63*HSI!$B$58*HSI!$G$58/HSI!$B$3,""))</f>
        <v/>
      </c>
      <c r="DT63" s="106">
        <f>IF(BF63="","",IFERROR(BF63*HSI!$B$58*HSI!$G$58/HSI!$B$3,""))</f>
        <v/>
      </c>
      <c r="DU63" s="106">
        <f>IF(BG63="","",IFERROR(BG63*HSI!$B$58*HSI!$G$58/HSI!$B$3,""))</f>
        <v/>
      </c>
      <c r="DV63" s="106">
        <f>IF(BH63="","",IFERROR(BH63*HSI!$B$58*HSI!$G$58/HSI!$B$3,""))</f>
        <v/>
      </c>
      <c r="DW63" s="106">
        <f>IF(BI63="","",IFERROR(BI63*HSI!$B$58*HSI!$G$58/HSI!$B$3,""))</f>
        <v/>
      </c>
      <c r="DX63" s="106">
        <f>IF(BJ63="","",IFERROR(BJ63*HSI!$B$58*HSI!$G$58/HSI!$B$3,""))</f>
        <v/>
      </c>
      <c r="DY63" s="106">
        <f>IF(BK63="","",IFERROR(BK63*HSI!$B$58*HSI!$G$58/HSI!$B$3,""))</f>
        <v/>
      </c>
      <c r="DZ63" s="106">
        <f>IF(BL63="","",IFERROR(BL63*HSI!$B$58*HSI!$G$58/HSI!$B$3,""))</f>
        <v/>
      </c>
      <c r="EA63" s="106">
        <f>IF(BM63="","",IFERROR(BM63*HSI!$B$58*HSI!$G$58/HSI!$B$3,""))</f>
        <v/>
      </c>
      <c r="EB63" s="106">
        <f>IF(BN63="","",IFERROR(BN63*HSI!$B$58*HSI!$G$58/HSI!$B$3,""))</f>
        <v/>
      </c>
      <c r="EC63" s="106">
        <f>IF(BO63="","",IFERROR(BO63*HSI!$B$58*HSI!$G$58/HSI!$B$3,""))</f>
        <v/>
      </c>
      <c r="EE63" s="35">
        <f>IF(N('Dvd Calendar'!$E$572)=0,"",IF(('Dvd Calendar'!$E$572&gt;=GRID_FROM)*('Dvd Calendar'!$E$572&lt;=GRID_TO)*('Dvd Calendar'!$E$572&lt;=VAL_DATE)=0,"",'Dvd Calendar'!$E$572*1000000000+ISNUMBER('Dvd Calendar'!$E$575)*100000000+('Dvd Calendar'!$E$577=SPECIAL_LBL)*10000000+0*1000000+52*1000+1))</f>
        <v/>
      </c>
      <c r="EF63" s="35">
        <f>IF(N('Dvd Calendar'!$F$572)=0,"",IF(('Dvd Calendar'!$F$572&gt;=GRID_FROM)*('Dvd Calendar'!$F$572&lt;=GRID_TO)*('Dvd Calendar'!$F$572&lt;=VAL_DATE)=0,"",'Dvd Calendar'!$F$572*1000000000+ISNUMBER('Dvd Calendar'!$F$575)*100000000+('Dvd Calendar'!$F$577=SPECIAL_LBL)*10000000+0*1000000+52*1000+2))</f>
        <v/>
      </c>
      <c r="EG63" s="35">
        <f>IF(N('Dvd Calendar'!$G$572)=0,"",IF(('Dvd Calendar'!$G$572&gt;=GRID_FROM)*('Dvd Calendar'!$G$572&lt;=GRID_TO)*('Dvd Calendar'!$G$572&lt;=VAL_DATE)=0,"",'Dvd Calendar'!$G$572*1000000000+ISNUMBER('Dvd Calendar'!$G$575)*100000000+('Dvd Calendar'!$G$577=SPECIAL_LBL)*10000000+0*1000000+52*1000+3))</f>
        <v/>
      </c>
      <c r="EH63" s="35">
        <f>IF(N('Dvd Calendar'!$H$572)=0,"",IF(('Dvd Calendar'!$H$572&gt;=GRID_FROM)*('Dvd Calendar'!$H$572&lt;=GRID_TO)*('Dvd Calendar'!$H$572&lt;=VAL_DATE)=0,"",'Dvd Calendar'!$H$572*1000000000+ISNUMBER('Dvd Calendar'!$H$575)*100000000+('Dvd Calendar'!$H$577=SPECIAL_LBL)*10000000+0*1000000+52*1000+4))</f>
        <v/>
      </c>
      <c r="EI63" s="35">
        <f>IF(N('Dvd Calendar'!$I$572)=0,"",IF(('Dvd Calendar'!$I$572&gt;=GRID_FROM)*('Dvd Calendar'!$I$572&lt;=GRID_TO)*('Dvd Calendar'!$I$572&lt;=VAL_DATE)=0,"",'Dvd Calendar'!$I$572*1000000000+ISNUMBER('Dvd Calendar'!$I$575)*100000000+('Dvd Calendar'!$I$577=SPECIAL_LBL)*10000000+0*1000000+52*1000+5))</f>
        <v/>
      </c>
      <c r="EJ63" s="35">
        <f>IF(N('Dvd Calendar'!$J$572)=0,"",IF(('Dvd Calendar'!$J$572&gt;=GRID_FROM)*('Dvd Calendar'!$J$572&lt;=GRID_TO)*('Dvd Calendar'!$J$572&lt;=VAL_DATE)=0,"",'Dvd Calendar'!$J$572*1000000000+ISNUMBER('Dvd Calendar'!$J$575)*100000000+('Dvd Calendar'!$J$577=SPECIAL_LBL)*10000000+0*1000000+52*1000+6))</f>
        <v/>
      </c>
      <c r="EK63" s="35">
        <f>IF(N('Dvd Calendar'!$K$572)=0,"",IF(('Dvd Calendar'!$K$572&gt;=GRID_FROM)*('Dvd Calendar'!$K$572&lt;=GRID_TO)*('Dvd Calendar'!$K$572&lt;=VAL_DATE)=0,"",'Dvd Calendar'!$K$572*1000000000+ISNUMBER('Dvd Calendar'!$K$575)*100000000+('Dvd Calendar'!$K$577=SPECIAL_LBL)*10000000+0*1000000+52*1000+7))</f>
        <v/>
      </c>
      <c r="EL63" s="35">
        <f>IF(N('Dvd Calendar'!$L$572)=0,"",IF(('Dvd Calendar'!$L$572&gt;=GRID_FROM)*('Dvd Calendar'!$L$572&lt;=GRID_TO)*('Dvd Calendar'!$L$572&lt;=VAL_DATE)=0,"",'Dvd Calendar'!$L$572*1000000000+ISNUMBER('Dvd Calendar'!$L$575)*100000000+('Dvd Calendar'!$L$577=SPECIAL_LBL)*10000000+0*1000000+52*1000+8))</f>
        <v/>
      </c>
      <c r="EM63" s="35">
        <f>IF(N('Dvd Calendar'!$M$572)=0,"",IF(('Dvd Calendar'!$M$572&gt;=GRID_FROM)*('Dvd Calendar'!$M$572&lt;=GRID_TO)*('Dvd Calendar'!$M$572&lt;=VAL_DATE)=0,"",'Dvd Calendar'!$M$572*1000000000+ISNUMBER('Dvd Calendar'!$M$575)*100000000+('Dvd Calendar'!$M$577=SPECIAL_LBL)*10000000+0*1000000+52*1000+9))</f>
        <v/>
      </c>
      <c r="EN63" s="35">
        <f>IF(N('Dvd Calendar'!$N$572)=0,"",IF(('Dvd Calendar'!$N$572&gt;=GRID_FROM)*('Dvd Calendar'!$N$572&lt;=GRID_TO)*('Dvd Calendar'!$N$572&lt;=VAL_DATE)=0,"",'Dvd Calendar'!$N$572*1000000000+ISNUMBER('Dvd Calendar'!$N$575)*100000000+('Dvd Calendar'!$N$577=SPECIAL_LBL)*10000000+0*1000000+52*1000+10))</f>
        <v/>
      </c>
      <c r="EO63" s="35">
        <f>IF(N('Dvd Calendar'!$O$572)=0,"",IF(('Dvd Calendar'!$O$572&gt;=GRID_FROM)*('Dvd Calendar'!$O$572&lt;=GRID_TO)*('Dvd Calendar'!$O$572&lt;=VAL_DATE)=0,"",'Dvd Calendar'!$O$572*1000000000+ISNUMBER('Dvd Calendar'!$O$575)*100000000+('Dvd Calendar'!$O$577=SPECIAL_LBL)*10000000+0*1000000+52*1000+11))</f>
        <v/>
      </c>
      <c r="EP63" s="35">
        <f>IF(N('Dvd Calendar'!$P$572)=0,"",IF(('Dvd Calendar'!$P$572&gt;=GRID_FROM)*('Dvd Calendar'!$P$572&lt;=GRID_TO)*('Dvd Calendar'!$P$572&lt;=VAL_DATE)=0,"",'Dvd Calendar'!$P$572*1000000000+ISNUMBER('Dvd Calendar'!$P$575)*100000000+('Dvd Calendar'!$P$577=SPECIAL_LBL)*10000000+0*1000000+52*1000+12))</f>
        <v/>
      </c>
      <c r="EQ63" s="35">
        <f>IF(N('Dvd Calendar'!$Q$572)=0,"",IF(('Dvd Calendar'!$Q$572&gt;=GRID_FROM)*('Dvd Calendar'!$Q$572&lt;=GRID_TO)*('Dvd Calendar'!$Q$572&lt;=VAL_DATE)=0,"",'Dvd Calendar'!$Q$572*1000000000+ISNUMBER('Dvd Calendar'!$Q$575)*100000000+('Dvd Calendar'!$Q$577=SPECIAL_LBL)*10000000+0*1000000+52*1000+13))</f>
        <v/>
      </c>
      <c r="ER63" s="35">
        <f>IF(N('Dvd Calendar'!$R$572)=0,"",IF(('Dvd Calendar'!$R$572&gt;=GRID_FROM)*('Dvd Calendar'!$R$572&lt;=GRID_TO)*('Dvd Calendar'!$R$572&lt;=VAL_DATE)=0,"",'Dvd Calendar'!$R$572*1000000000+ISNUMBER('Dvd Calendar'!$R$575)*100000000+('Dvd Calendar'!$R$577=SPECIAL_LBL)*10000000+0*1000000+52*1000+14))</f>
        <v/>
      </c>
      <c r="ES63" s="35">
        <f>IF(N('Dvd Calendar'!$S$572)=0,"",IF(('Dvd Calendar'!$S$572&gt;=GRID_FROM)*('Dvd Calendar'!$S$572&lt;=GRID_TO)*('Dvd Calendar'!$S$572&lt;=VAL_DATE)=0,"",'Dvd Calendar'!$S$572*1000000000+ISNUMBER('Dvd Calendar'!$S$575)*100000000+('Dvd Calendar'!$S$577=SPECIAL_LBL)*10000000+0*1000000+52*1000+15))</f>
        <v/>
      </c>
      <c r="ET63" s="35">
        <f>IF(N('Dvd Calendar'!$T$572)=0,"",IF(('Dvd Calendar'!$T$572&gt;=GRID_FROM)*('Dvd Calendar'!$T$572&lt;=GRID_TO)*('Dvd Calendar'!$T$572&lt;=VAL_DATE)=0,"",'Dvd Calendar'!$T$572*1000000000+ISNUMBER('Dvd Calendar'!$T$575)*100000000+('Dvd Calendar'!$T$577=SPECIAL_LBL)*10000000+0*1000000+52*1000+16))</f>
        <v/>
      </c>
      <c r="EU63" s="35">
        <f>IF(N('Dvd Calendar'!$U$572)=0,"",IF(('Dvd Calendar'!$U$572&gt;=GRID_FROM)*('Dvd Calendar'!$U$572&lt;=GRID_TO)*('Dvd Calendar'!$U$572&lt;=VAL_DATE)=0,"",'Dvd Calendar'!$U$572*1000000000+ISNUMBER('Dvd Calendar'!$U$575)*100000000+('Dvd Calendar'!$U$577=SPECIAL_LBL)*10000000+0*1000000+52*1000+17))</f>
        <v/>
      </c>
      <c r="EV63" s="35">
        <f>IF(N('Dvd Calendar'!$V$572)=0,"",IF(('Dvd Calendar'!$V$572&gt;=GRID_FROM)*('Dvd Calendar'!$V$572&lt;=GRID_TO)*('Dvd Calendar'!$V$572&lt;=VAL_DATE)=0,"",'Dvd Calendar'!$V$572*1000000000+ISNUMBER('Dvd Calendar'!$V$575)*100000000+('Dvd Calendar'!$V$577=SPECIAL_LBL)*10000000+0*1000000+52*1000+18))</f>
        <v/>
      </c>
      <c r="EW63" s="35">
        <f>IF(N('Dvd Calendar'!$W$572)=0,"",IF(('Dvd Calendar'!$W$572&gt;=GRID_FROM)*('Dvd Calendar'!$W$572&lt;=GRID_TO)*('Dvd Calendar'!$W$572&lt;=VAL_DATE)=0,"",'Dvd Calendar'!$W$572*1000000000+ISNUMBER('Dvd Calendar'!$W$575)*100000000+('Dvd Calendar'!$W$577=SPECIAL_LBL)*10000000+0*1000000+52*1000+19))</f>
        <v/>
      </c>
      <c r="EX63" s="35">
        <f>IF(N('Dvd Calendar'!$X$572)=0,"",IF(('Dvd Calendar'!$X$572&gt;=GRID_FROM)*('Dvd Calendar'!$X$572&lt;=GRID_TO)*('Dvd Calendar'!$X$572&lt;=VAL_DATE)=0,"",'Dvd Calendar'!$X$572*1000000000+ISNUMBER('Dvd Calendar'!$X$575)*100000000+('Dvd Calendar'!$X$577=SPECIAL_LBL)*10000000+0*1000000+52*1000+20))</f>
        <v/>
      </c>
      <c r="EY63" s="35">
        <f>IF(N('Dvd Calendar'!$Y$572)=0,"",IF(('Dvd Calendar'!$Y$572&gt;=GRID_FROM)*('Dvd Calendar'!$Y$572&lt;=GRID_TO)*('Dvd Calendar'!$Y$572&lt;=VAL_DATE)=0,"",'Dvd Calendar'!$Y$572*1000000000+ISNUMBER('Dvd Calendar'!$Y$575)*100000000+('Dvd Calendar'!$Y$577=SPECIAL_LBL)*10000000+0*1000000+52*1000+21))</f>
        <v/>
      </c>
      <c r="EZ63" s="35">
        <f>IF(N('Dvd Calendar'!$Z$572)=0,"",IF(('Dvd Calendar'!$Z$572&gt;=GRID_FROM)*('Dvd Calendar'!$Z$572&lt;=GRID_TO)*('Dvd Calendar'!$Z$572&lt;=VAL_DATE)=0,"",'Dvd Calendar'!$Z$572*1000000000+ISNUMBER('Dvd Calendar'!$Z$575)*100000000+('Dvd Calendar'!$Z$577=SPECIAL_LBL)*10000000+0*1000000+52*1000+22))</f>
        <v/>
      </c>
      <c r="FA63" s="35">
        <f>IF(N('Dvd Calendar'!$AA$572)=0,"",IF(('Dvd Calendar'!$AA$572&gt;=GRID_FROM)*('Dvd Calendar'!$AA$572&lt;=GRID_TO)*('Dvd Calendar'!$AA$572&lt;=VAL_DATE)=0,"",'Dvd Calendar'!$AA$572*1000000000+ISNUMBER('Dvd Calendar'!$AA$575)*100000000+('Dvd Calendar'!$AA$577=SPECIAL_LBL)*10000000+0*1000000+52*1000+23))</f>
        <v/>
      </c>
      <c r="FB63" s="35">
        <f>IF(N('Dvd Calendar'!$AB$572)=0,"",IF(('Dvd Calendar'!$AB$572&gt;=GRID_FROM)*('Dvd Calendar'!$AB$572&lt;=GRID_TO)*('Dvd Calendar'!$AB$572&lt;=VAL_DATE)=0,"",'Dvd Calendar'!$AB$572*1000000000+ISNUMBER('Dvd Calendar'!$AB$575)*100000000+('Dvd Calendar'!$AB$577=SPECIAL_LBL)*10000000+0*1000000+52*1000+24))</f>
        <v/>
      </c>
      <c r="FC63" s="35">
        <f>IF(N('Dvd Calendar'!$AC$572)=0,"",IF(('Dvd Calendar'!$AC$572&gt;=GRID_FROM)*('Dvd Calendar'!$AC$572&lt;=GRID_TO)*('Dvd Calendar'!$AC$572&lt;=VAL_DATE)=0,"",'Dvd Calendar'!$AC$572*1000000000+ISNUMBER('Dvd Calendar'!$AC$575)*100000000+('Dvd Calendar'!$AC$577=SPECIAL_LBL)*10000000+0*1000000+52*1000+25))</f>
        <v/>
      </c>
      <c r="FD63" s="35">
        <f>IF(N('Dvd Calendar'!$AD$572)=0,"",IF(('Dvd Calendar'!$AD$572&gt;=GRID_FROM)*('Dvd Calendar'!$AD$572&lt;=GRID_TO)*('Dvd Calendar'!$AD$572&lt;=VAL_DATE)=0,"",'Dvd Calendar'!$AD$572*1000000000+ISNUMBER('Dvd Calendar'!$AD$575)*100000000+('Dvd Calendar'!$AD$577=SPECIAL_LBL)*10000000+0*1000000+52*1000+26))</f>
        <v/>
      </c>
      <c r="FE63" s="35">
        <f>IF(N('Dvd Calendar'!$AE$572)=0,"",IF(('Dvd Calendar'!$AE$572&gt;=GRID_FROM)*('Dvd Calendar'!$AE$572&lt;=GRID_TO)*('Dvd Calendar'!$AE$572&lt;=VAL_DATE)=0,"",'Dvd Calendar'!$AE$572*1000000000+ISNUMBER('Dvd Calendar'!$AE$575)*100000000+('Dvd Calendar'!$AE$577=SPECIAL_LBL)*10000000+0*1000000+52*1000+27))</f>
        <v/>
      </c>
      <c r="FF63" s="35">
        <f>IF(N('Dvd Calendar'!$AF$572)=0,"",IF(('Dvd Calendar'!$AF$572&gt;=GRID_FROM)*('Dvd Calendar'!$AF$572&lt;=GRID_TO)*('Dvd Calendar'!$AF$572&lt;=VAL_DATE)=0,"",'Dvd Calendar'!$AF$572*1000000000+ISNUMBER('Dvd Calendar'!$AF$575)*100000000+('Dvd Calendar'!$AF$577=SPECIAL_LBL)*10000000+0*1000000+52*1000+28))</f>
        <v/>
      </c>
      <c r="FG63" s="35">
        <f>IF(N('Dvd Calendar'!$AG$572)=0,"",IF(('Dvd Calendar'!$AG$572&gt;=GRID_FROM)*('Dvd Calendar'!$AG$572&lt;=GRID_TO)*('Dvd Calendar'!$AG$572&lt;=VAL_DATE)=0,"",'Dvd Calendar'!$AG$572*1000000000+ISNUMBER('Dvd Calendar'!$AG$575)*100000000+('Dvd Calendar'!$AG$577=SPECIAL_LBL)*10000000+0*1000000+52*1000+29))</f>
        <v/>
      </c>
      <c r="FH63" s="35">
        <f>IF(N('Dvd Calendar'!$AH$572)=0,"",IF(('Dvd Calendar'!$AH$572&gt;=GRID_FROM)*('Dvd Calendar'!$AH$572&lt;=GRID_TO)*('Dvd Calendar'!$AH$572&lt;=VAL_DATE)=0,"",'Dvd Calendar'!$AH$572*1000000000+ISNUMBER('Dvd Calendar'!$AH$575)*100000000+('Dvd Calendar'!$AH$577=SPECIAL_LBL)*10000000+0*1000000+52*1000+30))</f>
        <v/>
      </c>
      <c r="FI63" s="35">
        <f>IF(N('Dvd Calendar'!$AI$572)=0,"",IF(('Dvd Calendar'!$AI$572&gt;=GRID_FROM)*('Dvd Calendar'!$AI$572&lt;=GRID_TO)*('Dvd Calendar'!$AI$572&lt;=VAL_DATE)=0,"",'Dvd Calendar'!$AI$572*1000000000+ISNUMBER('Dvd Calendar'!$AI$575)*100000000+('Dvd Calendar'!$AI$577=SPECIAL_LBL)*10000000+0*1000000+52*1000+31))</f>
        <v/>
      </c>
      <c r="FJ63" s="35">
        <f>IF(N('Dvd Calendar'!$AJ$572)=0,"",IF(('Dvd Calendar'!$AJ$572&gt;=GRID_FROM)*('Dvd Calendar'!$AJ$572&lt;=GRID_TO)*('Dvd Calendar'!$AJ$572&lt;=VAL_DATE)=0,"",'Dvd Calendar'!$AJ$572*1000000000+ISNUMBER('Dvd Calendar'!$AJ$575)*100000000+('Dvd Calendar'!$AJ$577=SPECIAL_LBL)*10000000+0*1000000+52*1000+32))</f>
        <v/>
      </c>
      <c r="FK63" s="35">
        <f>IF(N('Dvd Calendar'!$AK$572)=0,"",IF(('Dvd Calendar'!$AK$572&gt;=GRID_FROM)*('Dvd Calendar'!$AK$572&lt;=GRID_TO)*('Dvd Calendar'!$AK$572&lt;=VAL_DATE)=0,"",'Dvd Calendar'!$AK$572*1000000000+ISNUMBER('Dvd Calendar'!$AK$575)*100000000+('Dvd Calendar'!$AK$577=SPECIAL_LBL)*10000000+0*1000000+52*1000+33))</f>
        <v/>
      </c>
      <c r="FL63" s="35">
        <f>IF(N('Dvd Calendar'!$AL$572)=0,"",IF(('Dvd Calendar'!$AL$572&gt;=GRID_FROM)*('Dvd Calendar'!$AL$572&lt;=GRID_TO)*('Dvd Calendar'!$AL$572&lt;=VAL_DATE)=0,"",'Dvd Calendar'!$AL$572*1000000000+ISNUMBER('Dvd Calendar'!$AL$575)*100000000+('Dvd Calendar'!$AL$577=SPECIAL_LBL)*10000000+0*1000000+52*1000+34))</f>
        <v/>
      </c>
      <c r="FM63" s="35">
        <f>IF(N('Dvd Calendar'!$AM$572)=0,"",IF(('Dvd Calendar'!$AM$572&gt;=GRID_FROM)*('Dvd Calendar'!$AM$572&lt;=GRID_TO)*('Dvd Calendar'!$AM$572&lt;=VAL_DATE)=0,"",'Dvd Calendar'!$AM$572*1000000000+ISNUMBER('Dvd Calendar'!$AM$575)*100000000+('Dvd Calendar'!$AM$577=SPECIAL_LBL)*10000000+0*1000000+52*1000+35))</f>
        <v/>
      </c>
      <c r="FN63" s="35">
        <f>IF(N('Dvd Calendar'!$AN$572)=0,"",IF(('Dvd Calendar'!$AN$572&gt;=GRID_FROM)*('Dvd Calendar'!$AN$572&lt;=GRID_TO)*('Dvd Calendar'!$AN$572&lt;=VAL_DATE)=0,"",'Dvd Calendar'!$AN$572*1000000000+ISNUMBER('Dvd Calendar'!$AN$575)*100000000+('Dvd Calendar'!$AN$577=SPECIAL_LBL)*10000000+0*1000000+52*1000+36))</f>
        <v/>
      </c>
      <c r="FO63" s="35">
        <f>IF(N('Dvd Calendar'!$AO$572)=0,"",IF(('Dvd Calendar'!$AO$572&gt;=GRID_FROM)*('Dvd Calendar'!$AO$572&lt;=GRID_TO)*('Dvd Calendar'!$AO$572&lt;=VAL_DATE)=0,"",'Dvd Calendar'!$AO$572*1000000000+ISNUMBER('Dvd Calendar'!$AO$575)*100000000+('Dvd Calendar'!$AO$577=SPECIAL_LBL)*10000000+0*1000000+52*1000+37))</f>
        <v/>
      </c>
      <c r="FP63" s="35">
        <f>IF(N('Dvd Calendar'!$AP$572)=0,"",IF(('Dvd Calendar'!$AP$572&gt;=GRID_FROM)*('Dvd Calendar'!$AP$572&lt;=GRID_TO)*('Dvd Calendar'!$AP$572&lt;=VAL_DATE)=0,"",'Dvd Calendar'!$AP$572*1000000000+ISNUMBER('Dvd Calendar'!$AP$575)*100000000+('Dvd Calendar'!$AP$577=SPECIAL_LBL)*10000000+0*1000000+52*1000+38))</f>
        <v/>
      </c>
      <c r="FQ63" s="35">
        <f>IF(N('Dvd Calendar'!$AQ$572)=0,"",IF(('Dvd Calendar'!$AQ$572&gt;=GRID_FROM)*('Dvd Calendar'!$AQ$572&lt;=GRID_TO)*('Dvd Calendar'!$AQ$572&lt;=VAL_DATE)=0,"",'Dvd Calendar'!$AQ$572*1000000000+ISNUMBER('Dvd Calendar'!$AQ$575)*100000000+('Dvd Calendar'!$AQ$577=SPECIAL_LBL)*10000000+0*1000000+52*1000+39))</f>
        <v/>
      </c>
      <c r="FR63" s="35">
        <f>IF(N('Dvd Calendar'!$AR$572)=0,"",IF(('Dvd Calendar'!$AR$572&gt;=GRID_FROM)*('Dvd Calendar'!$AR$572&lt;=GRID_TO)*('Dvd Calendar'!$AR$572&lt;=VAL_DATE)=0,"",'Dvd Calendar'!$AR$572*1000000000+ISNUMBER('Dvd Calendar'!$AR$575)*100000000+('Dvd Calendar'!$AR$577=SPECIAL_LBL)*10000000+0*1000000+52*1000+40))</f>
        <v/>
      </c>
      <c r="FS63" s="35">
        <f>IF(N('Dvd Calendar'!$E$579)=0,"",IF(('Dvd Calendar'!$E$579&gt;=GRID_FROM)*('Dvd Calendar'!$E$579&lt;=GRID_TO)*('Dvd Calendar'!$E$579&gt;VAL_DATE)=0,"",'Dvd Calendar'!$E$579*1000000000+ISNUMBER('Dvd Calendar'!$E$580)*100000000+0*10000000+(N('Dvd Calendar'!$E$578)&gt;0)*(N('Dvd Calendar'!$E$578)&lt;=VAL_SERIAL)*1000000+52*1000+41))</f>
        <v/>
      </c>
      <c r="FT63" s="35">
        <f>IF(N('Dvd Calendar'!$F$579)=0,"",IF(('Dvd Calendar'!$F$579&gt;=GRID_FROM)*('Dvd Calendar'!$F$579&lt;=GRID_TO)*('Dvd Calendar'!$F$579&gt;VAL_DATE)=0,"",'Dvd Calendar'!$F$579*1000000000+ISNUMBER('Dvd Calendar'!$F$580)*100000000+0*10000000+(N('Dvd Calendar'!$F$578)&gt;0)*(N('Dvd Calendar'!$F$578)&lt;=VAL_SERIAL)*1000000+52*1000+42))</f>
        <v/>
      </c>
      <c r="FU63" s="35">
        <f>IF(N('Dvd Calendar'!$G$579)=0,"",IF(('Dvd Calendar'!$G$579&gt;=GRID_FROM)*('Dvd Calendar'!$G$579&lt;=GRID_TO)*('Dvd Calendar'!$G$579&gt;VAL_DATE)=0,"",'Dvd Calendar'!$G$579*1000000000+ISNUMBER('Dvd Calendar'!$G$580)*100000000+0*10000000+(N('Dvd Calendar'!$G$578)&gt;0)*(N('Dvd Calendar'!$G$578)&lt;=VAL_SERIAL)*1000000+52*1000+43))</f>
        <v/>
      </c>
      <c r="FV63" s="35">
        <f>IF(N('Dvd Calendar'!$H$579)=0,"",IF(('Dvd Calendar'!$H$579&gt;=GRID_FROM)*('Dvd Calendar'!$H$579&lt;=GRID_TO)*('Dvd Calendar'!$H$579&gt;VAL_DATE)=0,"",'Dvd Calendar'!$H$579*1000000000+ISNUMBER('Dvd Calendar'!$H$580)*100000000+0*10000000+(N('Dvd Calendar'!$H$578)&gt;0)*(N('Dvd Calendar'!$H$578)&lt;=VAL_SERIAL)*1000000+52*1000+44))</f>
        <v/>
      </c>
      <c r="FW63" s="35">
        <f>IF(N('Dvd Calendar'!$I$579)=0,"",IF(('Dvd Calendar'!$I$579&gt;=GRID_FROM)*('Dvd Calendar'!$I$579&lt;=GRID_TO)*('Dvd Calendar'!$I$579&gt;VAL_DATE)=0,"",'Dvd Calendar'!$I$579*1000000000+ISNUMBER('Dvd Calendar'!$I$580)*100000000+0*10000000+(N('Dvd Calendar'!$I$578)&gt;0)*(N('Dvd Calendar'!$I$578)&lt;=VAL_SERIAL)*1000000+52*1000+45))</f>
        <v/>
      </c>
      <c r="FX63" s="35">
        <f>IF(N('Dvd Calendar'!$J$579)=0,"",IF(('Dvd Calendar'!$J$579&gt;=GRID_FROM)*('Dvd Calendar'!$J$579&lt;=GRID_TO)*('Dvd Calendar'!$J$579&gt;VAL_DATE)=0,"",'Dvd Calendar'!$J$579*1000000000+ISNUMBER('Dvd Calendar'!$J$580)*100000000+0*10000000+(N('Dvd Calendar'!$J$578)&gt;0)*(N('Dvd Calendar'!$J$578)&lt;=VAL_SERIAL)*1000000+52*1000+46))</f>
        <v/>
      </c>
      <c r="FY63" s="35">
        <f>IF(N('Dvd Calendar'!$K$579)=0,"",IF(('Dvd Calendar'!$K$579&gt;=GRID_FROM)*('Dvd Calendar'!$K$579&lt;=GRID_TO)*('Dvd Calendar'!$K$579&gt;VAL_DATE)=0,"",'Dvd Calendar'!$K$579*1000000000+ISNUMBER('Dvd Calendar'!$K$580)*100000000+0*10000000+(N('Dvd Calendar'!$K$578)&gt;0)*(N('Dvd Calendar'!$K$578)&lt;=VAL_SERIAL)*1000000+52*1000+47))</f>
        <v/>
      </c>
      <c r="FZ63" s="35">
        <f>IF(N('Dvd Calendar'!$L$579)=0,"",IF(('Dvd Calendar'!$L$579&gt;=GRID_FROM)*('Dvd Calendar'!$L$579&lt;=GRID_TO)*('Dvd Calendar'!$L$579&gt;VAL_DATE)=0,"",'Dvd Calendar'!$L$579*1000000000+ISNUMBER('Dvd Calendar'!$L$580)*100000000+0*10000000+(N('Dvd Calendar'!$L$578)&gt;0)*(N('Dvd Calendar'!$L$578)&lt;=VAL_SERIAL)*1000000+52*1000+48))</f>
        <v/>
      </c>
      <c r="GA63" s="35">
        <f>IF(N('Dvd Calendar'!$M$579)=0,"",IF(('Dvd Calendar'!$M$579&gt;=GRID_FROM)*('Dvd Calendar'!$M$579&lt;=GRID_TO)*('Dvd Calendar'!$M$579&gt;VAL_DATE)=0,"",'Dvd Calendar'!$M$579*1000000000+ISNUMBER('Dvd Calendar'!$M$580)*100000000+0*10000000+(N('Dvd Calendar'!$M$578)&gt;0)*(N('Dvd Calendar'!$M$578)&lt;=VAL_SERIAL)*1000000+52*1000+49))</f>
        <v/>
      </c>
      <c r="GB63" s="35">
        <f>IF(N('Dvd Calendar'!$N$579)=0,"",IF(('Dvd Calendar'!$N$579&gt;=GRID_FROM)*('Dvd Calendar'!$N$579&lt;=GRID_TO)*('Dvd Calendar'!$N$579&gt;VAL_DATE)=0,"",'Dvd Calendar'!$N$579*1000000000+ISNUMBER('Dvd Calendar'!$N$580)*100000000+0*10000000+(N('Dvd Calendar'!$N$578)&gt;0)*(N('Dvd Calendar'!$N$578)&lt;=VAL_SERIAL)*1000000+52*1000+50))</f>
        <v/>
      </c>
      <c r="GC63" s="35">
        <f>IF(N('Dvd Calendar'!$O$579)=0,"",IF(('Dvd Calendar'!$O$579&gt;=GRID_FROM)*('Dvd Calendar'!$O$579&lt;=GRID_TO)*('Dvd Calendar'!$O$579&gt;VAL_DATE)=0,"",'Dvd Calendar'!$O$579*1000000000+ISNUMBER('Dvd Calendar'!$O$580)*100000000+0*10000000+(N('Dvd Calendar'!$O$578)&gt;0)*(N('Dvd Calendar'!$O$578)&lt;=VAL_SERIAL)*1000000+52*1000+51))</f>
        <v/>
      </c>
      <c r="GD63" s="35">
        <f>IF(N('Dvd Calendar'!$P$579)=0,"",IF(('Dvd Calendar'!$P$579&gt;=GRID_FROM)*('Dvd Calendar'!$P$579&lt;=GRID_TO)*('Dvd Calendar'!$P$579&gt;VAL_DATE)=0,"",'Dvd Calendar'!$P$579*1000000000+ISNUMBER('Dvd Calendar'!$P$580)*100000000+0*10000000+(N('Dvd Calendar'!$P$578)&gt;0)*(N('Dvd Calendar'!$P$578)&lt;=VAL_SERIAL)*1000000+52*1000+52))</f>
        <v/>
      </c>
      <c r="GE63" s="35">
        <f>IF(N('Dvd Calendar'!$Q$579)=0,"",IF(('Dvd Calendar'!$Q$579&gt;=GRID_FROM)*('Dvd Calendar'!$Q$579&lt;=GRID_TO)*('Dvd Calendar'!$Q$579&gt;VAL_DATE)=0,"",'Dvd Calendar'!$Q$579*1000000000+ISNUMBER('Dvd Calendar'!$Q$580)*100000000+0*10000000+(N('Dvd Calendar'!$Q$578)&gt;0)*(N('Dvd Calendar'!$Q$578)&lt;=VAL_SERIAL)*1000000+52*1000+53))</f>
        <v/>
      </c>
      <c r="GF63" s="35">
        <f>IF(N('Dvd Calendar'!$R$579)=0,"",IF(('Dvd Calendar'!$R$579&gt;=GRID_FROM)*('Dvd Calendar'!$R$579&lt;=GRID_TO)*('Dvd Calendar'!$R$579&gt;VAL_DATE)=0,"",'Dvd Calendar'!$R$579*1000000000+ISNUMBER('Dvd Calendar'!$R$580)*100000000+0*10000000+(N('Dvd Calendar'!$R$578)&gt;0)*(N('Dvd Calendar'!$R$578)&lt;=VAL_SERIAL)*1000000+52*1000+54))</f>
        <v/>
      </c>
      <c r="GG63" s="35">
        <f>IF(N('Dvd Calendar'!$S$579)=0,"",IF(('Dvd Calendar'!$S$579&gt;=GRID_FROM)*('Dvd Calendar'!$S$579&lt;=GRID_TO)*('Dvd Calendar'!$S$579&gt;VAL_DATE)=0,"",'Dvd Calendar'!$S$579*1000000000+ISNUMBER('Dvd Calendar'!$S$580)*100000000+0*10000000+(N('Dvd Calendar'!$S$578)&gt;0)*(N('Dvd Calendar'!$S$578)&lt;=VAL_SERIAL)*1000000+52*1000+55))</f>
        <v/>
      </c>
      <c r="GH63" s="35">
        <f>IF(N('Dvd Calendar'!$T$579)=0,"",IF(('Dvd Calendar'!$T$579&gt;=GRID_FROM)*('Dvd Calendar'!$T$579&lt;=GRID_TO)*('Dvd Calendar'!$T$579&gt;VAL_DATE)=0,"",'Dvd Calendar'!$T$579*1000000000+ISNUMBER('Dvd Calendar'!$T$580)*100000000+0*10000000+(N('Dvd Calendar'!$T$578)&gt;0)*(N('Dvd Calendar'!$T$578)&lt;=VAL_SERIAL)*1000000+52*1000+56))</f>
        <v/>
      </c>
      <c r="GI63" s="35">
        <f>IF(N('Dvd Calendar'!$U$579)=0,"",IF(('Dvd Calendar'!$U$579&gt;=GRID_FROM)*('Dvd Calendar'!$U$579&lt;=GRID_TO)*('Dvd Calendar'!$U$579&gt;VAL_DATE)=0,"",'Dvd Calendar'!$U$579*1000000000+ISNUMBER('Dvd Calendar'!$U$580)*100000000+0*10000000+(N('Dvd Calendar'!$U$578)&gt;0)*(N('Dvd Calendar'!$U$578)&lt;=VAL_SERIAL)*1000000+52*1000+57))</f>
        <v/>
      </c>
      <c r="GJ63" s="35">
        <f>IF(N('Dvd Calendar'!$V$579)=0,"",IF(('Dvd Calendar'!$V$579&gt;=GRID_FROM)*('Dvd Calendar'!$V$579&lt;=GRID_TO)*('Dvd Calendar'!$V$579&gt;VAL_DATE)=0,"",'Dvd Calendar'!$V$579*1000000000+ISNUMBER('Dvd Calendar'!$V$580)*100000000+0*10000000+(N('Dvd Calendar'!$V$578)&gt;0)*(N('Dvd Calendar'!$V$578)&lt;=VAL_SERIAL)*1000000+52*1000+58))</f>
        <v/>
      </c>
      <c r="GK63" s="35">
        <f>IF(N('Dvd Calendar'!$W$579)=0,"",IF(('Dvd Calendar'!$W$579&gt;=GRID_FROM)*('Dvd Calendar'!$W$579&lt;=GRID_TO)*('Dvd Calendar'!$W$579&gt;VAL_DATE)=0,"",'Dvd Calendar'!$W$579*1000000000+ISNUMBER('Dvd Calendar'!$W$580)*100000000+0*10000000+(N('Dvd Calendar'!$W$578)&gt;0)*(N('Dvd Calendar'!$W$578)&lt;=VAL_SERIAL)*1000000+52*1000+59))</f>
        <v/>
      </c>
      <c r="GL63" s="35">
        <f>IF(N('Dvd Calendar'!$X$579)=0,"",IF(('Dvd Calendar'!$X$579&gt;=GRID_FROM)*('Dvd Calendar'!$X$579&lt;=GRID_TO)*('Dvd Calendar'!$X$579&gt;VAL_DATE)=0,"",'Dvd Calendar'!$X$579*1000000000+ISNUMBER('Dvd Calendar'!$X$580)*100000000+0*10000000+(N('Dvd Calendar'!$X$578)&gt;0)*(N('Dvd Calendar'!$X$578)&lt;=VAL_SERIAL)*1000000+52*1000+60))</f>
        <v/>
      </c>
      <c r="GM63" s="35">
        <f>IF(N('Dvd Calendar'!$Y$579)=0,"",IF(('Dvd Calendar'!$Y$579&gt;=GRID_FROM)*('Dvd Calendar'!$Y$579&lt;=GRID_TO)*('Dvd Calendar'!$Y$579&gt;VAL_DATE)=0,"",'Dvd Calendar'!$Y$579*1000000000+ISNUMBER('Dvd Calendar'!$Y$580)*100000000+0*10000000+(N('Dvd Calendar'!$Y$578)&gt;0)*(N('Dvd Calendar'!$Y$578)&lt;=VAL_SERIAL)*1000000+52*1000+61))</f>
        <v/>
      </c>
      <c r="GN63" s="35">
        <f>IF(N('Dvd Calendar'!$Z$579)=0,"",IF(('Dvd Calendar'!$Z$579&gt;=GRID_FROM)*('Dvd Calendar'!$Z$579&lt;=GRID_TO)*('Dvd Calendar'!$Z$579&gt;VAL_DATE)=0,"",'Dvd Calendar'!$Z$579*1000000000+ISNUMBER('Dvd Calendar'!$Z$580)*100000000+0*10000000+(N('Dvd Calendar'!$Z$578)&gt;0)*(N('Dvd Calendar'!$Z$578)&lt;=VAL_SERIAL)*1000000+52*1000+62))</f>
        <v/>
      </c>
      <c r="GO63" s="35">
        <f>IF(N('Dvd Calendar'!$AA$579)=0,"",IF(('Dvd Calendar'!$AA$579&gt;=GRID_FROM)*('Dvd Calendar'!$AA$579&lt;=GRID_TO)*('Dvd Calendar'!$AA$579&gt;VAL_DATE)=0,"",'Dvd Calendar'!$AA$579*1000000000+ISNUMBER('Dvd Calendar'!$AA$580)*100000000+0*10000000+(N('Dvd Calendar'!$AA$578)&gt;0)*(N('Dvd Calendar'!$AA$578)&lt;=VAL_SERIAL)*1000000+52*1000+63))</f>
        <v/>
      </c>
      <c r="GP63" s="35">
        <f>IF(N('Dvd Calendar'!$AB$579)=0,"",IF(('Dvd Calendar'!$AB$579&gt;=GRID_FROM)*('Dvd Calendar'!$AB$579&lt;=GRID_TO)*('Dvd Calendar'!$AB$579&gt;VAL_DATE)=0,"",'Dvd Calendar'!$AB$579*1000000000+ISNUMBER('Dvd Calendar'!$AB$580)*100000000+0*10000000+(N('Dvd Calendar'!$AB$578)&gt;0)*(N('Dvd Calendar'!$AB$578)&lt;=VAL_SERIAL)*1000000+52*1000+64))</f>
        <v/>
      </c>
      <c r="GQ63" s="35">
        <f>IF(N('Dvd Calendar'!$AC$579)=0,"",IF(('Dvd Calendar'!$AC$579&gt;=GRID_FROM)*('Dvd Calendar'!$AC$579&lt;=GRID_TO)*('Dvd Calendar'!$AC$579&gt;VAL_DATE)=0,"",'Dvd Calendar'!$AC$579*1000000000+ISNUMBER('Dvd Calendar'!$AC$580)*100000000+0*10000000+(N('Dvd Calendar'!$AC$578)&gt;0)*(N('Dvd Calendar'!$AC$578)&lt;=VAL_SERIAL)*1000000+52*1000+65))</f>
        <v/>
      </c>
    </row>
    <row r="64">
      <c r="B64" s="2">
        <f>IF(HSI!$C$59="","",HSI!$C$59)</f>
        <v/>
      </c>
      <c r="C64" s="106">
        <f>IF(EE64="","",IF(ISNUMBER('Dvd Calendar'!$E$586)=FALSE,"",IF((('Dvd Calendar'!$E$588=TYPE1)*(TYPE1&lt;&gt;"")+('Dvd Calendar'!$E$588=TYPE2)*(TYPE2&lt;&gt;"")+('Dvd Calendar'!$E$588=TYPE3)*(TYPE3&lt;&gt;"")+('Dvd Calendar'!$E$588=TYPE4)*(TYPE4&lt;&gt;"")+('Dvd Calendar'!$E$588=SPECIAL_LBL)*(INC_SPECIALS="Y"))=0,"",'Dvd Calendar'!$E$586)))</f>
        <v/>
      </c>
      <c r="D64" s="106">
        <f>IF(EF64="","",IF(ISNUMBER('Dvd Calendar'!$F$586)=FALSE,"",IF((('Dvd Calendar'!$F$588=TYPE1)*(TYPE1&lt;&gt;"")+('Dvd Calendar'!$F$588=TYPE2)*(TYPE2&lt;&gt;"")+('Dvd Calendar'!$F$588=TYPE3)*(TYPE3&lt;&gt;"")+('Dvd Calendar'!$F$588=TYPE4)*(TYPE4&lt;&gt;"")+('Dvd Calendar'!$F$588=SPECIAL_LBL)*(INC_SPECIALS="Y"))=0,"",'Dvd Calendar'!$F$586)))</f>
        <v/>
      </c>
      <c r="E64" s="106">
        <f>IF(EG64="","",IF(ISNUMBER('Dvd Calendar'!$G$586)=FALSE,"",IF((('Dvd Calendar'!$G$588=TYPE1)*(TYPE1&lt;&gt;"")+('Dvd Calendar'!$G$588=TYPE2)*(TYPE2&lt;&gt;"")+('Dvd Calendar'!$G$588=TYPE3)*(TYPE3&lt;&gt;"")+('Dvd Calendar'!$G$588=TYPE4)*(TYPE4&lt;&gt;"")+('Dvd Calendar'!$G$588=SPECIAL_LBL)*(INC_SPECIALS="Y"))=0,"",'Dvd Calendar'!$G$586)))</f>
        <v/>
      </c>
      <c r="F64" s="106">
        <f>IF(EH64="","",IF(ISNUMBER('Dvd Calendar'!$H$586)=FALSE,"",IF((('Dvd Calendar'!$H$588=TYPE1)*(TYPE1&lt;&gt;"")+('Dvd Calendar'!$H$588=TYPE2)*(TYPE2&lt;&gt;"")+('Dvd Calendar'!$H$588=TYPE3)*(TYPE3&lt;&gt;"")+('Dvd Calendar'!$H$588=TYPE4)*(TYPE4&lt;&gt;"")+('Dvd Calendar'!$H$588=SPECIAL_LBL)*(INC_SPECIALS="Y"))=0,"",'Dvd Calendar'!$H$586)))</f>
        <v/>
      </c>
      <c r="G64" s="106">
        <f>IF(EI64="","",IF(ISNUMBER('Dvd Calendar'!$I$586)=FALSE,"",IF((('Dvd Calendar'!$I$588=TYPE1)*(TYPE1&lt;&gt;"")+('Dvd Calendar'!$I$588=TYPE2)*(TYPE2&lt;&gt;"")+('Dvd Calendar'!$I$588=TYPE3)*(TYPE3&lt;&gt;"")+('Dvd Calendar'!$I$588=TYPE4)*(TYPE4&lt;&gt;"")+('Dvd Calendar'!$I$588=SPECIAL_LBL)*(INC_SPECIALS="Y"))=0,"",'Dvd Calendar'!$I$586)))</f>
        <v/>
      </c>
      <c r="H64" s="106">
        <f>IF(EJ64="","",IF(ISNUMBER('Dvd Calendar'!$J$586)=FALSE,"",IF((('Dvd Calendar'!$J$588=TYPE1)*(TYPE1&lt;&gt;"")+('Dvd Calendar'!$J$588=TYPE2)*(TYPE2&lt;&gt;"")+('Dvd Calendar'!$J$588=TYPE3)*(TYPE3&lt;&gt;"")+('Dvd Calendar'!$J$588=TYPE4)*(TYPE4&lt;&gt;"")+('Dvd Calendar'!$J$588=SPECIAL_LBL)*(INC_SPECIALS="Y"))=0,"",'Dvd Calendar'!$J$586)))</f>
        <v/>
      </c>
      <c r="I64" s="106">
        <f>IF(EK64="","",IF(ISNUMBER('Dvd Calendar'!$K$586)=FALSE,"",IF((('Dvd Calendar'!$K$588=TYPE1)*(TYPE1&lt;&gt;"")+('Dvd Calendar'!$K$588=TYPE2)*(TYPE2&lt;&gt;"")+('Dvd Calendar'!$K$588=TYPE3)*(TYPE3&lt;&gt;"")+('Dvd Calendar'!$K$588=TYPE4)*(TYPE4&lt;&gt;"")+('Dvd Calendar'!$K$588=SPECIAL_LBL)*(INC_SPECIALS="Y"))=0,"",'Dvd Calendar'!$K$586)))</f>
        <v/>
      </c>
      <c r="J64" s="106">
        <f>IF(EL64="","",IF(ISNUMBER('Dvd Calendar'!$L$586)=FALSE,"",IF((('Dvd Calendar'!$L$588=TYPE1)*(TYPE1&lt;&gt;"")+('Dvd Calendar'!$L$588=TYPE2)*(TYPE2&lt;&gt;"")+('Dvd Calendar'!$L$588=TYPE3)*(TYPE3&lt;&gt;"")+('Dvd Calendar'!$L$588=TYPE4)*(TYPE4&lt;&gt;"")+('Dvd Calendar'!$L$588=SPECIAL_LBL)*(INC_SPECIALS="Y"))=0,"",'Dvd Calendar'!$L$586)))</f>
        <v/>
      </c>
      <c r="K64" s="106">
        <f>IF(EM64="","",IF(ISNUMBER('Dvd Calendar'!$M$586)=FALSE,"",IF((('Dvd Calendar'!$M$588=TYPE1)*(TYPE1&lt;&gt;"")+('Dvd Calendar'!$M$588=TYPE2)*(TYPE2&lt;&gt;"")+('Dvd Calendar'!$M$588=TYPE3)*(TYPE3&lt;&gt;"")+('Dvd Calendar'!$M$588=TYPE4)*(TYPE4&lt;&gt;"")+('Dvd Calendar'!$M$588=SPECIAL_LBL)*(INC_SPECIALS="Y"))=0,"",'Dvd Calendar'!$M$586)))</f>
        <v/>
      </c>
      <c r="L64" s="106">
        <f>IF(EN64="","",IF(ISNUMBER('Dvd Calendar'!$N$586)=FALSE,"",IF((('Dvd Calendar'!$N$588=TYPE1)*(TYPE1&lt;&gt;"")+('Dvd Calendar'!$N$588=TYPE2)*(TYPE2&lt;&gt;"")+('Dvd Calendar'!$N$588=TYPE3)*(TYPE3&lt;&gt;"")+('Dvd Calendar'!$N$588=TYPE4)*(TYPE4&lt;&gt;"")+('Dvd Calendar'!$N$588=SPECIAL_LBL)*(INC_SPECIALS="Y"))=0,"",'Dvd Calendar'!$N$586)))</f>
        <v/>
      </c>
      <c r="M64" s="106">
        <f>IF(EO64="","",IF(ISNUMBER('Dvd Calendar'!$O$586)=FALSE,"",IF((('Dvd Calendar'!$O$588=TYPE1)*(TYPE1&lt;&gt;"")+('Dvd Calendar'!$O$588=TYPE2)*(TYPE2&lt;&gt;"")+('Dvd Calendar'!$O$588=TYPE3)*(TYPE3&lt;&gt;"")+('Dvd Calendar'!$O$588=TYPE4)*(TYPE4&lt;&gt;"")+('Dvd Calendar'!$O$588=SPECIAL_LBL)*(INC_SPECIALS="Y"))=0,"",'Dvd Calendar'!$O$586)))</f>
        <v/>
      </c>
      <c r="N64" s="106">
        <f>IF(EP64="","",IF(ISNUMBER('Dvd Calendar'!$P$586)=FALSE,"",IF((('Dvd Calendar'!$P$588=TYPE1)*(TYPE1&lt;&gt;"")+('Dvd Calendar'!$P$588=TYPE2)*(TYPE2&lt;&gt;"")+('Dvd Calendar'!$P$588=TYPE3)*(TYPE3&lt;&gt;"")+('Dvd Calendar'!$P$588=TYPE4)*(TYPE4&lt;&gt;"")+('Dvd Calendar'!$P$588=SPECIAL_LBL)*(INC_SPECIALS="Y"))=0,"",'Dvd Calendar'!$P$586)))</f>
        <v/>
      </c>
      <c r="O64" s="106">
        <f>IF(EQ64="","",IF(ISNUMBER('Dvd Calendar'!$Q$586)=FALSE,"",IF((('Dvd Calendar'!$Q$588=TYPE1)*(TYPE1&lt;&gt;"")+('Dvd Calendar'!$Q$588=TYPE2)*(TYPE2&lt;&gt;"")+('Dvd Calendar'!$Q$588=TYPE3)*(TYPE3&lt;&gt;"")+('Dvd Calendar'!$Q$588=TYPE4)*(TYPE4&lt;&gt;"")+('Dvd Calendar'!$Q$588=SPECIAL_LBL)*(INC_SPECIALS="Y"))=0,"",'Dvd Calendar'!$Q$586)))</f>
        <v/>
      </c>
      <c r="P64" s="106">
        <f>IF(ER64="","",IF(ISNUMBER('Dvd Calendar'!$R$586)=FALSE,"",IF((('Dvd Calendar'!$R$588=TYPE1)*(TYPE1&lt;&gt;"")+('Dvd Calendar'!$R$588=TYPE2)*(TYPE2&lt;&gt;"")+('Dvd Calendar'!$R$588=TYPE3)*(TYPE3&lt;&gt;"")+('Dvd Calendar'!$R$588=TYPE4)*(TYPE4&lt;&gt;"")+('Dvd Calendar'!$R$588=SPECIAL_LBL)*(INC_SPECIALS="Y"))=0,"",'Dvd Calendar'!$R$586)))</f>
        <v/>
      </c>
      <c r="Q64" s="106">
        <f>IF(ES64="","",IF(ISNUMBER('Dvd Calendar'!$S$586)=FALSE,"",IF((('Dvd Calendar'!$S$588=TYPE1)*(TYPE1&lt;&gt;"")+('Dvd Calendar'!$S$588=TYPE2)*(TYPE2&lt;&gt;"")+('Dvd Calendar'!$S$588=TYPE3)*(TYPE3&lt;&gt;"")+('Dvd Calendar'!$S$588=TYPE4)*(TYPE4&lt;&gt;"")+('Dvd Calendar'!$S$588=SPECIAL_LBL)*(INC_SPECIALS="Y"))=0,"",'Dvd Calendar'!$S$586)))</f>
        <v/>
      </c>
      <c r="R64" s="106">
        <f>IF(ET64="","",IF(ISNUMBER('Dvd Calendar'!$T$586)=FALSE,"",IF((('Dvd Calendar'!$T$588=TYPE1)*(TYPE1&lt;&gt;"")+('Dvd Calendar'!$T$588=TYPE2)*(TYPE2&lt;&gt;"")+('Dvd Calendar'!$T$588=TYPE3)*(TYPE3&lt;&gt;"")+('Dvd Calendar'!$T$588=TYPE4)*(TYPE4&lt;&gt;"")+('Dvd Calendar'!$T$588=SPECIAL_LBL)*(INC_SPECIALS="Y"))=0,"",'Dvd Calendar'!$T$586)))</f>
        <v/>
      </c>
      <c r="S64" s="106">
        <f>IF(EU64="","",IF(ISNUMBER('Dvd Calendar'!$U$586)=FALSE,"",IF((('Dvd Calendar'!$U$588=TYPE1)*(TYPE1&lt;&gt;"")+('Dvd Calendar'!$U$588=TYPE2)*(TYPE2&lt;&gt;"")+('Dvd Calendar'!$U$588=TYPE3)*(TYPE3&lt;&gt;"")+('Dvd Calendar'!$U$588=TYPE4)*(TYPE4&lt;&gt;"")+('Dvd Calendar'!$U$588=SPECIAL_LBL)*(INC_SPECIALS="Y"))=0,"",'Dvd Calendar'!$U$586)))</f>
        <v/>
      </c>
      <c r="T64" s="106">
        <f>IF(EV64="","",IF(ISNUMBER('Dvd Calendar'!$V$586)=FALSE,"",IF((('Dvd Calendar'!$V$588=TYPE1)*(TYPE1&lt;&gt;"")+('Dvd Calendar'!$V$588=TYPE2)*(TYPE2&lt;&gt;"")+('Dvd Calendar'!$V$588=TYPE3)*(TYPE3&lt;&gt;"")+('Dvd Calendar'!$V$588=TYPE4)*(TYPE4&lt;&gt;"")+('Dvd Calendar'!$V$588=SPECIAL_LBL)*(INC_SPECIALS="Y"))=0,"",'Dvd Calendar'!$V$586)))</f>
        <v/>
      </c>
      <c r="U64" s="106">
        <f>IF(EW64="","",IF(ISNUMBER('Dvd Calendar'!$W$586)=FALSE,"",IF((('Dvd Calendar'!$W$588=TYPE1)*(TYPE1&lt;&gt;"")+('Dvd Calendar'!$W$588=TYPE2)*(TYPE2&lt;&gt;"")+('Dvd Calendar'!$W$588=TYPE3)*(TYPE3&lt;&gt;"")+('Dvd Calendar'!$W$588=TYPE4)*(TYPE4&lt;&gt;"")+('Dvd Calendar'!$W$588=SPECIAL_LBL)*(INC_SPECIALS="Y"))=0,"",'Dvd Calendar'!$W$586)))</f>
        <v/>
      </c>
      <c r="V64" s="106">
        <f>IF(EX64="","",IF(ISNUMBER('Dvd Calendar'!$X$586)=FALSE,"",IF((('Dvd Calendar'!$X$588=TYPE1)*(TYPE1&lt;&gt;"")+('Dvd Calendar'!$X$588=TYPE2)*(TYPE2&lt;&gt;"")+('Dvd Calendar'!$X$588=TYPE3)*(TYPE3&lt;&gt;"")+('Dvd Calendar'!$X$588=TYPE4)*(TYPE4&lt;&gt;"")+('Dvd Calendar'!$X$588=SPECIAL_LBL)*(INC_SPECIALS="Y"))=0,"",'Dvd Calendar'!$X$586)))</f>
        <v/>
      </c>
      <c r="W64" s="106">
        <f>IF(EY64="","",IF(ISNUMBER('Dvd Calendar'!$Y$586)=FALSE,"",IF((('Dvd Calendar'!$Y$588=TYPE1)*(TYPE1&lt;&gt;"")+('Dvd Calendar'!$Y$588=TYPE2)*(TYPE2&lt;&gt;"")+('Dvd Calendar'!$Y$588=TYPE3)*(TYPE3&lt;&gt;"")+('Dvd Calendar'!$Y$588=TYPE4)*(TYPE4&lt;&gt;"")+('Dvd Calendar'!$Y$588=SPECIAL_LBL)*(INC_SPECIALS="Y"))=0,"",'Dvd Calendar'!$Y$586)))</f>
        <v/>
      </c>
      <c r="X64" s="106">
        <f>IF(EZ64="","",IF(ISNUMBER('Dvd Calendar'!$Z$586)=FALSE,"",IF((('Dvd Calendar'!$Z$588=TYPE1)*(TYPE1&lt;&gt;"")+('Dvd Calendar'!$Z$588=TYPE2)*(TYPE2&lt;&gt;"")+('Dvd Calendar'!$Z$588=TYPE3)*(TYPE3&lt;&gt;"")+('Dvd Calendar'!$Z$588=TYPE4)*(TYPE4&lt;&gt;"")+('Dvd Calendar'!$Z$588=SPECIAL_LBL)*(INC_SPECIALS="Y"))=0,"",'Dvd Calendar'!$Z$586)))</f>
        <v/>
      </c>
      <c r="Y64" s="106">
        <f>IF(FA64="","",IF(ISNUMBER('Dvd Calendar'!$AA$586)=FALSE,"",IF((('Dvd Calendar'!$AA$588=TYPE1)*(TYPE1&lt;&gt;"")+('Dvd Calendar'!$AA$588=TYPE2)*(TYPE2&lt;&gt;"")+('Dvd Calendar'!$AA$588=TYPE3)*(TYPE3&lt;&gt;"")+('Dvd Calendar'!$AA$588=TYPE4)*(TYPE4&lt;&gt;"")+('Dvd Calendar'!$AA$588=SPECIAL_LBL)*(INC_SPECIALS="Y"))=0,"",'Dvd Calendar'!$AA$586)))</f>
        <v/>
      </c>
      <c r="Z64" s="106">
        <f>IF(FB64="","",IF(ISNUMBER('Dvd Calendar'!$AB$586)=FALSE,"",IF((('Dvd Calendar'!$AB$588=TYPE1)*(TYPE1&lt;&gt;"")+('Dvd Calendar'!$AB$588=TYPE2)*(TYPE2&lt;&gt;"")+('Dvd Calendar'!$AB$588=TYPE3)*(TYPE3&lt;&gt;"")+('Dvd Calendar'!$AB$588=TYPE4)*(TYPE4&lt;&gt;"")+('Dvd Calendar'!$AB$588=SPECIAL_LBL)*(INC_SPECIALS="Y"))=0,"",'Dvd Calendar'!$AB$586)))</f>
        <v/>
      </c>
      <c r="AA64" s="106">
        <f>IF(FC64="","",IF(ISNUMBER('Dvd Calendar'!$AC$586)=FALSE,"",IF((('Dvd Calendar'!$AC$588=TYPE1)*(TYPE1&lt;&gt;"")+('Dvd Calendar'!$AC$588=TYPE2)*(TYPE2&lt;&gt;"")+('Dvd Calendar'!$AC$588=TYPE3)*(TYPE3&lt;&gt;"")+('Dvd Calendar'!$AC$588=TYPE4)*(TYPE4&lt;&gt;"")+('Dvd Calendar'!$AC$588=SPECIAL_LBL)*(INC_SPECIALS="Y"))=0,"",'Dvd Calendar'!$AC$586)))</f>
        <v/>
      </c>
      <c r="AB64" s="106">
        <f>IF(FD64="","",IF(ISNUMBER('Dvd Calendar'!$AD$586)=FALSE,"",IF((('Dvd Calendar'!$AD$588=TYPE1)*(TYPE1&lt;&gt;"")+('Dvd Calendar'!$AD$588=TYPE2)*(TYPE2&lt;&gt;"")+('Dvd Calendar'!$AD$588=TYPE3)*(TYPE3&lt;&gt;"")+('Dvd Calendar'!$AD$588=TYPE4)*(TYPE4&lt;&gt;"")+('Dvd Calendar'!$AD$588=SPECIAL_LBL)*(INC_SPECIALS="Y"))=0,"",'Dvd Calendar'!$AD$586)))</f>
        <v/>
      </c>
      <c r="AC64" s="106">
        <f>IF(FE64="","",IF(ISNUMBER('Dvd Calendar'!$AE$586)=FALSE,"",IF((('Dvd Calendar'!$AE$588=TYPE1)*(TYPE1&lt;&gt;"")+('Dvd Calendar'!$AE$588=TYPE2)*(TYPE2&lt;&gt;"")+('Dvd Calendar'!$AE$588=TYPE3)*(TYPE3&lt;&gt;"")+('Dvd Calendar'!$AE$588=TYPE4)*(TYPE4&lt;&gt;"")+('Dvd Calendar'!$AE$588=SPECIAL_LBL)*(INC_SPECIALS="Y"))=0,"",'Dvd Calendar'!$AE$586)))</f>
        <v/>
      </c>
      <c r="AD64" s="106">
        <f>IF(FF64="","",IF(ISNUMBER('Dvd Calendar'!$AF$586)=FALSE,"",IF((('Dvd Calendar'!$AF$588=TYPE1)*(TYPE1&lt;&gt;"")+('Dvd Calendar'!$AF$588=TYPE2)*(TYPE2&lt;&gt;"")+('Dvd Calendar'!$AF$588=TYPE3)*(TYPE3&lt;&gt;"")+('Dvd Calendar'!$AF$588=TYPE4)*(TYPE4&lt;&gt;"")+('Dvd Calendar'!$AF$588=SPECIAL_LBL)*(INC_SPECIALS="Y"))=0,"",'Dvd Calendar'!$AF$586)))</f>
        <v/>
      </c>
      <c r="AE64" s="106">
        <f>IF(FG64="","",IF(ISNUMBER('Dvd Calendar'!$AG$586)=FALSE,"",IF((('Dvd Calendar'!$AG$588=TYPE1)*(TYPE1&lt;&gt;"")+('Dvd Calendar'!$AG$588=TYPE2)*(TYPE2&lt;&gt;"")+('Dvd Calendar'!$AG$588=TYPE3)*(TYPE3&lt;&gt;"")+('Dvd Calendar'!$AG$588=TYPE4)*(TYPE4&lt;&gt;"")+('Dvd Calendar'!$AG$588=SPECIAL_LBL)*(INC_SPECIALS="Y"))=0,"",'Dvd Calendar'!$AG$586)))</f>
        <v/>
      </c>
      <c r="AF64" s="106">
        <f>IF(FH64="","",IF(ISNUMBER('Dvd Calendar'!$AH$586)=FALSE,"",IF((('Dvd Calendar'!$AH$588=TYPE1)*(TYPE1&lt;&gt;"")+('Dvd Calendar'!$AH$588=TYPE2)*(TYPE2&lt;&gt;"")+('Dvd Calendar'!$AH$588=TYPE3)*(TYPE3&lt;&gt;"")+('Dvd Calendar'!$AH$588=TYPE4)*(TYPE4&lt;&gt;"")+('Dvd Calendar'!$AH$588=SPECIAL_LBL)*(INC_SPECIALS="Y"))=0,"",'Dvd Calendar'!$AH$586)))</f>
        <v/>
      </c>
      <c r="AG64" s="106">
        <f>IF(FI64="","",IF(ISNUMBER('Dvd Calendar'!$AI$586)=FALSE,"",IF((('Dvd Calendar'!$AI$588=TYPE1)*(TYPE1&lt;&gt;"")+('Dvd Calendar'!$AI$588=TYPE2)*(TYPE2&lt;&gt;"")+('Dvd Calendar'!$AI$588=TYPE3)*(TYPE3&lt;&gt;"")+('Dvd Calendar'!$AI$588=TYPE4)*(TYPE4&lt;&gt;"")+('Dvd Calendar'!$AI$588=SPECIAL_LBL)*(INC_SPECIALS="Y"))=0,"",'Dvd Calendar'!$AI$586)))</f>
        <v/>
      </c>
      <c r="AH64" s="106">
        <f>IF(FJ64="","",IF(ISNUMBER('Dvd Calendar'!$AJ$586)=FALSE,"",IF((('Dvd Calendar'!$AJ$588=TYPE1)*(TYPE1&lt;&gt;"")+('Dvd Calendar'!$AJ$588=TYPE2)*(TYPE2&lt;&gt;"")+('Dvd Calendar'!$AJ$588=TYPE3)*(TYPE3&lt;&gt;"")+('Dvd Calendar'!$AJ$588=TYPE4)*(TYPE4&lt;&gt;"")+('Dvd Calendar'!$AJ$588=SPECIAL_LBL)*(INC_SPECIALS="Y"))=0,"",'Dvd Calendar'!$AJ$586)))</f>
        <v/>
      </c>
      <c r="AI64" s="106">
        <f>IF(FK64="","",IF(ISNUMBER('Dvd Calendar'!$AK$586)=FALSE,"",IF((('Dvd Calendar'!$AK$588=TYPE1)*(TYPE1&lt;&gt;"")+('Dvd Calendar'!$AK$588=TYPE2)*(TYPE2&lt;&gt;"")+('Dvd Calendar'!$AK$588=TYPE3)*(TYPE3&lt;&gt;"")+('Dvd Calendar'!$AK$588=TYPE4)*(TYPE4&lt;&gt;"")+('Dvd Calendar'!$AK$588=SPECIAL_LBL)*(INC_SPECIALS="Y"))=0,"",'Dvd Calendar'!$AK$586)))</f>
        <v/>
      </c>
      <c r="AJ64" s="106">
        <f>IF(FL64="","",IF(ISNUMBER('Dvd Calendar'!$AL$586)=FALSE,"",IF((('Dvd Calendar'!$AL$588=TYPE1)*(TYPE1&lt;&gt;"")+('Dvd Calendar'!$AL$588=TYPE2)*(TYPE2&lt;&gt;"")+('Dvd Calendar'!$AL$588=TYPE3)*(TYPE3&lt;&gt;"")+('Dvd Calendar'!$AL$588=TYPE4)*(TYPE4&lt;&gt;"")+('Dvd Calendar'!$AL$588=SPECIAL_LBL)*(INC_SPECIALS="Y"))=0,"",'Dvd Calendar'!$AL$586)))</f>
        <v/>
      </c>
      <c r="AK64" s="106">
        <f>IF(FM64="","",IF(ISNUMBER('Dvd Calendar'!$AM$586)=FALSE,"",IF((('Dvd Calendar'!$AM$588=TYPE1)*(TYPE1&lt;&gt;"")+('Dvd Calendar'!$AM$588=TYPE2)*(TYPE2&lt;&gt;"")+('Dvd Calendar'!$AM$588=TYPE3)*(TYPE3&lt;&gt;"")+('Dvd Calendar'!$AM$588=TYPE4)*(TYPE4&lt;&gt;"")+('Dvd Calendar'!$AM$588=SPECIAL_LBL)*(INC_SPECIALS="Y"))=0,"",'Dvd Calendar'!$AM$586)))</f>
        <v/>
      </c>
      <c r="AL64" s="106">
        <f>IF(FN64="","",IF(ISNUMBER('Dvd Calendar'!$AN$586)=FALSE,"",IF((('Dvd Calendar'!$AN$588=TYPE1)*(TYPE1&lt;&gt;"")+('Dvd Calendar'!$AN$588=TYPE2)*(TYPE2&lt;&gt;"")+('Dvd Calendar'!$AN$588=TYPE3)*(TYPE3&lt;&gt;"")+('Dvd Calendar'!$AN$588=TYPE4)*(TYPE4&lt;&gt;"")+('Dvd Calendar'!$AN$588=SPECIAL_LBL)*(INC_SPECIALS="Y"))=0,"",'Dvd Calendar'!$AN$586)))</f>
        <v/>
      </c>
      <c r="AM64" s="106">
        <f>IF(FO64="","",IF(ISNUMBER('Dvd Calendar'!$AO$586)=FALSE,"",IF((('Dvd Calendar'!$AO$588=TYPE1)*(TYPE1&lt;&gt;"")+('Dvd Calendar'!$AO$588=TYPE2)*(TYPE2&lt;&gt;"")+('Dvd Calendar'!$AO$588=TYPE3)*(TYPE3&lt;&gt;"")+('Dvd Calendar'!$AO$588=TYPE4)*(TYPE4&lt;&gt;"")+('Dvd Calendar'!$AO$588=SPECIAL_LBL)*(INC_SPECIALS="Y"))=0,"",'Dvd Calendar'!$AO$586)))</f>
        <v/>
      </c>
      <c r="AN64" s="106">
        <f>IF(FP64="","",IF(ISNUMBER('Dvd Calendar'!$AP$586)=FALSE,"",IF((('Dvd Calendar'!$AP$588=TYPE1)*(TYPE1&lt;&gt;"")+('Dvd Calendar'!$AP$588=TYPE2)*(TYPE2&lt;&gt;"")+('Dvd Calendar'!$AP$588=TYPE3)*(TYPE3&lt;&gt;"")+('Dvd Calendar'!$AP$588=TYPE4)*(TYPE4&lt;&gt;"")+('Dvd Calendar'!$AP$588=SPECIAL_LBL)*(INC_SPECIALS="Y"))=0,"",'Dvd Calendar'!$AP$586)))</f>
        <v/>
      </c>
      <c r="AO64" s="106">
        <f>IF(FQ64="","",IF(ISNUMBER('Dvd Calendar'!$AQ$586)=FALSE,"",IF((('Dvd Calendar'!$AQ$588=TYPE1)*(TYPE1&lt;&gt;"")+('Dvd Calendar'!$AQ$588=TYPE2)*(TYPE2&lt;&gt;"")+('Dvd Calendar'!$AQ$588=TYPE3)*(TYPE3&lt;&gt;"")+('Dvd Calendar'!$AQ$588=TYPE4)*(TYPE4&lt;&gt;"")+('Dvd Calendar'!$AQ$588=SPECIAL_LBL)*(INC_SPECIALS="Y"))=0,"",'Dvd Calendar'!$AQ$586)))</f>
        <v/>
      </c>
      <c r="AP64" s="106">
        <f>IF(FR64="","",IF(ISNUMBER('Dvd Calendar'!$AR$586)=FALSE,"",IF((('Dvd Calendar'!$AR$588=TYPE1)*(TYPE1&lt;&gt;"")+('Dvd Calendar'!$AR$588=TYPE2)*(TYPE2&lt;&gt;"")+('Dvd Calendar'!$AR$588=TYPE3)*(TYPE3&lt;&gt;"")+('Dvd Calendar'!$AR$588=TYPE4)*(TYPE4&lt;&gt;"")+('Dvd Calendar'!$AR$588=SPECIAL_LBL)*(INC_SPECIALS="Y"))=0,"",'Dvd Calendar'!$AR$586)))</f>
        <v/>
      </c>
      <c r="AQ64" s="106">
        <f>IF(FS64="","",IF(ISNUMBER('Dvd Calendar'!$E$591)=FALSE,"",'Dvd Calendar'!$E$591))</f>
        <v/>
      </c>
      <c r="AR64" s="106">
        <f>IF(FT64="","",IF(ISNUMBER('Dvd Calendar'!$F$591)=FALSE,"",'Dvd Calendar'!$F$591))</f>
        <v/>
      </c>
      <c r="AS64" s="106">
        <f>IF(FU64="","",IF(ISNUMBER('Dvd Calendar'!$G$591)=FALSE,"",'Dvd Calendar'!$G$591))</f>
        <v/>
      </c>
      <c r="AT64" s="106">
        <f>IF(FV64="","",IF(ISNUMBER('Dvd Calendar'!$H$591)=FALSE,"",'Dvd Calendar'!$H$591))</f>
        <v/>
      </c>
      <c r="AU64" s="106">
        <f>IF(FW64="","",IF(ISNUMBER('Dvd Calendar'!$I$591)=FALSE,"",'Dvd Calendar'!$I$591))</f>
        <v/>
      </c>
      <c r="AV64" s="106">
        <f>IF(FX64="","",IF(ISNUMBER('Dvd Calendar'!$J$591)=FALSE,"",'Dvd Calendar'!$J$591))</f>
        <v/>
      </c>
      <c r="AW64" s="106">
        <f>IF(FY64="","",IF(ISNUMBER('Dvd Calendar'!$K$591)=FALSE,"",'Dvd Calendar'!$K$591))</f>
        <v/>
      </c>
      <c r="AX64" s="106">
        <f>IF(FZ64="","",IF(ISNUMBER('Dvd Calendar'!$L$591)=FALSE,"",'Dvd Calendar'!$L$591))</f>
        <v/>
      </c>
      <c r="AY64" s="106">
        <f>IF(GA64="","",IF(ISNUMBER('Dvd Calendar'!$M$591)=FALSE,"",'Dvd Calendar'!$M$591))</f>
        <v/>
      </c>
      <c r="AZ64" s="106">
        <f>IF(GB64="","",IF(ISNUMBER('Dvd Calendar'!$N$591)=FALSE,"",'Dvd Calendar'!$N$591))</f>
        <v/>
      </c>
      <c r="BA64" s="106">
        <f>IF(GC64="","",IF(ISNUMBER('Dvd Calendar'!$O$591)=FALSE,"",'Dvd Calendar'!$O$591))</f>
        <v/>
      </c>
      <c r="BB64" s="106">
        <f>IF(GD64="","",IF(ISNUMBER('Dvd Calendar'!$P$591)=FALSE,"",'Dvd Calendar'!$P$591))</f>
        <v/>
      </c>
      <c r="BC64" s="106">
        <f>IF(GE64="","",IF(ISNUMBER('Dvd Calendar'!$Q$591)=FALSE,"",'Dvd Calendar'!$Q$591))</f>
        <v/>
      </c>
      <c r="BD64" s="106">
        <f>IF(GF64="","",IF(ISNUMBER('Dvd Calendar'!$R$591)=FALSE,"",'Dvd Calendar'!$R$591))</f>
        <v/>
      </c>
      <c r="BE64" s="106">
        <f>IF(GG64="","",IF(ISNUMBER('Dvd Calendar'!$S$591)=FALSE,"",'Dvd Calendar'!$S$591))</f>
        <v/>
      </c>
      <c r="BF64" s="106">
        <f>IF(GH64="","",IF(ISNUMBER('Dvd Calendar'!$T$591)=FALSE,"",'Dvd Calendar'!$T$591))</f>
        <v/>
      </c>
      <c r="BG64" s="106">
        <f>IF(GI64="","",IF(ISNUMBER('Dvd Calendar'!$U$591)=FALSE,"",'Dvd Calendar'!$U$591))</f>
        <v/>
      </c>
      <c r="BH64" s="106">
        <f>IF(GJ64="","",IF(ISNUMBER('Dvd Calendar'!$V$591)=FALSE,"",'Dvd Calendar'!$V$591))</f>
        <v/>
      </c>
      <c r="BI64" s="106">
        <f>IF(GK64="","",IF(ISNUMBER('Dvd Calendar'!$W$591)=FALSE,"",'Dvd Calendar'!$W$591))</f>
        <v/>
      </c>
      <c r="BJ64" s="106">
        <f>IF(GL64="","",IF(ISNUMBER('Dvd Calendar'!$X$591)=FALSE,"",'Dvd Calendar'!$X$591))</f>
        <v/>
      </c>
      <c r="BK64" s="106">
        <f>IF(GM64="","",IF(ISNUMBER('Dvd Calendar'!$Y$591)=FALSE,"",'Dvd Calendar'!$Y$591))</f>
        <v/>
      </c>
      <c r="BL64" s="106">
        <f>IF(GN64="","",IF(ISNUMBER('Dvd Calendar'!$Z$591)=FALSE,"",'Dvd Calendar'!$Z$591))</f>
        <v/>
      </c>
      <c r="BM64" s="106">
        <f>IF(GO64="","",IF(ISNUMBER('Dvd Calendar'!$AA$591)=FALSE,"",'Dvd Calendar'!$AA$591))</f>
        <v/>
      </c>
      <c r="BN64" s="106">
        <f>IF(GP64="","",IF(ISNUMBER('Dvd Calendar'!$AB$591)=FALSE,"",'Dvd Calendar'!$AB$591))</f>
        <v/>
      </c>
      <c r="BO64" s="106">
        <f>IF(GQ64="","",IF(ISNUMBER('Dvd Calendar'!$AC$591)=FALSE,"",'Dvd Calendar'!$AC$591))</f>
        <v/>
      </c>
      <c r="BQ64" s="106">
        <f>IF(C64="","",IFERROR(C64*HSI!$B$59*HSI!$G$59/HSI!$B$3,""))</f>
        <v/>
      </c>
      <c r="BR64" s="106">
        <f>IF(D64="","",IFERROR(D64*HSI!$B$59*HSI!$G$59/HSI!$B$3,""))</f>
        <v/>
      </c>
      <c r="BS64" s="106">
        <f>IF(E64="","",IFERROR(E64*HSI!$B$59*HSI!$G$59/HSI!$B$3,""))</f>
        <v/>
      </c>
      <c r="BT64" s="106">
        <f>IF(F64="","",IFERROR(F64*HSI!$B$59*HSI!$G$59/HSI!$B$3,""))</f>
        <v/>
      </c>
      <c r="BU64" s="106">
        <f>IF(G64="","",IFERROR(G64*HSI!$B$59*HSI!$G$59/HSI!$B$3,""))</f>
        <v/>
      </c>
      <c r="BV64" s="106">
        <f>IF(H64="","",IFERROR(H64*HSI!$B$59*HSI!$G$59/HSI!$B$3,""))</f>
        <v/>
      </c>
      <c r="BW64" s="106">
        <f>IF(I64="","",IFERROR(I64*HSI!$B$59*HSI!$G$59/HSI!$B$3,""))</f>
        <v/>
      </c>
      <c r="BX64" s="106">
        <f>IF(J64="","",IFERROR(J64*HSI!$B$59*HSI!$G$59/HSI!$B$3,""))</f>
        <v/>
      </c>
      <c r="BY64" s="106">
        <f>IF(K64="","",IFERROR(K64*HSI!$B$59*HSI!$G$59/HSI!$B$3,""))</f>
        <v/>
      </c>
      <c r="BZ64" s="106">
        <f>IF(L64="","",IFERROR(L64*HSI!$B$59*HSI!$G$59/HSI!$B$3,""))</f>
        <v/>
      </c>
      <c r="CA64" s="106">
        <f>IF(M64="","",IFERROR(M64*HSI!$B$59*HSI!$G$59/HSI!$B$3,""))</f>
        <v/>
      </c>
      <c r="CB64" s="106">
        <f>IF(N64="","",IFERROR(N64*HSI!$B$59*HSI!$G$59/HSI!$B$3,""))</f>
        <v/>
      </c>
      <c r="CC64" s="106">
        <f>IF(O64="","",IFERROR(O64*HSI!$B$59*HSI!$G$59/HSI!$B$3,""))</f>
        <v/>
      </c>
      <c r="CD64" s="106">
        <f>IF(P64="","",IFERROR(P64*HSI!$B$59*HSI!$G$59/HSI!$B$3,""))</f>
        <v/>
      </c>
      <c r="CE64" s="106">
        <f>IF(Q64="","",IFERROR(Q64*HSI!$B$59*HSI!$G$59/HSI!$B$3,""))</f>
        <v/>
      </c>
      <c r="CF64" s="106">
        <f>IF(R64="","",IFERROR(R64*HSI!$B$59*HSI!$G$59/HSI!$B$3,""))</f>
        <v/>
      </c>
      <c r="CG64" s="106">
        <f>IF(S64="","",IFERROR(S64*HSI!$B$59*HSI!$G$59/HSI!$B$3,""))</f>
        <v/>
      </c>
      <c r="CH64" s="106">
        <f>IF(T64="","",IFERROR(T64*HSI!$B$59*HSI!$G$59/HSI!$B$3,""))</f>
        <v/>
      </c>
      <c r="CI64" s="106">
        <f>IF(U64="","",IFERROR(U64*HSI!$B$59*HSI!$G$59/HSI!$B$3,""))</f>
        <v/>
      </c>
      <c r="CJ64" s="106">
        <f>IF(V64="","",IFERROR(V64*HSI!$B$59*HSI!$G$59/HSI!$B$3,""))</f>
        <v/>
      </c>
      <c r="CK64" s="106">
        <f>IF(W64="","",IFERROR(W64*HSI!$B$59*HSI!$G$59/HSI!$B$3,""))</f>
        <v/>
      </c>
      <c r="CL64" s="106">
        <f>IF(X64="","",IFERROR(X64*HSI!$B$59*HSI!$G$59/HSI!$B$3,""))</f>
        <v/>
      </c>
      <c r="CM64" s="106">
        <f>IF(Y64="","",IFERROR(Y64*HSI!$B$59*HSI!$G$59/HSI!$B$3,""))</f>
        <v/>
      </c>
      <c r="CN64" s="106">
        <f>IF(Z64="","",IFERROR(Z64*HSI!$B$59*HSI!$G$59/HSI!$B$3,""))</f>
        <v/>
      </c>
      <c r="CO64" s="106">
        <f>IF(AA64="","",IFERROR(AA64*HSI!$B$59*HSI!$G$59/HSI!$B$3,""))</f>
        <v/>
      </c>
      <c r="CP64" s="106">
        <f>IF(AB64="","",IFERROR(AB64*HSI!$B$59*HSI!$G$59/HSI!$B$3,""))</f>
        <v/>
      </c>
      <c r="CQ64" s="106">
        <f>IF(AC64="","",IFERROR(AC64*HSI!$B$59*HSI!$G$59/HSI!$B$3,""))</f>
        <v/>
      </c>
      <c r="CR64" s="106">
        <f>IF(AD64="","",IFERROR(AD64*HSI!$B$59*HSI!$G$59/HSI!$B$3,""))</f>
        <v/>
      </c>
      <c r="CS64" s="106">
        <f>IF(AE64="","",IFERROR(AE64*HSI!$B$59*HSI!$G$59/HSI!$B$3,""))</f>
        <v/>
      </c>
      <c r="CT64" s="106">
        <f>IF(AF64="","",IFERROR(AF64*HSI!$B$59*HSI!$G$59/HSI!$B$3,""))</f>
        <v/>
      </c>
      <c r="CU64" s="106">
        <f>IF(AG64="","",IFERROR(AG64*HSI!$B$59*HSI!$G$59/HSI!$B$3,""))</f>
        <v/>
      </c>
      <c r="CV64" s="106">
        <f>IF(AH64="","",IFERROR(AH64*HSI!$B$59*HSI!$G$59/HSI!$B$3,""))</f>
        <v/>
      </c>
      <c r="CW64" s="106">
        <f>IF(AI64="","",IFERROR(AI64*HSI!$B$59*HSI!$G$59/HSI!$B$3,""))</f>
        <v/>
      </c>
      <c r="CX64" s="106">
        <f>IF(AJ64="","",IFERROR(AJ64*HSI!$B$59*HSI!$G$59/HSI!$B$3,""))</f>
        <v/>
      </c>
      <c r="CY64" s="106">
        <f>IF(AK64="","",IFERROR(AK64*HSI!$B$59*HSI!$G$59/HSI!$B$3,""))</f>
        <v/>
      </c>
      <c r="CZ64" s="106">
        <f>IF(AL64="","",IFERROR(AL64*HSI!$B$59*HSI!$G$59/HSI!$B$3,""))</f>
        <v/>
      </c>
      <c r="DA64" s="106">
        <f>IF(AM64="","",IFERROR(AM64*HSI!$B$59*HSI!$G$59/HSI!$B$3,""))</f>
        <v/>
      </c>
      <c r="DB64" s="106">
        <f>IF(AN64="","",IFERROR(AN64*HSI!$B$59*HSI!$G$59/HSI!$B$3,""))</f>
        <v/>
      </c>
      <c r="DC64" s="106">
        <f>IF(AO64="","",IFERROR(AO64*HSI!$B$59*HSI!$G$59/HSI!$B$3,""))</f>
        <v/>
      </c>
      <c r="DD64" s="106">
        <f>IF(AP64="","",IFERROR(AP64*HSI!$B$59*HSI!$G$59/HSI!$B$3,""))</f>
        <v/>
      </c>
      <c r="DE64" s="106">
        <f>IF(AQ64="","",IFERROR(AQ64*HSI!$B$59*HSI!$G$59/HSI!$B$3,""))</f>
        <v/>
      </c>
      <c r="DF64" s="106">
        <f>IF(AR64="","",IFERROR(AR64*HSI!$B$59*HSI!$G$59/HSI!$B$3,""))</f>
        <v/>
      </c>
      <c r="DG64" s="106">
        <f>IF(AS64="","",IFERROR(AS64*HSI!$B$59*HSI!$G$59/HSI!$B$3,""))</f>
        <v/>
      </c>
      <c r="DH64" s="106">
        <f>IF(AT64="","",IFERROR(AT64*HSI!$B$59*HSI!$G$59/HSI!$B$3,""))</f>
        <v/>
      </c>
      <c r="DI64" s="106">
        <f>IF(AU64="","",IFERROR(AU64*HSI!$B$59*HSI!$G$59/HSI!$B$3,""))</f>
        <v/>
      </c>
      <c r="DJ64" s="106">
        <f>IF(AV64="","",IFERROR(AV64*HSI!$B$59*HSI!$G$59/HSI!$B$3,""))</f>
        <v/>
      </c>
      <c r="DK64" s="106">
        <f>IF(AW64="","",IFERROR(AW64*HSI!$B$59*HSI!$G$59/HSI!$B$3,""))</f>
        <v/>
      </c>
      <c r="DL64" s="106">
        <f>IF(AX64="","",IFERROR(AX64*HSI!$B$59*HSI!$G$59/HSI!$B$3,""))</f>
        <v/>
      </c>
      <c r="DM64" s="106">
        <f>IF(AY64="","",IFERROR(AY64*HSI!$B$59*HSI!$G$59/HSI!$B$3,""))</f>
        <v/>
      </c>
      <c r="DN64" s="106">
        <f>IF(AZ64="","",IFERROR(AZ64*HSI!$B$59*HSI!$G$59/HSI!$B$3,""))</f>
        <v/>
      </c>
      <c r="DO64" s="106">
        <f>IF(BA64="","",IFERROR(BA64*HSI!$B$59*HSI!$G$59/HSI!$B$3,""))</f>
        <v/>
      </c>
      <c r="DP64" s="106">
        <f>IF(BB64="","",IFERROR(BB64*HSI!$B$59*HSI!$G$59/HSI!$B$3,""))</f>
        <v/>
      </c>
      <c r="DQ64" s="106">
        <f>IF(BC64="","",IFERROR(BC64*HSI!$B$59*HSI!$G$59/HSI!$B$3,""))</f>
        <v/>
      </c>
      <c r="DR64" s="106">
        <f>IF(BD64="","",IFERROR(BD64*HSI!$B$59*HSI!$G$59/HSI!$B$3,""))</f>
        <v/>
      </c>
      <c r="DS64" s="106">
        <f>IF(BE64="","",IFERROR(BE64*HSI!$B$59*HSI!$G$59/HSI!$B$3,""))</f>
        <v/>
      </c>
      <c r="DT64" s="106">
        <f>IF(BF64="","",IFERROR(BF64*HSI!$B$59*HSI!$G$59/HSI!$B$3,""))</f>
        <v/>
      </c>
      <c r="DU64" s="106">
        <f>IF(BG64="","",IFERROR(BG64*HSI!$B$59*HSI!$G$59/HSI!$B$3,""))</f>
        <v/>
      </c>
      <c r="DV64" s="106">
        <f>IF(BH64="","",IFERROR(BH64*HSI!$B$59*HSI!$G$59/HSI!$B$3,""))</f>
        <v/>
      </c>
      <c r="DW64" s="106">
        <f>IF(BI64="","",IFERROR(BI64*HSI!$B$59*HSI!$G$59/HSI!$B$3,""))</f>
        <v/>
      </c>
      <c r="DX64" s="106">
        <f>IF(BJ64="","",IFERROR(BJ64*HSI!$B$59*HSI!$G$59/HSI!$B$3,""))</f>
        <v/>
      </c>
      <c r="DY64" s="106">
        <f>IF(BK64="","",IFERROR(BK64*HSI!$B$59*HSI!$G$59/HSI!$B$3,""))</f>
        <v/>
      </c>
      <c r="DZ64" s="106">
        <f>IF(BL64="","",IFERROR(BL64*HSI!$B$59*HSI!$G$59/HSI!$B$3,""))</f>
        <v/>
      </c>
      <c r="EA64" s="106">
        <f>IF(BM64="","",IFERROR(BM64*HSI!$B$59*HSI!$G$59/HSI!$B$3,""))</f>
        <v/>
      </c>
      <c r="EB64" s="106">
        <f>IF(BN64="","",IFERROR(BN64*HSI!$B$59*HSI!$G$59/HSI!$B$3,""))</f>
        <v/>
      </c>
      <c r="EC64" s="106">
        <f>IF(BO64="","",IFERROR(BO64*HSI!$B$59*HSI!$G$59/HSI!$B$3,""))</f>
        <v/>
      </c>
      <c r="EE64" s="35">
        <f>IF(N('Dvd Calendar'!$E$583)=0,"",IF(('Dvd Calendar'!$E$583&gt;=GRID_FROM)*('Dvd Calendar'!$E$583&lt;=GRID_TO)*('Dvd Calendar'!$E$583&lt;=VAL_DATE)=0,"",'Dvd Calendar'!$E$583*1000000000+ISNUMBER('Dvd Calendar'!$E$586)*100000000+('Dvd Calendar'!$E$588=SPECIAL_LBL)*10000000+0*1000000+53*1000+1))</f>
        <v/>
      </c>
      <c r="EF64" s="35">
        <f>IF(N('Dvd Calendar'!$F$583)=0,"",IF(('Dvd Calendar'!$F$583&gt;=GRID_FROM)*('Dvd Calendar'!$F$583&lt;=GRID_TO)*('Dvd Calendar'!$F$583&lt;=VAL_DATE)=0,"",'Dvd Calendar'!$F$583*1000000000+ISNUMBER('Dvd Calendar'!$F$586)*100000000+('Dvd Calendar'!$F$588=SPECIAL_LBL)*10000000+0*1000000+53*1000+2))</f>
        <v/>
      </c>
      <c r="EG64" s="35">
        <f>IF(N('Dvd Calendar'!$G$583)=0,"",IF(('Dvd Calendar'!$G$583&gt;=GRID_FROM)*('Dvd Calendar'!$G$583&lt;=GRID_TO)*('Dvd Calendar'!$G$583&lt;=VAL_DATE)=0,"",'Dvd Calendar'!$G$583*1000000000+ISNUMBER('Dvd Calendar'!$G$586)*100000000+('Dvd Calendar'!$G$588=SPECIAL_LBL)*10000000+0*1000000+53*1000+3))</f>
        <v/>
      </c>
      <c r="EH64" s="35">
        <f>IF(N('Dvd Calendar'!$H$583)=0,"",IF(('Dvd Calendar'!$H$583&gt;=GRID_FROM)*('Dvd Calendar'!$H$583&lt;=GRID_TO)*('Dvd Calendar'!$H$583&lt;=VAL_DATE)=0,"",'Dvd Calendar'!$H$583*1000000000+ISNUMBER('Dvd Calendar'!$H$586)*100000000+('Dvd Calendar'!$H$588=SPECIAL_LBL)*10000000+0*1000000+53*1000+4))</f>
        <v/>
      </c>
      <c r="EI64" s="35">
        <f>IF(N('Dvd Calendar'!$I$583)=0,"",IF(('Dvd Calendar'!$I$583&gt;=GRID_FROM)*('Dvd Calendar'!$I$583&lt;=GRID_TO)*('Dvd Calendar'!$I$583&lt;=VAL_DATE)=0,"",'Dvd Calendar'!$I$583*1000000000+ISNUMBER('Dvd Calendar'!$I$586)*100000000+('Dvd Calendar'!$I$588=SPECIAL_LBL)*10000000+0*1000000+53*1000+5))</f>
        <v/>
      </c>
      <c r="EJ64" s="35">
        <f>IF(N('Dvd Calendar'!$J$583)=0,"",IF(('Dvd Calendar'!$J$583&gt;=GRID_FROM)*('Dvd Calendar'!$J$583&lt;=GRID_TO)*('Dvd Calendar'!$J$583&lt;=VAL_DATE)=0,"",'Dvd Calendar'!$J$583*1000000000+ISNUMBER('Dvd Calendar'!$J$586)*100000000+('Dvd Calendar'!$J$588=SPECIAL_LBL)*10000000+0*1000000+53*1000+6))</f>
        <v/>
      </c>
      <c r="EK64" s="35">
        <f>IF(N('Dvd Calendar'!$K$583)=0,"",IF(('Dvd Calendar'!$K$583&gt;=GRID_FROM)*('Dvd Calendar'!$K$583&lt;=GRID_TO)*('Dvd Calendar'!$K$583&lt;=VAL_DATE)=0,"",'Dvd Calendar'!$K$583*1000000000+ISNUMBER('Dvd Calendar'!$K$586)*100000000+('Dvd Calendar'!$K$588=SPECIAL_LBL)*10000000+0*1000000+53*1000+7))</f>
        <v/>
      </c>
      <c r="EL64" s="35">
        <f>IF(N('Dvd Calendar'!$L$583)=0,"",IF(('Dvd Calendar'!$L$583&gt;=GRID_FROM)*('Dvd Calendar'!$L$583&lt;=GRID_TO)*('Dvd Calendar'!$L$583&lt;=VAL_DATE)=0,"",'Dvd Calendar'!$L$583*1000000000+ISNUMBER('Dvd Calendar'!$L$586)*100000000+('Dvd Calendar'!$L$588=SPECIAL_LBL)*10000000+0*1000000+53*1000+8))</f>
        <v/>
      </c>
      <c r="EM64" s="35">
        <f>IF(N('Dvd Calendar'!$M$583)=0,"",IF(('Dvd Calendar'!$M$583&gt;=GRID_FROM)*('Dvd Calendar'!$M$583&lt;=GRID_TO)*('Dvd Calendar'!$M$583&lt;=VAL_DATE)=0,"",'Dvd Calendar'!$M$583*1000000000+ISNUMBER('Dvd Calendar'!$M$586)*100000000+('Dvd Calendar'!$M$588=SPECIAL_LBL)*10000000+0*1000000+53*1000+9))</f>
        <v/>
      </c>
      <c r="EN64" s="35">
        <f>IF(N('Dvd Calendar'!$N$583)=0,"",IF(('Dvd Calendar'!$N$583&gt;=GRID_FROM)*('Dvd Calendar'!$N$583&lt;=GRID_TO)*('Dvd Calendar'!$N$583&lt;=VAL_DATE)=0,"",'Dvd Calendar'!$N$583*1000000000+ISNUMBER('Dvd Calendar'!$N$586)*100000000+('Dvd Calendar'!$N$588=SPECIAL_LBL)*10000000+0*1000000+53*1000+10))</f>
        <v/>
      </c>
      <c r="EO64" s="35">
        <f>IF(N('Dvd Calendar'!$O$583)=0,"",IF(('Dvd Calendar'!$O$583&gt;=GRID_FROM)*('Dvd Calendar'!$O$583&lt;=GRID_TO)*('Dvd Calendar'!$O$583&lt;=VAL_DATE)=0,"",'Dvd Calendar'!$O$583*1000000000+ISNUMBER('Dvd Calendar'!$O$586)*100000000+('Dvd Calendar'!$O$588=SPECIAL_LBL)*10000000+0*1000000+53*1000+11))</f>
        <v/>
      </c>
      <c r="EP64" s="35">
        <f>IF(N('Dvd Calendar'!$P$583)=0,"",IF(('Dvd Calendar'!$P$583&gt;=GRID_FROM)*('Dvd Calendar'!$P$583&lt;=GRID_TO)*('Dvd Calendar'!$P$583&lt;=VAL_DATE)=0,"",'Dvd Calendar'!$P$583*1000000000+ISNUMBER('Dvd Calendar'!$P$586)*100000000+('Dvd Calendar'!$P$588=SPECIAL_LBL)*10000000+0*1000000+53*1000+12))</f>
        <v/>
      </c>
      <c r="EQ64" s="35">
        <f>IF(N('Dvd Calendar'!$Q$583)=0,"",IF(('Dvd Calendar'!$Q$583&gt;=GRID_FROM)*('Dvd Calendar'!$Q$583&lt;=GRID_TO)*('Dvd Calendar'!$Q$583&lt;=VAL_DATE)=0,"",'Dvd Calendar'!$Q$583*1000000000+ISNUMBER('Dvd Calendar'!$Q$586)*100000000+('Dvd Calendar'!$Q$588=SPECIAL_LBL)*10000000+0*1000000+53*1000+13))</f>
        <v/>
      </c>
      <c r="ER64" s="35">
        <f>IF(N('Dvd Calendar'!$R$583)=0,"",IF(('Dvd Calendar'!$R$583&gt;=GRID_FROM)*('Dvd Calendar'!$R$583&lt;=GRID_TO)*('Dvd Calendar'!$R$583&lt;=VAL_DATE)=0,"",'Dvd Calendar'!$R$583*1000000000+ISNUMBER('Dvd Calendar'!$R$586)*100000000+('Dvd Calendar'!$R$588=SPECIAL_LBL)*10000000+0*1000000+53*1000+14))</f>
        <v/>
      </c>
      <c r="ES64" s="35">
        <f>IF(N('Dvd Calendar'!$S$583)=0,"",IF(('Dvd Calendar'!$S$583&gt;=GRID_FROM)*('Dvd Calendar'!$S$583&lt;=GRID_TO)*('Dvd Calendar'!$S$583&lt;=VAL_DATE)=0,"",'Dvd Calendar'!$S$583*1000000000+ISNUMBER('Dvd Calendar'!$S$586)*100000000+('Dvd Calendar'!$S$588=SPECIAL_LBL)*10000000+0*1000000+53*1000+15))</f>
        <v/>
      </c>
      <c r="ET64" s="35">
        <f>IF(N('Dvd Calendar'!$T$583)=0,"",IF(('Dvd Calendar'!$T$583&gt;=GRID_FROM)*('Dvd Calendar'!$T$583&lt;=GRID_TO)*('Dvd Calendar'!$T$583&lt;=VAL_DATE)=0,"",'Dvd Calendar'!$T$583*1000000000+ISNUMBER('Dvd Calendar'!$T$586)*100000000+('Dvd Calendar'!$T$588=SPECIAL_LBL)*10000000+0*1000000+53*1000+16))</f>
        <v/>
      </c>
      <c r="EU64" s="35">
        <f>IF(N('Dvd Calendar'!$U$583)=0,"",IF(('Dvd Calendar'!$U$583&gt;=GRID_FROM)*('Dvd Calendar'!$U$583&lt;=GRID_TO)*('Dvd Calendar'!$U$583&lt;=VAL_DATE)=0,"",'Dvd Calendar'!$U$583*1000000000+ISNUMBER('Dvd Calendar'!$U$586)*100000000+('Dvd Calendar'!$U$588=SPECIAL_LBL)*10000000+0*1000000+53*1000+17))</f>
        <v/>
      </c>
      <c r="EV64" s="35">
        <f>IF(N('Dvd Calendar'!$V$583)=0,"",IF(('Dvd Calendar'!$V$583&gt;=GRID_FROM)*('Dvd Calendar'!$V$583&lt;=GRID_TO)*('Dvd Calendar'!$V$583&lt;=VAL_DATE)=0,"",'Dvd Calendar'!$V$583*1000000000+ISNUMBER('Dvd Calendar'!$V$586)*100000000+('Dvd Calendar'!$V$588=SPECIAL_LBL)*10000000+0*1000000+53*1000+18))</f>
        <v/>
      </c>
      <c r="EW64" s="35">
        <f>IF(N('Dvd Calendar'!$W$583)=0,"",IF(('Dvd Calendar'!$W$583&gt;=GRID_FROM)*('Dvd Calendar'!$W$583&lt;=GRID_TO)*('Dvd Calendar'!$W$583&lt;=VAL_DATE)=0,"",'Dvd Calendar'!$W$583*1000000000+ISNUMBER('Dvd Calendar'!$W$586)*100000000+('Dvd Calendar'!$W$588=SPECIAL_LBL)*10000000+0*1000000+53*1000+19))</f>
        <v/>
      </c>
      <c r="EX64" s="35">
        <f>IF(N('Dvd Calendar'!$X$583)=0,"",IF(('Dvd Calendar'!$X$583&gt;=GRID_FROM)*('Dvd Calendar'!$X$583&lt;=GRID_TO)*('Dvd Calendar'!$X$583&lt;=VAL_DATE)=0,"",'Dvd Calendar'!$X$583*1000000000+ISNUMBER('Dvd Calendar'!$X$586)*100000000+('Dvd Calendar'!$X$588=SPECIAL_LBL)*10000000+0*1000000+53*1000+20))</f>
        <v/>
      </c>
      <c r="EY64" s="35">
        <f>IF(N('Dvd Calendar'!$Y$583)=0,"",IF(('Dvd Calendar'!$Y$583&gt;=GRID_FROM)*('Dvd Calendar'!$Y$583&lt;=GRID_TO)*('Dvd Calendar'!$Y$583&lt;=VAL_DATE)=0,"",'Dvd Calendar'!$Y$583*1000000000+ISNUMBER('Dvd Calendar'!$Y$586)*100000000+('Dvd Calendar'!$Y$588=SPECIAL_LBL)*10000000+0*1000000+53*1000+21))</f>
        <v/>
      </c>
      <c r="EZ64" s="35">
        <f>IF(N('Dvd Calendar'!$Z$583)=0,"",IF(('Dvd Calendar'!$Z$583&gt;=GRID_FROM)*('Dvd Calendar'!$Z$583&lt;=GRID_TO)*('Dvd Calendar'!$Z$583&lt;=VAL_DATE)=0,"",'Dvd Calendar'!$Z$583*1000000000+ISNUMBER('Dvd Calendar'!$Z$586)*100000000+('Dvd Calendar'!$Z$588=SPECIAL_LBL)*10000000+0*1000000+53*1000+22))</f>
        <v/>
      </c>
      <c r="FA64" s="35">
        <f>IF(N('Dvd Calendar'!$AA$583)=0,"",IF(('Dvd Calendar'!$AA$583&gt;=GRID_FROM)*('Dvd Calendar'!$AA$583&lt;=GRID_TO)*('Dvd Calendar'!$AA$583&lt;=VAL_DATE)=0,"",'Dvd Calendar'!$AA$583*1000000000+ISNUMBER('Dvd Calendar'!$AA$586)*100000000+('Dvd Calendar'!$AA$588=SPECIAL_LBL)*10000000+0*1000000+53*1000+23))</f>
        <v/>
      </c>
      <c r="FB64" s="35">
        <f>IF(N('Dvd Calendar'!$AB$583)=0,"",IF(('Dvd Calendar'!$AB$583&gt;=GRID_FROM)*('Dvd Calendar'!$AB$583&lt;=GRID_TO)*('Dvd Calendar'!$AB$583&lt;=VAL_DATE)=0,"",'Dvd Calendar'!$AB$583*1000000000+ISNUMBER('Dvd Calendar'!$AB$586)*100000000+('Dvd Calendar'!$AB$588=SPECIAL_LBL)*10000000+0*1000000+53*1000+24))</f>
        <v/>
      </c>
      <c r="FC64" s="35">
        <f>IF(N('Dvd Calendar'!$AC$583)=0,"",IF(('Dvd Calendar'!$AC$583&gt;=GRID_FROM)*('Dvd Calendar'!$AC$583&lt;=GRID_TO)*('Dvd Calendar'!$AC$583&lt;=VAL_DATE)=0,"",'Dvd Calendar'!$AC$583*1000000000+ISNUMBER('Dvd Calendar'!$AC$586)*100000000+('Dvd Calendar'!$AC$588=SPECIAL_LBL)*10000000+0*1000000+53*1000+25))</f>
        <v/>
      </c>
      <c r="FD64" s="35">
        <f>IF(N('Dvd Calendar'!$AD$583)=0,"",IF(('Dvd Calendar'!$AD$583&gt;=GRID_FROM)*('Dvd Calendar'!$AD$583&lt;=GRID_TO)*('Dvd Calendar'!$AD$583&lt;=VAL_DATE)=0,"",'Dvd Calendar'!$AD$583*1000000000+ISNUMBER('Dvd Calendar'!$AD$586)*100000000+('Dvd Calendar'!$AD$588=SPECIAL_LBL)*10000000+0*1000000+53*1000+26))</f>
        <v/>
      </c>
      <c r="FE64" s="35">
        <f>IF(N('Dvd Calendar'!$AE$583)=0,"",IF(('Dvd Calendar'!$AE$583&gt;=GRID_FROM)*('Dvd Calendar'!$AE$583&lt;=GRID_TO)*('Dvd Calendar'!$AE$583&lt;=VAL_DATE)=0,"",'Dvd Calendar'!$AE$583*1000000000+ISNUMBER('Dvd Calendar'!$AE$586)*100000000+('Dvd Calendar'!$AE$588=SPECIAL_LBL)*10000000+0*1000000+53*1000+27))</f>
        <v/>
      </c>
      <c r="FF64" s="35">
        <f>IF(N('Dvd Calendar'!$AF$583)=0,"",IF(('Dvd Calendar'!$AF$583&gt;=GRID_FROM)*('Dvd Calendar'!$AF$583&lt;=GRID_TO)*('Dvd Calendar'!$AF$583&lt;=VAL_DATE)=0,"",'Dvd Calendar'!$AF$583*1000000000+ISNUMBER('Dvd Calendar'!$AF$586)*100000000+('Dvd Calendar'!$AF$588=SPECIAL_LBL)*10000000+0*1000000+53*1000+28))</f>
        <v/>
      </c>
      <c r="FG64" s="35">
        <f>IF(N('Dvd Calendar'!$AG$583)=0,"",IF(('Dvd Calendar'!$AG$583&gt;=GRID_FROM)*('Dvd Calendar'!$AG$583&lt;=GRID_TO)*('Dvd Calendar'!$AG$583&lt;=VAL_DATE)=0,"",'Dvd Calendar'!$AG$583*1000000000+ISNUMBER('Dvd Calendar'!$AG$586)*100000000+('Dvd Calendar'!$AG$588=SPECIAL_LBL)*10000000+0*1000000+53*1000+29))</f>
        <v/>
      </c>
      <c r="FH64" s="35">
        <f>IF(N('Dvd Calendar'!$AH$583)=0,"",IF(('Dvd Calendar'!$AH$583&gt;=GRID_FROM)*('Dvd Calendar'!$AH$583&lt;=GRID_TO)*('Dvd Calendar'!$AH$583&lt;=VAL_DATE)=0,"",'Dvd Calendar'!$AH$583*1000000000+ISNUMBER('Dvd Calendar'!$AH$586)*100000000+('Dvd Calendar'!$AH$588=SPECIAL_LBL)*10000000+0*1000000+53*1000+30))</f>
        <v/>
      </c>
      <c r="FI64" s="35">
        <f>IF(N('Dvd Calendar'!$AI$583)=0,"",IF(('Dvd Calendar'!$AI$583&gt;=GRID_FROM)*('Dvd Calendar'!$AI$583&lt;=GRID_TO)*('Dvd Calendar'!$AI$583&lt;=VAL_DATE)=0,"",'Dvd Calendar'!$AI$583*1000000000+ISNUMBER('Dvd Calendar'!$AI$586)*100000000+('Dvd Calendar'!$AI$588=SPECIAL_LBL)*10000000+0*1000000+53*1000+31))</f>
        <v/>
      </c>
      <c r="FJ64" s="35">
        <f>IF(N('Dvd Calendar'!$AJ$583)=0,"",IF(('Dvd Calendar'!$AJ$583&gt;=GRID_FROM)*('Dvd Calendar'!$AJ$583&lt;=GRID_TO)*('Dvd Calendar'!$AJ$583&lt;=VAL_DATE)=0,"",'Dvd Calendar'!$AJ$583*1000000000+ISNUMBER('Dvd Calendar'!$AJ$586)*100000000+('Dvd Calendar'!$AJ$588=SPECIAL_LBL)*10000000+0*1000000+53*1000+32))</f>
        <v/>
      </c>
      <c r="FK64" s="35">
        <f>IF(N('Dvd Calendar'!$AK$583)=0,"",IF(('Dvd Calendar'!$AK$583&gt;=GRID_FROM)*('Dvd Calendar'!$AK$583&lt;=GRID_TO)*('Dvd Calendar'!$AK$583&lt;=VAL_DATE)=0,"",'Dvd Calendar'!$AK$583*1000000000+ISNUMBER('Dvd Calendar'!$AK$586)*100000000+('Dvd Calendar'!$AK$588=SPECIAL_LBL)*10000000+0*1000000+53*1000+33))</f>
        <v/>
      </c>
      <c r="FL64" s="35">
        <f>IF(N('Dvd Calendar'!$AL$583)=0,"",IF(('Dvd Calendar'!$AL$583&gt;=GRID_FROM)*('Dvd Calendar'!$AL$583&lt;=GRID_TO)*('Dvd Calendar'!$AL$583&lt;=VAL_DATE)=0,"",'Dvd Calendar'!$AL$583*1000000000+ISNUMBER('Dvd Calendar'!$AL$586)*100000000+('Dvd Calendar'!$AL$588=SPECIAL_LBL)*10000000+0*1000000+53*1000+34))</f>
        <v/>
      </c>
      <c r="FM64" s="35">
        <f>IF(N('Dvd Calendar'!$AM$583)=0,"",IF(('Dvd Calendar'!$AM$583&gt;=GRID_FROM)*('Dvd Calendar'!$AM$583&lt;=GRID_TO)*('Dvd Calendar'!$AM$583&lt;=VAL_DATE)=0,"",'Dvd Calendar'!$AM$583*1000000000+ISNUMBER('Dvd Calendar'!$AM$586)*100000000+('Dvd Calendar'!$AM$588=SPECIAL_LBL)*10000000+0*1000000+53*1000+35))</f>
        <v/>
      </c>
      <c r="FN64" s="35">
        <f>IF(N('Dvd Calendar'!$AN$583)=0,"",IF(('Dvd Calendar'!$AN$583&gt;=GRID_FROM)*('Dvd Calendar'!$AN$583&lt;=GRID_TO)*('Dvd Calendar'!$AN$583&lt;=VAL_DATE)=0,"",'Dvd Calendar'!$AN$583*1000000000+ISNUMBER('Dvd Calendar'!$AN$586)*100000000+('Dvd Calendar'!$AN$588=SPECIAL_LBL)*10000000+0*1000000+53*1000+36))</f>
        <v/>
      </c>
      <c r="FO64" s="35">
        <f>IF(N('Dvd Calendar'!$AO$583)=0,"",IF(('Dvd Calendar'!$AO$583&gt;=GRID_FROM)*('Dvd Calendar'!$AO$583&lt;=GRID_TO)*('Dvd Calendar'!$AO$583&lt;=VAL_DATE)=0,"",'Dvd Calendar'!$AO$583*1000000000+ISNUMBER('Dvd Calendar'!$AO$586)*100000000+('Dvd Calendar'!$AO$588=SPECIAL_LBL)*10000000+0*1000000+53*1000+37))</f>
        <v/>
      </c>
      <c r="FP64" s="35">
        <f>IF(N('Dvd Calendar'!$AP$583)=0,"",IF(('Dvd Calendar'!$AP$583&gt;=GRID_FROM)*('Dvd Calendar'!$AP$583&lt;=GRID_TO)*('Dvd Calendar'!$AP$583&lt;=VAL_DATE)=0,"",'Dvd Calendar'!$AP$583*1000000000+ISNUMBER('Dvd Calendar'!$AP$586)*100000000+('Dvd Calendar'!$AP$588=SPECIAL_LBL)*10000000+0*1000000+53*1000+38))</f>
        <v/>
      </c>
      <c r="FQ64" s="35">
        <f>IF(N('Dvd Calendar'!$AQ$583)=0,"",IF(('Dvd Calendar'!$AQ$583&gt;=GRID_FROM)*('Dvd Calendar'!$AQ$583&lt;=GRID_TO)*('Dvd Calendar'!$AQ$583&lt;=VAL_DATE)=0,"",'Dvd Calendar'!$AQ$583*1000000000+ISNUMBER('Dvd Calendar'!$AQ$586)*100000000+('Dvd Calendar'!$AQ$588=SPECIAL_LBL)*10000000+0*1000000+53*1000+39))</f>
        <v/>
      </c>
      <c r="FR64" s="35">
        <f>IF(N('Dvd Calendar'!$AR$583)=0,"",IF(('Dvd Calendar'!$AR$583&gt;=GRID_FROM)*('Dvd Calendar'!$AR$583&lt;=GRID_TO)*('Dvd Calendar'!$AR$583&lt;=VAL_DATE)=0,"",'Dvd Calendar'!$AR$583*1000000000+ISNUMBER('Dvd Calendar'!$AR$586)*100000000+('Dvd Calendar'!$AR$588=SPECIAL_LBL)*10000000+0*1000000+53*1000+40))</f>
        <v/>
      </c>
      <c r="FS64" s="35">
        <f>IF(N('Dvd Calendar'!$E$590)=0,"",IF(('Dvd Calendar'!$E$590&gt;=GRID_FROM)*('Dvd Calendar'!$E$590&lt;=GRID_TO)*('Dvd Calendar'!$E$590&gt;VAL_DATE)=0,"",'Dvd Calendar'!$E$590*1000000000+ISNUMBER('Dvd Calendar'!$E$591)*100000000+0*10000000+(N('Dvd Calendar'!$E$589)&gt;0)*(N('Dvd Calendar'!$E$589)&lt;=VAL_SERIAL)*1000000+53*1000+41))</f>
        <v/>
      </c>
      <c r="FT64" s="35">
        <f>IF(N('Dvd Calendar'!$F$590)=0,"",IF(('Dvd Calendar'!$F$590&gt;=GRID_FROM)*('Dvd Calendar'!$F$590&lt;=GRID_TO)*('Dvd Calendar'!$F$590&gt;VAL_DATE)=0,"",'Dvd Calendar'!$F$590*1000000000+ISNUMBER('Dvd Calendar'!$F$591)*100000000+0*10000000+(N('Dvd Calendar'!$F$589)&gt;0)*(N('Dvd Calendar'!$F$589)&lt;=VAL_SERIAL)*1000000+53*1000+42))</f>
        <v/>
      </c>
      <c r="FU64" s="35">
        <f>IF(N('Dvd Calendar'!$G$590)=0,"",IF(('Dvd Calendar'!$G$590&gt;=GRID_FROM)*('Dvd Calendar'!$G$590&lt;=GRID_TO)*('Dvd Calendar'!$G$590&gt;VAL_DATE)=0,"",'Dvd Calendar'!$G$590*1000000000+ISNUMBER('Dvd Calendar'!$G$591)*100000000+0*10000000+(N('Dvd Calendar'!$G$589)&gt;0)*(N('Dvd Calendar'!$G$589)&lt;=VAL_SERIAL)*1000000+53*1000+43))</f>
        <v/>
      </c>
      <c r="FV64" s="35">
        <f>IF(N('Dvd Calendar'!$H$590)=0,"",IF(('Dvd Calendar'!$H$590&gt;=GRID_FROM)*('Dvd Calendar'!$H$590&lt;=GRID_TO)*('Dvd Calendar'!$H$590&gt;VAL_DATE)=0,"",'Dvd Calendar'!$H$590*1000000000+ISNUMBER('Dvd Calendar'!$H$591)*100000000+0*10000000+(N('Dvd Calendar'!$H$589)&gt;0)*(N('Dvd Calendar'!$H$589)&lt;=VAL_SERIAL)*1000000+53*1000+44))</f>
        <v/>
      </c>
      <c r="FW64" s="35">
        <f>IF(N('Dvd Calendar'!$I$590)=0,"",IF(('Dvd Calendar'!$I$590&gt;=GRID_FROM)*('Dvd Calendar'!$I$590&lt;=GRID_TO)*('Dvd Calendar'!$I$590&gt;VAL_DATE)=0,"",'Dvd Calendar'!$I$590*1000000000+ISNUMBER('Dvd Calendar'!$I$591)*100000000+0*10000000+(N('Dvd Calendar'!$I$589)&gt;0)*(N('Dvd Calendar'!$I$589)&lt;=VAL_SERIAL)*1000000+53*1000+45))</f>
        <v/>
      </c>
      <c r="FX64" s="35">
        <f>IF(N('Dvd Calendar'!$J$590)=0,"",IF(('Dvd Calendar'!$J$590&gt;=GRID_FROM)*('Dvd Calendar'!$J$590&lt;=GRID_TO)*('Dvd Calendar'!$J$590&gt;VAL_DATE)=0,"",'Dvd Calendar'!$J$590*1000000000+ISNUMBER('Dvd Calendar'!$J$591)*100000000+0*10000000+(N('Dvd Calendar'!$J$589)&gt;0)*(N('Dvd Calendar'!$J$589)&lt;=VAL_SERIAL)*1000000+53*1000+46))</f>
        <v/>
      </c>
      <c r="FY64" s="35">
        <f>IF(N('Dvd Calendar'!$K$590)=0,"",IF(('Dvd Calendar'!$K$590&gt;=GRID_FROM)*('Dvd Calendar'!$K$590&lt;=GRID_TO)*('Dvd Calendar'!$K$590&gt;VAL_DATE)=0,"",'Dvd Calendar'!$K$590*1000000000+ISNUMBER('Dvd Calendar'!$K$591)*100000000+0*10000000+(N('Dvd Calendar'!$K$589)&gt;0)*(N('Dvd Calendar'!$K$589)&lt;=VAL_SERIAL)*1000000+53*1000+47))</f>
        <v/>
      </c>
      <c r="FZ64" s="35">
        <f>IF(N('Dvd Calendar'!$L$590)=0,"",IF(('Dvd Calendar'!$L$590&gt;=GRID_FROM)*('Dvd Calendar'!$L$590&lt;=GRID_TO)*('Dvd Calendar'!$L$590&gt;VAL_DATE)=0,"",'Dvd Calendar'!$L$590*1000000000+ISNUMBER('Dvd Calendar'!$L$591)*100000000+0*10000000+(N('Dvd Calendar'!$L$589)&gt;0)*(N('Dvd Calendar'!$L$589)&lt;=VAL_SERIAL)*1000000+53*1000+48))</f>
        <v/>
      </c>
      <c r="GA64" s="35">
        <f>IF(N('Dvd Calendar'!$M$590)=0,"",IF(('Dvd Calendar'!$M$590&gt;=GRID_FROM)*('Dvd Calendar'!$M$590&lt;=GRID_TO)*('Dvd Calendar'!$M$590&gt;VAL_DATE)=0,"",'Dvd Calendar'!$M$590*1000000000+ISNUMBER('Dvd Calendar'!$M$591)*100000000+0*10000000+(N('Dvd Calendar'!$M$589)&gt;0)*(N('Dvd Calendar'!$M$589)&lt;=VAL_SERIAL)*1000000+53*1000+49))</f>
        <v/>
      </c>
      <c r="GB64" s="35">
        <f>IF(N('Dvd Calendar'!$N$590)=0,"",IF(('Dvd Calendar'!$N$590&gt;=GRID_FROM)*('Dvd Calendar'!$N$590&lt;=GRID_TO)*('Dvd Calendar'!$N$590&gt;VAL_DATE)=0,"",'Dvd Calendar'!$N$590*1000000000+ISNUMBER('Dvd Calendar'!$N$591)*100000000+0*10000000+(N('Dvd Calendar'!$N$589)&gt;0)*(N('Dvd Calendar'!$N$589)&lt;=VAL_SERIAL)*1000000+53*1000+50))</f>
        <v/>
      </c>
      <c r="GC64" s="35">
        <f>IF(N('Dvd Calendar'!$O$590)=0,"",IF(('Dvd Calendar'!$O$590&gt;=GRID_FROM)*('Dvd Calendar'!$O$590&lt;=GRID_TO)*('Dvd Calendar'!$O$590&gt;VAL_DATE)=0,"",'Dvd Calendar'!$O$590*1000000000+ISNUMBER('Dvd Calendar'!$O$591)*100000000+0*10000000+(N('Dvd Calendar'!$O$589)&gt;0)*(N('Dvd Calendar'!$O$589)&lt;=VAL_SERIAL)*1000000+53*1000+51))</f>
        <v/>
      </c>
      <c r="GD64" s="35">
        <f>IF(N('Dvd Calendar'!$P$590)=0,"",IF(('Dvd Calendar'!$P$590&gt;=GRID_FROM)*('Dvd Calendar'!$P$590&lt;=GRID_TO)*('Dvd Calendar'!$P$590&gt;VAL_DATE)=0,"",'Dvd Calendar'!$P$590*1000000000+ISNUMBER('Dvd Calendar'!$P$591)*100000000+0*10000000+(N('Dvd Calendar'!$P$589)&gt;0)*(N('Dvd Calendar'!$P$589)&lt;=VAL_SERIAL)*1000000+53*1000+52))</f>
        <v/>
      </c>
      <c r="GE64" s="35">
        <f>IF(N('Dvd Calendar'!$Q$590)=0,"",IF(('Dvd Calendar'!$Q$590&gt;=GRID_FROM)*('Dvd Calendar'!$Q$590&lt;=GRID_TO)*('Dvd Calendar'!$Q$590&gt;VAL_DATE)=0,"",'Dvd Calendar'!$Q$590*1000000000+ISNUMBER('Dvd Calendar'!$Q$591)*100000000+0*10000000+(N('Dvd Calendar'!$Q$589)&gt;0)*(N('Dvd Calendar'!$Q$589)&lt;=VAL_SERIAL)*1000000+53*1000+53))</f>
        <v/>
      </c>
      <c r="GF64" s="35">
        <f>IF(N('Dvd Calendar'!$R$590)=0,"",IF(('Dvd Calendar'!$R$590&gt;=GRID_FROM)*('Dvd Calendar'!$R$590&lt;=GRID_TO)*('Dvd Calendar'!$R$590&gt;VAL_DATE)=0,"",'Dvd Calendar'!$R$590*1000000000+ISNUMBER('Dvd Calendar'!$R$591)*100000000+0*10000000+(N('Dvd Calendar'!$R$589)&gt;0)*(N('Dvd Calendar'!$R$589)&lt;=VAL_SERIAL)*1000000+53*1000+54))</f>
        <v/>
      </c>
      <c r="GG64" s="35">
        <f>IF(N('Dvd Calendar'!$S$590)=0,"",IF(('Dvd Calendar'!$S$590&gt;=GRID_FROM)*('Dvd Calendar'!$S$590&lt;=GRID_TO)*('Dvd Calendar'!$S$590&gt;VAL_DATE)=0,"",'Dvd Calendar'!$S$590*1000000000+ISNUMBER('Dvd Calendar'!$S$591)*100000000+0*10000000+(N('Dvd Calendar'!$S$589)&gt;0)*(N('Dvd Calendar'!$S$589)&lt;=VAL_SERIAL)*1000000+53*1000+55))</f>
        <v/>
      </c>
      <c r="GH64" s="35">
        <f>IF(N('Dvd Calendar'!$T$590)=0,"",IF(('Dvd Calendar'!$T$590&gt;=GRID_FROM)*('Dvd Calendar'!$T$590&lt;=GRID_TO)*('Dvd Calendar'!$T$590&gt;VAL_DATE)=0,"",'Dvd Calendar'!$T$590*1000000000+ISNUMBER('Dvd Calendar'!$T$591)*100000000+0*10000000+(N('Dvd Calendar'!$T$589)&gt;0)*(N('Dvd Calendar'!$T$589)&lt;=VAL_SERIAL)*1000000+53*1000+56))</f>
        <v/>
      </c>
      <c r="GI64" s="35">
        <f>IF(N('Dvd Calendar'!$U$590)=0,"",IF(('Dvd Calendar'!$U$590&gt;=GRID_FROM)*('Dvd Calendar'!$U$590&lt;=GRID_TO)*('Dvd Calendar'!$U$590&gt;VAL_DATE)=0,"",'Dvd Calendar'!$U$590*1000000000+ISNUMBER('Dvd Calendar'!$U$591)*100000000+0*10000000+(N('Dvd Calendar'!$U$589)&gt;0)*(N('Dvd Calendar'!$U$589)&lt;=VAL_SERIAL)*1000000+53*1000+57))</f>
        <v/>
      </c>
      <c r="GJ64" s="35">
        <f>IF(N('Dvd Calendar'!$V$590)=0,"",IF(('Dvd Calendar'!$V$590&gt;=GRID_FROM)*('Dvd Calendar'!$V$590&lt;=GRID_TO)*('Dvd Calendar'!$V$590&gt;VAL_DATE)=0,"",'Dvd Calendar'!$V$590*1000000000+ISNUMBER('Dvd Calendar'!$V$591)*100000000+0*10000000+(N('Dvd Calendar'!$V$589)&gt;0)*(N('Dvd Calendar'!$V$589)&lt;=VAL_SERIAL)*1000000+53*1000+58))</f>
        <v/>
      </c>
      <c r="GK64" s="35">
        <f>IF(N('Dvd Calendar'!$W$590)=0,"",IF(('Dvd Calendar'!$W$590&gt;=GRID_FROM)*('Dvd Calendar'!$W$590&lt;=GRID_TO)*('Dvd Calendar'!$W$590&gt;VAL_DATE)=0,"",'Dvd Calendar'!$W$590*1000000000+ISNUMBER('Dvd Calendar'!$W$591)*100000000+0*10000000+(N('Dvd Calendar'!$W$589)&gt;0)*(N('Dvd Calendar'!$W$589)&lt;=VAL_SERIAL)*1000000+53*1000+59))</f>
        <v/>
      </c>
      <c r="GL64" s="35">
        <f>IF(N('Dvd Calendar'!$X$590)=0,"",IF(('Dvd Calendar'!$X$590&gt;=GRID_FROM)*('Dvd Calendar'!$X$590&lt;=GRID_TO)*('Dvd Calendar'!$X$590&gt;VAL_DATE)=0,"",'Dvd Calendar'!$X$590*1000000000+ISNUMBER('Dvd Calendar'!$X$591)*100000000+0*10000000+(N('Dvd Calendar'!$X$589)&gt;0)*(N('Dvd Calendar'!$X$589)&lt;=VAL_SERIAL)*1000000+53*1000+60))</f>
        <v/>
      </c>
      <c r="GM64" s="35">
        <f>IF(N('Dvd Calendar'!$Y$590)=0,"",IF(('Dvd Calendar'!$Y$590&gt;=GRID_FROM)*('Dvd Calendar'!$Y$590&lt;=GRID_TO)*('Dvd Calendar'!$Y$590&gt;VAL_DATE)=0,"",'Dvd Calendar'!$Y$590*1000000000+ISNUMBER('Dvd Calendar'!$Y$591)*100000000+0*10000000+(N('Dvd Calendar'!$Y$589)&gt;0)*(N('Dvd Calendar'!$Y$589)&lt;=VAL_SERIAL)*1000000+53*1000+61))</f>
        <v/>
      </c>
      <c r="GN64" s="35">
        <f>IF(N('Dvd Calendar'!$Z$590)=0,"",IF(('Dvd Calendar'!$Z$590&gt;=GRID_FROM)*('Dvd Calendar'!$Z$590&lt;=GRID_TO)*('Dvd Calendar'!$Z$590&gt;VAL_DATE)=0,"",'Dvd Calendar'!$Z$590*1000000000+ISNUMBER('Dvd Calendar'!$Z$591)*100000000+0*10000000+(N('Dvd Calendar'!$Z$589)&gt;0)*(N('Dvd Calendar'!$Z$589)&lt;=VAL_SERIAL)*1000000+53*1000+62))</f>
        <v/>
      </c>
      <c r="GO64" s="35">
        <f>IF(N('Dvd Calendar'!$AA$590)=0,"",IF(('Dvd Calendar'!$AA$590&gt;=GRID_FROM)*('Dvd Calendar'!$AA$590&lt;=GRID_TO)*('Dvd Calendar'!$AA$590&gt;VAL_DATE)=0,"",'Dvd Calendar'!$AA$590*1000000000+ISNUMBER('Dvd Calendar'!$AA$591)*100000000+0*10000000+(N('Dvd Calendar'!$AA$589)&gt;0)*(N('Dvd Calendar'!$AA$589)&lt;=VAL_SERIAL)*1000000+53*1000+63))</f>
        <v/>
      </c>
      <c r="GP64" s="35">
        <f>IF(N('Dvd Calendar'!$AB$590)=0,"",IF(('Dvd Calendar'!$AB$590&gt;=GRID_FROM)*('Dvd Calendar'!$AB$590&lt;=GRID_TO)*('Dvd Calendar'!$AB$590&gt;VAL_DATE)=0,"",'Dvd Calendar'!$AB$590*1000000000+ISNUMBER('Dvd Calendar'!$AB$591)*100000000+0*10000000+(N('Dvd Calendar'!$AB$589)&gt;0)*(N('Dvd Calendar'!$AB$589)&lt;=VAL_SERIAL)*1000000+53*1000+64))</f>
        <v/>
      </c>
      <c r="GQ64" s="35">
        <f>IF(N('Dvd Calendar'!$AC$590)=0,"",IF(('Dvd Calendar'!$AC$590&gt;=GRID_FROM)*('Dvd Calendar'!$AC$590&lt;=GRID_TO)*('Dvd Calendar'!$AC$590&gt;VAL_DATE)=0,"",'Dvd Calendar'!$AC$590*1000000000+ISNUMBER('Dvd Calendar'!$AC$591)*100000000+0*10000000+(N('Dvd Calendar'!$AC$589)&gt;0)*(N('Dvd Calendar'!$AC$589)&lt;=VAL_SERIAL)*1000000+53*1000+65))</f>
        <v/>
      </c>
    </row>
    <row r="65">
      <c r="B65" s="2">
        <f>IF(HSI!$C$60="","",HSI!$C$60)</f>
        <v/>
      </c>
      <c r="C65" s="106">
        <f>IF(EE65="","",IF(ISNUMBER('Dvd Calendar'!$E$597)=FALSE,"",IF((('Dvd Calendar'!$E$599=TYPE1)*(TYPE1&lt;&gt;"")+('Dvd Calendar'!$E$599=TYPE2)*(TYPE2&lt;&gt;"")+('Dvd Calendar'!$E$599=TYPE3)*(TYPE3&lt;&gt;"")+('Dvd Calendar'!$E$599=TYPE4)*(TYPE4&lt;&gt;"")+('Dvd Calendar'!$E$599=SPECIAL_LBL)*(INC_SPECIALS="Y"))=0,"",'Dvd Calendar'!$E$597)))</f>
        <v/>
      </c>
      <c r="D65" s="106">
        <f>IF(EF65="","",IF(ISNUMBER('Dvd Calendar'!$F$597)=FALSE,"",IF((('Dvd Calendar'!$F$599=TYPE1)*(TYPE1&lt;&gt;"")+('Dvd Calendar'!$F$599=TYPE2)*(TYPE2&lt;&gt;"")+('Dvd Calendar'!$F$599=TYPE3)*(TYPE3&lt;&gt;"")+('Dvd Calendar'!$F$599=TYPE4)*(TYPE4&lt;&gt;"")+('Dvd Calendar'!$F$599=SPECIAL_LBL)*(INC_SPECIALS="Y"))=0,"",'Dvd Calendar'!$F$597)))</f>
        <v/>
      </c>
      <c r="E65" s="106">
        <f>IF(EG65="","",IF(ISNUMBER('Dvd Calendar'!$G$597)=FALSE,"",IF((('Dvd Calendar'!$G$599=TYPE1)*(TYPE1&lt;&gt;"")+('Dvd Calendar'!$G$599=TYPE2)*(TYPE2&lt;&gt;"")+('Dvd Calendar'!$G$599=TYPE3)*(TYPE3&lt;&gt;"")+('Dvd Calendar'!$G$599=TYPE4)*(TYPE4&lt;&gt;"")+('Dvd Calendar'!$G$599=SPECIAL_LBL)*(INC_SPECIALS="Y"))=0,"",'Dvd Calendar'!$G$597)))</f>
        <v/>
      </c>
      <c r="F65" s="106">
        <f>IF(EH65="","",IF(ISNUMBER('Dvd Calendar'!$H$597)=FALSE,"",IF((('Dvd Calendar'!$H$599=TYPE1)*(TYPE1&lt;&gt;"")+('Dvd Calendar'!$H$599=TYPE2)*(TYPE2&lt;&gt;"")+('Dvd Calendar'!$H$599=TYPE3)*(TYPE3&lt;&gt;"")+('Dvd Calendar'!$H$599=TYPE4)*(TYPE4&lt;&gt;"")+('Dvd Calendar'!$H$599=SPECIAL_LBL)*(INC_SPECIALS="Y"))=0,"",'Dvd Calendar'!$H$597)))</f>
        <v/>
      </c>
      <c r="G65" s="106">
        <f>IF(EI65="","",IF(ISNUMBER('Dvd Calendar'!$I$597)=FALSE,"",IF((('Dvd Calendar'!$I$599=TYPE1)*(TYPE1&lt;&gt;"")+('Dvd Calendar'!$I$599=TYPE2)*(TYPE2&lt;&gt;"")+('Dvd Calendar'!$I$599=TYPE3)*(TYPE3&lt;&gt;"")+('Dvd Calendar'!$I$599=TYPE4)*(TYPE4&lt;&gt;"")+('Dvd Calendar'!$I$599=SPECIAL_LBL)*(INC_SPECIALS="Y"))=0,"",'Dvd Calendar'!$I$597)))</f>
        <v/>
      </c>
      <c r="H65" s="106">
        <f>IF(EJ65="","",IF(ISNUMBER('Dvd Calendar'!$J$597)=FALSE,"",IF((('Dvd Calendar'!$J$599=TYPE1)*(TYPE1&lt;&gt;"")+('Dvd Calendar'!$J$599=TYPE2)*(TYPE2&lt;&gt;"")+('Dvd Calendar'!$J$599=TYPE3)*(TYPE3&lt;&gt;"")+('Dvd Calendar'!$J$599=TYPE4)*(TYPE4&lt;&gt;"")+('Dvd Calendar'!$J$599=SPECIAL_LBL)*(INC_SPECIALS="Y"))=0,"",'Dvd Calendar'!$J$597)))</f>
        <v/>
      </c>
      <c r="I65" s="106">
        <f>IF(EK65="","",IF(ISNUMBER('Dvd Calendar'!$K$597)=FALSE,"",IF((('Dvd Calendar'!$K$599=TYPE1)*(TYPE1&lt;&gt;"")+('Dvd Calendar'!$K$599=TYPE2)*(TYPE2&lt;&gt;"")+('Dvd Calendar'!$K$599=TYPE3)*(TYPE3&lt;&gt;"")+('Dvd Calendar'!$K$599=TYPE4)*(TYPE4&lt;&gt;"")+('Dvd Calendar'!$K$599=SPECIAL_LBL)*(INC_SPECIALS="Y"))=0,"",'Dvd Calendar'!$K$597)))</f>
        <v/>
      </c>
      <c r="J65" s="106">
        <f>IF(EL65="","",IF(ISNUMBER('Dvd Calendar'!$L$597)=FALSE,"",IF((('Dvd Calendar'!$L$599=TYPE1)*(TYPE1&lt;&gt;"")+('Dvd Calendar'!$L$599=TYPE2)*(TYPE2&lt;&gt;"")+('Dvd Calendar'!$L$599=TYPE3)*(TYPE3&lt;&gt;"")+('Dvd Calendar'!$L$599=TYPE4)*(TYPE4&lt;&gt;"")+('Dvd Calendar'!$L$599=SPECIAL_LBL)*(INC_SPECIALS="Y"))=0,"",'Dvd Calendar'!$L$597)))</f>
        <v/>
      </c>
      <c r="K65" s="106">
        <f>IF(EM65="","",IF(ISNUMBER('Dvd Calendar'!$M$597)=FALSE,"",IF((('Dvd Calendar'!$M$599=TYPE1)*(TYPE1&lt;&gt;"")+('Dvd Calendar'!$M$599=TYPE2)*(TYPE2&lt;&gt;"")+('Dvd Calendar'!$M$599=TYPE3)*(TYPE3&lt;&gt;"")+('Dvd Calendar'!$M$599=TYPE4)*(TYPE4&lt;&gt;"")+('Dvd Calendar'!$M$599=SPECIAL_LBL)*(INC_SPECIALS="Y"))=0,"",'Dvd Calendar'!$M$597)))</f>
        <v/>
      </c>
      <c r="L65" s="106">
        <f>IF(EN65="","",IF(ISNUMBER('Dvd Calendar'!$N$597)=FALSE,"",IF((('Dvd Calendar'!$N$599=TYPE1)*(TYPE1&lt;&gt;"")+('Dvd Calendar'!$N$599=TYPE2)*(TYPE2&lt;&gt;"")+('Dvd Calendar'!$N$599=TYPE3)*(TYPE3&lt;&gt;"")+('Dvd Calendar'!$N$599=TYPE4)*(TYPE4&lt;&gt;"")+('Dvd Calendar'!$N$599=SPECIAL_LBL)*(INC_SPECIALS="Y"))=0,"",'Dvd Calendar'!$N$597)))</f>
        <v/>
      </c>
      <c r="M65" s="106">
        <f>IF(EO65="","",IF(ISNUMBER('Dvd Calendar'!$O$597)=FALSE,"",IF((('Dvd Calendar'!$O$599=TYPE1)*(TYPE1&lt;&gt;"")+('Dvd Calendar'!$O$599=TYPE2)*(TYPE2&lt;&gt;"")+('Dvd Calendar'!$O$599=TYPE3)*(TYPE3&lt;&gt;"")+('Dvd Calendar'!$O$599=TYPE4)*(TYPE4&lt;&gt;"")+('Dvd Calendar'!$O$599=SPECIAL_LBL)*(INC_SPECIALS="Y"))=0,"",'Dvd Calendar'!$O$597)))</f>
        <v/>
      </c>
      <c r="N65" s="106">
        <f>IF(EP65="","",IF(ISNUMBER('Dvd Calendar'!$P$597)=FALSE,"",IF((('Dvd Calendar'!$P$599=TYPE1)*(TYPE1&lt;&gt;"")+('Dvd Calendar'!$P$599=TYPE2)*(TYPE2&lt;&gt;"")+('Dvd Calendar'!$P$599=TYPE3)*(TYPE3&lt;&gt;"")+('Dvd Calendar'!$P$599=TYPE4)*(TYPE4&lt;&gt;"")+('Dvd Calendar'!$P$599=SPECIAL_LBL)*(INC_SPECIALS="Y"))=0,"",'Dvd Calendar'!$P$597)))</f>
        <v/>
      </c>
      <c r="O65" s="106">
        <f>IF(EQ65="","",IF(ISNUMBER('Dvd Calendar'!$Q$597)=FALSE,"",IF((('Dvd Calendar'!$Q$599=TYPE1)*(TYPE1&lt;&gt;"")+('Dvd Calendar'!$Q$599=TYPE2)*(TYPE2&lt;&gt;"")+('Dvd Calendar'!$Q$599=TYPE3)*(TYPE3&lt;&gt;"")+('Dvd Calendar'!$Q$599=TYPE4)*(TYPE4&lt;&gt;"")+('Dvd Calendar'!$Q$599=SPECIAL_LBL)*(INC_SPECIALS="Y"))=0,"",'Dvd Calendar'!$Q$597)))</f>
        <v/>
      </c>
      <c r="P65" s="106">
        <f>IF(ER65="","",IF(ISNUMBER('Dvd Calendar'!$R$597)=FALSE,"",IF((('Dvd Calendar'!$R$599=TYPE1)*(TYPE1&lt;&gt;"")+('Dvd Calendar'!$R$599=TYPE2)*(TYPE2&lt;&gt;"")+('Dvd Calendar'!$R$599=TYPE3)*(TYPE3&lt;&gt;"")+('Dvd Calendar'!$R$599=TYPE4)*(TYPE4&lt;&gt;"")+('Dvd Calendar'!$R$599=SPECIAL_LBL)*(INC_SPECIALS="Y"))=0,"",'Dvd Calendar'!$R$597)))</f>
        <v/>
      </c>
      <c r="Q65" s="106">
        <f>IF(ES65="","",IF(ISNUMBER('Dvd Calendar'!$S$597)=FALSE,"",IF((('Dvd Calendar'!$S$599=TYPE1)*(TYPE1&lt;&gt;"")+('Dvd Calendar'!$S$599=TYPE2)*(TYPE2&lt;&gt;"")+('Dvd Calendar'!$S$599=TYPE3)*(TYPE3&lt;&gt;"")+('Dvd Calendar'!$S$599=TYPE4)*(TYPE4&lt;&gt;"")+('Dvd Calendar'!$S$599=SPECIAL_LBL)*(INC_SPECIALS="Y"))=0,"",'Dvd Calendar'!$S$597)))</f>
        <v/>
      </c>
      <c r="R65" s="106">
        <f>IF(ET65="","",IF(ISNUMBER('Dvd Calendar'!$T$597)=FALSE,"",IF((('Dvd Calendar'!$T$599=TYPE1)*(TYPE1&lt;&gt;"")+('Dvd Calendar'!$T$599=TYPE2)*(TYPE2&lt;&gt;"")+('Dvd Calendar'!$T$599=TYPE3)*(TYPE3&lt;&gt;"")+('Dvd Calendar'!$T$599=TYPE4)*(TYPE4&lt;&gt;"")+('Dvd Calendar'!$T$599=SPECIAL_LBL)*(INC_SPECIALS="Y"))=0,"",'Dvd Calendar'!$T$597)))</f>
        <v/>
      </c>
      <c r="S65" s="106">
        <f>IF(EU65="","",IF(ISNUMBER('Dvd Calendar'!$U$597)=FALSE,"",IF((('Dvd Calendar'!$U$599=TYPE1)*(TYPE1&lt;&gt;"")+('Dvd Calendar'!$U$599=TYPE2)*(TYPE2&lt;&gt;"")+('Dvd Calendar'!$U$599=TYPE3)*(TYPE3&lt;&gt;"")+('Dvd Calendar'!$U$599=TYPE4)*(TYPE4&lt;&gt;"")+('Dvd Calendar'!$U$599=SPECIAL_LBL)*(INC_SPECIALS="Y"))=0,"",'Dvd Calendar'!$U$597)))</f>
        <v/>
      </c>
      <c r="T65" s="106">
        <f>IF(EV65="","",IF(ISNUMBER('Dvd Calendar'!$V$597)=FALSE,"",IF((('Dvd Calendar'!$V$599=TYPE1)*(TYPE1&lt;&gt;"")+('Dvd Calendar'!$V$599=TYPE2)*(TYPE2&lt;&gt;"")+('Dvd Calendar'!$V$599=TYPE3)*(TYPE3&lt;&gt;"")+('Dvd Calendar'!$V$599=TYPE4)*(TYPE4&lt;&gt;"")+('Dvd Calendar'!$V$599=SPECIAL_LBL)*(INC_SPECIALS="Y"))=0,"",'Dvd Calendar'!$V$597)))</f>
        <v/>
      </c>
      <c r="U65" s="106">
        <f>IF(EW65="","",IF(ISNUMBER('Dvd Calendar'!$W$597)=FALSE,"",IF((('Dvd Calendar'!$W$599=TYPE1)*(TYPE1&lt;&gt;"")+('Dvd Calendar'!$W$599=TYPE2)*(TYPE2&lt;&gt;"")+('Dvd Calendar'!$W$599=TYPE3)*(TYPE3&lt;&gt;"")+('Dvd Calendar'!$W$599=TYPE4)*(TYPE4&lt;&gt;"")+('Dvd Calendar'!$W$599=SPECIAL_LBL)*(INC_SPECIALS="Y"))=0,"",'Dvd Calendar'!$W$597)))</f>
        <v/>
      </c>
      <c r="V65" s="106">
        <f>IF(EX65="","",IF(ISNUMBER('Dvd Calendar'!$X$597)=FALSE,"",IF((('Dvd Calendar'!$X$599=TYPE1)*(TYPE1&lt;&gt;"")+('Dvd Calendar'!$X$599=TYPE2)*(TYPE2&lt;&gt;"")+('Dvd Calendar'!$X$599=TYPE3)*(TYPE3&lt;&gt;"")+('Dvd Calendar'!$X$599=TYPE4)*(TYPE4&lt;&gt;"")+('Dvd Calendar'!$X$599=SPECIAL_LBL)*(INC_SPECIALS="Y"))=0,"",'Dvd Calendar'!$X$597)))</f>
        <v/>
      </c>
      <c r="W65" s="106">
        <f>IF(EY65="","",IF(ISNUMBER('Dvd Calendar'!$Y$597)=FALSE,"",IF((('Dvd Calendar'!$Y$599=TYPE1)*(TYPE1&lt;&gt;"")+('Dvd Calendar'!$Y$599=TYPE2)*(TYPE2&lt;&gt;"")+('Dvd Calendar'!$Y$599=TYPE3)*(TYPE3&lt;&gt;"")+('Dvd Calendar'!$Y$599=TYPE4)*(TYPE4&lt;&gt;"")+('Dvd Calendar'!$Y$599=SPECIAL_LBL)*(INC_SPECIALS="Y"))=0,"",'Dvd Calendar'!$Y$597)))</f>
        <v/>
      </c>
      <c r="X65" s="106">
        <f>IF(EZ65="","",IF(ISNUMBER('Dvd Calendar'!$Z$597)=FALSE,"",IF((('Dvd Calendar'!$Z$599=TYPE1)*(TYPE1&lt;&gt;"")+('Dvd Calendar'!$Z$599=TYPE2)*(TYPE2&lt;&gt;"")+('Dvd Calendar'!$Z$599=TYPE3)*(TYPE3&lt;&gt;"")+('Dvd Calendar'!$Z$599=TYPE4)*(TYPE4&lt;&gt;"")+('Dvd Calendar'!$Z$599=SPECIAL_LBL)*(INC_SPECIALS="Y"))=0,"",'Dvd Calendar'!$Z$597)))</f>
        <v/>
      </c>
      <c r="Y65" s="106">
        <f>IF(FA65="","",IF(ISNUMBER('Dvd Calendar'!$AA$597)=FALSE,"",IF((('Dvd Calendar'!$AA$599=TYPE1)*(TYPE1&lt;&gt;"")+('Dvd Calendar'!$AA$599=TYPE2)*(TYPE2&lt;&gt;"")+('Dvd Calendar'!$AA$599=TYPE3)*(TYPE3&lt;&gt;"")+('Dvd Calendar'!$AA$599=TYPE4)*(TYPE4&lt;&gt;"")+('Dvd Calendar'!$AA$599=SPECIAL_LBL)*(INC_SPECIALS="Y"))=0,"",'Dvd Calendar'!$AA$597)))</f>
        <v/>
      </c>
      <c r="Z65" s="106">
        <f>IF(FB65="","",IF(ISNUMBER('Dvd Calendar'!$AB$597)=FALSE,"",IF((('Dvd Calendar'!$AB$599=TYPE1)*(TYPE1&lt;&gt;"")+('Dvd Calendar'!$AB$599=TYPE2)*(TYPE2&lt;&gt;"")+('Dvd Calendar'!$AB$599=TYPE3)*(TYPE3&lt;&gt;"")+('Dvd Calendar'!$AB$599=TYPE4)*(TYPE4&lt;&gt;"")+('Dvd Calendar'!$AB$599=SPECIAL_LBL)*(INC_SPECIALS="Y"))=0,"",'Dvd Calendar'!$AB$597)))</f>
        <v/>
      </c>
      <c r="AA65" s="106">
        <f>IF(FC65="","",IF(ISNUMBER('Dvd Calendar'!$AC$597)=FALSE,"",IF((('Dvd Calendar'!$AC$599=TYPE1)*(TYPE1&lt;&gt;"")+('Dvd Calendar'!$AC$599=TYPE2)*(TYPE2&lt;&gt;"")+('Dvd Calendar'!$AC$599=TYPE3)*(TYPE3&lt;&gt;"")+('Dvd Calendar'!$AC$599=TYPE4)*(TYPE4&lt;&gt;"")+('Dvd Calendar'!$AC$599=SPECIAL_LBL)*(INC_SPECIALS="Y"))=0,"",'Dvd Calendar'!$AC$597)))</f>
        <v/>
      </c>
      <c r="AB65" s="106">
        <f>IF(FD65="","",IF(ISNUMBER('Dvd Calendar'!$AD$597)=FALSE,"",IF((('Dvd Calendar'!$AD$599=TYPE1)*(TYPE1&lt;&gt;"")+('Dvd Calendar'!$AD$599=TYPE2)*(TYPE2&lt;&gt;"")+('Dvd Calendar'!$AD$599=TYPE3)*(TYPE3&lt;&gt;"")+('Dvd Calendar'!$AD$599=TYPE4)*(TYPE4&lt;&gt;"")+('Dvd Calendar'!$AD$599=SPECIAL_LBL)*(INC_SPECIALS="Y"))=0,"",'Dvd Calendar'!$AD$597)))</f>
        <v/>
      </c>
      <c r="AC65" s="106">
        <f>IF(FE65="","",IF(ISNUMBER('Dvd Calendar'!$AE$597)=FALSE,"",IF((('Dvd Calendar'!$AE$599=TYPE1)*(TYPE1&lt;&gt;"")+('Dvd Calendar'!$AE$599=TYPE2)*(TYPE2&lt;&gt;"")+('Dvd Calendar'!$AE$599=TYPE3)*(TYPE3&lt;&gt;"")+('Dvd Calendar'!$AE$599=TYPE4)*(TYPE4&lt;&gt;"")+('Dvd Calendar'!$AE$599=SPECIAL_LBL)*(INC_SPECIALS="Y"))=0,"",'Dvd Calendar'!$AE$597)))</f>
        <v/>
      </c>
      <c r="AD65" s="106">
        <f>IF(FF65="","",IF(ISNUMBER('Dvd Calendar'!$AF$597)=FALSE,"",IF((('Dvd Calendar'!$AF$599=TYPE1)*(TYPE1&lt;&gt;"")+('Dvd Calendar'!$AF$599=TYPE2)*(TYPE2&lt;&gt;"")+('Dvd Calendar'!$AF$599=TYPE3)*(TYPE3&lt;&gt;"")+('Dvd Calendar'!$AF$599=TYPE4)*(TYPE4&lt;&gt;"")+('Dvd Calendar'!$AF$599=SPECIAL_LBL)*(INC_SPECIALS="Y"))=0,"",'Dvd Calendar'!$AF$597)))</f>
        <v/>
      </c>
      <c r="AE65" s="106">
        <f>IF(FG65="","",IF(ISNUMBER('Dvd Calendar'!$AG$597)=FALSE,"",IF((('Dvd Calendar'!$AG$599=TYPE1)*(TYPE1&lt;&gt;"")+('Dvd Calendar'!$AG$599=TYPE2)*(TYPE2&lt;&gt;"")+('Dvd Calendar'!$AG$599=TYPE3)*(TYPE3&lt;&gt;"")+('Dvd Calendar'!$AG$599=TYPE4)*(TYPE4&lt;&gt;"")+('Dvd Calendar'!$AG$599=SPECIAL_LBL)*(INC_SPECIALS="Y"))=0,"",'Dvd Calendar'!$AG$597)))</f>
        <v/>
      </c>
      <c r="AF65" s="106">
        <f>IF(FH65="","",IF(ISNUMBER('Dvd Calendar'!$AH$597)=FALSE,"",IF((('Dvd Calendar'!$AH$599=TYPE1)*(TYPE1&lt;&gt;"")+('Dvd Calendar'!$AH$599=TYPE2)*(TYPE2&lt;&gt;"")+('Dvd Calendar'!$AH$599=TYPE3)*(TYPE3&lt;&gt;"")+('Dvd Calendar'!$AH$599=TYPE4)*(TYPE4&lt;&gt;"")+('Dvd Calendar'!$AH$599=SPECIAL_LBL)*(INC_SPECIALS="Y"))=0,"",'Dvd Calendar'!$AH$597)))</f>
        <v/>
      </c>
      <c r="AG65" s="106">
        <f>IF(FI65="","",IF(ISNUMBER('Dvd Calendar'!$AI$597)=FALSE,"",IF((('Dvd Calendar'!$AI$599=TYPE1)*(TYPE1&lt;&gt;"")+('Dvd Calendar'!$AI$599=TYPE2)*(TYPE2&lt;&gt;"")+('Dvd Calendar'!$AI$599=TYPE3)*(TYPE3&lt;&gt;"")+('Dvd Calendar'!$AI$599=TYPE4)*(TYPE4&lt;&gt;"")+('Dvd Calendar'!$AI$599=SPECIAL_LBL)*(INC_SPECIALS="Y"))=0,"",'Dvd Calendar'!$AI$597)))</f>
        <v/>
      </c>
      <c r="AH65" s="106">
        <f>IF(FJ65="","",IF(ISNUMBER('Dvd Calendar'!$AJ$597)=FALSE,"",IF((('Dvd Calendar'!$AJ$599=TYPE1)*(TYPE1&lt;&gt;"")+('Dvd Calendar'!$AJ$599=TYPE2)*(TYPE2&lt;&gt;"")+('Dvd Calendar'!$AJ$599=TYPE3)*(TYPE3&lt;&gt;"")+('Dvd Calendar'!$AJ$599=TYPE4)*(TYPE4&lt;&gt;"")+('Dvd Calendar'!$AJ$599=SPECIAL_LBL)*(INC_SPECIALS="Y"))=0,"",'Dvd Calendar'!$AJ$597)))</f>
        <v/>
      </c>
      <c r="AI65" s="106">
        <f>IF(FK65="","",IF(ISNUMBER('Dvd Calendar'!$AK$597)=FALSE,"",IF((('Dvd Calendar'!$AK$599=TYPE1)*(TYPE1&lt;&gt;"")+('Dvd Calendar'!$AK$599=TYPE2)*(TYPE2&lt;&gt;"")+('Dvd Calendar'!$AK$599=TYPE3)*(TYPE3&lt;&gt;"")+('Dvd Calendar'!$AK$599=TYPE4)*(TYPE4&lt;&gt;"")+('Dvd Calendar'!$AK$599=SPECIAL_LBL)*(INC_SPECIALS="Y"))=0,"",'Dvd Calendar'!$AK$597)))</f>
        <v/>
      </c>
      <c r="AJ65" s="106">
        <f>IF(FL65="","",IF(ISNUMBER('Dvd Calendar'!$AL$597)=FALSE,"",IF((('Dvd Calendar'!$AL$599=TYPE1)*(TYPE1&lt;&gt;"")+('Dvd Calendar'!$AL$599=TYPE2)*(TYPE2&lt;&gt;"")+('Dvd Calendar'!$AL$599=TYPE3)*(TYPE3&lt;&gt;"")+('Dvd Calendar'!$AL$599=TYPE4)*(TYPE4&lt;&gt;"")+('Dvd Calendar'!$AL$599=SPECIAL_LBL)*(INC_SPECIALS="Y"))=0,"",'Dvd Calendar'!$AL$597)))</f>
        <v/>
      </c>
      <c r="AK65" s="106">
        <f>IF(FM65="","",IF(ISNUMBER('Dvd Calendar'!$AM$597)=FALSE,"",IF((('Dvd Calendar'!$AM$599=TYPE1)*(TYPE1&lt;&gt;"")+('Dvd Calendar'!$AM$599=TYPE2)*(TYPE2&lt;&gt;"")+('Dvd Calendar'!$AM$599=TYPE3)*(TYPE3&lt;&gt;"")+('Dvd Calendar'!$AM$599=TYPE4)*(TYPE4&lt;&gt;"")+('Dvd Calendar'!$AM$599=SPECIAL_LBL)*(INC_SPECIALS="Y"))=0,"",'Dvd Calendar'!$AM$597)))</f>
        <v/>
      </c>
      <c r="AL65" s="106">
        <f>IF(FN65="","",IF(ISNUMBER('Dvd Calendar'!$AN$597)=FALSE,"",IF((('Dvd Calendar'!$AN$599=TYPE1)*(TYPE1&lt;&gt;"")+('Dvd Calendar'!$AN$599=TYPE2)*(TYPE2&lt;&gt;"")+('Dvd Calendar'!$AN$599=TYPE3)*(TYPE3&lt;&gt;"")+('Dvd Calendar'!$AN$599=TYPE4)*(TYPE4&lt;&gt;"")+('Dvd Calendar'!$AN$599=SPECIAL_LBL)*(INC_SPECIALS="Y"))=0,"",'Dvd Calendar'!$AN$597)))</f>
        <v/>
      </c>
      <c r="AM65" s="106">
        <f>IF(FO65="","",IF(ISNUMBER('Dvd Calendar'!$AO$597)=FALSE,"",IF((('Dvd Calendar'!$AO$599=TYPE1)*(TYPE1&lt;&gt;"")+('Dvd Calendar'!$AO$599=TYPE2)*(TYPE2&lt;&gt;"")+('Dvd Calendar'!$AO$599=TYPE3)*(TYPE3&lt;&gt;"")+('Dvd Calendar'!$AO$599=TYPE4)*(TYPE4&lt;&gt;"")+('Dvd Calendar'!$AO$599=SPECIAL_LBL)*(INC_SPECIALS="Y"))=0,"",'Dvd Calendar'!$AO$597)))</f>
        <v/>
      </c>
      <c r="AN65" s="106">
        <f>IF(FP65="","",IF(ISNUMBER('Dvd Calendar'!$AP$597)=FALSE,"",IF((('Dvd Calendar'!$AP$599=TYPE1)*(TYPE1&lt;&gt;"")+('Dvd Calendar'!$AP$599=TYPE2)*(TYPE2&lt;&gt;"")+('Dvd Calendar'!$AP$599=TYPE3)*(TYPE3&lt;&gt;"")+('Dvd Calendar'!$AP$599=TYPE4)*(TYPE4&lt;&gt;"")+('Dvd Calendar'!$AP$599=SPECIAL_LBL)*(INC_SPECIALS="Y"))=0,"",'Dvd Calendar'!$AP$597)))</f>
        <v/>
      </c>
      <c r="AO65" s="106">
        <f>IF(FQ65="","",IF(ISNUMBER('Dvd Calendar'!$AQ$597)=FALSE,"",IF((('Dvd Calendar'!$AQ$599=TYPE1)*(TYPE1&lt;&gt;"")+('Dvd Calendar'!$AQ$599=TYPE2)*(TYPE2&lt;&gt;"")+('Dvd Calendar'!$AQ$599=TYPE3)*(TYPE3&lt;&gt;"")+('Dvd Calendar'!$AQ$599=TYPE4)*(TYPE4&lt;&gt;"")+('Dvd Calendar'!$AQ$599=SPECIAL_LBL)*(INC_SPECIALS="Y"))=0,"",'Dvd Calendar'!$AQ$597)))</f>
        <v/>
      </c>
      <c r="AP65" s="106">
        <f>IF(FR65="","",IF(ISNUMBER('Dvd Calendar'!$AR$597)=FALSE,"",IF((('Dvd Calendar'!$AR$599=TYPE1)*(TYPE1&lt;&gt;"")+('Dvd Calendar'!$AR$599=TYPE2)*(TYPE2&lt;&gt;"")+('Dvd Calendar'!$AR$599=TYPE3)*(TYPE3&lt;&gt;"")+('Dvd Calendar'!$AR$599=TYPE4)*(TYPE4&lt;&gt;"")+('Dvd Calendar'!$AR$599=SPECIAL_LBL)*(INC_SPECIALS="Y"))=0,"",'Dvd Calendar'!$AR$597)))</f>
        <v/>
      </c>
      <c r="AQ65" s="106">
        <f>IF(FS65="","",IF(ISNUMBER('Dvd Calendar'!$E$602)=FALSE,"",'Dvd Calendar'!$E$602))</f>
        <v/>
      </c>
      <c r="AR65" s="106">
        <f>IF(FT65="","",IF(ISNUMBER('Dvd Calendar'!$F$602)=FALSE,"",'Dvd Calendar'!$F$602))</f>
        <v/>
      </c>
      <c r="AS65" s="106">
        <f>IF(FU65="","",IF(ISNUMBER('Dvd Calendar'!$G$602)=FALSE,"",'Dvd Calendar'!$G$602))</f>
        <v/>
      </c>
      <c r="AT65" s="106">
        <f>IF(FV65="","",IF(ISNUMBER('Dvd Calendar'!$H$602)=FALSE,"",'Dvd Calendar'!$H$602))</f>
        <v/>
      </c>
      <c r="AU65" s="106">
        <f>IF(FW65="","",IF(ISNUMBER('Dvd Calendar'!$I$602)=FALSE,"",'Dvd Calendar'!$I$602))</f>
        <v/>
      </c>
      <c r="AV65" s="106">
        <f>IF(FX65="","",IF(ISNUMBER('Dvd Calendar'!$J$602)=FALSE,"",'Dvd Calendar'!$J$602))</f>
        <v/>
      </c>
      <c r="AW65" s="106">
        <f>IF(FY65="","",IF(ISNUMBER('Dvd Calendar'!$K$602)=FALSE,"",'Dvd Calendar'!$K$602))</f>
        <v/>
      </c>
      <c r="AX65" s="106">
        <f>IF(FZ65="","",IF(ISNUMBER('Dvd Calendar'!$L$602)=FALSE,"",'Dvd Calendar'!$L$602))</f>
        <v/>
      </c>
      <c r="AY65" s="106">
        <f>IF(GA65="","",IF(ISNUMBER('Dvd Calendar'!$M$602)=FALSE,"",'Dvd Calendar'!$M$602))</f>
        <v/>
      </c>
      <c r="AZ65" s="106">
        <f>IF(GB65="","",IF(ISNUMBER('Dvd Calendar'!$N$602)=FALSE,"",'Dvd Calendar'!$N$602))</f>
        <v/>
      </c>
      <c r="BA65" s="106">
        <f>IF(GC65="","",IF(ISNUMBER('Dvd Calendar'!$O$602)=FALSE,"",'Dvd Calendar'!$O$602))</f>
        <v/>
      </c>
      <c r="BB65" s="106">
        <f>IF(GD65="","",IF(ISNUMBER('Dvd Calendar'!$P$602)=FALSE,"",'Dvd Calendar'!$P$602))</f>
        <v/>
      </c>
      <c r="BC65" s="106">
        <f>IF(GE65="","",IF(ISNUMBER('Dvd Calendar'!$Q$602)=FALSE,"",'Dvd Calendar'!$Q$602))</f>
        <v/>
      </c>
      <c r="BD65" s="106">
        <f>IF(GF65="","",IF(ISNUMBER('Dvd Calendar'!$R$602)=FALSE,"",'Dvd Calendar'!$R$602))</f>
        <v/>
      </c>
      <c r="BE65" s="106">
        <f>IF(GG65="","",IF(ISNUMBER('Dvd Calendar'!$S$602)=FALSE,"",'Dvd Calendar'!$S$602))</f>
        <v/>
      </c>
      <c r="BF65" s="106">
        <f>IF(GH65="","",IF(ISNUMBER('Dvd Calendar'!$T$602)=FALSE,"",'Dvd Calendar'!$T$602))</f>
        <v/>
      </c>
      <c r="BG65" s="106">
        <f>IF(GI65="","",IF(ISNUMBER('Dvd Calendar'!$U$602)=FALSE,"",'Dvd Calendar'!$U$602))</f>
        <v/>
      </c>
      <c r="BH65" s="106">
        <f>IF(GJ65="","",IF(ISNUMBER('Dvd Calendar'!$V$602)=FALSE,"",'Dvd Calendar'!$V$602))</f>
        <v/>
      </c>
      <c r="BI65" s="106">
        <f>IF(GK65="","",IF(ISNUMBER('Dvd Calendar'!$W$602)=FALSE,"",'Dvd Calendar'!$W$602))</f>
        <v/>
      </c>
      <c r="BJ65" s="106">
        <f>IF(GL65="","",IF(ISNUMBER('Dvd Calendar'!$X$602)=FALSE,"",'Dvd Calendar'!$X$602))</f>
        <v/>
      </c>
      <c r="BK65" s="106">
        <f>IF(GM65="","",IF(ISNUMBER('Dvd Calendar'!$Y$602)=FALSE,"",'Dvd Calendar'!$Y$602))</f>
        <v/>
      </c>
      <c r="BL65" s="106">
        <f>IF(GN65="","",IF(ISNUMBER('Dvd Calendar'!$Z$602)=FALSE,"",'Dvd Calendar'!$Z$602))</f>
        <v/>
      </c>
      <c r="BM65" s="106">
        <f>IF(GO65="","",IF(ISNUMBER('Dvd Calendar'!$AA$602)=FALSE,"",'Dvd Calendar'!$AA$602))</f>
        <v/>
      </c>
      <c r="BN65" s="106">
        <f>IF(GP65="","",IF(ISNUMBER('Dvd Calendar'!$AB$602)=FALSE,"",'Dvd Calendar'!$AB$602))</f>
        <v/>
      </c>
      <c r="BO65" s="106">
        <f>IF(GQ65="","",IF(ISNUMBER('Dvd Calendar'!$AC$602)=FALSE,"",'Dvd Calendar'!$AC$602))</f>
        <v/>
      </c>
      <c r="BQ65" s="106">
        <f>IF(C65="","",IFERROR(C65*HSI!$B$60*HSI!$G$60/HSI!$B$3,""))</f>
        <v/>
      </c>
      <c r="BR65" s="106">
        <f>IF(D65="","",IFERROR(D65*HSI!$B$60*HSI!$G$60/HSI!$B$3,""))</f>
        <v/>
      </c>
      <c r="BS65" s="106">
        <f>IF(E65="","",IFERROR(E65*HSI!$B$60*HSI!$G$60/HSI!$B$3,""))</f>
        <v/>
      </c>
      <c r="BT65" s="106">
        <f>IF(F65="","",IFERROR(F65*HSI!$B$60*HSI!$G$60/HSI!$B$3,""))</f>
        <v/>
      </c>
      <c r="BU65" s="106">
        <f>IF(G65="","",IFERROR(G65*HSI!$B$60*HSI!$G$60/HSI!$B$3,""))</f>
        <v/>
      </c>
      <c r="BV65" s="106">
        <f>IF(H65="","",IFERROR(H65*HSI!$B$60*HSI!$G$60/HSI!$B$3,""))</f>
        <v/>
      </c>
      <c r="BW65" s="106">
        <f>IF(I65="","",IFERROR(I65*HSI!$B$60*HSI!$G$60/HSI!$B$3,""))</f>
        <v/>
      </c>
      <c r="BX65" s="106">
        <f>IF(J65="","",IFERROR(J65*HSI!$B$60*HSI!$G$60/HSI!$B$3,""))</f>
        <v/>
      </c>
      <c r="BY65" s="106">
        <f>IF(K65="","",IFERROR(K65*HSI!$B$60*HSI!$G$60/HSI!$B$3,""))</f>
        <v/>
      </c>
      <c r="BZ65" s="106">
        <f>IF(L65="","",IFERROR(L65*HSI!$B$60*HSI!$G$60/HSI!$B$3,""))</f>
        <v/>
      </c>
      <c r="CA65" s="106">
        <f>IF(M65="","",IFERROR(M65*HSI!$B$60*HSI!$G$60/HSI!$B$3,""))</f>
        <v/>
      </c>
      <c r="CB65" s="106">
        <f>IF(N65="","",IFERROR(N65*HSI!$B$60*HSI!$G$60/HSI!$B$3,""))</f>
        <v/>
      </c>
      <c r="CC65" s="106">
        <f>IF(O65="","",IFERROR(O65*HSI!$B$60*HSI!$G$60/HSI!$B$3,""))</f>
        <v/>
      </c>
      <c r="CD65" s="106">
        <f>IF(P65="","",IFERROR(P65*HSI!$B$60*HSI!$G$60/HSI!$B$3,""))</f>
        <v/>
      </c>
      <c r="CE65" s="106">
        <f>IF(Q65="","",IFERROR(Q65*HSI!$B$60*HSI!$G$60/HSI!$B$3,""))</f>
        <v/>
      </c>
      <c r="CF65" s="106">
        <f>IF(R65="","",IFERROR(R65*HSI!$B$60*HSI!$G$60/HSI!$B$3,""))</f>
        <v/>
      </c>
      <c r="CG65" s="106">
        <f>IF(S65="","",IFERROR(S65*HSI!$B$60*HSI!$G$60/HSI!$B$3,""))</f>
        <v/>
      </c>
      <c r="CH65" s="106">
        <f>IF(T65="","",IFERROR(T65*HSI!$B$60*HSI!$G$60/HSI!$B$3,""))</f>
        <v/>
      </c>
      <c r="CI65" s="106">
        <f>IF(U65="","",IFERROR(U65*HSI!$B$60*HSI!$G$60/HSI!$B$3,""))</f>
        <v/>
      </c>
      <c r="CJ65" s="106">
        <f>IF(V65="","",IFERROR(V65*HSI!$B$60*HSI!$G$60/HSI!$B$3,""))</f>
        <v/>
      </c>
      <c r="CK65" s="106">
        <f>IF(W65="","",IFERROR(W65*HSI!$B$60*HSI!$G$60/HSI!$B$3,""))</f>
        <v/>
      </c>
      <c r="CL65" s="106">
        <f>IF(X65="","",IFERROR(X65*HSI!$B$60*HSI!$G$60/HSI!$B$3,""))</f>
        <v/>
      </c>
      <c r="CM65" s="106">
        <f>IF(Y65="","",IFERROR(Y65*HSI!$B$60*HSI!$G$60/HSI!$B$3,""))</f>
        <v/>
      </c>
      <c r="CN65" s="106">
        <f>IF(Z65="","",IFERROR(Z65*HSI!$B$60*HSI!$G$60/HSI!$B$3,""))</f>
        <v/>
      </c>
      <c r="CO65" s="106">
        <f>IF(AA65="","",IFERROR(AA65*HSI!$B$60*HSI!$G$60/HSI!$B$3,""))</f>
        <v/>
      </c>
      <c r="CP65" s="106">
        <f>IF(AB65="","",IFERROR(AB65*HSI!$B$60*HSI!$G$60/HSI!$B$3,""))</f>
        <v/>
      </c>
      <c r="CQ65" s="106">
        <f>IF(AC65="","",IFERROR(AC65*HSI!$B$60*HSI!$G$60/HSI!$B$3,""))</f>
        <v/>
      </c>
      <c r="CR65" s="106">
        <f>IF(AD65="","",IFERROR(AD65*HSI!$B$60*HSI!$G$60/HSI!$B$3,""))</f>
        <v/>
      </c>
      <c r="CS65" s="106">
        <f>IF(AE65="","",IFERROR(AE65*HSI!$B$60*HSI!$G$60/HSI!$B$3,""))</f>
        <v/>
      </c>
      <c r="CT65" s="106">
        <f>IF(AF65="","",IFERROR(AF65*HSI!$B$60*HSI!$G$60/HSI!$B$3,""))</f>
        <v/>
      </c>
      <c r="CU65" s="106">
        <f>IF(AG65="","",IFERROR(AG65*HSI!$B$60*HSI!$G$60/HSI!$B$3,""))</f>
        <v/>
      </c>
      <c r="CV65" s="106">
        <f>IF(AH65="","",IFERROR(AH65*HSI!$B$60*HSI!$G$60/HSI!$B$3,""))</f>
        <v/>
      </c>
      <c r="CW65" s="106">
        <f>IF(AI65="","",IFERROR(AI65*HSI!$B$60*HSI!$G$60/HSI!$B$3,""))</f>
        <v/>
      </c>
      <c r="CX65" s="106">
        <f>IF(AJ65="","",IFERROR(AJ65*HSI!$B$60*HSI!$G$60/HSI!$B$3,""))</f>
        <v/>
      </c>
      <c r="CY65" s="106">
        <f>IF(AK65="","",IFERROR(AK65*HSI!$B$60*HSI!$G$60/HSI!$B$3,""))</f>
        <v/>
      </c>
      <c r="CZ65" s="106">
        <f>IF(AL65="","",IFERROR(AL65*HSI!$B$60*HSI!$G$60/HSI!$B$3,""))</f>
        <v/>
      </c>
      <c r="DA65" s="106">
        <f>IF(AM65="","",IFERROR(AM65*HSI!$B$60*HSI!$G$60/HSI!$B$3,""))</f>
        <v/>
      </c>
      <c r="DB65" s="106">
        <f>IF(AN65="","",IFERROR(AN65*HSI!$B$60*HSI!$G$60/HSI!$B$3,""))</f>
        <v/>
      </c>
      <c r="DC65" s="106">
        <f>IF(AO65="","",IFERROR(AO65*HSI!$B$60*HSI!$G$60/HSI!$B$3,""))</f>
        <v/>
      </c>
      <c r="DD65" s="106">
        <f>IF(AP65="","",IFERROR(AP65*HSI!$B$60*HSI!$G$60/HSI!$B$3,""))</f>
        <v/>
      </c>
      <c r="DE65" s="106">
        <f>IF(AQ65="","",IFERROR(AQ65*HSI!$B$60*HSI!$G$60/HSI!$B$3,""))</f>
        <v/>
      </c>
      <c r="DF65" s="106">
        <f>IF(AR65="","",IFERROR(AR65*HSI!$B$60*HSI!$G$60/HSI!$B$3,""))</f>
        <v/>
      </c>
      <c r="DG65" s="106">
        <f>IF(AS65="","",IFERROR(AS65*HSI!$B$60*HSI!$G$60/HSI!$B$3,""))</f>
        <v/>
      </c>
      <c r="DH65" s="106">
        <f>IF(AT65="","",IFERROR(AT65*HSI!$B$60*HSI!$G$60/HSI!$B$3,""))</f>
        <v/>
      </c>
      <c r="DI65" s="106">
        <f>IF(AU65="","",IFERROR(AU65*HSI!$B$60*HSI!$G$60/HSI!$B$3,""))</f>
        <v/>
      </c>
      <c r="DJ65" s="106">
        <f>IF(AV65="","",IFERROR(AV65*HSI!$B$60*HSI!$G$60/HSI!$B$3,""))</f>
        <v/>
      </c>
      <c r="DK65" s="106">
        <f>IF(AW65="","",IFERROR(AW65*HSI!$B$60*HSI!$G$60/HSI!$B$3,""))</f>
        <v/>
      </c>
      <c r="DL65" s="106">
        <f>IF(AX65="","",IFERROR(AX65*HSI!$B$60*HSI!$G$60/HSI!$B$3,""))</f>
        <v/>
      </c>
      <c r="DM65" s="106">
        <f>IF(AY65="","",IFERROR(AY65*HSI!$B$60*HSI!$G$60/HSI!$B$3,""))</f>
        <v/>
      </c>
      <c r="DN65" s="106">
        <f>IF(AZ65="","",IFERROR(AZ65*HSI!$B$60*HSI!$G$60/HSI!$B$3,""))</f>
        <v/>
      </c>
      <c r="DO65" s="106">
        <f>IF(BA65="","",IFERROR(BA65*HSI!$B$60*HSI!$G$60/HSI!$B$3,""))</f>
        <v/>
      </c>
      <c r="DP65" s="106">
        <f>IF(BB65="","",IFERROR(BB65*HSI!$B$60*HSI!$G$60/HSI!$B$3,""))</f>
        <v/>
      </c>
      <c r="DQ65" s="106">
        <f>IF(BC65="","",IFERROR(BC65*HSI!$B$60*HSI!$G$60/HSI!$B$3,""))</f>
        <v/>
      </c>
      <c r="DR65" s="106">
        <f>IF(BD65="","",IFERROR(BD65*HSI!$B$60*HSI!$G$60/HSI!$B$3,""))</f>
        <v/>
      </c>
      <c r="DS65" s="106">
        <f>IF(BE65="","",IFERROR(BE65*HSI!$B$60*HSI!$G$60/HSI!$B$3,""))</f>
        <v/>
      </c>
      <c r="DT65" s="106">
        <f>IF(BF65="","",IFERROR(BF65*HSI!$B$60*HSI!$G$60/HSI!$B$3,""))</f>
        <v/>
      </c>
      <c r="DU65" s="106">
        <f>IF(BG65="","",IFERROR(BG65*HSI!$B$60*HSI!$G$60/HSI!$B$3,""))</f>
        <v/>
      </c>
      <c r="DV65" s="106">
        <f>IF(BH65="","",IFERROR(BH65*HSI!$B$60*HSI!$G$60/HSI!$B$3,""))</f>
        <v/>
      </c>
      <c r="DW65" s="106">
        <f>IF(BI65="","",IFERROR(BI65*HSI!$B$60*HSI!$G$60/HSI!$B$3,""))</f>
        <v/>
      </c>
      <c r="DX65" s="106">
        <f>IF(BJ65="","",IFERROR(BJ65*HSI!$B$60*HSI!$G$60/HSI!$B$3,""))</f>
        <v/>
      </c>
      <c r="DY65" s="106">
        <f>IF(BK65="","",IFERROR(BK65*HSI!$B$60*HSI!$G$60/HSI!$B$3,""))</f>
        <v/>
      </c>
      <c r="DZ65" s="106">
        <f>IF(BL65="","",IFERROR(BL65*HSI!$B$60*HSI!$G$60/HSI!$B$3,""))</f>
        <v/>
      </c>
      <c r="EA65" s="106">
        <f>IF(BM65="","",IFERROR(BM65*HSI!$B$60*HSI!$G$60/HSI!$B$3,""))</f>
        <v/>
      </c>
      <c r="EB65" s="106">
        <f>IF(BN65="","",IFERROR(BN65*HSI!$B$60*HSI!$G$60/HSI!$B$3,""))</f>
        <v/>
      </c>
      <c r="EC65" s="106">
        <f>IF(BO65="","",IFERROR(BO65*HSI!$B$60*HSI!$G$60/HSI!$B$3,""))</f>
        <v/>
      </c>
      <c r="EE65" s="35">
        <f>IF(N('Dvd Calendar'!$E$594)=0,"",IF(('Dvd Calendar'!$E$594&gt;=GRID_FROM)*('Dvd Calendar'!$E$594&lt;=GRID_TO)*('Dvd Calendar'!$E$594&lt;=VAL_DATE)=0,"",'Dvd Calendar'!$E$594*1000000000+ISNUMBER('Dvd Calendar'!$E$597)*100000000+('Dvd Calendar'!$E$599=SPECIAL_LBL)*10000000+0*1000000+54*1000+1))</f>
        <v/>
      </c>
      <c r="EF65" s="35">
        <f>IF(N('Dvd Calendar'!$F$594)=0,"",IF(('Dvd Calendar'!$F$594&gt;=GRID_FROM)*('Dvd Calendar'!$F$594&lt;=GRID_TO)*('Dvd Calendar'!$F$594&lt;=VAL_DATE)=0,"",'Dvd Calendar'!$F$594*1000000000+ISNUMBER('Dvd Calendar'!$F$597)*100000000+('Dvd Calendar'!$F$599=SPECIAL_LBL)*10000000+0*1000000+54*1000+2))</f>
        <v/>
      </c>
      <c r="EG65" s="35">
        <f>IF(N('Dvd Calendar'!$G$594)=0,"",IF(('Dvd Calendar'!$G$594&gt;=GRID_FROM)*('Dvd Calendar'!$G$594&lt;=GRID_TO)*('Dvd Calendar'!$G$594&lt;=VAL_DATE)=0,"",'Dvd Calendar'!$G$594*1000000000+ISNUMBER('Dvd Calendar'!$G$597)*100000000+('Dvd Calendar'!$G$599=SPECIAL_LBL)*10000000+0*1000000+54*1000+3))</f>
        <v/>
      </c>
      <c r="EH65" s="35">
        <f>IF(N('Dvd Calendar'!$H$594)=0,"",IF(('Dvd Calendar'!$H$594&gt;=GRID_FROM)*('Dvd Calendar'!$H$594&lt;=GRID_TO)*('Dvd Calendar'!$H$594&lt;=VAL_DATE)=0,"",'Dvd Calendar'!$H$594*1000000000+ISNUMBER('Dvd Calendar'!$H$597)*100000000+('Dvd Calendar'!$H$599=SPECIAL_LBL)*10000000+0*1000000+54*1000+4))</f>
        <v/>
      </c>
      <c r="EI65" s="35">
        <f>IF(N('Dvd Calendar'!$I$594)=0,"",IF(('Dvd Calendar'!$I$594&gt;=GRID_FROM)*('Dvd Calendar'!$I$594&lt;=GRID_TO)*('Dvd Calendar'!$I$594&lt;=VAL_DATE)=0,"",'Dvd Calendar'!$I$594*1000000000+ISNUMBER('Dvd Calendar'!$I$597)*100000000+('Dvd Calendar'!$I$599=SPECIAL_LBL)*10000000+0*1000000+54*1000+5))</f>
        <v/>
      </c>
      <c r="EJ65" s="35">
        <f>IF(N('Dvd Calendar'!$J$594)=0,"",IF(('Dvd Calendar'!$J$594&gt;=GRID_FROM)*('Dvd Calendar'!$J$594&lt;=GRID_TO)*('Dvd Calendar'!$J$594&lt;=VAL_DATE)=0,"",'Dvd Calendar'!$J$594*1000000000+ISNUMBER('Dvd Calendar'!$J$597)*100000000+('Dvd Calendar'!$J$599=SPECIAL_LBL)*10000000+0*1000000+54*1000+6))</f>
        <v/>
      </c>
      <c r="EK65" s="35">
        <f>IF(N('Dvd Calendar'!$K$594)=0,"",IF(('Dvd Calendar'!$K$594&gt;=GRID_FROM)*('Dvd Calendar'!$K$594&lt;=GRID_TO)*('Dvd Calendar'!$K$594&lt;=VAL_DATE)=0,"",'Dvd Calendar'!$K$594*1000000000+ISNUMBER('Dvd Calendar'!$K$597)*100000000+('Dvd Calendar'!$K$599=SPECIAL_LBL)*10000000+0*1000000+54*1000+7))</f>
        <v/>
      </c>
      <c r="EL65" s="35">
        <f>IF(N('Dvd Calendar'!$L$594)=0,"",IF(('Dvd Calendar'!$L$594&gt;=GRID_FROM)*('Dvd Calendar'!$L$594&lt;=GRID_TO)*('Dvd Calendar'!$L$594&lt;=VAL_DATE)=0,"",'Dvd Calendar'!$L$594*1000000000+ISNUMBER('Dvd Calendar'!$L$597)*100000000+('Dvd Calendar'!$L$599=SPECIAL_LBL)*10000000+0*1000000+54*1000+8))</f>
        <v/>
      </c>
      <c r="EM65" s="35">
        <f>IF(N('Dvd Calendar'!$M$594)=0,"",IF(('Dvd Calendar'!$M$594&gt;=GRID_FROM)*('Dvd Calendar'!$M$594&lt;=GRID_TO)*('Dvd Calendar'!$M$594&lt;=VAL_DATE)=0,"",'Dvd Calendar'!$M$594*1000000000+ISNUMBER('Dvd Calendar'!$M$597)*100000000+('Dvd Calendar'!$M$599=SPECIAL_LBL)*10000000+0*1000000+54*1000+9))</f>
        <v/>
      </c>
      <c r="EN65" s="35">
        <f>IF(N('Dvd Calendar'!$N$594)=0,"",IF(('Dvd Calendar'!$N$594&gt;=GRID_FROM)*('Dvd Calendar'!$N$594&lt;=GRID_TO)*('Dvd Calendar'!$N$594&lt;=VAL_DATE)=0,"",'Dvd Calendar'!$N$594*1000000000+ISNUMBER('Dvd Calendar'!$N$597)*100000000+('Dvd Calendar'!$N$599=SPECIAL_LBL)*10000000+0*1000000+54*1000+10))</f>
        <v/>
      </c>
      <c r="EO65" s="35">
        <f>IF(N('Dvd Calendar'!$O$594)=0,"",IF(('Dvd Calendar'!$O$594&gt;=GRID_FROM)*('Dvd Calendar'!$O$594&lt;=GRID_TO)*('Dvd Calendar'!$O$594&lt;=VAL_DATE)=0,"",'Dvd Calendar'!$O$594*1000000000+ISNUMBER('Dvd Calendar'!$O$597)*100000000+('Dvd Calendar'!$O$599=SPECIAL_LBL)*10000000+0*1000000+54*1000+11))</f>
        <v/>
      </c>
      <c r="EP65" s="35">
        <f>IF(N('Dvd Calendar'!$P$594)=0,"",IF(('Dvd Calendar'!$P$594&gt;=GRID_FROM)*('Dvd Calendar'!$P$594&lt;=GRID_TO)*('Dvd Calendar'!$P$594&lt;=VAL_DATE)=0,"",'Dvd Calendar'!$P$594*1000000000+ISNUMBER('Dvd Calendar'!$P$597)*100000000+('Dvd Calendar'!$P$599=SPECIAL_LBL)*10000000+0*1000000+54*1000+12))</f>
        <v/>
      </c>
      <c r="EQ65" s="35">
        <f>IF(N('Dvd Calendar'!$Q$594)=0,"",IF(('Dvd Calendar'!$Q$594&gt;=GRID_FROM)*('Dvd Calendar'!$Q$594&lt;=GRID_TO)*('Dvd Calendar'!$Q$594&lt;=VAL_DATE)=0,"",'Dvd Calendar'!$Q$594*1000000000+ISNUMBER('Dvd Calendar'!$Q$597)*100000000+('Dvd Calendar'!$Q$599=SPECIAL_LBL)*10000000+0*1000000+54*1000+13))</f>
        <v/>
      </c>
      <c r="ER65" s="35">
        <f>IF(N('Dvd Calendar'!$R$594)=0,"",IF(('Dvd Calendar'!$R$594&gt;=GRID_FROM)*('Dvd Calendar'!$R$594&lt;=GRID_TO)*('Dvd Calendar'!$R$594&lt;=VAL_DATE)=0,"",'Dvd Calendar'!$R$594*1000000000+ISNUMBER('Dvd Calendar'!$R$597)*100000000+('Dvd Calendar'!$R$599=SPECIAL_LBL)*10000000+0*1000000+54*1000+14))</f>
        <v/>
      </c>
      <c r="ES65" s="35">
        <f>IF(N('Dvd Calendar'!$S$594)=0,"",IF(('Dvd Calendar'!$S$594&gt;=GRID_FROM)*('Dvd Calendar'!$S$594&lt;=GRID_TO)*('Dvd Calendar'!$S$594&lt;=VAL_DATE)=0,"",'Dvd Calendar'!$S$594*1000000000+ISNUMBER('Dvd Calendar'!$S$597)*100000000+('Dvd Calendar'!$S$599=SPECIAL_LBL)*10000000+0*1000000+54*1000+15))</f>
        <v/>
      </c>
      <c r="ET65" s="35">
        <f>IF(N('Dvd Calendar'!$T$594)=0,"",IF(('Dvd Calendar'!$T$594&gt;=GRID_FROM)*('Dvd Calendar'!$T$594&lt;=GRID_TO)*('Dvd Calendar'!$T$594&lt;=VAL_DATE)=0,"",'Dvd Calendar'!$T$594*1000000000+ISNUMBER('Dvd Calendar'!$T$597)*100000000+('Dvd Calendar'!$T$599=SPECIAL_LBL)*10000000+0*1000000+54*1000+16))</f>
        <v/>
      </c>
      <c r="EU65" s="35">
        <f>IF(N('Dvd Calendar'!$U$594)=0,"",IF(('Dvd Calendar'!$U$594&gt;=GRID_FROM)*('Dvd Calendar'!$U$594&lt;=GRID_TO)*('Dvd Calendar'!$U$594&lt;=VAL_DATE)=0,"",'Dvd Calendar'!$U$594*1000000000+ISNUMBER('Dvd Calendar'!$U$597)*100000000+('Dvd Calendar'!$U$599=SPECIAL_LBL)*10000000+0*1000000+54*1000+17))</f>
        <v/>
      </c>
      <c r="EV65" s="35">
        <f>IF(N('Dvd Calendar'!$V$594)=0,"",IF(('Dvd Calendar'!$V$594&gt;=GRID_FROM)*('Dvd Calendar'!$V$594&lt;=GRID_TO)*('Dvd Calendar'!$V$594&lt;=VAL_DATE)=0,"",'Dvd Calendar'!$V$594*1000000000+ISNUMBER('Dvd Calendar'!$V$597)*100000000+('Dvd Calendar'!$V$599=SPECIAL_LBL)*10000000+0*1000000+54*1000+18))</f>
        <v/>
      </c>
      <c r="EW65" s="35">
        <f>IF(N('Dvd Calendar'!$W$594)=0,"",IF(('Dvd Calendar'!$W$594&gt;=GRID_FROM)*('Dvd Calendar'!$W$594&lt;=GRID_TO)*('Dvd Calendar'!$W$594&lt;=VAL_DATE)=0,"",'Dvd Calendar'!$W$594*1000000000+ISNUMBER('Dvd Calendar'!$W$597)*100000000+('Dvd Calendar'!$W$599=SPECIAL_LBL)*10000000+0*1000000+54*1000+19))</f>
        <v/>
      </c>
      <c r="EX65" s="35">
        <f>IF(N('Dvd Calendar'!$X$594)=0,"",IF(('Dvd Calendar'!$X$594&gt;=GRID_FROM)*('Dvd Calendar'!$X$594&lt;=GRID_TO)*('Dvd Calendar'!$X$594&lt;=VAL_DATE)=0,"",'Dvd Calendar'!$X$594*1000000000+ISNUMBER('Dvd Calendar'!$X$597)*100000000+('Dvd Calendar'!$X$599=SPECIAL_LBL)*10000000+0*1000000+54*1000+20))</f>
        <v/>
      </c>
      <c r="EY65" s="35">
        <f>IF(N('Dvd Calendar'!$Y$594)=0,"",IF(('Dvd Calendar'!$Y$594&gt;=GRID_FROM)*('Dvd Calendar'!$Y$594&lt;=GRID_TO)*('Dvd Calendar'!$Y$594&lt;=VAL_DATE)=0,"",'Dvd Calendar'!$Y$594*1000000000+ISNUMBER('Dvd Calendar'!$Y$597)*100000000+('Dvd Calendar'!$Y$599=SPECIAL_LBL)*10000000+0*1000000+54*1000+21))</f>
        <v/>
      </c>
      <c r="EZ65" s="35">
        <f>IF(N('Dvd Calendar'!$Z$594)=0,"",IF(('Dvd Calendar'!$Z$594&gt;=GRID_FROM)*('Dvd Calendar'!$Z$594&lt;=GRID_TO)*('Dvd Calendar'!$Z$594&lt;=VAL_DATE)=0,"",'Dvd Calendar'!$Z$594*1000000000+ISNUMBER('Dvd Calendar'!$Z$597)*100000000+('Dvd Calendar'!$Z$599=SPECIAL_LBL)*10000000+0*1000000+54*1000+22))</f>
        <v/>
      </c>
      <c r="FA65" s="35">
        <f>IF(N('Dvd Calendar'!$AA$594)=0,"",IF(('Dvd Calendar'!$AA$594&gt;=GRID_FROM)*('Dvd Calendar'!$AA$594&lt;=GRID_TO)*('Dvd Calendar'!$AA$594&lt;=VAL_DATE)=0,"",'Dvd Calendar'!$AA$594*1000000000+ISNUMBER('Dvd Calendar'!$AA$597)*100000000+('Dvd Calendar'!$AA$599=SPECIAL_LBL)*10000000+0*1000000+54*1000+23))</f>
        <v/>
      </c>
      <c r="FB65" s="35">
        <f>IF(N('Dvd Calendar'!$AB$594)=0,"",IF(('Dvd Calendar'!$AB$594&gt;=GRID_FROM)*('Dvd Calendar'!$AB$594&lt;=GRID_TO)*('Dvd Calendar'!$AB$594&lt;=VAL_DATE)=0,"",'Dvd Calendar'!$AB$594*1000000000+ISNUMBER('Dvd Calendar'!$AB$597)*100000000+('Dvd Calendar'!$AB$599=SPECIAL_LBL)*10000000+0*1000000+54*1000+24))</f>
        <v/>
      </c>
      <c r="FC65" s="35">
        <f>IF(N('Dvd Calendar'!$AC$594)=0,"",IF(('Dvd Calendar'!$AC$594&gt;=GRID_FROM)*('Dvd Calendar'!$AC$594&lt;=GRID_TO)*('Dvd Calendar'!$AC$594&lt;=VAL_DATE)=0,"",'Dvd Calendar'!$AC$594*1000000000+ISNUMBER('Dvd Calendar'!$AC$597)*100000000+('Dvd Calendar'!$AC$599=SPECIAL_LBL)*10000000+0*1000000+54*1000+25))</f>
        <v/>
      </c>
      <c r="FD65" s="35">
        <f>IF(N('Dvd Calendar'!$AD$594)=0,"",IF(('Dvd Calendar'!$AD$594&gt;=GRID_FROM)*('Dvd Calendar'!$AD$594&lt;=GRID_TO)*('Dvd Calendar'!$AD$594&lt;=VAL_DATE)=0,"",'Dvd Calendar'!$AD$594*1000000000+ISNUMBER('Dvd Calendar'!$AD$597)*100000000+('Dvd Calendar'!$AD$599=SPECIAL_LBL)*10000000+0*1000000+54*1000+26))</f>
        <v/>
      </c>
      <c r="FE65" s="35">
        <f>IF(N('Dvd Calendar'!$AE$594)=0,"",IF(('Dvd Calendar'!$AE$594&gt;=GRID_FROM)*('Dvd Calendar'!$AE$594&lt;=GRID_TO)*('Dvd Calendar'!$AE$594&lt;=VAL_DATE)=0,"",'Dvd Calendar'!$AE$594*1000000000+ISNUMBER('Dvd Calendar'!$AE$597)*100000000+('Dvd Calendar'!$AE$599=SPECIAL_LBL)*10000000+0*1000000+54*1000+27))</f>
        <v/>
      </c>
      <c r="FF65" s="35">
        <f>IF(N('Dvd Calendar'!$AF$594)=0,"",IF(('Dvd Calendar'!$AF$594&gt;=GRID_FROM)*('Dvd Calendar'!$AF$594&lt;=GRID_TO)*('Dvd Calendar'!$AF$594&lt;=VAL_DATE)=0,"",'Dvd Calendar'!$AF$594*1000000000+ISNUMBER('Dvd Calendar'!$AF$597)*100000000+('Dvd Calendar'!$AF$599=SPECIAL_LBL)*10000000+0*1000000+54*1000+28))</f>
        <v/>
      </c>
      <c r="FG65" s="35">
        <f>IF(N('Dvd Calendar'!$AG$594)=0,"",IF(('Dvd Calendar'!$AG$594&gt;=GRID_FROM)*('Dvd Calendar'!$AG$594&lt;=GRID_TO)*('Dvd Calendar'!$AG$594&lt;=VAL_DATE)=0,"",'Dvd Calendar'!$AG$594*1000000000+ISNUMBER('Dvd Calendar'!$AG$597)*100000000+('Dvd Calendar'!$AG$599=SPECIAL_LBL)*10000000+0*1000000+54*1000+29))</f>
        <v/>
      </c>
      <c r="FH65" s="35">
        <f>IF(N('Dvd Calendar'!$AH$594)=0,"",IF(('Dvd Calendar'!$AH$594&gt;=GRID_FROM)*('Dvd Calendar'!$AH$594&lt;=GRID_TO)*('Dvd Calendar'!$AH$594&lt;=VAL_DATE)=0,"",'Dvd Calendar'!$AH$594*1000000000+ISNUMBER('Dvd Calendar'!$AH$597)*100000000+('Dvd Calendar'!$AH$599=SPECIAL_LBL)*10000000+0*1000000+54*1000+30))</f>
        <v/>
      </c>
      <c r="FI65" s="35">
        <f>IF(N('Dvd Calendar'!$AI$594)=0,"",IF(('Dvd Calendar'!$AI$594&gt;=GRID_FROM)*('Dvd Calendar'!$AI$594&lt;=GRID_TO)*('Dvd Calendar'!$AI$594&lt;=VAL_DATE)=0,"",'Dvd Calendar'!$AI$594*1000000000+ISNUMBER('Dvd Calendar'!$AI$597)*100000000+('Dvd Calendar'!$AI$599=SPECIAL_LBL)*10000000+0*1000000+54*1000+31))</f>
        <v/>
      </c>
      <c r="FJ65" s="35">
        <f>IF(N('Dvd Calendar'!$AJ$594)=0,"",IF(('Dvd Calendar'!$AJ$594&gt;=GRID_FROM)*('Dvd Calendar'!$AJ$594&lt;=GRID_TO)*('Dvd Calendar'!$AJ$594&lt;=VAL_DATE)=0,"",'Dvd Calendar'!$AJ$594*1000000000+ISNUMBER('Dvd Calendar'!$AJ$597)*100000000+('Dvd Calendar'!$AJ$599=SPECIAL_LBL)*10000000+0*1000000+54*1000+32))</f>
        <v/>
      </c>
      <c r="FK65" s="35">
        <f>IF(N('Dvd Calendar'!$AK$594)=0,"",IF(('Dvd Calendar'!$AK$594&gt;=GRID_FROM)*('Dvd Calendar'!$AK$594&lt;=GRID_TO)*('Dvd Calendar'!$AK$594&lt;=VAL_DATE)=0,"",'Dvd Calendar'!$AK$594*1000000000+ISNUMBER('Dvd Calendar'!$AK$597)*100000000+('Dvd Calendar'!$AK$599=SPECIAL_LBL)*10000000+0*1000000+54*1000+33))</f>
        <v/>
      </c>
      <c r="FL65" s="35">
        <f>IF(N('Dvd Calendar'!$AL$594)=0,"",IF(('Dvd Calendar'!$AL$594&gt;=GRID_FROM)*('Dvd Calendar'!$AL$594&lt;=GRID_TO)*('Dvd Calendar'!$AL$594&lt;=VAL_DATE)=0,"",'Dvd Calendar'!$AL$594*1000000000+ISNUMBER('Dvd Calendar'!$AL$597)*100000000+('Dvd Calendar'!$AL$599=SPECIAL_LBL)*10000000+0*1000000+54*1000+34))</f>
        <v/>
      </c>
      <c r="FM65" s="35">
        <f>IF(N('Dvd Calendar'!$AM$594)=0,"",IF(('Dvd Calendar'!$AM$594&gt;=GRID_FROM)*('Dvd Calendar'!$AM$594&lt;=GRID_TO)*('Dvd Calendar'!$AM$594&lt;=VAL_DATE)=0,"",'Dvd Calendar'!$AM$594*1000000000+ISNUMBER('Dvd Calendar'!$AM$597)*100000000+('Dvd Calendar'!$AM$599=SPECIAL_LBL)*10000000+0*1000000+54*1000+35))</f>
        <v/>
      </c>
      <c r="FN65" s="35">
        <f>IF(N('Dvd Calendar'!$AN$594)=0,"",IF(('Dvd Calendar'!$AN$594&gt;=GRID_FROM)*('Dvd Calendar'!$AN$594&lt;=GRID_TO)*('Dvd Calendar'!$AN$594&lt;=VAL_DATE)=0,"",'Dvd Calendar'!$AN$594*1000000000+ISNUMBER('Dvd Calendar'!$AN$597)*100000000+('Dvd Calendar'!$AN$599=SPECIAL_LBL)*10000000+0*1000000+54*1000+36))</f>
        <v/>
      </c>
      <c r="FO65" s="35">
        <f>IF(N('Dvd Calendar'!$AO$594)=0,"",IF(('Dvd Calendar'!$AO$594&gt;=GRID_FROM)*('Dvd Calendar'!$AO$594&lt;=GRID_TO)*('Dvd Calendar'!$AO$594&lt;=VAL_DATE)=0,"",'Dvd Calendar'!$AO$594*1000000000+ISNUMBER('Dvd Calendar'!$AO$597)*100000000+('Dvd Calendar'!$AO$599=SPECIAL_LBL)*10000000+0*1000000+54*1000+37))</f>
        <v/>
      </c>
      <c r="FP65" s="35">
        <f>IF(N('Dvd Calendar'!$AP$594)=0,"",IF(('Dvd Calendar'!$AP$594&gt;=GRID_FROM)*('Dvd Calendar'!$AP$594&lt;=GRID_TO)*('Dvd Calendar'!$AP$594&lt;=VAL_DATE)=0,"",'Dvd Calendar'!$AP$594*1000000000+ISNUMBER('Dvd Calendar'!$AP$597)*100000000+('Dvd Calendar'!$AP$599=SPECIAL_LBL)*10000000+0*1000000+54*1000+38))</f>
        <v/>
      </c>
      <c r="FQ65" s="35">
        <f>IF(N('Dvd Calendar'!$AQ$594)=0,"",IF(('Dvd Calendar'!$AQ$594&gt;=GRID_FROM)*('Dvd Calendar'!$AQ$594&lt;=GRID_TO)*('Dvd Calendar'!$AQ$594&lt;=VAL_DATE)=0,"",'Dvd Calendar'!$AQ$594*1000000000+ISNUMBER('Dvd Calendar'!$AQ$597)*100000000+('Dvd Calendar'!$AQ$599=SPECIAL_LBL)*10000000+0*1000000+54*1000+39))</f>
        <v/>
      </c>
      <c r="FR65" s="35">
        <f>IF(N('Dvd Calendar'!$AR$594)=0,"",IF(('Dvd Calendar'!$AR$594&gt;=GRID_FROM)*('Dvd Calendar'!$AR$594&lt;=GRID_TO)*('Dvd Calendar'!$AR$594&lt;=VAL_DATE)=0,"",'Dvd Calendar'!$AR$594*1000000000+ISNUMBER('Dvd Calendar'!$AR$597)*100000000+('Dvd Calendar'!$AR$599=SPECIAL_LBL)*10000000+0*1000000+54*1000+40))</f>
        <v/>
      </c>
      <c r="FS65" s="35">
        <f>IF(N('Dvd Calendar'!$E$601)=0,"",IF(('Dvd Calendar'!$E$601&gt;=GRID_FROM)*('Dvd Calendar'!$E$601&lt;=GRID_TO)*('Dvd Calendar'!$E$601&gt;VAL_DATE)=0,"",'Dvd Calendar'!$E$601*1000000000+ISNUMBER('Dvd Calendar'!$E$602)*100000000+0*10000000+(N('Dvd Calendar'!$E$600)&gt;0)*(N('Dvd Calendar'!$E$600)&lt;=VAL_SERIAL)*1000000+54*1000+41))</f>
        <v/>
      </c>
      <c r="FT65" s="35">
        <f>IF(N('Dvd Calendar'!$F$601)=0,"",IF(('Dvd Calendar'!$F$601&gt;=GRID_FROM)*('Dvd Calendar'!$F$601&lt;=GRID_TO)*('Dvd Calendar'!$F$601&gt;VAL_DATE)=0,"",'Dvd Calendar'!$F$601*1000000000+ISNUMBER('Dvd Calendar'!$F$602)*100000000+0*10000000+(N('Dvd Calendar'!$F$600)&gt;0)*(N('Dvd Calendar'!$F$600)&lt;=VAL_SERIAL)*1000000+54*1000+42))</f>
        <v/>
      </c>
      <c r="FU65" s="35">
        <f>IF(N('Dvd Calendar'!$G$601)=0,"",IF(('Dvd Calendar'!$G$601&gt;=GRID_FROM)*('Dvd Calendar'!$G$601&lt;=GRID_TO)*('Dvd Calendar'!$G$601&gt;VAL_DATE)=0,"",'Dvd Calendar'!$G$601*1000000000+ISNUMBER('Dvd Calendar'!$G$602)*100000000+0*10000000+(N('Dvd Calendar'!$G$600)&gt;0)*(N('Dvd Calendar'!$G$600)&lt;=VAL_SERIAL)*1000000+54*1000+43))</f>
        <v/>
      </c>
      <c r="FV65" s="35">
        <f>IF(N('Dvd Calendar'!$H$601)=0,"",IF(('Dvd Calendar'!$H$601&gt;=GRID_FROM)*('Dvd Calendar'!$H$601&lt;=GRID_TO)*('Dvd Calendar'!$H$601&gt;VAL_DATE)=0,"",'Dvd Calendar'!$H$601*1000000000+ISNUMBER('Dvd Calendar'!$H$602)*100000000+0*10000000+(N('Dvd Calendar'!$H$600)&gt;0)*(N('Dvd Calendar'!$H$600)&lt;=VAL_SERIAL)*1000000+54*1000+44))</f>
        <v/>
      </c>
      <c r="FW65" s="35">
        <f>IF(N('Dvd Calendar'!$I$601)=0,"",IF(('Dvd Calendar'!$I$601&gt;=GRID_FROM)*('Dvd Calendar'!$I$601&lt;=GRID_TO)*('Dvd Calendar'!$I$601&gt;VAL_DATE)=0,"",'Dvd Calendar'!$I$601*1000000000+ISNUMBER('Dvd Calendar'!$I$602)*100000000+0*10000000+(N('Dvd Calendar'!$I$600)&gt;0)*(N('Dvd Calendar'!$I$600)&lt;=VAL_SERIAL)*1000000+54*1000+45))</f>
        <v/>
      </c>
      <c r="FX65" s="35">
        <f>IF(N('Dvd Calendar'!$J$601)=0,"",IF(('Dvd Calendar'!$J$601&gt;=GRID_FROM)*('Dvd Calendar'!$J$601&lt;=GRID_TO)*('Dvd Calendar'!$J$601&gt;VAL_DATE)=0,"",'Dvd Calendar'!$J$601*1000000000+ISNUMBER('Dvd Calendar'!$J$602)*100000000+0*10000000+(N('Dvd Calendar'!$J$600)&gt;0)*(N('Dvd Calendar'!$J$600)&lt;=VAL_SERIAL)*1000000+54*1000+46))</f>
        <v/>
      </c>
      <c r="FY65" s="35">
        <f>IF(N('Dvd Calendar'!$K$601)=0,"",IF(('Dvd Calendar'!$K$601&gt;=GRID_FROM)*('Dvd Calendar'!$K$601&lt;=GRID_TO)*('Dvd Calendar'!$K$601&gt;VAL_DATE)=0,"",'Dvd Calendar'!$K$601*1000000000+ISNUMBER('Dvd Calendar'!$K$602)*100000000+0*10000000+(N('Dvd Calendar'!$K$600)&gt;0)*(N('Dvd Calendar'!$K$600)&lt;=VAL_SERIAL)*1000000+54*1000+47))</f>
        <v/>
      </c>
      <c r="FZ65" s="35">
        <f>IF(N('Dvd Calendar'!$L$601)=0,"",IF(('Dvd Calendar'!$L$601&gt;=GRID_FROM)*('Dvd Calendar'!$L$601&lt;=GRID_TO)*('Dvd Calendar'!$L$601&gt;VAL_DATE)=0,"",'Dvd Calendar'!$L$601*1000000000+ISNUMBER('Dvd Calendar'!$L$602)*100000000+0*10000000+(N('Dvd Calendar'!$L$600)&gt;0)*(N('Dvd Calendar'!$L$600)&lt;=VAL_SERIAL)*1000000+54*1000+48))</f>
        <v/>
      </c>
      <c r="GA65" s="35">
        <f>IF(N('Dvd Calendar'!$M$601)=0,"",IF(('Dvd Calendar'!$M$601&gt;=GRID_FROM)*('Dvd Calendar'!$M$601&lt;=GRID_TO)*('Dvd Calendar'!$M$601&gt;VAL_DATE)=0,"",'Dvd Calendar'!$M$601*1000000000+ISNUMBER('Dvd Calendar'!$M$602)*100000000+0*10000000+(N('Dvd Calendar'!$M$600)&gt;0)*(N('Dvd Calendar'!$M$600)&lt;=VAL_SERIAL)*1000000+54*1000+49))</f>
        <v/>
      </c>
      <c r="GB65" s="35">
        <f>IF(N('Dvd Calendar'!$N$601)=0,"",IF(('Dvd Calendar'!$N$601&gt;=GRID_FROM)*('Dvd Calendar'!$N$601&lt;=GRID_TO)*('Dvd Calendar'!$N$601&gt;VAL_DATE)=0,"",'Dvd Calendar'!$N$601*1000000000+ISNUMBER('Dvd Calendar'!$N$602)*100000000+0*10000000+(N('Dvd Calendar'!$N$600)&gt;0)*(N('Dvd Calendar'!$N$600)&lt;=VAL_SERIAL)*1000000+54*1000+50))</f>
        <v/>
      </c>
      <c r="GC65" s="35">
        <f>IF(N('Dvd Calendar'!$O$601)=0,"",IF(('Dvd Calendar'!$O$601&gt;=GRID_FROM)*('Dvd Calendar'!$O$601&lt;=GRID_TO)*('Dvd Calendar'!$O$601&gt;VAL_DATE)=0,"",'Dvd Calendar'!$O$601*1000000000+ISNUMBER('Dvd Calendar'!$O$602)*100000000+0*10000000+(N('Dvd Calendar'!$O$600)&gt;0)*(N('Dvd Calendar'!$O$600)&lt;=VAL_SERIAL)*1000000+54*1000+51))</f>
        <v/>
      </c>
      <c r="GD65" s="35">
        <f>IF(N('Dvd Calendar'!$P$601)=0,"",IF(('Dvd Calendar'!$P$601&gt;=GRID_FROM)*('Dvd Calendar'!$P$601&lt;=GRID_TO)*('Dvd Calendar'!$P$601&gt;VAL_DATE)=0,"",'Dvd Calendar'!$P$601*1000000000+ISNUMBER('Dvd Calendar'!$P$602)*100000000+0*10000000+(N('Dvd Calendar'!$P$600)&gt;0)*(N('Dvd Calendar'!$P$600)&lt;=VAL_SERIAL)*1000000+54*1000+52))</f>
        <v/>
      </c>
      <c r="GE65" s="35">
        <f>IF(N('Dvd Calendar'!$Q$601)=0,"",IF(('Dvd Calendar'!$Q$601&gt;=GRID_FROM)*('Dvd Calendar'!$Q$601&lt;=GRID_TO)*('Dvd Calendar'!$Q$601&gt;VAL_DATE)=0,"",'Dvd Calendar'!$Q$601*1000000000+ISNUMBER('Dvd Calendar'!$Q$602)*100000000+0*10000000+(N('Dvd Calendar'!$Q$600)&gt;0)*(N('Dvd Calendar'!$Q$600)&lt;=VAL_SERIAL)*1000000+54*1000+53))</f>
        <v/>
      </c>
      <c r="GF65" s="35">
        <f>IF(N('Dvd Calendar'!$R$601)=0,"",IF(('Dvd Calendar'!$R$601&gt;=GRID_FROM)*('Dvd Calendar'!$R$601&lt;=GRID_TO)*('Dvd Calendar'!$R$601&gt;VAL_DATE)=0,"",'Dvd Calendar'!$R$601*1000000000+ISNUMBER('Dvd Calendar'!$R$602)*100000000+0*10000000+(N('Dvd Calendar'!$R$600)&gt;0)*(N('Dvd Calendar'!$R$600)&lt;=VAL_SERIAL)*1000000+54*1000+54))</f>
        <v/>
      </c>
      <c r="GG65" s="35">
        <f>IF(N('Dvd Calendar'!$S$601)=0,"",IF(('Dvd Calendar'!$S$601&gt;=GRID_FROM)*('Dvd Calendar'!$S$601&lt;=GRID_TO)*('Dvd Calendar'!$S$601&gt;VAL_DATE)=0,"",'Dvd Calendar'!$S$601*1000000000+ISNUMBER('Dvd Calendar'!$S$602)*100000000+0*10000000+(N('Dvd Calendar'!$S$600)&gt;0)*(N('Dvd Calendar'!$S$600)&lt;=VAL_SERIAL)*1000000+54*1000+55))</f>
        <v/>
      </c>
      <c r="GH65" s="35">
        <f>IF(N('Dvd Calendar'!$T$601)=0,"",IF(('Dvd Calendar'!$T$601&gt;=GRID_FROM)*('Dvd Calendar'!$T$601&lt;=GRID_TO)*('Dvd Calendar'!$T$601&gt;VAL_DATE)=0,"",'Dvd Calendar'!$T$601*1000000000+ISNUMBER('Dvd Calendar'!$T$602)*100000000+0*10000000+(N('Dvd Calendar'!$T$600)&gt;0)*(N('Dvd Calendar'!$T$600)&lt;=VAL_SERIAL)*1000000+54*1000+56))</f>
        <v/>
      </c>
      <c r="GI65" s="35">
        <f>IF(N('Dvd Calendar'!$U$601)=0,"",IF(('Dvd Calendar'!$U$601&gt;=GRID_FROM)*('Dvd Calendar'!$U$601&lt;=GRID_TO)*('Dvd Calendar'!$U$601&gt;VAL_DATE)=0,"",'Dvd Calendar'!$U$601*1000000000+ISNUMBER('Dvd Calendar'!$U$602)*100000000+0*10000000+(N('Dvd Calendar'!$U$600)&gt;0)*(N('Dvd Calendar'!$U$600)&lt;=VAL_SERIAL)*1000000+54*1000+57))</f>
        <v/>
      </c>
      <c r="GJ65" s="35">
        <f>IF(N('Dvd Calendar'!$V$601)=0,"",IF(('Dvd Calendar'!$V$601&gt;=GRID_FROM)*('Dvd Calendar'!$V$601&lt;=GRID_TO)*('Dvd Calendar'!$V$601&gt;VAL_DATE)=0,"",'Dvd Calendar'!$V$601*1000000000+ISNUMBER('Dvd Calendar'!$V$602)*100000000+0*10000000+(N('Dvd Calendar'!$V$600)&gt;0)*(N('Dvd Calendar'!$V$600)&lt;=VAL_SERIAL)*1000000+54*1000+58))</f>
        <v/>
      </c>
      <c r="GK65" s="35">
        <f>IF(N('Dvd Calendar'!$W$601)=0,"",IF(('Dvd Calendar'!$W$601&gt;=GRID_FROM)*('Dvd Calendar'!$W$601&lt;=GRID_TO)*('Dvd Calendar'!$W$601&gt;VAL_DATE)=0,"",'Dvd Calendar'!$W$601*1000000000+ISNUMBER('Dvd Calendar'!$W$602)*100000000+0*10000000+(N('Dvd Calendar'!$W$600)&gt;0)*(N('Dvd Calendar'!$W$600)&lt;=VAL_SERIAL)*1000000+54*1000+59))</f>
        <v/>
      </c>
      <c r="GL65" s="35">
        <f>IF(N('Dvd Calendar'!$X$601)=0,"",IF(('Dvd Calendar'!$X$601&gt;=GRID_FROM)*('Dvd Calendar'!$X$601&lt;=GRID_TO)*('Dvd Calendar'!$X$601&gt;VAL_DATE)=0,"",'Dvd Calendar'!$X$601*1000000000+ISNUMBER('Dvd Calendar'!$X$602)*100000000+0*10000000+(N('Dvd Calendar'!$X$600)&gt;0)*(N('Dvd Calendar'!$X$600)&lt;=VAL_SERIAL)*1000000+54*1000+60))</f>
        <v/>
      </c>
      <c r="GM65" s="35">
        <f>IF(N('Dvd Calendar'!$Y$601)=0,"",IF(('Dvd Calendar'!$Y$601&gt;=GRID_FROM)*('Dvd Calendar'!$Y$601&lt;=GRID_TO)*('Dvd Calendar'!$Y$601&gt;VAL_DATE)=0,"",'Dvd Calendar'!$Y$601*1000000000+ISNUMBER('Dvd Calendar'!$Y$602)*100000000+0*10000000+(N('Dvd Calendar'!$Y$600)&gt;0)*(N('Dvd Calendar'!$Y$600)&lt;=VAL_SERIAL)*1000000+54*1000+61))</f>
        <v/>
      </c>
      <c r="GN65" s="35">
        <f>IF(N('Dvd Calendar'!$Z$601)=0,"",IF(('Dvd Calendar'!$Z$601&gt;=GRID_FROM)*('Dvd Calendar'!$Z$601&lt;=GRID_TO)*('Dvd Calendar'!$Z$601&gt;VAL_DATE)=0,"",'Dvd Calendar'!$Z$601*1000000000+ISNUMBER('Dvd Calendar'!$Z$602)*100000000+0*10000000+(N('Dvd Calendar'!$Z$600)&gt;0)*(N('Dvd Calendar'!$Z$600)&lt;=VAL_SERIAL)*1000000+54*1000+62))</f>
        <v/>
      </c>
      <c r="GO65" s="35">
        <f>IF(N('Dvd Calendar'!$AA$601)=0,"",IF(('Dvd Calendar'!$AA$601&gt;=GRID_FROM)*('Dvd Calendar'!$AA$601&lt;=GRID_TO)*('Dvd Calendar'!$AA$601&gt;VAL_DATE)=0,"",'Dvd Calendar'!$AA$601*1000000000+ISNUMBER('Dvd Calendar'!$AA$602)*100000000+0*10000000+(N('Dvd Calendar'!$AA$600)&gt;0)*(N('Dvd Calendar'!$AA$600)&lt;=VAL_SERIAL)*1000000+54*1000+63))</f>
        <v/>
      </c>
      <c r="GP65" s="35">
        <f>IF(N('Dvd Calendar'!$AB$601)=0,"",IF(('Dvd Calendar'!$AB$601&gt;=GRID_FROM)*('Dvd Calendar'!$AB$601&lt;=GRID_TO)*('Dvd Calendar'!$AB$601&gt;VAL_DATE)=0,"",'Dvd Calendar'!$AB$601*1000000000+ISNUMBER('Dvd Calendar'!$AB$602)*100000000+0*10000000+(N('Dvd Calendar'!$AB$600)&gt;0)*(N('Dvd Calendar'!$AB$600)&lt;=VAL_SERIAL)*1000000+54*1000+64))</f>
        <v/>
      </c>
      <c r="GQ65" s="35">
        <f>IF(N('Dvd Calendar'!$AC$601)=0,"",IF(('Dvd Calendar'!$AC$601&gt;=GRID_FROM)*('Dvd Calendar'!$AC$601&lt;=GRID_TO)*('Dvd Calendar'!$AC$601&gt;VAL_DATE)=0,"",'Dvd Calendar'!$AC$601*1000000000+ISNUMBER('Dvd Calendar'!$AC$602)*100000000+0*10000000+(N('Dvd Calendar'!$AC$600)&gt;0)*(N('Dvd Calendar'!$AC$600)&lt;=VAL_SERIAL)*1000000+54*1000+65))</f>
        <v/>
      </c>
    </row>
    <row r="66">
      <c r="B66" s="2">
        <f>IF(HSI!$C$61="","",HSI!$C$61)</f>
        <v/>
      </c>
      <c r="C66" s="106">
        <f>IF(EE66="","",IF(ISNUMBER('Dvd Calendar'!$E$608)=FALSE,"",IF((('Dvd Calendar'!$E$610=TYPE1)*(TYPE1&lt;&gt;"")+('Dvd Calendar'!$E$610=TYPE2)*(TYPE2&lt;&gt;"")+('Dvd Calendar'!$E$610=TYPE3)*(TYPE3&lt;&gt;"")+('Dvd Calendar'!$E$610=TYPE4)*(TYPE4&lt;&gt;"")+('Dvd Calendar'!$E$610=SPECIAL_LBL)*(INC_SPECIALS="Y"))=0,"",'Dvd Calendar'!$E$608)))</f>
        <v/>
      </c>
      <c r="D66" s="106">
        <f>IF(EF66="","",IF(ISNUMBER('Dvd Calendar'!$F$608)=FALSE,"",IF((('Dvd Calendar'!$F$610=TYPE1)*(TYPE1&lt;&gt;"")+('Dvd Calendar'!$F$610=TYPE2)*(TYPE2&lt;&gt;"")+('Dvd Calendar'!$F$610=TYPE3)*(TYPE3&lt;&gt;"")+('Dvd Calendar'!$F$610=TYPE4)*(TYPE4&lt;&gt;"")+('Dvd Calendar'!$F$610=SPECIAL_LBL)*(INC_SPECIALS="Y"))=0,"",'Dvd Calendar'!$F$608)))</f>
        <v/>
      </c>
      <c r="E66" s="106">
        <f>IF(EG66="","",IF(ISNUMBER('Dvd Calendar'!$G$608)=FALSE,"",IF((('Dvd Calendar'!$G$610=TYPE1)*(TYPE1&lt;&gt;"")+('Dvd Calendar'!$G$610=TYPE2)*(TYPE2&lt;&gt;"")+('Dvd Calendar'!$G$610=TYPE3)*(TYPE3&lt;&gt;"")+('Dvd Calendar'!$G$610=TYPE4)*(TYPE4&lt;&gt;"")+('Dvd Calendar'!$G$610=SPECIAL_LBL)*(INC_SPECIALS="Y"))=0,"",'Dvd Calendar'!$G$608)))</f>
        <v/>
      </c>
      <c r="F66" s="106">
        <f>IF(EH66="","",IF(ISNUMBER('Dvd Calendar'!$H$608)=FALSE,"",IF((('Dvd Calendar'!$H$610=TYPE1)*(TYPE1&lt;&gt;"")+('Dvd Calendar'!$H$610=TYPE2)*(TYPE2&lt;&gt;"")+('Dvd Calendar'!$H$610=TYPE3)*(TYPE3&lt;&gt;"")+('Dvd Calendar'!$H$610=TYPE4)*(TYPE4&lt;&gt;"")+('Dvd Calendar'!$H$610=SPECIAL_LBL)*(INC_SPECIALS="Y"))=0,"",'Dvd Calendar'!$H$608)))</f>
        <v/>
      </c>
      <c r="G66" s="106">
        <f>IF(EI66="","",IF(ISNUMBER('Dvd Calendar'!$I$608)=FALSE,"",IF((('Dvd Calendar'!$I$610=TYPE1)*(TYPE1&lt;&gt;"")+('Dvd Calendar'!$I$610=TYPE2)*(TYPE2&lt;&gt;"")+('Dvd Calendar'!$I$610=TYPE3)*(TYPE3&lt;&gt;"")+('Dvd Calendar'!$I$610=TYPE4)*(TYPE4&lt;&gt;"")+('Dvd Calendar'!$I$610=SPECIAL_LBL)*(INC_SPECIALS="Y"))=0,"",'Dvd Calendar'!$I$608)))</f>
        <v/>
      </c>
      <c r="H66" s="106">
        <f>IF(EJ66="","",IF(ISNUMBER('Dvd Calendar'!$J$608)=FALSE,"",IF((('Dvd Calendar'!$J$610=TYPE1)*(TYPE1&lt;&gt;"")+('Dvd Calendar'!$J$610=TYPE2)*(TYPE2&lt;&gt;"")+('Dvd Calendar'!$J$610=TYPE3)*(TYPE3&lt;&gt;"")+('Dvd Calendar'!$J$610=TYPE4)*(TYPE4&lt;&gt;"")+('Dvd Calendar'!$J$610=SPECIAL_LBL)*(INC_SPECIALS="Y"))=0,"",'Dvd Calendar'!$J$608)))</f>
        <v/>
      </c>
      <c r="I66" s="106">
        <f>IF(EK66="","",IF(ISNUMBER('Dvd Calendar'!$K$608)=FALSE,"",IF((('Dvd Calendar'!$K$610=TYPE1)*(TYPE1&lt;&gt;"")+('Dvd Calendar'!$K$610=TYPE2)*(TYPE2&lt;&gt;"")+('Dvd Calendar'!$K$610=TYPE3)*(TYPE3&lt;&gt;"")+('Dvd Calendar'!$K$610=TYPE4)*(TYPE4&lt;&gt;"")+('Dvd Calendar'!$K$610=SPECIAL_LBL)*(INC_SPECIALS="Y"))=0,"",'Dvd Calendar'!$K$608)))</f>
        <v/>
      </c>
      <c r="J66" s="106">
        <f>IF(EL66="","",IF(ISNUMBER('Dvd Calendar'!$L$608)=FALSE,"",IF((('Dvd Calendar'!$L$610=TYPE1)*(TYPE1&lt;&gt;"")+('Dvd Calendar'!$L$610=TYPE2)*(TYPE2&lt;&gt;"")+('Dvd Calendar'!$L$610=TYPE3)*(TYPE3&lt;&gt;"")+('Dvd Calendar'!$L$610=TYPE4)*(TYPE4&lt;&gt;"")+('Dvd Calendar'!$L$610=SPECIAL_LBL)*(INC_SPECIALS="Y"))=0,"",'Dvd Calendar'!$L$608)))</f>
        <v/>
      </c>
      <c r="K66" s="106">
        <f>IF(EM66="","",IF(ISNUMBER('Dvd Calendar'!$M$608)=FALSE,"",IF((('Dvd Calendar'!$M$610=TYPE1)*(TYPE1&lt;&gt;"")+('Dvd Calendar'!$M$610=TYPE2)*(TYPE2&lt;&gt;"")+('Dvd Calendar'!$M$610=TYPE3)*(TYPE3&lt;&gt;"")+('Dvd Calendar'!$M$610=TYPE4)*(TYPE4&lt;&gt;"")+('Dvd Calendar'!$M$610=SPECIAL_LBL)*(INC_SPECIALS="Y"))=0,"",'Dvd Calendar'!$M$608)))</f>
        <v/>
      </c>
      <c r="L66" s="106">
        <f>IF(EN66="","",IF(ISNUMBER('Dvd Calendar'!$N$608)=FALSE,"",IF((('Dvd Calendar'!$N$610=TYPE1)*(TYPE1&lt;&gt;"")+('Dvd Calendar'!$N$610=TYPE2)*(TYPE2&lt;&gt;"")+('Dvd Calendar'!$N$610=TYPE3)*(TYPE3&lt;&gt;"")+('Dvd Calendar'!$N$610=TYPE4)*(TYPE4&lt;&gt;"")+('Dvd Calendar'!$N$610=SPECIAL_LBL)*(INC_SPECIALS="Y"))=0,"",'Dvd Calendar'!$N$608)))</f>
        <v/>
      </c>
      <c r="M66" s="106">
        <f>IF(EO66="","",IF(ISNUMBER('Dvd Calendar'!$O$608)=FALSE,"",IF((('Dvd Calendar'!$O$610=TYPE1)*(TYPE1&lt;&gt;"")+('Dvd Calendar'!$O$610=TYPE2)*(TYPE2&lt;&gt;"")+('Dvd Calendar'!$O$610=TYPE3)*(TYPE3&lt;&gt;"")+('Dvd Calendar'!$O$610=TYPE4)*(TYPE4&lt;&gt;"")+('Dvd Calendar'!$O$610=SPECIAL_LBL)*(INC_SPECIALS="Y"))=0,"",'Dvd Calendar'!$O$608)))</f>
        <v/>
      </c>
      <c r="N66" s="106">
        <f>IF(EP66="","",IF(ISNUMBER('Dvd Calendar'!$P$608)=FALSE,"",IF((('Dvd Calendar'!$P$610=TYPE1)*(TYPE1&lt;&gt;"")+('Dvd Calendar'!$P$610=TYPE2)*(TYPE2&lt;&gt;"")+('Dvd Calendar'!$P$610=TYPE3)*(TYPE3&lt;&gt;"")+('Dvd Calendar'!$P$610=TYPE4)*(TYPE4&lt;&gt;"")+('Dvd Calendar'!$P$610=SPECIAL_LBL)*(INC_SPECIALS="Y"))=0,"",'Dvd Calendar'!$P$608)))</f>
        <v/>
      </c>
      <c r="O66" s="106">
        <f>IF(EQ66="","",IF(ISNUMBER('Dvd Calendar'!$Q$608)=FALSE,"",IF((('Dvd Calendar'!$Q$610=TYPE1)*(TYPE1&lt;&gt;"")+('Dvd Calendar'!$Q$610=TYPE2)*(TYPE2&lt;&gt;"")+('Dvd Calendar'!$Q$610=TYPE3)*(TYPE3&lt;&gt;"")+('Dvd Calendar'!$Q$610=TYPE4)*(TYPE4&lt;&gt;"")+('Dvd Calendar'!$Q$610=SPECIAL_LBL)*(INC_SPECIALS="Y"))=0,"",'Dvd Calendar'!$Q$608)))</f>
        <v/>
      </c>
      <c r="P66" s="106">
        <f>IF(ER66="","",IF(ISNUMBER('Dvd Calendar'!$R$608)=FALSE,"",IF((('Dvd Calendar'!$R$610=TYPE1)*(TYPE1&lt;&gt;"")+('Dvd Calendar'!$R$610=TYPE2)*(TYPE2&lt;&gt;"")+('Dvd Calendar'!$R$610=TYPE3)*(TYPE3&lt;&gt;"")+('Dvd Calendar'!$R$610=TYPE4)*(TYPE4&lt;&gt;"")+('Dvd Calendar'!$R$610=SPECIAL_LBL)*(INC_SPECIALS="Y"))=0,"",'Dvd Calendar'!$R$608)))</f>
        <v/>
      </c>
      <c r="Q66" s="106">
        <f>IF(ES66="","",IF(ISNUMBER('Dvd Calendar'!$S$608)=FALSE,"",IF((('Dvd Calendar'!$S$610=TYPE1)*(TYPE1&lt;&gt;"")+('Dvd Calendar'!$S$610=TYPE2)*(TYPE2&lt;&gt;"")+('Dvd Calendar'!$S$610=TYPE3)*(TYPE3&lt;&gt;"")+('Dvd Calendar'!$S$610=TYPE4)*(TYPE4&lt;&gt;"")+('Dvd Calendar'!$S$610=SPECIAL_LBL)*(INC_SPECIALS="Y"))=0,"",'Dvd Calendar'!$S$608)))</f>
        <v/>
      </c>
      <c r="R66" s="106">
        <f>IF(ET66="","",IF(ISNUMBER('Dvd Calendar'!$T$608)=FALSE,"",IF((('Dvd Calendar'!$T$610=TYPE1)*(TYPE1&lt;&gt;"")+('Dvd Calendar'!$T$610=TYPE2)*(TYPE2&lt;&gt;"")+('Dvd Calendar'!$T$610=TYPE3)*(TYPE3&lt;&gt;"")+('Dvd Calendar'!$T$610=TYPE4)*(TYPE4&lt;&gt;"")+('Dvd Calendar'!$T$610=SPECIAL_LBL)*(INC_SPECIALS="Y"))=0,"",'Dvd Calendar'!$T$608)))</f>
        <v/>
      </c>
      <c r="S66" s="106">
        <f>IF(EU66="","",IF(ISNUMBER('Dvd Calendar'!$U$608)=FALSE,"",IF((('Dvd Calendar'!$U$610=TYPE1)*(TYPE1&lt;&gt;"")+('Dvd Calendar'!$U$610=TYPE2)*(TYPE2&lt;&gt;"")+('Dvd Calendar'!$U$610=TYPE3)*(TYPE3&lt;&gt;"")+('Dvd Calendar'!$U$610=TYPE4)*(TYPE4&lt;&gt;"")+('Dvd Calendar'!$U$610=SPECIAL_LBL)*(INC_SPECIALS="Y"))=0,"",'Dvd Calendar'!$U$608)))</f>
        <v/>
      </c>
      <c r="T66" s="106">
        <f>IF(EV66="","",IF(ISNUMBER('Dvd Calendar'!$V$608)=FALSE,"",IF((('Dvd Calendar'!$V$610=TYPE1)*(TYPE1&lt;&gt;"")+('Dvd Calendar'!$V$610=TYPE2)*(TYPE2&lt;&gt;"")+('Dvd Calendar'!$V$610=TYPE3)*(TYPE3&lt;&gt;"")+('Dvd Calendar'!$V$610=TYPE4)*(TYPE4&lt;&gt;"")+('Dvd Calendar'!$V$610=SPECIAL_LBL)*(INC_SPECIALS="Y"))=0,"",'Dvd Calendar'!$V$608)))</f>
        <v/>
      </c>
      <c r="U66" s="106">
        <f>IF(EW66="","",IF(ISNUMBER('Dvd Calendar'!$W$608)=FALSE,"",IF((('Dvd Calendar'!$W$610=TYPE1)*(TYPE1&lt;&gt;"")+('Dvd Calendar'!$W$610=TYPE2)*(TYPE2&lt;&gt;"")+('Dvd Calendar'!$W$610=TYPE3)*(TYPE3&lt;&gt;"")+('Dvd Calendar'!$W$610=TYPE4)*(TYPE4&lt;&gt;"")+('Dvd Calendar'!$W$610=SPECIAL_LBL)*(INC_SPECIALS="Y"))=0,"",'Dvd Calendar'!$W$608)))</f>
        <v/>
      </c>
      <c r="V66" s="106">
        <f>IF(EX66="","",IF(ISNUMBER('Dvd Calendar'!$X$608)=FALSE,"",IF((('Dvd Calendar'!$X$610=TYPE1)*(TYPE1&lt;&gt;"")+('Dvd Calendar'!$X$610=TYPE2)*(TYPE2&lt;&gt;"")+('Dvd Calendar'!$X$610=TYPE3)*(TYPE3&lt;&gt;"")+('Dvd Calendar'!$X$610=TYPE4)*(TYPE4&lt;&gt;"")+('Dvd Calendar'!$X$610=SPECIAL_LBL)*(INC_SPECIALS="Y"))=0,"",'Dvd Calendar'!$X$608)))</f>
        <v/>
      </c>
      <c r="W66" s="106">
        <f>IF(EY66="","",IF(ISNUMBER('Dvd Calendar'!$Y$608)=FALSE,"",IF((('Dvd Calendar'!$Y$610=TYPE1)*(TYPE1&lt;&gt;"")+('Dvd Calendar'!$Y$610=TYPE2)*(TYPE2&lt;&gt;"")+('Dvd Calendar'!$Y$610=TYPE3)*(TYPE3&lt;&gt;"")+('Dvd Calendar'!$Y$610=TYPE4)*(TYPE4&lt;&gt;"")+('Dvd Calendar'!$Y$610=SPECIAL_LBL)*(INC_SPECIALS="Y"))=0,"",'Dvd Calendar'!$Y$608)))</f>
        <v/>
      </c>
      <c r="X66" s="106">
        <f>IF(EZ66="","",IF(ISNUMBER('Dvd Calendar'!$Z$608)=FALSE,"",IF((('Dvd Calendar'!$Z$610=TYPE1)*(TYPE1&lt;&gt;"")+('Dvd Calendar'!$Z$610=TYPE2)*(TYPE2&lt;&gt;"")+('Dvd Calendar'!$Z$610=TYPE3)*(TYPE3&lt;&gt;"")+('Dvd Calendar'!$Z$610=TYPE4)*(TYPE4&lt;&gt;"")+('Dvd Calendar'!$Z$610=SPECIAL_LBL)*(INC_SPECIALS="Y"))=0,"",'Dvd Calendar'!$Z$608)))</f>
        <v/>
      </c>
      <c r="Y66" s="106">
        <f>IF(FA66="","",IF(ISNUMBER('Dvd Calendar'!$AA$608)=FALSE,"",IF((('Dvd Calendar'!$AA$610=TYPE1)*(TYPE1&lt;&gt;"")+('Dvd Calendar'!$AA$610=TYPE2)*(TYPE2&lt;&gt;"")+('Dvd Calendar'!$AA$610=TYPE3)*(TYPE3&lt;&gt;"")+('Dvd Calendar'!$AA$610=TYPE4)*(TYPE4&lt;&gt;"")+('Dvd Calendar'!$AA$610=SPECIAL_LBL)*(INC_SPECIALS="Y"))=0,"",'Dvd Calendar'!$AA$608)))</f>
        <v/>
      </c>
      <c r="Z66" s="106">
        <f>IF(FB66="","",IF(ISNUMBER('Dvd Calendar'!$AB$608)=FALSE,"",IF((('Dvd Calendar'!$AB$610=TYPE1)*(TYPE1&lt;&gt;"")+('Dvd Calendar'!$AB$610=TYPE2)*(TYPE2&lt;&gt;"")+('Dvd Calendar'!$AB$610=TYPE3)*(TYPE3&lt;&gt;"")+('Dvd Calendar'!$AB$610=TYPE4)*(TYPE4&lt;&gt;"")+('Dvd Calendar'!$AB$610=SPECIAL_LBL)*(INC_SPECIALS="Y"))=0,"",'Dvd Calendar'!$AB$608)))</f>
        <v/>
      </c>
      <c r="AA66" s="106">
        <f>IF(FC66="","",IF(ISNUMBER('Dvd Calendar'!$AC$608)=FALSE,"",IF((('Dvd Calendar'!$AC$610=TYPE1)*(TYPE1&lt;&gt;"")+('Dvd Calendar'!$AC$610=TYPE2)*(TYPE2&lt;&gt;"")+('Dvd Calendar'!$AC$610=TYPE3)*(TYPE3&lt;&gt;"")+('Dvd Calendar'!$AC$610=TYPE4)*(TYPE4&lt;&gt;"")+('Dvd Calendar'!$AC$610=SPECIAL_LBL)*(INC_SPECIALS="Y"))=0,"",'Dvd Calendar'!$AC$608)))</f>
        <v/>
      </c>
      <c r="AB66" s="106">
        <f>IF(FD66="","",IF(ISNUMBER('Dvd Calendar'!$AD$608)=FALSE,"",IF((('Dvd Calendar'!$AD$610=TYPE1)*(TYPE1&lt;&gt;"")+('Dvd Calendar'!$AD$610=TYPE2)*(TYPE2&lt;&gt;"")+('Dvd Calendar'!$AD$610=TYPE3)*(TYPE3&lt;&gt;"")+('Dvd Calendar'!$AD$610=TYPE4)*(TYPE4&lt;&gt;"")+('Dvd Calendar'!$AD$610=SPECIAL_LBL)*(INC_SPECIALS="Y"))=0,"",'Dvd Calendar'!$AD$608)))</f>
        <v/>
      </c>
      <c r="AC66" s="106">
        <f>IF(FE66="","",IF(ISNUMBER('Dvd Calendar'!$AE$608)=FALSE,"",IF((('Dvd Calendar'!$AE$610=TYPE1)*(TYPE1&lt;&gt;"")+('Dvd Calendar'!$AE$610=TYPE2)*(TYPE2&lt;&gt;"")+('Dvd Calendar'!$AE$610=TYPE3)*(TYPE3&lt;&gt;"")+('Dvd Calendar'!$AE$610=TYPE4)*(TYPE4&lt;&gt;"")+('Dvd Calendar'!$AE$610=SPECIAL_LBL)*(INC_SPECIALS="Y"))=0,"",'Dvd Calendar'!$AE$608)))</f>
        <v/>
      </c>
      <c r="AD66" s="106">
        <f>IF(FF66="","",IF(ISNUMBER('Dvd Calendar'!$AF$608)=FALSE,"",IF((('Dvd Calendar'!$AF$610=TYPE1)*(TYPE1&lt;&gt;"")+('Dvd Calendar'!$AF$610=TYPE2)*(TYPE2&lt;&gt;"")+('Dvd Calendar'!$AF$610=TYPE3)*(TYPE3&lt;&gt;"")+('Dvd Calendar'!$AF$610=TYPE4)*(TYPE4&lt;&gt;"")+('Dvd Calendar'!$AF$610=SPECIAL_LBL)*(INC_SPECIALS="Y"))=0,"",'Dvd Calendar'!$AF$608)))</f>
        <v/>
      </c>
      <c r="AE66" s="106">
        <f>IF(FG66="","",IF(ISNUMBER('Dvd Calendar'!$AG$608)=FALSE,"",IF((('Dvd Calendar'!$AG$610=TYPE1)*(TYPE1&lt;&gt;"")+('Dvd Calendar'!$AG$610=TYPE2)*(TYPE2&lt;&gt;"")+('Dvd Calendar'!$AG$610=TYPE3)*(TYPE3&lt;&gt;"")+('Dvd Calendar'!$AG$610=TYPE4)*(TYPE4&lt;&gt;"")+('Dvd Calendar'!$AG$610=SPECIAL_LBL)*(INC_SPECIALS="Y"))=0,"",'Dvd Calendar'!$AG$608)))</f>
        <v/>
      </c>
      <c r="AF66" s="106">
        <f>IF(FH66="","",IF(ISNUMBER('Dvd Calendar'!$AH$608)=FALSE,"",IF((('Dvd Calendar'!$AH$610=TYPE1)*(TYPE1&lt;&gt;"")+('Dvd Calendar'!$AH$610=TYPE2)*(TYPE2&lt;&gt;"")+('Dvd Calendar'!$AH$610=TYPE3)*(TYPE3&lt;&gt;"")+('Dvd Calendar'!$AH$610=TYPE4)*(TYPE4&lt;&gt;"")+('Dvd Calendar'!$AH$610=SPECIAL_LBL)*(INC_SPECIALS="Y"))=0,"",'Dvd Calendar'!$AH$608)))</f>
        <v/>
      </c>
      <c r="AG66" s="106">
        <f>IF(FI66="","",IF(ISNUMBER('Dvd Calendar'!$AI$608)=FALSE,"",IF((('Dvd Calendar'!$AI$610=TYPE1)*(TYPE1&lt;&gt;"")+('Dvd Calendar'!$AI$610=TYPE2)*(TYPE2&lt;&gt;"")+('Dvd Calendar'!$AI$610=TYPE3)*(TYPE3&lt;&gt;"")+('Dvd Calendar'!$AI$610=TYPE4)*(TYPE4&lt;&gt;"")+('Dvd Calendar'!$AI$610=SPECIAL_LBL)*(INC_SPECIALS="Y"))=0,"",'Dvd Calendar'!$AI$608)))</f>
        <v/>
      </c>
      <c r="AH66" s="106">
        <f>IF(FJ66="","",IF(ISNUMBER('Dvd Calendar'!$AJ$608)=FALSE,"",IF((('Dvd Calendar'!$AJ$610=TYPE1)*(TYPE1&lt;&gt;"")+('Dvd Calendar'!$AJ$610=TYPE2)*(TYPE2&lt;&gt;"")+('Dvd Calendar'!$AJ$610=TYPE3)*(TYPE3&lt;&gt;"")+('Dvd Calendar'!$AJ$610=TYPE4)*(TYPE4&lt;&gt;"")+('Dvd Calendar'!$AJ$610=SPECIAL_LBL)*(INC_SPECIALS="Y"))=0,"",'Dvd Calendar'!$AJ$608)))</f>
        <v/>
      </c>
      <c r="AI66" s="106">
        <f>IF(FK66="","",IF(ISNUMBER('Dvd Calendar'!$AK$608)=FALSE,"",IF((('Dvd Calendar'!$AK$610=TYPE1)*(TYPE1&lt;&gt;"")+('Dvd Calendar'!$AK$610=TYPE2)*(TYPE2&lt;&gt;"")+('Dvd Calendar'!$AK$610=TYPE3)*(TYPE3&lt;&gt;"")+('Dvd Calendar'!$AK$610=TYPE4)*(TYPE4&lt;&gt;"")+('Dvd Calendar'!$AK$610=SPECIAL_LBL)*(INC_SPECIALS="Y"))=0,"",'Dvd Calendar'!$AK$608)))</f>
        <v/>
      </c>
      <c r="AJ66" s="106">
        <f>IF(FL66="","",IF(ISNUMBER('Dvd Calendar'!$AL$608)=FALSE,"",IF((('Dvd Calendar'!$AL$610=TYPE1)*(TYPE1&lt;&gt;"")+('Dvd Calendar'!$AL$610=TYPE2)*(TYPE2&lt;&gt;"")+('Dvd Calendar'!$AL$610=TYPE3)*(TYPE3&lt;&gt;"")+('Dvd Calendar'!$AL$610=TYPE4)*(TYPE4&lt;&gt;"")+('Dvd Calendar'!$AL$610=SPECIAL_LBL)*(INC_SPECIALS="Y"))=0,"",'Dvd Calendar'!$AL$608)))</f>
        <v/>
      </c>
      <c r="AK66" s="106">
        <f>IF(FM66="","",IF(ISNUMBER('Dvd Calendar'!$AM$608)=FALSE,"",IF((('Dvd Calendar'!$AM$610=TYPE1)*(TYPE1&lt;&gt;"")+('Dvd Calendar'!$AM$610=TYPE2)*(TYPE2&lt;&gt;"")+('Dvd Calendar'!$AM$610=TYPE3)*(TYPE3&lt;&gt;"")+('Dvd Calendar'!$AM$610=TYPE4)*(TYPE4&lt;&gt;"")+('Dvd Calendar'!$AM$610=SPECIAL_LBL)*(INC_SPECIALS="Y"))=0,"",'Dvd Calendar'!$AM$608)))</f>
        <v/>
      </c>
      <c r="AL66" s="106">
        <f>IF(FN66="","",IF(ISNUMBER('Dvd Calendar'!$AN$608)=FALSE,"",IF((('Dvd Calendar'!$AN$610=TYPE1)*(TYPE1&lt;&gt;"")+('Dvd Calendar'!$AN$610=TYPE2)*(TYPE2&lt;&gt;"")+('Dvd Calendar'!$AN$610=TYPE3)*(TYPE3&lt;&gt;"")+('Dvd Calendar'!$AN$610=TYPE4)*(TYPE4&lt;&gt;"")+('Dvd Calendar'!$AN$610=SPECIAL_LBL)*(INC_SPECIALS="Y"))=0,"",'Dvd Calendar'!$AN$608)))</f>
        <v/>
      </c>
      <c r="AM66" s="106">
        <f>IF(FO66="","",IF(ISNUMBER('Dvd Calendar'!$AO$608)=FALSE,"",IF((('Dvd Calendar'!$AO$610=TYPE1)*(TYPE1&lt;&gt;"")+('Dvd Calendar'!$AO$610=TYPE2)*(TYPE2&lt;&gt;"")+('Dvd Calendar'!$AO$610=TYPE3)*(TYPE3&lt;&gt;"")+('Dvd Calendar'!$AO$610=TYPE4)*(TYPE4&lt;&gt;"")+('Dvd Calendar'!$AO$610=SPECIAL_LBL)*(INC_SPECIALS="Y"))=0,"",'Dvd Calendar'!$AO$608)))</f>
        <v/>
      </c>
      <c r="AN66" s="106">
        <f>IF(FP66="","",IF(ISNUMBER('Dvd Calendar'!$AP$608)=FALSE,"",IF((('Dvd Calendar'!$AP$610=TYPE1)*(TYPE1&lt;&gt;"")+('Dvd Calendar'!$AP$610=TYPE2)*(TYPE2&lt;&gt;"")+('Dvd Calendar'!$AP$610=TYPE3)*(TYPE3&lt;&gt;"")+('Dvd Calendar'!$AP$610=TYPE4)*(TYPE4&lt;&gt;"")+('Dvd Calendar'!$AP$610=SPECIAL_LBL)*(INC_SPECIALS="Y"))=0,"",'Dvd Calendar'!$AP$608)))</f>
        <v/>
      </c>
      <c r="AO66" s="106">
        <f>IF(FQ66="","",IF(ISNUMBER('Dvd Calendar'!$AQ$608)=FALSE,"",IF((('Dvd Calendar'!$AQ$610=TYPE1)*(TYPE1&lt;&gt;"")+('Dvd Calendar'!$AQ$610=TYPE2)*(TYPE2&lt;&gt;"")+('Dvd Calendar'!$AQ$610=TYPE3)*(TYPE3&lt;&gt;"")+('Dvd Calendar'!$AQ$610=TYPE4)*(TYPE4&lt;&gt;"")+('Dvd Calendar'!$AQ$610=SPECIAL_LBL)*(INC_SPECIALS="Y"))=0,"",'Dvd Calendar'!$AQ$608)))</f>
        <v/>
      </c>
      <c r="AP66" s="106">
        <f>IF(FR66="","",IF(ISNUMBER('Dvd Calendar'!$AR$608)=FALSE,"",IF((('Dvd Calendar'!$AR$610=TYPE1)*(TYPE1&lt;&gt;"")+('Dvd Calendar'!$AR$610=TYPE2)*(TYPE2&lt;&gt;"")+('Dvd Calendar'!$AR$610=TYPE3)*(TYPE3&lt;&gt;"")+('Dvd Calendar'!$AR$610=TYPE4)*(TYPE4&lt;&gt;"")+('Dvd Calendar'!$AR$610=SPECIAL_LBL)*(INC_SPECIALS="Y"))=0,"",'Dvd Calendar'!$AR$608)))</f>
        <v/>
      </c>
      <c r="AQ66" s="106">
        <f>IF(FS66="","",IF(ISNUMBER('Dvd Calendar'!$E$613)=FALSE,"",'Dvd Calendar'!$E$613))</f>
        <v/>
      </c>
      <c r="AR66" s="106">
        <f>IF(FT66="","",IF(ISNUMBER('Dvd Calendar'!$F$613)=FALSE,"",'Dvd Calendar'!$F$613))</f>
        <v/>
      </c>
      <c r="AS66" s="106">
        <f>IF(FU66="","",IF(ISNUMBER('Dvd Calendar'!$G$613)=FALSE,"",'Dvd Calendar'!$G$613))</f>
        <v/>
      </c>
      <c r="AT66" s="106">
        <f>IF(FV66="","",IF(ISNUMBER('Dvd Calendar'!$H$613)=FALSE,"",'Dvd Calendar'!$H$613))</f>
        <v/>
      </c>
      <c r="AU66" s="106">
        <f>IF(FW66="","",IF(ISNUMBER('Dvd Calendar'!$I$613)=FALSE,"",'Dvd Calendar'!$I$613))</f>
        <v/>
      </c>
      <c r="AV66" s="106">
        <f>IF(FX66="","",IF(ISNUMBER('Dvd Calendar'!$J$613)=FALSE,"",'Dvd Calendar'!$J$613))</f>
        <v/>
      </c>
      <c r="AW66" s="106">
        <f>IF(FY66="","",IF(ISNUMBER('Dvd Calendar'!$K$613)=FALSE,"",'Dvd Calendar'!$K$613))</f>
        <v/>
      </c>
      <c r="AX66" s="106">
        <f>IF(FZ66="","",IF(ISNUMBER('Dvd Calendar'!$L$613)=FALSE,"",'Dvd Calendar'!$L$613))</f>
        <v/>
      </c>
      <c r="AY66" s="106">
        <f>IF(GA66="","",IF(ISNUMBER('Dvd Calendar'!$M$613)=FALSE,"",'Dvd Calendar'!$M$613))</f>
        <v/>
      </c>
      <c r="AZ66" s="106">
        <f>IF(GB66="","",IF(ISNUMBER('Dvd Calendar'!$N$613)=FALSE,"",'Dvd Calendar'!$N$613))</f>
        <v/>
      </c>
      <c r="BA66" s="106">
        <f>IF(GC66="","",IF(ISNUMBER('Dvd Calendar'!$O$613)=FALSE,"",'Dvd Calendar'!$O$613))</f>
        <v/>
      </c>
      <c r="BB66" s="106">
        <f>IF(GD66="","",IF(ISNUMBER('Dvd Calendar'!$P$613)=FALSE,"",'Dvd Calendar'!$P$613))</f>
        <v/>
      </c>
      <c r="BC66" s="106">
        <f>IF(GE66="","",IF(ISNUMBER('Dvd Calendar'!$Q$613)=FALSE,"",'Dvd Calendar'!$Q$613))</f>
        <v/>
      </c>
      <c r="BD66" s="106">
        <f>IF(GF66="","",IF(ISNUMBER('Dvd Calendar'!$R$613)=FALSE,"",'Dvd Calendar'!$R$613))</f>
        <v/>
      </c>
      <c r="BE66" s="106">
        <f>IF(GG66="","",IF(ISNUMBER('Dvd Calendar'!$S$613)=FALSE,"",'Dvd Calendar'!$S$613))</f>
        <v/>
      </c>
      <c r="BF66" s="106">
        <f>IF(GH66="","",IF(ISNUMBER('Dvd Calendar'!$T$613)=FALSE,"",'Dvd Calendar'!$T$613))</f>
        <v/>
      </c>
      <c r="BG66" s="106">
        <f>IF(GI66="","",IF(ISNUMBER('Dvd Calendar'!$U$613)=FALSE,"",'Dvd Calendar'!$U$613))</f>
        <v/>
      </c>
      <c r="BH66" s="106">
        <f>IF(GJ66="","",IF(ISNUMBER('Dvd Calendar'!$V$613)=FALSE,"",'Dvd Calendar'!$V$613))</f>
        <v/>
      </c>
      <c r="BI66" s="106">
        <f>IF(GK66="","",IF(ISNUMBER('Dvd Calendar'!$W$613)=FALSE,"",'Dvd Calendar'!$W$613))</f>
        <v/>
      </c>
      <c r="BJ66" s="106">
        <f>IF(GL66="","",IF(ISNUMBER('Dvd Calendar'!$X$613)=FALSE,"",'Dvd Calendar'!$X$613))</f>
        <v/>
      </c>
      <c r="BK66" s="106">
        <f>IF(GM66="","",IF(ISNUMBER('Dvd Calendar'!$Y$613)=FALSE,"",'Dvd Calendar'!$Y$613))</f>
        <v/>
      </c>
      <c r="BL66" s="106">
        <f>IF(GN66="","",IF(ISNUMBER('Dvd Calendar'!$Z$613)=FALSE,"",'Dvd Calendar'!$Z$613))</f>
        <v/>
      </c>
      <c r="BM66" s="106">
        <f>IF(GO66="","",IF(ISNUMBER('Dvd Calendar'!$AA$613)=FALSE,"",'Dvd Calendar'!$AA$613))</f>
        <v/>
      </c>
      <c r="BN66" s="106">
        <f>IF(GP66="","",IF(ISNUMBER('Dvd Calendar'!$AB$613)=FALSE,"",'Dvd Calendar'!$AB$613))</f>
        <v/>
      </c>
      <c r="BO66" s="106">
        <f>IF(GQ66="","",IF(ISNUMBER('Dvd Calendar'!$AC$613)=FALSE,"",'Dvd Calendar'!$AC$613))</f>
        <v/>
      </c>
      <c r="BQ66" s="106">
        <f>IF(C66="","",IFERROR(C66*HSI!$B$61*HSI!$G$61/HSI!$B$3,""))</f>
        <v/>
      </c>
      <c r="BR66" s="106">
        <f>IF(D66="","",IFERROR(D66*HSI!$B$61*HSI!$G$61/HSI!$B$3,""))</f>
        <v/>
      </c>
      <c r="BS66" s="106">
        <f>IF(E66="","",IFERROR(E66*HSI!$B$61*HSI!$G$61/HSI!$B$3,""))</f>
        <v/>
      </c>
      <c r="BT66" s="106">
        <f>IF(F66="","",IFERROR(F66*HSI!$B$61*HSI!$G$61/HSI!$B$3,""))</f>
        <v/>
      </c>
      <c r="BU66" s="106">
        <f>IF(G66="","",IFERROR(G66*HSI!$B$61*HSI!$G$61/HSI!$B$3,""))</f>
        <v/>
      </c>
      <c r="BV66" s="106">
        <f>IF(H66="","",IFERROR(H66*HSI!$B$61*HSI!$G$61/HSI!$B$3,""))</f>
        <v/>
      </c>
      <c r="BW66" s="106">
        <f>IF(I66="","",IFERROR(I66*HSI!$B$61*HSI!$G$61/HSI!$B$3,""))</f>
        <v/>
      </c>
      <c r="BX66" s="106">
        <f>IF(J66="","",IFERROR(J66*HSI!$B$61*HSI!$G$61/HSI!$B$3,""))</f>
        <v/>
      </c>
      <c r="BY66" s="106">
        <f>IF(K66="","",IFERROR(K66*HSI!$B$61*HSI!$G$61/HSI!$B$3,""))</f>
        <v/>
      </c>
      <c r="BZ66" s="106">
        <f>IF(L66="","",IFERROR(L66*HSI!$B$61*HSI!$G$61/HSI!$B$3,""))</f>
        <v/>
      </c>
      <c r="CA66" s="106">
        <f>IF(M66="","",IFERROR(M66*HSI!$B$61*HSI!$G$61/HSI!$B$3,""))</f>
        <v/>
      </c>
      <c r="CB66" s="106">
        <f>IF(N66="","",IFERROR(N66*HSI!$B$61*HSI!$G$61/HSI!$B$3,""))</f>
        <v/>
      </c>
      <c r="CC66" s="106">
        <f>IF(O66="","",IFERROR(O66*HSI!$B$61*HSI!$G$61/HSI!$B$3,""))</f>
        <v/>
      </c>
      <c r="CD66" s="106">
        <f>IF(P66="","",IFERROR(P66*HSI!$B$61*HSI!$G$61/HSI!$B$3,""))</f>
        <v/>
      </c>
      <c r="CE66" s="106">
        <f>IF(Q66="","",IFERROR(Q66*HSI!$B$61*HSI!$G$61/HSI!$B$3,""))</f>
        <v/>
      </c>
      <c r="CF66" s="106">
        <f>IF(R66="","",IFERROR(R66*HSI!$B$61*HSI!$G$61/HSI!$B$3,""))</f>
        <v/>
      </c>
      <c r="CG66" s="106">
        <f>IF(S66="","",IFERROR(S66*HSI!$B$61*HSI!$G$61/HSI!$B$3,""))</f>
        <v/>
      </c>
      <c r="CH66" s="106">
        <f>IF(T66="","",IFERROR(T66*HSI!$B$61*HSI!$G$61/HSI!$B$3,""))</f>
        <v/>
      </c>
      <c r="CI66" s="106">
        <f>IF(U66="","",IFERROR(U66*HSI!$B$61*HSI!$G$61/HSI!$B$3,""))</f>
        <v/>
      </c>
      <c r="CJ66" s="106">
        <f>IF(V66="","",IFERROR(V66*HSI!$B$61*HSI!$G$61/HSI!$B$3,""))</f>
        <v/>
      </c>
      <c r="CK66" s="106">
        <f>IF(W66="","",IFERROR(W66*HSI!$B$61*HSI!$G$61/HSI!$B$3,""))</f>
        <v/>
      </c>
      <c r="CL66" s="106">
        <f>IF(X66="","",IFERROR(X66*HSI!$B$61*HSI!$G$61/HSI!$B$3,""))</f>
        <v/>
      </c>
      <c r="CM66" s="106">
        <f>IF(Y66="","",IFERROR(Y66*HSI!$B$61*HSI!$G$61/HSI!$B$3,""))</f>
        <v/>
      </c>
      <c r="CN66" s="106">
        <f>IF(Z66="","",IFERROR(Z66*HSI!$B$61*HSI!$G$61/HSI!$B$3,""))</f>
        <v/>
      </c>
      <c r="CO66" s="106">
        <f>IF(AA66="","",IFERROR(AA66*HSI!$B$61*HSI!$G$61/HSI!$B$3,""))</f>
        <v/>
      </c>
      <c r="CP66" s="106">
        <f>IF(AB66="","",IFERROR(AB66*HSI!$B$61*HSI!$G$61/HSI!$B$3,""))</f>
        <v/>
      </c>
      <c r="CQ66" s="106">
        <f>IF(AC66="","",IFERROR(AC66*HSI!$B$61*HSI!$G$61/HSI!$B$3,""))</f>
        <v/>
      </c>
      <c r="CR66" s="106">
        <f>IF(AD66="","",IFERROR(AD66*HSI!$B$61*HSI!$G$61/HSI!$B$3,""))</f>
        <v/>
      </c>
      <c r="CS66" s="106">
        <f>IF(AE66="","",IFERROR(AE66*HSI!$B$61*HSI!$G$61/HSI!$B$3,""))</f>
        <v/>
      </c>
      <c r="CT66" s="106">
        <f>IF(AF66="","",IFERROR(AF66*HSI!$B$61*HSI!$G$61/HSI!$B$3,""))</f>
        <v/>
      </c>
      <c r="CU66" s="106">
        <f>IF(AG66="","",IFERROR(AG66*HSI!$B$61*HSI!$G$61/HSI!$B$3,""))</f>
        <v/>
      </c>
      <c r="CV66" s="106">
        <f>IF(AH66="","",IFERROR(AH66*HSI!$B$61*HSI!$G$61/HSI!$B$3,""))</f>
        <v/>
      </c>
      <c r="CW66" s="106">
        <f>IF(AI66="","",IFERROR(AI66*HSI!$B$61*HSI!$G$61/HSI!$B$3,""))</f>
        <v/>
      </c>
      <c r="CX66" s="106">
        <f>IF(AJ66="","",IFERROR(AJ66*HSI!$B$61*HSI!$G$61/HSI!$B$3,""))</f>
        <v/>
      </c>
      <c r="CY66" s="106">
        <f>IF(AK66="","",IFERROR(AK66*HSI!$B$61*HSI!$G$61/HSI!$B$3,""))</f>
        <v/>
      </c>
      <c r="CZ66" s="106">
        <f>IF(AL66="","",IFERROR(AL66*HSI!$B$61*HSI!$G$61/HSI!$B$3,""))</f>
        <v/>
      </c>
      <c r="DA66" s="106">
        <f>IF(AM66="","",IFERROR(AM66*HSI!$B$61*HSI!$G$61/HSI!$B$3,""))</f>
        <v/>
      </c>
      <c r="DB66" s="106">
        <f>IF(AN66="","",IFERROR(AN66*HSI!$B$61*HSI!$G$61/HSI!$B$3,""))</f>
        <v/>
      </c>
      <c r="DC66" s="106">
        <f>IF(AO66="","",IFERROR(AO66*HSI!$B$61*HSI!$G$61/HSI!$B$3,""))</f>
        <v/>
      </c>
      <c r="DD66" s="106">
        <f>IF(AP66="","",IFERROR(AP66*HSI!$B$61*HSI!$G$61/HSI!$B$3,""))</f>
        <v/>
      </c>
      <c r="DE66" s="106">
        <f>IF(AQ66="","",IFERROR(AQ66*HSI!$B$61*HSI!$G$61/HSI!$B$3,""))</f>
        <v/>
      </c>
      <c r="DF66" s="106">
        <f>IF(AR66="","",IFERROR(AR66*HSI!$B$61*HSI!$G$61/HSI!$B$3,""))</f>
        <v/>
      </c>
      <c r="DG66" s="106">
        <f>IF(AS66="","",IFERROR(AS66*HSI!$B$61*HSI!$G$61/HSI!$B$3,""))</f>
        <v/>
      </c>
      <c r="DH66" s="106">
        <f>IF(AT66="","",IFERROR(AT66*HSI!$B$61*HSI!$G$61/HSI!$B$3,""))</f>
        <v/>
      </c>
      <c r="DI66" s="106">
        <f>IF(AU66="","",IFERROR(AU66*HSI!$B$61*HSI!$G$61/HSI!$B$3,""))</f>
        <v/>
      </c>
      <c r="DJ66" s="106">
        <f>IF(AV66="","",IFERROR(AV66*HSI!$B$61*HSI!$G$61/HSI!$B$3,""))</f>
        <v/>
      </c>
      <c r="DK66" s="106">
        <f>IF(AW66="","",IFERROR(AW66*HSI!$B$61*HSI!$G$61/HSI!$B$3,""))</f>
        <v/>
      </c>
      <c r="DL66" s="106">
        <f>IF(AX66="","",IFERROR(AX66*HSI!$B$61*HSI!$G$61/HSI!$B$3,""))</f>
        <v/>
      </c>
      <c r="DM66" s="106">
        <f>IF(AY66="","",IFERROR(AY66*HSI!$B$61*HSI!$G$61/HSI!$B$3,""))</f>
        <v/>
      </c>
      <c r="DN66" s="106">
        <f>IF(AZ66="","",IFERROR(AZ66*HSI!$B$61*HSI!$G$61/HSI!$B$3,""))</f>
        <v/>
      </c>
      <c r="DO66" s="106">
        <f>IF(BA66="","",IFERROR(BA66*HSI!$B$61*HSI!$G$61/HSI!$B$3,""))</f>
        <v/>
      </c>
      <c r="DP66" s="106">
        <f>IF(BB66="","",IFERROR(BB66*HSI!$B$61*HSI!$G$61/HSI!$B$3,""))</f>
        <v/>
      </c>
      <c r="DQ66" s="106">
        <f>IF(BC66="","",IFERROR(BC66*HSI!$B$61*HSI!$G$61/HSI!$B$3,""))</f>
        <v/>
      </c>
      <c r="DR66" s="106">
        <f>IF(BD66="","",IFERROR(BD66*HSI!$B$61*HSI!$G$61/HSI!$B$3,""))</f>
        <v/>
      </c>
      <c r="DS66" s="106">
        <f>IF(BE66="","",IFERROR(BE66*HSI!$B$61*HSI!$G$61/HSI!$B$3,""))</f>
        <v/>
      </c>
      <c r="DT66" s="106">
        <f>IF(BF66="","",IFERROR(BF66*HSI!$B$61*HSI!$G$61/HSI!$B$3,""))</f>
        <v/>
      </c>
      <c r="DU66" s="106">
        <f>IF(BG66="","",IFERROR(BG66*HSI!$B$61*HSI!$G$61/HSI!$B$3,""))</f>
        <v/>
      </c>
      <c r="DV66" s="106">
        <f>IF(BH66="","",IFERROR(BH66*HSI!$B$61*HSI!$G$61/HSI!$B$3,""))</f>
        <v/>
      </c>
      <c r="DW66" s="106">
        <f>IF(BI66="","",IFERROR(BI66*HSI!$B$61*HSI!$G$61/HSI!$B$3,""))</f>
        <v/>
      </c>
      <c r="DX66" s="106">
        <f>IF(BJ66="","",IFERROR(BJ66*HSI!$B$61*HSI!$G$61/HSI!$B$3,""))</f>
        <v/>
      </c>
      <c r="DY66" s="106">
        <f>IF(BK66="","",IFERROR(BK66*HSI!$B$61*HSI!$G$61/HSI!$B$3,""))</f>
        <v/>
      </c>
      <c r="DZ66" s="106">
        <f>IF(BL66="","",IFERROR(BL66*HSI!$B$61*HSI!$G$61/HSI!$B$3,""))</f>
        <v/>
      </c>
      <c r="EA66" s="106">
        <f>IF(BM66="","",IFERROR(BM66*HSI!$B$61*HSI!$G$61/HSI!$B$3,""))</f>
        <v/>
      </c>
      <c r="EB66" s="106">
        <f>IF(BN66="","",IFERROR(BN66*HSI!$B$61*HSI!$G$61/HSI!$B$3,""))</f>
        <v/>
      </c>
      <c r="EC66" s="106">
        <f>IF(BO66="","",IFERROR(BO66*HSI!$B$61*HSI!$G$61/HSI!$B$3,""))</f>
        <v/>
      </c>
      <c r="EE66" s="35">
        <f>IF(N('Dvd Calendar'!$E$605)=0,"",IF(('Dvd Calendar'!$E$605&gt;=GRID_FROM)*('Dvd Calendar'!$E$605&lt;=GRID_TO)*('Dvd Calendar'!$E$605&lt;=VAL_DATE)=0,"",'Dvd Calendar'!$E$605*1000000000+ISNUMBER('Dvd Calendar'!$E$608)*100000000+('Dvd Calendar'!$E$610=SPECIAL_LBL)*10000000+0*1000000+55*1000+1))</f>
        <v/>
      </c>
      <c r="EF66" s="35">
        <f>IF(N('Dvd Calendar'!$F$605)=0,"",IF(('Dvd Calendar'!$F$605&gt;=GRID_FROM)*('Dvd Calendar'!$F$605&lt;=GRID_TO)*('Dvd Calendar'!$F$605&lt;=VAL_DATE)=0,"",'Dvd Calendar'!$F$605*1000000000+ISNUMBER('Dvd Calendar'!$F$608)*100000000+('Dvd Calendar'!$F$610=SPECIAL_LBL)*10000000+0*1000000+55*1000+2))</f>
        <v/>
      </c>
      <c r="EG66" s="35">
        <f>IF(N('Dvd Calendar'!$G$605)=0,"",IF(('Dvd Calendar'!$G$605&gt;=GRID_FROM)*('Dvd Calendar'!$G$605&lt;=GRID_TO)*('Dvd Calendar'!$G$605&lt;=VAL_DATE)=0,"",'Dvd Calendar'!$G$605*1000000000+ISNUMBER('Dvd Calendar'!$G$608)*100000000+('Dvd Calendar'!$G$610=SPECIAL_LBL)*10000000+0*1000000+55*1000+3))</f>
        <v/>
      </c>
      <c r="EH66" s="35">
        <f>IF(N('Dvd Calendar'!$H$605)=0,"",IF(('Dvd Calendar'!$H$605&gt;=GRID_FROM)*('Dvd Calendar'!$H$605&lt;=GRID_TO)*('Dvd Calendar'!$H$605&lt;=VAL_DATE)=0,"",'Dvd Calendar'!$H$605*1000000000+ISNUMBER('Dvd Calendar'!$H$608)*100000000+('Dvd Calendar'!$H$610=SPECIAL_LBL)*10000000+0*1000000+55*1000+4))</f>
        <v/>
      </c>
      <c r="EI66" s="35">
        <f>IF(N('Dvd Calendar'!$I$605)=0,"",IF(('Dvd Calendar'!$I$605&gt;=GRID_FROM)*('Dvd Calendar'!$I$605&lt;=GRID_TO)*('Dvd Calendar'!$I$605&lt;=VAL_DATE)=0,"",'Dvd Calendar'!$I$605*1000000000+ISNUMBER('Dvd Calendar'!$I$608)*100000000+('Dvd Calendar'!$I$610=SPECIAL_LBL)*10000000+0*1000000+55*1000+5))</f>
        <v/>
      </c>
      <c r="EJ66" s="35">
        <f>IF(N('Dvd Calendar'!$J$605)=0,"",IF(('Dvd Calendar'!$J$605&gt;=GRID_FROM)*('Dvd Calendar'!$J$605&lt;=GRID_TO)*('Dvd Calendar'!$J$605&lt;=VAL_DATE)=0,"",'Dvd Calendar'!$J$605*1000000000+ISNUMBER('Dvd Calendar'!$J$608)*100000000+('Dvd Calendar'!$J$610=SPECIAL_LBL)*10000000+0*1000000+55*1000+6))</f>
        <v/>
      </c>
      <c r="EK66" s="35">
        <f>IF(N('Dvd Calendar'!$K$605)=0,"",IF(('Dvd Calendar'!$K$605&gt;=GRID_FROM)*('Dvd Calendar'!$K$605&lt;=GRID_TO)*('Dvd Calendar'!$K$605&lt;=VAL_DATE)=0,"",'Dvd Calendar'!$K$605*1000000000+ISNUMBER('Dvd Calendar'!$K$608)*100000000+('Dvd Calendar'!$K$610=SPECIAL_LBL)*10000000+0*1000000+55*1000+7))</f>
        <v/>
      </c>
      <c r="EL66" s="35">
        <f>IF(N('Dvd Calendar'!$L$605)=0,"",IF(('Dvd Calendar'!$L$605&gt;=GRID_FROM)*('Dvd Calendar'!$L$605&lt;=GRID_TO)*('Dvd Calendar'!$L$605&lt;=VAL_DATE)=0,"",'Dvd Calendar'!$L$605*1000000000+ISNUMBER('Dvd Calendar'!$L$608)*100000000+('Dvd Calendar'!$L$610=SPECIAL_LBL)*10000000+0*1000000+55*1000+8))</f>
        <v/>
      </c>
      <c r="EM66" s="35">
        <f>IF(N('Dvd Calendar'!$M$605)=0,"",IF(('Dvd Calendar'!$M$605&gt;=GRID_FROM)*('Dvd Calendar'!$M$605&lt;=GRID_TO)*('Dvd Calendar'!$M$605&lt;=VAL_DATE)=0,"",'Dvd Calendar'!$M$605*1000000000+ISNUMBER('Dvd Calendar'!$M$608)*100000000+('Dvd Calendar'!$M$610=SPECIAL_LBL)*10000000+0*1000000+55*1000+9))</f>
        <v/>
      </c>
      <c r="EN66" s="35">
        <f>IF(N('Dvd Calendar'!$N$605)=0,"",IF(('Dvd Calendar'!$N$605&gt;=GRID_FROM)*('Dvd Calendar'!$N$605&lt;=GRID_TO)*('Dvd Calendar'!$N$605&lt;=VAL_DATE)=0,"",'Dvd Calendar'!$N$605*1000000000+ISNUMBER('Dvd Calendar'!$N$608)*100000000+('Dvd Calendar'!$N$610=SPECIAL_LBL)*10000000+0*1000000+55*1000+10))</f>
        <v/>
      </c>
      <c r="EO66" s="35">
        <f>IF(N('Dvd Calendar'!$O$605)=0,"",IF(('Dvd Calendar'!$O$605&gt;=GRID_FROM)*('Dvd Calendar'!$O$605&lt;=GRID_TO)*('Dvd Calendar'!$O$605&lt;=VAL_DATE)=0,"",'Dvd Calendar'!$O$605*1000000000+ISNUMBER('Dvd Calendar'!$O$608)*100000000+('Dvd Calendar'!$O$610=SPECIAL_LBL)*10000000+0*1000000+55*1000+11))</f>
        <v/>
      </c>
      <c r="EP66" s="35">
        <f>IF(N('Dvd Calendar'!$P$605)=0,"",IF(('Dvd Calendar'!$P$605&gt;=GRID_FROM)*('Dvd Calendar'!$P$605&lt;=GRID_TO)*('Dvd Calendar'!$P$605&lt;=VAL_DATE)=0,"",'Dvd Calendar'!$P$605*1000000000+ISNUMBER('Dvd Calendar'!$P$608)*100000000+('Dvd Calendar'!$P$610=SPECIAL_LBL)*10000000+0*1000000+55*1000+12))</f>
        <v/>
      </c>
      <c r="EQ66" s="35">
        <f>IF(N('Dvd Calendar'!$Q$605)=0,"",IF(('Dvd Calendar'!$Q$605&gt;=GRID_FROM)*('Dvd Calendar'!$Q$605&lt;=GRID_TO)*('Dvd Calendar'!$Q$605&lt;=VAL_DATE)=0,"",'Dvd Calendar'!$Q$605*1000000000+ISNUMBER('Dvd Calendar'!$Q$608)*100000000+('Dvd Calendar'!$Q$610=SPECIAL_LBL)*10000000+0*1000000+55*1000+13))</f>
        <v/>
      </c>
      <c r="ER66" s="35">
        <f>IF(N('Dvd Calendar'!$R$605)=0,"",IF(('Dvd Calendar'!$R$605&gt;=GRID_FROM)*('Dvd Calendar'!$R$605&lt;=GRID_TO)*('Dvd Calendar'!$R$605&lt;=VAL_DATE)=0,"",'Dvd Calendar'!$R$605*1000000000+ISNUMBER('Dvd Calendar'!$R$608)*100000000+('Dvd Calendar'!$R$610=SPECIAL_LBL)*10000000+0*1000000+55*1000+14))</f>
        <v/>
      </c>
      <c r="ES66" s="35">
        <f>IF(N('Dvd Calendar'!$S$605)=0,"",IF(('Dvd Calendar'!$S$605&gt;=GRID_FROM)*('Dvd Calendar'!$S$605&lt;=GRID_TO)*('Dvd Calendar'!$S$605&lt;=VAL_DATE)=0,"",'Dvd Calendar'!$S$605*1000000000+ISNUMBER('Dvd Calendar'!$S$608)*100000000+('Dvd Calendar'!$S$610=SPECIAL_LBL)*10000000+0*1000000+55*1000+15))</f>
        <v/>
      </c>
      <c r="ET66" s="35">
        <f>IF(N('Dvd Calendar'!$T$605)=0,"",IF(('Dvd Calendar'!$T$605&gt;=GRID_FROM)*('Dvd Calendar'!$T$605&lt;=GRID_TO)*('Dvd Calendar'!$T$605&lt;=VAL_DATE)=0,"",'Dvd Calendar'!$T$605*1000000000+ISNUMBER('Dvd Calendar'!$T$608)*100000000+('Dvd Calendar'!$T$610=SPECIAL_LBL)*10000000+0*1000000+55*1000+16))</f>
        <v/>
      </c>
      <c r="EU66" s="35">
        <f>IF(N('Dvd Calendar'!$U$605)=0,"",IF(('Dvd Calendar'!$U$605&gt;=GRID_FROM)*('Dvd Calendar'!$U$605&lt;=GRID_TO)*('Dvd Calendar'!$U$605&lt;=VAL_DATE)=0,"",'Dvd Calendar'!$U$605*1000000000+ISNUMBER('Dvd Calendar'!$U$608)*100000000+('Dvd Calendar'!$U$610=SPECIAL_LBL)*10000000+0*1000000+55*1000+17))</f>
        <v/>
      </c>
      <c r="EV66" s="35">
        <f>IF(N('Dvd Calendar'!$V$605)=0,"",IF(('Dvd Calendar'!$V$605&gt;=GRID_FROM)*('Dvd Calendar'!$V$605&lt;=GRID_TO)*('Dvd Calendar'!$V$605&lt;=VAL_DATE)=0,"",'Dvd Calendar'!$V$605*1000000000+ISNUMBER('Dvd Calendar'!$V$608)*100000000+('Dvd Calendar'!$V$610=SPECIAL_LBL)*10000000+0*1000000+55*1000+18))</f>
        <v/>
      </c>
      <c r="EW66" s="35">
        <f>IF(N('Dvd Calendar'!$W$605)=0,"",IF(('Dvd Calendar'!$W$605&gt;=GRID_FROM)*('Dvd Calendar'!$W$605&lt;=GRID_TO)*('Dvd Calendar'!$W$605&lt;=VAL_DATE)=0,"",'Dvd Calendar'!$W$605*1000000000+ISNUMBER('Dvd Calendar'!$W$608)*100000000+('Dvd Calendar'!$W$610=SPECIAL_LBL)*10000000+0*1000000+55*1000+19))</f>
        <v/>
      </c>
      <c r="EX66" s="35">
        <f>IF(N('Dvd Calendar'!$X$605)=0,"",IF(('Dvd Calendar'!$X$605&gt;=GRID_FROM)*('Dvd Calendar'!$X$605&lt;=GRID_TO)*('Dvd Calendar'!$X$605&lt;=VAL_DATE)=0,"",'Dvd Calendar'!$X$605*1000000000+ISNUMBER('Dvd Calendar'!$X$608)*100000000+('Dvd Calendar'!$X$610=SPECIAL_LBL)*10000000+0*1000000+55*1000+20))</f>
        <v/>
      </c>
      <c r="EY66" s="35">
        <f>IF(N('Dvd Calendar'!$Y$605)=0,"",IF(('Dvd Calendar'!$Y$605&gt;=GRID_FROM)*('Dvd Calendar'!$Y$605&lt;=GRID_TO)*('Dvd Calendar'!$Y$605&lt;=VAL_DATE)=0,"",'Dvd Calendar'!$Y$605*1000000000+ISNUMBER('Dvd Calendar'!$Y$608)*100000000+('Dvd Calendar'!$Y$610=SPECIAL_LBL)*10000000+0*1000000+55*1000+21))</f>
        <v/>
      </c>
      <c r="EZ66" s="35">
        <f>IF(N('Dvd Calendar'!$Z$605)=0,"",IF(('Dvd Calendar'!$Z$605&gt;=GRID_FROM)*('Dvd Calendar'!$Z$605&lt;=GRID_TO)*('Dvd Calendar'!$Z$605&lt;=VAL_DATE)=0,"",'Dvd Calendar'!$Z$605*1000000000+ISNUMBER('Dvd Calendar'!$Z$608)*100000000+('Dvd Calendar'!$Z$610=SPECIAL_LBL)*10000000+0*1000000+55*1000+22))</f>
        <v/>
      </c>
      <c r="FA66" s="35">
        <f>IF(N('Dvd Calendar'!$AA$605)=0,"",IF(('Dvd Calendar'!$AA$605&gt;=GRID_FROM)*('Dvd Calendar'!$AA$605&lt;=GRID_TO)*('Dvd Calendar'!$AA$605&lt;=VAL_DATE)=0,"",'Dvd Calendar'!$AA$605*1000000000+ISNUMBER('Dvd Calendar'!$AA$608)*100000000+('Dvd Calendar'!$AA$610=SPECIAL_LBL)*10000000+0*1000000+55*1000+23))</f>
        <v/>
      </c>
      <c r="FB66" s="35">
        <f>IF(N('Dvd Calendar'!$AB$605)=0,"",IF(('Dvd Calendar'!$AB$605&gt;=GRID_FROM)*('Dvd Calendar'!$AB$605&lt;=GRID_TO)*('Dvd Calendar'!$AB$605&lt;=VAL_DATE)=0,"",'Dvd Calendar'!$AB$605*1000000000+ISNUMBER('Dvd Calendar'!$AB$608)*100000000+('Dvd Calendar'!$AB$610=SPECIAL_LBL)*10000000+0*1000000+55*1000+24))</f>
        <v/>
      </c>
      <c r="FC66" s="35">
        <f>IF(N('Dvd Calendar'!$AC$605)=0,"",IF(('Dvd Calendar'!$AC$605&gt;=GRID_FROM)*('Dvd Calendar'!$AC$605&lt;=GRID_TO)*('Dvd Calendar'!$AC$605&lt;=VAL_DATE)=0,"",'Dvd Calendar'!$AC$605*1000000000+ISNUMBER('Dvd Calendar'!$AC$608)*100000000+('Dvd Calendar'!$AC$610=SPECIAL_LBL)*10000000+0*1000000+55*1000+25))</f>
        <v/>
      </c>
      <c r="FD66" s="35">
        <f>IF(N('Dvd Calendar'!$AD$605)=0,"",IF(('Dvd Calendar'!$AD$605&gt;=GRID_FROM)*('Dvd Calendar'!$AD$605&lt;=GRID_TO)*('Dvd Calendar'!$AD$605&lt;=VAL_DATE)=0,"",'Dvd Calendar'!$AD$605*1000000000+ISNUMBER('Dvd Calendar'!$AD$608)*100000000+('Dvd Calendar'!$AD$610=SPECIAL_LBL)*10000000+0*1000000+55*1000+26))</f>
        <v/>
      </c>
      <c r="FE66" s="35">
        <f>IF(N('Dvd Calendar'!$AE$605)=0,"",IF(('Dvd Calendar'!$AE$605&gt;=GRID_FROM)*('Dvd Calendar'!$AE$605&lt;=GRID_TO)*('Dvd Calendar'!$AE$605&lt;=VAL_DATE)=0,"",'Dvd Calendar'!$AE$605*1000000000+ISNUMBER('Dvd Calendar'!$AE$608)*100000000+('Dvd Calendar'!$AE$610=SPECIAL_LBL)*10000000+0*1000000+55*1000+27))</f>
        <v/>
      </c>
      <c r="FF66" s="35">
        <f>IF(N('Dvd Calendar'!$AF$605)=0,"",IF(('Dvd Calendar'!$AF$605&gt;=GRID_FROM)*('Dvd Calendar'!$AF$605&lt;=GRID_TO)*('Dvd Calendar'!$AF$605&lt;=VAL_DATE)=0,"",'Dvd Calendar'!$AF$605*1000000000+ISNUMBER('Dvd Calendar'!$AF$608)*100000000+('Dvd Calendar'!$AF$610=SPECIAL_LBL)*10000000+0*1000000+55*1000+28))</f>
        <v/>
      </c>
      <c r="FG66" s="35">
        <f>IF(N('Dvd Calendar'!$AG$605)=0,"",IF(('Dvd Calendar'!$AG$605&gt;=GRID_FROM)*('Dvd Calendar'!$AG$605&lt;=GRID_TO)*('Dvd Calendar'!$AG$605&lt;=VAL_DATE)=0,"",'Dvd Calendar'!$AG$605*1000000000+ISNUMBER('Dvd Calendar'!$AG$608)*100000000+('Dvd Calendar'!$AG$610=SPECIAL_LBL)*10000000+0*1000000+55*1000+29))</f>
        <v/>
      </c>
      <c r="FH66" s="35">
        <f>IF(N('Dvd Calendar'!$AH$605)=0,"",IF(('Dvd Calendar'!$AH$605&gt;=GRID_FROM)*('Dvd Calendar'!$AH$605&lt;=GRID_TO)*('Dvd Calendar'!$AH$605&lt;=VAL_DATE)=0,"",'Dvd Calendar'!$AH$605*1000000000+ISNUMBER('Dvd Calendar'!$AH$608)*100000000+('Dvd Calendar'!$AH$610=SPECIAL_LBL)*10000000+0*1000000+55*1000+30))</f>
        <v/>
      </c>
      <c r="FI66" s="35">
        <f>IF(N('Dvd Calendar'!$AI$605)=0,"",IF(('Dvd Calendar'!$AI$605&gt;=GRID_FROM)*('Dvd Calendar'!$AI$605&lt;=GRID_TO)*('Dvd Calendar'!$AI$605&lt;=VAL_DATE)=0,"",'Dvd Calendar'!$AI$605*1000000000+ISNUMBER('Dvd Calendar'!$AI$608)*100000000+('Dvd Calendar'!$AI$610=SPECIAL_LBL)*10000000+0*1000000+55*1000+31))</f>
        <v/>
      </c>
      <c r="FJ66" s="35">
        <f>IF(N('Dvd Calendar'!$AJ$605)=0,"",IF(('Dvd Calendar'!$AJ$605&gt;=GRID_FROM)*('Dvd Calendar'!$AJ$605&lt;=GRID_TO)*('Dvd Calendar'!$AJ$605&lt;=VAL_DATE)=0,"",'Dvd Calendar'!$AJ$605*1000000000+ISNUMBER('Dvd Calendar'!$AJ$608)*100000000+('Dvd Calendar'!$AJ$610=SPECIAL_LBL)*10000000+0*1000000+55*1000+32))</f>
        <v/>
      </c>
      <c r="FK66" s="35">
        <f>IF(N('Dvd Calendar'!$AK$605)=0,"",IF(('Dvd Calendar'!$AK$605&gt;=GRID_FROM)*('Dvd Calendar'!$AK$605&lt;=GRID_TO)*('Dvd Calendar'!$AK$605&lt;=VAL_DATE)=0,"",'Dvd Calendar'!$AK$605*1000000000+ISNUMBER('Dvd Calendar'!$AK$608)*100000000+('Dvd Calendar'!$AK$610=SPECIAL_LBL)*10000000+0*1000000+55*1000+33))</f>
        <v/>
      </c>
      <c r="FL66" s="35">
        <f>IF(N('Dvd Calendar'!$AL$605)=0,"",IF(('Dvd Calendar'!$AL$605&gt;=GRID_FROM)*('Dvd Calendar'!$AL$605&lt;=GRID_TO)*('Dvd Calendar'!$AL$605&lt;=VAL_DATE)=0,"",'Dvd Calendar'!$AL$605*1000000000+ISNUMBER('Dvd Calendar'!$AL$608)*100000000+('Dvd Calendar'!$AL$610=SPECIAL_LBL)*10000000+0*1000000+55*1000+34))</f>
        <v/>
      </c>
      <c r="FM66" s="35">
        <f>IF(N('Dvd Calendar'!$AM$605)=0,"",IF(('Dvd Calendar'!$AM$605&gt;=GRID_FROM)*('Dvd Calendar'!$AM$605&lt;=GRID_TO)*('Dvd Calendar'!$AM$605&lt;=VAL_DATE)=0,"",'Dvd Calendar'!$AM$605*1000000000+ISNUMBER('Dvd Calendar'!$AM$608)*100000000+('Dvd Calendar'!$AM$610=SPECIAL_LBL)*10000000+0*1000000+55*1000+35))</f>
        <v/>
      </c>
      <c r="FN66" s="35">
        <f>IF(N('Dvd Calendar'!$AN$605)=0,"",IF(('Dvd Calendar'!$AN$605&gt;=GRID_FROM)*('Dvd Calendar'!$AN$605&lt;=GRID_TO)*('Dvd Calendar'!$AN$605&lt;=VAL_DATE)=0,"",'Dvd Calendar'!$AN$605*1000000000+ISNUMBER('Dvd Calendar'!$AN$608)*100000000+('Dvd Calendar'!$AN$610=SPECIAL_LBL)*10000000+0*1000000+55*1000+36))</f>
        <v/>
      </c>
      <c r="FO66" s="35">
        <f>IF(N('Dvd Calendar'!$AO$605)=0,"",IF(('Dvd Calendar'!$AO$605&gt;=GRID_FROM)*('Dvd Calendar'!$AO$605&lt;=GRID_TO)*('Dvd Calendar'!$AO$605&lt;=VAL_DATE)=0,"",'Dvd Calendar'!$AO$605*1000000000+ISNUMBER('Dvd Calendar'!$AO$608)*100000000+('Dvd Calendar'!$AO$610=SPECIAL_LBL)*10000000+0*1000000+55*1000+37))</f>
        <v/>
      </c>
      <c r="FP66" s="35">
        <f>IF(N('Dvd Calendar'!$AP$605)=0,"",IF(('Dvd Calendar'!$AP$605&gt;=GRID_FROM)*('Dvd Calendar'!$AP$605&lt;=GRID_TO)*('Dvd Calendar'!$AP$605&lt;=VAL_DATE)=0,"",'Dvd Calendar'!$AP$605*1000000000+ISNUMBER('Dvd Calendar'!$AP$608)*100000000+('Dvd Calendar'!$AP$610=SPECIAL_LBL)*10000000+0*1000000+55*1000+38))</f>
        <v/>
      </c>
      <c r="FQ66" s="35">
        <f>IF(N('Dvd Calendar'!$AQ$605)=0,"",IF(('Dvd Calendar'!$AQ$605&gt;=GRID_FROM)*('Dvd Calendar'!$AQ$605&lt;=GRID_TO)*('Dvd Calendar'!$AQ$605&lt;=VAL_DATE)=0,"",'Dvd Calendar'!$AQ$605*1000000000+ISNUMBER('Dvd Calendar'!$AQ$608)*100000000+('Dvd Calendar'!$AQ$610=SPECIAL_LBL)*10000000+0*1000000+55*1000+39))</f>
        <v/>
      </c>
      <c r="FR66" s="35">
        <f>IF(N('Dvd Calendar'!$AR$605)=0,"",IF(('Dvd Calendar'!$AR$605&gt;=GRID_FROM)*('Dvd Calendar'!$AR$605&lt;=GRID_TO)*('Dvd Calendar'!$AR$605&lt;=VAL_DATE)=0,"",'Dvd Calendar'!$AR$605*1000000000+ISNUMBER('Dvd Calendar'!$AR$608)*100000000+('Dvd Calendar'!$AR$610=SPECIAL_LBL)*10000000+0*1000000+55*1000+40))</f>
        <v/>
      </c>
      <c r="FS66" s="35">
        <f>IF(N('Dvd Calendar'!$E$612)=0,"",IF(('Dvd Calendar'!$E$612&gt;=GRID_FROM)*('Dvd Calendar'!$E$612&lt;=GRID_TO)*('Dvd Calendar'!$E$612&gt;VAL_DATE)=0,"",'Dvd Calendar'!$E$612*1000000000+ISNUMBER('Dvd Calendar'!$E$613)*100000000+0*10000000+(N('Dvd Calendar'!$E$611)&gt;0)*(N('Dvd Calendar'!$E$611)&lt;=VAL_SERIAL)*1000000+55*1000+41))</f>
        <v/>
      </c>
      <c r="FT66" s="35">
        <f>IF(N('Dvd Calendar'!$F$612)=0,"",IF(('Dvd Calendar'!$F$612&gt;=GRID_FROM)*('Dvd Calendar'!$F$612&lt;=GRID_TO)*('Dvd Calendar'!$F$612&gt;VAL_DATE)=0,"",'Dvd Calendar'!$F$612*1000000000+ISNUMBER('Dvd Calendar'!$F$613)*100000000+0*10000000+(N('Dvd Calendar'!$F$611)&gt;0)*(N('Dvd Calendar'!$F$611)&lt;=VAL_SERIAL)*1000000+55*1000+42))</f>
        <v/>
      </c>
      <c r="FU66" s="35">
        <f>IF(N('Dvd Calendar'!$G$612)=0,"",IF(('Dvd Calendar'!$G$612&gt;=GRID_FROM)*('Dvd Calendar'!$G$612&lt;=GRID_TO)*('Dvd Calendar'!$G$612&gt;VAL_DATE)=0,"",'Dvd Calendar'!$G$612*1000000000+ISNUMBER('Dvd Calendar'!$G$613)*100000000+0*10000000+(N('Dvd Calendar'!$G$611)&gt;0)*(N('Dvd Calendar'!$G$611)&lt;=VAL_SERIAL)*1000000+55*1000+43))</f>
        <v/>
      </c>
      <c r="FV66" s="35">
        <f>IF(N('Dvd Calendar'!$H$612)=0,"",IF(('Dvd Calendar'!$H$612&gt;=GRID_FROM)*('Dvd Calendar'!$H$612&lt;=GRID_TO)*('Dvd Calendar'!$H$612&gt;VAL_DATE)=0,"",'Dvd Calendar'!$H$612*1000000000+ISNUMBER('Dvd Calendar'!$H$613)*100000000+0*10000000+(N('Dvd Calendar'!$H$611)&gt;0)*(N('Dvd Calendar'!$H$611)&lt;=VAL_SERIAL)*1000000+55*1000+44))</f>
        <v/>
      </c>
      <c r="FW66" s="35">
        <f>IF(N('Dvd Calendar'!$I$612)=0,"",IF(('Dvd Calendar'!$I$612&gt;=GRID_FROM)*('Dvd Calendar'!$I$612&lt;=GRID_TO)*('Dvd Calendar'!$I$612&gt;VAL_DATE)=0,"",'Dvd Calendar'!$I$612*1000000000+ISNUMBER('Dvd Calendar'!$I$613)*100000000+0*10000000+(N('Dvd Calendar'!$I$611)&gt;0)*(N('Dvd Calendar'!$I$611)&lt;=VAL_SERIAL)*1000000+55*1000+45))</f>
        <v/>
      </c>
      <c r="FX66" s="35">
        <f>IF(N('Dvd Calendar'!$J$612)=0,"",IF(('Dvd Calendar'!$J$612&gt;=GRID_FROM)*('Dvd Calendar'!$J$612&lt;=GRID_TO)*('Dvd Calendar'!$J$612&gt;VAL_DATE)=0,"",'Dvd Calendar'!$J$612*1000000000+ISNUMBER('Dvd Calendar'!$J$613)*100000000+0*10000000+(N('Dvd Calendar'!$J$611)&gt;0)*(N('Dvd Calendar'!$J$611)&lt;=VAL_SERIAL)*1000000+55*1000+46))</f>
        <v/>
      </c>
      <c r="FY66" s="35">
        <f>IF(N('Dvd Calendar'!$K$612)=0,"",IF(('Dvd Calendar'!$K$612&gt;=GRID_FROM)*('Dvd Calendar'!$K$612&lt;=GRID_TO)*('Dvd Calendar'!$K$612&gt;VAL_DATE)=0,"",'Dvd Calendar'!$K$612*1000000000+ISNUMBER('Dvd Calendar'!$K$613)*100000000+0*10000000+(N('Dvd Calendar'!$K$611)&gt;0)*(N('Dvd Calendar'!$K$611)&lt;=VAL_SERIAL)*1000000+55*1000+47))</f>
        <v/>
      </c>
      <c r="FZ66" s="35">
        <f>IF(N('Dvd Calendar'!$L$612)=0,"",IF(('Dvd Calendar'!$L$612&gt;=GRID_FROM)*('Dvd Calendar'!$L$612&lt;=GRID_TO)*('Dvd Calendar'!$L$612&gt;VAL_DATE)=0,"",'Dvd Calendar'!$L$612*1000000000+ISNUMBER('Dvd Calendar'!$L$613)*100000000+0*10000000+(N('Dvd Calendar'!$L$611)&gt;0)*(N('Dvd Calendar'!$L$611)&lt;=VAL_SERIAL)*1000000+55*1000+48))</f>
        <v/>
      </c>
      <c r="GA66" s="35">
        <f>IF(N('Dvd Calendar'!$M$612)=0,"",IF(('Dvd Calendar'!$M$612&gt;=GRID_FROM)*('Dvd Calendar'!$M$612&lt;=GRID_TO)*('Dvd Calendar'!$M$612&gt;VAL_DATE)=0,"",'Dvd Calendar'!$M$612*1000000000+ISNUMBER('Dvd Calendar'!$M$613)*100000000+0*10000000+(N('Dvd Calendar'!$M$611)&gt;0)*(N('Dvd Calendar'!$M$611)&lt;=VAL_SERIAL)*1000000+55*1000+49))</f>
        <v/>
      </c>
      <c r="GB66" s="35">
        <f>IF(N('Dvd Calendar'!$N$612)=0,"",IF(('Dvd Calendar'!$N$612&gt;=GRID_FROM)*('Dvd Calendar'!$N$612&lt;=GRID_TO)*('Dvd Calendar'!$N$612&gt;VAL_DATE)=0,"",'Dvd Calendar'!$N$612*1000000000+ISNUMBER('Dvd Calendar'!$N$613)*100000000+0*10000000+(N('Dvd Calendar'!$N$611)&gt;0)*(N('Dvd Calendar'!$N$611)&lt;=VAL_SERIAL)*1000000+55*1000+50))</f>
        <v/>
      </c>
      <c r="GC66" s="35">
        <f>IF(N('Dvd Calendar'!$O$612)=0,"",IF(('Dvd Calendar'!$O$612&gt;=GRID_FROM)*('Dvd Calendar'!$O$612&lt;=GRID_TO)*('Dvd Calendar'!$O$612&gt;VAL_DATE)=0,"",'Dvd Calendar'!$O$612*1000000000+ISNUMBER('Dvd Calendar'!$O$613)*100000000+0*10000000+(N('Dvd Calendar'!$O$611)&gt;0)*(N('Dvd Calendar'!$O$611)&lt;=VAL_SERIAL)*1000000+55*1000+51))</f>
        <v/>
      </c>
      <c r="GD66" s="35">
        <f>IF(N('Dvd Calendar'!$P$612)=0,"",IF(('Dvd Calendar'!$P$612&gt;=GRID_FROM)*('Dvd Calendar'!$P$612&lt;=GRID_TO)*('Dvd Calendar'!$P$612&gt;VAL_DATE)=0,"",'Dvd Calendar'!$P$612*1000000000+ISNUMBER('Dvd Calendar'!$P$613)*100000000+0*10000000+(N('Dvd Calendar'!$P$611)&gt;0)*(N('Dvd Calendar'!$P$611)&lt;=VAL_SERIAL)*1000000+55*1000+52))</f>
        <v/>
      </c>
      <c r="GE66" s="35">
        <f>IF(N('Dvd Calendar'!$Q$612)=0,"",IF(('Dvd Calendar'!$Q$612&gt;=GRID_FROM)*('Dvd Calendar'!$Q$612&lt;=GRID_TO)*('Dvd Calendar'!$Q$612&gt;VAL_DATE)=0,"",'Dvd Calendar'!$Q$612*1000000000+ISNUMBER('Dvd Calendar'!$Q$613)*100000000+0*10000000+(N('Dvd Calendar'!$Q$611)&gt;0)*(N('Dvd Calendar'!$Q$611)&lt;=VAL_SERIAL)*1000000+55*1000+53))</f>
        <v/>
      </c>
      <c r="GF66" s="35">
        <f>IF(N('Dvd Calendar'!$R$612)=0,"",IF(('Dvd Calendar'!$R$612&gt;=GRID_FROM)*('Dvd Calendar'!$R$612&lt;=GRID_TO)*('Dvd Calendar'!$R$612&gt;VAL_DATE)=0,"",'Dvd Calendar'!$R$612*1000000000+ISNUMBER('Dvd Calendar'!$R$613)*100000000+0*10000000+(N('Dvd Calendar'!$R$611)&gt;0)*(N('Dvd Calendar'!$R$611)&lt;=VAL_SERIAL)*1000000+55*1000+54))</f>
        <v/>
      </c>
      <c r="GG66" s="35">
        <f>IF(N('Dvd Calendar'!$S$612)=0,"",IF(('Dvd Calendar'!$S$612&gt;=GRID_FROM)*('Dvd Calendar'!$S$612&lt;=GRID_TO)*('Dvd Calendar'!$S$612&gt;VAL_DATE)=0,"",'Dvd Calendar'!$S$612*1000000000+ISNUMBER('Dvd Calendar'!$S$613)*100000000+0*10000000+(N('Dvd Calendar'!$S$611)&gt;0)*(N('Dvd Calendar'!$S$611)&lt;=VAL_SERIAL)*1000000+55*1000+55))</f>
        <v/>
      </c>
      <c r="GH66" s="35">
        <f>IF(N('Dvd Calendar'!$T$612)=0,"",IF(('Dvd Calendar'!$T$612&gt;=GRID_FROM)*('Dvd Calendar'!$T$612&lt;=GRID_TO)*('Dvd Calendar'!$T$612&gt;VAL_DATE)=0,"",'Dvd Calendar'!$T$612*1000000000+ISNUMBER('Dvd Calendar'!$T$613)*100000000+0*10000000+(N('Dvd Calendar'!$T$611)&gt;0)*(N('Dvd Calendar'!$T$611)&lt;=VAL_SERIAL)*1000000+55*1000+56))</f>
        <v/>
      </c>
      <c r="GI66" s="35">
        <f>IF(N('Dvd Calendar'!$U$612)=0,"",IF(('Dvd Calendar'!$U$612&gt;=GRID_FROM)*('Dvd Calendar'!$U$612&lt;=GRID_TO)*('Dvd Calendar'!$U$612&gt;VAL_DATE)=0,"",'Dvd Calendar'!$U$612*1000000000+ISNUMBER('Dvd Calendar'!$U$613)*100000000+0*10000000+(N('Dvd Calendar'!$U$611)&gt;0)*(N('Dvd Calendar'!$U$611)&lt;=VAL_SERIAL)*1000000+55*1000+57))</f>
        <v/>
      </c>
      <c r="GJ66" s="35">
        <f>IF(N('Dvd Calendar'!$V$612)=0,"",IF(('Dvd Calendar'!$V$612&gt;=GRID_FROM)*('Dvd Calendar'!$V$612&lt;=GRID_TO)*('Dvd Calendar'!$V$612&gt;VAL_DATE)=0,"",'Dvd Calendar'!$V$612*1000000000+ISNUMBER('Dvd Calendar'!$V$613)*100000000+0*10000000+(N('Dvd Calendar'!$V$611)&gt;0)*(N('Dvd Calendar'!$V$611)&lt;=VAL_SERIAL)*1000000+55*1000+58))</f>
        <v/>
      </c>
      <c r="GK66" s="35">
        <f>IF(N('Dvd Calendar'!$W$612)=0,"",IF(('Dvd Calendar'!$W$612&gt;=GRID_FROM)*('Dvd Calendar'!$W$612&lt;=GRID_TO)*('Dvd Calendar'!$W$612&gt;VAL_DATE)=0,"",'Dvd Calendar'!$W$612*1000000000+ISNUMBER('Dvd Calendar'!$W$613)*100000000+0*10000000+(N('Dvd Calendar'!$W$611)&gt;0)*(N('Dvd Calendar'!$W$611)&lt;=VAL_SERIAL)*1000000+55*1000+59))</f>
        <v/>
      </c>
      <c r="GL66" s="35">
        <f>IF(N('Dvd Calendar'!$X$612)=0,"",IF(('Dvd Calendar'!$X$612&gt;=GRID_FROM)*('Dvd Calendar'!$X$612&lt;=GRID_TO)*('Dvd Calendar'!$X$612&gt;VAL_DATE)=0,"",'Dvd Calendar'!$X$612*1000000000+ISNUMBER('Dvd Calendar'!$X$613)*100000000+0*10000000+(N('Dvd Calendar'!$X$611)&gt;0)*(N('Dvd Calendar'!$X$611)&lt;=VAL_SERIAL)*1000000+55*1000+60))</f>
        <v/>
      </c>
      <c r="GM66" s="35">
        <f>IF(N('Dvd Calendar'!$Y$612)=0,"",IF(('Dvd Calendar'!$Y$612&gt;=GRID_FROM)*('Dvd Calendar'!$Y$612&lt;=GRID_TO)*('Dvd Calendar'!$Y$612&gt;VAL_DATE)=0,"",'Dvd Calendar'!$Y$612*1000000000+ISNUMBER('Dvd Calendar'!$Y$613)*100000000+0*10000000+(N('Dvd Calendar'!$Y$611)&gt;0)*(N('Dvd Calendar'!$Y$611)&lt;=VAL_SERIAL)*1000000+55*1000+61))</f>
        <v/>
      </c>
      <c r="GN66" s="35">
        <f>IF(N('Dvd Calendar'!$Z$612)=0,"",IF(('Dvd Calendar'!$Z$612&gt;=GRID_FROM)*('Dvd Calendar'!$Z$612&lt;=GRID_TO)*('Dvd Calendar'!$Z$612&gt;VAL_DATE)=0,"",'Dvd Calendar'!$Z$612*1000000000+ISNUMBER('Dvd Calendar'!$Z$613)*100000000+0*10000000+(N('Dvd Calendar'!$Z$611)&gt;0)*(N('Dvd Calendar'!$Z$611)&lt;=VAL_SERIAL)*1000000+55*1000+62))</f>
        <v/>
      </c>
      <c r="GO66" s="35">
        <f>IF(N('Dvd Calendar'!$AA$612)=0,"",IF(('Dvd Calendar'!$AA$612&gt;=GRID_FROM)*('Dvd Calendar'!$AA$612&lt;=GRID_TO)*('Dvd Calendar'!$AA$612&gt;VAL_DATE)=0,"",'Dvd Calendar'!$AA$612*1000000000+ISNUMBER('Dvd Calendar'!$AA$613)*100000000+0*10000000+(N('Dvd Calendar'!$AA$611)&gt;0)*(N('Dvd Calendar'!$AA$611)&lt;=VAL_SERIAL)*1000000+55*1000+63))</f>
        <v/>
      </c>
      <c r="GP66" s="35">
        <f>IF(N('Dvd Calendar'!$AB$612)=0,"",IF(('Dvd Calendar'!$AB$612&gt;=GRID_FROM)*('Dvd Calendar'!$AB$612&lt;=GRID_TO)*('Dvd Calendar'!$AB$612&gt;VAL_DATE)=0,"",'Dvd Calendar'!$AB$612*1000000000+ISNUMBER('Dvd Calendar'!$AB$613)*100000000+0*10000000+(N('Dvd Calendar'!$AB$611)&gt;0)*(N('Dvd Calendar'!$AB$611)&lt;=VAL_SERIAL)*1000000+55*1000+64))</f>
        <v/>
      </c>
      <c r="GQ66" s="35">
        <f>IF(N('Dvd Calendar'!$AC$612)=0,"",IF(('Dvd Calendar'!$AC$612&gt;=GRID_FROM)*('Dvd Calendar'!$AC$612&lt;=GRID_TO)*('Dvd Calendar'!$AC$612&gt;VAL_DATE)=0,"",'Dvd Calendar'!$AC$612*1000000000+ISNUMBER('Dvd Calendar'!$AC$613)*100000000+0*10000000+(N('Dvd Calendar'!$AC$611)&gt;0)*(N('Dvd Calendar'!$AC$611)&lt;=VAL_SERIAL)*1000000+55*1000+65))</f>
        <v/>
      </c>
    </row>
    <row r="67">
      <c r="B67" s="2">
        <f>IF(HSI!$C$62="","",HSI!$C$62)</f>
        <v/>
      </c>
      <c r="C67" s="106">
        <f>IF(EE67="","",IF(ISNUMBER('Dvd Calendar'!$E$619)=FALSE,"",IF((('Dvd Calendar'!$E$621=TYPE1)*(TYPE1&lt;&gt;"")+('Dvd Calendar'!$E$621=TYPE2)*(TYPE2&lt;&gt;"")+('Dvd Calendar'!$E$621=TYPE3)*(TYPE3&lt;&gt;"")+('Dvd Calendar'!$E$621=TYPE4)*(TYPE4&lt;&gt;"")+('Dvd Calendar'!$E$621=SPECIAL_LBL)*(INC_SPECIALS="Y"))=0,"",'Dvd Calendar'!$E$619)))</f>
        <v/>
      </c>
      <c r="D67" s="106">
        <f>IF(EF67="","",IF(ISNUMBER('Dvd Calendar'!$F$619)=FALSE,"",IF((('Dvd Calendar'!$F$621=TYPE1)*(TYPE1&lt;&gt;"")+('Dvd Calendar'!$F$621=TYPE2)*(TYPE2&lt;&gt;"")+('Dvd Calendar'!$F$621=TYPE3)*(TYPE3&lt;&gt;"")+('Dvd Calendar'!$F$621=TYPE4)*(TYPE4&lt;&gt;"")+('Dvd Calendar'!$F$621=SPECIAL_LBL)*(INC_SPECIALS="Y"))=0,"",'Dvd Calendar'!$F$619)))</f>
        <v/>
      </c>
      <c r="E67" s="106">
        <f>IF(EG67="","",IF(ISNUMBER('Dvd Calendar'!$G$619)=FALSE,"",IF((('Dvd Calendar'!$G$621=TYPE1)*(TYPE1&lt;&gt;"")+('Dvd Calendar'!$G$621=TYPE2)*(TYPE2&lt;&gt;"")+('Dvd Calendar'!$G$621=TYPE3)*(TYPE3&lt;&gt;"")+('Dvd Calendar'!$G$621=TYPE4)*(TYPE4&lt;&gt;"")+('Dvd Calendar'!$G$621=SPECIAL_LBL)*(INC_SPECIALS="Y"))=0,"",'Dvd Calendar'!$G$619)))</f>
        <v/>
      </c>
      <c r="F67" s="106">
        <f>IF(EH67="","",IF(ISNUMBER('Dvd Calendar'!$H$619)=FALSE,"",IF((('Dvd Calendar'!$H$621=TYPE1)*(TYPE1&lt;&gt;"")+('Dvd Calendar'!$H$621=TYPE2)*(TYPE2&lt;&gt;"")+('Dvd Calendar'!$H$621=TYPE3)*(TYPE3&lt;&gt;"")+('Dvd Calendar'!$H$621=TYPE4)*(TYPE4&lt;&gt;"")+('Dvd Calendar'!$H$621=SPECIAL_LBL)*(INC_SPECIALS="Y"))=0,"",'Dvd Calendar'!$H$619)))</f>
        <v/>
      </c>
      <c r="G67" s="106">
        <f>IF(EI67="","",IF(ISNUMBER('Dvd Calendar'!$I$619)=FALSE,"",IF((('Dvd Calendar'!$I$621=TYPE1)*(TYPE1&lt;&gt;"")+('Dvd Calendar'!$I$621=TYPE2)*(TYPE2&lt;&gt;"")+('Dvd Calendar'!$I$621=TYPE3)*(TYPE3&lt;&gt;"")+('Dvd Calendar'!$I$621=TYPE4)*(TYPE4&lt;&gt;"")+('Dvd Calendar'!$I$621=SPECIAL_LBL)*(INC_SPECIALS="Y"))=0,"",'Dvd Calendar'!$I$619)))</f>
        <v/>
      </c>
      <c r="H67" s="106">
        <f>IF(EJ67="","",IF(ISNUMBER('Dvd Calendar'!$J$619)=FALSE,"",IF((('Dvd Calendar'!$J$621=TYPE1)*(TYPE1&lt;&gt;"")+('Dvd Calendar'!$J$621=TYPE2)*(TYPE2&lt;&gt;"")+('Dvd Calendar'!$J$621=TYPE3)*(TYPE3&lt;&gt;"")+('Dvd Calendar'!$J$621=TYPE4)*(TYPE4&lt;&gt;"")+('Dvd Calendar'!$J$621=SPECIAL_LBL)*(INC_SPECIALS="Y"))=0,"",'Dvd Calendar'!$J$619)))</f>
        <v/>
      </c>
      <c r="I67" s="106">
        <f>IF(EK67="","",IF(ISNUMBER('Dvd Calendar'!$K$619)=FALSE,"",IF((('Dvd Calendar'!$K$621=TYPE1)*(TYPE1&lt;&gt;"")+('Dvd Calendar'!$K$621=TYPE2)*(TYPE2&lt;&gt;"")+('Dvd Calendar'!$K$621=TYPE3)*(TYPE3&lt;&gt;"")+('Dvd Calendar'!$K$621=TYPE4)*(TYPE4&lt;&gt;"")+('Dvd Calendar'!$K$621=SPECIAL_LBL)*(INC_SPECIALS="Y"))=0,"",'Dvd Calendar'!$K$619)))</f>
        <v/>
      </c>
      <c r="J67" s="106">
        <f>IF(EL67="","",IF(ISNUMBER('Dvd Calendar'!$L$619)=FALSE,"",IF((('Dvd Calendar'!$L$621=TYPE1)*(TYPE1&lt;&gt;"")+('Dvd Calendar'!$L$621=TYPE2)*(TYPE2&lt;&gt;"")+('Dvd Calendar'!$L$621=TYPE3)*(TYPE3&lt;&gt;"")+('Dvd Calendar'!$L$621=TYPE4)*(TYPE4&lt;&gt;"")+('Dvd Calendar'!$L$621=SPECIAL_LBL)*(INC_SPECIALS="Y"))=0,"",'Dvd Calendar'!$L$619)))</f>
        <v/>
      </c>
      <c r="K67" s="106">
        <f>IF(EM67="","",IF(ISNUMBER('Dvd Calendar'!$M$619)=FALSE,"",IF((('Dvd Calendar'!$M$621=TYPE1)*(TYPE1&lt;&gt;"")+('Dvd Calendar'!$M$621=TYPE2)*(TYPE2&lt;&gt;"")+('Dvd Calendar'!$M$621=TYPE3)*(TYPE3&lt;&gt;"")+('Dvd Calendar'!$M$621=TYPE4)*(TYPE4&lt;&gt;"")+('Dvd Calendar'!$M$621=SPECIAL_LBL)*(INC_SPECIALS="Y"))=0,"",'Dvd Calendar'!$M$619)))</f>
        <v/>
      </c>
      <c r="L67" s="106">
        <f>IF(EN67="","",IF(ISNUMBER('Dvd Calendar'!$N$619)=FALSE,"",IF((('Dvd Calendar'!$N$621=TYPE1)*(TYPE1&lt;&gt;"")+('Dvd Calendar'!$N$621=TYPE2)*(TYPE2&lt;&gt;"")+('Dvd Calendar'!$N$621=TYPE3)*(TYPE3&lt;&gt;"")+('Dvd Calendar'!$N$621=TYPE4)*(TYPE4&lt;&gt;"")+('Dvd Calendar'!$N$621=SPECIAL_LBL)*(INC_SPECIALS="Y"))=0,"",'Dvd Calendar'!$N$619)))</f>
        <v/>
      </c>
      <c r="M67" s="106">
        <f>IF(EO67="","",IF(ISNUMBER('Dvd Calendar'!$O$619)=FALSE,"",IF((('Dvd Calendar'!$O$621=TYPE1)*(TYPE1&lt;&gt;"")+('Dvd Calendar'!$O$621=TYPE2)*(TYPE2&lt;&gt;"")+('Dvd Calendar'!$O$621=TYPE3)*(TYPE3&lt;&gt;"")+('Dvd Calendar'!$O$621=TYPE4)*(TYPE4&lt;&gt;"")+('Dvd Calendar'!$O$621=SPECIAL_LBL)*(INC_SPECIALS="Y"))=0,"",'Dvd Calendar'!$O$619)))</f>
        <v/>
      </c>
      <c r="N67" s="106">
        <f>IF(EP67="","",IF(ISNUMBER('Dvd Calendar'!$P$619)=FALSE,"",IF((('Dvd Calendar'!$P$621=TYPE1)*(TYPE1&lt;&gt;"")+('Dvd Calendar'!$P$621=TYPE2)*(TYPE2&lt;&gt;"")+('Dvd Calendar'!$P$621=TYPE3)*(TYPE3&lt;&gt;"")+('Dvd Calendar'!$P$621=TYPE4)*(TYPE4&lt;&gt;"")+('Dvd Calendar'!$P$621=SPECIAL_LBL)*(INC_SPECIALS="Y"))=0,"",'Dvd Calendar'!$P$619)))</f>
        <v/>
      </c>
      <c r="O67" s="106">
        <f>IF(EQ67="","",IF(ISNUMBER('Dvd Calendar'!$Q$619)=FALSE,"",IF((('Dvd Calendar'!$Q$621=TYPE1)*(TYPE1&lt;&gt;"")+('Dvd Calendar'!$Q$621=TYPE2)*(TYPE2&lt;&gt;"")+('Dvd Calendar'!$Q$621=TYPE3)*(TYPE3&lt;&gt;"")+('Dvd Calendar'!$Q$621=TYPE4)*(TYPE4&lt;&gt;"")+('Dvd Calendar'!$Q$621=SPECIAL_LBL)*(INC_SPECIALS="Y"))=0,"",'Dvd Calendar'!$Q$619)))</f>
        <v/>
      </c>
      <c r="P67" s="106">
        <f>IF(ER67="","",IF(ISNUMBER('Dvd Calendar'!$R$619)=FALSE,"",IF((('Dvd Calendar'!$R$621=TYPE1)*(TYPE1&lt;&gt;"")+('Dvd Calendar'!$R$621=TYPE2)*(TYPE2&lt;&gt;"")+('Dvd Calendar'!$R$621=TYPE3)*(TYPE3&lt;&gt;"")+('Dvd Calendar'!$R$621=TYPE4)*(TYPE4&lt;&gt;"")+('Dvd Calendar'!$R$621=SPECIAL_LBL)*(INC_SPECIALS="Y"))=0,"",'Dvd Calendar'!$R$619)))</f>
        <v/>
      </c>
      <c r="Q67" s="106">
        <f>IF(ES67="","",IF(ISNUMBER('Dvd Calendar'!$S$619)=FALSE,"",IF((('Dvd Calendar'!$S$621=TYPE1)*(TYPE1&lt;&gt;"")+('Dvd Calendar'!$S$621=TYPE2)*(TYPE2&lt;&gt;"")+('Dvd Calendar'!$S$621=TYPE3)*(TYPE3&lt;&gt;"")+('Dvd Calendar'!$S$621=TYPE4)*(TYPE4&lt;&gt;"")+('Dvd Calendar'!$S$621=SPECIAL_LBL)*(INC_SPECIALS="Y"))=0,"",'Dvd Calendar'!$S$619)))</f>
        <v/>
      </c>
      <c r="R67" s="106">
        <f>IF(ET67="","",IF(ISNUMBER('Dvd Calendar'!$T$619)=FALSE,"",IF((('Dvd Calendar'!$T$621=TYPE1)*(TYPE1&lt;&gt;"")+('Dvd Calendar'!$T$621=TYPE2)*(TYPE2&lt;&gt;"")+('Dvd Calendar'!$T$621=TYPE3)*(TYPE3&lt;&gt;"")+('Dvd Calendar'!$T$621=TYPE4)*(TYPE4&lt;&gt;"")+('Dvd Calendar'!$T$621=SPECIAL_LBL)*(INC_SPECIALS="Y"))=0,"",'Dvd Calendar'!$T$619)))</f>
        <v/>
      </c>
      <c r="S67" s="106">
        <f>IF(EU67="","",IF(ISNUMBER('Dvd Calendar'!$U$619)=FALSE,"",IF((('Dvd Calendar'!$U$621=TYPE1)*(TYPE1&lt;&gt;"")+('Dvd Calendar'!$U$621=TYPE2)*(TYPE2&lt;&gt;"")+('Dvd Calendar'!$U$621=TYPE3)*(TYPE3&lt;&gt;"")+('Dvd Calendar'!$U$621=TYPE4)*(TYPE4&lt;&gt;"")+('Dvd Calendar'!$U$621=SPECIAL_LBL)*(INC_SPECIALS="Y"))=0,"",'Dvd Calendar'!$U$619)))</f>
        <v/>
      </c>
      <c r="T67" s="106">
        <f>IF(EV67="","",IF(ISNUMBER('Dvd Calendar'!$V$619)=FALSE,"",IF((('Dvd Calendar'!$V$621=TYPE1)*(TYPE1&lt;&gt;"")+('Dvd Calendar'!$V$621=TYPE2)*(TYPE2&lt;&gt;"")+('Dvd Calendar'!$V$621=TYPE3)*(TYPE3&lt;&gt;"")+('Dvd Calendar'!$V$621=TYPE4)*(TYPE4&lt;&gt;"")+('Dvd Calendar'!$V$621=SPECIAL_LBL)*(INC_SPECIALS="Y"))=0,"",'Dvd Calendar'!$V$619)))</f>
        <v/>
      </c>
      <c r="U67" s="106">
        <f>IF(EW67="","",IF(ISNUMBER('Dvd Calendar'!$W$619)=FALSE,"",IF((('Dvd Calendar'!$W$621=TYPE1)*(TYPE1&lt;&gt;"")+('Dvd Calendar'!$W$621=TYPE2)*(TYPE2&lt;&gt;"")+('Dvd Calendar'!$W$621=TYPE3)*(TYPE3&lt;&gt;"")+('Dvd Calendar'!$W$621=TYPE4)*(TYPE4&lt;&gt;"")+('Dvd Calendar'!$W$621=SPECIAL_LBL)*(INC_SPECIALS="Y"))=0,"",'Dvd Calendar'!$W$619)))</f>
        <v/>
      </c>
      <c r="V67" s="106">
        <f>IF(EX67="","",IF(ISNUMBER('Dvd Calendar'!$X$619)=FALSE,"",IF((('Dvd Calendar'!$X$621=TYPE1)*(TYPE1&lt;&gt;"")+('Dvd Calendar'!$X$621=TYPE2)*(TYPE2&lt;&gt;"")+('Dvd Calendar'!$X$621=TYPE3)*(TYPE3&lt;&gt;"")+('Dvd Calendar'!$X$621=TYPE4)*(TYPE4&lt;&gt;"")+('Dvd Calendar'!$X$621=SPECIAL_LBL)*(INC_SPECIALS="Y"))=0,"",'Dvd Calendar'!$X$619)))</f>
        <v/>
      </c>
      <c r="W67" s="106">
        <f>IF(EY67="","",IF(ISNUMBER('Dvd Calendar'!$Y$619)=FALSE,"",IF((('Dvd Calendar'!$Y$621=TYPE1)*(TYPE1&lt;&gt;"")+('Dvd Calendar'!$Y$621=TYPE2)*(TYPE2&lt;&gt;"")+('Dvd Calendar'!$Y$621=TYPE3)*(TYPE3&lt;&gt;"")+('Dvd Calendar'!$Y$621=TYPE4)*(TYPE4&lt;&gt;"")+('Dvd Calendar'!$Y$621=SPECIAL_LBL)*(INC_SPECIALS="Y"))=0,"",'Dvd Calendar'!$Y$619)))</f>
        <v/>
      </c>
      <c r="X67" s="106">
        <f>IF(EZ67="","",IF(ISNUMBER('Dvd Calendar'!$Z$619)=FALSE,"",IF((('Dvd Calendar'!$Z$621=TYPE1)*(TYPE1&lt;&gt;"")+('Dvd Calendar'!$Z$621=TYPE2)*(TYPE2&lt;&gt;"")+('Dvd Calendar'!$Z$621=TYPE3)*(TYPE3&lt;&gt;"")+('Dvd Calendar'!$Z$621=TYPE4)*(TYPE4&lt;&gt;"")+('Dvd Calendar'!$Z$621=SPECIAL_LBL)*(INC_SPECIALS="Y"))=0,"",'Dvd Calendar'!$Z$619)))</f>
        <v/>
      </c>
      <c r="Y67" s="106">
        <f>IF(FA67="","",IF(ISNUMBER('Dvd Calendar'!$AA$619)=FALSE,"",IF((('Dvd Calendar'!$AA$621=TYPE1)*(TYPE1&lt;&gt;"")+('Dvd Calendar'!$AA$621=TYPE2)*(TYPE2&lt;&gt;"")+('Dvd Calendar'!$AA$621=TYPE3)*(TYPE3&lt;&gt;"")+('Dvd Calendar'!$AA$621=TYPE4)*(TYPE4&lt;&gt;"")+('Dvd Calendar'!$AA$621=SPECIAL_LBL)*(INC_SPECIALS="Y"))=0,"",'Dvd Calendar'!$AA$619)))</f>
        <v/>
      </c>
      <c r="Z67" s="106">
        <f>IF(FB67="","",IF(ISNUMBER('Dvd Calendar'!$AB$619)=FALSE,"",IF((('Dvd Calendar'!$AB$621=TYPE1)*(TYPE1&lt;&gt;"")+('Dvd Calendar'!$AB$621=TYPE2)*(TYPE2&lt;&gt;"")+('Dvd Calendar'!$AB$621=TYPE3)*(TYPE3&lt;&gt;"")+('Dvd Calendar'!$AB$621=TYPE4)*(TYPE4&lt;&gt;"")+('Dvd Calendar'!$AB$621=SPECIAL_LBL)*(INC_SPECIALS="Y"))=0,"",'Dvd Calendar'!$AB$619)))</f>
        <v/>
      </c>
      <c r="AA67" s="106">
        <f>IF(FC67="","",IF(ISNUMBER('Dvd Calendar'!$AC$619)=FALSE,"",IF((('Dvd Calendar'!$AC$621=TYPE1)*(TYPE1&lt;&gt;"")+('Dvd Calendar'!$AC$621=TYPE2)*(TYPE2&lt;&gt;"")+('Dvd Calendar'!$AC$621=TYPE3)*(TYPE3&lt;&gt;"")+('Dvd Calendar'!$AC$621=TYPE4)*(TYPE4&lt;&gt;"")+('Dvd Calendar'!$AC$621=SPECIAL_LBL)*(INC_SPECIALS="Y"))=0,"",'Dvd Calendar'!$AC$619)))</f>
        <v/>
      </c>
      <c r="AB67" s="106">
        <f>IF(FD67="","",IF(ISNUMBER('Dvd Calendar'!$AD$619)=FALSE,"",IF((('Dvd Calendar'!$AD$621=TYPE1)*(TYPE1&lt;&gt;"")+('Dvd Calendar'!$AD$621=TYPE2)*(TYPE2&lt;&gt;"")+('Dvd Calendar'!$AD$621=TYPE3)*(TYPE3&lt;&gt;"")+('Dvd Calendar'!$AD$621=TYPE4)*(TYPE4&lt;&gt;"")+('Dvd Calendar'!$AD$621=SPECIAL_LBL)*(INC_SPECIALS="Y"))=0,"",'Dvd Calendar'!$AD$619)))</f>
        <v/>
      </c>
      <c r="AC67" s="106">
        <f>IF(FE67="","",IF(ISNUMBER('Dvd Calendar'!$AE$619)=FALSE,"",IF((('Dvd Calendar'!$AE$621=TYPE1)*(TYPE1&lt;&gt;"")+('Dvd Calendar'!$AE$621=TYPE2)*(TYPE2&lt;&gt;"")+('Dvd Calendar'!$AE$621=TYPE3)*(TYPE3&lt;&gt;"")+('Dvd Calendar'!$AE$621=TYPE4)*(TYPE4&lt;&gt;"")+('Dvd Calendar'!$AE$621=SPECIAL_LBL)*(INC_SPECIALS="Y"))=0,"",'Dvd Calendar'!$AE$619)))</f>
        <v/>
      </c>
      <c r="AD67" s="106">
        <f>IF(FF67="","",IF(ISNUMBER('Dvd Calendar'!$AF$619)=FALSE,"",IF((('Dvd Calendar'!$AF$621=TYPE1)*(TYPE1&lt;&gt;"")+('Dvd Calendar'!$AF$621=TYPE2)*(TYPE2&lt;&gt;"")+('Dvd Calendar'!$AF$621=TYPE3)*(TYPE3&lt;&gt;"")+('Dvd Calendar'!$AF$621=TYPE4)*(TYPE4&lt;&gt;"")+('Dvd Calendar'!$AF$621=SPECIAL_LBL)*(INC_SPECIALS="Y"))=0,"",'Dvd Calendar'!$AF$619)))</f>
        <v/>
      </c>
      <c r="AE67" s="106">
        <f>IF(FG67="","",IF(ISNUMBER('Dvd Calendar'!$AG$619)=FALSE,"",IF((('Dvd Calendar'!$AG$621=TYPE1)*(TYPE1&lt;&gt;"")+('Dvd Calendar'!$AG$621=TYPE2)*(TYPE2&lt;&gt;"")+('Dvd Calendar'!$AG$621=TYPE3)*(TYPE3&lt;&gt;"")+('Dvd Calendar'!$AG$621=TYPE4)*(TYPE4&lt;&gt;"")+('Dvd Calendar'!$AG$621=SPECIAL_LBL)*(INC_SPECIALS="Y"))=0,"",'Dvd Calendar'!$AG$619)))</f>
        <v/>
      </c>
      <c r="AF67" s="106">
        <f>IF(FH67="","",IF(ISNUMBER('Dvd Calendar'!$AH$619)=FALSE,"",IF((('Dvd Calendar'!$AH$621=TYPE1)*(TYPE1&lt;&gt;"")+('Dvd Calendar'!$AH$621=TYPE2)*(TYPE2&lt;&gt;"")+('Dvd Calendar'!$AH$621=TYPE3)*(TYPE3&lt;&gt;"")+('Dvd Calendar'!$AH$621=TYPE4)*(TYPE4&lt;&gt;"")+('Dvd Calendar'!$AH$621=SPECIAL_LBL)*(INC_SPECIALS="Y"))=0,"",'Dvd Calendar'!$AH$619)))</f>
        <v/>
      </c>
      <c r="AG67" s="106">
        <f>IF(FI67="","",IF(ISNUMBER('Dvd Calendar'!$AI$619)=FALSE,"",IF((('Dvd Calendar'!$AI$621=TYPE1)*(TYPE1&lt;&gt;"")+('Dvd Calendar'!$AI$621=TYPE2)*(TYPE2&lt;&gt;"")+('Dvd Calendar'!$AI$621=TYPE3)*(TYPE3&lt;&gt;"")+('Dvd Calendar'!$AI$621=TYPE4)*(TYPE4&lt;&gt;"")+('Dvd Calendar'!$AI$621=SPECIAL_LBL)*(INC_SPECIALS="Y"))=0,"",'Dvd Calendar'!$AI$619)))</f>
        <v/>
      </c>
      <c r="AH67" s="106">
        <f>IF(FJ67="","",IF(ISNUMBER('Dvd Calendar'!$AJ$619)=FALSE,"",IF((('Dvd Calendar'!$AJ$621=TYPE1)*(TYPE1&lt;&gt;"")+('Dvd Calendar'!$AJ$621=TYPE2)*(TYPE2&lt;&gt;"")+('Dvd Calendar'!$AJ$621=TYPE3)*(TYPE3&lt;&gt;"")+('Dvd Calendar'!$AJ$621=TYPE4)*(TYPE4&lt;&gt;"")+('Dvd Calendar'!$AJ$621=SPECIAL_LBL)*(INC_SPECIALS="Y"))=0,"",'Dvd Calendar'!$AJ$619)))</f>
        <v/>
      </c>
      <c r="AI67" s="106">
        <f>IF(FK67="","",IF(ISNUMBER('Dvd Calendar'!$AK$619)=FALSE,"",IF((('Dvd Calendar'!$AK$621=TYPE1)*(TYPE1&lt;&gt;"")+('Dvd Calendar'!$AK$621=TYPE2)*(TYPE2&lt;&gt;"")+('Dvd Calendar'!$AK$621=TYPE3)*(TYPE3&lt;&gt;"")+('Dvd Calendar'!$AK$621=TYPE4)*(TYPE4&lt;&gt;"")+('Dvd Calendar'!$AK$621=SPECIAL_LBL)*(INC_SPECIALS="Y"))=0,"",'Dvd Calendar'!$AK$619)))</f>
        <v/>
      </c>
      <c r="AJ67" s="106">
        <f>IF(FL67="","",IF(ISNUMBER('Dvd Calendar'!$AL$619)=FALSE,"",IF((('Dvd Calendar'!$AL$621=TYPE1)*(TYPE1&lt;&gt;"")+('Dvd Calendar'!$AL$621=TYPE2)*(TYPE2&lt;&gt;"")+('Dvd Calendar'!$AL$621=TYPE3)*(TYPE3&lt;&gt;"")+('Dvd Calendar'!$AL$621=TYPE4)*(TYPE4&lt;&gt;"")+('Dvd Calendar'!$AL$621=SPECIAL_LBL)*(INC_SPECIALS="Y"))=0,"",'Dvd Calendar'!$AL$619)))</f>
        <v/>
      </c>
      <c r="AK67" s="106">
        <f>IF(FM67="","",IF(ISNUMBER('Dvd Calendar'!$AM$619)=FALSE,"",IF((('Dvd Calendar'!$AM$621=TYPE1)*(TYPE1&lt;&gt;"")+('Dvd Calendar'!$AM$621=TYPE2)*(TYPE2&lt;&gt;"")+('Dvd Calendar'!$AM$621=TYPE3)*(TYPE3&lt;&gt;"")+('Dvd Calendar'!$AM$621=TYPE4)*(TYPE4&lt;&gt;"")+('Dvd Calendar'!$AM$621=SPECIAL_LBL)*(INC_SPECIALS="Y"))=0,"",'Dvd Calendar'!$AM$619)))</f>
        <v/>
      </c>
      <c r="AL67" s="106">
        <f>IF(FN67="","",IF(ISNUMBER('Dvd Calendar'!$AN$619)=FALSE,"",IF((('Dvd Calendar'!$AN$621=TYPE1)*(TYPE1&lt;&gt;"")+('Dvd Calendar'!$AN$621=TYPE2)*(TYPE2&lt;&gt;"")+('Dvd Calendar'!$AN$621=TYPE3)*(TYPE3&lt;&gt;"")+('Dvd Calendar'!$AN$621=TYPE4)*(TYPE4&lt;&gt;"")+('Dvd Calendar'!$AN$621=SPECIAL_LBL)*(INC_SPECIALS="Y"))=0,"",'Dvd Calendar'!$AN$619)))</f>
        <v/>
      </c>
      <c r="AM67" s="106">
        <f>IF(FO67="","",IF(ISNUMBER('Dvd Calendar'!$AO$619)=FALSE,"",IF((('Dvd Calendar'!$AO$621=TYPE1)*(TYPE1&lt;&gt;"")+('Dvd Calendar'!$AO$621=TYPE2)*(TYPE2&lt;&gt;"")+('Dvd Calendar'!$AO$621=TYPE3)*(TYPE3&lt;&gt;"")+('Dvd Calendar'!$AO$621=TYPE4)*(TYPE4&lt;&gt;"")+('Dvd Calendar'!$AO$621=SPECIAL_LBL)*(INC_SPECIALS="Y"))=0,"",'Dvd Calendar'!$AO$619)))</f>
        <v/>
      </c>
      <c r="AN67" s="106">
        <f>IF(FP67="","",IF(ISNUMBER('Dvd Calendar'!$AP$619)=FALSE,"",IF((('Dvd Calendar'!$AP$621=TYPE1)*(TYPE1&lt;&gt;"")+('Dvd Calendar'!$AP$621=TYPE2)*(TYPE2&lt;&gt;"")+('Dvd Calendar'!$AP$621=TYPE3)*(TYPE3&lt;&gt;"")+('Dvd Calendar'!$AP$621=TYPE4)*(TYPE4&lt;&gt;"")+('Dvd Calendar'!$AP$621=SPECIAL_LBL)*(INC_SPECIALS="Y"))=0,"",'Dvd Calendar'!$AP$619)))</f>
        <v/>
      </c>
      <c r="AO67" s="106">
        <f>IF(FQ67="","",IF(ISNUMBER('Dvd Calendar'!$AQ$619)=FALSE,"",IF((('Dvd Calendar'!$AQ$621=TYPE1)*(TYPE1&lt;&gt;"")+('Dvd Calendar'!$AQ$621=TYPE2)*(TYPE2&lt;&gt;"")+('Dvd Calendar'!$AQ$621=TYPE3)*(TYPE3&lt;&gt;"")+('Dvd Calendar'!$AQ$621=TYPE4)*(TYPE4&lt;&gt;"")+('Dvd Calendar'!$AQ$621=SPECIAL_LBL)*(INC_SPECIALS="Y"))=0,"",'Dvd Calendar'!$AQ$619)))</f>
        <v/>
      </c>
      <c r="AP67" s="106">
        <f>IF(FR67="","",IF(ISNUMBER('Dvd Calendar'!$AR$619)=FALSE,"",IF((('Dvd Calendar'!$AR$621=TYPE1)*(TYPE1&lt;&gt;"")+('Dvd Calendar'!$AR$621=TYPE2)*(TYPE2&lt;&gt;"")+('Dvd Calendar'!$AR$621=TYPE3)*(TYPE3&lt;&gt;"")+('Dvd Calendar'!$AR$621=TYPE4)*(TYPE4&lt;&gt;"")+('Dvd Calendar'!$AR$621=SPECIAL_LBL)*(INC_SPECIALS="Y"))=0,"",'Dvd Calendar'!$AR$619)))</f>
        <v/>
      </c>
      <c r="AQ67" s="106">
        <f>IF(FS67="","",IF(ISNUMBER('Dvd Calendar'!$E$624)=FALSE,"",'Dvd Calendar'!$E$624))</f>
        <v/>
      </c>
      <c r="AR67" s="106">
        <f>IF(FT67="","",IF(ISNUMBER('Dvd Calendar'!$F$624)=FALSE,"",'Dvd Calendar'!$F$624))</f>
        <v/>
      </c>
      <c r="AS67" s="106">
        <f>IF(FU67="","",IF(ISNUMBER('Dvd Calendar'!$G$624)=FALSE,"",'Dvd Calendar'!$G$624))</f>
        <v/>
      </c>
      <c r="AT67" s="106">
        <f>IF(FV67="","",IF(ISNUMBER('Dvd Calendar'!$H$624)=FALSE,"",'Dvd Calendar'!$H$624))</f>
        <v/>
      </c>
      <c r="AU67" s="106">
        <f>IF(FW67="","",IF(ISNUMBER('Dvd Calendar'!$I$624)=FALSE,"",'Dvd Calendar'!$I$624))</f>
        <v/>
      </c>
      <c r="AV67" s="106">
        <f>IF(FX67="","",IF(ISNUMBER('Dvd Calendar'!$J$624)=FALSE,"",'Dvd Calendar'!$J$624))</f>
        <v/>
      </c>
      <c r="AW67" s="106">
        <f>IF(FY67="","",IF(ISNUMBER('Dvd Calendar'!$K$624)=FALSE,"",'Dvd Calendar'!$K$624))</f>
        <v/>
      </c>
      <c r="AX67" s="106">
        <f>IF(FZ67="","",IF(ISNUMBER('Dvd Calendar'!$L$624)=FALSE,"",'Dvd Calendar'!$L$624))</f>
        <v/>
      </c>
      <c r="AY67" s="106">
        <f>IF(GA67="","",IF(ISNUMBER('Dvd Calendar'!$M$624)=FALSE,"",'Dvd Calendar'!$M$624))</f>
        <v/>
      </c>
      <c r="AZ67" s="106">
        <f>IF(GB67="","",IF(ISNUMBER('Dvd Calendar'!$N$624)=FALSE,"",'Dvd Calendar'!$N$624))</f>
        <v/>
      </c>
      <c r="BA67" s="106">
        <f>IF(GC67="","",IF(ISNUMBER('Dvd Calendar'!$O$624)=FALSE,"",'Dvd Calendar'!$O$624))</f>
        <v/>
      </c>
      <c r="BB67" s="106">
        <f>IF(GD67="","",IF(ISNUMBER('Dvd Calendar'!$P$624)=FALSE,"",'Dvd Calendar'!$P$624))</f>
        <v/>
      </c>
      <c r="BC67" s="106">
        <f>IF(GE67="","",IF(ISNUMBER('Dvd Calendar'!$Q$624)=FALSE,"",'Dvd Calendar'!$Q$624))</f>
        <v/>
      </c>
      <c r="BD67" s="106">
        <f>IF(GF67="","",IF(ISNUMBER('Dvd Calendar'!$R$624)=FALSE,"",'Dvd Calendar'!$R$624))</f>
        <v/>
      </c>
      <c r="BE67" s="106">
        <f>IF(GG67="","",IF(ISNUMBER('Dvd Calendar'!$S$624)=FALSE,"",'Dvd Calendar'!$S$624))</f>
        <v/>
      </c>
      <c r="BF67" s="106">
        <f>IF(GH67="","",IF(ISNUMBER('Dvd Calendar'!$T$624)=FALSE,"",'Dvd Calendar'!$T$624))</f>
        <v/>
      </c>
      <c r="BG67" s="106">
        <f>IF(GI67="","",IF(ISNUMBER('Dvd Calendar'!$U$624)=FALSE,"",'Dvd Calendar'!$U$624))</f>
        <v/>
      </c>
      <c r="BH67" s="106">
        <f>IF(GJ67="","",IF(ISNUMBER('Dvd Calendar'!$V$624)=FALSE,"",'Dvd Calendar'!$V$624))</f>
        <v/>
      </c>
      <c r="BI67" s="106">
        <f>IF(GK67="","",IF(ISNUMBER('Dvd Calendar'!$W$624)=FALSE,"",'Dvd Calendar'!$W$624))</f>
        <v/>
      </c>
      <c r="BJ67" s="106">
        <f>IF(GL67="","",IF(ISNUMBER('Dvd Calendar'!$X$624)=FALSE,"",'Dvd Calendar'!$X$624))</f>
        <v/>
      </c>
      <c r="BK67" s="106">
        <f>IF(GM67="","",IF(ISNUMBER('Dvd Calendar'!$Y$624)=FALSE,"",'Dvd Calendar'!$Y$624))</f>
        <v/>
      </c>
      <c r="BL67" s="106">
        <f>IF(GN67="","",IF(ISNUMBER('Dvd Calendar'!$Z$624)=FALSE,"",'Dvd Calendar'!$Z$624))</f>
        <v/>
      </c>
      <c r="BM67" s="106">
        <f>IF(GO67="","",IF(ISNUMBER('Dvd Calendar'!$AA$624)=FALSE,"",'Dvd Calendar'!$AA$624))</f>
        <v/>
      </c>
      <c r="BN67" s="106">
        <f>IF(GP67="","",IF(ISNUMBER('Dvd Calendar'!$AB$624)=FALSE,"",'Dvd Calendar'!$AB$624))</f>
        <v/>
      </c>
      <c r="BO67" s="106">
        <f>IF(GQ67="","",IF(ISNUMBER('Dvd Calendar'!$AC$624)=FALSE,"",'Dvd Calendar'!$AC$624))</f>
        <v/>
      </c>
      <c r="BQ67" s="106">
        <f>IF(C67="","",IFERROR(C67*HSI!$B$62*HSI!$G$62/HSI!$B$3,""))</f>
        <v/>
      </c>
      <c r="BR67" s="106">
        <f>IF(D67="","",IFERROR(D67*HSI!$B$62*HSI!$G$62/HSI!$B$3,""))</f>
        <v/>
      </c>
      <c r="BS67" s="106">
        <f>IF(E67="","",IFERROR(E67*HSI!$B$62*HSI!$G$62/HSI!$B$3,""))</f>
        <v/>
      </c>
      <c r="BT67" s="106">
        <f>IF(F67="","",IFERROR(F67*HSI!$B$62*HSI!$G$62/HSI!$B$3,""))</f>
        <v/>
      </c>
      <c r="BU67" s="106">
        <f>IF(G67="","",IFERROR(G67*HSI!$B$62*HSI!$G$62/HSI!$B$3,""))</f>
        <v/>
      </c>
      <c r="BV67" s="106">
        <f>IF(H67="","",IFERROR(H67*HSI!$B$62*HSI!$G$62/HSI!$B$3,""))</f>
        <v/>
      </c>
      <c r="BW67" s="106">
        <f>IF(I67="","",IFERROR(I67*HSI!$B$62*HSI!$G$62/HSI!$B$3,""))</f>
        <v/>
      </c>
      <c r="BX67" s="106">
        <f>IF(J67="","",IFERROR(J67*HSI!$B$62*HSI!$G$62/HSI!$B$3,""))</f>
        <v/>
      </c>
      <c r="BY67" s="106">
        <f>IF(K67="","",IFERROR(K67*HSI!$B$62*HSI!$G$62/HSI!$B$3,""))</f>
        <v/>
      </c>
      <c r="BZ67" s="106">
        <f>IF(L67="","",IFERROR(L67*HSI!$B$62*HSI!$G$62/HSI!$B$3,""))</f>
        <v/>
      </c>
      <c r="CA67" s="106">
        <f>IF(M67="","",IFERROR(M67*HSI!$B$62*HSI!$G$62/HSI!$B$3,""))</f>
        <v/>
      </c>
      <c r="CB67" s="106">
        <f>IF(N67="","",IFERROR(N67*HSI!$B$62*HSI!$G$62/HSI!$B$3,""))</f>
        <v/>
      </c>
      <c r="CC67" s="106">
        <f>IF(O67="","",IFERROR(O67*HSI!$B$62*HSI!$G$62/HSI!$B$3,""))</f>
        <v/>
      </c>
      <c r="CD67" s="106">
        <f>IF(P67="","",IFERROR(P67*HSI!$B$62*HSI!$G$62/HSI!$B$3,""))</f>
        <v/>
      </c>
      <c r="CE67" s="106">
        <f>IF(Q67="","",IFERROR(Q67*HSI!$B$62*HSI!$G$62/HSI!$B$3,""))</f>
        <v/>
      </c>
      <c r="CF67" s="106">
        <f>IF(R67="","",IFERROR(R67*HSI!$B$62*HSI!$G$62/HSI!$B$3,""))</f>
        <v/>
      </c>
      <c r="CG67" s="106">
        <f>IF(S67="","",IFERROR(S67*HSI!$B$62*HSI!$G$62/HSI!$B$3,""))</f>
        <v/>
      </c>
      <c r="CH67" s="106">
        <f>IF(T67="","",IFERROR(T67*HSI!$B$62*HSI!$G$62/HSI!$B$3,""))</f>
        <v/>
      </c>
      <c r="CI67" s="106">
        <f>IF(U67="","",IFERROR(U67*HSI!$B$62*HSI!$G$62/HSI!$B$3,""))</f>
        <v/>
      </c>
      <c r="CJ67" s="106">
        <f>IF(V67="","",IFERROR(V67*HSI!$B$62*HSI!$G$62/HSI!$B$3,""))</f>
        <v/>
      </c>
      <c r="CK67" s="106">
        <f>IF(W67="","",IFERROR(W67*HSI!$B$62*HSI!$G$62/HSI!$B$3,""))</f>
        <v/>
      </c>
      <c r="CL67" s="106">
        <f>IF(X67="","",IFERROR(X67*HSI!$B$62*HSI!$G$62/HSI!$B$3,""))</f>
        <v/>
      </c>
      <c r="CM67" s="106">
        <f>IF(Y67="","",IFERROR(Y67*HSI!$B$62*HSI!$G$62/HSI!$B$3,""))</f>
        <v/>
      </c>
      <c r="CN67" s="106">
        <f>IF(Z67="","",IFERROR(Z67*HSI!$B$62*HSI!$G$62/HSI!$B$3,""))</f>
        <v/>
      </c>
      <c r="CO67" s="106">
        <f>IF(AA67="","",IFERROR(AA67*HSI!$B$62*HSI!$G$62/HSI!$B$3,""))</f>
        <v/>
      </c>
      <c r="CP67" s="106">
        <f>IF(AB67="","",IFERROR(AB67*HSI!$B$62*HSI!$G$62/HSI!$B$3,""))</f>
        <v/>
      </c>
      <c r="CQ67" s="106">
        <f>IF(AC67="","",IFERROR(AC67*HSI!$B$62*HSI!$G$62/HSI!$B$3,""))</f>
        <v/>
      </c>
      <c r="CR67" s="106">
        <f>IF(AD67="","",IFERROR(AD67*HSI!$B$62*HSI!$G$62/HSI!$B$3,""))</f>
        <v/>
      </c>
      <c r="CS67" s="106">
        <f>IF(AE67="","",IFERROR(AE67*HSI!$B$62*HSI!$G$62/HSI!$B$3,""))</f>
        <v/>
      </c>
      <c r="CT67" s="106">
        <f>IF(AF67="","",IFERROR(AF67*HSI!$B$62*HSI!$G$62/HSI!$B$3,""))</f>
        <v/>
      </c>
      <c r="CU67" s="106">
        <f>IF(AG67="","",IFERROR(AG67*HSI!$B$62*HSI!$G$62/HSI!$B$3,""))</f>
        <v/>
      </c>
      <c r="CV67" s="106">
        <f>IF(AH67="","",IFERROR(AH67*HSI!$B$62*HSI!$G$62/HSI!$B$3,""))</f>
        <v/>
      </c>
      <c r="CW67" s="106">
        <f>IF(AI67="","",IFERROR(AI67*HSI!$B$62*HSI!$G$62/HSI!$B$3,""))</f>
        <v/>
      </c>
      <c r="CX67" s="106">
        <f>IF(AJ67="","",IFERROR(AJ67*HSI!$B$62*HSI!$G$62/HSI!$B$3,""))</f>
        <v/>
      </c>
      <c r="CY67" s="106">
        <f>IF(AK67="","",IFERROR(AK67*HSI!$B$62*HSI!$G$62/HSI!$B$3,""))</f>
        <v/>
      </c>
      <c r="CZ67" s="106">
        <f>IF(AL67="","",IFERROR(AL67*HSI!$B$62*HSI!$G$62/HSI!$B$3,""))</f>
        <v/>
      </c>
      <c r="DA67" s="106">
        <f>IF(AM67="","",IFERROR(AM67*HSI!$B$62*HSI!$G$62/HSI!$B$3,""))</f>
        <v/>
      </c>
      <c r="DB67" s="106">
        <f>IF(AN67="","",IFERROR(AN67*HSI!$B$62*HSI!$G$62/HSI!$B$3,""))</f>
        <v/>
      </c>
      <c r="DC67" s="106">
        <f>IF(AO67="","",IFERROR(AO67*HSI!$B$62*HSI!$G$62/HSI!$B$3,""))</f>
        <v/>
      </c>
      <c r="DD67" s="106">
        <f>IF(AP67="","",IFERROR(AP67*HSI!$B$62*HSI!$G$62/HSI!$B$3,""))</f>
        <v/>
      </c>
      <c r="DE67" s="106">
        <f>IF(AQ67="","",IFERROR(AQ67*HSI!$B$62*HSI!$G$62/HSI!$B$3,""))</f>
        <v/>
      </c>
      <c r="DF67" s="106">
        <f>IF(AR67="","",IFERROR(AR67*HSI!$B$62*HSI!$G$62/HSI!$B$3,""))</f>
        <v/>
      </c>
      <c r="DG67" s="106">
        <f>IF(AS67="","",IFERROR(AS67*HSI!$B$62*HSI!$G$62/HSI!$B$3,""))</f>
        <v/>
      </c>
      <c r="DH67" s="106">
        <f>IF(AT67="","",IFERROR(AT67*HSI!$B$62*HSI!$G$62/HSI!$B$3,""))</f>
        <v/>
      </c>
      <c r="DI67" s="106">
        <f>IF(AU67="","",IFERROR(AU67*HSI!$B$62*HSI!$G$62/HSI!$B$3,""))</f>
        <v/>
      </c>
      <c r="DJ67" s="106">
        <f>IF(AV67="","",IFERROR(AV67*HSI!$B$62*HSI!$G$62/HSI!$B$3,""))</f>
        <v/>
      </c>
      <c r="DK67" s="106">
        <f>IF(AW67="","",IFERROR(AW67*HSI!$B$62*HSI!$G$62/HSI!$B$3,""))</f>
        <v/>
      </c>
      <c r="DL67" s="106">
        <f>IF(AX67="","",IFERROR(AX67*HSI!$B$62*HSI!$G$62/HSI!$B$3,""))</f>
        <v/>
      </c>
      <c r="DM67" s="106">
        <f>IF(AY67="","",IFERROR(AY67*HSI!$B$62*HSI!$G$62/HSI!$B$3,""))</f>
        <v/>
      </c>
      <c r="DN67" s="106">
        <f>IF(AZ67="","",IFERROR(AZ67*HSI!$B$62*HSI!$G$62/HSI!$B$3,""))</f>
        <v/>
      </c>
      <c r="DO67" s="106">
        <f>IF(BA67="","",IFERROR(BA67*HSI!$B$62*HSI!$G$62/HSI!$B$3,""))</f>
        <v/>
      </c>
      <c r="DP67" s="106">
        <f>IF(BB67="","",IFERROR(BB67*HSI!$B$62*HSI!$G$62/HSI!$B$3,""))</f>
        <v/>
      </c>
      <c r="DQ67" s="106">
        <f>IF(BC67="","",IFERROR(BC67*HSI!$B$62*HSI!$G$62/HSI!$B$3,""))</f>
        <v/>
      </c>
      <c r="DR67" s="106">
        <f>IF(BD67="","",IFERROR(BD67*HSI!$B$62*HSI!$G$62/HSI!$B$3,""))</f>
        <v/>
      </c>
      <c r="DS67" s="106">
        <f>IF(BE67="","",IFERROR(BE67*HSI!$B$62*HSI!$G$62/HSI!$B$3,""))</f>
        <v/>
      </c>
      <c r="DT67" s="106">
        <f>IF(BF67="","",IFERROR(BF67*HSI!$B$62*HSI!$G$62/HSI!$B$3,""))</f>
        <v/>
      </c>
      <c r="DU67" s="106">
        <f>IF(BG67="","",IFERROR(BG67*HSI!$B$62*HSI!$G$62/HSI!$B$3,""))</f>
        <v/>
      </c>
      <c r="DV67" s="106">
        <f>IF(BH67="","",IFERROR(BH67*HSI!$B$62*HSI!$G$62/HSI!$B$3,""))</f>
        <v/>
      </c>
      <c r="DW67" s="106">
        <f>IF(BI67="","",IFERROR(BI67*HSI!$B$62*HSI!$G$62/HSI!$B$3,""))</f>
        <v/>
      </c>
      <c r="DX67" s="106">
        <f>IF(BJ67="","",IFERROR(BJ67*HSI!$B$62*HSI!$G$62/HSI!$B$3,""))</f>
        <v/>
      </c>
      <c r="DY67" s="106">
        <f>IF(BK67="","",IFERROR(BK67*HSI!$B$62*HSI!$G$62/HSI!$B$3,""))</f>
        <v/>
      </c>
      <c r="DZ67" s="106">
        <f>IF(BL67="","",IFERROR(BL67*HSI!$B$62*HSI!$G$62/HSI!$B$3,""))</f>
        <v/>
      </c>
      <c r="EA67" s="106">
        <f>IF(BM67="","",IFERROR(BM67*HSI!$B$62*HSI!$G$62/HSI!$B$3,""))</f>
        <v/>
      </c>
      <c r="EB67" s="106">
        <f>IF(BN67="","",IFERROR(BN67*HSI!$B$62*HSI!$G$62/HSI!$B$3,""))</f>
        <v/>
      </c>
      <c r="EC67" s="106">
        <f>IF(BO67="","",IFERROR(BO67*HSI!$B$62*HSI!$G$62/HSI!$B$3,""))</f>
        <v/>
      </c>
      <c r="EE67" s="35">
        <f>IF(N('Dvd Calendar'!$E$616)=0,"",IF(('Dvd Calendar'!$E$616&gt;=GRID_FROM)*('Dvd Calendar'!$E$616&lt;=GRID_TO)*('Dvd Calendar'!$E$616&lt;=VAL_DATE)=0,"",'Dvd Calendar'!$E$616*1000000000+ISNUMBER('Dvd Calendar'!$E$619)*100000000+('Dvd Calendar'!$E$621=SPECIAL_LBL)*10000000+0*1000000+56*1000+1))</f>
        <v/>
      </c>
      <c r="EF67" s="35">
        <f>IF(N('Dvd Calendar'!$F$616)=0,"",IF(('Dvd Calendar'!$F$616&gt;=GRID_FROM)*('Dvd Calendar'!$F$616&lt;=GRID_TO)*('Dvd Calendar'!$F$616&lt;=VAL_DATE)=0,"",'Dvd Calendar'!$F$616*1000000000+ISNUMBER('Dvd Calendar'!$F$619)*100000000+('Dvd Calendar'!$F$621=SPECIAL_LBL)*10000000+0*1000000+56*1000+2))</f>
        <v/>
      </c>
      <c r="EG67" s="35">
        <f>IF(N('Dvd Calendar'!$G$616)=0,"",IF(('Dvd Calendar'!$G$616&gt;=GRID_FROM)*('Dvd Calendar'!$G$616&lt;=GRID_TO)*('Dvd Calendar'!$G$616&lt;=VAL_DATE)=0,"",'Dvd Calendar'!$G$616*1000000000+ISNUMBER('Dvd Calendar'!$G$619)*100000000+('Dvd Calendar'!$G$621=SPECIAL_LBL)*10000000+0*1000000+56*1000+3))</f>
        <v/>
      </c>
      <c r="EH67" s="35">
        <f>IF(N('Dvd Calendar'!$H$616)=0,"",IF(('Dvd Calendar'!$H$616&gt;=GRID_FROM)*('Dvd Calendar'!$H$616&lt;=GRID_TO)*('Dvd Calendar'!$H$616&lt;=VAL_DATE)=0,"",'Dvd Calendar'!$H$616*1000000000+ISNUMBER('Dvd Calendar'!$H$619)*100000000+('Dvd Calendar'!$H$621=SPECIAL_LBL)*10000000+0*1000000+56*1000+4))</f>
        <v/>
      </c>
      <c r="EI67" s="35">
        <f>IF(N('Dvd Calendar'!$I$616)=0,"",IF(('Dvd Calendar'!$I$616&gt;=GRID_FROM)*('Dvd Calendar'!$I$616&lt;=GRID_TO)*('Dvd Calendar'!$I$616&lt;=VAL_DATE)=0,"",'Dvd Calendar'!$I$616*1000000000+ISNUMBER('Dvd Calendar'!$I$619)*100000000+('Dvd Calendar'!$I$621=SPECIAL_LBL)*10000000+0*1000000+56*1000+5))</f>
        <v/>
      </c>
      <c r="EJ67" s="35">
        <f>IF(N('Dvd Calendar'!$J$616)=0,"",IF(('Dvd Calendar'!$J$616&gt;=GRID_FROM)*('Dvd Calendar'!$J$616&lt;=GRID_TO)*('Dvd Calendar'!$J$616&lt;=VAL_DATE)=0,"",'Dvd Calendar'!$J$616*1000000000+ISNUMBER('Dvd Calendar'!$J$619)*100000000+('Dvd Calendar'!$J$621=SPECIAL_LBL)*10000000+0*1000000+56*1000+6))</f>
        <v/>
      </c>
      <c r="EK67" s="35">
        <f>IF(N('Dvd Calendar'!$K$616)=0,"",IF(('Dvd Calendar'!$K$616&gt;=GRID_FROM)*('Dvd Calendar'!$K$616&lt;=GRID_TO)*('Dvd Calendar'!$K$616&lt;=VAL_DATE)=0,"",'Dvd Calendar'!$K$616*1000000000+ISNUMBER('Dvd Calendar'!$K$619)*100000000+('Dvd Calendar'!$K$621=SPECIAL_LBL)*10000000+0*1000000+56*1000+7))</f>
        <v/>
      </c>
      <c r="EL67" s="35">
        <f>IF(N('Dvd Calendar'!$L$616)=0,"",IF(('Dvd Calendar'!$L$616&gt;=GRID_FROM)*('Dvd Calendar'!$L$616&lt;=GRID_TO)*('Dvd Calendar'!$L$616&lt;=VAL_DATE)=0,"",'Dvd Calendar'!$L$616*1000000000+ISNUMBER('Dvd Calendar'!$L$619)*100000000+('Dvd Calendar'!$L$621=SPECIAL_LBL)*10000000+0*1000000+56*1000+8))</f>
        <v/>
      </c>
      <c r="EM67" s="35">
        <f>IF(N('Dvd Calendar'!$M$616)=0,"",IF(('Dvd Calendar'!$M$616&gt;=GRID_FROM)*('Dvd Calendar'!$M$616&lt;=GRID_TO)*('Dvd Calendar'!$M$616&lt;=VAL_DATE)=0,"",'Dvd Calendar'!$M$616*1000000000+ISNUMBER('Dvd Calendar'!$M$619)*100000000+('Dvd Calendar'!$M$621=SPECIAL_LBL)*10000000+0*1000000+56*1000+9))</f>
        <v/>
      </c>
      <c r="EN67" s="35">
        <f>IF(N('Dvd Calendar'!$N$616)=0,"",IF(('Dvd Calendar'!$N$616&gt;=GRID_FROM)*('Dvd Calendar'!$N$616&lt;=GRID_TO)*('Dvd Calendar'!$N$616&lt;=VAL_DATE)=0,"",'Dvd Calendar'!$N$616*1000000000+ISNUMBER('Dvd Calendar'!$N$619)*100000000+('Dvd Calendar'!$N$621=SPECIAL_LBL)*10000000+0*1000000+56*1000+10))</f>
        <v/>
      </c>
      <c r="EO67" s="35">
        <f>IF(N('Dvd Calendar'!$O$616)=0,"",IF(('Dvd Calendar'!$O$616&gt;=GRID_FROM)*('Dvd Calendar'!$O$616&lt;=GRID_TO)*('Dvd Calendar'!$O$616&lt;=VAL_DATE)=0,"",'Dvd Calendar'!$O$616*1000000000+ISNUMBER('Dvd Calendar'!$O$619)*100000000+('Dvd Calendar'!$O$621=SPECIAL_LBL)*10000000+0*1000000+56*1000+11))</f>
        <v/>
      </c>
      <c r="EP67" s="35">
        <f>IF(N('Dvd Calendar'!$P$616)=0,"",IF(('Dvd Calendar'!$P$616&gt;=GRID_FROM)*('Dvd Calendar'!$P$616&lt;=GRID_TO)*('Dvd Calendar'!$P$616&lt;=VAL_DATE)=0,"",'Dvd Calendar'!$P$616*1000000000+ISNUMBER('Dvd Calendar'!$P$619)*100000000+('Dvd Calendar'!$P$621=SPECIAL_LBL)*10000000+0*1000000+56*1000+12))</f>
        <v/>
      </c>
      <c r="EQ67" s="35">
        <f>IF(N('Dvd Calendar'!$Q$616)=0,"",IF(('Dvd Calendar'!$Q$616&gt;=GRID_FROM)*('Dvd Calendar'!$Q$616&lt;=GRID_TO)*('Dvd Calendar'!$Q$616&lt;=VAL_DATE)=0,"",'Dvd Calendar'!$Q$616*1000000000+ISNUMBER('Dvd Calendar'!$Q$619)*100000000+('Dvd Calendar'!$Q$621=SPECIAL_LBL)*10000000+0*1000000+56*1000+13))</f>
        <v/>
      </c>
      <c r="ER67" s="35">
        <f>IF(N('Dvd Calendar'!$R$616)=0,"",IF(('Dvd Calendar'!$R$616&gt;=GRID_FROM)*('Dvd Calendar'!$R$616&lt;=GRID_TO)*('Dvd Calendar'!$R$616&lt;=VAL_DATE)=0,"",'Dvd Calendar'!$R$616*1000000000+ISNUMBER('Dvd Calendar'!$R$619)*100000000+('Dvd Calendar'!$R$621=SPECIAL_LBL)*10000000+0*1000000+56*1000+14))</f>
        <v/>
      </c>
      <c r="ES67" s="35">
        <f>IF(N('Dvd Calendar'!$S$616)=0,"",IF(('Dvd Calendar'!$S$616&gt;=GRID_FROM)*('Dvd Calendar'!$S$616&lt;=GRID_TO)*('Dvd Calendar'!$S$616&lt;=VAL_DATE)=0,"",'Dvd Calendar'!$S$616*1000000000+ISNUMBER('Dvd Calendar'!$S$619)*100000000+('Dvd Calendar'!$S$621=SPECIAL_LBL)*10000000+0*1000000+56*1000+15))</f>
        <v/>
      </c>
      <c r="ET67" s="35">
        <f>IF(N('Dvd Calendar'!$T$616)=0,"",IF(('Dvd Calendar'!$T$616&gt;=GRID_FROM)*('Dvd Calendar'!$T$616&lt;=GRID_TO)*('Dvd Calendar'!$T$616&lt;=VAL_DATE)=0,"",'Dvd Calendar'!$T$616*1000000000+ISNUMBER('Dvd Calendar'!$T$619)*100000000+('Dvd Calendar'!$T$621=SPECIAL_LBL)*10000000+0*1000000+56*1000+16))</f>
        <v/>
      </c>
      <c r="EU67" s="35">
        <f>IF(N('Dvd Calendar'!$U$616)=0,"",IF(('Dvd Calendar'!$U$616&gt;=GRID_FROM)*('Dvd Calendar'!$U$616&lt;=GRID_TO)*('Dvd Calendar'!$U$616&lt;=VAL_DATE)=0,"",'Dvd Calendar'!$U$616*1000000000+ISNUMBER('Dvd Calendar'!$U$619)*100000000+('Dvd Calendar'!$U$621=SPECIAL_LBL)*10000000+0*1000000+56*1000+17))</f>
        <v/>
      </c>
      <c r="EV67" s="35">
        <f>IF(N('Dvd Calendar'!$V$616)=0,"",IF(('Dvd Calendar'!$V$616&gt;=GRID_FROM)*('Dvd Calendar'!$V$616&lt;=GRID_TO)*('Dvd Calendar'!$V$616&lt;=VAL_DATE)=0,"",'Dvd Calendar'!$V$616*1000000000+ISNUMBER('Dvd Calendar'!$V$619)*100000000+('Dvd Calendar'!$V$621=SPECIAL_LBL)*10000000+0*1000000+56*1000+18))</f>
        <v/>
      </c>
      <c r="EW67" s="35">
        <f>IF(N('Dvd Calendar'!$W$616)=0,"",IF(('Dvd Calendar'!$W$616&gt;=GRID_FROM)*('Dvd Calendar'!$W$616&lt;=GRID_TO)*('Dvd Calendar'!$W$616&lt;=VAL_DATE)=0,"",'Dvd Calendar'!$W$616*1000000000+ISNUMBER('Dvd Calendar'!$W$619)*100000000+('Dvd Calendar'!$W$621=SPECIAL_LBL)*10000000+0*1000000+56*1000+19))</f>
        <v/>
      </c>
      <c r="EX67" s="35">
        <f>IF(N('Dvd Calendar'!$X$616)=0,"",IF(('Dvd Calendar'!$X$616&gt;=GRID_FROM)*('Dvd Calendar'!$X$616&lt;=GRID_TO)*('Dvd Calendar'!$X$616&lt;=VAL_DATE)=0,"",'Dvd Calendar'!$X$616*1000000000+ISNUMBER('Dvd Calendar'!$X$619)*100000000+('Dvd Calendar'!$X$621=SPECIAL_LBL)*10000000+0*1000000+56*1000+20))</f>
        <v/>
      </c>
      <c r="EY67" s="35">
        <f>IF(N('Dvd Calendar'!$Y$616)=0,"",IF(('Dvd Calendar'!$Y$616&gt;=GRID_FROM)*('Dvd Calendar'!$Y$616&lt;=GRID_TO)*('Dvd Calendar'!$Y$616&lt;=VAL_DATE)=0,"",'Dvd Calendar'!$Y$616*1000000000+ISNUMBER('Dvd Calendar'!$Y$619)*100000000+('Dvd Calendar'!$Y$621=SPECIAL_LBL)*10000000+0*1000000+56*1000+21))</f>
        <v/>
      </c>
      <c r="EZ67" s="35">
        <f>IF(N('Dvd Calendar'!$Z$616)=0,"",IF(('Dvd Calendar'!$Z$616&gt;=GRID_FROM)*('Dvd Calendar'!$Z$616&lt;=GRID_TO)*('Dvd Calendar'!$Z$616&lt;=VAL_DATE)=0,"",'Dvd Calendar'!$Z$616*1000000000+ISNUMBER('Dvd Calendar'!$Z$619)*100000000+('Dvd Calendar'!$Z$621=SPECIAL_LBL)*10000000+0*1000000+56*1000+22))</f>
        <v/>
      </c>
      <c r="FA67" s="35">
        <f>IF(N('Dvd Calendar'!$AA$616)=0,"",IF(('Dvd Calendar'!$AA$616&gt;=GRID_FROM)*('Dvd Calendar'!$AA$616&lt;=GRID_TO)*('Dvd Calendar'!$AA$616&lt;=VAL_DATE)=0,"",'Dvd Calendar'!$AA$616*1000000000+ISNUMBER('Dvd Calendar'!$AA$619)*100000000+('Dvd Calendar'!$AA$621=SPECIAL_LBL)*10000000+0*1000000+56*1000+23))</f>
        <v/>
      </c>
      <c r="FB67" s="35">
        <f>IF(N('Dvd Calendar'!$AB$616)=0,"",IF(('Dvd Calendar'!$AB$616&gt;=GRID_FROM)*('Dvd Calendar'!$AB$616&lt;=GRID_TO)*('Dvd Calendar'!$AB$616&lt;=VAL_DATE)=0,"",'Dvd Calendar'!$AB$616*1000000000+ISNUMBER('Dvd Calendar'!$AB$619)*100000000+('Dvd Calendar'!$AB$621=SPECIAL_LBL)*10000000+0*1000000+56*1000+24))</f>
        <v/>
      </c>
      <c r="FC67" s="35">
        <f>IF(N('Dvd Calendar'!$AC$616)=0,"",IF(('Dvd Calendar'!$AC$616&gt;=GRID_FROM)*('Dvd Calendar'!$AC$616&lt;=GRID_TO)*('Dvd Calendar'!$AC$616&lt;=VAL_DATE)=0,"",'Dvd Calendar'!$AC$616*1000000000+ISNUMBER('Dvd Calendar'!$AC$619)*100000000+('Dvd Calendar'!$AC$621=SPECIAL_LBL)*10000000+0*1000000+56*1000+25))</f>
        <v/>
      </c>
      <c r="FD67" s="35">
        <f>IF(N('Dvd Calendar'!$AD$616)=0,"",IF(('Dvd Calendar'!$AD$616&gt;=GRID_FROM)*('Dvd Calendar'!$AD$616&lt;=GRID_TO)*('Dvd Calendar'!$AD$616&lt;=VAL_DATE)=0,"",'Dvd Calendar'!$AD$616*1000000000+ISNUMBER('Dvd Calendar'!$AD$619)*100000000+('Dvd Calendar'!$AD$621=SPECIAL_LBL)*10000000+0*1000000+56*1000+26))</f>
        <v/>
      </c>
      <c r="FE67" s="35">
        <f>IF(N('Dvd Calendar'!$AE$616)=0,"",IF(('Dvd Calendar'!$AE$616&gt;=GRID_FROM)*('Dvd Calendar'!$AE$616&lt;=GRID_TO)*('Dvd Calendar'!$AE$616&lt;=VAL_DATE)=0,"",'Dvd Calendar'!$AE$616*1000000000+ISNUMBER('Dvd Calendar'!$AE$619)*100000000+('Dvd Calendar'!$AE$621=SPECIAL_LBL)*10000000+0*1000000+56*1000+27))</f>
        <v/>
      </c>
      <c r="FF67" s="35">
        <f>IF(N('Dvd Calendar'!$AF$616)=0,"",IF(('Dvd Calendar'!$AF$616&gt;=GRID_FROM)*('Dvd Calendar'!$AF$616&lt;=GRID_TO)*('Dvd Calendar'!$AF$616&lt;=VAL_DATE)=0,"",'Dvd Calendar'!$AF$616*1000000000+ISNUMBER('Dvd Calendar'!$AF$619)*100000000+('Dvd Calendar'!$AF$621=SPECIAL_LBL)*10000000+0*1000000+56*1000+28))</f>
        <v/>
      </c>
      <c r="FG67" s="35">
        <f>IF(N('Dvd Calendar'!$AG$616)=0,"",IF(('Dvd Calendar'!$AG$616&gt;=GRID_FROM)*('Dvd Calendar'!$AG$616&lt;=GRID_TO)*('Dvd Calendar'!$AG$616&lt;=VAL_DATE)=0,"",'Dvd Calendar'!$AG$616*1000000000+ISNUMBER('Dvd Calendar'!$AG$619)*100000000+('Dvd Calendar'!$AG$621=SPECIAL_LBL)*10000000+0*1000000+56*1000+29))</f>
        <v/>
      </c>
      <c r="FH67" s="35">
        <f>IF(N('Dvd Calendar'!$AH$616)=0,"",IF(('Dvd Calendar'!$AH$616&gt;=GRID_FROM)*('Dvd Calendar'!$AH$616&lt;=GRID_TO)*('Dvd Calendar'!$AH$616&lt;=VAL_DATE)=0,"",'Dvd Calendar'!$AH$616*1000000000+ISNUMBER('Dvd Calendar'!$AH$619)*100000000+('Dvd Calendar'!$AH$621=SPECIAL_LBL)*10000000+0*1000000+56*1000+30))</f>
        <v/>
      </c>
      <c r="FI67" s="35">
        <f>IF(N('Dvd Calendar'!$AI$616)=0,"",IF(('Dvd Calendar'!$AI$616&gt;=GRID_FROM)*('Dvd Calendar'!$AI$616&lt;=GRID_TO)*('Dvd Calendar'!$AI$616&lt;=VAL_DATE)=0,"",'Dvd Calendar'!$AI$616*1000000000+ISNUMBER('Dvd Calendar'!$AI$619)*100000000+('Dvd Calendar'!$AI$621=SPECIAL_LBL)*10000000+0*1000000+56*1000+31))</f>
        <v/>
      </c>
      <c r="FJ67" s="35">
        <f>IF(N('Dvd Calendar'!$AJ$616)=0,"",IF(('Dvd Calendar'!$AJ$616&gt;=GRID_FROM)*('Dvd Calendar'!$AJ$616&lt;=GRID_TO)*('Dvd Calendar'!$AJ$616&lt;=VAL_DATE)=0,"",'Dvd Calendar'!$AJ$616*1000000000+ISNUMBER('Dvd Calendar'!$AJ$619)*100000000+('Dvd Calendar'!$AJ$621=SPECIAL_LBL)*10000000+0*1000000+56*1000+32))</f>
        <v/>
      </c>
      <c r="FK67" s="35">
        <f>IF(N('Dvd Calendar'!$AK$616)=0,"",IF(('Dvd Calendar'!$AK$616&gt;=GRID_FROM)*('Dvd Calendar'!$AK$616&lt;=GRID_TO)*('Dvd Calendar'!$AK$616&lt;=VAL_DATE)=0,"",'Dvd Calendar'!$AK$616*1000000000+ISNUMBER('Dvd Calendar'!$AK$619)*100000000+('Dvd Calendar'!$AK$621=SPECIAL_LBL)*10000000+0*1000000+56*1000+33))</f>
        <v/>
      </c>
      <c r="FL67" s="35">
        <f>IF(N('Dvd Calendar'!$AL$616)=0,"",IF(('Dvd Calendar'!$AL$616&gt;=GRID_FROM)*('Dvd Calendar'!$AL$616&lt;=GRID_TO)*('Dvd Calendar'!$AL$616&lt;=VAL_DATE)=0,"",'Dvd Calendar'!$AL$616*1000000000+ISNUMBER('Dvd Calendar'!$AL$619)*100000000+('Dvd Calendar'!$AL$621=SPECIAL_LBL)*10000000+0*1000000+56*1000+34))</f>
        <v/>
      </c>
      <c r="FM67" s="35">
        <f>IF(N('Dvd Calendar'!$AM$616)=0,"",IF(('Dvd Calendar'!$AM$616&gt;=GRID_FROM)*('Dvd Calendar'!$AM$616&lt;=GRID_TO)*('Dvd Calendar'!$AM$616&lt;=VAL_DATE)=0,"",'Dvd Calendar'!$AM$616*1000000000+ISNUMBER('Dvd Calendar'!$AM$619)*100000000+('Dvd Calendar'!$AM$621=SPECIAL_LBL)*10000000+0*1000000+56*1000+35))</f>
        <v/>
      </c>
      <c r="FN67" s="35">
        <f>IF(N('Dvd Calendar'!$AN$616)=0,"",IF(('Dvd Calendar'!$AN$616&gt;=GRID_FROM)*('Dvd Calendar'!$AN$616&lt;=GRID_TO)*('Dvd Calendar'!$AN$616&lt;=VAL_DATE)=0,"",'Dvd Calendar'!$AN$616*1000000000+ISNUMBER('Dvd Calendar'!$AN$619)*100000000+('Dvd Calendar'!$AN$621=SPECIAL_LBL)*10000000+0*1000000+56*1000+36))</f>
        <v/>
      </c>
      <c r="FO67" s="35">
        <f>IF(N('Dvd Calendar'!$AO$616)=0,"",IF(('Dvd Calendar'!$AO$616&gt;=GRID_FROM)*('Dvd Calendar'!$AO$616&lt;=GRID_TO)*('Dvd Calendar'!$AO$616&lt;=VAL_DATE)=0,"",'Dvd Calendar'!$AO$616*1000000000+ISNUMBER('Dvd Calendar'!$AO$619)*100000000+('Dvd Calendar'!$AO$621=SPECIAL_LBL)*10000000+0*1000000+56*1000+37))</f>
        <v/>
      </c>
      <c r="FP67" s="35">
        <f>IF(N('Dvd Calendar'!$AP$616)=0,"",IF(('Dvd Calendar'!$AP$616&gt;=GRID_FROM)*('Dvd Calendar'!$AP$616&lt;=GRID_TO)*('Dvd Calendar'!$AP$616&lt;=VAL_DATE)=0,"",'Dvd Calendar'!$AP$616*1000000000+ISNUMBER('Dvd Calendar'!$AP$619)*100000000+('Dvd Calendar'!$AP$621=SPECIAL_LBL)*10000000+0*1000000+56*1000+38))</f>
        <v/>
      </c>
      <c r="FQ67" s="35">
        <f>IF(N('Dvd Calendar'!$AQ$616)=0,"",IF(('Dvd Calendar'!$AQ$616&gt;=GRID_FROM)*('Dvd Calendar'!$AQ$616&lt;=GRID_TO)*('Dvd Calendar'!$AQ$616&lt;=VAL_DATE)=0,"",'Dvd Calendar'!$AQ$616*1000000000+ISNUMBER('Dvd Calendar'!$AQ$619)*100000000+('Dvd Calendar'!$AQ$621=SPECIAL_LBL)*10000000+0*1000000+56*1000+39))</f>
        <v/>
      </c>
      <c r="FR67" s="35">
        <f>IF(N('Dvd Calendar'!$AR$616)=0,"",IF(('Dvd Calendar'!$AR$616&gt;=GRID_FROM)*('Dvd Calendar'!$AR$616&lt;=GRID_TO)*('Dvd Calendar'!$AR$616&lt;=VAL_DATE)=0,"",'Dvd Calendar'!$AR$616*1000000000+ISNUMBER('Dvd Calendar'!$AR$619)*100000000+('Dvd Calendar'!$AR$621=SPECIAL_LBL)*10000000+0*1000000+56*1000+40))</f>
        <v/>
      </c>
      <c r="FS67" s="35">
        <f>IF(N('Dvd Calendar'!$E$623)=0,"",IF(('Dvd Calendar'!$E$623&gt;=GRID_FROM)*('Dvd Calendar'!$E$623&lt;=GRID_TO)*('Dvd Calendar'!$E$623&gt;VAL_DATE)=0,"",'Dvd Calendar'!$E$623*1000000000+ISNUMBER('Dvd Calendar'!$E$624)*100000000+0*10000000+(N('Dvd Calendar'!$E$622)&gt;0)*(N('Dvd Calendar'!$E$622)&lt;=VAL_SERIAL)*1000000+56*1000+41))</f>
        <v/>
      </c>
      <c r="FT67" s="35">
        <f>IF(N('Dvd Calendar'!$F$623)=0,"",IF(('Dvd Calendar'!$F$623&gt;=GRID_FROM)*('Dvd Calendar'!$F$623&lt;=GRID_TO)*('Dvd Calendar'!$F$623&gt;VAL_DATE)=0,"",'Dvd Calendar'!$F$623*1000000000+ISNUMBER('Dvd Calendar'!$F$624)*100000000+0*10000000+(N('Dvd Calendar'!$F$622)&gt;0)*(N('Dvd Calendar'!$F$622)&lt;=VAL_SERIAL)*1000000+56*1000+42))</f>
        <v/>
      </c>
      <c r="FU67" s="35">
        <f>IF(N('Dvd Calendar'!$G$623)=0,"",IF(('Dvd Calendar'!$G$623&gt;=GRID_FROM)*('Dvd Calendar'!$G$623&lt;=GRID_TO)*('Dvd Calendar'!$G$623&gt;VAL_DATE)=0,"",'Dvd Calendar'!$G$623*1000000000+ISNUMBER('Dvd Calendar'!$G$624)*100000000+0*10000000+(N('Dvd Calendar'!$G$622)&gt;0)*(N('Dvd Calendar'!$G$622)&lt;=VAL_SERIAL)*1000000+56*1000+43))</f>
        <v/>
      </c>
      <c r="FV67" s="35">
        <f>IF(N('Dvd Calendar'!$H$623)=0,"",IF(('Dvd Calendar'!$H$623&gt;=GRID_FROM)*('Dvd Calendar'!$H$623&lt;=GRID_TO)*('Dvd Calendar'!$H$623&gt;VAL_DATE)=0,"",'Dvd Calendar'!$H$623*1000000000+ISNUMBER('Dvd Calendar'!$H$624)*100000000+0*10000000+(N('Dvd Calendar'!$H$622)&gt;0)*(N('Dvd Calendar'!$H$622)&lt;=VAL_SERIAL)*1000000+56*1000+44))</f>
        <v/>
      </c>
      <c r="FW67" s="35">
        <f>IF(N('Dvd Calendar'!$I$623)=0,"",IF(('Dvd Calendar'!$I$623&gt;=GRID_FROM)*('Dvd Calendar'!$I$623&lt;=GRID_TO)*('Dvd Calendar'!$I$623&gt;VAL_DATE)=0,"",'Dvd Calendar'!$I$623*1000000000+ISNUMBER('Dvd Calendar'!$I$624)*100000000+0*10000000+(N('Dvd Calendar'!$I$622)&gt;0)*(N('Dvd Calendar'!$I$622)&lt;=VAL_SERIAL)*1000000+56*1000+45))</f>
        <v/>
      </c>
      <c r="FX67" s="35">
        <f>IF(N('Dvd Calendar'!$J$623)=0,"",IF(('Dvd Calendar'!$J$623&gt;=GRID_FROM)*('Dvd Calendar'!$J$623&lt;=GRID_TO)*('Dvd Calendar'!$J$623&gt;VAL_DATE)=0,"",'Dvd Calendar'!$J$623*1000000000+ISNUMBER('Dvd Calendar'!$J$624)*100000000+0*10000000+(N('Dvd Calendar'!$J$622)&gt;0)*(N('Dvd Calendar'!$J$622)&lt;=VAL_SERIAL)*1000000+56*1000+46))</f>
        <v/>
      </c>
      <c r="FY67" s="35">
        <f>IF(N('Dvd Calendar'!$K$623)=0,"",IF(('Dvd Calendar'!$K$623&gt;=GRID_FROM)*('Dvd Calendar'!$K$623&lt;=GRID_TO)*('Dvd Calendar'!$K$623&gt;VAL_DATE)=0,"",'Dvd Calendar'!$K$623*1000000000+ISNUMBER('Dvd Calendar'!$K$624)*100000000+0*10000000+(N('Dvd Calendar'!$K$622)&gt;0)*(N('Dvd Calendar'!$K$622)&lt;=VAL_SERIAL)*1000000+56*1000+47))</f>
        <v/>
      </c>
      <c r="FZ67" s="35">
        <f>IF(N('Dvd Calendar'!$L$623)=0,"",IF(('Dvd Calendar'!$L$623&gt;=GRID_FROM)*('Dvd Calendar'!$L$623&lt;=GRID_TO)*('Dvd Calendar'!$L$623&gt;VAL_DATE)=0,"",'Dvd Calendar'!$L$623*1000000000+ISNUMBER('Dvd Calendar'!$L$624)*100000000+0*10000000+(N('Dvd Calendar'!$L$622)&gt;0)*(N('Dvd Calendar'!$L$622)&lt;=VAL_SERIAL)*1000000+56*1000+48))</f>
        <v/>
      </c>
      <c r="GA67" s="35">
        <f>IF(N('Dvd Calendar'!$M$623)=0,"",IF(('Dvd Calendar'!$M$623&gt;=GRID_FROM)*('Dvd Calendar'!$M$623&lt;=GRID_TO)*('Dvd Calendar'!$M$623&gt;VAL_DATE)=0,"",'Dvd Calendar'!$M$623*1000000000+ISNUMBER('Dvd Calendar'!$M$624)*100000000+0*10000000+(N('Dvd Calendar'!$M$622)&gt;0)*(N('Dvd Calendar'!$M$622)&lt;=VAL_SERIAL)*1000000+56*1000+49))</f>
        <v/>
      </c>
      <c r="GB67" s="35">
        <f>IF(N('Dvd Calendar'!$N$623)=0,"",IF(('Dvd Calendar'!$N$623&gt;=GRID_FROM)*('Dvd Calendar'!$N$623&lt;=GRID_TO)*('Dvd Calendar'!$N$623&gt;VAL_DATE)=0,"",'Dvd Calendar'!$N$623*1000000000+ISNUMBER('Dvd Calendar'!$N$624)*100000000+0*10000000+(N('Dvd Calendar'!$N$622)&gt;0)*(N('Dvd Calendar'!$N$622)&lt;=VAL_SERIAL)*1000000+56*1000+50))</f>
        <v/>
      </c>
      <c r="GC67" s="35">
        <f>IF(N('Dvd Calendar'!$O$623)=0,"",IF(('Dvd Calendar'!$O$623&gt;=GRID_FROM)*('Dvd Calendar'!$O$623&lt;=GRID_TO)*('Dvd Calendar'!$O$623&gt;VAL_DATE)=0,"",'Dvd Calendar'!$O$623*1000000000+ISNUMBER('Dvd Calendar'!$O$624)*100000000+0*10000000+(N('Dvd Calendar'!$O$622)&gt;0)*(N('Dvd Calendar'!$O$622)&lt;=VAL_SERIAL)*1000000+56*1000+51))</f>
        <v/>
      </c>
      <c r="GD67" s="35">
        <f>IF(N('Dvd Calendar'!$P$623)=0,"",IF(('Dvd Calendar'!$P$623&gt;=GRID_FROM)*('Dvd Calendar'!$P$623&lt;=GRID_TO)*('Dvd Calendar'!$P$623&gt;VAL_DATE)=0,"",'Dvd Calendar'!$P$623*1000000000+ISNUMBER('Dvd Calendar'!$P$624)*100000000+0*10000000+(N('Dvd Calendar'!$P$622)&gt;0)*(N('Dvd Calendar'!$P$622)&lt;=VAL_SERIAL)*1000000+56*1000+52))</f>
        <v/>
      </c>
      <c r="GE67" s="35">
        <f>IF(N('Dvd Calendar'!$Q$623)=0,"",IF(('Dvd Calendar'!$Q$623&gt;=GRID_FROM)*('Dvd Calendar'!$Q$623&lt;=GRID_TO)*('Dvd Calendar'!$Q$623&gt;VAL_DATE)=0,"",'Dvd Calendar'!$Q$623*1000000000+ISNUMBER('Dvd Calendar'!$Q$624)*100000000+0*10000000+(N('Dvd Calendar'!$Q$622)&gt;0)*(N('Dvd Calendar'!$Q$622)&lt;=VAL_SERIAL)*1000000+56*1000+53))</f>
        <v/>
      </c>
      <c r="GF67" s="35">
        <f>IF(N('Dvd Calendar'!$R$623)=0,"",IF(('Dvd Calendar'!$R$623&gt;=GRID_FROM)*('Dvd Calendar'!$R$623&lt;=GRID_TO)*('Dvd Calendar'!$R$623&gt;VAL_DATE)=0,"",'Dvd Calendar'!$R$623*1000000000+ISNUMBER('Dvd Calendar'!$R$624)*100000000+0*10000000+(N('Dvd Calendar'!$R$622)&gt;0)*(N('Dvd Calendar'!$R$622)&lt;=VAL_SERIAL)*1000000+56*1000+54))</f>
        <v/>
      </c>
      <c r="GG67" s="35">
        <f>IF(N('Dvd Calendar'!$S$623)=0,"",IF(('Dvd Calendar'!$S$623&gt;=GRID_FROM)*('Dvd Calendar'!$S$623&lt;=GRID_TO)*('Dvd Calendar'!$S$623&gt;VAL_DATE)=0,"",'Dvd Calendar'!$S$623*1000000000+ISNUMBER('Dvd Calendar'!$S$624)*100000000+0*10000000+(N('Dvd Calendar'!$S$622)&gt;0)*(N('Dvd Calendar'!$S$622)&lt;=VAL_SERIAL)*1000000+56*1000+55))</f>
        <v/>
      </c>
      <c r="GH67" s="35">
        <f>IF(N('Dvd Calendar'!$T$623)=0,"",IF(('Dvd Calendar'!$T$623&gt;=GRID_FROM)*('Dvd Calendar'!$T$623&lt;=GRID_TO)*('Dvd Calendar'!$T$623&gt;VAL_DATE)=0,"",'Dvd Calendar'!$T$623*1000000000+ISNUMBER('Dvd Calendar'!$T$624)*100000000+0*10000000+(N('Dvd Calendar'!$T$622)&gt;0)*(N('Dvd Calendar'!$T$622)&lt;=VAL_SERIAL)*1000000+56*1000+56))</f>
        <v/>
      </c>
      <c r="GI67" s="35">
        <f>IF(N('Dvd Calendar'!$U$623)=0,"",IF(('Dvd Calendar'!$U$623&gt;=GRID_FROM)*('Dvd Calendar'!$U$623&lt;=GRID_TO)*('Dvd Calendar'!$U$623&gt;VAL_DATE)=0,"",'Dvd Calendar'!$U$623*1000000000+ISNUMBER('Dvd Calendar'!$U$624)*100000000+0*10000000+(N('Dvd Calendar'!$U$622)&gt;0)*(N('Dvd Calendar'!$U$622)&lt;=VAL_SERIAL)*1000000+56*1000+57))</f>
        <v/>
      </c>
      <c r="GJ67" s="35">
        <f>IF(N('Dvd Calendar'!$V$623)=0,"",IF(('Dvd Calendar'!$V$623&gt;=GRID_FROM)*('Dvd Calendar'!$V$623&lt;=GRID_TO)*('Dvd Calendar'!$V$623&gt;VAL_DATE)=0,"",'Dvd Calendar'!$V$623*1000000000+ISNUMBER('Dvd Calendar'!$V$624)*100000000+0*10000000+(N('Dvd Calendar'!$V$622)&gt;0)*(N('Dvd Calendar'!$V$622)&lt;=VAL_SERIAL)*1000000+56*1000+58))</f>
        <v/>
      </c>
      <c r="GK67" s="35">
        <f>IF(N('Dvd Calendar'!$W$623)=0,"",IF(('Dvd Calendar'!$W$623&gt;=GRID_FROM)*('Dvd Calendar'!$W$623&lt;=GRID_TO)*('Dvd Calendar'!$W$623&gt;VAL_DATE)=0,"",'Dvd Calendar'!$W$623*1000000000+ISNUMBER('Dvd Calendar'!$W$624)*100000000+0*10000000+(N('Dvd Calendar'!$W$622)&gt;0)*(N('Dvd Calendar'!$W$622)&lt;=VAL_SERIAL)*1000000+56*1000+59))</f>
        <v/>
      </c>
      <c r="GL67" s="35">
        <f>IF(N('Dvd Calendar'!$X$623)=0,"",IF(('Dvd Calendar'!$X$623&gt;=GRID_FROM)*('Dvd Calendar'!$X$623&lt;=GRID_TO)*('Dvd Calendar'!$X$623&gt;VAL_DATE)=0,"",'Dvd Calendar'!$X$623*1000000000+ISNUMBER('Dvd Calendar'!$X$624)*100000000+0*10000000+(N('Dvd Calendar'!$X$622)&gt;0)*(N('Dvd Calendar'!$X$622)&lt;=VAL_SERIAL)*1000000+56*1000+60))</f>
        <v/>
      </c>
      <c r="GM67" s="35">
        <f>IF(N('Dvd Calendar'!$Y$623)=0,"",IF(('Dvd Calendar'!$Y$623&gt;=GRID_FROM)*('Dvd Calendar'!$Y$623&lt;=GRID_TO)*('Dvd Calendar'!$Y$623&gt;VAL_DATE)=0,"",'Dvd Calendar'!$Y$623*1000000000+ISNUMBER('Dvd Calendar'!$Y$624)*100000000+0*10000000+(N('Dvd Calendar'!$Y$622)&gt;0)*(N('Dvd Calendar'!$Y$622)&lt;=VAL_SERIAL)*1000000+56*1000+61))</f>
        <v/>
      </c>
      <c r="GN67" s="35">
        <f>IF(N('Dvd Calendar'!$Z$623)=0,"",IF(('Dvd Calendar'!$Z$623&gt;=GRID_FROM)*('Dvd Calendar'!$Z$623&lt;=GRID_TO)*('Dvd Calendar'!$Z$623&gt;VAL_DATE)=0,"",'Dvd Calendar'!$Z$623*1000000000+ISNUMBER('Dvd Calendar'!$Z$624)*100000000+0*10000000+(N('Dvd Calendar'!$Z$622)&gt;0)*(N('Dvd Calendar'!$Z$622)&lt;=VAL_SERIAL)*1000000+56*1000+62))</f>
        <v/>
      </c>
      <c r="GO67" s="35">
        <f>IF(N('Dvd Calendar'!$AA$623)=0,"",IF(('Dvd Calendar'!$AA$623&gt;=GRID_FROM)*('Dvd Calendar'!$AA$623&lt;=GRID_TO)*('Dvd Calendar'!$AA$623&gt;VAL_DATE)=0,"",'Dvd Calendar'!$AA$623*1000000000+ISNUMBER('Dvd Calendar'!$AA$624)*100000000+0*10000000+(N('Dvd Calendar'!$AA$622)&gt;0)*(N('Dvd Calendar'!$AA$622)&lt;=VAL_SERIAL)*1000000+56*1000+63))</f>
        <v/>
      </c>
      <c r="GP67" s="35">
        <f>IF(N('Dvd Calendar'!$AB$623)=0,"",IF(('Dvd Calendar'!$AB$623&gt;=GRID_FROM)*('Dvd Calendar'!$AB$623&lt;=GRID_TO)*('Dvd Calendar'!$AB$623&gt;VAL_DATE)=0,"",'Dvd Calendar'!$AB$623*1000000000+ISNUMBER('Dvd Calendar'!$AB$624)*100000000+0*10000000+(N('Dvd Calendar'!$AB$622)&gt;0)*(N('Dvd Calendar'!$AB$622)&lt;=VAL_SERIAL)*1000000+56*1000+64))</f>
        <v/>
      </c>
      <c r="GQ67" s="35">
        <f>IF(N('Dvd Calendar'!$AC$623)=0,"",IF(('Dvd Calendar'!$AC$623&gt;=GRID_FROM)*('Dvd Calendar'!$AC$623&lt;=GRID_TO)*('Dvd Calendar'!$AC$623&gt;VAL_DATE)=0,"",'Dvd Calendar'!$AC$623*1000000000+ISNUMBER('Dvd Calendar'!$AC$624)*100000000+0*10000000+(N('Dvd Calendar'!$AC$622)&gt;0)*(N('Dvd Calendar'!$AC$622)&lt;=VAL_SERIAL)*1000000+56*1000+65))</f>
        <v/>
      </c>
    </row>
    <row r="68">
      <c r="B68" s="2">
        <f>IF(HSI!$C$63="","",HSI!$C$63)</f>
        <v/>
      </c>
      <c r="C68" s="106">
        <f>IF(EE68="","",IF(ISNUMBER('Dvd Calendar'!$E$630)=FALSE,"",IF((('Dvd Calendar'!$E$632=TYPE1)*(TYPE1&lt;&gt;"")+('Dvd Calendar'!$E$632=TYPE2)*(TYPE2&lt;&gt;"")+('Dvd Calendar'!$E$632=TYPE3)*(TYPE3&lt;&gt;"")+('Dvd Calendar'!$E$632=TYPE4)*(TYPE4&lt;&gt;"")+('Dvd Calendar'!$E$632=SPECIAL_LBL)*(INC_SPECIALS="Y"))=0,"",'Dvd Calendar'!$E$630)))</f>
        <v/>
      </c>
      <c r="D68" s="106">
        <f>IF(EF68="","",IF(ISNUMBER('Dvd Calendar'!$F$630)=FALSE,"",IF((('Dvd Calendar'!$F$632=TYPE1)*(TYPE1&lt;&gt;"")+('Dvd Calendar'!$F$632=TYPE2)*(TYPE2&lt;&gt;"")+('Dvd Calendar'!$F$632=TYPE3)*(TYPE3&lt;&gt;"")+('Dvd Calendar'!$F$632=TYPE4)*(TYPE4&lt;&gt;"")+('Dvd Calendar'!$F$632=SPECIAL_LBL)*(INC_SPECIALS="Y"))=0,"",'Dvd Calendar'!$F$630)))</f>
        <v/>
      </c>
      <c r="E68" s="106">
        <f>IF(EG68="","",IF(ISNUMBER('Dvd Calendar'!$G$630)=FALSE,"",IF((('Dvd Calendar'!$G$632=TYPE1)*(TYPE1&lt;&gt;"")+('Dvd Calendar'!$G$632=TYPE2)*(TYPE2&lt;&gt;"")+('Dvd Calendar'!$G$632=TYPE3)*(TYPE3&lt;&gt;"")+('Dvd Calendar'!$G$632=TYPE4)*(TYPE4&lt;&gt;"")+('Dvd Calendar'!$G$632=SPECIAL_LBL)*(INC_SPECIALS="Y"))=0,"",'Dvd Calendar'!$G$630)))</f>
        <v/>
      </c>
      <c r="F68" s="106">
        <f>IF(EH68="","",IF(ISNUMBER('Dvd Calendar'!$H$630)=FALSE,"",IF((('Dvd Calendar'!$H$632=TYPE1)*(TYPE1&lt;&gt;"")+('Dvd Calendar'!$H$632=TYPE2)*(TYPE2&lt;&gt;"")+('Dvd Calendar'!$H$632=TYPE3)*(TYPE3&lt;&gt;"")+('Dvd Calendar'!$H$632=TYPE4)*(TYPE4&lt;&gt;"")+('Dvd Calendar'!$H$632=SPECIAL_LBL)*(INC_SPECIALS="Y"))=0,"",'Dvd Calendar'!$H$630)))</f>
        <v/>
      </c>
      <c r="G68" s="106">
        <f>IF(EI68="","",IF(ISNUMBER('Dvd Calendar'!$I$630)=FALSE,"",IF((('Dvd Calendar'!$I$632=TYPE1)*(TYPE1&lt;&gt;"")+('Dvd Calendar'!$I$632=TYPE2)*(TYPE2&lt;&gt;"")+('Dvd Calendar'!$I$632=TYPE3)*(TYPE3&lt;&gt;"")+('Dvd Calendar'!$I$632=TYPE4)*(TYPE4&lt;&gt;"")+('Dvd Calendar'!$I$632=SPECIAL_LBL)*(INC_SPECIALS="Y"))=0,"",'Dvd Calendar'!$I$630)))</f>
        <v/>
      </c>
      <c r="H68" s="106">
        <f>IF(EJ68="","",IF(ISNUMBER('Dvd Calendar'!$J$630)=FALSE,"",IF((('Dvd Calendar'!$J$632=TYPE1)*(TYPE1&lt;&gt;"")+('Dvd Calendar'!$J$632=TYPE2)*(TYPE2&lt;&gt;"")+('Dvd Calendar'!$J$632=TYPE3)*(TYPE3&lt;&gt;"")+('Dvd Calendar'!$J$632=TYPE4)*(TYPE4&lt;&gt;"")+('Dvd Calendar'!$J$632=SPECIAL_LBL)*(INC_SPECIALS="Y"))=0,"",'Dvd Calendar'!$J$630)))</f>
        <v/>
      </c>
      <c r="I68" s="106">
        <f>IF(EK68="","",IF(ISNUMBER('Dvd Calendar'!$K$630)=FALSE,"",IF((('Dvd Calendar'!$K$632=TYPE1)*(TYPE1&lt;&gt;"")+('Dvd Calendar'!$K$632=TYPE2)*(TYPE2&lt;&gt;"")+('Dvd Calendar'!$K$632=TYPE3)*(TYPE3&lt;&gt;"")+('Dvd Calendar'!$K$632=TYPE4)*(TYPE4&lt;&gt;"")+('Dvd Calendar'!$K$632=SPECIAL_LBL)*(INC_SPECIALS="Y"))=0,"",'Dvd Calendar'!$K$630)))</f>
        <v/>
      </c>
      <c r="J68" s="106">
        <f>IF(EL68="","",IF(ISNUMBER('Dvd Calendar'!$L$630)=FALSE,"",IF((('Dvd Calendar'!$L$632=TYPE1)*(TYPE1&lt;&gt;"")+('Dvd Calendar'!$L$632=TYPE2)*(TYPE2&lt;&gt;"")+('Dvd Calendar'!$L$632=TYPE3)*(TYPE3&lt;&gt;"")+('Dvd Calendar'!$L$632=TYPE4)*(TYPE4&lt;&gt;"")+('Dvd Calendar'!$L$632=SPECIAL_LBL)*(INC_SPECIALS="Y"))=0,"",'Dvd Calendar'!$L$630)))</f>
        <v/>
      </c>
      <c r="K68" s="106">
        <f>IF(EM68="","",IF(ISNUMBER('Dvd Calendar'!$M$630)=FALSE,"",IF((('Dvd Calendar'!$M$632=TYPE1)*(TYPE1&lt;&gt;"")+('Dvd Calendar'!$M$632=TYPE2)*(TYPE2&lt;&gt;"")+('Dvd Calendar'!$M$632=TYPE3)*(TYPE3&lt;&gt;"")+('Dvd Calendar'!$M$632=TYPE4)*(TYPE4&lt;&gt;"")+('Dvd Calendar'!$M$632=SPECIAL_LBL)*(INC_SPECIALS="Y"))=0,"",'Dvd Calendar'!$M$630)))</f>
        <v/>
      </c>
      <c r="L68" s="106">
        <f>IF(EN68="","",IF(ISNUMBER('Dvd Calendar'!$N$630)=FALSE,"",IF((('Dvd Calendar'!$N$632=TYPE1)*(TYPE1&lt;&gt;"")+('Dvd Calendar'!$N$632=TYPE2)*(TYPE2&lt;&gt;"")+('Dvd Calendar'!$N$632=TYPE3)*(TYPE3&lt;&gt;"")+('Dvd Calendar'!$N$632=TYPE4)*(TYPE4&lt;&gt;"")+('Dvd Calendar'!$N$632=SPECIAL_LBL)*(INC_SPECIALS="Y"))=0,"",'Dvd Calendar'!$N$630)))</f>
        <v/>
      </c>
      <c r="M68" s="106">
        <f>IF(EO68="","",IF(ISNUMBER('Dvd Calendar'!$O$630)=FALSE,"",IF((('Dvd Calendar'!$O$632=TYPE1)*(TYPE1&lt;&gt;"")+('Dvd Calendar'!$O$632=TYPE2)*(TYPE2&lt;&gt;"")+('Dvd Calendar'!$O$632=TYPE3)*(TYPE3&lt;&gt;"")+('Dvd Calendar'!$O$632=TYPE4)*(TYPE4&lt;&gt;"")+('Dvd Calendar'!$O$632=SPECIAL_LBL)*(INC_SPECIALS="Y"))=0,"",'Dvd Calendar'!$O$630)))</f>
        <v/>
      </c>
      <c r="N68" s="106">
        <f>IF(EP68="","",IF(ISNUMBER('Dvd Calendar'!$P$630)=FALSE,"",IF((('Dvd Calendar'!$P$632=TYPE1)*(TYPE1&lt;&gt;"")+('Dvd Calendar'!$P$632=TYPE2)*(TYPE2&lt;&gt;"")+('Dvd Calendar'!$P$632=TYPE3)*(TYPE3&lt;&gt;"")+('Dvd Calendar'!$P$632=TYPE4)*(TYPE4&lt;&gt;"")+('Dvd Calendar'!$P$632=SPECIAL_LBL)*(INC_SPECIALS="Y"))=0,"",'Dvd Calendar'!$P$630)))</f>
        <v/>
      </c>
      <c r="O68" s="106">
        <f>IF(EQ68="","",IF(ISNUMBER('Dvd Calendar'!$Q$630)=FALSE,"",IF((('Dvd Calendar'!$Q$632=TYPE1)*(TYPE1&lt;&gt;"")+('Dvd Calendar'!$Q$632=TYPE2)*(TYPE2&lt;&gt;"")+('Dvd Calendar'!$Q$632=TYPE3)*(TYPE3&lt;&gt;"")+('Dvd Calendar'!$Q$632=TYPE4)*(TYPE4&lt;&gt;"")+('Dvd Calendar'!$Q$632=SPECIAL_LBL)*(INC_SPECIALS="Y"))=0,"",'Dvd Calendar'!$Q$630)))</f>
        <v/>
      </c>
      <c r="P68" s="106">
        <f>IF(ER68="","",IF(ISNUMBER('Dvd Calendar'!$R$630)=FALSE,"",IF((('Dvd Calendar'!$R$632=TYPE1)*(TYPE1&lt;&gt;"")+('Dvd Calendar'!$R$632=TYPE2)*(TYPE2&lt;&gt;"")+('Dvd Calendar'!$R$632=TYPE3)*(TYPE3&lt;&gt;"")+('Dvd Calendar'!$R$632=TYPE4)*(TYPE4&lt;&gt;"")+('Dvd Calendar'!$R$632=SPECIAL_LBL)*(INC_SPECIALS="Y"))=0,"",'Dvd Calendar'!$R$630)))</f>
        <v/>
      </c>
      <c r="Q68" s="106">
        <f>IF(ES68="","",IF(ISNUMBER('Dvd Calendar'!$S$630)=FALSE,"",IF((('Dvd Calendar'!$S$632=TYPE1)*(TYPE1&lt;&gt;"")+('Dvd Calendar'!$S$632=TYPE2)*(TYPE2&lt;&gt;"")+('Dvd Calendar'!$S$632=TYPE3)*(TYPE3&lt;&gt;"")+('Dvd Calendar'!$S$632=TYPE4)*(TYPE4&lt;&gt;"")+('Dvd Calendar'!$S$632=SPECIAL_LBL)*(INC_SPECIALS="Y"))=0,"",'Dvd Calendar'!$S$630)))</f>
        <v/>
      </c>
      <c r="R68" s="106">
        <f>IF(ET68="","",IF(ISNUMBER('Dvd Calendar'!$T$630)=FALSE,"",IF((('Dvd Calendar'!$T$632=TYPE1)*(TYPE1&lt;&gt;"")+('Dvd Calendar'!$T$632=TYPE2)*(TYPE2&lt;&gt;"")+('Dvd Calendar'!$T$632=TYPE3)*(TYPE3&lt;&gt;"")+('Dvd Calendar'!$T$632=TYPE4)*(TYPE4&lt;&gt;"")+('Dvd Calendar'!$T$632=SPECIAL_LBL)*(INC_SPECIALS="Y"))=0,"",'Dvd Calendar'!$T$630)))</f>
        <v/>
      </c>
      <c r="S68" s="106">
        <f>IF(EU68="","",IF(ISNUMBER('Dvd Calendar'!$U$630)=FALSE,"",IF((('Dvd Calendar'!$U$632=TYPE1)*(TYPE1&lt;&gt;"")+('Dvd Calendar'!$U$632=TYPE2)*(TYPE2&lt;&gt;"")+('Dvd Calendar'!$U$632=TYPE3)*(TYPE3&lt;&gt;"")+('Dvd Calendar'!$U$632=TYPE4)*(TYPE4&lt;&gt;"")+('Dvd Calendar'!$U$632=SPECIAL_LBL)*(INC_SPECIALS="Y"))=0,"",'Dvd Calendar'!$U$630)))</f>
        <v/>
      </c>
      <c r="T68" s="106">
        <f>IF(EV68="","",IF(ISNUMBER('Dvd Calendar'!$V$630)=FALSE,"",IF((('Dvd Calendar'!$V$632=TYPE1)*(TYPE1&lt;&gt;"")+('Dvd Calendar'!$V$632=TYPE2)*(TYPE2&lt;&gt;"")+('Dvd Calendar'!$V$632=TYPE3)*(TYPE3&lt;&gt;"")+('Dvd Calendar'!$V$632=TYPE4)*(TYPE4&lt;&gt;"")+('Dvd Calendar'!$V$632=SPECIAL_LBL)*(INC_SPECIALS="Y"))=0,"",'Dvd Calendar'!$V$630)))</f>
        <v/>
      </c>
      <c r="U68" s="106">
        <f>IF(EW68="","",IF(ISNUMBER('Dvd Calendar'!$W$630)=FALSE,"",IF((('Dvd Calendar'!$W$632=TYPE1)*(TYPE1&lt;&gt;"")+('Dvd Calendar'!$W$632=TYPE2)*(TYPE2&lt;&gt;"")+('Dvd Calendar'!$W$632=TYPE3)*(TYPE3&lt;&gt;"")+('Dvd Calendar'!$W$632=TYPE4)*(TYPE4&lt;&gt;"")+('Dvd Calendar'!$W$632=SPECIAL_LBL)*(INC_SPECIALS="Y"))=0,"",'Dvd Calendar'!$W$630)))</f>
        <v/>
      </c>
      <c r="V68" s="106">
        <f>IF(EX68="","",IF(ISNUMBER('Dvd Calendar'!$X$630)=FALSE,"",IF((('Dvd Calendar'!$X$632=TYPE1)*(TYPE1&lt;&gt;"")+('Dvd Calendar'!$X$632=TYPE2)*(TYPE2&lt;&gt;"")+('Dvd Calendar'!$X$632=TYPE3)*(TYPE3&lt;&gt;"")+('Dvd Calendar'!$X$632=TYPE4)*(TYPE4&lt;&gt;"")+('Dvd Calendar'!$X$632=SPECIAL_LBL)*(INC_SPECIALS="Y"))=0,"",'Dvd Calendar'!$X$630)))</f>
        <v/>
      </c>
      <c r="W68" s="106">
        <f>IF(EY68="","",IF(ISNUMBER('Dvd Calendar'!$Y$630)=FALSE,"",IF((('Dvd Calendar'!$Y$632=TYPE1)*(TYPE1&lt;&gt;"")+('Dvd Calendar'!$Y$632=TYPE2)*(TYPE2&lt;&gt;"")+('Dvd Calendar'!$Y$632=TYPE3)*(TYPE3&lt;&gt;"")+('Dvd Calendar'!$Y$632=TYPE4)*(TYPE4&lt;&gt;"")+('Dvd Calendar'!$Y$632=SPECIAL_LBL)*(INC_SPECIALS="Y"))=0,"",'Dvd Calendar'!$Y$630)))</f>
        <v/>
      </c>
      <c r="X68" s="106">
        <f>IF(EZ68="","",IF(ISNUMBER('Dvd Calendar'!$Z$630)=FALSE,"",IF((('Dvd Calendar'!$Z$632=TYPE1)*(TYPE1&lt;&gt;"")+('Dvd Calendar'!$Z$632=TYPE2)*(TYPE2&lt;&gt;"")+('Dvd Calendar'!$Z$632=TYPE3)*(TYPE3&lt;&gt;"")+('Dvd Calendar'!$Z$632=TYPE4)*(TYPE4&lt;&gt;"")+('Dvd Calendar'!$Z$632=SPECIAL_LBL)*(INC_SPECIALS="Y"))=0,"",'Dvd Calendar'!$Z$630)))</f>
        <v/>
      </c>
      <c r="Y68" s="106">
        <f>IF(FA68="","",IF(ISNUMBER('Dvd Calendar'!$AA$630)=FALSE,"",IF((('Dvd Calendar'!$AA$632=TYPE1)*(TYPE1&lt;&gt;"")+('Dvd Calendar'!$AA$632=TYPE2)*(TYPE2&lt;&gt;"")+('Dvd Calendar'!$AA$632=TYPE3)*(TYPE3&lt;&gt;"")+('Dvd Calendar'!$AA$632=TYPE4)*(TYPE4&lt;&gt;"")+('Dvd Calendar'!$AA$632=SPECIAL_LBL)*(INC_SPECIALS="Y"))=0,"",'Dvd Calendar'!$AA$630)))</f>
        <v/>
      </c>
      <c r="Z68" s="106">
        <f>IF(FB68="","",IF(ISNUMBER('Dvd Calendar'!$AB$630)=FALSE,"",IF((('Dvd Calendar'!$AB$632=TYPE1)*(TYPE1&lt;&gt;"")+('Dvd Calendar'!$AB$632=TYPE2)*(TYPE2&lt;&gt;"")+('Dvd Calendar'!$AB$632=TYPE3)*(TYPE3&lt;&gt;"")+('Dvd Calendar'!$AB$632=TYPE4)*(TYPE4&lt;&gt;"")+('Dvd Calendar'!$AB$632=SPECIAL_LBL)*(INC_SPECIALS="Y"))=0,"",'Dvd Calendar'!$AB$630)))</f>
        <v/>
      </c>
      <c r="AA68" s="106">
        <f>IF(FC68="","",IF(ISNUMBER('Dvd Calendar'!$AC$630)=FALSE,"",IF((('Dvd Calendar'!$AC$632=TYPE1)*(TYPE1&lt;&gt;"")+('Dvd Calendar'!$AC$632=TYPE2)*(TYPE2&lt;&gt;"")+('Dvd Calendar'!$AC$632=TYPE3)*(TYPE3&lt;&gt;"")+('Dvd Calendar'!$AC$632=TYPE4)*(TYPE4&lt;&gt;"")+('Dvd Calendar'!$AC$632=SPECIAL_LBL)*(INC_SPECIALS="Y"))=0,"",'Dvd Calendar'!$AC$630)))</f>
        <v/>
      </c>
      <c r="AB68" s="106">
        <f>IF(FD68="","",IF(ISNUMBER('Dvd Calendar'!$AD$630)=FALSE,"",IF((('Dvd Calendar'!$AD$632=TYPE1)*(TYPE1&lt;&gt;"")+('Dvd Calendar'!$AD$632=TYPE2)*(TYPE2&lt;&gt;"")+('Dvd Calendar'!$AD$632=TYPE3)*(TYPE3&lt;&gt;"")+('Dvd Calendar'!$AD$632=TYPE4)*(TYPE4&lt;&gt;"")+('Dvd Calendar'!$AD$632=SPECIAL_LBL)*(INC_SPECIALS="Y"))=0,"",'Dvd Calendar'!$AD$630)))</f>
        <v/>
      </c>
      <c r="AC68" s="106">
        <f>IF(FE68="","",IF(ISNUMBER('Dvd Calendar'!$AE$630)=FALSE,"",IF((('Dvd Calendar'!$AE$632=TYPE1)*(TYPE1&lt;&gt;"")+('Dvd Calendar'!$AE$632=TYPE2)*(TYPE2&lt;&gt;"")+('Dvd Calendar'!$AE$632=TYPE3)*(TYPE3&lt;&gt;"")+('Dvd Calendar'!$AE$632=TYPE4)*(TYPE4&lt;&gt;"")+('Dvd Calendar'!$AE$632=SPECIAL_LBL)*(INC_SPECIALS="Y"))=0,"",'Dvd Calendar'!$AE$630)))</f>
        <v/>
      </c>
      <c r="AD68" s="106">
        <f>IF(FF68="","",IF(ISNUMBER('Dvd Calendar'!$AF$630)=FALSE,"",IF((('Dvd Calendar'!$AF$632=TYPE1)*(TYPE1&lt;&gt;"")+('Dvd Calendar'!$AF$632=TYPE2)*(TYPE2&lt;&gt;"")+('Dvd Calendar'!$AF$632=TYPE3)*(TYPE3&lt;&gt;"")+('Dvd Calendar'!$AF$632=TYPE4)*(TYPE4&lt;&gt;"")+('Dvd Calendar'!$AF$632=SPECIAL_LBL)*(INC_SPECIALS="Y"))=0,"",'Dvd Calendar'!$AF$630)))</f>
        <v/>
      </c>
      <c r="AE68" s="106">
        <f>IF(FG68="","",IF(ISNUMBER('Dvd Calendar'!$AG$630)=FALSE,"",IF((('Dvd Calendar'!$AG$632=TYPE1)*(TYPE1&lt;&gt;"")+('Dvd Calendar'!$AG$632=TYPE2)*(TYPE2&lt;&gt;"")+('Dvd Calendar'!$AG$632=TYPE3)*(TYPE3&lt;&gt;"")+('Dvd Calendar'!$AG$632=TYPE4)*(TYPE4&lt;&gt;"")+('Dvd Calendar'!$AG$632=SPECIAL_LBL)*(INC_SPECIALS="Y"))=0,"",'Dvd Calendar'!$AG$630)))</f>
        <v/>
      </c>
      <c r="AF68" s="106">
        <f>IF(FH68="","",IF(ISNUMBER('Dvd Calendar'!$AH$630)=FALSE,"",IF((('Dvd Calendar'!$AH$632=TYPE1)*(TYPE1&lt;&gt;"")+('Dvd Calendar'!$AH$632=TYPE2)*(TYPE2&lt;&gt;"")+('Dvd Calendar'!$AH$632=TYPE3)*(TYPE3&lt;&gt;"")+('Dvd Calendar'!$AH$632=TYPE4)*(TYPE4&lt;&gt;"")+('Dvd Calendar'!$AH$632=SPECIAL_LBL)*(INC_SPECIALS="Y"))=0,"",'Dvd Calendar'!$AH$630)))</f>
        <v/>
      </c>
      <c r="AG68" s="106">
        <f>IF(FI68="","",IF(ISNUMBER('Dvd Calendar'!$AI$630)=FALSE,"",IF((('Dvd Calendar'!$AI$632=TYPE1)*(TYPE1&lt;&gt;"")+('Dvd Calendar'!$AI$632=TYPE2)*(TYPE2&lt;&gt;"")+('Dvd Calendar'!$AI$632=TYPE3)*(TYPE3&lt;&gt;"")+('Dvd Calendar'!$AI$632=TYPE4)*(TYPE4&lt;&gt;"")+('Dvd Calendar'!$AI$632=SPECIAL_LBL)*(INC_SPECIALS="Y"))=0,"",'Dvd Calendar'!$AI$630)))</f>
        <v/>
      </c>
      <c r="AH68" s="106">
        <f>IF(FJ68="","",IF(ISNUMBER('Dvd Calendar'!$AJ$630)=FALSE,"",IF((('Dvd Calendar'!$AJ$632=TYPE1)*(TYPE1&lt;&gt;"")+('Dvd Calendar'!$AJ$632=TYPE2)*(TYPE2&lt;&gt;"")+('Dvd Calendar'!$AJ$632=TYPE3)*(TYPE3&lt;&gt;"")+('Dvd Calendar'!$AJ$632=TYPE4)*(TYPE4&lt;&gt;"")+('Dvd Calendar'!$AJ$632=SPECIAL_LBL)*(INC_SPECIALS="Y"))=0,"",'Dvd Calendar'!$AJ$630)))</f>
        <v/>
      </c>
      <c r="AI68" s="106">
        <f>IF(FK68="","",IF(ISNUMBER('Dvd Calendar'!$AK$630)=FALSE,"",IF((('Dvd Calendar'!$AK$632=TYPE1)*(TYPE1&lt;&gt;"")+('Dvd Calendar'!$AK$632=TYPE2)*(TYPE2&lt;&gt;"")+('Dvd Calendar'!$AK$632=TYPE3)*(TYPE3&lt;&gt;"")+('Dvd Calendar'!$AK$632=TYPE4)*(TYPE4&lt;&gt;"")+('Dvd Calendar'!$AK$632=SPECIAL_LBL)*(INC_SPECIALS="Y"))=0,"",'Dvd Calendar'!$AK$630)))</f>
        <v/>
      </c>
      <c r="AJ68" s="106">
        <f>IF(FL68="","",IF(ISNUMBER('Dvd Calendar'!$AL$630)=FALSE,"",IF((('Dvd Calendar'!$AL$632=TYPE1)*(TYPE1&lt;&gt;"")+('Dvd Calendar'!$AL$632=TYPE2)*(TYPE2&lt;&gt;"")+('Dvd Calendar'!$AL$632=TYPE3)*(TYPE3&lt;&gt;"")+('Dvd Calendar'!$AL$632=TYPE4)*(TYPE4&lt;&gt;"")+('Dvd Calendar'!$AL$632=SPECIAL_LBL)*(INC_SPECIALS="Y"))=0,"",'Dvd Calendar'!$AL$630)))</f>
        <v/>
      </c>
      <c r="AK68" s="106">
        <f>IF(FM68="","",IF(ISNUMBER('Dvd Calendar'!$AM$630)=FALSE,"",IF((('Dvd Calendar'!$AM$632=TYPE1)*(TYPE1&lt;&gt;"")+('Dvd Calendar'!$AM$632=TYPE2)*(TYPE2&lt;&gt;"")+('Dvd Calendar'!$AM$632=TYPE3)*(TYPE3&lt;&gt;"")+('Dvd Calendar'!$AM$632=TYPE4)*(TYPE4&lt;&gt;"")+('Dvd Calendar'!$AM$632=SPECIAL_LBL)*(INC_SPECIALS="Y"))=0,"",'Dvd Calendar'!$AM$630)))</f>
        <v/>
      </c>
      <c r="AL68" s="106">
        <f>IF(FN68="","",IF(ISNUMBER('Dvd Calendar'!$AN$630)=FALSE,"",IF((('Dvd Calendar'!$AN$632=TYPE1)*(TYPE1&lt;&gt;"")+('Dvd Calendar'!$AN$632=TYPE2)*(TYPE2&lt;&gt;"")+('Dvd Calendar'!$AN$632=TYPE3)*(TYPE3&lt;&gt;"")+('Dvd Calendar'!$AN$632=TYPE4)*(TYPE4&lt;&gt;"")+('Dvd Calendar'!$AN$632=SPECIAL_LBL)*(INC_SPECIALS="Y"))=0,"",'Dvd Calendar'!$AN$630)))</f>
        <v/>
      </c>
      <c r="AM68" s="106">
        <f>IF(FO68="","",IF(ISNUMBER('Dvd Calendar'!$AO$630)=FALSE,"",IF((('Dvd Calendar'!$AO$632=TYPE1)*(TYPE1&lt;&gt;"")+('Dvd Calendar'!$AO$632=TYPE2)*(TYPE2&lt;&gt;"")+('Dvd Calendar'!$AO$632=TYPE3)*(TYPE3&lt;&gt;"")+('Dvd Calendar'!$AO$632=TYPE4)*(TYPE4&lt;&gt;"")+('Dvd Calendar'!$AO$632=SPECIAL_LBL)*(INC_SPECIALS="Y"))=0,"",'Dvd Calendar'!$AO$630)))</f>
        <v/>
      </c>
      <c r="AN68" s="106">
        <f>IF(FP68="","",IF(ISNUMBER('Dvd Calendar'!$AP$630)=FALSE,"",IF((('Dvd Calendar'!$AP$632=TYPE1)*(TYPE1&lt;&gt;"")+('Dvd Calendar'!$AP$632=TYPE2)*(TYPE2&lt;&gt;"")+('Dvd Calendar'!$AP$632=TYPE3)*(TYPE3&lt;&gt;"")+('Dvd Calendar'!$AP$632=TYPE4)*(TYPE4&lt;&gt;"")+('Dvd Calendar'!$AP$632=SPECIAL_LBL)*(INC_SPECIALS="Y"))=0,"",'Dvd Calendar'!$AP$630)))</f>
        <v/>
      </c>
      <c r="AO68" s="106">
        <f>IF(FQ68="","",IF(ISNUMBER('Dvd Calendar'!$AQ$630)=FALSE,"",IF((('Dvd Calendar'!$AQ$632=TYPE1)*(TYPE1&lt;&gt;"")+('Dvd Calendar'!$AQ$632=TYPE2)*(TYPE2&lt;&gt;"")+('Dvd Calendar'!$AQ$632=TYPE3)*(TYPE3&lt;&gt;"")+('Dvd Calendar'!$AQ$632=TYPE4)*(TYPE4&lt;&gt;"")+('Dvd Calendar'!$AQ$632=SPECIAL_LBL)*(INC_SPECIALS="Y"))=0,"",'Dvd Calendar'!$AQ$630)))</f>
        <v/>
      </c>
      <c r="AP68" s="106">
        <f>IF(FR68="","",IF(ISNUMBER('Dvd Calendar'!$AR$630)=FALSE,"",IF((('Dvd Calendar'!$AR$632=TYPE1)*(TYPE1&lt;&gt;"")+('Dvd Calendar'!$AR$632=TYPE2)*(TYPE2&lt;&gt;"")+('Dvd Calendar'!$AR$632=TYPE3)*(TYPE3&lt;&gt;"")+('Dvd Calendar'!$AR$632=TYPE4)*(TYPE4&lt;&gt;"")+('Dvd Calendar'!$AR$632=SPECIAL_LBL)*(INC_SPECIALS="Y"))=0,"",'Dvd Calendar'!$AR$630)))</f>
        <v/>
      </c>
      <c r="AQ68" s="106">
        <f>IF(FS68="","",IF(ISNUMBER('Dvd Calendar'!$E$635)=FALSE,"",'Dvd Calendar'!$E$635))</f>
        <v/>
      </c>
      <c r="AR68" s="106">
        <f>IF(FT68="","",IF(ISNUMBER('Dvd Calendar'!$F$635)=FALSE,"",'Dvd Calendar'!$F$635))</f>
        <v/>
      </c>
      <c r="AS68" s="106">
        <f>IF(FU68="","",IF(ISNUMBER('Dvd Calendar'!$G$635)=FALSE,"",'Dvd Calendar'!$G$635))</f>
        <v/>
      </c>
      <c r="AT68" s="106">
        <f>IF(FV68="","",IF(ISNUMBER('Dvd Calendar'!$H$635)=FALSE,"",'Dvd Calendar'!$H$635))</f>
        <v/>
      </c>
      <c r="AU68" s="106">
        <f>IF(FW68="","",IF(ISNUMBER('Dvd Calendar'!$I$635)=FALSE,"",'Dvd Calendar'!$I$635))</f>
        <v/>
      </c>
      <c r="AV68" s="106">
        <f>IF(FX68="","",IF(ISNUMBER('Dvd Calendar'!$J$635)=FALSE,"",'Dvd Calendar'!$J$635))</f>
        <v/>
      </c>
      <c r="AW68" s="106">
        <f>IF(FY68="","",IF(ISNUMBER('Dvd Calendar'!$K$635)=FALSE,"",'Dvd Calendar'!$K$635))</f>
        <v/>
      </c>
      <c r="AX68" s="106">
        <f>IF(FZ68="","",IF(ISNUMBER('Dvd Calendar'!$L$635)=FALSE,"",'Dvd Calendar'!$L$635))</f>
        <v/>
      </c>
      <c r="AY68" s="106">
        <f>IF(GA68="","",IF(ISNUMBER('Dvd Calendar'!$M$635)=FALSE,"",'Dvd Calendar'!$M$635))</f>
        <v/>
      </c>
      <c r="AZ68" s="106">
        <f>IF(GB68="","",IF(ISNUMBER('Dvd Calendar'!$N$635)=FALSE,"",'Dvd Calendar'!$N$635))</f>
        <v/>
      </c>
      <c r="BA68" s="106">
        <f>IF(GC68="","",IF(ISNUMBER('Dvd Calendar'!$O$635)=FALSE,"",'Dvd Calendar'!$O$635))</f>
        <v/>
      </c>
      <c r="BB68" s="106">
        <f>IF(GD68="","",IF(ISNUMBER('Dvd Calendar'!$P$635)=FALSE,"",'Dvd Calendar'!$P$635))</f>
        <v/>
      </c>
      <c r="BC68" s="106">
        <f>IF(GE68="","",IF(ISNUMBER('Dvd Calendar'!$Q$635)=FALSE,"",'Dvd Calendar'!$Q$635))</f>
        <v/>
      </c>
      <c r="BD68" s="106">
        <f>IF(GF68="","",IF(ISNUMBER('Dvd Calendar'!$R$635)=FALSE,"",'Dvd Calendar'!$R$635))</f>
        <v/>
      </c>
      <c r="BE68" s="106">
        <f>IF(GG68="","",IF(ISNUMBER('Dvd Calendar'!$S$635)=FALSE,"",'Dvd Calendar'!$S$635))</f>
        <v/>
      </c>
      <c r="BF68" s="106">
        <f>IF(GH68="","",IF(ISNUMBER('Dvd Calendar'!$T$635)=FALSE,"",'Dvd Calendar'!$T$635))</f>
        <v/>
      </c>
      <c r="BG68" s="106">
        <f>IF(GI68="","",IF(ISNUMBER('Dvd Calendar'!$U$635)=FALSE,"",'Dvd Calendar'!$U$635))</f>
        <v/>
      </c>
      <c r="BH68" s="106">
        <f>IF(GJ68="","",IF(ISNUMBER('Dvd Calendar'!$V$635)=FALSE,"",'Dvd Calendar'!$V$635))</f>
        <v/>
      </c>
      <c r="BI68" s="106">
        <f>IF(GK68="","",IF(ISNUMBER('Dvd Calendar'!$W$635)=FALSE,"",'Dvd Calendar'!$W$635))</f>
        <v/>
      </c>
      <c r="BJ68" s="106">
        <f>IF(GL68="","",IF(ISNUMBER('Dvd Calendar'!$X$635)=FALSE,"",'Dvd Calendar'!$X$635))</f>
        <v/>
      </c>
      <c r="BK68" s="106">
        <f>IF(GM68="","",IF(ISNUMBER('Dvd Calendar'!$Y$635)=FALSE,"",'Dvd Calendar'!$Y$635))</f>
        <v/>
      </c>
      <c r="BL68" s="106">
        <f>IF(GN68="","",IF(ISNUMBER('Dvd Calendar'!$Z$635)=FALSE,"",'Dvd Calendar'!$Z$635))</f>
        <v/>
      </c>
      <c r="BM68" s="106">
        <f>IF(GO68="","",IF(ISNUMBER('Dvd Calendar'!$AA$635)=FALSE,"",'Dvd Calendar'!$AA$635))</f>
        <v/>
      </c>
      <c r="BN68" s="106">
        <f>IF(GP68="","",IF(ISNUMBER('Dvd Calendar'!$AB$635)=FALSE,"",'Dvd Calendar'!$AB$635))</f>
        <v/>
      </c>
      <c r="BO68" s="106">
        <f>IF(GQ68="","",IF(ISNUMBER('Dvd Calendar'!$AC$635)=FALSE,"",'Dvd Calendar'!$AC$635))</f>
        <v/>
      </c>
      <c r="BQ68" s="106">
        <f>IF(C68="","",IFERROR(C68*HSI!$B$63*HSI!$G$63/HSI!$B$3,""))</f>
        <v/>
      </c>
      <c r="BR68" s="106">
        <f>IF(D68="","",IFERROR(D68*HSI!$B$63*HSI!$G$63/HSI!$B$3,""))</f>
        <v/>
      </c>
      <c r="BS68" s="106">
        <f>IF(E68="","",IFERROR(E68*HSI!$B$63*HSI!$G$63/HSI!$B$3,""))</f>
        <v/>
      </c>
      <c r="BT68" s="106">
        <f>IF(F68="","",IFERROR(F68*HSI!$B$63*HSI!$G$63/HSI!$B$3,""))</f>
        <v/>
      </c>
      <c r="BU68" s="106">
        <f>IF(G68="","",IFERROR(G68*HSI!$B$63*HSI!$G$63/HSI!$B$3,""))</f>
        <v/>
      </c>
      <c r="BV68" s="106">
        <f>IF(H68="","",IFERROR(H68*HSI!$B$63*HSI!$G$63/HSI!$B$3,""))</f>
        <v/>
      </c>
      <c r="BW68" s="106">
        <f>IF(I68="","",IFERROR(I68*HSI!$B$63*HSI!$G$63/HSI!$B$3,""))</f>
        <v/>
      </c>
      <c r="BX68" s="106">
        <f>IF(J68="","",IFERROR(J68*HSI!$B$63*HSI!$G$63/HSI!$B$3,""))</f>
        <v/>
      </c>
      <c r="BY68" s="106">
        <f>IF(K68="","",IFERROR(K68*HSI!$B$63*HSI!$G$63/HSI!$B$3,""))</f>
        <v/>
      </c>
      <c r="BZ68" s="106">
        <f>IF(L68="","",IFERROR(L68*HSI!$B$63*HSI!$G$63/HSI!$B$3,""))</f>
        <v/>
      </c>
      <c r="CA68" s="106">
        <f>IF(M68="","",IFERROR(M68*HSI!$B$63*HSI!$G$63/HSI!$B$3,""))</f>
        <v/>
      </c>
      <c r="CB68" s="106">
        <f>IF(N68="","",IFERROR(N68*HSI!$B$63*HSI!$G$63/HSI!$B$3,""))</f>
        <v/>
      </c>
      <c r="CC68" s="106">
        <f>IF(O68="","",IFERROR(O68*HSI!$B$63*HSI!$G$63/HSI!$B$3,""))</f>
        <v/>
      </c>
      <c r="CD68" s="106">
        <f>IF(P68="","",IFERROR(P68*HSI!$B$63*HSI!$G$63/HSI!$B$3,""))</f>
        <v/>
      </c>
      <c r="CE68" s="106">
        <f>IF(Q68="","",IFERROR(Q68*HSI!$B$63*HSI!$G$63/HSI!$B$3,""))</f>
        <v/>
      </c>
      <c r="CF68" s="106">
        <f>IF(R68="","",IFERROR(R68*HSI!$B$63*HSI!$G$63/HSI!$B$3,""))</f>
        <v/>
      </c>
      <c r="CG68" s="106">
        <f>IF(S68="","",IFERROR(S68*HSI!$B$63*HSI!$G$63/HSI!$B$3,""))</f>
        <v/>
      </c>
      <c r="CH68" s="106">
        <f>IF(T68="","",IFERROR(T68*HSI!$B$63*HSI!$G$63/HSI!$B$3,""))</f>
        <v/>
      </c>
      <c r="CI68" s="106">
        <f>IF(U68="","",IFERROR(U68*HSI!$B$63*HSI!$G$63/HSI!$B$3,""))</f>
        <v/>
      </c>
      <c r="CJ68" s="106">
        <f>IF(V68="","",IFERROR(V68*HSI!$B$63*HSI!$G$63/HSI!$B$3,""))</f>
        <v/>
      </c>
      <c r="CK68" s="106">
        <f>IF(W68="","",IFERROR(W68*HSI!$B$63*HSI!$G$63/HSI!$B$3,""))</f>
        <v/>
      </c>
      <c r="CL68" s="106">
        <f>IF(X68="","",IFERROR(X68*HSI!$B$63*HSI!$G$63/HSI!$B$3,""))</f>
        <v/>
      </c>
      <c r="CM68" s="106">
        <f>IF(Y68="","",IFERROR(Y68*HSI!$B$63*HSI!$G$63/HSI!$B$3,""))</f>
        <v/>
      </c>
      <c r="CN68" s="106">
        <f>IF(Z68="","",IFERROR(Z68*HSI!$B$63*HSI!$G$63/HSI!$B$3,""))</f>
        <v/>
      </c>
      <c r="CO68" s="106">
        <f>IF(AA68="","",IFERROR(AA68*HSI!$B$63*HSI!$G$63/HSI!$B$3,""))</f>
        <v/>
      </c>
      <c r="CP68" s="106">
        <f>IF(AB68="","",IFERROR(AB68*HSI!$B$63*HSI!$G$63/HSI!$B$3,""))</f>
        <v/>
      </c>
      <c r="CQ68" s="106">
        <f>IF(AC68="","",IFERROR(AC68*HSI!$B$63*HSI!$G$63/HSI!$B$3,""))</f>
        <v/>
      </c>
      <c r="CR68" s="106">
        <f>IF(AD68="","",IFERROR(AD68*HSI!$B$63*HSI!$G$63/HSI!$B$3,""))</f>
        <v/>
      </c>
      <c r="CS68" s="106">
        <f>IF(AE68="","",IFERROR(AE68*HSI!$B$63*HSI!$G$63/HSI!$B$3,""))</f>
        <v/>
      </c>
      <c r="CT68" s="106">
        <f>IF(AF68="","",IFERROR(AF68*HSI!$B$63*HSI!$G$63/HSI!$B$3,""))</f>
        <v/>
      </c>
      <c r="CU68" s="106">
        <f>IF(AG68="","",IFERROR(AG68*HSI!$B$63*HSI!$G$63/HSI!$B$3,""))</f>
        <v/>
      </c>
      <c r="CV68" s="106">
        <f>IF(AH68="","",IFERROR(AH68*HSI!$B$63*HSI!$G$63/HSI!$B$3,""))</f>
        <v/>
      </c>
      <c r="CW68" s="106">
        <f>IF(AI68="","",IFERROR(AI68*HSI!$B$63*HSI!$G$63/HSI!$B$3,""))</f>
        <v/>
      </c>
      <c r="CX68" s="106">
        <f>IF(AJ68="","",IFERROR(AJ68*HSI!$B$63*HSI!$G$63/HSI!$B$3,""))</f>
        <v/>
      </c>
      <c r="CY68" s="106">
        <f>IF(AK68="","",IFERROR(AK68*HSI!$B$63*HSI!$G$63/HSI!$B$3,""))</f>
        <v/>
      </c>
      <c r="CZ68" s="106">
        <f>IF(AL68="","",IFERROR(AL68*HSI!$B$63*HSI!$G$63/HSI!$B$3,""))</f>
        <v/>
      </c>
      <c r="DA68" s="106">
        <f>IF(AM68="","",IFERROR(AM68*HSI!$B$63*HSI!$G$63/HSI!$B$3,""))</f>
        <v/>
      </c>
      <c r="DB68" s="106">
        <f>IF(AN68="","",IFERROR(AN68*HSI!$B$63*HSI!$G$63/HSI!$B$3,""))</f>
        <v/>
      </c>
      <c r="DC68" s="106">
        <f>IF(AO68="","",IFERROR(AO68*HSI!$B$63*HSI!$G$63/HSI!$B$3,""))</f>
        <v/>
      </c>
      <c r="DD68" s="106">
        <f>IF(AP68="","",IFERROR(AP68*HSI!$B$63*HSI!$G$63/HSI!$B$3,""))</f>
        <v/>
      </c>
      <c r="DE68" s="106">
        <f>IF(AQ68="","",IFERROR(AQ68*HSI!$B$63*HSI!$G$63/HSI!$B$3,""))</f>
        <v/>
      </c>
      <c r="DF68" s="106">
        <f>IF(AR68="","",IFERROR(AR68*HSI!$B$63*HSI!$G$63/HSI!$B$3,""))</f>
        <v/>
      </c>
      <c r="DG68" s="106">
        <f>IF(AS68="","",IFERROR(AS68*HSI!$B$63*HSI!$G$63/HSI!$B$3,""))</f>
        <v/>
      </c>
      <c r="DH68" s="106">
        <f>IF(AT68="","",IFERROR(AT68*HSI!$B$63*HSI!$G$63/HSI!$B$3,""))</f>
        <v/>
      </c>
      <c r="DI68" s="106">
        <f>IF(AU68="","",IFERROR(AU68*HSI!$B$63*HSI!$G$63/HSI!$B$3,""))</f>
        <v/>
      </c>
      <c r="DJ68" s="106">
        <f>IF(AV68="","",IFERROR(AV68*HSI!$B$63*HSI!$G$63/HSI!$B$3,""))</f>
        <v/>
      </c>
      <c r="DK68" s="106">
        <f>IF(AW68="","",IFERROR(AW68*HSI!$B$63*HSI!$G$63/HSI!$B$3,""))</f>
        <v/>
      </c>
      <c r="DL68" s="106">
        <f>IF(AX68="","",IFERROR(AX68*HSI!$B$63*HSI!$G$63/HSI!$B$3,""))</f>
        <v/>
      </c>
      <c r="DM68" s="106">
        <f>IF(AY68="","",IFERROR(AY68*HSI!$B$63*HSI!$G$63/HSI!$B$3,""))</f>
        <v/>
      </c>
      <c r="DN68" s="106">
        <f>IF(AZ68="","",IFERROR(AZ68*HSI!$B$63*HSI!$G$63/HSI!$B$3,""))</f>
        <v/>
      </c>
      <c r="DO68" s="106">
        <f>IF(BA68="","",IFERROR(BA68*HSI!$B$63*HSI!$G$63/HSI!$B$3,""))</f>
        <v/>
      </c>
      <c r="DP68" s="106">
        <f>IF(BB68="","",IFERROR(BB68*HSI!$B$63*HSI!$G$63/HSI!$B$3,""))</f>
        <v/>
      </c>
      <c r="DQ68" s="106">
        <f>IF(BC68="","",IFERROR(BC68*HSI!$B$63*HSI!$G$63/HSI!$B$3,""))</f>
        <v/>
      </c>
      <c r="DR68" s="106">
        <f>IF(BD68="","",IFERROR(BD68*HSI!$B$63*HSI!$G$63/HSI!$B$3,""))</f>
        <v/>
      </c>
      <c r="DS68" s="106">
        <f>IF(BE68="","",IFERROR(BE68*HSI!$B$63*HSI!$G$63/HSI!$B$3,""))</f>
        <v/>
      </c>
      <c r="DT68" s="106">
        <f>IF(BF68="","",IFERROR(BF68*HSI!$B$63*HSI!$G$63/HSI!$B$3,""))</f>
        <v/>
      </c>
      <c r="DU68" s="106">
        <f>IF(BG68="","",IFERROR(BG68*HSI!$B$63*HSI!$G$63/HSI!$B$3,""))</f>
        <v/>
      </c>
      <c r="DV68" s="106">
        <f>IF(BH68="","",IFERROR(BH68*HSI!$B$63*HSI!$G$63/HSI!$B$3,""))</f>
        <v/>
      </c>
      <c r="DW68" s="106">
        <f>IF(BI68="","",IFERROR(BI68*HSI!$B$63*HSI!$G$63/HSI!$B$3,""))</f>
        <v/>
      </c>
      <c r="DX68" s="106">
        <f>IF(BJ68="","",IFERROR(BJ68*HSI!$B$63*HSI!$G$63/HSI!$B$3,""))</f>
        <v/>
      </c>
      <c r="DY68" s="106">
        <f>IF(BK68="","",IFERROR(BK68*HSI!$B$63*HSI!$G$63/HSI!$B$3,""))</f>
        <v/>
      </c>
      <c r="DZ68" s="106">
        <f>IF(BL68="","",IFERROR(BL68*HSI!$B$63*HSI!$G$63/HSI!$B$3,""))</f>
        <v/>
      </c>
      <c r="EA68" s="106">
        <f>IF(BM68="","",IFERROR(BM68*HSI!$B$63*HSI!$G$63/HSI!$B$3,""))</f>
        <v/>
      </c>
      <c r="EB68" s="106">
        <f>IF(BN68="","",IFERROR(BN68*HSI!$B$63*HSI!$G$63/HSI!$B$3,""))</f>
        <v/>
      </c>
      <c r="EC68" s="106">
        <f>IF(BO68="","",IFERROR(BO68*HSI!$B$63*HSI!$G$63/HSI!$B$3,""))</f>
        <v/>
      </c>
      <c r="EE68" s="35">
        <f>IF(N('Dvd Calendar'!$E$627)=0,"",IF(('Dvd Calendar'!$E$627&gt;=GRID_FROM)*('Dvd Calendar'!$E$627&lt;=GRID_TO)*('Dvd Calendar'!$E$627&lt;=VAL_DATE)=0,"",'Dvd Calendar'!$E$627*1000000000+ISNUMBER('Dvd Calendar'!$E$630)*100000000+('Dvd Calendar'!$E$632=SPECIAL_LBL)*10000000+0*1000000+57*1000+1))</f>
        <v/>
      </c>
      <c r="EF68" s="35">
        <f>IF(N('Dvd Calendar'!$F$627)=0,"",IF(('Dvd Calendar'!$F$627&gt;=GRID_FROM)*('Dvd Calendar'!$F$627&lt;=GRID_TO)*('Dvd Calendar'!$F$627&lt;=VAL_DATE)=0,"",'Dvd Calendar'!$F$627*1000000000+ISNUMBER('Dvd Calendar'!$F$630)*100000000+('Dvd Calendar'!$F$632=SPECIAL_LBL)*10000000+0*1000000+57*1000+2))</f>
        <v/>
      </c>
      <c r="EG68" s="35">
        <f>IF(N('Dvd Calendar'!$G$627)=0,"",IF(('Dvd Calendar'!$G$627&gt;=GRID_FROM)*('Dvd Calendar'!$G$627&lt;=GRID_TO)*('Dvd Calendar'!$G$627&lt;=VAL_DATE)=0,"",'Dvd Calendar'!$G$627*1000000000+ISNUMBER('Dvd Calendar'!$G$630)*100000000+('Dvd Calendar'!$G$632=SPECIAL_LBL)*10000000+0*1000000+57*1000+3))</f>
        <v/>
      </c>
      <c r="EH68" s="35">
        <f>IF(N('Dvd Calendar'!$H$627)=0,"",IF(('Dvd Calendar'!$H$627&gt;=GRID_FROM)*('Dvd Calendar'!$H$627&lt;=GRID_TO)*('Dvd Calendar'!$H$627&lt;=VAL_DATE)=0,"",'Dvd Calendar'!$H$627*1000000000+ISNUMBER('Dvd Calendar'!$H$630)*100000000+('Dvd Calendar'!$H$632=SPECIAL_LBL)*10000000+0*1000000+57*1000+4))</f>
        <v/>
      </c>
      <c r="EI68" s="35">
        <f>IF(N('Dvd Calendar'!$I$627)=0,"",IF(('Dvd Calendar'!$I$627&gt;=GRID_FROM)*('Dvd Calendar'!$I$627&lt;=GRID_TO)*('Dvd Calendar'!$I$627&lt;=VAL_DATE)=0,"",'Dvd Calendar'!$I$627*1000000000+ISNUMBER('Dvd Calendar'!$I$630)*100000000+('Dvd Calendar'!$I$632=SPECIAL_LBL)*10000000+0*1000000+57*1000+5))</f>
        <v/>
      </c>
      <c r="EJ68" s="35">
        <f>IF(N('Dvd Calendar'!$J$627)=0,"",IF(('Dvd Calendar'!$J$627&gt;=GRID_FROM)*('Dvd Calendar'!$J$627&lt;=GRID_TO)*('Dvd Calendar'!$J$627&lt;=VAL_DATE)=0,"",'Dvd Calendar'!$J$627*1000000000+ISNUMBER('Dvd Calendar'!$J$630)*100000000+('Dvd Calendar'!$J$632=SPECIAL_LBL)*10000000+0*1000000+57*1000+6))</f>
        <v/>
      </c>
      <c r="EK68" s="35">
        <f>IF(N('Dvd Calendar'!$K$627)=0,"",IF(('Dvd Calendar'!$K$627&gt;=GRID_FROM)*('Dvd Calendar'!$K$627&lt;=GRID_TO)*('Dvd Calendar'!$K$627&lt;=VAL_DATE)=0,"",'Dvd Calendar'!$K$627*1000000000+ISNUMBER('Dvd Calendar'!$K$630)*100000000+('Dvd Calendar'!$K$632=SPECIAL_LBL)*10000000+0*1000000+57*1000+7))</f>
        <v/>
      </c>
      <c r="EL68" s="35">
        <f>IF(N('Dvd Calendar'!$L$627)=0,"",IF(('Dvd Calendar'!$L$627&gt;=GRID_FROM)*('Dvd Calendar'!$L$627&lt;=GRID_TO)*('Dvd Calendar'!$L$627&lt;=VAL_DATE)=0,"",'Dvd Calendar'!$L$627*1000000000+ISNUMBER('Dvd Calendar'!$L$630)*100000000+('Dvd Calendar'!$L$632=SPECIAL_LBL)*10000000+0*1000000+57*1000+8))</f>
        <v/>
      </c>
      <c r="EM68" s="35">
        <f>IF(N('Dvd Calendar'!$M$627)=0,"",IF(('Dvd Calendar'!$M$627&gt;=GRID_FROM)*('Dvd Calendar'!$M$627&lt;=GRID_TO)*('Dvd Calendar'!$M$627&lt;=VAL_DATE)=0,"",'Dvd Calendar'!$M$627*1000000000+ISNUMBER('Dvd Calendar'!$M$630)*100000000+('Dvd Calendar'!$M$632=SPECIAL_LBL)*10000000+0*1000000+57*1000+9))</f>
        <v/>
      </c>
      <c r="EN68" s="35">
        <f>IF(N('Dvd Calendar'!$N$627)=0,"",IF(('Dvd Calendar'!$N$627&gt;=GRID_FROM)*('Dvd Calendar'!$N$627&lt;=GRID_TO)*('Dvd Calendar'!$N$627&lt;=VAL_DATE)=0,"",'Dvd Calendar'!$N$627*1000000000+ISNUMBER('Dvd Calendar'!$N$630)*100000000+('Dvd Calendar'!$N$632=SPECIAL_LBL)*10000000+0*1000000+57*1000+10))</f>
        <v/>
      </c>
      <c r="EO68" s="35">
        <f>IF(N('Dvd Calendar'!$O$627)=0,"",IF(('Dvd Calendar'!$O$627&gt;=GRID_FROM)*('Dvd Calendar'!$O$627&lt;=GRID_TO)*('Dvd Calendar'!$O$627&lt;=VAL_DATE)=0,"",'Dvd Calendar'!$O$627*1000000000+ISNUMBER('Dvd Calendar'!$O$630)*100000000+('Dvd Calendar'!$O$632=SPECIAL_LBL)*10000000+0*1000000+57*1000+11))</f>
        <v/>
      </c>
      <c r="EP68" s="35">
        <f>IF(N('Dvd Calendar'!$P$627)=0,"",IF(('Dvd Calendar'!$P$627&gt;=GRID_FROM)*('Dvd Calendar'!$P$627&lt;=GRID_TO)*('Dvd Calendar'!$P$627&lt;=VAL_DATE)=0,"",'Dvd Calendar'!$P$627*1000000000+ISNUMBER('Dvd Calendar'!$P$630)*100000000+('Dvd Calendar'!$P$632=SPECIAL_LBL)*10000000+0*1000000+57*1000+12))</f>
        <v/>
      </c>
      <c r="EQ68" s="35">
        <f>IF(N('Dvd Calendar'!$Q$627)=0,"",IF(('Dvd Calendar'!$Q$627&gt;=GRID_FROM)*('Dvd Calendar'!$Q$627&lt;=GRID_TO)*('Dvd Calendar'!$Q$627&lt;=VAL_DATE)=0,"",'Dvd Calendar'!$Q$627*1000000000+ISNUMBER('Dvd Calendar'!$Q$630)*100000000+('Dvd Calendar'!$Q$632=SPECIAL_LBL)*10000000+0*1000000+57*1000+13))</f>
        <v/>
      </c>
      <c r="ER68" s="35">
        <f>IF(N('Dvd Calendar'!$R$627)=0,"",IF(('Dvd Calendar'!$R$627&gt;=GRID_FROM)*('Dvd Calendar'!$R$627&lt;=GRID_TO)*('Dvd Calendar'!$R$627&lt;=VAL_DATE)=0,"",'Dvd Calendar'!$R$627*1000000000+ISNUMBER('Dvd Calendar'!$R$630)*100000000+('Dvd Calendar'!$R$632=SPECIAL_LBL)*10000000+0*1000000+57*1000+14))</f>
        <v/>
      </c>
      <c r="ES68" s="35">
        <f>IF(N('Dvd Calendar'!$S$627)=0,"",IF(('Dvd Calendar'!$S$627&gt;=GRID_FROM)*('Dvd Calendar'!$S$627&lt;=GRID_TO)*('Dvd Calendar'!$S$627&lt;=VAL_DATE)=0,"",'Dvd Calendar'!$S$627*1000000000+ISNUMBER('Dvd Calendar'!$S$630)*100000000+('Dvd Calendar'!$S$632=SPECIAL_LBL)*10000000+0*1000000+57*1000+15))</f>
        <v/>
      </c>
      <c r="ET68" s="35">
        <f>IF(N('Dvd Calendar'!$T$627)=0,"",IF(('Dvd Calendar'!$T$627&gt;=GRID_FROM)*('Dvd Calendar'!$T$627&lt;=GRID_TO)*('Dvd Calendar'!$T$627&lt;=VAL_DATE)=0,"",'Dvd Calendar'!$T$627*1000000000+ISNUMBER('Dvd Calendar'!$T$630)*100000000+('Dvd Calendar'!$T$632=SPECIAL_LBL)*10000000+0*1000000+57*1000+16))</f>
        <v/>
      </c>
      <c r="EU68" s="35">
        <f>IF(N('Dvd Calendar'!$U$627)=0,"",IF(('Dvd Calendar'!$U$627&gt;=GRID_FROM)*('Dvd Calendar'!$U$627&lt;=GRID_TO)*('Dvd Calendar'!$U$627&lt;=VAL_DATE)=0,"",'Dvd Calendar'!$U$627*1000000000+ISNUMBER('Dvd Calendar'!$U$630)*100000000+('Dvd Calendar'!$U$632=SPECIAL_LBL)*10000000+0*1000000+57*1000+17))</f>
        <v/>
      </c>
      <c r="EV68" s="35">
        <f>IF(N('Dvd Calendar'!$V$627)=0,"",IF(('Dvd Calendar'!$V$627&gt;=GRID_FROM)*('Dvd Calendar'!$V$627&lt;=GRID_TO)*('Dvd Calendar'!$V$627&lt;=VAL_DATE)=0,"",'Dvd Calendar'!$V$627*1000000000+ISNUMBER('Dvd Calendar'!$V$630)*100000000+('Dvd Calendar'!$V$632=SPECIAL_LBL)*10000000+0*1000000+57*1000+18))</f>
        <v/>
      </c>
      <c r="EW68" s="35">
        <f>IF(N('Dvd Calendar'!$W$627)=0,"",IF(('Dvd Calendar'!$W$627&gt;=GRID_FROM)*('Dvd Calendar'!$W$627&lt;=GRID_TO)*('Dvd Calendar'!$W$627&lt;=VAL_DATE)=0,"",'Dvd Calendar'!$W$627*1000000000+ISNUMBER('Dvd Calendar'!$W$630)*100000000+('Dvd Calendar'!$W$632=SPECIAL_LBL)*10000000+0*1000000+57*1000+19))</f>
        <v/>
      </c>
      <c r="EX68" s="35">
        <f>IF(N('Dvd Calendar'!$X$627)=0,"",IF(('Dvd Calendar'!$X$627&gt;=GRID_FROM)*('Dvd Calendar'!$X$627&lt;=GRID_TO)*('Dvd Calendar'!$X$627&lt;=VAL_DATE)=0,"",'Dvd Calendar'!$X$627*1000000000+ISNUMBER('Dvd Calendar'!$X$630)*100000000+('Dvd Calendar'!$X$632=SPECIAL_LBL)*10000000+0*1000000+57*1000+20))</f>
        <v/>
      </c>
      <c r="EY68" s="35">
        <f>IF(N('Dvd Calendar'!$Y$627)=0,"",IF(('Dvd Calendar'!$Y$627&gt;=GRID_FROM)*('Dvd Calendar'!$Y$627&lt;=GRID_TO)*('Dvd Calendar'!$Y$627&lt;=VAL_DATE)=0,"",'Dvd Calendar'!$Y$627*1000000000+ISNUMBER('Dvd Calendar'!$Y$630)*100000000+('Dvd Calendar'!$Y$632=SPECIAL_LBL)*10000000+0*1000000+57*1000+21))</f>
        <v/>
      </c>
      <c r="EZ68" s="35">
        <f>IF(N('Dvd Calendar'!$Z$627)=0,"",IF(('Dvd Calendar'!$Z$627&gt;=GRID_FROM)*('Dvd Calendar'!$Z$627&lt;=GRID_TO)*('Dvd Calendar'!$Z$627&lt;=VAL_DATE)=0,"",'Dvd Calendar'!$Z$627*1000000000+ISNUMBER('Dvd Calendar'!$Z$630)*100000000+('Dvd Calendar'!$Z$632=SPECIAL_LBL)*10000000+0*1000000+57*1000+22))</f>
        <v/>
      </c>
      <c r="FA68" s="35">
        <f>IF(N('Dvd Calendar'!$AA$627)=0,"",IF(('Dvd Calendar'!$AA$627&gt;=GRID_FROM)*('Dvd Calendar'!$AA$627&lt;=GRID_TO)*('Dvd Calendar'!$AA$627&lt;=VAL_DATE)=0,"",'Dvd Calendar'!$AA$627*1000000000+ISNUMBER('Dvd Calendar'!$AA$630)*100000000+('Dvd Calendar'!$AA$632=SPECIAL_LBL)*10000000+0*1000000+57*1000+23))</f>
        <v/>
      </c>
      <c r="FB68" s="35">
        <f>IF(N('Dvd Calendar'!$AB$627)=0,"",IF(('Dvd Calendar'!$AB$627&gt;=GRID_FROM)*('Dvd Calendar'!$AB$627&lt;=GRID_TO)*('Dvd Calendar'!$AB$627&lt;=VAL_DATE)=0,"",'Dvd Calendar'!$AB$627*1000000000+ISNUMBER('Dvd Calendar'!$AB$630)*100000000+('Dvd Calendar'!$AB$632=SPECIAL_LBL)*10000000+0*1000000+57*1000+24))</f>
        <v/>
      </c>
      <c r="FC68" s="35">
        <f>IF(N('Dvd Calendar'!$AC$627)=0,"",IF(('Dvd Calendar'!$AC$627&gt;=GRID_FROM)*('Dvd Calendar'!$AC$627&lt;=GRID_TO)*('Dvd Calendar'!$AC$627&lt;=VAL_DATE)=0,"",'Dvd Calendar'!$AC$627*1000000000+ISNUMBER('Dvd Calendar'!$AC$630)*100000000+('Dvd Calendar'!$AC$632=SPECIAL_LBL)*10000000+0*1000000+57*1000+25))</f>
        <v/>
      </c>
      <c r="FD68" s="35">
        <f>IF(N('Dvd Calendar'!$AD$627)=0,"",IF(('Dvd Calendar'!$AD$627&gt;=GRID_FROM)*('Dvd Calendar'!$AD$627&lt;=GRID_TO)*('Dvd Calendar'!$AD$627&lt;=VAL_DATE)=0,"",'Dvd Calendar'!$AD$627*1000000000+ISNUMBER('Dvd Calendar'!$AD$630)*100000000+('Dvd Calendar'!$AD$632=SPECIAL_LBL)*10000000+0*1000000+57*1000+26))</f>
        <v/>
      </c>
      <c r="FE68" s="35">
        <f>IF(N('Dvd Calendar'!$AE$627)=0,"",IF(('Dvd Calendar'!$AE$627&gt;=GRID_FROM)*('Dvd Calendar'!$AE$627&lt;=GRID_TO)*('Dvd Calendar'!$AE$627&lt;=VAL_DATE)=0,"",'Dvd Calendar'!$AE$627*1000000000+ISNUMBER('Dvd Calendar'!$AE$630)*100000000+('Dvd Calendar'!$AE$632=SPECIAL_LBL)*10000000+0*1000000+57*1000+27))</f>
        <v/>
      </c>
      <c r="FF68" s="35">
        <f>IF(N('Dvd Calendar'!$AF$627)=0,"",IF(('Dvd Calendar'!$AF$627&gt;=GRID_FROM)*('Dvd Calendar'!$AF$627&lt;=GRID_TO)*('Dvd Calendar'!$AF$627&lt;=VAL_DATE)=0,"",'Dvd Calendar'!$AF$627*1000000000+ISNUMBER('Dvd Calendar'!$AF$630)*100000000+('Dvd Calendar'!$AF$632=SPECIAL_LBL)*10000000+0*1000000+57*1000+28))</f>
        <v/>
      </c>
      <c r="FG68" s="35">
        <f>IF(N('Dvd Calendar'!$AG$627)=0,"",IF(('Dvd Calendar'!$AG$627&gt;=GRID_FROM)*('Dvd Calendar'!$AG$627&lt;=GRID_TO)*('Dvd Calendar'!$AG$627&lt;=VAL_DATE)=0,"",'Dvd Calendar'!$AG$627*1000000000+ISNUMBER('Dvd Calendar'!$AG$630)*100000000+('Dvd Calendar'!$AG$632=SPECIAL_LBL)*10000000+0*1000000+57*1000+29))</f>
        <v/>
      </c>
      <c r="FH68" s="35">
        <f>IF(N('Dvd Calendar'!$AH$627)=0,"",IF(('Dvd Calendar'!$AH$627&gt;=GRID_FROM)*('Dvd Calendar'!$AH$627&lt;=GRID_TO)*('Dvd Calendar'!$AH$627&lt;=VAL_DATE)=0,"",'Dvd Calendar'!$AH$627*1000000000+ISNUMBER('Dvd Calendar'!$AH$630)*100000000+('Dvd Calendar'!$AH$632=SPECIAL_LBL)*10000000+0*1000000+57*1000+30))</f>
        <v/>
      </c>
      <c r="FI68" s="35">
        <f>IF(N('Dvd Calendar'!$AI$627)=0,"",IF(('Dvd Calendar'!$AI$627&gt;=GRID_FROM)*('Dvd Calendar'!$AI$627&lt;=GRID_TO)*('Dvd Calendar'!$AI$627&lt;=VAL_DATE)=0,"",'Dvd Calendar'!$AI$627*1000000000+ISNUMBER('Dvd Calendar'!$AI$630)*100000000+('Dvd Calendar'!$AI$632=SPECIAL_LBL)*10000000+0*1000000+57*1000+31))</f>
        <v/>
      </c>
      <c r="FJ68" s="35">
        <f>IF(N('Dvd Calendar'!$AJ$627)=0,"",IF(('Dvd Calendar'!$AJ$627&gt;=GRID_FROM)*('Dvd Calendar'!$AJ$627&lt;=GRID_TO)*('Dvd Calendar'!$AJ$627&lt;=VAL_DATE)=0,"",'Dvd Calendar'!$AJ$627*1000000000+ISNUMBER('Dvd Calendar'!$AJ$630)*100000000+('Dvd Calendar'!$AJ$632=SPECIAL_LBL)*10000000+0*1000000+57*1000+32))</f>
        <v/>
      </c>
      <c r="FK68" s="35">
        <f>IF(N('Dvd Calendar'!$AK$627)=0,"",IF(('Dvd Calendar'!$AK$627&gt;=GRID_FROM)*('Dvd Calendar'!$AK$627&lt;=GRID_TO)*('Dvd Calendar'!$AK$627&lt;=VAL_DATE)=0,"",'Dvd Calendar'!$AK$627*1000000000+ISNUMBER('Dvd Calendar'!$AK$630)*100000000+('Dvd Calendar'!$AK$632=SPECIAL_LBL)*10000000+0*1000000+57*1000+33))</f>
        <v/>
      </c>
      <c r="FL68" s="35">
        <f>IF(N('Dvd Calendar'!$AL$627)=0,"",IF(('Dvd Calendar'!$AL$627&gt;=GRID_FROM)*('Dvd Calendar'!$AL$627&lt;=GRID_TO)*('Dvd Calendar'!$AL$627&lt;=VAL_DATE)=0,"",'Dvd Calendar'!$AL$627*1000000000+ISNUMBER('Dvd Calendar'!$AL$630)*100000000+('Dvd Calendar'!$AL$632=SPECIAL_LBL)*10000000+0*1000000+57*1000+34))</f>
        <v/>
      </c>
      <c r="FM68" s="35">
        <f>IF(N('Dvd Calendar'!$AM$627)=0,"",IF(('Dvd Calendar'!$AM$627&gt;=GRID_FROM)*('Dvd Calendar'!$AM$627&lt;=GRID_TO)*('Dvd Calendar'!$AM$627&lt;=VAL_DATE)=0,"",'Dvd Calendar'!$AM$627*1000000000+ISNUMBER('Dvd Calendar'!$AM$630)*100000000+('Dvd Calendar'!$AM$632=SPECIAL_LBL)*10000000+0*1000000+57*1000+35))</f>
        <v/>
      </c>
      <c r="FN68" s="35">
        <f>IF(N('Dvd Calendar'!$AN$627)=0,"",IF(('Dvd Calendar'!$AN$627&gt;=GRID_FROM)*('Dvd Calendar'!$AN$627&lt;=GRID_TO)*('Dvd Calendar'!$AN$627&lt;=VAL_DATE)=0,"",'Dvd Calendar'!$AN$627*1000000000+ISNUMBER('Dvd Calendar'!$AN$630)*100000000+('Dvd Calendar'!$AN$632=SPECIAL_LBL)*10000000+0*1000000+57*1000+36))</f>
        <v/>
      </c>
      <c r="FO68" s="35">
        <f>IF(N('Dvd Calendar'!$AO$627)=0,"",IF(('Dvd Calendar'!$AO$627&gt;=GRID_FROM)*('Dvd Calendar'!$AO$627&lt;=GRID_TO)*('Dvd Calendar'!$AO$627&lt;=VAL_DATE)=0,"",'Dvd Calendar'!$AO$627*1000000000+ISNUMBER('Dvd Calendar'!$AO$630)*100000000+('Dvd Calendar'!$AO$632=SPECIAL_LBL)*10000000+0*1000000+57*1000+37))</f>
        <v/>
      </c>
      <c r="FP68" s="35">
        <f>IF(N('Dvd Calendar'!$AP$627)=0,"",IF(('Dvd Calendar'!$AP$627&gt;=GRID_FROM)*('Dvd Calendar'!$AP$627&lt;=GRID_TO)*('Dvd Calendar'!$AP$627&lt;=VAL_DATE)=0,"",'Dvd Calendar'!$AP$627*1000000000+ISNUMBER('Dvd Calendar'!$AP$630)*100000000+('Dvd Calendar'!$AP$632=SPECIAL_LBL)*10000000+0*1000000+57*1000+38))</f>
        <v/>
      </c>
      <c r="FQ68" s="35">
        <f>IF(N('Dvd Calendar'!$AQ$627)=0,"",IF(('Dvd Calendar'!$AQ$627&gt;=GRID_FROM)*('Dvd Calendar'!$AQ$627&lt;=GRID_TO)*('Dvd Calendar'!$AQ$627&lt;=VAL_DATE)=0,"",'Dvd Calendar'!$AQ$627*1000000000+ISNUMBER('Dvd Calendar'!$AQ$630)*100000000+('Dvd Calendar'!$AQ$632=SPECIAL_LBL)*10000000+0*1000000+57*1000+39))</f>
        <v/>
      </c>
      <c r="FR68" s="35">
        <f>IF(N('Dvd Calendar'!$AR$627)=0,"",IF(('Dvd Calendar'!$AR$627&gt;=GRID_FROM)*('Dvd Calendar'!$AR$627&lt;=GRID_TO)*('Dvd Calendar'!$AR$627&lt;=VAL_DATE)=0,"",'Dvd Calendar'!$AR$627*1000000000+ISNUMBER('Dvd Calendar'!$AR$630)*100000000+('Dvd Calendar'!$AR$632=SPECIAL_LBL)*10000000+0*1000000+57*1000+40))</f>
        <v/>
      </c>
      <c r="FS68" s="35">
        <f>IF(N('Dvd Calendar'!$E$634)=0,"",IF(('Dvd Calendar'!$E$634&gt;=GRID_FROM)*('Dvd Calendar'!$E$634&lt;=GRID_TO)*('Dvd Calendar'!$E$634&gt;VAL_DATE)=0,"",'Dvd Calendar'!$E$634*1000000000+ISNUMBER('Dvd Calendar'!$E$635)*100000000+0*10000000+(N('Dvd Calendar'!$E$633)&gt;0)*(N('Dvd Calendar'!$E$633)&lt;=VAL_SERIAL)*1000000+57*1000+41))</f>
        <v/>
      </c>
      <c r="FT68" s="35">
        <f>IF(N('Dvd Calendar'!$F$634)=0,"",IF(('Dvd Calendar'!$F$634&gt;=GRID_FROM)*('Dvd Calendar'!$F$634&lt;=GRID_TO)*('Dvd Calendar'!$F$634&gt;VAL_DATE)=0,"",'Dvd Calendar'!$F$634*1000000000+ISNUMBER('Dvd Calendar'!$F$635)*100000000+0*10000000+(N('Dvd Calendar'!$F$633)&gt;0)*(N('Dvd Calendar'!$F$633)&lt;=VAL_SERIAL)*1000000+57*1000+42))</f>
        <v/>
      </c>
      <c r="FU68" s="35">
        <f>IF(N('Dvd Calendar'!$G$634)=0,"",IF(('Dvd Calendar'!$G$634&gt;=GRID_FROM)*('Dvd Calendar'!$G$634&lt;=GRID_TO)*('Dvd Calendar'!$G$634&gt;VAL_DATE)=0,"",'Dvd Calendar'!$G$634*1000000000+ISNUMBER('Dvd Calendar'!$G$635)*100000000+0*10000000+(N('Dvd Calendar'!$G$633)&gt;0)*(N('Dvd Calendar'!$G$633)&lt;=VAL_SERIAL)*1000000+57*1000+43))</f>
        <v/>
      </c>
      <c r="FV68" s="35">
        <f>IF(N('Dvd Calendar'!$H$634)=0,"",IF(('Dvd Calendar'!$H$634&gt;=GRID_FROM)*('Dvd Calendar'!$H$634&lt;=GRID_TO)*('Dvd Calendar'!$H$634&gt;VAL_DATE)=0,"",'Dvd Calendar'!$H$634*1000000000+ISNUMBER('Dvd Calendar'!$H$635)*100000000+0*10000000+(N('Dvd Calendar'!$H$633)&gt;0)*(N('Dvd Calendar'!$H$633)&lt;=VAL_SERIAL)*1000000+57*1000+44))</f>
        <v/>
      </c>
      <c r="FW68" s="35">
        <f>IF(N('Dvd Calendar'!$I$634)=0,"",IF(('Dvd Calendar'!$I$634&gt;=GRID_FROM)*('Dvd Calendar'!$I$634&lt;=GRID_TO)*('Dvd Calendar'!$I$634&gt;VAL_DATE)=0,"",'Dvd Calendar'!$I$634*1000000000+ISNUMBER('Dvd Calendar'!$I$635)*100000000+0*10000000+(N('Dvd Calendar'!$I$633)&gt;0)*(N('Dvd Calendar'!$I$633)&lt;=VAL_SERIAL)*1000000+57*1000+45))</f>
        <v/>
      </c>
      <c r="FX68" s="35">
        <f>IF(N('Dvd Calendar'!$J$634)=0,"",IF(('Dvd Calendar'!$J$634&gt;=GRID_FROM)*('Dvd Calendar'!$J$634&lt;=GRID_TO)*('Dvd Calendar'!$J$634&gt;VAL_DATE)=0,"",'Dvd Calendar'!$J$634*1000000000+ISNUMBER('Dvd Calendar'!$J$635)*100000000+0*10000000+(N('Dvd Calendar'!$J$633)&gt;0)*(N('Dvd Calendar'!$J$633)&lt;=VAL_SERIAL)*1000000+57*1000+46))</f>
        <v/>
      </c>
      <c r="FY68" s="35">
        <f>IF(N('Dvd Calendar'!$K$634)=0,"",IF(('Dvd Calendar'!$K$634&gt;=GRID_FROM)*('Dvd Calendar'!$K$634&lt;=GRID_TO)*('Dvd Calendar'!$K$634&gt;VAL_DATE)=0,"",'Dvd Calendar'!$K$634*1000000000+ISNUMBER('Dvd Calendar'!$K$635)*100000000+0*10000000+(N('Dvd Calendar'!$K$633)&gt;0)*(N('Dvd Calendar'!$K$633)&lt;=VAL_SERIAL)*1000000+57*1000+47))</f>
        <v/>
      </c>
      <c r="FZ68" s="35">
        <f>IF(N('Dvd Calendar'!$L$634)=0,"",IF(('Dvd Calendar'!$L$634&gt;=GRID_FROM)*('Dvd Calendar'!$L$634&lt;=GRID_TO)*('Dvd Calendar'!$L$634&gt;VAL_DATE)=0,"",'Dvd Calendar'!$L$634*1000000000+ISNUMBER('Dvd Calendar'!$L$635)*100000000+0*10000000+(N('Dvd Calendar'!$L$633)&gt;0)*(N('Dvd Calendar'!$L$633)&lt;=VAL_SERIAL)*1000000+57*1000+48))</f>
        <v/>
      </c>
      <c r="GA68" s="35">
        <f>IF(N('Dvd Calendar'!$M$634)=0,"",IF(('Dvd Calendar'!$M$634&gt;=GRID_FROM)*('Dvd Calendar'!$M$634&lt;=GRID_TO)*('Dvd Calendar'!$M$634&gt;VAL_DATE)=0,"",'Dvd Calendar'!$M$634*1000000000+ISNUMBER('Dvd Calendar'!$M$635)*100000000+0*10000000+(N('Dvd Calendar'!$M$633)&gt;0)*(N('Dvd Calendar'!$M$633)&lt;=VAL_SERIAL)*1000000+57*1000+49))</f>
        <v/>
      </c>
      <c r="GB68" s="35">
        <f>IF(N('Dvd Calendar'!$N$634)=0,"",IF(('Dvd Calendar'!$N$634&gt;=GRID_FROM)*('Dvd Calendar'!$N$634&lt;=GRID_TO)*('Dvd Calendar'!$N$634&gt;VAL_DATE)=0,"",'Dvd Calendar'!$N$634*1000000000+ISNUMBER('Dvd Calendar'!$N$635)*100000000+0*10000000+(N('Dvd Calendar'!$N$633)&gt;0)*(N('Dvd Calendar'!$N$633)&lt;=VAL_SERIAL)*1000000+57*1000+50))</f>
        <v/>
      </c>
      <c r="GC68" s="35">
        <f>IF(N('Dvd Calendar'!$O$634)=0,"",IF(('Dvd Calendar'!$O$634&gt;=GRID_FROM)*('Dvd Calendar'!$O$634&lt;=GRID_TO)*('Dvd Calendar'!$O$634&gt;VAL_DATE)=0,"",'Dvd Calendar'!$O$634*1000000000+ISNUMBER('Dvd Calendar'!$O$635)*100000000+0*10000000+(N('Dvd Calendar'!$O$633)&gt;0)*(N('Dvd Calendar'!$O$633)&lt;=VAL_SERIAL)*1000000+57*1000+51))</f>
        <v/>
      </c>
      <c r="GD68" s="35">
        <f>IF(N('Dvd Calendar'!$P$634)=0,"",IF(('Dvd Calendar'!$P$634&gt;=GRID_FROM)*('Dvd Calendar'!$P$634&lt;=GRID_TO)*('Dvd Calendar'!$P$634&gt;VAL_DATE)=0,"",'Dvd Calendar'!$P$634*1000000000+ISNUMBER('Dvd Calendar'!$P$635)*100000000+0*10000000+(N('Dvd Calendar'!$P$633)&gt;0)*(N('Dvd Calendar'!$P$633)&lt;=VAL_SERIAL)*1000000+57*1000+52))</f>
        <v/>
      </c>
      <c r="GE68" s="35">
        <f>IF(N('Dvd Calendar'!$Q$634)=0,"",IF(('Dvd Calendar'!$Q$634&gt;=GRID_FROM)*('Dvd Calendar'!$Q$634&lt;=GRID_TO)*('Dvd Calendar'!$Q$634&gt;VAL_DATE)=0,"",'Dvd Calendar'!$Q$634*1000000000+ISNUMBER('Dvd Calendar'!$Q$635)*100000000+0*10000000+(N('Dvd Calendar'!$Q$633)&gt;0)*(N('Dvd Calendar'!$Q$633)&lt;=VAL_SERIAL)*1000000+57*1000+53))</f>
        <v/>
      </c>
      <c r="GF68" s="35">
        <f>IF(N('Dvd Calendar'!$R$634)=0,"",IF(('Dvd Calendar'!$R$634&gt;=GRID_FROM)*('Dvd Calendar'!$R$634&lt;=GRID_TO)*('Dvd Calendar'!$R$634&gt;VAL_DATE)=0,"",'Dvd Calendar'!$R$634*1000000000+ISNUMBER('Dvd Calendar'!$R$635)*100000000+0*10000000+(N('Dvd Calendar'!$R$633)&gt;0)*(N('Dvd Calendar'!$R$633)&lt;=VAL_SERIAL)*1000000+57*1000+54))</f>
        <v/>
      </c>
      <c r="GG68" s="35">
        <f>IF(N('Dvd Calendar'!$S$634)=0,"",IF(('Dvd Calendar'!$S$634&gt;=GRID_FROM)*('Dvd Calendar'!$S$634&lt;=GRID_TO)*('Dvd Calendar'!$S$634&gt;VAL_DATE)=0,"",'Dvd Calendar'!$S$634*1000000000+ISNUMBER('Dvd Calendar'!$S$635)*100000000+0*10000000+(N('Dvd Calendar'!$S$633)&gt;0)*(N('Dvd Calendar'!$S$633)&lt;=VAL_SERIAL)*1000000+57*1000+55))</f>
        <v/>
      </c>
      <c r="GH68" s="35">
        <f>IF(N('Dvd Calendar'!$T$634)=0,"",IF(('Dvd Calendar'!$T$634&gt;=GRID_FROM)*('Dvd Calendar'!$T$634&lt;=GRID_TO)*('Dvd Calendar'!$T$634&gt;VAL_DATE)=0,"",'Dvd Calendar'!$T$634*1000000000+ISNUMBER('Dvd Calendar'!$T$635)*100000000+0*10000000+(N('Dvd Calendar'!$T$633)&gt;0)*(N('Dvd Calendar'!$T$633)&lt;=VAL_SERIAL)*1000000+57*1000+56))</f>
        <v/>
      </c>
      <c r="GI68" s="35">
        <f>IF(N('Dvd Calendar'!$U$634)=0,"",IF(('Dvd Calendar'!$U$634&gt;=GRID_FROM)*('Dvd Calendar'!$U$634&lt;=GRID_TO)*('Dvd Calendar'!$U$634&gt;VAL_DATE)=0,"",'Dvd Calendar'!$U$634*1000000000+ISNUMBER('Dvd Calendar'!$U$635)*100000000+0*10000000+(N('Dvd Calendar'!$U$633)&gt;0)*(N('Dvd Calendar'!$U$633)&lt;=VAL_SERIAL)*1000000+57*1000+57))</f>
        <v/>
      </c>
      <c r="GJ68" s="35">
        <f>IF(N('Dvd Calendar'!$V$634)=0,"",IF(('Dvd Calendar'!$V$634&gt;=GRID_FROM)*('Dvd Calendar'!$V$634&lt;=GRID_TO)*('Dvd Calendar'!$V$634&gt;VAL_DATE)=0,"",'Dvd Calendar'!$V$634*1000000000+ISNUMBER('Dvd Calendar'!$V$635)*100000000+0*10000000+(N('Dvd Calendar'!$V$633)&gt;0)*(N('Dvd Calendar'!$V$633)&lt;=VAL_SERIAL)*1000000+57*1000+58))</f>
        <v/>
      </c>
      <c r="GK68" s="35">
        <f>IF(N('Dvd Calendar'!$W$634)=0,"",IF(('Dvd Calendar'!$W$634&gt;=GRID_FROM)*('Dvd Calendar'!$W$634&lt;=GRID_TO)*('Dvd Calendar'!$W$634&gt;VAL_DATE)=0,"",'Dvd Calendar'!$W$634*1000000000+ISNUMBER('Dvd Calendar'!$W$635)*100000000+0*10000000+(N('Dvd Calendar'!$W$633)&gt;0)*(N('Dvd Calendar'!$W$633)&lt;=VAL_SERIAL)*1000000+57*1000+59))</f>
        <v/>
      </c>
      <c r="GL68" s="35">
        <f>IF(N('Dvd Calendar'!$X$634)=0,"",IF(('Dvd Calendar'!$X$634&gt;=GRID_FROM)*('Dvd Calendar'!$X$634&lt;=GRID_TO)*('Dvd Calendar'!$X$634&gt;VAL_DATE)=0,"",'Dvd Calendar'!$X$634*1000000000+ISNUMBER('Dvd Calendar'!$X$635)*100000000+0*10000000+(N('Dvd Calendar'!$X$633)&gt;0)*(N('Dvd Calendar'!$X$633)&lt;=VAL_SERIAL)*1000000+57*1000+60))</f>
        <v/>
      </c>
      <c r="GM68" s="35">
        <f>IF(N('Dvd Calendar'!$Y$634)=0,"",IF(('Dvd Calendar'!$Y$634&gt;=GRID_FROM)*('Dvd Calendar'!$Y$634&lt;=GRID_TO)*('Dvd Calendar'!$Y$634&gt;VAL_DATE)=0,"",'Dvd Calendar'!$Y$634*1000000000+ISNUMBER('Dvd Calendar'!$Y$635)*100000000+0*10000000+(N('Dvd Calendar'!$Y$633)&gt;0)*(N('Dvd Calendar'!$Y$633)&lt;=VAL_SERIAL)*1000000+57*1000+61))</f>
        <v/>
      </c>
      <c r="GN68" s="35">
        <f>IF(N('Dvd Calendar'!$Z$634)=0,"",IF(('Dvd Calendar'!$Z$634&gt;=GRID_FROM)*('Dvd Calendar'!$Z$634&lt;=GRID_TO)*('Dvd Calendar'!$Z$634&gt;VAL_DATE)=0,"",'Dvd Calendar'!$Z$634*1000000000+ISNUMBER('Dvd Calendar'!$Z$635)*100000000+0*10000000+(N('Dvd Calendar'!$Z$633)&gt;0)*(N('Dvd Calendar'!$Z$633)&lt;=VAL_SERIAL)*1000000+57*1000+62))</f>
        <v/>
      </c>
      <c r="GO68" s="35">
        <f>IF(N('Dvd Calendar'!$AA$634)=0,"",IF(('Dvd Calendar'!$AA$634&gt;=GRID_FROM)*('Dvd Calendar'!$AA$634&lt;=GRID_TO)*('Dvd Calendar'!$AA$634&gt;VAL_DATE)=0,"",'Dvd Calendar'!$AA$634*1000000000+ISNUMBER('Dvd Calendar'!$AA$635)*100000000+0*10000000+(N('Dvd Calendar'!$AA$633)&gt;0)*(N('Dvd Calendar'!$AA$633)&lt;=VAL_SERIAL)*1000000+57*1000+63))</f>
        <v/>
      </c>
      <c r="GP68" s="35">
        <f>IF(N('Dvd Calendar'!$AB$634)=0,"",IF(('Dvd Calendar'!$AB$634&gt;=GRID_FROM)*('Dvd Calendar'!$AB$634&lt;=GRID_TO)*('Dvd Calendar'!$AB$634&gt;VAL_DATE)=0,"",'Dvd Calendar'!$AB$634*1000000000+ISNUMBER('Dvd Calendar'!$AB$635)*100000000+0*10000000+(N('Dvd Calendar'!$AB$633)&gt;0)*(N('Dvd Calendar'!$AB$633)&lt;=VAL_SERIAL)*1000000+57*1000+64))</f>
        <v/>
      </c>
      <c r="GQ68" s="35">
        <f>IF(N('Dvd Calendar'!$AC$634)=0,"",IF(('Dvd Calendar'!$AC$634&gt;=GRID_FROM)*('Dvd Calendar'!$AC$634&lt;=GRID_TO)*('Dvd Calendar'!$AC$634&gt;VAL_DATE)=0,"",'Dvd Calendar'!$AC$634*1000000000+ISNUMBER('Dvd Calendar'!$AC$635)*100000000+0*10000000+(N('Dvd Calendar'!$AC$633)&gt;0)*(N('Dvd Calendar'!$AC$633)&lt;=VAL_SERIAL)*1000000+57*1000+65))</f>
        <v/>
      </c>
    </row>
    <row r="69">
      <c r="B69" s="2">
        <f>IF(HSI!$C$64="","",HSI!$C$64)</f>
        <v/>
      </c>
      <c r="C69" s="106">
        <f>IF(EE69="","",IF(ISNUMBER('Dvd Calendar'!$E$641)=FALSE,"",IF((('Dvd Calendar'!$E$643=TYPE1)*(TYPE1&lt;&gt;"")+('Dvd Calendar'!$E$643=TYPE2)*(TYPE2&lt;&gt;"")+('Dvd Calendar'!$E$643=TYPE3)*(TYPE3&lt;&gt;"")+('Dvd Calendar'!$E$643=TYPE4)*(TYPE4&lt;&gt;"")+('Dvd Calendar'!$E$643=SPECIAL_LBL)*(INC_SPECIALS="Y"))=0,"",'Dvd Calendar'!$E$641)))</f>
        <v/>
      </c>
      <c r="D69" s="106">
        <f>IF(EF69="","",IF(ISNUMBER('Dvd Calendar'!$F$641)=FALSE,"",IF((('Dvd Calendar'!$F$643=TYPE1)*(TYPE1&lt;&gt;"")+('Dvd Calendar'!$F$643=TYPE2)*(TYPE2&lt;&gt;"")+('Dvd Calendar'!$F$643=TYPE3)*(TYPE3&lt;&gt;"")+('Dvd Calendar'!$F$643=TYPE4)*(TYPE4&lt;&gt;"")+('Dvd Calendar'!$F$643=SPECIAL_LBL)*(INC_SPECIALS="Y"))=0,"",'Dvd Calendar'!$F$641)))</f>
        <v/>
      </c>
      <c r="E69" s="106">
        <f>IF(EG69="","",IF(ISNUMBER('Dvd Calendar'!$G$641)=FALSE,"",IF((('Dvd Calendar'!$G$643=TYPE1)*(TYPE1&lt;&gt;"")+('Dvd Calendar'!$G$643=TYPE2)*(TYPE2&lt;&gt;"")+('Dvd Calendar'!$G$643=TYPE3)*(TYPE3&lt;&gt;"")+('Dvd Calendar'!$G$643=TYPE4)*(TYPE4&lt;&gt;"")+('Dvd Calendar'!$G$643=SPECIAL_LBL)*(INC_SPECIALS="Y"))=0,"",'Dvd Calendar'!$G$641)))</f>
        <v/>
      </c>
      <c r="F69" s="106">
        <f>IF(EH69="","",IF(ISNUMBER('Dvd Calendar'!$H$641)=FALSE,"",IF((('Dvd Calendar'!$H$643=TYPE1)*(TYPE1&lt;&gt;"")+('Dvd Calendar'!$H$643=TYPE2)*(TYPE2&lt;&gt;"")+('Dvd Calendar'!$H$643=TYPE3)*(TYPE3&lt;&gt;"")+('Dvd Calendar'!$H$643=TYPE4)*(TYPE4&lt;&gt;"")+('Dvd Calendar'!$H$643=SPECIAL_LBL)*(INC_SPECIALS="Y"))=0,"",'Dvd Calendar'!$H$641)))</f>
        <v/>
      </c>
      <c r="G69" s="106">
        <f>IF(EI69="","",IF(ISNUMBER('Dvd Calendar'!$I$641)=FALSE,"",IF((('Dvd Calendar'!$I$643=TYPE1)*(TYPE1&lt;&gt;"")+('Dvd Calendar'!$I$643=TYPE2)*(TYPE2&lt;&gt;"")+('Dvd Calendar'!$I$643=TYPE3)*(TYPE3&lt;&gt;"")+('Dvd Calendar'!$I$643=TYPE4)*(TYPE4&lt;&gt;"")+('Dvd Calendar'!$I$643=SPECIAL_LBL)*(INC_SPECIALS="Y"))=0,"",'Dvd Calendar'!$I$641)))</f>
        <v/>
      </c>
      <c r="H69" s="106">
        <f>IF(EJ69="","",IF(ISNUMBER('Dvd Calendar'!$J$641)=FALSE,"",IF((('Dvd Calendar'!$J$643=TYPE1)*(TYPE1&lt;&gt;"")+('Dvd Calendar'!$J$643=TYPE2)*(TYPE2&lt;&gt;"")+('Dvd Calendar'!$J$643=TYPE3)*(TYPE3&lt;&gt;"")+('Dvd Calendar'!$J$643=TYPE4)*(TYPE4&lt;&gt;"")+('Dvd Calendar'!$J$643=SPECIAL_LBL)*(INC_SPECIALS="Y"))=0,"",'Dvd Calendar'!$J$641)))</f>
        <v/>
      </c>
      <c r="I69" s="106">
        <f>IF(EK69="","",IF(ISNUMBER('Dvd Calendar'!$K$641)=FALSE,"",IF((('Dvd Calendar'!$K$643=TYPE1)*(TYPE1&lt;&gt;"")+('Dvd Calendar'!$K$643=TYPE2)*(TYPE2&lt;&gt;"")+('Dvd Calendar'!$K$643=TYPE3)*(TYPE3&lt;&gt;"")+('Dvd Calendar'!$K$643=TYPE4)*(TYPE4&lt;&gt;"")+('Dvd Calendar'!$K$643=SPECIAL_LBL)*(INC_SPECIALS="Y"))=0,"",'Dvd Calendar'!$K$641)))</f>
        <v/>
      </c>
      <c r="J69" s="106">
        <f>IF(EL69="","",IF(ISNUMBER('Dvd Calendar'!$L$641)=FALSE,"",IF((('Dvd Calendar'!$L$643=TYPE1)*(TYPE1&lt;&gt;"")+('Dvd Calendar'!$L$643=TYPE2)*(TYPE2&lt;&gt;"")+('Dvd Calendar'!$L$643=TYPE3)*(TYPE3&lt;&gt;"")+('Dvd Calendar'!$L$643=TYPE4)*(TYPE4&lt;&gt;"")+('Dvd Calendar'!$L$643=SPECIAL_LBL)*(INC_SPECIALS="Y"))=0,"",'Dvd Calendar'!$L$641)))</f>
        <v/>
      </c>
      <c r="K69" s="106">
        <f>IF(EM69="","",IF(ISNUMBER('Dvd Calendar'!$M$641)=FALSE,"",IF((('Dvd Calendar'!$M$643=TYPE1)*(TYPE1&lt;&gt;"")+('Dvd Calendar'!$M$643=TYPE2)*(TYPE2&lt;&gt;"")+('Dvd Calendar'!$M$643=TYPE3)*(TYPE3&lt;&gt;"")+('Dvd Calendar'!$M$643=TYPE4)*(TYPE4&lt;&gt;"")+('Dvd Calendar'!$M$643=SPECIAL_LBL)*(INC_SPECIALS="Y"))=0,"",'Dvd Calendar'!$M$641)))</f>
        <v/>
      </c>
      <c r="L69" s="106">
        <f>IF(EN69="","",IF(ISNUMBER('Dvd Calendar'!$N$641)=FALSE,"",IF((('Dvd Calendar'!$N$643=TYPE1)*(TYPE1&lt;&gt;"")+('Dvd Calendar'!$N$643=TYPE2)*(TYPE2&lt;&gt;"")+('Dvd Calendar'!$N$643=TYPE3)*(TYPE3&lt;&gt;"")+('Dvd Calendar'!$N$643=TYPE4)*(TYPE4&lt;&gt;"")+('Dvd Calendar'!$N$643=SPECIAL_LBL)*(INC_SPECIALS="Y"))=0,"",'Dvd Calendar'!$N$641)))</f>
        <v/>
      </c>
      <c r="M69" s="106">
        <f>IF(EO69="","",IF(ISNUMBER('Dvd Calendar'!$O$641)=FALSE,"",IF((('Dvd Calendar'!$O$643=TYPE1)*(TYPE1&lt;&gt;"")+('Dvd Calendar'!$O$643=TYPE2)*(TYPE2&lt;&gt;"")+('Dvd Calendar'!$O$643=TYPE3)*(TYPE3&lt;&gt;"")+('Dvd Calendar'!$O$643=TYPE4)*(TYPE4&lt;&gt;"")+('Dvd Calendar'!$O$643=SPECIAL_LBL)*(INC_SPECIALS="Y"))=0,"",'Dvd Calendar'!$O$641)))</f>
        <v/>
      </c>
      <c r="N69" s="106">
        <f>IF(EP69="","",IF(ISNUMBER('Dvd Calendar'!$P$641)=FALSE,"",IF((('Dvd Calendar'!$P$643=TYPE1)*(TYPE1&lt;&gt;"")+('Dvd Calendar'!$P$643=TYPE2)*(TYPE2&lt;&gt;"")+('Dvd Calendar'!$P$643=TYPE3)*(TYPE3&lt;&gt;"")+('Dvd Calendar'!$P$643=TYPE4)*(TYPE4&lt;&gt;"")+('Dvd Calendar'!$P$643=SPECIAL_LBL)*(INC_SPECIALS="Y"))=0,"",'Dvd Calendar'!$P$641)))</f>
        <v/>
      </c>
      <c r="O69" s="106">
        <f>IF(EQ69="","",IF(ISNUMBER('Dvd Calendar'!$Q$641)=FALSE,"",IF((('Dvd Calendar'!$Q$643=TYPE1)*(TYPE1&lt;&gt;"")+('Dvd Calendar'!$Q$643=TYPE2)*(TYPE2&lt;&gt;"")+('Dvd Calendar'!$Q$643=TYPE3)*(TYPE3&lt;&gt;"")+('Dvd Calendar'!$Q$643=TYPE4)*(TYPE4&lt;&gt;"")+('Dvd Calendar'!$Q$643=SPECIAL_LBL)*(INC_SPECIALS="Y"))=0,"",'Dvd Calendar'!$Q$641)))</f>
        <v/>
      </c>
      <c r="P69" s="106">
        <f>IF(ER69="","",IF(ISNUMBER('Dvd Calendar'!$R$641)=FALSE,"",IF((('Dvd Calendar'!$R$643=TYPE1)*(TYPE1&lt;&gt;"")+('Dvd Calendar'!$R$643=TYPE2)*(TYPE2&lt;&gt;"")+('Dvd Calendar'!$R$643=TYPE3)*(TYPE3&lt;&gt;"")+('Dvd Calendar'!$R$643=TYPE4)*(TYPE4&lt;&gt;"")+('Dvd Calendar'!$R$643=SPECIAL_LBL)*(INC_SPECIALS="Y"))=0,"",'Dvd Calendar'!$R$641)))</f>
        <v/>
      </c>
      <c r="Q69" s="106">
        <f>IF(ES69="","",IF(ISNUMBER('Dvd Calendar'!$S$641)=FALSE,"",IF((('Dvd Calendar'!$S$643=TYPE1)*(TYPE1&lt;&gt;"")+('Dvd Calendar'!$S$643=TYPE2)*(TYPE2&lt;&gt;"")+('Dvd Calendar'!$S$643=TYPE3)*(TYPE3&lt;&gt;"")+('Dvd Calendar'!$S$643=TYPE4)*(TYPE4&lt;&gt;"")+('Dvd Calendar'!$S$643=SPECIAL_LBL)*(INC_SPECIALS="Y"))=0,"",'Dvd Calendar'!$S$641)))</f>
        <v/>
      </c>
      <c r="R69" s="106">
        <f>IF(ET69="","",IF(ISNUMBER('Dvd Calendar'!$T$641)=FALSE,"",IF((('Dvd Calendar'!$T$643=TYPE1)*(TYPE1&lt;&gt;"")+('Dvd Calendar'!$T$643=TYPE2)*(TYPE2&lt;&gt;"")+('Dvd Calendar'!$T$643=TYPE3)*(TYPE3&lt;&gt;"")+('Dvd Calendar'!$T$643=TYPE4)*(TYPE4&lt;&gt;"")+('Dvd Calendar'!$T$643=SPECIAL_LBL)*(INC_SPECIALS="Y"))=0,"",'Dvd Calendar'!$T$641)))</f>
        <v/>
      </c>
      <c r="S69" s="106">
        <f>IF(EU69="","",IF(ISNUMBER('Dvd Calendar'!$U$641)=FALSE,"",IF((('Dvd Calendar'!$U$643=TYPE1)*(TYPE1&lt;&gt;"")+('Dvd Calendar'!$U$643=TYPE2)*(TYPE2&lt;&gt;"")+('Dvd Calendar'!$U$643=TYPE3)*(TYPE3&lt;&gt;"")+('Dvd Calendar'!$U$643=TYPE4)*(TYPE4&lt;&gt;"")+('Dvd Calendar'!$U$643=SPECIAL_LBL)*(INC_SPECIALS="Y"))=0,"",'Dvd Calendar'!$U$641)))</f>
        <v/>
      </c>
      <c r="T69" s="106">
        <f>IF(EV69="","",IF(ISNUMBER('Dvd Calendar'!$V$641)=FALSE,"",IF((('Dvd Calendar'!$V$643=TYPE1)*(TYPE1&lt;&gt;"")+('Dvd Calendar'!$V$643=TYPE2)*(TYPE2&lt;&gt;"")+('Dvd Calendar'!$V$643=TYPE3)*(TYPE3&lt;&gt;"")+('Dvd Calendar'!$V$643=TYPE4)*(TYPE4&lt;&gt;"")+('Dvd Calendar'!$V$643=SPECIAL_LBL)*(INC_SPECIALS="Y"))=0,"",'Dvd Calendar'!$V$641)))</f>
        <v/>
      </c>
      <c r="U69" s="106">
        <f>IF(EW69="","",IF(ISNUMBER('Dvd Calendar'!$W$641)=FALSE,"",IF((('Dvd Calendar'!$W$643=TYPE1)*(TYPE1&lt;&gt;"")+('Dvd Calendar'!$W$643=TYPE2)*(TYPE2&lt;&gt;"")+('Dvd Calendar'!$W$643=TYPE3)*(TYPE3&lt;&gt;"")+('Dvd Calendar'!$W$643=TYPE4)*(TYPE4&lt;&gt;"")+('Dvd Calendar'!$W$643=SPECIAL_LBL)*(INC_SPECIALS="Y"))=0,"",'Dvd Calendar'!$W$641)))</f>
        <v/>
      </c>
      <c r="V69" s="106">
        <f>IF(EX69="","",IF(ISNUMBER('Dvd Calendar'!$X$641)=FALSE,"",IF((('Dvd Calendar'!$X$643=TYPE1)*(TYPE1&lt;&gt;"")+('Dvd Calendar'!$X$643=TYPE2)*(TYPE2&lt;&gt;"")+('Dvd Calendar'!$X$643=TYPE3)*(TYPE3&lt;&gt;"")+('Dvd Calendar'!$X$643=TYPE4)*(TYPE4&lt;&gt;"")+('Dvd Calendar'!$X$643=SPECIAL_LBL)*(INC_SPECIALS="Y"))=0,"",'Dvd Calendar'!$X$641)))</f>
        <v/>
      </c>
      <c r="W69" s="106">
        <f>IF(EY69="","",IF(ISNUMBER('Dvd Calendar'!$Y$641)=FALSE,"",IF((('Dvd Calendar'!$Y$643=TYPE1)*(TYPE1&lt;&gt;"")+('Dvd Calendar'!$Y$643=TYPE2)*(TYPE2&lt;&gt;"")+('Dvd Calendar'!$Y$643=TYPE3)*(TYPE3&lt;&gt;"")+('Dvd Calendar'!$Y$643=TYPE4)*(TYPE4&lt;&gt;"")+('Dvd Calendar'!$Y$643=SPECIAL_LBL)*(INC_SPECIALS="Y"))=0,"",'Dvd Calendar'!$Y$641)))</f>
        <v/>
      </c>
      <c r="X69" s="106">
        <f>IF(EZ69="","",IF(ISNUMBER('Dvd Calendar'!$Z$641)=FALSE,"",IF((('Dvd Calendar'!$Z$643=TYPE1)*(TYPE1&lt;&gt;"")+('Dvd Calendar'!$Z$643=TYPE2)*(TYPE2&lt;&gt;"")+('Dvd Calendar'!$Z$643=TYPE3)*(TYPE3&lt;&gt;"")+('Dvd Calendar'!$Z$643=TYPE4)*(TYPE4&lt;&gt;"")+('Dvd Calendar'!$Z$643=SPECIAL_LBL)*(INC_SPECIALS="Y"))=0,"",'Dvd Calendar'!$Z$641)))</f>
        <v/>
      </c>
      <c r="Y69" s="106">
        <f>IF(FA69="","",IF(ISNUMBER('Dvd Calendar'!$AA$641)=FALSE,"",IF((('Dvd Calendar'!$AA$643=TYPE1)*(TYPE1&lt;&gt;"")+('Dvd Calendar'!$AA$643=TYPE2)*(TYPE2&lt;&gt;"")+('Dvd Calendar'!$AA$643=TYPE3)*(TYPE3&lt;&gt;"")+('Dvd Calendar'!$AA$643=TYPE4)*(TYPE4&lt;&gt;"")+('Dvd Calendar'!$AA$643=SPECIAL_LBL)*(INC_SPECIALS="Y"))=0,"",'Dvd Calendar'!$AA$641)))</f>
        <v/>
      </c>
      <c r="Z69" s="106">
        <f>IF(FB69="","",IF(ISNUMBER('Dvd Calendar'!$AB$641)=FALSE,"",IF((('Dvd Calendar'!$AB$643=TYPE1)*(TYPE1&lt;&gt;"")+('Dvd Calendar'!$AB$643=TYPE2)*(TYPE2&lt;&gt;"")+('Dvd Calendar'!$AB$643=TYPE3)*(TYPE3&lt;&gt;"")+('Dvd Calendar'!$AB$643=TYPE4)*(TYPE4&lt;&gt;"")+('Dvd Calendar'!$AB$643=SPECIAL_LBL)*(INC_SPECIALS="Y"))=0,"",'Dvd Calendar'!$AB$641)))</f>
        <v/>
      </c>
      <c r="AA69" s="106">
        <f>IF(FC69="","",IF(ISNUMBER('Dvd Calendar'!$AC$641)=FALSE,"",IF((('Dvd Calendar'!$AC$643=TYPE1)*(TYPE1&lt;&gt;"")+('Dvd Calendar'!$AC$643=TYPE2)*(TYPE2&lt;&gt;"")+('Dvd Calendar'!$AC$643=TYPE3)*(TYPE3&lt;&gt;"")+('Dvd Calendar'!$AC$643=TYPE4)*(TYPE4&lt;&gt;"")+('Dvd Calendar'!$AC$643=SPECIAL_LBL)*(INC_SPECIALS="Y"))=0,"",'Dvd Calendar'!$AC$641)))</f>
        <v/>
      </c>
      <c r="AB69" s="106">
        <f>IF(FD69="","",IF(ISNUMBER('Dvd Calendar'!$AD$641)=FALSE,"",IF((('Dvd Calendar'!$AD$643=TYPE1)*(TYPE1&lt;&gt;"")+('Dvd Calendar'!$AD$643=TYPE2)*(TYPE2&lt;&gt;"")+('Dvd Calendar'!$AD$643=TYPE3)*(TYPE3&lt;&gt;"")+('Dvd Calendar'!$AD$643=TYPE4)*(TYPE4&lt;&gt;"")+('Dvd Calendar'!$AD$643=SPECIAL_LBL)*(INC_SPECIALS="Y"))=0,"",'Dvd Calendar'!$AD$641)))</f>
        <v/>
      </c>
      <c r="AC69" s="106">
        <f>IF(FE69="","",IF(ISNUMBER('Dvd Calendar'!$AE$641)=FALSE,"",IF((('Dvd Calendar'!$AE$643=TYPE1)*(TYPE1&lt;&gt;"")+('Dvd Calendar'!$AE$643=TYPE2)*(TYPE2&lt;&gt;"")+('Dvd Calendar'!$AE$643=TYPE3)*(TYPE3&lt;&gt;"")+('Dvd Calendar'!$AE$643=TYPE4)*(TYPE4&lt;&gt;"")+('Dvd Calendar'!$AE$643=SPECIAL_LBL)*(INC_SPECIALS="Y"))=0,"",'Dvd Calendar'!$AE$641)))</f>
        <v/>
      </c>
      <c r="AD69" s="106">
        <f>IF(FF69="","",IF(ISNUMBER('Dvd Calendar'!$AF$641)=FALSE,"",IF((('Dvd Calendar'!$AF$643=TYPE1)*(TYPE1&lt;&gt;"")+('Dvd Calendar'!$AF$643=TYPE2)*(TYPE2&lt;&gt;"")+('Dvd Calendar'!$AF$643=TYPE3)*(TYPE3&lt;&gt;"")+('Dvd Calendar'!$AF$643=TYPE4)*(TYPE4&lt;&gt;"")+('Dvd Calendar'!$AF$643=SPECIAL_LBL)*(INC_SPECIALS="Y"))=0,"",'Dvd Calendar'!$AF$641)))</f>
        <v/>
      </c>
      <c r="AE69" s="106">
        <f>IF(FG69="","",IF(ISNUMBER('Dvd Calendar'!$AG$641)=FALSE,"",IF((('Dvd Calendar'!$AG$643=TYPE1)*(TYPE1&lt;&gt;"")+('Dvd Calendar'!$AG$643=TYPE2)*(TYPE2&lt;&gt;"")+('Dvd Calendar'!$AG$643=TYPE3)*(TYPE3&lt;&gt;"")+('Dvd Calendar'!$AG$643=TYPE4)*(TYPE4&lt;&gt;"")+('Dvd Calendar'!$AG$643=SPECIAL_LBL)*(INC_SPECIALS="Y"))=0,"",'Dvd Calendar'!$AG$641)))</f>
        <v/>
      </c>
      <c r="AF69" s="106">
        <f>IF(FH69="","",IF(ISNUMBER('Dvd Calendar'!$AH$641)=FALSE,"",IF((('Dvd Calendar'!$AH$643=TYPE1)*(TYPE1&lt;&gt;"")+('Dvd Calendar'!$AH$643=TYPE2)*(TYPE2&lt;&gt;"")+('Dvd Calendar'!$AH$643=TYPE3)*(TYPE3&lt;&gt;"")+('Dvd Calendar'!$AH$643=TYPE4)*(TYPE4&lt;&gt;"")+('Dvd Calendar'!$AH$643=SPECIAL_LBL)*(INC_SPECIALS="Y"))=0,"",'Dvd Calendar'!$AH$641)))</f>
        <v/>
      </c>
      <c r="AG69" s="106">
        <f>IF(FI69="","",IF(ISNUMBER('Dvd Calendar'!$AI$641)=FALSE,"",IF((('Dvd Calendar'!$AI$643=TYPE1)*(TYPE1&lt;&gt;"")+('Dvd Calendar'!$AI$643=TYPE2)*(TYPE2&lt;&gt;"")+('Dvd Calendar'!$AI$643=TYPE3)*(TYPE3&lt;&gt;"")+('Dvd Calendar'!$AI$643=TYPE4)*(TYPE4&lt;&gt;"")+('Dvd Calendar'!$AI$643=SPECIAL_LBL)*(INC_SPECIALS="Y"))=0,"",'Dvd Calendar'!$AI$641)))</f>
        <v/>
      </c>
      <c r="AH69" s="106">
        <f>IF(FJ69="","",IF(ISNUMBER('Dvd Calendar'!$AJ$641)=FALSE,"",IF((('Dvd Calendar'!$AJ$643=TYPE1)*(TYPE1&lt;&gt;"")+('Dvd Calendar'!$AJ$643=TYPE2)*(TYPE2&lt;&gt;"")+('Dvd Calendar'!$AJ$643=TYPE3)*(TYPE3&lt;&gt;"")+('Dvd Calendar'!$AJ$643=TYPE4)*(TYPE4&lt;&gt;"")+('Dvd Calendar'!$AJ$643=SPECIAL_LBL)*(INC_SPECIALS="Y"))=0,"",'Dvd Calendar'!$AJ$641)))</f>
        <v/>
      </c>
      <c r="AI69" s="106">
        <f>IF(FK69="","",IF(ISNUMBER('Dvd Calendar'!$AK$641)=FALSE,"",IF((('Dvd Calendar'!$AK$643=TYPE1)*(TYPE1&lt;&gt;"")+('Dvd Calendar'!$AK$643=TYPE2)*(TYPE2&lt;&gt;"")+('Dvd Calendar'!$AK$643=TYPE3)*(TYPE3&lt;&gt;"")+('Dvd Calendar'!$AK$643=TYPE4)*(TYPE4&lt;&gt;"")+('Dvd Calendar'!$AK$643=SPECIAL_LBL)*(INC_SPECIALS="Y"))=0,"",'Dvd Calendar'!$AK$641)))</f>
        <v/>
      </c>
      <c r="AJ69" s="106">
        <f>IF(FL69="","",IF(ISNUMBER('Dvd Calendar'!$AL$641)=FALSE,"",IF((('Dvd Calendar'!$AL$643=TYPE1)*(TYPE1&lt;&gt;"")+('Dvd Calendar'!$AL$643=TYPE2)*(TYPE2&lt;&gt;"")+('Dvd Calendar'!$AL$643=TYPE3)*(TYPE3&lt;&gt;"")+('Dvd Calendar'!$AL$643=TYPE4)*(TYPE4&lt;&gt;"")+('Dvd Calendar'!$AL$643=SPECIAL_LBL)*(INC_SPECIALS="Y"))=0,"",'Dvd Calendar'!$AL$641)))</f>
        <v/>
      </c>
      <c r="AK69" s="106">
        <f>IF(FM69="","",IF(ISNUMBER('Dvd Calendar'!$AM$641)=FALSE,"",IF((('Dvd Calendar'!$AM$643=TYPE1)*(TYPE1&lt;&gt;"")+('Dvd Calendar'!$AM$643=TYPE2)*(TYPE2&lt;&gt;"")+('Dvd Calendar'!$AM$643=TYPE3)*(TYPE3&lt;&gt;"")+('Dvd Calendar'!$AM$643=TYPE4)*(TYPE4&lt;&gt;"")+('Dvd Calendar'!$AM$643=SPECIAL_LBL)*(INC_SPECIALS="Y"))=0,"",'Dvd Calendar'!$AM$641)))</f>
        <v/>
      </c>
      <c r="AL69" s="106">
        <f>IF(FN69="","",IF(ISNUMBER('Dvd Calendar'!$AN$641)=FALSE,"",IF((('Dvd Calendar'!$AN$643=TYPE1)*(TYPE1&lt;&gt;"")+('Dvd Calendar'!$AN$643=TYPE2)*(TYPE2&lt;&gt;"")+('Dvd Calendar'!$AN$643=TYPE3)*(TYPE3&lt;&gt;"")+('Dvd Calendar'!$AN$643=TYPE4)*(TYPE4&lt;&gt;"")+('Dvd Calendar'!$AN$643=SPECIAL_LBL)*(INC_SPECIALS="Y"))=0,"",'Dvd Calendar'!$AN$641)))</f>
        <v/>
      </c>
      <c r="AM69" s="106">
        <f>IF(FO69="","",IF(ISNUMBER('Dvd Calendar'!$AO$641)=FALSE,"",IF((('Dvd Calendar'!$AO$643=TYPE1)*(TYPE1&lt;&gt;"")+('Dvd Calendar'!$AO$643=TYPE2)*(TYPE2&lt;&gt;"")+('Dvd Calendar'!$AO$643=TYPE3)*(TYPE3&lt;&gt;"")+('Dvd Calendar'!$AO$643=TYPE4)*(TYPE4&lt;&gt;"")+('Dvd Calendar'!$AO$643=SPECIAL_LBL)*(INC_SPECIALS="Y"))=0,"",'Dvd Calendar'!$AO$641)))</f>
        <v/>
      </c>
      <c r="AN69" s="106">
        <f>IF(FP69="","",IF(ISNUMBER('Dvd Calendar'!$AP$641)=FALSE,"",IF((('Dvd Calendar'!$AP$643=TYPE1)*(TYPE1&lt;&gt;"")+('Dvd Calendar'!$AP$643=TYPE2)*(TYPE2&lt;&gt;"")+('Dvd Calendar'!$AP$643=TYPE3)*(TYPE3&lt;&gt;"")+('Dvd Calendar'!$AP$643=TYPE4)*(TYPE4&lt;&gt;"")+('Dvd Calendar'!$AP$643=SPECIAL_LBL)*(INC_SPECIALS="Y"))=0,"",'Dvd Calendar'!$AP$641)))</f>
        <v/>
      </c>
      <c r="AO69" s="106">
        <f>IF(FQ69="","",IF(ISNUMBER('Dvd Calendar'!$AQ$641)=FALSE,"",IF((('Dvd Calendar'!$AQ$643=TYPE1)*(TYPE1&lt;&gt;"")+('Dvd Calendar'!$AQ$643=TYPE2)*(TYPE2&lt;&gt;"")+('Dvd Calendar'!$AQ$643=TYPE3)*(TYPE3&lt;&gt;"")+('Dvd Calendar'!$AQ$643=TYPE4)*(TYPE4&lt;&gt;"")+('Dvd Calendar'!$AQ$643=SPECIAL_LBL)*(INC_SPECIALS="Y"))=0,"",'Dvd Calendar'!$AQ$641)))</f>
        <v/>
      </c>
      <c r="AP69" s="106">
        <f>IF(FR69="","",IF(ISNUMBER('Dvd Calendar'!$AR$641)=FALSE,"",IF((('Dvd Calendar'!$AR$643=TYPE1)*(TYPE1&lt;&gt;"")+('Dvd Calendar'!$AR$643=TYPE2)*(TYPE2&lt;&gt;"")+('Dvd Calendar'!$AR$643=TYPE3)*(TYPE3&lt;&gt;"")+('Dvd Calendar'!$AR$643=TYPE4)*(TYPE4&lt;&gt;"")+('Dvd Calendar'!$AR$643=SPECIAL_LBL)*(INC_SPECIALS="Y"))=0,"",'Dvd Calendar'!$AR$641)))</f>
        <v/>
      </c>
      <c r="AQ69" s="106">
        <f>IF(FS69="","",IF(ISNUMBER('Dvd Calendar'!$E$646)=FALSE,"",'Dvd Calendar'!$E$646))</f>
        <v/>
      </c>
      <c r="AR69" s="106">
        <f>IF(FT69="","",IF(ISNUMBER('Dvd Calendar'!$F$646)=FALSE,"",'Dvd Calendar'!$F$646))</f>
        <v/>
      </c>
      <c r="AS69" s="106">
        <f>IF(FU69="","",IF(ISNUMBER('Dvd Calendar'!$G$646)=FALSE,"",'Dvd Calendar'!$G$646))</f>
        <v/>
      </c>
      <c r="AT69" s="106">
        <f>IF(FV69="","",IF(ISNUMBER('Dvd Calendar'!$H$646)=FALSE,"",'Dvd Calendar'!$H$646))</f>
        <v/>
      </c>
      <c r="AU69" s="106">
        <f>IF(FW69="","",IF(ISNUMBER('Dvd Calendar'!$I$646)=FALSE,"",'Dvd Calendar'!$I$646))</f>
        <v/>
      </c>
      <c r="AV69" s="106">
        <f>IF(FX69="","",IF(ISNUMBER('Dvd Calendar'!$J$646)=FALSE,"",'Dvd Calendar'!$J$646))</f>
        <v/>
      </c>
      <c r="AW69" s="106">
        <f>IF(FY69="","",IF(ISNUMBER('Dvd Calendar'!$K$646)=FALSE,"",'Dvd Calendar'!$K$646))</f>
        <v/>
      </c>
      <c r="AX69" s="106">
        <f>IF(FZ69="","",IF(ISNUMBER('Dvd Calendar'!$L$646)=FALSE,"",'Dvd Calendar'!$L$646))</f>
        <v/>
      </c>
      <c r="AY69" s="106">
        <f>IF(GA69="","",IF(ISNUMBER('Dvd Calendar'!$M$646)=FALSE,"",'Dvd Calendar'!$M$646))</f>
        <v/>
      </c>
      <c r="AZ69" s="106">
        <f>IF(GB69="","",IF(ISNUMBER('Dvd Calendar'!$N$646)=FALSE,"",'Dvd Calendar'!$N$646))</f>
        <v/>
      </c>
      <c r="BA69" s="106">
        <f>IF(GC69="","",IF(ISNUMBER('Dvd Calendar'!$O$646)=FALSE,"",'Dvd Calendar'!$O$646))</f>
        <v/>
      </c>
      <c r="BB69" s="106">
        <f>IF(GD69="","",IF(ISNUMBER('Dvd Calendar'!$P$646)=FALSE,"",'Dvd Calendar'!$P$646))</f>
        <v/>
      </c>
      <c r="BC69" s="106">
        <f>IF(GE69="","",IF(ISNUMBER('Dvd Calendar'!$Q$646)=FALSE,"",'Dvd Calendar'!$Q$646))</f>
        <v/>
      </c>
      <c r="BD69" s="106">
        <f>IF(GF69="","",IF(ISNUMBER('Dvd Calendar'!$R$646)=FALSE,"",'Dvd Calendar'!$R$646))</f>
        <v/>
      </c>
      <c r="BE69" s="106">
        <f>IF(GG69="","",IF(ISNUMBER('Dvd Calendar'!$S$646)=FALSE,"",'Dvd Calendar'!$S$646))</f>
        <v/>
      </c>
      <c r="BF69" s="106">
        <f>IF(GH69="","",IF(ISNUMBER('Dvd Calendar'!$T$646)=FALSE,"",'Dvd Calendar'!$T$646))</f>
        <v/>
      </c>
      <c r="BG69" s="106">
        <f>IF(GI69="","",IF(ISNUMBER('Dvd Calendar'!$U$646)=FALSE,"",'Dvd Calendar'!$U$646))</f>
        <v/>
      </c>
      <c r="BH69" s="106">
        <f>IF(GJ69="","",IF(ISNUMBER('Dvd Calendar'!$V$646)=FALSE,"",'Dvd Calendar'!$V$646))</f>
        <v/>
      </c>
      <c r="BI69" s="106">
        <f>IF(GK69="","",IF(ISNUMBER('Dvd Calendar'!$W$646)=FALSE,"",'Dvd Calendar'!$W$646))</f>
        <v/>
      </c>
      <c r="BJ69" s="106">
        <f>IF(GL69="","",IF(ISNUMBER('Dvd Calendar'!$X$646)=FALSE,"",'Dvd Calendar'!$X$646))</f>
        <v/>
      </c>
      <c r="BK69" s="106">
        <f>IF(GM69="","",IF(ISNUMBER('Dvd Calendar'!$Y$646)=FALSE,"",'Dvd Calendar'!$Y$646))</f>
        <v/>
      </c>
      <c r="BL69" s="106">
        <f>IF(GN69="","",IF(ISNUMBER('Dvd Calendar'!$Z$646)=FALSE,"",'Dvd Calendar'!$Z$646))</f>
        <v/>
      </c>
      <c r="BM69" s="106">
        <f>IF(GO69="","",IF(ISNUMBER('Dvd Calendar'!$AA$646)=FALSE,"",'Dvd Calendar'!$AA$646))</f>
        <v/>
      </c>
      <c r="BN69" s="106">
        <f>IF(GP69="","",IF(ISNUMBER('Dvd Calendar'!$AB$646)=FALSE,"",'Dvd Calendar'!$AB$646))</f>
        <v/>
      </c>
      <c r="BO69" s="106">
        <f>IF(GQ69="","",IF(ISNUMBER('Dvd Calendar'!$AC$646)=FALSE,"",'Dvd Calendar'!$AC$646))</f>
        <v/>
      </c>
      <c r="BQ69" s="106">
        <f>IF(C69="","",IFERROR(C69*HSI!$B$64*HSI!$G$64/HSI!$B$3,""))</f>
        <v/>
      </c>
      <c r="BR69" s="106">
        <f>IF(D69="","",IFERROR(D69*HSI!$B$64*HSI!$G$64/HSI!$B$3,""))</f>
        <v/>
      </c>
      <c r="BS69" s="106">
        <f>IF(E69="","",IFERROR(E69*HSI!$B$64*HSI!$G$64/HSI!$B$3,""))</f>
        <v/>
      </c>
      <c r="BT69" s="106">
        <f>IF(F69="","",IFERROR(F69*HSI!$B$64*HSI!$G$64/HSI!$B$3,""))</f>
        <v/>
      </c>
      <c r="BU69" s="106">
        <f>IF(G69="","",IFERROR(G69*HSI!$B$64*HSI!$G$64/HSI!$B$3,""))</f>
        <v/>
      </c>
      <c r="BV69" s="106">
        <f>IF(H69="","",IFERROR(H69*HSI!$B$64*HSI!$G$64/HSI!$B$3,""))</f>
        <v/>
      </c>
      <c r="BW69" s="106">
        <f>IF(I69="","",IFERROR(I69*HSI!$B$64*HSI!$G$64/HSI!$B$3,""))</f>
        <v/>
      </c>
      <c r="BX69" s="106">
        <f>IF(J69="","",IFERROR(J69*HSI!$B$64*HSI!$G$64/HSI!$B$3,""))</f>
        <v/>
      </c>
      <c r="BY69" s="106">
        <f>IF(K69="","",IFERROR(K69*HSI!$B$64*HSI!$G$64/HSI!$B$3,""))</f>
        <v/>
      </c>
      <c r="BZ69" s="106">
        <f>IF(L69="","",IFERROR(L69*HSI!$B$64*HSI!$G$64/HSI!$B$3,""))</f>
        <v/>
      </c>
      <c r="CA69" s="106">
        <f>IF(M69="","",IFERROR(M69*HSI!$B$64*HSI!$G$64/HSI!$B$3,""))</f>
        <v/>
      </c>
      <c r="CB69" s="106">
        <f>IF(N69="","",IFERROR(N69*HSI!$B$64*HSI!$G$64/HSI!$B$3,""))</f>
        <v/>
      </c>
      <c r="CC69" s="106">
        <f>IF(O69="","",IFERROR(O69*HSI!$B$64*HSI!$G$64/HSI!$B$3,""))</f>
        <v/>
      </c>
      <c r="CD69" s="106">
        <f>IF(P69="","",IFERROR(P69*HSI!$B$64*HSI!$G$64/HSI!$B$3,""))</f>
        <v/>
      </c>
      <c r="CE69" s="106">
        <f>IF(Q69="","",IFERROR(Q69*HSI!$B$64*HSI!$G$64/HSI!$B$3,""))</f>
        <v/>
      </c>
      <c r="CF69" s="106">
        <f>IF(R69="","",IFERROR(R69*HSI!$B$64*HSI!$G$64/HSI!$B$3,""))</f>
        <v/>
      </c>
      <c r="CG69" s="106">
        <f>IF(S69="","",IFERROR(S69*HSI!$B$64*HSI!$G$64/HSI!$B$3,""))</f>
        <v/>
      </c>
      <c r="CH69" s="106">
        <f>IF(T69="","",IFERROR(T69*HSI!$B$64*HSI!$G$64/HSI!$B$3,""))</f>
        <v/>
      </c>
      <c r="CI69" s="106">
        <f>IF(U69="","",IFERROR(U69*HSI!$B$64*HSI!$G$64/HSI!$B$3,""))</f>
        <v/>
      </c>
      <c r="CJ69" s="106">
        <f>IF(V69="","",IFERROR(V69*HSI!$B$64*HSI!$G$64/HSI!$B$3,""))</f>
        <v/>
      </c>
      <c r="CK69" s="106">
        <f>IF(W69="","",IFERROR(W69*HSI!$B$64*HSI!$G$64/HSI!$B$3,""))</f>
        <v/>
      </c>
      <c r="CL69" s="106">
        <f>IF(X69="","",IFERROR(X69*HSI!$B$64*HSI!$G$64/HSI!$B$3,""))</f>
        <v/>
      </c>
      <c r="CM69" s="106">
        <f>IF(Y69="","",IFERROR(Y69*HSI!$B$64*HSI!$G$64/HSI!$B$3,""))</f>
        <v/>
      </c>
      <c r="CN69" s="106">
        <f>IF(Z69="","",IFERROR(Z69*HSI!$B$64*HSI!$G$64/HSI!$B$3,""))</f>
        <v/>
      </c>
      <c r="CO69" s="106">
        <f>IF(AA69="","",IFERROR(AA69*HSI!$B$64*HSI!$G$64/HSI!$B$3,""))</f>
        <v/>
      </c>
      <c r="CP69" s="106">
        <f>IF(AB69="","",IFERROR(AB69*HSI!$B$64*HSI!$G$64/HSI!$B$3,""))</f>
        <v/>
      </c>
      <c r="CQ69" s="106">
        <f>IF(AC69="","",IFERROR(AC69*HSI!$B$64*HSI!$G$64/HSI!$B$3,""))</f>
        <v/>
      </c>
      <c r="CR69" s="106">
        <f>IF(AD69="","",IFERROR(AD69*HSI!$B$64*HSI!$G$64/HSI!$B$3,""))</f>
        <v/>
      </c>
      <c r="CS69" s="106">
        <f>IF(AE69="","",IFERROR(AE69*HSI!$B$64*HSI!$G$64/HSI!$B$3,""))</f>
        <v/>
      </c>
      <c r="CT69" s="106">
        <f>IF(AF69="","",IFERROR(AF69*HSI!$B$64*HSI!$G$64/HSI!$B$3,""))</f>
        <v/>
      </c>
      <c r="CU69" s="106">
        <f>IF(AG69="","",IFERROR(AG69*HSI!$B$64*HSI!$G$64/HSI!$B$3,""))</f>
        <v/>
      </c>
      <c r="CV69" s="106">
        <f>IF(AH69="","",IFERROR(AH69*HSI!$B$64*HSI!$G$64/HSI!$B$3,""))</f>
        <v/>
      </c>
      <c r="CW69" s="106">
        <f>IF(AI69="","",IFERROR(AI69*HSI!$B$64*HSI!$G$64/HSI!$B$3,""))</f>
        <v/>
      </c>
      <c r="CX69" s="106">
        <f>IF(AJ69="","",IFERROR(AJ69*HSI!$B$64*HSI!$G$64/HSI!$B$3,""))</f>
        <v/>
      </c>
      <c r="CY69" s="106">
        <f>IF(AK69="","",IFERROR(AK69*HSI!$B$64*HSI!$G$64/HSI!$B$3,""))</f>
        <v/>
      </c>
      <c r="CZ69" s="106">
        <f>IF(AL69="","",IFERROR(AL69*HSI!$B$64*HSI!$G$64/HSI!$B$3,""))</f>
        <v/>
      </c>
      <c r="DA69" s="106">
        <f>IF(AM69="","",IFERROR(AM69*HSI!$B$64*HSI!$G$64/HSI!$B$3,""))</f>
        <v/>
      </c>
      <c r="DB69" s="106">
        <f>IF(AN69="","",IFERROR(AN69*HSI!$B$64*HSI!$G$64/HSI!$B$3,""))</f>
        <v/>
      </c>
      <c r="DC69" s="106">
        <f>IF(AO69="","",IFERROR(AO69*HSI!$B$64*HSI!$G$64/HSI!$B$3,""))</f>
        <v/>
      </c>
      <c r="DD69" s="106">
        <f>IF(AP69="","",IFERROR(AP69*HSI!$B$64*HSI!$G$64/HSI!$B$3,""))</f>
        <v/>
      </c>
      <c r="DE69" s="106">
        <f>IF(AQ69="","",IFERROR(AQ69*HSI!$B$64*HSI!$G$64/HSI!$B$3,""))</f>
        <v/>
      </c>
      <c r="DF69" s="106">
        <f>IF(AR69="","",IFERROR(AR69*HSI!$B$64*HSI!$G$64/HSI!$B$3,""))</f>
        <v/>
      </c>
      <c r="DG69" s="106">
        <f>IF(AS69="","",IFERROR(AS69*HSI!$B$64*HSI!$G$64/HSI!$B$3,""))</f>
        <v/>
      </c>
      <c r="DH69" s="106">
        <f>IF(AT69="","",IFERROR(AT69*HSI!$B$64*HSI!$G$64/HSI!$B$3,""))</f>
        <v/>
      </c>
      <c r="DI69" s="106">
        <f>IF(AU69="","",IFERROR(AU69*HSI!$B$64*HSI!$G$64/HSI!$B$3,""))</f>
        <v/>
      </c>
      <c r="DJ69" s="106">
        <f>IF(AV69="","",IFERROR(AV69*HSI!$B$64*HSI!$G$64/HSI!$B$3,""))</f>
        <v/>
      </c>
      <c r="DK69" s="106">
        <f>IF(AW69="","",IFERROR(AW69*HSI!$B$64*HSI!$G$64/HSI!$B$3,""))</f>
        <v/>
      </c>
      <c r="DL69" s="106">
        <f>IF(AX69="","",IFERROR(AX69*HSI!$B$64*HSI!$G$64/HSI!$B$3,""))</f>
        <v/>
      </c>
      <c r="DM69" s="106">
        <f>IF(AY69="","",IFERROR(AY69*HSI!$B$64*HSI!$G$64/HSI!$B$3,""))</f>
        <v/>
      </c>
      <c r="DN69" s="106">
        <f>IF(AZ69="","",IFERROR(AZ69*HSI!$B$64*HSI!$G$64/HSI!$B$3,""))</f>
        <v/>
      </c>
      <c r="DO69" s="106">
        <f>IF(BA69="","",IFERROR(BA69*HSI!$B$64*HSI!$G$64/HSI!$B$3,""))</f>
        <v/>
      </c>
      <c r="DP69" s="106">
        <f>IF(BB69="","",IFERROR(BB69*HSI!$B$64*HSI!$G$64/HSI!$B$3,""))</f>
        <v/>
      </c>
      <c r="DQ69" s="106">
        <f>IF(BC69="","",IFERROR(BC69*HSI!$B$64*HSI!$G$64/HSI!$B$3,""))</f>
        <v/>
      </c>
      <c r="DR69" s="106">
        <f>IF(BD69="","",IFERROR(BD69*HSI!$B$64*HSI!$G$64/HSI!$B$3,""))</f>
        <v/>
      </c>
      <c r="DS69" s="106">
        <f>IF(BE69="","",IFERROR(BE69*HSI!$B$64*HSI!$G$64/HSI!$B$3,""))</f>
        <v/>
      </c>
      <c r="DT69" s="106">
        <f>IF(BF69="","",IFERROR(BF69*HSI!$B$64*HSI!$G$64/HSI!$B$3,""))</f>
        <v/>
      </c>
      <c r="DU69" s="106">
        <f>IF(BG69="","",IFERROR(BG69*HSI!$B$64*HSI!$G$64/HSI!$B$3,""))</f>
        <v/>
      </c>
      <c r="DV69" s="106">
        <f>IF(BH69="","",IFERROR(BH69*HSI!$B$64*HSI!$G$64/HSI!$B$3,""))</f>
        <v/>
      </c>
      <c r="DW69" s="106">
        <f>IF(BI69="","",IFERROR(BI69*HSI!$B$64*HSI!$G$64/HSI!$B$3,""))</f>
        <v/>
      </c>
      <c r="DX69" s="106">
        <f>IF(BJ69="","",IFERROR(BJ69*HSI!$B$64*HSI!$G$64/HSI!$B$3,""))</f>
        <v/>
      </c>
      <c r="DY69" s="106">
        <f>IF(BK69="","",IFERROR(BK69*HSI!$B$64*HSI!$G$64/HSI!$B$3,""))</f>
        <v/>
      </c>
      <c r="DZ69" s="106">
        <f>IF(BL69="","",IFERROR(BL69*HSI!$B$64*HSI!$G$64/HSI!$B$3,""))</f>
        <v/>
      </c>
      <c r="EA69" s="106">
        <f>IF(BM69="","",IFERROR(BM69*HSI!$B$64*HSI!$G$64/HSI!$B$3,""))</f>
        <v/>
      </c>
      <c r="EB69" s="106">
        <f>IF(BN69="","",IFERROR(BN69*HSI!$B$64*HSI!$G$64/HSI!$B$3,""))</f>
        <v/>
      </c>
      <c r="EC69" s="106">
        <f>IF(BO69="","",IFERROR(BO69*HSI!$B$64*HSI!$G$64/HSI!$B$3,""))</f>
        <v/>
      </c>
      <c r="EE69" s="35">
        <f>IF(N('Dvd Calendar'!$E$638)=0,"",IF(('Dvd Calendar'!$E$638&gt;=GRID_FROM)*('Dvd Calendar'!$E$638&lt;=GRID_TO)*('Dvd Calendar'!$E$638&lt;=VAL_DATE)=0,"",'Dvd Calendar'!$E$638*1000000000+ISNUMBER('Dvd Calendar'!$E$641)*100000000+('Dvd Calendar'!$E$643=SPECIAL_LBL)*10000000+0*1000000+58*1000+1))</f>
        <v/>
      </c>
      <c r="EF69" s="35">
        <f>IF(N('Dvd Calendar'!$F$638)=0,"",IF(('Dvd Calendar'!$F$638&gt;=GRID_FROM)*('Dvd Calendar'!$F$638&lt;=GRID_TO)*('Dvd Calendar'!$F$638&lt;=VAL_DATE)=0,"",'Dvd Calendar'!$F$638*1000000000+ISNUMBER('Dvd Calendar'!$F$641)*100000000+('Dvd Calendar'!$F$643=SPECIAL_LBL)*10000000+0*1000000+58*1000+2))</f>
        <v/>
      </c>
      <c r="EG69" s="35">
        <f>IF(N('Dvd Calendar'!$G$638)=0,"",IF(('Dvd Calendar'!$G$638&gt;=GRID_FROM)*('Dvd Calendar'!$G$638&lt;=GRID_TO)*('Dvd Calendar'!$G$638&lt;=VAL_DATE)=0,"",'Dvd Calendar'!$G$638*1000000000+ISNUMBER('Dvd Calendar'!$G$641)*100000000+('Dvd Calendar'!$G$643=SPECIAL_LBL)*10000000+0*1000000+58*1000+3))</f>
        <v/>
      </c>
      <c r="EH69" s="35">
        <f>IF(N('Dvd Calendar'!$H$638)=0,"",IF(('Dvd Calendar'!$H$638&gt;=GRID_FROM)*('Dvd Calendar'!$H$638&lt;=GRID_TO)*('Dvd Calendar'!$H$638&lt;=VAL_DATE)=0,"",'Dvd Calendar'!$H$638*1000000000+ISNUMBER('Dvd Calendar'!$H$641)*100000000+('Dvd Calendar'!$H$643=SPECIAL_LBL)*10000000+0*1000000+58*1000+4))</f>
        <v/>
      </c>
      <c r="EI69" s="35">
        <f>IF(N('Dvd Calendar'!$I$638)=0,"",IF(('Dvd Calendar'!$I$638&gt;=GRID_FROM)*('Dvd Calendar'!$I$638&lt;=GRID_TO)*('Dvd Calendar'!$I$638&lt;=VAL_DATE)=0,"",'Dvd Calendar'!$I$638*1000000000+ISNUMBER('Dvd Calendar'!$I$641)*100000000+('Dvd Calendar'!$I$643=SPECIAL_LBL)*10000000+0*1000000+58*1000+5))</f>
        <v/>
      </c>
      <c r="EJ69" s="35">
        <f>IF(N('Dvd Calendar'!$J$638)=0,"",IF(('Dvd Calendar'!$J$638&gt;=GRID_FROM)*('Dvd Calendar'!$J$638&lt;=GRID_TO)*('Dvd Calendar'!$J$638&lt;=VAL_DATE)=0,"",'Dvd Calendar'!$J$638*1000000000+ISNUMBER('Dvd Calendar'!$J$641)*100000000+('Dvd Calendar'!$J$643=SPECIAL_LBL)*10000000+0*1000000+58*1000+6))</f>
        <v/>
      </c>
      <c r="EK69" s="35">
        <f>IF(N('Dvd Calendar'!$K$638)=0,"",IF(('Dvd Calendar'!$K$638&gt;=GRID_FROM)*('Dvd Calendar'!$K$638&lt;=GRID_TO)*('Dvd Calendar'!$K$638&lt;=VAL_DATE)=0,"",'Dvd Calendar'!$K$638*1000000000+ISNUMBER('Dvd Calendar'!$K$641)*100000000+('Dvd Calendar'!$K$643=SPECIAL_LBL)*10000000+0*1000000+58*1000+7))</f>
        <v/>
      </c>
      <c r="EL69" s="35">
        <f>IF(N('Dvd Calendar'!$L$638)=0,"",IF(('Dvd Calendar'!$L$638&gt;=GRID_FROM)*('Dvd Calendar'!$L$638&lt;=GRID_TO)*('Dvd Calendar'!$L$638&lt;=VAL_DATE)=0,"",'Dvd Calendar'!$L$638*1000000000+ISNUMBER('Dvd Calendar'!$L$641)*100000000+('Dvd Calendar'!$L$643=SPECIAL_LBL)*10000000+0*1000000+58*1000+8))</f>
        <v/>
      </c>
      <c r="EM69" s="35">
        <f>IF(N('Dvd Calendar'!$M$638)=0,"",IF(('Dvd Calendar'!$M$638&gt;=GRID_FROM)*('Dvd Calendar'!$M$638&lt;=GRID_TO)*('Dvd Calendar'!$M$638&lt;=VAL_DATE)=0,"",'Dvd Calendar'!$M$638*1000000000+ISNUMBER('Dvd Calendar'!$M$641)*100000000+('Dvd Calendar'!$M$643=SPECIAL_LBL)*10000000+0*1000000+58*1000+9))</f>
        <v/>
      </c>
      <c r="EN69" s="35">
        <f>IF(N('Dvd Calendar'!$N$638)=0,"",IF(('Dvd Calendar'!$N$638&gt;=GRID_FROM)*('Dvd Calendar'!$N$638&lt;=GRID_TO)*('Dvd Calendar'!$N$638&lt;=VAL_DATE)=0,"",'Dvd Calendar'!$N$638*1000000000+ISNUMBER('Dvd Calendar'!$N$641)*100000000+('Dvd Calendar'!$N$643=SPECIAL_LBL)*10000000+0*1000000+58*1000+10))</f>
        <v/>
      </c>
      <c r="EO69" s="35">
        <f>IF(N('Dvd Calendar'!$O$638)=0,"",IF(('Dvd Calendar'!$O$638&gt;=GRID_FROM)*('Dvd Calendar'!$O$638&lt;=GRID_TO)*('Dvd Calendar'!$O$638&lt;=VAL_DATE)=0,"",'Dvd Calendar'!$O$638*1000000000+ISNUMBER('Dvd Calendar'!$O$641)*100000000+('Dvd Calendar'!$O$643=SPECIAL_LBL)*10000000+0*1000000+58*1000+11))</f>
        <v/>
      </c>
      <c r="EP69" s="35">
        <f>IF(N('Dvd Calendar'!$P$638)=0,"",IF(('Dvd Calendar'!$P$638&gt;=GRID_FROM)*('Dvd Calendar'!$P$638&lt;=GRID_TO)*('Dvd Calendar'!$P$638&lt;=VAL_DATE)=0,"",'Dvd Calendar'!$P$638*1000000000+ISNUMBER('Dvd Calendar'!$P$641)*100000000+('Dvd Calendar'!$P$643=SPECIAL_LBL)*10000000+0*1000000+58*1000+12))</f>
        <v/>
      </c>
      <c r="EQ69" s="35">
        <f>IF(N('Dvd Calendar'!$Q$638)=0,"",IF(('Dvd Calendar'!$Q$638&gt;=GRID_FROM)*('Dvd Calendar'!$Q$638&lt;=GRID_TO)*('Dvd Calendar'!$Q$638&lt;=VAL_DATE)=0,"",'Dvd Calendar'!$Q$638*1000000000+ISNUMBER('Dvd Calendar'!$Q$641)*100000000+('Dvd Calendar'!$Q$643=SPECIAL_LBL)*10000000+0*1000000+58*1000+13))</f>
        <v/>
      </c>
      <c r="ER69" s="35">
        <f>IF(N('Dvd Calendar'!$R$638)=0,"",IF(('Dvd Calendar'!$R$638&gt;=GRID_FROM)*('Dvd Calendar'!$R$638&lt;=GRID_TO)*('Dvd Calendar'!$R$638&lt;=VAL_DATE)=0,"",'Dvd Calendar'!$R$638*1000000000+ISNUMBER('Dvd Calendar'!$R$641)*100000000+('Dvd Calendar'!$R$643=SPECIAL_LBL)*10000000+0*1000000+58*1000+14))</f>
        <v/>
      </c>
      <c r="ES69" s="35">
        <f>IF(N('Dvd Calendar'!$S$638)=0,"",IF(('Dvd Calendar'!$S$638&gt;=GRID_FROM)*('Dvd Calendar'!$S$638&lt;=GRID_TO)*('Dvd Calendar'!$S$638&lt;=VAL_DATE)=0,"",'Dvd Calendar'!$S$638*1000000000+ISNUMBER('Dvd Calendar'!$S$641)*100000000+('Dvd Calendar'!$S$643=SPECIAL_LBL)*10000000+0*1000000+58*1000+15))</f>
        <v/>
      </c>
      <c r="ET69" s="35">
        <f>IF(N('Dvd Calendar'!$T$638)=0,"",IF(('Dvd Calendar'!$T$638&gt;=GRID_FROM)*('Dvd Calendar'!$T$638&lt;=GRID_TO)*('Dvd Calendar'!$T$638&lt;=VAL_DATE)=0,"",'Dvd Calendar'!$T$638*1000000000+ISNUMBER('Dvd Calendar'!$T$641)*100000000+('Dvd Calendar'!$T$643=SPECIAL_LBL)*10000000+0*1000000+58*1000+16))</f>
        <v/>
      </c>
      <c r="EU69" s="35">
        <f>IF(N('Dvd Calendar'!$U$638)=0,"",IF(('Dvd Calendar'!$U$638&gt;=GRID_FROM)*('Dvd Calendar'!$U$638&lt;=GRID_TO)*('Dvd Calendar'!$U$638&lt;=VAL_DATE)=0,"",'Dvd Calendar'!$U$638*1000000000+ISNUMBER('Dvd Calendar'!$U$641)*100000000+('Dvd Calendar'!$U$643=SPECIAL_LBL)*10000000+0*1000000+58*1000+17))</f>
        <v/>
      </c>
      <c r="EV69" s="35">
        <f>IF(N('Dvd Calendar'!$V$638)=0,"",IF(('Dvd Calendar'!$V$638&gt;=GRID_FROM)*('Dvd Calendar'!$V$638&lt;=GRID_TO)*('Dvd Calendar'!$V$638&lt;=VAL_DATE)=0,"",'Dvd Calendar'!$V$638*1000000000+ISNUMBER('Dvd Calendar'!$V$641)*100000000+('Dvd Calendar'!$V$643=SPECIAL_LBL)*10000000+0*1000000+58*1000+18))</f>
        <v/>
      </c>
      <c r="EW69" s="35">
        <f>IF(N('Dvd Calendar'!$W$638)=0,"",IF(('Dvd Calendar'!$W$638&gt;=GRID_FROM)*('Dvd Calendar'!$W$638&lt;=GRID_TO)*('Dvd Calendar'!$W$638&lt;=VAL_DATE)=0,"",'Dvd Calendar'!$W$638*1000000000+ISNUMBER('Dvd Calendar'!$W$641)*100000000+('Dvd Calendar'!$W$643=SPECIAL_LBL)*10000000+0*1000000+58*1000+19))</f>
        <v/>
      </c>
      <c r="EX69" s="35">
        <f>IF(N('Dvd Calendar'!$X$638)=0,"",IF(('Dvd Calendar'!$X$638&gt;=GRID_FROM)*('Dvd Calendar'!$X$638&lt;=GRID_TO)*('Dvd Calendar'!$X$638&lt;=VAL_DATE)=0,"",'Dvd Calendar'!$X$638*1000000000+ISNUMBER('Dvd Calendar'!$X$641)*100000000+('Dvd Calendar'!$X$643=SPECIAL_LBL)*10000000+0*1000000+58*1000+20))</f>
        <v/>
      </c>
      <c r="EY69" s="35">
        <f>IF(N('Dvd Calendar'!$Y$638)=0,"",IF(('Dvd Calendar'!$Y$638&gt;=GRID_FROM)*('Dvd Calendar'!$Y$638&lt;=GRID_TO)*('Dvd Calendar'!$Y$638&lt;=VAL_DATE)=0,"",'Dvd Calendar'!$Y$638*1000000000+ISNUMBER('Dvd Calendar'!$Y$641)*100000000+('Dvd Calendar'!$Y$643=SPECIAL_LBL)*10000000+0*1000000+58*1000+21))</f>
        <v/>
      </c>
      <c r="EZ69" s="35">
        <f>IF(N('Dvd Calendar'!$Z$638)=0,"",IF(('Dvd Calendar'!$Z$638&gt;=GRID_FROM)*('Dvd Calendar'!$Z$638&lt;=GRID_TO)*('Dvd Calendar'!$Z$638&lt;=VAL_DATE)=0,"",'Dvd Calendar'!$Z$638*1000000000+ISNUMBER('Dvd Calendar'!$Z$641)*100000000+('Dvd Calendar'!$Z$643=SPECIAL_LBL)*10000000+0*1000000+58*1000+22))</f>
        <v/>
      </c>
      <c r="FA69" s="35">
        <f>IF(N('Dvd Calendar'!$AA$638)=0,"",IF(('Dvd Calendar'!$AA$638&gt;=GRID_FROM)*('Dvd Calendar'!$AA$638&lt;=GRID_TO)*('Dvd Calendar'!$AA$638&lt;=VAL_DATE)=0,"",'Dvd Calendar'!$AA$638*1000000000+ISNUMBER('Dvd Calendar'!$AA$641)*100000000+('Dvd Calendar'!$AA$643=SPECIAL_LBL)*10000000+0*1000000+58*1000+23))</f>
        <v/>
      </c>
      <c r="FB69" s="35">
        <f>IF(N('Dvd Calendar'!$AB$638)=0,"",IF(('Dvd Calendar'!$AB$638&gt;=GRID_FROM)*('Dvd Calendar'!$AB$638&lt;=GRID_TO)*('Dvd Calendar'!$AB$638&lt;=VAL_DATE)=0,"",'Dvd Calendar'!$AB$638*1000000000+ISNUMBER('Dvd Calendar'!$AB$641)*100000000+('Dvd Calendar'!$AB$643=SPECIAL_LBL)*10000000+0*1000000+58*1000+24))</f>
        <v/>
      </c>
      <c r="FC69" s="35">
        <f>IF(N('Dvd Calendar'!$AC$638)=0,"",IF(('Dvd Calendar'!$AC$638&gt;=GRID_FROM)*('Dvd Calendar'!$AC$638&lt;=GRID_TO)*('Dvd Calendar'!$AC$638&lt;=VAL_DATE)=0,"",'Dvd Calendar'!$AC$638*1000000000+ISNUMBER('Dvd Calendar'!$AC$641)*100000000+('Dvd Calendar'!$AC$643=SPECIAL_LBL)*10000000+0*1000000+58*1000+25))</f>
        <v/>
      </c>
      <c r="FD69" s="35">
        <f>IF(N('Dvd Calendar'!$AD$638)=0,"",IF(('Dvd Calendar'!$AD$638&gt;=GRID_FROM)*('Dvd Calendar'!$AD$638&lt;=GRID_TO)*('Dvd Calendar'!$AD$638&lt;=VAL_DATE)=0,"",'Dvd Calendar'!$AD$638*1000000000+ISNUMBER('Dvd Calendar'!$AD$641)*100000000+('Dvd Calendar'!$AD$643=SPECIAL_LBL)*10000000+0*1000000+58*1000+26))</f>
        <v/>
      </c>
      <c r="FE69" s="35">
        <f>IF(N('Dvd Calendar'!$AE$638)=0,"",IF(('Dvd Calendar'!$AE$638&gt;=GRID_FROM)*('Dvd Calendar'!$AE$638&lt;=GRID_TO)*('Dvd Calendar'!$AE$638&lt;=VAL_DATE)=0,"",'Dvd Calendar'!$AE$638*1000000000+ISNUMBER('Dvd Calendar'!$AE$641)*100000000+('Dvd Calendar'!$AE$643=SPECIAL_LBL)*10000000+0*1000000+58*1000+27))</f>
        <v/>
      </c>
      <c r="FF69" s="35">
        <f>IF(N('Dvd Calendar'!$AF$638)=0,"",IF(('Dvd Calendar'!$AF$638&gt;=GRID_FROM)*('Dvd Calendar'!$AF$638&lt;=GRID_TO)*('Dvd Calendar'!$AF$638&lt;=VAL_DATE)=0,"",'Dvd Calendar'!$AF$638*1000000000+ISNUMBER('Dvd Calendar'!$AF$641)*100000000+('Dvd Calendar'!$AF$643=SPECIAL_LBL)*10000000+0*1000000+58*1000+28))</f>
        <v/>
      </c>
      <c r="FG69" s="35">
        <f>IF(N('Dvd Calendar'!$AG$638)=0,"",IF(('Dvd Calendar'!$AG$638&gt;=GRID_FROM)*('Dvd Calendar'!$AG$638&lt;=GRID_TO)*('Dvd Calendar'!$AG$638&lt;=VAL_DATE)=0,"",'Dvd Calendar'!$AG$638*1000000000+ISNUMBER('Dvd Calendar'!$AG$641)*100000000+('Dvd Calendar'!$AG$643=SPECIAL_LBL)*10000000+0*1000000+58*1000+29))</f>
        <v/>
      </c>
      <c r="FH69" s="35">
        <f>IF(N('Dvd Calendar'!$AH$638)=0,"",IF(('Dvd Calendar'!$AH$638&gt;=GRID_FROM)*('Dvd Calendar'!$AH$638&lt;=GRID_TO)*('Dvd Calendar'!$AH$638&lt;=VAL_DATE)=0,"",'Dvd Calendar'!$AH$638*1000000000+ISNUMBER('Dvd Calendar'!$AH$641)*100000000+('Dvd Calendar'!$AH$643=SPECIAL_LBL)*10000000+0*1000000+58*1000+30))</f>
        <v/>
      </c>
      <c r="FI69" s="35">
        <f>IF(N('Dvd Calendar'!$AI$638)=0,"",IF(('Dvd Calendar'!$AI$638&gt;=GRID_FROM)*('Dvd Calendar'!$AI$638&lt;=GRID_TO)*('Dvd Calendar'!$AI$638&lt;=VAL_DATE)=0,"",'Dvd Calendar'!$AI$638*1000000000+ISNUMBER('Dvd Calendar'!$AI$641)*100000000+('Dvd Calendar'!$AI$643=SPECIAL_LBL)*10000000+0*1000000+58*1000+31))</f>
        <v/>
      </c>
      <c r="FJ69" s="35">
        <f>IF(N('Dvd Calendar'!$AJ$638)=0,"",IF(('Dvd Calendar'!$AJ$638&gt;=GRID_FROM)*('Dvd Calendar'!$AJ$638&lt;=GRID_TO)*('Dvd Calendar'!$AJ$638&lt;=VAL_DATE)=0,"",'Dvd Calendar'!$AJ$638*1000000000+ISNUMBER('Dvd Calendar'!$AJ$641)*100000000+('Dvd Calendar'!$AJ$643=SPECIAL_LBL)*10000000+0*1000000+58*1000+32))</f>
        <v/>
      </c>
      <c r="FK69" s="35">
        <f>IF(N('Dvd Calendar'!$AK$638)=0,"",IF(('Dvd Calendar'!$AK$638&gt;=GRID_FROM)*('Dvd Calendar'!$AK$638&lt;=GRID_TO)*('Dvd Calendar'!$AK$638&lt;=VAL_DATE)=0,"",'Dvd Calendar'!$AK$638*1000000000+ISNUMBER('Dvd Calendar'!$AK$641)*100000000+('Dvd Calendar'!$AK$643=SPECIAL_LBL)*10000000+0*1000000+58*1000+33))</f>
        <v/>
      </c>
      <c r="FL69" s="35">
        <f>IF(N('Dvd Calendar'!$AL$638)=0,"",IF(('Dvd Calendar'!$AL$638&gt;=GRID_FROM)*('Dvd Calendar'!$AL$638&lt;=GRID_TO)*('Dvd Calendar'!$AL$638&lt;=VAL_DATE)=0,"",'Dvd Calendar'!$AL$638*1000000000+ISNUMBER('Dvd Calendar'!$AL$641)*100000000+('Dvd Calendar'!$AL$643=SPECIAL_LBL)*10000000+0*1000000+58*1000+34))</f>
        <v/>
      </c>
      <c r="FM69" s="35">
        <f>IF(N('Dvd Calendar'!$AM$638)=0,"",IF(('Dvd Calendar'!$AM$638&gt;=GRID_FROM)*('Dvd Calendar'!$AM$638&lt;=GRID_TO)*('Dvd Calendar'!$AM$638&lt;=VAL_DATE)=0,"",'Dvd Calendar'!$AM$638*1000000000+ISNUMBER('Dvd Calendar'!$AM$641)*100000000+('Dvd Calendar'!$AM$643=SPECIAL_LBL)*10000000+0*1000000+58*1000+35))</f>
        <v/>
      </c>
      <c r="FN69" s="35">
        <f>IF(N('Dvd Calendar'!$AN$638)=0,"",IF(('Dvd Calendar'!$AN$638&gt;=GRID_FROM)*('Dvd Calendar'!$AN$638&lt;=GRID_TO)*('Dvd Calendar'!$AN$638&lt;=VAL_DATE)=0,"",'Dvd Calendar'!$AN$638*1000000000+ISNUMBER('Dvd Calendar'!$AN$641)*100000000+('Dvd Calendar'!$AN$643=SPECIAL_LBL)*10000000+0*1000000+58*1000+36))</f>
        <v/>
      </c>
      <c r="FO69" s="35">
        <f>IF(N('Dvd Calendar'!$AO$638)=0,"",IF(('Dvd Calendar'!$AO$638&gt;=GRID_FROM)*('Dvd Calendar'!$AO$638&lt;=GRID_TO)*('Dvd Calendar'!$AO$638&lt;=VAL_DATE)=0,"",'Dvd Calendar'!$AO$638*1000000000+ISNUMBER('Dvd Calendar'!$AO$641)*100000000+('Dvd Calendar'!$AO$643=SPECIAL_LBL)*10000000+0*1000000+58*1000+37))</f>
        <v/>
      </c>
      <c r="FP69" s="35">
        <f>IF(N('Dvd Calendar'!$AP$638)=0,"",IF(('Dvd Calendar'!$AP$638&gt;=GRID_FROM)*('Dvd Calendar'!$AP$638&lt;=GRID_TO)*('Dvd Calendar'!$AP$638&lt;=VAL_DATE)=0,"",'Dvd Calendar'!$AP$638*1000000000+ISNUMBER('Dvd Calendar'!$AP$641)*100000000+('Dvd Calendar'!$AP$643=SPECIAL_LBL)*10000000+0*1000000+58*1000+38))</f>
        <v/>
      </c>
      <c r="FQ69" s="35">
        <f>IF(N('Dvd Calendar'!$AQ$638)=0,"",IF(('Dvd Calendar'!$AQ$638&gt;=GRID_FROM)*('Dvd Calendar'!$AQ$638&lt;=GRID_TO)*('Dvd Calendar'!$AQ$638&lt;=VAL_DATE)=0,"",'Dvd Calendar'!$AQ$638*1000000000+ISNUMBER('Dvd Calendar'!$AQ$641)*100000000+('Dvd Calendar'!$AQ$643=SPECIAL_LBL)*10000000+0*1000000+58*1000+39))</f>
        <v/>
      </c>
      <c r="FR69" s="35">
        <f>IF(N('Dvd Calendar'!$AR$638)=0,"",IF(('Dvd Calendar'!$AR$638&gt;=GRID_FROM)*('Dvd Calendar'!$AR$638&lt;=GRID_TO)*('Dvd Calendar'!$AR$638&lt;=VAL_DATE)=0,"",'Dvd Calendar'!$AR$638*1000000000+ISNUMBER('Dvd Calendar'!$AR$641)*100000000+('Dvd Calendar'!$AR$643=SPECIAL_LBL)*10000000+0*1000000+58*1000+40))</f>
        <v/>
      </c>
      <c r="FS69" s="35">
        <f>IF(N('Dvd Calendar'!$E$645)=0,"",IF(('Dvd Calendar'!$E$645&gt;=GRID_FROM)*('Dvd Calendar'!$E$645&lt;=GRID_TO)*('Dvd Calendar'!$E$645&gt;VAL_DATE)=0,"",'Dvd Calendar'!$E$645*1000000000+ISNUMBER('Dvd Calendar'!$E$646)*100000000+0*10000000+(N('Dvd Calendar'!$E$644)&gt;0)*(N('Dvd Calendar'!$E$644)&lt;=VAL_SERIAL)*1000000+58*1000+41))</f>
        <v/>
      </c>
      <c r="FT69" s="35">
        <f>IF(N('Dvd Calendar'!$F$645)=0,"",IF(('Dvd Calendar'!$F$645&gt;=GRID_FROM)*('Dvd Calendar'!$F$645&lt;=GRID_TO)*('Dvd Calendar'!$F$645&gt;VAL_DATE)=0,"",'Dvd Calendar'!$F$645*1000000000+ISNUMBER('Dvd Calendar'!$F$646)*100000000+0*10000000+(N('Dvd Calendar'!$F$644)&gt;0)*(N('Dvd Calendar'!$F$644)&lt;=VAL_SERIAL)*1000000+58*1000+42))</f>
        <v/>
      </c>
      <c r="FU69" s="35">
        <f>IF(N('Dvd Calendar'!$G$645)=0,"",IF(('Dvd Calendar'!$G$645&gt;=GRID_FROM)*('Dvd Calendar'!$G$645&lt;=GRID_TO)*('Dvd Calendar'!$G$645&gt;VAL_DATE)=0,"",'Dvd Calendar'!$G$645*1000000000+ISNUMBER('Dvd Calendar'!$G$646)*100000000+0*10000000+(N('Dvd Calendar'!$G$644)&gt;0)*(N('Dvd Calendar'!$G$644)&lt;=VAL_SERIAL)*1000000+58*1000+43))</f>
        <v/>
      </c>
      <c r="FV69" s="35">
        <f>IF(N('Dvd Calendar'!$H$645)=0,"",IF(('Dvd Calendar'!$H$645&gt;=GRID_FROM)*('Dvd Calendar'!$H$645&lt;=GRID_TO)*('Dvd Calendar'!$H$645&gt;VAL_DATE)=0,"",'Dvd Calendar'!$H$645*1000000000+ISNUMBER('Dvd Calendar'!$H$646)*100000000+0*10000000+(N('Dvd Calendar'!$H$644)&gt;0)*(N('Dvd Calendar'!$H$644)&lt;=VAL_SERIAL)*1000000+58*1000+44))</f>
        <v/>
      </c>
      <c r="FW69" s="35">
        <f>IF(N('Dvd Calendar'!$I$645)=0,"",IF(('Dvd Calendar'!$I$645&gt;=GRID_FROM)*('Dvd Calendar'!$I$645&lt;=GRID_TO)*('Dvd Calendar'!$I$645&gt;VAL_DATE)=0,"",'Dvd Calendar'!$I$645*1000000000+ISNUMBER('Dvd Calendar'!$I$646)*100000000+0*10000000+(N('Dvd Calendar'!$I$644)&gt;0)*(N('Dvd Calendar'!$I$644)&lt;=VAL_SERIAL)*1000000+58*1000+45))</f>
        <v/>
      </c>
      <c r="FX69" s="35">
        <f>IF(N('Dvd Calendar'!$J$645)=0,"",IF(('Dvd Calendar'!$J$645&gt;=GRID_FROM)*('Dvd Calendar'!$J$645&lt;=GRID_TO)*('Dvd Calendar'!$J$645&gt;VAL_DATE)=0,"",'Dvd Calendar'!$J$645*1000000000+ISNUMBER('Dvd Calendar'!$J$646)*100000000+0*10000000+(N('Dvd Calendar'!$J$644)&gt;0)*(N('Dvd Calendar'!$J$644)&lt;=VAL_SERIAL)*1000000+58*1000+46))</f>
        <v/>
      </c>
      <c r="FY69" s="35">
        <f>IF(N('Dvd Calendar'!$K$645)=0,"",IF(('Dvd Calendar'!$K$645&gt;=GRID_FROM)*('Dvd Calendar'!$K$645&lt;=GRID_TO)*('Dvd Calendar'!$K$645&gt;VAL_DATE)=0,"",'Dvd Calendar'!$K$645*1000000000+ISNUMBER('Dvd Calendar'!$K$646)*100000000+0*10000000+(N('Dvd Calendar'!$K$644)&gt;0)*(N('Dvd Calendar'!$K$644)&lt;=VAL_SERIAL)*1000000+58*1000+47))</f>
        <v/>
      </c>
      <c r="FZ69" s="35">
        <f>IF(N('Dvd Calendar'!$L$645)=0,"",IF(('Dvd Calendar'!$L$645&gt;=GRID_FROM)*('Dvd Calendar'!$L$645&lt;=GRID_TO)*('Dvd Calendar'!$L$645&gt;VAL_DATE)=0,"",'Dvd Calendar'!$L$645*1000000000+ISNUMBER('Dvd Calendar'!$L$646)*100000000+0*10000000+(N('Dvd Calendar'!$L$644)&gt;0)*(N('Dvd Calendar'!$L$644)&lt;=VAL_SERIAL)*1000000+58*1000+48))</f>
        <v/>
      </c>
      <c r="GA69" s="35">
        <f>IF(N('Dvd Calendar'!$M$645)=0,"",IF(('Dvd Calendar'!$M$645&gt;=GRID_FROM)*('Dvd Calendar'!$M$645&lt;=GRID_TO)*('Dvd Calendar'!$M$645&gt;VAL_DATE)=0,"",'Dvd Calendar'!$M$645*1000000000+ISNUMBER('Dvd Calendar'!$M$646)*100000000+0*10000000+(N('Dvd Calendar'!$M$644)&gt;0)*(N('Dvd Calendar'!$M$644)&lt;=VAL_SERIAL)*1000000+58*1000+49))</f>
        <v/>
      </c>
      <c r="GB69" s="35">
        <f>IF(N('Dvd Calendar'!$N$645)=0,"",IF(('Dvd Calendar'!$N$645&gt;=GRID_FROM)*('Dvd Calendar'!$N$645&lt;=GRID_TO)*('Dvd Calendar'!$N$645&gt;VAL_DATE)=0,"",'Dvd Calendar'!$N$645*1000000000+ISNUMBER('Dvd Calendar'!$N$646)*100000000+0*10000000+(N('Dvd Calendar'!$N$644)&gt;0)*(N('Dvd Calendar'!$N$644)&lt;=VAL_SERIAL)*1000000+58*1000+50))</f>
        <v/>
      </c>
      <c r="GC69" s="35">
        <f>IF(N('Dvd Calendar'!$O$645)=0,"",IF(('Dvd Calendar'!$O$645&gt;=GRID_FROM)*('Dvd Calendar'!$O$645&lt;=GRID_TO)*('Dvd Calendar'!$O$645&gt;VAL_DATE)=0,"",'Dvd Calendar'!$O$645*1000000000+ISNUMBER('Dvd Calendar'!$O$646)*100000000+0*10000000+(N('Dvd Calendar'!$O$644)&gt;0)*(N('Dvd Calendar'!$O$644)&lt;=VAL_SERIAL)*1000000+58*1000+51))</f>
        <v/>
      </c>
      <c r="GD69" s="35">
        <f>IF(N('Dvd Calendar'!$P$645)=0,"",IF(('Dvd Calendar'!$P$645&gt;=GRID_FROM)*('Dvd Calendar'!$P$645&lt;=GRID_TO)*('Dvd Calendar'!$P$645&gt;VAL_DATE)=0,"",'Dvd Calendar'!$P$645*1000000000+ISNUMBER('Dvd Calendar'!$P$646)*100000000+0*10000000+(N('Dvd Calendar'!$P$644)&gt;0)*(N('Dvd Calendar'!$P$644)&lt;=VAL_SERIAL)*1000000+58*1000+52))</f>
        <v/>
      </c>
      <c r="GE69" s="35">
        <f>IF(N('Dvd Calendar'!$Q$645)=0,"",IF(('Dvd Calendar'!$Q$645&gt;=GRID_FROM)*('Dvd Calendar'!$Q$645&lt;=GRID_TO)*('Dvd Calendar'!$Q$645&gt;VAL_DATE)=0,"",'Dvd Calendar'!$Q$645*1000000000+ISNUMBER('Dvd Calendar'!$Q$646)*100000000+0*10000000+(N('Dvd Calendar'!$Q$644)&gt;0)*(N('Dvd Calendar'!$Q$644)&lt;=VAL_SERIAL)*1000000+58*1000+53))</f>
        <v/>
      </c>
      <c r="GF69" s="35">
        <f>IF(N('Dvd Calendar'!$R$645)=0,"",IF(('Dvd Calendar'!$R$645&gt;=GRID_FROM)*('Dvd Calendar'!$R$645&lt;=GRID_TO)*('Dvd Calendar'!$R$645&gt;VAL_DATE)=0,"",'Dvd Calendar'!$R$645*1000000000+ISNUMBER('Dvd Calendar'!$R$646)*100000000+0*10000000+(N('Dvd Calendar'!$R$644)&gt;0)*(N('Dvd Calendar'!$R$644)&lt;=VAL_SERIAL)*1000000+58*1000+54))</f>
        <v/>
      </c>
      <c r="GG69" s="35">
        <f>IF(N('Dvd Calendar'!$S$645)=0,"",IF(('Dvd Calendar'!$S$645&gt;=GRID_FROM)*('Dvd Calendar'!$S$645&lt;=GRID_TO)*('Dvd Calendar'!$S$645&gt;VAL_DATE)=0,"",'Dvd Calendar'!$S$645*1000000000+ISNUMBER('Dvd Calendar'!$S$646)*100000000+0*10000000+(N('Dvd Calendar'!$S$644)&gt;0)*(N('Dvd Calendar'!$S$644)&lt;=VAL_SERIAL)*1000000+58*1000+55))</f>
        <v/>
      </c>
      <c r="GH69" s="35">
        <f>IF(N('Dvd Calendar'!$T$645)=0,"",IF(('Dvd Calendar'!$T$645&gt;=GRID_FROM)*('Dvd Calendar'!$T$645&lt;=GRID_TO)*('Dvd Calendar'!$T$645&gt;VAL_DATE)=0,"",'Dvd Calendar'!$T$645*1000000000+ISNUMBER('Dvd Calendar'!$T$646)*100000000+0*10000000+(N('Dvd Calendar'!$T$644)&gt;0)*(N('Dvd Calendar'!$T$644)&lt;=VAL_SERIAL)*1000000+58*1000+56))</f>
        <v/>
      </c>
      <c r="GI69" s="35">
        <f>IF(N('Dvd Calendar'!$U$645)=0,"",IF(('Dvd Calendar'!$U$645&gt;=GRID_FROM)*('Dvd Calendar'!$U$645&lt;=GRID_TO)*('Dvd Calendar'!$U$645&gt;VAL_DATE)=0,"",'Dvd Calendar'!$U$645*1000000000+ISNUMBER('Dvd Calendar'!$U$646)*100000000+0*10000000+(N('Dvd Calendar'!$U$644)&gt;0)*(N('Dvd Calendar'!$U$644)&lt;=VAL_SERIAL)*1000000+58*1000+57))</f>
        <v/>
      </c>
      <c r="GJ69" s="35">
        <f>IF(N('Dvd Calendar'!$V$645)=0,"",IF(('Dvd Calendar'!$V$645&gt;=GRID_FROM)*('Dvd Calendar'!$V$645&lt;=GRID_TO)*('Dvd Calendar'!$V$645&gt;VAL_DATE)=0,"",'Dvd Calendar'!$V$645*1000000000+ISNUMBER('Dvd Calendar'!$V$646)*100000000+0*10000000+(N('Dvd Calendar'!$V$644)&gt;0)*(N('Dvd Calendar'!$V$644)&lt;=VAL_SERIAL)*1000000+58*1000+58))</f>
        <v/>
      </c>
      <c r="GK69" s="35">
        <f>IF(N('Dvd Calendar'!$W$645)=0,"",IF(('Dvd Calendar'!$W$645&gt;=GRID_FROM)*('Dvd Calendar'!$W$645&lt;=GRID_TO)*('Dvd Calendar'!$W$645&gt;VAL_DATE)=0,"",'Dvd Calendar'!$W$645*1000000000+ISNUMBER('Dvd Calendar'!$W$646)*100000000+0*10000000+(N('Dvd Calendar'!$W$644)&gt;0)*(N('Dvd Calendar'!$W$644)&lt;=VAL_SERIAL)*1000000+58*1000+59))</f>
        <v/>
      </c>
      <c r="GL69" s="35">
        <f>IF(N('Dvd Calendar'!$X$645)=0,"",IF(('Dvd Calendar'!$X$645&gt;=GRID_FROM)*('Dvd Calendar'!$X$645&lt;=GRID_TO)*('Dvd Calendar'!$X$645&gt;VAL_DATE)=0,"",'Dvd Calendar'!$X$645*1000000000+ISNUMBER('Dvd Calendar'!$X$646)*100000000+0*10000000+(N('Dvd Calendar'!$X$644)&gt;0)*(N('Dvd Calendar'!$X$644)&lt;=VAL_SERIAL)*1000000+58*1000+60))</f>
        <v/>
      </c>
      <c r="GM69" s="35">
        <f>IF(N('Dvd Calendar'!$Y$645)=0,"",IF(('Dvd Calendar'!$Y$645&gt;=GRID_FROM)*('Dvd Calendar'!$Y$645&lt;=GRID_TO)*('Dvd Calendar'!$Y$645&gt;VAL_DATE)=0,"",'Dvd Calendar'!$Y$645*1000000000+ISNUMBER('Dvd Calendar'!$Y$646)*100000000+0*10000000+(N('Dvd Calendar'!$Y$644)&gt;0)*(N('Dvd Calendar'!$Y$644)&lt;=VAL_SERIAL)*1000000+58*1000+61))</f>
        <v/>
      </c>
      <c r="GN69" s="35">
        <f>IF(N('Dvd Calendar'!$Z$645)=0,"",IF(('Dvd Calendar'!$Z$645&gt;=GRID_FROM)*('Dvd Calendar'!$Z$645&lt;=GRID_TO)*('Dvd Calendar'!$Z$645&gt;VAL_DATE)=0,"",'Dvd Calendar'!$Z$645*1000000000+ISNUMBER('Dvd Calendar'!$Z$646)*100000000+0*10000000+(N('Dvd Calendar'!$Z$644)&gt;0)*(N('Dvd Calendar'!$Z$644)&lt;=VAL_SERIAL)*1000000+58*1000+62))</f>
        <v/>
      </c>
      <c r="GO69" s="35">
        <f>IF(N('Dvd Calendar'!$AA$645)=0,"",IF(('Dvd Calendar'!$AA$645&gt;=GRID_FROM)*('Dvd Calendar'!$AA$645&lt;=GRID_TO)*('Dvd Calendar'!$AA$645&gt;VAL_DATE)=0,"",'Dvd Calendar'!$AA$645*1000000000+ISNUMBER('Dvd Calendar'!$AA$646)*100000000+0*10000000+(N('Dvd Calendar'!$AA$644)&gt;0)*(N('Dvd Calendar'!$AA$644)&lt;=VAL_SERIAL)*1000000+58*1000+63))</f>
        <v/>
      </c>
      <c r="GP69" s="35">
        <f>IF(N('Dvd Calendar'!$AB$645)=0,"",IF(('Dvd Calendar'!$AB$645&gt;=GRID_FROM)*('Dvd Calendar'!$AB$645&lt;=GRID_TO)*('Dvd Calendar'!$AB$645&gt;VAL_DATE)=0,"",'Dvd Calendar'!$AB$645*1000000000+ISNUMBER('Dvd Calendar'!$AB$646)*100000000+0*10000000+(N('Dvd Calendar'!$AB$644)&gt;0)*(N('Dvd Calendar'!$AB$644)&lt;=VAL_SERIAL)*1000000+58*1000+64))</f>
        <v/>
      </c>
      <c r="GQ69" s="35">
        <f>IF(N('Dvd Calendar'!$AC$645)=0,"",IF(('Dvd Calendar'!$AC$645&gt;=GRID_FROM)*('Dvd Calendar'!$AC$645&lt;=GRID_TO)*('Dvd Calendar'!$AC$645&gt;VAL_DATE)=0,"",'Dvd Calendar'!$AC$645*1000000000+ISNUMBER('Dvd Calendar'!$AC$646)*100000000+0*10000000+(N('Dvd Calendar'!$AC$644)&gt;0)*(N('Dvd Calendar'!$AC$644)&lt;=VAL_SERIAL)*1000000+58*1000+65))</f>
        <v/>
      </c>
    </row>
    <row r="70">
      <c r="B70" s="2">
        <f>IF(HSI!$C$65="","",HSI!$C$65)</f>
        <v/>
      </c>
      <c r="C70" s="106">
        <f>IF(EE70="","",IF(ISNUMBER('Dvd Calendar'!$E$652)=FALSE,"",IF((('Dvd Calendar'!$E$654=TYPE1)*(TYPE1&lt;&gt;"")+('Dvd Calendar'!$E$654=TYPE2)*(TYPE2&lt;&gt;"")+('Dvd Calendar'!$E$654=TYPE3)*(TYPE3&lt;&gt;"")+('Dvd Calendar'!$E$654=TYPE4)*(TYPE4&lt;&gt;"")+('Dvd Calendar'!$E$654=SPECIAL_LBL)*(INC_SPECIALS="Y"))=0,"",'Dvd Calendar'!$E$652)))</f>
        <v/>
      </c>
      <c r="D70" s="106">
        <f>IF(EF70="","",IF(ISNUMBER('Dvd Calendar'!$F$652)=FALSE,"",IF((('Dvd Calendar'!$F$654=TYPE1)*(TYPE1&lt;&gt;"")+('Dvd Calendar'!$F$654=TYPE2)*(TYPE2&lt;&gt;"")+('Dvd Calendar'!$F$654=TYPE3)*(TYPE3&lt;&gt;"")+('Dvd Calendar'!$F$654=TYPE4)*(TYPE4&lt;&gt;"")+('Dvd Calendar'!$F$654=SPECIAL_LBL)*(INC_SPECIALS="Y"))=0,"",'Dvd Calendar'!$F$652)))</f>
        <v/>
      </c>
      <c r="E70" s="106">
        <f>IF(EG70="","",IF(ISNUMBER('Dvd Calendar'!$G$652)=FALSE,"",IF((('Dvd Calendar'!$G$654=TYPE1)*(TYPE1&lt;&gt;"")+('Dvd Calendar'!$G$654=TYPE2)*(TYPE2&lt;&gt;"")+('Dvd Calendar'!$G$654=TYPE3)*(TYPE3&lt;&gt;"")+('Dvd Calendar'!$G$654=TYPE4)*(TYPE4&lt;&gt;"")+('Dvd Calendar'!$G$654=SPECIAL_LBL)*(INC_SPECIALS="Y"))=0,"",'Dvd Calendar'!$G$652)))</f>
        <v/>
      </c>
      <c r="F70" s="106">
        <f>IF(EH70="","",IF(ISNUMBER('Dvd Calendar'!$H$652)=FALSE,"",IF((('Dvd Calendar'!$H$654=TYPE1)*(TYPE1&lt;&gt;"")+('Dvd Calendar'!$H$654=TYPE2)*(TYPE2&lt;&gt;"")+('Dvd Calendar'!$H$654=TYPE3)*(TYPE3&lt;&gt;"")+('Dvd Calendar'!$H$654=TYPE4)*(TYPE4&lt;&gt;"")+('Dvd Calendar'!$H$654=SPECIAL_LBL)*(INC_SPECIALS="Y"))=0,"",'Dvd Calendar'!$H$652)))</f>
        <v/>
      </c>
      <c r="G70" s="106">
        <f>IF(EI70="","",IF(ISNUMBER('Dvd Calendar'!$I$652)=FALSE,"",IF((('Dvd Calendar'!$I$654=TYPE1)*(TYPE1&lt;&gt;"")+('Dvd Calendar'!$I$654=TYPE2)*(TYPE2&lt;&gt;"")+('Dvd Calendar'!$I$654=TYPE3)*(TYPE3&lt;&gt;"")+('Dvd Calendar'!$I$654=TYPE4)*(TYPE4&lt;&gt;"")+('Dvd Calendar'!$I$654=SPECIAL_LBL)*(INC_SPECIALS="Y"))=0,"",'Dvd Calendar'!$I$652)))</f>
        <v/>
      </c>
      <c r="H70" s="106">
        <f>IF(EJ70="","",IF(ISNUMBER('Dvd Calendar'!$J$652)=FALSE,"",IF((('Dvd Calendar'!$J$654=TYPE1)*(TYPE1&lt;&gt;"")+('Dvd Calendar'!$J$654=TYPE2)*(TYPE2&lt;&gt;"")+('Dvd Calendar'!$J$654=TYPE3)*(TYPE3&lt;&gt;"")+('Dvd Calendar'!$J$654=TYPE4)*(TYPE4&lt;&gt;"")+('Dvd Calendar'!$J$654=SPECIAL_LBL)*(INC_SPECIALS="Y"))=0,"",'Dvd Calendar'!$J$652)))</f>
        <v/>
      </c>
      <c r="I70" s="106">
        <f>IF(EK70="","",IF(ISNUMBER('Dvd Calendar'!$K$652)=FALSE,"",IF((('Dvd Calendar'!$K$654=TYPE1)*(TYPE1&lt;&gt;"")+('Dvd Calendar'!$K$654=TYPE2)*(TYPE2&lt;&gt;"")+('Dvd Calendar'!$K$654=TYPE3)*(TYPE3&lt;&gt;"")+('Dvd Calendar'!$K$654=TYPE4)*(TYPE4&lt;&gt;"")+('Dvd Calendar'!$K$654=SPECIAL_LBL)*(INC_SPECIALS="Y"))=0,"",'Dvd Calendar'!$K$652)))</f>
        <v/>
      </c>
      <c r="J70" s="106">
        <f>IF(EL70="","",IF(ISNUMBER('Dvd Calendar'!$L$652)=FALSE,"",IF((('Dvd Calendar'!$L$654=TYPE1)*(TYPE1&lt;&gt;"")+('Dvd Calendar'!$L$654=TYPE2)*(TYPE2&lt;&gt;"")+('Dvd Calendar'!$L$654=TYPE3)*(TYPE3&lt;&gt;"")+('Dvd Calendar'!$L$654=TYPE4)*(TYPE4&lt;&gt;"")+('Dvd Calendar'!$L$654=SPECIAL_LBL)*(INC_SPECIALS="Y"))=0,"",'Dvd Calendar'!$L$652)))</f>
        <v/>
      </c>
      <c r="K70" s="106">
        <f>IF(EM70="","",IF(ISNUMBER('Dvd Calendar'!$M$652)=FALSE,"",IF((('Dvd Calendar'!$M$654=TYPE1)*(TYPE1&lt;&gt;"")+('Dvd Calendar'!$M$654=TYPE2)*(TYPE2&lt;&gt;"")+('Dvd Calendar'!$M$654=TYPE3)*(TYPE3&lt;&gt;"")+('Dvd Calendar'!$M$654=TYPE4)*(TYPE4&lt;&gt;"")+('Dvd Calendar'!$M$654=SPECIAL_LBL)*(INC_SPECIALS="Y"))=0,"",'Dvd Calendar'!$M$652)))</f>
        <v/>
      </c>
      <c r="L70" s="106">
        <f>IF(EN70="","",IF(ISNUMBER('Dvd Calendar'!$N$652)=FALSE,"",IF((('Dvd Calendar'!$N$654=TYPE1)*(TYPE1&lt;&gt;"")+('Dvd Calendar'!$N$654=TYPE2)*(TYPE2&lt;&gt;"")+('Dvd Calendar'!$N$654=TYPE3)*(TYPE3&lt;&gt;"")+('Dvd Calendar'!$N$654=TYPE4)*(TYPE4&lt;&gt;"")+('Dvd Calendar'!$N$654=SPECIAL_LBL)*(INC_SPECIALS="Y"))=0,"",'Dvd Calendar'!$N$652)))</f>
        <v/>
      </c>
      <c r="M70" s="106">
        <f>IF(EO70="","",IF(ISNUMBER('Dvd Calendar'!$O$652)=FALSE,"",IF((('Dvd Calendar'!$O$654=TYPE1)*(TYPE1&lt;&gt;"")+('Dvd Calendar'!$O$654=TYPE2)*(TYPE2&lt;&gt;"")+('Dvd Calendar'!$O$654=TYPE3)*(TYPE3&lt;&gt;"")+('Dvd Calendar'!$O$654=TYPE4)*(TYPE4&lt;&gt;"")+('Dvd Calendar'!$O$654=SPECIAL_LBL)*(INC_SPECIALS="Y"))=0,"",'Dvd Calendar'!$O$652)))</f>
        <v/>
      </c>
      <c r="N70" s="106">
        <f>IF(EP70="","",IF(ISNUMBER('Dvd Calendar'!$P$652)=FALSE,"",IF((('Dvd Calendar'!$P$654=TYPE1)*(TYPE1&lt;&gt;"")+('Dvd Calendar'!$P$654=TYPE2)*(TYPE2&lt;&gt;"")+('Dvd Calendar'!$P$654=TYPE3)*(TYPE3&lt;&gt;"")+('Dvd Calendar'!$P$654=TYPE4)*(TYPE4&lt;&gt;"")+('Dvd Calendar'!$P$654=SPECIAL_LBL)*(INC_SPECIALS="Y"))=0,"",'Dvd Calendar'!$P$652)))</f>
        <v/>
      </c>
      <c r="O70" s="106">
        <f>IF(EQ70="","",IF(ISNUMBER('Dvd Calendar'!$Q$652)=FALSE,"",IF((('Dvd Calendar'!$Q$654=TYPE1)*(TYPE1&lt;&gt;"")+('Dvd Calendar'!$Q$654=TYPE2)*(TYPE2&lt;&gt;"")+('Dvd Calendar'!$Q$654=TYPE3)*(TYPE3&lt;&gt;"")+('Dvd Calendar'!$Q$654=TYPE4)*(TYPE4&lt;&gt;"")+('Dvd Calendar'!$Q$654=SPECIAL_LBL)*(INC_SPECIALS="Y"))=0,"",'Dvd Calendar'!$Q$652)))</f>
        <v/>
      </c>
      <c r="P70" s="106">
        <f>IF(ER70="","",IF(ISNUMBER('Dvd Calendar'!$R$652)=FALSE,"",IF((('Dvd Calendar'!$R$654=TYPE1)*(TYPE1&lt;&gt;"")+('Dvd Calendar'!$R$654=TYPE2)*(TYPE2&lt;&gt;"")+('Dvd Calendar'!$R$654=TYPE3)*(TYPE3&lt;&gt;"")+('Dvd Calendar'!$R$654=TYPE4)*(TYPE4&lt;&gt;"")+('Dvd Calendar'!$R$654=SPECIAL_LBL)*(INC_SPECIALS="Y"))=0,"",'Dvd Calendar'!$R$652)))</f>
        <v/>
      </c>
      <c r="Q70" s="106">
        <f>IF(ES70="","",IF(ISNUMBER('Dvd Calendar'!$S$652)=FALSE,"",IF((('Dvd Calendar'!$S$654=TYPE1)*(TYPE1&lt;&gt;"")+('Dvd Calendar'!$S$654=TYPE2)*(TYPE2&lt;&gt;"")+('Dvd Calendar'!$S$654=TYPE3)*(TYPE3&lt;&gt;"")+('Dvd Calendar'!$S$654=TYPE4)*(TYPE4&lt;&gt;"")+('Dvd Calendar'!$S$654=SPECIAL_LBL)*(INC_SPECIALS="Y"))=0,"",'Dvd Calendar'!$S$652)))</f>
        <v/>
      </c>
      <c r="R70" s="106">
        <f>IF(ET70="","",IF(ISNUMBER('Dvd Calendar'!$T$652)=FALSE,"",IF((('Dvd Calendar'!$T$654=TYPE1)*(TYPE1&lt;&gt;"")+('Dvd Calendar'!$T$654=TYPE2)*(TYPE2&lt;&gt;"")+('Dvd Calendar'!$T$654=TYPE3)*(TYPE3&lt;&gt;"")+('Dvd Calendar'!$T$654=TYPE4)*(TYPE4&lt;&gt;"")+('Dvd Calendar'!$T$654=SPECIAL_LBL)*(INC_SPECIALS="Y"))=0,"",'Dvd Calendar'!$T$652)))</f>
        <v/>
      </c>
      <c r="S70" s="106">
        <f>IF(EU70="","",IF(ISNUMBER('Dvd Calendar'!$U$652)=FALSE,"",IF((('Dvd Calendar'!$U$654=TYPE1)*(TYPE1&lt;&gt;"")+('Dvd Calendar'!$U$654=TYPE2)*(TYPE2&lt;&gt;"")+('Dvd Calendar'!$U$654=TYPE3)*(TYPE3&lt;&gt;"")+('Dvd Calendar'!$U$654=TYPE4)*(TYPE4&lt;&gt;"")+('Dvd Calendar'!$U$654=SPECIAL_LBL)*(INC_SPECIALS="Y"))=0,"",'Dvd Calendar'!$U$652)))</f>
        <v/>
      </c>
      <c r="T70" s="106">
        <f>IF(EV70="","",IF(ISNUMBER('Dvd Calendar'!$V$652)=FALSE,"",IF((('Dvd Calendar'!$V$654=TYPE1)*(TYPE1&lt;&gt;"")+('Dvd Calendar'!$V$654=TYPE2)*(TYPE2&lt;&gt;"")+('Dvd Calendar'!$V$654=TYPE3)*(TYPE3&lt;&gt;"")+('Dvd Calendar'!$V$654=TYPE4)*(TYPE4&lt;&gt;"")+('Dvd Calendar'!$V$654=SPECIAL_LBL)*(INC_SPECIALS="Y"))=0,"",'Dvd Calendar'!$V$652)))</f>
        <v/>
      </c>
      <c r="U70" s="106">
        <f>IF(EW70="","",IF(ISNUMBER('Dvd Calendar'!$W$652)=FALSE,"",IF((('Dvd Calendar'!$W$654=TYPE1)*(TYPE1&lt;&gt;"")+('Dvd Calendar'!$W$654=TYPE2)*(TYPE2&lt;&gt;"")+('Dvd Calendar'!$W$654=TYPE3)*(TYPE3&lt;&gt;"")+('Dvd Calendar'!$W$654=TYPE4)*(TYPE4&lt;&gt;"")+('Dvd Calendar'!$W$654=SPECIAL_LBL)*(INC_SPECIALS="Y"))=0,"",'Dvd Calendar'!$W$652)))</f>
        <v/>
      </c>
      <c r="V70" s="106">
        <f>IF(EX70="","",IF(ISNUMBER('Dvd Calendar'!$X$652)=FALSE,"",IF((('Dvd Calendar'!$X$654=TYPE1)*(TYPE1&lt;&gt;"")+('Dvd Calendar'!$X$654=TYPE2)*(TYPE2&lt;&gt;"")+('Dvd Calendar'!$X$654=TYPE3)*(TYPE3&lt;&gt;"")+('Dvd Calendar'!$X$654=TYPE4)*(TYPE4&lt;&gt;"")+('Dvd Calendar'!$X$654=SPECIAL_LBL)*(INC_SPECIALS="Y"))=0,"",'Dvd Calendar'!$X$652)))</f>
        <v/>
      </c>
      <c r="W70" s="106">
        <f>IF(EY70="","",IF(ISNUMBER('Dvd Calendar'!$Y$652)=FALSE,"",IF((('Dvd Calendar'!$Y$654=TYPE1)*(TYPE1&lt;&gt;"")+('Dvd Calendar'!$Y$654=TYPE2)*(TYPE2&lt;&gt;"")+('Dvd Calendar'!$Y$654=TYPE3)*(TYPE3&lt;&gt;"")+('Dvd Calendar'!$Y$654=TYPE4)*(TYPE4&lt;&gt;"")+('Dvd Calendar'!$Y$654=SPECIAL_LBL)*(INC_SPECIALS="Y"))=0,"",'Dvd Calendar'!$Y$652)))</f>
        <v/>
      </c>
      <c r="X70" s="106">
        <f>IF(EZ70="","",IF(ISNUMBER('Dvd Calendar'!$Z$652)=FALSE,"",IF((('Dvd Calendar'!$Z$654=TYPE1)*(TYPE1&lt;&gt;"")+('Dvd Calendar'!$Z$654=TYPE2)*(TYPE2&lt;&gt;"")+('Dvd Calendar'!$Z$654=TYPE3)*(TYPE3&lt;&gt;"")+('Dvd Calendar'!$Z$654=TYPE4)*(TYPE4&lt;&gt;"")+('Dvd Calendar'!$Z$654=SPECIAL_LBL)*(INC_SPECIALS="Y"))=0,"",'Dvd Calendar'!$Z$652)))</f>
        <v/>
      </c>
      <c r="Y70" s="106">
        <f>IF(FA70="","",IF(ISNUMBER('Dvd Calendar'!$AA$652)=FALSE,"",IF((('Dvd Calendar'!$AA$654=TYPE1)*(TYPE1&lt;&gt;"")+('Dvd Calendar'!$AA$654=TYPE2)*(TYPE2&lt;&gt;"")+('Dvd Calendar'!$AA$654=TYPE3)*(TYPE3&lt;&gt;"")+('Dvd Calendar'!$AA$654=TYPE4)*(TYPE4&lt;&gt;"")+('Dvd Calendar'!$AA$654=SPECIAL_LBL)*(INC_SPECIALS="Y"))=0,"",'Dvd Calendar'!$AA$652)))</f>
        <v/>
      </c>
      <c r="Z70" s="106">
        <f>IF(FB70="","",IF(ISNUMBER('Dvd Calendar'!$AB$652)=FALSE,"",IF((('Dvd Calendar'!$AB$654=TYPE1)*(TYPE1&lt;&gt;"")+('Dvd Calendar'!$AB$654=TYPE2)*(TYPE2&lt;&gt;"")+('Dvd Calendar'!$AB$654=TYPE3)*(TYPE3&lt;&gt;"")+('Dvd Calendar'!$AB$654=TYPE4)*(TYPE4&lt;&gt;"")+('Dvd Calendar'!$AB$654=SPECIAL_LBL)*(INC_SPECIALS="Y"))=0,"",'Dvd Calendar'!$AB$652)))</f>
        <v/>
      </c>
      <c r="AA70" s="106">
        <f>IF(FC70="","",IF(ISNUMBER('Dvd Calendar'!$AC$652)=FALSE,"",IF((('Dvd Calendar'!$AC$654=TYPE1)*(TYPE1&lt;&gt;"")+('Dvd Calendar'!$AC$654=TYPE2)*(TYPE2&lt;&gt;"")+('Dvd Calendar'!$AC$654=TYPE3)*(TYPE3&lt;&gt;"")+('Dvd Calendar'!$AC$654=TYPE4)*(TYPE4&lt;&gt;"")+('Dvd Calendar'!$AC$654=SPECIAL_LBL)*(INC_SPECIALS="Y"))=0,"",'Dvd Calendar'!$AC$652)))</f>
        <v/>
      </c>
      <c r="AB70" s="106">
        <f>IF(FD70="","",IF(ISNUMBER('Dvd Calendar'!$AD$652)=FALSE,"",IF((('Dvd Calendar'!$AD$654=TYPE1)*(TYPE1&lt;&gt;"")+('Dvd Calendar'!$AD$654=TYPE2)*(TYPE2&lt;&gt;"")+('Dvd Calendar'!$AD$654=TYPE3)*(TYPE3&lt;&gt;"")+('Dvd Calendar'!$AD$654=TYPE4)*(TYPE4&lt;&gt;"")+('Dvd Calendar'!$AD$654=SPECIAL_LBL)*(INC_SPECIALS="Y"))=0,"",'Dvd Calendar'!$AD$652)))</f>
        <v/>
      </c>
      <c r="AC70" s="106">
        <f>IF(FE70="","",IF(ISNUMBER('Dvd Calendar'!$AE$652)=FALSE,"",IF((('Dvd Calendar'!$AE$654=TYPE1)*(TYPE1&lt;&gt;"")+('Dvd Calendar'!$AE$654=TYPE2)*(TYPE2&lt;&gt;"")+('Dvd Calendar'!$AE$654=TYPE3)*(TYPE3&lt;&gt;"")+('Dvd Calendar'!$AE$654=TYPE4)*(TYPE4&lt;&gt;"")+('Dvd Calendar'!$AE$654=SPECIAL_LBL)*(INC_SPECIALS="Y"))=0,"",'Dvd Calendar'!$AE$652)))</f>
        <v/>
      </c>
      <c r="AD70" s="106">
        <f>IF(FF70="","",IF(ISNUMBER('Dvd Calendar'!$AF$652)=FALSE,"",IF((('Dvd Calendar'!$AF$654=TYPE1)*(TYPE1&lt;&gt;"")+('Dvd Calendar'!$AF$654=TYPE2)*(TYPE2&lt;&gt;"")+('Dvd Calendar'!$AF$654=TYPE3)*(TYPE3&lt;&gt;"")+('Dvd Calendar'!$AF$654=TYPE4)*(TYPE4&lt;&gt;"")+('Dvd Calendar'!$AF$654=SPECIAL_LBL)*(INC_SPECIALS="Y"))=0,"",'Dvd Calendar'!$AF$652)))</f>
        <v/>
      </c>
      <c r="AE70" s="106">
        <f>IF(FG70="","",IF(ISNUMBER('Dvd Calendar'!$AG$652)=FALSE,"",IF((('Dvd Calendar'!$AG$654=TYPE1)*(TYPE1&lt;&gt;"")+('Dvd Calendar'!$AG$654=TYPE2)*(TYPE2&lt;&gt;"")+('Dvd Calendar'!$AG$654=TYPE3)*(TYPE3&lt;&gt;"")+('Dvd Calendar'!$AG$654=TYPE4)*(TYPE4&lt;&gt;"")+('Dvd Calendar'!$AG$654=SPECIAL_LBL)*(INC_SPECIALS="Y"))=0,"",'Dvd Calendar'!$AG$652)))</f>
        <v/>
      </c>
      <c r="AF70" s="106">
        <f>IF(FH70="","",IF(ISNUMBER('Dvd Calendar'!$AH$652)=FALSE,"",IF((('Dvd Calendar'!$AH$654=TYPE1)*(TYPE1&lt;&gt;"")+('Dvd Calendar'!$AH$654=TYPE2)*(TYPE2&lt;&gt;"")+('Dvd Calendar'!$AH$654=TYPE3)*(TYPE3&lt;&gt;"")+('Dvd Calendar'!$AH$654=TYPE4)*(TYPE4&lt;&gt;"")+('Dvd Calendar'!$AH$654=SPECIAL_LBL)*(INC_SPECIALS="Y"))=0,"",'Dvd Calendar'!$AH$652)))</f>
        <v/>
      </c>
      <c r="AG70" s="106">
        <f>IF(FI70="","",IF(ISNUMBER('Dvd Calendar'!$AI$652)=FALSE,"",IF((('Dvd Calendar'!$AI$654=TYPE1)*(TYPE1&lt;&gt;"")+('Dvd Calendar'!$AI$654=TYPE2)*(TYPE2&lt;&gt;"")+('Dvd Calendar'!$AI$654=TYPE3)*(TYPE3&lt;&gt;"")+('Dvd Calendar'!$AI$654=TYPE4)*(TYPE4&lt;&gt;"")+('Dvd Calendar'!$AI$654=SPECIAL_LBL)*(INC_SPECIALS="Y"))=0,"",'Dvd Calendar'!$AI$652)))</f>
        <v/>
      </c>
      <c r="AH70" s="106">
        <f>IF(FJ70="","",IF(ISNUMBER('Dvd Calendar'!$AJ$652)=FALSE,"",IF((('Dvd Calendar'!$AJ$654=TYPE1)*(TYPE1&lt;&gt;"")+('Dvd Calendar'!$AJ$654=TYPE2)*(TYPE2&lt;&gt;"")+('Dvd Calendar'!$AJ$654=TYPE3)*(TYPE3&lt;&gt;"")+('Dvd Calendar'!$AJ$654=TYPE4)*(TYPE4&lt;&gt;"")+('Dvd Calendar'!$AJ$654=SPECIAL_LBL)*(INC_SPECIALS="Y"))=0,"",'Dvd Calendar'!$AJ$652)))</f>
        <v/>
      </c>
      <c r="AI70" s="106">
        <f>IF(FK70="","",IF(ISNUMBER('Dvd Calendar'!$AK$652)=FALSE,"",IF((('Dvd Calendar'!$AK$654=TYPE1)*(TYPE1&lt;&gt;"")+('Dvd Calendar'!$AK$654=TYPE2)*(TYPE2&lt;&gt;"")+('Dvd Calendar'!$AK$654=TYPE3)*(TYPE3&lt;&gt;"")+('Dvd Calendar'!$AK$654=TYPE4)*(TYPE4&lt;&gt;"")+('Dvd Calendar'!$AK$654=SPECIAL_LBL)*(INC_SPECIALS="Y"))=0,"",'Dvd Calendar'!$AK$652)))</f>
        <v/>
      </c>
      <c r="AJ70" s="106">
        <f>IF(FL70="","",IF(ISNUMBER('Dvd Calendar'!$AL$652)=FALSE,"",IF((('Dvd Calendar'!$AL$654=TYPE1)*(TYPE1&lt;&gt;"")+('Dvd Calendar'!$AL$654=TYPE2)*(TYPE2&lt;&gt;"")+('Dvd Calendar'!$AL$654=TYPE3)*(TYPE3&lt;&gt;"")+('Dvd Calendar'!$AL$654=TYPE4)*(TYPE4&lt;&gt;"")+('Dvd Calendar'!$AL$654=SPECIAL_LBL)*(INC_SPECIALS="Y"))=0,"",'Dvd Calendar'!$AL$652)))</f>
        <v/>
      </c>
      <c r="AK70" s="106">
        <f>IF(FM70="","",IF(ISNUMBER('Dvd Calendar'!$AM$652)=FALSE,"",IF((('Dvd Calendar'!$AM$654=TYPE1)*(TYPE1&lt;&gt;"")+('Dvd Calendar'!$AM$654=TYPE2)*(TYPE2&lt;&gt;"")+('Dvd Calendar'!$AM$654=TYPE3)*(TYPE3&lt;&gt;"")+('Dvd Calendar'!$AM$654=TYPE4)*(TYPE4&lt;&gt;"")+('Dvd Calendar'!$AM$654=SPECIAL_LBL)*(INC_SPECIALS="Y"))=0,"",'Dvd Calendar'!$AM$652)))</f>
        <v/>
      </c>
      <c r="AL70" s="106">
        <f>IF(FN70="","",IF(ISNUMBER('Dvd Calendar'!$AN$652)=FALSE,"",IF((('Dvd Calendar'!$AN$654=TYPE1)*(TYPE1&lt;&gt;"")+('Dvd Calendar'!$AN$654=TYPE2)*(TYPE2&lt;&gt;"")+('Dvd Calendar'!$AN$654=TYPE3)*(TYPE3&lt;&gt;"")+('Dvd Calendar'!$AN$654=TYPE4)*(TYPE4&lt;&gt;"")+('Dvd Calendar'!$AN$654=SPECIAL_LBL)*(INC_SPECIALS="Y"))=0,"",'Dvd Calendar'!$AN$652)))</f>
        <v/>
      </c>
      <c r="AM70" s="106">
        <f>IF(FO70="","",IF(ISNUMBER('Dvd Calendar'!$AO$652)=FALSE,"",IF((('Dvd Calendar'!$AO$654=TYPE1)*(TYPE1&lt;&gt;"")+('Dvd Calendar'!$AO$654=TYPE2)*(TYPE2&lt;&gt;"")+('Dvd Calendar'!$AO$654=TYPE3)*(TYPE3&lt;&gt;"")+('Dvd Calendar'!$AO$654=TYPE4)*(TYPE4&lt;&gt;"")+('Dvd Calendar'!$AO$654=SPECIAL_LBL)*(INC_SPECIALS="Y"))=0,"",'Dvd Calendar'!$AO$652)))</f>
        <v/>
      </c>
      <c r="AN70" s="106">
        <f>IF(FP70="","",IF(ISNUMBER('Dvd Calendar'!$AP$652)=FALSE,"",IF((('Dvd Calendar'!$AP$654=TYPE1)*(TYPE1&lt;&gt;"")+('Dvd Calendar'!$AP$654=TYPE2)*(TYPE2&lt;&gt;"")+('Dvd Calendar'!$AP$654=TYPE3)*(TYPE3&lt;&gt;"")+('Dvd Calendar'!$AP$654=TYPE4)*(TYPE4&lt;&gt;"")+('Dvd Calendar'!$AP$654=SPECIAL_LBL)*(INC_SPECIALS="Y"))=0,"",'Dvd Calendar'!$AP$652)))</f>
        <v/>
      </c>
      <c r="AO70" s="106">
        <f>IF(FQ70="","",IF(ISNUMBER('Dvd Calendar'!$AQ$652)=FALSE,"",IF((('Dvd Calendar'!$AQ$654=TYPE1)*(TYPE1&lt;&gt;"")+('Dvd Calendar'!$AQ$654=TYPE2)*(TYPE2&lt;&gt;"")+('Dvd Calendar'!$AQ$654=TYPE3)*(TYPE3&lt;&gt;"")+('Dvd Calendar'!$AQ$654=TYPE4)*(TYPE4&lt;&gt;"")+('Dvd Calendar'!$AQ$654=SPECIAL_LBL)*(INC_SPECIALS="Y"))=0,"",'Dvd Calendar'!$AQ$652)))</f>
        <v/>
      </c>
      <c r="AP70" s="106">
        <f>IF(FR70="","",IF(ISNUMBER('Dvd Calendar'!$AR$652)=FALSE,"",IF((('Dvd Calendar'!$AR$654=TYPE1)*(TYPE1&lt;&gt;"")+('Dvd Calendar'!$AR$654=TYPE2)*(TYPE2&lt;&gt;"")+('Dvd Calendar'!$AR$654=TYPE3)*(TYPE3&lt;&gt;"")+('Dvd Calendar'!$AR$654=TYPE4)*(TYPE4&lt;&gt;"")+('Dvd Calendar'!$AR$654=SPECIAL_LBL)*(INC_SPECIALS="Y"))=0,"",'Dvd Calendar'!$AR$652)))</f>
        <v/>
      </c>
      <c r="AQ70" s="106">
        <f>IF(FS70="","",IF(ISNUMBER('Dvd Calendar'!$E$657)=FALSE,"",'Dvd Calendar'!$E$657))</f>
        <v/>
      </c>
      <c r="AR70" s="106">
        <f>IF(FT70="","",IF(ISNUMBER('Dvd Calendar'!$F$657)=FALSE,"",'Dvd Calendar'!$F$657))</f>
        <v/>
      </c>
      <c r="AS70" s="106">
        <f>IF(FU70="","",IF(ISNUMBER('Dvd Calendar'!$G$657)=FALSE,"",'Dvd Calendar'!$G$657))</f>
        <v/>
      </c>
      <c r="AT70" s="106">
        <f>IF(FV70="","",IF(ISNUMBER('Dvd Calendar'!$H$657)=FALSE,"",'Dvd Calendar'!$H$657))</f>
        <v/>
      </c>
      <c r="AU70" s="106">
        <f>IF(FW70="","",IF(ISNUMBER('Dvd Calendar'!$I$657)=FALSE,"",'Dvd Calendar'!$I$657))</f>
        <v/>
      </c>
      <c r="AV70" s="106">
        <f>IF(FX70="","",IF(ISNUMBER('Dvd Calendar'!$J$657)=FALSE,"",'Dvd Calendar'!$J$657))</f>
        <v/>
      </c>
      <c r="AW70" s="106">
        <f>IF(FY70="","",IF(ISNUMBER('Dvd Calendar'!$K$657)=FALSE,"",'Dvd Calendar'!$K$657))</f>
        <v/>
      </c>
      <c r="AX70" s="106">
        <f>IF(FZ70="","",IF(ISNUMBER('Dvd Calendar'!$L$657)=FALSE,"",'Dvd Calendar'!$L$657))</f>
        <v/>
      </c>
      <c r="AY70" s="106">
        <f>IF(GA70="","",IF(ISNUMBER('Dvd Calendar'!$M$657)=FALSE,"",'Dvd Calendar'!$M$657))</f>
        <v/>
      </c>
      <c r="AZ70" s="106">
        <f>IF(GB70="","",IF(ISNUMBER('Dvd Calendar'!$N$657)=FALSE,"",'Dvd Calendar'!$N$657))</f>
        <v/>
      </c>
      <c r="BA70" s="106">
        <f>IF(GC70="","",IF(ISNUMBER('Dvd Calendar'!$O$657)=FALSE,"",'Dvd Calendar'!$O$657))</f>
        <v/>
      </c>
      <c r="BB70" s="106">
        <f>IF(GD70="","",IF(ISNUMBER('Dvd Calendar'!$P$657)=FALSE,"",'Dvd Calendar'!$P$657))</f>
        <v/>
      </c>
      <c r="BC70" s="106">
        <f>IF(GE70="","",IF(ISNUMBER('Dvd Calendar'!$Q$657)=FALSE,"",'Dvd Calendar'!$Q$657))</f>
        <v/>
      </c>
      <c r="BD70" s="106">
        <f>IF(GF70="","",IF(ISNUMBER('Dvd Calendar'!$R$657)=FALSE,"",'Dvd Calendar'!$R$657))</f>
        <v/>
      </c>
      <c r="BE70" s="106">
        <f>IF(GG70="","",IF(ISNUMBER('Dvd Calendar'!$S$657)=FALSE,"",'Dvd Calendar'!$S$657))</f>
        <v/>
      </c>
      <c r="BF70" s="106">
        <f>IF(GH70="","",IF(ISNUMBER('Dvd Calendar'!$T$657)=FALSE,"",'Dvd Calendar'!$T$657))</f>
        <v/>
      </c>
      <c r="BG70" s="106">
        <f>IF(GI70="","",IF(ISNUMBER('Dvd Calendar'!$U$657)=FALSE,"",'Dvd Calendar'!$U$657))</f>
        <v/>
      </c>
      <c r="BH70" s="106">
        <f>IF(GJ70="","",IF(ISNUMBER('Dvd Calendar'!$V$657)=FALSE,"",'Dvd Calendar'!$V$657))</f>
        <v/>
      </c>
      <c r="BI70" s="106">
        <f>IF(GK70="","",IF(ISNUMBER('Dvd Calendar'!$W$657)=FALSE,"",'Dvd Calendar'!$W$657))</f>
        <v/>
      </c>
      <c r="BJ70" s="106">
        <f>IF(GL70="","",IF(ISNUMBER('Dvd Calendar'!$X$657)=FALSE,"",'Dvd Calendar'!$X$657))</f>
        <v/>
      </c>
      <c r="BK70" s="106">
        <f>IF(GM70="","",IF(ISNUMBER('Dvd Calendar'!$Y$657)=FALSE,"",'Dvd Calendar'!$Y$657))</f>
        <v/>
      </c>
      <c r="BL70" s="106">
        <f>IF(GN70="","",IF(ISNUMBER('Dvd Calendar'!$Z$657)=FALSE,"",'Dvd Calendar'!$Z$657))</f>
        <v/>
      </c>
      <c r="BM70" s="106">
        <f>IF(GO70="","",IF(ISNUMBER('Dvd Calendar'!$AA$657)=FALSE,"",'Dvd Calendar'!$AA$657))</f>
        <v/>
      </c>
      <c r="BN70" s="106">
        <f>IF(GP70="","",IF(ISNUMBER('Dvd Calendar'!$AB$657)=FALSE,"",'Dvd Calendar'!$AB$657))</f>
        <v/>
      </c>
      <c r="BO70" s="106">
        <f>IF(GQ70="","",IF(ISNUMBER('Dvd Calendar'!$AC$657)=FALSE,"",'Dvd Calendar'!$AC$657))</f>
        <v/>
      </c>
      <c r="BQ70" s="106">
        <f>IF(C70="","",IFERROR(C70*HSI!$B$65*HSI!$G$65/HSI!$B$3,""))</f>
        <v/>
      </c>
      <c r="BR70" s="106">
        <f>IF(D70="","",IFERROR(D70*HSI!$B$65*HSI!$G$65/HSI!$B$3,""))</f>
        <v/>
      </c>
      <c r="BS70" s="106">
        <f>IF(E70="","",IFERROR(E70*HSI!$B$65*HSI!$G$65/HSI!$B$3,""))</f>
        <v/>
      </c>
      <c r="BT70" s="106">
        <f>IF(F70="","",IFERROR(F70*HSI!$B$65*HSI!$G$65/HSI!$B$3,""))</f>
        <v/>
      </c>
      <c r="BU70" s="106">
        <f>IF(G70="","",IFERROR(G70*HSI!$B$65*HSI!$G$65/HSI!$B$3,""))</f>
        <v/>
      </c>
      <c r="BV70" s="106">
        <f>IF(H70="","",IFERROR(H70*HSI!$B$65*HSI!$G$65/HSI!$B$3,""))</f>
        <v/>
      </c>
      <c r="BW70" s="106">
        <f>IF(I70="","",IFERROR(I70*HSI!$B$65*HSI!$G$65/HSI!$B$3,""))</f>
        <v/>
      </c>
      <c r="BX70" s="106">
        <f>IF(J70="","",IFERROR(J70*HSI!$B$65*HSI!$G$65/HSI!$B$3,""))</f>
        <v/>
      </c>
      <c r="BY70" s="106">
        <f>IF(K70="","",IFERROR(K70*HSI!$B$65*HSI!$G$65/HSI!$B$3,""))</f>
        <v/>
      </c>
      <c r="BZ70" s="106">
        <f>IF(L70="","",IFERROR(L70*HSI!$B$65*HSI!$G$65/HSI!$B$3,""))</f>
        <v/>
      </c>
      <c r="CA70" s="106">
        <f>IF(M70="","",IFERROR(M70*HSI!$B$65*HSI!$G$65/HSI!$B$3,""))</f>
        <v/>
      </c>
      <c r="CB70" s="106">
        <f>IF(N70="","",IFERROR(N70*HSI!$B$65*HSI!$G$65/HSI!$B$3,""))</f>
        <v/>
      </c>
      <c r="CC70" s="106">
        <f>IF(O70="","",IFERROR(O70*HSI!$B$65*HSI!$G$65/HSI!$B$3,""))</f>
        <v/>
      </c>
      <c r="CD70" s="106">
        <f>IF(P70="","",IFERROR(P70*HSI!$B$65*HSI!$G$65/HSI!$B$3,""))</f>
        <v/>
      </c>
      <c r="CE70" s="106">
        <f>IF(Q70="","",IFERROR(Q70*HSI!$B$65*HSI!$G$65/HSI!$B$3,""))</f>
        <v/>
      </c>
      <c r="CF70" s="106">
        <f>IF(R70="","",IFERROR(R70*HSI!$B$65*HSI!$G$65/HSI!$B$3,""))</f>
        <v/>
      </c>
      <c r="CG70" s="106">
        <f>IF(S70="","",IFERROR(S70*HSI!$B$65*HSI!$G$65/HSI!$B$3,""))</f>
        <v/>
      </c>
      <c r="CH70" s="106">
        <f>IF(T70="","",IFERROR(T70*HSI!$B$65*HSI!$G$65/HSI!$B$3,""))</f>
        <v/>
      </c>
      <c r="CI70" s="106">
        <f>IF(U70="","",IFERROR(U70*HSI!$B$65*HSI!$G$65/HSI!$B$3,""))</f>
        <v/>
      </c>
      <c r="CJ70" s="106">
        <f>IF(V70="","",IFERROR(V70*HSI!$B$65*HSI!$G$65/HSI!$B$3,""))</f>
        <v/>
      </c>
      <c r="CK70" s="106">
        <f>IF(W70="","",IFERROR(W70*HSI!$B$65*HSI!$G$65/HSI!$B$3,""))</f>
        <v/>
      </c>
      <c r="CL70" s="106">
        <f>IF(X70="","",IFERROR(X70*HSI!$B$65*HSI!$G$65/HSI!$B$3,""))</f>
        <v/>
      </c>
      <c r="CM70" s="106">
        <f>IF(Y70="","",IFERROR(Y70*HSI!$B$65*HSI!$G$65/HSI!$B$3,""))</f>
        <v/>
      </c>
      <c r="CN70" s="106">
        <f>IF(Z70="","",IFERROR(Z70*HSI!$B$65*HSI!$G$65/HSI!$B$3,""))</f>
        <v/>
      </c>
      <c r="CO70" s="106">
        <f>IF(AA70="","",IFERROR(AA70*HSI!$B$65*HSI!$G$65/HSI!$B$3,""))</f>
        <v/>
      </c>
      <c r="CP70" s="106">
        <f>IF(AB70="","",IFERROR(AB70*HSI!$B$65*HSI!$G$65/HSI!$B$3,""))</f>
        <v/>
      </c>
      <c r="CQ70" s="106">
        <f>IF(AC70="","",IFERROR(AC70*HSI!$B$65*HSI!$G$65/HSI!$B$3,""))</f>
        <v/>
      </c>
      <c r="CR70" s="106">
        <f>IF(AD70="","",IFERROR(AD70*HSI!$B$65*HSI!$G$65/HSI!$B$3,""))</f>
        <v/>
      </c>
      <c r="CS70" s="106">
        <f>IF(AE70="","",IFERROR(AE70*HSI!$B$65*HSI!$G$65/HSI!$B$3,""))</f>
        <v/>
      </c>
      <c r="CT70" s="106">
        <f>IF(AF70="","",IFERROR(AF70*HSI!$B$65*HSI!$G$65/HSI!$B$3,""))</f>
        <v/>
      </c>
      <c r="CU70" s="106">
        <f>IF(AG70="","",IFERROR(AG70*HSI!$B$65*HSI!$G$65/HSI!$B$3,""))</f>
        <v/>
      </c>
      <c r="CV70" s="106">
        <f>IF(AH70="","",IFERROR(AH70*HSI!$B$65*HSI!$G$65/HSI!$B$3,""))</f>
        <v/>
      </c>
      <c r="CW70" s="106">
        <f>IF(AI70="","",IFERROR(AI70*HSI!$B$65*HSI!$G$65/HSI!$B$3,""))</f>
        <v/>
      </c>
      <c r="CX70" s="106">
        <f>IF(AJ70="","",IFERROR(AJ70*HSI!$B$65*HSI!$G$65/HSI!$B$3,""))</f>
        <v/>
      </c>
      <c r="CY70" s="106">
        <f>IF(AK70="","",IFERROR(AK70*HSI!$B$65*HSI!$G$65/HSI!$B$3,""))</f>
        <v/>
      </c>
      <c r="CZ70" s="106">
        <f>IF(AL70="","",IFERROR(AL70*HSI!$B$65*HSI!$G$65/HSI!$B$3,""))</f>
        <v/>
      </c>
      <c r="DA70" s="106">
        <f>IF(AM70="","",IFERROR(AM70*HSI!$B$65*HSI!$G$65/HSI!$B$3,""))</f>
        <v/>
      </c>
      <c r="DB70" s="106">
        <f>IF(AN70="","",IFERROR(AN70*HSI!$B$65*HSI!$G$65/HSI!$B$3,""))</f>
        <v/>
      </c>
      <c r="DC70" s="106">
        <f>IF(AO70="","",IFERROR(AO70*HSI!$B$65*HSI!$G$65/HSI!$B$3,""))</f>
        <v/>
      </c>
      <c r="DD70" s="106">
        <f>IF(AP70="","",IFERROR(AP70*HSI!$B$65*HSI!$G$65/HSI!$B$3,""))</f>
        <v/>
      </c>
      <c r="DE70" s="106">
        <f>IF(AQ70="","",IFERROR(AQ70*HSI!$B$65*HSI!$G$65/HSI!$B$3,""))</f>
        <v/>
      </c>
      <c r="DF70" s="106">
        <f>IF(AR70="","",IFERROR(AR70*HSI!$B$65*HSI!$G$65/HSI!$B$3,""))</f>
        <v/>
      </c>
      <c r="DG70" s="106">
        <f>IF(AS70="","",IFERROR(AS70*HSI!$B$65*HSI!$G$65/HSI!$B$3,""))</f>
        <v/>
      </c>
      <c r="DH70" s="106">
        <f>IF(AT70="","",IFERROR(AT70*HSI!$B$65*HSI!$G$65/HSI!$B$3,""))</f>
        <v/>
      </c>
      <c r="DI70" s="106">
        <f>IF(AU70="","",IFERROR(AU70*HSI!$B$65*HSI!$G$65/HSI!$B$3,""))</f>
        <v/>
      </c>
      <c r="DJ70" s="106">
        <f>IF(AV70="","",IFERROR(AV70*HSI!$B$65*HSI!$G$65/HSI!$B$3,""))</f>
        <v/>
      </c>
      <c r="DK70" s="106">
        <f>IF(AW70="","",IFERROR(AW70*HSI!$B$65*HSI!$G$65/HSI!$B$3,""))</f>
        <v/>
      </c>
      <c r="DL70" s="106">
        <f>IF(AX70="","",IFERROR(AX70*HSI!$B$65*HSI!$G$65/HSI!$B$3,""))</f>
        <v/>
      </c>
      <c r="DM70" s="106">
        <f>IF(AY70="","",IFERROR(AY70*HSI!$B$65*HSI!$G$65/HSI!$B$3,""))</f>
        <v/>
      </c>
      <c r="DN70" s="106">
        <f>IF(AZ70="","",IFERROR(AZ70*HSI!$B$65*HSI!$G$65/HSI!$B$3,""))</f>
        <v/>
      </c>
      <c r="DO70" s="106">
        <f>IF(BA70="","",IFERROR(BA70*HSI!$B$65*HSI!$G$65/HSI!$B$3,""))</f>
        <v/>
      </c>
      <c r="DP70" s="106">
        <f>IF(BB70="","",IFERROR(BB70*HSI!$B$65*HSI!$G$65/HSI!$B$3,""))</f>
        <v/>
      </c>
      <c r="DQ70" s="106">
        <f>IF(BC70="","",IFERROR(BC70*HSI!$B$65*HSI!$G$65/HSI!$B$3,""))</f>
        <v/>
      </c>
      <c r="DR70" s="106">
        <f>IF(BD70="","",IFERROR(BD70*HSI!$B$65*HSI!$G$65/HSI!$B$3,""))</f>
        <v/>
      </c>
      <c r="DS70" s="106">
        <f>IF(BE70="","",IFERROR(BE70*HSI!$B$65*HSI!$G$65/HSI!$B$3,""))</f>
        <v/>
      </c>
      <c r="DT70" s="106">
        <f>IF(BF70="","",IFERROR(BF70*HSI!$B$65*HSI!$G$65/HSI!$B$3,""))</f>
        <v/>
      </c>
      <c r="DU70" s="106">
        <f>IF(BG70="","",IFERROR(BG70*HSI!$B$65*HSI!$G$65/HSI!$B$3,""))</f>
        <v/>
      </c>
      <c r="DV70" s="106">
        <f>IF(BH70="","",IFERROR(BH70*HSI!$B$65*HSI!$G$65/HSI!$B$3,""))</f>
        <v/>
      </c>
      <c r="DW70" s="106">
        <f>IF(BI70="","",IFERROR(BI70*HSI!$B$65*HSI!$G$65/HSI!$B$3,""))</f>
        <v/>
      </c>
      <c r="DX70" s="106">
        <f>IF(BJ70="","",IFERROR(BJ70*HSI!$B$65*HSI!$G$65/HSI!$B$3,""))</f>
        <v/>
      </c>
      <c r="DY70" s="106">
        <f>IF(BK70="","",IFERROR(BK70*HSI!$B$65*HSI!$G$65/HSI!$B$3,""))</f>
        <v/>
      </c>
      <c r="DZ70" s="106">
        <f>IF(BL70="","",IFERROR(BL70*HSI!$B$65*HSI!$G$65/HSI!$B$3,""))</f>
        <v/>
      </c>
      <c r="EA70" s="106">
        <f>IF(BM70="","",IFERROR(BM70*HSI!$B$65*HSI!$G$65/HSI!$B$3,""))</f>
        <v/>
      </c>
      <c r="EB70" s="106">
        <f>IF(BN70="","",IFERROR(BN70*HSI!$B$65*HSI!$G$65/HSI!$B$3,""))</f>
        <v/>
      </c>
      <c r="EC70" s="106">
        <f>IF(BO70="","",IFERROR(BO70*HSI!$B$65*HSI!$G$65/HSI!$B$3,""))</f>
        <v/>
      </c>
      <c r="EE70" s="35">
        <f>IF(N('Dvd Calendar'!$E$649)=0,"",IF(('Dvd Calendar'!$E$649&gt;=GRID_FROM)*('Dvd Calendar'!$E$649&lt;=GRID_TO)*('Dvd Calendar'!$E$649&lt;=VAL_DATE)=0,"",'Dvd Calendar'!$E$649*1000000000+ISNUMBER('Dvd Calendar'!$E$652)*100000000+('Dvd Calendar'!$E$654=SPECIAL_LBL)*10000000+0*1000000+59*1000+1))</f>
        <v/>
      </c>
      <c r="EF70" s="35">
        <f>IF(N('Dvd Calendar'!$F$649)=0,"",IF(('Dvd Calendar'!$F$649&gt;=GRID_FROM)*('Dvd Calendar'!$F$649&lt;=GRID_TO)*('Dvd Calendar'!$F$649&lt;=VAL_DATE)=0,"",'Dvd Calendar'!$F$649*1000000000+ISNUMBER('Dvd Calendar'!$F$652)*100000000+('Dvd Calendar'!$F$654=SPECIAL_LBL)*10000000+0*1000000+59*1000+2))</f>
        <v/>
      </c>
      <c r="EG70" s="35">
        <f>IF(N('Dvd Calendar'!$G$649)=0,"",IF(('Dvd Calendar'!$G$649&gt;=GRID_FROM)*('Dvd Calendar'!$G$649&lt;=GRID_TO)*('Dvd Calendar'!$G$649&lt;=VAL_DATE)=0,"",'Dvd Calendar'!$G$649*1000000000+ISNUMBER('Dvd Calendar'!$G$652)*100000000+('Dvd Calendar'!$G$654=SPECIAL_LBL)*10000000+0*1000000+59*1000+3))</f>
        <v/>
      </c>
      <c r="EH70" s="35">
        <f>IF(N('Dvd Calendar'!$H$649)=0,"",IF(('Dvd Calendar'!$H$649&gt;=GRID_FROM)*('Dvd Calendar'!$H$649&lt;=GRID_TO)*('Dvd Calendar'!$H$649&lt;=VAL_DATE)=0,"",'Dvd Calendar'!$H$649*1000000000+ISNUMBER('Dvd Calendar'!$H$652)*100000000+('Dvd Calendar'!$H$654=SPECIAL_LBL)*10000000+0*1000000+59*1000+4))</f>
        <v/>
      </c>
      <c r="EI70" s="35">
        <f>IF(N('Dvd Calendar'!$I$649)=0,"",IF(('Dvd Calendar'!$I$649&gt;=GRID_FROM)*('Dvd Calendar'!$I$649&lt;=GRID_TO)*('Dvd Calendar'!$I$649&lt;=VAL_DATE)=0,"",'Dvd Calendar'!$I$649*1000000000+ISNUMBER('Dvd Calendar'!$I$652)*100000000+('Dvd Calendar'!$I$654=SPECIAL_LBL)*10000000+0*1000000+59*1000+5))</f>
        <v/>
      </c>
      <c r="EJ70" s="35">
        <f>IF(N('Dvd Calendar'!$J$649)=0,"",IF(('Dvd Calendar'!$J$649&gt;=GRID_FROM)*('Dvd Calendar'!$J$649&lt;=GRID_TO)*('Dvd Calendar'!$J$649&lt;=VAL_DATE)=0,"",'Dvd Calendar'!$J$649*1000000000+ISNUMBER('Dvd Calendar'!$J$652)*100000000+('Dvd Calendar'!$J$654=SPECIAL_LBL)*10000000+0*1000000+59*1000+6))</f>
        <v/>
      </c>
      <c r="EK70" s="35">
        <f>IF(N('Dvd Calendar'!$K$649)=0,"",IF(('Dvd Calendar'!$K$649&gt;=GRID_FROM)*('Dvd Calendar'!$K$649&lt;=GRID_TO)*('Dvd Calendar'!$K$649&lt;=VAL_DATE)=0,"",'Dvd Calendar'!$K$649*1000000000+ISNUMBER('Dvd Calendar'!$K$652)*100000000+('Dvd Calendar'!$K$654=SPECIAL_LBL)*10000000+0*1000000+59*1000+7))</f>
        <v/>
      </c>
      <c r="EL70" s="35">
        <f>IF(N('Dvd Calendar'!$L$649)=0,"",IF(('Dvd Calendar'!$L$649&gt;=GRID_FROM)*('Dvd Calendar'!$L$649&lt;=GRID_TO)*('Dvd Calendar'!$L$649&lt;=VAL_DATE)=0,"",'Dvd Calendar'!$L$649*1000000000+ISNUMBER('Dvd Calendar'!$L$652)*100000000+('Dvd Calendar'!$L$654=SPECIAL_LBL)*10000000+0*1000000+59*1000+8))</f>
        <v/>
      </c>
      <c r="EM70" s="35">
        <f>IF(N('Dvd Calendar'!$M$649)=0,"",IF(('Dvd Calendar'!$M$649&gt;=GRID_FROM)*('Dvd Calendar'!$M$649&lt;=GRID_TO)*('Dvd Calendar'!$M$649&lt;=VAL_DATE)=0,"",'Dvd Calendar'!$M$649*1000000000+ISNUMBER('Dvd Calendar'!$M$652)*100000000+('Dvd Calendar'!$M$654=SPECIAL_LBL)*10000000+0*1000000+59*1000+9))</f>
        <v/>
      </c>
      <c r="EN70" s="35">
        <f>IF(N('Dvd Calendar'!$N$649)=0,"",IF(('Dvd Calendar'!$N$649&gt;=GRID_FROM)*('Dvd Calendar'!$N$649&lt;=GRID_TO)*('Dvd Calendar'!$N$649&lt;=VAL_DATE)=0,"",'Dvd Calendar'!$N$649*1000000000+ISNUMBER('Dvd Calendar'!$N$652)*100000000+('Dvd Calendar'!$N$654=SPECIAL_LBL)*10000000+0*1000000+59*1000+10))</f>
        <v/>
      </c>
      <c r="EO70" s="35">
        <f>IF(N('Dvd Calendar'!$O$649)=0,"",IF(('Dvd Calendar'!$O$649&gt;=GRID_FROM)*('Dvd Calendar'!$O$649&lt;=GRID_TO)*('Dvd Calendar'!$O$649&lt;=VAL_DATE)=0,"",'Dvd Calendar'!$O$649*1000000000+ISNUMBER('Dvd Calendar'!$O$652)*100000000+('Dvd Calendar'!$O$654=SPECIAL_LBL)*10000000+0*1000000+59*1000+11))</f>
        <v/>
      </c>
      <c r="EP70" s="35">
        <f>IF(N('Dvd Calendar'!$P$649)=0,"",IF(('Dvd Calendar'!$P$649&gt;=GRID_FROM)*('Dvd Calendar'!$P$649&lt;=GRID_TO)*('Dvd Calendar'!$P$649&lt;=VAL_DATE)=0,"",'Dvd Calendar'!$P$649*1000000000+ISNUMBER('Dvd Calendar'!$P$652)*100000000+('Dvd Calendar'!$P$654=SPECIAL_LBL)*10000000+0*1000000+59*1000+12))</f>
        <v/>
      </c>
      <c r="EQ70" s="35">
        <f>IF(N('Dvd Calendar'!$Q$649)=0,"",IF(('Dvd Calendar'!$Q$649&gt;=GRID_FROM)*('Dvd Calendar'!$Q$649&lt;=GRID_TO)*('Dvd Calendar'!$Q$649&lt;=VAL_DATE)=0,"",'Dvd Calendar'!$Q$649*1000000000+ISNUMBER('Dvd Calendar'!$Q$652)*100000000+('Dvd Calendar'!$Q$654=SPECIAL_LBL)*10000000+0*1000000+59*1000+13))</f>
        <v/>
      </c>
      <c r="ER70" s="35">
        <f>IF(N('Dvd Calendar'!$R$649)=0,"",IF(('Dvd Calendar'!$R$649&gt;=GRID_FROM)*('Dvd Calendar'!$R$649&lt;=GRID_TO)*('Dvd Calendar'!$R$649&lt;=VAL_DATE)=0,"",'Dvd Calendar'!$R$649*1000000000+ISNUMBER('Dvd Calendar'!$R$652)*100000000+('Dvd Calendar'!$R$654=SPECIAL_LBL)*10000000+0*1000000+59*1000+14))</f>
        <v/>
      </c>
      <c r="ES70" s="35">
        <f>IF(N('Dvd Calendar'!$S$649)=0,"",IF(('Dvd Calendar'!$S$649&gt;=GRID_FROM)*('Dvd Calendar'!$S$649&lt;=GRID_TO)*('Dvd Calendar'!$S$649&lt;=VAL_DATE)=0,"",'Dvd Calendar'!$S$649*1000000000+ISNUMBER('Dvd Calendar'!$S$652)*100000000+('Dvd Calendar'!$S$654=SPECIAL_LBL)*10000000+0*1000000+59*1000+15))</f>
        <v/>
      </c>
      <c r="ET70" s="35">
        <f>IF(N('Dvd Calendar'!$T$649)=0,"",IF(('Dvd Calendar'!$T$649&gt;=GRID_FROM)*('Dvd Calendar'!$T$649&lt;=GRID_TO)*('Dvd Calendar'!$T$649&lt;=VAL_DATE)=0,"",'Dvd Calendar'!$T$649*1000000000+ISNUMBER('Dvd Calendar'!$T$652)*100000000+('Dvd Calendar'!$T$654=SPECIAL_LBL)*10000000+0*1000000+59*1000+16))</f>
        <v/>
      </c>
      <c r="EU70" s="35">
        <f>IF(N('Dvd Calendar'!$U$649)=0,"",IF(('Dvd Calendar'!$U$649&gt;=GRID_FROM)*('Dvd Calendar'!$U$649&lt;=GRID_TO)*('Dvd Calendar'!$U$649&lt;=VAL_DATE)=0,"",'Dvd Calendar'!$U$649*1000000000+ISNUMBER('Dvd Calendar'!$U$652)*100000000+('Dvd Calendar'!$U$654=SPECIAL_LBL)*10000000+0*1000000+59*1000+17))</f>
        <v/>
      </c>
      <c r="EV70" s="35">
        <f>IF(N('Dvd Calendar'!$V$649)=0,"",IF(('Dvd Calendar'!$V$649&gt;=GRID_FROM)*('Dvd Calendar'!$V$649&lt;=GRID_TO)*('Dvd Calendar'!$V$649&lt;=VAL_DATE)=0,"",'Dvd Calendar'!$V$649*1000000000+ISNUMBER('Dvd Calendar'!$V$652)*100000000+('Dvd Calendar'!$V$654=SPECIAL_LBL)*10000000+0*1000000+59*1000+18))</f>
        <v/>
      </c>
      <c r="EW70" s="35">
        <f>IF(N('Dvd Calendar'!$W$649)=0,"",IF(('Dvd Calendar'!$W$649&gt;=GRID_FROM)*('Dvd Calendar'!$W$649&lt;=GRID_TO)*('Dvd Calendar'!$W$649&lt;=VAL_DATE)=0,"",'Dvd Calendar'!$W$649*1000000000+ISNUMBER('Dvd Calendar'!$W$652)*100000000+('Dvd Calendar'!$W$654=SPECIAL_LBL)*10000000+0*1000000+59*1000+19))</f>
        <v/>
      </c>
      <c r="EX70" s="35">
        <f>IF(N('Dvd Calendar'!$X$649)=0,"",IF(('Dvd Calendar'!$X$649&gt;=GRID_FROM)*('Dvd Calendar'!$X$649&lt;=GRID_TO)*('Dvd Calendar'!$X$649&lt;=VAL_DATE)=0,"",'Dvd Calendar'!$X$649*1000000000+ISNUMBER('Dvd Calendar'!$X$652)*100000000+('Dvd Calendar'!$X$654=SPECIAL_LBL)*10000000+0*1000000+59*1000+20))</f>
        <v/>
      </c>
      <c r="EY70" s="35">
        <f>IF(N('Dvd Calendar'!$Y$649)=0,"",IF(('Dvd Calendar'!$Y$649&gt;=GRID_FROM)*('Dvd Calendar'!$Y$649&lt;=GRID_TO)*('Dvd Calendar'!$Y$649&lt;=VAL_DATE)=0,"",'Dvd Calendar'!$Y$649*1000000000+ISNUMBER('Dvd Calendar'!$Y$652)*100000000+('Dvd Calendar'!$Y$654=SPECIAL_LBL)*10000000+0*1000000+59*1000+21))</f>
        <v/>
      </c>
      <c r="EZ70" s="35">
        <f>IF(N('Dvd Calendar'!$Z$649)=0,"",IF(('Dvd Calendar'!$Z$649&gt;=GRID_FROM)*('Dvd Calendar'!$Z$649&lt;=GRID_TO)*('Dvd Calendar'!$Z$649&lt;=VAL_DATE)=0,"",'Dvd Calendar'!$Z$649*1000000000+ISNUMBER('Dvd Calendar'!$Z$652)*100000000+('Dvd Calendar'!$Z$654=SPECIAL_LBL)*10000000+0*1000000+59*1000+22))</f>
        <v/>
      </c>
      <c r="FA70" s="35">
        <f>IF(N('Dvd Calendar'!$AA$649)=0,"",IF(('Dvd Calendar'!$AA$649&gt;=GRID_FROM)*('Dvd Calendar'!$AA$649&lt;=GRID_TO)*('Dvd Calendar'!$AA$649&lt;=VAL_DATE)=0,"",'Dvd Calendar'!$AA$649*1000000000+ISNUMBER('Dvd Calendar'!$AA$652)*100000000+('Dvd Calendar'!$AA$654=SPECIAL_LBL)*10000000+0*1000000+59*1000+23))</f>
        <v/>
      </c>
      <c r="FB70" s="35">
        <f>IF(N('Dvd Calendar'!$AB$649)=0,"",IF(('Dvd Calendar'!$AB$649&gt;=GRID_FROM)*('Dvd Calendar'!$AB$649&lt;=GRID_TO)*('Dvd Calendar'!$AB$649&lt;=VAL_DATE)=0,"",'Dvd Calendar'!$AB$649*1000000000+ISNUMBER('Dvd Calendar'!$AB$652)*100000000+('Dvd Calendar'!$AB$654=SPECIAL_LBL)*10000000+0*1000000+59*1000+24))</f>
        <v/>
      </c>
      <c r="FC70" s="35">
        <f>IF(N('Dvd Calendar'!$AC$649)=0,"",IF(('Dvd Calendar'!$AC$649&gt;=GRID_FROM)*('Dvd Calendar'!$AC$649&lt;=GRID_TO)*('Dvd Calendar'!$AC$649&lt;=VAL_DATE)=0,"",'Dvd Calendar'!$AC$649*1000000000+ISNUMBER('Dvd Calendar'!$AC$652)*100000000+('Dvd Calendar'!$AC$654=SPECIAL_LBL)*10000000+0*1000000+59*1000+25))</f>
        <v/>
      </c>
      <c r="FD70" s="35">
        <f>IF(N('Dvd Calendar'!$AD$649)=0,"",IF(('Dvd Calendar'!$AD$649&gt;=GRID_FROM)*('Dvd Calendar'!$AD$649&lt;=GRID_TO)*('Dvd Calendar'!$AD$649&lt;=VAL_DATE)=0,"",'Dvd Calendar'!$AD$649*1000000000+ISNUMBER('Dvd Calendar'!$AD$652)*100000000+('Dvd Calendar'!$AD$654=SPECIAL_LBL)*10000000+0*1000000+59*1000+26))</f>
        <v/>
      </c>
      <c r="FE70" s="35">
        <f>IF(N('Dvd Calendar'!$AE$649)=0,"",IF(('Dvd Calendar'!$AE$649&gt;=GRID_FROM)*('Dvd Calendar'!$AE$649&lt;=GRID_TO)*('Dvd Calendar'!$AE$649&lt;=VAL_DATE)=0,"",'Dvd Calendar'!$AE$649*1000000000+ISNUMBER('Dvd Calendar'!$AE$652)*100000000+('Dvd Calendar'!$AE$654=SPECIAL_LBL)*10000000+0*1000000+59*1000+27))</f>
        <v/>
      </c>
      <c r="FF70" s="35">
        <f>IF(N('Dvd Calendar'!$AF$649)=0,"",IF(('Dvd Calendar'!$AF$649&gt;=GRID_FROM)*('Dvd Calendar'!$AF$649&lt;=GRID_TO)*('Dvd Calendar'!$AF$649&lt;=VAL_DATE)=0,"",'Dvd Calendar'!$AF$649*1000000000+ISNUMBER('Dvd Calendar'!$AF$652)*100000000+('Dvd Calendar'!$AF$654=SPECIAL_LBL)*10000000+0*1000000+59*1000+28))</f>
        <v/>
      </c>
      <c r="FG70" s="35">
        <f>IF(N('Dvd Calendar'!$AG$649)=0,"",IF(('Dvd Calendar'!$AG$649&gt;=GRID_FROM)*('Dvd Calendar'!$AG$649&lt;=GRID_TO)*('Dvd Calendar'!$AG$649&lt;=VAL_DATE)=0,"",'Dvd Calendar'!$AG$649*1000000000+ISNUMBER('Dvd Calendar'!$AG$652)*100000000+('Dvd Calendar'!$AG$654=SPECIAL_LBL)*10000000+0*1000000+59*1000+29))</f>
        <v/>
      </c>
      <c r="FH70" s="35">
        <f>IF(N('Dvd Calendar'!$AH$649)=0,"",IF(('Dvd Calendar'!$AH$649&gt;=GRID_FROM)*('Dvd Calendar'!$AH$649&lt;=GRID_TO)*('Dvd Calendar'!$AH$649&lt;=VAL_DATE)=0,"",'Dvd Calendar'!$AH$649*1000000000+ISNUMBER('Dvd Calendar'!$AH$652)*100000000+('Dvd Calendar'!$AH$654=SPECIAL_LBL)*10000000+0*1000000+59*1000+30))</f>
        <v/>
      </c>
      <c r="FI70" s="35">
        <f>IF(N('Dvd Calendar'!$AI$649)=0,"",IF(('Dvd Calendar'!$AI$649&gt;=GRID_FROM)*('Dvd Calendar'!$AI$649&lt;=GRID_TO)*('Dvd Calendar'!$AI$649&lt;=VAL_DATE)=0,"",'Dvd Calendar'!$AI$649*1000000000+ISNUMBER('Dvd Calendar'!$AI$652)*100000000+('Dvd Calendar'!$AI$654=SPECIAL_LBL)*10000000+0*1000000+59*1000+31))</f>
        <v/>
      </c>
      <c r="FJ70" s="35">
        <f>IF(N('Dvd Calendar'!$AJ$649)=0,"",IF(('Dvd Calendar'!$AJ$649&gt;=GRID_FROM)*('Dvd Calendar'!$AJ$649&lt;=GRID_TO)*('Dvd Calendar'!$AJ$649&lt;=VAL_DATE)=0,"",'Dvd Calendar'!$AJ$649*1000000000+ISNUMBER('Dvd Calendar'!$AJ$652)*100000000+('Dvd Calendar'!$AJ$654=SPECIAL_LBL)*10000000+0*1000000+59*1000+32))</f>
        <v/>
      </c>
      <c r="FK70" s="35">
        <f>IF(N('Dvd Calendar'!$AK$649)=0,"",IF(('Dvd Calendar'!$AK$649&gt;=GRID_FROM)*('Dvd Calendar'!$AK$649&lt;=GRID_TO)*('Dvd Calendar'!$AK$649&lt;=VAL_DATE)=0,"",'Dvd Calendar'!$AK$649*1000000000+ISNUMBER('Dvd Calendar'!$AK$652)*100000000+('Dvd Calendar'!$AK$654=SPECIAL_LBL)*10000000+0*1000000+59*1000+33))</f>
        <v/>
      </c>
      <c r="FL70" s="35">
        <f>IF(N('Dvd Calendar'!$AL$649)=0,"",IF(('Dvd Calendar'!$AL$649&gt;=GRID_FROM)*('Dvd Calendar'!$AL$649&lt;=GRID_TO)*('Dvd Calendar'!$AL$649&lt;=VAL_DATE)=0,"",'Dvd Calendar'!$AL$649*1000000000+ISNUMBER('Dvd Calendar'!$AL$652)*100000000+('Dvd Calendar'!$AL$654=SPECIAL_LBL)*10000000+0*1000000+59*1000+34))</f>
        <v/>
      </c>
      <c r="FM70" s="35">
        <f>IF(N('Dvd Calendar'!$AM$649)=0,"",IF(('Dvd Calendar'!$AM$649&gt;=GRID_FROM)*('Dvd Calendar'!$AM$649&lt;=GRID_TO)*('Dvd Calendar'!$AM$649&lt;=VAL_DATE)=0,"",'Dvd Calendar'!$AM$649*1000000000+ISNUMBER('Dvd Calendar'!$AM$652)*100000000+('Dvd Calendar'!$AM$654=SPECIAL_LBL)*10000000+0*1000000+59*1000+35))</f>
        <v/>
      </c>
      <c r="FN70" s="35">
        <f>IF(N('Dvd Calendar'!$AN$649)=0,"",IF(('Dvd Calendar'!$AN$649&gt;=GRID_FROM)*('Dvd Calendar'!$AN$649&lt;=GRID_TO)*('Dvd Calendar'!$AN$649&lt;=VAL_DATE)=0,"",'Dvd Calendar'!$AN$649*1000000000+ISNUMBER('Dvd Calendar'!$AN$652)*100000000+('Dvd Calendar'!$AN$654=SPECIAL_LBL)*10000000+0*1000000+59*1000+36))</f>
        <v/>
      </c>
      <c r="FO70" s="35">
        <f>IF(N('Dvd Calendar'!$AO$649)=0,"",IF(('Dvd Calendar'!$AO$649&gt;=GRID_FROM)*('Dvd Calendar'!$AO$649&lt;=GRID_TO)*('Dvd Calendar'!$AO$649&lt;=VAL_DATE)=0,"",'Dvd Calendar'!$AO$649*1000000000+ISNUMBER('Dvd Calendar'!$AO$652)*100000000+('Dvd Calendar'!$AO$654=SPECIAL_LBL)*10000000+0*1000000+59*1000+37))</f>
        <v/>
      </c>
      <c r="FP70" s="35">
        <f>IF(N('Dvd Calendar'!$AP$649)=0,"",IF(('Dvd Calendar'!$AP$649&gt;=GRID_FROM)*('Dvd Calendar'!$AP$649&lt;=GRID_TO)*('Dvd Calendar'!$AP$649&lt;=VAL_DATE)=0,"",'Dvd Calendar'!$AP$649*1000000000+ISNUMBER('Dvd Calendar'!$AP$652)*100000000+('Dvd Calendar'!$AP$654=SPECIAL_LBL)*10000000+0*1000000+59*1000+38))</f>
        <v/>
      </c>
      <c r="FQ70" s="35">
        <f>IF(N('Dvd Calendar'!$AQ$649)=0,"",IF(('Dvd Calendar'!$AQ$649&gt;=GRID_FROM)*('Dvd Calendar'!$AQ$649&lt;=GRID_TO)*('Dvd Calendar'!$AQ$649&lt;=VAL_DATE)=0,"",'Dvd Calendar'!$AQ$649*1000000000+ISNUMBER('Dvd Calendar'!$AQ$652)*100000000+('Dvd Calendar'!$AQ$654=SPECIAL_LBL)*10000000+0*1000000+59*1000+39))</f>
        <v/>
      </c>
      <c r="FR70" s="35">
        <f>IF(N('Dvd Calendar'!$AR$649)=0,"",IF(('Dvd Calendar'!$AR$649&gt;=GRID_FROM)*('Dvd Calendar'!$AR$649&lt;=GRID_TO)*('Dvd Calendar'!$AR$649&lt;=VAL_DATE)=0,"",'Dvd Calendar'!$AR$649*1000000000+ISNUMBER('Dvd Calendar'!$AR$652)*100000000+('Dvd Calendar'!$AR$654=SPECIAL_LBL)*10000000+0*1000000+59*1000+40))</f>
        <v/>
      </c>
      <c r="FS70" s="35">
        <f>IF(N('Dvd Calendar'!$E$656)=0,"",IF(('Dvd Calendar'!$E$656&gt;=GRID_FROM)*('Dvd Calendar'!$E$656&lt;=GRID_TO)*('Dvd Calendar'!$E$656&gt;VAL_DATE)=0,"",'Dvd Calendar'!$E$656*1000000000+ISNUMBER('Dvd Calendar'!$E$657)*100000000+0*10000000+(N('Dvd Calendar'!$E$655)&gt;0)*(N('Dvd Calendar'!$E$655)&lt;=VAL_SERIAL)*1000000+59*1000+41))</f>
        <v/>
      </c>
      <c r="FT70" s="35">
        <f>IF(N('Dvd Calendar'!$F$656)=0,"",IF(('Dvd Calendar'!$F$656&gt;=GRID_FROM)*('Dvd Calendar'!$F$656&lt;=GRID_TO)*('Dvd Calendar'!$F$656&gt;VAL_DATE)=0,"",'Dvd Calendar'!$F$656*1000000000+ISNUMBER('Dvd Calendar'!$F$657)*100000000+0*10000000+(N('Dvd Calendar'!$F$655)&gt;0)*(N('Dvd Calendar'!$F$655)&lt;=VAL_SERIAL)*1000000+59*1000+42))</f>
        <v/>
      </c>
      <c r="FU70" s="35">
        <f>IF(N('Dvd Calendar'!$G$656)=0,"",IF(('Dvd Calendar'!$G$656&gt;=GRID_FROM)*('Dvd Calendar'!$G$656&lt;=GRID_TO)*('Dvd Calendar'!$G$656&gt;VAL_DATE)=0,"",'Dvd Calendar'!$G$656*1000000000+ISNUMBER('Dvd Calendar'!$G$657)*100000000+0*10000000+(N('Dvd Calendar'!$G$655)&gt;0)*(N('Dvd Calendar'!$G$655)&lt;=VAL_SERIAL)*1000000+59*1000+43))</f>
        <v/>
      </c>
      <c r="FV70" s="35">
        <f>IF(N('Dvd Calendar'!$H$656)=0,"",IF(('Dvd Calendar'!$H$656&gt;=GRID_FROM)*('Dvd Calendar'!$H$656&lt;=GRID_TO)*('Dvd Calendar'!$H$656&gt;VAL_DATE)=0,"",'Dvd Calendar'!$H$656*1000000000+ISNUMBER('Dvd Calendar'!$H$657)*100000000+0*10000000+(N('Dvd Calendar'!$H$655)&gt;0)*(N('Dvd Calendar'!$H$655)&lt;=VAL_SERIAL)*1000000+59*1000+44))</f>
        <v/>
      </c>
      <c r="FW70" s="35">
        <f>IF(N('Dvd Calendar'!$I$656)=0,"",IF(('Dvd Calendar'!$I$656&gt;=GRID_FROM)*('Dvd Calendar'!$I$656&lt;=GRID_TO)*('Dvd Calendar'!$I$656&gt;VAL_DATE)=0,"",'Dvd Calendar'!$I$656*1000000000+ISNUMBER('Dvd Calendar'!$I$657)*100000000+0*10000000+(N('Dvd Calendar'!$I$655)&gt;0)*(N('Dvd Calendar'!$I$655)&lt;=VAL_SERIAL)*1000000+59*1000+45))</f>
        <v/>
      </c>
      <c r="FX70" s="35">
        <f>IF(N('Dvd Calendar'!$J$656)=0,"",IF(('Dvd Calendar'!$J$656&gt;=GRID_FROM)*('Dvd Calendar'!$J$656&lt;=GRID_TO)*('Dvd Calendar'!$J$656&gt;VAL_DATE)=0,"",'Dvd Calendar'!$J$656*1000000000+ISNUMBER('Dvd Calendar'!$J$657)*100000000+0*10000000+(N('Dvd Calendar'!$J$655)&gt;0)*(N('Dvd Calendar'!$J$655)&lt;=VAL_SERIAL)*1000000+59*1000+46))</f>
        <v/>
      </c>
      <c r="FY70" s="35">
        <f>IF(N('Dvd Calendar'!$K$656)=0,"",IF(('Dvd Calendar'!$K$656&gt;=GRID_FROM)*('Dvd Calendar'!$K$656&lt;=GRID_TO)*('Dvd Calendar'!$K$656&gt;VAL_DATE)=0,"",'Dvd Calendar'!$K$656*1000000000+ISNUMBER('Dvd Calendar'!$K$657)*100000000+0*10000000+(N('Dvd Calendar'!$K$655)&gt;0)*(N('Dvd Calendar'!$K$655)&lt;=VAL_SERIAL)*1000000+59*1000+47))</f>
        <v/>
      </c>
      <c r="FZ70" s="35">
        <f>IF(N('Dvd Calendar'!$L$656)=0,"",IF(('Dvd Calendar'!$L$656&gt;=GRID_FROM)*('Dvd Calendar'!$L$656&lt;=GRID_TO)*('Dvd Calendar'!$L$656&gt;VAL_DATE)=0,"",'Dvd Calendar'!$L$656*1000000000+ISNUMBER('Dvd Calendar'!$L$657)*100000000+0*10000000+(N('Dvd Calendar'!$L$655)&gt;0)*(N('Dvd Calendar'!$L$655)&lt;=VAL_SERIAL)*1000000+59*1000+48))</f>
        <v/>
      </c>
      <c r="GA70" s="35">
        <f>IF(N('Dvd Calendar'!$M$656)=0,"",IF(('Dvd Calendar'!$M$656&gt;=GRID_FROM)*('Dvd Calendar'!$M$656&lt;=GRID_TO)*('Dvd Calendar'!$M$656&gt;VAL_DATE)=0,"",'Dvd Calendar'!$M$656*1000000000+ISNUMBER('Dvd Calendar'!$M$657)*100000000+0*10000000+(N('Dvd Calendar'!$M$655)&gt;0)*(N('Dvd Calendar'!$M$655)&lt;=VAL_SERIAL)*1000000+59*1000+49))</f>
        <v/>
      </c>
      <c r="GB70" s="35">
        <f>IF(N('Dvd Calendar'!$N$656)=0,"",IF(('Dvd Calendar'!$N$656&gt;=GRID_FROM)*('Dvd Calendar'!$N$656&lt;=GRID_TO)*('Dvd Calendar'!$N$656&gt;VAL_DATE)=0,"",'Dvd Calendar'!$N$656*1000000000+ISNUMBER('Dvd Calendar'!$N$657)*100000000+0*10000000+(N('Dvd Calendar'!$N$655)&gt;0)*(N('Dvd Calendar'!$N$655)&lt;=VAL_SERIAL)*1000000+59*1000+50))</f>
        <v/>
      </c>
      <c r="GC70" s="35">
        <f>IF(N('Dvd Calendar'!$O$656)=0,"",IF(('Dvd Calendar'!$O$656&gt;=GRID_FROM)*('Dvd Calendar'!$O$656&lt;=GRID_TO)*('Dvd Calendar'!$O$656&gt;VAL_DATE)=0,"",'Dvd Calendar'!$O$656*1000000000+ISNUMBER('Dvd Calendar'!$O$657)*100000000+0*10000000+(N('Dvd Calendar'!$O$655)&gt;0)*(N('Dvd Calendar'!$O$655)&lt;=VAL_SERIAL)*1000000+59*1000+51))</f>
        <v/>
      </c>
      <c r="GD70" s="35">
        <f>IF(N('Dvd Calendar'!$P$656)=0,"",IF(('Dvd Calendar'!$P$656&gt;=GRID_FROM)*('Dvd Calendar'!$P$656&lt;=GRID_TO)*('Dvd Calendar'!$P$656&gt;VAL_DATE)=0,"",'Dvd Calendar'!$P$656*1000000000+ISNUMBER('Dvd Calendar'!$P$657)*100000000+0*10000000+(N('Dvd Calendar'!$P$655)&gt;0)*(N('Dvd Calendar'!$P$655)&lt;=VAL_SERIAL)*1000000+59*1000+52))</f>
        <v/>
      </c>
      <c r="GE70" s="35">
        <f>IF(N('Dvd Calendar'!$Q$656)=0,"",IF(('Dvd Calendar'!$Q$656&gt;=GRID_FROM)*('Dvd Calendar'!$Q$656&lt;=GRID_TO)*('Dvd Calendar'!$Q$656&gt;VAL_DATE)=0,"",'Dvd Calendar'!$Q$656*1000000000+ISNUMBER('Dvd Calendar'!$Q$657)*100000000+0*10000000+(N('Dvd Calendar'!$Q$655)&gt;0)*(N('Dvd Calendar'!$Q$655)&lt;=VAL_SERIAL)*1000000+59*1000+53))</f>
        <v/>
      </c>
      <c r="GF70" s="35">
        <f>IF(N('Dvd Calendar'!$R$656)=0,"",IF(('Dvd Calendar'!$R$656&gt;=GRID_FROM)*('Dvd Calendar'!$R$656&lt;=GRID_TO)*('Dvd Calendar'!$R$656&gt;VAL_DATE)=0,"",'Dvd Calendar'!$R$656*1000000000+ISNUMBER('Dvd Calendar'!$R$657)*100000000+0*10000000+(N('Dvd Calendar'!$R$655)&gt;0)*(N('Dvd Calendar'!$R$655)&lt;=VAL_SERIAL)*1000000+59*1000+54))</f>
        <v/>
      </c>
      <c r="GG70" s="35">
        <f>IF(N('Dvd Calendar'!$S$656)=0,"",IF(('Dvd Calendar'!$S$656&gt;=GRID_FROM)*('Dvd Calendar'!$S$656&lt;=GRID_TO)*('Dvd Calendar'!$S$656&gt;VAL_DATE)=0,"",'Dvd Calendar'!$S$656*1000000000+ISNUMBER('Dvd Calendar'!$S$657)*100000000+0*10000000+(N('Dvd Calendar'!$S$655)&gt;0)*(N('Dvd Calendar'!$S$655)&lt;=VAL_SERIAL)*1000000+59*1000+55))</f>
        <v/>
      </c>
      <c r="GH70" s="35">
        <f>IF(N('Dvd Calendar'!$T$656)=0,"",IF(('Dvd Calendar'!$T$656&gt;=GRID_FROM)*('Dvd Calendar'!$T$656&lt;=GRID_TO)*('Dvd Calendar'!$T$656&gt;VAL_DATE)=0,"",'Dvd Calendar'!$T$656*1000000000+ISNUMBER('Dvd Calendar'!$T$657)*100000000+0*10000000+(N('Dvd Calendar'!$T$655)&gt;0)*(N('Dvd Calendar'!$T$655)&lt;=VAL_SERIAL)*1000000+59*1000+56))</f>
        <v/>
      </c>
      <c r="GI70" s="35">
        <f>IF(N('Dvd Calendar'!$U$656)=0,"",IF(('Dvd Calendar'!$U$656&gt;=GRID_FROM)*('Dvd Calendar'!$U$656&lt;=GRID_TO)*('Dvd Calendar'!$U$656&gt;VAL_DATE)=0,"",'Dvd Calendar'!$U$656*1000000000+ISNUMBER('Dvd Calendar'!$U$657)*100000000+0*10000000+(N('Dvd Calendar'!$U$655)&gt;0)*(N('Dvd Calendar'!$U$655)&lt;=VAL_SERIAL)*1000000+59*1000+57))</f>
        <v/>
      </c>
      <c r="GJ70" s="35">
        <f>IF(N('Dvd Calendar'!$V$656)=0,"",IF(('Dvd Calendar'!$V$656&gt;=GRID_FROM)*('Dvd Calendar'!$V$656&lt;=GRID_TO)*('Dvd Calendar'!$V$656&gt;VAL_DATE)=0,"",'Dvd Calendar'!$V$656*1000000000+ISNUMBER('Dvd Calendar'!$V$657)*100000000+0*10000000+(N('Dvd Calendar'!$V$655)&gt;0)*(N('Dvd Calendar'!$V$655)&lt;=VAL_SERIAL)*1000000+59*1000+58))</f>
        <v/>
      </c>
      <c r="GK70" s="35">
        <f>IF(N('Dvd Calendar'!$W$656)=0,"",IF(('Dvd Calendar'!$W$656&gt;=GRID_FROM)*('Dvd Calendar'!$W$656&lt;=GRID_TO)*('Dvd Calendar'!$W$656&gt;VAL_DATE)=0,"",'Dvd Calendar'!$W$656*1000000000+ISNUMBER('Dvd Calendar'!$W$657)*100000000+0*10000000+(N('Dvd Calendar'!$W$655)&gt;0)*(N('Dvd Calendar'!$W$655)&lt;=VAL_SERIAL)*1000000+59*1000+59))</f>
        <v/>
      </c>
      <c r="GL70" s="35">
        <f>IF(N('Dvd Calendar'!$X$656)=0,"",IF(('Dvd Calendar'!$X$656&gt;=GRID_FROM)*('Dvd Calendar'!$X$656&lt;=GRID_TO)*('Dvd Calendar'!$X$656&gt;VAL_DATE)=0,"",'Dvd Calendar'!$X$656*1000000000+ISNUMBER('Dvd Calendar'!$X$657)*100000000+0*10000000+(N('Dvd Calendar'!$X$655)&gt;0)*(N('Dvd Calendar'!$X$655)&lt;=VAL_SERIAL)*1000000+59*1000+60))</f>
        <v/>
      </c>
      <c r="GM70" s="35">
        <f>IF(N('Dvd Calendar'!$Y$656)=0,"",IF(('Dvd Calendar'!$Y$656&gt;=GRID_FROM)*('Dvd Calendar'!$Y$656&lt;=GRID_TO)*('Dvd Calendar'!$Y$656&gt;VAL_DATE)=0,"",'Dvd Calendar'!$Y$656*1000000000+ISNUMBER('Dvd Calendar'!$Y$657)*100000000+0*10000000+(N('Dvd Calendar'!$Y$655)&gt;0)*(N('Dvd Calendar'!$Y$655)&lt;=VAL_SERIAL)*1000000+59*1000+61))</f>
        <v/>
      </c>
      <c r="GN70" s="35">
        <f>IF(N('Dvd Calendar'!$Z$656)=0,"",IF(('Dvd Calendar'!$Z$656&gt;=GRID_FROM)*('Dvd Calendar'!$Z$656&lt;=GRID_TO)*('Dvd Calendar'!$Z$656&gt;VAL_DATE)=0,"",'Dvd Calendar'!$Z$656*1000000000+ISNUMBER('Dvd Calendar'!$Z$657)*100000000+0*10000000+(N('Dvd Calendar'!$Z$655)&gt;0)*(N('Dvd Calendar'!$Z$655)&lt;=VAL_SERIAL)*1000000+59*1000+62))</f>
        <v/>
      </c>
      <c r="GO70" s="35">
        <f>IF(N('Dvd Calendar'!$AA$656)=0,"",IF(('Dvd Calendar'!$AA$656&gt;=GRID_FROM)*('Dvd Calendar'!$AA$656&lt;=GRID_TO)*('Dvd Calendar'!$AA$656&gt;VAL_DATE)=0,"",'Dvd Calendar'!$AA$656*1000000000+ISNUMBER('Dvd Calendar'!$AA$657)*100000000+0*10000000+(N('Dvd Calendar'!$AA$655)&gt;0)*(N('Dvd Calendar'!$AA$655)&lt;=VAL_SERIAL)*1000000+59*1000+63))</f>
        <v/>
      </c>
      <c r="GP70" s="35">
        <f>IF(N('Dvd Calendar'!$AB$656)=0,"",IF(('Dvd Calendar'!$AB$656&gt;=GRID_FROM)*('Dvd Calendar'!$AB$656&lt;=GRID_TO)*('Dvd Calendar'!$AB$656&gt;VAL_DATE)=0,"",'Dvd Calendar'!$AB$656*1000000000+ISNUMBER('Dvd Calendar'!$AB$657)*100000000+0*10000000+(N('Dvd Calendar'!$AB$655)&gt;0)*(N('Dvd Calendar'!$AB$655)&lt;=VAL_SERIAL)*1000000+59*1000+64))</f>
        <v/>
      </c>
      <c r="GQ70" s="35">
        <f>IF(N('Dvd Calendar'!$AC$656)=0,"",IF(('Dvd Calendar'!$AC$656&gt;=GRID_FROM)*('Dvd Calendar'!$AC$656&lt;=GRID_TO)*('Dvd Calendar'!$AC$656&gt;VAL_DATE)=0,"",'Dvd Calendar'!$AC$656*1000000000+ISNUMBER('Dvd Calendar'!$AC$657)*100000000+0*10000000+(N('Dvd Calendar'!$AC$655)&gt;0)*(N('Dvd Calendar'!$AC$655)&lt;=VAL_SERIAL)*1000000+59*1000+65))</f>
        <v/>
      </c>
    </row>
    <row r="71">
      <c r="B71" s="2">
        <f>IF(HSI!$C$66="","",HSI!$C$66)</f>
        <v/>
      </c>
      <c r="C71" s="106">
        <f>IF(EE71="","",IF(ISNUMBER('Dvd Calendar'!$E$663)=FALSE,"",IF((('Dvd Calendar'!$E$665=TYPE1)*(TYPE1&lt;&gt;"")+('Dvd Calendar'!$E$665=TYPE2)*(TYPE2&lt;&gt;"")+('Dvd Calendar'!$E$665=TYPE3)*(TYPE3&lt;&gt;"")+('Dvd Calendar'!$E$665=TYPE4)*(TYPE4&lt;&gt;"")+('Dvd Calendar'!$E$665=SPECIAL_LBL)*(INC_SPECIALS="Y"))=0,"",'Dvd Calendar'!$E$663)))</f>
        <v/>
      </c>
      <c r="D71" s="106">
        <f>IF(EF71="","",IF(ISNUMBER('Dvd Calendar'!$F$663)=FALSE,"",IF((('Dvd Calendar'!$F$665=TYPE1)*(TYPE1&lt;&gt;"")+('Dvd Calendar'!$F$665=TYPE2)*(TYPE2&lt;&gt;"")+('Dvd Calendar'!$F$665=TYPE3)*(TYPE3&lt;&gt;"")+('Dvd Calendar'!$F$665=TYPE4)*(TYPE4&lt;&gt;"")+('Dvd Calendar'!$F$665=SPECIAL_LBL)*(INC_SPECIALS="Y"))=0,"",'Dvd Calendar'!$F$663)))</f>
        <v/>
      </c>
      <c r="E71" s="106">
        <f>IF(EG71="","",IF(ISNUMBER('Dvd Calendar'!$G$663)=FALSE,"",IF((('Dvd Calendar'!$G$665=TYPE1)*(TYPE1&lt;&gt;"")+('Dvd Calendar'!$G$665=TYPE2)*(TYPE2&lt;&gt;"")+('Dvd Calendar'!$G$665=TYPE3)*(TYPE3&lt;&gt;"")+('Dvd Calendar'!$G$665=TYPE4)*(TYPE4&lt;&gt;"")+('Dvd Calendar'!$G$665=SPECIAL_LBL)*(INC_SPECIALS="Y"))=0,"",'Dvd Calendar'!$G$663)))</f>
        <v/>
      </c>
      <c r="F71" s="106">
        <f>IF(EH71="","",IF(ISNUMBER('Dvd Calendar'!$H$663)=FALSE,"",IF((('Dvd Calendar'!$H$665=TYPE1)*(TYPE1&lt;&gt;"")+('Dvd Calendar'!$H$665=TYPE2)*(TYPE2&lt;&gt;"")+('Dvd Calendar'!$H$665=TYPE3)*(TYPE3&lt;&gt;"")+('Dvd Calendar'!$H$665=TYPE4)*(TYPE4&lt;&gt;"")+('Dvd Calendar'!$H$665=SPECIAL_LBL)*(INC_SPECIALS="Y"))=0,"",'Dvd Calendar'!$H$663)))</f>
        <v/>
      </c>
      <c r="G71" s="106">
        <f>IF(EI71="","",IF(ISNUMBER('Dvd Calendar'!$I$663)=FALSE,"",IF((('Dvd Calendar'!$I$665=TYPE1)*(TYPE1&lt;&gt;"")+('Dvd Calendar'!$I$665=TYPE2)*(TYPE2&lt;&gt;"")+('Dvd Calendar'!$I$665=TYPE3)*(TYPE3&lt;&gt;"")+('Dvd Calendar'!$I$665=TYPE4)*(TYPE4&lt;&gt;"")+('Dvd Calendar'!$I$665=SPECIAL_LBL)*(INC_SPECIALS="Y"))=0,"",'Dvd Calendar'!$I$663)))</f>
        <v/>
      </c>
      <c r="H71" s="106">
        <f>IF(EJ71="","",IF(ISNUMBER('Dvd Calendar'!$J$663)=FALSE,"",IF((('Dvd Calendar'!$J$665=TYPE1)*(TYPE1&lt;&gt;"")+('Dvd Calendar'!$J$665=TYPE2)*(TYPE2&lt;&gt;"")+('Dvd Calendar'!$J$665=TYPE3)*(TYPE3&lt;&gt;"")+('Dvd Calendar'!$J$665=TYPE4)*(TYPE4&lt;&gt;"")+('Dvd Calendar'!$J$665=SPECIAL_LBL)*(INC_SPECIALS="Y"))=0,"",'Dvd Calendar'!$J$663)))</f>
        <v/>
      </c>
      <c r="I71" s="106">
        <f>IF(EK71="","",IF(ISNUMBER('Dvd Calendar'!$K$663)=FALSE,"",IF((('Dvd Calendar'!$K$665=TYPE1)*(TYPE1&lt;&gt;"")+('Dvd Calendar'!$K$665=TYPE2)*(TYPE2&lt;&gt;"")+('Dvd Calendar'!$K$665=TYPE3)*(TYPE3&lt;&gt;"")+('Dvd Calendar'!$K$665=TYPE4)*(TYPE4&lt;&gt;"")+('Dvd Calendar'!$K$665=SPECIAL_LBL)*(INC_SPECIALS="Y"))=0,"",'Dvd Calendar'!$K$663)))</f>
        <v/>
      </c>
      <c r="J71" s="106">
        <f>IF(EL71="","",IF(ISNUMBER('Dvd Calendar'!$L$663)=FALSE,"",IF((('Dvd Calendar'!$L$665=TYPE1)*(TYPE1&lt;&gt;"")+('Dvd Calendar'!$L$665=TYPE2)*(TYPE2&lt;&gt;"")+('Dvd Calendar'!$L$665=TYPE3)*(TYPE3&lt;&gt;"")+('Dvd Calendar'!$L$665=TYPE4)*(TYPE4&lt;&gt;"")+('Dvd Calendar'!$L$665=SPECIAL_LBL)*(INC_SPECIALS="Y"))=0,"",'Dvd Calendar'!$L$663)))</f>
        <v/>
      </c>
      <c r="K71" s="106">
        <f>IF(EM71="","",IF(ISNUMBER('Dvd Calendar'!$M$663)=FALSE,"",IF((('Dvd Calendar'!$M$665=TYPE1)*(TYPE1&lt;&gt;"")+('Dvd Calendar'!$M$665=TYPE2)*(TYPE2&lt;&gt;"")+('Dvd Calendar'!$M$665=TYPE3)*(TYPE3&lt;&gt;"")+('Dvd Calendar'!$M$665=TYPE4)*(TYPE4&lt;&gt;"")+('Dvd Calendar'!$M$665=SPECIAL_LBL)*(INC_SPECIALS="Y"))=0,"",'Dvd Calendar'!$M$663)))</f>
        <v/>
      </c>
      <c r="L71" s="106">
        <f>IF(EN71="","",IF(ISNUMBER('Dvd Calendar'!$N$663)=FALSE,"",IF((('Dvd Calendar'!$N$665=TYPE1)*(TYPE1&lt;&gt;"")+('Dvd Calendar'!$N$665=TYPE2)*(TYPE2&lt;&gt;"")+('Dvd Calendar'!$N$665=TYPE3)*(TYPE3&lt;&gt;"")+('Dvd Calendar'!$N$665=TYPE4)*(TYPE4&lt;&gt;"")+('Dvd Calendar'!$N$665=SPECIAL_LBL)*(INC_SPECIALS="Y"))=0,"",'Dvd Calendar'!$N$663)))</f>
        <v/>
      </c>
      <c r="M71" s="106">
        <f>IF(EO71="","",IF(ISNUMBER('Dvd Calendar'!$O$663)=FALSE,"",IF((('Dvd Calendar'!$O$665=TYPE1)*(TYPE1&lt;&gt;"")+('Dvd Calendar'!$O$665=TYPE2)*(TYPE2&lt;&gt;"")+('Dvd Calendar'!$O$665=TYPE3)*(TYPE3&lt;&gt;"")+('Dvd Calendar'!$O$665=TYPE4)*(TYPE4&lt;&gt;"")+('Dvd Calendar'!$O$665=SPECIAL_LBL)*(INC_SPECIALS="Y"))=0,"",'Dvd Calendar'!$O$663)))</f>
        <v/>
      </c>
      <c r="N71" s="106">
        <f>IF(EP71="","",IF(ISNUMBER('Dvd Calendar'!$P$663)=FALSE,"",IF((('Dvd Calendar'!$P$665=TYPE1)*(TYPE1&lt;&gt;"")+('Dvd Calendar'!$P$665=TYPE2)*(TYPE2&lt;&gt;"")+('Dvd Calendar'!$P$665=TYPE3)*(TYPE3&lt;&gt;"")+('Dvd Calendar'!$P$665=TYPE4)*(TYPE4&lt;&gt;"")+('Dvd Calendar'!$P$665=SPECIAL_LBL)*(INC_SPECIALS="Y"))=0,"",'Dvd Calendar'!$P$663)))</f>
        <v/>
      </c>
      <c r="O71" s="106">
        <f>IF(EQ71="","",IF(ISNUMBER('Dvd Calendar'!$Q$663)=FALSE,"",IF((('Dvd Calendar'!$Q$665=TYPE1)*(TYPE1&lt;&gt;"")+('Dvd Calendar'!$Q$665=TYPE2)*(TYPE2&lt;&gt;"")+('Dvd Calendar'!$Q$665=TYPE3)*(TYPE3&lt;&gt;"")+('Dvd Calendar'!$Q$665=TYPE4)*(TYPE4&lt;&gt;"")+('Dvd Calendar'!$Q$665=SPECIAL_LBL)*(INC_SPECIALS="Y"))=0,"",'Dvd Calendar'!$Q$663)))</f>
        <v/>
      </c>
      <c r="P71" s="106">
        <f>IF(ER71="","",IF(ISNUMBER('Dvd Calendar'!$R$663)=FALSE,"",IF((('Dvd Calendar'!$R$665=TYPE1)*(TYPE1&lt;&gt;"")+('Dvd Calendar'!$R$665=TYPE2)*(TYPE2&lt;&gt;"")+('Dvd Calendar'!$R$665=TYPE3)*(TYPE3&lt;&gt;"")+('Dvd Calendar'!$R$665=TYPE4)*(TYPE4&lt;&gt;"")+('Dvd Calendar'!$R$665=SPECIAL_LBL)*(INC_SPECIALS="Y"))=0,"",'Dvd Calendar'!$R$663)))</f>
        <v/>
      </c>
      <c r="Q71" s="106">
        <f>IF(ES71="","",IF(ISNUMBER('Dvd Calendar'!$S$663)=FALSE,"",IF((('Dvd Calendar'!$S$665=TYPE1)*(TYPE1&lt;&gt;"")+('Dvd Calendar'!$S$665=TYPE2)*(TYPE2&lt;&gt;"")+('Dvd Calendar'!$S$665=TYPE3)*(TYPE3&lt;&gt;"")+('Dvd Calendar'!$S$665=TYPE4)*(TYPE4&lt;&gt;"")+('Dvd Calendar'!$S$665=SPECIAL_LBL)*(INC_SPECIALS="Y"))=0,"",'Dvd Calendar'!$S$663)))</f>
        <v/>
      </c>
      <c r="R71" s="106">
        <f>IF(ET71="","",IF(ISNUMBER('Dvd Calendar'!$T$663)=FALSE,"",IF((('Dvd Calendar'!$T$665=TYPE1)*(TYPE1&lt;&gt;"")+('Dvd Calendar'!$T$665=TYPE2)*(TYPE2&lt;&gt;"")+('Dvd Calendar'!$T$665=TYPE3)*(TYPE3&lt;&gt;"")+('Dvd Calendar'!$T$665=TYPE4)*(TYPE4&lt;&gt;"")+('Dvd Calendar'!$T$665=SPECIAL_LBL)*(INC_SPECIALS="Y"))=0,"",'Dvd Calendar'!$T$663)))</f>
        <v/>
      </c>
      <c r="S71" s="106">
        <f>IF(EU71="","",IF(ISNUMBER('Dvd Calendar'!$U$663)=FALSE,"",IF((('Dvd Calendar'!$U$665=TYPE1)*(TYPE1&lt;&gt;"")+('Dvd Calendar'!$U$665=TYPE2)*(TYPE2&lt;&gt;"")+('Dvd Calendar'!$U$665=TYPE3)*(TYPE3&lt;&gt;"")+('Dvd Calendar'!$U$665=TYPE4)*(TYPE4&lt;&gt;"")+('Dvd Calendar'!$U$665=SPECIAL_LBL)*(INC_SPECIALS="Y"))=0,"",'Dvd Calendar'!$U$663)))</f>
        <v/>
      </c>
      <c r="T71" s="106">
        <f>IF(EV71="","",IF(ISNUMBER('Dvd Calendar'!$V$663)=FALSE,"",IF((('Dvd Calendar'!$V$665=TYPE1)*(TYPE1&lt;&gt;"")+('Dvd Calendar'!$V$665=TYPE2)*(TYPE2&lt;&gt;"")+('Dvd Calendar'!$V$665=TYPE3)*(TYPE3&lt;&gt;"")+('Dvd Calendar'!$V$665=TYPE4)*(TYPE4&lt;&gt;"")+('Dvd Calendar'!$V$665=SPECIAL_LBL)*(INC_SPECIALS="Y"))=0,"",'Dvd Calendar'!$V$663)))</f>
        <v/>
      </c>
      <c r="U71" s="106">
        <f>IF(EW71="","",IF(ISNUMBER('Dvd Calendar'!$W$663)=FALSE,"",IF((('Dvd Calendar'!$W$665=TYPE1)*(TYPE1&lt;&gt;"")+('Dvd Calendar'!$W$665=TYPE2)*(TYPE2&lt;&gt;"")+('Dvd Calendar'!$W$665=TYPE3)*(TYPE3&lt;&gt;"")+('Dvd Calendar'!$W$665=TYPE4)*(TYPE4&lt;&gt;"")+('Dvd Calendar'!$W$665=SPECIAL_LBL)*(INC_SPECIALS="Y"))=0,"",'Dvd Calendar'!$W$663)))</f>
        <v/>
      </c>
      <c r="V71" s="106">
        <f>IF(EX71="","",IF(ISNUMBER('Dvd Calendar'!$X$663)=FALSE,"",IF((('Dvd Calendar'!$X$665=TYPE1)*(TYPE1&lt;&gt;"")+('Dvd Calendar'!$X$665=TYPE2)*(TYPE2&lt;&gt;"")+('Dvd Calendar'!$X$665=TYPE3)*(TYPE3&lt;&gt;"")+('Dvd Calendar'!$X$665=TYPE4)*(TYPE4&lt;&gt;"")+('Dvd Calendar'!$X$665=SPECIAL_LBL)*(INC_SPECIALS="Y"))=0,"",'Dvd Calendar'!$X$663)))</f>
        <v/>
      </c>
      <c r="W71" s="106">
        <f>IF(EY71="","",IF(ISNUMBER('Dvd Calendar'!$Y$663)=FALSE,"",IF((('Dvd Calendar'!$Y$665=TYPE1)*(TYPE1&lt;&gt;"")+('Dvd Calendar'!$Y$665=TYPE2)*(TYPE2&lt;&gt;"")+('Dvd Calendar'!$Y$665=TYPE3)*(TYPE3&lt;&gt;"")+('Dvd Calendar'!$Y$665=TYPE4)*(TYPE4&lt;&gt;"")+('Dvd Calendar'!$Y$665=SPECIAL_LBL)*(INC_SPECIALS="Y"))=0,"",'Dvd Calendar'!$Y$663)))</f>
        <v/>
      </c>
      <c r="X71" s="106">
        <f>IF(EZ71="","",IF(ISNUMBER('Dvd Calendar'!$Z$663)=FALSE,"",IF((('Dvd Calendar'!$Z$665=TYPE1)*(TYPE1&lt;&gt;"")+('Dvd Calendar'!$Z$665=TYPE2)*(TYPE2&lt;&gt;"")+('Dvd Calendar'!$Z$665=TYPE3)*(TYPE3&lt;&gt;"")+('Dvd Calendar'!$Z$665=TYPE4)*(TYPE4&lt;&gt;"")+('Dvd Calendar'!$Z$665=SPECIAL_LBL)*(INC_SPECIALS="Y"))=0,"",'Dvd Calendar'!$Z$663)))</f>
        <v/>
      </c>
      <c r="Y71" s="106">
        <f>IF(FA71="","",IF(ISNUMBER('Dvd Calendar'!$AA$663)=FALSE,"",IF((('Dvd Calendar'!$AA$665=TYPE1)*(TYPE1&lt;&gt;"")+('Dvd Calendar'!$AA$665=TYPE2)*(TYPE2&lt;&gt;"")+('Dvd Calendar'!$AA$665=TYPE3)*(TYPE3&lt;&gt;"")+('Dvd Calendar'!$AA$665=TYPE4)*(TYPE4&lt;&gt;"")+('Dvd Calendar'!$AA$665=SPECIAL_LBL)*(INC_SPECIALS="Y"))=0,"",'Dvd Calendar'!$AA$663)))</f>
        <v/>
      </c>
      <c r="Z71" s="106">
        <f>IF(FB71="","",IF(ISNUMBER('Dvd Calendar'!$AB$663)=FALSE,"",IF((('Dvd Calendar'!$AB$665=TYPE1)*(TYPE1&lt;&gt;"")+('Dvd Calendar'!$AB$665=TYPE2)*(TYPE2&lt;&gt;"")+('Dvd Calendar'!$AB$665=TYPE3)*(TYPE3&lt;&gt;"")+('Dvd Calendar'!$AB$665=TYPE4)*(TYPE4&lt;&gt;"")+('Dvd Calendar'!$AB$665=SPECIAL_LBL)*(INC_SPECIALS="Y"))=0,"",'Dvd Calendar'!$AB$663)))</f>
        <v/>
      </c>
      <c r="AA71" s="106">
        <f>IF(FC71="","",IF(ISNUMBER('Dvd Calendar'!$AC$663)=FALSE,"",IF((('Dvd Calendar'!$AC$665=TYPE1)*(TYPE1&lt;&gt;"")+('Dvd Calendar'!$AC$665=TYPE2)*(TYPE2&lt;&gt;"")+('Dvd Calendar'!$AC$665=TYPE3)*(TYPE3&lt;&gt;"")+('Dvd Calendar'!$AC$665=TYPE4)*(TYPE4&lt;&gt;"")+('Dvd Calendar'!$AC$665=SPECIAL_LBL)*(INC_SPECIALS="Y"))=0,"",'Dvd Calendar'!$AC$663)))</f>
        <v/>
      </c>
      <c r="AB71" s="106">
        <f>IF(FD71="","",IF(ISNUMBER('Dvd Calendar'!$AD$663)=FALSE,"",IF((('Dvd Calendar'!$AD$665=TYPE1)*(TYPE1&lt;&gt;"")+('Dvd Calendar'!$AD$665=TYPE2)*(TYPE2&lt;&gt;"")+('Dvd Calendar'!$AD$665=TYPE3)*(TYPE3&lt;&gt;"")+('Dvd Calendar'!$AD$665=TYPE4)*(TYPE4&lt;&gt;"")+('Dvd Calendar'!$AD$665=SPECIAL_LBL)*(INC_SPECIALS="Y"))=0,"",'Dvd Calendar'!$AD$663)))</f>
        <v/>
      </c>
      <c r="AC71" s="106">
        <f>IF(FE71="","",IF(ISNUMBER('Dvd Calendar'!$AE$663)=FALSE,"",IF((('Dvd Calendar'!$AE$665=TYPE1)*(TYPE1&lt;&gt;"")+('Dvd Calendar'!$AE$665=TYPE2)*(TYPE2&lt;&gt;"")+('Dvd Calendar'!$AE$665=TYPE3)*(TYPE3&lt;&gt;"")+('Dvd Calendar'!$AE$665=TYPE4)*(TYPE4&lt;&gt;"")+('Dvd Calendar'!$AE$665=SPECIAL_LBL)*(INC_SPECIALS="Y"))=0,"",'Dvd Calendar'!$AE$663)))</f>
        <v/>
      </c>
      <c r="AD71" s="106">
        <f>IF(FF71="","",IF(ISNUMBER('Dvd Calendar'!$AF$663)=FALSE,"",IF((('Dvd Calendar'!$AF$665=TYPE1)*(TYPE1&lt;&gt;"")+('Dvd Calendar'!$AF$665=TYPE2)*(TYPE2&lt;&gt;"")+('Dvd Calendar'!$AF$665=TYPE3)*(TYPE3&lt;&gt;"")+('Dvd Calendar'!$AF$665=TYPE4)*(TYPE4&lt;&gt;"")+('Dvd Calendar'!$AF$665=SPECIAL_LBL)*(INC_SPECIALS="Y"))=0,"",'Dvd Calendar'!$AF$663)))</f>
        <v/>
      </c>
      <c r="AE71" s="106">
        <f>IF(FG71="","",IF(ISNUMBER('Dvd Calendar'!$AG$663)=FALSE,"",IF((('Dvd Calendar'!$AG$665=TYPE1)*(TYPE1&lt;&gt;"")+('Dvd Calendar'!$AG$665=TYPE2)*(TYPE2&lt;&gt;"")+('Dvd Calendar'!$AG$665=TYPE3)*(TYPE3&lt;&gt;"")+('Dvd Calendar'!$AG$665=TYPE4)*(TYPE4&lt;&gt;"")+('Dvd Calendar'!$AG$665=SPECIAL_LBL)*(INC_SPECIALS="Y"))=0,"",'Dvd Calendar'!$AG$663)))</f>
        <v/>
      </c>
      <c r="AF71" s="106">
        <f>IF(FH71="","",IF(ISNUMBER('Dvd Calendar'!$AH$663)=FALSE,"",IF((('Dvd Calendar'!$AH$665=TYPE1)*(TYPE1&lt;&gt;"")+('Dvd Calendar'!$AH$665=TYPE2)*(TYPE2&lt;&gt;"")+('Dvd Calendar'!$AH$665=TYPE3)*(TYPE3&lt;&gt;"")+('Dvd Calendar'!$AH$665=TYPE4)*(TYPE4&lt;&gt;"")+('Dvd Calendar'!$AH$665=SPECIAL_LBL)*(INC_SPECIALS="Y"))=0,"",'Dvd Calendar'!$AH$663)))</f>
        <v/>
      </c>
      <c r="AG71" s="106">
        <f>IF(FI71="","",IF(ISNUMBER('Dvd Calendar'!$AI$663)=FALSE,"",IF((('Dvd Calendar'!$AI$665=TYPE1)*(TYPE1&lt;&gt;"")+('Dvd Calendar'!$AI$665=TYPE2)*(TYPE2&lt;&gt;"")+('Dvd Calendar'!$AI$665=TYPE3)*(TYPE3&lt;&gt;"")+('Dvd Calendar'!$AI$665=TYPE4)*(TYPE4&lt;&gt;"")+('Dvd Calendar'!$AI$665=SPECIAL_LBL)*(INC_SPECIALS="Y"))=0,"",'Dvd Calendar'!$AI$663)))</f>
        <v/>
      </c>
      <c r="AH71" s="106">
        <f>IF(FJ71="","",IF(ISNUMBER('Dvd Calendar'!$AJ$663)=FALSE,"",IF((('Dvd Calendar'!$AJ$665=TYPE1)*(TYPE1&lt;&gt;"")+('Dvd Calendar'!$AJ$665=TYPE2)*(TYPE2&lt;&gt;"")+('Dvd Calendar'!$AJ$665=TYPE3)*(TYPE3&lt;&gt;"")+('Dvd Calendar'!$AJ$665=TYPE4)*(TYPE4&lt;&gt;"")+('Dvd Calendar'!$AJ$665=SPECIAL_LBL)*(INC_SPECIALS="Y"))=0,"",'Dvd Calendar'!$AJ$663)))</f>
        <v/>
      </c>
      <c r="AI71" s="106">
        <f>IF(FK71="","",IF(ISNUMBER('Dvd Calendar'!$AK$663)=FALSE,"",IF((('Dvd Calendar'!$AK$665=TYPE1)*(TYPE1&lt;&gt;"")+('Dvd Calendar'!$AK$665=TYPE2)*(TYPE2&lt;&gt;"")+('Dvd Calendar'!$AK$665=TYPE3)*(TYPE3&lt;&gt;"")+('Dvd Calendar'!$AK$665=TYPE4)*(TYPE4&lt;&gt;"")+('Dvd Calendar'!$AK$665=SPECIAL_LBL)*(INC_SPECIALS="Y"))=0,"",'Dvd Calendar'!$AK$663)))</f>
        <v/>
      </c>
      <c r="AJ71" s="106">
        <f>IF(FL71="","",IF(ISNUMBER('Dvd Calendar'!$AL$663)=FALSE,"",IF((('Dvd Calendar'!$AL$665=TYPE1)*(TYPE1&lt;&gt;"")+('Dvd Calendar'!$AL$665=TYPE2)*(TYPE2&lt;&gt;"")+('Dvd Calendar'!$AL$665=TYPE3)*(TYPE3&lt;&gt;"")+('Dvd Calendar'!$AL$665=TYPE4)*(TYPE4&lt;&gt;"")+('Dvd Calendar'!$AL$665=SPECIAL_LBL)*(INC_SPECIALS="Y"))=0,"",'Dvd Calendar'!$AL$663)))</f>
        <v/>
      </c>
      <c r="AK71" s="106">
        <f>IF(FM71="","",IF(ISNUMBER('Dvd Calendar'!$AM$663)=FALSE,"",IF((('Dvd Calendar'!$AM$665=TYPE1)*(TYPE1&lt;&gt;"")+('Dvd Calendar'!$AM$665=TYPE2)*(TYPE2&lt;&gt;"")+('Dvd Calendar'!$AM$665=TYPE3)*(TYPE3&lt;&gt;"")+('Dvd Calendar'!$AM$665=TYPE4)*(TYPE4&lt;&gt;"")+('Dvd Calendar'!$AM$665=SPECIAL_LBL)*(INC_SPECIALS="Y"))=0,"",'Dvd Calendar'!$AM$663)))</f>
        <v/>
      </c>
      <c r="AL71" s="106">
        <f>IF(FN71="","",IF(ISNUMBER('Dvd Calendar'!$AN$663)=FALSE,"",IF((('Dvd Calendar'!$AN$665=TYPE1)*(TYPE1&lt;&gt;"")+('Dvd Calendar'!$AN$665=TYPE2)*(TYPE2&lt;&gt;"")+('Dvd Calendar'!$AN$665=TYPE3)*(TYPE3&lt;&gt;"")+('Dvd Calendar'!$AN$665=TYPE4)*(TYPE4&lt;&gt;"")+('Dvd Calendar'!$AN$665=SPECIAL_LBL)*(INC_SPECIALS="Y"))=0,"",'Dvd Calendar'!$AN$663)))</f>
        <v/>
      </c>
      <c r="AM71" s="106">
        <f>IF(FO71="","",IF(ISNUMBER('Dvd Calendar'!$AO$663)=FALSE,"",IF((('Dvd Calendar'!$AO$665=TYPE1)*(TYPE1&lt;&gt;"")+('Dvd Calendar'!$AO$665=TYPE2)*(TYPE2&lt;&gt;"")+('Dvd Calendar'!$AO$665=TYPE3)*(TYPE3&lt;&gt;"")+('Dvd Calendar'!$AO$665=TYPE4)*(TYPE4&lt;&gt;"")+('Dvd Calendar'!$AO$665=SPECIAL_LBL)*(INC_SPECIALS="Y"))=0,"",'Dvd Calendar'!$AO$663)))</f>
        <v/>
      </c>
      <c r="AN71" s="106">
        <f>IF(FP71="","",IF(ISNUMBER('Dvd Calendar'!$AP$663)=FALSE,"",IF((('Dvd Calendar'!$AP$665=TYPE1)*(TYPE1&lt;&gt;"")+('Dvd Calendar'!$AP$665=TYPE2)*(TYPE2&lt;&gt;"")+('Dvd Calendar'!$AP$665=TYPE3)*(TYPE3&lt;&gt;"")+('Dvd Calendar'!$AP$665=TYPE4)*(TYPE4&lt;&gt;"")+('Dvd Calendar'!$AP$665=SPECIAL_LBL)*(INC_SPECIALS="Y"))=0,"",'Dvd Calendar'!$AP$663)))</f>
        <v/>
      </c>
      <c r="AO71" s="106">
        <f>IF(FQ71="","",IF(ISNUMBER('Dvd Calendar'!$AQ$663)=FALSE,"",IF((('Dvd Calendar'!$AQ$665=TYPE1)*(TYPE1&lt;&gt;"")+('Dvd Calendar'!$AQ$665=TYPE2)*(TYPE2&lt;&gt;"")+('Dvd Calendar'!$AQ$665=TYPE3)*(TYPE3&lt;&gt;"")+('Dvd Calendar'!$AQ$665=TYPE4)*(TYPE4&lt;&gt;"")+('Dvd Calendar'!$AQ$665=SPECIAL_LBL)*(INC_SPECIALS="Y"))=0,"",'Dvd Calendar'!$AQ$663)))</f>
        <v/>
      </c>
      <c r="AP71" s="106">
        <f>IF(FR71="","",IF(ISNUMBER('Dvd Calendar'!$AR$663)=FALSE,"",IF((('Dvd Calendar'!$AR$665=TYPE1)*(TYPE1&lt;&gt;"")+('Dvd Calendar'!$AR$665=TYPE2)*(TYPE2&lt;&gt;"")+('Dvd Calendar'!$AR$665=TYPE3)*(TYPE3&lt;&gt;"")+('Dvd Calendar'!$AR$665=TYPE4)*(TYPE4&lt;&gt;"")+('Dvd Calendar'!$AR$665=SPECIAL_LBL)*(INC_SPECIALS="Y"))=0,"",'Dvd Calendar'!$AR$663)))</f>
        <v/>
      </c>
      <c r="AQ71" s="106">
        <f>IF(FS71="","",IF(ISNUMBER('Dvd Calendar'!$E$668)=FALSE,"",'Dvd Calendar'!$E$668))</f>
        <v/>
      </c>
      <c r="AR71" s="106">
        <f>IF(FT71="","",IF(ISNUMBER('Dvd Calendar'!$F$668)=FALSE,"",'Dvd Calendar'!$F$668))</f>
        <v/>
      </c>
      <c r="AS71" s="106">
        <f>IF(FU71="","",IF(ISNUMBER('Dvd Calendar'!$G$668)=FALSE,"",'Dvd Calendar'!$G$668))</f>
        <v/>
      </c>
      <c r="AT71" s="106">
        <f>IF(FV71="","",IF(ISNUMBER('Dvd Calendar'!$H$668)=FALSE,"",'Dvd Calendar'!$H$668))</f>
        <v/>
      </c>
      <c r="AU71" s="106">
        <f>IF(FW71="","",IF(ISNUMBER('Dvd Calendar'!$I$668)=FALSE,"",'Dvd Calendar'!$I$668))</f>
        <v/>
      </c>
      <c r="AV71" s="106">
        <f>IF(FX71="","",IF(ISNUMBER('Dvd Calendar'!$J$668)=FALSE,"",'Dvd Calendar'!$J$668))</f>
        <v/>
      </c>
      <c r="AW71" s="106">
        <f>IF(FY71="","",IF(ISNUMBER('Dvd Calendar'!$K$668)=FALSE,"",'Dvd Calendar'!$K$668))</f>
        <v/>
      </c>
      <c r="AX71" s="106">
        <f>IF(FZ71="","",IF(ISNUMBER('Dvd Calendar'!$L$668)=FALSE,"",'Dvd Calendar'!$L$668))</f>
        <v/>
      </c>
      <c r="AY71" s="106">
        <f>IF(GA71="","",IF(ISNUMBER('Dvd Calendar'!$M$668)=FALSE,"",'Dvd Calendar'!$M$668))</f>
        <v/>
      </c>
      <c r="AZ71" s="106">
        <f>IF(GB71="","",IF(ISNUMBER('Dvd Calendar'!$N$668)=FALSE,"",'Dvd Calendar'!$N$668))</f>
        <v/>
      </c>
      <c r="BA71" s="106">
        <f>IF(GC71="","",IF(ISNUMBER('Dvd Calendar'!$O$668)=FALSE,"",'Dvd Calendar'!$O$668))</f>
        <v/>
      </c>
      <c r="BB71" s="106">
        <f>IF(GD71="","",IF(ISNUMBER('Dvd Calendar'!$P$668)=FALSE,"",'Dvd Calendar'!$P$668))</f>
        <v/>
      </c>
      <c r="BC71" s="106">
        <f>IF(GE71="","",IF(ISNUMBER('Dvd Calendar'!$Q$668)=FALSE,"",'Dvd Calendar'!$Q$668))</f>
        <v/>
      </c>
      <c r="BD71" s="106">
        <f>IF(GF71="","",IF(ISNUMBER('Dvd Calendar'!$R$668)=FALSE,"",'Dvd Calendar'!$R$668))</f>
        <v/>
      </c>
      <c r="BE71" s="106">
        <f>IF(GG71="","",IF(ISNUMBER('Dvd Calendar'!$S$668)=FALSE,"",'Dvd Calendar'!$S$668))</f>
        <v/>
      </c>
      <c r="BF71" s="106">
        <f>IF(GH71="","",IF(ISNUMBER('Dvd Calendar'!$T$668)=FALSE,"",'Dvd Calendar'!$T$668))</f>
        <v/>
      </c>
      <c r="BG71" s="106">
        <f>IF(GI71="","",IF(ISNUMBER('Dvd Calendar'!$U$668)=FALSE,"",'Dvd Calendar'!$U$668))</f>
        <v/>
      </c>
      <c r="BH71" s="106">
        <f>IF(GJ71="","",IF(ISNUMBER('Dvd Calendar'!$V$668)=FALSE,"",'Dvd Calendar'!$V$668))</f>
        <v/>
      </c>
      <c r="BI71" s="106">
        <f>IF(GK71="","",IF(ISNUMBER('Dvd Calendar'!$W$668)=FALSE,"",'Dvd Calendar'!$W$668))</f>
        <v/>
      </c>
      <c r="BJ71" s="106">
        <f>IF(GL71="","",IF(ISNUMBER('Dvd Calendar'!$X$668)=FALSE,"",'Dvd Calendar'!$X$668))</f>
        <v/>
      </c>
      <c r="BK71" s="106">
        <f>IF(GM71="","",IF(ISNUMBER('Dvd Calendar'!$Y$668)=FALSE,"",'Dvd Calendar'!$Y$668))</f>
        <v/>
      </c>
      <c r="BL71" s="106">
        <f>IF(GN71="","",IF(ISNUMBER('Dvd Calendar'!$Z$668)=FALSE,"",'Dvd Calendar'!$Z$668))</f>
        <v/>
      </c>
      <c r="BM71" s="106">
        <f>IF(GO71="","",IF(ISNUMBER('Dvd Calendar'!$AA$668)=FALSE,"",'Dvd Calendar'!$AA$668))</f>
        <v/>
      </c>
      <c r="BN71" s="106">
        <f>IF(GP71="","",IF(ISNUMBER('Dvd Calendar'!$AB$668)=FALSE,"",'Dvd Calendar'!$AB$668))</f>
        <v/>
      </c>
      <c r="BO71" s="106">
        <f>IF(GQ71="","",IF(ISNUMBER('Dvd Calendar'!$AC$668)=FALSE,"",'Dvd Calendar'!$AC$668))</f>
        <v/>
      </c>
      <c r="BQ71" s="106">
        <f>IF(C71="","",IFERROR(C71*HSI!$B$66*HSI!$G$66/HSI!$B$3,""))</f>
        <v/>
      </c>
      <c r="BR71" s="106">
        <f>IF(D71="","",IFERROR(D71*HSI!$B$66*HSI!$G$66/HSI!$B$3,""))</f>
        <v/>
      </c>
      <c r="BS71" s="106">
        <f>IF(E71="","",IFERROR(E71*HSI!$B$66*HSI!$G$66/HSI!$B$3,""))</f>
        <v/>
      </c>
      <c r="BT71" s="106">
        <f>IF(F71="","",IFERROR(F71*HSI!$B$66*HSI!$G$66/HSI!$B$3,""))</f>
        <v/>
      </c>
      <c r="BU71" s="106">
        <f>IF(G71="","",IFERROR(G71*HSI!$B$66*HSI!$G$66/HSI!$B$3,""))</f>
        <v/>
      </c>
      <c r="BV71" s="106">
        <f>IF(H71="","",IFERROR(H71*HSI!$B$66*HSI!$G$66/HSI!$B$3,""))</f>
        <v/>
      </c>
      <c r="BW71" s="106">
        <f>IF(I71="","",IFERROR(I71*HSI!$B$66*HSI!$G$66/HSI!$B$3,""))</f>
        <v/>
      </c>
      <c r="BX71" s="106">
        <f>IF(J71="","",IFERROR(J71*HSI!$B$66*HSI!$G$66/HSI!$B$3,""))</f>
        <v/>
      </c>
      <c r="BY71" s="106">
        <f>IF(K71="","",IFERROR(K71*HSI!$B$66*HSI!$G$66/HSI!$B$3,""))</f>
        <v/>
      </c>
      <c r="BZ71" s="106">
        <f>IF(L71="","",IFERROR(L71*HSI!$B$66*HSI!$G$66/HSI!$B$3,""))</f>
        <v/>
      </c>
      <c r="CA71" s="106">
        <f>IF(M71="","",IFERROR(M71*HSI!$B$66*HSI!$G$66/HSI!$B$3,""))</f>
        <v/>
      </c>
      <c r="CB71" s="106">
        <f>IF(N71="","",IFERROR(N71*HSI!$B$66*HSI!$G$66/HSI!$B$3,""))</f>
        <v/>
      </c>
      <c r="CC71" s="106">
        <f>IF(O71="","",IFERROR(O71*HSI!$B$66*HSI!$G$66/HSI!$B$3,""))</f>
        <v/>
      </c>
      <c r="CD71" s="106">
        <f>IF(P71="","",IFERROR(P71*HSI!$B$66*HSI!$G$66/HSI!$B$3,""))</f>
        <v/>
      </c>
      <c r="CE71" s="106">
        <f>IF(Q71="","",IFERROR(Q71*HSI!$B$66*HSI!$G$66/HSI!$B$3,""))</f>
        <v/>
      </c>
      <c r="CF71" s="106">
        <f>IF(R71="","",IFERROR(R71*HSI!$B$66*HSI!$G$66/HSI!$B$3,""))</f>
        <v/>
      </c>
      <c r="CG71" s="106">
        <f>IF(S71="","",IFERROR(S71*HSI!$B$66*HSI!$G$66/HSI!$B$3,""))</f>
        <v/>
      </c>
      <c r="CH71" s="106">
        <f>IF(T71="","",IFERROR(T71*HSI!$B$66*HSI!$G$66/HSI!$B$3,""))</f>
        <v/>
      </c>
      <c r="CI71" s="106">
        <f>IF(U71="","",IFERROR(U71*HSI!$B$66*HSI!$G$66/HSI!$B$3,""))</f>
        <v/>
      </c>
      <c r="CJ71" s="106">
        <f>IF(V71="","",IFERROR(V71*HSI!$B$66*HSI!$G$66/HSI!$B$3,""))</f>
        <v/>
      </c>
      <c r="CK71" s="106">
        <f>IF(W71="","",IFERROR(W71*HSI!$B$66*HSI!$G$66/HSI!$B$3,""))</f>
        <v/>
      </c>
      <c r="CL71" s="106">
        <f>IF(X71="","",IFERROR(X71*HSI!$B$66*HSI!$G$66/HSI!$B$3,""))</f>
        <v/>
      </c>
      <c r="CM71" s="106">
        <f>IF(Y71="","",IFERROR(Y71*HSI!$B$66*HSI!$G$66/HSI!$B$3,""))</f>
        <v/>
      </c>
      <c r="CN71" s="106">
        <f>IF(Z71="","",IFERROR(Z71*HSI!$B$66*HSI!$G$66/HSI!$B$3,""))</f>
        <v/>
      </c>
      <c r="CO71" s="106">
        <f>IF(AA71="","",IFERROR(AA71*HSI!$B$66*HSI!$G$66/HSI!$B$3,""))</f>
        <v/>
      </c>
      <c r="CP71" s="106">
        <f>IF(AB71="","",IFERROR(AB71*HSI!$B$66*HSI!$G$66/HSI!$B$3,""))</f>
        <v/>
      </c>
      <c r="CQ71" s="106">
        <f>IF(AC71="","",IFERROR(AC71*HSI!$B$66*HSI!$G$66/HSI!$B$3,""))</f>
        <v/>
      </c>
      <c r="CR71" s="106">
        <f>IF(AD71="","",IFERROR(AD71*HSI!$B$66*HSI!$G$66/HSI!$B$3,""))</f>
        <v/>
      </c>
      <c r="CS71" s="106">
        <f>IF(AE71="","",IFERROR(AE71*HSI!$B$66*HSI!$G$66/HSI!$B$3,""))</f>
        <v/>
      </c>
      <c r="CT71" s="106">
        <f>IF(AF71="","",IFERROR(AF71*HSI!$B$66*HSI!$G$66/HSI!$B$3,""))</f>
        <v/>
      </c>
      <c r="CU71" s="106">
        <f>IF(AG71="","",IFERROR(AG71*HSI!$B$66*HSI!$G$66/HSI!$B$3,""))</f>
        <v/>
      </c>
      <c r="CV71" s="106">
        <f>IF(AH71="","",IFERROR(AH71*HSI!$B$66*HSI!$G$66/HSI!$B$3,""))</f>
        <v/>
      </c>
      <c r="CW71" s="106">
        <f>IF(AI71="","",IFERROR(AI71*HSI!$B$66*HSI!$G$66/HSI!$B$3,""))</f>
        <v/>
      </c>
      <c r="CX71" s="106">
        <f>IF(AJ71="","",IFERROR(AJ71*HSI!$B$66*HSI!$G$66/HSI!$B$3,""))</f>
        <v/>
      </c>
      <c r="CY71" s="106">
        <f>IF(AK71="","",IFERROR(AK71*HSI!$B$66*HSI!$G$66/HSI!$B$3,""))</f>
        <v/>
      </c>
      <c r="CZ71" s="106">
        <f>IF(AL71="","",IFERROR(AL71*HSI!$B$66*HSI!$G$66/HSI!$B$3,""))</f>
        <v/>
      </c>
      <c r="DA71" s="106">
        <f>IF(AM71="","",IFERROR(AM71*HSI!$B$66*HSI!$G$66/HSI!$B$3,""))</f>
        <v/>
      </c>
      <c r="DB71" s="106">
        <f>IF(AN71="","",IFERROR(AN71*HSI!$B$66*HSI!$G$66/HSI!$B$3,""))</f>
        <v/>
      </c>
      <c r="DC71" s="106">
        <f>IF(AO71="","",IFERROR(AO71*HSI!$B$66*HSI!$G$66/HSI!$B$3,""))</f>
        <v/>
      </c>
      <c r="DD71" s="106">
        <f>IF(AP71="","",IFERROR(AP71*HSI!$B$66*HSI!$G$66/HSI!$B$3,""))</f>
        <v/>
      </c>
      <c r="DE71" s="106">
        <f>IF(AQ71="","",IFERROR(AQ71*HSI!$B$66*HSI!$G$66/HSI!$B$3,""))</f>
        <v/>
      </c>
      <c r="DF71" s="106">
        <f>IF(AR71="","",IFERROR(AR71*HSI!$B$66*HSI!$G$66/HSI!$B$3,""))</f>
        <v/>
      </c>
      <c r="DG71" s="106">
        <f>IF(AS71="","",IFERROR(AS71*HSI!$B$66*HSI!$G$66/HSI!$B$3,""))</f>
        <v/>
      </c>
      <c r="DH71" s="106">
        <f>IF(AT71="","",IFERROR(AT71*HSI!$B$66*HSI!$G$66/HSI!$B$3,""))</f>
        <v/>
      </c>
      <c r="DI71" s="106">
        <f>IF(AU71="","",IFERROR(AU71*HSI!$B$66*HSI!$G$66/HSI!$B$3,""))</f>
        <v/>
      </c>
      <c r="DJ71" s="106">
        <f>IF(AV71="","",IFERROR(AV71*HSI!$B$66*HSI!$G$66/HSI!$B$3,""))</f>
        <v/>
      </c>
      <c r="DK71" s="106">
        <f>IF(AW71="","",IFERROR(AW71*HSI!$B$66*HSI!$G$66/HSI!$B$3,""))</f>
        <v/>
      </c>
      <c r="DL71" s="106">
        <f>IF(AX71="","",IFERROR(AX71*HSI!$B$66*HSI!$G$66/HSI!$B$3,""))</f>
        <v/>
      </c>
      <c r="DM71" s="106">
        <f>IF(AY71="","",IFERROR(AY71*HSI!$B$66*HSI!$G$66/HSI!$B$3,""))</f>
        <v/>
      </c>
      <c r="DN71" s="106">
        <f>IF(AZ71="","",IFERROR(AZ71*HSI!$B$66*HSI!$G$66/HSI!$B$3,""))</f>
        <v/>
      </c>
      <c r="DO71" s="106">
        <f>IF(BA71="","",IFERROR(BA71*HSI!$B$66*HSI!$G$66/HSI!$B$3,""))</f>
        <v/>
      </c>
      <c r="DP71" s="106">
        <f>IF(BB71="","",IFERROR(BB71*HSI!$B$66*HSI!$G$66/HSI!$B$3,""))</f>
        <v/>
      </c>
      <c r="DQ71" s="106">
        <f>IF(BC71="","",IFERROR(BC71*HSI!$B$66*HSI!$G$66/HSI!$B$3,""))</f>
        <v/>
      </c>
      <c r="DR71" s="106">
        <f>IF(BD71="","",IFERROR(BD71*HSI!$B$66*HSI!$G$66/HSI!$B$3,""))</f>
        <v/>
      </c>
      <c r="DS71" s="106">
        <f>IF(BE71="","",IFERROR(BE71*HSI!$B$66*HSI!$G$66/HSI!$B$3,""))</f>
        <v/>
      </c>
      <c r="DT71" s="106">
        <f>IF(BF71="","",IFERROR(BF71*HSI!$B$66*HSI!$G$66/HSI!$B$3,""))</f>
        <v/>
      </c>
      <c r="DU71" s="106">
        <f>IF(BG71="","",IFERROR(BG71*HSI!$B$66*HSI!$G$66/HSI!$B$3,""))</f>
        <v/>
      </c>
      <c r="DV71" s="106">
        <f>IF(BH71="","",IFERROR(BH71*HSI!$B$66*HSI!$G$66/HSI!$B$3,""))</f>
        <v/>
      </c>
      <c r="DW71" s="106">
        <f>IF(BI71="","",IFERROR(BI71*HSI!$B$66*HSI!$G$66/HSI!$B$3,""))</f>
        <v/>
      </c>
      <c r="DX71" s="106">
        <f>IF(BJ71="","",IFERROR(BJ71*HSI!$B$66*HSI!$G$66/HSI!$B$3,""))</f>
        <v/>
      </c>
      <c r="DY71" s="106">
        <f>IF(BK71="","",IFERROR(BK71*HSI!$B$66*HSI!$G$66/HSI!$B$3,""))</f>
        <v/>
      </c>
      <c r="DZ71" s="106">
        <f>IF(BL71="","",IFERROR(BL71*HSI!$B$66*HSI!$G$66/HSI!$B$3,""))</f>
        <v/>
      </c>
      <c r="EA71" s="106">
        <f>IF(BM71="","",IFERROR(BM71*HSI!$B$66*HSI!$G$66/HSI!$B$3,""))</f>
        <v/>
      </c>
      <c r="EB71" s="106">
        <f>IF(BN71="","",IFERROR(BN71*HSI!$B$66*HSI!$G$66/HSI!$B$3,""))</f>
        <v/>
      </c>
      <c r="EC71" s="106">
        <f>IF(BO71="","",IFERROR(BO71*HSI!$B$66*HSI!$G$66/HSI!$B$3,""))</f>
        <v/>
      </c>
      <c r="EE71" s="35">
        <f>IF(N('Dvd Calendar'!$E$660)=0,"",IF(('Dvd Calendar'!$E$660&gt;=GRID_FROM)*('Dvd Calendar'!$E$660&lt;=GRID_TO)*('Dvd Calendar'!$E$660&lt;=VAL_DATE)=0,"",'Dvd Calendar'!$E$660*1000000000+ISNUMBER('Dvd Calendar'!$E$663)*100000000+('Dvd Calendar'!$E$665=SPECIAL_LBL)*10000000+0*1000000+60*1000+1))</f>
        <v/>
      </c>
      <c r="EF71" s="35">
        <f>IF(N('Dvd Calendar'!$F$660)=0,"",IF(('Dvd Calendar'!$F$660&gt;=GRID_FROM)*('Dvd Calendar'!$F$660&lt;=GRID_TO)*('Dvd Calendar'!$F$660&lt;=VAL_DATE)=0,"",'Dvd Calendar'!$F$660*1000000000+ISNUMBER('Dvd Calendar'!$F$663)*100000000+('Dvd Calendar'!$F$665=SPECIAL_LBL)*10000000+0*1000000+60*1000+2))</f>
        <v/>
      </c>
      <c r="EG71" s="35">
        <f>IF(N('Dvd Calendar'!$G$660)=0,"",IF(('Dvd Calendar'!$G$660&gt;=GRID_FROM)*('Dvd Calendar'!$G$660&lt;=GRID_TO)*('Dvd Calendar'!$G$660&lt;=VAL_DATE)=0,"",'Dvd Calendar'!$G$660*1000000000+ISNUMBER('Dvd Calendar'!$G$663)*100000000+('Dvd Calendar'!$G$665=SPECIAL_LBL)*10000000+0*1000000+60*1000+3))</f>
        <v/>
      </c>
      <c r="EH71" s="35">
        <f>IF(N('Dvd Calendar'!$H$660)=0,"",IF(('Dvd Calendar'!$H$660&gt;=GRID_FROM)*('Dvd Calendar'!$H$660&lt;=GRID_TO)*('Dvd Calendar'!$H$660&lt;=VAL_DATE)=0,"",'Dvd Calendar'!$H$660*1000000000+ISNUMBER('Dvd Calendar'!$H$663)*100000000+('Dvd Calendar'!$H$665=SPECIAL_LBL)*10000000+0*1000000+60*1000+4))</f>
        <v/>
      </c>
      <c r="EI71" s="35">
        <f>IF(N('Dvd Calendar'!$I$660)=0,"",IF(('Dvd Calendar'!$I$660&gt;=GRID_FROM)*('Dvd Calendar'!$I$660&lt;=GRID_TO)*('Dvd Calendar'!$I$660&lt;=VAL_DATE)=0,"",'Dvd Calendar'!$I$660*1000000000+ISNUMBER('Dvd Calendar'!$I$663)*100000000+('Dvd Calendar'!$I$665=SPECIAL_LBL)*10000000+0*1000000+60*1000+5))</f>
        <v/>
      </c>
      <c r="EJ71" s="35">
        <f>IF(N('Dvd Calendar'!$J$660)=0,"",IF(('Dvd Calendar'!$J$660&gt;=GRID_FROM)*('Dvd Calendar'!$J$660&lt;=GRID_TO)*('Dvd Calendar'!$J$660&lt;=VAL_DATE)=0,"",'Dvd Calendar'!$J$660*1000000000+ISNUMBER('Dvd Calendar'!$J$663)*100000000+('Dvd Calendar'!$J$665=SPECIAL_LBL)*10000000+0*1000000+60*1000+6))</f>
        <v/>
      </c>
      <c r="EK71" s="35">
        <f>IF(N('Dvd Calendar'!$K$660)=0,"",IF(('Dvd Calendar'!$K$660&gt;=GRID_FROM)*('Dvd Calendar'!$K$660&lt;=GRID_TO)*('Dvd Calendar'!$K$660&lt;=VAL_DATE)=0,"",'Dvd Calendar'!$K$660*1000000000+ISNUMBER('Dvd Calendar'!$K$663)*100000000+('Dvd Calendar'!$K$665=SPECIAL_LBL)*10000000+0*1000000+60*1000+7))</f>
        <v/>
      </c>
      <c r="EL71" s="35">
        <f>IF(N('Dvd Calendar'!$L$660)=0,"",IF(('Dvd Calendar'!$L$660&gt;=GRID_FROM)*('Dvd Calendar'!$L$660&lt;=GRID_TO)*('Dvd Calendar'!$L$660&lt;=VAL_DATE)=0,"",'Dvd Calendar'!$L$660*1000000000+ISNUMBER('Dvd Calendar'!$L$663)*100000000+('Dvd Calendar'!$L$665=SPECIAL_LBL)*10000000+0*1000000+60*1000+8))</f>
        <v/>
      </c>
      <c r="EM71" s="35">
        <f>IF(N('Dvd Calendar'!$M$660)=0,"",IF(('Dvd Calendar'!$M$660&gt;=GRID_FROM)*('Dvd Calendar'!$M$660&lt;=GRID_TO)*('Dvd Calendar'!$M$660&lt;=VAL_DATE)=0,"",'Dvd Calendar'!$M$660*1000000000+ISNUMBER('Dvd Calendar'!$M$663)*100000000+('Dvd Calendar'!$M$665=SPECIAL_LBL)*10000000+0*1000000+60*1000+9))</f>
        <v/>
      </c>
      <c r="EN71" s="35">
        <f>IF(N('Dvd Calendar'!$N$660)=0,"",IF(('Dvd Calendar'!$N$660&gt;=GRID_FROM)*('Dvd Calendar'!$N$660&lt;=GRID_TO)*('Dvd Calendar'!$N$660&lt;=VAL_DATE)=0,"",'Dvd Calendar'!$N$660*1000000000+ISNUMBER('Dvd Calendar'!$N$663)*100000000+('Dvd Calendar'!$N$665=SPECIAL_LBL)*10000000+0*1000000+60*1000+10))</f>
        <v/>
      </c>
      <c r="EO71" s="35">
        <f>IF(N('Dvd Calendar'!$O$660)=0,"",IF(('Dvd Calendar'!$O$660&gt;=GRID_FROM)*('Dvd Calendar'!$O$660&lt;=GRID_TO)*('Dvd Calendar'!$O$660&lt;=VAL_DATE)=0,"",'Dvd Calendar'!$O$660*1000000000+ISNUMBER('Dvd Calendar'!$O$663)*100000000+('Dvd Calendar'!$O$665=SPECIAL_LBL)*10000000+0*1000000+60*1000+11))</f>
        <v/>
      </c>
      <c r="EP71" s="35">
        <f>IF(N('Dvd Calendar'!$P$660)=0,"",IF(('Dvd Calendar'!$P$660&gt;=GRID_FROM)*('Dvd Calendar'!$P$660&lt;=GRID_TO)*('Dvd Calendar'!$P$660&lt;=VAL_DATE)=0,"",'Dvd Calendar'!$P$660*1000000000+ISNUMBER('Dvd Calendar'!$P$663)*100000000+('Dvd Calendar'!$P$665=SPECIAL_LBL)*10000000+0*1000000+60*1000+12))</f>
        <v/>
      </c>
      <c r="EQ71" s="35">
        <f>IF(N('Dvd Calendar'!$Q$660)=0,"",IF(('Dvd Calendar'!$Q$660&gt;=GRID_FROM)*('Dvd Calendar'!$Q$660&lt;=GRID_TO)*('Dvd Calendar'!$Q$660&lt;=VAL_DATE)=0,"",'Dvd Calendar'!$Q$660*1000000000+ISNUMBER('Dvd Calendar'!$Q$663)*100000000+('Dvd Calendar'!$Q$665=SPECIAL_LBL)*10000000+0*1000000+60*1000+13))</f>
        <v/>
      </c>
      <c r="ER71" s="35">
        <f>IF(N('Dvd Calendar'!$R$660)=0,"",IF(('Dvd Calendar'!$R$660&gt;=GRID_FROM)*('Dvd Calendar'!$R$660&lt;=GRID_TO)*('Dvd Calendar'!$R$660&lt;=VAL_DATE)=0,"",'Dvd Calendar'!$R$660*1000000000+ISNUMBER('Dvd Calendar'!$R$663)*100000000+('Dvd Calendar'!$R$665=SPECIAL_LBL)*10000000+0*1000000+60*1000+14))</f>
        <v/>
      </c>
      <c r="ES71" s="35">
        <f>IF(N('Dvd Calendar'!$S$660)=0,"",IF(('Dvd Calendar'!$S$660&gt;=GRID_FROM)*('Dvd Calendar'!$S$660&lt;=GRID_TO)*('Dvd Calendar'!$S$660&lt;=VAL_DATE)=0,"",'Dvd Calendar'!$S$660*1000000000+ISNUMBER('Dvd Calendar'!$S$663)*100000000+('Dvd Calendar'!$S$665=SPECIAL_LBL)*10000000+0*1000000+60*1000+15))</f>
        <v/>
      </c>
      <c r="ET71" s="35">
        <f>IF(N('Dvd Calendar'!$T$660)=0,"",IF(('Dvd Calendar'!$T$660&gt;=GRID_FROM)*('Dvd Calendar'!$T$660&lt;=GRID_TO)*('Dvd Calendar'!$T$660&lt;=VAL_DATE)=0,"",'Dvd Calendar'!$T$660*1000000000+ISNUMBER('Dvd Calendar'!$T$663)*100000000+('Dvd Calendar'!$T$665=SPECIAL_LBL)*10000000+0*1000000+60*1000+16))</f>
        <v/>
      </c>
      <c r="EU71" s="35">
        <f>IF(N('Dvd Calendar'!$U$660)=0,"",IF(('Dvd Calendar'!$U$660&gt;=GRID_FROM)*('Dvd Calendar'!$U$660&lt;=GRID_TO)*('Dvd Calendar'!$U$660&lt;=VAL_DATE)=0,"",'Dvd Calendar'!$U$660*1000000000+ISNUMBER('Dvd Calendar'!$U$663)*100000000+('Dvd Calendar'!$U$665=SPECIAL_LBL)*10000000+0*1000000+60*1000+17))</f>
        <v/>
      </c>
      <c r="EV71" s="35">
        <f>IF(N('Dvd Calendar'!$V$660)=0,"",IF(('Dvd Calendar'!$V$660&gt;=GRID_FROM)*('Dvd Calendar'!$V$660&lt;=GRID_TO)*('Dvd Calendar'!$V$660&lt;=VAL_DATE)=0,"",'Dvd Calendar'!$V$660*1000000000+ISNUMBER('Dvd Calendar'!$V$663)*100000000+('Dvd Calendar'!$V$665=SPECIAL_LBL)*10000000+0*1000000+60*1000+18))</f>
        <v/>
      </c>
      <c r="EW71" s="35">
        <f>IF(N('Dvd Calendar'!$W$660)=0,"",IF(('Dvd Calendar'!$W$660&gt;=GRID_FROM)*('Dvd Calendar'!$W$660&lt;=GRID_TO)*('Dvd Calendar'!$W$660&lt;=VAL_DATE)=0,"",'Dvd Calendar'!$W$660*1000000000+ISNUMBER('Dvd Calendar'!$W$663)*100000000+('Dvd Calendar'!$W$665=SPECIAL_LBL)*10000000+0*1000000+60*1000+19))</f>
        <v/>
      </c>
      <c r="EX71" s="35">
        <f>IF(N('Dvd Calendar'!$X$660)=0,"",IF(('Dvd Calendar'!$X$660&gt;=GRID_FROM)*('Dvd Calendar'!$X$660&lt;=GRID_TO)*('Dvd Calendar'!$X$660&lt;=VAL_DATE)=0,"",'Dvd Calendar'!$X$660*1000000000+ISNUMBER('Dvd Calendar'!$X$663)*100000000+('Dvd Calendar'!$X$665=SPECIAL_LBL)*10000000+0*1000000+60*1000+20))</f>
        <v/>
      </c>
      <c r="EY71" s="35">
        <f>IF(N('Dvd Calendar'!$Y$660)=0,"",IF(('Dvd Calendar'!$Y$660&gt;=GRID_FROM)*('Dvd Calendar'!$Y$660&lt;=GRID_TO)*('Dvd Calendar'!$Y$660&lt;=VAL_DATE)=0,"",'Dvd Calendar'!$Y$660*1000000000+ISNUMBER('Dvd Calendar'!$Y$663)*100000000+('Dvd Calendar'!$Y$665=SPECIAL_LBL)*10000000+0*1000000+60*1000+21))</f>
        <v/>
      </c>
      <c r="EZ71" s="35">
        <f>IF(N('Dvd Calendar'!$Z$660)=0,"",IF(('Dvd Calendar'!$Z$660&gt;=GRID_FROM)*('Dvd Calendar'!$Z$660&lt;=GRID_TO)*('Dvd Calendar'!$Z$660&lt;=VAL_DATE)=0,"",'Dvd Calendar'!$Z$660*1000000000+ISNUMBER('Dvd Calendar'!$Z$663)*100000000+('Dvd Calendar'!$Z$665=SPECIAL_LBL)*10000000+0*1000000+60*1000+22))</f>
        <v/>
      </c>
      <c r="FA71" s="35">
        <f>IF(N('Dvd Calendar'!$AA$660)=0,"",IF(('Dvd Calendar'!$AA$660&gt;=GRID_FROM)*('Dvd Calendar'!$AA$660&lt;=GRID_TO)*('Dvd Calendar'!$AA$660&lt;=VAL_DATE)=0,"",'Dvd Calendar'!$AA$660*1000000000+ISNUMBER('Dvd Calendar'!$AA$663)*100000000+('Dvd Calendar'!$AA$665=SPECIAL_LBL)*10000000+0*1000000+60*1000+23))</f>
        <v/>
      </c>
      <c r="FB71" s="35">
        <f>IF(N('Dvd Calendar'!$AB$660)=0,"",IF(('Dvd Calendar'!$AB$660&gt;=GRID_FROM)*('Dvd Calendar'!$AB$660&lt;=GRID_TO)*('Dvd Calendar'!$AB$660&lt;=VAL_DATE)=0,"",'Dvd Calendar'!$AB$660*1000000000+ISNUMBER('Dvd Calendar'!$AB$663)*100000000+('Dvd Calendar'!$AB$665=SPECIAL_LBL)*10000000+0*1000000+60*1000+24))</f>
        <v/>
      </c>
      <c r="FC71" s="35">
        <f>IF(N('Dvd Calendar'!$AC$660)=0,"",IF(('Dvd Calendar'!$AC$660&gt;=GRID_FROM)*('Dvd Calendar'!$AC$660&lt;=GRID_TO)*('Dvd Calendar'!$AC$660&lt;=VAL_DATE)=0,"",'Dvd Calendar'!$AC$660*1000000000+ISNUMBER('Dvd Calendar'!$AC$663)*100000000+('Dvd Calendar'!$AC$665=SPECIAL_LBL)*10000000+0*1000000+60*1000+25))</f>
        <v/>
      </c>
      <c r="FD71" s="35">
        <f>IF(N('Dvd Calendar'!$AD$660)=0,"",IF(('Dvd Calendar'!$AD$660&gt;=GRID_FROM)*('Dvd Calendar'!$AD$660&lt;=GRID_TO)*('Dvd Calendar'!$AD$660&lt;=VAL_DATE)=0,"",'Dvd Calendar'!$AD$660*1000000000+ISNUMBER('Dvd Calendar'!$AD$663)*100000000+('Dvd Calendar'!$AD$665=SPECIAL_LBL)*10000000+0*1000000+60*1000+26))</f>
        <v/>
      </c>
      <c r="FE71" s="35">
        <f>IF(N('Dvd Calendar'!$AE$660)=0,"",IF(('Dvd Calendar'!$AE$660&gt;=GRID_FROM)*('Dvd Calendar'!$AE$660&lt;=GRID_TO)*('Dvd Calendar'!$AE$660&lt;=VAL_DATE)=0,"",'Dvd Calendar'!$AE$660*1000000000+ISNUMBER('Dvd Calendar'!$AE$663)*100000000+('Dvd Calendar'!$AE$665=SPECIAL_LBL)*10000000+0*1000000+60*1000+27))</f>
        <v/>
      </c>
      <c r="FF71" s="35">
        <f>IF(N('Dvd Calendar'!$AF$660)=0,"",IF(('Dvd Calendar'!$AF$660&gt;=GRID_FROM)*('Dvd Calendar'!$AF$660&lt;=GRID_TO)*('Dvd Calendar'!$AF$660&lt;=VAL_DATE)=0,"",'Dvd Calendar'!$AF$660*1000000000+ISNUMBER('Dvd Calendar'!$AF$663)*100000000+('Dvd Calendar'!$AF$665=SPECIAL_LBL)*10000000+0*1000000+60*1000+28))</f>
        <v/>
      </c>
      <c r="FG71" s="35">
        <f>IF(N('Dvd Calendar'!$AG$660)=0,"",IF(('Dvd Calendar'!$AG$660&gt;=GRID_FROM)*('Dvd Calendar'!$AG$660&lt;=GRID_TO)*('Dvd Calendar'!$AG$660&lt;=VAL_DATE)=0,"",'Dvd Calendar'!$AG$660*1000000000+ISNUMBER('Dvd Calendar'!$AG$663)*100000000+('Dvd Calendar'!$AG$665=SPECIAL_LBL)*10000000+0*1000000+60*1000+29))</f>
        <v/>
      </c>
      <c r="FH71" s="35">
        <f>IF(N('Dvd Calendar'!$AH$660)=0,"",IF(('Dvd Calendar'!$AH$660&gt;=GRID_FROM)*('Dvd Calendar'!$AH$660&lt;=GRID_TO)*('Dvd Calendar'!$AH$660&lt;=VAL_DATE)=0,"",'Dvd Calendar'!$AH$660*1000000000+ISNUMBER('Dvd Calendar'!$AH$663)*100000000+('Dvd Calendar'!$AH$665=SPECIAL_LBL)*10000000+0*1000000+60*1000+30))</f>
        <v/>
      </c>
      <c r="FI71" s="35">
        <f>IF(N('Dvd Calendar'!$AI$660)=0,"",IF(('Dvd Calendar'!$AI$660&gt;=GRID_FROM)*('Dvd Calendar'!$AI$660&lt;=GRID_TO)*('Dvd Calendar'!$AI$660&lt;=VAL_DATE)=0,"",'Dvd Calendar'!$AI$660*1000000000+ISNUMBER('Dvd Calendar'!$AI$663)*100000000+('Dvd Calendar'!$AI$665=SPECIAL_LBL)*10000000+0*1000000+60*1000+31))</f>
        <v/>
      </c>
      <c r="FJ71" s="35">
        <f>IF(N('Dvd Calendar'!$AJ$660)=0,"",IF(('Dvd Calendar'!$AJ$660&gt;=GRID_FROM)*('Dvd Calendar'!$AJ$660&lt;=GRID_TO)*('Dvd Calendar'!$AJ$660&lt;=VAL_DATE)=0,"",'Dvd Calendar'!$AJ$660*1000000000+ISNUMBER('Dvd Calendar'!$AJ$663)*100000000+('Dvd Calendar'!$AJ$665=SPECIAL_LBL)*10000000+0*1000000+60*1000+32))</f>
        <v/>
      </c>
      <c r="FK71" s="35">
        <f>IF(N('Dvd Calendar'!$AK$660)=0,"",IF(('Dvd Calendar'!$AK$660&gt;=GRID_FROM)*('Dvd Calendar'!$AK$660&lt;=GRID_TO)*('Dvd Calendar'!$AK$660&lt;=VAL_DATE)=0,"",'Dvd Calendar'!$AK$660*1000000000+ISNUMBER('Dvd Calendar'!$AK$663)*100000000+('Dvd Calendar'!$AK$665=SPECIAL_LBL)*10000000+0*1000000+60*1000+33))</f>
        <v/>
      </c>
      <c r="FL71" s="35">
        <f>IF(N('Dvd Calendar'!$AL$660)=0,"",IF(('Dvd Calendar'!$AL$660&gt;=GRID_FROM)*('Dvd Calendar'!$AL$660&lt;=GRID_TO)*('Dvd Calendar'!$AL$660&lt;=VAL_DATE)=0,"",'Dvd Calendar'!$AL$660*1000000000+ISNUMBER('Dvd Calendar'!$AL$663)*100000000+('Dvd Calendar'!$AL$665=SPECIAL_LBL)*10000000+0*1000000+60*1000+34))</f>
        <v/>
      </c>
      <c r="FM71" s="35">
        <f>IF(N('Dvd Calendar'!$AM$660)=0,"",IF(('Dvd Calendar'!$AM$660&gt;=GRID_FROM)*('Dvd Calendar'!$AM$660&lt;=GRID_TO)*('Dvd Calendar'!$AM$660&lt;=VAL_DATE)=0,"",'Dvd Calendar'!$AM$660*1000000000+ISNUMBER('Dvd Calendar'!$AM$663)*100000000+('Dvd Calendar'!$AM$665=SPECIAL_LBL)*10000000+0*1000000+60*1000+35))</f>
        <v/>
      </c>
      <c r="FN71" s="35">
        <f>IF(N('Dvd Calendar'!$AN$660)=0,"",IF(('Dvd Calendar'!$AN$660&gt;=GRID_FROM)*('Dvd Calendar'!$AN$660&lt;=GRID_TO)*('Dvd Calendar'!$AN$660&lt;=VAL_DATE)=0,"",'Dvd Calendar'!$AN$660*1000000000+ISNUMBER('Dvd Calendar'!$AN$663)*100000000+('Dvd Calendar'!$AN$665=SPECIAL_LBL)*10000000+0*1000000+60*1000+36))</f>
        <v/>
      </c>
      <c r="FO71" s="35">
        <f>IF(N('Dvd Calendar'!$AO$660)=0,"",IF(('Dvd Calendar'!$AO$660&gt;=GRID_FROM)*('Dvd Calendar'!$AO$660&lt;=GRID_TO)*('Dvd Calendar'!$AO$660&lt;=VAL_DATE)=0,"",'Dvd Calendar'!$AO$660*1000000000+ISNUMBER('Dvd Calendar'!$AO$663)*100000000+('Dvd Calendar'!$AO$665=SPECIAL_LBL)*10000000+0*1000000+60*1000+37))</f>
        <v/>
      </c>
      <c r="FP71" s="35">
        <f>IF(N('Dvd Calendar'!$AP$660)=0,"",IF(('Dvd Calendar'!$AP$660&gt;=GRID_FROM)*('Dvd Calendar'!$AP$660&lt;=GRID_TO)*('Dvd Calendar'!$AP$660&lt;=VAL_DATE)=0,"",'Dvd Calendar'!$AP$660*1000000000+ISNUMBER('Dvd Calendar'!$AP$663)*100000000+('Dvd Calendar'!$AP$665=SPECIAL_LBL)*10000000+0*1000000+60*1000+38))</f>
        <v/>
      </c>
      <c r="FQ71" s="35">
        <f>IF(N('Dvd Calendar'!$AQ$660)=0,"",IF(('Dvd Calendar'!$AQ$660&gt;=GRID_FROM)*('Dvd Calendar'!$AQ$660&lt;=GRID_TO)*('Dvd Calendar'!$AQ$660&lt;=VAL_DATE)=0,"",'Dvd Calendar'!$AQ$660*1000000000+ISNUMBER('Dvd Calendar'!$AQ$663)*100000000+('Dvd Calendar'!$AQ$665=SPECIAL_LBL)*10000000+0*1000000+60*1000+39))</f>
        <v/>
      </c>
      <c r="FR71" s="35">
        <f>IF(N('Dvd Calendar'!$AR$660)=0,"",IF(('Dvd Calendar'!$AR$660&gt;=GRID_FROM)*('Dvd Calendar'!$AR$660&lt;=GRID_TO)*('Dvd Calendar'!$AR$660&lt;=VAL_DATE)=0,"",'Dvd Calendar'!$AR$660*1000000000+ISNUMBER('Dvd Calendar'!$AR$663)*100000000+('Dvd Calendar'!$AR$665=SPECIAL_LBL)*10000000+0*1000000+60*1000+40))</f>
        <v/>
      </c>
      <c r="FS71" s="35">
        <f>IF(N('Dvd Calendar'!$E$667)=0,"",IF(('Dvd Calendar'!$E$667&gt;=GRID_FROM)*('Dvd Calendar'!$E$667&lt;=GRID_TO)*('Dvd Calendar'!$E$667&gt;VAL_DATE)=0,"",'Dvd Calendar'!$E$667*1000000000+ISNUMBER('Dvd Calendar'!$E$668)*100000000+0*10000000+(N('Dvd Calendar'!$E$666)&gt;0)*(N('Dvd Calendar'!$E$666)&lt;=VAL_SERIAL)*1000000+60*1000+41))</f>
        <v/>
      </c>
      <c r="FT71" s="35">
        <f>IF(N('Dvd Calendar'!$F$667)=0,"",IF(('Dvd Calendar'!$F$667&gt;=GRID_FROM)*('Dvd Calendar'!$F$667&lt;=GRID_TO)*('Dvd Calendar'!$F$667&gt;VAL_DATE)=0,"",'Dvd Calendar'!$F$667*1000000000+ISNUMBER('Dvd Calendar'!$F$668)*100000000+0*10000000+(N('Dvd Calendar'!$F$666)&gt;0)*(N('Dvd Calendar'!$F$666)&lt;=VAL_SERIAL)*1000000+60*1000+42))</f>
        <v/>
      </c>
      <c r="FU71" s="35">
        <f>IF(N('Dvd Calendar'!$G$667)=0,"",IF(('Dvd Calendar'!$G$667&gt;=GRID_FROM)*('Dvd Calendar'!$G$667&lt;=GRID_TO)*('Dvd Calendar'!$G$667&gt;VAL_DATE)=0,"",'Dvd Calendar'!$G$667*1000000000+ISNUMBER('Dvd Calendar'!$G$668)*100000000+0*10000000+(N('Dvd Calendar'!$G$666)&gt;0)*(N('Dvd Calendar'!$G$666)&lt;=VAL_SERIAL)*1000000+60*1000+43))</f>
        <v/>
      </c>
      <c r="FV71" s="35">
        <f>IF(N('Dvd Calendar'!$H$667)=0,"",IF(('Dvd Calendar'!$H$667&gt;=GRID_FROM)*('Dvd Calendar'!$H$667&lt;=GRID_TO)*('Dvd Calendar'!$H$667&gt;VAL_DATE)=0,"",'Dvd Calendar'!$H$667*1000000000+ISNUMBER('Dvd Calendar'!$H$668)*100000000+0*10000000+(N('Dvd Calendar'!$H$666)&gt;0)*(N('Dvd Calendar'!$H$666)&lt;=VAL_SERIAL)*1000000+60*1000+44))</f>
        <v/>
      </c>
      <c r="FW71" s="35">
        <f>IF(N('Dvd Calendar'!$I$667)=0,"",IF(('Dvd Calendar'!$I$667&gt;=GRID_FROM)*('Dvd Calendar'!$I$667&lt;=GRID_TO)*('Dvd Calendar'!$I$667&gt;VAL_DATE)=0,"",'Dvd Calendar'!$I$667*1000000000+ISNUMBER('Dvd Calendar'!$I$668)*100000000+0*10000000+(N('Dvd Calendar'!$I$666)&gt;0)*(N('Dvd Calendar'!$I$666)&lt;=VAL_SERIAL)*1000000+60*1000+45))</f>
        <v/>
      </c>
      <c r="FX71" s="35">
        <f>IF(N('Dvd Calendar'!$J$667)=0,"",IF(('Dvd Calendar'!$J$667&gt;=GRID_FROM)*('Dvd Calendar'!$J$667&lt;=GRID_TO)*('Dvd Calendar'!$J$667&gt;VAL_DATE)=0,"",'Dvd Calendar'!$J$667*1000000000+ISNUMBER('Dvd Calendar'!$J$668)*100000000+0*10000000+(N('Dvd Calendar'!$J$666)&gt;0)*(N('Dvd Calendar'!$J$666)&lt;=VAL_SERIAL)*1000000+60*1000+46))</f>
        <v/>
      </c>
      <c r="FY71" s="35">
        <f>IF(N('Dvd Calendar'!$K$667)=0,"",IF(('Dvd Calendar'!$K$667&gt;=GRID_FROM)*('Dvd Calendar'!$K$667&lt;=GRID_TO)*('Dvd Calendar'!$K$667&gt;VAL_DATE)=0,"",'Dvd Calendar'!$K$667*1000000000+ISNUMBER('Dvd Calendar'!$K$668)*100000000+0*10000000+(N('Dvd Calendar'!$K$666)&gt;0)*(N('Dvd Calendar'!$K$666)&lt;=VAL_SERIAL)*1000000+60*1000+47))</f>
        <v/>
      </c>
      <c r="FZ71" s="35">
        <f>IF(N('Dvd Calendar'!$L$667)=0,"",IF(('Dvd Calendar'!$L$667&gt;=GRID_FROM)*('Dvd Calendar'!$L$667&lt;=GRID_TO)*('Dvd Calendar'!$L$667&gt;VAL_DATE)=0,"",'Dvd Calendar'!$L$667*1000000000+ISNUMBER('Dvd Calendar'!$L$668)*100000000+0*10000000+(N('Dvd Calendar'!$L$666)&gt;0)*(N('Dvd Calendar'!$L$666)&lt;=VAL_SERIAL)*1000000+60*1000+48))</f>
        <v/>
      </c>
      <c r="GA71" s="35">
        <f>IF(N('Dvd Calendar'!$M$667)=0,"",IF(('Dvd Calendar'!$M$667&gt;=GRID_FROM)*('Dvd Calendar'!$M$667&lt;=GRID_TO)*('Dvd Calendar'!$M$667&gt;VAL_DATE)=0,"",'Dvd Calendar'!$M$667*1000000000+ISNUMBER('Dvd Calendar'!$M$668)*100000000+0*10000000+(N('Dvd Calendar'!$M$666)&gt;0)*(N('Dvd Calendar'!$M$666)&lt;=VAL_SERIAL)*1000000+60*1000+49))</f>
        <v/>
      </c>
      <c r="GB71" s="35">
        <f>IF(N('Dvd Calendar'!$N$667)=0,"",IF(('Dvd Calendar'!$N$667&gt;=GRID_FROM)*('Dvd Calendar'!$N$667&lt;=GRID_TO)*('Dvd Calendar'!$N$667&gt;VAL_DATE)=0,"",'Dvd Calendar'!$N$667*1000000000+ISNUMBER('Dvd Calendar'!$N$668)*100000000+0*10000000+(N('Dvd Calendar'!$N$666)&gt;0)*(N('Dvd Calendar'!$N$666)&lt;=VAL_SERIAL)*1000000+60*1000+50))</f>
        <v/>
      </c>
      <c r="GC71" s="35">
        <f>IF(N('Dvd Calendar'!$O$667)=0,"",IF(('Dvd Calendar'!$O$667&gt;=GRID_FROM)*('Dvd Calendar'!$O$667&lt;=GRID_TO)*('Dvd Calendar'!$O$667&gt;VAL_DATE)=0,"",'Dvd Calendar'!$O$667*1000000000+ISNUMBER('Dvd Calendar'!$O$668)*100000000+0*10000000+(N('Dvd Calendar'!$O$666)&gt;0)*(N('Dvd Calendar'!$O$666)&lt;=VAL_SERIAL)*1000000+60*1000+51))</f>
        <v/>
      </c>
      <c r="GD71" s="35">
        <f>IF(N('Dvd Calendar'!$P$667)=0,"",IF(('Dvd Calendar'!$P$667&gt;=GRID_FROM)*('Dvd Calendar'!$P$667&lt;=GRID_TO)*('Dvd Calendar'!$P$667&gt;VAL_DATE)=0,"",'Dvd Calendar'!$P$667*1000000000+ISNUMBER('Dvd Calendar'!$P$668)*100000000+0*10000000+(N('Dvd Calendar'!$P$666)&gt;0)*(N('Dvd Calendar'!$P$666)&lt;=VAL_SERIAL)*1000000+60*1000+52))</f>
        <v/>
      </c>
      <c r="GE71" s="35">
        <f>IF(N('Dvd Calendar'!$Q$667)=0,"",IF(('Dvd Calendar'!$Q$667&gt;=GRID_FROM)*('Dvd Calendar'!$Q$667&lt;=GRID_TO)*('Dvd Calendar'!$Q$667&gt;VAL_DATE)=0,"",'Dvd Calendar'!$Q$667*1000000000+ISNUMBER('Dvd Calendar'!$Q$668)*100000000+0*10000000+(N('Dvd Calendar'!$Q$666)&gt;0)*(N('Dvd Calendar'!$Q$666)&lt;=VAL_SERIAL)*1000000+60*1000+53))</f>
        <v/>
      </c>
      <c r="GF71" s="35">
        <f>IF(N('Dvd Calendar'!$R$667)=0,"",IF(('Dvd Calendar'!$R$667&gt;=GRID_FROM)*('Dvd Calendar'!$R$667&lt;=GRID_TO)*('Dvd Calendar'!$R$667&gt;VAL_DATE)=0,"",'Dvd Calendar'!$R$667*1000000000+ISNUMBER('Dvd Calendar'!$R$668)*100000000+0*10000000+(N('Dvd Calendar'!$R$666)&gt;0)*(N('Dvd Calendar'!$R$666)&lt;=VAL_SERIAL)*1000000+60*1000+54))</f>
        <v/>
      </c>
      <c r="GG71" s="35">
        <f>IF(N('Dvd Calendar'!$S$667)=0,"",IF(('Dvd Calendar'!$S$667&gt;=GRID_FROM)*('Dvd Calendar'!$S$667&lt;=GRID_TO)*('Dvd Calendar'!$S$667&gt;VAL_DATE)=0,"",'Dvd Calendar'!$S$667*1000000000+ISNUMBER('Dvd Calendar'!$S$668)*100000000+0*10000000+(N('Dvd Calendar'!$S$666)&gt;0)*(N('Dvd Calendar'!$S$666)&lt;=VAL_SERIAL)*1000000+60*1000+55))</f>
        <v/>
      </c>
      <c r="GH71" s="35">
        <f>IF(N('Dvd Calendar'!$T$667)=0,"",IF(('Dvd Calendar'!$T$667&gt;=GRID_FROM)*('Dvd Calendar'!$T$667&lt;=GRID_TO)*('Dvd Calendar'!$T$667&gt;VAL_DATE)=0,"",'Dvd Calendar'!$T$667*1000000000+ISNUMBER('Dvd Calendar'!$T$668)*100000000+0*10000000+(N('Dvd Calendar'!$T$666)&gt;0)*(N('Dvd Calendar'!$T$666)&lt;=VAL_SERIAL)*1000000+60*1000+56))</f>
        <v/>
      </c>
      <c r="GI71" s="35">
        <f>IF(N('Dvd Calendar'!$U$667)=0,"",IF(('Dvd Calendar'!$U$667&gt;=GRID_FROM)*('Dvd Calendar'!$U$667&lt;=GRID_TO)*('Dvd Calendar'!$U$667&gt;VAL_DATE)=0,"",'Dvd Calendar'!$U$667*1000000000+ISNUMBER('Dvd Calendar'!$U$668)*100000000+0*10000000+(N('Dvd Calendar'!$U$666)&gt;0)*(N('Dvd Calendar'!$U$666)&lt;=VAL_SERIAL)*1000000+60*1000+57))</f>
        <v/>
      </c>
      <c r="GJ71" s="35">
        <f>IF(N('Dvd Calendar'!$V$667)=0,"",IF(('Dvd Calendar'!$V$667&gt;=GRID_FROM)*('Dvd Calendar'!$V$667&lt;=GRID_TO)*('Dvd Calendar'!$V$667&gt;VAL_DATE)=0,"",'Dvd Calendar'!$V$667*1000000000+ISNUMBER('Dvd Calendar'!$V$668)*100000000+0*10000000+(N('Dvd Calendar'!$V$666)&gt;0)*(N('Dvd Calendar'!$V$666)&lt;=VAL_SERIAL)*1000000+60*1000+58))</f>
        <v/>
      </c>
      <c r="GK71" s="35">
        <f>IF(N('Dvd Calendar'!$W$667)=0,"",IF(('Dvd Calendar'!$W$667&gt;=GRID_FROM)*('Dvd Calendar'!$W$667&lt;=GRID_TO)*('Dvd Calendar'!$W$667&gt;VAL_DATE)=0,"",'Dvd Calendar'!$W$667*1000000000+ISNUMBER('Dvd Calendar'!$W$668)*100000000+0*10000000+(N('Dvd Calendar'!$W$666)&gt;0)*(N('Dvd Calendar'!$W$666)&lt;=VAL_SERIAL)*1000000+60*1000+59))</f>
        <v/>
      </c>
      <c r="GL71" s="35">
        <f>IF(N('Dvd Calendar'!$X$667)=0,"",IF(('Dvd Calendar'!$X$667&gt;=GRID_FROM)*('Dvd Calendar'!$X$667&lt;=GRID_TO)*('Dvd Calendar'!$X$667&gt;VAL_DATE)=0,"",'Dvd Calendar'!$X$667*1000000000+ISNUMBER('Dvd Calendar'!$X$668)*100000000+0*10000000+(N('Dvd Calendar'!$X$666)&gt;0)*(N('Dvd Calendar'!$X$666)&lt;=VAL_SERIAL)*1000000+60*1000+60))</f>
        <v/>
      </c>
      <c r="GM71" s="35">
        <f>IF(N('Dvd Calendar'!$Y$667)=0,"",IF(('Dvd Calendar'!$Y$667&gt;=GRID_FROM)*('Dvd Calendar'!$Y$667&lt;=GRID_TO)*('Dvd Calendar'!$Y$667&gt;VAL_DATE)=0,"",'Dvd Calendar'!$Y$667*1000000000+ISNUMBER('Dvd Calendar'!$Y$668)*100000000+0*10000000+(N('Dvd Calendar'!$Y$666)&gt;0)*(N('Dvd Calendar'!$Y$666)&lt;=VAL_SERIAL)*1000000+60*1000+61))</f>
        <v/>
      </c>
      <c r="GN71" s="35">
        <f>IF(N('Dvd Calendar'!$Z$667)=0,"",IF(('Dvd Calendar'!$Z$667&gt;=GRID_FROM)*('Dvd Calendar'!$Z$667&lt;=GRID_TO)*('Dvd Calendar'!$Z$667&gt;VAL_DATE)=0,"",'Dvd Calendar'!$Z$667*1000000000+ISNUMBER('Dvd Calendar'!$Z$668)*100000000+0*10000000+(N('Dvd Calendar'!$Z$666)&gt;0)*(N('Dvd Calendar'!$Z$666)&lt;=VAL_SERIAL)*1000000+60*1000+62))</f>
        <v/>
      </c>
      <c r="GO71" s="35">
        <f>IF(N('Dvd Calendar'!$AA$667)=0,"",IF(('Dvd Calendar'!$AA$667&gt;=GRID_FROM)*('Dvd Calendar'!$AA$667&lt;=GRID_TO)*('Dvd Calendar'!$AA$667&gt;VAL_DATE)=0,"",'Dvd Calendar'!$AA$667*1000000000+ISNUMBER('Dvd Calendar'!$AA$668)*100000000+0*10000000+(N('Dvd Calendar'!$AA$666)&gt;0)*(N('Dvd Calendar'!$AA$666)&lt;=VAL_SERIAL)*1000000+60*1000+63))</f>
        <v/>
      </c>
      <c r="GP71" s="35">
        <f>IF(N('Dvd Calendar'!$AB$667)=0,"",IF(('Dvd Calendar'!$AB$667&gt;=GRID_FROM)*('Dvd Calendar'!$AB$667&lt;=GRID_TO)*('Dvd Calendar'!$AB$667&gt;VAL_DATE)=0,"",'Dvd Calendar'!$AB$667*1000000000+ISNUMBER('Dvd Calendar'!$AB$668)*100000000+0*10000000+(N('Dvd Calendar'!$AB$666)&gt;0)*(N('Dvd Calendar'!$AB$666)&lt;=VAL_SERIAL)*1000000+60*1000+64))</f>
        <v/>
      </c>
      <c r="GQ71" s="35">
        <f>IF(N('Dvd Calendar'!$AC$667)=0,"",IF(('Dvd Calendar'!$AC$667&gt;=GRID_FROM)*('Dvd Calendar'!$AC$667&lt;=GRID_TO)*('Dvd Calendar'!$AC$667&gt;VAL_DATE)=0,"",'Dvd Calendar'!$AC$667*1000000000+ISNUMBER('Dvd Calendar'!$AC$668)*100000000+0*10000000+(N('Dvd Calendar'!$AC$666)&gt;0)*(N('Dvd Calendar'!$AC$666)&lt;=VAL_SERIAL)*1000000+60*1000+65))</f>
        <v/>
      </c>
    </row>
    <row r="72">
      <c r="B72" s="2">
        <f>IF(HSI!$C$67="","",HSI!$C$67)</f>
        <v/>
      </c>
      <c r="C72" s="106">
        <f>IF(EE72="","",IF(ISNUMBER('Dvd Calendar'!$E$674)=FALSE,"",IF((('Dvd Calendar'!$E$676=TYPE1)*(TYPE1&lt;&gt;"")+('Dvd Calendar'!$E$676=TYPE2)*(TYPE2&lt;&gt;"")+('Dvd Calendar'!$E$676=TYPE3)*(TYPE3&lt;&gt;"")+('Dvd Calendar'!$E$676=TYPE4)*(TYPE4&lt;&gt;"")+('Dvd Calendar'!$E$676=SPECIAL_LBL)*(INC_SPECIALS="Y"))=0,"",'Dvd Calendar'!$E$674)))</f>
        <v/>
      </c>
      <c r="D72" s="106">
        <f>IF(EF72="","",IF(ISNUMBER('Dvd Calendar'!$F$674)=FALSE,"",IF((('Dvd Calendar'!$F$676=TYPE1)*(TYPE1&lt;&gt;"")+('Dvd Calendar'!$F$676=TYPE2)*(TYPE2&lt;&gt;"")+('Dvd Calendar'!$F$676=TYPE3)*(TYPE3&lt;&gt;"")+('Dvd Calendar'!$F$676=TYPE4)*(TYPE4&lt;&gt;"")+('Dvd Calendar'!$F$676=SPECIAL_LBL)*(INC_SPECIALS="Y"))=0,"",'Dvd Calendar'!$F$674)))</f>
        <v/>
      </c>
      <c r="E72" s="106">
        <f>IF(EG72="","",IF(ISNUMBER('Dvd Calendar'!$G$674)=FALSE,"",IF((('Dvd Calendar'!$G$676=TYPE1)*(TYPE1&lt;&gt;"")+('Dvd Calendar'!$G$676=TYPE2)*(TYPE2&lt;&gt;"")+('Dvd Calendar'!$G$676=TYPE3)*(TYPE3&lt;&gt;"")+('Dvd Calendar'!$G$676=TYPE4)*(TYPE4&lt;&gt;"")+('Dvd Calendar'!$G$676=SPECIAL_LBL)*(INC_SPECIALS="Y"))=0,"",'Dvd Calendar'!$G$674)))</f>
        <v/>
      </c>
      <c r="F72" s="106">
        <f>IF(EH72="","",IF(ISNUMBER('Dvd Calendar'!$H$674)=FALSE,"",IF((('Dvd Calendar'!$H$676=TYPE1)*(TYPE1&lt;&gt;"")+('Dvd Calendar'!$H$676=TYPE2)*(TYPE2&lt;&gt;"")+('Dvd Calendar'!$H$676=TYPE3)*(TYPE3&lt;&gt;"")+('Dvd Calendar'!$H$676=TYPE4)*(TYPE4&lt;&gt;"")+('Dvd Calendar'!$H$676=SPECIAL_LBL)*(INC_SPECIALS="Y"))=0,"",'Dvd Calendar'!$H$674)))</f>
        <v/>
      </c>
      <c r="G72" s="106">
        <f>IF(EI72="","",IF(ISNUMBER('Dvd Calendar'!$I$674)=FALSE,"",IF((('Dvd Calendar'!$I$676=TYPE1)*(TYPE1&lt;&gt;"")+('Dvd Calendar'!$I$676=TYPE2)*(TYPE2&lt;&gt;"")+('Dvd Calendar'!$I$676=TYPE3)*(TYPE3&lt;&gt;"")+('Dvd Calendar'!$I$676=TYPE4)*(TYPE4&lt;&gt;"")+('Dvd Calendar'!$I$676=SPECIAL_LBL)*(INC_SPECIALS="Y"))=0,"",'Dvd Calendar'!$I$674)))</f>
        <v/>
      </c>
      <c r="H72" s="106">
        <f>IF(EJ72="","",IF(ISNUMBER('Dvd Calendar'!$J$674)=FALSE,"",IF((('Dvd Calendar'!$J$676=TYPE1)*(TYPE1&lt;&gt;"")+('Dvd Calendar'!$J$676=TYPE2)*(TYPE2&lt;&gt;"")+('Dvd Calendar'!$J$676=TYPE3)*(TYPE3&lt;&gt;"")+('Dvd Calendar'!$J$676=TYPE4)*(TYPE4&lt;&gt;"")+('Dvd Calendar'!$J$676=SPECIAL_LBL)*(INC_SPECIALS="Y"))=0,"",'Dvd Calendar'!$J$674)))</f>
        <v/>
      </c>
      <c r="I72" s="106">
        <f>IF(EK72="","",IF(ISNUMBER('Dvd Calendar'!$K$674)=FALSE,"",IF((('Dvd Calendar'!$K$676=TYPE1)*(TYPE1&lt;&gt;"")+('Dvd Calendar'!$K$676=TYPE2)*(TYPE2&lt;&gt;"")+('Dvd Calendar'!$K$676=TYPE3)*(TYPE3&lt;&gt;"")+('Dvd Calendar'!$K$676=TYPE4)*(TYPE4&lt;&gt;"")+('Dvd Calendar'!$K$676=SPECIAL_LBL)*(INC_SPECIALS="Y"))=0,"",'Dvd Calendar'!$K$674)))</f>
        <v/>
      </c>
      <c r="J72" s="106">
        <f>IF(EL72="","",IF(ISNUMBER('Dvd Calendar'!$L$674)=FALSE,"",IF((('Dvd Calendar'!$L$676=TYPE1)*(TYPE1&lt;&gt;"")+('Dvd Calendar'!$L$676=TYPE2)*(TYPE2&lt;&gt;"")+('Dvd Calendar'!$L$676=TYPE3)*(TYPE3&lt;&gt;"")+('Dvd Calendar'!$L$676=TYPE4)*(TYPE4&lt;&gt;"")+('Dvd Calendar'!$L$676=SPECIAL_LBL)*(INC_SPECIALS="Y"))=0,"",'Dvd Calendar'!$L$674)))</f>
        <v/>
      </c>
      <c r="K72" s="106">
        <f>IF(EM72="","",IF(ISNUMBER('Dvd Calendar'!$M$674)=FALSE,"",IF((('Dvd Calendar'!$M$676=TYPE1)*(TYPE1&lt;&gt;"")+('Dvd Calendar'!$M$676=TYPE2)*(TYPE2&lt;&gt;"")+('Dvd Calendar'!$M$676=TYPE3)*(TYPE3&lt;&gt;"")+('Dvd Calendar'!$M$676=TYPE4)*(TYPE4&lt;&gt;"")+('Dvd Calendar'!$M$676=SPECIAL_LBL)*(INC_SPECIALS="Y"))=0,"",'Dvd Calendar'!$M$674)))</f>
        <v/>
      </c>
      <c r="L72" s="106">
        <f>IF(EN72="","",IF(ISNUMBER('Dvd Calendar'!$N$674)=FALSE,"",IF((('Dvd Calendar'!$N$676=TYPE1)*(TYPE1&lt;&gt;"")+('Dvd Calendar'!$N$676=TYPE2)*(TYPE2&lt;&gt;"")+('Dvd Calendar'!$N$676=TYPE3)*(TYPE3&lt;&gt;"")+('Dvd Calendar'!$N$676=TYPE4)*(TYPE4&lt;&gt;"")+('Dvd Calendar'!$N$676=SPECIAL_LBL)*(INC_SPECIALS="Y"))=0,"",'Dvd Calendar'!$N$674)))</f>
        <v/>
      </c>
      <c r="M72" s="106">
        <f>IF(EO72="","",IF(ISNUMBER('Dvd Calendar'!$O$674)=FALSE,"",IF((('Dvd Calendar'!$O$676=TYPE1)*(TYPE1&lt;&gt;"")+('Dvd Calendar'!$O$676=TYPE2)*(TYPE2&lt;&gt;"")+('Dvd Calendar'!$O$676=TYPE3)*(TYPE3&lt;&gt;"")+('Dvd Calendar'!$O$676=TYPE4)*(TYPE4&lt;&gt;"")+('Dvd Calendar'!$O$676=SPECIAL_LBL)*(INC_SPECIALS="Y"))=0,"",'Dvd Calendar'!$O$674)))</f>
        <v/>
      </c>
      <c r="N72" s="106">
        <f>IF(EP72="","",IF(ISNUMBER('Dvd Calendar'!$P$674)=FALSE,"",IF((('Dvd Calendar'!$P$676=TYPE1)*(TYPE1&lt;&gt;"")+('Dvd Calendar'!$P$676=TYPE2)*(TYPE2&lt;&gt;"")+('Dvd Calendar'!$P$676=TYPE3)*(TYPE3&lt;&gt;"")+('Dvd Calendar'!$P$676=TYPE4)*(TYPE4&lt;&gt;"")+('Dvd Calendar'!$P$676=SPECIAL_LBL)*(INC_SPECIALS="Y"))=0,"",'Dvd Calendar'!$P$674)))</f>
        <v/>
      </c>
      <c r="O72" s="106">
        <f>IF(EQ72="","",IF(ISNUMBER('Dvd Calendar'!$Q$674)=FALSE,"",IF((('Dvd Calendar'!$Q$676=TYPE1)*(TYPE1&lt;&gt;"")+('Dvd Calendar'!$Q$676=TYPE2)*(TYPE2&lt;&gt;"")+('Dvd Calendar'!$Q$676=TYPE3)*(TYPE3&lt;&gt;"")+('Dvd Calendar'!$Q$676=TYPE4)*(TYPE4&lt;&gt;"")+('Dvd Calendar'!$Q$676=SPECIAL_LBL)*(INC_SPECIALS="Y"))=0,"",'Dvd Calendar'!$Q$674)))</f>
        <v/>
      </c>
      <c r="P72" s="106">
        <f>IF(ER72="","",IF(ISNUMBER('Dvd Calendar'!$R$674)=FALSE,"",IF((('Dvd Calendar'!$R$676=TYPE1)*(TYPE1&lt;&gt;"")+('Dvd Calendar'!$R$676=TYPE2)*(TYPE2&lt;&gt;"")+('Dvd Calendar'!$R$676=TYPE3)*(TYPE3&lt;&gt;"")+('Dvd Calendar'!$R$676=TYPE4)*(TYPE4&lt;&gt;"")+('Dvd Calendar'!$R$676=SPECIAL_LBL)*(INC_SPECIALS="Y"))=0,"",'Dvd Calendar'!$R$674)))</f>
        <v/>
      </c>
      <c r="Q72" s="106">
        <f>IF(ES72="","",IF(ISNUMBER('Dvd Calendar'!$S$674)=FALSE,"",IF((('Dvd Calendar'!$S$676=TYPE1)*(TYPE1&lt;&gt;"")+('Dvd Calendar'!$S$676=TYPE2)*(TYPE2&lt;&gt;"")+('Dvd Calendar'!$S$676=TYPE3)*(TYPE3&lt;&gt;"")+('Dvd Calendar'!$S$676=TYPE4)*(TYPE4&lt;&gt;"")+('Dvd Calendar'!$S$676=SPECIAL_LBL)*(INC_SPECIALS="Y"))=0,"",'Dvd Calendar'!$S$674)))</f>
        <v/>
      </c>
      <c r="R72" s="106">
        <f>IF(ET72="","",IF(ISNUMBER('Dvd Calendar'!$T$674)=FALSE,"",IF((('Dvd Calendar'!$T$676=TYPE1)*(TYPE1&lt;&gt;"")+('Dvd Calendar'!$T$676=TYPE2)*(TYPE2&lt;&gt;"")+('Dvd Calendar'!$T$676=TYPE3)*(TYPE3&lt;&gt;"")+('Dvd Calendar'!$T$676=TYPE4)*(TYPE4&lt;&gt;"")+('Dvd Calendar'!$T$676=SPECIAL_LBL)*(INC_SPECIALS="Y"))=0,"",'Dvd Calendar'!$T$674)))</f>
        <v/>
      </c>
      <c r="S72" s="106">
        <f>IF(EU72="","",IF(ISNUMBER('Dvd Calendar'!$U$674)=FALSE,"",IF((('Dvd Calendar'!$U$676=TYPE1)*(TYPE1&lt;&gt;"")+('Dvd Calendar'!$U$676=TYPE2)*(TYPE2&lt;&gt;"")+('Dvd Calendar'!$U$676=TYPE3)*(TYPE3&lt;&gt;"")+('Dvd Calendar'!$U$676=TYPE4)*(TYPE4&lt;&gt;"")+('Dvd Calendar'!$U$676=SPECIAL_LBL)*(INC_SPECIALS="Y"))=0,"",'Dvd Calendar'!$U$674)))</f>
        <v/>
      </c>
      <c r="T72" s="106">
        <f>IF(EV72="","",IF(ISNUMBER('Dvd Calendar'!$V$674)=FALSE,"",IF((('Dvd Calendar'!$V$676=TYPE1)*(TYPE1&lt;&gt;"")+('Dvd Calendar'!$V$676=TYPE2)*(TYPE2&lt;&gt;"")+('Dvd Calendar'!$V$676=TYPE3)*(TYPE3&lt;&gt;"")+('Dvd Calendar'!$V$676=TYPE4)*(TYPE4&lt;&gt;"")+('Dvd Calendar'!$V$676=SPECIAL_LBL)*(INC_SPECIALS="Y"))=0,"",'Dvd Calendar'!$V$674)))</f>
        <v/>
      </c>
      <c r="U72" s="106">
        <f>IF(EW72="","",IF(ISNUMBER('Dvd Calendar'!$W$674)=FALSE,"",IF((('Dvd Calendar'!$W$676=TYPE1)*(TYPE1&lt;&gt;"")+('Dvd Calendar'!$W$676=TYPE2)*(TYPE2&lt;&gt;"")+('Dvd Calendar'!$W$676=TYPE3)*(TYPE3&lt;&gt;"")+('Dvd Calendar'!$W$676=TYPE4)*(TYPE4&lt;&gt;"")+('Dvd Calendar'!$W$676=SPECIAL_LBL)*(INC_SPECIALS="Y"))=0,"",'Dvd Calendar'!$W$674)))</f>
        <v/>
      </c>
      <c r="V72" s="106">
        <f>IF(EX72="","",IF(ISNUMBER('Dvd Calendar'!$X$674)=FALSE,"",IF((('Dvd Calendar'!$X$676=TYPE1)*(TYPE1&lt;&gt;"")+('Dvd Calendar'!$X$676=TYPE2)*(TYPE2&lt;&gt;"")+('Dvd Calendar'!$X$676=TYPE3)*(TYPE3&lt;&gt;"")+('Dvd Calendar'!$X$676=TYPE4)*(TYPE4&lt;&gt;"")+('Dvd Calendar'!$X$676=SPECIAL_LBL)*(INC_SPECIALS="Y"))=0,"",'Dvd Calendar'!$X$674)))</f>
        <v/>
      </c>
      <c r="W72" s="106">
        <f>IF(EY72="","",IF(ISNUMBER('Dvd Calendar'!$Y$674)=FALSE,"",IF((('Dvd Calendar'!$Y$676=TYPE1)*(TYPE1&lt;&gt;"")+('Dvd Calendar'!$Y$676=TYPE2)*(TYPE2&lt;&gt;"")+('Dvd Calendar'!$Y$676=TYPE3)*(TYPE3&lt;&gt;"")+('Dvd Calendar'!$Y$676=TYPE4)*(TYPE4&lt;&gt;"")+('Dvd Calendar'!$Y$676=SPECIAL_LBL)*(INC_SPECIALS="Y"))=0,"",'Dvd Calendar'!$Y$674)))</f>
        <v/>
      </c>
      <c r="X72" s="106">
        <f>IF(EZ72="","",IF(ISNUMBER('Dvd Calendar'!$Z$674)=FALSE,"",IF((('Dvd Calendar'!$Z$676=TYPE1)*(TYPE1&lt;&gt;"")+('Dvd Calendar'!$Z$676=TYPE2)*(TYPE2&lt;&gt;"")+('Dvd Calendar'!$Z$676=TYPE3)*(TYPE3&lt;&gt;"")+('Dvd Calendar'!$Z$676=TYPE4)*(TYPE4&lt;&gt;"")+('Dvd Calendar'!$Z$676=SPECIAL_LBL)*(INC_SPECIALS="Y"))=0,"",'Dvd Calendar'!$Z$674)))</f>
        <v/>
      </c>
      <c r="Y72" s="106">
        <f>IF(FA72="","",IF(ISNUMBER('Dvd Calendar'!$AA$674)=FALSE,"",IF((('Dvd Calendar'!$AA$676=TYPE1)*(TYPE1&lt;&gt;"")+('Dvd Calendar'!$AA$676=TYPE2)*(TYPE2&lt;&gt;"")+('Dvd Calendar'!$AA$676=TYPE3)*(TYPE3&lt;&gt;"")+('Dvd Calendar'!$AA$676=TYPE4)*(TYPE4&lt;&gt;"")+('Dvd Calendar'!$AA$676=SPECIAL_LBL)*(INC_SPECIALS="Y"))=0,"",'Dvd Calendar'!$AA$674)))</f>
        <v/>
      </c>
      <c r="Z72" s="106">
        <f>IF(FB72="","",IF(ISNUMBER('Dvd Calendar'!$AB$674)=FALSE,"",IF((('Dvd Calendar'!$AB$676=TYPE1)*(TYPE1&lt;&gt;"")+('Dvd Calendar'!$AB$676=TYPE2)*(TYPE2&lt;&gt;"")+('Dvd Calendar'!$AB$676=TYPE3)*(TYPE3&lt;&gt;"")+('Dvd Calendar'!$AB$676=TYPE4)*(TYPE4&lt;&gt;"")+('Dvd Calendar'!$AB$676=SPECIAL_LBL)*(INC_SPECIALS="Y"))=0,"",'Dvd Calendar'!$AB$674)))</f>
        <v/>
      </c>
      <c r="AA72" s="106">
        <f>IF(FC72="","",IF(ISNUMBER('Dvd Calendar'!$AC$674)=FALSE,"",IF((('Dvd Calendar'!$AC$676=TYPE1)*(TYPE1&lt;&gt;"")+('Dvd Calendar'!$AC$676=TYPE2)*(TYPE2&lt;&gt;"")+('Dvd Calendar'!$AC$676=TYPE3)*(TYPE3&lt;&gt;"")+('Dvd Calendar'!$AC$676=TYPE4)*(TYPE4&lt;&gt;"")+('Dvd Calendar'!$AC$676=SPECIAL_LBL)*(INC_SPECIALS="Y"))=0,"",'Dvd Calendar'!$AC$674)))</f>
        <v/>
      </c>
      <c r="AB72" s="106">
        <f>IF(FD72="","",IF(ISNUMBER('Dvd Calendar'!$AD$674)=FALSE,"",IF((('Dvd Calendar'!$AD$676=TYPE1)*(TYPE1&lt;&gt;"")+('Dvd Calendar'!$AD$676=TYPE2)*(TYPE2&lt;&gt;"")+('Dvd Calendar'!$AD$676=TYPE3)*(TYPE3&lt;&gt;"")+('Dvd Calendar'!$AD$676=TYPE4)*(TYPE4&lt;&gt;"")+('Dvd Calendar'!$AD$676=SPECIAL_LBL)*(INC_SPECIALS="Y"))=0,"",'Dvd Calendar'!$AD$674)))</f>
        <v/>
      </c>
      <c r="AC72" s="106">
        <f>IF(FE72="","",IF(ISNUMBER('Dvd Calendar'!$AE$674)=FALSE,"",IF((('Dvd Calendar'!$AE$676=TYPE1)*(TYPE1&lt;&gt;"")+('Dvd Calendar'!$AE$676=TYPE2)*(TYPE2&lt;&gt;"")+('Dvd Calendar'!$AE$676=TYPE3)*(TYPE3&lt;&gt;"")+('Dvd Calendar'!$AE$676=TYPE4)*(TYPE4&lt;&gt;"")+('Dvd Calendar'!$AE$676=SPECIAL_LBL)*(INC_SPECIALS="Y"))=0,"",'Dvd Calendar'!$AE$674)))</f>
        <v/>
      </c>
      <c r="AD72" s="106">
        <f>IF(FF72="","",IF(ISNUMBER('Dvd Calendar'!$AF$674)=FALSE,"",IF((('Dvd Calendar'!$AF$676=TYPE1)*(TYPE1&lt;&gt;"")+('Dvd Calendar'!$AF$676=TYPE2)*(TYPE2&lt;&gt;"")+('Dvd Calendar'!$AF$676=TYPE3)*(TYPE3&lt;&gt;"")+('Dvd Calendar'!$AF$676=TYPE4)*(TYPE4&lt;&gt;"")+('Dvd Calendar'!$AF$676=SPECIAL_LBL)*(INC_SPECIALS="Y"))=0,"",'Dvd Calendar'!$AF$674)))</f>
        <v/>
      </c>
      <c r="AE72" s="106">
        <f>IF(FG72="","",IF(ISNUMBER('Dvd Calendar'!$AG$674)=FALSE,"",IF((('Dvd Calendar'!$AG$676=TYPE1)*(TYPE1&lt;&gt;"")+('Dvd Calendar'!$AG$676=TYPE2)*(TYPE2&lt;&gt;"")+('Dvd Calendar'!$AG$676=TYPE3)*(TYPE3&lt;&gt;"")+('Dvd Calendar'!$AG$676=TYPE4)*(TYPE4&lt;&gt;"")+('Dvd Calendar'!$AG$676=SPECIAL_LBL)*(INC_SPECIALS="Y"))=0,"",'Dvd Calendar'!$AG$674)))</f>
        <v/>
      </c>
      <c r="AF72" s="106">
        <f>IF(FH72="","",IF(ISNUMBER('Dvd Calendar'!$AH$674)=FALSE,"",IF((('Dvd Calendar'!$AH$676=TYPE1)*(TYPE1&lt;&gt;"")+('Dvd Calendar'!$AH$676=TYPE2)*(TYPE2&lt;&gt;"")+('Dvd Calendar'!$AH$676=TYPE3)*(TYPE3&lt;&gt;"")+('Dvd Calendar'!$AH$676=TYPE4)*(TYPE4&lt;&gt;"")+('Dvd Calendar'!$AH$676=SPECIAL_LBL)*(INC_SPECIALS="Y"))=0,"",'Dvd Calendar'!$AH$674)))</f>
        <v/>
      </c>
      <c r="AG72" s="106">
        <f>IF(FI72="","",IF(ISNUMBER('Dvd Calendar'!$AI$674)=FALSE,"",IF((('Dvd Calendar'!$AI$676=TYPE1)*(TYPE1&lt;&gt;"")+('Dvd Calendar'!$AI$676=TYPE2)*(TYPE2&lt;&gt;"")+('Dvd Calendar'!$AI$676=TYPE3)*(TYPE3&lt;&gt;"")+('Dvd Calendar'!$AI$676=TYPE4)*(TYPE4&lt;&gt;"")+('Dvd Calendar'!$AI$676=SPECIAL_LBL)*(INC_SPECIALS="Y"))=0,"",'Dvd Calendar'!$AI$674)))</f>
        <v/>
      </c>
      <c r="AH72" s="106">
        <f>IF(FJ72="","",IF(ISNUMBER('Dvd Calendar'!$AJ$674)=FALSE,"",IF((('Dvd Calendar'!$AJ$676=TYPE1)*(TYPE1&lt;&gt;"")+('Dvd Calendar'!$AJ$676=TYPE2)*(TYPE2&lt;&gt;"")+('Dvd Calendar'!$AJ$676=TYPE3)*(TYPE3&lt;&gt;"")+('Dvd Calendar'!$AJ$676=TYPE4)*(TYPE4&lt;&gt;"")+('Dvd Calendar'!$AJ$676=SPECIAL_LBL)*(INC_SPECIALS="Y"))=0,"",'Dvd Calendar'!$AJ$674)))</f>
        <v/>
      </c>
      <c r="AI72" s="106">
        <f>IF(FK72="","",IF(ISNUMBER('Dvd Calendar'!$AK$674)=FALSE,"",IF((('Dvd Calendar'!$AK$676=TYPE1)*(TYPE1&lt;&gt;"")+('Dvd Calendar'!$AK$676=TYPE2)*(TYPE2&lt;&gt;"")+('Dvd Calendar'!$AK$676=TYPE3)*(TYPE3&lt;&gt;"")+('Dvd Calendar'!$AK$676=TYPE4)*(TYPE4&lt;&gt;"")+('Dvd Calendar'!$AK$676=SPECIAL_LBL)*(INC_SPECIALS="Y"))=0,"",'Dvd Calendar'!$AK$674)))</f>
        <v/>
      </c>
      <c r="AJ72" s="106">
        <f>IF(FL72="","",IF(ISNUMBER('Dvd Calendar'!$AL$674)=FALSE,"",IF((('Dvd Calendar'!$AL$676=TYPE1)*(TYPE1&lt;&gt;"")+('Dvd Calendar'!$AL$676=TYPE2)*(TYPE2&lt;&gt;"")+('Dvd Calendar'!$AL$676=TYPE3)*(TYPE3&lt;&gt;"")+('Dvd Calendar'!$AL$676=TYPE4)*(TYPE4&lt;&gt;"")+('Dvd Calendar'!$AL$676=SPECIAL_LBL)*(INC_SPECIALS="Y"))=0,"",'Dvd Calendar'!$AL$674)))</f>
        <v/>
      </c>
      <c r="AK72" s="106">
        <f>IF(FM72="","",IF(ISNUMBER('Dvd Calendar'!$AM$674)=FALSE,"",IF((('Dvd Calendar'!$AM$676=TYPE1)*(TYPE1&lt;&gt;"")+('Dvd Calendar'!$AM$676=TYPE2)*(TYPE2&lt;&gt;"")+('Dvd Calendar'!$AM$676=TYPE3)*(TYPE3&lt;&gt;"")+('Dvd Calendar'!$AM$676=TYPE4)*(TYPE4&lt;&gt;"")+('Dvd Calendar'!$AM$676=SPECIAL_LBL)*(INC_SPECIALS="Y"))=0,"",'Dvd Calendar'!$AM$674)))</f>
        <v/>
      </c>
      <c r="AL72" s="106">
        <f>IF(FN72="","",IF(ISNUMBER('Dvd Calendar'!$AN$674)=FALSE,"",IF((('Dvd Calendar'!$AN$676=TYPE1)*(TYPE1&lt;&gt;"")+('Dvd Calendar'!$AN$676=TYPE2)*(TYPE2&lt;&gt;"")+('Dvd Calendar'!$AN$676=TYPE3)*(TYPE3&lt;&gt;"")+('Dvd Calendar'!$AN$676=TYPE4)*(TYPE4&lt;&gt;"")+('Dvd Calendar'!$AN$676=SPECIAL_LBL)*(INC_SPECIALS="Y"))=0,"",'Dvd Calendar'!$AN$674)))</f>
        <v/>
      </c>
      <c r="AM72" s="106">
        <f>IF(FO72="","",IF(ISNUMBER('Dvd Calendar'!$AO$674)=FALSE,"",IF((('Dvd Calendar'!$AO$676=TYPE1)*(TYPE1&lt;&gt;"")+('Dvd Calendar'!$AO$676=TYPE2)*(TYPE2&lt;&gt;"")+('Dvd Calendar'!$AO$676=TYPE3)*(TYPE3&lt;&gt;"")+('Dvd Calendar'!$AO$676=TYPE4)*(TYPE4&lt;&gt;"")+('Dvd Calendar'!$AO$676=SPECIAL_LBL)*(INC_SPECIALS="Y"))=0,"",'Dvd Calendar'!$AO$674)))</f>
        <v/>
      </c>
      <c r="AN72" s="106">
        <f>IF(FP72="","",IF(ISNUMBER('Dvd Calendar'!$AP$674)=FALSE,"",IF((('Dvd Calendar'!$AP$676=TYPE1)*(TYPE1&lt;&gt;"")+('Dvd Calendar'!$AP$676=TYPE2)*(TYPE2&lt;&gt;"")+('Dvd Calendar'!$AP$676=TYPE3)*(TYPE3&lt;&gt;"")+('Dvd Calendar'!$AP$676=TYPE4)*(TYPE4&lt;&gt;"")+('Dvd Calendar'!$AP$676=SPECIAL_LBL)*(INC_SPECIALS="Y"))=0,"",'Dvd Calendar'!$AP$674)))</f>
        <v/>
      </c>
      <c r="AO72" s="106">
        <f>IF(FQ72="","",IF(ISNUMBER('Dvd Calendar'!$AQ$674)=FALSE,"",IF((('Dvd Calendar'!$AQ$676=TYPE1)*(TYPE1&lt;&gt;"")+('Dvd Calendar'!$AQ$676=TYPE2)*(TYPE2&lt;&gt;"")+('Dvd Calendar'!$AQ$676=TYPE3)*(TYPE3&lt;&gt;"")+('Dvd Calendar'!$AQ$676=TYPE4)*(TYPE4&lt;&gt;"")+('Dvd Calendar'!$AQ$676=SPECIAL_LBL)*(INC_SPECIALS="Y"))=0,"",'Dvd Calendar'!$AQ$674)))</f>
        <v/>
      </c>
      <c r="AP72" s="106">
        <f>IF(FR72="","",IF(ISNUMBER('Dvd Calendar'!$AR$674)=FALSE,"",IF((('Dvd Calendar'!$AR$676=TYPE1)*(TYPE1&lt;&gt;"")+('Dvd Calendar'!$AR$676=TYPE2)*(TYPE2&lt;&gt;"")+('Dvd Calendar'!$AR$676=TYPE3)*(TYPE3&lt;&gt;"")+('Dvd Calendar'!$AR$676=TYPE4)*(TYPE4&lt;&gt;"")+('Dvd Calendar'!$AR$676=SPECIAL_LBL)*(INC_SPECIALS="Y"))=0,"",'Dvd Calendar'!$AR$674)))</f>
        <v/>
      </c>
      <c r="AQ72" s="106">
        <f>IF(FS72="","",IF(ISNUMBER('Dvd Calendar'!$E$679)=FALSE,"",'Dvd Calendar'!$E$679))</f>
        <v/>
      </c>
      <c r="AR72" s="106">
        <f>IF(FT72="","",IF(ISNUMBER('Dvd Calendar'!$F$679)=FALSE,"",'Dvd Calendar'!$F$679))</f>
        <v/>
      </c>
      <c r="AS72" s="106">
        <f>IF(FU72="","",IF(ISNUMBER('Dvd Calendar'!$G$679)=FALSE,"",'Dvd Calendar'!$G$679))</f>
        <v/>
      </c>
      <c r="AT72" s="106">
        <f>IF(FV72="","",IF(ISNUMBER('Dvd Calendar'!$H$679)=FALSE,"",'Dvd Calendar'!$H$679))</f>
        <v/>
      </c>
      <c r="AU72" s="106">
        <f>IF(FW72="","",IF(ISNUMBER('Dvd Calendar'!$I$679)=FALSE,"",'Dvd Calendar'!$I$679))</f>
        <v/>
      </c>
      <c r="AV72" s="106">
        <f>IF(FX72="","",IF(ISNUMBER('Dvd Calendar'!$J$679)=FALSE,"",'Dvd Calendar'!$J$679))</f>
        <v/>
      </c>
      <c r="AW72" s="106">
        <f>IF(FY72="","",IF(ISNUMBER('Dvd Calendar'!$K$679)=FALSE,"",'Dvd Calendar'!$K$679))</f>
        <v/>
      </c>
      <c r="AX72" s="106">
        <f>IF(FZ72="","",IF(ISNUMBER('Dvd Calendar'!$L$679)=FALSE,"",'Dvd Calendar'!$L$679))</f>
        <v/>
      </c>
      <c r="AY72" s="106">
        <f>IF(GA72="","",IF(ISNUMBER('Dvd Calendar'!$M$679)=FALSE,"",'Dvd Calendar'!$M$679))</f>
        <v/>
      </c>
      <c r="AZ72" s="106">
        <f>IF(GB72="","",IF(ISNUMBER('Dvd Calendar'!$N$679)=FALSE,"",'Dvd Calendar'!$N$679))</f>
        <v/>
      </c>
      <c r="BA72" s="106">
        <f>IF(GC72="","",IF(ISNUMBER('Dvd Calendar'!$O$679)=FALSE,"",'Dvd Calendar'!$O$679))</f>
        <v/>
      </c>
      <c r="BB72" s="106">
        <f>IF(GD72="","",IF(ISNUMBER('Dvd Calendar'!$P$679)=FALSE,"",'Dvd Calendar'!$P$679))</f>
        <v/>
      </c>
      <c r="BC72" s="106">
        <f>IF(GE72="","",IF(ISNUMBER('Dvd Calendar'!$Q$679)=FALSE,"",'Dvd Calendar'!$Q$679))</f>
        <v/>
      </c>
      <c r="BD72" s="106">
        <f>IF(GF72="","",IF(ISNUMBER('Dvd Calendar'!$R$679)=FALSE,"",'Dvd Calendar'!$R$679))</f>
        <v/>
      </c>
      <c r="BE72" s="106">
        <f>IF(GG72="","",IF(ISNUMBER('Dvd Calendar'!$S$679)=FALSE,"",'Dvd Calendar'!$S$679))</f>
        <v/>
      </c>
      <c r="BF72" s="106">
        <f>IF(GH72="","",IF(ISNUMBER('Dvd Calendar'!$T$679)=FALSE,"",'Dvd Calendar'!$T$679))</f>
        <v/>
      </c>
      <c r="BG72" s="106">
        <f>IF(GI72="","",IF(ISNUMBER('Dvd Calendar'!$U$679)=FALSE,"",'Dvd Calendar'!$U$679))</f>
        <v/>
      </c>
      <c r="BH72" s="106">
        <f>IF(GJ72="","",IF(ISNUMBER('Dvd Calendar'!$V$679)=FALSE,"",'Dvd Calendar'!$V$679))</f>
        <v/>
      </c>
      <c r="BI72" s="106">
        <f>IF(GK72="","",IF(ISNUMBER('Dvd Calendar'!$W$679)=FALSE,"",'Dvd Calendar'!$W$679))</f>
        <v/>
      </c>
      <c r="BJ72" s="106">
        <f>IF(GL72="","",IF(ISNUMBER('Dvd Calendar'!$X$679)=FALSE,"",'Dvd Calendar'!$X$679))</f>
        <v/>
      </c>
      <c r="BK72" s="106">
        <f>IF(GM72="","",IF(ISNUMBER('Dvd Calendar'!$Y$679)=FALSE,"",'Dvd Calendar'!$Y$679))</f>
        <v/>
      </c>
      <c r="BL72" s="106">
        <f>IF(GN72="","",IF(ISNUMBER('Dvd Calendar'!$Z$679)=FALSE,"",'Dvd Calendar'!$Z$679))</f>
        <v/>
      </c>
      <c r="BM72" s="106">
        <f>IF(GO72="","",IF(ISNUMBER('Dvd Calendar'!$AA$679)=FALSE,"",'Dvd Calendar'!$AA$679))</f>
        <v/>
      </c>
      <c r="BN72" s="106">
        <f>IF(GP72="","",IF(ISNUMBER('Dvd Calendar'!$AB$679)=FALSE,"",'Dvd Calendar'!$AB$679))</f>
        <v/>
      </c>
      <c r="BO72" s="106">
        <f>IF(GQ72="","",IF(ISNUMBER('Dvd Calendar'!$AC$679)=FALSE,"",'Dvd Calendar'!$AC$679))</f>
        <v/>
      </c>
      <c r="BQ72" s="106">
        <f>IF(C72="","",IFERROR(C72*HSI!$B$67*HSI!$G$67/HSI!$B$3,""))</f>
        <v/>
      </c>
      <c r="BR72" s="106">
        <f>IF(D72="","",IFERROR(D72*HSI!$B$67*HSI!$G$67/HSI!$B$3,""))</f>
        <v/>
      </c>
      <c r="BS72" s="106">
        <f>IF(E72="","",IFERROR(E72*HSI!$B$67*HSI!$G$67/HSI!$B$3,""))</f>
        <v/>
      </c>
      <c r="BT72" s="106">
        <f>IF(F72="","",IFERROR(F72*HSI!$B$67*HSI!$G$67/HSI!$B$3,""))</f>
        <v/>
      </c>
      <c r="BU72" s="106">
        <f>IF(G72="","",IFERROR(G72*HSI!$B$67*HSI!$G$67/HSI!$B$3,""))</f>
        <v/>
      </c>
      <c r="BV72" s="106">
        <f>IF(H72="","",IFERROR(H72*HSI!$B$67*HSI!$G$67/HSI!$B$3,""))</f>
        <v/>
      </c>
      <c r="BW72" s="106">
        <f>IF(I72="","",IFERROR(I72*HSI!$B$67*HSI!$G$67/HSI!$B$3,""))</f>
        <v/>
      </c>
      <c r="BX72" s="106">
        <f>IF(J72="","",IFERROR(J72*HSI!$B$67*HSI!$G$67/HSI!$B$3,""))</f>
        <v/>
      </c>
      <c r="BY72" s="106">
        <f>IF(K72="","",IFERROR(K72*HSI!$B$67*HSI!$G$67/HSI!$B$3,""))</f>
        <v/>
      </c>
      <c r="BZ72" s="106">
        <f>IF(L72="","",IFERROR(L72*HSI!$B$67*HSI!$G$67/HSI!$B$3,""))</f>
        <v/>
      </c>
      <c r="CA72" s="106">
        <f>IF(M72="","",IFERROR(M72*HSI!$B$67*HSI!$G$67/HSI!$B$3,""))</f>
        <v/>
      </c>
      <c r="CB72" s="106">
        <f>IF(N72="","",IFERROR(N72*HSI!$B$67*HSI!$G$67/HSI!$B$3,""))</f>
        <v/>
      </c>
      <c r="CC72" s="106">
        <f>IF(O72="","",IFERROR(O72*HSI!$B$67*HSI!$G$67/HSI!$B$3,""))</f>
        <v/>
      </c>
      <c r="CD72" s="106">
        <f>IF(P72="","",IFERROR(P72*HSI!$B$67*HSI!$G$67/HSI!$B$3,""))</f>
        <v/>
      </c>
      <c r="CE72" s="106">
        <f>IF(Q72="","",IFERROR(Q72*HSI!$B$67*HSI!$G$67/HSI!$B$3,""))</f>
        <v/>
      </c>
      <c r="CF72" s="106">
        <f>IF(R72="","",IFERROR(R72*HSI!$B$67*HSI!$G$67/HSI!$B$3,""))</f>
        <v/>
      </c>
      <c r="CG72" s="106">
        <f>IF(S72="","",IFERROR(S72*HSI!$B$67*HSI!$G$67/HSI!$B$3,""))</f>
        <v/>
      </c>
      <c r="CH72" s="106">
        <f>IF(T72="","",IFERROR(T72*HSI!$B$67*HSI!$G$67/HSI!$B$3,""))</f>
        <v/>
      </c>
      <c r="CI72" s="106">
        <f>IF(U72="","",IFERROR(U72*HSI!$B$67*HSI!$G$67/HSI!$B$3,""))</f>
        <v/>
      </c>
      <c r="CJ72" s="106">
        <f>IF(V72="","",IFERROR(V72*HSI!$B$67*HSI!$G$67/HSI!$B$3,""))</f>
        <v/>
      </c>
      <c r="CK72" s="106">
        <f>IF(W72="","",IFERROR(W72*HSI!$B$67*HSI!$G$67/HSI!$B$3,""))</f>
        <v/>
      </c>
      <c r="CL72" s="106">
        <f>IF(X72="","",IFERROR(X72*HSI!$B$67*HSI!$G$67/HSI!$B$3,""))</f>
        <v/>
      </c>
      <c r="CM72" s="106">
        <f>IF(Y72="","",IFERROR(Y72*HSI!$B$67*HSI!$G$67/HSI!$B$3,""))</f>
        <v/>
      </c>
      <c r="CN72" s="106">
        <f>IF(Z72="","",IFERROR(Z72*HSI!$B$67*HSI!$G$67/HSI!$B$3,""))</f>
        <v/>
      </c>
      <c r="CO72" s="106">
        <f>IF(AA72="","",IFERROR(AA72*HSI!$B$67*HSI!$G$67/HSI!$B$3,""))</f>
        <v/>
      </c>
      <c r="CP72" s="106">
        <f>IF(AB72="","",IFERROR(AB72*HSI!$B$67*HSI!$G$67/HSI!$B$3,""))</f>
        <v/>
      </c>
      <c r="CQ72" s="106">
        <f>IF(AC72="","",IFERROR(AC72*HSI!$B$67*HSI!$G$67/HSI!$B$3,""))</f>
        <v/>
      </c>
      <c r="CR72" s="106">
        <f>IF(AD72="","",IFERROR(AD72*HSI!$B$67*HSI!$G$67/HSI!$B$3,""))</f>
        <v/>
      </c>
      <c r="CS72" s="106">
        <f>IF(AE72="","",IFERROR(AE72*HSI!$B$67*HSI!$G$67/HSI!$B$3,""))</f>
        <v/>
      </c>
      <c r="CT72" s="106">
        <f>IF(AF72="","",IFERROR(AF72*HSI!$B$67*HSI!$G$67/HSI!$B$3,""))</f>
        <v/>
      </c>
      <c r="CU72" s="106">
        <f>IF(AG72="","",IFERROR(AG72*HSI!$B$67*HSI!$G$67/HSI!$B$3,""))</f>
        <v/>
      </c>
      <c r="CV72" s="106">
        <f>IF(AH72="","",IFERROR(AH72*HSI!$B$67*HSI!$G$67/HSI!$B$3,""))</f>
        <v/>
      </c>
      <c r="CW72" s="106">
        <f>IF(AI72="","",IFERROR(AI72*HSI!$B$67*HSI!$G$67/HSI!$B$3,""))</f>
        <v/>
      </c>
      <c r="CX72" s="106">
        <f>IF(AJ72="","",IFERROR(AJ72*HSI!$B$67*HSI!$G$67/HSI!$B$3,""))</f>
        <v/>
      </c>
      <c r="CY72" s="106">
        <f>IF(AK72="","",IFERROR(AK72*HSI!$B$67*HSI!$G$67/HSI!$B$3,""))</f>
        <v/>
      </c>
      <c r="CZ72" s="106">
        <f>IF(AL72="","",IFERROR(AL72*HSI!$B$67*HSI!$G$67/HSI!$B$3,""))</f>
        <v/>
      </c>
      <c r="DA72" s="106">
        <f>IF(AM72="","",IFERROR(AM72*HSI!$B$67*HSI!$G$67/HSI!$B$3,""))</f>
        <v/>
      </c>
      <c r="DB72" s="106">
        <f>IF(AN72="","",IFERROR(AN72*HSI!$B$67*HSI!$G$67/HSI!$B$3,""))</f>
        <v/>
      </c>
      <c r="DC72" s="106">
        <f>IF(AO72="","",IFERROR(AO72*HSI!$B$67*HSI!$G$67/HSI!$B$3,""))</f>
        <v/>
      </c>
      <c r="DD72" s="106">
        <f>IF(AP72="","",IFERROR(AP72*HSI!$B$67*HSI!$G$67/HSI!$B$3,""))</f>
        <v/>
      </c>
      <c r="DE72" s="106">
        <f>IF(AQ72="","",IFERROR(AQ72*HSI!$B$67*HSI!$G$67/HSI!$B$3,""))</f>
        <v/>
      </c>
      <c r="DF72" s="106">
        <f>IF(AR72="","",IFERROR(AR72*HSI!$B$67*HSI!$G$67/HSI!$B$3,""))</f>
        <v/>
      </c>
      <c r="DG72" s="106">
        <f>IF(AS72="","",IFERROR(AS72*HSI!$B$67*HSI!$G$67/HSI!$B$3,""))</f>
        <v/>
      </c>
      <c r="DH72" s="106">
        <f>IF(AT72="","",IFERROR(AT72*HSI!$B$67*HSI!$G$67/HSI!$B$3,""))</f>
        <v/>
      </c>
      <c r="DI72" s="106">
        <f>IF(AU72="","",IFERROR(AU72*HSI!$B$67*HSI!$G$67/HSI!$B$3,""))</f>
        <v/>
      </c>
      <c r="DJ72" s="106">
        <f>IF(AV72="","",IFERROR(AV72*HSI!$B$67*HSI!$G$67/HSI!$B$3,""))</f>
        <v/>
      </c>
      <c r="DK72" s="106">
        <f>IF(AW72="","",IFERROR(AW72*HSI!$B$67*HSI!$G$67/HSI!$B$3,""))</f>
        <v/>
      </c>
      <c r="DL72" s="106">
        <f>IF(AX72="","",IFERROR(AX72*HSI!$B$67*HSI!$G$67/HSI!$B$3,""))</f>
        <v/>
      </c>
      <c r="DM72" s="106">
        <f>IF(AY72="","",IFERROR(AY72*HSI!$B$67*HSI!$G$67/HSI!$B$3,""))</f>
        <v/>
      </c>
      <c r="DN72" s="106">
        <f>IF(AZ72="","",IFERROR(AZ72*HSI!$B$67*HSI!$G$67/HSI!$B$3,""))</f>
        <v/>
      </c>
      <c r="DO72" s="106">
        <f>IF(BA72="","",IFERROR(BA72*HSI!$B$67*HSI!$G$67/HSI!$B$3,""))</f>
        <v/>
      </c>
      <c r="DP72" s="106">
        <f>IF(BB72="","",IFERROR(BB72*HSI!$B$67*HSI!$G$67/HSI!$B$3,""))</f>
        <v/>
      </c>
      <c r="DQ72" s="106">
        <f>IF(BC72="","",IFERROR(BC72*HSI!$B$67*HSI!$G$67/HSI!$B$3,""))</f>
        <v/>
      </c>
      <c r="DR72" s="106">
        <f>IF(BD72="","",IFERROR(BD72*HSI!$B$67*HSI!$G$67/HSI!$B$3,""))</f>
        <v/>
      </c>
      <c r="DS72" s="106">
        <f>IF(BE72="","",IFERROR(BE72*HSI!$B$67*HSI!$G$67/HSI!$B$3,""))</f>
        <v/>
      </c>
      <c r="DT72" s="106">
        <f>IF(BF72="","",IFERROR(BF72*HSI!$B$67*HSI!$G$67/HSI!$B$3,""))</f>
        <v/>
      </c>
      <c r="DU72" s="106">
        <f>IF(BG72="","",IFERROR(BG72*HSI!$B$67*HSI!$G$67/HSI!$B$3,""))</f>
        <v/>
      </c>
      <c r="DV72" s="106">
        <f>IF(BH72="","",IFERROR(BH72*HSI!$B$67*HSI!$G$67/HSI!$B$3,""))</f>
        <v/>
      </c>
      <c r="DW72" s="106">
        <f>IF(BI72="","",IFERROR(BI72*HSI!$B$67*HSI!$G$67/HSI!$B$3,""))</f>
        <v/>
      </c>
      <c r="DX72" s="106">
        <f>IF(BJ72="","",IFERROR(BJ72*HSI!$B$67*HSI!$G$67/HSI!$B$3,""))</f>
        <v/>
      </c>
      <c r="DY72" s="106">
        <f>IF(BK72="","",IFERROR(BK72*HSI!$B$67*HSI!$G$67/HSI!$B$3,""))</f>
        <v/>
      </c>
      <c r="DZ72" s="106">
        <f>IF(BL72="","",IFERROR(BL72*HSI!$B$67*HSI!$G$67/HSI!$B$3,""))</f>
        <v/>
      </c>
      <c r="EA72" s="106">
        <f>IF(BM72="","",IFERROR(BM72*HSI!$B$67*HSI!$G$67/HSI!$B$3,""))</f>
        <v/>
      </c>
      <c r="EB72" s="106">
        <f>IF(BN72="","",IFERROR(BN72*HSI!$B$67*HSI!$G$67/HSI!$B$3,""))</f>
        <v/>
      </c>
      <c r="EC72" s="106">
        <f>IF(BO72="","",IFERROR(BO72*HSI!$B$67*HSI!$G$67/HSI!$B$3,""))</f>
        <v/>
      </c>
      <c r="EE72" s="35">
        <f>IF(N('Dvd Calendar'!$E$671)=0,"",IF(('Dvd Calendar'!$E$671&gt;=GRID_FROM)*('Dvd Calendar'!$E$671&lt;=GRID_TO)*('Dvd Calendar'!$E$671&lt;=VAL_DATE)=0,"",'Dvd Calendar'!$E$671*1000000000+ISNUMBER('Dvd Calendar'!$E$674)*100000000+('Dvd Calendar'!$E$676=SPECIAL_LBL)*10000000+0*1000000+61*1000+1))</f>
        <v/>
      </c>
      <c r="EF72" s="35">
        <f>IF(N('Dvd Calendar'!$F$671)=0,"",IF(('Dvd Calendar'!$F$671&gt;=GRID_FROM)*('Dvd Calendar'!$F$671&lt;=GRID_TO)*('Dvd Calendar'!$F$671&lt;=VAL_DATE)=0,"",'Dvd Calendar'!$F$671*1000000000+ISNUMBER('Dvd Calendar'!$F$674)*100000000+('Dvd Calendar'!$F$676=SPECIAL_LBL)*10000000+0*1000000+61*1000+2))</f>
        <v/>
      </c>
      <c r="EG72" s="35">
        <f>IF(N('Dvd Calendar'!$G$671)=0,"",IF(('Dvd Calendar'!$G$671&gt;=GRID_FROM)*('Dvd Calendar'!$G$671&lt;=GRID_TO)*('Dvd Calendar'!$G$671&lt;=VAL_DATE)=0,"",'Dvd Calendar'!$G$671*1000000000+ISNUMBER('Dvd Calendar'!$G$674)*100000000+('Dvd Calendar'!$G$676=SPECIAL_LBL)*10000000+0*1000000+61*1000+3))</f>
        <v/>
      </c>
      <c r="EH72" s="35">
        <f>IF(N('Dvd Calendar'!$H$671)=0,"",IF(('Dvd Calendar'!$H$671&gt;=GRID_FROM)*('Dvd Calendar'!$H$671&lt;=GRID_TO)*('Dvd Calendar'!$H$671&lt;=VAL_DATE)=0,"",'Dvd Calendar'!$H$671*1000000000+ISNUMBER('Dvd Calendar'!$H$674)*100000000+('Dvd Calendar'!$H$676=SPECIAL_LBL)*10000000+0*1000000+61*1000+4))</f>
        <v/>
      </c>
      <c r="EI72" s="35">
        <f>IF(N('Dvd Calendar'!$I$671)=0,"",IF(('Dvd Calendar'!$I$671&gt;=GRID_FROM)*('Dvd Calendar'!$I$671&lt;=GRID_TO)*('Dvd Calendar'!$I$671&lt;=VAL_DATE)=0,"",'Dvd Calendar'!$I$671*1000000000+ISNUMBER('Dvd Calendar'!$I$674)*100000000+('Dvd Calendar'!$I$676=SPECIAL_LBL)*10000000+0*1000000+61*1000+5))</f>
        <v/>
      </c>
      <c r="EJ72" s="35">
        <f>IF(N('Dvd Calendar'!$J$671)=0,"",IF(('Dvd Calendar'!$J$671&gt;=GRID_FROM)*('Dvd Calendar'!$J$671&lt;=GRID_TO)*('Dvd Calendar'!$J$671&lt;=VAL_DATE)=0,"",'Dvd Calendar'!$J$671*1000000000+ISNUMBER('Dvd Calendar'!$J$674)*100000000+('Dvd Calendar'!$J$676=SPECIAL_LBL)*10000000+0*1000000+61*1000+6))</f>
        <v/>
      </c>
      <c r="EK72" s="35">
        <f>IF(N('Dvd Calendar'!$K$671)=0,"",IF(('Dvd Calendar'!$K$671&gt;=GRID_FROM)*('Dvd Calendar'!$K$671&lt;=GRID_TO)*('Dvd Calendar'!$K$671&lt;=VAL_DATE)=0,"",'Dvd Calendar'!$K$671*1000000000+ISNUMBER('Dvd Calendar'!$K$674)*100000000+('Dvd Calendar'!$K$676=SPECIAL_LBL)*10000000+0*1000000+61*1000+7))</f>
        <v/>
      </c>
      <c r="EL72" s="35">
        <f>IF(N('Dvd Calendar'!$L$671)=0,"",IF(('Dvd Calendar'!$L$671&gt;=GRID_FROM)*('Dvd Calendar'!$L$671&lt;=GRID_TO)*('Dvd Calendar'!$L$671&lt;=VAL_DATE)=0,"",'Dvd Calendar'!$L$671*1000000000+ISNUMBER('Dvd Calendar'!$L$674)*100000000+('Dvd Calendar'!$L$676=SPECIAL_LBL)*10000000+0*1000000+61*1000+8))</f>
        <v/>
      </c>
      <c r="EM72" s="35">
        <f>IF(N('Dvd Calendar'!$M$671)=0,"",IF(('Dvd Calendar'!$M$671&gt;=GRID_FROM)*('Dvd Calendar'!$M$671&lt;=GRID_TO)*('Dvd Calendar'!$M$671&lt;=VAL_DATE)=0,"",'Dvd Calendar'!$M$671*1000000000+ISNUMBER('Dvd Calendar'!$M$674)*100000000+('Dvd Calendar'!$M$676=SPECIAL_LBL)*10000000+0*1000000+61*1000+9))</f>
        <v/>
      </c>
      <c r="EN72" s="35">
        <f>IF(N('Dvd Calendar'!$N$671)=0,"",IF(('Dvd Calendar'!$N$671&gt;=GRID_FROM)*('Dvd Calendar'!$N$671&lt;=GRID_TO)*('Dvd Calendar'!$N$671&lt;=VAL_DATE)=0,"",'Dvd Calendar'!$N$671*1000000000+ISNUMBER('Dvd Calendar'!$N$674)*100000000+('Dvd Calendar'!$N$676=SPECIAL_LBL)*10000000+0*1000000+61*1000+10))</f>
        <v/>
      </c>
      <c r="EO72" s="35">
        <f>IF(N('Dvd Calendar'!$O$671)=0,"",IF(('Dvd Calendar'!$O$671&gt;=GRID_FROM)*('Dvd Calendar'!$O$671&lt;=GRID_TO)*('Dvd Calendar'!$O$671&lt;=VAL_DATE)=0,"",'Dvd Calendar'!$O$671*1000000000+ISNUMBER('Dvd Calendar'!$O$674)*100000000+('Dvd Calendar'!$O$676=SPECIAL_LBL)*10000000+0*1000000+61*1000+11))</f>
        <v/>
      </c>
      <c r="EP72" s="35">
        <f>IF(N('Dvd Calendar'!$P$671)=0,"",IF(('Dvd Calendar'!$P$671&gt;=GRID_FROM)*('Dvd Calendar'!$P$671&lt;=GRID_TO)*('Dvd Calendar'!$P$671&lt;=VAL_DATE)=0,"",'Dvd Calendar'!$P$671*1000000000+ISNUMBER('Dvd Calendar'!$P$674)*100000000+('Dvd Calendar'!$P$676=SPECIAL_LBL)*10000000+0*1000000+61*1000+12))</f>
        <v/>
      </c>
      <c r="EQ72" s="35">
        <f>IF(N('Dvd Calendar'!$Q$671)=0,"",IF(('Dvd Calendar'!$Q$671&gt;=GRID_FROM)*('Dvd Calendar'!$Q$671&lt;=GRID_TO)*('Dvd Calendar'!$Q$671&lt;=VAL_DATE)=0,"",'Dvd Calendar'!$Q$671*1000000000+ISNUMBER('Dvd Calendar'!$Q$674)*100000000+('Dvd Calendar'!$Q$676=SPECIAL_LBL)*10000000+0*1000000+61*1000+13))</f>
        <v/>
      </c>
      <c r="ER72" s="35">
        <f>IF(N('Dvd Calendar'!$R$671)=0,"",IF(('Dvd Calendar'!$R$671&gt;=GRID_FROM)*('Dvd Calendar'!$R$671&lt;=GRID_TO)*('Dvd Calendar'!$R$671&lt;=VAL_DATE)=0,"",'Dvd Calendar'!$R$671*1000000000+ISNUMBER('Dvd Calendar'!$R$674)*100000000+('Dvd Calendar'!$R$676=SPECIAL_LBL)*10000000+0*1000000+61*1000+14))</f>
        <v/>
      </c>
      <c r="ES72" s="35">
        <f>IF(N('Dvd Calendar'!$S$671)=0,"",IF(('Dvd Calendar'!$S$671&gt;=GRID_FROM)*('Dvd Calendar'!$S$671&lt;=GRID_TO)*('Dvd Calendar'!$S$671&lt;=VAL_DATE)=0,"",'Dvd Calendar'!$S$671*1000000000+ISNUMBER('Dvd Calendar'!$S$674)*100000000+('Dvd Calendar'!$S$676=SPECIAL_LBL)*10000000+0*1000000+61*1000+15))</f>
        <v/>
      </c>
      <c r="ET72" s="35">
        <f>IF(N('Dvd Calendar'!$T$671)=0,"",IF(('Dvd Calendar'!$T$671&gt;=GRID_FROM)*('Dvd Calendar'!$T$671&lt;=GRID_TO)*('Dvd Calendar'!$T$671&lt;=VAL_DATE)=0,"",'Dvd Calendar'!$T$671*1000000000+ISNUMBER('Dvd Calendar'!$T$674)*100000000+('Dvd Calendar'!$T$676=SPECIAL_LBL)*10000000+0*1000000+61*1000+16))</f>
        <v/>
      </c>
      <c r="EU72" s="35">
        <f>IF(N('Dvd Calendar'!$U$671)=0,"",IF(('Dvd Calendar'!$U$671&gt;=GRID_FROM)*('Dvd Calendar'!$U$671&lt;=GRID_TO)*('Dvd Calendar'!$U$671&lt;=VAL_DATE)=0,"",'Dvd Calendar'!$U$671*1000000000+ISNUMBER('Dvd Calendar'!$U$674)*100000000+('Dvd Calendar'!$U$676=SPECIAL_LBL)*10000000+0*1000000+61*1000+17))</f>
        <v/>
      </c>
      <c r="EV72" s="35">
        <f>IF(N('Dvd Calendar'!$V$671)=0,"",IF(('Dvd Calendar'!$V$671&gt;=GRID_FROM)*('Dvd Calendar'!$V$671&lt;=GRID_TO)*('Dvd Calendar'!$V$671&lt;=VAL_DATE)=0,"",'Dvd Calendar'!$V$671*1000000000+ISNUMBER('Dvd Calendar'!$V$674)*100000000+('Dvd Calendar'!$V$676=SPECIAL_LBL)*10000000+0*1000000+61*1000+18))</f>
        <v/>
      </c>
      <c r="EW72" s="35">
        <f>IF(N('Dvd Calendar'!$W$671)=0,"",IF(('Dvd Calendar'!$W$671&gt;=GRID_FROM)*('Dvd Calendar'!$W$671&lt;=GRID_TO)*('Dvd Calendar'!$W$671&lt;=VAL_DATE)=0,"",'Dvd Calendar'!$W$671*1000000000+ISNUMBER('Dvd Calendar'!$W$674)*100000000+('Dvd Calendar'!$W$676=SPECIAL_LBL)*10000000+0*1000000+61*1000+19))</f>
        <v/>
      </c>
      <c r="EX72" s="35">
        <f>IF(N('Dvd Calendar'!$X$671)=0,"",IF(('Dvd Calendar'!$X$671&gt;=GRID_FROM)*('Dvd Calendar'!$X$671&lt;=GRID_TO)*('Dvd Calendar'!$X$671&lt;=VAL_DATE)=0,"",'Dvd Calendar'!$X$671*1000000000+ISNUMBER('Dvd Calendar'!$X$674)*100000000+('Dvd Calendar'!$X$676=SPECIAL_LBL)*10000000+0*1000000+61*1000+20))</f>
        <v/>
      </c>
      <c r="EY72" s="35">
        <f>IF(N('Dvd Calendar'!$Y$671)=0,"",IF(('Dvd Calendar'!$Y$671&gt;=GRID_FROM)*('Dvd Calendar'!$Y$671&lt;=GRID_TO)*('Dvd Calendar'!$Y$671&lt;=VAL_DATE)=0,"",'Dvd Calendar'!$Y$671*1000000000+ISNUMBER('Dvd Calendar'!$Y$674)*100000000+('Dvd Calendar'!$Y$676=SPECIAL_LBL)*10000000+0*1000000+61*1000+21))</f>
        <v/>
      </c>
      <c r="EZ72" s="35">
        <f>IF(N('Dvd Calendar'!$Z$671)=0,"",IF(('Dvd Calendar'!$Z$671&gt;=GRID_FROM)*('Dvd Calendar'!$Z$671&lt;=GRID_TO)*('Dvd Calendar'!$Z$671&lt;=VAL_DATE)=0,"",'Dvd Calendar'!$Z$671*1000000000+ISNUMBER('Dvd Calendar'!$Z$674)*100000000+('Dvd Calendar'!$Z$676=SPECIAL_LBL)*10000000+0*1000000+61*1000+22))</f>
        <v/>
      </c>
      <c r="FA72" s="35">
        <f>IF(N('Dvd Calendar'!$AA$671)=0,"",IF(('Dvd Calendar'!$AA$671&gt;=GRID_FROM)*('Dvd Calendar'!$AA$671&lt;=GRID_TO)*('Dvd Calendar'!$AA$671&lt;=VAL_DATE)=0,"",'Dvd Calendar'!$AA$671*1000000000+ISNUMBER('Dvd Calendar'!$AA$674)*100000000+('Dvd Calendar'!$AA$676=SPECIAL_LBL)*10000000+0*1000000+61*1000+23))</f>
        <v/>
      </c>
      <c r="FB72" s="35">
        <f>IF(N('Dvd Calendar'!$AB$671)=0,"",IF(('Dvd Calendar'!$AB$671&gt;=GRID_FROM)*('Dvd Calendar'!$AB$671&lt;=GRID_TO)*('Dvd Calendar'!$AB$671&lt;=VAL_DATE)=0,"",'Dvd Calendar'!$AB$671*1000000000+ISNUMBER('Dvd Calendar'!$AB$674)*100000000+('Dvd Calendar'!$AB$676=SPECIAL_LBL)*10000000+0*1000000+61*1000+24))</f>
        <v/>
      </c>
      <c r="FC72" s="35">
        <f>IF(N('Dvd Calendar'!$AC$671)=0,"",IF(('Dvd Calendar'!$AC$671&gt;=GRID_FROM)*('Dvd Calendar'!$AC$671&lt;=GRID_TO)*('Dvd Calendar'!$AC$671&lt;=VAL_DATE)=0,"",'Dvd Calendar'!$AC$671*1000000000+ISNUMBER('Dvd Calendar'!$AC$674)*100000000+('Dvd Calendar'!$AC$676=SPECIAL_LBL)*10000000+0*1000000+61*1000+25))</f>
        <v/>
      </c>
      <c r="FD72" s="35">
        <f>IF(N('Dvd Calendar'!$AD$671)=0,"",IF(('Dvd Calendar'!$AD$671&gt;=GRID_FROM)*('Dvd Calendar'!$AD$671&lt;=GRID_TO)*('Dvd Calendar'!$AD$671&lt;=VAL_DATE)=0,"",'Dvd Calendar'!$AD$671*1000000000+ISNUMBER('Dvd Calendar'!$AD$674)*100000000+('Dvd Calendar'!$AD$676=SPECIAL_LBL)*10000000+0*1000000+61*1000+26))</f>
        <v/>
      </c>
      <c r="FE72" s="35">
        <f>IF(N('Dvd Calendar'!$AE$671)=0,"",IF(('Dvd Calendar'!$AE$671&gt;=GRID_FROM)*('Dvd Calendar'!$AE$671&lt;=GRID_TO)*('Dvd Calendar'!$AE$671&lt;=VAL_DATE)=0,"",'Dvd Calendar'!$AE$671*1000000000+ISNUMBER('Dvd Calendar'!$AE$674)*100000000+('Dvd Calendar'!$AE$676=SPECIAL_LBL)*10000000+0*1000000+61*1000+27))</f>
        <v/>
      </c>
      <c r="FF72" s="35">
        <f>IF(N('Dvd Calendar'!$AF$671)=0,"",IF(('Dvd Calendar'!$AF$671&gt;=GRID_FROM)*('Dvd Calendar'!$AF$671&lt;=GRID_TO)*('Dvd Calendar'!$AF$671&lt;=VAL_DATE)=0,"",'Dvd Calendar'!$AF$671*1000000000+ISNUMBER('Dvd Calendar'!$AF$674)*100000000+('Dvd Calendar'!$AF$676=SPECIAL_LBL)*10000000+0*1000000+61*1000+28))</f>
        <v/>
      </c>
      <c r="FG72" s="35">
        <f>IF(N('Dvd Calendar'!$AG$671)=0,"",IF(('Dvd Calendar'!$AG$671&gt;=GRID_FROM)*('Dvd Calendar'!$AG$671&lt;=GRID_TO)*('Dvd Calendar'!$AG$671&lt;=VAL_DATE)=0,"",'Dvd Calendar'!$AG$671*1000000000+ISNUMBER('Dvd Calendar'!$AG$674)*100000000+('Dvd Calendar'!$AG$676=SPECIAL_LBL)*10000000+0*1000000+61*1000+29))</f>
        <v/>
      </c>
      <c r="FH72" s="35">
        <f>IF(N('Dvd Calendar'!$AH$671)=0,"",IF(('Dvd Calendar'!$AH$671&gt;=GRID_FROM)*('Dvd Calendar'!$AH$671&lt;=GRID_TO)*('Dvd Calendar'!$AH$671&lt;=VAL_DATE)=0,"",'Dvd Calendar'!$AH$671*1000000000+ISNUMBER('Dvd Calendar'!$AH$674)*100000000+('Dvd Calendar'!$AH$676=SPECIAL_LBL)*10000000+0*1000000+61*1000+30))</f>
        <v/>
      </c>
      <c r="FI72" s="35">
        <f>IF(N('Dvd Calendar'!$AI$671)=0,"",IF(('Dvd Calendar'!$AI$671&gt;=GRID_FROM)*('Dvd Calendar'!$AI$671&lt;=GRID_TO)*('Dvd Calendar'!$AI$671&lt;=VAL_DATE)=0,"",'Dvd Calendar'!$AI$671*1000000000+ISNUMBER('Dvd Calendar'!$AI$674)*100000000+('Dvd Calendar'!$AI$676=SPECIAL_LBL)*10000000+0*1000000+61*1000+31))</f>
        <v/>
      </c>
      <c r="FJ72" s="35">
        <f>IF(N('Dvd Calendar'!$AJ$671)=0,"",IF(('Dvd Calendar'!$AJ$671&gt;=GRID_FROM)*('Dvd Calendar'!$AJ$671&lt;=GRID_TO)*('Dvd Calendar'!$AJ$671&lt;=VAL_DATE)=0,"",'Dvd Calendar'!$AJ$671*1000000000+ISNUMBER('Dvd Calendar'!$AJ$674)*100000000+('Dvd Calendar'!$AJ$676=SPECIAL_LBL)*10000000+0*1000000+61*1000+32))</f>
        <v/>
      </c>
      <c r="FK72" s="35">
        <f>IF(N('Dvd Calendar'!$AK$671)=0,"",IF(('Dvd Calendar'!$AK$671&gt;=GRID_FROM)*('Dvd Calendar'!$AK$671&lt;=GRID_TO)*('Dvd Calendar'!$AK$671&lt;=VAL_DATE)=0,"",'Dvd Calendar'!$AK$671*1000000000+ISNUMBER('Dvd Calendar'!$AK$674)*100000000+('Dvd Calendar'!$AK$676=SPECIAL_LBL)*10000000+0*1000000+61*1000+33))</f>
        <v/>
      </c>
      <c r="FL72" s="35">
        <f>IF(N('Dvd Calendar'!$AL$671)=0,"",IF(('Dvd Calendar'!$AL$671&gt;=GRID_FROM)*('Dvd Calendar'!$AL$671&lt;=GRID_TO)*('Dvd Calendar'!$AL$671&lt;=VAL_DATE)=0,"",'Dvd Calendar'!$AL$671*1000000000+ISNUMBER('Dvd Calendar'!$AL$674)*100000000+('Dvd Calendar'!$AL$676=SPECIAL_LBL)*10000000+0*1000000+61*1000+34))</f>
        <v/>
      </c>
      <c r="FM72" s="35">
        <f>IF(N('Dvd Calendar'!$AM$671)=0,"",IF(('Dvd Calendar'!$AM$671&gt;=GRID_FROM)*('Dvd Calendar'!$AM$671&lt;=GRID_TO)*('Dvd Calendar'!$AM$671&lt;=VAL_DATE)=0,"",'Dvd Calendar'!$AM$671*1000000000+ISNUMBER('Dvd Calendar'!$AM$674)*100000000+('Dvd Calendar'!$AM$676=SPECIAL_LBL)*10000000+0*1000000+61*1000+35))</f>
        <v/>
      </c>
      <c r="FN72" s="35">
        <f>IF(N('Dvd Calendar'!$AN$671)=0,"",IF(('Dvd Calendar'!$AN$671&gt;=GRID_FROM)*('Dvd Calendar'!$AN$671&lt;=GRID_TO)*('Dvd Calendar'!$AN$671&lt;=VAL_DATE)=0,"",'Dvd Calendar'!$AN$671*1000000000+ISNUMBER('Dvd Calendar'!$AN$674)*100000000+('Dvd Calendar'!$AN$676=SPECIAL_LBL)*10000000+0*1000000+61*1000+36))</f>
        <v/>
      </c>
      <c r="FO72" s="35">
        <f>IF(N('Dvd Calendar'!$AO$671)=0,"",IF(('Dvd Calendar'!$AO$671&gt;=GRID_FROM)*('Dvd Calendar'!$AO$671&lt;=GRID_TO)*('Dvd Calendar'!$AO$671&lt;=VAL_DATE)=0,"",'Dvd Calendar'!$AO$671*1000000000+ISNUMBER('Dvd Calendar'!$AO$674)*100000000+('Dvd Calendar'!$AO$676=SPECIAL_LBL)*10000000+0*1000000+61*1000+37))</f>
        <v/>
      </c>
      <c r="FP72" s="35">
        <f>IF(N('Dvd Calendar'!$AP$671)=0,"",IF(('Dvd Calendar'!$AP$671&gt;=GRID_FROM)*('Dvd Calendar'!$AP$671&lt;=GRID_TO)*('Dvd Calendar'!$AP$671&lt;=VAL_DATE)=0,"",'Dvd Calendar'!$AP$671*1000000000+ISNUMBER('Dvd Calendar'!$AP$674)*100000000+('Dvd Calendar'!$AP$676=SPECIAL_LBL)*10000000+0*1000000+61*1000+38))</f>
        <v/>
      </c>
      <c r="FQ72" s="35">
        <f>IF(N('Dvd Calendar'!$AQ$671)=0,"",IF(('Dvd Calendar'!$AQ$671&gt;=GRID_FROM)*('Dvd Calendar'!$AQ$671&lt;=GRID_TO)*('Dvd Calendar'!$AQ$671&lt;=VAL_DATE)=0,"",'Dvd Calendar'!$AQ$671*1000000000+ISNUMBER('Dvd Calendar'!$AQ$674)*100000000+('Dvd Calendar'!$AQ$676=SPECIAL_LBL)*10000000+0*1000000+61*1000+39))</f>
        <v/>
      </c>
      <c r="FR72" s="35">
        <f>IF(N('Dvd Calendar'!$AR$671)=0,"",IF(('Dvd Calendar'!$AR$671&gt;=GRID_FROM)*('Dvd Calendar'!$AR$671&lt;=GRID_TO)*('Dvd Calendar'!$AR$671&lt;=VAL_DATE)=0,"",'Dvd Calendar'!$AR$671*1000000000+ISNUMBER('Dvd Calendar'!$AR$674)*100000000+('Dvd Calendar'!$AR$676=SPECIAL_LBL)*10000000+0*1000000+61*1000+40))</f>
        <v/>
      </c>
      <c r="FS72" s="35">
        <f>IF(N('Dvd Calendar'!$E$678)=0,"",IF(('Dvd Calendar'!$E$678&gt;=GRID_FROM)*('Dvd Calendar'!$E$678&lt;=GRID_TO)*('Dvd Calendar'!$E$678&gt;VAL_DATE)=0,"",'Dvd Calendar'!$E$678*1000000000+ISNUMBER('Dvd Calendar'!$E$679)*100000000+0*10000000+(N('Dvd Calendar'!$E$677)&gt;0)*(N('Dvd Calendar'!$E$677)&lt;=VAL_SERIAL)*1000000+61*1000+41))</f>
        <v/>
      </c>
      <c r="FT72" s="35">
        <f>IF(N('Dvd Calendar'!$F$678)=0,"",IF(('Dvd Calendar'!$F$678&gt;=GRID_FROM)*('Dvd Calendar'!$F$678&lt;=GRID_TO)*('Dvd Calendar'!$F$678&gt;VAL_DATE)=0,"",'Dvd Calendar'!$F$678*1000000000+ISNUMBER('Dvd Calendar'!$F$679)*100000000+0*10000000+(N('Dvd Calendar'!$F$677)&gt;0)*(N('Dvd Calendar'!$F$677)&lt;=VAL_SERIAL)*1000000+61*1000+42))</f>
        <v/>
      </c>
      <c r="FU72" s="35">
        <f>IF(N('Dvd Calendar'!$G$678)=0,"",IF(('Dvd Calendar'!$G$678&gt;=GRID_FROM)*('Dvd Calendar'!$G$678&lt;=GRID_TO)*('Dvd Calendar'!$G$678&gt;VAL_DATE)=0,"",'Dvd Calendar'!$G$678*1000000000+ISNUMBER('Dvd Calendar'!$G$679)*100000000+0*10000000+(N('Dvd Calendar'!$G$677)&gt;0)*(N('Dvd Calendar'!$G$677)&lt;=VAL_SERIAL)*1000000+61*1000+43))</f>
        <v/>
      </c>
      <c r="FV72" s="35">
        <f>IF(N('Dvd Calendar'!$H$678)=0,"",IF(('Dvd Calendar'!$H$678&gt;=GRID_FROM)*('Dvd Calendar'!$H$678&lt;=GRID_TO)*('Dvd Calendar'!$H$678&gt;VAL_DATE)=0,"",'Dvd Calendar'!$H$678*1000000000+ISNUMBER('Dvd Calendar'!$H$679)*100000000+0*10000000+(N('Dvd Calendar'!$H$677)&gt;0)*(N('Dvd Calendar'!$H$677)&lt;=VAL_SERIAL)*1000000+61*1000+44))</f>
        <v/>
      </c>
      <c r="FW72" s="35">
        <f>IF(N('Dvd Calendar'!$I$678)=0,"",IF(('Dvd Calendar'!$I$678&gt;=GRID_FROM)*('Dvd Calendar'!$I$678&lt;=GRID_TO)*('Dvd Calendar'!$I$678&gt;VAL_DATE)=0,"",'Dvd Calendar'!$I$678*1000000000+ISNUMBER('Dvd Calendar'!$I$679)*100000000+0*10000000+(N('Dvd Calendar'!$I$677)&gt;0)*(N('Dvd Calendar'!$I$677)&lt;=VAL_SERIAL)*1000000+61*1000+45))</f>
        <v/>
      </c>
      <c r="FX72" s="35">
        <f>IF(N('Dvd Calendar'!$J$678)=0,"",IF(('Dvd Calendar'!$J$678&gt;=GRID_FROM)*('Dvd Calendar'!$J$678&lt;=GRID_TO)*('Dvd Calendar'!$J$678&gt;VAL_DATE)=0,"",'Dvd Calendar'!$J$678*1000000000+ISNUMBER('Dvd Calendar'!$J$679)*100000000+0*10000000+(N('Dvd Calendar'!$J$677)&gt;0)*(N('Dvd Calendar'!$J$677)&lt;=VAL_SERIAL)*1000000+61*1000+46))</f>
        <v/>
      </c>
      <c r="FY72" s="35">
        <f>IF(N('Dvd Calendar'!$K$678)=0,"",IF(('Dvd Calendar'!$K$678&gt;=GRID_FROM)*('Dvd Calendar'!$K$678&lt;=GRID_TO)*('Dvd Calendar'!$K$678&gt;VAL_DATE)=0,"",'Dvd Calendar'!$K$678*1000000000+ISNUMBER('Dvd Calendar'!$K$679)*100000000+0*10000000+(N('Dvd Calendar'!$K$677)&gt;0)*(N('Dvd Calendar'!$K$677)&lt;=VAL_SERIAL)*1000000+61*1000+47))</f>
        <v/>
      </c>
      <c r="FZ72" s="35">
        <f>IF(N('Dvd Calendar'!$L$678)=0,"",IF(('Dvd Calendar'!$L$678&gt;=GRID_FROM)*('Dvd Calendar'!$L$678&lt;=GRID_TO)*('Dvd Calendar'!$L$678&gt;VAL_DATE)=0,"",'Dvd Calendar'!$L$678*1000000000+ISNUMBER('Dvd Calendar'!$L$679)*100000000+0*10000000+(N('Dvd Calendar'!$L$677)&gt;0)*(N('Dvd Calendar'!$L$677)&lt;=VAL_SERIAL)*1000000+61*1000+48))</f>
        <v/>
      </c>
      <c r="GA72" s="35">
        <f>IF(N('Dvd Calendar'!$M$678)=0,"",IF(('Dvd Calendar'!$M$678&gt;=GRID_FROM)*('Dvd Calendar'!$M$678&lt;=GRID_TO)*('Dvd Calendar'!$M$678&gt;VAL_DATE)=0,"",'Dvd Calendar'!$M$678*1000000000+ISNUMBER('Dvd Calendar'!$M$679)*100000000+0*10000000+(N('Dvd Calendar'!$M$677)&gt;0)*(N('Dvd Calendar'!$M$677)&lt;=VAL_SERIAL)*1000000+61*1000+49))</f>
        <v/>
      </c>
      <c r="GB72" s="35">
        <f>IF(N('Dvd Calendar'!$N$678)=0,"",IF(('Dvd Calendar'!$N$678&gt;=GRID_FROM)*('Dvd Calendar'!$N$678&lt;=GRID_TO)*('Dvd Calendar'!$N$678&gt;VAL_DATE)=0,"",'Dvd Calendar'!$N$678*1000000000+ISNUMBER('Dvd Calendar'!$N$679)*100000000+0*10000000+(N('Dvd Calendar'!$N$677)&gt;0)*(N('Dvd Calendar'!$N$677)&lt;=VAL_SERIAL)*1000000+61*1000+50))</f>
        <v/>
      </c>
      <c r="GC72" s="35">
        <f>IF(N('Dvd Calendar'!$O$678)=0,"",IF(('Dvd Calendar'!$O$678&gt;=GRID_FROM)*('Dvd Calendar'!$O$678&lt;=GRID_TO)*('Dvd Calendar'!$O$678&gt;VAL_DATE)=0,"",'Dvd Calendar'!$O$678*1000000000+ISNUMBER('Dvd Calendar'!$O$679)*100000000+0*10000000+(N('Dvd Calendar'!$O$677)&gt;0)*(N('Dvd Calendar'!$O$677)&lt;=VAL_SERIAL)*1000000+61*1000+51))</f>
        <v/>
      </c>
      <c r="GD72" s="35">
        <f>IF(N('Dvd Calendar'!$P$678)=0,"",IF(('Dvd Calendar'!$P$678&gt;=GRID_FROM)*('Dvd Calendar'!$P$678&lt;=GRID_TO)*('Dvd Calendar'!$P$678&gt;VAL_DATE)=0,"",'Dvd Calendar'!$P$678*1000000000+ISNUMBER('Dvd Calendar'!$P$679)*100000000+0*10000000+(N('Dvd Calendar'!$P$677)&gt;0)*(N('Dvd Calendar'!$P$677)&lt;=VAL_SERIAL)*1000000+61*1000+52))</f>
        <v/>
      </c>
      <c r="GE72" s="35">
        <f>IF(N('Dvd Calendar'!$Q$678)=0,"",IF(('Dvd Calendar'!$Q$678&gt;=GRID_FROM)*('Dvd Calendar'!$Q$678&lt;=GRID_TO)*('Dvd Calendar'!$Q$678&gt;VAL_DATE)=0,"",'Dvd Calendar'!$Q$678*1000000000+ISNUMBER('Dvd Calendar'!$Q$679)*100000000+0*10000000+(N('Dvd Calendar'!$Q$677)&gt;0)*(N('Dvd Calendar'!$Q$677)&lt;=VAL_SERIAL)*1000000+61*1000+53))</f>
        <v/>
      </c>
      <c r="GF72" s="35">
        <f>IF(N('Dvd Calendar'!$R$678)=0,"",IF(('Dvd Calendar'!$R$678&gt;=GRID_FROM)*('Dvd Calendar'!$R$678&lt;=GRID_TO)*('Dvd Calendar'!$R$678&gt;VAL_DATE)=0,"",'Dvd Calendar'!$R$678*1000000000+ISNUMBER('Dvd Calendar'!$R$679)*100000000+0*10000000+(N('Dvd Calendar'!$R$677)&gt;0)*(N('Dvd Calendar'!$R$677)&lt;=VAL_SERIAL)*1000000+61*1000+54))</f>
        <v/>
      </c>
      <c r="GG72" s="35">
        <f>IF(N('Dvd Calendar'!$S$678)=0,"",IF(('Dvd Calendar'!$S$678&gt;=GRID_FROM)*('Dvd Calendar'!$S$678&lt;=GRID_TO)*('Dvd Calendar'!$S$678&gt;VAL_DATE)=0,"",'Dvd Calendar'!$S$678*1000000000+ISNUMBER('Dvd Calendar'!$S$679)*100000000+0*10000000+(N('Dvd Calendar'!$S$677)&gt;0)*(N('Dvd Calendar'!$S$677)&lt;=VAL_SERIAL)*1000000+61*1000+55))</f>
        <v/>
      </c>
      <c r="GH72" s="35">
        <f>IF(N('Dvd Calendar'!$T$678)=0,"",IF(('Dvd Calendar'!$T$678&gt;=GRID_FROM)*('Dvd Calendar'!$T$678&lt;=GRID_TO)*('Dvd Calendar'!$T$678&gt;VAL_DATE)=0,"",'Dvd Calendar'!$T$678*1000000000+ISNUMBER('Dvd Calendar'!$T$679)*100000000+0*10000000+(N('Dvd Calendar'!$T$677)&gt;0)*(N('Dvd Calendar'!$T$677)&lt;=VAL_SERIAL)*1000000+61*1000+56))</f>
        <v/>
      </c>
      <c r="GI72" s="35">
        <f>IF(N('Dvd Calendar'!$U$678)=0,"",IF(('Dvd Calendar'!$U$678&gt;=GRID_FROM)*('Dvd Calendar'!$U$678&lt;=GRID_TO)*('Dvd Calendar'!$U$678&gt;VAL_DATE)=0,"",'Dvd Calendar'!$U$678*1000000000+ISNUMBER('Dvd Calendar'!$U$679)*100000000+0*10000000+(N('Dvd Calendar'!$U$677)&gt;0)*(N('Dvd Calendar'!$U$677)&lt;=VAL_SERIAL)*1000000+61*1000+57))</f>
        <v/>
      </c>
      <c r="GJ72" s="35">
        <f>IF(N('Dvd Calendar'!$V$678)=0,"",IF(('Dvd Calendar'!$V$678&gt;=GRID_FROM)*('Dvd Calendar'!$V$678&lt;=GRID_TO)*('Dvd Calendar'!$V$678&gt;VAL_DATE)=0,"",'Dvd Calendar'!$V$678*1000000000+ISNUMBER('Dvd Calendar'!$V$679)*100000000+0*10000000+(N('Dvd Calendar'!$V$677)&gt;0)*(N('Dvd Calendar'!$V$677)&lt;=VAL_SERIAL)*1000000+61*1000+58))</f>
        <v/>
      </c>
      <c r="GK72" s="35">
        <f>IF(N('Dvd Calendar'!$W$678)=0,"",IF(('Dvd Calendar'!$W$678&gt;=GRID_FROM)*('Dvd Calendar'!$W$678&lt;=GRID_TO)*('Dvd Calendar'!$W$678&gt;VAL_DATE)=0,"",'Dvd Calendar'!$W$678*1000000000+ISNUMBER('Dvd Calendar'!$W$679)*100000000+0*10000000+(N('Dvd Calendar'!$W$677)&gt;0)*(N('Dvd Calendar'!$W$677)&lt;=VAL_SERIAL)*1000000+61*1000+59))</f>
        <v/>
      </c>
      <c r="GL72" s="35">
        <f>IF(N('Dvd Calendar'!$X$678)=0,"",IF(('Dvd Calendar'!$X$678&gt;=GRID_FROM)*('Dvd Calendar'!$X$678&lt;=GRID_TO)*('Dvd Calendar'!$X$678&gt;VAL_DATE)=0,"",'Dvd Calendar'!$X$678*1000000000+ISNUMBER('Dvd Calendar'!$X$679)*100000000+0*10000000+(N('Dvd Calendar'!$X$677)&gt;0)*(N('Dvd Calendar'!$X$677)&lt;=VAL_SERIAL)*1000000+61*1000+60))</f>
        <v/>
      </c>
      <c r="GM72" s="35">
        <f>IF(N('Dvd Calendar'!$Y$678)=0,"",IF(('Dvd Calendar'!$Y$678&gt;=GRID_FROM)*('Dvd Calendar'!$Y$678&lt;=GRID_TO)*('Dvd Calendar'!$Y$678&gt;VAL_DATE)=0,"",'Dvd Calendar'!$Y$678*1000000000+ISNUMBER('Dvd Calendar'!$Y$679)*100000000+0*10000000+(N('Dvd Calendar'!$Y$677)&gt;0)*(N('Dvd Calendar'!$Y$677)&lt;=VAL_SERIAL)*1000000+61*1000+61))</f>
        <v/>
      </c>
      <c r="GN72" s="35">
        <f>IF(N('Dvd Calendar'!$Z$678)=0,"",IF(('Dvd Calendar'!$Z$678&gt;=GRID_FROM)*('Dvd Calendar'!$Z$678&lt;=GRID_TO)*('Dvd Calendar'!$Z$678&gt;VAL_DATE)=0,"",'Dvd Calendar'!$Z$678*1000000000+ISNUMBER('Dvd Calendar'!$Z$679)*100000000+0*10000000+(N('Dvd Calendar'!$Z$677)&gt;0)*(N('Dvd Calendar'!$Z$677)&lt;=VAL_SERIAL)*1000000+61*1000+62))</f>
        <v/>
      </c>
      <c r="GO72" s="35">
        <f>IF(N('Dvd Calendar'!$AA$678)=0,"",IF(('Dvd Calendar'!$AA$678&gt;=GRID_FROM)*('Dvd Calendar'!$AA$678&lt;=GRID_TO)*('Dvd Calendar'!$AA$678&gt;VAL_DATE)=0,"",'Dvd Calendar'!$AA$678*1000000000+ISNUMBER('Dvd Calendar'!$AA$679)*100000000+0*10000000+(N('Dvd Calendar'!$AA$677)&gt;0)*(N('Dvd Calendar'!$AA$677)&lt;=VAL_SERIAL)*1000000+61*1000+63))</f>
        <v/>
      </c>
      <c r="GP72" s="35">
        <f>IF(N('Dvd Calendar'!$AB$678)=0,"",IF(('Dvd Calendar'!$AB$678&gt;=GRID_FROM)*('Dvd Calendar'!$AB$678&lt;=GRID_TO)*('Dvd Calendar'!$AB$678&gt;VAL_DATE)=0,"",'Dvd Calendar'!$AB$678*1000000000+ISNUMBER('Dvd Calendar'!$AB$679)*100000000+0*10000000+(N('Dvd Calendar'!$AB$677)&gt;0)*(N('Dvd Calendar'!$AB$677)&lt;=VAL_SERIAL)*1000000+61*1000+64))</f>
        <v/>
      </c>
      <c r="GQ72" s="35">
        <f>IF(N('Dvd Calendar'!$AC$678)=0,"",IF(('Dvd Calendar'!$AC$678&gt;=GRID_FROM)*('Dvd Calendar'!$AC$678&lt;=GRID_TO)*('Dvd Calendar'!$AC$678&gt;VAL_DATE)=0,"",'Dvd Calendar'!$AC$678*1000000000+ISNUMBER('Dvd Calendar'!$AC$679)*100000000+0*10000000+(N('Dvd Calendar'!$AC$677)&gt;0)*(N('Dvd Calendar'!$AC$677)&lt;=VAL_SERIAL)*1000000+61*1000+65))</f>
        <v/>
      </c>
    </row>
    <row r="73">
      <c r="B73" s="2">
        <f>IF(HSI!$C$68="","",HSI!$C$68)</f>
        <v/>
      </c>
      <c r="C73" s="106">
        <f>IF(EE73="","",IF(ISNUMBER('Dvd Calendar'!$E$685)=FALSE,"",IF((('Dvd Calendar'!$E$687=TYPE1)*(TYPE1&lt;&gt;"")+('Dvd Calendar'!$E$687=TYPE2)*(TYPE2&lt;&gt;"")+('Dvd Calendar'!$E$687=TYPE3)*(TYPE3&lt;&gt;"")+('Dvd Calendar'!$E$687=TYPE4)*(TYPE4&lt;&gt;"")+('Dvd Calendar'!$E$687=SPECIAL_LBL)*(INC_SPECIALS="Y"))=0,"",'Dvd Calendar'!$E$685)))</f>
        <v/>
      </c>
      <c r="D73" s="106">
        <f>IF(EF73="","",IF(ISNUMBER('Dvd Calendar'!$F$685)=FALSE,"",IF((('Dvd Calendar'!$F$687=TYPE1)*(TYPE1&lt;&gt;"")+('Dvd Calendar'!$F$687=TYPE2)*(TYPE2&lt;&gt;"")+('Dvd Calendar'!$F$687=TYPE3)*(TYPE3&lt;&gt;"")+('Dvd Calendar'!$F$687=TYPE4)*(TYPE4&lt;&gt;"")+('Dvd Calendar'!$F$687=SPECIAL_LBL)*(INC_SPECIALS="Y"))=0,"",'Dvd Calendar'!$F$685)))</f>
        <v/>
      </c>
      <c r="E73" s="106">
        <f>IF(EG73="","",IF(ISNUMBER('Dvd Calendar'!$G$685)=FALSE,"",IF((('Dvd Calendar'!$G$687=TYPE1)*(TYPE1&lt;&gt;"")+('Dvd Calendar'!$G$687=TYPE2)*(TYPE2&lt;&gt;"")+('Dvd Calendar'!$G$687=TYPE3)*(TYPE3&lt;&gt;"")+('Dvd Calendar'!$G$687=TYPE4)*(TYPE4&lt;&gt;"")+('Dvd Calendar'!$G$687=SPECIAL_LBL)*(INC_SPECIALS="Y"))=0,"",'Dvd Calendar'!$G$685)))</f>
        <v/>
      </c>
      <c r="F73" s="106">
        <f>IF(EH73="","",IF(ISNUMBER('Dvd Calendar'!$H$685)=FALSE,"",IF((('Dvd Calendar'!$H$687=TYPE1)*(TYPE1&lt;&gt;"")+('Dvd Calendar'!$H$687=TYPE2)*(TYPE2&lt;&gt;"")+('Dvd Calendar'!$H$687=TYPE3)*(TYPE3&lt;&gt;"")+('Dvd Calendar'!$H$687=TYPE4)*(TYPE4&lt;&gt;"")+('Dvd Calendar'!$H$687=SPECIAL_LBL)*(INC_SPECIALS="Y"))=0,"",'Dvd Calendar'!$H$685)))</f>
        <v/>
      </c>
      <c r="G73" s="106">
        <f>IF(EI73="","",IF(ISNUMBER('Dvd Calendar'!$I$685)=FALSE,"",IF((('Dvd Calendar'!$I$687=TYPE1)*(TYPE1&lt;&gt;"")+('Dvd Calendar'!$I$687=TYPE2)*(TYPE2&lt;&gt;"")+('Dvd Calendar'!$I$687=TYPE3)*(TYPE3&lt;&gt;"")+('Dvd Calendar'!$I$687=TYPE4)*(TYPE4&lt;&gt;"")+('Dvd Calendar'!$I$687=SPECIAL_LBL)*(INC_SPECIALS="Y"))=0,"",'Dvd Calendar'!$I$685)))</f>
        <v/>
      </c>
      <c r="H73" s="106">
        <f>IF(EJ73="","",IF(ISNUMBER('Dvd Calendar'!$J$685)=FALSE,"",IF((('Dvd Calendar'!$J$687=TYPE1)*(TYPE1&lt;&gt;"")+('Dvd Calendar'!$J$687=TYPE2)*(TYPE2&lt;&gt;"")+('Dvd Calendar'!$J$687=TYPE3)*(TYPE3&lt;&gt;"")+('Dvd Calendar'!$J$687=TYPE4)*(TYPE4&lt;&gt;"")+('Dvd Calendar'!$J$687=SPECIAL_LBL)*(INC_SPECIALS="Y"))=0,"",'Dvd Calendar'!$J$685)))</f>
        <v/>
      </c>
      <c r="I73" s="106">
        <f>IF(EK73="","",IF(ISNUMBER('Dvd Calendar'!$K$685)=FALSE,"",IF((('Dvd Calendar'!$K$687=TYPE1)*(TYPE1&lt;&gt;"")+('Dvd Calendar'!$K$687=TYPE2)*(TYPE2&lt;&gt;"")+('Dvd Calendar'!$K$687=TYPE3)*(TYPE3&lt;&gt;"")+('Dvd Calendar'!$K$687=TYPE4)*(TYPE4&lt;&gt;"")+('Dvd Calendar'!$K$687=SPECIAL_LBL)*(INC_SPECIALS="Y"))=0,"",'Dvd Calendar'!$K$685)))</f>
        <v/>
      </c>
      <c r="J73" s="106">
        <f>IF(EL73="","",IF(ISNUMBER('Dvd Calendar'!$L$685)=FALSE,"",IF((('Dvd Calendar'!$L$687=TYPE1)*(TYPE1&lt;&gt;"")+('Dvd Calendar'!$L$687=TYPE2)*(TYPE2&lt;&gt;"")+('Dvd Calendar'!$L$687=TYPE3)*(TYPE3&lt;&gt;"")+('Dvd Calendar'!$L$687=TYPE4)*(TYPE4&lt;&gt;"")+('Dvd Calendar'!$L$687=SPECIAL_LBL)*(INC_SPECIALS="Y"))=0,"",'Dvd Calendar'!$L$685)))</f>
        <v/>
      </c>
      <c r="K73" s="106">
        <f>IF(EM73="","",IF(ISNUMBER('Dvd Calendar'!$M$685)=FALSE,"",IF((('Dvd Calendar'!$M$687=TYPE1)*(TYPE1&lt;&gt;"")+('Dvd Calendar'!$M$687=TYPE2)*(TYPE2&lt;&gt;"")+('Dvd Calendar'!$M$687=TYPE3)*(TYPE3&lt;&gt;"")+('Dvd Calendar'!$M$687=TYPE4)*(TYPE4&lt;&gt;"")+('Dvd Calendar'!$M$687=SPECIAL_LBL)*(INC_SPECIALS="Y"))=0,"",'Dvd Calendar'!$M$685)))</f>
        <v/>
      </c>
      <c r="L73" s="106">
        <f>IF(EN73="","",IF(ISNUMBER('Dvd Calendar'!$N$685)=FALSE,"",IF((('Dvd Calendar'!$N$687=TYPE1)*(TYPE1&lt;&gt;"")+('Dvd Calendar'!$N$687=TYPE2)*(TYPE2&lt;&gt;"")+('Dvd Calendar'!$N$687=TYPE3)*(TYPE3&lt;&gt;"")+('Dvd Calendar'!$N$687=TYPE4)*(TYPE4&lt;&gt;"")+('Dvd Calendar'!$N$687=SPECIAL_LBL)*(INC_SPECIALS="Y"))=0,"",'Dvd Calendar'!$N$685)))</f>
        <v/>
      </c>
      <c r="M73" s="106">
        <f>IF(EO73="","",IF(ISNUMBER('Dvd Calendar'!$O$685)=FALSE,"",IF((('Dvd Calendar'!$O$687=TYPE1)*(TYPE1&lt;&gt;"")+('Dvd Calendar'!$O$687=TYPE2)*(TYPE2&lt;&gt;"")+('Dvd Calendar'!$O$687=TYPE3)*(TYPE3&lt;&gt;"")+('Dvd Calendar'!$O$687=TYPE4)*(TYPE4&lt;&gt;"")+('Dvd Calendar'!$O$687=SPECIAL_LBL)*(INC_SPECIALS="Y"))=0,"",'Dvd Calendar'!$O$685)))</f>
        <v/>
      </c>
      <c r="N73" s="106">
        <f>IF(EP73="","",IF(ISNUMBER('Dvd Calendar'!$P$685)=FALSE,"",IF((('Dvd Calendar'!$P$687=TYPE1)*(TYPE1&lt;&gt;"")+('Dvd Calendar'!$P$687=TYPE2)*(TYPE2&lt;&gt;"")+('Dvd Calendar'!$P$687=TYPE3)*(TYPE3&lt;&gt;"")+('Dvd Calendar'!$P$687=TYPE4)*(TYPE4&lt;&gt;"")+('Dvd Calendar'!$P$687=SPECIAL_LBL)*(INC_SPECIALS="Y"))=0,"",'Dvd Calendar'!$P$685)))</f>
        <v/>
      </c>
      <c r="O73" s="106">
        <f>IF(EQ73="","",IF(ISNUMBER('Dvd Calendar'!$Q$685)=FALSE,"",IF((('Dvd Calendar'!$Q$687=TYPE1)*(TYPE1&lt;&gt;"")+('Dvd Calendar'!$Q$687=TYPE2)*(TYPE2&lt;&gt;"")+('Dvd Calendar'!$Q$687=TYPE3)*(TYPE3&lt;&gt;"")+('Dvd Calendar'!$Q$687=TYPE4)*(TYPE4&lt;&gt;"")+('Dvd Calendar'!$Q$687=SPECIAL_LBL)*(INC_SPECIALS="Y"))=0,"",'Dvd Calendar'!$Q$685)))</f>
        <v/>
      </c>
      <c r="P73" s="106">
        <f>IF(ER73="","",IF(ISNUMBER('Dvd Calendar'!$R$685)=FALSE,"",IF((('Dvd Calendar'!$R$687=TYPE1)*(TYPE1&lt;&gt;"")+('Dvd Calendar'!$R$687=TYPE2)*(TYPE2&lt;&gt;"")+('Dvd Calendar'!$R$687=TYPE3)*(TYPE3&lt;&gt;"")+('Dvd Calendar'!$R$687=TYPE4)*(TYPE4&lt;&gt;"")+('Dvd Calendar'!$R$687=SPECIAL_LBL)*(INC_SPECIALS="Y"))=0,"",'Dvd Calendar'!$R$685)))</f>
        <v/>
      </c>
      <c r="Q73" s="106">
        <f>IF(ES73="","",IF(ISNUMBER('Dvd Calendar'!$S$685)=FALSE,"",IF((('Dvd Calendar'!$S$687=TYPE1)*(TYPE1&lt;&gt;"")+('Dvd Calendar'!$S$687=TYPE2)*(TYPE2&lt;&gt;"")+('Dvd Calendar'!$S$687=TYPE3)*(TYPE3&lt;&gt;"")+('Dvd Calendar'!$S$687=TYPE4)*(TYPE4&lt;&gt;"")+('Dvd Calendar'!$S$687=SPECIAL_LBL)*(INC_SPECIALS="Y"))=0,"",'Dvd Calendar'!$S$685)))</f>
        <v/>
      </c>
      <c r="R73" s="106">
        <f>IF(ET73="","",IF(ISNUMBER('Dvd Calendar'!$T$685)=FALSE,"",IF((('Dvd Calendar'!$T$687=TYPE1)*(TYPE1&lt;&gt;"")+('Dvd Calendar'!$T$687=TYPE2)*(TYPE2&lt;&gt;"")+('Dvd Calendar'!$T$687=TYPE3)*(TYPE3&lt;&gt;"")+('Dvd Calendar'!$T$687=TYPE4)*(TYPE4&lt;&gt;"")+('Dvd Calendar'!$T$687=SPECIAL_LBL)*(INC_SPECIALS="Y"))=0,"",'Dvd Calendar'!$T$685)))</f>
        <v/>
      </c>
      <c r="S73" s="106">
        <f>IF(EU73="","",IF(ISNUMBER('Dvd Calendar'!$U$685)=FALSE,"",IF((('Dvd Calendar'!$U$687=TYPE1)*(TYPE1&lt;&gt;"")+('Dvd Calendar'!$U$687=TYPE2)*(TYPE2&lt;&gt;"")+('Dvd Calendar'!$U$687=TYPE3)*(TYPE3&lt;&gt;"")+('Dvd Calendar'!$U$687=TYPE4)*(TYPE4&lt;&gt;"")+('Dvd Calendar'!$U$687=SPECIAL_LBL)*(INC_SPECIALS="Y"))=0,"",'Dvd Calendar'!$U$685)))</f>
        <v/>
      </c>
      <c r="T73" s="106">
        <f>IF(EV73="","",IF(ISNUMBER('Dvd Calendar'!$V$685)=FALSE,"",IF((('Dvd Calendar'!$V$687=TYPE1)*(TYPE1&lt;&gt;"")+('Dvd Calendar'!$V$687=TYPE2)*(TYPE2&lt;&gt;"")+('Dvd Calendar'!$V$687=TYPE3)*(TYPE3&lt;&gt;"")+('Dvd Calendar'!$V$687=TYPE4)*(TYPE4&lt;&gt;"")+('Dvd Calendar'!$V$687=SPECIAL_LBL)*(INC_SPECIALS="Y"))=0,"",'Dvd Calendar'!$V$685)))</f>
        <v/>
      </c>
      <c r="U73" s="106">
        <f>IF(EW73="","",IF(ISNUMBER('Dvd Calendar'!$W$685)=FALSE,"",IF((('Dvd Calendar'!$W$687=TYPE1)*(TYPE1&lt;&gt;"")+('Dvd Calendar'!$W$687=TYPE2)*(TYPE2&lt;&gt;"")+('Dvd Calendar'!$W$687=TYPE3)*(TYPE3&lt;&gt;"")+('Dvd Calendar'!$W$687=TYPE4)*(TYPE4&lt;&gt;"")+('Dvd Calendar'!$W$687=SPECIAL_LBL)*(INC_SPECIALS="Y"))=0,"",'Dvd Calendar'!$W$685)))</f>
        <v/>
      </c>
      <c r="V73" s="106">
        <f>IF(EX73="","",IF(ISNUMBER('Dvd Calendar'!$X$685)=FALSE,"",IF((('Dvd Calendar'!$X$687=TYPE1)*(TYPE1&lt;&gt;"")+('Dvd Calendar'!$X$687=TYPE2)*(TYPE2&lt;&gt;"")+('Dvd Calendar'!$X$687=TYPE3)*(TYPE3&lt;&gt;"")+('Dvd Calendar'!$X$687=TYPE4)*(TYPE4&lt;&gt;"")+('Dvd Calendar'!$X$687=SPECIAL_LBL)*(INC_SPECIALS="Y"))=0,"",'Dvd Calendar'!$X$685)))</f>
        <v/>
      </c>
      <c r="W73" s="106">
        <f>IF(EY73="","",IF(ISNUMBER('Dvd Calendar'!$Y$685)=FALSE,"",IF((('Dvd Calendar'!$Y$687=TYPE1)*(TYPE1&lt;&gt;"")+('Dvd Calendar'!$Y$687=TYPE2)*(TYPE2&lt;&gt;"")+('Dvd Calendar'!$Y$687=TYPE3)*(TYPE3&lt;&gt;"")+('Dvd Calendar'!$Y$687=TYPE4)*(TYPE4&lt;&gt;"")+('Dvd Calendar'!$Y$687=SPECIAL_LBL)*(INC_SPECIALS="Y"))=0,"",'Dvd Calendar'!$Y$685)))</f>
        <v/>
      </c>
      <c r="X73" s="106">
        <f>IF(EZ73="","",IF(ISNUMBER('Dvd Calendar'!$Z$685)=FALSE,"",IF((('Dvd Calendar'!$Z$687=TYPE1)*(TYPE1&lt;&gt;"")+('Dvd Calendar'!$Z$687=TYPE2)*(TYPE2&lt;&gt;"")+('Dvd Calendar'!$Z$687=TYPE3)*(TYPE3&lt;&gt;"")+('Dvd Calendar'!$Z$687=TYPE4)*(TYPE4&lt;&gt;"")+('Dvd Calendar'!$Z$687=SPECIAL_LBL)*(INC_SPECIALS="Y"))=0,"",'Dvd Calendar'!$Z$685)))</f>
        <v/>
      </c>
      <c r="Y73" s="106">
        <f>IF(FA73="","",IF(ISNUMBER('Dvd Calendar'!$AA$685)=FALSE,"",IF((('Dvd Calendar'!$AA$687=TYPE1)*(TYPE1&lt;&gt;"")+('Dvd Calendar'!$AA$687=TYPE2)*(TYPE2&lt;&gt;"")+('Dvd Calendar'!$AA$687=TYPE3)*(TYPE3&lt;&gt;"")+('Dvd Calendar'!$AA$687=TYPE4)*(TYPE4&lt;&gt;"")+('Dvd Calendar'!$AA$687=SPECIAL_LBL)*(INC_SPECIALS="Y"))=0,"",'Dvd Calendar'!$AA$685)))</f>
        <v/>
      </c>
      <c r="Z73" s="106">
        <f>IF(FB73="","",IF(ISNUMBER('Dvd Calendar'!$AB$685)=FALSE,"",IF((('Dvd Calendar'!$AB$687=TYPE1)*(TYPE1&lt;&gt;"")+('Dvd Calendar'!$AB$687=TYPE2)*(TYPE2&lt;&gt;"")+('Dvd Calendar'!$AB$687=TYPE3)*(TYPE3&lt;&gt;"")+('Dvd Calendar'!$AB$687=TYPE4)*(TYPE4&lt;&gt;"")+('Dvd Calendar'!$AB$687=SPECIAL_LBL)*(INC_SPECIALS="Y"))=0,"",'Dvd Calendar'!$AB$685)))</f>
        <v/>
      </c>
      <c r="AA73" s="106">
        <f>IF(FC73="","",IF(ISNUMBER('Dvd Calendar'!$AC$685)=FALSE,"",IF((('Dvd Calendar'!$AC$687=TYPE1)*(TYPE1&lt;&gt;"")+('Dvd Calendar'!$AC$687=TYPE2)*(TYPE2&lt;&gt;"")+('Dvd Calendar'!$AC$687=TYPE3)*(TYPE3&lt;&gt;"")+('Dvd Calendar'!$AC$687=TYPE4)*(TYPE4&lt;&gt;"")+('Dvd Calendar'!$AC$687=SPECIAL_LBL)*(INC_SPECIALS="Y"))=0,"",'Dvd Calendar'!$AC$685)))</f>
        <v/>
      </c>
      <c r="AB73" s="106">
        <f>IF(FD73="","",IF(ISNUMBER('Dvd Calendar'!$AD$685)=FALSE,"",IF((('Dvd Calendar'!$AD$687=TYPE1)*(TYPE1&lt;&gt;"")+('Dvd Calendar'!$AD$687=TYPE2)*(TYPE2&lt;&gt;"")+('Dvd Calendar'!$AD$687=TYPE3)*(TYPE3&lt;&gt;"")+('Dvd Calendar'!$AD$687=TYPE4)*(TYPE4&lt;&gt;"")+('Dvd Calendar'!$AD$687=SPECIAL_LBL)*(INC_SPECIALS="Y"))=0,"",'Dvd Calendar'!$AD$685)))</f>
        <v/>
      </c>
      <c r="AC73" s="106">
        <f>IF(FE73="","",IF(ISNUMBER('Dvd Calendar'!$AE$685)=FALSE,"",IF((('Dvd Calendar'!$AE$687=TYPE1)*(TYPE1&lt;&gt;"")+('Dvd Calendar'!$AE$687=TYPE2)*(TYPE2&lt;&gt;"")+('Dvd Calendar'!$AE$687=TYPE3)*(TYPE3&lt;&gt;"")+('Dvd Calendar'!$AE$687=TYPE4)*(TYPE4&lt;&gt;"")+('Dvd Calendar'!$AE$687=SPECIAL_LBL)*(INC_SPECIALS="Y"))=0,"",'Dvd Calendar'!$AE$685)))</f>
        <v/>
      </c>
      <c r="AD73" s="106">
        <f>IF(FF73="","",IF(ISNUMBER('Dvd Calendar'!$AF$685)=FALSE,"",IF((('Dvd Calendar'!$AF$687=TYPE1)*(TYPE1&lt;&gt;"")+('Dvd Calendar'!$AF$687=TYPE2)*(TYPE2&lt;&gt;"")+('Dvd Calendar'!$AF$687=TYPE3)*(TYPE3&lt;&gt;"")+('Dvd Calendar'!$AF$687=TYPE4)*(TYPE4&lt;&gt;"")+('Dvd Calendar'!$AF$687=SPECIAL_LBL)*(INC_SPECIALS="Y"))=0,"",'Dvd Calendar'!$AF$685)))</f>
        <v/>
      </c>
      <c r="AE73" s="106">
        <f>IF(FG73="","",IF(ISNUMBER('Dvd Calendar'!$AG$685)=FALSE,"",IF((('Dvd Calendar'!$AG$687=TYPE1)*(TYPE1&lt;&gt;"")+('Dvd Calendar'!$AG$687=TYPE2)*(TYPE2&lt;&gt;"")+('Dvd Calendar'!$AG$687=TYPE3)*(TYPE3&lt;&gt;"")+('Dvd Calendar'!$AG$687=TYPE4)*(TYPE4&lt;&gt;"")+('Dvd Calendar'!$AG$687=SPECIAL_LBL)*(INC_SPECIALS="Y"))=0,"",'Dvd Calendar'!$AG$685)))</f>
        <v/>
      </c>
      <c r="AF73" s="106">
        <f>IF(FH73="","",IF(ISNUMBER('Dvd Calendar'!$AH$685)=FALSE,"",IF((('Dvd Calendar'!$AH$687=TYPE1)*(TYPE1&lt;&gt;"")+('Dvd Calendar'!$AH$687=TYPE2)*(TYPE2&lt;&gt;"")+('Dvd Calendar'!$AH$687=TYPE3)*(TYPE3&lt;&gt;"")+('Dvd Calendar'!$AH$687=TYPE4)*(TYPE4&lt;&gt;"")+('Dvd Calendar'!$AH$687=SPECIAL_LBL)*(INC_SPECIALS="Y"))=0,"",'Dvd Calendar'!$AH$685)))</f>
        <v/>
      </c>
      <c r="AG73" s="106">
        <f>IF(FI73="","",IF(ISNUMBER('Dvd Calendar'!$AI$685)=FALSE,"",IF((('Dvd Calendar'!$AI$687=TYPE1)*(TYPE1&lt;&gt;"")+('Dvd Calendar'!$AI$687=TYPE2)*(TYPE2&lt;&gt;"")+('Dvd Calendar'!$AI$687=TYPE3)*(TYPE3&lt;&gt;"")+('Dvd Calendar'!$AI$687=TYPE4)*(TYPE4&lt;&gt;"")+('Dvd Calendar'!$AI$687=SPECIAL_LBL)*(INC_SPECIALS="Y"))=0,"",'Dvd Calendar'!$AI$685)))</f>
        <v/>
      </c>
      <c r="AH73" s="106">
        <f>IF(FJ73="","",IF(ISNUMBER('Dvd Calendar'!$AJ$685)=FALSE,"",IF((('Dvd Calendar'!$AJ$687=TYPE1)*(TYPE1&lt;&gt;"")+('Dvd Calendar'!$AJ$687=TYPE2)*(TYPE2&lt;&gt;"")+('Dvd Calendar'!$AJ$687=TYPE3)*(TYPE3&lt;&gt;"")+('Dvd Calendar'!$AJ$687=TYPE4)*(TYPE4&lt;&gt;"")+('Dvd Calendar'!$AJ$687=SPECIAL_LBL)*(INC_SPECIALS="Y"))=0,"",'Dvd Calendar'!$AJ$685)))</f>
        <v/>
      </c>
      <c r="AI73" s="106">
        <f>IF(FK73="","",IF(ISNUMBER('Dvd Calendar'!$AK$685)=FALSE,"",IF((('Dvd Calendar'!$AK$687=TYPE1)*(TYPE1&lt;&gt;"")+('Dvd Calendar'!$AK$687=TYPE2)*(TYPE2&lt;&gt;"")+('Dvd Calendar'!$AK$687=TYPE3)*(TYPE3&lt;&gt;"")+('Dvd Calendar'!$AK$687=TYPE4)*(TYPE4&lt;&gt;"")+('Dvd Calendar'!$AK$687=SPECIAL_LBL)*(INC_SPECIALS="Y"))=0,"",'Dvd Calendar'!$AK$685)))</f>
        <v/>
      </c>
      <c r="AJ73" s="106">
        <f>IF(FL73="","",IF(ISNUMBER('Dvd Calendar'!$AL$685)=FALSE,"",IF((('Dvd Calendar'!$AL$687=TYPE1)*(TYPE1&lt;&gt;"")+('Dvd Calendar'!$AL$687=TYPE2)*(TYPE2&lt;&gt;"")+('Dvd Calendar'!$AL$687=TYPE3)*(TYPE3&lt;&gt;"")+('Dvd Calendar'!$AL$687=TYPE4)*(TYPE4&lt;&gt;"")+('Dvd Calendar'!$AL$687=SPECIAL_LBL)*(INC_SPECIALS="Y"))=0,"",'Dvd Calendar'!$AL$685)))</f>
        <v/>
      </c>
      <c r="AK73" s="106">
        <f>IF(FM73="","",IF(ISNUMBER('Dvd Calendar'!$AM$685)=FALSE,"",IF((('Dvd Calendar'!$AM$687=TYPE1)*(TYPE1&lt;&gt;"")+('Dvd Calendar'!$AM$687=TYPE2)*(TYPE2&lt;&gt;"")+('Dvd Calendar'!$AM$687=TYPE3)*(TYPE3&lt;&gt;"")+('Dvd Calendar'!$AM$687=TYPE4)*(TYPE4&lt;&gt;"")+('Dvd Calendar'!$AM$687=SPECIAL_LBL)*(INC_SPECIALS="Y"))=0,"",'Dvd Calendar'!$AM$685)))</f>
        <v/>
      </c>
      <c r="AL73" s="106">
        <f>IF(FN73="","",IF(ISNUMBER('Dvd Calendar'!$AN$685)=FALSE,"",IF((('Dvd Calendar'!$AN$687=TYPE1)*(TYPE1&lt;&gt;"")+('Dvd Calendar'!$AN$687=TYPE2)*(TYPE2&lt;&gt;"")+('Dvd Calendar'!$AN$687=TYPE3)*(TYPE3&lt;&gt;"")+('Dvd Calendar'!$AN$687=TYPE4)*(TYPE4&lt;&gt;"")+('Dvd Calendar'!$AN$687=SPECIAL_LBL)*(INC_SPECIALS="Y"))=0,"",'Dvd Calendar'!$AN$685)))</f>
        <v/>
      </c>
      <c r="AM73" s="106">
        <f>IF(FO73="","",IF(ISNUMBER('Dvd Calendar'!$AO$685)=FALSE,"",IF((('Dvd Calendar'!$AO$687=TYPE1)*(TYPE1&lt;&gt;"")+('Dvd Calendar'!$AO$687=TYPE2)*(TYPE2&lt;&gt;"")+('Dvd Calendar'!$AO$687=TYPE3)*(TYPE3&lt;&gt;"")+('Dvd Calendar'!$AO$687=TYPE4)*(TYPE4&lt;&gt;"")+('Dvd Calendar'!$AO$687=SPECIAL_LBL)*(INC_SPECIALS="Y"))=0,"",'Dvd Calendar'!$AO$685)))</f>
        <v/>
      </c>
      <c r="AN73" s="106">
        <f>IF(FP73="","",IF(ISNUMBER('Dvd Calendar'!$AP$685)=FALSE,"",IF((('Dvd Calendar'!$AP$687=TYPE1)*(TYPE1&lt;&gt;"")+('Dvd Calendar'!$AP$687=TYPE2)*(TYPE2&lt;&gt;"")+('Dvd Calendar'!$AP$687=TYPE3)*(TYPE3&lt;&gt;"")+('Dvd Calendar'!$AP$687=TYPE4)*(TYPE4&lt;&gt;"")+('Dvd Calendar'!$AP$687=SPECIAL_LBL)*(INC_SPECIALS="Y"))=0,"",'Dvd Calendar'!$AP$685)))</f>
        <v/>
      </c>
      <c r="AO73" s="106">
        <f>IF(FQ73="","",IF(ISNUMBER('Dvd Calendar'!$AQ$685)=FALSE,"",IF((('Dvd Calendar'!$AQ$687=TYPE1)*(TYPE1&lt;&gt;"")+('Dvd Calendar'!$AQ$687=TYPE2)*(TYPE2&lt;&gt;"")+('Dvd Calendar'!$AQ$687=TYPE3)*(TYPE3&lt;&gt;"")+('Dvd Calendar'!$AQ$687=TYPE4)*(TYPE4&lt;&gt;"")+('Dvd Calendar'!$AQ$687=SPECIAL_LBL)*(INC_SPECIALS="Y"))=0,"",'Dvd Calendar'!$AQ$685)))</f>
        <v/>
      </c>
      <c r="AP73" s="106">
        <f>IF(FR73="","",IF(ISNUMBER('Dvd Calendar'!$AR$685)=FALSE,"",IF((('Dvd Calendar'!$AR$687=TYPE1)*(TYPE1&lt;&gt;"")+('Dvd Calendar'!$AR$687=TYPE2)*(TYPE2&lt;&gt;"")+('Dvd Calendar'!$AR$687=TYPE3)*(TYPE3&lt;&gt;"")+('Dvd Calendar'!$AR$687=TYPE4)*(TYPE4&lt;&gt;"")+('Dvd Calendar'!$AR$687=SPECIAL_LBL)*(INC_SPECIALS="Y"))=0,"",'Dvd Calendar'!$AR$685)))</f>
        <v/>
      </c>
      <c r="AQ73" s="106">
        <f>IF(FS73="","",IF(ISNUMBER('Dvd Calendar'!$E$690)=FALSE,"",'Dvd Calendar'!$E$690))</f>
        <v/>
      </c>
      <c r="AR73" s="106">
        <f>IF(FT73="","",IF(ISNUMBER('Dvd Calendar'!$F$690)=FALSE,"",'Dvd Calendar'!$F$690))</f>
        <v/>
      </c>
      <c r="AS73" s="106">
        <f>IF(FU73="","",IF(ISNUMBER('Dvd Calendar'!$G$690)=FALSE,"",'Dvd Calendar'!$G$690))</f>
        <v/>
      </c>
      <c r="AT73" s="106">
        <f>IF(FV73="","",IF(ISNUMBER('Dvd Calendar'!$H$690)=FALSE,"",'Dvd Calendar'!$H$690))</f>
        <v/>
      </c>
      <c r="AU73" s="106">
        <f>IF(FW73="","",IF(ISNUMBER('Dvd Calendar'!$I$690)=FALSE,"",'Dvd Calendar'!$I$690))</f>
        <v/>
      </c>
      <c r="AV73" s="106">
        <f>IF(FX73="","",IF(ISNUMBER('Dvd Calendar'!$J$690)=FALSE,"",'Dvd Calendar'!$J$690))</f>
        <v/>
      </c>
      <c r="AW73" s="106">
        <f>IF(FY73="","",IF(ISNUMBER('Dvd Calendar'!$K$690)=FALSE,"",'Dvd Calendar'!$K$690))</f>
        <v/>
      </c>
      <c r="AX73" s="106">
        <f>IF(FZ73="","",IF(ISNUMBER('Dvd Calendar'!$L$690)=FALSE,"",'Dvd Calendar'!$L$690))</f>
        <v/>
      </c>
      <c r="AY73" s="106">
        <f>IF(GA73="","",IF(ISNUMBER('Dvd Calendar'!$M$690)=FALSE,"",'Dvd Calendar'!$M$690))</f>
        <v/>
      </c>
      <c r="AZ73" s="106">
        <f>IF(GB73="","",IF(ISNUMBER('Dvd Calendar'!$N$690)=FALSE,"",'Dvd Calendar'!$N$690))</f>
        <v/>
      </c>
      <c r="BA73" s="106">
        <f>IF(GC73="","",IF(ISNUMBER('Dvd Calendar'!$O$690)=FALSE,"",'Dvd Calendar'!$O$690))</f>
        <v/>
      </c>
      <c r="BB73" s="106">
        <f>IF(GD73="","",IF(ISNUMBER('Dvd Calendar'!$P$690)=FALSE,"",'Dvd Calendar'!$P$690))</f>
        <v/>
      </c>
      <c r="BC73" s="106">
        <f>IF(GE73="","",IF(ISNUMBER('Dvd Calendar'!$Q$690)=FALSE,"",'Dvd Calendar'!$Q$690))</f>
        <v/>
      </c>
      <c r="BD73" s="106">
        <f>IF(GF73="","",IF(ISNUMBER('Dvd Calendar'!$R$690)=FALSE,"",'Dvd Calendar'!$R$690))</f>
        <v/>
      </c>
      <c r="BE73" s="106">
        <f>IF(GG73="","",IF(ISNUMBER('Dvd Calendar'!$S$690)=FALSE,"",'Dvd Calendar'!$S$690))</f>
        <v/>
      </c>
      <c r="BF73" s="106">
        <f>IF(GH73="","",IF(ISNUMBER('Dvd Calendar'!$T$690)=FALSE,"",'Dvd Calendar'!$T$690))</f>
        <v/>
      </c>
      <c r="BG73" s="106">
        <f>IF(GI73="","",IF(ISNUMBER('Dvd Calendar'!$U$690)=FALSE,"",'Dvd Calendar'!$U$690))</f>
        <v/>
      </c>
      <c r="BH73" s="106">
        <f>IF(GJ73="","",IF(ISNUMBER('Dvd Calendar'!$V$690)=FALSE,"",'Dvd Calendar'!$V$690))</f>
        <v/>
      </c>
      <c r="BI73" s="106">
        <f>IF(GK73="","",IF(ISNUMBER('Dvd Calendar'!$W$690)=FALSE,"",'Dvd Calendar'!$W$690))</f>
        <v/>
      </c>
      <c r="BJ73" s="106">
        <f>IF(GL73="","",IF(ISNUMBER('Dvd Calendar'!$X$690)=FALSE,"",'Dvd Calendar'!$X$690))</f>
        <v/>
      </c>
      <c r="BK73" s="106">
        <f>IF(GM73="","",IF(ISNUMBER('Dvd Calendar'!$Y$690)=FALSE,"",'Dvd Calendar'!$Y$690))</f>
        <v/>
      </c>
      <c r="BL73" s="106">
        <f>IF(GN73="","",IF(ISNUMBER('Dvd Calendar'!$Z$690)=FALSE,"",'Dvd Calendar'!$Z$690))</f>
        <v/>
      </c>
      <c r="BM73" s="106">
        <f>IF(GO73="","",IF(ISNUMBER('Dvd Calendar'!$AA$690)=FALSE,"",'Dvd Calendar'!$AA$690))</f>
        <v/>
      </c>
      <c r="BN73" s="106">
        <f>IF(GP73="","",IF(ISNUMBER('Dvd Calendar'!$AB$690)=FALSE,"",'Dvd Calendar'!$AB$690))</f>
        <v/>
      </c>
      <c r="BO73" s="106">
        <f>IF(GQ73="","",IF(ISNUMBER('Dvd Calendar'!$AC$690)=FALSE,"",'Dvd Calendar'!$AC$690))</f>
        <v/>
      </c>
      <c r="BQ73" s="106">
        <f>IF(C73="","",IFERROR(C73*HSI!$B$68*HSI!$G$68/HSI!$B$3,""))</f>
        <v/>
      </c>
      <c r="BR73" s="106">
        <f>IF(D73="","",IFERROR(D73*HSI!$B$68*HSI!$G$68/HSI!$B$3,""))</f>
        <v/>
      </c>
      <c r="BS73" s="106">
        <f>IF(E73="","",IFERROR(E73*HSI!$B$68*HSI!$G$68/HSI!$B$3,""))</f>
        <v/>
      </c>
      <c r="BT73" s="106">
        <f>IF(F73="","",IFERROR(F73*HSI!$B$68*HSI!$G$68/HSI!$B$3,""))</f>
        <v/>
      </c>
      <c r="BU73" s="106">
        <f>IF(G73="","",IFERROR(G73*HSI!$B$68*HSI!$G$68/HSI!$B$3,""))</f>
        <v/>
      </c>
      <c r="BV73" s="106">
        <f>IF(H73="","",IFERROR(H73*HSI!$B$68*HSI!$G$68/HSI!$B$3,""))</f>
        <v/>
      </c>
      <c r="BW73" s="106">
        <f>IF(I73="","",IFERROR(I73*HSI!$B$68*HSI!$G$68/HSI!$B$3,""))</f>
        <v/>
      </c>
      <c r="BX73" s="106">
        <f>IF(J73="","",IFERROR(J73*HSI!$B$68*HSI!$G$68/HSI!$B$3,""))</f>
        <v/>
      </c>
      <c r="BY73" s="106">
        <f>IF(K73="","",IFERROR(K73*HSI!$B$68*HSI!$G$68/HSI!$B$3,""))</f>
        <v/>
      </c>
      <c r="BZ73" s="106">
        <f>IF(L73="","",IFERROR(L73*HSI!$B$68*HSI!$G$68/HSI!$B$3,""))</f>
        <v/>
      </c>
      <c r="CA73" s="106">
        <f>IF(M73="","",IFERROR(M73*HSI!$B$68*HSI!$G$68/HSI!$B$3,""))</f>
        <v/>
      </c>
      <c r="CB73" s="106">
        <f>IF(N73="","",IFERROR(N73*HSI!$B$68*HSI!$G$68/HSI!$B$3,""))</f>
        <v/>
      </c>
      <c r="CC73" s="106">
        <f>IF(O73="","",IFERROR(O73*HSI!$B$68*HSI!$G$68/HSI!$B$3,""))</f>
        <v/>
      </c>
      <c r="CD73" s="106">
        <f>IF(P73="","",IFERROR(P73*HSI!$B$68*HSI!$G$68/HSI!$B$3,""))</f>
        <v/>
      </c>
      <c r="CE73" s="106">
        <f>IF(Q73="","",IFERROR(Q73*HSI!$B$68*HSI!$G$68/HSI!$B$3,""))</f>
        <v/>
      </c>
      <c r="CF73" s="106">
        <f>IF(R73="","",IFERROR(R73*HSI!$B$68*HSI!$G$68/HSI!$B$3,""))</f>
        <v/>
      </c>
      <c r="CG73" s="106">
        <f>IF(S73="","",IFERROR(S73*HSI!$B$68*HSI!$G$68/HSI!$B$3,""))</f>
        <v/>
      </c>
      <c r="CH73" s="106">
        <f>IF(T73="","",IFERROR(T73*HSI!$B$68*HSI!$G$68/HSI!$B$3,""))</f>
        <v/>
      </c>
      <c r="CI73" s="106">
        <f>IF(U73="","",IFERROR(U73*HSI!$B$68*HSI!$G$68/HSI!$B$3,""))</f>
        <v/>
      </c>
      <c r="CJ73" s="106">
        <f>IF(V73="","",IFERROR(V73*HSI!$B$68*HSI!$G$68/HSI!$B$3,""))</f>
        <v/>
      </c>
      <c r="CK73" s="106">
        <f>IF(W73="","",IFERROR(W73*HSI!$B$68*HSI!$G$68/HSI!$B$3,""))</f>
        <v/>
      </c>
      <c r="CL73" s="106">
        <f>IF(X73="","",IFERROR(X73*HSI!$B$68*HSI!$G$68/HSI!$B$3,""))</f>
        <v/>
      </c>
      <c r="CM73" s="106">
        <f>IF(Y73="","",IFERROR(Y73*HSI!$B$68*HSI!$G$68/HSI!$B$3,""))</f>
        <v/>
      </c>
      <c r="CN73" s="106">
        <f>IF(Z73="","",IFERROR(Z73*HSI!$B$68*HSI!$G$68/HSI!$B$3,""))</f>
        <v/>
      </c>
      <c r="CO73" s="106">
        <f>IF(AA73="","",IFERROR(AA73*HSI!$B$68*HSI!$G$68/HSI!$B$3,""))</f>
        <v/>
      </c>
      <c r="CP73" s="106">
        <f>IF(AB73="","",IFERROR(AB73*HSI!$B$68*HSI!$G$68/HSI!$B$3,""))</f>
        <v/>
      </c>
      <c r="CQ73" s="106">
        <f>IF(AC73="","",IFERROR(AC73*HSI!$B$68*HSI!$G$68/HSI!$B$3,""))</f>
        <v/>
      </c>
      <c r="CR73" s="106">
        <f>IF(AD73="","",IFERROR(AD73*HSI!$B$68*HSI!$G$68/HSI!$B$3,""))</f>
        <v/>
      </c>
      <c r="CS73" s="106">
        <f>IF(AE73="","",IFERROR(AE73*HSI!$B$68*HSI!$G$68/HSI!$B$3,""))</f>
        <v/>
      </c>
      <c r="CT73" s="106">
        <f>IF(AF73="","",IFERROR(AF73*HSI!$B$68*HSI!$G$68/HSI!$B$3,""))</f>
        <v/>
      </c>
      <c r="CU73" s="106">
        <f>IF(AG73="","",IFERROR(AG73*HSI!$B$68*HSI!$G$68/HSI!$B$3,""))</f>
        <v/>
      </c>
      <c r="CV73" s="106">
        <f>IF(AH73="","",IFERROR(AH73*HSI!$B$68*HSI!$G$68/HSI!$B$3,""))</f>
        <v/>
      </c>
      <c r="CW73" s="106">
        <f>IF(AI73="","",IFERROR(AI73*HSI!$B$68*HSI!$G$68/HSI!$B$3,""))</f>
        <v/>
      </c>
      <c r="CX73" s="106">
        <f>IF(AJ73="","",IFERROR(AJ73*HSI!$B$68*HSI!$G$68/HSI!$B$3,""))</f>
        <v/>
      </c>
      <c r="CY73" s="106">
        <f>IF(AK73="","",IFERROR(AK73*HSI!$B$68*HSI!$G$68/HSI!$B$3,""))</f>
        <v/>
      </c>
      <c r="CZ73" s="106">
        <f>IF(AL73="","",IFERROR(AL73*HSI!$B$68*HSI!$G$68/HSI!$B$3,""))</f>
        <v/>
      </c>
      <c r="DA73" s="106">
        <f>IF(AM73="","",IFERROR(AM73*HSI!$B$68*HSI!$G$68/HSI!$B$3,""))</f>
        <v/>
      </c>
      <c r="DB73" s="106">
        <f>IF(AN73="","",IFERROR(AN73*HSI!$B$68*HSI!$G$68/HSI!$B$3,""))</f>
        <v/>
      </c>
      <c r="DC73" s="106">
        <f>IF(AO73="","",IFERROR(AO73*HSI!$B$68*HSI!$G$68/HSI!$B$3,""))</f>
        <v/>
      </c>
      <c r="DD73" s="106">
        <f>IF(AP73="","",IFERROR(AP73*HSI!$B$68*HSI!$G$68/HSI!$B$3,""))</f>
        <v/>
      </c>
      <c r="DE73" s="106">
        <f>IF(AQ73="","",IFERROR(AQ73*HSI!$B$68*HSI!$G$68/HSI!$B$3,""))</f>
        <v/>
      </c>
      <c r="DF73" s="106">
        <f>IF(AR73="","",IFERROR(AR73*HSI!$B$68*HSI!$G$68/HSI!$B$3,""))</f>
        <v/>
      </c>
      <c r="DG73" s="106">
        <f>IF(AS73="","",IFERROR(AS73*HSI!$B$68*HSI!$G$68/HSI!$B$3,""))</f>
        <v/>
      </c>
      <c r="DH73" s="106">
        <f>IF(AT73="","",IFERROR(AT73*HSI!$B$68*HSI!$G$68/HSI!$B$3,""))</f>
        <v/>
      </c>
      <c r="DI73" s="106">
        <f>IF(AU73="","",IFERROR(AU73*HSI!$B$68*HSI!$G$68/HSI!$B$3,""))</f>
        <v/>
      </c>
      <c r="DJ73" s="106">
        <f>IF(AV73="","",IFERROR(AV73*HSI!$B$68*HSI!$G$68/HSI!$B$3,""))</f>
        <v/>
      </c>
      <c r="DK73" s="106">
        <f>IF(AW73="","",IFERROR(AW73*HSI!$B$68*HSI!$G$68/HSI!$B$3,""))</f>
        <v/>
      </c>
      <c r="DL73" s="106">
        <f>IF(AX73="","",IFERROR(AX73*HSI!$B$68*HSI!$G$68/HSI!$B$3,""))</f>
        <v/>
      </c>
      <c r="DM73" s="106">
        <f>IF(AY73="","",IFERROR(AY73*HSI!$B$68*HSI!$G$68/HSI!$B$3,""))</f>
        <v/>
      </c>
      <c r="DN73" s="106">
        <f>IF(AZ73="","",IFERROR(AZ73*HSI!$B$68*HSI!$G$68/HSI!$B$3,""))</f>
        <v/>
      </c>
      <c r="DO73" s="106">
        <f>IF(BA73="","",IFERROR(BA73*HSI!$B$68*HSI!$G$68/HSI!$B$3,""))</f>
        <v/>
      </c>
      <c r="DP73" s="106">
        <f>IF(BB73="","",IFERROR(BB73*HSI!$B$68*HSI!$G$68/HSI!$B$3,""))</f>
        <v/>
      </c>
      <c r="DQ73" s="106">
        <f>IF(BC73="","",IFERROR(BC73*HSI!$B$68*HSI!$G$68/HSI!$B$3,""))</f>
        <v/>
      </c>
      <c r="DR73" s="106">
        <f>IF(BD73="","",IFERROR(BD73*HSI!$B$68*HSI!$G$68/HSI!$B$3,""))</f>
        <v/>
      </c>
      <c r="DS73" s="106">
        <f>IF(BE73="","",IFERROR(BE73*HSI!$B$68*HSI!$G$68/HSI!$B$3,""))</f>
        <v/>
      </c>
      <c r="DT73" s="106">
        <f>IF(BF73="","",IFERROR(BF73*HSI!$B$68*HSI!$G$68/HSI!$B$3,""))</f>
        <v/>
      </c>
      <c r="DU73" s="106">
        <f>IF(BG73="","",IFERROR(BG73*HSI!$B$68*HSI!$G$68/HSI!$B$3,""))</f>
        <v/>
      </c>
      <c r="DV73" s="106">
        <f>IF(BH73="","",IFERROR(BH73*HSI!$B$68*HSI!$G$68/HSI!$B$3,""))</f>
        <v/>
      </c>
      <c r="DW73" s="106">
        <f>IF(BI73="","",IFERROR(BI73*HSI!$B$68*HSI!$G$68/HSI!$B$3,""))</f>
        <v/>
      </c>
      <c r="DX73" s="106">
        <f>IF(BJ73="","",IFERROR(BJ73*HSI!$B$68*HSI!$G$68/HSI!$B$3,""))</f>
        <v/>
      </c>
      <c r="DY73" s="106">
        <f>IF(BK73="","",IFERROR(BK73*HSI!$B$68*HSI!$G$68/HSI!$B$3,""))</f>
        <v/>
      </c>
      <c r="DZ73" s="106">
        <f>IF(BL73="","",IFERROR(BL73*HSI!$B$68*HSI!$G$68/HSI!$B$3,""))</f>
        <v/>
      </c>
      <c r="EA73" s="106">
        <f>IF(BM73="","",IFERROR(BM73*HSI!$B$68*HSI!$G$68/HSI!$B$3,""))</f>
        <v/>
      </c>
      <c r="EB73" s="106">
        <f>IF(BN73="","",IFERROR(BN73*HSI!$B$68*HSI!$G$68/HSI!$B$3,""))</f>
        <v/>
      </c>
      <c r="EC73" s="106">
        <f>IF(BO73="","",IFERROR(BO73*HSI!$B$68*HSI!$G$68/HSI!$B$3,""))</f>
        <v/>
      </c>
      <c r="EE73" s="35">
        <f>IF(N('Dvd Calendar'!$E$682)=0,"",IF(('Dvd Calendar'!$E$682&gt;=GRID_FROM)*('Dvd Calendar'!$E$682&lt;=GRID_TO)*('Dvd Calendar'!$E$682&lt;=VAL_DATE)=0,"",'Dvd Calendar'!$E$682*1000000000+ISNUMBER('Dvd Calendar'!$E$685)*100000000+('Dvd Calendar'!$E$687=SPECIAL_LBL)*10000000+0*1000000+62*1000+1))</f>
        <v/>
      </c>
      <c r="EF73" s="35">
        <f>IF(N('Dvd Calendar'!$F$682)=0,"",IF(('Dvd Calendar'!$F$682&gt;=GRID_FROM)*('Dvd Calendar'!$F$682&lt;=GRID_TO)*('Dvd Calendar'!$F$682&lt;=VAL_DATE)=0,"",'Dvd Calendar'!$F$682*1000000000+ISNUMBER('Dvd Calendar'!$F$685)*100000000+('Dvd Calendar'!$F$687=SPECIAL_LBL)*10000000+0*1000000+62*1000+2))</f>
        <v/>
      </c>
      <c r="EG73" s="35">
        <f>IF(N('Dvd Calendar'!$G$682)=0,"",IF(('Dvd Calendar'!$G$682&gt;=GRID_FROM)*('Dvd Calendar'!$G$682&lt;=GRID_TO)*('Dvd Calendar'!$G$682&lt;=VAL_DATE)=0,"",'Dvd Calendar'!$G$682*1000000000+ISNUMBER('Dvd Calendar'!$G$685)*100000000+('Dvd Calendar'!$G$687=SPECIAL_LBL)*10000000+0*1000000+62*1000+3))</f>
        <v/>
      </c>
      <c r="EH73" s="35">
        <f>IF(N('Dvd Calendar'!$H$682)=0,"",IF(('Dvd Calendar'!$H$682&gt;=GRID_FROM)*('Dvd Calendar'!$H$682&lt;=GRID_TO)*('Dvd Calendar'!$H$682&lt;=VAL_DATE)=0,"",'Dvd Calendar'!$H$682*1000000000+ISNUMBER('Dvd Calendar'!$H$685)*100000000+('Dvd Calendar'!$H$687=SPECIAL_LBL)*10000000+0*1000000+62*1000+4))</f>
        <v/>
      </c>
      <c r="EI73" s="35">
        <f>IF(N('Dvd Calendar'!$I$682)=0,"",IF(('Dvd Calendar'!$I$682&gt;=GRID_FROM)*('Dvd Calendar'!$I$682&lt;=GRID_TO)*('Dvd Calendar'!$I$682&lt;=VAL_DATE)=0,"",'Dvd Calendar'!$I$682*1000000000+ISNUMBER('Dvd Calendar'!$I$685)*100000000+('Dvd Calendar'!$I$687=SPECIAL_LBL)*10000000+0*1000000+62*1000+5))</f>
        <v/>
      </c>
      <c r="EJ73" s="35">
        <f>IF(N('Dvd Calendar'!$J$682)=0,"",IF(('Dvd Calendar'!$J$682&gt;=GRID_FROM)*('Dvd Calendar'!$J$682&lt;=GRID_TO)*('Dvd Calendar'!$J$682&lt;=VAL_DATE)=0,"",'Dvd Calendar'!$J$682*1000000000+ISNUMBER('Dvd Calendar'!$J$685)*100000000+('Dvd Calendar'!$J$687=SPECIAL_LBL)*10000000+0*1000000+62*1000+6))</f>
        <v/>
      </c>
      <c r="EK73" s="35">
        <f>IF(N('Dvd Calendar'!$K$682)=0,"",IF(('Dvd Calendar'!$K$682&gt;=GRID_FROM)*('Dvd Calendar'!$K$682&lt;=GRID_TO)*('Dvd Calendar'!$K$682&lt;=VAL_DATE)=0,"",'Dvd Calendar'!$K$682*1000000000+ISNUMBER('Dvd Calendar'!$K$685)*100000000+('Dvd Calendar'!$K$687=SPECIAL_LBL)*10000000+0*1000000+62*1000+7))</f>
        <v/>
      </c>
      <c r="EL73" s="35">
        <f>IF(N('Dvd Calendar'!$L$682)=0,"",IF(('Dvd Calendar'!$L$682&gt;=GRID_FROM)*('Dvd Calendar'!$L$682&lt;=GRID_TO)*('Dvd Calendar'!$L$682&lt;=VAL_DATE)=0,"",'Dvd Calendar'!$L$682*1000000000+ISNUMBER('Dvd Calendar'!$L$685)*100000000+('Dvd Calendar'!$L$687=SPECIAL_LBL)*10000000+0*1000000+62*1000+8))</f>
        <v/>
      </c>
      <c r="EM73" s="35">
        <f>IF(N('Dvd Calendar'!$M$682)=0,"",IF(('Dvd Calendar'!$M$682&gt;=GRID_FROM)*('Dvd Calendar'!$M$682&lt;=GRID_TO)*('Dvd Calendar'!$M$682&lt;=VAL_DATE)=0,"",'Dvd Calendar'!$M$682*1000000000+ISNUMBER('Dvd Calendar'!$M$685)*100000000+('Dvd Calendar'!$M$687=SPECIAL_LBL)*10000000+0*1000000+62*1000+9))</f>
        <v/>
      </c>
      <c r="EN73" s="35">
        <f>IF(N('Dvd Calendar'!$N$682)=0,"",IF(('Dvd Calendar'!$N$682&gt;=GRID_FROM)*('Dvd Calendar'!$N$682&lt;=GRID_TO)*('Dvd Calendar'!$N$682&lt;=VAL_DATE)=0,"",'Dvd Calendar'!$N$682*1000000000+ISNUMBER('Dvd Calendar'!$N$685)*100000000+('Dvd Calendar'!$N$687=SPECIAL_LBL)*10000000+0*1000000+62*1000+10))</f>
        <v/>
      </c>
      <c r="EO73" s="35">
        <f>IF(N('Dvd Calendar'!$O$682)=0,"",IF(('Dvd Calendar'!$O$682&gt;=GRID_FROM)*('Dvd Calendar'!$O$682&lt;=GRID_TO)*('Dvd Calendar'!$O$682&lt;=VAL_DATE)=0,"",'Dvd Calendar'!$O$682*1000000000+ISNUMBER('Dvd Calendar'!$O$685)*100000000+('Dvd Calendar'!$O$687=SPECIAL_LBL)*10000000+0*1000000+62*1000+11))</f>
        <v/>
      </c>
      <c r="EP73" s="35">
        <f>IF(N('Dvd Calendar'!$P$682)=0,"",IF(('Dvd Calendar'!$P$682&gt;=GRID_FROM)*('Dvd Calendar'!$P$682&lt;=GRID_TO)*('Dvd Calendar'!$P$682&lt;=VAL_DATE)=0,"",'Dvd Calendar'!$P$682*1000000000+ISNUMBER('Dvd Calendar'!$P$685)*100000000+('Dvd Calendar'!$P$687=SPECIAL_LBL)*10000000+0*1000000+62*1000+12))</f>
        <v/>
      </c>
      <c r="EQ73" s="35">
        <f>IF(N('Dvd Calendar'!$Q$682)=0,"",IF(('Dvd Calendar'!$Q$682&gt;=GRID_FROM)*('Dvd Calendar'!$Q$682&lt;=GRID_TO)*('Dvd Calendar'!$Q$682&lt;=VAL_DATE)=0,"",'Dvd Calendar'!$Q$682*1000000000+ISNUMBER('Dvd Calendar'!$Q$685)*100000000+('Dvd Calendar'!$Q$687=SPECIAL_LBL)*10000000+0*1000000+62*1000+13))</f>
        <v/>
      </c>
      <c r="ER73" s="35">
        <f>IF(N('Dvd Calendar'!$R$682)=0,"",IF(('Dvd Calendar'!$R$682&gt;=GRID_FROM)*('Dvd Calendar'!$R$682&lt;=GRID_TO)*('Dvd Calendar'!$R$682&lt;=VAL_DATE)=0,"",'Dvd Calendar'!$R$682*1000000000+ISNUMBER('Dvd Calendar'!$R$685)*100000000+('Dvd Calendar'!$R$687=SPECIAL_LBL)*10000000+0*1000000+62*1000+14))</f>
        <v/>
      </c>
      <c r="ES73" s="35">
        <f>IF(N('Dvd Calendar'!$S$682)=0,"",IF(('Dvd Calendar'!$S$682&gt;=GRID_FROM)*('Dvd Calendar'!$S$682&lt;=GRID_TO)*('Dvd Calendar'!$S$682&lt;=VAL_DATE)=0,"",'Dvd Calendar'!$S$682*1000000000+ISNUMBER('Dvd Calendar'!$S$685)*100000000+('Dvd Calendar'!$S$687=SPECIAL_LBL)*10000000+0*1000000+62*1000+15))</f>
        <v/>
      </c>
      <c r="ET73" s="35">
        <f>IF(N('Dvd Calendar'!$T$682)=0,"",IF(('Dvd Calendar'!$T$682&gt;=GRID_FROM)*('Dvd Calendar'!$T$682&lt;=GRID_TO)*('Dvd Calendar'!$T$682&lt;=VAL_DATE)=0,"",'Dvd Calendar'!$T$682*1000000000+ISNUMBER('Dvd Calendar'!$T$685)*100000000+('Dvd Calendar'!$T$687=SPECIAL_LBL)*10000000+0*1000000+62*1000+16))</f>
        <v/>
      </c>
      <c r="EU73" s="35">
        <f>IF(N('Dvd Calendar'!$U$682)=0,"",IF(('Dvd Calendar'!$U$682&gt;=GRID_FROM)*('Dvd Calendar'!$U$682&lt;=GRID_TO)*('Dvd Calendar'!$U$682&lt;=VAL_DATE)=0,"",'Dvd Calendar'!$U$682*1000000000+ISNUMBER('Dvd Calendar'!$U$685)*100000000+('Dvd Calendar'!$U$687=SPECIAL_LBL)*10000000+0*1000000+62*1000+17))</f>
        <v/>
      </c>
      <c r="EV73" s="35">
        <f>IF(N('Dvd Calendar'!$V$682)=0,"",IF(('Dvd Calendar'!$V$682&gt;=GRID_FROM)*('Dvd Calendar'!$V$682&lt;=GRID_TO)*('Dvd Calendar'!$V$682&lt;=VAL_DATE)=0,"",'Dvd Calendar'!$V$682*1000000000+ISNUMBER('Dvd Calendar'!$V$685)*100000000+('Dvd Calendar'!$V$687=SPECIAL_LBL)*10000000+0*1000000+62*1000+18))</f>
        <v/>
      </c>
      <c r="EW73" s="35">
        <f>IF(N('Dvd Calendar'!$W$682)=0,"",IF(('Dvd Calendar'!$W$682&gt;=GRID_FROM)*('Dvd Calendar'!$W$682&lt;=GRID_TO)*('Dvd Calendar'!$W$682&lt;=VAL_DATE)=0,"",'Dvd Calendar'!$W$682*1000000000+ISNUMBER('Dvd Calendar'!$W$685)*100000000+('Dvd Calendar'!$W$687=SPECIAL_LBL)*10000000+0*1000000+62*1000+19))</f>
        <v/>
      </c>
      <c r="EX73" s="35">
        <f>IF(N('Dvd Calendar'!$X$682)=0,"",IF(('Dvd Calendar'!$X$682&gt;=GRID_FROM)*('Dvd Calendar'!$X$682&lt;=GRID_TO)*('Dvd Calendar'!$X$682&lt;=VAL_DATE)=0,"",'Dvd Calendar'!$X$682*1000000000+ISNUMBER('Dvd Calendar'!$X$685)*100000000+('Dvd Calendar'!$X$687=SPECIAL_LBL)*10000000+0*1000000+62*1000+20))</f>
        <v/>
      </c>
      <c r="EY73" s="35">
        <f>IF(N('Dvd Calendar'!$Y$682)=0,"",IF(('Dvd Calendar'!$Y$682&gt;=GRID_FROM)*('Dvd Calendar'!$Y$682&lt;=GRID_TO)*('Dvd Calendar'!$Y$682&lt;=VAL_DATE)=0,"",'Dvd Calendar'!$Y$682*1000000000+ISNUMBER('Dvd Calendar'!$Y$685)*100000000+('Dvd Calendar'!$Y$687=SPECIAL_LBL)*10000000+0*1000000+62*1000+21))</f>
        <v/>
      </c>
      <c r="EZ73" s="35">
        <f>IF(N('Dvd Calendar'!$Z$682)=0,"",IF(('Dvd Calendar'!$Z$682&gt;=GRID_FROM)*('Dvd Calendar'!$Z$682&lt;=GRID_TO)*('Dvd Calendar'!$Z$682&lt;=VAL_DATE)=0,"",'Dvd Calendar'!$Z$682*1000000000+ISNUMBER('Dvd Calendar'!$Z$685)*100000000+('Dvd Calendar'!$Z$687=SPECIAL_LBL)*10000000+0*1000000+62*1000+22))</f>
        <v/>
      </c>
      <c r="FA73" s="35">
        <f>IF(N('Dvd Calendar'!$AA$682)=0,"",IF(('Dvd Calendar'!$AA$682&gt;=GRID_FROM)*('Dvd Calendar'!$AA$682&lt;=GRID_TO)*('Dvd Calendar'!$AA$682&lt;=VAL_DATE)=0,"",'Dvd Calendar'!$AA$682*1000000000+ISNUMBER('Dvd Calendar'!$AA$685)*100000000+('Dvd Calendar'!$AA$687=SPECIAL_LBL)*10000000+0*1000000+62*1000+23))</f>
        <v/>
      </c>
      <c r="FB73" s="35">
        <f>IF(N('Dvd Calendar'!$AB$682)=0,"",IF(('Dvd Calendar'!$AB$682&gt;=GRID_FROM)*('Dvd Calendar'!$AB$682&lt;=GRID_TO)*('Dvd Calendar'!$AB$682&lt;=VAL_DATE)=0,"",'Dvd Calendar'!$AB$682*1000000000+ISNUMBER('Dvd Calendar'!$AB$685)*100000000+('Dvd Calendar'!$AB$687=SPECIAL_LBL)*10000000+0*1000000+62*1000+24))</f>
        <v/>
      </c>
      <c r="FC73" s="35">
        <f>IF(N('Dvd Calendar'!$AC$682)=0,"",IF(('Dvd Calendar'!$AC$682&gt;=GRID_FROM)*('Dvd Calendar'!$AC$682&lt;=GRID_TO)*('Dvd Calendar'!$AC$682&lt;=VAL_DATE)=0,"",'Dvd Calendar'!$AC$682*1000000000+ISNUMBER('Dvd Calendar'!$AC$685)*100000000+('Dvd Calendar'!$AC$687=SPECIAL_LBL)*10000000+0*1000000+62*1000+25))</f>
        <v/>
      </c>
      <c r="FD73" s="35">
        <f>IF(N('Dvd Calendar'!$AD$682)=0,"",IF(('Dvd Calendar'!$AD$682&gt;=GRID_FROM)*('Dvd Calendar'!$AD$682&lt;=GRID_TO)*('Dvd Calendar'!$AD$682&lt;=VAL_DATE)=0,"",'Dvd Calendar'!$AD$682*1000000000+ISNUMBER('Dvd Calendar'!$AD$685)*100000000+('Dvd Calendar'!$AD$687=SPECIAL_LBL)*10000000+0*1000000+62*1000+26))</f>
        <v/>
      </c>
      <c r="FE73" s="35">
        <f>IF(N('Dvd Calendar'!$AE$682)=0,"",IF(('Dvd Calendar'!$AE$682&gt;=GRID_FROM)*('Dvd Calendar'!$AE$682&lt;=GRID_TO)*('Dvd Calendar'!$AE$682&lt;=VAL_DATE)=0,"",'Dvd Calendar'!$AE$682*1000000000+ISNUMBER('Dvd Calendar'!$AE$685)*100000000+('Dvd Calendar'!$AE$687=SPECIAL_LBL)*10000000+0*1000000+62*1000+27))</f>
        <v/>
      </c>
      <c r="FF73" s="35">
        <f>IF(N('Dvd Calendar'!$AF$682)=0,"",IF(('Dvd Calendar'!$AF$682&gt;=GRID_FROM)*('Dvd Calendar'!$AF$682&lt;=GRID_TO)*('Dvd Calendar'!$AF$682&lt;=VAL_DATE)=0,"",'Dvd Calendar'!$AF$682*1000000000+ISNUMBER('Dvd Calendar'!$AF$685)*100000000+('Dvd Calendar'!$AF$687=SPECIAL_LBL)*10000000+0*1000000+62*1000+28))</f>
        <v/>
      </c>
      <c r="FG73" s="35">
        <f>IF(N('Dvd Calendar'!$AG$682)=0,"",IF(('Dvd Calendar'!$AG$682&gt;=GRID_FROM)*('Dvd Calendar'!$AG$682&lt;=GRID_TO)*('Dvd Calendar'!$AG$682&lt;=VAL_DATE)=0,"",'Dvd Calendar'!$AG$682*1000000000+ISNUMBER('Dvd Calendar'!$AG$685)*100000000+('Dvd Calendar'!$AG$687=SPECIAL_LBL)*10000000+0*1000000+62*1000+29))</f>
        <v/>
      </c>
      <c r="FH73" s="35">
        <f>IF(N('Dvd Calendar'!$AH$682)=0,"",IF(('Dvd Calendar'!$AH$682&gt;=GRID_FROM)*('Dvd Calendar'!$AH$682&lt;=GRID_TO)*('Dvd Calendar'!$AH$682&lt;=VAL_DATE)=0,"",'Dvd Calendar'!$AH$682*1000000000+ISNUMBER('Dvd Calendar'!$AH$685)*100000000+('Dvd Calendar'!$AH$687=SPECIAL_LBL)*10000000+0*1000000+62*1000+30))</f>
        <v/>
      </c>
      <c r="FI73" s="35">
        <f>IF(N('Dvd Calendar'!$AI$682)=0,"",IF(('Dvd Calendar'!$AI$682&gt;=GRID_FROM)*('Dvd Calendar'!$AI$682&lt;=GRID_TO)*('Dvd Calendar'!$AI$682&lt;=VAL_DATE)=0,"",'Dvd Calendar'!$AI$682*1000000000+ISNUMBER('Dvd Calendar'!$AI$685)*100000000+('Dvd Calendar'!$AI$687=SPECIAL_LBL)*10000000+0*1000000+62*1000+31))</f>
        <v/>
      </c>
      <c r="FJ73" s="35">
        <f>IF(N('Dvd Calendar'!$AJ$682)=0,"",IF(('Dvd Calendar'!$AJ$682&gt;=GRID_FROM)*('Dvd Calendar'!$AJ$682&lt;=GRID_TO)*('Dvd Calendar'!$AJ$682&lt;=VAL_DATE)=0,"",'Dvd Calendar'!$AJ$682*1000000000+ISNUMBER('Dvd Calendar'!$AJ$685)*100000000+('Dvd Calendar'!$AJ$687=SPECIAL_LBL)*10000000+0*1000000+62*1000+32))</f>
        <v/>
      </c>
      <c r="FK73" s="35">
        <f>IF(N('Dvd Calendar'!$AK$682)=0,"",IF(('Dvd Calendar'!$AK$682&gt;=GRID_FROM)*('Dvd Calendar'!$AK$682&lt;=GRID_TO)*('Dvd Calendar'!$AK$682&lt;=VAL_DATE)=0,"",'Dvd Calendar'!$AK$682*1000000000+ISNUMBER('Dvd Calendar'!$AK$685)*100000000+('Dvd Calendar'!$AK$687=SPECIAL_LBL)*10000000+0*1000000+62*1000+33))</f>
        <v/>
      </c>
      <c r="FL73" s="35">
        <f>IF(N('Dvd Calendar'!$AL$682)=0,"",IF(('Dvd Calendar'!$AL$682&gt;=GRID_FROM)*('Dvd Calendar'!$AL$682&lt;=GRID_TO)*('Dvd Calendar'!$AL$682&lt;=VAL_DATE)=0,"",'Dvd Calendar'!$AL$682*1000000000+ISNUMBER('Dvd Calendar'!$AL$685)*100000000+('Dvd Calendar'!$AL$687=SPECIAL_LBL)*10000000+0*1000000+62*1000+34))</f>
        <v/>
      </c>
      <c r="FM73" s="35">
        <f>IF(N('Dvd Calendar'!$AM$682)=0,"",IF(('Dvd Calendar'!$AM$682&gt;=GRID_FROM)*('Dvd Calendar'!$AM$682&lt;=GRID_TO)*('Dvd Calendar'!$AM$682&lt;=VAL_DATE)=0,"",'Dvd Calendar'!$AM$682*1000000000+ISNUMBER('Dvd Calendar'!$AM$685)*100000000+('Dvd Calendar'!$AM$687=SPECIAL_LBL)*10000000+0*1000000+62*1000+35))</f>
        <v/>
      </c>
      <c r="FN73" s="35">
        <f>IF(N('Dvd Calendar'!$AN$682)=0,"",IF(('Dvd Calendar'!$AN$682&gt;=GRID_FROM)*('Dvd Calendar'!$AN$682&lt;=GRID_TO)*('Dvd Calendar'!$AN$682&lt;=VAL_DATE)=0,"",'Dvd Calendar'!$AN$682*1000000000+ISNUMBER('Dvd Calendar'!$AN$685)*100000000+('Dvd Calendar'!$AN$687=SPECIAL_LBL)*10000000+0*1000000+62*1000+36))</f>
        <v/>
      </c>
      <c r="FO73" s="35">
        <f>IF(N('Dvd Calendar'!$AO$682)=0,"",IF(('Dvd Calendar'!$AO$682&gt;=GRID_FROM)*('Dvd Calendar'!$AO$682&lt;=GRID_TO)*('Dvd Calendar'!$AO$682&lt;=VAL_DATE)=0,"",'Dvd Calendar'!$AO$682*1000000000+ISNUMBER('Dvd Calendar'!$AO$685)*100000000+('Dvd Calendar'!$AO$687=SPECIAL_LBL)*10000000+0*1000000+62*1000+37))</f>
        <v/>
      </c>
      <c r="FP73" s="35">
        <f>IF(N('Dvd Calendar'!$AP$682)=0,"",IF(('Dvd Calendar'!$AP$682&gt;=GRID_FROM)*('Dvd Calendar'!$AP$682&lt;=GRID_TO)*('Dvd Calendar'!$AP$682&lt;=VAL_DATE)=0,"",'Dvd Calendar'!$AP$682*1000000000+ISNUMBER('Dvd Calendar'!$AP$685)*100000000+('Dvd Calendar'!$AP$687=SPECIAL_LBL)*10000000+0*1000000+62*1000+38))</f>
        <v/>
      </c>
      <c r="FQ73" s="35">
        <f>IF(N('Dvd Calendar'!$AQ$682)=0,"",IF(('Dvd Calendar'!$AQ$682&gt;=GRID_FROM)*('Dvd Calendar'!$AQ$682&lt;=GRID_TO)*('Dvd Calendar'!$AQ$682&lt;=VAL_DATE)=0,"",'Dvd Calendar'!$AQ$682*1000000000+ISNUMBER('Dvd Calendar'!$AQ$685)*100000000+('Dvd Calendar'!$AQ$687=SPECIAL_LBL)*10000000+0*1000000+62*1000+39))</f>
        <v/>
      </c>
      <c r="FR73" s="35">
        <f>IF(N('Dvd Calendar'!$AR$682)=0,"",IF(('Dvd Calendar'!$AR$682&gt;=GRID_FROM)*('Dvd Calendar'!$AR$682&lt;=GRID_TO)*('Dvd Calendar'!$AR$682&lt;=VAL_DATE)=0,"",'Dvd Calendar'!$AR$682*1000000000+ISNUMBER('Dvd Calendar'!$AR$685)*100000000+('Dvd Calendar'!$AR$687=SPECIAL_LBL)*10000000+0*1000000+62*1000+40))</f>
        <v/>
      </c>
      <c r="FS73" s="35">
        <f>IF(N('Dvd Calendar'!$E$689)=0,"",IF(('Dvd Calendar'!$E$689&gt;=GRID_FROM)*('Dvd Calendar'!$E$689&lt;=GRID_TO)*('Dvd Calendar'!$E$689&gt;VAL_DATE)=0,"",'Dvd Calendar'!$E$689*1000000000+ISNUMBER('Dvd Calendar'!$E$690)*100000000+0*10000000+(N('Dvd Calendar'!$E$688)&gt;0)*(N('Dvd Calendar'!$E$688)&lt;=VAL_SERIAL)*1000000+62*1000+41))</f>
        <v/>
      </c>
      <c r="FT73" s="35">
        <f>IF(N('Dvd Calendar'!$F$689)=0,"",IF(('Dvd Calendar'!$F$689&gt;=GRID_FROM)*('Dvd Calendar'!$F$689&lt;=GRID_TO)*('Dvd Calendar'!$F$689&gt;VAL_DATE)=0,"",'Dvd Calendar'!$F$689*1000000000+ISNUMBER('Dvd Calendar'!$F$690)*100000000+0*10000000+(N('Dvd Calendar'!$F$688)&gt;0)*(N('Dvd Calendar'!$F$688)&lt;=VAL_SERIAL)*1000000+62*1000+42))</f>
        <v/>
      </c>
      <c r="FU73" s="35">
        <f>IF(N('Dvd Calendar'!$G$689)=0,"",IF(('Dvd Calendar'!$G$689&gt;=GRID_FROM)*('Dvd Calendar'!$G$689&lt;=GRID_TO)*('Dvd Calendar'!$G$689&gt;VAL_DATE)=0,"",'Dvd Calendar'!$G$689*1000000000+ISNUMBER('Dvd Calendar'!$G$690)*100000000+0*10000000+(N('Dvd Calendar'!$G$688)&gt;0)*(N('Dvd Calendar'!$G$688)&lt;=VAL_SERIAL)*1000000+62*1000+43))</f>
        <v/>
      </c>
      <c r="FV73" s="35">
        <f>IF(N('Dvd Calendar'!$H$689)=0,"",IF(('Dvd Calendar'!$H$689&gt;=GRID_FROM)*('Dvd Calendar'!$H$689&lt;=GRID_TO)*('Dvd Calendar'!$H$689&gt;VAL_DATE)=0,"",'Dvd Calendar'!$H$689*1000000000+ISNUMBER('Dvd Calendar'!$H$690)*100000000+0*10000000+(N('Dvd Calendar'!$H$688)&gt;0)*(N('Dvd Calendar'!$H$688)&lt;=VAL_SERIAL)*1000000+62*1000+44))</f>
        <v/>
      </c>
      <c r="FW73" s="35">
        <f>IF(N('Dvd Calendar'!$I$689)=0,"",IF(('Dvd Calendar'!$I$689&gt;=GRID_FROM)*('Dvd Calendar'!$I$689&lt;=GRID_TO)*('Dvd Calendar'!$I$689&gt;VAL_DATE)=0,"",'Dvd Calendar'!$I$689*1000000000+ISNUMBER('Dvd Calendar'!$I$690)*100000000+0*10000000+(N('Dvd Calendar'!$I$688)&gt;0)*(N('Dvd Calendar'!$I$688)&lt;=VAL_SERIAL)*1000000+62*1000+45))</f>
        <v/>
      </c>
      <c r="FX73" s="35">
        <f>IF(N('Dvd Calendar'!$J$689)=0,"",IF(('Dvd Calendar'!$J$689&gt;=GRID_FROM)*('Dvd Calendar'!$J$689&lt;=GRID_TO)*('Dvd Calendar'!$J$689&gt;VAL_DATE)=0,"",'Dvd Calendar'!$J$689*1000000000+ISNUMBER('Dvd Calendar'!$J$690)*100000000+0*10000000+(N('Dvd Calendar'!$J$688)&gt;0)*(N('Dvd Calendar'!$J$688)&lt;=VAL_SERIAL)*1000000+62*1000+46))</f>
        <v/>
      </c>
      <c r="FY73" s="35">
        <f>IF(N('Dvd Calendar'!$K$689)=0,"",IF(('Dvd Calendar'!$K$689&gt;=GRID_FROM)*('Dvd Calendar'!$K$689&lt;=GRID_TO)*('Dvd Calendar'!$K$689&gt;VAL_DATE)=0,"",'Dvd Calendar'!$K$689*1000000000+ISNUMBER('Dvd Calendar'!$K$690)*100000000+0*10000000+(N('Dvd Calendar'!$K$688)&gt;0)*(N('Dvd Calendar'!$K$688)&lt;=VAL_SERIAL)*1000000+62*1000+47))</f>
        <v/>
      </c>
      <c r="FZ73" s="35">
        <f>IF(N('Dvd Calendar'!$L$689)=0,"",IF(('Dvd Calendar'!$L$689&gt;=GRID_FROM)*('Dvd Calendar'!$L$689&lt;=GRID_TO)*('Dvd Calendar'!$L$689&gt;VAL_DATE)=0,"",'Dvd Calendar'!$L$689*1000000000+ISNUMBER('Dvd Calendar'!$L$690)*100000000+0*10000000+(N('Dvd Calendar'!$L$688)&gt;0)*(N('Dvd Calendar'!$L$688)&lt;=VAL_SERIAL)*1000000+62*1000+48))</f>
        <v/>
      </c>
      <c r="GA73" s="35">
        <f>IF(N('Dvd Calendar'!$M$689)=0,"",IF(('Dvd Calendar'!$M$689&gt;=GRID_FROM)*('Dvd Calendar'!$M$689&lt;=GRID_TO)*('Dvd Calendar'!$M$689&gt;VAL_DATE)=0,"",'Dvd Calendar'!$M$689*1000000000+ISNUMBER('Dvd Calendar'!$M$690)*100000000+0*10000000+(N('Dvd Calendar'!$M$688)&gt;0)*(N('Dvd Calendar'!$M$688)&lt;=VAL_SERIAL)*1000000+62*1000+49))</f>
        <v/>
      </c>
      <c r="GB73" s="35">
        <f>IF(N('Dvd Calendar'!$N$689)=0,"",IF(('Dvd Calendar'!$N$689&gt;=GRID_FROM)*('Dvd Calendar'!$N$689&lt;=GRID_TO)*('Dvd Calendar'!$N$689&gt;VAL_DATE)=0,"",'Dvd Calendar'!$N$689*1000000000+ISNUMBER('Dvd Calendar'!$N$690)*100000000+0*10000000+(N('Dvd Calendar'!$N$688)&gt;0)*(N('Dvd Calendar'!$N$688)&lt;=VAL_SERIAL)*1000000+62*1000+50))</f>
        <v/>
      </c>
      <c r="GC73" s="35">
        <f>IF(N('Dvd Calendar'!$O$689)=0,"",IF(('Dvd Calendar'!$O$689&gt;=GRID_FROM)*('Dvd Calendar'!$O$689&lt;=GRID_TO)*('Dvd Calendar'!$O$689&gt;VAL_DATE)=0,"",'Dvd Calendar'!$O$689*1000000000+ISNUMBER('Dvd Calendar'!$O$690)*100000000+0*10000000+(N('Dvd Calendar'!$O$688)&gt;0)*(N('Dvd Calendar'!$O$688)&lt;=VAL_SERIAL)*1000000+62*1000+51))</f>
        <v/>
      </c>
      <c r="GD73" s="35">
        <f>IF(N('Dvd Calendar'!$P$689)=0,"",IF(('Dvd Calendar'!$P$689&gt;=GRID_FROM)*('Dvd Calendar'!$P$689&lt;=GRID_TO)*('Dvd Calendar'!$P$689&gt;VAL_DATE)=0,"",'Dvd Calendar'!$P$689*1000000000+ISNUMBER('Dvd Calendar'!$P$690)*100000000+0*10000000+(N('Dvd Calendar'!$P$688)&gt;0)*(N('Dvd Calendar'!$P$688)&lt;=VAL_SERIAL)*1000000+62*1000+52))</f>
        <v/>
      </c>
      <c r="GE73" s="35">
        <f>IF(N('Dvd Calendar'!$Q$689)=0,"",IF(('Dvd Calendar'!$Q$689&gt;=GRID_FROM)*('Dvd Calendar'!$Q$689&lt;=GRID_TO)*('Dvd Calendar'!$Q$689&gt;VAL_DATE)=0,"",'Dvd Calendar'!$Q$689*1000000000+ISNUMBER('Dvd Calendar'!$Q$690)*100000000+0*10000000+(N('Dvd Calendar'!$Q$688)&gt;0)*(N('Dvd Calendar'!$Q$688)&lt;=VAL_SERIAL)*1000000+62*1000+53))</f>
        <v/>
      </c>
      <c r="GF73" s="35">
        <f>IF(N('Dvd Calendar'!$R$689)=0,"",IF(('Dvd Calendar'!$R$689&gt;=GRID_FROM)*('Dvd Calendar'!$R$689&lt;=GRID_TO)*('Dvd Calendar'!$R$689&gt;VAL_DATE)=0,"",'Dvd Calendar'!$R$689*1000000000+ISNUMBER('Dvd Calendar'!$R$690)*100000000+0*10000000+(N('Dvd Calendar'!$R$688)&gt;0)*(N('Dvd Calendar'!$R$688)&lt;=VAL_SERIAL)*1000000+62*1000+54))</f>
        <v/>
      </c>
      <c r="GG73" s="35">
        <f>IF(N('Dvd Calendar'!$S$689)=0,"",IF(('Dvd Calendar'!$S$689&gt;=GRID_FROM)*('Dvd Calendar'!$S$689&lt;=GRID_TO)*('Dvd Calendar'!$S$689&gt;VAL_DATE)=0,"",'Dvd Calendar'!$S$689*1000000000+ISNUMBER('Dvd Calendar'!$S$690)*100000000+0*10000000+(N('Dvd Calendar'!$S$688)&gt;0)*(N('Dvd Calendar'!$S$688)&lt;=VAL_SERIAL)*1000000+62*1000+55))</f>
        <v/>
      </c>
      <c r="GH73" s="35">
        <f>IF(N('Dvd Calendar'!$T$689)=0,"",IF(('Dvd Calendar'!$T$689&gt;=GRID_FROM)*('Dvd Calendar'!$T$689&lt;=GRID_TO)*('Dvd Calendar'!$T$689&gt;VAL_DATE)=0,"",'Dvd Calendar'!$T$689*1000000000+ISNUMBER('Dvd Calendar'!$T$690)*100000000+0*10000000+(N('Dvd Calendar'!$T$688)&gt;0)*(N('Dvd Calendar'!$T$688)&lt;=VAL_SERIAL)*1000000+62*1000+56))</f>
        <v/>
      </c>
      <c r="GI73" s="35">
        <f>IF(N('Dvd Calendar'!$U$689)=0,"",IF(('Dvd Calendar'!$U$689&gt;=GRID_FROM)*('Dvd Calendar'!$U$689&lt;=GRID_TO)*('Dvd Calendar'!$U$689&gt;VAL_DATE)=0,"",'Dvd Calendar'!$U$689*1000000000+ISNUMBER('Dvd Calendar'!$U$690)*100000000+0*10000000+(N('Dvd Calendar'!$U$688)&gt;0)*(N('Dvd Calendar'!$U$688)&lt;=VAL_SERIAL)*1000000+62*1000+57))</f>
        <v/>
      </c>
      <c r="GJ73" s="35">
        <f>IF(N('Dvd Calendar'!$V$689)=0,"",IF(('Dvd Calendar'!$V$689&gt;=GRID_FROM)*('Dvd Calendar'!$V$689&lt;=GRID_TO)*('Dvd Calendar'!$V$689&gt;VAL_DATE)=0,"",'Dvd Calendar'!$V$689*1000000000+ISNUMBER('Dvd Calendar'!$V$690)*100000000+0*10000000+(N('Dvd Calendar'!$V$688)&gt;0)*(N('Dvd Calendar'!$V$688)&lt;=VAL_SERIAL)*1000000+62*1000+58))</f>
        <v/>
      </c>
      <c r="GK73" s="35">
        <f>IF(N('Dvd Calendar'!$W$689)=0,"",IF(('Dvd Calendar'!$W$689&gt;=GRID_FROM)*('Dvd Calendar'!$W$689&lt;=GRID_TO)*('Dvd Calendar'!$W$689&gt;VAL_DATE)=0,"",'Dvd Calendar'!$W$689*1000000000+ISNUMBER('Dvd Calendar'!$W$690)*100000000+0*10000000+(N('Dvd Calendar'!$W$688)&gt;0)*(N('Dvd Calendar'!$W$688)&lt;=VAL_SERIAL)*1000000+62*1000+59))</f>
        <v/>
      </c>
      <c r="GL73" s="35">
        <f>IF(N('Dvd Calendar'!$X$689)=0,"",IF(('Dvd Calendar'!$X$689&gt;=GRID_FROM)*('Dvd Calendar'!$X$689&lt;=GRID_TO)*('Dvd Calendar'!$X$689&gt;VAL_DATE)=0,"",'Dvd Calendar'!$X$689*1000000000+ISNUMBER('Dvd Calendar'!$X$690)*100000000+0*10000000+(N('Dvd Calendar'!$X$688)&gt;0)*(N('Dvd Calendar'!$X$688)&lt;=VAL_SERIAL)*1000000+62*1000+60))</f>
        <v/>
      </c>
      <c r="GM73" s="35">
        <f>IF(N('Dvd Calendar'!$Y$689)=0,"",IF(('Dvd Calendar'!$Y$689&gt;=GRID_FROM)*('Dvd Calendar'!$Y$689&lt;=GRID_TO)*('Dvd Calendar'!$Y$689&gt;VAL_DATE)=0,"",'Dvd Calendar'!$Y$689*1000000000+ISNUMBER('Dvd Calendar'!$Y$690)*100000000+0*10000000+(N('Dvd Calendar'!$Y$688)&gt;0)*(N('Dvd Calendar'!$Y$688)&lt;=VAL_SERIAL)*1000000+62*1000+61))</f>
        <v/>
      </c>
      <c r="GN73" s="35">
        <f>IF(N('Dvd Calendar'!$Z$689)=0,"",IF(('Dvd Calendar'!$Z$689&gt;=GRID_FROM)*('Dvd Calendar'!$Z$689&lt;=GRID_TO)*('Dvd Calendar'!$Z$689&gt;VAL_DATE)=0,"",'Dvd Calendar'!$Z$689*1000000000+ISNUMBER('Dvd Calendar'!$Z$690)*100000000+0*10000000+(N('Dvd Calendar'!$Z$688)&gt;0)*(N('Dvd Calendar'!$Z$688)&lt;=VAL_SERIAL)*1000000+62*1000+62))</f>
        <v/>
      </c>
      <c r="GO73" s="35">
        <f>IF(N('Dvd Calendar'!$AA$689)=0,"",IF(('Dvd Calendar'!$AA$689&gt;=GRID_FROM)*('Dvd Calendar'!$AA$689&lt;=GRID_TO)*('Dvd Calendar'!$AA$689&gt;VAL_DATE)=0,"",'Dvd Calendar'!$AA$689*1000000000+ISNUMBER('Dvd Calendar'!$AA$690)*100000000+0*10000000+(N('Dvd Calendar'!$AA$688)&gt;0)*(N('Dvd Calendar'!$AA$688)&lt;=VAL_SERIAL)*1000000+62*1000+63))</f>
        <v/>
      </c>
      <c r="GP73" s="35">
        <f>IF(N('Dvd Calendar'!$AB$689)=0,"",IF(('Dvd Calendar'!$AB$689&gt;=GRID_FROM)*('Dvd Calendar'!$AB$689&lt;=GRID_TO)*('Dvd Calendar'!$AB$689&gt;VAL_DATE)=0,"",'Dvd Calendar'!$AB$689*1000000000+ISNUMBER('Dvd Calendar'!$AB$690)*100000000+0*10000000+(N('Dvd Calendar'!$AB$688)&gt;0)*(N('Dvd Calendar'!$AB$688)&lt;=VAL_SERIAL)*1000000+62*1000+64))</f>
        <v/>
      </c>
      <c r="GQ73" s="35">
        <f>IF(N('Dvd Calendar'!$AC$689)=0,"",IF(('Dvd Calendar'!$AC$689&gt;=GRID_FROM)*('Dvd Calendar'!$AC$689&lt;=GRID_TO)*('Dvd Calendar'!$AC$689&gt;VAL_DATE)=0,"",'Dvd Calendar'!$AC$689*1000000000+ISNUMBER('Dvd Calendar'!$AC$690)*100000000+0*10000000+(N('Dvd Calendar'!$AC$688)&gt;0)*(N('Dvd Calendar'!$AC$688)&lt;=VAL_SERIAL)*1000000+62*1000+65))</f>
        <v/>
      </c>
    </row>
    <row r="74">
      <c r="B74" s="2">
        <f>IF(HSI!$C$69="","",HSI!$C$69)</f>
        <v/>
      </c>
      <c r="C74" s="106">
        <f>IF(EE74="","",IF(ISNUMBER('Dvd Calendar'!$E$696)=FALSE,"",IF((('Dvd Calendar'!$E$698=TYPE1)*(TYPE1&lt;&gt;"")+('Dvd Calendar'!$E$698=TYPE2)*(TYPE2&lt;&gt;"")+('Dvd Calendar'!$E$698=TYPE3)*(TYPE3&lt;&gt;"")+('Dvd Calendar'!$E$698=TYPE4)*(TYPE4&lt;&gt;"")+('Dvd Calendar'!$E$698=SPECIAL_LBL)*(INC_SPECIALS="Y"))=0,"",'Dvd Calendar'!$E$696)))</f>
        <v/>
      </c>
      <c r="D74" s="106">
        <f>IF(EF74="","",IF(ISNUMBER('Dvd Calendar'!$F$696)=FALSE,"",IF((('Dvd Calendar'!$F$698=TYPE1)*(TYPE1&lt;&gt;"")+('Dvd Calendar'!$F$698=TYPE2)*(TYPE2&lt;&gt;"")+('Dvd Calendar'!$F$698=TYPE3)*(TYPE3&lt;&gt;"")+('Dvd Calendar'!$F$698=TYPE4)*(TYPE4&lt;&gt;"")+('Dvd Calendar'!$F$698=SPECIAL_LBL)*(INC_SPECIALS="Y"))=0,"",'Dvd Calendar'!$F$696)))</f>
        <v/>
      </c>
      <c r="E74" s="106">
        <f>IF(EG74="","",IF(ISNUMBER('Dvd Calendar'!$G$696)=FALSE,"",IF((('Dvd Calendar'!$G$698=TYPE1)*(TYPE1&lt;&gt;"")+('Dvd Calendar'!$G$698=TYPE2)*(TYPE2&lt;&gt;"")+('Dvd Calendar'!$G$698=TYPE3)*(TYPE3&lt;&gt;"")+('Dvd Calendar'!$G$698=TYPE4)*(TYPE4&lt;&gt;"")+('Dvd Calendar'!$G$698=SPECIAL_LBL)*(INC_SPECIALS="Y"))=0,"",'Dvd Calendar'!$G$696)))</f>
        <v/>
      </c>
      <c r="F74" s="106">
        <f>IF(EH74="","",IF(ISNUMBER('Dvd Calendar'!$H$696)=FALSE,"",IF((('Dvd Calendar'!$H$698=TYPE1)*(TYPE1&lt;&gt;"")+('Dvd Calendar'!$H$698=TYPE2)*(TYPE2&lt;&gt;"")+('Dvd Calendar'!$H$698=TYPE3)*(TYPE3&lt;&gt;"")+('Dvd Calendar'!$H$698=TYPE4)*(TYPE4&lt;&gt;"")+('Dvd Calendar'!$H$698=SPECIAL_LBL)*(INC_SPECIALS="Y"))=0,"",'Dvd Calendar'!$H$696)))</f>
        <v/>
      </c>
      <c r="G74" s="106">
        <f>IF(EI74="","",IF(ISNUMBER('Dvd Calendar'!$I$696)=FALSE,"",IF((('Dvd Calendar'!$I$698=TYPE1)*(TYPE1&lt;&gt;"")+('Dvd Calendar'!$I$698=TYPE2)*(TYPE2&lt;&gt;"")+('Dvd Calendar'!$I$698=TYPE3)*(TYPE3&lt;&gt;"")+('Dvd Calendar'!$I$698=TYPE4)*(TYPE4&lt;&gt;"")+('Dvd Calendar'!$I$698=SPECIAL_LBL)*(INC_SPECIALS="Y"))=0,"",'Dvd Calendar'!$I$696)))</f>
        <v/>
      </c>
      <c r="H74" s="106">
        <f>IF(EJ74="","",IF(ISNUMBER('Dvd Calendar'!$J$696)=FALSE,"",IF((('Dvd Calendar'!$J$698=TYPE1)*(TYPE1&lt;&gt;"")+('Dvd Calendar'!$J$698=TYPE2)*(TYPE2&lt;&gt;"")+('Dvd Calendar'!$J$698=TYPE3)*(TYPE3&lt;&gt;"")+('Dvd Calendar'!$J$698=TYPE4)*(TYPE4&lt;&gt;"")+('Dvd Calendar'!$J$698=SPECIAL_LBL)*(INC_SPECIALS="Y"))=0,"",'Dvd Calendar'!$J$696)))</f>
        <v/>
      </c>
      <c r="I74" s="106">
        <f>IF(EK74="","",IF(ISNUMBER('Dvd Calendar'!$K$696)=FALSE,"",IF((('Dvd Calendar'!$K$698=TYPE1)*(TYPE1&lt;&gt;"")+('Dvd Calendar'!$K$698=TYPE2)*(TYPE2&lt;&gt;"")+('Dvd Calendar'!$K$698=TYPE3)*(TYPE3&lt;&gt;"")+('Dvd Calendar'!$K$698=TYPE4)*(TYPE4&lt;&gt;"")+('Dvd Calendar'!$K$698=SPECIAL_LBL)*(INC_SPECIALS="Y"))=0,"",'Dvd Calendar'!$K$696)))</f>
        <v/>
      </c>
      <c r="J74" s="106">
        <f>IF(EL74="","",IF(ISNUMBER('Dvd Calendar'!$L$696)=FALSE,"",IF((('Dvd Calendar'!$L$698=TYPE1)*(TYPE1&lt;&gt;"")+('Dvd Calendar'!$L$698=TYPE2)*(TYPE2&lt;&gt;"")+('Dvd Calendar'!$L$698=TYPE3)*(TYPE3&lt;&gt;"")+('Dvd Calendar'!$L$698=TYPE4)*(TYPE4&lt;&gt;"")+('Dvd Calendar'!$L$698=SPECIAL_LBL)*(INC_SPECIALS="Y"))=0,"",'Dvd Calendar'!$L$696)))</f>
        <v/>
      </c>
      <c r="K74" s="106">
        <f>IF(EM74="","",IF(ISNUMBER('Dvd Calendar'!$M$696)=FALSE,"",IF((('Dvd Calendar'!$M$698=TYPE1)*(TYPE1&lt;&gt;"")+('Dvd Calendar'!$M$698=TYPE2)*(TYPE2&lt;&gt;"")+('Dvd Calendar'!$M$698=TYPE3)*(TYPE3&lt;&gt;"")+('Dvd Calendar'!$M$698=TYPE4)*(TYPE4&lt;&gt;"")+('Dvd Calendar'!$M$698=SPECIAL_LBL)*(INC_SPECIALS="Y"))=0,"",'Dvd Calendar'!$M$696)))</f>
        <v/>
      </c>
      <c r="L74" s="106">
        <f>IF(EN74="","",IF(ISNUMBER('Dvd Calendar'!$N$696)=FALSE,"",IF((('Dvd Calendar'!$N$698=TYPE1)*(TYPE1&lt;&gt;"")+('Dvd Calendar'!$N$698=TYPE2)*(TYPE2&lt;&gt;"")+('Dvd Calendar'!$N$698=TYPE3)*(TYPE3&lt;&gt;"")+('Dvd Calendar'!$N$698=TYPE4)*(TYPE4&lt;&gt;"")+('Dvd Calendar'!$N$698=SPECIAL_LBL)*(INC_SPECIALS="Y"))=0,"",'Dvd Calendar'!$N$696)))</f>
        <v/>
      </c>
      <c r="M74" s="106">
        <f>IF(EO74="","",IF(ISNUMBER('Dvd Calendar'!$O$696)=FALSE,"",IF((('Dvd Calendar'!$O$698=TYPE1)*(TYPE1&lt;&gt;"")+('Dvd Calendar'!$O$698=TYPE2)*(TYPE2&lt;&gt;"")+('Dvd Calendar'!$O$698=TYPE3)*(TYPE3&lt;&gt;"")+('Dvd Calendar'!$O$698=TYPE4)*(TYPE4&lt;&gt;"")+('Dvd Calendar'!$O$698=SPECIAL_LBL)*(INC_SPECIALS="Y"))=0,"",'Dvd Calendar'!$O$696)))</f>
        <v/>
      </c>
      <c r="N74" s="106">
        <f>IF(EP74="","",IF(ISNUMBER('Dvd Calendar'!$P$696)=FALSE,"",IF((('Dvd Calendar'!$P$698=TYPE1)*(TYPE1&lt;&gt;"")+('Dvd Calendar'!$P$698=TYPE2)*(TYPE2&lt;&gt;"")+('Dvd Calendar'!$P$698=TYPE3)*(TYPE3&lt;&gt;"")+('Dvd Calendar'!$P$698=TYPE4)*(TYPE4&lt;&gt;"")+('Dvd Calendar'!$P$698=SPECIAL_LBL)*(INC_SPECIALS="Y"))=0,"",'Dvd Calendar'!$P$696)))</f>
        <v/>
      </c>
      <c r="O74" s="106">
        <f>IF(EQ74="","",IF(ISNUMBER('Dvd Calendar'!$Q$696)=FALSE,"",IF((('Dvd Calendar'!$Q$698=TYPE1)*(TYPE1&lt;&gt;"")+('Dvd Calendar'!$Q$698=TYPE2)*(TYPE2&lt;&gt;"")+('Dvd Calendar'!$Q$698=TYPE3)*(TYPE3&lt;&gt;"")+('Dvd Calendar'!$Q$698=TYPE4)*(TYPE4&lt;&gt;"")+('Dvd Calendar'!$Q$698=SPECIAL_LBL)*(INC_SPECIALS="Y"))=0,"",'Dvd Calendar'!$Q$696)))</f>
        <v/>
      </c>
      <c r="P74" s="106">
        <f>IF(ER74="","",IF(ISNUMBER('Dvd Calendar'!$R$696)=FALSE,"",IF((('Dvd Calendar'!$R$698=TYPE1)*(TYPE1&lt;&gt;"")+('Dvd Calendar'!$R$698=TYPE2)*(TYPE2&lt;&gt;"")+('Dvd Calendar'!$R$698=TYPE3)*(TYPE3&lt;&gt;"")+('Dvd Calendar'!$R$698=TYPE4)*(TYPE4&lt;&gt;"")+('Dvd Calendar'!$R$698=SPECIAL_LBL)*(INC_SPECIALS="Y"))=0,"",'Dvd Calendar'!$R$696)))</f>
        <v/>
      </c>
      <c r="Q74" s="106">
        <f>IF(ES74="","",IF(ISNUMBER('Dvd Calendar'!$S$696)=FALSE,"",IF((('Dvd Calendar'!$S$698=TYPE1)*(TYPE1&lt;&gt;"")+('Dvd Calendar'!$S$698=TYPE2)*(TYPE2&lt;&gt;"")+('Dvd Calendar'!$S$698=TYPE3)*(TYPE3&lt;&gt;"")+('Dvd Calendar'!$S$698=TYPE4)*(TYPE4&lt;&gt;"")+('Dvd Calendar'!$S$698=SPECIAL_LBL)*(INC_SPECIALS="Y"))=0,"",'Dvd Calendar'!$S$696)))</f>
        <v/>
      </c>
      <c r="R74" s="106">
        <f>IF(ET74="","",IF(ISNUMBER('Dvd Calendar'!$T$696)=FALSE,"",IF((('Dvd Calendar'!$T$698=TYPE1)*(TYPE1&lt;&gt;"")+('Dvd Calendar'!$T$698=TYPE2)*(TYPE2&lt;&gt;"")+('Dvd Calendar'!$T$698=TYPE3)*(TYPE3&lt;&gt;"")+('Dvd Calendar'!$T$698=TYPE4)*(TYPE4&lt;&gt;"")+('Dvd Calendar'!$T$698=SPECIAL_LBL)*(INC_SPECIALS="Y"))=0,"",'Dvd Calendar'!$T$696)))</f>
        <v/>
      </c>
      <c r="S74" s="106">
        <f>IF(EU74="","",IF(ISNUMBER('Dvd Calendar'!$U$696)=FALSE,"",IF((('Dvd Calendar'!$U$698=TYPE1)*(TYPE1&lt;&gt;"")+('Dvd Calendar'!$U$698=TYPE2)*(TYPE2&lt;&gt;"")+('Dvd Calendar'!$U$698=TYPE3)*(TYPE3&lt;&gt;"")+('Dvd Calendar'!$U$698=TYPE4)*(TYPE4&lt;&gt;"")+('Dvd Calendar'!$U$698=SPECIAL_LBL)*(INC_SPECIALS="Y"))=0,"",'Dvd Calendar'!$U$696)))</f>
        <v/>
      </c>
      <c r="T74" s="106">
        <f>IF(EV74="","",IF(ISNUMBER('Dvd Calendar'!$V$696)=FALSE,"",IF((('Dvd Calendar'!$V$698=TYPE1)*(TYPE1&lt;&gt;"")+('Dvd Calendar'!$V$698=TYPE2)*(TYPE2&lt;&gt;"")+('Dvd Calendar'!$V$698=TYPE3)*(TYPE3&lt;&gt;"")+('Dvd Calendar'!$V$698=TYPE4)*(TYPE4&lt;&gt;"")+('Dvd Calendar'!$V$698=SPECIAL_LBL)*(INC_SPECIALS="Y"))=0,"",'Dvd Calendar'!$V$696)))</f>
        <v/>
      </c>
      <c r="U74" s="106">
        <f>IF(EW74="","",IF(ISNUMBER('Dvd Calendar'!$W$696)=FALSE,"",IF((('Dvd Calendar'!$W$698=TYPE1)*(TYPE1&lt;&gt;"")+('Dvd Calendar'!$W$698=TYPE2)*(TYPE2&lt;&gt;"")+('Dvd Calendar'!$W$698=TYPE3)*(TYPE3&lt;&gt;"")+('Dvd Calendar'!$W$698=TYPE4)*(TYPE4&lt;&gt;"")+('Dvd Calendar'!$W$698=SPECIAL_LBL)*(INC_SPECIALS="Y"))=0,"",'Dvd Calendar'!$W$696)))</f>
        <v/>
      </c>
      <c r="V74" s="106">
        <f>IF(EX74="","",IF(ISNUMBER('Dvd Calendar'!$X$696)=FALSE,"",IF((('Dvd Calendar'!$X$698=TYPE1)*(TYPE1&lt;&gt;"")+('Dvd Calendar'!$X$698=TYPE2)*(TYPE2&lt;&gt;"")+('Dvd Calendar'!$X$698=TYPE3)*(TYPE3&lt;&gt;"")+('Dvd Calendar'!$X$698=TYPE4)*(TYPE4&lt;&gt;"")+('Dvd Calendar'!$X$698=SPECIAL_LBL)*(INC_SPECIALS="Y"))=0,"",'Dvd Calendar'!$X$696)))</f>
        <v/>
      </c>
      <c r="W74" s="106">
        <f>IF(EY74="","",IF(ISNUMBER('Dvd Calendar'!$Y$696)=FALSE,"",IF((('Dvd Calendar'!$Y$698=TYPE1)*(TYPE1&lt;&gt;"")+('Dvd Calendar'!$Y$698=TYPE2)*(TYPE2&lt;&gt;"")+('Dvd Calendar'!$Y$698=TYPE3)*(TYPE3&lt;&gt;"")+('Dvd Calendar'!$Y$698=TYPE4)*(TYPE4&lt;&gt;"")+('Dvd Calendar'!$Y$698=SPECIAL_LBL)*(INC_SPECIALS="Y"))=0,"",'Dvd Calendar'!$Y$696)))</f>
        <v/>
      </c>
      <c r="X74" s="106">
        <f>IF(EZ74="","",IF(ISNUMBER('Dvd Calendar'!$Z$696)=FALSE,"",IF((('Dvd Calendar'!$Z$698=TYPE1)*(TYPE1&lt;&gt;"")+('Dvd Calendar'!$Z$698=TYPE2)*(TYPE2&lt;&gt;"")+('Dvd Calendar'!$Z$698=TYPE3)*(TYPE3&lt;&gt;"")+('Dvd Calendar'!$Z$698=TYPE4)*(TYPE4&lt;&gt;"")+('Dvd Calendar'!$Z$698=SPECIAL_LBL)*(INC_SPECIALS="Y"))=0,"",'Dvd Calendar'!$Z$696)))</f>
        <v/>
      </c>
      <c r="Y74" s="106">
        <f>IF(FA74="","",IF(ISNUMBER('Dvd Calendar'!$AA$696)=FALSE,"",IF((('Dvd Calendar'!$AA$698=TYPE1)*(TYPE1&lt;&gt;"")+('Dvd Calendar'!$AA$698=TYPE2)*(TYPE2&lt;&gt;"")+('Dvd Calendar'!$AA$698=TYPE3)*(TYPE3&lt;&gt;"")+('Dvd Calendar'!$AA$698=TYPE4)*(TYPE4&lt;&gt;"")+('Dvd Calendar'!$AA$698=SPECIAL_LBL)*(INC_SPECIALS="Y"))=0,"",'Dvd Calendar'!$AA$696)))</f>
        <v/>
      </c>
      <c r="Z74" s="106">
        <f>IF(FB74="","",IF(ISNUMBER('Dvd Calendar'!$AB$696)=FALSE,"",IF((('Dvd Calendar'!$AB$698=TYPE1)*(TYPE1&lt;&gt;"")+('Dvd Calendar'!$AB$698=TYPE2)*(TYPE2&lt;&gt;"")+('Dvd Calendar'!$AB$698=TYPE3)*(TYPE3&lt;&gt;"")+('Dvd Calendar'!$AB$698=TYPE4)*(TYPE4&lt;&gt;"")+('Dvd Calendar'!$AB$698=SPECIAL_LBL)*(INC_SPECIALS="Y"))=0,"",'Dvd Calendar'!$AB$696)))</f>
        <v/>
      </c>
      <c r="AA74" s="106">
        <f>IF(FC74="","",IF(ISNUMBER('Dvd Calendar'!$AC$696)=FALSE,"",IF((('Dvd Calendar'!$AC$698=TYPE1)*(TYPE1&lt;&gt;"")+('Dvd Calendar'!$AC$698=TYPE2)*(TYPE2&lt;&gt;"")+('Dvd Calendar'!$AC$698=TYPE3)*(TYPE3&lt;&gt;"")+('Dvd Calendar'!$AC$698=TYPE4)*(TYPE4&lt;&gt;"")+('Dvd Calendar'!$AC$698=SPECIAL_LBL)*(INC_SPECIALS="Y"))=0,"",'Dvd Calendar'!$AC$696)))</f>
        <v/>
      </c>
      <c r="AB74" s="106">
        <f>IF(FD74="","",IF(ISNUMBER('Dvd Calendar'!$AD$696)=FALSE,"",IF((('Dvd Calendar'!$AD$698=TYPE1)*(TYPE1&lt;&gt;"")+('Dvd Calendar'!$AD$698=TYPE2)*(TYPE2&lt;&gt;"")+('Dvd Calendar'!$AD$698=TYPE3)*(TYPE3&lt;&gt;"")+('Dvd Calendar'!$AD$698=TYPE4)*(TYPE4&lt;&gt;"")+('Dvd Calendar'!$AD$698=SPECIAL_LBL)*(INC_SPECIALS="Y"))=0,"",'Dvd Calendar'!$AD$696)))</f>
        <v/>
      </c>
      <c r="AC74" s="106">
        <f>IF(FE74="","",IF(ISNUMBER('Dvd Calendar'!$AE$696)=FALSE,"",IF((('Dvd Calendar'!$AE$698=TYPE1)*(TYPE1&lt;&gt;"")+('Dvd Calendar'!$AE$698=TYPE2)*(TYPE2&lt;&gt;"")+('Dvd Calendar'!$AE$698=TYPE3)*(TYPE3&lt;&gt;"")+('Dvd Calendar'!$AE$698=TYPE4)*(TYPE4&lt;&gt;"")+('Dvd Calendar'!$AE$698=SPECIAL_LBL)*(INC_SPECIALS="Y"))=0,"",'Dvd Calendar'!$AE$696)))</f>
        <v/>
      </c>
      <c r="AD74" s="106">
        <f>IF(FF74="","",IF(ISNUMBER('Dvd Calendar'!$AF$696)=FALSE,"",IF((('Dvd Calendar'!$AF$698=TYPE1)*(TYPE1&lt;&gt;"")+('Dvd Calendar'!$AF$698=TYPE2)*(TYPE2&lt;&gt;"")+('Dvd Calendar'!$AF$698=TYPE3)*(TYPE3&lt;&gt;"")+('Dvd Calendar'!$AF$698=TYPE4)*(TYPE4&lt;&gt;"")+('Dvd Calendar'!$AF$698=SPECIAL_LBL)*(INC_SPECIALS="Y"))=0,"",'Dvd Calendar'!$AF$696)))</f>
        <v/>
      </c>
      <c r="AE74" s="106">
        <f>IF(FG74="","",IF(ISNUMBER('Dvd Calendar'!$AG$696)=FALSE,"",IF((('Dvd Calendar'!$AG$698=TYPE1)*(TYPE1&lt;&gt;"")+('Dvd Calendar'!$AG$698=TYPE2)*(TYPE2&lt;&gt;"")+('Dvd Calendar'!$AG$698=TYPE3)*(TYPE3&lt;&gt;"")+('Dvd Calendar'!$AG$698=TYPE4)*(TYPE4&lt;&gt;"")+('Dvd Calendar'!$AG$698=SPECIAL_LBL)*(INC_SPECIALS="Y"))=0,"",'Dvd Calendar'!$AG$696)))</f>
        <v/>
      </c>
      <c r="AF74" s="106">
        <f>IF(FH74="","",IF(ISNUMBER('Dvd Calendar'!$AH$696)=FALSE,"",IF((('Dvd Calendar'!$AH$698=TYPE1)*(TYPE1&lt;&gt;"")+('Dvd Calendar'!$AH$698=TYPE2)*(TYPE2&lt;&gt;"")+('Dvd Calendar'!$AH$698=TYPE3)*(TYPE3&lt;&gt;"")+('Dvd Calendar'!$AH$698=TYPE4)*(TYPE4&lt;&gt;"")+('Dvd Calendar'!$AH$698=SPECIAL_LBL)*(INC_SPECIALS="Y"))=0,"",'Dvd Calendar'!$AH$696)))</f>
        <v/>
      </c>
      <c r="AG74" s="106">
        <f>IF(FI74="","",IF(ISNUMBER('Dvd Calendar'!$AI$696)=FALSE,"",IF((('Dvd Calendar'!$AI$698=TYPE1)*(TYPE1&lt;&gt;"")+('Dvd Calendar'!$AI$698=TYPE2)*(TYPE2&lt;&gt;"")+('Dvd Calendar'!$AI$698=TYPE3)*(TYPE3&lt;&gt;"")+('Dvd Calendar'!$AI$698=TYPE4)*(TYPE4&lt;&gt;"")+('Dvd Calendar'!$AI$698=SPECIAL_LBL)*(INC_SPECIALS="Y"))=0,"",'Dvd Calendar'!$AI$696)))</f>
        <v/>
      </c>
      <c r="AH74" s="106">
        <f>IF(FJ74="","",IF(ISNUMBER('Dvd Calendar'!$AJ$696)=FALSE,"",IF((('Dvd Calendar'!$AJ$698=TYPE1)*(TYPE1&lt;&gt;"")+('Dvd Calendar'!$AJ$698=TYPE2)*(TYPE2&lt;&gt;"")+('Dvd Calendar'!$AJ$698=TYPE3)*(TYPE3&lt;&gt;"")+('Dvd Calendar'!$AJ$698=TYPE4)*(TYPE4&lt;&gt;"")+('Dvd Calendar'!$AJ$698=SPECIAL_LBL)*(INC_SPECIALS="Y"))=0,"",'Dvd Calendar'!$AJ$696)))</f>
        <v/>
      </c>
      <c r="AI74" s="106">
        <f>IF(FK74="","",IF(ISNUMBER('Dvd Calendar'!$AK$696)=FALSE,"",IF((('Dvd Calendar'!$AK$698=TYPE1)*(TYPE1&lt;&gt;"")+('Dvd Calendar'!$AK$698=TYPE2)*(TYPE2&lt;&gt;"")+('Dvd Calendar'!$AK$698=TYPE3)*(TYPE3&lt;&gt;"")+('Dvd Calendar'!$AK$698=TYPE4)*(TYPE4&lt;&gt;"")+('Dvd Calendar'!$AK$698=SPECIAL_LBL)*(INC_SPECIALS="Y"))=0,"",'Dvd Calendar'!$AK$696)))</f>
        <v/>
      </c>
      <c r="AJ74" s="106">
        <f>IF(FL74="","",IF(ISNUMBER('Dvd Calendar'!$AL$696)=FALSE,"",IF((('Dvd Calendar'!$AL$698=TYPE1)*(TYPE1&lt;&gt;"")+('Dvd Calendar'!$AL$698=TYPE2)*(TYPE2&lt;&gt;"")+('Dvd Calendar'!$AL$698=TYPE3)*(TYPE3&lt;&gt;"")+('Dvd Calendar'!$AL$698=TYPE4)*(TYPE4&lt;&gt;"")+('Dvd Calendar'!$AL$698=SPECIAL_LBL)*(INC_SPECIALS="Y"))=0,"",'Dvd Calendar'!$AL$696)))</f>
        <v/>
      </c>
      <c r="AK74" s="106">
        <f>IF(FM74="","",IF(ISNUMBER('Dvd Calendar'!$AM$696)=FALSE,"",IF((('Dvd Calendar'!$AM$698=TYPE1)*(TYPE1&lt;&gt;"")+('Dvd Calendar'!$AM$698=TYPE2)*(TYPE2&lt;&gt;"")+('Dvd Calendar'!$AM$698=TYPE3)*(TYPE3&lt;&gt;"")+('Dvd Calendar'!$AM$698=TYPE4)*(TYPE4&lt;&gt;"")+('Dvd Calendar'!$AM$698=SPECIAL_LBL)*(INC_SPECIALS="Y"))=0,"",'Dvd Calendar'!$AM$696)))</f>
        <v/>
      </c>
      <c r="AL74" s="106">
        <f>IF(FN74="","",IF(ISNUMBER('Dvd Calendar'!$AN$696)=FALSE,"",IF((('Dvd Calendar'!$AN$698=TYPE1)*(TYPE1&lt;&gt;"")+('Dvd Calendar'!$AN$698=TYPE2)*(TYPE2&lt;&gt;"")+('Dvd Calendar'!$AN$698=TYPE3)*(TYPE3&lt;&gt;"")+('Dvd Calendar'!$AN$698=TYPE4)*(TYPE4&lt;&gt;"")+('Dvd Calendar'!$AN$698=SPECIAL_LBL)*(INC_SPECIALS="Y"))=0,"",'Dvd Calendar'!$AN$696)))</f>
        <v/>
      </c>
      <c r="AM74" s="106">
        <f>IF(FO74="","",IF(ISNUMBER('Dvd Calendar'!$AO$696)=FALSE,"",IF((('Dvd Calendar'!$AO$698=TYPE1)*(TYPE1&lt;&gt;"")+('Dvd Calendar'!$AO$698=TYPE2)*(TYPE2&lt;&gt;"")+('Dvd Calendar'!$AO$698=TYPE3)*(TYPE3&lt;&gt;"")+('Dvd Calendar'!$AO$698=TYPE4)*(TYPE4&lt;&gt;"")+('Dvd Calendar'!$AO$698=SPECIAL_LBL)*(INC_SPECIALS="Y"))=0,"",'Dvd Calendar'!$AO$696)))</f>
        <v/>
      </c>
      <c r="AN74" s="106">
        <f>IF(FP74="","",IF(ISNUMBER('Dvd Calendar'!$AP$696)=FALSE,"",IF((('Dvd Calendar'!$AP$698=TYPE1)*(TYPE1&lt;&gt;"")+('Dvd Calendar'!$AP$698=TYPE2)*(TYPE2&lt;&gt;"")+('Dvd Calendar'!$AP$698=TYPE3)*(TYPE3&lt;&gt;"")+('Dvd Calendar'!$AP$698=TYPE4)*(TYPE4&lt;&gt;"")+('Dvd Calendar'!$AP$698=SPECIAL_LBL)*(INC_SPECIALS="Y"))=0,"",'Dvd Calendar'!$AP$696)))</f>
        <v/>
      </c>
      <c r="AO74" s="106">
        <f>IF(FQ74="","",IF(ISNUMBER('Dvd Calendar'!$AQ$696)=FALSE,"",IF((('Dvd Calendar'!$AQ$698=TYPE1)*(TYPE1&lt;&gt;"")+('Dvd Calendar'!$AQ$698=TYPE2)*(TYPE2&lt;&gt;"")+('Dvd Calendar'!$AQ$698=TYPE3)*(TYPE3&lt;&gt;"")+('Dvd Calendar'!$AQ$698=TYPE4)*(TYPE4&lt;&gt;"")+('Dvd Calendar'!$AQ$698=SPECIAL_LBL)*(INC_SPECIALS="Y"))=0,"",'Dvd Calendar'!$AQ$696)))</f>
        <v/>
      </c>
      <c r="AP74" s="106">
        <f>IF(FR74="","",IF(ISNUMBER('Dvd Calendar'!$AR$696)=FALSE,"",IF((('Dvd Calendar'!$AR$698=TYPE1)*(TYPE1&lt;&gt;"")+('Dvd Calendar'!$AR$698=TYPE2)*(TYPE2&lt;&gt;"")+('Dvd Calendar'!$AR$698=TYPE3)*(TYPE3&lt;&gt;"")+('Dvd Calendar'!$AR$698=TYPE4)*(TYPE4&lt;&gt;"")+('Dvd Calendar'!$AR$698=SPECIAL_LBL)*(INC_SPECIALS="Y"))=0,"",'Dvd Calendar'!$AR$696)))</f>
        <v/>
      </c>
      <c r="AQ74" s="106">
        <f>IF(FS74="","",IF(ISNUMBER('Dvd Calendar'!$E$701)=FALSE,"",'Dvd Calendar'!$E$701))</f>
        <v/>
      </c>
      <c r="AR74" s="106">
        <f>IF(FT74="","",IF(ISNUMBER('Dvd Calendar'!$F$701)=FALSE,"",'Dvd Calendar'!$F$701))</f>
        <v/>
      </c>
      <c r="AS74" s="106">
        <f>IF(FU74="","",IF(ISNUMBER('Dvd Calendar'!$G$701)=FALSE,"",'Dvd Calendar'!$G$701))</f>
        <v/>
      </c>
      <c r="AT74" s="106">
        <f>IF(FV74="","",IF(ISNUMBER('Dvd Calendar'!$H$701)=FALSE,"",'Dvd Calendar'!$H$701))</f>
        <v/>
      </c>
      <c r="AU74" s="106">
        <f>IF(FW74="","",IF(ISNUMBER('Dvd Calendar'!$I$701)=FALSE,"",'Dvd Calendar'!$I$701))</f>
        <v/>
      </c>
      <c r="AV74" s="106">
        <f>IF(FX74="","",IF(ISNUMBER('Dvd Calendar'!$J$701)=FALSE,"",'Dvd Calendar'!$J$701))</f>
        <v/>
      </c>
      <c r="AW74" s="106">
        <f>IF(FY74="","",IF(ISNUMBER('Dvd Calendar'!$K$701)=FALSE,"",'Dvd Calendar'!$K$701))</f>
        <v/>
      </c>
      <c r="AX74" s="106">
        <f>IF(FZ74="","",IF(ISNUMBER('Dvd Calendar'!$L$701)=FALSE,"",'Dvd Calendar'!$L$701))</f>
        <v/>
      </c>
      <c r="AY74" s="106">
        <f>IF(GA74="","",IF(ISNUMBER('Dvd Calendar'!$M$701)=FALSE,"",'Dvd Calendar'!$M$701))</f>
        <v/>
      </c>
      <c r="AZ74" s="106">
        <f>IF(GB74="","",IF(ISNUMBER('Dvd Calendar'!$N$701)=FALSE,"",'Dvd Calendar'!$N$701))</f>
        <v/>
      </c>
      <c r="BA74" s="106">
        <f>IF(GC74="","",IF(ISNUMBER('Dvd Calendar'!$O$701)=FALSE,"",'Dvd Calendar'!$O$701))</f>
        <v/>
      </c>
      <c r="BB74" s="106">
        <f>IF(GD74="","",IF(ISNUMBER('Dvd Calendar'!$P$701)=FALSE,"",'Dvd Calendar'!$P$701))</f>
        <v/>
      </c>
      <c r="BC74" s="106">
        <f>IF(GE74="","",IF(ISNUMBER('Dvd Calendar'!$Q$701)=FALSE,"",'Dvd Calendar'!$Q$701))</f>
        <v/>
      </c>
      <c r="BD74" s="106">
        <f>IF(GF74="","",IF(ISNUMBER('Dvd Calendar'!$R$701)=FALSE,"",'Dvd Calendar'!$R$701))</f>
        <v/>
      </c>
      <c r="BE74" s="106">
        <f>IF(GG74="","",IF(ISNUMBER('Dvd Calendar'!$S$701)=FALSE,"",'Dvd Calendar'!$S$701))</f>
        <v/>
      </c>
      <c r="BF74" s="106">
        <f>IF(GH74="","",IF(ISNUMBER('Dvd Calendar'!$T$701)=FALSE,"",'Dvd Calendar'!$T$701))</f>
        <v/>
      </c>
      <c r="BG74" s="106">
        <f>IF(GI74="","",IF(ISNUMBER('Dvd Calendar'!$U$701)=FALSE,"",'Dvd Calendar'!$U$701))</f>
        <v/>
      </c>
      <c r="BH74" s="106">
        <f>IF(GJ74="","",IF(ISNUMBER('Dvd Calendar'!$V$701)=FALSE,"",'Dvd Calendar'!$V$701))</f>
        <v/>
      </c>
      <c r="BI74" s="106">
        <f>IF(GK74="","",IF(ISNUMBER('Dvd Calendar'!$W$701)=FALSE,"",'Dvd Calendar'!$W$701))</f>
        <v/>
      </c>
      <c r="BJ74" s="106">
        <f>IF(GL74="","",IF(ISNUMBER('Dvd Calendar'!$X$701)=FALSE,"",'Dvd Calendar'!$X$701))</f>
        <v/>
      </c>
      <c r="BK74" s="106">
        <f>IF(GM74="","",IF(ISNUMBER('Dvd Calendar'!$Y$701)=FALSE,"",'Dvd Calendar'!$Y$701))</f>
        <v/>
      </c>
      <c r="BL74" s="106">
        <f>IF(GN74="","",IF(ISNUMBER('Dvd Calendar'!$Z$701)=FALSE,"",'Dvd Calendar'!$Z$701))</f>
        <v/>
      </c>
      <c r="BM74" s="106">
        <f>IF(GO74="","",IF(ISNUMBER('Dvd Calendar'!$AA$701)=FALSE,"",'Dvd Calendar'!$AA$701))</f>
        <v/>
      </c>
      <c r="BN74" s="106">
        <f>IF(GP74="","",IF(ISNUMBER('Dvd Calendar'!$AB$701)=FALSE,"",'Dvd Calendar'!$AB$701))</f>
        <v/>
      </c>
      <c r="BO74" s="106">
        <f>IF(GQ74="","",IF(ISNUMBER('Dvd Calendar'!$AC$701)=FALSE,"",'Dvd Calendar'!$AC$701))</f>
        <v/>
      </c>
      <c r="BQ74" s="106">
        <f>IF(C74="","",IFERROR(C74*HSI!$B$69*HSI!$G$69/HSI!$B$3,""))</f>
        <v/>
      </c>
      <c r="BR74" s="106">
        <f>IF(D74="","",IFERROR(D74*HSI!$B$69*HSI!$G$69/HSI!$B$3,""))</f>
        <v/>
      </c>
      <c r="BS74" s="106">
        <f>IF(E74="","",IFERROR(E74*HSI!$B$69*HSI!$G$69/HSI!$B$3,""))</f>
        <v/>
      </c>
      <c r="BT74" s="106">
        <f>IF(F74="","",IFERROR(F74*HSI!$B$69*HSI!$G$69/HSI!$B$3,""))</f>
        <v/>
      </c>
      <c r="BU74" s="106">
        <f>IF(G74="","",IFERROR(G74*HSI!$B$69*HSI!$G$69/HSI!$B$3,""))</f>
        <v/>
      </c>
      <c r="BV74" s="106">
        <f>IF(H74="","",IFERROR(H74*HSI!$B$69*HSI!$G$69/HSI!$B$3,""))</f>
        <v/>
      </c>
      <c r="BW74" s="106">
        <f>IF(I74="","",IFERROR(I74*HSI!$B$69*HSI!$G$69/HSI!$B$3,""))</f>
        <v/>
      </c>
      <c r="BX74" s="106">
        <f>IF(J74="","",IFERROR(J74*HSI!$B$69*HSI!$G$69/HSI!$B$3,""))</f>
        <v/>
      </c>
      <c r="BY74" s="106">
        <f>IF(K74="","",IFERROR(K74*HSI!$B$69*HSI!$G$69/HSI!$B$3,""))</f>
        <v/>
      </c>
      <c r="BZ74" s="106">
        <f>IF(L74="","",IFERROR(L74*HSI!$B$69*HSI!$G$69/HSI!$B$3,""))</f>
        <v/>
      </c>
      <c r="CA74" s="106">
        <f>IF(M74="","",IFERROR(M74*HSI!$B$69*HSI!$G$69/HSI!$B$3,""))</f>
        <v/>
      </c>
      <c r="CB74" s="106">
        <f>IF(N74="","",IFERROR(N74*HSI!$B$69*HSI!$G$69/HSI!$B$3,""))</f>
        <v/>
      </c>
      <c r="CC74" s="106">
        <f>IF(O74="","",IFERROR(O74*HSI!$B$69*HSI!$G$69/HSI!$B$3,""))</f>
        <v/>
      </c>
      <c r="CD74" s="106">
        <f>IF(P74="","",IFERROR(P74*HSI!$B$69*HSI!$G$69/HSI!$B$3,""))</f>
        <v/>
      </c>
      <c r="CE74" s="106">
        <f>IF(Q74="","",IFERROR(Q74*HSI!$B$69*HSI!$G$69/HSI!$B$3,""))</f>
        <v/>
      </c>
      <c r="CF74" s="106">
        <f>IF(R74="","",IFERROR(R74*HSI!$B$69*HSI!$G$69/HSI!$B$3,""))</f>
        <v/>
      </c>
      <c r="CG74" s="106">
        <f>IF(S74="","",IFERROR(S74*HSI!$B$69*HSI!$G$69/HSI!$B$3,""))</f>
        <v/>
      </c>
      <c r="CH74" s="106">
        <f>IF(T74="","",IFERROR(T74*HSI!$B$69*HSI!$G$69/HSI!$B$3,""))</f>
        <v/>
      </c>
      <c r="CI74" s="106">
        <f>IF(U74="","",IFERROR(U74*HSI!$B$69*HSI!$G$69/HSI!$B$3,""))</f>
        <v/>
      </c>
      <c r="CJ74" s="106">
        <f>IF(V74="","",IFERROR(V74*HSI!$B$69*HSI!$G$69/HSI!$B$3,""))</f>
        <v/>
      </c>
      <c r="CK74" s="106">
        <f>IF(W74="","",IFERROR(W74*HSI!$B$69*HSI!$G$69/HSI!$B$3,""))</f>
        <v/>
      </c>
      <c r="CL74" s="106">
        <f>IF(X74="","",IFERROR(X74*HSI!$B$69*HSI!$G$69/HSI!$B$3,""))</f>
        <v/>
      </c>
      <c r="CM74" s="106">
        <f>IF(Y74="","",IFERROR(Y74*HSI!$B$69*HSI!$G$69/HSI!$B$3,""))</f>
        <v/>
      </c>
      <c r="CN74" s="106">
        <f>IF(Z74="","",IFERROR(Z74*HSI!$B$69*HSI!$G$69/HSI!$B$3,""))</f>
        <v/>
      </c>
      <c r="CO74" s="106">
        <f>IF(AA74="","",IFERROR(AA74*HSI!$B$69*HSI!$G$69/HSI!$B$3,""))</f>
        <v/>
      </c>
      <c r="CP74" s="106">
        <f>IF(AB74="","",IFERROR(AB74*HSI!$B$69*HSI!$G$69/HSI!$B$3,""))</f>
        <v/>
      </c>
      <c r="CQ74" s="106">
        <f>IF(AC74="","",IFERROR(AC74*HSI!$B$69*HSI!$G$69/HSI!$B$3,""))</f>
        <v/>
      </c>
      <c r="CR74" s="106">
        <f>IF(AD74="","",IFERROR(AD74*HSI!$B$69*HSI!$G$69/HSI!$B$3,""))</f>
        <v/>
      </c>
      <c r="CS74" s="106">
        <f>IF(AE74="","",IFERROR(AE74*HSI!$B$69*HSI!$G$69/HSI!$B$3,""))</f>
        <v/>
      </c>
      <c r="CT74" s="106">
        <f>IF(AF74="","",IFERROR(AF74*HSI!$B$69*HSI!$G$69/HSI!$B$3,""))</f>
        <v/>
      </c>
      <c r="CU74" s="106">
        <f>IF(AG74="","",IFERROR(AG74*HSI!$B$69*HSI!$G$69/HSI!$B$3,""))</f>
        <v/>
      </c>
      <c r="CV74" s="106">
        <f>IF(AH74="","",IFERROR(AH74*HSI!$B$69*HSI!$G$69/HSI!$B$3,""))</f>
        <v/>
      </c>
      <c r="CW74" s="106">
        <f>IF(AI74="","",IFERROR(AI74*HSI!$B$69*HSI!$G$69/HSI!$B$3,""))</f>
        <v/>
      </c>
      <c r="CX74" s="106">
        <f>IF(AJ74="","",IFERROR(AJ74*HSI!$B$69*HSI!$G$69/HSI!$B$3,""))</f>
        <v/>
      </c>
      <c r="CY74" s="106">
        <f>IF(AK74="","",IFERROR(AK74*HSI!$B$69*HSI!$G$69/HSI!$B$3,""))</f>
        <v/>
      </c>
      <c r="CZ74" s="106">
        <f>IF(AL74="","",IFERROR(AL74*HSI!$B$69*HSI!$G$69/HSI!$B$3,""))</f>
        <v/>
      </c>
      <c r="DA74" s="106">
        <f>IF(AM74="","",IFERROR(AM74*HSI!$B$69*HSI!$G$69/HSI!$B$3,""))</f>
        <v/>
      </c>
      <c r="DB74" s="106">
        <f>IF(AN74="","",IFERROR(AN74*HSI!$B$69*HSI!$G$69/HSI!$B$3,""))</f>
        <v/>
      </c>
      <c r="DC74" s="106">
        <f>IF(AO74="","",IFERROR(AO74*HSI!$B$69*HSI!$G$69/HSI!$B$3,""))</f>
        <v/>
      </c>
      <c r="DD74" s="106">
        <f>IF(AP74="","",IFERROR(AP74*HSI!$B$69*HSI!$G$69/HSI!$B$3,""))</f>
        <v/>
      </c>
      <c r="DE74" s="106">
        <f>IF(AQ74="","",IFERROR(AQ74*HSI!$B$69*HSI!$G$69/HSI!$B$3,""))</f>
        <v/>
      </c>
      <c r="DF74" s="106">
        <f>IF(AR74="","",IFERROR(AR74*HSI!$B$69*HSI!$G$69/HSI!$B$3,""))</f>
        <v/>
      </c>
      <c r="DG74" s="106">
        <f>IF(AS74="","",IFERROR(AS74*HSI!$B$69*HSI!$G$69/HSI!$B$3,""))</f>
        <v/>
      </c>
      <c r="DH74" s="106">
        <f>IF(AT74="","",IFERROR(AT74*HSI!$B$69*HSI!$G$69/HSI!$B$3,""))</f>
        <v/>
      </c>
      <c r="DI74" s="106">
        <f>IF(AU74="","",IFERROR(AU74*HSI!$B$69*HSI!$G$69/HSI!$B$3,""))</f>
        <v/>
      </c>
      <c r="DJ74" s="106">
        <f>IF(AV74="","",IFERROR(AV74*HSI!$B$69*HSI!$G$69/HSI!$B$3,""))</f>
        <v/>
      </c>
      <c r="DK74" s="106">
        <f>IF(AW74="","",IFERROR(AW74*HSI!$B$69*HSI!$G$69/HSI!$B$3,""))</f>
        <v/>
      </c>
      <c r="DL74" s="106">
        <f>IF(AX74="","",IFERROR(AX74*HSI!$B$69*HSI!$G$69/HSI!$B$3,""))</f>
        <v/>
      </c>
      <c r="DM74" s="106">
        <f>IF(AY74="","",IFERROR(AY74*HSI!$B$69*HSI!$G$69/HSI!$B$3,""))</f>
        <v/>
      </c>
      <c r="DN74" s="106">
        <f>IF(AZ74="","",IFERROR(AZ74*HSI!$B$69*HSI!$G$69/HSI!$B$3,""))</f>
        <v/>
      </c>
      <c r="DO74" s="106">
        <f>IF(BA74="","",IFERROR(BA74*HSI!$B$69*HSI!$G$69/HSI!$B$3,""))</f>
        <v/>
      </c>
      <c r="DP74" s="106">
        <f>IF(BB74="","",IFERROR(BB74*HSI!$B$69*HSI!$G$69/HSI!$B$3,""))</f>
        <v/>
      </c>
      <c r="DQ74" s="106">
        <f>IF(BC74="","",IFERROR(BC74*HSI!$B$69*HSI!$G$69/HSI!$B$3,""))</f>
        <v/>
      </c>
      <c r="DR74" s="106">
        <f>IF(BD74="","",IFERROR(BD74*HSI!$B$69*HSI!$G$69/HSI!$B$3,""))</f>
        <v/>
      </c>
      <c r="DS74" s="106">
        <f>IF(BE74="","",IFERROR(BE74*HSI!$B$69*HSI!$G$69/HSI!$B$3,""))</f>
        <v/>
      </c>
      <c r="DT74" s="106">
        <f>IF(BF74="","",IFERROR(BF74*HSI!$B$69*HSI!$G$69/HSI!$B$3,""))</f>
        <v/>
      </c>
      <c r="DU74" s="106">
        <f>IF(BG74="","",IFERROR(BG74*HSI!$B$69*HSI!$G$69/HSI!$B$3,""))</f>
        <v/>
      </c>
      <c r="DV74" s="106">
        <f>IF(BH74="","",IFERROR(BH74*HSI!$B$69*HSI!$G$69/HSI!$B$3,""))</f>
        <v/>
      </c>
      <c r="DW74" s="106">
        <f>IF(BI74="","",IFERROR(BI74*HSI!$B$69*HSI!$G$69/HSI!$B$3,""))</f>
        <v/>
      </c>
      <c r="DX74" s="106">
        <f>IF(BJ74="","",IFERROR(BJ74*HSI!$B$69*HSI!$G$69/HSI!$B$3,""))</f>
        <v/>
      </c>
      <c r="DY74" s="106">
        <f>IF(BK74="","",IFERROR(BK74*HSI!$B$69*HSI!$G$69/HSI!$B$3,""))</f>
        <v/>
      </c>
      <c r="DZ74" s="106">
        <f>IF(BL74="","",IFERROR(BL74*HSI!$B$69*HSI!$G$69/HSI!$B$3,""))</f>
        <v/>
      </c>
      <c r="EA74" s="106">
        <f>IF(BM74="","",IFERROR(BM74*HSI!$B$69*HSI!$G$69/HSI!$B$3,""))</f>
        <v/>
      </c>
      <c r="EB74" s="106">
        <f>IF(BN74="","",IFERROR(BN74*HSI!$B$69*HSI!$G$69/HSI!$B$3,""))</f>
        <v/>
      </c>
      <c r="EC74" s="106">
        <f>IF(BO74="","",IFERROR(BO74*HSI!$B$69*HSI!$G$69/HSI!$B$3,""))</f>
        <v/>
      </c>
      <c r="EE74" s="35">
        <f>IF(N('Dvd Calendar'!$E$693)=0,"",IF(('Dvd Calendar'!$E$693&gt;=GRID_FROM)*('Dvd Calendar'!$E$693&lt;=GRID_TO)*('Dvd Calendar'!$E$693&lt;=VAL_DATE)=0,"",'Dvd Calendar'!$E$693*1000000000+ISNUMBER('Dvd Calendar'!$E$696)*100000000+('Dvd Calendar'!$E$698=SPECIAL_LBL)*10000000+0*1000000+63*1000+1))</f>
        <v/>
      </c>
      <c r="EF74" s="35">
        <f>IF(N('Dvd Calendar'!$F$693)=0,"",IF(('Dvd Calendar'!$F$693&gt;=GRID_FROM)*('Dvd Calendar'!$F$693&lt;=GRID_TO)*('Dvd Calendar'!$F$693&lt;=VAL_DATE)=0,"",'Dvd Calendar'!$F$693*1000000000+ISNUMBER('Dvd Calendar'!$F$696)*100000000+('Dvd Calendar'!$F$698=SPECIAL_LBL)*10000000+0*1000000+63*1000+2))</f>
        <v/>
      </c>
      <c r="EG74" s="35">
        <f>IF(N('Dvd Calendar'!$G$693)=0,"",IF(('Dvd Calendar'!$G$693&gt;=GRID_FROM)*('Dvd Calendar'!$G$693&lt;=GRID_TO)*('Dvd Calendar'!$G$693&lt;=VAL_DATE)=0,"",'Dvd Calendar'!$G$693*1000000000+ISNUMBER('Dvd Calendar'!$G$696)*100000000+('Dvd Calendar'!$G$698=SPECIAL_LBL)*10000000+0*1000000+63*1000+3))</f>
        <v/>
      </c>
      <c r="EH74" s="35">
        <f>IF(N('Dvd Calendar'!$H$693)=0,"",IF(('Dvd Calendar'!$H$693&gt;=GRID_FROM)*('Dvd Calendar'!$H$693&lt;=GRID_TO)*('Dvd Calendar'!$H$693&lt;=VAL_DATE)=0,"",'Dvd Calendar'!$H$693*1000000000+ISNUMBER('Dvd Calendar'!$H$696)*100000000+('Dvd Calendar'!$H$698=SPECIAL_LBL)*10000000+0*1000000+63*1000+4))</f>
        <v/>
      </c>
      <c r="EI74" s="35">
        <f>IF(N('Dvd Calendar'!$I$693)=0,"",IF(('Dvd Calendar'!$I$693&gt;=GRID_FROM)*('Dvd Calendar'!$I$693&lt;=GRID_TO)*('Dvd Calendar'!$I$693&lt;=VAL_DATE)=0,"",'Dvd Calendar'!$I$693*1000000000+ISNUMBER('Dvd Calendar'!$I$696)*100000000+('Dvd Calendar'!$I$698=SPECIAL_LBL)*10000000+0*1000000+63*1000+5))</f>
        <v/>
      </c>
      <c r="EJ74" s="35">
        <f>IF(N('Dvd Calendar'!$J$693)=0,"",IF(('Dvd Calendar'!$J$693&gt;=GRID_FROM)*('Dvd Calendar'!$J$693&lt;=GRID_TO)*('Dvd Calendar'!$J$693&lt;=VAL_DATE)=0,"",'Dvd Calendar'!$J$693*1000000000+ISNUMBER('Dvd Calendar'!$J$696)*100000000+('Dvd Calendar'!$J$698=SPECIAL_LBL)*10000000+0*1000000+63*1000+6))</f>
        <v/>
      </c>
      <c r="EK74" s="35">
        <f>IF(N('Dvd Calendar'!$K$693)=0,"",IF(('Dvd Calendar'!$K$693&gt;=GRID_FROM)*('Dvd Calendar'!$K$693&lt;=GRID_TO)*('Dvd Calendar'!$K$693&lt;=VAL_DATE)=0,"",'Dvd Calendar'!$K$693*1000000000+ISNUMBER('Dvd Calendar'!$K$696)*100000000+('Dvd Calendar'!$K$698=SPECIAL_LBL)*10000000+0*1000000+63*1000+7))</f>
        <v/>
      </c>
      <c r="EL74" s="35">
        <f>IF(N('Dvd Calendar'!$L$693)=0,"",IF(('Dvd Calendar'!$L$693&gt;=GRID_FROM)*('Dvd Calendar'!$L$693&lt;=GRID_TO)*('Dvd Calendar'!$L$693&lt;=VAL_DATE)=0,"",'Dvd Calendar'!$L$693*1000000000+ISNUMBER('Dvd Calendar'!$L$696)*100000000+('Dvd Calendar'!$L$698=SPECIAL_LBL)*10000000+0*1000000+63*1000+8))</f>
        <v/>
      </c>
      <c r="EM74" s="35">
        <f>IF(N('Dvd Calendar'!$M$693)=0,"",IF(('Dvd Calendar'!$M$693&gt;=GRID_FROM)*('Dvd Calendar'!$M$693&lt;=GRID_TO)*('Dvd Calendar'!$M$693&lt;=VAL_DATE)=0,"",'Dvd Calendar'!$M$693*1000000000+ISNUMBER('Dvd Calendar'!$M$696)*100000000+('Dvd Calendar'!$M$698=SPECIAL_LBL)*10000000+0*1000000+63*1000+9))</f>
        <v/>
      </c>
      <c r="EN74" s="35">
        <f>IF(N('Dvd Calendar'!$N$693)=0,"",IF(('Dvd Calendar'!$N$693&gt;=GRID_FROM)*('Dvd Calendar'!$N$693&lt;=GRID_TO)*('Dvd Calendar'!$N$693&lt;=VAL_DATE)=0,"",'Dvd Calendar'!$N$693*1000000000+ISNUMBER('Dvd Calendar'!$N$696)*100000000+('Dvd Calendar'!$N$698=SPECIAL_LBL)*10000000+0*1000000+63*1000+10))</f>
        <v/>
      </c>
      <c r="EO74" s="35">
        <f>IF(N('Dvd Calendar'!$O$693)=0,"",IF(('Dvd Calendar'!$O$693&gt;=GRID_FROM)*('Dvd Calendar'!$O$693&lt;=GRID_TO)*('Dvd Calendar'!$O$693&lt;=VAL_DATE)=0,"",'Dvd Calendar'!$O$693*1000000000+ISNUMBER('Dvd Calendar'!$O$696)*100000000+('Dvd Calendar'!$O$698=SPECIAL_LBL)*10000000+0*1000000+63*1000+11))</f>
        <v/>
      </c>
      <c r="EP74" s="35">
        <f>IF(N('Dvd Calendar'!$P$693)=0,"",IF(('Dvd Calendar'!$P$693&gt;=GRID_FROM)*('Dvd Calendar'!$P$693&lt;=GRID_TO)*('Dvd Calendar'!$P$693&lt;=VAL_DATE)=0,"",'Dvd Calendar'!$P$693*1000000000+ISNUMBER('Dvd Calendar'!$P$696)*100000000+('Dvd Calendar'!$P$698=SPECIAL_LBL)*10000000+0*1000000+63*1000+12))</f>
        <v/>
      </c>
      <c r="EQ74" s="35">
        <f>IF(N('Dvd Calendar'!$Q$693)=0,"",IF(('Dvd Calendar'!$Q$693&gt;=GRID_FROM)*('Dvd Calendar'!$Q$693&lt;=GRID_TO)*('Dvd Calendar'!$Q$693&lt;=VAL_DATE)=0,"",'Dvd Calendar'!$Q$693*1000000000+ISNUMBER('Dvd Calendar'!$Q$696)*100000000+('Dvd Calendar'!$Q$698=SPECIAL_LBL)*10000000+0*1000000+63*1000+13))</f>
        <v/>
      </c>
      <c r="ER74" s="35">
        <f>IF(N('Dvd Calendar'!$R$693)=0,"",IF(('Dvd Calendar'!$R$693&gt;=GRID_FROM)*('Dvd Calendar'!$R$693&lt;=GRID_TO)*('Dvd Calendar'!$R$693&lt;=VAL_DATE)=0,"",'Dvd Calendar'!$R$693*1000000000+ISNUMBER('Dvd Calendar'!$R$696)*100000000+('Dvd Calendar'!$R$698=SPECIAL_LBL)*10000000+0*1000000+63*1000+14))</f>
        <v/>
      </c>
      <c r="ES74" s="35">
        <f>IF(N('Dvd Calendar'!$S$693)=0,"",IF(('Dvd Calendar'!$S$693&gt;=GRID_FROM)*('Dvd Calendar'!$S$693&lt;=GRID_TO)*('Dvd Calendar'!$S$693&lt;=VAL_DATE)=0,"",'Dvd Calendar'!$S$693*1000000000+ISNUMBER('Dvd Calendar'!$S$696)*100000000+('Dvd Calendar'!$S$698=SPECIAL_LBL)*10000000+0*1000000+63*1000+15))</f>
        <v/>
      </c>
      <c r="ET74" s="35">
        <f>IF(N('Dvd Calendar'!$T$693)=0,"",IF(('Dvd Calendar'!$T$693&gt;=GRID_FROM)*('Dvd Calendar'!$T$693&lt;=GRID_TO)*('Dvd Calendar'!$T$693&lt;=VAL_DATE)=0,"",'Dvd Calendar'!$T$693*1000000000+ISNUMBER('Dvd Calendar'!$T$696)*100000000+('Dvd Calendar'!$T$698=SPECIAL_LBL)*10000000+0*1000000+63*1000+16))</f>
        <v/>
      </c>
      <c r="EU74" s="35">
        <f>IF(N('Dvd Calendar'!$U$693)=0,"",IF(('Dvd Calendar'!$U$693&gt;=GRID_FROM)*('Dvd Calendar'!$U$693&lt;=GRID_TO)*('Dvd Calendar'!$U$693&lt;=VAL_DATE)=0,"",'Dvd Calendar'!$U$693*1000000000+ISNUMBER('Dvd Calendar'!$U$696)*100000000+('Dvd Calendar'!$U$698=SPECIAL_LBL)*10000000+0*1000000+63*1000+17))</f>
        <v/>
      </c>
      <c r="EV74" s="35">
        <f>IF(N('Dvd Calendar'!$V$693)=0,"",IF(('Dvd Calendar'!$V$693&gt;=GRID_FROM)*('Dvd Calendar'!$V$693&lt;=GRID_TO)*('Dvd Calendar'!$V$693&lt;=VAL_DATE)=0,"",'Dvd Calendar'!$V$693*1000000000+ISNUMBER('Dvd Calendar'!$V$696)*100000000+('Dvd Calendar'!$V$698=SPECIAL_LBL)*10000000+0*1000000+63*1000+18))</f>
        <v/>
      </c>
      <c r="EW74" s="35">
        <f>IF(N('Dvd Calendar'!$W$693)=0,"",IF(('Dvd Calendar'!$W$693&gt;=GRID_FROM)*('Dvd Calendar'!$W$693&lt;=GRID_TO)*('Dvd Calendar'!$W$693&lt;=VAL_DATE)=0,"",'Dvd Calendar'!$W$693*1000000000+ISNUMBER('Dvd Calendar'!$W$696)*100000000+('Dvd Calendar'!$W$698=SPECIAL_LBL)*10000000+0*1000000+63*1000+19))</f>
        <v/>
      </c>
      <c r="EX74" s="35">
        <f>IF(N('Dvd Calendar'!$X$693)=0,"",IF(('Dvd Calendar'!$X$693&gt;=GRID_FROM)*('Dvd Calendar'!$X$693&lt;=GRID_TO)*('Dvd Calendar'!$X$693&lt;=VAL_DATE)=0,"",'Dvd Calendar'!$X$693*1000000000+ISNUMBER('Dvd Calendar'!$X$696)*100000000+('Dvd Calendar'!$X$698=SPECIAL_LBL)*10000000+0*1000000+63*1000+20))</f>
        <v/>
      </c>
      <c r="EY74" s="35">
        <f>IF(N('Dvd Calendar'!$Y$693)=0,"",IF(('Dvd Calendar'!$Y$693&gt;=GRID_FROM)*('Dvd Calendar'!$Y$693&lt;=GRID_TO)*('Dvd Calendar'!$Y$693&lt;=VAL_DATE)=0,"",'Dvd Calendar'!$Y$693*1000000000+ISNUMBER('Dvd Calendar'!$Y$696)*100000000+('Dvd Calendar'!$Y$698=SPECIAL_LBL)*10000000+0*1000000+63*1000+21))</f>
        <v/>
      </c>
      <c r="EZ74" s="35">
        <f>IF(N('Dvd Calendar'!$Z$693)=0,"",IF(('Dvd Calendar'!$Z$693&gt;=GRID_FROM)*('Dvd Calendar'!$Z$693&lt;=GRID_TO)*('Dvd Calendar'!$Z$693&lt;=VAL_DATE)=0,"",'Dvd Calendar'!$Z$693*1000000000+ISNUMBER('Dvd Calendar'!$Z$696)*100000000+('Dvd Calendar'!$Z$698=SPECIAL_LBL)*10000000+0*1000000+63*1000+22))</f>
        <v/>
      </c>
      <c r="FA74" s="35">
        <f>IF(N('Dvd Calendar'!$AA$693)=0,"",IF(('Dvd Calendar'!$AA$693&gt;=GRID_FROM)*('Dvd Calendar'!$AA$693&lt;=GRID_TO)*('Dvd Calendar'!$AA$693&lt;=VAL_DATE)=0,"",'Dvd Calendar'!$AA$693*1000000000+ISNUMBER('Dvd Calendar'!$AA$696)*100000000+('Dvd Calendar'!$AA$698=SPECIAL_LBL)*10000000+0*1000000+63*1000+23))</f>
        <v/>
      </c>
      <c r="FB74" s="35">
        <f>IF(N('Dvd Calendar'!$AB$693)=0,"",IF(('Dvd Calendar'!$AB$693&gt;=GRID_FROM)*('Dvd Calendar'!$AB$693&lt;=GRID_TO)*('Dvd Calendar'!$AB$693&lt;=VAL_DATE)=0,"",'Dvd Calendar'!$AB$693*1000000000+ISNUMBER('Dvd Calendar'!$AB$696)*100000000+('Dvd Calendar'!$AB$698=SPECIAL_LBL)*10000000+0*1000000+63*1000+24))</f>
        <v/>
      </c>
      <c r="FC74" s="35">
        <f>IF(N('Dvd Calendar'!$AC$693)=0,"",IF(('Dvd Calendar'!$AC$693&gt;=GRID_FROM)*('Dvd Calendar'!$AC$693&lt;=GRID_TO)*('Dvd Calendar'!$AC$693&lt;=VAL_DATE)=0,"",'Dvd Calendar'!$AC$693*1000000000+ISNUMBER('Dvd Calendar'!$AC$696)*100000000+('Dvd Calendar'!$AC$698=SPECIAL_LBL)*10000000+0*1000000+63*1000+25))</f>
        <v/>
      </c>
      <c r="FD74" s="35">
        <f>IF(N('Dvd Calendar'!$AD$693)=0,"",IF(('Dvd Calendar'!$AD$693&gt;=GRID_FROM)*('Dvd Calendar'!$AD$693&lt;=GRID_TO)*('Dvd Calendar'!$AD$693&lt;=VAL_DATE)=0,"",'Dvd Calendar'!$AD$693*1000000000+ISNUMBER('Dvd Calendar'!$AD$696)*100000000+('Dvd Calendar'!$AD$698=SPECIAL_LBL)*10000000+0*1000000+63*1000+26))</f>
        <v/>
      </c>
      <c r="FE74" s="35">
        <f>IF(N('Dvd Calendar'!$AE$693)=0,"",IF(('Dvd Calendar'!$AE$693&gt;=GRID_FROM)*('Dvd Calendar'!$AE$693&lt;=GRID_TO)*('Dvd Calendar'!$AE$693&lt;=VAL_DATE)=0,"",'Dvd Calendar'!$AE$693*1000000000+ISNUMBER('Dvd Calendar'!$AE$696)*100000000+('Dvd Calendar'!$AE$698=SPECIAL_LBL)*10000000+0*1000000+63*1000+27))</f>
        <v/>
      </c>
      <c r="FF74" s="35">
        <f>IF(N('Dvd Calendar'!$AF$693)=0,"",IF(('Dvd Calendar'!$AF$693&gt;=GRID_FROM)*('Dvd Calendar'!$AF$693&lt;=GRID_TO)*('Dvd Calendar'!$AF$693&lt;=VAL_DATE)=0,"",'Dvd Calendar'!$AF$693*1000000000+ISNUMBER('Dvd Calendar'!$AF$696)*100000000+('Dvd Calendar'!$AF$698=SPECIAL_LBL)*10000000+0*1000000+63*1000+28))</f>
        <v/>
      </c>
      <c r="FG74" s="35">
        <f>IF(N('Dvd Calendar'!$AG$693)=0,"",IF(('Dvd Calendar'!$AG$693&gt;=GRID_FROM)*('Dvd Calendar'!$AG$693&lt;=GRID_TO)*('Dvd Calendar'!$AG$693&lt;=VAL_DATE)=0,"",'Dvd Calendar'!$AG$693*1000000000+ISNUMBER('Dvd Calendar'!$AG$696)*100000000+('Dvd Calendar'!$AG$698=SPECIAL_LBL)*10000000+0*1000000+63*1000+29))</f>
        <v/>
      </c>
      <c r="FH74" s="35">
        <f>IF(N('Dvd Calendar'!$AH$693)=0,"",IF(('Dvd Calendar'!$AH$693&gt;=GRID_FROM)*('Dvd Calendar'!$AH$693&lt;=GRID_TO)*('Dvd Calendar'!$AH$693&lt;=VAL_DATE)=0,"",'Dvd Calendar'!$AH$693*1000000000+ISNUMBER('Dvd Calendar'!$AH$696)*100000000+('Dvd Calendar'!$AH$698=SPECIAL_LBL)*10000000+0*1000000+63*1000+30))</f>
        <v/>
      </c>
      <c r="FI74" s="35">
        <f>IF(N('Dvd Calendar'!$AI$693)=0,"",IF(('Dvd Calendar'!$AI$693&gt;=GRID_FROM)*('Dvd Calendar'!$AI$693&lt;=GRID_TO)*('Dvd Calendar'!$AI$693&lt;=VAL_DATE)=0,"",'Dvd Calendar'!$AI$693*1000000000+ISNUMBER('Dvd Calendar'!$AI$696)*100000000+('Dvd Calendar'!$AI$698=SPECIAL_LBL)*10000000+0*1000000+63*1000+31))</f>
        <v/>
      </c>
      <c r="FJ74" s="35">
        <f>IF(N('Dvd Calendar'!$AJ$693)=0,"",IF(('Dvd Calendar'!$AJ$693&gt;=GRID_FROM)*('Dvd Calendar'!$AJ$693&lt;=GRID_TO)*('Dvd Calendar'!$AJ$693&lt;=VAL_DATE)=0,"",'Dvd Calendar'!$AJ$693*1000000000+ISNUMBER('Dvd Calendar'!$AJ$696)*100000000+('Dvd Calendar'!$AJ$698=SPECIAL_LBL)*10000000+0*1000000+63*1000+32))</f>
        <v/>
      </c>
      <c r="FK74" s="35">
        <f>IF(N('Dvd Calendar'!$AK$693)=0,"",IF(('Dvd Calendar'!$AK$693&gt;=GRID_FROM)*('Dvd Calendar'!$AK$693&lt;=GRID_TO)*('Dvd Calendar'!$AK$693&lt;=VAL_DATE)=0,"",'Dvd Calendar'!$AK$693*1000000000+ISNUMBER('Dvd Calendar'!$AK$696)*100000000+('Dvd Calendar'!$AK$698=SPECIAL_LBL)*10000000+0*1000000+63*1000+33))</f>
        <v/>
      </c>
      <c r="FL74" s="35">
        <f>IF(N('Dvd Calendar'!$AL$693)=0,"",IF(('Dvd Calendar'!$AL$693&gt;=GRID_FROM)*('Dvd Calendar'!$AL$693&lt;=GRID_TO)*('Dvd Calendar'!$AL$693&lt;=VAL_DATE)=0,"",'Dvd Calendar'!$AL$693*1000000000+ISNUMBER('Dvd Calendar'!$AL$696)*100000000+('Dvd Calendar'!$AL$698=SPECIAL_LBL)*10000000+0*1000000+63*1000+34))</f>
        <v/>
      </c>
      <c r="FM74" s="35">
        <f>IF(N('Dvd Calendar'!$AM$693)=0,"",IF(('Dvd Calendar'!$AM$693&gt;=GRID_FROM)*('Dvd Calendar'!$AM$693&lt;=GRID_TO)*('Dvd Calendar'!$AM$693&lt;=VAL_DATE)=0,"",'Dvd Calendar'!$AM$693*1000000000+ISNUMBER('Dvd Calendar'!$AM$696)*100000000+('Dvd Calendar'!$AM$698=SPECIAL_LBL)*10000000+0*1000000+63*1000+35))</f>
        <v/>
      </c>
      <c r="FN74" s="35">
        <f>IF(N('Dvd Calendar'!$AN$693)=0,"",IF(('Dvd Calendar'!$AN$693&gt;=GRID_FROM)*('Dvd Calendar'!$AN$693&lt;=GRID_TO)*('Dvd Calendar'!$AN$693&lt;=VAL_DATE)=0,"",'Dvd Calendar'!$AN$693*1000000000+ISNUMBER('Dvd Calendar'!$AN$696)*100000000+('Dvd Calendar'!$AN$698=SPECIAL_LBL)*10000000+0*1000000+63*1000+36))</f>
        <v/>
      </c>
      <c r="FO74" s="35">
        <f>IF(N('Dvd Calendar'!$AO$693)=0,"",IF(('Dvd Calendar'!$AO$693&gt;=GRID_FROM)*('Dvd Calendar'!$AO$693&lt;=GRID_TO)*('Dvd Calendar'!$AO$693&lt;=VAL_DATE)=0,"",'Dvd Calendar'!$AO$693*1000000000+ISNUMBER('Dvd Calendar'!$AO$696)*100000000+('Dvd Calendar'!$AO$698=SPECIAL_LBL)*10000000+0*1000000+63*1000+37))</f>
        <v/>
      </c>
      <c r="FP74" s="35">
        <f>IF(N('Dvd Calendar'!$AP$693)=0,"",IF(('Dvd Calendar'!$AP$693&gt;=GRID_FROM)*('Dvd Calendar'!$AP$693&lt;=GRID_TO)*('Dvd Calendar'!$AP$693&lt;=VAL_DATE)=0,"",'Dvd Calendar'!$AP$693*1000000000+ISNUMBER('Dvd Calendar'!$AP$696)*100000000+('Dvd Calendar'!$AP$698=SPECIAL_LBL)*10000000+0*1000000+63*1000+38))</f>
        <v/>
      </c>
      <c r="FQ74" s="35">
        <f>IF(N('Dvd Calendar'!$AQ$693)=0,"",IF(('Dvd Calendar'!$AQ$693&gt;=GRID_FROM)*('Dvd Calendar'!$AQ$693&lt;=GRID_TO)*('Dvd Calendar'!$AQ$693&lt;=VAL_DATE)=0,"",'Dvd Calendar'!$AQ$693*1000000000+ISNUMBER('Dvd Calendar'!$AQ$696)*100000000+('Dvd Calendar'!$AQ$698=SPECIAL_LBL)*10000000+0*1000000+63*1000+39))</f>
        <v/>
      </c>
      <c r="FR74" s="35">
        <f>IF(N('Dvd Calendar'!$AR$693)=0,"",IF(('Dvd Calendar'!$AR$693&gt;=GRID_FROM)*('Dvd Calendar'!$AR$693&lt;=GRID_TO)*('Dvd Calendar'!$AR$693&lt;=VAL_DATE)=0,"",'Dvd Calendar'!$AR$693*1000000000+ISNUMBER('Dvd Calendar'!$AR$696)*100000000+('Dvd Calendar'!$AR$698=SPECIAL_LBL)*10000000+0*1000000+63*1000+40))</f>
        <v/>
      </c>
      <c r="FS74" s="35">
        <f>IF(N('Dvd Calendar'!$E$700)=0,"",IF(('Dvd Calendar'!$E$700&gt;=GRID_FROM)*('Dvd Calendar'!$E$700&lt;=GRID_TO)*('Dvd Calendar'!$E$700&gt;VAL_DATE)=0,"",'Dvd Calendar'!$E$700*1000000000+ISNUMBER('Dvd Calendar'!$E$701)*100000000+0*10000000+(N('Dvd Calendar'!$E$699)&gt;0)*(N('Dvd Calendar'!$E$699)&lt;=VAL_SERIAL)*1000000+63*1000+41))</f>
        <v/>
      </c>
      <c r="FT74" s="35">
        <f>IF(N('Dvd Calendar'!$F$700)=0,"",IF(('Dvd Calendar'!$F$700&gt;=GRID_FROM)*('Dvd Calendar'!$F$700&lt;=GRID_TO)*('Dvd Calendar'!$F$700&gt;VAL_DATE)=0,"",'Dvd Calendar'!$F$700*1000000000+ISNUMBER('Dvd Calendar'!$F$701)*100000000+0*10000000+(N('Dvd Calendar'!$F$699)&gt;0)*(N('Dvd Calendar'!$F$699)&lt;=VAL_SERIAL)*1000000+63*1000+42))</f>
        <v/>
      </c>
      <c r="FU74" s="35">
        <f>IF(N('Dvd Calendar'!$G$700)=0,"",IF(('Dvd Calendar'!$G$700&gt;=GRID_FROM)*('Dvd Calendar'!$G$700&lt;=GRID_TO)*('Dvd Calendar'!$G$700&gt;VAL_DATE)=0,"",'Dvd Calendar'!$G$700*1000000000+ISNUMBER('Dvd Calendar'!$G$701)*100000000+0*10000000+(N('Dvd Calendar'!$G$699)&gt;0)*(N('Dvd Calendar'!$G$699)&lt;=VAL_SERIAL)*1000000+63*1000+43))</f>
        <v/>
      </c>
      <c r="FV74" s="35">
        <f>IF(N('Dvd Calendar'!$H$700)=0,"",IF(('Dvd Calendar'!$H$700&gt;=GRID_FROM)*('Dvd Calendar'!$H$700&lt;=GRID_TO)*('Dvd Calendar'!$H$700&gt;VAL_DATE)=0,"",'Dvd Calendar'!$H$700*1000000000+ISNUMBER('Dvd Calendar'!$H$701)*100000000+0*10000000+(N('Dvd Calendar'!$H$699)&gt;0)*(N('Dvd Calendar'!$H$699)&lt;=VAL_SERIAL)*1000000+63*1000+44))</f>
        <v/>
      </c>
      <c r="FW74" s="35">
        <f>IF(N('Dvd Calendar'!$I$700)=0,"",IF(('Dvd Calendar'!$I$700&gt;=GRID_FROM)*('Dvd Calendar'!$I$700&lt;=GRID_TO)*('Dvd Calendar'!$I$700&gt;VAL_DATE)=0,"",'Dvd Calendar'!$I$700*1000000000+ISNUMBER('Dvd Calendar'!$I$701)*100000000+0*10000000+(N('Dvd Calendar'!$I$699)&gt;0)*(N('Dvd Calendar'!$I$699)&lt;=VAL_SERIAL)*1000000+63*1000+45))</f>
        <v/>
      </c>
      <c r="FX74" s="35">
        <f>IF(N('Dvd Calendar'!$J$700)=0,"",IF(('Dvd Calendar'!$J$700&gt;=GRID_FROM)*('Dvd Calendar'!$J$700&lt;=GRID_TO)*('Dvd Calendar'!$J$700&gt;VAL_DATE)=0,"",'Dvd Calendar'!$J$700*1000000000+ISNUMBER('Dvd Calendar'!$J$701)*100000000+0*10000000+(N('Dvd Calendar'!$J$699)&gt;0)*(N('Dvd Calendar'!$J$699)&lt;=VAL_SERIAL)*1000000+63*1000+46))</f>
        <v/>
      </c>
      <c r="FY74" s="35">
        <f>IF(N('Dvd Calendar'!$K$700)=0,"",IF(('Dvd Calendar'!$K$700&gt;=GRID_FROM)*('Dvd Calendar'!$K$700&lt;=GRID_TO)*('Dvd Calendar'!$K$700&gt;VAL_DATE)=0,"",'Dvd Calendar'!$K$700*1000000000+ISNUMBER('Dvd Calendar'!$K$701)*100000000+0*10000000+(N('Dvd Calendar'!$K$699)&gt;0)*(N('Dvd Calendar'!$K$699)&lt;=VAL_SERIAL)*1000000+63*1000+47))</f>
        <v/>
      </c>
      <c r="FZ74" s="35">
        <f>IF(N('Dvd Calendar'!$L$700)=0,"",IF(('Dvd Calendar'!$L$700&gt;=GRID_FROM)*('Dvd Calendar'!$L$700&lt;=GRID_TO)*('Dvd Calendar'!$L$700&gt;VAL_DATE)=0,"",'Dvd Calendar'!$L$700*1000000000+ISNUMBER('Dvd Calendar'!$L$701)*100000000+0*10000000+(N('Dvd Calendar'!$L$699)&gt;0)*(N('Dvd Calendar'!$L$699)&lt;=VAL_SERIAL)*1000000+63*1000+48))</f>
        <v/>
      </c>
      <c r="GA74" s="35">
        <f>IF(N('Dvd Calendar'!$M$700)=0,"",IF(('Dvd Calendar'!$M$700&gt;=GRID_FROM)*('Dvd Calendar'!$M$700&lt;=GRID_TO)*('Dvd Calendar'!$M$700&gt;VAL_DATE)=0,"",'Dvd Calendar'!$M$700*1000000000+ISNUMBER('Dvd Calendar'!$M$701)*100000000+0*10000000+(N('Dvd Calendar'!$M$699)&gt;0)*(N('Dvd Calendar'!$M$699)&lt;=VAL_SERIAL)*1000000+63*1000+49))</f>
        <v/>
      </c>
      <c r="GB74" s="35">
        <f>IF(N('Dvd Calendar'!$N$700)=0,"",IF(('Dvd Calendar'!$N$700&gt;=GRID_FROM)*('Dvd Calendar'!$N$700&lt;=GRID_TO)*('Dvd Calendar'!$N$700&gt;VAL_DATE)=0,"",'Dvd Calendar'!$N$700*1000000000+ISNUMBER('Dvd Calendar'!$N$701)*100000000+0*10000000+(N('Dvd Calendar'!$N$699)&gt;0)*(N('Dvd Calendar'!$N$699)&lt;=VAL_SERIAL)*1000000+63*1000+50))</f>
        <v/>
      </c>
      <c r="GC74" s="35">
        <f>IF(N('Dvd Calendar'!$O$700)=0,"",IF(('Dvd Calendar'!$O$700&gt;=GRID_FROM)*('Dvd Calendar'!$O$700&lt;=GRID_TO)*('Dvd Calendar'!$O$700&gt;VAL_DATE)=0,"",'Dvd Calendar'!$O$700*1000000000+ISNUMBER('Dvd Calendar'!$O$701)*100000000+0*10000000+(N('Dvd Calendar'!$O$699)&gt;0)*(N('Dvd Calendar'!$O$699)&lt;=VAL_SERIAL)*1000000+63*1000+51))</f>
        <v/>
      </c>
      <c r="GD74" s="35">
        <f>IF(N('Dvd Calendar'!$P$700)=0,"",IF(('Dvd Calendar'!$P$700&gt;=GRID_FROM)*('Dvd Calendar'!$P$700&lt;=GRID_TO)*('Dvd Calendar'!$P$700&gt;VAL_DATE)=0,"",'Dvd Calendar'!$P$700*1000000000+ISNUMBER('Dvd Calendar'!$P$701)*100000000+0*10000000+(N('Dvd Calendar'!$P$699)&gt;0)*(N('Dvd Calendar'!$P$699)&lt;=VAL_SERIAL)*1000000+63*1000+52))</f>
        <v/>
      </c>
      <c r="GE74" s="35">
        <f>IF(N('Dvd Calendar'!$Q$700)=0,"",IF(('Dvd Calendar'!$Q$700&gt;=GRID_FROM)*('Dvd Calendar'!$Q$700&lt;=GRID_TO)*('Dvd Calendar'!$Q$700&gt;VAL_DATE)=0,"",'Dvd Calendar'!$Q$700*1000000000+ISNUMBER('Dvd Calendar'!$Q$701)*100000000+0*10000000+(N('Dvd Calendar'!$Q$699)&gt;0)*(N('Dvd Calendar'!$Q$699)&lt;=VAL_SERIAL)*1000000+63*1000+53))</f>
        <v/>
      </c>
      <c r="GF74" s="35">
        <f>IF(N('Dvd Calendar'!$R$700)=0,"",IF(('Dvd Calendar'!$R$700&gt;=GRID_FROM)*('Dvd Calendar'!$R$700&lt;=GRID_TO)*('Dvd Calendar'!$R$700&gt;VAL_DATE)=0,"",'Dvd Calendar'!$R$700*1000000000+ISNUMBER('Dvd Calendar'!$R$701)*100000000+0*10000000+(N('Dvd Calendar'!$R$699)&gt;0)*(N('Dvd Calendar'!$R$699)&lt;=VAL_SERIAL)*1000000+63*1000+54))</f>
        <v/>
      </c>
      <c r="GG74" s="35">
        <f>IF(N('Dvd Calendar'!$S$700)=0,"",IF(('Dvd Calendar'!$S$700&gt;=GRID_FROM)*('Dvd Calendar'!$S$700&lt;=GRID_TO)*('Dvd Calendar'!$S$700&gt;VAL_DATE)=0,"",'Dvd Calendar'!$S$700*1000000000+ISNUMBER('Dvd Calendar'!$S$701)*100000000+0*10000000+(N('Dvd Calendar'!$S$699)&gt;0)*(N('Dvd Calendar'!$S$699)&lt;=VAL_SERIAL)*1000000+63*1000+55))</f>
        <v/>
      </c>
      <c r="GH74" s="35">
        <f>IF(N('Dvd Calendar'!$T$700)=0,"",IF(('Dvd Calendar'!$T$700&gt;=GRID_FROM)*('Dvd Calendar'!$T$700&lt;=GRID_TO)*('Dvd Calendar'!$T$700&gt;VAL_DATE)=0,"",'Dvd Calendar'!$T$700*1000000000+ISNUMBER('Dvd Calendar'!$T$701)*100000000+0*10000000+(N('Dvd Calendar'!$T$699)&gt;0)*(N('Dvd Calendar'!$T$699)&lt;=VAL_SERIAL)*1000000+63*1000+56))</f>
        <v/>
      </c>
      <c r="GI74" s="35">
        <f>IF(N('Dvd Calendar'!$U$700)=0,"",IF(('Dvd Calendar'!$U$700&gt;=GRID_FROM)*('Dvd Calendar'!$U$700&lt;=GRID_TO)*('Dvd Calendar'!$U$700&gt;VAL_DATE)=0,"",'Dvd Calendar'!$U$700*1000000000+ISNUMBER('Dvd Calendar'!$U$701)*100000000+0*10000000+(N('Dvd Calendar'!$U$699)&gt;0)*(N('Dvd Calendar'!$U$699)&lt;=VAL_SERIAL)*1000000+63*1000+57))</f>
        <v/>
      </c>
      <c r="GJ74" s="35">
        <f>IF(N('Dvd Calendar'!$V$700)=0,"",IF(('Dvd Calendar'!$V$700&gt;=GRID_FROM)*('Dvd Calendar'!$V$700&lt;=GRID_TO)*('Dvd Calendar'!$V$700&gt;VAL_DATE)=0,"",'Dvd Calendar'!$V$700*1000000000+ISNUMBER('Dvd Calendar'!$V$701)*100000000+0*10000000+(N('Dvd Calendar'!$V$699)&gt;0)*(N('Dvd Calendar'!$V$699)&lt;=VAL_SERIAL)*1000000+63*1000+58))</f>
        <v/>
      </c>
      <c r="GK74" s="35">
        <f>IF(N('Dvd Calendar'!$W$700)=0,"",IF(('Dvd Calendar'!$W$700&gt;=GRID_FROM)*('Dvd Calendar'!$W$700&lt;=GRID_TO)*('Dvd Calendar'!$W$700&gt;VAL_DATE)=0,"",'Dvd Calendar'!$W$700*1000000000+ISNUMBER('Dvd Calendar'!$W$701)*100000000+0*10000000+(N('Dvd Calendar'!$W$699)&gt;0)*(N('Dvd Calendar'!$W$699)&lt;=VAL_SERIAL)*1000000+63*1000+59))</f>
        <v/>
      </c>
      <c r="GL74" s="35">
        <f>IF(N('Dvd Calendar'!$X$700)=0,"",IF(('Dvd Calendar'!$X$700&gt;=GRID_FROM)*('Dvd Calendar'!$X$700&lt;=GRID_TO)*('Dvd Calendar'!$X$700&gt;VAL_DATE)=0,"",'Dvd Calendar'!$X$700*1000000000+ISNUMBER('Dvd Calendar'!$X$701)*100000000+0*10000000+(N('Dvd Calendar'!$X$699)&gt;0)*(N('Dvd Calendar'!$X$699)&lt;=VAL_SERIAL)*1000000+63*1000+60))</f>
        <v/>
      </c>
      <c r="GM74" s="35">
        <f>IF(N('Dvd Calendar'!$Y$700)=0,"",IF(('Dvd Calendar'!$Y$700&gt;=GRID_FROM)*('Dvd Calendar'!$Y$700&lt;=GRID_TO)*('Dvd Calendar'!$Y$700&gt;VAL_DATE)=0,"",'Dvd Calendar'!$Y$700*1000000000+ISNUMBER('Dvd Calendar'!$Y$701)*100000000+0*10000000+(N('Dvd Calendar'!$Y$699)&gt;0)*(N('Dvd Calendar'!$Y$699)&lt;=VAL_SERIAL)*1000000+63*1000+61))</f>
        <v/>
      </c>
      <c r="GN74" s="35">
        <f>IF(N('Dvd Calendar'!$Z$700)=0,"",IF(('Dvd Calendar'!$Z$700&gt;=GRID_FROM)*('Dvd Calendar'!$Z$700&lt;=GRID_TO)*('Dvd Calendar'!$Z$700&gt;VAL_DATE)=0,"",'Dvd Calendar'!$Z$700*1000000000+ISNUMBER('Dvd Calendar'!$Z$701)*100000000+0*10000000+(N('Dvd Calendar'!$Z$699)&gt;0)*(N('Dvd Calendar'!$Z$699)&lt;=VAL_SERIAL)*1000000+63*1000+62))</f>
        <v/>
      </c>
      <c r="GO74" s="35">
        <f>IF(N('Dvd Calendar'!$AA$700)=0,"",IF(('Dvd Calendar'!$AA$700&gt;=GRID_FROM)*('Dvd Calendar'!$AA$700&lt;=GRID_TO)*('Dvd Calendar'!$AA$700&gt;VAL_DATE)=0,"",'Dvd Calendar'!$AA$700*1000000000+ISNUMBER('Dvd Calendar'!$AA$701)*100000000+0*10000000+(N('Dvd Calendar'!$AA$699)&gt;0)*(N('Dvd Calendar'!$AA$699)&lt;=VAL_SERIAL)*1000000+63*1000+63))</f>
        <v/>
      </c>
      <c r="GP74" s="35">
        <f>IF(N('Dvd Calendar'!$AB$700)=0,"",IF(('Dvd Calendar'!$AB$700&gt;=GRID_FROM)*('Dvd Calendar'!$AB$700&lt;=GRID_TO)*('Dvd Calendar'!$AB$700&gt;VAL_DATE)=0,"",'Dvd Calendar'!$AB$700*1000000000+ISNUMBER('Dvd Calendar'!$AB$701)*100000000+0*10000000+(N('Dvd Calendar'!$AB$699)&gt;0)*(N('Dvd Calendar'!$AB$699)&lt;=VAL_SERIAL)*1000000+63*1000+64))</f>
        <v/>
      </c>
      <c r="GQ74" s="35">
        <f>IF(N('Dvd Calendar'!$AC$700)=0,"",IF(('Dvd Calendar'!$AC$700&gt;=GRID_FROM)*('Dvd Calendar'!$AC$700&lt;=GRID_TO)*('Dvd Calendar'!$AC$700&gt;VAL_DATE)=0,"",'Dvd Calendar'!$AC$700*1000000000+ISNUMBER('Dvd Calendar'!$AC$701)*100000000+0*10000000+(N('Dvd Calendar'!$AC$699)&gt;0)*(N('Dvd Calendar'!$AC$699)&lt;=VAL_SERIAL)*1000000+63*1000+65))</f>
        <v/>
      </c>
    </row>
    <row r="75">
      <c r="B75" s="2">
        <f>IF(HSI!$C$70="","",HSI!$C$70)</f>
        <v/>
      </c>
      <c r="C75" s="106">
        <f>IF(EE75="","",IF(ISNUMBER('Dvd Calendar'!$E$707)=FALSE,"",IF((('Dvd Calendar'!$E$709=TYPE1)*(TYPE1&lt;&gt;"")+('Dvd Calendar'!$E$709=TYPE2)*(TYPE2&lt;&gt;"")+('Dvd Calendar'!$E$709=TYPE3)*(TYPE3&lt;&gt;"")+('Dvd Calendar'!$E$709=TYPE4)*(TYPE4&lt;&gt;"")+('Dvd Calendar'!$E$709=SPECIAL_LBL)*(INC_SPECIALS="Y"))=0,"",'Dvd Calendar'!$E$707)))</f>
        <v/>
      </c>
      <c r="D75" s="106">
        <f>IF(EF75="","",IF(ISNUMBER('Dvd Calendar'!$F$707)=FALSE,"",IF((('Dvd Calendar'!$F$709=TYPE1)*(TYPE1&lt;&gt;"")+('Dvd Calendar'!$F$709=TYPE2)*(TYPE2&lt;&gt;"")+('Dvd Calendar'!$F$709=TYPE3)*(TYPE3&lt;&gt;"")+('Dvd Calendar'!$F$709=TYPE4)*(TYPE4&lt;&gt;"")+('Dvd Calendar'!$F$709=SPECIAL_LBL)*(INC_SPECIALS="Y"))=0,"",'Dvd Calendar'!$F$707)))</f>
        <v/>
      </c>
      <c r="E75" s="106">
        <f>IF(EG75="","",IF(ISNUMBER('Dvd Calendar'!$G$707)=FALSE,"",IF((('Dvd Calendar'!$G$709=TYPE1)*(TYPE1&lt;&gt;"")+('Dvd Calendar'!$G$709=TYPE2)*(TYPE2&lt;&gt;"")+('Dvd Calendar'!$G$709=TYPE3)*(TYPE3&lt;&gt;"")+('Dvd Calendar'!$G$709=TYPE4)*(TYPE4&lt;&gt;"")+('Dvd Calendar'!$G$709=SPECIAL_LBL)*(INC_SPECIALS="Y"))=0,"",'Dvd Calendar'!$G$707)))</f>
        <v/>
      </c>
      <c r="F75" s="106">
        <f>IF(EH75="","",IF(ISNUMBER('Dvd Calendar'!$H$707)=FALSE,"",IF((('Dvd Calendar'!$H$709=TYPE1)*(TYPE1&lt;&gt;"")+('Dvd Calendar'!$H$709=TYPE2)*(TYPE2&lt;&gt;"")+('Dvd Calendar'!$H$709=TYPE3)*(TYPE3&lt;&gt;"")+('Dvd Calendar'!$H$709=TYPE4)*(TYPE4&lt;&gt;"")+('Dvd Calendar'!$H$709=SPECIAL_LBL)*(INC_SPECIALS="Y"))=0,"",'Dvd Calendar'!$H$707)))</f>
        <v/>
      </c>
      <c r="G75" s="106">
        <f>IF(EI75="","",IF(ISNUMBER('Dvd Calendar'!$I$707)=FALSE,"",IF((('Dvd Calendar'!$I$709=TYPE1)*(TYPE1&lt;&gt;"")+('Dvd Calendar'!$I$709=TYPE2)*(TYPE2&lt;&gt;"")+('Dvd Calendar'!$I$709=TYPE3)*(TYPE3&lt;&gt;"")+('Dvd Calendar'!$I$709=TYPE4)*(TYPE4&lt;&gt;"")+('Dvd Calendar'!$I$709=SPECIAL_LBL)*(INC_SPECIALS="Y"))=0,"",'Dvd Calendar'!$I$707)))</f>
        <v/>
      </c>
      <c r="H75" s="106">
        <f>IF(EJ75="","",IF(ISNUMBER('Dvd Calendar'!$J$707)=FALSE,"",IF((('Dvd Calendar'!$J$709=TYPE1)*(TYPE1&lt;&gt;"")+('Dvd Calendar'!$J$709=TYPE2)*(TYPE2&lt;&gt;"")+('Dvd Calendar'!$J$709=TYPE3)*(TYPE3&lt;&gt;"")+('Dvd Calendar'!$J$709=TYPE4)*(TYPE4&lt;&gt;"")+('Dvd Calendar'!$J$709=SPECIAL_LBL)*(INC_SPECIALS="Y"))=0,"",'Dvd Calendar'!$J$707)))</f>
        <v/>
      </c>
      <c r="I75" s="106">
        <f>IF(EK75="","",IF(ISNUMBER('Dvd Calendar'!$K$707)=FALSE,"",IF((('Dvd Calendar'!$K$709=TYPE1)*(TYPE1&lt;&gt;"")+('Dvd Calendar'!$K$709=TYPE2)*(TYPE2&lt;&gt;"")+('Dvd Calendar'!$K$709=TYPE3)*(TYPE3&lt;&gt;"")+('Dvd Calendar'!$K$709=TYPE4)*(TYPE4&lt;&gt;"")+('Dvd Calendar'!$K$709=SPECIAL_LBL)*(INC_SPECIALS="Y"))=0,"",'Dvd Calendar'!$K$707)))</f>
        <v/>
      </c>
      <c r="J75" s="106">
        <f>IF(EL75="","",IF(ISNUMBER('Dvd Calendar'!$L$707)=FALSE,"",IF((('Dvd Calendar'!$L$709=TYPE1)*(TYPE1&lt;&gt;"")+('Dvd Calendar'!$L$709=TYPE2)*(TYPE2&lt;&gt;"")+('Dvd Calendar'!$L$709=TYPE3)*(TYPE3&lt;&gt;"")+('Dvd Calendar'!$L$709=TYPE4)*(TYPE4&lt;&gt;"")+('Dvd Calendar'!$L$709=SPECIAL_LBL)*(INC_SPECIALS="Y"))=0,"",'Dvd Calendar'!$L$707)))</f>
        <v/>
      </c>
      <c r="K75" s="106">
        <f>IF(EM75="","",IF(ISNUMBER('Dvd Calendar'!$M$707)=FALSE,"",IF((('Dvd Calendar'!$M$709=TYPE1)*(TYPE1&lt;&gt;"")+('Dvd Calendar'!$M$709=TYPE2)*(TYPE2&lt;&gt;"")+('Dvd Calendar'!$M$709=TYPE3)*(TYPE3&lt;&gt;"")+('Dvd Calendar'!$M$709=TYPE4)*(TYPE4&lt;&gt;"")+('Dvd Calendar'!$M$709=SPECIAL_LBL)*(INC_SPECIALS="Y"))=0,"",'Dvd Calendar'!$M$707)))</f>
        <v/>
      </c>
      <c r="L75" s="106">
        <f>IF(EN75="","",IF(ISNUMBER('Dvd Calendar'!$N$707)=FALSE,"",IF((('Dvd Calendar'!$N$709=TYPE1)*(TYPE1&lt;&gt;"")+('Dvd Calendar'!$N$709=TYPE2)*(TYPE2&lt;&gt;"")+('Dvd Calendar'!$N$709=TYPE3)*(TYPE3&lt;&gt;"")+('Dvd Calendar'!$N$709=TYPE4)*(TYPE4&lt;&gt;"")+('Dvd Calendar'!$N$709=SPECIAL_LBL)*(INC_SPECIALS="Y"))=0,"",'Dvd Calendar'!$N$707)))</f>
        <v/>
      </c>
      <c r="M75" s="106">
        <f>IF(EO75="","",IF(ISNUMBER('Dvd Calendar'!$O$707)=FALSE,"",IF((('Dvd Calendar'!$O$709=TYPE1)*(TYPE1&lt;&gt;"")+('Dvd Calendar'!$O$709=TYPE2)*(TYPE2&lt;&gt;"")+('Dvd Calendar'!$O$709=TYPE3)*(TYPE3&lt;&gt;"")+('Dvd Calendar'!$O$709=TYPE4)*(TYPE4&lt;&gt;"")+('Dvd Calendar'!$O$709=SPECIAL_LBL)*(INC_SPECIALS="Y"))=0,"",'Dvd Calendar'!$O$707)))</f>
        <v/>
      </c>
      <c r="N75" s="106">
        <f>IF(EP75="","",IF(ISNUMBER('Dvd Calendar'!$P$707)=FALSE,"",IF((('Dvd Calendar'!$P$709=TYPE1)*(TYPE1&lt;&gt;"")+('Dvd Calendar'!$P$709=TYPE2)*(TYPE2&lt;&gt;"")+('Dvd Calendar'!$P$709=TYPE3)*(TYPE3&lt;&gt;"")+('Dvd Calendar'!$P$709=TYPE4)*(TYPE4&lt;&gt;"")+('Dvd Calendar'!$P$709=SPECIAL_LBL)*(INC_SPECIALS="Y"))=0,"",'Dvd Calendar'!$P$707)))</f>
        <v/>
      </c>
      <c r="O75" s="106">
        <f>IF(EQ75="","",IF(ISNUMBER('Dvd Calendar'!$Q$707)=FALSE,"",IF((('Dvd Calendar'!$Q$709=TYPE1)*(TYPE1&lt;&gt;"")+('Dvd Calendar'!$Q$709=TYPE2)*(TYPE2&lt;&gt;"")+('Dvd Calendar'!$Q$709=TYPE3)*(TYPE3&lt;&gt;"")+('Dvd Calendar'!$Q$709=TYPE4)*(TYPE4&lt;&gt;"")+('Dvd Calendar'!$Q$709=SPECIAL_LBL)*(INC_SPECIALS="Y"))=0,"",'Dvd Calendar'!$Q$707)))</f>
        <v/>
      </c>
      <c r="P75" s="106">
        <f>IF(ER75="","",IF(ISNUMBER('Dvd Calendar'!$R$707)=FALSE,"",IF((('Dvd Calendar'!$R$709=TYPE1)*(TYPE1&lt;&gt;"")+('Dvd Calendar'!$R$709=TYPE2)*(TYPE2&lt;&gt;"")+('Dvd Calendar'!$R$709=TYPE3)*(TYPE3&lt;&gt;"")+('Dvd Calendar'!$R$709=TYPE4)*(TYPE4&lt;&gt;"")+('Dvd Calendar'!$R$709=SPECIAL_LBL)*(INC_SPECIALS="Y"))=0,"",'Dvd Calendar'!$R$707)))</f>
        <v/>
      </c>
      <c r="Q75" s="106">
        <f>IF(ES75="","",IF(ISNUMBER('Dvd Calendar'!$S$707)=FALSE,"",IF((('Dvd Calendar'!$S$709=TYPE1)*(TYPE1&lt;&gt;"")+('Dvd Calendar'!$S$709=TYPE2)*(TYPE2&lt;&gt;"")+('Dvd Calendar'!$S$709=TYPE3)*(TYPE3&lt;&gt;"")+('Dvd Calendar'!$S$709=TYPE4)*(TYPE4&lt;&gt;"")+('Dvd Calendar'!$S$709=SPECIAL_LBL)*(INC_SPECIALS="Y"))=0,"",'Dvd Calendar'!$S$707)))</f>
        <v/>
      </c>
      <c r="R75" s="106">
        <f>IF(ET75="","",IF(ISNUMBER('Dvd Calendar'!$T$707)=FALSE,"",IF((('Dvd Calendar'!$T$709=TYPE1)*(TYPE1&lt;&gt;"")+('Dvd Calendar'!$T$709=TYPE2)*(TYPE2&lt;&gt;"")+('Dvd Calendar'!$T$709=TYPE3)*(TYPE3&lt;&gt;"")+('Dvd Calendar'!$T$709=TYPE4)*(TYPE4&lt;&gt;"")+('Dvd Calendar'!$T$709=SPECIAL_LBL)*(INC_SPECIALS="Y"))=0,"",'Dvd Calendar'!$T$707)))</f>
        <v/>
      </c>
      <c r="S75" s="106">
        <f>IF(EU75="","",IF(ISNUMBER('Dvd Calendar'!$U$707)=FALSE,"",IF((('Dvd Calendar'!$U$709=TYPE1)*(TYPE1&lt;&gt;"")+('Dvd Calendar'!$U$709=TYPE2)*(TYPE2&lt;&gt;"")+('Dvd Calendar'!$U$709=TYPE3)*(TYPE3&lt;&gt;"")+('Dvd Calendar'!$U$709=TYPE4)*(TYPE4&lt;&gt;"")+('Dvd Calendar'!$U$709=SPECIAL_LBL)*(INC_SPECIALS="Y"))=0,"",'Dvd Calendar'!$U$707)))</f>
        <v/>
      </c>
      <c r="T75" s="106">
        <f>IF(EV75="","",IF(ISNUMBER('Dvd Calendar'!$V$707)=FALSE,"",IF((('Dvd Calendar'!$V$709=TYPE1)*(TYPE1&lt;&gt;"")+('Dvd Calendar'!$V$709=TYPE2)*(TYPE2&lt;&gt;"")+('Dvd Calendar'!$V$709=TYPE3)*(TYPE3&lt;&gt;"")+('Dvd Calendar'!$V$709=TYPE4)*(TYPE4&lt;&gt;"")+('Dvd Calendar'!$V$709=SPECIAL_LBL)*(INC_SPECIALS="Y"))=0,"",'Dvd Calendar'!$V$707)))</f>
        <v/>
      </c>
      <c r="U75" s="106">
        <f>IF(EW75="","",IF(ISNUMBER('Dvd Calendar'!$W$707)=FALSE,"",IF((('Dvd Calendar'!$W$709=TYPE1)*(TYPE1&lt;&gt;"")+('Dvd Calendar'!$W$709=TYPE2)*(TYPE2&lt;&gt;"")+('Dvd Calendar'!$W$709=TYPE3)*(TYPE3&lt;&gt;"")+('Dvd Calendar'!$W$709=TYPE4)*(TYPE4&lt;&gt;"")+('Dvd Calendar'!$W$709=SPECIAL_LBL)*(INC_SPECIALS="Y"))=0,"",'Dvd Calendar'!$W$707)))</f>
        <v/>
      </c>
      <c r="V75" s="106">
        <f>IF(EX75="","",IF(ISNUMBER('Dvd Calendar'!$X$707)=FALSE,"",IF((('Dvd Calendar'!$X$709=TYPE1)*(TYPE1&lt;&gt;"")+('Dvd Calendar'!$X$709=TYPE2)*(TYPE2&lt;&gt;"")+('Dvd Calendar'!$X$709=TYPE3)*(TYPE3&lt;&gt;"")+('Dvd Calendar'!$X$709=TYPE4)*(TYPE4&lt;&gt;"")+('Dvd Calendar'!$X$709=SPECIAL_LBL)*(INC_SPECIALS="Y"))=0,"",'Dvd Calendar'!$X$707)))</f>
        <v/>
      </c>
      <c r="W75" s="106">
        <f>IF(EY75="","",IF(ISNUMBER('Dvd Calendar'!$Y$707)=FALSE,"",IF((('Dvd Calendar'!$Y$709=TYPE1)*(TYPE1&lt;&gt;"")+('Dvd Calendar'!$Y$709=TYPE2)*(TYPE2&lt;&gt;"")+('Dvd Calendar'!$Y$709=TYPE3)*(TYPE3&lt;&gt;"")+('Dvd Calendar'!$Y$709=TYPE4)*(TYPE4&lt;&gt;"")+('Dvd Calendar'!$Y$709=SPECIAL_LBL)*(INC_SPECIALS="Y"))=0,"",'Dvd Calendar'!$Y$707)))</f>
        <v/>
      </c>
      <c r="X75" s="106">
        <f>IF(EZ75="","",IF(ISNUMBER('Dvd Calendar'!$Z$707)=FALSE,"",IF((('Dvd Calendar'!$Z$709=TYPE1)*(TYPE1&lt;&gt;"")+('Dvd Calendar'!$Z$709=TYPE2)*(TYPE2&lt;&gt;"")+('Dvd Calendar'!$Z$709=TYPE3)*(TYPE3&lt;&gt;"")+('Dvd Calendar'!$Z$709=TYPE4)*(TYPE4&lt;&gt;"")+('Dvd Calendar'!$Z$709=SPECIAL_LBL)*(INC_SPECIALS="Y"))=0,"",'Dvd Calendar'!$Z$707)))</f>
        <v/>
      </c>
      <c r="Y75" s="106">
        <f>IF(FA75="","",IF(ISNUMBER('Dvd Calendar'!$AA$707)=FALSE,"",IF((('Dvd Calendar'!$AA$709=TYPE1)*(TYPE1&lt;&gt;"")+('Dvd Calendar'!$AA$709=TYPE2)*(TYPE2&lt;&gt;"")+('Dvd Calendar'!$AA$709=TYPE3)*(TYPE3&lt;&gt;"")+('Dvd Calendar'!$AA$709=TYPE4)*(TYPE4&lt;&gt;"")+('Dvd Calendar'!$AA$709=SPECIAL_LBL)*(INC_SPECIALS="Y"))=0,"",'Dvd Calendar'!$AA$707)))</f>
        <v/>
      </c>
      <c r="Z75" s="106">
        <f>IF(FB75="","",IF(ISNUMBER('Dvd Calendar'!$AB$707)=FALSE,"",IF((('Dvd Calendar'!$AB$709=TYPE1)*(TYPE1&lt;&gt;"")+('Dvd Calendar'!$AB$709=TYPE2)*(TYPE2&lt;&gt;"")+('Dvd Calendar'!$AB$709=TYPE3)*(TYPE3&lt;&gt;"")+('Dvd Calendar'!$AB$709=TYPE4)*(TYPE4&lt;&gt;"")+('Dvd Calendar'!$AB$709=SPECIAL_LBL)*(INC_SPECIALS="Y"))=0,"",'Dvd Calendar'!$AB$707)))</f>
        <v/>
      </c>
      <c r="AA75" s="106">
        <f>IF(FC75="","",IF(ISNUMBER('Dvd Calendar'!$AC$707)=FALSE,"",IF((('Dvd Calendar'!$AC$709=TYPE1)*(TYPE1&lt;&gt;"")+('Dvd Calendar'!$AC$709=TYPE2)*(TYPE2&lt;&gt;"")+('Dvd Calendar'!$AC$709=TYPE3)*(TYPE3&lt;&gt;"")+('Dvd Calendar'!$AC$709=TYPE4)*(TYPE4&lt;&gt;"")+('Dvd Calendar'!$AC$709=SPECIAL_LBL)*(INC_SPECIALS="Y"))=0,"",'Dvd Calendar'!$AC$707)))</f>
        <v/>
      </c>
      <c r="AB75" s="106">
        <f>IF(FD75="","",IF(ISNUMBER('Dvd Calendar'!$AD$707)=FALSE,"",IF((('Dvd Calendar'!$AD$709=TYPE1)*(TYPE1&lt;&gt;"")+('Dvd Calendar'!$AD$709=TYPE2)*(TYPE2&lt;&gt;"")+('Dvd Calendar'!$AD$709=TYPE3)*(TYPE3&lt;&gt;"")+('Dvd Calendar'!$AD$709=TYPE4)*(TYPE4&lt;&gt;"")+('Dvd Calendar'!$AD$709=SPECIAL_LBL)*(INC_SPECIALS="Y"))=0,"",'Dvd Calendar'!$AD$707)))</f>
        <v/>
      </c>
      <c r="AC75" s="106">
        <f>IF(FE75="","",IF(ISNUMBER('Dvd Calendar'!$AE$707)=FALSE,"",IF((('Dvd Calendar'!$AE$709=TYPE1)*(TYPE1&lt;&gt;"")+('Dvd Calendar'!$AE$709=TYPE2)*(TYPE2&lt;&gt;"")+('Dvd Calendar'!$AE$709=TYPE3)*(TYPE3&lt;&gt;"")+('Dvd Calendar'!$AE$709=TYPE4)*(TYPE4&lt;&gt;"")+('Dvd Calendar'!$AE$709=SPECIAL_LBL)*(INC_SPECIALS="Y"))=0,"",'Dvd Calendar'!$AE$707)))</f>
        <v/>
      </c>
      <c r="AD75" s="106">
        <f>IF(FF75="","",IF(ISNUMBER('Dvd Calendar'!$AF$707)=FALSE,"",IF((('Dvd Calendar'!$AF$709=TYPE1)*(TYPE1&lt;&gt;"")+('Dvd Calendar'!$AF$709=TYPE2)*(TYPE2&lt;&gt;"")+('Dvd Calendar'!$AF$709=TYPE3)*(TYPE3&lt;&gt;"")+('Dvd Calendar'!$AF$709=TYPE4)*(TYPE4&lt;&gt;"")+('Dvd Calendar'!$AF$709=SPECIAL_LBL)*(INC_SPECIALS="Y"))=0,"",'Dvd Calendar'!$AF$707)))</f>
        <v/>
      </c>
      <c r="AE75" s="106">
        <f>IF(FG75="","",IF(ISNUMBER('Dvd Calendar'!$AG$707)=FALSE,"",IF((('Dvd Calendar'!$AG$709=TYPE1)*(TYPE1&lt;&gt;"")+('Dvd Calendar'!$AG$709=TYPE2)*(TYPE2&lt;&gt;"")+('Dvd Calendar'!$AG$709=TYPE3)*(TYPE3&lt;&gt;"")+('Dvd Calendar'!$AG$709=TYPE4)*(TYPE4&lt;&gt;"")+('Dvd Calendar'!$AG$709=SPECIAL_LBL)*(INC_SPECIALS="Y"))=0,"",'Dvd Calendar'!$AG$707)))</f>
        <v/>
      </c>
      <c r="AF75" s="106">
        <f>IF(FH75="","",IF(ISNUMBER('Dvd Calendar'!$AH$707)=FALSE,"",IF((('Dvd Calendar'!$AH$709=TYPE1)*(TYPE1&lt;&gt;"")+('Dvd Calendar'!$AH$709=TYPE2)*(TYPE2&lt;&gt;"")+('Dvd Calendar'!$AH$709=TYPE3)*(TYPE3&lt;&gt;"")+('Dvd Calendar'!$AH$709=TYPE4)*(TYPE4&lt;&gt;"")+('Dvd Calendar'!$AH$709=SPECIAL_LBL)*(INC_SPECIALS="Y"))=0,"",'Dvd Calendar'!$AH$707)))</f>
        <v/>
      </c>
      <c r="AG75" s="106">
        <f>IF(FI75="","",IF(ISNUMBER('Dvd Calendar'!$AI$707)=FALSE,"",IF((('Dvd Calendar'!$AI$709=TYPE1)*(TYPE1&lt;&gt;"")+('Dvd Calendar'!$AI$709=TYPE2)*(TYPE2&lt;&gt;"")+('Dvd Calendar'!$AI$709=TYPE3)*(TYPE3&lt;&gt;"")+('Dvd Calendar'!$AI$709=TYPE4)*(TYPE4&lt;&gt;"")+('Dvd Calendar'!$AI$709=SPECIAL_LBL)*(INC_SPECIALS="Y"))=0,"",'Dvd Calendar'!$AI$707)))</f>
        <v/>
      </c>
      <c r="AH75" s="106">
        <f>IF(FJ75="","",IF(ISNUMBER('Dvd Calendar'!$AJ$707)=FALSE,"",IF((('Dvd Calendar'!$AJ$709=TYPE1)*(TYPE1&lt;&gt;"")+('Dvd Calendar'!$AJ$709=TYPE2)*(TYPE2&lt;&gt;"")+('Dvd Calendar'!$AJ$709=TYPE3)*(TYPE3&lt;&gt;"")+('Dvd Calendar'!$AJ$709=TYPE4)*(TYPE4&lt;&gt;"")+('Dvd Calendar'!$AJ$709=SPECIAL_LBL)*(INC_SPECIALS="Y"))=0,"",'Dvd Calendar'!$AJ$707)))</f>
        <v/>
      </c>
      <c r="AI75" s="106">
        <f>IF(FK75="","",IF(ISNUMBER('Dvd Calendar'!$AK$707)=FALSE,"",IF((('Dvd Calendar'!$AK$709=TYPE1)*(TYPE1&lt;&gt;"")+('Dvd Calendar'!$AK$709=TYPE2)*(TYPE2&lt;&gt;"")+('Dvd Calendar'!$AK$709=TYPE3)*(TYPE3&lt;&gt;"")+('Dvd Calendar'!$AK$709=TYPE4)*(TYPE4&lt;&gt;"")+('Dvd Calendar'!$AK$709=SPECIAL_LBL)*(INC_SPECIALS="Y"))=0,"",'Dvd Calendar'!$AK$707)))</f>
        <v/>
      </c>
      <c r="AJ75" s="106">
        <f>IF(FL75="","",IF(ISNUMBER('Dvd Calendar'!$AL$707)=FALSE,"",IF((('Dvd Calendar'!$AL$709=TYPE1)*(TYPE1&lt;&gt;"")+('Dvd Calendar'!$AL$709=TYPE2)*(TYPE2&lt;&gt;"")+('Dvd Calendar'!$AL$709=TYPE3)*(TYPE3&lt;&gt;"")+('Dvd Calendar'!$AL$709=TYPE4)*(TYPE4&lt;&gt;"")+('Dvd Calendar'!$AL$709=SPECIAL_LBL)*(INC_SPECIALS="Y"))=0,"",'Dvd Calendar'!$AL$707)))</f>
        <v/>
      </c>
      <c r="AK75" s="106">
        <f>IF(FM75="","",IF(ISNUMBER('Dvd Calendar'!$AM$707)=FALSE,"",IF((('Dvd Calendar'!$AM$709=TYPE1)*(TYPE1&lt;&gt;"")+('Dvd Calendar'!$AM$709=TYPE2)*(TYPE2&lt;&gt;"")+('Dvd Calendar'!$AM$709=TYPE3)*(TYPE3&lt;&gt;"")+('Dvd Calendar'!$AM$709=TYPE4)*(TYPE4&lt;&gt;"")+('Dvd Calendar'!$AM$709=SPECIAL_LBL)*(INC_SPECIALS="Y"))=0,"",'Dvd Calendar'!$AM$707)))</f>
        <v/>
      </c>
      <c r="AL75" s="106">
        <f>IF(FN75="","",IF(ISNUMBER('Dvd Calendar'!$AN$707)=FALSE,"",IF((('Dvd Calendar'!$AN$709=TYPE1)*(TYPE1&lt;&gt;"")+('Dvd Calendar'!$AN$709=TYPE2)*(TYPE2&lt;&gt;"")+('Dvd Calendar'!$AN$709=TYPE3)*(TYPE3&lt;&gt;"")+('Dvd Calendar'!$AN$709=TYPE4)*(TYPE4&lt;&gt;"")+('Dvd Calendar'!$AN$709=SPECIAL_LBL)*(INC_SPECIALS="Y"))=0,"",'Dvd Calendar'!$AN$707)))</f>
        <v/>
      </c>
      <c r="AM75" s="106">
        <f>IF(FO75="","",IF(ISNUMBER('Dvd Calendar'!$AO$707)=FALSE,"",IF((('Dvd Calendar'!$AO$709=TYPE1)*(TYPE1&lt;&gt;"")+('Dvd Calendar'!$AO$709=TYPE2)*(TYPE2&lt;&gt;"")+('Dvd Calendar'!$AO$709=TYPE3)*(TYPE3&lt;&gt;"")+('Dvd Calendar'!$AO$709=TYPE4)*(TYPE4&lt;&gt;"")+('Dvd Calendar'!$AO$709=SPECIAL_LBL)*(INC_SPECIALS="Y"))=0,"",'Dvd Calendar'!$AO$707)))</f>
        <v/>
      </c>
      <c r="AN75" s="106">
        <f>IF(FP75="","",IF(ISNUMBER('Dvd Calendar'!$AP$707)=FALSE,"",IF((('Dvd Calendar'!$AP$709=TYPE1)*(TYPE1&lt;&gt;"")+('Dvd Calendar'!$AP$709=TYPE2)*(TYPE2&lt;&gt;"")+('Dvd Calendar'!$AP$709=TYPE3)*(TYPE3&lt;&gt;"")+('Dvd Calendar'!$AP$709=TYPE4)*(TYPE4&lt;&gt;"")+('Dvd Calendar'!$AP$709=SPECIAL_LBL)*(INC_SPECIALS="Y"))=0,"",'Dvd Calendar'!$AP$707)))</f>
        <v/>
      </c>
      <c r="AO75" s="106">
        <f>IF(FQ75="","",IF(ISNUMBER('Dvd Calendar'!$AQ$707)=FALSE,"",IF((('Dvd Calendar'!$AQ$709=TYPE1)*(TYPE1&lt;&gt;"")+('Dvd Calendar'!$AQ$709=TYPE2)*(TYPE2&lt;&gt;"")+('Dvd Calendar'!$AQ$709=TYPE3)*(TYPE3&lt;&gt;"")+('Dvd Calendar'!$AQ$709=TYPE4)*(TYPE4&lt;&gt;"")+('Dvd Calendar'!$AQ$709=SPECIAL_LBL)*(INC_SPECIALS="Y"))=0,"",'Dvd Calendar'!$AQ$707)))</f>
        <v/>
      </c>
      <c r="AP75" s="106">
        <f>IF(FR75="","",IF(ISNUMBER('Dvd Calendar'!$AR$707)=FALSE,"",IF((('Dvd Calendar'!$AR$709=TYPE1)*(TYPE1&lt;&gt;"")+('Dvd Calendar'!$AR$709=TYPE2)*(TYPE2&lt;&gt;"")+('Dvd Calendar'!$AR$709=TYPE3)*(TYPE3&lt;&gt;"")+('Dvd Calendar'!$AR$709=TYPE4)*(TYPE4&lt;&gt;"")+('Dvd Calendar'!$AR$709=SPECIAL_LBL)*(INC_SPECIALS="Y"))=0,"",'Dvd Calendar'!$AR$707)))</f>
        <v/>
      </c>
      <c r="AQ75" s="106">
        <f>IF(FS75="","",IF(ISNUMBER('Dvd Calendar'!$E$712)=FALSE,"",'Dvd Calendar'!$E$712))</f>
        <v/>
      </c>
      <c r="AR75" s="106">
        <f>IF(FT75="","",IF(ISNUMBER('Dvd Calendar'!$F$712)=FALSE,"",'Dvd Calendar'!$F$712))</f>
        <v/>
      </c>
      <c r="AS75" s="106">
        <f>IF(FU75="","",IF(ISNUMBER('Dvd Calendar'!$G$712)=FALSE,"",'Dvd Calendar'!$G$712))</f>
        <v/>
      </c>
      <c r="AT75" s="106">
        <f>IF(FV75="","",IF(ISNUMBER('Dvd Calendar'!$H$712)=FALSE,"",'Dvd Calendar'!$H$712))</f>
        <v/>
      </c>
      <c r="AU75" s="106">
        <f>IF(FW75="","",IF(ISNUMBER('Dvd Calendar'!$I$712)=FALSE,"",'Dvd Calendar'!$I$712))</f>
        <v/>
      </c>
      <c r="AV75" s="106">
        <f>IF(FX75="","",IF(ISNUMBER('Dvd Calendar'!$J$712)=FALSE,"",'Dvd Calendar'!$J$712))</f>
        <v/>
      </c>
      <c r="AW75" s="106">
        <f>IF(FY75="","",IF(ISNUMBER('Dvd Calendar'!$K$712)=FALSE,"",'Dvd Calendar'!$K$712))</f>
        <v/>
      </c>
      <c r="AX75" s="106">
        <f>IF(FZ75="","",IF(ISNUMBER('Dvd Calendar'!$L$712)=FALSE,"",'Dvd Calendar'!$L$712))</f>
        <v/>
      </c>
      <c r="AY75" s="106">
        <f>IF(GA75="","",IF(ISNUMBER('Dvd Calendar'!$M$712)=FALSE,"",'Dvd Calendar'!$M$712))</f>
        <v/>
      </c>
      <c r="AZ75" s="106">
        <f>IF(GB75="","",IF(ISNUMBER('Dvd Calendar'!$N$712)=FALSE,"",'Dvd Calendar'!$N$712))</f>
        <v/>
      </c>
      <c r="BA75" s="106">
        <f>IF(GC75="","",IF(ISNUMBER('Dvd Calendar'!$O$712)=FALSE,"",'Dvd Calendar'!$O$712))</f>
        <v/>
      </c>
      <c r="BB75" s="106">
        <f>IF(GD75="","",IF(ISNUMBER('Dvd Calendar'!$P$712)=FALSE,"",'Dvd Calendar'!$P$712))</f>
        <v/>
      </c>
      <c r="BC75" s="106">
        <f>IF(GE75="","",IF(ISNUMBER('Dvd Calendar'!$Q$712)=FALSE,"",'Dvd Calendar'!$Q$712))</f>
        <v/>
      </c>
      <c r="BD75" s="106">
        <f>IF(GF75="","",IF(ISNUMBER('Dvd Calendar'!$R$712)=FALSE,"",'Dvd Calendar'!$R$712))</f>
        <v/>
      </c>
      <c r="BE75" s="106">
        <f>IF(GG75="","",IF(ISNUMBER('Dvd Calendar'!$S$712)=FALSE,"",'Dvd Calendar'!$S$712))</f>
        <v/>
      </c>
      <c r="BF75" s="106">
        <f>IF(GH75="","",IF(ISNUMBER('Dvd Calendar'!$T$712)=FALSE,"",'Dvd Calendar'!$T$712))</f>
        <v/>
      </c>
      <c r="BG75" s="106">
        <f>IF(GI75="","",IF(ISNUMBER('Dvd Calendar'!$U$712)=FALSE,"",'Dvd Calendar'!$U$712))</f>
        <v/>
      </c>
      <c r="BH75" s="106">
        <f>IF(GJ75="","",IF(ISNUMBER('Dvd Calendar'!$V$712)=FALSE,"",'Dvd Calendar'!$V$712))</f>
        <v/>
      </c>
      <c r="BI75" s="106">
        <f>IF(GK75="","",IF(ISNUMBER('Dvd Calendar'!$W$712)=FALSE,"",'Dvd Calendar'!$W$712))</f>
        <v/>
      </c>
      <c r="BJ75" s="106">
        <f>IF(GL75="","",IF(ISNUMBER('Dvd Calendar'!$X$712)=FALSE,"",'Dvd Calendar'!$X$712))</f>
        <v/>
      </c>
      <c r="BK75" s="106">
        <f>IF(GM75="","",IF(ISNUMBER('Dvd Calendar'!$Y$712)=FALSE,"",'Dvd Calendar'!$Y$712))</f>
        <v/>
      </c>
      <c r="BL75" s="106">
        <f>IF(GN75="","",IF(ISNUMBER('Dvd Calendar'!$Z$712)=FALSE,"",'Dvd Calendar'!$Z$712))</f>
        <v/>
      </c>
      <c r="BM75" s="106">
        <f>IF(GO75="","",IF(ISNUMBER('Dvd Calendar'!$AA$712)=FALSE,"",'Dvd Calendar'!$AA$712))</f>
        <v/>
      </c>
      <c r="BN75" s="106">
        <f>IF(GP75="","",IF(ISNUMBER('Dvd Calendar'!$AB$712)=FALSE,"",'Dvd Calendar'!$AB$712))</f>
        <v/>
      </c>
      <c r="BO75" s="106">
        <f>IF(GQ75="","",IF(ISNUMBER('Dvd Calendar'!$AC$712)=FALSE,"",'Dvd Calendar'!$AC$712))</f>
        <v/>
      </c>
      <c r="BQ75" s="106">
        <f>IF(C75="","",IFERROR(C75*HSI!$B$70*HSI!$G$70/HSI!$B$3,""))</f>
        <v/>
      </c>
      <c r="BR75" s="106">
        <f>IF(D75="","",IFERROR(D75*HSI!$B$70*HSI!$G$70/HSI!$B$3,""))</f>
        <v/>
      </c>
      <c r="BS75" s="106">
        <f>IF(E75="","",IFERROR(E75*HSI!$B$70*HSI!$G$70/HSI!$B$3,""))</f>
        <v/>
      </c>
      <c r="BT75" s="106">
        <f>IF(F75="","",IFERROR(F75*HSI!$B$70*HSI!$G$70/HSI!$B$3,""))</f>
        <v/>
      </c>
      <c r="BU75" s="106">
        <f>IF(G75="","",IFERROR(G75*HSI!$B$70*HSI!$G$70/HSI!$B$3,""))</f>
        <v/>
      </c>
      <c r="BV75" s="106">
        <f>IF(H75="","",IFERROR(H75*HSI!$B$70*HSI!$G$70/HSI!$B$3,""))</f>
        <v/>
      </c>
      <c r="BW75" s="106">
        <f>IF(I75="","",IFERROR(I75*HSI!$B$70*HSI!$G$70/HSI!$B$3,""))</f>
        <v/>
      </c>
      <c r="BX75" s="106">
        <f>IF(J75="","",IFERROR(J75*HSI!$B$70*HSI!$G$70/HSI!$B$3,""))</f>
        <v/>
      </c>
      <c r="BY75" s="106">
        <f>IF(K75="","",IFERROR(K75*HSI!$B$70*HSI!$G$70/HSI!$B$3,""))</f>
        <v/>
      </c>
      <c r="BZ75" s="106">
        <f>IF(L75="","",IFERROR(L75*HSI!$B$70*HSI!$G$70/HSI!$B$3,""))</f>
        <v/>
      </c>
      <c r="CA75" s="106">
        <f>IF(M75="","",IFERROR(M75*HSI!$B$70*HSI!$G$70/HSI!$B$3,""))</f>
        <v/>
      </c>
      <c r="CB75" s="106">
        <f>IF(N75="","",IFERROR(N75*HSI!$B$70*HSI!$G$70/HSI!$B$3,""))</f>
        <v/>
      </c>
      <c r="CC75" s="106">
        <f>IF(O75="","",IFERROR(O75*HSI!$B$70*HSI!$G$70/HSI!$B$3,""))</f>
        <v/>
      </c>
      <c r="CD75" s="106">
        <f>IF(P75="","",IFERROR(P75*HSI!$B$70*HSI!$G$70/HSI!$B$3,""))</f>
        <v/>
      </c>
      <c r="CE75" s="106">
        <f>IF(Q75="","",IFERROR(Q75*HSI!$B$70*HSI!$G$70/HSI!$B$3,""))</f>
        <v/>
      </c>
      <c r="CF75" s="106">
        <f>IF(R75="","",IFERROR(R75*HSI!$B$70*HSI!$G$70/HSI!$B$3,""))</f>
        <v/>
      </c>
      <c r="CG75" s="106">
        <f>IF(S75="","",IFERROR(S75*HSI!$B$70*HSI!$G$70/HSI!$B$3,""))</f>
        <v/>
      </c>
      <c r="CH75" s="106">
        <f>IF(T75="","",IFERROR(T75*HSI!$B$70*HSI!$G$70/HSI!$B$3,""))</f>
        <v/>
      </c>
      <c r="CI75" s="106">
        <f>IF(U75="","",IFERROR(U75*HSI!$B$70*HSI!$G$70/HSI!$B$3,""))</f>
        <v/>
      </c>
      <c r="CJ75" s="106">
        <f>IF(V75="","",IFERROR(V75*HSI!$B$70*HSI!$G$70/HSI!$B$3,""))</f>
        <v/>
      </c>
      <c r="CK75" s="106">
        <f>IF(W75="","",IFERROR(W75*HSI!$B$70*HSI!$G$70/HSI!$B$3,""))</f>
        <v/>
      </c>
      <c r="CL75" s="106">
        <f>IF(X75="","",IFERROR(X75*HSI!$B$70*HSI!$G$70/HSI!$B$3,""))</f>
        <v/>
      </c>
      <c r="CM75" s="106">
        <f>IF(Y75="","",IFERROR(Y75*HSI!$B$70*HSI!$G$70/HSI!$B$3,""))</f>
        <v/>
      </c>
      <c r="CN75" s="106">
        <f>IF(Z75="","",IFERROR(Z75*HSI!$B$70*HSI!$G$70/HSI!$B$3,""))</f>
        <v/>
      </c>
      <c r="CO75" s="106">
        <f>IF(AA75="","",IFERROR(AA75*HSI!$B$70*HSI!$G$70/HSI!$B$3,""))</f>
        <v/>
      </c>
      <c r="CP75" s="106">
        <f>IF(AB75="","",IFERROR(AB75*HSI!$B$70*HSI!$G$70/HSI!$B$3,""))</f>
        <v/>
      </c>
      <c r="CQ75" s="106">
        <f>IF(AC75="","",IFERROR(AC75*HSI!$B$70*HSI!$G$70/HSI!$B$3,""))</f>
        <v/>
      </c>
      <c r="CR75" s="106">
        <f>IF(AD75="","",IFERROR(AD75*HSI!$B$70*HSI!$G$70/HSI!$B$3,""))</f>
        <v/>
      </c>
      <c r="CS75" s="106">
        <f>IF(AE75="","",IFERROR(AE75*HSI!$B$70*HSI!$G$70/HSI!$B$3,""))</f>
        <v/>
      </c>
      <c r="CT75" s="106">
        <f>IF(AF75="","",IFERROR(AF75*HSI!$B$70*HSI!$G$70/HSI!$B$3,""))</f>
        <v/>
      </c>
      <c r="CU75" s="106">
        <f>IF(AG75="","",IFERROR(AG75*HSI!$B$70*HSI!$G$70/HSI!$B$3,""))</f>
        <v/>
      </c>
      <c r="CV75" s="106">
        <f>IF(AH75="","",IFERROR(AH75*HSI!$B$70*HSI!$G$70/HSI!$B$3,""))</f>
        <v/>
      </c>
      <c r="CW75" s="106">
        <f>IF(AI75="","",IFERROR(AI75*HSI!$B$70*HSI!$G$70/HSI!$B$3,""))</f>
        <v/>
      </c>
      <c r="CX75" s="106">
        <f>IF(AJ75="","",IFERROR(AJ75*HSI!$B$70*HSI!$G$70/HSI!$B$3,""))</f>
        <v/>
      </c>
      <c r="CY75" s="106">
        <f>IF(AK75="","",IFERROR(AK75*HSI!$B$70*HSI!$G$70/HSI!$B$3,""))</f>
        <v/>
      </c>
      <c r="CZ75" s="106">
        <f>IF(AL75="","",IFERROR(AL75*HSI!$B$70*HSI!$G$70/HSI!$B$3,""))</f>
        <v/>
      </c>
      <c r="DA75" s="106">
        <f>IF(AM75="","",IFERROR(AM75*HSI!$B$70*HSI!$G$70/HSI!$B$3,""))</f>
        <v/>
      </c>
      <c r="DB75" s="106">
        <f>IF(AN75="","",IFERROR(AN75*HSI!$B$70*HSI!$G$70/HSI!$B$3,""))</f>
        <v/>
      </c>
      <c r="DC75" s="106">
        <f>IF(AO75="","",IFERROR(AO75*HSI!$B$70*HSI!$G$70/HSI!$B$3,""))</f>
        <v/>
      </c>
      <c r="DD75" s="106">
        <f>IF(AP75="","",IFERROR(AP75*HSI!$B$70*HSI!$G$70/HSI!$B$3,""))</f>
        <v/>
      </c>
      <c r="DE75" s="106">
        <f>IF(AQ75="","",IFERROR(AQ75*HSI!$B$70*HSI!$G$70/HSI!$B$3,""))</f>
        <v/>
      </c>
      <c r="DF75" s="106">
        <f>IF(AR75="","",IFERROR(AR75*HSI!$B$70*HSI!$G$70/HSI!$B$3,""))</f>
        <v/>
      </c>
      <c r="DG75" s="106">
        <f>IF(AS75="","",IFERROR(AS75*HSI!$B$70*HSI!$G$70/HSI!$B$3,""))</f>
        <v/>
      </c>
      <c r="DH75" s="106">
        <f>IF(AT75="","",IFERROR(AT75*HSI!$B$70*HSI!$G$70/HSI!$B$3,""))</f>
        <v/>
      </c>
      <c r="DI75" s="106">
        <f>IF(AU75="","",IFERROR(AU75*HSI!$B$70*HSI!$G$70/HSI!$B$3,""))</f>
        <v/>
      </c>
      <c r="DJ75" s="106">
        <f>IF(AV75="","",IFERROR(AV75*HSI!$B$70*HSI!$G$70/HSI!$B$3,""))</f>
        <v/>
      </c>
      <c r="DK75" s="106">
        <f>IF(AW75="","",IFERROR(AW75*HSI!$B$70*HSI!$G$70/HSI!$B$3,""))</f>
        <v/>
      </c>
      <c r="DL75" s="106">
        <f>IF(AX75="","",IFERROR(AX75*HSI!$B$70*HSI!$G$70/HSI!$B$3,""))</f>
        <v/>
      </c>
      <c r="DM75" s="106">
        <f>IF(AY75="","",IFERROR(AY75*HSI!$B$70*HSI!$G$70/HSI!$B$3,""))</f>
        <v/>
      </c>
      <c r="DN75" s="106">
        <f>IF(AZ75="","",IFERROR(AZ75*HSI!$B$70*HSI!$G$70/HSI!$B$3,""))</f>
        <v/>
      </c>
      <c r="DO75" s="106">
        <f>IF(BA75="","",IFERROR(BA75*HSI!$B$70*HSI!$G$70/HSI!$B$3,""))</f>
        <v/>
      </c>
      <c r="DP75" s="106">
        <f>IF(BB75="","",IFERROR(BB75*HSI!$B$70*HSI!$G$70/HSI!$B$3,""))</f>
        <v/>
      </c>
      <c r="DQ75" s="106">
        <f>IF(BC75="","",IFERROR(BC75*HSI!$B$70*HSI!$G$70/HSI!$B$3,""))</f>
        <v/>
      </c>
      <c r="DR75" s="106">
        <f>IF(BD75="","",IFERROR(BD75*HSI!$B$70*HSI!$G$70/HSI!$B$3,""))</f>
        <v/>
      </c>
      <c r="DS75" s="106">
        <f>IF(BE75="","",IFERROR(BE75*HSI!$B$70*HSI!$G$70/HSI!$B$3,""))</f>
        <v/>
      </c>
      <c r="DT75" s="106">
        <f>IF(BF75="","",IFERROR(BF75*HSI!$B$70*HSI!$G$70/HSI!$B$3,""))</f>
        <v/>
      </c>
      <c r="DU75" s="106">
        <f>IF(BG75="","",IFERROR(BG75*HSI!$B$70*HSI!$G$70/HSI!$B$3,""))</f>
        <v/>
      </c>
      <c r="DV75" s="106">
        <f>IF(BH75="","",IFERROR(BH75*HSI!$B$70*HSI!$G$70/HSI!$B$3,""))</f>
        <v/>
      </c>
      <c r="DW75" s="106">
        <f>IF(BI75="","",IFERROR(BI75*HSI!$B$70*HSI!$G$70/HSI!$B$3,""))</f>
        <v/>
      </c>
      <c r="DX75" s="106">
        <f>IF(BJ75="","",IFERROR(BJ75*HSI!$B$70*HSI!$G$70/HSI!$B$3,""))</f>
        <v/>
      </c>
      <c r="DY75" s="106">
        <f>IF(BK75="","",IFERROR(BK75*HSI!$B$70*HSI!$G$70/HSI!$B$3,""))</f>
        <v/>
      </c>
      <c r="DZ75" s="106">
        <f>IF(BL75="","",IFERROR(BL75*HSI!$B$70*HSI!$G$70/HSI!$B$3,""))</f>
        <v/>
      </c>
      <c r="EA75" s="106">
        <f>IF(BM75="","",IFERROR(BM75*HSI!$B$70*HSI!$G$70/HSI!$B$3,""))</f>
        <v/>
      </c>
      <c r="EB75" s="106">
        <f>IF(BN75="","",IFERROR(BN75*HSI!$B$70*HSI!$G$70/HSI!$B$3,""))</f>
        <v/>
      </c>
      <c r="EC75" s="106">
        <f>IF(BO75="","",IFERROR(BO75*HSI!$B$70*HSI!$G$70/HSI!$B$3,""))</f>
        <v/>
      </c>
      <c r="EE75" s="35">
        <f>IF(N('Dvd Calendar'!$E$704)=0,"",IF(('Dvd Calendar'!$E$704&gt;=GRID_FROM)*('Dvd Calendar'!$E$704&lt;=GRID_TO)*('Dvd Calendar'!$E$704&lt;=VAL_DATE)=0,"",'Dvd Calendar'!$E$704*1000000000+ISNUMBER('Dvd Calendar'!$E$707)*100000000+('Dvd Calendar'!$E$709=SPECIAL_LBL)*10000000+0*1000000+64*1000+1))</f>
        <v/>
      </c>
      <c r="EF75" s="35">
        <f>IF(N('Dvd Calendar'!$F$704)=0,"",IF(('Dvd Calendar'!$F$704&gt;=GRID_FROM)*('Dvd Calendar'!$F$704&lt;=GRID_TO)*('Dvd Calendar'!$F$704&lt;=VAL_DATE)=0,"",'Dvd Calendar'!$F$704*1000000000+ISNUMBER('Dvd Calendar'!$F$707)*100000000+('Dvd Calendar'!$F$709=SPECIAL_LBL)*10000000+0*1000000+64*1000+2))</f>
        <v/>
      </c>
      <c r="EG75" s="35">
        <f>IF(N('Dvd Calendar'!$G$704)=0,"",IF(('Dvd Calendar'!$G$704&gt;=GRID_FROM)*('Dvd Calendar'!$G$704&lt;=GRID_TO)*('Dvd Calendar'!$G$704&lt;=VAL_DATE)=0,"",'Dvd Calendar'!$G$704*1000000000+ISNUMBER('Dvd Calendar'!$G$707)*100000000+('Dvd Calendar'!$G$709=SPECIAL_LBL)*10000000+0*1000000+64*1000+3))</f>
        <v/>
      </c>
      <c r="EH75" s="35">
        <f>IF(N('Dvd Calendar'!$H$704)=0,"",IF(('Dvd Calendar'!$H$704&gt;=GRID_FROM)*('Dvd Calendar'!$H$704&lt;=GRID_TO)*('Dvd Calendar'!$H$704&lt;=VAL_DATE)=0,"",'Dvd Calendar'!$H$704*1000000000+ISNUMBER('Dvd Calendar'!$H$707)*100000000+('Dvd Calendar'!$H$709=SPECIAL_LBL)*10000000+0*1000000+64*1000+4))</f>
        <v/>
      </c>
      <c r="EI75" s="35">
        <f>IF(N('Dvd Calendar'!$I$704)=0,"",IF(('Dvd Calendar'!$I$704&gt;=GRID_FROM)*('Dvd Calendar'!$I$704&lt;=GRID_TO)*('Dvd Calendar'!$I$704&lt;=VAL_DATE)=0,"",'Dvd Calendar'!$I$704*1000000000+ISNUMBER('Dvd Calendar'!$I$707)*100000000+('Dvd Calendar'!$I$709=SPECIAL_LBL)*10000000+0*1000000+64*1000+5))</f>
        <v/>
      </c>
      <c r="EJ75" s="35">
        <f>IF(N('Dvd Calendar'!$J$704)=0,"",IF(('Dvd Calendar'!$J$704&gt;=GRID_FROM)*('Dvd Calendar'!$J$704&lt;=GRID_TO)*('Dvd Calendar'!$J$704&lt;=VAL_DATE)=0,"",'Dvd Calendar'!$J$704*1000000000+ISNUMBER('Dvd Calendar'!$J$707)*100000000+('Dvd Calendar'!$J$709=SPECIAL_LBL)*10000000+0*1000000+64*1000+6))</f>
        <v/>
      </c>
      <c r="EK75" s="35">
        <f>IF(N('Dvd Calendar'!$K$704)=0,"",IF(('Dvd Calendar'!$K$704&gt;=GRID_FROM)*('Dvd Calendar'!$K$704&lt;=GRID_TO)*('Dvd Calendar'!$K$704&lt;=VAL_DATE)=0,"",'Dvd Calendar'!$K$704*1000000000+ISNUMBER('Dvd Calendar'!$K$707)*100000000+('Dvd Calendar'!$K$709=SPECIAL_LBL)*10000000+0*1000000+64*1000+7))</f>
        <v/>
      </c>
      <c r="EL75" s="35">
        <f>IF(N('Dvd Calendar'!$L$704)=0,"",IF(('Dvd Calendar'!$L$704&gt;=GRID_FROM)*('Dvd Calendar'!$L$704&lt;=GRID_TO)*('Dvd Calendar'!$L$704&lt;=VAL_DATE)=0,"",'Dvd Calendar'!$L$704*1000000000+ISNUMBER('Dvd Calendar'!$L$707)*100000000+('Dvd Calendar'!$L$709=SPECIAL_LBL)*10000000+0*1000000+64*1000+8))</f>
        <v/>
      </c>
      <c r="EM75" s="35">
        <f>IF(N('Dvd Calendar'!$M$704)=0,"",IF(('Dvd Calendar'!$M$704&gt;=GRID_FROM)*('Dvd Calendar'!$M$704&lt;=GRID_TO)*('Dvd Calendar'!$M$704&lt;=VAL_DATE)=0,"",'Dvd Calendar'!$M$704*1000000000+ISNUMBER('Dvd Calendar'!$M$707)*100000000+('Dvd Calendar'!$M$709=SPECIAL_LBL)*10000000+0*1000000+64*1000+9))</f>
        <v/>
      </c>
      <c r="EN75" s="35">
        <f>IF(N('Dvd Calendar'!$N$704)=0,"",IF(('Dvd Calendar'!$N$704&gt;=GRID_FROM)*('Dvd Calendar'!$N$704&lt;=GRID_TO)*('Dvd Calendar'!$N$704&lt;=VAL_DATE)=0,"",'Dvd Calendar'!$N$704*1000000000+ISNUMBER('Dvd Calendar'!$N$707)*100000000+('Dvd Calendar'!$N$709=SPECIAL_LBL)*10000000+0*1000000+64*1000+10))</f>
        <v/>
      </c>
      <c r="EO75" s="35">
        <f>IF(N('Dvd Calendar'!$O$704)=0,"",IF(('Dvd Calendar'!$O$704&gt;=GRID_FROM)*('Dvd Calendar'!$O$704&lt;=GRID_TO)*('Dvd Calendar'!$O$704&lt;=VAL_DATE)=0,"",'Dvd Calendar'!$O$704*1000000000+ISNUMBER('Dvd Calendar'!$O$707)*100000000+('Dvd Calendar'!$O$709=SPECIAL_LBL)*10000000+0*1000000+64*1000+11))</f>
        <v/>
      </c>
      <c r="EP75" s="35">
        <f>IF(N('Dvd Calendar'!$P$704)=0,"",IF(('Dvd Calendar'!$P$704&gt;=GRID_FROM)*('Dvd Calendar'!$P$704&lt;=GRID_TO)*('Dvd Calendar'!$P$704&lt;=VAL_DATE)=0,"",'Dvd Calendar'!$P$704*1000000000+ISNUMBER('Dvd Calendar'!$P$707)*100000000+('Dvd Calendar'!$P$709=SPECIAL_LBL)*10000000+0*1000000+64*1000+12))</f>
        <v/>
      </c>
      <c r="EQ75" s="35">
        <f>IF(N('Dvd Calendar'!$Q$704)=0,"",IF(('Dvd Calendar'!$Q$704&gt;=GRID_FROM)*('Dvd Calendar'!$Q$704&lt;=GRID_TO)*('Dvd Calendar'!$Q$704&lt;=VAL_DATE)=0,"",'Dvd Calendar'!$Q$704*1000000000+ISNUMBER('Dvd Calendar'!$Q$707)*100000000+('Dvd Calendar'!$Q$709=SPECIAL_LBL)*10000000+0*1000000+64*1000+13))</f>
        <v/>
      </c>
      <c r="ER75" s="35">
        <f>IF(N('Dvd Calendar'!$R$704)=0,"",IF(('Dvd Calendar'!$R$704&gt;=GRID_FROM)*('Dvd Calendar'!$R$704&lt;=GRID_TO)*('Dvd Calendar'!$R$704&lt;=VAL_DATE)=0,"",'Dvd Calendar'!$R$704*1000000000+ISNUMBER('Dvd Calendar'!$R$707)*100000000+('Dvd Calendar'!$R$709=SPECIAL_LBL)*10000000+0*1000000+64*1000+14))</f>
        <v/>
      </c>
      <c r="ES75" s="35">
        <f>IF(N('Dvd Calendar'!$S$704)=0,"",IF(('Dvd Calendar'!$S$704&gt;=GRID_FROM)*('Dvd Calendar'!$S$704&lt;=GRID_TO)*('Dvd Calendar'!$S$704&lt;=VAL_DATE)=0,"",'Dvd Calendar'!$S$704*1000000000+ISNUMBER('Dvd Calendar'!$S$707)*100000000+('Dvd Calendar'!$S$709=SPECIAL_LBL)*10000000+0*1000000+64*1000+15))</f>
        <v/>
      </c>
      <c r="ET75" s="35">
        <f>IF(N('Dvd Calendar'!$T$704)=0,"",IF(('Dvd Calendar'!$T$704&gt;=GRID_FROM)*('Dvd Calendar'!$T$704&lt;=GRID_TO)*('Dvd Calendar'!$T$704&lt;=VAL_DATE)=0,"",'Dvd Calendar'!$T$704*1000000000+ISNUMBER('Dvd Calendar'!$T$707)*100000000+('Dvd Calendar'!$T$709=SPECIAL_LBL)*10000000+0*1000000+64*1000+16))</f>
        <v/>
      </c>
      <c r="EU75" s="35">
        <f>IF(N('Dvd Calendar'!$U$704)=0,"",IF(('Dvd Calendar'!$U$704&gt;=GRID_FROM)*('Dvd Calendar'!$U$704&lt;=GRID_TO)*('Dvd Calendar'!$U$704&lt;=VAL_DATE)=0,"",'Dvd Calendar'!$U$704*1000000000+ISNUMBER('Dvd Calendar'!$U$707)*100000000+('Dvd Calendar'!$U$709=SPECIAL_LBL)*10000000+0*1000000+64*1000+17))</f>
        <v/>
      </c>
      <c r="EV75" s="35">
        <f>IF(N('Dvd Calendar'!$V$704)=0,"",IF(('Dvd Calendar'!$V$704&gt;=GRID_FROM)*('Dvd Calendar'!$V$704&lt;=GRID_TO)*('Dvd Calendar'!$V$704&lt;=VAL_DATE)=0,"",'Dvd Calendar'!$V$704*1000000000+ISNUMBER('Dvd Calendar'!$V$707)*100000000+('Dvd Calendar'!$V$709=SPECIAL_LBL)*10000000+0*1000000+64*1000+18))</f>
        <v/>
      </c>
      <c r="EW75" s="35">
        <f>IF(N('Dvd Calendar'!$W$704)=0,"",IF(('Dvd Calendar'!$W$704&gt;=GRID_FROM)*('Dvd Calendar'!$W$704&lt;=GRID_TO)*('Dvd Calendar'!$W$704&lt;=VAL_DATE)=0,"",'Dvd Calendar'!$W$704*1000000000+ISNUMBER('Dvd Calendar'!$W$707)*100000000+('Dvd Calendar'!$W$709=SPECIAL_LBL)*10000000+0*1000000+64*1000+19))</f>
        <v/>
      </c>
      <c r="EX75" s="35">
        <f>IF(N('Dvd Calendar'!$X$704)=0,"",IF(('Dvd Calendar'!$X$704&gt;=GRID_FROM)*('Dvd Calendar'!$X$704&lt;=GRID_TO)*('Dvd Calendar'!$X$704&lt;=VAL_DATE)=0,"",'Dvd Calendar'!$X$704*1000000000+ISNUMBER('Dvd Calendar'!$X$707)*100000000+('Dvd Calendar'!$X$709=SPECIAL_LBL)*10000000+0*1000000+64*1000+20))</f>
        <v/>
      </c>
      <c r="EY75" s="35">
        <f>IF(N('Dvd Calendar'!$Y$704)=0,"",IF(('Dvd Calendar'!$Y$704&gt;=GRID_FROM)*('Dvd Calendar'!$Y$704&lt;=GRID_TO)*('Dvd Calendar'!$Y$704&lt;=VAL_DATE)=0,"",'Dvd Calendar'!$Y$704*1000000000+ISNUMBER('Dvd Calendar'!$Y$707)*100000000+('Dvd Calendar'!$Y$709=SPECIAL_LBL)*10000000+0*1000000+64*1000+21))</f>
        <v/>
      </c>
      <c r="EZ75" s="35">
        <f>IF(N('Dvd Calendar'!$Z$704)=0,"",IF(('Dvd Calendar'!$Z$704&gt;=GRID_FROM)*('Dvd Calendar'!$Z$704&lt;=GRID_TO)*('Dvd Calendar'!$Z$704&lt;=VAL_DATE)=0,"",'Dvd Calendar'!$Z$704*1000000000+ISNUMBER('Dvd Calendar'!$Z$707)*100000000+('Dvd Calendar'!$Z$709=SPECIAL_LBL)*10000000+0*1000000+64*1000+22))</f>
        <v/>
      </c>
      <c r="FA75" s="35">
        <f>IF(N('Dvd Calendar'!$AA$704)=0,"",IF(('Dvd Calendar'!$AA$704&gt;=GRID_FROM)*('Dvd Calendar'!$AA$704&lt;=GRID_TO)*('Dvd Calendar'!$AA$704&lt;=VAL_DATE)=0,"",'Dvd Calendar'!$AA$704*1000000000+ISNUMBER('Dvd Calendar'!$AA$707)*100000000+('Dvd Calendar'!$AA$709=SPECIAL_LBL)*10000000+0*1000000+64*1000+23))</f>
        <v/>
      </c>
      <c r="FB75" s="35">
        <f>IF(N('Dvd Calendar'!$AB$704)=0,"",IF(('Dvd Calendar'!$AB$704&gt;=GRID_FROM)*('Dvd Calendar'!$AB$704&lt;=GRID_TO)*('Dvd Calendar'!$AB$704&lt;=VAL_DATE)=0,"",'Dvd Calendar'!$AB$704*1000000000+ISNUMBER('Dvd Calendar'!$AB$707)*100000000+('Dvd Calendar'!$AB$709=SPECIAL_LBL)*10000000+0*1000000+64*1000+24))</f>
        <v/>
      </c>
      <c r="FC75" s="35">
        <f>IF(N('Dvd Calendar'!$AC$704)=0,"",IF(('Dvd Calendar'!$AC$704&gt;=GRID_FROM)*('Dvd Calendar'!$AC$704&lt;=GRID_TO)*('Dvd Calendar'!$AC$704&lt;=VAL_DATE)=0,"",'Dvd Calendar'!$AC$704*1000000000+ISNUMBER('Dvd Calendar'!$AC$707)*100000000+('Dvd Calendar'!$AC$709=SPECIAL_LBL)*10000000+0*1000000+64*1000+25))</f>
        <v/>
      </c>
      <c r="FD75" s="35">
        <f>IF(N('Dvd Calendar'!$AD$704)=0,"",IF(('Dvd Calendar'!$AD$704&gt;=GRID_FROM)*('Dvd Calendar'!$AD$704&lt;=GRID_TO)*('Dvd Calendar'!$AD$704&lt;=VAL_DATE)=0,"",'Dvd Calendar'!$AD$704*1000000000+ISNUMBER('Dvd Calendar'!$AD$707)*100000000+('Dvd Calendar'!$AD$709=SPECIAL_LBL)*10000000+0*1000000+64*1000+26))</f>
        <v/>
      </c>
      <c r="FE75" s="35">
        <f>IF(N('Dvd Calendar'!$AE$704)=0,"",IF(('Dvd Calendar'!$AE$704&gt;=GRID_FROM)*('Dvd Calendar'!$AE$704&lt;=GRID_TO)*('Dvd Calendar'!$AE$704&lt;=VAL_DATE)=0,"",'Dvd Calendar'!$AE$704*1000000000+ISNUMBER('Dvd Calendar'!$AE$707)*100000000+('Dvd Calendar'!$AE$709=SPECIAL_LBL)*10000000+0*1000000+64*1000+27))</f>
        <v/>
      </c>
      <c r="FF75" s="35">
        <f>IF(N('Dvd Calendar'!$AF$704)=0,"",IF(('Dvd Calendar'!$AF$704&gt;=GRID_FROM)*('Dvd Calendar'!$AF$704&lt;=GRID_TO)*('Dvd Calendar'!$AF$704&lt;=VAL_DATE)=0,"",'Dvd Calendar'!$AF$704*1000000000+ISNUMBER('Dvd Calendar'!$AF$707)*100000000+('Dvd Calendar'!$AF$709=SPECIAL_LBL)*10000000+0*1000000+64*1000+28))</f>
        <v/>
      </c>
      <c r="FG75" s="35">
        <f>IF(N('Dvd Calendar'!$AG$704)=0,"",IF(('Dvd Calendar'!$AG$704&gt;=GRID_FROM)*('Dvd Calendar'!$AG$704&lt;=GRID_TO)*('Dvd Calendar'!$AG$704&lt;=VAL_DATE)=0,"",'Dvd Calendar'!$AG$704*1000000000+ISNUMBER('Dvd Calendar'!$AG$707)*100000000+('Dvd Calendar'!$AG$709=SPECIAL_LBL)*10000000+0*1000000+64*1000+29))</f>
        <v/>
      </c>
      <c r="FH75" s="35">
        <f>IF(N('Dvd Calendar'!$AH$704)=0,"",IF(('Dvd Calendar'!$AH$704&gt;=GRID_FROM)*('Dvd Calendar'!$AH$704&lt;=GRID_TO)*('Dvd Calendar'!$AH$704&lt;=VAL_DATE)=0,"",'Dvd Calendar'!$AH$704*1000000000+ISNUMBER('Dvd Calendar'!$AH$707)*100000000+('Dvd Calendar'!$AH$709=SPECIAL_LBL)*10000000+0*1000000+64*1000+30))</f>
        <v/>
      </c>
      <c r="FI75" s="35">
        <f>IF(N('Dvd Calendar'!$AI$704)=0,"",IF(('Dvd Calendar'!$AI$704&gt;=GRID_FROM)*('Dvd Calendar'!$AI$704&lt;=GRID_TO)*('Dvd Calendar'!$AI$704&lt;=VAL_DATE)=0,"",'Dvd Calendar'!$AI$704*1000000000+ISNUMBER('Dvd Calendar'!$AI$707)*100000000+('Dvd Calendar'!$AI$709=SPECIAL_LBL)*10000000+0*1000000+64*1000+31))</f>
        <v/>
      </c>
      <c r="FJ75" s="35">
        <f>IF(N('Dvd Calendar'!$AJ$704)=0,"",IF(('Dvd Calendar'!$AJ$704&gt;=GRID_FROM)*('Dvd Calendar'!$AJ$704&lt;=GRID_TO)*('Dvd Calendar'!$AJ$704&lt;=VAL_DATE)=0,"",'Dvd Calendar'!$AJ$704*1000000000+ISNUMBER('Dvd Calendar'!$AJ$707)*100000000+('Dvd Calendar'!$AJ$709=SPECIAL_LBL)*10000000+0*1000000+64*1000+32))</f>
        <v/>
      </c>
      <c r="FK75" s="35">
        <f>IF(N('Dvd Calendar'!$AK$704)=0,"",IF(('Dvd Calendar'!$AK$704&gt;=GRID_FROM)*('Dvd Calendar'!$AK$704&lt;=GRID_TO)*('Dvd Calendar'!$AK$704&lt;=VAL_DATE)=0,"",'Dvd Calendar'!$AK$704*1000000000+ISNUMBER('Dvd Calendar'!$AK$707)*100000000+('Dvd Calendar'!$AK$709=SPECIAL_LBL)*10000000+0*1000000+64*1000+33))</f>
        <v/>
      </c>
      <c r="FL75" s="35">
        <f>IF(N('Dvd Calendar'!$AL$704)=0,"",IF(('Dvd Calendar'!$AL$704&gt;=GRID_FROM)*('Dvd Calendar'!$AL$704&lt;=GRID_TO)*('Dvd Calendar'!$AL$704&lt;=VAL_DATE)=0,"",'Dvd Calendar'!$AL$704*1000000000+ISNUMBER('Dvd Calendar'!$AL$707)*100000000+('Dvd Calendar'!$AL$709=SPECIAL_LBL)*10000000+0*1000000+64*1000+34))</f>
        <v/>
      </c>
      <c r="FM75" s="35">
        <f>IF(N('Dvd Calendar'!$AM$704)=0,"",IF(('Dvd Calendar'!$AM$704&gt;=GRID_FROM)*('Dvd Calendar'!$AM$704&lt;=GRID_TO)*('Dvd Calendar'!$AM$704&lt;=VAL_DATE)=0,"",'Dvd Calendar'!$AM$704*1000000000+ISNUMBER('Dvd Calendar'!$AM$707)*100000000+('Dvd Calendar'!$AM$709=SPECIAL_LBL)*10000000+0*1000000+64*1000+35))</f>
        <v/>
      </c>
      <c r="FN75" s="35">
        <f>IF(N('Dvd Calendar'!$AN$704)=0,"",IF(('Dvd Calendar'!$AN$704&gt;=GRID_FROM)*('Dvd Calendar'!$AN$704&lt;=GRID_TO)*('Dvd Calendar'!$AN$704&lt;=VAL_DATE)=0,"",'Dvd Calendar'!$AN$704*1000000000+ISNUMBER('Dvd Calendar'!$AN$707)*100000000+('Dvd Calendar'!$AN$709=SPECIAL_LBL)*10000000+0*1000000+64*1000+36))</f>
        <v/>
      </c>
      <c r="FO75" s="35">
        <f>IF(N('Dvd Calendar'!$AO$704)=0,"",IF(('Dvd Calendar'!$AO$704&gt;=GRID_FROM)*('Dvd Calendar'!$AO$704&lt;=GRID_TO)*('Dvd Calendar'!$AO$704&lt;=VAL_DATE)=0,"",'Dvd Calendar'!$AO$704*1000000000+ISNUMBER('Dvd Calendar'!$AO$707)*100000000+('Dvd Calendar'!$AO$709=SPECIAL_LBL)*10000000+0*1000000+64*1000+37))</f>
        <v/>
      </c>
      <c r="FP75" s="35">
        <f>IF(N('Dvd Calendar'!$AP$704)=0,"",IF(('Dvd Calendar'!$AP$704&gt;=GRID_FROM)*('Dvd Calendar'!$AP$704&lt;=GRID_TO)*('Dvd Calendar'!$AP$704&lt;=VAL_DATE)=0,"",'Dvd Calendar'!$AP$704*1000000000+ISNUMBER('Dvd Calendar'!$AP$707)*100000000+('Dvd Calendar'!$AP$709=SPECIAL_LBL)*10000000+0*1000000+64*1000+38))</f>
        <v/>
      </c>
      <c r="FQ75" s="35">
        <f>IF(N('Dvd Calendar'!$AQ$704)=0,"",IF(('Dvd Calendar'!$AQ$704&gt;=GRID_FROM)*('Dvd Calendar'!$AQ$704&lt;=GRID_TO)*('Dvd Calendar'!$AQ$704&lt;=VAL_DATE)=0,"",'Dvd Calendar'!$AQ$704*1000000000+ISNUMBER('Dvd Calendar'!$AQ$707)*100000000+('Dvd Calendar'!$AQ$709=SPECIAL_LBL)*10000000+0*1000000+64*1000+39))</f>
        <v/>
      </c>
      <c r="FR75" s="35">
        <f>IF(N('Dvd Calendar'!$AR$704)=0,"",IF(('Dvd Calendar'!$AR$704&gt;=GRID_FROM)*('Dvd Calendar'!$AR$704&lt;=GRID_TO)*('Dvd Calendar'!$AR$704&lt;=VAL_DATE)=0,"",'Dvd Calendar'!$AR$704*1000000000+ISNUMBER('Dvd Calendar'!$AR$707)*100000000+('Dvd Calendar'!$AR$709=SPECIAL_LBL)*10000000+0*1000000+64*1000+40))</f>
        <v/>
      </c>
      <c r="FS75" s="35">
        <f>IF(N('Dvd Calendar'!$E$711)=0,"",IF(('Dvd Calendar'!$E$711&gt;=GRID_FROM)*('Dvd Calendar'!$E$711&lt;=GRID_TO)*('Dvd Calendar'!$E$711&gt;VAL_DATE)=0,"",'Dvd Calendar'!$E$711*1000000000+ISNUMBER('Dvd Calendar'!$E$712)*100000000+0*10000000+(N('Dvd Calendar'!$E$710)&gt;0)*(N('Dvd Calendar'!$E$710)&lt;=VAL_SERIAL)*1000000+64*1000+41))</f>
        <v/>
      </c>
      <c r="FT75" s="35">
        <f>IF(N('Dvd Calendar'!$F$711)=0,"",IF(('Dvd Calendar'!$F$711&gt;=GRID_FROM)*('Dvd Calendar'!$F$711&lt;=GRID_TO)*('Dvd Calendar'!$F$711&gt;VAL_DATE)=0,"",'Dvd Calendar'!$F$711*1000000000+ISNUMBER('Dvd Calendar'!$F$712)*100000000+0*10000000+(N('Dvd Calendar'!$F$710)&gt;0)*(N('Dvd Calendar'!$F$710)&lt;=VAL_SERIAL)*1000000+64*1000+42))</f>
        <v/>
      </c>
      <c r="FU75" s="35">
        <f>IF(N('Dvd Calendar'!$G$711)=0,"",IF(('Dvd Calendar'!$G$711&gt;=GRID_FROM)*('Dvd Calendar'!$G$711&lt;=GRID_TO)*('Dvd Calendar'!$G$711&gt;VAL_DATE)=0,"",'Dvd Calendar'!$G$711*1000000000+ISNUMBER('Dvd Calendar'!$G$712)*100000000+0*10000000+(N('Dvd Calendar'!$G$710)&gt;0)*(N('Dvd Calendar'!$G$710)&lt;=VAL_SERIAL)*1000000+64*1000+43))</f>
        <v/>
      </c>
      <c r="FV75" s="35">
        <f>IF(N('Dvd Calendar'!$H$711)=0,"",IF(('Dvd Calendar'!$H$711&gt;=GRID_FROM)*('Dvd Calendar'!$H$711&lt;=GRID_TO)*('Dvd Calendar'!$H$711&gt;VAL_DATE)=0,"",'Dvd Calendar'!$H$711*1000000000+ISNUMBER('Dvd Calendar'!$H$712)*100000000+0*10000000+(N('Dvd Calendar'!$H$710)&gt;0)*(N('Dvd Calendar'!$H$710)&lt;=VAL_SERIAL)*1000000+64*1000+44))</f>
        <v/>
      </c>
      <c r="FW75" s="35">
        <f>IF(N('Dvd Calendar'!$I$711)=0,"",IF(('Dvd Calendar'!$I$711&gt;=GRID_FROM)*('Dvd Calendar'!$I$711&lt;=GRID_TO)*('Dvd Calendar'!$I$711&gt;VAL_DATE)=0,"",'Dvd Calendar'!$I$711*1000000000+ISNUMBER('Dvd Calendar'!$I$712)*100000000+0*10000000+(N('Dvd Calendar'!$I$710)&gt;0)*(N('Dvd Calendar'!$I$710)&lt;=VAL_SERIAL)*1000000+64*1000+45))</f>
        <v/>
      </c>
      <c r="FX75" s="35">
        <f>IF(N('Dvd Calendar'!$J$711)=0,"",IF(('Dvd Calendar'!$J$711&gt;=GRID_FROM)*('Dvd Calendar'!$J$711&lt;=GRID_TO)*('Dvd Calendar'!$J$711&gt;VAL_DATE)=0,"",'Dvd Calendar'!$J$711*1000000000+ISNUMBER('Dvd Calendar'!$J$712)*100000000+0*10000000+(N('Dvd Calendar'!$J$710)&gt;0)*(N('Dvd Calendar'!$J$710)&lt;=VAL_SERIAL)*1000000+64*1000+46))</f>
        <v/>
      </c>
      <c r="FY75" s="35">
        <f>IF(N('Dvd Calendar'!$K$711)=0,"",IF(('Dvd Calendar'!$K$711&gt;=GRID_FROM)*('Dvd Calendar'!$K$711&lt;=GRID_TO)*('Dvd Calendar'!$K$711&gt;VAL_DATE)=0,"",'Dvd Calendar'!$K$711*1000000000+ISNUMBER('Dvd Calendar'!$K$712)*100000000+0*10000000+(N('Dvd Calendar'!$K$710)&gt;0)*(N('Dvd Calendar'!$K$710)&lt;=VAL_SERIAL)*1000000+64*1000+47))</f>
        <v/>
      </c>
      <c r="FZ75" s="35">
        <f>IF(N('Dvd Calendar'!$L$711)=0,"",IF(('Dvd Calendar'!$L$711&gt;=GRID_FROM)*('Dvd Calendar'!$L$711&lt;=GRID_TO)*('Dvd Calendar'!$L$711&gt;VAL_DATE)=0,"",'Dvd Calendar'!$L$711*1000000000+ISNUMBER('Dvd Calendar'!$L$712)*100000000+0*10000000+(N('Dvd Calendar'!$L$710)&gt;0)*(N('Dvd Calendar'!$L$710)&lt;=VAL_SERIAL)*1000000+64*1000+48))</f>
        <v/>
      </c>
      <c r="GA75" s="35">
        <f>IF(N('Dvd Calendar'!$M$711)=0,"",IF(('Dvd Calendar'!$M$711&gt;=GRID_FROM)*('Dvd Calendar'!$M$711&lt;=GRID_TO)*('Dvd Calendar'!$M$711&gt;VAL_DATE)=0,"",'Dvd Calendar'!$M$711*1000000000+ISNUMBER('Dvd Calendar'!$M$712)*100000000+0*10000000+(N('Dvd Calendar'!$M$710)&gt;0)*(N('Dvd Calendar'!$M$710)&lt;=VAL_SERIAL)*1000000+64*1000+49))</f>
        <v/>
      </c>
      <c r="GB75" s="35">
        <f>IF(N('Dvd Calendar'!$N$711)=0,"",IF(('Dvd Calendar'!$N$711&gt;=GRID_FROM)*('Dvd Calendar'!$N$711&lt;=GRID_TO)*('Dvd Calendar'!$N$711&gt;VAL_DATE)=0,"",'Dvd Calendar'!$N$711*1000000000+ISNUMBER('Dvd Calendar'!$N$712)*100000000+0*10000000+(N('Dvd Calendar'!$N$710)&gt;0)*(N('Dvd Calendar'!$N$710)&lt;=VAL_SERIAL)*1000000+64*1000+50))</f>
        <v/>
      </c>
      <c r="GC75" s="35">
        <f>IF(N('Dvd Calendar'!$O$711)=0,"",IF(('Dvd Calendar'!$O$711&gt;=GRID_FROM)*('Dvd Calendar'!$O$711&lt;=GRID_TO)*('Dvd Calendar'!$O$711&gt;VAL_DATE)=0,"",'Dvd Calendar'!$O$711*1000000000+ISNUMBER('Dvd Calendar'!$O$712)*100000000+0*10000000+(N('Dvd Calendar'!$O$710)&gt;0)*(N('Dvd Calendar'!$O$710)&lt;=VAL_SERIAL)*1000000+64*1000+51))</f>
        <v/>
      </c>
      <c r="GD75" s="35">
        <f>IF(N('Dvd Calendar'!$P$711)=0,"",IF(('Dvd Calendar'!$P$711&gt;=GRID_FROM)*('Dvd Calendar'!$P$711&lt;=GRID_TO)*('Dvd Calendar'!$P$711&gt;VAL_DATE)=0,"",'Dvd Calendar'!$P$711*1000000000+ISNUMBER('Dvd Calendar'!$P$712)*100000000+0*10000000+(N('Dvd Calendar'!$P$710)&gt;0)*(N('Dvd Calendar'!$P$710)&lt;=VAL_SERIAL)*1000000+64*1000+52))</f>
        <v/>
      </c>
      <c r="GE75" s="35">
        <f>IF(N('Dvd Calendar'!$Q$711)=0,"",IF(('Dvd Calendar'!$Q$711&gt;=GRID_FROM)*('Dvd Calendar'!$Q$711&lt;=GRID_TO)*('Dvd Calendar'!$Q$711&gt;VAL_DATE)=0,"",'Dvd Calendar'!$Q$711*1000000000+ISNUMBER('Dvd Calendar'!$Q$712)*100000000+0*10000000+(N('Dvd Calendar'!$Q$710)&gt;0)*(N('Dvd Calendar'!$Q$710)&lt;=VAL_SERIAL)*1000000+64*1000+53))</f>
        <v/>
      </c>
      <c r="GF75" s="35">
        <f>IF(N('Dvd Calendar'!$R$711)=0,"",IF(('Dvd Calendar'!$R$711&gt;=GRID_FROM)*('Dvd Calendar'!$R$711&lt;=GRID_TO)*('Dvd Calendar'!$R$711&gt;VAL_DATE)=0,"",'Dvd Calendar'!$R$711*1000000000+ISNUMBER('Dvd Calendar'!$R$712)*100000000+0*10000000+(N('Dvd Calendar'!$R$710)&gt;0)*(N('Dvd Calendar'!$R$710)&lt;=VAL_SERIAL)*1000000+64*1000+54))</f>
        <v/>
      </c>
      <c r="GG75" s="35">
        <f>IF(N('Dvd Calendar'!$S$711)=0,"",IF(('Dvd Calendar'!$S$711&gt;=GRID_FROM)*('Dvd Calendar'!$S$711&lt;=GRID_TO)*('Dvd Calendar'!$S$711&gt;VAL_DATE)=0,"",'Dvd Calendar'!$S$711*1000000000+ISNUMBER('Dvd Calendar'!$S$712)*100000000+0*10000000+(N('Dvd Calendar'!$S$710)&gt;0)*(N('Dvd Calendar'!$S$710)&lt;=VAL_SERIAL)*1000000+64*1000+55))</f>
        <v/>
      </c>
      <c r="GH75" s="35">
        <f>IF(N('Dvd Calendar'!$T$711)=0,"",IF(('Dvd Calendar'!$T$711&gt;=GRID_FROM)*('Dvd Calendar'!$T$711&lt;=GRID_TO)*('Dvd Calendar'!$T$711&gt;VAL_DATE)=0,"",'Dvd Calendar'!$T$711*1000000000+ISNUMBER('Dvd Calendar'!$T$712)*100000000+0*10000000+(N('Dvd Calendar'!$T$710)&gt;0)*(N('Dvd Calendar'!$T$710)&lt;=VAL_SERIAL)*1000000+64*1000+56))</f>
        <v/>
      </c>
      <c r="GI75" s="35">
        <f>IF(N('Dvd Calendar'!$U$711)=0,"",IF(('Dvd Calendar'!$U$711&gt;=GRID_FROM)*('Dvd Calendar'!$U$711&lt;=GRID_TO)*('Dvd Calendar'!$U$711&gt;VAL_DATE)=0,"",'Dvd Calendar'!$U$711*1000000000+ISNUMBER('Dvd Calendar'!$U$712)*100000000+0*10000000+(N('Dvd Calendar'!$U$710)&gt;0)*(N('Dvd Calendar'!$U$710)&lt;=VAL_SERIAL)*1000000+64*1000+57))</f>
        <v/>
      </c>
      <c r="GJ75" s="35">
        <f>IF(N('Dvd Calendar'!$V$711)=0,"",IF(('Dvd Calendar'!$V$711&gt;=GRID_FROM)*('Dvd Calendar'!$V$711&lt;=GRID_TO)*('Dvd Calendar'!$V$711&gt;VAL_DATE)=0,"",'Dvd Calendar'!$V$711*1000000000+ISNUMBER('Dvd Calendar'!$V$712)*100000000+0*10000000+(N('Dvd Calendar'!$V$710)&gt;0)*(N('Dvd Calendar'!$V$710)&lt;=VAL_SERIAL)*1000000+64*1000+58))</f>
        <v/>
      </c>
      <c r="GK75" s="35">
        <f>IF(N('Dvd Calendar'!$W$711)=0,"",IF(('Dvd Calendar'!$W$711&gt;=GRID_FROM)*('Dvd Calendar'!$W$711&lt;=GRID_TO)*('Dvd Calendar'!$W$711&gt;VAL_DATE)=0,"",'Dvd Calendar'!$W$711*1000000000+ISNUMBER('Dvd Calendar'!$W$712)*100000000+0*10000000+(N('Dvd Calendar'!$W$710)&gt;0)*(N('Dvd Calendar'!$W$710)&lt;=VAL_SERIAL)*1000000+64*1000+59))</f>
        <v/>
      </c>
      <c r="GL75" s="35">
        <f>IF(N('Dvd Calendar'!$X$711)=0,"",IF(('Dvd Calendar'!$X$711&gt;=GRID_FROM)*('Dvd Calendar'!$X$711&lt;=GRID_TO)*('Dvd Calendar'!$X$711&gt;VAL_DATE)=0,"",'Dvd Calendar'!$X$711*1000000000+ISNUMBER('Dvd Calendar'!$X$712)*100000000+0*10000000+(N('Dvd Calendar'!$X$710)&gt;0)*(N('Dvd Calendar'!$X$710)&lt;=VAL_SERIAL)*1000000+64*1000+60))</f>
        <v/>
      </c>
      <c r="GM75" s="35">
        <f>IF(N('Dvd Calendar'!$Y$711)=0,"",IF(('Dvd Calendar'!$Y$711&gt;=GRID_FROM)*('Dvd Calendar'!$Y$711&lt;=GRID_TO)*('Dvd Calendar'!$Y$711&gt;VAL_DATE)=0,"",'Dvd Calendar'!$Y$711*1000000000+ISNUMBER('Dvd Calendar'!$Y$712)*100000000+0*10000000+(N('Dvd Calendar'!$Y$710)&gt;0)*(N('Dvd Calendar'!$Y$710)&lt;=VAL_SERIAL)*1000000+64*1000+61))</f>
        <v/>
      </c>
      <c r="GN75" s="35">
        <f>IF(N('Dvd Calendar'!$Z$711)=0,"",IF(('Dvd Calendar'!$Z$711&gt;=GRID_FROM)*('Dvd Calendar'!$Z$711&lt;=GRID_TO)*('Dvd Calendar'!$Z$711&gt;VAL_DATE)=0,"",'Dvd Calendar'!$Z$711*1000000000+ISNUMBER('Dvd Calendar'!$Z$712)*100000000+0*10000000+(N('Dvd Calendar'!$Z$710)&gt;0)*(N('Dvd Calendar'!$Z$710)&lt;=VAL_SERIAL)*1000000+64*1000+62))</f>
        <v/>
      </c>
      <c r="GO75" s="35">
        <f>IF(N('Dvd Calendar'!$AA$711)=0,"",IF(('Dvd Calendar'!$AA$711&gt;=GRID_FROM)*('Dvd Calendar'!$AA$711&lt;=GRID_TO)*('Dvd Calendar'!$AA$711&gt;VAL_DATE)=0,"",'Dvd Calendar'!$AA$711*1000000000+ISNUMBER('Dvd Calendar'!$AA$712)*100000000+0*10000000+(N('Dvd Calendar'!$AA$710)&gt;0)*(N('Dvd Calendar'!$AA$710)&lt;=VAL_SERIAL)*1000000+64*1000+63))</f>
        <v/>
      </c>
      <c r="GP75" s="35">
        <f>IF(N('Dvd Calendar'!$AB$711)=0,"",IF(('Dvd Calendar'!$AB$711&gt;=GRID_FROM)*('Dvd Calendar'!$AB$711&lt;=GRID_TO)*('Dvd Calendar'!$AB$711&gt;VAL_DATE)=0,"",'Dvd Calendar'!$AB$711*1000000000+ISNUMBER('Dvd Calendar'!$AB$712)*100000000+0*10000000+(N('Dvd Calendar'!$AB$710)&gt;0)*(N('Dvd Calendar'!$AB$710)&lt;=VAL_SERIAL)*1000000+64*1000+64))</f>
        <v/>
      </c>
      <c r="GQ75" s="35">
        <f>IF(N('Dvd Calendar'!$AC$711)=0,"",IF(('Dvd Calendar'!$AC$711&gt;=GRID_FROM)*('Dvd Calendar'!$AC$711&lt;=GRID_TO)*('Dvd Calendar'!$AC$711&gt;VAL_DATE)=0,"",'Dvd Calendar'!$AC$711*1000000000+ISNUMBER('Dvd Calendar'!$AC$712)*100000000+0*10000000+(N('Dvd Calendar'!$AC$710)&gt;0)*(N('Dvd Calendar'!$AC$710)&lt;=VAL_SERIAL)*1000000+64*1000+65))</f>
        <v/>
      </c>
    </row>
    <row r="76">
      <c r="B76" s="2">
        <f>IF(HSI!$C$71="","",HSI!$C$71)</f>
        <v/>
      </c>
      <c r="C76" s="106">
        <f>IF(EE76="","",IF(ISNUMBER('Dvd Calendar'!$E$718)=FALSE,"",IF((('Dvd Calendar'!$E$720=TYPE1)*(TYPE1&lt;&gt;"")+('Dvd Calendar'!$E$720=TYPE2)*(TYPE2&lt;&gt;"")+('Dvd Calendar'!$E$720=TYPE3)*(TYPE3&lt;&gt;"")+('Dvd Calendar'!$E$720=TYPE4)*(TYPE4&lt;&gt;"")+('Dvd Calendar'!$E$720=SPECIAL_LBL)*(INC_SPECIALS="Y"))=0,"",'Dvd Calendar'!$E$718)))</f>
        <v/>
      </c>
      <c r="D76" s="106">
        <f>IF(EF76="","",IF(ISNUMBER('Dvd Calendar'!$F$718)=FALSE,"",IF((('Dvd Calendar'!$F$720=TYPE1)*(TYPE1&lt;&gt;"")+('Dvd Calendar'!$F$720=TYPE2)*(TYPE2&lt;&gt;"")+('Dvd Calendar'!$F$720=TYPE3)*(TYPE3&lt;&gt;"")+('Dvd Calendar'!$F$720=TYPE4)*(TYPE4&lt;&gt;"")+('Dvd Calendar'!$F$720=SPECIAL_LBL)*(INC_SPECIALS="Y"))=0,"",'Dvd Calendar'!$F$718)))</f>
        <v/>
      </c>
      <c r="E76" s="106">
        <f>IF(EG76="","",IF(ISNUMBER('Dvd Calendar'!$G$718)=FALSE,"",IF((('Dvd Calendar'!$G$720=TYPE1)*(TYPE1&lt;&gt;"")+('Dvd Calendar'!$G$720=TYPE2)*(TYPE2&lt;&gt;"")+('Dvd Calendar'!$G$720=TYPE3)*(TYPE3&lt;&gt;"")+('Dvd Calendar'!$G$720=TYPE4)*(TYPE4&lt;&gt;"")+('Dvd Calendar'!$G$720=SPECIAL_LBL)*(INC_SPECIALS="Y"))=0,"",'Dvd Calendar'!$G$718)))</f>
        <v/>
      </c>
      <c r="F76" s="106">
        <f>IF(EH76="","",IF(ISNUMBER('Dvd Calendar'!$H$718)=FALSE,"",IF((('Dvd Calendar'!$H$720=TYPE1)*(TYPE1&lt;&gt;"")+('Dvd Calendar'!$H$720=TYPE2)*(TYPE2&lt;&gt;"")+('Dvd Calendar'!$H$720=TYPE3)*(TYPE3&lt;&gt;"")+('Dvd Calendar'!$H$720=TYPE4)*(TYPE4&lt;&gt;"")+('Dvd Calendar'!$H$720=SPECIAL_LBL)*(INC_SPECIALS="Y"))=0,"",'Dvd Calendar'!$H$718)))</f>
        <v/>
      </c>
      <c r="G76" s="106">
        <f>IF(EI76="","",IF(ISNUMBER('Dvd Calendar'!$I$718)=FALSE,"",IF((('Dvd Calendar'!$I$720=TYPE1)*(TYPE1&lt;&gt;"")+('Dvd Calendar'!$I$720=TYPE2)*(TYPE2&lt;&gt;"")+('Dvd Calendar'!$I$720=TYPE3)*(TYPE3&lt;&gt;"")+('Dvd Calendar'!$I$720=TYPE4)*(TYPE4&lt;&gt;"")+('Dvd Calendar'!$I$720=SPECIAL_LBL)*(INC_SPECIALS="Y"))=0,"",'Dvd Calendar'!$I$718)))</f>
        <v/>
      </c>
      <c r="H76" s="106">
        <f>IF(EJ76="","",IF(ISNUMBER('Dvd Calendar'!$J$718)=FALSE,"",IF((('Dvd Calendar'!$J$720=TYPE1)*(TYPE1&lt;&gt;"")+('Dvd Calendar'!$J$720=TYPE2)*(TYPE2&lt;&gt;"")+('Dvd Calendar'!$J$720=TYPE3)*(TYPE3&lt;&gt;"")+('Dvd Calendar'!$J$720=TYPE4)*(TYPE4&lt;&gt;"")+('Dvd Calendar'!$J$720=SPECIAL_LBL)*(INC_SPECIALS="Y"))=0,"",'Dvd Calendar'!$J$718)))</f>
        <v/>
      </c>
      <c r="I76" s="106">
        <f>IF(EK76="","",IF(ISNUMBER('Dvd Calendar'!$K$718)=FALSE,"",IF((('Dvd Calendar'!$K$720=TYPE1)*(TYPE1&lt;&gt;"")+('Dvd Calendar'!$K$720=TYPE2)*(TYPE2&lt;&gt;"")+('Dvd Calendar'!$K$720=TYPE3)*(TYPE3&lt;&gt;"")+('Dvd Calendar'!$K$720=TYPE4)*(TYPE4&lt;&gt;"")+('Dvd Calendar'!$K$720=SPECIAL_LBL)*(INC_SPECIALS="Y"))=0,"",'Dvd Calendar'!$K$718)))</f>
        <v/>
      </c>
      <c r="J76" s="106">
        <f>IF(EL76="","",IF(ISNUMBER('Dvd Calendar'!$L$718)=FALSE,"",IF((('Dvd Calendar'!$L$720=TYPE1)*(TYPE1&lt;&gt;"")+('Dvd Calendar'!$L$720=TYPE2)*(TYPE2&lt;&gt;"")+('Dvd Calendar'!$L$720=TYPE3)*(TYPE3&lt;&gt;"")+('Dvd Calendar'!$L$720=TYPE4)*(TYPE4&lt;&gt;"")+('Dvd Calendar'!$L$720=SPECIAL_LBL)*(INC_SPECIALS="Y"))=0,"",'Dvd Calendar'!$L$718)))</f>
        <v/>
      </c>
      <c r="K76" s="106">
        <f>IF(EM76="","",IF(ISNUMBER('Dvd Calendar'!$M$718)=FALSE,"",IF((('Dvd Calendar'!$M$720=TYPE1)*(TYPE1&lt;&gt;"")+('Dvd Calendar'!$M$720=TYPE2)*(TYPE2&lt;&gt;"")+('Dvd Calendar'!$M$720=TYPE3)*(TYPE3&lt;&gt;"")+('Dvd Calendar'!$M$720=TYPE4)*(TYPE4&lt;&gt;"")+('Dvd Calendar'!$M$720=SPECIAL_LBL)*(INC_SPECIALS="Y"))=0,"",'Dvd Calendar'!$M$718)))</f>
        <v/>
      </c>
      <c r="L76" s="106">
        <f>IF(EN76="","",IF(ISNUMBER('Dvd Calendar'!$N$718)=FALSE,"",IF((('Dvd Calendar'!$N$720=TYPE1)*(TYPE1&lt;&gt;"")+('Dvd Calendar'!$N$720=TYPE2)*(TYPE2&lt;&gt;"")+('Dvd Calendar'!$N$720=TYPE3)*(TYPE3&lt;&gt;"")+('Dvd Calendar'!$N$720=TYPE4)*(TYPE4&lt;&gt;"")+('Dvd Calendar'!$N$720=SPECIAL_LBL)*(INC_SPECIALS="Y"))=0,"",'Dvd Calendar'!$N$718)))</f>
        <v/>
      </c>
      <c r="M76" s="106">
        <f>IF(EO76="","",IF(ISNUMBER('Dvd Calendar'!$O$718)=FALSE,"",IF((('Dvd Calendar'!$O$720=TYPE1)*(TYPE1&lt;&gt;"")+('Dvd Calendar'!$O$720=TYPE2)*(TYPE2&lt;&gt;"")+('Dvd Calendar'!$O$720=TYPE3)*(TYPE3&lt;&gt;"")+('Dvd Calendar'!$O$720=TYPE4)*(TYPE4&lt;&gt;"")+('Dvd Calendar'!$O$720=SPECIAL_LBL)*(INC_SPECIALS="Y"))=0,"",'Dvd Calendar'!$O$718)))</f>
        <v/>
      </c>
      <c r="N76" s="106">
        <f>IF(EP76="","",IF(ISNUMBER('Dvd Calendar'!$P$718)=FALSE,"",IF((('Dvd Calendar'!$P$720=TYPE1)*(TYPE1&lt;&gt;"")+('Dvd Calendar'!$P$720=TYPE2)*(TYPE2&lt;&gt;"")+('Dvd Calendar'!$P$720=TYPE3)*(TYPE3&lt;&gt;"")+('Dvd Calendar'!$P$720=TYPE4)*(TYPE4&lt;&gt;"")+('Dvd Calendar'!$P$720=SPECIAL_LBL)*(INC_SPECIALS="Y"))=0,"",'Dvd Calendar'!$P$718)))</f>
        <v/>
      </c>
      <c r="O76" s="106">
        <f>IF(EQ76="","",IF(ISNUMBER('Dvd Calendar'!$Q$718)=FALSE,"",IF((('Dvd Calendar'!$Q$720=TYPE1)*(TYPE1&lt;&gt;"")+('Dvd Calendar'!$Q$720=TYPE2)*(TYPE2&lt;&gt;"")+('Dvd Calendar'!$Q$720=TYPE3)*(TYPE3&lt;&gt;"")+('Dvd Calendar'!$Q$720=TYPE4)*(TYPE4&lt;&gt;"")+('Dvd Calendar'!$Q$720=SPECIAL_LBL)*(INC_SPECIALS="Y"))=0,"",'Dvd Calendar'!$Q$718)))</f>
        <v/>
      </c>
      <c r="P76" s="106">
        <f>IF(ER76="","",IF(ISNUMBER('Dvd Calendar'!$R$718)=FALSE,"",IF((('Dvd Calendar'!$R$720=TYPE1)*(TYPE1&lt;&gt;"")+('Dvd Calendar'!$R$720=TYPE2)*(TYPE2&lt;&gt;"")+('Dvd Calendar'!$R$720=TYPE3)*(TYPE3&lt;&gt;"")+('Dvd Calendar'!$R$720=TYPE4)*(TYPE4&lt;&gt;"")+('Dvd Calendar'!$R$720=SPECIAL_LBL)*(INC_SPECIALS="Y"))=0,"",'Dvd Calendar'!$R$718)))</f>
        <v/>
      </c>
      <c r="Q76" s="106">
        <f>IF(ES76="","",IF(ISNUMBER('Dvd Calendar'!$S$718)=FALSE,"",IF((('Dvd Calendar'!$S$720=TYPE1)*(TYPE1&lt;&gt;"")+('Dvd Calendar'!$S$720=TYPE2)*(TYPE2&lt;&gt;"")+('Dvd Calendar'!$S$720=TYPE3)*(TYPE3&lt;&gt;"")+('Dvd Calendar'!$S$720=TYPE4)*(TYPE4&lt;&gt;"")+('Dvd Calendar'!$S$720=SPECIAL_LBL)*(INC_SPECIALS="Y"))=0,"",'Dvd Calendar'!$S$718)))</f>
        <v/>
      </c>
      <c r="R76" s="106">
        <f>IF(ET76="","",IF(ISNUMBER('Dvd Calendar'!$T$718)=FALSE,"",IF((('Dvd Calendar'!$T$720=TYPE1)*(TYPE1&lt;&gt;"")+('Dvd Calendar'!$T$720=TYPE2)*(TYPE2&lt;&gt;"")+('Dvd Calendar'!$T$720=TYPE3)*(TYPE3&lt;&gt;"")+('Dvd Calendar'!$T$720=TYPE4)*(TYPE4&lt;&gt;"")+('Dvd Calendar'!$T$720=SPECIAL_LBL)*(INC_SPECIALS="Y"))=0,"",'Dvd Calendar'!$T$718)))</f>
        <v/>
      </c>
      <c r="S76" s="106">
        <f>IF(EU76="","",IF(ISNUMBER('Dvd Calendar'!$U$718)=FALSE,"",IF((('Dvd Calendar'!$U$720=TYPE1)*(TYPE1&lt;&gt;"")+('Dvd Calendar'!$U$720=TYPE2)*(TYPE2&lt;&gt;"")+('Dvd Calendar'!$U$720=TYPE3)*(TYPE3&lt;&gt;"")+('Dvd Calendar'!$U$720=TYPE4)*(TYPE4&lt;&gt;"")+('Dvd Calendar'!$U$720=SPECIAL_LBL)*(INC_SPECIALS="Y"))=0,"",'Dvd Calendar'!$U$718)))</f>
        <v/>
      </c>
      <c r="T76" s="106">
        <f>IF(EV76="","",IF(ISNUMBER('Dvd Calendar'!$V$718)=FALSE,"",IF((('Dvd Calendar'!$V$720=TYPE1)*(TYPE1&lt;&gt;"")+('Dvd Calendar'!$V$720=TYPE2)*(TYPE2&lt;&gt;"")+('Dvd Calendar'!$V$720=TYPE3)*(TYPE3&lt;&gt;"")+('Dvd Calendar'!$V$720=TYPE4)*(TYPE4&lt;&gt;"")+('Dvd Calendar'!$V$720=SPECIAL_LBL)*(INC_SPECIALS="Y"))=0,"",'Dvd Calendar'!$V$718)))</f>
        <v/>
      </c>
      <c r="U76" s="106">
        <f>IF(EW76="","",IF(ISNUMBER('Dvd Calendar'!$W$718)=FALSE,"",IF((('Dvd Calendar'!$W$720=TYPE1)*(TYPE1&lt;&gt;"")+('Dvd Calendar'!$W$720=TYPE2)*(TYPE2&lt;&gt;"")+('Dvd Calendar'!$W$720=TYPE3)*(TYPE3&lt;&gt;"")+('Dvd Calendar'!$W$720=TYPE4)*(TYPE4&lt;&gt;"")+('Dvd Calendar'!$W$720=SPECIAL_LBL)*(INC_SPECIALS="Y"))=0,"",'Dvd Calendar'!$W$718)))</f>
        <v/>
      </c>
      <c r="V76" s="106">
        <f>IF(EX76="","",IF(ISNUMBER('Dvd Calendar'!$X$718)=FALSE,"",IF((('Dvd Calendar'!$X$720=TYPE1)*(TYPE1&lt;&gt;"")+('Dvd Calendar'!$X$720=TYPE2)*(TYPE2&lt;&gt;"")+('Dvd Calendar'!$X$720=TYPE3)*(TYPE3&lt;&gt;"")+('Dvd Calendar'!$X$720=TYPE4)*(TYPE4&lt;&gt;"")+('Dvd Calendar'!$X$720=SPECIAL_LBL)*(INC_SPECIALS="Y"))=0,"",'Dvd Calendar'!$X$718)))</f>
        <v/>
      </c>
      <c r="W76" s="106">
        <f>IF(EY76="","",IF(ISNUMBER('Dvd Calendar'!$Y$718)=FALSE,"",IF((('Dvd Calendar'!$Y$720=TYPE1)*(TYPE1&lt;&gt;"")+('Dvd Calendar'!$Y$720=TYPE2)*(TYPE2&lt;&gt;"")+('Dvd Calendar'!$Y$720=TYPE3)*(TYPE3&lt;&gt;"")+('Dvd Calendar'!$Y$720=TYPE4)*(TYPE4&lt;&gt;"")+('Dvd Calendar'!$Y$720=SPECIAL_LBL)*(INC_SPECIALS="Y"))=0,"",'Dvd Calendar'!$Y$718)))</f>
        <v/>
      </c>
      <c r="X76" s="106">
        <f>IF(EZ76="","",IF(ISNUMBER('Dvd Calendar'!$Z$718)=FALSE,"",IF((('Dvd Calendar'!$Z$720=TYPE1)*(TYPE1&lt;&gt;"")+('Dvd Calendar'!$Z$720=TYPE2)*(TYPE2&lt;&gt;"")+('Dvd Calendar'!$Z$720=TYPE3)*(TYPE3&lt;&gt;"")+('Dvd Calendar'!$Z$720=TYPE4)*(TYPE4&lt;&gt;"")+('Dvd Calendar'!$Z$720=SPECIAL_LBL)*(INC_SPECIALS="Y"))=0,"",'Dvd Calendar'!$Z$718)))</f>
        <v/>
      </c>
      <c r="Y76" s="106">
        <f>IF(FA76="","",IF(ISNUMBER('Dvd Calendar'!$AA$718)=FALSE,"",IF((('Dvd Calendar'!$AA$720=TYPE1)*(TYPE1&lt;&gt;"")+('Dvd Calendar'!$AA$720=TYPE2)*(TYPE2&lt;&gt;"")+('Dvd Calendar'!$AA$720=TYPE3)*(TYPE3&lt;&gt;"")+('Dvd Calendar'!$AA$720=TYPE4)*(TYPE4&lt;&gt;"")+('Dvd Calendar'!$AA$720=SPECIAL_LBL)*(INC_SPECIALS="Y"))=0,"",'Dvd Calendar'!$AA$718)))</f>
        <v/>
      </c>
      <c r="Z76" s="106">
        <f>IF(FB76="","",IF(ISNUMBER('Dvd Calendar'!$AB$718)=FALSE,"",IF((('Dvd Calendar'!$AB$720=TYPE1)*(TYPE1&lt;&gt;"")+('Dvd Calendar'!$AB$720=TYPE2)*(TYPE2&lt;&gt;"")+('Dvd Calendar'!$AB$720=TYPE3)*(TYPE3&lt;&gt;"")+('Dvd Calendar'!$AB$720=TYPE4)*(TYPE4&lt;&gt;"")+('Dvd Calendar'!$AB$720=SPECIAL_LBL)*(INC_SPECIALS="Y"))=0,"",'Dvd Calendar'!$AB$718)))</f>
        <v/>
      </c>
      <c r="AA76" s="106">
        <f>IF(FC76="","",IF(ISNUMBER('Dvd Calendar'!$AC$718)=FALSE,"",IF((('Dvd Calendar'!$AC$720=TYPE1)*(TYPE1&lt;&gt;"")+('Dvd Calendar'!$AC$720=TYPE2)*(TYPE2&lt;&gt;"")+('Dvd Calendar'!$AC$720=TYPE3)*(TYPE3&lt;&gt;"")+('Dvd Calendar'!$AC$720=TYPE4)*(TYPE4&lt;&gt;"")+('Dvd Calendar'!$AC$720=SPECIAL_LBL)*(INC_SPECIALS="Y"))=0,"",'Dvd Calendar'!$AC$718)))</f>
        <v/>
      </c>
      <c r="AB76" s="106">
        <f>IF(FD76="","",IF(ISNUMBER('Dvd Calendar'!$AD$718)=FALSE,"",IF((('Dvd Calendar'!$AD$720=TYPE1)*(TYPE1&lt;&gt;"")+('Dvd Calendar'!$AD$720=TYPE2)*(TYPE2&lt;&gt;"")+('Dvd Calendar'!$AD$720=TYPE3)*(TYPE3&lt;&gt;"")+('Dvd Calendar'!$AD$720=TYPE4)*(TYPE4&lt;&gt;"")+('Dvd Calendar'!$AD$720=SPECIAL_LBL)*(INC_SPECIALS="Y"))=0,"",'Dvd Calendar'!$AD$718)))</f>
        <v/>
      </c>
      <c r="AC76" s="106">
        <f>IF(FE76="","",IF(ISNUMBER('Dvd Calendar'!$AE$718)=FALSE,"",IF((('Dvd Calendar'!$AE$720=TYPE1)*(TYPE1&lt;&gt;"")+('Dvd Calendar'!$AE$720=TYPE2)*(TYPE2&lt;&gt;"")+('Dvd Calendar'!$AE$720=TYPE3)*(TYPE3&lt;&gt;"")+('Dvd Calendar'!$AE$720=TYPE4)*(TYPE4&lt;&gt;"")+('Dvd Calendar'!$AE$720=SPECIAL_LBL)*(INC_SPECIALS="Y"))=0,"",'Dvd Calendar'!$AE$718)))</f>
        <v/>
      </c>
      <c r="AD76" s="106">
        <f>IF(FF76="","",IF(ISNUMBER('Dvd Calendar'!$AF$718)=FALSE,"",IF((('Dvd Calendar'!$AF$720=TYPE1)*(TYPE1&lt;&gt;"")+('Dvd Calendar'!$AF$720=TYPE2)*(TYPE2&lt;&gt;"")+('Dvd Calendar'!$AF$720=TYPE3)*(TYPE3&lt;&gt;"")+('Dvd Calendar'!$AF$720=TYPE4)*(TYPE4&lt;&gt;"")+('Dvd Calendar'!$AF$720=SPECIAL_LBL)*(INC_SPECIALS="Y"))=0,"",'Dvd Calendar'!$AF$718)))</f>
        <v/>
      </c>
      <c r="AE76" s="106">
        <f>IF(FG76="","",IF(ISNUMBER('Dvd Calendar'!$AG$718)=FALSE,"",IF((('Dvd Calendar'!$AG$720=TYPE1)*(TYPE1&lt;&gt;"")+('Dvd Calendar'!$AG$720=TYPE2)*(TYPE2&lt;&gt;"")+('Dvd Calendar'!$AG$720=TYPE3)*(TYPE3&lt;&gt;"")+('Dvd Calendar'!$AG$720=TYPE4)*(TYPE4&lt;&gt;"")+('Dvd Calendar'!$AG$720=SPECIAL_LBL)*(INC_SPECIALS="Y"))=0,"",'Dvd Calendar'!$AG$718)))</f>
        <v/>
      </c>
      <c r="AF76" s="106">
        <f>IF(FH76="","",IF(ISNUMBER('Dvd Calendar'!$AH$718)=FALSE,"",IF((('Dvd Calendar'!$AH$720=TYPE1)*(TYPE1&lt;&gt;"")+('Dvd Calendar'!$AH$720=TYPE2)*(TYPE2&lt;&gt;"")+('Dvd Calendar'!$AH$720=TYPE3)*(TYPE3&lt;&gt;"")+('Dvd Calendar'!$AH$720=TYPE4)*(TYPE4&lt;&gt;"")+('Dvd Calendar'!$AH$720=SPECIAL_LBL)*(INC_SPECIALS="Y"))=0,"",'Dvd Calendar'!$AH$718)))</f>
        <v/>
      </c>
      <c r="AG76" s="106">
        <f>IF(FI76="","",IF(ISNUMBER('Dvd Calendar'!$AI$718)=FALSE,"",IF((('Dvd Calendar'!$AI$720=TYPE1)*(TYPE1&lt;&gt;"")+('Dvd Calendar'!$AI$720=TYPE2)*(TYPE2&lt;&gt;"")+('Dvd Calendar'!$AI$720=TYPE3)*(TYPE3&lt;&gt;"")+('Dvd Calendar'!$AI$720=TYPE4)*(TYPE4&lt;&gt;"")+('Dvd Calendar'!$AI$720=SPECIAL_LBL)*(INC_SPECIALS="Y"))=0,"",'Dvd Calendar'!$AI$718)))</f>
        <v/>
      </c>
      <c r="AH76" s="106">
        <f>IF(FJ76="","",IF(ISNUMBER('Dvd Calendar'!$AJ$718)=FALSE,"",IF((('Dvd Calendar'!$AJ$720=TYPE1)*(TYPE1&lt;&gt;"")+('Dvd Calendar'!$AJ$720=TYPE2)*(TYPE2&lt;&gt;"")+('Dvd Calendar'!$AJ$720=TYPE3)*(TYPE3&lt;&gt;"")+('Dvd Calendar'!$AJ$720=TYPE4)*(TYPE4&lt;&gt;"")+('Dvd Calendar'!$AJ$720=SPECIAL_LBL)*(INC_SPECIALS="Y"))=0,"",'Dvd Calendar'!$AJ$718)))</f>
        <v/>
      </c>
      <c r="AI76" s="106">
        <f>IF(FK76="","",IF(ISNUMBER('Dvd Calendar'!$AK$718)=FALSE,"",IF((('Dvd Calendar'!$AK$720=TYPE1)*(TYPE1&lt;&gt;"")+('Dvd Calendar'!$AK$720=TYPE2)*(TYPE2&lt;&gt;"")+('Dvd Calendar'!$AK$720=TYPE3)*(TYPE3&lt;&gt;"")+('Dvd Calendar'!$AK$720=TYPE4)*(TYPE4&lt;&gt;"")+('Dvd Calendar'!$AK$720=SPECIAL_LBL)*(INC_SPECIALS="Y"))=0,"",'Dvd Calendar'!$AK$718)))</f>
        <v/>
      </c>
      <c r="AJ76" s="106">
        <f>IF(FL76="","",IF(ISNUMBER('Dvd Calendar'!$AL$718)=FALSE,"",IF((('Dvd Calendar'!$AL$720=TYPE1)*(TYPE1&lt;&gt;"")+('Dvd Calendar'!$AL$720=TYPE2)*(TYPE2&lt;&gt;"")+('Dvd Calendar'!$AL$720=TYPE3)*(TYPE3&lt;&gt;"")+('Dvd Calendar'!$AL$720=TYPE4)*(TYPE4&lt;&gt;"")+('Dvd Calendar'!$AL$720=SPECIAL_LBL)*(INC_SPECIALS="Y"))=0,"",'Dvd Calendar'!$AL$718)))</f>
        <v/>
      </c>
      <c r="AK76" s="106">
        <f>IF(FM76="","",IF(ISNUMBER('Dvd Calendar'!$AM$718)=FALSE,"",IF((('Dvd Calendar'!$AM$720=TYPE1)*(TYPE1&lt;&gt;"")+('Dvd Calendar'!$AM$720=TYPE2)*(TYPE2&lt;&gt;"")+('Dvd Calendar'!$AM$720=TYPE3)*(TYPE3&lt;&gt;"")+('Dvd Calendar'!$AM$720=TYPE4)*(TYPE4&lt;&gt;"")+('Dvd Calendar'!$AM$720=SPECIAL_LBL)*(INC_SPECIALS="Y"))=0,"",'Dvd Calendar'!$AM$718)))</f>
        <v/>
      </c>
      <c r="AL76" s="106">
        <f>IF(FN76="","",IF(ISNUMBER('Dvd Calendar'!$AN$718)=FALSE,"",IF((('Dvd Calendar'!$AN$720=TYPE1)*(TYPE1&lt;&gt;"")+('Dvd Calendar'!$AN$720=TYPE2)*(TYPE2&lt;&gt;"")+('Dvd Calendar'!$AN$720=TYPE3)*(TYPE3&lt;&gt;"")+('Dvd Calendar'!$AN$720=TYPE4)*(TYPE4&lt;&gt;"")+('Dvd Calendar'!$AN$720=SPECIAL_LBL)*(INC_SPECIALS="Y"))=0,"",'Dvd Calendar'!$AN$718)))</f>
        <v/>
      </c>
      <c r="AM76" s="106">
        <f>IF(FO76="","",IF(ISNUMBER('Dvd Calendar'!$AO$718)=FALSE,"",IF((('Dvd Calendar'!$AO$720=TYPE1)*(TYPE1&lt;&gt;"")+('Dvd Calendar'!$AO$720=TYPE2)*(TYPE2&lt;&gt;"")+('Dvd Calendar'!$AO$720=TYPE3)*(TYPE3&lt;&gt;"")+('Dvd Calendar'!$AO$720=TYPE4)*(TYPE4&lt;&gt;"")+('Dvd Calendar'!$AO$720=SPECIAL_LBL)*(INC_SPECIALS="Y"))=0,"",'Dvd Calendar'!$AO$718)))</f>
        <v/>
      </c>
      <c r="AN76" s="106">
        <f>IF(FP76="","",IF(ISNUMBER('Dvd Calendar'!$AP$718)=FALSE,"",IF((('Dvd Calendar'!$AP$720=TYPE1)*(TYPE1&lt;&gt;"")+('Dvd Calendar'!$AP$720=TYPE2)*(TYPE2&lt;&gt;"")+('Dvd Calendar'!$AP$720=TYPE3)*(TYPE3&lt;&gt;"")+('Dvd Calendar'!$AP$720=TYPE4)*(TYPE4&lt;&gt;"")+('Dvd Calendar'!$AP$720=SPECIAL_LBL)*(INC_SPECIALS="Y"))=0,"",'Dvd Calendar'!$AP$718)))</f>
        <v/>
      </c>
      <c r="AO76" s="106">
        <f>IF(FQ76="","",IF(ISNUMBER('Dvd Calendar'!$AQ$718)=FALSE,"",IF((('Dvd Calendar'!$AQ$720=TYPE1)*(TYPE1&lt;&gt;"")+('Dvd Calendar'!$AQ$720=TYPE2)*(TYPE2&lt;&gt;"")+('Dvd Calendar'!$AQ$720=TYPE3)*(TYPE3&lt;&gt;"")+('Dvd Calendar'!$AQ$720=TYPE4)*(TYPE4&lt;&gt;"")+('Dvd Calendar'!$AQ$720=SPECIAL_LBL)*(INC_SPECIALS="Y"))=0,"",'Dvd Calendar'!$AQ$718)))</f>
        <v/>
      </c>
      <c r="AP76" s="106">
        <f>IF(FR76="","",IF(ISNUMBER('Dvd Calendar'!$AR$718)=FALSE,"",IF((('Dvd Calendar'!$AR$720=TYPE1)*(TYPE1&lt;&gt;"")+('Dvd Calendar'!$AR$720=TYPE2)*(TYPE2&lt;&gt;"")+('Dvd Calendar'!$AR$720=TYPE3)*(TYPE3&lt;&gt;"")+('Dvd Calendar'!$AR$720=TYPE4)*(TYPE4&lt;&gt;"")+('Dvd Calendar'!$AR$720=SPECIAL_LBL)*(INC_SPECIALS="Y"))=0,"",'Dvd Calendar'!$AR$718)))</f>
        <v/>
      </c>
      <c r="AQ76" s="106">
        <f>IF(FS76="","",IF(ISNUMBER('Dvd Calendar'!$E$723)=FALSE,"",'Dvd Calendar'!$E$723))</f>
        <v/>
      </c>
      <c r="AR76" s="106">
        <f>IF(FT76="","",IF(ISNUMBER('Dvd Calendar'!$F$723)=FALSE,"",'Dvd Calendar'!$F$723))</f>
        <v/>
      </c>
      <c r="AS76" s="106">
        <f>IF(FU76="","",IF(ISNUMBER('Dvd Calendar'!$G$723)=FALSE,"",'Dvd Calendar'!$G$723))</f>
        <v/>
      </c>
      <c r="AT76" s="106">
        <f>IF(FV76="","",IF(ISNUMBER('Dvd Calendar'!$H$723)=FALSE,"",'Dvd Calendar'!$H$723))</f>
        <v/>
      </c>
      <c r="AU76" s="106">
        <f>IF(FW76="","",IF(ISNUMBER('Dvd Calendar'!$I$723)=FALSE,"",'Dvd Calendar'!$I$723))</f>
        <v/>
      </c>
      <c r="AV76" s="106">
        <f>IF(FX76="","",IF(ISNUMBER('Dvd Calendar'!$J$723)=FALSE,"",'Dvd Calendar'!$J$723))</f>
        <v/>
      </c>
      <c r="AW76" s="106">
        <f>IF(FY76="","",IF(ISNUMBER('Dvd Calendar'!$K$723)=FALSE,"",'Dvd Calendar'!$K$723))</f>
        <v/>
      </c>
      <c r="AX76" s="106">
        <f>IF(FZ76="","",IF(ISNUMBER('Dvd Calendar'!$L$723)=FALSE,"",'Dvd Calendar'!$L$723))</f>
        <v/>
      </c>
      <c r="AY76" s="106">
        <f>IF(GA76="","",IF(ISNUMBER('Dvd Calendar'!$M$723)=FALSE,"",'Dvd Calendar'!$M$723))</f>
        <v/>
      </c>
      <c r="AZ76" s="106">
        <f>IF(GB76="","",IF(ISNUMBER('Dvd Calendar'!$N$723)=FALSE,"",'Dvd Calendar'!$N$723))</f>
        <v/>
      </c>
      <c r="BA76" s="106">
        <f>IF(GC76="","",IF(ISNUMBER('Dvd Calendar'!$O$723)=FALSE,"",'Dvd Calendar'!$O$723))</f>
        <v/>
      </c>
      <c r="BB76" s="106">
        <f>IF(GD76="","",IF(ISNUMBER('Dvd Calendar'!$P$723)=FALSE,"",'Dvd Calendar'!$P$723))</f>
        <v/>
      </c>
      <c r="BC76" s="106">
        <f>IF(GE76="","",IF(ISNUMBER('Dvd Calendar'!$Q$723)=FALSE,"",'Dvd Calendar'!$Q$723))</f>
        <v/>
      </c>
      <c r="BD76" s="106">
        <f>IF(GF76="","",IF(ISNUMBER('Dvd Calendar'!$R$723)=FALSE,"",'Dvd Calendar'!$R$723))</f>
        <v/>
      </c>
      <c r="BE76" s="106">
        <f>IF(GG76="","",IF(ISNUMBER('Dvd Calendar'!$S$723)=FALSE,"",'Dvd Calendar'!$S$723))</f>
        <v/>
      </c>
      <c r="BF76" s="106">
        <f>IF(GH76="","",IF(ISNUMBER('Dvd Calendar'!$T$723)=FALSE,"",'Dvd Calendar'!$T$723))</f>
        <v/>
      </c>
      <c r="BG76" s="106">
        <f>IF(GI76="","",IF(ISNUMBER('Dvd Calendar'!$U$723)=FALSE,"",'Dvd Calendar'!$U$723))</f>
        <v/>
      </c>
      <c r="BH76" s="106">
        <f>IF(GJ76="","",IF(ISNUMBER('Dvd Calendar'!$V$723)=FALSE,"",'Dvd Calendar'!$V$723))</f>
        <v/>
      </c>
      <c r="BI76" s="106">
        <f>IF(GK76="","",IF(ISNUMBER('Dvd Calendar'!$W$723)=FALSE,"",'Dvd Calendar'!$W$723))</f>
        <v/>
      </c>
      <c r="BJ76" s="106">
        <f>IF(GL76="","",IF(ISNUMBER('Dvd Calendar'!$X$723)=FALSE,"",'Dvd Calendar'!$X$723))</f>
        <v/>
      </c>
      <c r="BK76" s="106">
        <f>IF(GM76="","",IF(ISNUMBER('Dvd Calendar'!$Y$723)=FALSE,"",'Dvd Calendar'!$Y$723))</f>
        <v/>
      </c>
      <c r="BL76" s="106">
        <f>IF(GN76="","",IF(ISNUMBER('Dvd Calendar'!$Z$723)=FALSE,"",'Dvd Calendar'!$Z$723))</f>
        <v/>
      </c>
      <c r="BM76" s="106">
        <f>IF(GO76="","",IF(ISNUMBER('Dvd Calendar'!$AA$723)=FALSE,"",'Dvd Calendar'!$AA$723))</f>
        <v/>
      </c>
      <c r="BN76" s="106">
        <f>IF(GP76="","",IF(ISNUMBER('Dvd Calendar'!$AB$723)=FALSE,"",'Dvd Calendar'!$AB$723))</f>
        <v/>
      </c>
      <c r="BO76" s="106">
        <f>IF(GQ76="","",IF(ISNUMBER('Dvd Calendar'!$AC$723)=FALSE,"",'Dvd Calendar'!$AC$723))</f>
        <v/>
      </c>
      <c r="BQ76" s="106">
        <f>IF(C76="","",IFERROR(C76*HSI!$B$71*HSI!$G$71/HSI!$B$3,""))</f>
        <v/>
      </c>
      <c r="BR76" s="106">
        <f>IF(D76="","",IFERROR(D76*HSI!$B$71*HSI!$G$71/HSI!$B$3,""))</f>
        <v/>
      </c>
      <c r="BS76" s="106">
        <f>IF(E76="","",IFERROR(E76*HSI!$B$71*HSI!$G$71/HSI!$B$3,""))</f>
        <v/>
      </c>
      <c r="BT76" s="106">
        <f>IF(F76="","",IFERROR(F76*HSI!$B$71*HSI!$G$71/HSI!$B$3,""))</f>
        <v/>
      </c>
      <c r="BU76" s="106">
        <f>IF(G76="","",IFERROR(G76*HSI!$B$71*HSI!$G$71/HSI!$B$3,""))</f>
        <v/>
      </c>
      <c r="BV76" s="106">
        <f>IF(H76="","",IFERROR(H76*HSI!$B$71*HSI!$G$71/HSI!$B$3,""))</f>
        <v/>
      </c>
      <c r="BW76" s="106">
        <f>IF(I76="","",IFERROR(I76*HSI!$B$71*HSI!$G$71/HSI!$B$3,""))</f>
        <v/>
      </c>
      <c r="BX76" s="106">
        <f>IF(J76="","",IFERROR(J76*HSI!$B$71*HSI!$G$71/HSI!$B$3,""))</f>
        <v/>
      </c>
      <c r="BY76" s="106">
        <f>IF(K76="","",IFERROR(K76*HSI!$B$71*HSI!$G$71/HSI!$B$3,""))</f>
        <v/>
      </c>
      <c r="BZ76" s="106">
        <f>IF(L76="","",IFERROR(L76*HSI!$B$71*HSI!$G$71/HSI!$B$3,""))</f>
        <v/>
      </c>
      <c r="CA76" s="106">
        <f>IF(M76="","",IFERROR(M76*HSI!$B$71*HSI!$G$71/HSI!$B$3,""))</f>
        <v/>
      </c>
      <c r="CB76" s="106">
        <f>IF(N76="","",IFERROR(N76*HSI!$B$71*HSI!$G$71/HSI!$B$3,""))</f>
        <v/>
      </c>
      <c r="CC76" s="106">
        <f>IF(O76="","",IFERROR(O76*HSI!$B$71*HSI!$G$71/HSI!$B$3,""))</f>
        <v/>
      </c>
      <c r="CD76" s="106">
        <f>IF(P76="","",IFERROR(P76*HSI!$B$71*HSI!$G$71/HSI!$B$3,""))</f>
        <v/>
      </c>
      <c r="CE76" s="106">
        <f>IF(Q76="","",IFERROR(Q76*HSI!$B$71*HSI!$G$71/HSI!$B$3,""))</f>
        <v/>
      </c>
      <c r="CF76" s="106">
        <f>IF(R76="","",IFERROR(R76*HSI!$B$71*HSI!$G$71/HSI!$B$3,""))</f>
        <v/>
      </c>
      <c r="CG76" s="106">
        <f>IF(S76="","",IFERROR(S76*HSI!$B$71*HSI!$G$71/HSI!$B$3,""))</f>
        <v/>
      </c>
      <c r="CH76" s="106">
        <f>IF(T76="","",IFERROR(T76*HSI!$B$71*HSI!$G$71/HSI!$B$3,""))</f>
        <v/>
      </c>
      <c r="CI76" s="106">
        <f>IF(U76="","",IFERROR(U76*HSI!$B$71*HSI!$G$71/HSI!$B$3,""))</f>
        <v/>
      </c>
      <c r="CJ76" s="106">
        <f>IF(V76="","",IFERROR(V76*HSI!$B$71*HSI!$G$71/HSI!$B$3,""))</f>
        <v/>
      </c>
      <c r="CK76" s="106">
        <f>IF(W76="","",IFERROR(W76*HSI!$B$71*HSI!$G$71/HSI!$B$3,""))</f>
        <v/>
      </c>
      <c r="CL76" s="106">
        <f>IF(X76="","",IFERROR(X76*HSI!$B$71*HSI!$G$71/HSI!$B$3,""))</f>
        <v/>
      </c>
      <c r="CM76" s="106">
        <f>IF(Y76="","",IFERROR(Y76*HSI!$B$71*HSI!$G$71/HSI!$B$3,""))</f>
        <v/>
      </c>
      <c r="CN76" s="106">
        <f>IF(Z76="","",IFERROR(Z76*HSI!$B$71*HSI!$G$71/HSI!$B$3,""))</f>
        <v/>
      </c>
      <c r="CO76" s="106">
        <f>IF(AA76="","",IFERROR(AA76*HSI!$B$71*HSI!$G$71/HSI!$B$3,""))</f>
        <v/>
      </c>
      <c r="CP76" s="106">
        <f>IF(AB76="","",IFERROR(AB76*HSI!$B$71*HSI!$G$71/HSI!$B$3,""))</f>
        <v/>
      </c>
      <c r="CQ76" s="106">
        <f>IF(AC76="","",IFERROR(AC76*HSI!$B$71*HSI!$G$71/HSI!$B$3,""))</f>
        <v/>
      </c>
      <c r="CR76" s="106">
        <f>IF(AD76="","",IFERROR(AD76*HSI!$B$71*HSI!$G$71/HSI!$B$3,""))</f>
        <v/>
      </c>
      <c r="CS76" s="106">
        <f>IF(AE76="","",IFERROR(AE76*HSI!$B$71*HSI!$G$71/HSI!$B$3,""))</f>
        <v/>
      </c>
      <c r="CT76" s="106">
        <f>IF(AF76="","",IFERROR(AF76*HSI!$B$71*HSI!$G$71/HSI!$B$3,""))</f>
        <v/>
      </c>
      <c r="CU76" s="106">
        <f>IF(AG76="","",IFERROR(AG76*HSI!$B$71*HSI!$G$71/HSI!$B$3,""))</f>
        <v/>
      </c>
      <c r="CV76" s="106">
        <f>IF(AH76="","",IFERROR(AH76*HSI!$B$71*HSI!$G$71/HSI!$B$3,""))</f>
        <v/>
      </c>
      <c r="CW76" s="106">
        <f>IF(AI76="","",IFERROR(AI76*HSI!$B$71*HSI!$G$71/HSI!$B$3,""))</f>
        <v/>
      </c>
      <c r="CX76" s="106">
        <f>IF(AJ76="","",IFERROR(AJ76*HSI!$B$71*HSI!$G$71/HSI!$B$3,""))</f>
        <v/>
      </c>
      <c r="CY76" s="106">
        <f>IF(AK76="","",IFERROR(AK76*HSI!$B$71*HSI!$G$71/HSI!$B$3,""))</f>
        <v/>
      </c>
      <c r="CZ76" s="106">
        <f>IF(AL76="","",IFERROR(AL76*HSI!$B$71*HSI!$G$71/HSI!$B$3,""))</f>
        <v/>
      </c>
      <c r="DA76" s="106">
        <f>IF(AM76="","",IFERROR(AM76*HSI!$B$71*HSI!$G$71/HSI!$B$3,""))</f>
        <v/>
      </c>
      <c r="DB76" s="106">
        <f>IF(AN76="","",IFERROR(AN76*HSI!$B$71*HSI!$G$71/HSI!$B$3,""))</f>
        <v/>
      </c>
      <c r="DC76" s="106">
        <f>IF(AO76="","",IFERROR(AO76*HSI!$B$71*HSI!$G$71/HSI!$B$3,""))</f>
        <v/>
      </c>
      <c r="DD76" s="106">
        <f>IF(AP76="","",IFERROR(AP76*HSI!$B$71*HSI!$G$71/HSI!$B$3,""))</f>
        <v/>
      </c>
      <c r="DE76" s="106">
        <f>IF(AQ76="","",IFERROR(AQ76*HSI!$B$71*HSI!$G$71/HSI!$B$3,""))</f>
        <v/>
      </c>
      <c r="DF76" s="106">
        <f>IF(AR76="","",IFERROR(AR76*HSI!$B$71*HSI!$G$71/HSI!$B$3,""))</f>
        <v/>
      </c>
      <c r="DG76" s="106">
        <f>IF(AS76="","",IFERROR(AS76*HSI!$B$71*HSI!$G$71/HSI!$B$3,""))</f>
        <v/>
      </c>
      <c r="DH76" s="106">
        <f>IF(AT76="","",IFERROR(AT76*HSI!$B$71*HSI!$G$71/HSI!$B$3,""))</f>
        <v/>
      </c>
      <c r="DI76" s="106">
        <f>IF(AU76="","",IFERROR(AU76*HSI!$B$71*HSI!$G$71/HSI!$B$3,""))</f>
        <v/>
      </c>
      <c r="DJ76" s="106">
        <f>IF(AV76="","",IFERROR(AV76*HSI!$B$71*HSI!$G$71/HSI!$B$3,""))</f>
        <v/>
      </c>
      <c r="DK76" s="106">
        <f>IF(AW76="","",IFERROR(AW76*HSI!$B$71*HSI!$G$71/HSI!$B$3,""))</f>
        <v/>
      </c>
      <c r="DL76" s="106">
        <f>IF(AX76="","",IFERROR(AX76*HSI!$B$71*HSI!$G$71/HSI!$B$3,""))</f>
        <v/>
      </c>
      <c r="DM76" s="106">
        <f>IF(AY76="","",IFERROR(AY76*HSI!$B$71*HSI!$G$71/HSI!$B$3,""))</f>
        <v/>
      </c>
      <c r="DN76" s="106">
        <f>IF(AZ76="","",IFERROR(AZ76*HSI!$B$71*HSI!$G$71/HSI!$B$3,""))</f>
        <v/>
      </c>
      <c r="DO76" s="106">
        <f>IF(BA76="","",IFERROR(BA76*HSI!$B$71*HSI!$G$71/HSI!$B$3,""))</f>
        <v/>
      </c>
      <c r="DP76" s="106">
        <f>IF(BB76="","",IFERROR(BB76*HSI!$B$71*HSI!$G$71/HSI!$B$3,""))</f>
        <v/>
      </c>
      <c r="DQ76" s="106">
        <f>IF(BC76="","",IFERROR(BC76*HSI!$B$71*HSI!$G$71/HSI!$B$3,""))</f>
        <v/>
      </c>
      <c r="DR76" s="106">
        <f>IF(BD76="","",IFERROR(BD76*HSI!$B$71*HSI!$G$71/HSI!$B$3,""))</f>
        <v/>
      </c>
      <c r="DS76" s="106">
        <f>IF(BE76="","",IFERROR(BE76*HSI!$B$71*HSI!$G$71/HSI!$B$3,""))</f>
        <v/>
      </c>
      <c r="DT76" s="106">
        <f>IF(BF76="","",IFERROR(BF76*HSI!$B$71*HSI!$G$71/HSI!$B$3,""))</f>
        <v/>
      </c>
      <c r="DU76" s="106">
        <f>IF(BG76="","",IFERROR(BG76*HSI!$B$71*HSI!$G$71/HSI!$B$3,""))</f>
        <v/>
      </c>
      <c r="DV76" s="106">
        <f>IF(BH76="","",IFERROR(BH76*HSI!$B$71*HSI!$G$71/HSI!$B$3,""))</f>
        <v/>
      </c>
      <c r="DW76" s="106">
        <f>IF(BI76="","",IFERROR(BI76*HSI!$B$71*HSI!$G$71/HSI!$B$3,""))</f>
        <v/>
      </c>
      <c r="DX76" s="106">
        <f>IF(BJ76="","",IFERROR(BJ76*HSI!$B$71*HSI!$G$71/HSI!$B$3,""))</f>
        <v/>
      </c>
      <c r="DY76" s="106">
        <f>IF(BK76="","",IFERROR(BK76*HSI!$B$71*HSI!$G$71/HSI!$B$3,""))</f>
        <v/>
      </c>
      <c r="DZ76" s="106">
        <f>IF(BL76="","",IFERROR(BL76*HSI!$B$71*HSI!$G$71/HSI!$B$3,""))</f>
        <v/>
      </c>
      <c r="EA76" s="106">
        <f>IF(BM76="","",IFERROR(BM76*HSI!$B$71*HSI!$G$71/HSI!$B$3,""))</f>
        <v/>
      </c>
      <c r="EB76" s="106">
        <f>IF(BN76="","",IFERROR(BN76*HSI!$B$71*HSI!$G$71/HSI!$B$3,""))</f>
        <v/>
      </c>
      <c r="EC76" s="106">
        <f>IF(BO76="","",IFERROR(BO76*HSI!$B$71*HSI!$G$71/HSI!$B$3,""))</f>
        <v/>
      </c>
      <c r="EE76" s="35">
        <f>IF(N('Dvd Calendar'!$E$715)=0,"",IF(('Dvd Calendar'!$E$715&gt;=GRID_FROM)*('Dvd Calendar'!$E$715&lt;=GRID_TO)*('Dvd Calendar'!$E$715&lt;=VAL_DATE)=0,"",'Dvd Calendar'!$E$715*1000000000+ISNUMBER('Dvd Calendar'!$E$718)*100000000+('Dvd Calendar'!$E$720=SPECIAL_LBL)*10000000+0*1000000+65*1000+1))</f>
        <v/>
      </c>
      <c r="EF76" s="35">
        <f>IF(N('Dvd Calendar'!$F$715)=0,"",IF(('Dvd Calendar'!$F$715&gt;=GRID_FROM)*('Dvd Calendar'!$F$715&lt;=GRID_TO)*('Dvd Calendar'!$F$715&lt;=VAL_DATE)=0,"",'Dvd Calendar'!$F$715*1000000000+ISNUMBER('Dvd Calendar'!$F$718)*100000000+('Dvd Calendar'!$F$720=SPECIAL_LBL)*10000000+0*1000000+65*1000+2))</f>
        <v/>
      </c>
      <c r="EG76" s="35">
        <f>IF(N('Dvd Calendar'!$G$715)=0,"",IF(('Dvd Calendar'!$G$715&gt;=GRID_FROM)*('Dvd Calendar'!$G$715&lt;=GRID_TO)*('Dvd Calendar'!$G$715&lt;=VAL_DATE)=0,"",'Dvd Calendar'!$G$715*1000000000+ISNUMBER('Dvd Calendar'!$G$718)*100000000+('Dvd Calendar'!$G$720=SPECIAL_LBL)*10000000+0*1000000+65*1000+3))</f>
        <v/>
      </c>
      <c r="EH76" s="35">
        <f>IF(N('Dvd Calendar'!$H$715)=0,"",IF(('Dvd Calendar'!$H$715&gt;=GRID_FROM)*('Dvd Calendar'!$H$715&lt;=GRID_TO)*('Dvd Calendar'!$H$715&lt;=VAL_DATE)=0,"",'Dvd Calendar'!$H$715*1000000000+ISNUMBER('Dvd Calendar'!$H$718)*100000000+('Dvd Calendar'!$H$720=SPECIAL_LBL)*10000000+0*1000000+65*1000+4))</f>
        <v/>
      </c>
      <c r="EI76" s="35">
        <f>IF(N('Dvd Calendar'!$I$715)=0,"",IF(('Dvd Calendar'!$I$715&gt;=GRID_FROM)*('Dvd Calendar'!$I$715&lt;=GRID_TO)*('Dvd Calendar'!$I$715&lt;=VAL_DATE)=0,"",'Dvd Calendar'!$I$715*1000000000+ISNUMBER('Dvd Calendar'!$I$718)*100000000+('Dvd Calendar'!$I$720=SPECIAL_LBL)*10000000+0*1000000+65*1000+5))</f>
        <v/>
      </c>
      <c r="EJ76" s="35">
        <f>IF(N('Dvd Calendar'!$J$715)=0,"",IF(('Dvd Calendar'!$J$715&gt;=GRID_FROM)*('Dvd Calendar'!$J$715&lt;=GRID_TO)*('Dvd Calendar'!$J$715&lt;=VAL_DATE)=0,"",'Dvd Calendar'!$J$715*1000000000+ISNUMBER('Dvd Calendar'!$J$718)*100000000+('Dvd Calendar'!$J$720=SPECIAL_LBL)*10000000+0*1000000+65*1000+6))</f>
        <v/>
      </c>
      <c r="EK76" s="35">
        <f>IF(N('Dvd Calendar'!$K$715)=0,"",IF(('Dvd Calendar'!$K$715&gt;=GRID_FROM)*('Dvd Calendar'!$K$715&lt;=GRID_TO)*('Dvd Calendar'!$K$715&lt;=VAL_DATE)=0,"",'Dvd Calendar'!$K$715*1000000000+ISNUMBER('Dvd Calendar'!$K$718)*100000000+('Dvd Calendar'!$K$720=SPECIAL_LBL)*10000000+0*1000000+65*1000+7))</f>
        <v/>
      </c>
      <c r="EL76" s="35">
        <f>IF(N('Dvd Calendar'!$L$715)=0,"",IF(('Dvd Calendar'!$L$715&gt;=GRID_FROM)*('Dvd Calendar'!$L$715&lt;=GRID_TO)*('Dvd Calendar'!$L$715&lt;=VAL_DATE)=0,"",'Dvd Calendar'!$L$715*1000000000+ISNUMBER('Dvd Calendar'!$L$718)*100000000+('Dvd Calendar'!$L$720=SPECIAL_LBL)*10000000+0*1000000+65*1000+8))</f>
        <v/>
      </c>
      <c r="EM76" s="35">
        <f>IF(N('Dvd Calendar'!$M$715)=0,"",IF(('Dvd Calendar'!$M$715&gt;=GRID_FROM)*('Dvd Calendar'!$M$715&lt;=GRID_TO)*('Dvd Calendar'!$M$715&lt;=VAL_DATE)=0,"",'Dvd Calendar'!$M$715*1000000000+ISNUMBER('Dvd Calendar'!$M$718)*100000000+('Dvd Calendar'!$M$720=SPECIAL_LBL)*10000000+0*1000000+65*1000+9))</f>
        <v/>
      </c>
      <c r="EN76" s="35">
        <f>IF(N('Dvd Calendar'!$N$715)=0,"",IF(('Dvd Calendar'!$N$715&gt;=GRID_FROM)*('Dvd Calendar'!$N$715&lt;=GRID_TO)*('Dvd Calendar'!$N$715&lt;=VAL_DATE)=0,"",'Dvd Calendar'!$N$715*1000000000+ISNUMBER('Dvd Calendar'!$N$718)*100000000+('Dvd Calendar'!$N$720=SPECIAL_LBL)*10000000+0*1000000+65*1000+10))</f>
        <v/>
      </c>
      <c r="EO76" s="35">
        <f>IF(N('Dvd Calendar'!$O$715)=0,"",IF(('Dvd Calendar'!$O$715&gt;=GRID_FROM)*('Dvd Calendar'!$O$715&lt;=GRID_TO)*('Dvd Calendar'!$O$715&lt;=VAL_DATE)=0,"",'Dvd Calendar'!$O$715*1000000000+ISNUMBER('Dvd Calendar'!$O$718)*100000000+('Dvd Calendar'!$O$720=SPECIAL_LBL)*10000000+0*1000000+65*1000+11))</f>
        <v/>
      </c>
      <c r="EP76" s="35">
        <f>IF(N('Dvd Calendar'!$P$715)=0,"",IF(('Dvd Calendar'!$P$715&gt;=GRID_FROM)*('Dvd Calendar'!$P$715&lt;=GRID_TO)*('Dvd Calendar'!$P$715&lt;=VAL_DATE)=0,"",'Dvd Calendar'!$P$715*1000000000+ISNUMBER('Dvd Calendar'!$P$718)*100000000+('Dvd Calendar'!$P$720=SPECIAL_LBL)*10000000+0*1000000+65*1000+12))</f>
        <v/>
      </c>
      <c r="EQ76" s="35">
        <f>IF(N('Dvd Calendar'!$Q$715)=0,"",IF(('Dvd Calendar'!$Q$715&gt;=GRID_FROM)*('Dvd Calendar'!$Q$715&lt;=GRID_TO)*('Dvd Calendar'!$Q$715&lt;=VAL_DATE)=0,"",'Dvd Calendar'!$Q$715*1000000000+ISNUMBER('Dvd Calendar'!$Q$718)*100000000+('Dvd Calendar'!$Q$720=SPECIAL_LBL)*10000000+0*1000000+65*1000+13))</f>
        <v/>
      </c>
      <c r="ER76" s="35">
        <f>IF(N('Dvd Calendar'!$R$715)=0,"",IF(('Dvd Calendar'!$R$715&gt;=GRID_FROM)*('Dvd Calendar'!$R$715&lt;=GRID_TO)*('Dvd Calendar'!$R$715&lt;=VAL_DATE)=0,"",'Dvd Calendar'!$R$715*1000000000+ISNUMBER('Dvd Calendar'!$R$718)*100000000+('Dvd Calendar'!$R$720=SPECIAL_LBL)*10000000+0*1000000+65*1000+14))</f>
        <v/>
      </c>
      <c r="ES76" s="35">
        <f>IF(N('Dvd Calendar'!$S$715)=0,"",IF(('Dvd Calendar'!$S$715&gt;=GRID_FROM)*('Dvd Calendar'!$S$715&lt;=GRID_TO)*('Dvd Calendar'!$S$715&lt;=VAL_DATE)=0,"",'Dvd Calendar'!$S$715*1000000000+ISNUMBER('Dvd Calendar'!$S$718)*100000000+('Dvd Calendar'!$S$720=SPECIAL_LBL)*10000000+0*1000000+65*1000+15))</f>
        <v/>
      </c>
      <c r="ET76" s="35">
        <f>IF(N('Dvd Calendar'!$T$715)=0,"",IF(('Dvd Calendar'!$T$715&gt;=GRID_FROM)*('Dvd Calendar'!$T$715&lt;=GRID_TO)*('Dvd Calendar'!$T$715&lt;=VAL_DATE)=0,"",'Dvd Calendar'!$T$715*1000000000+ISNUMBER('Dvd Calendar'!$T$718)*100000000+('Dvd Calendar'!$T$720=SPECIAL_LBL)*10000000+0*1000000+65*1000+16))</f>
        <v/>
      </c>
      <c r="EU76" s="35">
        <f>IF(N('Dvd Calendar'!$U$715)=0,"",IF(('Dvd Calendar'!$U$715&gt;=GRID_FROM)*('Dvd Calendar'!$U$715&lt;=GRID_TO)*('Dvd Calendar'!$U$715&lt;=VAL_DATE)=0,"",'Dvd Calendar'!$U$715*1000000000+ISNUMBER('Dvd Calendar'!$U$718)*100000000+('Dvd Calendar'!$U$720=SPECIAL_LBL)*10000000+0*1000000+65*1000+17))</f>
        <v/>
      </c>
      <c r="EV76" s="35">
        <f>IF(N('Dvd Calendar'!$V$715)=0,"",IF(('Dvd Calendar'!$V$715&gt;=GRID_FROM)*('Dvd Calendar'!$V$715&lt;=GRID_TO)*('Dvd Calendar'!$V$715&lt;=VAL_DATE)=0,"",'Dvd Calendar'!$V$715*1000000000+ISNUMBER('Dvd Calendar'!$V$718)*100000000+('Dvd Calendar'!$V$720=SPECIAL_LBL)*10000000+0*1000000+65*1000+18))</f>
        <v/>
      </c>
      <c r="EW76" s="35">
        <f>IF(N('Dvd Calendar'!$W$715)=0,"",IF(('Dvd Calendar'!$W$715&gt;=GRID_FROM)*('Dvd Calendar'!$W$715&lt;=GRID_TO)*('Dvd Calendar'!$W$715&lt;=VAL_DATE)=0,"",'Dvd Calendar'!$W$715*1000000000+ISNUMBER('Dvd Calendar'!$W$718)*100000000+('Dvd Calendar'!$W$720=SPECIAL_LBL)*10000000+0*1000000+65*1000+19))</f>
        <v/>
      </c>
      <c r="EX76" s="35">
        <f>IF(N('Dvd Calendar'!$X$715)=0,"",IF(('Dvd Calendar'!$X$715&gt;=GRID_FROM)*('Dvd Calendar'!$X$715&lt;=GRID_TO)*('Dvd Calendar'!$X$715&lt;=VAL_DATE)=0,"",'Dvd Calendar'!$X$715*1000000000+ISNUMBER('Dvd Calendar'!$X$718)*100000000+('Dvd Calendar'!$X$720=SPECIAL_LBL)*10000000+0*1000000+65*1000+20))</f>
        <v/>
      </c>
      <c r="EY76" s="35">
        <f>IF(N('Dvd Calendar'!$Y$715)=0,"",IF(('Dvd Calendar'!$Y$715&gt;=GRID_FROM)*('Dvd Calendar'!$Y$715&lt;=GRID_TO)*('Dvd Calendar'!$Y$715&lt;=VAL_DATE)=0,"",'Dvd Calendar'!$Y$715*1000000000+ISNUMBER('Dvd Calendar'!$Y$718)*100000000+('Dvd Calendar'!$Y$720=SPECIAL_LBL)*10000000+0*1000000+65*1000+21))</f>
        <v/>
      </c>
      <c r="EZ76" s="35">
        <f>IF(N('Dvd Calendar'!$Z$715)=0,"",IF(('Dvd Calendar'!$Z$715&gt;=GRID_FROM)*('Dvd Calendar'!$Z$715&lt;=GRID_TO)*('Dvd Calendar'!$Z$715&lt;=VAL_DATE)=0,"",'Dvd Calendar'!$Z$715*1000000000+ISNUMBER('Dvd Calendar'!$Z$718)*100000000+('Dvd Calendar'!$Z$720=SPECIAL_LBL)*10000000+0*1000000+65*1000+22))</f>
        <v/>
      </c>
      <c r="FA76" s="35">
        <f>IF(N('Dvd Calendar'!$AA$715)=0,"",IF(('Dvd Calendar'!$AA$715&gt;=GRID_FROM)*('Dvd Calendar'!$AA$715&lt;=GRID_TO)*('Dvd Calendar'!$AA$715&lt;=VAL_DATE)=0,"",'Dvd Calendar'!$AA$715*1000000000+ISNUMBER('Dvd Calendar'!$AA$718)*100000000+('Dvd Calendar'!$AA$720=SPECIAL_LBL)*10000000+0*1000000+65*1000+23))</f>
        <v/>
      </c>
      <c r="FB76" s="35">
        <f>IF(N('Dvd Calendar'!$AB$715)=0,"",IF(('Dvd Calendar'!$AB$715&gt;=GRID_FROM)*('Dvd Calendar'!$AB$715&lt;=GRID_TO)*('Dvd Calendar'!$AB$715&lt;=VAL_DATE)=0,"",'Dvd Calendar'!$AB$715*1000000000+ISNUMBER('Dvd Calendar'!$AB$718)*100000000+('Dvd Calendar'!$AB$720=SPECIAL_LBL)*10000000+0*1000000+65*1000+24))</f>
        <v/>
      </c>
      <c r="FC76" s="35">
        <f>IF(N('Dvd Calendar'!$AC$715)=0,"",IF(('Dvd Calendar'!$AC$715&gt;=GRID_FROM)*('Dvd Calendar'!$AC$715&lt;=GRID_TO)*('Dvd Calendar'!$AC$715&lt;=VAL_DATE)=0,"",'Dvd Calendar'!$AC$715*1000000000+ISNUMBER('Dvd Calendar'!$AC$718)*100000000+('Dvd Calendar'!$AC$720=SPECIAL_LBL)*10000000+0*1000000+65*1000+25))</f>
        <v/>
      </c>
      <c r="FD76" s="35">
        <f>IF(N('Dvd Calendar'!$AD$715)=0,"",IF(('Dvd Calendar'!$AD$715&gt;=GRID_FROM)*('Dvd Calendar'!$AD$715&lt;=GRID_TO)*('Dvd Calendar'!$AD$715&lt;=VAL_DATE)=0,"",'Dvd Calendar'!$AD$715*1000000000+ISNUMBER('Dvd Calendar'!$AD$718)*100000000+('Dvd Calendar'!$AD$720=SPECIAL_LBL)*10000000+0*1000000+65*1000+26))</f>
        <v/>
      </c>
      <c r="FE76" s="35">
        <f>IF(N('Dvd Calendar'!$AE$715)=0,"",IF(('Dvd Calendar'!$AE$715&gt;=GRID_FROM)*('Dvd Calendar'!$AE$715&lt;=GRID_TO)*('Dvd Calendar'!$AE$715&lt;=VAL_DATE)=0,"",'Dvd Calendar'!$AE$715*1000000000+ISNUMBER('Dvd Calendar'!$AE$718)*100000000+('Dvd Calendar'!$AE$720=SPECIAL_LBL)*10000000+0*1000000+65*1000+27))</f>
        <v/>
      </c>
      <c r="FF76" s="35">
        <f>IF(N('Dvd Calendar'!$AF$715)=0,"",IF(('Dvd Calendar'!$AF$715&gt;=GRID_FROM)*('Dvd Calendar'!$AF$715&lt;=GRID_TO)*('Dvd Calendar'!$AF$715&lt;=VAL_DATE)=0,"",'Dvd Calendar'!$AF$715*1000000000+ISNUMBER('Dvd Calendar'!$AF$718)*100000000+('Dvd Calendar'!$AF$720=SPECIAL_LBL)*10000000+0*1000000+65*1000+28))</f>
        <v/>
      </c>
      <c r="FG76" s="35">
        <f>IF(N('Dvd Calendar'!$AG$715)=0,"",IF(('Dvd Calendar'!$AG$715&gt;=GRID_FROM)*('Dvd Calendar'!$AG$715&lt;=GRID_TO)*('Dvd Calendar'!$AG$715&lt;=VAL_DATE)=0,"",'Dvd Calendar'!$AG$715*1000000000+ISNUMBER('Dvd Calendar'!$AG$718)*100000000+('Dvd Calendar'!$AG$720=SPECIAL_LBL)*10000000+0*1000000+65*1000+29))</f>
        <v/>
      </c>
      <c r="FH76" s="35">
        <f>IF(N('Dvd Calendar'!$AH$715)=0,"",IF(('Dvd Calendar'!$AH$715&gt;=GRID_FROM)*('Dvd Calendar'!$AH$715&lt;=GRID_TO)*('Dvd Calendar'!$AH$715&lt;=VAL_DATE)=0,"",'Dvd Calendar'!$AH$715*1000000000+ISNUMBER('Dvd Calendar'!$AH$718)*100000000+('Dvd Calendar'!$AH$720=SPECIAL_LBL)*10000000+0*1000000+65*1000+30))</f>
        <v/>
      </c>
      <c r="FI76" s="35">
        <f>IF(N('Dvd Calendar'!$AI$715)=0,"",IF(('Dvd Calendar'!$AI$715&gt;=GRID_FROM)*('Dvd Calendar'!$AI$715&lt;=GRID_TO)*('Dvd Calendar'!$AI$715&lt;=VAL_DATE)=0,"",'Dvd Calendar'!$AI$715*1000000000+ISNUMBER('Dvd Calendar'!$AI$718)*100000000+('Dvd Calendar'!$AI$720=SPECIAL_LBL)*10000000+0*1000000+65*1000+31))</f>
        <v/>
      </c>
      <c r="FJ76" s="35">
        <f>IF(N('Dvd Calendar'!$AJ$715)=0,"",IF(('Dvd Calendar'!$AJ$715&gt;=GRID_FROM)*('Dvd Calendar'!$AJ$715&lt;=GRID_TO)*('Dvd Calendar'!$AJ$715&lt;=VAL_DATE)=0,"",'Dvd Calendar'!$AJ$715*1000000000+ISNUMBER('Dvd Calendar'!$AJ$718)*100000000+('Dvd Calendar'!$AJ$720=SPECIAL_LBL)*10000000+0*1000000+65*1000+32))</f>
        <v/>
      </c>
      <c r="FK76" s="35">
        <f>IF(N('Dvd Calendar'!$AK$715)=0,"",IF(('Dvd Calendar'!$AK$715&gt;=GRID_FROM)*('Dvd Calendar'!$AK$715&lt;=GRID_TO)*('Dvd Calendar'!$AK$715&lt;=VAL_DATE)=0,"",'Dvd Calendar'!$AK$715*1000000000+ISNUMBER('Dvd Calendar'!$AK$718)*100000000+('Dvd Calendar'!$AK$720=SPECIAL_LBL)*10000000+0*1000000+65*1000+33))</f>
        <v/>
      </c>
      <c r="FL76" s="35">
        <f>IF(N('Dvd Calendar'!$AL$715)=0,"",IF(('Dvd Calendar'!$AL$715&gt;=GRID_FROM)*('Dvd Calendar'!$AL$715&lt;=GRID_TO)*('Dvd Calendar'!$AL$715&lt;=VAL_DATE)=0,"",'Dvd Calendar'!$AL$715*1000000000+ISNUMBER('Dvd Calendar'!$AL$718)*100000000+('Dvd Calendar'!$AL$720=SPECIAL_LBL)*10000000+0*1000000+65*1000+34))</f>
        <v/>
      </c>
      <c r="FM76" s="35">
        <f>IF(N('Dvd Calendar'!$AM$715)=0,"",IF(('Dvd Calendar'!$AM$715&gt;=GRID_FROM)*('Dvd Calendar'!$AM$715&lt;=GRID_TO)*('Dvd Calendar'!$AM$715&lt;=VAL_DATE)=0,"",'Dvd Calendar'!$AM$715*1000000000+ISNUMBER('Dvd Calendar'!$AM$718)*100000000+('Dvd Calendar'!$AM$720=SPECIAL_LBL)*10000000+0*1000000+65*1000+35))</f>
        <v/>
      </c>
      <c r="FN76" s="35">
        <f>IF(N('Dvd Calendar'!$AN$715)=0,"",IF(('Dvd Calendar'!$AN$715&gt;=GRID_FROM)*('Dvd Calendar'!$AN$715&lt;=GRID_TO)*('Dvd Calendar'!$AN$715&lt;=VAL_DATE)=0,"",'Dvd Calendar'!$AN$715*1000000000+ISNUMBER('Dvd Calendar'!$AN$718)*100000000+('Dvd Calendar'!$AN$720=SPECIAL_LBL)*10000000+0*1000000+65*1000+36))</f>
        <v/>
      </c>
      <c r="FO76" s="35">
        <f>IF(N('Dvd Calendar'!$AO$715)=0,"",IF(('Dvd Calendar'!$AO$715&gt;=GRID_FROM)*('Dvd Calendar'!$AO$715&lt;=GRID_TO)*('Dvd Calendar'!$AO$715&lt;=VAL_DATE)=0,"",'Dvd Calendar'!$AO$715*1000000000+ISNUMBER('Dvd Calendar'!$AO$718)*100000000+('Dvd Calendar'!$AO$720=SPECIAL_LBL)*10000000+0*1000000+65*1000+37))</f>
        <v/>
      </c>
      <c r="FP76" s="35">
        <f>IF(N('Dvd Calendar'!$AP$715)=0,"",IF(('Dvd Calendar'!$AP$715&gt;=GRID_FROM)*('Dvd Calendar'!$AP$715&lt;=GRID_TO)*('Dvd Calendar'!$AP$715&lt;=VAL_DATE)=0,"",'Dvd Calendar'!$AP$715*1000000000+ISNUMBER('Dvd Calendar'!$AP$718)*100000000+('Dvd Calendar'!$AP$720=SPECIAL_LBL)*10000000+0*1000000+65*1000+38))</f>
        <v/>
      </c>
      <c r="FQ76" s="35">
        <f>IF(N('Dvd Calendar'!$AQ$715)=0,"",IF(('Dvd Calendar'!$AQ$715&gt;=GRID_FROM)*('Dvd Calendar'!$AQ$715&lt;=GRID_TO)*('Dvd Calendar'!$AQ$715&lt;=VAL_DATE)=0,"",'Dvd Calendar'!$AQ$715*1000000000+ISNUMBER('Dvd Calendar'!$AQ$718)*100000000+('Dvd Calendar'!$AQ$720=SPECIAL_LBL)*10000000+0*1000000+65*1000+39))</f>
        <v/>
      </c>
      <c r="FR76" s="35">
        <f>IF(N('Dvd Calendar'!$AR$715)=0,"",IF(('Dvd Calendar'!$AR$715&gt;=GRID_FROM)*('Dvd Calendar'!$AR$715&lt;=GRID_TO)*('Dvd Calendar'!$AR$715&lt;=VAL_DATE)=0,"",'Dvd Calendar'!$AR$715*1000000000+ISNUMBER('Dvd Calendar'!$AR$718)*100000000+('Dvd Calendar'!$AR$720=SPECIAL_LBL)*10000000+0*1000000+65*1000+40))</f>
        <v/>
      </c>
      <c r="FS76" s="35">
        <f>IF(N('Dvd Calendar'!$E$722)=0,"",IF(('Dvd Calendar'!$E$722&gt;=GRID_FROM)*('Dvd Calendar'!$E$722&lt;=GRID_TO)*('Dvd Calendar'!$E$722&gt;VAL_DATE)=0,"",'Dvd Calendar'!$E$722*1000000000+ISNUMBER('Dvd Calendar'!$E$723)*100000000+0*10000000+(N('Dvd Calendar'!$E$721)&gt;0)*(N('Dvd Calendar'!$E$721)&lt;=VAL_SERIAL)*1000000+65*1000+41))</f>
        <v/>
      </c>
      <c r="FT76" s="35">
        <f>IF(N('Dvd Calendar'!$F$722)=0,"",IF(('Dvd Calendar'!$F$722&gt;=GRID_FROM)*('Dvd Calendar'!$F$722&lt;=GRID_TO)*('Dvd Calendar'!$F$722&gt;VAL_DATE)=0,"",'Dvd Calendar'!$F$722*1000000000+ISNUMBER('Dvd Calendar'!$F$723)*100000000+0*10000000+(N('Dvd Calendar'!$F$721)&gt;0)*(N('Dvd Calendar'!$F$721)&lt;=VAL_SERIAL)*1000000+65*1000+42))</f>
        <v/>
      </c>
      <c r="FU76" s="35">
        <f>IF(N('Dvd Calendar'!$G$722)=0,"",IF(('Dvd Calendar'!$G$722&gt;=GRID_FROM)*('Dvd Calendar'!$G$722&lt;=GRID_TO)*('Dvd Calendar'!$G$722&gt;VAL_DATE)=0,"",'Dvd Calendar'!$G$722*1000000000+ISNUMBER('Dvd Calendar'!$G$723)*100000000+0*10000000+(N('Dvd Calendar'!$G$721)&gt;0)*(N('Dvd Calendar'!$G$721)&lt;=VAL_SERIAL)*1000000+65*1000+43))</f>
        <v/>
      </c>
      <c r="FV76" s="35">
        <f>IF(N('Dvd Calendar'!$H$722)=0,"",IF(('Dvd Calendar'!$H$722&gt;=GRID_FROM)*('Dvd Calendar'!$H$722&lt;=GRID_TO)*('Dvd Calendar'!$H$722&gt;VAL_DATE)=0,"",'Dvd Calendar'!$H$722*1000000000+ISNUMBER('Dvd Calendar'!$H$723)*100000000+0*10000000+(N('Dvd Calendar'!$H$721)&gt;0)*(N('Dvd Calendar'!$H$721)&lt;=VAL_SERIAL)*1000000+65*1000+44))</f>
        <v/>
      </c>
      <c r="FW76" s="35">
        <f>IF(N('Dvd Calendar'!$I$722)=0,"",IF(('Dvd Calendar'!$I$722&gt;=GRID_FROM)*('Dvd Calendar'!$I$722&lt;=GRID_TO)*('Dvd Calendar'!$I$722&gt;VAL_DATE)=0,"",'Dvd Calendar'!$I$722*1000000000+ISNUMBER('Dvd Calendar'!$I$723)*100000000+0*10000000+(N('Dvd Calendar'!$I$721)&gt;0)*(N('Dvd Calendar'!$I$721)&lt;=VAL_SERIAL)*1000000+65*1000+45))</f>
        <v/>
      </c>
      <c r="FX76" s="35">
        <f>IF(N('Dvd Calendar'!$J$722)=0,"",IF(('Dvd Calendar'!$J$722&gt;=GRID_FROM)*('Dvd Calendar'!$J$722&lt;=GRID_TO)*('Dvd Calendar'!$J$722&gt;VAL_DATE)=0,"",'Dvd Calendar'!$J$722*1000000000+ISNUMBER('Dvd Calendar'!$J$723)*100000000+0*10000000+(N('Dvd Calendar'!$J$721)&gt;0)*(N('Dvd Calendar'!$J$721)&lt;=VAL_SERIAL)*1000000+65*1000+46))</f>
        <v/>
      </c>
      <c r="FY76" s="35">
        <f>IF(N('Dvd Calendar'!$K$722)=0,"",IF(('Dvd Calendar'!$K$722&gt;=GRID_FROM)*('Dvd Calendar'!$K$722&lt;=GRID_TO)*('Dvd Calendar'!$K$722&gt;VAL_DATE)=0,"",'Dvd Calendar'!$K$722*1000000000+ISNUMBER('Dvd Calendar'!$K$723)*100000000+0*10000000+(N('Dvd Calendar'!$K$721)&gt;0)*(N('Dvd Calendar'!$K$721)&lt;=VAL_SERIAL)*1000000+65*1000+47))</f>
        <v/>
      </c>
      <c r="FZ76" s="35">
        <f>IF(N('Dvd Calendar'!$L$722)=0,"",IF(('Dvd Calendar'!$L$722&gt;=GRID_FROM)*('Dvd Calendar'!$L$722&lt;=GRID_TO)*('Dvd Calendar'!$L$722&gt;VAL_DATE)=0,"",'Dvd Calendar'!$L$722*1000000000+ISNUMBER('Dvd Calendar'!$L$723)*100000000+0*10000000+(N('Dvd Calendar'!$L$721)&gt;0)*(N('Dvd Calendar'!$L$721)&lt;=VAL_SERIAL)*1000000+65*1000+48))</f>
        <v/>
      </c>
      <c r="GA76" s="35">
        <f>IF(N('Dvd Calendar'!$M$722)=0,"",IF(('Dvd Calendar'!$M$722&gt;=GRID_FROM)*('Dvd Calendar'!$M$722&lt;=GRID_TO)*('Dvd Calendar'!$M$722&gt;VAL_DATE)=0,"",'Dvd Calendar'!$M$722*1000000000+ISNUMBER('Dvd Calendar'!$M$723)*100000000+0*10000000+(N('Dvd Calendar'!$M$721)&gt;0)*(N('Dvd Calendar'!$M$721)&lt;=VAL_SERIAL)*1000000+65*1000+49))</f>
        <v/>
      </c>
      <c r="GB76" s="35">
        <f>IF(N('Dvd Calendar'!$N$722)=0,"",IF(('Dvd Calendar'!$N$722&gt;=GRID_FROM)*('Dvd Calendar'!$N$722&lt;=GRID_TO)*('Dvd Calendar'!$N$722&gt;VAL_DATE)=0,"",'Dvd Calendar'!$N$722*1000000000+ISNUMBER('Dvd Calendar'!$N$723)*100000000+0*10000000+(N('Dvd Calendar'!$N$721)&gt;0)*(N('Dvd Calendar'!$N$721)&lt;=VAL_SERIAL)*1000000+65*1000+50))</f>
        <v/>
      </c>
      <c r="GC76" s="35">
        <f>IF(N('Dvd Calendar'!$O$722)=0,"",IF(('Dvd Calendar'!$O$722&gt;=GRID_FROM)*('Dvd Calendar'!$O$722&lt;=GRID_TO)*('Dvd Calendar'!$O$722&gt;VAL_DATE)=0,"",'Dvd Calendar'!$O$722*1000000000+ISNUMBER('Dvd Calendar'!$O$723)*100000000+0*10000000+(N('Dvd Calendar'!$O$721)&gt;0)*(N('Dvd Calendar'!$O$721)&lt;=VAL_SERIAL)*1000000+65*1000+51))</f>
        <v/>
      </c>
      <c r="GD76" s="35">
        <f>IF(N('Dvd Calendar'!$P$722)=0,"",IF(('Dvd Calendar'!$P$722&gt;=GRID_FROM)*('Dvd Calendar'!$P$722&lt;=GRID_TO)*('Dvd Calendar'!$P$722&gt;VAL_DATE)=0,"",'Dvd Calendar'!$P$722*1000000000+ISNUMBER('Dvd Calendar'!$P$723)*100000000+0*10000000+(N('Dvd Calendar'!$P$721)&gt;0)*(N('Dvd Calendar'!$P$721)&lt;=VAL_SERIAL)*1000000+65*1000+52))</f>
        <v/>
      </c>
      <c r="GE76" s="35">
        <f>IF(N('Dvd Calendar'!$Q$722)=0,"",IF(('Dvd Calendar'!$Q$722&gt;=GRID_FROM)*('Dvd Calendar'!$Q$722&lt;=GRID_TO)*('Dvd Calendar'!$Q$722&gt;VAL_DATE)=0,"",'Dvd Calendar'!$Q$722*1000000000+ISNUMBER('Dvd Calendar'!$Q$723)*100000000+0*10000000+(N('Dvd Calendar'!$Q$721)&gt;0)*(N('Dvd Calendar'!$Q$721)&lt;=VAL_SERIAL)*1000000+65*1000+53))</f>
        <v/>
      </c>
      <c r="GF76" s="35">
        <f>IF(N('Dvd Calendar'!$R$722)=0,"",IF(('Dvd Calendar'!$R$722&gt;=GRID_FROM)*('Dvd Calendar'!$R$722&lt;=GRID_TO)*('Dvd Calendar'!$R$722&gt;VAL_DATE)=0,"",'Dvd Calendar'!$R$722*1000000000+ISNUMBER('Dvd Calendar'!$R$723)*100000000+0*10000000+(N('Dvd Calendar'!$R$721)&gt;0)*(N('Dvd Calendar'!$R$721)&lt;=VAL_SERIAL)*1000000+65*1000+54))</f>
        <v/>
      </c>
      <c r="GG76" s="35">
        <f>IF(N('Dvd Calendar'!$S$722)=0,"",IF(('Dvd Calendar'!$S$722&gt;=GRID_FROM)*('Dvd Calendar'!$S$722&lt;=GRID_TO)*('Dvd Calendar'!$S$722&gt;VAL_DATE)=0,"",'Dvd Calendar'!$S$722*1000000000+ISNUMBER('Dvd Calendar'!$S$723)*100000000+0*10000000+(N('Dvd Calendar'!$S$721)&gt;0)*(N('Dvd Calendar'!$S$721)&lt;=VAL_SERIAL)*1000000+65*1000+55))</f>
        <v/>
      </c>
      <c r="GH76" s="35">
        <f>IF(N('Dvd Calendar'!$T$722)=0,"",IF(('Dvd Calendar'!$T$722&gt;=GRID_FROM)*('Dvd Calendar'!$T$722&lt;=GRID_TO)*('Dvd Calendar'!$T$722&gt;VAL_DATE)=0,"",'Dvd Calendar'!$T$722*1000000000+ISNUMBER('Dvd Calendar'!$T$723)*100000000+0*10000000+(N('Dvd Calendar'!$T$721)&gt;0)*(N('Dvd Calendar'!$T$721)&lt;=VAL_SERIAL)*1000000+65*1000+56))</f>
        <v/>
      </c>
      <c r="GI76" s="35">
        <f>IF(N('Dvd Calendar'!$U$722)=0,"",IF(('Dvd Calendar'!$U$722&gt;=GRID_FROM)*('Dvd Calendar'!$U$722&lt;=GRID_TO)*('Dvd Calendar'!$U$722&gt;VAL_DATE)=0,"",'Dvd Calendar'!$U$722*1000000000+ISNUMBER('Dvd Calendar'!$U$723)*100000000+0*10000000+(N('Dvd Calendar'!$U$721)&gt;0)*(N('Dvd Calendar'!$U$721)&lt;=VAL_SERIAL)*1000000+65*1000+57))</f>
        <v/>
      </c>
      <c r="GJ76" s="35">
        <f>IF(N('Dvd Calendar'!$V$722)=0,"",IF(('Dvd Calendar'!$V$722&gt;=GRID_FROM)*('Dvd Calendar'!$V$722&lt;=GRID_TO)*('Dvd Calendar'!$V$722&gt;VAL_DATE)=0,"",'Dvd Calendar'!$V$722*1000000000+ISNUMBER('Dvd Calendar'!$V$723)*100000000+0*10000000+(N('Dvd Calendar'!$V$721)&gt;0)*(N('Dvd Calendar'!$V$721)&lt;=VAL_SERIAL)*1000000+65*1000+58))</f>
        <v/>
      </c>
      <c r="GK76" s="35">
        <f>IF(N('Dvd Calendar'!$W$722)=0,"",IF(('Dvd Calendar'!$W$722&gt;=GRID_FROM)*('Dvd Calendar'!$W$722&lt;=GRID_TO)*('Dvd Calendar'!$W$722&gt;VAL_DATE)=0,"",'Dvd Calendar'!$W$722*1000000000+ISNUMBER('Dvd Calendar'!$W$723)*100000000+0*10000000+(N('Dvd Calendar'!$W$721)&gt;0)*(N('Dvd Calendar'!$W$721)&lt;=VAL_SERIAL)*1000000+65*1000+59))</f>
        <v/>
      </c>
      <c r="GL76" s="35">
        <f>IF(N('Dvd Calendar'!$X$722)=0,"",IF(('Dvd Calendar'!$X$722&gt;=GRID_FROM)*('Dvd Calendar'!$X$722&lt;=GRID_TO)*('Dvd Calendar'!$X$722&gt;VAL_DATE)=0,"",'Dvd Calendar'!$X$722*1000000000+ISNUMBER('Dvd Calendar'!$X$723)*100000000+0*10000000+(N('Dvd Calendar'!$X$721)&gt;0)*(N('Dvd Calendar'!$X$721)&lt;=VAL_SERIAL)*1000000+65*1000+60))</f>
        <v/>
      </c>
      <c r="GM76" s="35">
        <f>IF(N('Dvd Calendar'!$Y$722)=0,"",IF(('Dvd Calendar'!$Y$722&gt;=GRID_FROM)*('Dvd Calendar'!$Y$722&lt;=GRID_TO)*('Dvd Calendar'!$Y$722&gt;VAL_DATE)=0,"",'Dvd Calendar'!$Y$722*1000000000+ISNUMBER('Dvd Calendar'!$Y$723)*100000000+0*10000000+(N('Dvd Calendar'!$Y$721)&gt;0)*(N('Dvd Calendar'!$Y$721)&lt;=VAL_SERIAL)*1000000+65*1000+61))</f>
        <v/>
      </c>
      <c r="GN76" s="35">
        <f>IF(N('Dvd Calendar'!$Z$722)=0,"",IF(('Dvd Calendar'!$Z$722&gt;=GRID_FROM)*('Dvd Calendar'!$Z$722&lt;=GRID_TO)*('Dvd Calendar'!$Z$722&gt;VAL_DATE)=0,"",'Dvd Calendar'!$Z$722*1000000000+ISNUMBER('Dvd Calendar'!$Z$723)*100000000+0*10000000+(N('Dvd Calendar'!$Z$721)&gt;0)*(N('Dvd Calendar'!$Z$721)&lt;=VAL_SERIAL)*1000000+65*1000+62))</f>
        <v/>
      </c>
      <c r="GO76" s="35">
        <f>IF(N('Dvd Calendar'!$AA$722)=0,"",IF(('Dvd Calendar'!$AA$722&gt;=GRID_FROM)*('Dvd Calendar'!$AA$722&lt;=GRID_TO)*('Dvd Calendar'!$AA$722&gt;VAL_DATE)=0,"",'Dvd Calendar'!$AA$722*1000000000+ISNUMBER('Dvd Calendar'!$AA$723)*100000000+0*10000000+(N('Dvd Calendar'!$AA$721)&gt;0)*(N('Dvd Calendar'!$AA$721)&lt;=VAL_SERIAL)*1000000+65*1000+63))</f>
        <v/>
      </c>
      <c r="GP76" s="35">
        <f>IF(N('Dvd Calendar'!$AB$722)=0,"",IF(('Dvd Calendar'!$AB$722&gt;=GRID_FROM)*('Dvd Calendar'!$AB$722&lt;=GRID_TO)*('Dvd Calendar'!$AB$722&gt;VAL_DATE)=0,"",'Dvd Calendar'!$AB$722*1000000000+ISNUMBER('Dvd Calendar'!$AB$723)*100000000+0*10000000+(N('Dvd Calendar'!$AB$721)&gt;0)*(N('Dvd Calendar'!$AB$721)&lt;=VAL_SERIAL)*1000000+65*1000+64))</f>
        <v/>
      </c>
      <c r="GQ76" s="35">
        <f>IF(N('Dvd Calendar'!$AC$722)=0,"",IF(('Dvd Calendar'!$AC$722&gt;=GRID_FROM)*('Dvd Calendar'!$AC$722&lt;=GRID_TO)*('Dvd Calendar'!$AC$722&gt;VAL_DATE)=0,"",'Dvd Calendar'!$AC$722*1000000000+ISNUMBER('Dvd Calendar'!$AC$723)*100000000+0*10000000+(N('Dvd Calendar'!$AC$721)&gt;0)*(N('Dvd Calendar'!$AC$721)&lt;=VAL_SERIAL)*1000000+65*1000+65))</f>
        <v/>
      </c>
    </row>
    <row r="77">
      <c r="B77" s="2">
        <f>IF(HSI!$C$72="","",HSI!$C$72)</f>
        <v/>
      </c>
      <c r="C77" s="106">
        <f>IF(EE77="","",IF(ISNUMBER('Dvd Calendar'!$E$729)=FALSE,"",IF((('Dvd Calendar'!$E$731=TYPE1)*(TYPE1&lt;&gt;"")+('Dvd Calendar'!$E$731=TYPE2)*(TYPE2&lt;&gt;"")+('Dvd Calendar'!$E$731=TYPE3)*(TYPE3&lt;&gt;"")+('Dvd Calendar'!$E$731=TYPE4)*(TYPE4&lt;&gt;"")+('Dvd Calendar'!$E$731=SPECIAL_LBL)*(INC_SPECIALS="Y"))=0,"",'Dvd Calendar'!$E$729)))</f>
        <v/>
      </c>
      <c r="D77" s="106">
        <f>IF(EF77="","",IF(ISNUMBER('Dvd Calendar'!$F$729)=FALSE,"",IF((('Dvd Calendar'!$F$731=TYPE1)*(TYPE1&lt;&gt;"")+('Dvd Calendar'!$F$731=TYPE2)*(TYPE2&lt;&gt;"")+('Dvd Calendar'!$F$731=TYPE3)*(TYPE3&lt;&gt;"")+('Dvd Calendar'!$F$731=TYPE4)*(TYPE4&lt;&gt;"")+('Dvd Calendar'!$F$731=SPECIAL_LBL)*(INC_SPECIALS="Y"))=0,"",'Dvd Calendar'!$F$729)))</f>
        <v/>
      </c>
      <c r="E77" s="106">
        <f>IF(EG77="","",IF(ISNUMBER('Dvd Calendar'!$G$729)=FALSE,"",IF((('Dvd Calendar'!$G$731=TYPE1)*(TYPE1&lt;&gt;"")+('Dvd Calendar'!$G$731=TYPE2)*(TYPE2&lt;&gt;"")+('Dvd Calendar'!$G$731=TYPE3)*(TYPE3&lt;&gt;"")+('Dvd Calendar'!$G$731=TYPE4)*(TYPE4&lt;&gt;"")+('Dvd Calendar'!$G$731=SPECIAL_LBL)*(INC_SPECIALS="Y"))=0,"",'Dvd Calendar'!$G$729)))</f>
        <v/>
      </c>
      <c r="F77" s="106">
        <f>IF(EH77="","",IF(ISNUMBER('Dvd Calendar'!$H$729)=FALSE,"",IF((('Dvd Calendar'!$H$731=TYPE1)*(TYPE1&lt;&gt;"")+('Dvd Calendar'!$H$731=TYPE2)*(TYPE2&lt;&gt;"")+('Dvd Calendar'!$H$731=TYPE3)*(TYPE3&lt;&gt;"")+('Dvd Calendar'!$H$731=TYPE4)*(TYPE4&lt;&gt;"")+('Dvd Calendar'!$H$731=SPECIAL_LBL)*(INC_SPECIALS="Y"))=0,"",'Dvd Calendar'!$H$729)))</f>
        <v/>
      </c>
      <c r="G77" s="106">
        <f>IF(EI77="","",IF(ISNUMBER('Dvd Calendar'!$I$729)=FALSE,"",IF((('Dvd Calendar'!$I$731=TYPE1)*(TYPE1&lt;&gt;"")+('Dvd Calendar'!$I$731=TYPE2)*(TYPE2&lt;&gt;"")+('Dvd Calendar'!$I$731=TYPE3)*(TYPE3&lt;&gt;"")+('Dvd Calendar'!$I$731=TYPE4)*(TYPE4&lt;&gt;"")+('Dvd Calendar'!$I$731=SPECIAL_LBL)*(INC_SPECIALS="Y"))=0,"",'Dvd Calendar'!$I$729)))</f>
        <v/>
      </c>
      <c r="H77" s="106">
        <f>IF(EJ77="","",IF(ISNUMBER('Dvd Calendar'!$J$729)=FALSE,"",IF((('Dvd Calendar'!$J$731=TYPE1)*(TYPE1&lt;&gt;"")+('Dvd Calendar'!$J$731=TYPE2)*(TYPE2&lt;&gt;"")+('Dvd Calendar'!$J$731=TYPE3)*(TYPE3&lt;&gt;"")+('Dvd Calendar'!$J$731=TYPE4)*(TYPE4&lt;&gt;"")+('Dvd Calendar'!$J$731=SPECIAL_LBL)*(INC_SPECIALS="Y"))=0,"",'Dvd Calendar'!$J$729)))</f>
        <v/>
      </c>
      <c r="I77" s="106">
        <f>IF(EK77="","",IF(ISNUMBER('Dvd Calendar'!$K$729)=FALSE,"",IF((('Dvd Calendar'!$K$731=TYPE1)*(TYPE1&lt;&gt;"")+('Dvd Calendar'!$K$731=TYPE2)*(TYPE2&lt;&gt;"")+('Dvd Calendar'!$K$731=TYPE3)*(TYPE3&lt;&gt;"")+('Dvd Calendar'!$K$731=TYPE4)*(TYPE4&lt;&gt;"")+('Dvd Calendar'!$K$731=SPECIAL_LBL)*(INC_SPECIALS="Y"))=0,"",'Dvd Calendar'!$K$729)))</f>
        <v/>
      </c>
      <c r="J77" s="106">
        <f>IF(EL77="","",IF(ISNUMBER('Dvd Calendar'!$L$729)=FALSE,"",IF((('Dvd Calendar'!$L$731=TYPE1)*(TYPE1&lt;&gt;"")+('Dvd Calendar'!$L$731=TYPE2)*(TYPE2&lt;&gt;"")+('Dvd Calendar'!$L$731=TYPE3)*(TYPE3&lt;&gt;"")+('Dvd Calendar'!$L$731=TYPE4)*(TYPE4&lt;&gt;"")+('Dvd Calendar'!$L$731=SPECIAL_LBL)*(INC_SPECIALS="Y"))=0,"",'Dvd Calendar'!$L$729)))</f>
        <v/>
      </c>
      <c r="K77" s="106">
        <f>IF(EM77="","",IF(ISNUMBER('Dvd Calendar'!$M$729)=FALSE,"",IF((('Dvd Calendar'!$M$731=TYPE1)*(TYPE1&lt;&gt;"")+('Dvd Calendar'!$M$731=TYPE2)*(TYPE2&lt;&gt;"")+('Dvd Calendar'!$M$731=TYPE3)*(TYPE3&lt;&gt;"")+('Dvd Calendar'!$M$731=TYPE4)*(TYPE4&lt;&gt;"")+('Dvd Calendar'!$M$731=SPECIAL_LBL)*(INC_SPECIALS="Y"))=0,"",'Dvd Calendar'!$M$729)))</f>
        <v/>
      </c>
      <c r="L77" s="106">
        <f>IF(EN77="","",IF(ISNUMBER('Dvd Calendar'!$N$729)=FALSE,"",IF((('Dvd Calendar'!$N$731=TYPE1)*(TYPE1&lt;&gt;"")+('Dvd Calendar'!$N$731=TYPE2)*(TYPE2&lt;&gt;"")+('Dvd Calendar'!$N$731=TYPE3)*(TYPE3&lt;&gt;"")+('Dvd Calendar'!$N$731=TYPE4)*(TYPE4&lt;&gt;"")+('Dvd Calendar'!$N$731=SPECIAL_LBL)*(INC_SPECIALS="Y"))=0,"",'Dvd Calendar'!$N$729)))</f>
        <v/>
      </c>
      <c r="M77" s="106">
        <f>IF(EO77="","",IF(ISNUMBER('Dvd Calendar'!$O$729)=FALSE,"",IF((('Dvd Calendar'!$O$731=TYPE1)*(TYPE1&lt;&gt;"")+('Dvd Calendar'!$O$731=TYPE2)*(TYPE2&lt;&gt;"")+('Dvd Calendar'!$O$731=TYPE3)*(TYPE3&lt;&gt;"")+('Dvd Calendar'!$O$731=TYPE4)*(TYPE4&lt;&gt;"")+('Dvd Calendar'!$O$731=SPECIAL_LBL)*(INC_SPECIALS="Y"))=0,"",'Dvd Calendar'!$O$729)))</f>
        <v/>
      </c>
      <c r="N77" s="106">
        <f>IF(EP77="","",IF(ISNUMBER('Dvd Calendar'!$P$729)=FALSE,"",IF((('Dvd Calendar'!$P$731=TYPE1)*(TYPE1&lt;&gt;"")+('Dvd Calendar'!$P$731=TYPE2)*(TYPE2&lt;&gt;"")+('Dvd Calendar'!$P$731=TYPE3)*(TYPE3&lt;&gt;"")+('Dvd Calendar'!$P$731=TYPE4)*(TYPE4&lt;&gt;"")+('Dvd Calendar'!$P$731=SPECIAL_LBL)*(INC_SPECIALS="Y"))=0,"",'Dvd Calendar'!$P$729)))</f>
        <v/>
      </c>
      <c r="O77" s="106">
        <f>IF(EQ77="","",IF(ISNUMBER('Dvd Calendar'!$Q$729)=FALSE,"",IF((('Dvd Calendar'!$Q$731=TYPE1)*(TYPE1&lt;&gt;"")+('Dvd Calendar'!$Q$731=TYPE2)*(TYPE2&lt;&gt;"")+('Dvd Calendar'!$Q$731=TYPE3)*(TYPE3&lt;&gt;"")+('Dvd Calendar'!$Q$731=TYPE4)*(TYPE4&lt;&gt;"")+('Dvd Calendar'!$Q$731=SPECIAL_LBL)*(INC_SPECIALS="Y"))=0,"",'Dvd Calendar'!$Q$729)))</f>
        <v/>
      </c>
      <c r="P77" s="106">
        <f>IF(ER77="","",IF(ISNUMBER('Dvd Calendar'!$R$729)=FALSE,"",IF((('Dvd Calendar'!$R$731=TYPE1)*(TYPE1&lt;&gt;"")+('Dvd Calendar'!$R$731=TYPE2)*(TYPE2&lt;&gt;"")+('Dvd Calendar'!$R$731=TYPE3)*(TYPE3&lt;&gt;"")+('Dvd Calendar'!$R$731=TYPE4)*(TYPE4&lt;&gt;"")+('Dvd Calendar'!$R$731=SPECIAL_LBL)*(INC_SPECIALS="Y"))=0,"",'Dvd Calendar'!$R$729)))</f>
        <v/>
      </c>
      <c r="Q77" s="106">
        <f>IF(ES77="","",IF(ISNUMBER('Dvd Calendar'!$S$729)=FALSE,"",IF((('Dvd Calendar'!$S$731=TYPE1)*(TYPE1&lt;&gt;"")+('Dvd Calendar'!$S$731=TYPE2)*(TYPE2&lt;&gt;"")+('Dvd Calendar'!$S$731=TYPE3)*(TYPE3&lt;&gt;"")+('Dvd Calendar'!$S$731=TYPE4)*(TYPE4&lt;&gt;"")+('Dvd Calendar'!$S$731=SPECIAL_LBL)*(INC_SPECIALS="Y"))=0,"",'Dvd Calendar'!$S$729)))</f>
        <v/>
      </c>
      <c r="R77" s="106">
        <f>IF(ET77="","",IF(ISNUMBER('Dvd Calendar'!$T$729)=FALSE,"",IF((('Dvd Calendar'!$T$731=TYPE1)*(TYPE1&lt;&gt;"")+('Dvd Calendar'!$T$731=TYPE2)*(TYPE2&lt;&gt;"")+('Dvd Calendar'!$T$731=TYPE3)*(TYPE3&lt;&gt;"")+('Dvd Calendar'!$T$731=TYPE4)*(TYPE4&lt;&gt;"")+('Dvd Calendar'!$T$731=SPECIAL_LBL)*(INC_SPECIALS="Y"))=0,"",'Dvd Calendar'!$T$729)))</f>
        <v/>
      </c>
      <c r="S77" s="106">
        <f>IF(EU77="","",IF(ISNUMBER('Dvd Calendar'!$U$729)=FALSE,"",IF((('Dvd Calendar'!$U$731=TYPE1)*(TYPE1&lt;&gt;"")+('Dvd Calendar'!$U$731=TYPE2)*(TYPE2&lt;&gt;"")+('Dvd Calendar'!$U$731=TYPE3)*(TYPE3&lt;&gt;"")+('Dvd Calendar'!$U$731=TYPE4)*(TYPE4&lt;&gt;"")+('Dvd Calendar'!$U$731=SPECIAL_LBL)*(INC_SPECIALS="Y"))=0,"",'Dvd Calendar'!$U$729)))</f>
        <v/>
      </c>
      <c r="T77" s="106">
        <f>IF(EV77="","",IF(ISNUMBER('Dvd Calendar'!$V$729)=FALSE,"",IF((('Dvd Calendar'!$V$731=TYPE1)*(TYPE1&lt;&gt;"")+('Dvd Calendar'!$V$731=TYPE2)*(TYPE2&lt;&gt;"")+('Dvd Calendar'!$V$731=TYPE3)*(TYPE3&lt;&gt;"")+('Dvd Calendar'!$V$731=TYPE4)*(TYPE4&lt;&gt;"")+('Dvd Calendar'!$V$731=SPECIAL_LBL)*(INC_SPECIALS="Y"))=0,"",'Dvd Calendar'!$V$729)))</f>
        <v/>
      </c>
      <c r="U77" s="106">
        <f>IF(EW77="","",IF(ISNUMBER('Dvd Calendar'!$W$729)=FALSE,"",IF((('Dvd Calendar'!$W$731=TYPE1)*(TYPE1&lt;&gt;"")+('Dvd Calendar'!$W$731=TYPE2)*(TYPE2&lt;&gt;"")+('Dvd Calendar'!$W$731=TYPE3)*(TYPE3&lt;&gt;"")+('Dvd Calendar'!$W$731=TYPE4)*(TYPE4&lt;&gt;"")+('Dvd Calendar'!$W$731=SPECIAL_LBL)*(INC_SPECIALS="Y"))=0,"",'Dvd Calendar'!$W$729)))</f>
        <v/>
      </c>
      <c r="V77" s="106">
        <f>IF(EX77="","",IF(ISNUMBER('Dvd Calendar'!$X$729)=FALSE,"",IF((('Dvd Calendar'!$X$731=TYPE1)*(TYPE1&lt;&gt;"")+('Dvd Calendar'!$X$731=TYPE2)*(TYPE2&lt;&gt;"")+('Dvd Calendar'!$X$731=TYPE3)*(TYPE3&lt;&gt;"")+('Dvd Calendar'!$X$731=TYPE4)*(TYPE4&lt;&gt;"")+('Dvd Calendar'!$X$731=SPECIAL_LBL)*(INC_SPECIALS="Y"))=0,"",'Dvd Calendar'!$X$729)))</f>
        <v/>
      </c>
      <c r="W77" s="106">
        <f>IF(EY77="","",IF(ISNUMBER('Dvd Calendar'!$Y$729)=FALSE,"",IF((('Dvd Calendar'!$Y$731=TYPE1)*(TYPE1&lt;&gt;"")+('Dvd Calendar'!$Y$731=TYPE2)*(TYPE2&lt;&gt;"")+('Dvd Calendar'!$Y$731=TYPE3)*(TYPE3&lt;&gt;"")+('Dvd Calendar'!$Y$731=TYPE4)*(TYPE4&lt;&gt;"")+('Dvd Calendar'!$Y$731=SPECIAL_LBL)*(INC_SPECIALS="Y"))=0,"",'Dvd Calendar'!$Y$729)))</f>
        <v/>
      </c>
      <c r="X77" s="106">
        <f>IF(EZ77="","",IF(ISNUMBER('Dvd Calendar'!$Z$729)=FALSE,"",IF((('Dvd Calendar'!$Z$731=TYPE1)*(TYPE1&lt;&gt;"")+('Dvd Calendar'!$Z$731=TYPE2)*(TYPE2&lt;&gt;"")+('Dvd Calendar'!$Z$731=TYPE3)*(TYPE3&lt;&gt;"")+('Dvd Calendar'!$Z$731=TYPE4)*(TYPE4&lt;&gt;"")+('Dvd Calendar'!$Z$731=SPECIAL_LBL)*(INC_SPECIALS="Y"))=0,"",'Dvd Calendar'!$Z$729)))</f>
        <v/>
      </c>
      <c r="Y77" s="106">
        <f>IF(FA77="","",IF(ISNUMBER('Dvd Calendar'!$AA$729)=FALSE,"",IF((('Dvd Calendar'!$AA$731=TYPE1)*(TYPE1&lt;&gt;"")+('Dvd Calendar'!$AA$731=TYPE2)*(TYPE2&lt;&gt;"")+('Dvd Calendar'!$AA$731=TYPE3)*(TYPE3&lt;&gt;"")+('Dvd Calendar'!$AA$731=TYPE4)*(TYPE4&lt;&gt;"")+('Dvd Calendar'!$AA$731=SPECIAL_LBL)*(INC_SPECIALS="Y"))=0,"",'Dvd Calendar'!$AA$729)))</f>
        <v/>
      </c>
      <c r="Z77" s="106">
        <f>IF(FB77="","",IF(ISNUMBER('Dvd Calendar'!$AB$729)=FALSE,"",IF((('Dvd Calendar'!$AB$731=TYPE1)*(TYPE1&lt;&gt;"")+('Dvd Calendar'!$AB$731=TYPE2)*(TYPE2&lt;&gt;"")+('Dvd Calendar'!$AB$731=TYPE3)*(TYPE3&lt;&gt;"")+('Dvd Calendar'!$AB$731=TYPE4)*(TYPE4&lt;&gt;"")+('Dvd Calendar'!$AB$731=SPECIAL_LBL)*(INC_SPECIALS="Y"))=0,"",'Dvd Calendar'!$AB$729)))</f>
        <v/>
      </c>
      <c r="AA77" s="106">
        <f>IF(FC77="","",IF(ISNUMBER('Dvd Calendar'!$AC$729)=FALSE,"",IF((('Dvd Calendar'!$AC$731=TYPE1)*(TYPE1&lt;&gt;"")+('Dvd Calendar'!$AC$731=TYPE2)*(TYPE2&lt;&gt;"")+('Dvd Calendar'!$AC$731=TYPE3)*(TYPE3&lt;&gt;"")+('Dvd Calendar'!$AC$731=TYPE4)*(TYPE4&lt;&gt;"")+('Dvd Calendar'!$AC$731=SPECIAL_LBL)*(INC_SPECIALS="Y"))=0,"",'Dvd Calendar'!$AC$729)))</f>
        <v/>
      </c>
      <c r="AB77" s="106">
        <f>IF(FD77="","",IF(ISNUMBER('Dvd Calendar'!$AD$729)=FALSE,"",IF((('Dvd Calendar'!$AD$731=TYPE1)*(TYPE1&lt;&gt;"")+('Dvd Calendar'!$AD$731=TYPE2)*(TYPE2&lt;&gt;"")+('Dvd Calendar'!$AD$731=TYPE3)*(TYPE3&lt;&gt;"")+('Dvd Calendar'!$AD$731=TYPE4)*(TYPE4&lt;&gt;"")+('Dvd Calendar'!$AD$731=SPECIAL_LBL)*(INC_SPECIALS="Y"))=0,"",'Dvd Calendar'!$AD$729)))</f>
        <v/>
      </c>
      <c r="AC77" s="106">
        <f>IF(FE77="","",IF(ISNUMBER('Dvd Calendar'!$AE$729)=FALSE,"",IF((('Dvd Calendar'!$AE$731=TYPE1)*(TYPE1&lt;&gt;"")+('Dvd Calendar'!$AE$731=TYPE2)*(TYPE2&lt;&gt;"")+('Dvd Calendar'!$AE$731=TYPE3)*(TYPE3&lt;&gt;"")+('Dvd Calendar'!$AE$731=TYPE4)*(TYPE4&lt;&gt;"")+('Dvd Calendar'!$AE$731=SPECIAL_LBL)*(INC_SPECIALS="Y"))=0,"",'Dvd Calendar'!$AE$729)))</f>
        <v/>
      </c>
      <c r="AD77" s="106">
        <f>IF(FF77="","",IF(ISNUMBER('Dvd Calendar'!$AF$729)=FALSE,"",IF((('Dvd Calendar'!$AF$731=TYPE1)*(TYPE1&lt;&gt;"")+('Dvd Calendar'!$AF$731=TYPE2)*(TYPE2&lt;&gt;"")+('Dvd Calendar'!$AF$731=TYPE3)*(TYPE3&lt;&gt;"")+('Dvd Calendar'!$AF$731=TYPE4)*(TYPE4&lt;&gt;"")+('Dvd Calendar'!$AF$731=SPECIAL_LBL)*(INC_SPECIALS="Y"))=0,"",'Dvd Calendar'!$AF$729)))</f>
        <v/>
      </c>
      <c r="AE77" s="106">
        <f>IF(FG77="","",IF(ISNUMBER('Dvd Calendar'!$AG$729)=FALSE,"",IF((('Dvd Calendar'!$AG$731=TYPE1)*(TYPE1&lt;&gt;"")+('Dvd Calendar'!$AG$731=TYPE2)*(TYPE2&lt;&gt;"")+('Dvd Calendar'!$AG$731=TYPE3)*(TYPE3&lt;&gt;"")+('Dvd Calendar'!$AG$731=TYPE4)*(TYPE4&lt;&gt;"")+('Dvd Calendar'!$AG$731=SPECIAL_LBL)*(INC_SPECIALS="Y"))=0,"",'Dvd Calendar'!$AG$729)))</f>
        <v/>
      </c>
      <c r="AF77" s="106">
        <f>IF(FH77="","",IF(ISNUMBER('Dvd Calendar'!$AH$729)=FALSE,"",IF((('Dvd Calendar'!$AH$731=TYPE1)*(TYPE1&lt;&gt;"")+('Dvd Calendar'!$AH$731=TYPE2)*(TYPE2&lt;&gt;"")+('Dvd Calendar'!$AH$731=TYPE3)*(TYPE3&lt;&gt;"")+('Dvd Calendar'!$AH$731=TYPE4)*(TYPE4&lt;&gt;"")+('Dvd Calendar'!$AH$731=SPECIAL_LBL)*(INC_SPECIALS="Y"))=0,"",'Dvd Calendar'!$AH$729)))</f>
        <v/>
      </c>
      <c r="AG77" s="106">
        <f>IF(FI77="","",IF(ISNUMBER('Dvd Calendar'!$AI$729)=FALSE,"",IF((('Dvd Calendar'!$AI$731=TYPE1)*(TYPE1&lt;&gt;"")+('Dvd Calendar'!$AI$731=TYPE2)*(TYPE2&lt;&gt;"")+('Dvd Calendar'!$AI$731=TYPE3)*(TYPE3&lt;&gt;"")+('Dvd Calendar'!$AI$731=TYPE4)*(TYPE4&lt;&gt;"")+('Dvd Calendar'!$AI$731=SPECIAL_LBL)*(INC_SPECIALS="Y"))=0,"",'Dvd Calendar'!$AI$729)))</f>
        <v/>
      </c>
      <c r="AH77" s="106">
        <f>IF(FJ77="","",IF(ISNUMBER('Dvd Calendar'!$AJ$729)=FALSE,"",IF((('Dvd Calendar'!$AJ$731=TYPE1)*(TYPE1&lt;&gt;"")+('Dvd Calendar'!$AJ$731=TYPE2)*(TYPE2&lt;&gt;"")+('Dvd Calendar'!$AJ$731=TYPE3)*(TYPE3&lt;&gt;"")+('Dvd Calendar'!$AJ$731=TYPE4)*(TYPE4&lt;&gt;"")+('Dvd Calendar'!$AJ$731=SPECIAL_LBL)*(INC_SPECIALS="Y"))=0,"",'Dvd Calendar'!$AJ$729)))</f>
        <v/>
      </c>
      <c r="AI77" s="106">
        <f>IF(FK77="","",IF(ISNUMBER('Dvd Calendar'!$AK$729)=FALSE,"",IF((('Dvd Calendar'!$AK$731=TYPE1)*(TYPE1&lt;&gt;"")+('Dvd Calendar'!$AK$731=TYPE2)*(TYPE2&lt;&gt;"")+('Dvd Calendar'!$AK$731=TYPE3)*(TYPE3&lt;&gt;"")+('Dvd Calendar'!$AK$731=TYPE4)*(TYPE4&lt;&gt;"")+('Dvd Calendar'!$AK$731=SPECIAL_LBL)*(INC_SPECIALS="Y"))=0,"",'Dvd Calendar'!$AK$729)))</f>
        <v/>
      </c>
      <c r="AJ77" s="106">
        <f>IF(FL77="","",IF(ISNUMBER('Dvd Calendar'!$AL$729)=FALSE,"",IF((('Dvd Calendar'!$AL$731=TYPE1)*(TYPE1&lt;&gt;"")+('Dvd Calendar'!$AL$731=TYPE2)*(TYPE2&lt;&gt;"")+('Dvd Calendar'!$AL$731=TYPE3)*(TYPE3&lt;&gt;"")+('Dvd Calendar'!$AL$731=TYPE4)*(TYPE4&lt;&gt;"")+('Dvd Calendar'!$AL$731=SPECIAL_LBL)*(INC_SPECIALS="Y"))=0,"",'Dvd Calendar'!$AL$729)))</f>
        <v/>
      </c>
      <c r="AK77" s="106">
        <f>IF(FM77="","",IF(ISNUMBER('Dvd Calendar'!$AM$729)=FALSE,"",IF((('Dvd Calendar'!$AM$731=TYPE1)*(TYPE1&lt;&gt;"")+('Dvd Calendar'!$AM$731=TYPE2)*(TYPE2&lt;&gt;"")+('Dvd Calendar'!$AM$731=TYPE3)*(TYPE3&lt;&gt;"")+('Dvd Calendar'!$AM$731=TYPE4)*(TYPE4&lt;&gt;"")+('Dvd Calendar'!$AM$731=SPECIAL_LBL)*(INC_SPECIALS="Y"))=0,"",'Dvd Calendar'!$AM$729)))</f>
        <v/>
      </c>
      <c r="AL77" s="106">
        <f>IF(FN77="","",IF(ISNUMBER('Dvd Calendar'!$AN$729)=FALSE,"",IF((('Dvd Calendar'!$AN$731=TYPE1)*(TYPE1&lt;&gt;"")+('Dvd Calendar'!$AN$731=TYPE2)*(TYPE2&lt;&gt;"")+('Dvd Calendar'!$AN$731=TYPE3)*(TYPE3&lt;&gt;"")+('Dvd Calendar'!$AN$731=TYPE4)*(TYPE4&lt;&gt;"")+('Dvd Calendar'!$AN$731=SPECIAL_LBL)*(INC_SPECIALS="Y"))=0,"",'Dvd Calendar'!$AN$729)))</f>
        <v/>
      </c>
      <c r="AM77" s="106">
        <f>IF(FO77="","",IF(ISNUMBER('Dvd Calendar'!$AO$729)=FALSE,"",IF((('Dvd Calendar'!$AO$731=TYPE1)*(TYPE1&lt;&gt;"")+('Dvd Calendar'!$AO$731=TYPE2)*(TYPE2&lt;&gt;"")+('Dvd Calendar'!$AO$731=TYPE3)*(TYPE3&lt;&gt;"")+('Dvd Calendar'!$AO$731=TYPE4)*(TYPE4&lt;&gt;"")+('Dvd Calendar'!$AO$731=SPECIAL_LBL)*(INC_SPECIALS="Y"))=0,"",'Dvd Calendar'!$AO$729)))</f>
        <v/>
      </c>
      <c r="AN77" s="106">
        <f>IF(FP77="","",IF(ISNUMBER('Dvd Calendar'!$AP$729)=FALSE,"",IF((('Dvd Calendar'!$AP$731=TYPE1)*(TYPE1&lt;&gt;"")+('Dvd Calendar'!$AP$731=TYPE2)*(TYPE2&lt;&gt;"")+('Dvd Calendar'!$AP$731=TYPE3)*(TYPE3&lt;&gt;"")+('Dvd Calendar'!$AP$731=TYPE4)*(TYPE4&lt;&gt;"")+('Dvd Calendar'!$AP$731=SPECIAL_LBL)*(INC_SPECIALS="Y"))=0,"",'Dvd Calendar'!$AP$729)))</f>
        <v/>
      </c>
      <c r="AO77" s="106">
        <f>IF(FQ77="","",IF(ISNUMBER('Dvd Calendar'!$AQ$729)=FALSE,"",IF((('Dvd Calendar'!$AQ$731=TYPE1)*(TYPE1&lt;&gt;"")+('Dvd Calendar'!$AQ$731=TYPE2)*(TYPE2&lt;&gt;"")+('Dvd Calendar'!$AQ$731=TYPE3)*(TYPE3&lt;&gt;"")+('Dvd Calendar'!$AQ$731=TYPE4)*(TYPE4&lt;&gt;"")+('Dvd Calendar'!$AQ$731=SPECIAL_LBL)*(INC_SPECIALS="Y"))=0,"",'Dvd Calendar'!$AQ$729)))</f>
        <v/>
      </c>
      <c r="AP77" s="106">
        <f>IF(FR77="","",IF(ISNUMBER('Dvd Calendar'!$AR$729)=FALSE,"",IF((('Dvd Calendar'!$AR$731=TYPE1)*(TYPE1&lt;&gt;"")+('Dvd Calendar'!$AR$731=TYPE2)*(TYPE2&lt;&gt;"")+('Dvd Calendar'!$AR$731=TYPE3)*(TYPE3&lt;&gt;"")+('Dvd Calendar'!$AR$731=TYPE4)*(TYPE4&lt;&gt;"")+('Dvd Calendar'!$AR$731=SPECIAL_LBL)*(INC_SPECIALS="Y"))=0,"",'Dvd Calendar'!$AR$729)))</f>
        <v/>
      </c>
      <c r="AQ77" s="106">
        <f>IF(FS77="","",IF(ISNUMBER('Dvd Calendar'!$E$734)=FALSE,"",'Dvd Calendar'!$E$734))</f>
        <v/>
      </c>
      <c r="AR77" s="106">
        <f>IF(FT77="","",IF(ISNUMBER('Dvd Calendar'!$F$734)=FALSE,"",'Dvd Calendar'!$F$734))</f>
        <v/>
      </c>
      <c r="AS77" s="106">
        <f>IF(FU77="","",IF(ISNUMBER('Dvd Calendar'!$G$734)=FALSE,"",'Dvd Calendar'!$G$734))</f>
        <v/>
      </c>
      <c r="AT77" s="106">
        <f>IF(FV77="","",IF(ISNUMBER('Dvd Calendar'!$H$734)=FALSE,"",'Dvd Calendar'!$H$734))</f>
        <v/>
      </c>
      <c r="AU77" s="106">
        <f>IF(FW77="","",IF(ISNUMBER('Dvd Calendar'!$I$734)=FALSE,"",'Dvd Calendar'!$I$734))</f>
        <v/>
      </c>
      <c r="AV77" s="106">
        <f>IF(FX77="","",IF(ISNUMBER('Dvd Calendar'!$J$734)=FALSE,"",'Dvd Calendar'!$J$734))</f>
        <v/>
      </c>
      <c r="AW77" s="106">
        <f>IF(FY77="","",IF(ISNUMBER('Dvd Calendar'!$K$734)=FALSE,"",'Dvd Calendar'!$K$734))</f>
        <v/>
      </c>
      <c r="AX77" s="106">
        <f>IF(FZ77="","",IF(ISNUMBER('Dvd Calendar'!$L$734)=FALSE,"",'Dvd Calendar'!$L$734))</f>
        <v/>
      </c>
      <c r="AY77" s="106">
        <f>IF(GA77="","",IF(ISNUMBER('Dvd Calendar'!$M$734)=FALSE,"",'Dvd Calendar'!$M$734))</f>
        <v/>
      </c>
      <c r="AZ77" s="106">
        <f>IF(GB77="","",IF(ISNUMBER('Dvd Calendar'!$N$734)=FALSE,"",'Dvd Calendar'!$N$734))</f>
        <v/>
      </c>
      <c r="BA77" s="106">
        <f>IF(GC77="","",IF(ISNUMBER('Dvd Calendar'!$O$734)=FALSE,"",'Dvd Calendar'!$O$734))</f>
        <v/>
      </c>
      <c r="BB77" s="106">
        <f>IF(GD77="","",IF(ISNUMBER('Dvd Calendar'!$P$734)=FALSE,"",'Dvd Calendar'!$P$734))</f>
        <v/>
      </c>
      <c r="BC77" s="106">
        <f>IF(GE77="","",IF(ISNUMBER('Dvd Calendar'!$Q$734)=FALSE,"",'Dvd Calendar'!$Q$734))</f>
        <v/>
      </c>
      <c r="BD77" s="106">
        <f>IF(GF77="","",IF(ISNUMBER('Dvd Calendar'!$R$734)=FALSE,"",'Dvd Calendar'!$R$734))</f>
        <v/>
      </c>
      <c r="BE77" s="106">
        <f>IF(GG77="","",IF(ISNUMBER('Dvd Calendar'!$S$734)=FALSE,"",'Dvd Calendar'!$S$734))</f>
        <v/>
      </c>
      <c r="BF77" s="106">
        <f>IF(GH77="","",IF(ISNUMBER('Dvd Calendar'!$T$734)=FALSE,"",'Dvd Calendar'!$T$734))</f>
        <v/>
      </c>
      <c r="BG77" s="106">
        <f>IF(GI77="","",IF(ISNUMBER('Dvd Calendar'!$U$734)=FALSE,"",'Dvd Calendar'!$U$734))</f>
        <v/>
      </c>
      <c r="BH77" s="106">
        <f>IF(GJ77="","",IF(ISNUMBER('Dvd Calendar'!$V$734)=FALSE,"",'Dvd Calendar'!$V$734))</f>
        <v/>
      </c>
      <c r="BI77" s="106">
        <f>IF(GK77="","",IF(ISNUMBER('Dvd Calendar'!$W$734)=FALSE,"",'Dvd Calendar'!$W$734))</f>
        <v/>
      </c>
      <c r="BJ77" s="106">
        <f>IF(GL77="","",IF(ISNUMBER('Dvd Calendar'!$X$734)=FALSE,"",'Dvd Calendar'!$X$734))</f>
        <v/>
      </c>
      <c r="BK77" s="106">
        <f>IF(GM77="","",IF(ISNUMBER('Dvd Calendar'!$Y$734)=FALSE,"",'Dvd Calendar'!$Y$734))</f>
        <v/>
      </c>
      <c r="BL77" s="106">
        <f>IF(GN77="","",IF(ISNUMBER('Dvd Calendar'!$Z$734)=FALSE,"",'Dvd Calendar'!$Z$734))</f>
        <v/>
      </c>
      <c r="BM77" s="106">
        <f>IF(GO77="","",IF(ISNUMBER('Dvd Calendar'!$AA$734)=FALSE,"",'Dvd Calendar'!$AA$734))</f>
        <v/>
      </c>
      <c r="BN77" s="106">
        <f>IF(GP77="","",IF(ISNUMBER('Dvd Calendar'!$AB$734)=FALSE,"",'Dvd Calendar'!$AB$734))</f>
        <v/>
      </c>
      <c r="BO77" s="106">
        <f>IF(GQ77="","",IF(ISNUMBER('Dvd Calendar'!$AC$734)=FALSE,"",'Dvd Calendar'!$AC$734))</f>
        <v/>
      </c>
      <c r="BQ77" s="106">
        <f>IF(C77="","",IFERROR(C77*HSI!$B$72*HSI!$G$72/HSI!$B$3,""))</f>
        <v/>
      </c>
      <c r="BR77" s="106">
        <f>IF(D77="","",IFERROR(D77*HSI!$B$72*HSI!$G$72/HSI!$B$3,""))</f>
        <v/>
      </c>
      <c r="BS77" s="106">
        <f>IF(E77="","",IFERROR(E77*HSI!$B$72*HSI!$G$72/HSI!$B$3,""))</f>
        <v/>
      </c>
      <c r="BT77" s="106">
        <f>IF(F77="","",IFERROR(F77*HSI!$B$72*HSI!$G$72/HSI!$B$3,""))</f>
        <v/>
      </c>
      <c r="BU77" s="106">
        <f>IF(G77="","",IFERROR(G77*HSI!$B$72*HSI!$G$72/HSI!$B$3,""))</f>
        <v/>
      </c>
      <c r="BV77" s="106">
        <f>IF(H77="","",IFERROR(H77*HSI!$B$72*HSI!$G$72/HSI!$B$3,""))</f>
        <v/>
      </c>
      <c r="BW77" s="106">
        <f>IF(I77="","",IFERROR(I77*HSI!$B$72*HSI!$G$72/HSI!$B$3,""))</f>
        <v/>
      </c>
      <c r="BX77" s="106">
        <f>IF(J77="","",IFERROR(J77*HSI!$B$72*HSI!$G$72/HSI!$B$3,""))</f>
        <v/>
      </c>
      <c r="BY77" s="106">
        <f>IF(K77="","",IFERROR(K77*HSI!$B$72*HSI!$G$72/HSI!$B$3,""))</f>
        <v/>
      </c>
      <c r="BZ77" s="106">
        <f>IF(L77="","",IFERROR(L77*HSI!$B$72*HSI!$G$72/HSI!$B$3,""))</f>
        <v/>
      </c>
      <c r="CA77" s="106">
        <f>IF(M77="","",IFERROR(M77*HSI!$B$72*HSI!$G$72/HSI!$B$3,""))</f>
        <v/>
      </c>
      <c r="CB77" s="106">
        <f>IF(N77="","",IFERROR(N77*HSI!$B$72*HSI!$G$72/HSI!$B$3,""))</f>
        <v/>
      </c>
      <c r="CC77" s="106">
        <f>IF(O77="","",IFERROR(O77*HSI!$B$72*HSI!$G$72/HSI!$B$3,""))</f>
        <v/>
      </c>
      <c r="CD77" s="106">
        <f>IF(P77="","",IFERROR(P77*HSI!$B$72*HSI!$G$72/HSI!$B$3,""))</f>
        <v/>
      </c>
      <c r="CE77" s="106">
        <f>IF(Q77="","",IFERROR(Q77*HSI!$B$72*HSI!$G$72/HSI!$B$3,""))</f>
        <v/>
      </c>
      <c r="CF77" s="106">
        <f>IF(R77="","",IFERROR(R77*HSI!$B$72*HSI!$G$72/HSI!$B$3,""))</f>
        <v/>
      </c>
      <c r="CG77" s="106">
        <f>IF(S77="","",IFERROR(S77*HSI!$B$72*HSI!$G$72/HSI!$B$3,""))</f>
        <v/>
      </c>
      <c r="CH77" s="106">
        <f>IF(T77="","",IFERROR(T77*HSI!$B$72*HSI!$G$72/HSI!$B$3,""))</f>
        <v/>
      </c>
      <c r="CI77" s="106">
        <f>IF(U77="","",IFERROR(U77*HSI!$B$72*HSI!$G$72/HSI!$B$3,""))</f>
        <v/>
      </c>
      <c r="CJ77" s="106">
        <f>IF(V77="","",IFERROR(V77*HSI!$B$72*HSI!$G$72/HSI!$B$3,""))</f>
        <v/>
      </c>
      <c r="CK77" s="106">
        <f>IF(W77="","",IFERROR(W77*HSI!$B$72*HSI!$G$72/HSI!$B$3,""))</f>
        <v/>
      </c>
      <c r="CL77" s="106">
        <f>IF(X77="","",IFERROR(X77*HSI!$B$72*HSI!$G$72/HSI!$B$3,""))</f>
        <v/>
      </c>
      <c r="CM77" s="106">
        <f>IF(Y77="","",IFERROR(Y77*HSI!$B$72*HSI!$G$72/HSI!$B$3,""))</f>
        <v/>
      </c>
      <c r="CN77" s="106">
        <f>IF(Z77="","",IFERROR(Z77*HSI!$B$72*HSI!$G$72/HSI!$B$3,""))</f>
        <v/>
      </c>
      <c r="CO77" s="106">
        <f>IF(AA77="","",IFERROR(AA77*HSI!$B$72*HSI!$G$72/HSI!$B$3,""))</f>
        <v/>
      </c>
      <c r="CP77" s="106">
        <f>IF(AB77="","",IFERROR(AB77*HSI!$B$72*HSI!$G$72/HSI!$B$3,""))</f>
        <v/>
      </c>
      <c r="CQ77" s="106">
        <f>IF(AC77="","",IFERROR(AC77*HSI!$B$72*HSI!$G$72/HSI!$B$3,""))</f>
        <v/>
      </c>
      <c r="CR77" s="106">
        <f>IF(AD77="","",IFERROR(AD77*HSI!$B$72*HSI!$G$72/HSI!$B$3,""))</f>
        <v/>
      </c>
      <c r="CS77" s="106">
        <f>IF(AE77="","",IFERROR(AE77*HSI!$B$72*HSI!$G$72/HSI!$B$3,""))</f>
        <v/>
      </c>
      <c r="CT77" s="106">
        <f>IF(AF77="","",IFERROR(AF77*HSI!$B$72*HSI!$G$72/HSI!$B$3,""))</f>
        <v/>
      </c>
      <c r="CU77" s="106">
        <f>IF(AG77="","",IFERROR(AG77*HSI!$B$72*HSI!$G$72/HSI!$B$3,""))</f>
        <v/>
      </c>
      <c r="CV77" s="106">
        <f>IF(AH77="","",IFERROR(AH77*HSI!$B$72*HSI!$G$72/HSI!$B$3,""))</f>
        <v/>
      </c>
      <c r="CW77" s="106">
        <f>IF(AI77="","",IFERROR(AI77*HSI!$B$72*HSI!$G$72/HSI!$B$3,""))</f>
        <v/>
      </c>
      <c r="CX77" s="106">
        <f>IF(AJ77="","",IFERROR(AJ77*HSI!$B$72*HSI!$G$72/HSI!$B$3,""))</f>
        <v/>
      </c>
      <c r="CY77" s="106">
        <f>IF(AK77="","",IFERROR(AK77*HSI!$B$72*HSI!$G$72/HSI!$B$3,""))</f>
        <v/>
      </c>
      <c r="CZ77" s="106">
        <f>IF(AL77="","",IFERROR(AL77*HSI!$B$72*HSI!$G$72/HSI!$B$3,""))</f>
        <v/>
      </c>
      <c r="DA77" s="106">
        <f>IF(AM77="","",IFERROR(AM77*HSI!$B$72*HSI!$G$72/HSI!$B$3,""))</f>
        <v/>
      </c>
      <c r="DB77" s="106">
        <f>IF(AN77="","",IFERROR(AN77*HSI!$B$72*HSI!$G$72/HSI!$B$3,""))</f>
        <v/>
      </c>
      <c r="DC77" s="106">
        <f>IF(AO77="","",IFERROR(AO77*HSI!$B$72*HSI!$G$72/HSI!$B$3,""))</f>
        <v/>
      </c>
      <c r="DD77" s="106">
        <f>IF(AP77="","",IFERROR(AP77*HSI!$B$72*HSI!$G$72/HSI!$B$3,""))</f>
        <v/>
      </c>
      <c r="DE77" s="106">
        <f>IF(AQ77="","",IFERROR(AQ77*HSI!$B$72*HSI!$G$72/HSI!$B$3,""))</f>
        <v/>
      </c>
      <c r="DF77" s="106">
        <f>IF(AR77="","",IFERROR(AR77*HSI!$B$72*HSI!$G$72/HSI!$B$3,""))</f>
        <v/>
      </c>
      <c r="DG77" s="106">
        <f>IF(AS77="","",IFERROR(AS77*HSI!$B$72*HSI!$G$72/HSI!$B$3,""))</f>
        <v/>
      </c>
      <c r="DH77" s="106">
        <f>IF(AT77="","",IFERROR(AT77*HSI!$B$72*HSI!$G$72/HSI!$B$3,""))</f>
        <v/>
      </c>
      <c r="DI77" s="106">
        <f>IF(AU77="","",IFERROR(AU77*HSI!$B$72*HSI!$G$72/HSI!$B$3,""))</f>
        <v/>
      </c>
      <c r="DJ77" s="106">
        <f>IF(AV77="","",IFERROR(AV77*HSI!$B$72*HSI!$G$72/HSI!$B$3,""))</f>
        <v/>
      </c>
      <c r="DK77" s="106">
        <f>IF(AW77="","",IFERROR(AW77*HSI!$B$72*HSI!$G$72/HSI!$B$3,""))</f>
        <v/>
      </c>
      <c r="DL77" s="106">
        <f>IF(AX77="","",IFERROR(AX77*HSI!$B$72*HSI!$G$72/HSI!$B$3,""))</f>
        <v/>
      </c>
      <c r="DM77" s="106">
        <f>IF(AY77="","",IFERROR(AY77*HSI!$B$72*HSI!$G$72/HSI!$B$3,""))</f>
        <v/>
      </c>
      <c r="DN77" s="106">
        <f>IF(AZ77="","",IFERROR(AZ77*HSI!$B$72*HSI!$G$72/HSI!$B$3,""))</f>
        <v/>
      </c>
      <c r="DO77" s="106">
        <f>IF(BA77="","",IFERROR(BA77*HSI!$B$72*HSI!$G$72/HSI!$B$3,""))</f>
        <v/>
      </c>
      <c r="DP77" s="106">
        <f>IF(BB77="","",IFERROR(BB77*HSI!$B$72*HSI!$G$72/HSI!$B$3,""))</f>
        <v/>
      </c>
      <c r="DQ77" s="106">
        <f>IF(BC77="","",IFERROR(BC77*HSI!$B$72*HSI!$G$72/HSI!$B$3,""))</f>
        <v/>
      </c>
      <c r="DR77" s="106">
        <f>IF(BD77="","",IFERROR(BD77*HSI!$B$72*HSI!$G$72/HSI!$B$3,""))</f>
        <v/>
      </c>
      <c r="DS77" s="106">
        <f>IF(BE77="","",IFERROR(BE77*HSI!$B$72*HSI!$G$72/HSI!$B$3,""))</f>
        <v/>
      </c>
      <c r="DT77" s="106">
        <f>IF(BF77="","",IFERROR(BF77*HSI!$B$72*HSI!$G$72/HSI!$B$3,""))</f>
        <v/>
      </c>
      <c r="DU77" s="106">
        <f>IF(BG77="","",IFERROR(BG77*HSI!$B$72*HSI!$G$72/HSI!$B$3,""))</f>
        <v/>
      </c>
      <c r="DV77" s="106">
        <f>IF(BH77="","",IFERROR(BH77*HSI!$B$72*HSI!$G$72/HSI!$B$3,""))</f>
        <v/>
      </c>
      <c r="DW77" s="106">
        <f>IF(BI77="","",IFERROR(BI77*HSI!$B$72*HSI!$G$72/HSI!$B$3,""))</f>
        <v/>
      </c>
      <c r="DX77" s="106">
        <f>IF(BJ77="","",IFERROR(BJ77*HSI!$B$72*HSI!$G$72/HSI!$B$3,""))</f>
        <v/>
      </c>
      <c r="DY77" s="106">
        <f>IF(BK77="","",IFERROR(BK77*HSI!$B$72*HSI!$G$72/HSI!$B$3,""))</f>
        <v/>
      </c>
      <c r="DZ77" s="106">
        <f>IF(BL77="","",IFERROR(BL77*HSI!$B$72*HSI!$G$72/HSI!$B$3,""))</f>
        <v/>
      </c>
      <c r="EA77" s="106">
        <f>IF(BM77="","",IFERROR(BM77*HSI!$B$72*HSI!$G$72/HSI!$B$3,""))</f>
        <v/>
      </c>
      <c r="EB77" s="106">
        <f>IF(BN77="","",IFERROR(BN77*HSI!$B$72*HSI!$G$72/HSI!$B$3,""))</f>
        <v/>
      </c>
      <c r="EC77" s="106">
        <f>IF(BO77="","",IFERROR(BO77*HSI!$B$72*HSI!$G$72/HSI!$B$3,""))</f>
        <v/>
      </c>
      <c r="EE77" s="35">
        <f>IF(N('Dvd Calendar'!$E$726)=0,"",IF(('Dvd Calendar'!$E$726&gt;=GRID_FROM)*('Dvd Calendar'!$E$726&lt;=GRID_TO)*('Dvd Calendar'!$E$726&lt;=VAL_DATE)=0,"",'Dvd Calendar'!$E$726*1000000000+ISNUMBER('Dvd Calendar'!$E$729)*100000000+('Dvd Calendar'!$E$731=SPECIAL_LBL)*10000000+0*1000000+66*1000+1))</f>
        <v/>
      </c>
      <c r="EF77" s="35">
        <f>IF(N('Dvd Calendar'!$F$726)=0,"",IF(('Dvd Calendar'!$F$726&gt;=GRID_FROM)*('Dvd Calendar'!$F$726&lt;=GRID_TO)*('Dvd Calendar'!$F$726&lt;=VAL_DATE)=0,"",'Dvd Calendar'!$F$726*1000000000+ISNUMBER('Dvd Calendar'!$F$729)*100000000+('Dvd Calendar'!$F$731=SPECIAL_LBL)*10000000+0*1000000+66*1000+2))</f>
        <v/>
      </c>
      <c r="EG77" s="35">
        <f>IF(N('Dvd Calendar'!$G$726)=0,"",IF(('Dvd Calendar'!$G$726&gt;=GRID_FROM)*('Dvd Calendar'!$G$726&lt;=GRID_TO)*('Dvd Calendar'!$G$726&lt;=VAL_DATE)=0,"",'Dvd Calendar'!$G$726*1000000000+ISNUMBER('Dvd Calendar'!$G$729)*100000000+('Dvd Calendar'!$G$731=SPECIAL_LBL)*10000000+0*1000000+66*1000+3))</f>
        <v/>
      </c>
      <c r="EH77" s="35">
        <f>IF(N('Dvd Calendar'!$H$726)=0,"",IF(('Dvd Calendar'!$H$726&gt;=GRID_FROM)*('Dvd Calendar'!$H$726&lt;=GRID_TO)*('Dvd Calendar'!$H$726&lt;=VAL_DATE)=0,"",'Dvd Calendar'!$H$726*1000000000+ISNUMBER('Dvd Calendar'!$H$729)*100000000+('Dvd Calendar'!$H$731=SPECIAL_LBL)*10000000+0*1000000+66*1000+4))</f>
        <v/>
      </c>
      <c r="EI77" s="35">
        <f>IF(N('Dvd Calendar'!$I$726)=0,"",IF(('Dvd Calendar'!$I$726&gt;=GRID_FROM)*('Dvd Calendar'!$I$726&lt;=GRID_TO)*('Dvd Calendar'!$I$726&lt;=VAL_DATE)=0,"",'Dvd Calendar'!$I$726*1000000000+ISNUMBER('Dvd Calendar'!$I$729)*100000000+('Dvd Calendar'!$I$731=SPECIAL_LBL)*10000000+0*1000000+66*1000+5))</f>
        <v/>
      </c>
      <c r="EJ77" s="35">
        <f>IF(N('Dvd Calendar'!$J$726)=0,"",IF(('Dvd Calendar'!$J$726&gt;=GRID_FROM)*('Dvd Calendar'!$J$726&lt;=GRID_TO)*('Dvd Calendar'!$J$726&lt;=VAL_DATE)=0,"",'Dvd Calendar'!$J$726*1000000000+ISNUMBER('Dvd Calendar'!$J$729)*100000000+('Dvd Calendar'!$J$731=SPECIAL_LBL)*10000000+0*1000000+66*1000+6))</f>
        <v/>
      </c>
      <c r="EK77" s="35">
        <f>IF(N('Dvd Calendar'!$K$726)=0,"",IF(('Dvd Calendar'!$K$726&gt;=GRID_FROM)*('Dvd Calendar'!$K$726&lt;=GRID_TO)*('Dvd Calendar'!$K$726&lt;=VAL_DATE)=0,"",'Dvd Calendar'!$K$726*1000000000+ISNUMBER('Dvd Calendar'!$K$729)*100000000+('Dvd Calendar'!$K$731=SPECIAL_LBL)*10000000+0*1000000+66*1000+7))</f>
        <v/>
      </c>
      <c r="EL77" s="35">
        <f>IF(N('Dvd Calendar'!$L$726)=0,"",IF(('Dvd Calendar'!$L$726&gt;=GRID_FROM)*('Dvd Calendar'!$L$726&lt;=GRID_TO)*('Dvd Calendar'!$L$726&lt;=VAL_DATE)=0,"",'Dvd Calendar'!$L$726*1000000000+ISNUMBER('Dvd Calendar'!$L$729)*100000000+('Dvd Calendar'!$L$731=SPECIAL_LBL)*10000000+0*1000000+66*1000+8))</f>
        <v/>
      </c>
      <c r="EM77" s="35">
        <f>IF(N('Dvd Calendar'!$M$726)=0,"",IF(('Dvd Calendar'!$M$726&gt;=GRID_FROM)*('Dvd Calendar'!$M$726&lt;=GRID_TO)*('Dvd Calendar'!$M$726&lt;=VAL_DATE)=0,"",'Dvd Calendar'!$M$726*1000000000+ISNUMBER('Dvd Calendar'!$M$729)*100000000+('Dvd Calendar'!$M$731=SPECIAL_LBL)*10000000+0*1000000+66*1000+9))</f>
        <v/>
      </c>
      <c r="EN77" s="35">
        <f>IF(N('Dvd Calendar'!$N$726)=0,"",IF(('Dvd Calendar'!$N$726&gt;=GRID_FROM)*('Dvd Calendar'!$N$726&lt;=GRID_TO)*('Dvd Calendar'!$N$726&lt;=VAL_DATE)=0,"",'Dvd Calendar'!$N$726*1000000000+ISNUMBER('Dvd Calendar'!$N$729)*100000000+('Dvd Calendar'!$N$731=SPECIAL_LBL)*10000000+0*1000000+66*1000+10))</f>
        <v/>
      </c>
      <c r="EO77" s="35">
        <f>IF(N('Dvd Calendar'!$O$726)=0,"",IF(('Dvd Calendar'!$O$726&gt;=GRID_FROM)*('Dvd Calendar'!$O$726&lt;=GRID_TO)*('Dvd Calendar'!$O$726&lt;=VAL_DATE)=0,"",'Dvd Calendar'!$O$726*1000000000+ISNUMBER('Dvd Calendar'!$O$729)*100000000+('Dvd Calendar'!$O$731=SPECIAL_LBL)*10000000+0*1000000+66*1000+11))</f>
        <v/>
      </c>
      <c r="EP77" s="35">
        <f>IF(N('Dvd Calendar'!$P$726)=0,"",IF(('Dvd Calendar'!$P$726&gt;=GRID_FROM)*('Dvd Calendar'!$P$726&lt;=GRID_TO)*('Dvd Calendar'!$P$726&lt;=VAL_DATE)=0,"",'Dvd Calendar'!$P$726*1000000000+ISNUMBER('Dvd Calendar'!$P$729)*100000000+('Dvd Calendar'!$P$731=SPECIAL_LBL)*10000000+0*1000000+66*1000+12))</f>
        <v/>
      </c>
      <c r="EQ77" s="35">
        <f>IF(N('Dvd Calendar'!$Q$726)=0,"",IF(('Dvd Calendar'!$Q$726&gt;=GRID_FROM)*('Dvd Calendar'!$Q$726&lt;=GRID_TO)*('Dvd Calendar'!$Q$726&lt;=VAL_DATE)=0,"",'Dvd Calendar'!$Q$726*1000000000+ISNUMBER('Dvd Calendar'!$Q$729)*100000000+('Dvd Calendar'!$Q$731=SPECIAL_LBL)*10000000+0*1000000+66*1000+13))</f>
        <v/>
      </c>
      <c r="ER77" s="35">
        <f>IF(N('Dvd Calendar'!$R$726)=0,"",IF(('Dvd Calendar'!$R$726&gt;=GRID_FROM)*('Dvd Calendar'!$R$726&lt;=GRID_TO)*('Dvd Calendar'!$R$726&lt;=VAL_DATE)=0,"",'Dvd Calendar'!$R$726*1000000000+ISNUMBER('Dvd Calendar'!$R$729)*100000000+('Dvd Calendar'!$R$731=SPECIAL_LBL)*10000000+0*1000000+66*1000+14))</f>
        <v/>
      </c>
      <c r="ES77" s="35">
        <f>IF(N('Dvd Calendar'!$S$726)=0,"",IF(('Dvd Calendar'!$S$726&gt;=GRID_FROM)*('Dvd Calendar'!$S$726&lt;=GRID_TO)*('Dvd Calendar'!$S$726&lt;=VAL_DATE)=0,"",'Dvd Calendar'!$S$726*1000000000+ISNUMBER('Dvd Calendar'!$S$729)*100000000+('Dvd Calendar'!$S$731=SPECIAL_LBL)*10000000+0*1000000+66*1000+15))</f>
        <v/>
      </c>
      <c r="ET77" s="35">
        <f>IF(N('Dvd Calendar'!$T$726)=0,"",IF(('Dvd Calendar'!$T$726&gt;=GRID_FROM)*('Dvd Calendar'!$T$726&lt;=GRID_TO)*('Dvd Calendar'!$T$726&lt;=VAL_DATE)=0,"",'Dvd Calendar'!$T$726*1000000000+ISNUMBER('Dvd Calendar'!$T$729)*100000000+('Dvd Calendar'!$T$731=SPECIAL_LBL)*10000000+0*1000000+66*1000+16))</f>
        <v/>
      </c>
      <c r="EU77" s="35">
        <f>IF(N('Dvd Calendar'!$U$726)=0,"",IF(('Dvd Calendar'!$U$726&gt;=GRID_FROM)*('Dvd Calendar'!$U$726&lt;=GRID_TO)*('Dvd Calendar'!$U$726&lt;=VAL_DATE)=0,"",'Dvd Calendar'!$U$726*1000000000+ISNUMBER('Dvd Calendar'!$U$729)*100000000+('Dvd Calendar'!$U$731=SPECIAL_LBL)*10000000+0*1000000+66*1000+17))</f>
        <v/>
      </c>
      <c r="EV77" s="35">
        <f>IF(N('Dvd Calendar'!$V$726)=0,"",IF(('Dvd Calendar'!$V$726&gt;=GRID_FROM)*('Dvd Calendar'!$V$726&lt;=GRID_TO)*('Dvd Calendar'!$V$726&lt;=VAL_DATE)=0,"",'Dvd Calendar'!$V$726*1000000000+ISNUMBER('Dvd Calendar'!$V$729)*100000000+('Dvd Calendar'!$V$731=SPECIAL_LBL)*10000000+0*1000000+66*1000+18))</f>
        <v/>
      </c>
      <c r="EW77" s="35">
        <f>IF(N('Dvd Calendar'!$W$726)=0,"",IF(('Dvd Calendar'!$W$726&gt;=GRID_FROM)*('Dvd Calendar'!$W$726&lt;=GRID_TO)*('Dvd Calendar'!$W$726&lt;=VAL_DATE)=0,"",'Dvd Calendar'!$W$726*1000000000+ISNUMBER('Dvd Calendar'!$W$729)*100000000+('Dvd Calendar'!$W$731=SPECIAL_LBL)*10000000+0*1000000+66*1000+19))</f>
        <v/>
      </c>
      <c r="EX77" s="35">
        <f>IF(N('Dvd Calendar'!$X$726)=0,"",IF(('Dvd Calendar'!$X$726&gt;=GRID_FROM)*('Dvd Calendar'!$X$726&lt;=GRID_TO)*('Dvd Calendar'!$X$726&lt;=VAL_DATE)=0,"",'Dvd Calendar'!$X$726*1000000000+ISNUMBER('Dvd Calendar'!$X$729)*100000000+('Dvd Calendar'!$X$731=SPECIAL_LBL)*10000000+0*1000000+66*1000+20))</f>
        <v/>
      </c>
      <c r="EY77" s="35">
        <f>IF(N('Dvd Calendar'!$Y$726)=0,"",IF(('Dvd Calendar'!$Y$726&gt;=GRID_FROM)*('Dvd Calendar'!$Y$726&lt;=GRID_TO)*('Dvd Calendar'!$Y$726&lt;=VAL_DATE)=0,"",'Dvd Calendar'!$Y$726*1000000000+ISNUMBER('Dvd Calendar'!$Y$729)*100000000+('Dvd Calendar'!$Y$731=SPECIAL_LBL)*10000000+0*1000000+66*1000+21))</f>
        <v/>
      </c>
      <c r="EZ77" s="35">
        <f>IF(N('Dvd Calendar'!$Z$726)=0,"",IF(('Dvd Calendar'!$Z$726&gt;=GRID_FROM)*('Dvd Calendar'!$Z$726&lt;=GRID_TO)*('Dvd Calendar'!$Z$726&lt;=VAL_DATE)=0,"",'Dvd Calendar'!$Z$726*1000000000+ISNUMBER('Dvd Calendar'!$Z$729)*100000000+('Dvd Calendar'!$Z$731=SPECIAL_LBL)*10000000+0*1000000+66*1000+22))</f>
        <v/>
      </c>
      <c r="FA77" s="35">
        <f>IF(N('Dvd Calendar'!$AA$726)=0,"",IF(('Dvd Calendar'!$AA$726&gt;=GRID_FROM)*('Dvd Calendar'!$AA$726&lt;=GRID_TO)*('Dvd Calendar'!$AA$726&lt;=VAL_DATE)=0,"",'Dvd Calendar'!$AA$726*1000000000+ISNUMBER('Dvd Calendar'!$AA$729)*100000000+('Dvd Calendar'!$AA$731=SPECIAL_LBL)*10000000+0*1000000+66*1000+23))</f>
        <v/>
      </c>
      <c r="FB77" s="35">
        <f>IF(N('Dvd Calendar'!$AB$726)=0,"",IF(('Dvd Calendar'!$AB$726&gt;=GRID_FROM)*('Dvd Calendar'!$AB$726&lt;=GRID_TO)*('Dvd Calendar'!$AB$726&lt;=VAL_DATE)=0,"",'Dvd Calendar'!$AB$726*1000000000+ISNUMBER('Dvd Calendar'!$AB$729)*100000000+('Dvd Calendar'!$AB$731=SPECIAL_LBL)*10000000+0*1000000+66*1000+24))</f>
        <v/>
      </c>
      <c r="FC77" s="35">
        <f>IF(N('Dvd Calendar'!$AC$726)=0,"",IF(('Dvd Calendar'!$AC$726&gt;=GRID_FROM)*('Dvd Calendar'!$AC$726&lt;=GRID_TO)*('Dvd Calendar'!$AC$726&lt;=VAL_DATE)=0,"",'Dvd Calendar'!$AC$726*1000000000+ISNUMBER('Dvd Calendar'!$AC$729)*100000000+('Dvd Calendar'!$AC$731=SPECIAL_LBL)*10000000+0*1000000+66*1000+25))</f>
        <v/>
      </c>
      <c r="FD77" s="35">
        <f>IF(N('Dvd Calendar'!$AD$726)=0,"",IF(('Dvd Calendar'!$AD$726&gt;=GRID_FROM)*('Dvd Calendar'!$AD$726&lt;=GRID_TO)*('Dvd Calendar'!$AD$726&lt;=VAL_DATE)=0,"",'Dvd Calendar'!$AD$726*1000000000+ISNUMBER('Dvd Calendar'!$AD$729)*100000000+('Dvd Calendar'!$AD$731=SPECIAL_LBL)*10000000+0*1000000+66*1000+26))</f>
        <v/>
      </c>
      <c r="FE77" s="35">
        <f>IF(N('Dvd Calendar'!$AE$726)=0,"",IF(('Dvd Calendar'!$AE$726&gt;=GRID_FROM)*('Dvd Calendar'!$AE$726&lt;=GRID_TO)*('Dvd Calendar'!$AE$726&lt;=VAL_DATE)=0,"",'Dvd Calendar'!$AE$726*1000000000+ISNUMBER('Dvd Calendar'!$AE$729)*100000000+('Dvd Calendar'!$AE$731=SPECIAL_LBL)*10000000+0*1000000+66*1000+27))</f>
        <v/>
      </c>
      <c r="FF77" s="35">
        <f>IF(N('Dvd Calendar'!$AF$726)=0,"",IF(('Dvd Calendar'!$AF$726&gt;=GRID_FROM)*('Dvd Calendar'!$AF$726&lt;=GRID_TO)*('Dvd Calendar'!$AF$726&lt;=VAL_DATE)=0,"",'Dvd Calendar'!$AF$726*1000000000+ISNUMBER('Dvd Calendar'!$AF$729)*100000000+('Dvd Calendar'!$AF$731=SPECIAL_LBL)*10000000+0*1000000+66*1000+28))</f>
        <v/>
      </c>
      <c r="FG77" s="35">
        <f>IF(N('Dvd Calendar'!$AG$726)=0,"",IF(('Dvd Calendar'!$AG$726&gt;=GRID_FROM)*('Dvd Calendar'!$AG$726&lt;=GRID_TO)*('Dvd Calendar'!$AG$726&lt;=VAL_DATE)=0,"",'Dvd Calendar'!$AG$726*1000000000+ISNUMBER('Dvd Calendar'!$AG$729)*100000000+('Dvd Calendar'!$AG$731=SPECIAL_LBL)*10000000+0*1000000+66*1000+29))</f>
        <v/>
      </c>
      <c r="FH77" s="35">
        <f>IF(N('Dvd Calendar'!$AH$726)=0,"",IF(('Dvd Calendar'!$AH$726&gt;=GRID_FROM)*('Dvd Calendar'!$AH$726&lt;=GRID_TO)*('Dvd Calendar'!$AH$726&lt;=VAL_DATE)=0,"",'Dvd Calendar'!$AH$726*1000000000+ISNUMBER('Dvd Calendar'!$AH$729)*100000000+('Dvd Calendar'!$AH$731=SPECIAL_LBL)*10000000+0*1000000+66*1000+30))</f>
        <v/>
      </c>
      <c r="FI77" s="35">
        <f>IF(N('Dvd Calendar'!$AI$726)=0,"",IF(('Dvd Calendar'!$AI$726&gt;=GRID_FROM)*('Dvd Calendar'!$AI$726&lt;=GRID_TO)*('Dvd Calendar'!$AI$726&lt;=VAL_DATE)=0,"",'Dvd Calendar'!$AI$726*1000000000+ISNUMBER('Dvd Calendar'!$AI$729)*100000000+('Dvd Calendar'!$AI$731=SPECIAL_LBL)*10000000+0*1000000+66*1000+31))</f>
        <v/>
      </c>
      <c r="FJ77" s="35">
        <f>IF(N('Dvd Calendar'!$AJ$726)=0,"",IF(('Dvd Calendar'!$AJ$726&gt;=GRID_FROM)*('Dvd Calendar'!$AJ$726&lt;=GRID_TO)*('Dvd Calendar'!$AJ$726&lt;=VAL_DATE)=0,"",'Dvd Calendar'!$AJ$726*1000000000+ISNUMBER('Dvd Calendar'!$AJ$729)*100000000+('Dvd Calendar'!$AJ$731=SPECIAL_LBL)*10000000+0*1000000+66*1000+32))</f>
        <v/>
      </c>
      <c r="FK77" s="35">
        <f>IF(N('Dvd Calendar'!$AK$726)=0,"",IF(('Dvd Calendar'!$AK$726&gt;=GRID_FROM)*('Dvd Calendar'!$AK$726&lt;=GRID_TO)*('Dvd Calendar'!$AK$726&lt;=VAL_DATE)=0,"",'Dvd Calendar'!$AK$726*1000000000+ISNUMBER('Dvd Calendar'!$AK$729)*100000000+('Dvd Calendar'!$AK$731=SPECIAL_LBL)*10000000+0*1000000+66*1000+33))</f>
        <v/>
      </c>
      <c r="FL77" s="35">
        <f>IF(N('Dvd Calendar'!$AL$726)=0,"",IF(('Dvd Calendar'!$AL$726&gt;=GRID_FROM)*('Dvd Calendar'!$AL$726&lt;=GRID_TO)*('Dvd Calendar'!$AL$726&lt;=VAL_DATE)=0,"",'Dvd Calendar'!$AL$726*1000000000+ISNUMBER('Dvd Calendar'!$AL$729)*100000000+('Dvd Calendar'!$AL$731=SPECIAL_LBL)*10000000+0*1000000+66*1000+34))</f>
        <v/>
      </c>
      <c r="FM77" s="35">
        <f>IF(N('Dvd Calendar'!$AM$726)=0,"",IF(('Dvd Calendar'!$AM$726&gt;=GRID_FROM)*('Dvd Calendar'!$AM$726&lt;=GRID_TO)*('Dvd Calendar'!$AM$726&lt;=VAL_DATE)=0,"",'Dvd Calendar'!$AM$726*1000000000+ISNUMBER('Dvd Calendar'!$AM$729)*100000000+('Dvd Calendar'!$AM$731=SPECIAL_LBL)*10000000+0*1000000+66*1000+35))</f>
        <v/>
      </c>
      <c r="FN77" s="35">
        <f>IF(N('Dvd Calendar'!$AN$726)=0,"",IF(('Dvd Calendar'!$AN$726&gt;=GRID_FROM)*('Dvd Calendar'!$AN$726&lt;=GRID_TO)*('Dvd Calendar'!$AN$726&lt;=VAL_DATE)=0,"",'Dvd Calendar'!$AN$726*1000000000+ISNUMBER('Dvd Calendar'!$AN$729)*100000000+('Dvd Calendar'!$AN$731=SPECIAL_LBL)*10000000+0*1000000+66*1000+36))</f>
        <v/>
      </c>
      <c r="FO77" s="35">
        <f>IF(N('Dvd Calendar'!$AO$726)=0,"",IF(('Dvd Calendar'!$AO$726&gt;=GRID_FROM)*('Dvd Calendar'!$AO$726&lt;=GRID_TO)*('Dvd Calendar'!$AO$726&lt;=VAL_DATE)=0,"",'Dvd Calendar'!$AO$726*1000000000+ISNUMBER('Dvd Calendar'!$AO$729)*100000000+('Dvd Calendar'!$AO$731=SPECIAL_LBL)*10000000+0*1000000+66*1000+37))</f>
        <v/>
      </c>
      <c r="FP77" s="35">
        <f>IF(N('Dvd Calendar'!$AP$726)=0,"",IF(('Dvd Calendar'!$AP$726&gt;=GRID_FROM)*('Dvd Calendar'!$AP$726&lt;=GRID_TO)*('Dvd Calendar'!$AP$726&lt;=VAL_DATE)=0,"",'Dvd Calendar'!$AP$726*1000000000+ISNUMBER('Dvd Calendar'!$AP$729)*100000000+('Dvd Calendar'!$AP$731=SPECIAL_LBL)*10000000+0*1000000+66*1000+38))</f>
        <v/>
      </c>
      <c r="FQ77" s="35">
        <f>IF(N('Dvd Calendar'!$AQ$726)=0,"",IF(('Dvd Calendar'!$AQ$726&gt;=GRID_FROM)*('Dvd Calendar'!$AQ$726&lt;=GRID_TO)*('Dvd Calendar'!$AQ$726&lt;=VAL_DATE)=0,"",'Dvd Calendar'!$AQ$726*1000000000+ISNUMBER('Dvd Calendar'!$AQ$729)*100000000+('Dvd Calendar'!$AQ$731=SPECIAL_LBL)*10000000+0*1000000+66*1000+39))</f>
        <v/>
      </c>
      <c r="FR77" s="35">
        <f>IF(N('Dvd Calendar'!$AR$726)=0,"",IF(('Dvd Calendar'!$AR$726&gt;=GRID_FROM)*('Dvd Calendar'!$AR$726&lt;=GRID_TO)*('Dvd Calendar'!$AR$726&lt;=VAL_DATE)=0,"",'Dvd Calendar'!$AR$726*1000000000+ISNUMBER('Dvd Calendar'!$AR$729)*100000000+('Dvd Calendar'!$AR$731=SPECIAL_LBL)*10000000+0*1000000+66*1000+40))</f>
        <v/>
      </c>
      <c r="FS77" s="35">
        <f>IF(N('Dvd Calendar'!$E$733)=0,"",IF(('Dvd Calendar'!$E$733&gt;=GRID_FROM)*('Dvd Calendar'!$E$733&lt;=GRID_TO)*('Dvd Calendar'!$E$733&gt;VAL_DATE)=0,"",'Dvd Calendar'!$E$733*1000000000+ISNUMBER('Dvd Calendar'!$E$734)*100000000+0*10000000+(N('Dvd Calendar'!$E$732)&gt;0)*(N('Dvd Calendar'!$E$732)&lt;=VAL_SERIAL)*1000000+66*1000+41))</f>
        <v/>
      </c>
      <c r="FT77" s="35">
        <f>IF(N('Dvd Calendar'!$F$733)=0,"",IF(('Dvd Calendar'!$F$733&gt;=GRID_FROM)*('Dvd Calendar'!$F$733&lt;=GRID_TO)*('Dvd Calendar'!$F$733&gt;VAL_DATE)=0,"",'Dvd Calendar'!$F$733*1000000000+ISNUMBER('Dvd Calendar'!$F$734)*100000000+0*10000000+(N('Dvd Calendar'!$F$732)&gt;0)*(N('Dvd Calendar'!$F$732)&lt;=VAL_SERIAL)*1000000+66*1000+42))</f>
        <v/>
      </c>
      <c r="FU77" s="35">
        <f>IF(N('Dvd Calendar'!$G$733)=0,"",IF(('Dvd Calendar'!$G$733&gt;=GRID_FROM)*('Dvd Calendar'!$G$733&lt;=GRID_TO)*('Dvd Calendar'!$G$733&gt;VAL_DATE)=0,"",'Dvd Calendar'!$G$733*1000000000+ISNUMBER('Dvd Calendar'!$G$734)*100000000+0*10000000+(N('Dvd Calendar'!$G$732)&gt;0)*(N('Dvd Calendar'!$G$732)&lt;=VAL_SERIAL)*1000000+66*1000+43))</f>
        <v/>
      </c>
      <c r="FV77" s="35">
        <f>IF(N('Dvd Calendar'!$H$733)=0,"",IF(('Dvd Calendar'!$H$733&gt;=GRID_FROM)*('Dvd Calendar'!$H$733&lt;=GRID_TO)*('Dvd Calendar'!$H$733&gt;VAL_DATE)=0,"",'Dvd Calendar'!$H$733*1000000000+ISNUMBER('Dvd Calendar'!$H$734)*100000000+0*10000000+(N('Dvd Calendar'!$H$732)&gt;0)*(N('Dvd Calendar'!$H$732)&lt;=VAL_SERIAL)*1000000+66*1000+44))</f>
        <v/>
      </c>
      <c r="FW77" s="35">
        <f>IF(N('Dvd Calendar'!$I$733)=0,"",IF(('Dvd Calendar'!$I$733&gt;=GRID_FROM)*('Dvd Calendar'!$I$733&lt;=GRID_TO)*('Dvd Calendar'!$I$733&gt;VAL_DATE)=0,"",'Dvd Calendar'!$I$733*1000000000+ISNUMBER('Dvd Calendar'!$I$734)*100000000+0*10000000+(N('Dvd Calendar'!$I$732)&gt;0)*(N('Dvd Calendar'!$I$732)&lt;=VAL_SERIAL)*1000000+66*1000+45))</f>
        <v/>
      </c>
      <c r="FX77" s="35">
        <f>IF(N('Dvd Calendar'!$J$733)=0,"",IF(('Dvd Calendar'!$J$733&gt;=GRID_FROM)*('Dvd Calendar'!$J$733&lt;=GRID_TO)*('Dvd Calendar'!$J$733&gt;VAL_DATE)=0,"",'Dvd Calendar'!$J$733*1000000000+ISNUMBER('Dvd Calendar'!$J$734)*100000000+0*10000000+(N('Dvd Calendar'!$J$732)&gt;0)*(N('Dvd Calendar'!$J$732)&lt;=VAL_SERIAL)*1000000+66*1000+46))</f>
        <v/>
      </c>
      <c r="FY77" s="35">
        <f>IF(N('Dvd Calendar'!$K$733)=0,"",IF(('Dvd Calendar'!$K$733&gt;=GRID_FROM)*('Dvd Calendar'!$K$733&lt;=GRID_TO)*('Dvd Calendar'!$K$733&gt;VAL_DATE)=0,"",'Dvd Calendar'!$K$733*1000000000+ISNUMBER('Dvd Calendar'!$K$734)*100000000+0*10000000+(N('Dvd Calendar'!$K$732)&gt;0)*(N('Dvd Calendar'!$K$732)&lt;=VAL_SERIAL)*1000000+66*1000+47))</f>
        <v/>
      </c>
      <c r="FZ77" s="35">
        <f>IF(N('Dvd Calendar'!$L$733)=0,"",IF(('Dvd Calendar'!$L$733&gt;=GRID_FROM)*('Dvd Calendar'!$L$733&lt;=GRID_TO)*('Dvd Calendar'!$L$733&gt;VAL_DATE)=0,"",'Dvd Calendar'!$L$733*1000000000+ISNUMBER('Dvd Calendar'!$L$734)*100000000+0*10000000+(N('Dvd Calendar'!$L$732)&gt;0)*(N('Dvd Calendar'!$L$732)&lt;=VAL_SERIAL)*1000000+66*1000+48))</f>
        <v/>
      </c>
      <c r="GA77" s="35">
        <f>IF(N('Dvd Calendar'!$M$733)=0,"",IF(('Dvd Calendar'!$M$733&gt;=GRID_FROM)*('Dvd Calendar'!$M$733&lt;=GRID_TO)*('Dvd Calendar'!$M$733&gt;VAL_DATE)=0,"",'Dvd Calendar'!$M$733*1000000000+ISNUMBER('Dvd Calendar'!$M$734)*100000000+0*10000000+(N('Dvd Calendar'!$M$732)&gt;0)*(N('Dvd Calendar'!$M$732)&lt;=VAL_SERIAL)*1000000+66*1000+49))</f>
        <v/>
      </c>
      <c r="GB77" s="35">
        <f>IF(N('Dvd Calendar'!$N$733)=0,"",IF(('Dvd Calendar'!$N$733&gt;=GRID_FROM)*('Dvd Calendar'!$N$733&lt;=GRID_TO)*('Dvd Calendar'!$N$733&gt;VAL_DATE)=0,"",'Dvd Calendar'!$N$733*1000000000+ISNUMBER('Dvd Calendar'!$N$734)*100000000+0*10000000+(N('Dvd Calendar'!$N$732)&gt;0)*(N('Dvd Calendar'!$N$732)&lt;=VAL_SERIAL)*1000000+66*1000+50))</f>
        <v/>
      </c>
      <c r="GC77" s="35">
        <f>IF(N('Dvd Calendar'!$O$733)=0,"",IF(('Dvd Calendar'!$O$733&gt;=GRID_FROM)*('Dvd Calendar'!$O$733&lt;=GRID_TO)*('Dvd Calendar'!$O$733&gt;VAL_DATE)=0,"",'Dvd Calendar'!$O$733*1000000000+ISNUMBER('Dvd Calendar'!$O$734)*100000000+0*10000000+(N('Dvd Calendar'!$O$732)&gt;0)*(N('Dvd Calendar'!$O$732)&lt;=VAL_SERIAL)*1000000+66*1000+51))</f>
        <v/>
      </c>
      <c r="GD77" s="35">
        <f>IF(N('Dvd Calendar'!$P$733)=0,"",IF(('Dvd Calendar'!$P$733&gt;=GRID_FROM)*('Dvd Calendar'!$P$733&lt;=GRID_TO)*('Dvd Calendar'!$P$733&gt;VAL_DATE)=0,"",'Dvd Calendar'!$P$733*1000000000+ISNUMBER('Dvd Calendar'!$P$734)*100000000+0*10000000+(N('Dvd Calendar'!$P$732)&gt;0)*(N('Dvd Calendar'!$P$732)&lt;=VAL_SERIAL)*1000000+66*1000+52))</f>
        <v/>
      </c>
      <c r="GE77" s="35">
        <f>IF(N('Dvd Calendar'!$Q$733)=0,"",IF(('Dvd Calendar'!$Q$733&gt;=GRID_FROM)*('Dvd Calendar'!$Q$733&lt;=GRID_TO)*('Dvd Calendar'!$Q$733&gt;VAL_DATE)=0,"",'Dvd Calendar'!$Q$733*1000000000+ISNUMBER('Dvd Calendar'!$Q$734)*100000000+0*10000000+(N('Dvd Calendar'!$Q$732)&gt;0)*(N('Dvd Calendar'!$Q$732)&lt;=VAL_SERIAL)*1000000+66*1000+53))</f>
        <v/>
      </c>
      <c r="GF77" s="35">
        <f>IF(N('Dvd Calendar'!$R$733)=0,"",IF(('Dvd Calendar'!$R$733&gt;=GRID_FROM)*('Dvd Calendar'!$R$733&lt;=GRID_TO)*('Dvd Calendar'!$R$733&gt;VAL_DATE)=0,"",'Dvd Calendar'!$R$733*1000000000+ISNUMBER('Dvd Calendar'!$R$734)*100000000+0*10000000+(N('Dvd Calendar'!$R$732)&gt;0)*(N('Dvd Calendar'!$R$732)&lt;=VAL_SERIAL)*1000000+66*1000+54))</f>
        <v/>
      </c>
      <c r="GG77" s="35">
        <f>IF(N('Dvd Calendar'!$S$733)=0,"",IF(('Dvd Calendar'!$S$733&gt;=GRID_FROM)*('Dvd Calendar'!$S$733&lt;=GRID_TO)*('Dvd Calendar'!$S$733&gt;VAL_DATE)=0,"",'Dvd Calendar'!$S$733*1000000000+ISNUMBER('Dvd Calendar'!$S$734)*100000000+0*10000000+(N('Dvd Calendar'!$S$732)&gt;0)*(N('Dvd Calendar'!$S$732)&lt;=VAL_SERIAL)*1000000+66*1000+55))</f>
        <v/>
      </c>
      <c r="GH77" s="35">
        <f>IF(N('Dvd Calendar'!$T$733)=0,"",IF(('Dvd Calendar'!$T$733&gt;=GRID_FROM)*('Dvd Calendar'!$T$733&lt;=GRID_TO)*('Dvd Calendar'!$T$733&gt;VAL_DATE)=0,"",'Dvd Calendar'!$T$733*1000000000+ISNUMBER('Dvd Calendar'!$T$734)*100000000+0*10000000+(N('Dvd Calendar'!$T$732)&gt;0)*(N('Dvd Calendar'!$T$732)&lt;=VAL_SERIAL)*1000000+66*1000+56))</f>
        <v/>
      </c>
      <c r="GI77" s="35">
        <f>IF(N('Dvd Calendar'!$U$733)=0,"",IF(('Dvd Calendar'!$U$733&gt;=GRID_FROM)*('Dvd Calendar'!$U$733&lt;=GRID_TO)*('Dvd Calendar'!$U$733&gt;VAL_DATE)=0,"",'Dvd Calendar'!$U$733*1000000000+ISNUMBER('Dvd Calendar'!$U$734)*100000000+0*10000000+(N('Dvd Calendar'!$U$732)&gt;0)*(N('Dvd Calendar'!$U$732)&lt;=VAL_SERIAL)*1000000+66*1000+57))</f>
        <v/>
      </c>
      <c r="GJ77" s="35">
        <f>IF(N('Dvd Calendar'!$V$733)=0,"",IF(('Dvd Calendar'!$V$733&gt;=GRID_FROM)*('Dvd Calendar'!$V$733&lt;=GRID_TO)*('Dvd Calendar'!$V$733&gt;VAL_DATE)=0,"",'Dvd Calendar'!$V$733*1000000000+ISNUMBER('Dvd Calendar'!$V$734)*100000000+0*10000000+(N('Dvd Calendar'!$V$732)&gt;0)*(N('Dvd Calendar'!$V$732)&lt;=VAL_SERIAL)*1000000+66*1000+58))</f>
        <v/>
      </c>
      <c r="GK77" s="35">
        <f>IF(N('Dvd Calendar'!$W$733)=0,"",IF(('Dvd Calendar'!$W$733&gt;=GRID_FROM)*('Dvd Calendar'!$W$733&lt;=GRID_TO)*('Dvd Calendar'!$W$733&gt;VAL_DATE)=0,"",'Dvd Calendar'!$W$733*1000000000+ISNUMBER('Dvd Calendar'!$W$734)*100000000+0*10000000+(N('Dvd Calendar'!$W$732)&gt;0)*(N('Dvd Calendar'!$W$732)&lt;=VAL_SERIAL)*1000000+66*1000+59))</f>
        <v/>
      </c>
      <c r="GL77" s="35">
        <f>IF(N('Dvd Calendar'!$X$733)=0,"",IF(('Dvd Calendar'!$X$733&gt;=GRID_FROM)*('Dvd Calendar'!$X$733&lt;=GRID_TO)*('Dvd Calendar'!$X$733&gt;VAL_DATE)=0,"",'Dvd Calendar'!$X$733*1000000000+ISNUMBER('Dvd Calendar'!$X$734)*100000000+0*10000000+(N('Dvd Calendar'!$X$732)&gt;0)*(N('Dvd Calendar'!$X$732)&lt;=VAL_SERIAL)*1000000+66*1000+60))</f>
        <v/>
      </c>
      <c r="GM77" s="35">
        <f>IF(N('Dvd Calendar'!$Y$733)=0,"",IF(('Dvd Calendar'!$Y$733&gt;=GRID_FROM)*('Dvd Calendar'!$Y$733&lt;=GRID_TO)*('Dvd Calendar'!$Y$733&gt;VAL_DATE)=0,"",'Dvd Calendar'!$Y$733*1000000000+ISNUMBER('Dvd Calendar'!$Y$734)*100000000+0*10000000+(N('Dvd Calendar'!$Y$732)&gt;0)*(N('Dvd Calendar'!$Y$732)&lt;=VAL_SERIAL)*1000000+66*1000+61))</f>
        <v/>
      </c>
      <c r="GN77" s="35">
        <f>IF(N('Dvd Calendar'!$Z$733)=0,"",IF(('Dvd Calendar'!$Z$733&gt;=GRID_FROM)*('Dvd Calendar'!$Z$733&lt;=GRID_TO)*('Dvd Calendar'!$Z$733&gt;VAL_DATE)=0,"",'Dvd Calendar'!$Z$733*1000000000+ISNUMBER('Dvd Calendar'!$Z$734)*100000000+0*10000000+(N('Dvd Calendar'!$Z$732)&gt;0)*(N('Dvd Calendar'!$Z$732)&lt;=VAL_SERIAL)*1000000+66*1000+62))</f>
        <v/>
      </c>
      <c r="GO77" s="35">
        <f>IF(N('Dvd Calendar'!$AA$733)=0,"",IF(('Dvd Calendar'!$AA$733&gt;=GRID_FROM)*('Dvd Calendar'!$AA$733&lt;=GRID_TO)*('Dvd Calendar'!$AA$733&gt;VAL_DATE)=0,"",'Dvd Calendar'!$AA$733*1000000000+ISNUMBER('Dvd Calendar'!$AA$734)*100000000+0*10000000+(N('Dvd Calendar'!$AA$732)&gt;0)*(N('Dvd Calendar'!$AA$732)&lt;=VAL_SERIAL)*1000000+66*1000+63))</f>
        <v/>
      </c>
      <c r="GP77" s="35">
        <f>IF(N('Dvd Calendar'!$AB$733)=0,"",IF(('Dvd Calendar'!$AB$733&gt;=GRID_FROM)*('Dvd Calendar'!$AB$733&lt;=GRID_TO)*('Dvd Calendar'!$AB$733&gt;VAL_DATE)=0,"",'Dvd Calendar'!$AB$733*1000000000+ISNUMBER('Dvd Calendar'!$AB$734)*100000000+0*10000000+(N('Dvd Calendar'!$AB$732)&gt;0)*(N('Dvd Calendar'!$AB$732)&lt;=VAL_SERIAL)*1000000+66*1000+64))</f>
        <v/>
      </c>
      <c r="GQ77" s="35">
        <f>IF(N('Dvd Calendar'!$AC$733)=0,"",IF(('Dvd Calendar'!$AC$733&gt;=GRID_FROM)*('Dvd Calendar'!$AC$733&lt;=GRID_TO)*('Dvd Calendar'!$AC$733&gt;VAL_DATE)=0,"",'Dvd Calendar'!$AC$733*1000000000+ISNUMBER('Dvd Calendar'!$AC$734)*100000000+0*10000000+(N('Dvd Calendar'!$AC$732)&gt;0)*(N('Dvd Calendar'!$AC$732)&lt;=VAL_SERIAL)*1000000+66*1000+65))</f>
        <v/>
      </c>
    </row>
    <row r="78">
      <c r="B78" s="2">
        <f>IF(HSI!$C$73="","",HSI!$C$73)</f>
        <v/>
      </c>
      <c r="C78" s="106">
        <f>IF(EE78="","",IF(ISNUMBER('Dvd Calendar'!$E$740)=FALSE,"",IF((('Dvd Calendar'!$E$742=TYPE1)*(TYPE1&lt;&gt;"")+('Dvd Calendar'!$E$742=TYPE2)*(TYPE2&lt;&gt;"")+('Dvd Calendar'!$E$742=TYPE3)*(TYPE3&lt;&gt;"")+('Dvd Calendar'!$E$742=TYPE4)*(TYPE4&lt;&gt;"")+('Dvd Calendar'!$E$742=SPECIAL_LBL)*(INC_SPECIALS="Y"))=0,"",'Dvd Calendar'!$E$740)))</f>
        <v/>
      </c>
      <c r="D78" s="106">
        <f>IF(EF78="","",IF(ISNUMBER('Dvd Calendar'!$F$740)=FALSE,"",IF((('Dvd Calendar'!$F$742=TYPE1)*(TYPE1&lt;&gt;"")+('Dvd Calendar'!$F$742=TYPE2)*(TYPE2&lt;&gt;"")+('Dvd Calendar'!$F$742=TYPE3)*(TYPE3&lt;&gt;"")+('Dvd Calendar'!$F$742=TYPE4)*(TYPE4&lt;&gt;"")+('Dvd Calendar'!$F$742=SPECIAL_LBL)*(INC_SPECIALS="Y"))=0,"",'Dvd Calendar'!$F$740)))</f>
        <v/>
      </c>
      <c r="E78" s="106">
        <f>IF(EG78="","",IF(ISNUMBER('Dvd Calendar'!$G$740)=FALSE,"",IF((('Dvd Calendar'!$G$742=TYPE1)*(TYPE1&lt;&gt;"")+('Dvd Calendar'!$G$742=TYPE2)*(TYPE2&lt;&gt;"")+('Dvd Calendar'!$G$742=TYPE3)*(TYPE3&lt;&gt;"")+('Dvd Calendar'!$G$742=TYPE4)*(TYPE4&lt;&gt;"")+('Dvd Calendar'!$G$742=SPECIAL_LBL)*(INC_SPECIALS="Y"))=0,"",'Dvd Calendar'!$G$740)))</f>
        <v/>
      </c>
      <c r="F78" s="106">
        <f>IF(EH78="","",IF(ISNUMBER('Dvd Calendar'!$H$740)=FALSE,"",IF((('Dvd Calendar'!$H$742=TYPE1)*(TYPE1&lt;&gt;"")+('Dvd Calendar'!$H$742=TYPE2)*(TYPE2&lt;&gt;"")+('Dvd Calendar'!$H$742=TYPE3)*(TYPE3&lt;&gt;"")+('Dvd Calendar'!$H$742=TYPE4)*(TYPE4&lt;&gt;"")+('Dvd Calendar'!$H$742=SPECIAL_LBL)*(INC_SPECIALS="Y"))=0,"",'Dvd Calendar'!$H$740)))</f>
        <v/>
      </c>
      <c r="G78" s="106">
        <f>IF(EI78="","",IF(ISNUMBER('Dvd Calendar'!$I$740)=FALSE,"",IF((('Dvd Calendar'!$I$742=TYPE1)*(TYPE1&lt;&gt;"")+('Dvd Calendar'!$I$742=TYPE2)*(TYPE2&lt;&gt;"")+('Dvd Calendar'!$I$742=TYPE3)*(TYPE3&lt;&gt;"")+('Dvd Calendar'!$I$742=TYPE4)*(TYPE4&lt;&gt;"")+('Dvd Calendar'!$I$742=SPECIAL_LBL)*(INC_SPECIALS="Y"))=0,"",'Dvd Calendar'!$I$740)))</f>
        <v/>
      </c>
      <c r="H78" s="106">
        <f>IF(EJ78="","",IF(ISNUMBER('Dvd Calendar'!$J$740)=FALSE,"",IF((('Dvd Calendar'!$J$742=TYPE1)*(TYPE1&lt;&gt;"")+('Dvd Calendar'!$J$742=TYPE2)*(TYPE2&lt;&gt;"")+('Dvd Calendar'!$J$742=TYPE3)*(TYPE3&lt;&gt;"")+('Dvd Calendar'!$J$742=TYPE4)*(TYPE4&lt;&gt;"")+('Dvd Calendar'!$J$742=SPECIAL_LBL)*(INC_SPECIALS="Y"))=0,"",'Dvd Calendar'!$J$740)))</f>
        <v/>
      </c>
      <c r="I78" s="106">
        <f>IF(EK78="","",IF(ISNUMBER('Dvd Calendar'!$K$740)=FALSE,"",IF((('Dvd Calendar'!$K$742=TYPE1)*(TYPE1&lt;&gt;"")+('Dvd Calendar'!$K$742=TYPE2)*(TYPE2&lt;&gt;"")+('Dvd Calendar'!$K$742=TYPE3)*(TYPE3&lt;&gt;"")+('Dvd Calendar'!$K$742=TYPE4)*(TYPE4&lt;&gt;"")+('Dvd Calendar'!$K$742=SPECIAL_LBL)*(INC_SPECIALS="Y"))=0,"",'Dvd Calendar'!$K$740)))</f>
        <v/>
      </c>
      <c r="J78" s="106">
        <f>IF(EL78="","",IF(ISNUMBER('Dvd Calendar'!$L$740)=FALSE,"",IF((('Dvd Calendar'!$L$742=TYPE1)*(TYPE1&lt;&gt;"")+('Dvd Calendar'!$L$742=TYPE2)*(TYPE2&lt;&gt;"")+('Dvd Calendar'!$L$742=TYPE3)*(TYPE3&lt;&gt;"")+('Dvd Calendar'!$L$742=TYPE4)*(TYPE4&lt;&gt;"")+('Dvd Calendar'!$L$742=SPECIAL_LBL)*(INC_SPECIALS="Y"))=0,"",'Dvd Calendar'!$L$740)))</f>
        <v/>
      </c>
      <c r="K78" s="106">
        <f>IF(EM78="","",IF(ISNUMBER('Dvd Calendar'!$M$740)=FALSE,"",IF((('Dvd Calendar'!$M$742=TYPE1)*(TYPE1&lt;&gt;"")+('Dvd Calendar'!$M$742=TYPE2)*(TYPE2&lt;&gt;"")+('Dvd Calendar'!$M$742=TYPE3)*(TYPE3&lt;&gt;"")+('Dvd Calendar'!$M$742=TYPE4)*(TYPE4&lt;&gt;"")+('Dvd Calendar'!$M$742=SPECIAL_LBL)*(INC_SPECIALS="Y"))=0,"",'Dvd Calendar'!$M$740)))</f>
        <v/>
      </c>
      <c r="L78" s="106">
        <f>IF(EN78="","",IF(ISNUMBER('Dvd Calendar'!$N$740)=FALSE,"",IF((('Dvd Calendar'!$N$742=TYPE1)*(TYPE1&lt;&gt;"")+('Dvd Calendar'!$N$742=TYPE2)*(TYPE2&lt;&gt;"")+('Dvd Calendar'!$N$742=TYPE3)*(TYPE3&lt;&gt;"")+('Dvd Calendar'!$N$742=TYPE4)*(TYPE4&lt;&gt;"")+('Dvd Calendar'!$N$742=SPECIAL_LBL)*(INC_SPECIALS="Y"))=0,"",'Dvd Calendar'!$N$740)))</f>
        <v/>
      </c>
      <c r="M78" s="106">
        <f>IF(EO78="","",IF(ISNUMBER('Dvd Calendar'!$O$740)=FALSE,"",IF((('Dvd Calendar'!$O$742=TYPE1)*(TYPE1&lt;&gt;"")+('Dvd Calendar'!$O$742=TYPE2)*(TYPE2&lt;&gt;"")+('Dvd Calendar'!$O$742=TYPE3)*(TYPE3&lt;&gt;"")+('Dvd Calendar'!$O$742=TYPE4)*(TYPE4&lt;&gt;"")+('Dvd Calendar'!$O$742=SPECIAL_LBL)*(INC_SPECIALS="Y"))=0,"",'Dvd Calendar'!$O$740)))</f>
        <v/>
      </c>
      <c r="N78" s="106">
        <f>IF(EP78="","",IF(ISNUMBER('Dvd Calendar'!$P$740)=FALSE,"",IF((('Dvd Calendar'!$P$742=TYPE1)*(TYPE1&lt;&gt;"")+('Dvd Calendar'!$P$742=TYPE2)*(TYPE2&lt;&gt;"")+('Dvd Calendar'!$P$742=TYPE3)*(TYPE3&lt;&gt;"")+('Dvd Calendar'!$P$742=TYPE4)*(TYPE4&lt;&gt;"")+('Dvd Calendar'!$P$742=SPECIAL_LBL)*(INC_SPECIALS="Y"))=0,"",'Dvd Calendar'!$P$740)))</f>
        <v/>
      </c>
      <c r="O78" s="106">
        <f>IF(EQ78="","",IF(ISNUMBER('Dvd Calendar'!$Q$740)=FALSE,"",IF((('Dvd Calendar'!$Q$742=TYPE1)*(TYPE1&lt;&gt;"")+('Dvd Calendar'!$Q$742=TYPE2)*(TYPE2&lt;&gt;"")+('Dvd Calendar'!$Q$742=TYPE3)*(TYPE3&lt;&gt;"")+('Dvd Calendar'!$Q$742=TYPE4)*(TYPE4&lt;&gt;"")+('Dvd Calendar'!$Q$742=SPECIAL_LBL)*(INC_SPECIALS="Y"))=0,"",'Dvd Calendar'!$Q$740)))</f>
        <v/>
      </c>
      <c r="P78" s="106">
        <f>IF(ER78="","",IF(ISNUMBER('Dvd Calendar'!$R$740)=FALSE,"",IF((('Dvd Calendar'!$R$742=TYPE1)*(TYPE1&lt;&gt;"")+('Dvd Calendar'!$R$742=TYPE2)*(TYPE2&lt;&gt;"")+('Dvd Calendar'!$R$742=TYPE3)*(TYPE3&lt;&gt;"")+('Dvd Calendar'!$R$742=TYPE4)*(TYPE4&lt;&gt;"")+('Dvd Calendar'!$R$742=SPECIAL_LBL)*(INC_SPECIALS="Y"))=0,"",'Dvd Calendar'!$R$740)))</f>
        <v/>
      </c>
      <c r="Q78" s="106">
        <f>IF(ES78="","",IF(ISNUMBER('Dvd Calendar'!$S$740)=FALSE,"",IF((('Dvd Calendar'!$S$742=TYPE1)*(TYPE1&lt;&gt;"")+('Dvd Calendar'!$S$742=TYPE2)*(TYPE2&lt;&gt;"")+('Dvd Calendar'!$S$742=TYPE3)*(TYPE3&lt;&gt;"")+('Dvd Calendar'!$S$742=TYPE4)*(TYPE4&lt;&gt;"")+('Dvd Calendar'!$S$742=SPECIAL_LBL)*(INC_SPECIALS="Y"))=0,"",'Dvd Calendar'!$S$740)))</f>
        <v/>
      </c>
      <c r="R78" s="106">
        <f>IF(ET78="","",IF(ISNUMBER('Dvd Calendar'!$T$740)=FALSE,"",IF((('Dvd Calendar'!$T$742=TYPE1)*(TYPE1&lt;&gt;"")+('Dvd Calendar'!$T$742=TYPE2)*(TYPE2&lt;&gt;"")+('Dvd Calendar'!$T$742=TYPE3)*(TYPE3&lt;&gt;"")+('Dvd Calendar'!$T$742=TYPE4)*(TYPE4&lt;&gt;"")+('Dvd Calendar'!$T$742=SPECIAL_LBL)*(INC_SPECIALS="Y"))=0,"",'Dvd Calendar'!$T$740)))</f>
        <v/>
      </c>
      <c r="S78" s="106">
        <f>IF(EU78="","",IF(ISNUMBER('Dvd Calendar'!$U$740)=FALSE,"",IF((('Dvd Calendar'!$U$742=TYPE1)*(TYPE1&lt;&gt;"")+('Dvd Calendar'!$U$742=TYPE2)*(TYPE2&lt;&gt;"")+('Dvd Calendar'!$U$742=TYPE3)*(TYPE3&lt;&gt;"")+('Dvd Calendar'!$U$742=TYPE4)*(TYPE4&lt;&gt;"")+('Dvd Calendar'!$U$742=SPECIAL_LBL)*(INC_SPECIALS="Y"))=0,"",'Dvd Calendar'!$U$740)))</f>
        <v/>
      </c>
      <c r="T78" s="106">
        <f>IF(EV78="","",IF(ISNUMBER('Dvd Calendar'!$V$740)=FALSE,"",IF((('Dvd Calendar'!$V$742=TYPE1)*(TYPE1&lt;&gt;"")+('Dvd Calendar'!$V$742=TYPE2)*(TYPE2&lt;&gt;"")+('Dvd Calendar'!$V$742=TYPE3)*(TYPE3&lt;&gt;"")+('Dvd Calendar'!$V$742=TYPE4)*(TYPE4&lt;&gt;"")+('Dvd Calendar'!$V$742=SPECIAL_LBL)*(INC_SPECIALS="Y"))=0,"",'Dvd Calendar'!$V$740)))</f>
        <v/>
      </c>
      <c r="U78" s="106">
        <f>IF(EW78="","",IF(ISNUMBER('Dvd Calendar'!$W$740)=FALSE,"",IF((('Dvd Calendar'!$W$742=TYPE1)*(TYPE1&lt;&gt;"")+('Dvd Calendar'!$W$742=TYPE2)*(TYPE2&lt;&gt;"")+('Dvd Calendar'!$W$742=TYPE3)*(TYPE3&lt;&gt;"")+('Dvd Calendar'!$W$742=TYPE4)*(TYPE4&lt;&gt;"")+('Dvd Calendar'!$W$742=SPECIAL_LBL)*(INC_SPECIALS="Y"))=0,"",'Dvd Calendar'!$W$740)))</f>
        <v/>
      </c>
      <c r="V78" s="106">
        <f>IF(EX78="","",IF(ISNUMBER('Dvd Calendar'!$X$740)=FALSE,"",IF((('Dvd Calendar'!$X$742=TYPE1)*(TYPE1&lt;&gt;"")+('Dvd Calendar'!$X$742=TYPE2)*(TYPE2&lt;&gt;"")+('Dvd Calendar'!$X$742=TYPE3)*(TYPE3&lt;&gt;"")+('Dvd Calendar'!$X$742=TYPE4)*(TYPE4&lt;&gt;"")+('Dvd Calendar'!$X$742=SPECIAL_LBL)*(INC_SPECIALS="Y"))=0,"",'Dvd Calendar'!$X$740)))</f>
        <v/>
      </c>
      <c r="W78" s="106">
        <f>IF(EY78="","",IF(ISNUMBER('Dvd Calendar'!$Y$740)=FALSE,"",IF((('Dvd Calendar'!$Y$742=TYPE1)*(TYPE1&lt;&gt;"")+('Dvd Calendar'!$Y$742=TYPE2)*(TYPE2&lt;&gt;"")+('Dvd Calendar'!$Y$742=TYPE3)*(TYPE3&lt;&gt;"")+('Dvd Calendar'!$Y$742=TYPE4)*(TYPE4&lt;&gt;"")+('Dvd Calendar'!$Y$742=SPECIAL_LBL)*(INC_SPECIALS="Y"))=0,"",'Dvd Calendar'!$Y$740)))</f>
        <v/>
      </c>
      <c r="X78" s="106">
        <f>IF(EZ78="","",IF(ISNUMBER('Dvd Calendar'!$Z$740)=FALSE,"",IF((('Dvd Calendar'!$Z$742=TYPE1)*(TYPE1&lt;&gt;"")+('Dvd Calendar'!$Z$742=TYPE2)*(TYPE2&lt;&gt;"")+('Dvd Calendar'!$Z$742=TYPE3)*(TYPE3&lt;&gt;"")+('Dvd Calendar'!$Z$742=TYPE4)*(TYPE4&lt;&gt;"")+('Dvd Calendar'!$Z$742=SPECIAL_LBL)*(INC_SPECIALS="Y"))=0,"",'Dvd Calendar'!$Z$740)))</f>
        <v/>
      </c>
      <c r="Y78" s="106">
        <f>IF(FA78="","",IF(ISNUMBER('Dvd Calendar'!$AA$740)=FALSE,"",IF((('Dvd Calendar'!$AA$742=TYPE1)*(TYPE1&lt;&gt;"")+('Dvd Calendar'!$AA$742=TYPE2)*(TYPE2&lt;&gt;"")+('Dvd Calendar'!$AA$742=TYPE3)*(TYPE3&lt;&gt;"")+('Dvd Calendar'!$AA$742=TYPE4)*(TYPE4&lt;&gt;"")+('Dvd Calendar'!$AA$742=SPECIAL_LBL)*(INC_SPECIALS="Y"))=0,"",'Dvd Calendar'!$AA$740)))</f>
        <v/>
      </c>
      <c r="Z78" s="106">
        <f>IF(FB78="","",IF(ISNUMBER('Dvd Calendar'!$AB$740)=FALSE,"",IF((('Dvd Calendar'!$AB$742=TYPE1)*(TYPE1&lt;&gt;"")+('Dvd Calendar'!$AB$742=TYPE2)*(TYPE2&lt;&gt;"")+('Dvd Calendar'!$AB$742=TYPE3)*(TYPE3&lt;&gt;"")+('Dvd Calendar'!$AB$742=TYPE4)*(TYPE4&lt;&gt;"")+('Dvd Calendar'!$AB$742=SPECIAL_LBL)*(INC_SPECIALS="Y"))=0,"",'Dvd Calendar'!$AB$740)))</f>
        <v/>
      </c>
      <c r="AA78" s="106">
        <f>IF(FC78="","",IF(ISNUMBER('Dvd Calendar'!$AC$740)=FALSE,"",IF((('Dvd Calendar'!$AC$742=TYPE1)*(TYPE1&lt;&gt;"")+('Dvd Calendar'!$AC$742=TYPE2)*(TYPE2&lt;&gt;"")+('Dvd Calendar'!$AC$742=TYPE3)*(TYPE3&lt;&gt;"")+('Dvd Calendar'!$AC$742=TYPE4)*(TYPE4&lt;&gt;"")+('Dvd Calendar'!$AC$742=SPECIAL_LBL)*(INC_SPECIALS="Y"))=0,"",'Dvd Calendar'!$AC$740)))</f>
        <v/>
      </c>
      <c r="AB78" s="106">
        <f>IF(FD78="","",IF(ISNUMBER('Dvd Calendar'!$AD$740)=FALSE,"",IF((('Dvd Calendar'!$AD$742=TYPE1)*(TYPE1&lt;&gt;"")+('Dvd Calendar'!$AD$742=TYPE2)*(TYPE2&lt;&gt;"")+('Dvd Calendar'!$AD$742=TYPE3)*(TYPE3&lt;&gt;"")+('Dvd Calendar'!$AD$742=TYPE4)*(TYPE4&lt;&gt;"")+('Dvd Calendar'!$AD$742=SPECIAL_LBL)*(INC_SPECIALS="Y"))=0,"",'Dvd Calendar'!$AD$740)))</f>
        <v/>
      </c>
      <c r="AC78" s="106">
        <f>IF(FE78="","",IF(ISNUMBER('Dvd Calendar'!$AE$740)=FALSE,"",IF((('Dvd Calendar'!$AE$742=TYPE1)*(TYPE1&lt;&gt;"")+('Dvd Calendar'!$AE$742=TYPE2)*(TYPE2&lt;&gt;"")+('Dvd Calendar'!$AE$742=TYPE3)*(TYPE3&lt;&gt;"")+('Dvd Calendar'!$AE$742=TYPE4)*(TYPE4&lt;&gt;"")+('Dvd Calendar'!$AE$742=SPECIAL_LBL)*(INC_SPECIALS="Y"))=0,"",'Dvd Calendar'!$AE$740)))</f>
        <v/>
      </c>
      <c r="AD78" s="106">
        <f>IF(FF78="","",IF(ISNUMBER('Dvd Calendar'!$AF$740)=FALSE,"",IF((('Dvd Calendar'!$AF$742=TYPE1)*(TYPE1&lt;&gt;"")+('Dvd Calendar'!$AF$742=TYPE2)*(TYPE2&lt;&gt;"")+('Dvd Calendar'!$AF$742=TYPE3)*(TYPE3&lt;&gt;"")+('Dvd Calendar'!$AF$742=TYPE4)*(TYPE4&lt;&gt;"")+('Dvd Calendar'!$AF$742=SPECIAL_LBL)*(INC_SPECIALS="Y"))=0,"",'Dvd Calendar'!$AF$740)))</f>
        <v/>
      </c>
      <c r="AE78" s="106">
        <f>IF(FG78="","",IF(ISNUMBER('Dvd Calendar'!$AG$740)=FALSE,"",IF((('Dvd Calendar'!$AG$742=TYPE1)*(TYPE1&lt;&gt;"")+('Dvd Calendar'!$AG$742=TYPE2)*(TYPE2&lt;&gt;"")+('Dvd Calendar'!$AG$742=TYPE3)*(TYPE3&lt;&gt;"")+('Dvd Calendar'!$AG$742=TYPE4)*(TYPE4&lt;&gt;"")+('Dvd Calendar'!$AG$742=SPECIAL_LBL)*(INC_SPECIALS="Y"))=0,"",'Dvd Calendar'!$AG$740)))</f>
        <v/>
      </c>
      <c r="AF78" s="106">
        <f>IF(FH78="","",IF(ISNUMBER('Dvd Calendar'!$AH$740)=FALSE,"",IF((('Dvd Calendar'!$AH$742=TYPE1)*(TYPE1&lt;&gt;"")+('Dvd Calendar'!$AH$742=TYPE2)*(TYPE2&lt;&gt;"")+('Dvd Calendar'!$AH$742=TYPE3)*(TYPE3&lt;&gt;"")+('Dvd Calendar'!$AH$742=TYPE4)*(TYPE4&lt;&gt;"")+('Dvd Calendar'!$AH$742=SPECIAL_LBL)*(INC_SPECIALS="Y"))=0,"",'Dvd Calendar'!$AH$740)))</f>
        <v/>
      </c>
      <c r="AG78" s="106">
        <f>IF(FI78="","",IF(ISNUMBER('Dvd Calendar'!$AI$740)=FALSE,"",IF((('Dvd Calendar'!$AI$742=TYPE1)*(TYPE1&lt;&gt;"")+('Dvd Calendar'!$AI$742=TYPE2)*(TYPE2&lt;&gt;"")+('Dvd Calendar'!$AI$742=TYPE3)*(TYPE3&lt;&gt;"")+('Dvd Calendar'!$AI$742=TYPE4)*(TYPE4&lt;&gt;"")+('Dvd Calendar'!$AI$742=SPECIAL_LBL)*(INC_SPECIALS="Y"))=0,"",'Dvd Calendar'!$AI$740)))</f>
        <v/>
      </c>
      <c r="AH78" s="106">
        <f>IF(FJ78="","",IF(ISNUMBER('Dvd Calendar'!$AJ$740)=FALSE,"",IF((('Dvd Calendar'!$AJ$742=TYPE1)*(TYPE1&lt;&gt;"")+('Dvd Calendar'!$AJ$742=TYPE2)*(TYPE2&lt;&gt;"")+('Dvd Calendar'!$AJ$742=TYPE3)*(TYPE3&lt;&gt;"")+('Dvd Calendar'!$AJ$742=TYPE4)*(TYPE4&lt;&gt;"")+('Dvd Calendar'!$AJ$742=SPECIAL_LBL)*(INC_SPECIALS="Y"))=0,"",'Dvd Calendar'!$AJ$740)))</f>
        <v/>
      </c>
      <c r="AI78" s="106">
        <f>IF(FK78="","",IF(ISNUMBER('Dvd Calendar'!$AK$740)=FALSE,"",IF((('Dvd Calendar'!$AK$742=TYPE1)*(TYPE1&lt;&gt;"")+('Dvd Calendar'!$AK$742=TYPE2)*(TYPE2&lt;&gt;"")+('Dvd Calendar'!$AK$742=TYPE3)*(TYPE3&lt;&gt;"")+('Dvd Calendar'!$AK$742=TYPE4)*(TYPE4&lt;&gt;"")+('Dvd Calendar'!$AK$742=SPECIAL_LBL)*(INC_SPECIALS="Y"))=0,"",'Dvd Calendar'!$AK$740)))</f>
        <v/>
      </c>
      <c r="AJ78" s="106">
        <f>IF(FL78="","",IF(ISNUMBER('Dvd Calendar'!$AL$740)=FALSE,"",IF((('Dvd Calendar'!$AL$742=TYPE1)*(TYPE1&lt;&gt;"")+('Dvd Calendar'!$AL$742=TYPE2)*(TYPE2&lt;&gt;"")+('Dvd Calendar'!$AL$742=TYPE3)*(TYPE3&lt;&gt;"")+('Dvd Calendar'!$AL$742=TYPE4)*(TYPE4&lt;&gt;"")+('Dvd Calendar'!$AL$742=SPECIAL_LBL)*(INC_SPECIALS="Y"))=0,"",'Dvd Calendar'!$AL$740)))</f>
        <v/>
      </c>
      <c r="AK78" s="106">
        <f>IF(FM78="","",IF(ISNUMBER('Dvd Calendar'!$AM$740)=FALSE,"",IF((('Dvd Calendar'!$AM$742=TYPE1)*(TYPE1&lt;&gt;"")+('Dvd Calendar'!$AM$742=TYPE2)*(TYPE2&lt;&gt;"")+('Dvd Calendar'!$AM$742=TYPE3)*(TYPE3&lt;&gt;"")+('Dvd Calendar'!$AM$742=TYPE4)*(TYPE4&lt;&gt;"")+('Dvd Calendar'!$AM$742=SPECIAL_LBL)*(INC_SPECIALS="Y"))=0,"",'Dvd Calendar'!$AM$740)))</f>
        <v/>
      </c>
      <c r="AL78" s="106">
        <f>IF(FN78="","",IF(ISNUMBER('Dvd Calendar'!$AN$740)=FALSE,"",IF((('Dvd Calendar'!$AN$742=TYPE1)*(TYPE1&lt;&gt;"")+('Dvd Calendar'!$AN$742=TYPE2)*(TYPE2&lt;&gt;"")+('Dvd Calendar'!$AN$742=TYPE3)*(TYPE3&lt;&gt;"")+('Dvd Calendar'!$AN$742=TYPE4)*(TYPE4&lt;&gt;"")+('Dvd Calendar'!$AN$742=SPECIAL_LBL)*(INC_SPECIALS="Y"))=0,"",'Dvd Calendar'!$AN$740)))</f>
        <v/>
      </c>
      <c r="AM78" s="106">
        <f>IF(FO78="","",IF(ISNUMBER('Dvd Calendar'!$AO$740)=FALSE,"",IF((('Dvd Calendar'!$AO$742=TYPE1)*(TYPE1&lt;&gt;"")+('Dvd Calendar'!$AO$742=TYPE2)*(TYPE2&lt;&gt;"")+('Dvd Calendar'!$AO$742=TYPE3)*(TYPE3&lt;&gt;"")+('Dvd Calendar'!$AO$742=TYPE4)*(TYPE4&lt;&gt;"")+('Dvd Calendar'!$AO$742=SPECIAL_LBL)*(INC_SPECIALS="Y"))=0,"",'Dvd Calendar'!$AO$740)))</f>
        <v/>
      </c>
      <c r="AN78" s="106">
        <f>IF(FP78="","",IF(ISNUMBER('Dvd Calendar'!$AP$740)=FALSE,"",IF((('Dvd Calendar'!$AP$742=TYPE1)*(TYPE1&lt;&gt;"")+('Dvd Calendar'!$AP$742=TYPE2)*(TYPE2&lt;&gt;"")+('Dvd Calendar'!$AP$742=TYPE3)*(TYPE3&lt;&gt;"")+('Dvd Calendar'!$AP$742=TYPE4)*(TYPE4&lt;&gt;"")+('Dvd Calendar'!$AP$742=SPECIAL_LBL)*(INC_SPECIALS="Y"))=0,"",'Dvd Calendar'!$AP$740)))</f>
        <v/>
      </c>
      <c r="AO78" s="106">
        <f>IF(FQ78="","",IF(ISNUMBER('Dvd Calendar'!$AQ$740)=FALSE,"",IF((('Dvd Calendar'!$AQ$742=TYPE1)*(TYPE1&lt;&gt;"")+('Dvd Calendar'!$AQ$742=TYPE2)*(TYPE2&lt;&gt;"")+('Dvd Calendar'!$AQ$742=TYPE3)*(TYPE3&lt;&gt;"")+('Dvd Calendar'!$AQ$742=TYPE4)*(TYPE4&lt;&gt;"")+('Dvd Calendar'!$AQ$742=SPECIAL_LBL)*(INC_SPECIALS="Y"))=0,"",'Dvd Calendar'!$AQ$740)))</f>
        <v/>
      </c>
      <c r="AP78" s="106">
        <f>IF(FR78="","",IF(ISNUMBER('Dvd Calendar'!$AR$740)=FALSE,"",IF((('Dvd Calendar'!$AR$742=TYPE1)*(TYPE1&lt;&gt;"")+('Dvd Calendar'!$AR$742=TYPE2)*(TYPE2&lt;&gt;"")+('Dvd Calendar'!$AR$742=TYPE3)*(TYPE3&lt;&gt;"")+('Dvd Calendar'!$AR$742=TYPE4)*(TYPE4&lt;&gt;"")+('Dvd Calendar'!$AR$742=SPECIAL_LBL)*(INC_SPECIALS="Y"))=0,"",'Dvd Calendar'!$AR$740)))</f>
        <v/>
      </c>
      <c r="AQ78" s="106">
        <f>IF(FS78="","",IF(ISNUMBER('Dvd Calendar'!$E$745)=FALSE,"",'Dvd Calendar'!$E$745))</f>
        <v/>
      </c>
      <c r="AR78" s="106">
        <f>IF(FT78="","",IF(ISNUMBER('Dvd Calendar'!$F$745)=FALSE,"",'Dvd Calendar'!$F$745))</f>
        <v/>
      </c>
      <c r="AS78" s="106">
        <f>IF(FU78="","",IF(ISNUMBER('Dvd Calendar'!$G$745)=FALSE,"",'Dvd Calendar'!$G$745))</f>
        <v/>
      </c>
      <c r="AT78" s="106">
        <f>IF(FV78="","",IF(ISNUMBER('Dvd Calendar'!$H$745)=FALSE,"",'Dvd Calendar'!$H$745))</f>
        <v/>
      </c>
      <c r="AU78" s="106">
        <f>IF(FW78="","",IF(ISNUMBER('Dvd Calendar'!$I$745)=FALSE,"",'Dvd Calendar'!$I$745))</f>
        <v/>
      </c>
      <c r="AV78" s="106">
        <f>IF(FX78="","",IF(ISNUMBER('Dvd Calendar'!$J$745)=FALSE,"",'Dvd Calendar'!$J$745))</f>
        <v/>
      </c>
      <c r="AW78" s="106">
        <f>IF(FY78="","",IF(ISNUMBER('Dvd Calendar'!$K$745)=FALSE,"",'Dvd Calendar'!$K$745))</f>
        <v/>
      </c>
      <c r="AX78" s="106">
        <f>IF(FZ78="","",IF(ISNUMBER('Dvd Calendar'!$L$745)=FALSE,"",'Dvd Calendar'!$L$745))</f>
        <v/>
      </c>
      <c r="AY78" s="106">
        <f>IF(GA78="","",IF(ISNUMBER('Dvd Calendar'!$M$745)=FALSE,"",'Dvd Calendar'!$M$745))</f>
        <v/>
      </c>
      <c r="AZ78" s="106">
        <f>IF(GB78="","",IF(ISNUMBER('Dvd Calendar'!$N$745)=FALSE,"",'Dvd Calendar'!$N$745))</f>
        <v/>
      </c>
      <c r="BA78" s="106">
        <f>IF(GC78="","",IF(ISNUMBER('Dvd Calendar'!$O$745)=FALSE,"",'Dvd Calendar'!$O$745))</f>
        <v/>
      </c>
      <c r="BB78" s="106">
        <f>IF(GD78="","",IF(ISNUMBER('Dvd Calendar'!$P$745)=FALSE,"",'Dvd Calendar'!$P$745))</f>
        <v/>
      </c>
      <c r="BC78" s="106">
        <f>IF(GE78="","",IF(ISNUMBER('Dvd Calendar'!$Q$745)=FALSE,"",'Dvd Calendar'!$Q$745))</f>
        <v/>
      </c>
      <c r="BD78" s="106">
        <f>IF(GF78="","",IF(ISNUMBER('Dvd Calendar'!$R$745)=FALSE,"",'Dvd Calendar'!$R$745))</f>
        <v/>
      </c>
      <c r="BE78" s="106">
        <f>IF(GG78="","",IF(ISNUMBER('Dvd Calendar'!$S$745)=FALSE,"",'Dvd Calendar'!$S$745))</f>
        <v/>
      </c>
      <c r="BF78" s="106">
        <f>IF(GH78="","",IF(ISNUMBER('Dvd Calendar'!$T$745)=FALSE,"",'Dvd Calendar'!$T$745))</f>
        <v/>
      </c>
      <c r="BG78" s="106">
        <f>IF(GI78="","",IF(ISNUMBER('Dvd Calendar'!$U$745)=FALSE,"",'Dvd Calendar'!$U$745))</f>
        <v/>
      </c>
      <c r="BH78" s="106">
        <f>IF(GJ78="","",IF(ISNUMBER('Dvd Calendar'!$V$745)=FALSE,"",'Dvd Calendar'!$V$745))</f>
        <v/>
      </c>
      <c r="BI78" s="106">
        <f>IF(GK78="","",IF(ISNUMBER('Dvd Calendar'!$W$745)=FALSE,"",'Dvd Calendar'!$W$745))</f>
        <v/>
      </c>
      <c r="BJ78" s="106">
        <f>IF(GL78="","",IF(ISNUMBER('Dvd Calendar'!$X$745)=FALSE,"",'Dvd Calendar'!$X$745))</f>
        <v/>
      </c>
      <c r="BK78" s="106">
        <f>IF(GM78="","",IF(ISNUMBER('Dvd Calendar'!$Y$745)=FALSE,"",'Dvd Calendar'!$Y$745))</f>
        <v/>
      </c>
      <c r="BL78" s="106">
        <f>IF(GN78="","",IF(ISNUMBER('Dvd Calendar'!$Z$745)=FALSE,"",'Dvd Calendar'!$Z$745))</f>
        <v/>
      </c>
      <c r="BM78" s="106">
        <f>IF(GO78="","",IF(ISNUMBER('Dvd Calendar'!$AA$745)=FALSE,"",'Dvd Calendar'!$AA$745))</f>
        <v/>
      </c>
      <c r="BN78" s="106">
        <f>IF(GP78="","",IF(ISNUMBER('Dvd Calendar'!$AB$745)=FALSE,"",'Dvd Calendar'!$AB$745))</f>
        <v/>
      </c>
      <c r="BO78" s="106">
        <f>IF(GQ78="","",IF(ISNUMBER('Dvd Calendar'!$AC$745)=FALSE,"",'Dvd Calendar'!$AC$745))</f>
        <v/>
      </c>
      <c r="BQ78" s="106">
        <f>IF(C78="","",IFERROR(C78*HSI!$B$73*HSI!$G$73/HSI!$B$3,""))</f>
        <v/>
      </c>
      <c r="BR78" s="106">
        <f>IF(D78="","",IFERROR(D78*HSI!$B$73*HSI!$G$73/HSI!$B$3,""))</f>
        <v/>
      </c>
      <c r="BS78" s="106">
        <f>IF(E78="","",IFERROR(E78*HSI!$B$73*HSI!$G$73/HSI!$B$3,""))</f>
        <v/>
      </c>
      <c r="BT78" s="106">
        <f>IF(F78="","",IFERROR(F78*HSI!$B$73*HSI!$G$73/HSI!$B$3,""))</f>
        <v/>
      </c>
      <c r="BU78" s="106">
        <f>IF(G78="","",IFERROR(G78*HSI!$B$73*HSI!$G$73/HSI!$B$3,""))</f>
        <v/>
      </c>
      <c r="BV78" s="106">
        <f>IF(H78="","",IFERROR(H78*HSI!$B$73*HSI!$G$73/HSI!$B$3,""))</f>
        <v/>
      </c>
      <c r="BW78" s="106">
        <f>IF(I78="","",IFERROR(I78*HSI!$B$73*HSI!$G$73/HSI!$B$3,""))</f>
        <v/>
      </c>
      <c r="BX78" s="106">
        <f>IF(J78="","",IFERROR(J78*HSI!$B$73*HSI!$G$73/HSI!$B$3,""))</f>
        <v/>
      </c>
      <c r="BY78" s="106">
        <f>IF(K78="","",IFERROR(K78*HSI!$B$73*HSI!$G$73/HSI!$B$3,""))</f>
        <v/>
      </c>
      <c r="BZ78" s="106">
        <f>IF(L78="","",IFERROR(L78*HSI!$B$73*HSI!$G$73/HSI!$B$3,""))</f>
        <v/>
      </c>
      <c r="CA78" s="106">
        <f>IF(M78="","",IFERROR(M78*HSI!$B$73*HSI!$G$73/HSI!$B$3,""))</f>
        <v/>
      </c>
      <c r="CB78" s="106">
        <f>IF(N78="","",IFERROR(N78*HSI!$B$73*HSI!$G$73/HSI!$B$3,""))</f>
        <v/>
      </c>
      <c r="CC78" s="106">
        <f>IF(O78="","",IFERROR(O78*HSI!$B$73*HSI!$G$73/HSI!$B$3,""))</f>
        <v/>
      </c>
      <c r="CD78" s="106">
        <f>IF(P78="","",IFERROR(P78*HSI!$B$73*HSI!$G$73/HSI!$B$3,""))</f>
        <v/>
      </c>
      <c r="CE78" s="106">
        <f>IF(Q78="","",IFERROR(Q78*HSI!$B$73*HSI!$G$73/HSI!$B$3,""))</f>
        <v/>
      </c>
      <c r="CF78" s="106">
        <f>IF(R78="","",IFERROR(R78*HSI!$B$73*HSI!$G$73/HSI!$B$3,""))</f>
        <v/>
      </c>
      <c r="CG78" s="106">
        <f>IF(S78="","",IFERROR(S78*HSI!$B$73*HSI!$G$73/HSI!$B$3,""))</f>
        <v/>
      </c>
      <c r="CH78" s="106">
        <f>IF(T78="","",IFERROR(T78*HSI!$B$73*HSI!$G$73/HSI!$B$3,""))</f>
        <v/>
      </c>
      <c r="CI78" s="106">
        <f>IF(U78="","",IFERROR(U78*HSI!$B$73*HSI!$G$73/HSI!$B$3,""))</f>
        <v/>
      </c>
      <c r="CJ78" s="106">
        <f>IF(V78="","",IFERROR(V78*HSI!$B$73*HSI!$G$73/HSI!$B$3,""))</f>
        <v/>
      </c>
      <c r="CK78" s="106">
        <f>IF(W78="","",IFERROR(W78*HSI!$B$73*HSI!$G$73/HSI!$B$3,""))</f>
        <v/>
      </c>
      <c r="CL78" s="106">
        <f>IF(X78="","",IFERROR(X78*HSI!$B$73*HSI!$G$73/HSI!$B$3,""))</f>
        <v/>
      </c>
      <c r="CM78" s="106">
        <f>IF(Y78="","",IFERROR(Y78*HSI!$B$73*HSI!$G$73/HSI!$B$3,""))</f>
        <v/>
      </c>
      <c r="CN78" s="106">
        <f>IF(Z78="","",IFERROR(Z78*HSI!$B$73*HSI!$G$73/HSI!$B$3,""))</f>
        <v/>
      </c>
      <c r="CO78" s="106">
        <f>IF(AA78="","",IFERROR(AA78*HSI!$B$73*HSI!$G$73/HSI!$B$3,""))</f>
        <v/>
      </c>
      <c r="CP78" s="106">
        <f>IF(AB78="","",IFERROR(AB78*HSI!$B$73*HSI!$G$73/HSI!$B$3,""))</f>
        <v/>
      </c>
      <c r="CQ78" s="106">
        <f>IF(AC78="","",IFERROR(AC78*HSI!$B$73*HSI!$G$73/HSI!$B$3,""))</f>
        <v/>
      </c>
      <c r="CR78" s="106">
        <f>IF(AD78="","",IFERROR(AD78*HSI!$B$73*HSI!$G$73/HSI!$B$3,""))</f>
        <v/>
      </c>
      <c r="CS78" s="106">
        <f>IF(AE78="","",IFERROR(AE78*HSI!$B$73*HSI!$G$73/HSI!$B$3,""))</f>
        <v/>
      </c>
      <c r="CT78" s="106">
        <f>IF(AF78="","",IFERROR(AF78*HSI!$B$73*HSI!$G$73/HSI!$B$3,""))</f>
        <v/>
      </c>
      <c r="CU78" s="106">
        <f>IF(AG78="","",IFERROR(AG78*HSI!$B$73*HSI!$G$73/HSI!$B$3,""))</f>
        <v/>
      </c>
      <c r="CV78" s="106">
        <f>IF(AH78="","",IFERROR(AH78*HSI!$B$73*HSI!$G$73/HSI!$B$3,""))</f>
        <v/>
      </c>
      <c r="CW78" s="106">
        <f>IF(AI78="","",IFERROR(AI78*HSI!$B$73*HSI!$G$73/HSI!$B$3,""))</f>
        <v/>
      </c>
      <c r="CX78" s="106">
        <f>IF(AJ78="","",IFERROR(AJ78*HSI!$B$73*HSI!$G$73/HSI!$B$3,""))</f>
        <v/>
      </c>
      <c r="CY78" s="106">
        <f>IF(AK78="","",IFERROR(AK78*HSI!$B$73*HSI!$G$73/HSI!$B$3,""))</f>
        <v/>
      </c>
      <c r="CZ78" s="106">
        <f>IF(AL78="","",IFERROR(AL78*HSI!$B$73*HSI!$G$73/HSI!$B$3,""))</f>
        <v/>
      </c>
      <c r="DA78" s="106">
        <f>IF(AM78="","",IFERROR(AM78*HSI!$B$73*HSI!$G$73/HSI!$B$3,""))</f>
        <v/>
      </c>
      <c r="DB78" s="106">
        <f>IF(AN78="","",IFERROR(AN78*HSI!$B$73*HSI!$G$73/HSI!$B$3,""))</f>
        <v/>
      </c>
      <c r="DC78" s="106">
        <f>IF(AO78="","",IFERROR(AO78*HSI!$B$73*HSI!$G$73/HSI!$B$3,""))</f>
        <v/>
      </c>
      <c r="DD78" s="106">
        <f>IF(AP78="","",IFERROR(AP78*HSI!$B$73*HSI!$G$73/HSI!$B$3,""))</f>
        <v/>
      </c>
      <c r="DE78" s="106">
        <f>IF(AQ78="","",IFERROR(AQ78*HSI!$B$73*HSI!$G$73/HSI!$B$3,""))</f>
        <v/>
      </c>
      <c r="DF78" s="106">
        <f>IF(AR78="","",IFERROR(AR78*HSI!$B$73*HSI!$G$73/HSI!$B$3,""))</f>
        <v/>
      </c>
      <c r="DG78" s="106">
        <f>IF(AS78="","",IFERROR(AS78*HSI!$B$73*HSI!$G$73/HSI!$B$3,""))</f>
        <v/>
      </c>
      <c r="DH78" s="106">
        <f>IF(AT78="","",IFERROR(AT78*HSI!$B$73*HSI!$G$73/HSI!$B$3,""))</f>
        <v/>
      </c>
      <c r="DI78" s="106">
        <f>IF(AU78="","",IFERROR(AU78*HSI!$B$73*HSI!$G$73/HSI!$B$3,""))</f>
        <v/>
      </c>
      <c r="DJ78" s="106">
        <f>IF(AV78="","",IFERROR(AV78*HSI!$B$73*HSI!$G$73/HSI!$B$3,""))</f>
        <v/>
      </c>
      <c r="DK78" s="106">
        <f>IF(AW78="","",IFERROR(AW78*HSI!$B$73*HSI!$G$73/HSI!$B$3,""))</f>
        <v/>
      </c>
      <c r="DL78" s="106">
        <f>IF(AX78="","",IFERROR(AX78*HSI!$B$73*HSI!$G$73/HSI!$B$3,""))</f>
        <v/>
      </c>
      <c r="DM78" s="106">
        <f>IF(AY78="","",IFERROR(AY78*HSI!$B$73*HSI!$G$73/HSI!$B$3,""))</f>
        <v/>
      </c>
      <c r="DN78" s="106">
        <f>IF(AZ78="","",IFERROR(AZ78*HSI!$B$73*HSI!$G$73/HSI!$B$3,""))</f>
        <v/>
      </c>
      <c r="DO78" s="106">
        <f>IF(BA78="","",IFERROR(BA78*HSI!$B$73*HSI!$G$73/HSI!$B$3,""))</f>
        <v/>
      </c>
      <c r="DP78" s="106">
        <f>IF(BB78="","",IFERROR(BB78*HSI!$B$73*HSI!$G$73/HSI!$B$3,""))</f>
        <v/>
      </c>
      <c r="DQ78" s="106">
        <f>IF(BC78="","",IFERROR(BC78*HSI!$B$73*HSI!$G$73/HSI!$B$3,""))</f>
        <v/>
      </c>
      <c r="DR78" s="106">
        <f>IF(BD78="","",IFERROR(BD78*HSI!$B$73*HSI!$G$73/HSI!$B$3,""))</f>
        <v/>
      </c>
      <c r="DS78" s="106">
        <f>IF(BE78="","",IFERROR(BE78*HSI!$B$73*HSI!$G$73/HSI!$B$3,""))</f>
        <v/>
      </c>
      <c r="DT78" s="106">
        <f>IF(BF78="","",IFERROR(BF78*HSI!$B$73*HSI!$G$73/HSI!$B$3,""))</f>
        <v/>
      </c>
      <c r="DU78" s="106">
        <f>IF(BG78="","",IFERROR(BG78*HSI!$B$73*HSI!$G$73/HSI!$B$3,""))</f>
        <v/>
      </c>
      <c r="DV78" s="106">
        <f>IF(BH78="","",IFERROR(BH78*HSI!$B$73*HSI!$G$73/HSI!$B$3,""))</f>
        <v/>
      </c>
      <c r="DW78" s="106">
        <f>IF(BI78="","",IFERROR(BI78*HSI!$B$73*HSI!$G$73/HSI!$B$3,""))</f>
        <v/>
      </c>
      <c r="DX78" s="106">
        <f>IF(BJ78="","",IFERROR(BJ78*HSI!$B$73*HSI!$G$73/HSI!$B$3,""))</f>
        <v/>
      </c>
      <c r="DY78" s="106">
        <f>IF(BK78="","",IFERROR(BK78*HSI!$B$73*HSI!$G$73/HSI!$B$3,""))</f>
        <v/>
      </c>
      <c r="DZ78" s="106">
        <f>IF(BL78="","",IFERROR(BL78*HSI!$B$73*HSI!$G$73/HSI!$B$3,""))</f>
        <v/>
      </c>
      <c r="EA78" s="106">
        <f>IF(BM78="","",IFERROR(BM78*HSI!$B$73*HSI!$G$73/HSI!$B$3,""))</f>
        <v/>
      </c>
      <c r="EB78" s="106">
        <f>IF(BN78="","",IFERROR(BN78*HSI!$B$73*HSI!$G$73/HSI!$B$3,""))</f>
        <v/>
      </c>
      <c r="EC78" s="106">
        <f>IF(BO78="","",IFERROR(BO78*HSI!$B$73*HSI!$G$73/HSI!$B$3,""))</f>
        <v/>
      </c>
      <c r="EE78" s="35">
        <f>IF(N('Dvd Calendar'!$E$737)=0,"",IF(('Dvd Calendar'!$E$737&gt;=GRID_FROM)*('Dvd Calendar'!$E$737&lt;=GRID_TO)*('Dvd Calendar'!$E$737&lt;=VAL_DATE)=0,"",'Dvd Calendar'!$E$737*1000000000+ISNUMBER('Dvd Calendar'!$E$740)*100000000+('Dvd Calendar'!$E$742=SPECIAL_LBL)*10000000+0*1000000+67*1000+1))</f>
        <v/>
      </c>
      <c r="EF78" s="35">
        <f>IF(N('Dvd Calendar'!$F$737)=0,"",IF(('Dvd Calendar'!$F$737&gt;=GRID_FROM)*('Dvd Calendar'!$F$737&lt;=GRID_TO)*('Dvd Calendar'!$F$737&lt;=VAL_DATE)=0,"",'Dvd Calendar'!$F$737*1000000000+ISNUMBER('Dvd Calendar'!$F$740)*100000000+('Dvd Calendar'!$F$742=SPECIAL_LBL)*10000000+0*1000000+67*1000+2))</f>
        <v/>
      </c>
      <c r="EG78" s="35">
        <f>IF(N('Dvd Calendar'!$G$737)=0,"",IF(('Dvd Calendar'!$G$737&gt;=GRID_FROM)*('Dvd Calendar'!$G$737&lt;=GRID_TO)*('Dvd Calendar'!$G$737&lt;=VAL_DATE)=0,"",'Dvd Calendar'!$G$737*1000000000+ISNUMBER('Dvd Calendar'!$G$740)*100000000+('Dvd Calendar'!$G$742=SPECIAL_LBL)*10000000+0*1000000+67*1000+3))</f>
        <v/>
      </c>
      <c r="EH78" s="35">
        <f>IF(N('Dvd Calendar'!$H$737)=0,"",IF(('Dvd Calendar'!$H$737&gt;=GRID_FROM)*('Dvd Calendar'!$H$737&lt;=GRID_TO)*('Dvd Calendar'!$H$737&lt;=VAL_DATE)=0,"",'Dvd Calendar'!$H$737*1000000000+ISNUMBER('Dvd Calendar'!$H$740)*100000000+('Dvd Calendar'!$H$742=SPECIAL_LBL)*10000000+0*1000000+67*1000+4))</f>
        <v/>
      </c>
      <c r="EI78" s="35">
        <f>IF(N('Dvd Calendar'!$I$737)=0,"",IF(('Dvd Calendar'!$I$737&gt;=GRID_FROM)*('Dvd Calendar'!$I$737&lt;=GRID_TO)*('Dvd Calendar'!$I$737&lt;=VAL_DATE)=0,"",'Dvd Calendar'!$I$737*1000000000+ISNUMBER('Dvd Calendar'!$I$740)*100000000+('Dvd Calendar'!$I$742=SPECIAL_LBL)*10000000+0*1000000+67*1000+5))</f>
        <v/>
      </c>
      <c r="EJ78" s="35">
        <f>IF(N('Dvd Calendar'!$J$737)=0,"",IF(('Dvd Calendar'!$J$737&gt;=GRID_FROM)*('Dvd Calendar'!$J$737&lt;=GRID_TO)*('Dvd Calendar'!$J$737&lt;=VAL_DATE)=0,"",'Dvd Calendar'!$J$737*1000000000+ISNUMBER('Dvd Calendar'!$J$740)*100000000+('Dvd Calendar'!$J$742=SPECIAL_LBL)*10000000+0*1000000+67*1000+6))</f>
        <v/>
      </c>
      <c r="EK78" s="35">
        <f>IF(N('Dvd Calendar'!$K$737)=0,"",IF(('Dvd Calendar'!$K$737&gt;=GRID_FROM)*('Dvd Calendar'!$K$737&lt;=GRID_TO)*('Dvd Calendar'!$K$737&lt;=VAL_DATE)=0,"",'Dvd Calendar'!$K$737*1000000000+ISNUMBER('Dvd Calendar'!$K$740)*100000000+('Dvd Calendar'!$K$742=SPECIAL_LBL)*10000000+0*1000000+67*1000+7))</f>
        <v/>
      </c>
      <c r="EL78" s="35">
        <f>IF(N('Dvd Calendar'!$L$737)=0,"",IF(('Dvd Calendar'!$L$737&gt;=GRID_FROM)*('Dvd Calendar'!$L$737&lt;=GRID_TO)*('Dvd Calendar'!$L$737&lt;=VAL_DATE)=0,"",'Dvd Calendar'!$L$737*1000000000+ISNUMBER('Dvd Calendar'!$L$740)*100000000+('Dvd Calendar'!$L$742=SPECIAL_LBL)*10000000+0*1000000+67*1000+8))</f>
        <v/>
      </c>
      <c r="EM78" s="35">
        <f>IF(N('Dvd Calendar'!$M$737)=0,"",IF(('Dvd Calendar'!$M$737&gt;=GRID_FROM)*('Dvd Calendar'!$M$737&lt;=GRID_TO)*('Dvd Calendar'!$M$737&lt;=VAL_DATE)=0,"",'Dvd Calendar'!$M$737*1000000000+ISNUMBER('Dvd Calendar'!$M$740)*100000000+('Dvd Calendar'!$M$742=SPECIAL_LBL)*10000000+0*1000000+67*1000+9))</f>
        <v/>
      </c>
      <c r="EN78" s="35">
        <f>IF(N('Dvd Calendar'!$N$737)=0,"",IF(('Dvd Calendar'!$N$737&gt;=GRID_FROM)*('Dvd Calendar'!$N$737&lt;=GRID_TO)*('Dvd Calendar'!$N$737&lt;=VAL_DATE)=0,"",'Dvd Calendar'!$N$737*1000000000+ISNUMBER('Dvd Calendar'!$N$740)*100000000+('Dvd Calendar'!$N$742=SPECIAL_LBL)*10000000+0*1000000+67*1000+10))</f>
        <v/>
      </c>
      <c r="EO78" s="35">
        <f>IF(N('Dvd Calendar'!$O$737)=0,"",IF(('Dvd Calendar'!$O$737&gt;=GRID_FROM)*('Dvd Calendar'!$O$737&lt;=GRID_TO)*('Dvd Calendar'!$O$737&lt;=VAL_DATE)=0,"",'Dvd Calendar'!$O$737*1000000000+ISNUMBER('Dvd Calendar'!$O$740)*100000000+('Dvd Calendar'!$O$742=SPECIAL_LBL)*10000000+0*1000000+67*1000+11))</f>
        <v/>
      </c>
      <c r="EP78" s="35">
        <f>IF(N('Dvd Calendar'!$P$737)=0,"",IF(('Dvd Calendar'!$P$737&gt;=GRID_FROM)*('Dvd Calendar'!$P$737&lt;=GRID_TO)*('Dvd Calendar'!$P$737&lt;=VAL_DATE)=0,"",'Dvd Calendar'!$P$737*1000000000+ISNUMBER('Dvd Calendar'!$P$740)*100000000+('Dvd Calendar'!$P$742=SPECIAL_LBL)*10000000+0*1000000+67*1000+12))</f>
        <v/>
      </c>
      <c r="EQ78" s="35">
        <f>IF(N('Dvd Calendar'!$Q$737)=0,"",IF(('Dvd Calendar'!$Q$737&gt;=GRID_FROM)*('Dvd Calendar'!$Q$737&lt;=GRID_TO)*('Dvd Calendar'!$Q$737&lt;=VAL_DATE)=0,"",'Dvd Calendar'!$Q$737*1000000000+ISNUMBER('Dvd Calendar'!$Q$740)*100000000+('Dvd Calendar'!$Q$742=SPECIAL_LBL)*10000000+0*1000000+67*1000+13))</f>
        <v/>
      </c>
      <c r="ER78" s="35">
        <f>IF(N('Dvd Calendar'!$R$737)=0,"",IF(('Dvd Calendar'!$R$737&gt;=GRID_FROM)*('Dvd Calendar'!$R$737&lt;=GRID_TO)*('Dvd Calendar'!$R$737&lt;=VAL_DATE)=0,"",'Dvd Calendar'!$R$737*1000000000+ISNUMBER('Dvd Calendar'!$R$740)*100000000+('Dvd Calendar'!$R$742=SPECIAL_LBL)*10000000+0*1000000+67*1000+14))</f>
        <v/>
      </c>
      <c r="ES78" s="35">
        <f>IF(N('Dvd Calendar'!$S$737)=0,"",IF(('Dvd Calendar'!$S$737&gt;=GRID_FROM)*('Dvd Calendar'!$S$737&lt;=GRID_TO)*('Dvd Calendar'!$S$737&lt;=VAL_DATE)=0,"",'Dvd Calendar'!$S$737*1000000000+ISNUMBER('Dvd Calendar'!$S$740)*100000000+('Dvd Calendar'!$S$742=SPECIAL_LBL)*10000000+0*1000000+67*1000+15))</f>
        <v/>
      </c>
      <c r="ET78" s="35">
        <f>IF(N('Dvd Calendar'!$T$737)=0,"",IF(('Dvd Calendar'!$T$737&gt;=GRID_FROM)*('Dvd Calendar'!$T$737&lt;=GRID_TO)*('Dvd Calendar'!$T$737&lt;=VAL_DATE)=0,"",'Dvd Calendar'!$T$737*1000000000+ISNUMBER('Dvd Calendar'!$T$740)*100000000+('Dvd Calendar'!$T$742=SPECIAL_LBL)*10000000+0*1000000+67*1000+16))</f>
        <v/>
      </c>
      <c r="EU78" s="35">
        <f>IF(N('Dvd Calendar'!$U$737)=0,"",IF(('Dvd Calendar'!$U$737&gt;=GRID_FROM)*('Dvd Calendar'!$U$737&lt;=GRID_TO)*('Dvd Calendar'!$U$737&lt;=VAL_DATE)=0,"",'Dvd Calendar'!$U$737*1000000000+ISNUMBER('Dvd Calendar'!$U$740)*100000000+('Dvd Calendar'!$U$742=SPECIAL_LBL)*10000000+0*1000000+67*1000+17))</f>
        <v/>
      </c>
      <c r="EV78" s="35">
        <f>IF(N('Dvd Calendar'!$V$737)=0,"",IF(('Dvd Calendar'!$V$737&gt;=GRID_FROM)*('Dvd Calendar'!$V$737&lt;=GRID_TO)*('Dvd Calendar'!$V$737&lt;=VAL_DATE)=0,"",'Dvd Calendar'!$V$737*1000000000+ISNUMBER('Dvd Calendar'!$V$740)*100000000+('Dvd Calendar'!$V$742=SPECIAL_LBL)*10000000+0*1000000+67*1000+18))</f>
        <v/>
      </c>
      <c r="EW78" s="35">
        <f>IF(N('Dvd Calendar'!$W$737)=0,"",IF(('Dvd Calendar'!$W$737&gt;=GRID_FROM)*('Dvd Calendar'!$W$737&lt;=GRID_TO)*('Dvd Calendar'!$W$737&lt;=VAL_DATE)=0,"",'Dvd Calendar'!$W$737*1000000000+ISNUMBER('Dvd Calendar'!$W$740)*100000000+('Dvd Calendar'!$W$742=SPECIAL_LBL)*10000000+0*1000000+67*1000+19))</f>
        <v/>
      </c>
      <c r="EX78" s="35">
        <f>IF(N('Dvd Calendar'!$X$737)=0,"",IF(('Dvd Calendar'!$X$737&gt;=GRID_FROM)*('Dvd Calendar'!$X$737&lt;=GRID_TO)*('Dvd Calendar'!$X$737&lt;=VAL_DATE)=0,"",'Dvd Calendar'!$X$737*1000000000+ISNUMBER('Dvd Calendar'!$X$740)*100000000+('Dvd Calendar'!$X$742=SPECIAL_LBL)*10000000+0*1000000+67*1000+20))</f>
        <v/>
      </c>
      <c r="EY78" s="35">
        <f>IF(N('Dvd Calendar'!$Y$737)=0,"",IF(('Dvd Calendar'!$Y$737&gt;=GRID_FROM)*('Dvd Calendar'!$Y$737&lt;=GRID_TO)*('Dvd Calendar'!$Y$737&lt;=VAL_DATE)=0,"",'Dvd Calendar'!$Y$737*1000000000+ISNUMBER('Dvd Calendar'!$Y$740)*100000000+('Dvd Calendar'!$Y$742=SPECIAL_LBL)*10000000+0*1000000+67*1000+21))</f>
        <v/>
      </c>
      <c r="EZ78" s="35">
        <f>IF(N('Dvd Calendar'!$Z$737)=0,"",IF(('Dvd Calendar'!$Z$737&gt;=GRID_FROM)*('Dvd Calendar'!$Z$737&lt;=GRID_TO)*('Dvd Calendar'!$Z$737&lt;=VAL_DATE)=0,"",'Dvd Calendar'!$Z$737*1000000000+ISNUMBER('Dvd Calendar'!$Z$740)*100000000+('Dvd Calendar'!$Z$742=SPECIAL_LBL)*10000000+0*1000000+67*1000+22))</f>
        <v/>
      </c>
      <c r="FA78" s="35">
        <f>IF(N('Dvd Calendar'!$AA$737)=0,"",IF(('Dvd Calendar'!$AA$737&gt;=GRID_FROM)*('Dvd Calendar'!$AA$737&lt;=GRID_TO)*('Dvd Calendar'!$AA$737&lt;=VAL_DATE)=0,"",'Dvd Calendar'!$AA$737*1000000000+ISNUMBER('Dvd Calendar'!$AA$740)*100000000+('Dvd Calendar'!$AA$742=SPECIAL_LBL)*10000000+0*1000000+67*1000+23))</f>
        <v/>
      </c>
      <c r="FB78" s="35">
        <f>IF(N('Dvd Calendar'!$AB$737)=0,"",IF(('Dvd Calendar'!$AB$737&gt;=GRID_FROM)*('Dvd Calendar'!$AB$737&lt;=GRID_TO)*('Dvd Calendar'!$AB$737&lt;=VAL_DATE)=0,"",'Dvd Calendar'!$AB$737*1000000000+ISNUMBER('Dvd Calendar'!$AB$740)*100000000+('Dvd Calendar'!$AB$742=SPECIAL_LBL)*10000000+0*1000000+67*1000+24))</f>
        <v/>
      </c>
      <c r="FC78" s="35">
        <f>IF(N('Dvd Calendar'!$AC$737)=0,"",IF(('Dvd Calendar'!$AC$737&gt;=GRID_FROM)*('Dvd Calendar'!$AC$737&lt;=GRID_TO)*('Dvd Calendar'!$AC$737&lt;=VAL_DATE)=0,"",'Dvd Calendar'!$AC$737*1000000000+ISNUMBER('Dvd Calendar'!$AC$740)*100000000+('Dvd Calendar'!$AC$742=SPECIAL_LBL)*10000000+0*1000000+67*1000+25))</f>
        <v/>
      </c>
      <c r="FD78" s="35">
        <f>IF(N('Dvd Calendar'!$AD$737)=0,"",IF(('Dvd Calendar'!$AD$737&gt;=GRID_FROM)*('Dvd Calendar'!$AD$737&lt;=GRID_TO)*('Dvd Calendar'!$AD$737&lt;=VAL_DATE)=0,"",'Dvd Calendar'!$AD$737*1000000000+ISNUMBER('Dvd Calendar'!$AD$740)*100000000+('Dvd Calendar'!$AD$742=SPECIAL_LBL)*10000000+0*1000000+67*1000+26))</f>
        <v/>
      </c>
      <c r="FE78" s="35">
        <f>IF(N('Dvd Calendar'!$AE$737)=0,"",IF(('Dvd Calendar'!$AE$737&gt;=GRID_FROM)*('Dvd Calendar'!$AE$737&lt;=GRID_TO)*('Dvd Calendar'!$AE$737&lt;=VAL_DATE)=0,"",'Dvd Calendar'!$AE$737*1000000000+ISNUMBER('Dvd Calendar'!$AE$740)*100000000+('Dvd Calendar'!$AE$742=SPECIAL_LBL)*10000000+0*1000000+67*1000+27))</f>
        <v/>
      </c>
      <c r="FF78" s="35">
        <f>IF(N('Dvd Calendar'!$AF$737)=0,"",IF(('Dvd Calendar'!$AF$737&gt;=GRID_FROM)*('Dvd Calendar'!$AF$737&lt;=GRID_TO)*('Dvd Calendar'!$AF$737&lt;=VAL_DATE)=0,"",'Dvd Calendar'!$AF$737*1000000000+ISNUMBER('Dvd Calendar'!$AF$740)*100000000+('Dvd Calendar'!$AF$742=SPECIAL_LBL)*10000000+0*1000000+67*1000+28))</f>
        <v/>
      </c>
      <c r="FG78" s="35">
        <f>IF(N('Dvd Calendar'!$AG$737)=0,"",IF(('Dvd Calendar'!$AG$737&gt;=GRID_FROM)*('Dvd Calendar'!$AG$737&lt;=GRID_TO)*('Dvd Calendar'!$AG$737&lt;=VAL_DATE)=0,"",'Dvd Calendar'!$AG$737*1000000000+ISNUMBER('Dvd Calendar'!$AG$740)*100000000+('Dvd Calendar'!$AG$742=SPECIAL_LBL)*10000000+0*1000000+67*1000+29))</f>
        <v/>
      </c>
      <c r="FH78" s="35">
        <f>IF(N('Dvd Calendar'!$AH$737)=0,"",IF(('Dvd Calendar'!$AH$737&gt;=GRID_FROM)*('Dvd Calendar'!$AH$737&lt;=GRID_TO)*('Dvd Calendar'!$AH$737&lt;=VAL_DATE)=0,"",'Dvd Calendar'!$AH$737*1000000000+ISNUMBER('Dvd Calendar'!$AH$740)*100000000+('Dvd Calendar'!$AH$742=SPECIAL_LBL)*10000000+0*1000000+67*1000+30))</f>
        <v/>
      </c>
      <c r="FI78" s="35">
        <f>IF(N('Dvd Calendar'!$AI$737)=0,"",IF(('Dvd Calendar'!$AI$737&gt;=GRID_FROM)*('Dvd Calendar'!$AI$737&lt;=GRID_TO)*('Dvd Calendar'!$AI$737&lt;=VAL_DATE)=0,"",'Dvd Calendar'!$AI$737*1000000000+ISNUMBER('Dvd Calendar'!$AI$740)*100000000+('Dvd Calendar'!$AI$742=SPECIAL_LBL)*10000000+0*1000000+67*1000+31))</f>
        <v/>
      </c>
      <c r="FJ78" s="35">
        <f>IF(N('Dvd Calendar'!$AJ$737)=0,"",IF(('Dvd Calendar'!$AJ$737&gt;=GRID_FROM)*('Dvd Calendar'!$AJ$737&lt;=GRID_TO)*('Dvd Calendar'!$AJ$737&lt;=VAL_DATE)=0,"",'Dvd Calendar'!$AJ$737*1000000000+ISNUMBER('Dvd Calendar'!$AJ$740)*100000000+('Dvd Calendar'!$AJ$742=SPECIAL_LBL)*10000000+0*1000000+67*1000+32))</f>
        <v/>
      </c>
      <c r="FK78" s="35">
        <f>IF(N('Dvd Calendar'!$AK$737)=0,"",IF(('Dvd Calendar'!$AK$737&gt;=GRID_FROM)*('Dvd Calendar'!$AK$737&lt;=GRID_TO)*('Dvd Calendar'!$AK$737&lt;=VAL_DATE)=0,"",'Dvd Calendar'!$AK$737*1000000000+ISNUMBER('Dvd Calendar'!$AK$740)*100000000+('Dvd Calendar'!$AK$742=SPECIAL_LBL)*10000000+0*1000000+67*1000+33))</f>
        <v/>
      </c>
      <c r="FL78" s="35">
        <f>IF(N('Dvd Calendar'!$AL$737)=0,"",IF(('Dvd Calendar'!$AL$737&gt;=GRID_FROM)*('Dvd Calendar'!$AL$737&lt;=GRID_TO)*('Dvd Calendar'!$AL$737&lt;=VAL_DATE)=0,"",'Dvd Calendar'!$AL$737*1000000000+ISNUMBER('Dvd Calendar'!$AL$740)*100000000+('Dvd Calendar'!$AL$742=SPECIAL_LBL)*10000000+0*1000000+67*1000+34))</f>
        <v/>
      </c>
      <c r="FM78" s="35">
        <f>IF(N('Dvd Calendar'!$AM$737)=0,"",IF(('Dvd Calendar'!$AM$737&gt;=GRID_FROM)*('Dvd Calendar'!$AM$737&lt;=GRID_TO)*('Dvd Calendar'!$AM$737&lt;=VAL_DATE)=0,"",'Dvd Calendar'!$AM$737*1000000000+ISNUMBER('Dvd Calendar'!$AM$740)*100000000+('Dvd Calendar'!$AM$742=SPECIAL_LBL)*10000000+0*1000000+67*1000+35))</f>
        <v/>
      </c>
      <c r="FN78" s="35">
        <f>IF(N('Dvd Calendar'!$AN$737)=0,"",IF(('Dvd Calendar'!$AN$737&gt;=GRID_FROM)*('Dvd Calendar'!$AN$737&lt;=GRID_TO)*('Dvd Calendar'!$AN$737&lt;=VAL_DATE)=0,"",'Dvd Calendar'!$AN$737*1000000000+ISNUMBER('Dvd Calendar'!$AN$740)*100000000+('Dvd Calendar'!$AN$742=SPECIAL_LBL)*10000000+0*1000000+67*1000+36))</f>
        <v/>
      </c>
      <c r="FO78" s="35">
        <f>IF(N('Dvd Calendar'!$AO$737)=0,"",IF(('Dvd Calendar'!$AO$737&gt;=GRID_FROM)*('Dvd Calendar'!$AO$737&lt;=GRID_TO)*('Dvd Calendar'!$AO$737&lt;=VAL_DATE)=0,"",'Dvd Calendar'!$AO$737*1000000000+ISNUMBER('Dvd Calendar'!$AO$740)*100000000+('Dvd Calendar'!$AO$742=SPECIAL_LBL)*10000000+0*1000000+67*1000+37))</f>
        <v/>
      </c>
      <c r="FP78" s="35">
        <f>IF(N('Dvd Calendar'!$AP$737)=0,"",IF(('Dvd Calendar'!$AP$737&gt;=GRID_FROM)*('Dvd Calendar'!$AP$737&lt;=GRID_TO)*('Dvd Calendar'!$AP$737&lt;=VAL_DATE)=0,"",'Dvd Calendar'!$AP$737*1000000000+ISNUMBER('Dvd Calendar'!$AP$740)*100000000+('Dvd Calendar'!$AP$742=SPECIAL_LBL)*10000000+0*1000000+67*1000+38))</f>
        <v/>
      </c>
      <c r="FQ78" s="35">
        <f>IF(N('Dvd Calendar'!$AQ$737)=0,"",IF(('Dvd Calendar'!$AQ$737&gt;=GRID_FROM)*('Dvd Calendar'!$AQ$737&lt;=GRID_TO)*('Dvd Calendar'!$AQ$737&lt;=VAL_DATE)=0,"",'Dvd Calendar'!$AQ$737*1000000000+ISNUMBER('Dvd Calendar'!$AQ$740)*100000000+('Dvd Calendar'!$AQ$742=SPECIAL_LBL)*10000000+0*1000000+67*1000+39))</f>
        <v/>
      </c>
      <c r="FR78" s="35">
        <f>IF(N('Dvd Calendar'!$AR$737)=0,"",IF(('Dvd Calendar'!$AR$737&gt;=GRID_FROM)*('Dvd Calendar'!$AR$737&lt;=GRID_TO)*('Dvd Calendar'!$AR$737&lt;=VAL_DATE)=0,"",'Dvd Calendar'!$AR$737*1000000000+ISNUMBER('Dvd Calendar'!$AR$740)*100000000+('Dvd Calendar'!$AR$742=SPECIAL_LBL)*10000000+0*1000000+67*1000+40))</f>
        <v/>
      </c>
      <c r="FS78" s="35">
        <f>IF(N('Dvd Calendar'!$E$744)=0,"",IF(('Dvd Calendar'!$E$744&gt;=GRID_FROM)*('Dvd Calendar'!$E$744&lt;=GRID_TO)*('Dvd Calendar'!$E$744&gt;VAL_DATE)=0,"",'Dvd Calendar'!$E$744*1000000000+ISNUMBER('Dvd Calendar'!$E$745)*100000000+0*10000000+(N('Dvd Calendar'!$E$743)&gt;0)*(N('Dvd Calendar'!$E$743)&lt;=VAL_SERIAL)*1000000+67*1000+41))</f>
        <v/>
      </c>
      <c r="FT78" s="35">
        <f>IF(N('Dvd Calendar'!$F$744)=0,"",IF(('Dvd Calendar'!$F$744&gt;=GRID_FROM)*('Dvd Calendar'!$F$744&lt;=GRID_TO)*('Dvd Calendar'!$F$744&gt;VAL_DATE)=0,"",'Dvd Calendar'!$F$744*1000000000+ISNUMBER('Dvd Calendar'!$F$745)*100000000+0*10000000+(N('Dvd Calendar'!$F$743)&gt;0)*(N('Dvd Calendar'!$F$743)&lt;=VAL_SERIAL)*1000000+67*1000+42))</f>
        <v/>
      </c>
      <c r="FU78" s="35">
        <f>IF(N('Dvd Calendar'!$G$744)=0,"",IF(('Dvd Calendar'!$G$744&gt;=GRID_FROM)*('Dvd Calendar'!$G$744&lt;=GRID_TO)*('Dvd Calendar'!$G$744&gt;VAL_DATE)=0,"",'Dvd Calendar'!$G$744*1000000000+ISNUMBER('Dvd Calendar'!$G$745)*100000000+0*10000000+(N('Dvd Calendar'!$G$743)&gt;0)*(N('Dvd Calendar'!$G$743)&lt;=VAL_SERIAL)*1000000+67*1000+43))</f>
        <v/>
      </c>
      <c r="FV78" s="35">
        <f>IF(N('Dvd Calendar'!$H$744)=0,"",IF(('Dvd Calendar'!$H$744&gt;=GRID_FROM)*('Dvd Calendar'!$H$744&lt;=GRID_TO)*('Dvd Calendar'!$H$744&gt;VAL_DATE)=0,"",'Dvd Calendar'!$H$744*1000000000+ISNUMBER('Dvd Calendar'!$H$745)*100000000+0*10000000+(N('Dvd Calendar'!$H$743)&gt;0)*(N('Dvd Calendar'!$H$743)&lt;=VAL_SERIAL)*1000000+67*1000+44))</f>
        <v/>
      </c>
      <c r="FW78" s="35">
        <f>IF(N('Dvd Calendar'!$I$744)=0,"",IF(('Dvd Calendar'!$I$744&gt;=GRID_FROM)*('Dvd Calendar'!$I$744&lt;=GRID_TO)*('Dvd Calendar'!$I$744&gt;VAL_DATE)=0,"",'Dvd Calendar'!$I$744*1000000000+ISNUMBER('Dvd Calendar'!$I$745)*100000000+0*10000000+(N('Dvd Calendar'!$I$743)&gt;0)*(N('Dvd Calendar'!$I$743)&lt;=VAL_SERIAL)*1000000+67*1000+45))</f>
        <v/>
      </c>
      <c r="FX78" s="35">
        <f>IF(N('Dvd Calendar'!$J$744)=0,"",IF(('Dvd Calendar'!$J$744&gt;=GRID_FROM)*('Dvd Calendar'!$J$744&lt;=GRID_TO)*('Dvd Calendar'!$J$744&gt;VAL_DATE)=0,"",'Dvd Calendar'!$J$744*1000000000+ISNUMBER('Dvd Calendar'!$J$745)*100000000+0*10000000+(N('Dvd Calendar'!$J$743)&gt;0)*(N('Dvd Calendar'!$J$743)&lt;=VAL_SERIAL)*1000000+67*1000+46))</f>
        <v/>
      </c>
      <c r="FY78" s="35">
        <f>IF(N('Dvd Calendar'!$K$744)=0,"",IF(('Dvd Calendar'!$K$744&gt;=GRID_FROM)*('Dvd Calendar'!$K$744&lt;=GRID_TO)*('Dvd Calendar'!$K$744&gt;VAL_DATE)=0,"",'Dvd Calendar'!$K$744*1000000000+ISNUMBER('Dvd Calendar'!$K$745)*100000000+0*10000000+(N('Dvd Calendar'!$K$743)&gt;0)*(N('Dvd Calendar'!$K$743)&lt;=VAL_SERIAL)*1000000+67*1000+47))</f>
        <v/>
      </c>
      <c r="FZ78" s="35">
        <f>IF(N('Dvd Calendar'!$L$744)=0,"",IF(('Dvd Calendar'!$L$744&gt;=GRID_FROM)*('Dvd Calendar'!$L$744&lt;=GRID_TO)*('Dvd Calendar'!$L$744&gt;VAL_DATE)=0,"",'Dvd Calendar'!$L$744*1000000000+ISNUMBER('Dvd Calendar'!$L$745)*100000000+0*10000000+(N('Dvd Calendar'!$L$743)&gt;0)*(N('Dvd Calendar'!$L$743)&lt;=VAL_SERIAL)*1000000+67*1000+48))</f>
        <v/>
      </c>
      <c r="GA78" s="35">
        <f>IF(N('Dvd Calendar'!$M$744)=0,"",IF(('Dvd Calendar'!$M$744&gt;=GRID_FROM)*('Dvd Calendar'!$M$744&lt;=GRID_TO)*('Dvd Calendar'!$M$744&gt;VAL_DATE)=0,"",'Dvd Calendar'!$M$744*1000000000+ISNUMBER('Dvd Calendar'!$M$745)*100000000+0*10000000+(N('Dvd Calendar'!$M$743)&gt;0)*(N('Dvd Calendar'!$M$743)&lt;=VAL_SERIAL)*1000000+67*1000+49))</f>
        <v/>
      </c>
      <c r="GB78" s="35">
        <f>IF(N('Dvd Calendar'!$N$744)=0,"",IF(('Dvd Calendar'!$N$744&gt;=GRID_FROM)*('Dvd Calendar'!$N$744&lt;=GRID_TO)*('Dvd Calendar'!$N$744&gt;VAL_DATE)=0,"",'Dvd Calendar'!$N$744*1000000000+ISNUMBER('Dvd Calendar'!$N$745)*100000000+0*10000000+(N('Dvd Calendar'!$N$743)&gt;0)*(N('Dvd Calendar'!$N$743)&lt;=VAL_SERIAL)*1000000+67*1000+50))</f>
        <v/>
      </c>
      <c r="GC78" s="35">
        <f>IF(N('Dvd Calendar'!$O$744)=0,"",IF(('Dvd Calendar'!$O$744&gt;=GRID_FROM)*('Dvd Calendar'!$O$744&lt;=GRID_TO)*('Dvd Calendar'!$O$744&gt;VAL_DATE)=0,"",'Dvd Calendar'!$O$744*1000000000+ISNUMBER('Dvd Calendar'!$O$745)*100000000+0*10000000+(N('Dvd Calendar'!$O$743)&gt;0)*(N('Dvd Calendar'!$O$743)&lt;=VAL_SERIAL)*1000000+67*1000+51))</f>
        <v/>
      </c>
      <c r="GD78" s="35">
        <f>IF(N('Dvd Calendar'!$P$744)=0,"",IF(('Dvd Calendar'!$P$744&gt;=GRID_FROM)*('Dvd Calendar'!$P$744&lt;=GRID_TO)*('Dvd Calendar'!$P$744&gt;VAL_DATE)=0,"",'Dvd Calendar'!$P$744*1000000000+ISNUMBER('Dvd Calendar'!$P$745)*100000000+0*10000000+(N('Dvd Calendar'!$P$743)&gt;0)*(N('Dvd Calendar'!$P$743)&lt;=VAL_SERIAL)*1000000+67*1000+52))</f>
        <v/>
      </c>
      <c r="GE78" s="35">
        <f>IF(N('Dvd Calendar'!$Q$744)=0,"",IF(('Dvd Calendar'!$Q$744&gt;=GRID_FROM)*('Dvd Calendar'!$Q$744&lt;=GRID_TO)*('Dvd Calendar'!$Q$744&gt;VAL_DATE)=0,"",'Dvd Calendar'!$Q$744*1000000000+ISNUMBER('Dvd Calendar'!$Q$745)*100000000+0*10000000+(N('Dvd Calendar'!$Q$743)&gt;0)*(N('Dvd Calendar'!$Q$743)&lt;=VAL_SERIAL)*1000000+67*1000+53))</f>
        <v/>
      </c>
      <c r="GF78" s="35">
        <f>IF(N('Dvd Calendar'!$R$744)=0,"",IF(('Dvd Calendar'!$R$744&gt;=GRID_FROM)*('Dvd Calendar'!$R$744&lt;=GRID_TO)*('Dvd Calendar'!$R$744&gt;VAL_DATE)=0,"",'Dvd Calendar'!$R$744*1000000000+ISNUMBER('Dvd Calendar'!$R$745)*100000000+0*10000000+(N('Dvd Calendar'!$R$743)&gt;0)*(N('Dvd Calendar'!$R$743)&lt;=VAL_SERIAL)*1000000+67*1000+54))</f>
        <v/>
      </c>
      <c r="GG78" s="35">
        <f>IF(N('Dvd Calendar'!$S$744)=0,"",IF(('Dvd Calendar'!$S$744&gt;=GRID_FROM)*('Dvd Calendar'!$S$744&lt;=GRID_TO)*('Dvd Calendar'!$S$744&gt;VAL_DATE)=0,"",'Dvd Calendar'!$S$744*1000000000+ISNUMBER('Dvd Calendar'!$S$745)*100000000+0*10000000+(N('Dvd Calendar'!$S$743)&gt;0)*(N('Dvd Calendar'!$S$743)&lt;=VAL_SERIAL)*1000000+67*1000+55))</f>
        <v/>
      </c>
      <c r="GH78" s="35">
        <f>IF(N('Dvd Calendar'!$T$744)=0,"",IF(('Dvd Calendar'!$T$744&gt;=GRID_FROM)*('Dvd Calendar'!$T$744&lt;=GRID_TO)*('Dvd Calendar'!$T$744&gt;VAL_DATE)=0,"",'Dvd Calendar'!$T$744*1000000000+ISNUMBER('Dvd Calendar'!$T$745)*100000000+0*10000000+(N('Dvd Calendar'!$T$743)&gt;0)*(N('Dvd Calendar'!$T$743)&lt;=VAL_SERIAL)*1000000+67*1000+56))</f>
        <v/>
      </c>
      <c r="GI78" s="35">
        <f>IF(N('Dvd Calendar'!$U$744)=0,"",IF(('Dvd Calendar'!$U$744&gt;=GRID_FROM)*('Dvd Calendar'!$U$744&lt;=GRID_TO)*('Dvd Calendar'!$U$744&gt;VAL_DATE)=0,"",'Dvd Calendar'!$U$744*1000000000+ISNUMBER('Dvd Calendar'!$U$745)*100000000+0*10000000+(N('Dvd Calendar'!$U$743)&gt;0)*(N('Dvd Calendar'!$U$743)&lt;=VAL_SERIAL)*1000000+67*1000+57))</f>
        <v/>
      </c>
      <c r="GJ78" s="35">
        <f>IF(N('Dvd Calendar'!$V$744)=0,"",IF(('Dvd Calendar'!$V$744&gt;=GRID_FROM)*('Dvd Calendar'!$V$744&lt;=GRID_TO)*('Dvd Calendar'!$V$744&gt;VAL_DATE)=0,"",'Dvd Calendar'!$V$744*1000000000+ISNUMBER('Dvd Calendar'!$V$745)*100000000+0*10000000+(N('Dvd Calendar'!$V$743)&gt;0)*(N('Dvd Calendar'!$V$743)&lt;=VAL_SERIAL)*1000000+67*1000+58))</f>
        <v/>
      </c>
      <c r="GK78" s="35">
        <f>IF(N('Dvd Calendar'!$W$744)=0,"",IF(('Dvd Calendar'!$W$744&gt;=GRID_FROM)*('Dvd Calendar'!$W$744&lt;=GRID_TO)*('Dvd Calendar'!$W$744&gt;VAL_DATE)=0,"",'Dvd Calendar'!$W$744*1000000000+ISNUMBER('Dvd Calendar'!$W$745)*100000000+0*10000000+(N('Dvd Calendar'!$W$743)&gt;0)*(N('Dvd Calendar'!$W$743)&lt;=VAL_SERIAL)*1000000+67*1000+59))</f>
        <v/>
      </c>
      <c r="GL78" s="35">
        <f>IF(N('Dvd Calendar'!$X$744)=0,"",IF(('Dvd Calendar'!$X$744&gt;=GRID_FROM)*('Dvd Calendar'!$X$744&lt;=GRID_TO)*('Dvd Calendar'!$X$744&gt;VAL_DATE)=0,"",'Dvd Calendar'!$X$744*1000000000+ISNUMBER('Dvd Calendar'!$X$745)*100000000+0*10000000+(N('Dvd Calendar'!$X$743)&gt;0)*(N('Dvd Calendar'!$X$743)&lt;=VAL_SERIAL)*1000000+67*1000+60))</f>
        <v/>
      </c>
      <c r="GM78" s="35">
        <f>IF(N('Dvd Calendar'!$Y$744)=0,"",IF(('Dvd Calendar'!$Y$744&gt;=GRID_FROM)*('Dvd Calendar'!$Y$744&lt;=GRID_TO)*('Dvd Calendar'!$Y$744&gt;VAL_DATE)=0,"",'Dvd Calendar'!$Y$744*1000000000+ISNUMBER('Dvd Calendar'!$Y$745)*100000000+0*10000000+(N('Dvd Calendar'!$Y$743)&gt;0)*(N('Dvd Calendar'!$Y$743)&lt;=VAL_SERIAL)*1000000+67*1000+61))</f>
        <v/>
      </c>
      <c r="GN78" s="35">
        <f>IF(N('Dvd Calendar'!$Z$744)=0,"",IF(('Dvd Calendar'!$Z$744&gt;=GRID_FROM)*('Dvd Calendar'!$Z$744&lt;=GRID_TO)*('Dvd Calendar'!$Z$744&gt;VAL_DATE)=0,"",'Dvd Calendar'!$Z$744*1000000000+ISNUMBER('Dvd Calendar'!$Z$745)*100000000+0*10000000+(N('Dvd Calendar'!$Z$743)&gt;0)*(N('Dvd Calendar'!$Z$743)&lt;=VAL_SERIAL)*1000000+67*1000+62))</f>
        <v/>
      </c>
      <c r="GO78" s="35">
        <f>IF(N('Dvd Calendar'!$AA$744)=0,"",IF(('Dvd Calendar'!$AA$744&gt;=GRID_FROM)*('Dvd Calendar'!$AA$744&lt;=GRID_TO)*('Dvd Calendar'!$AA$744&gt;VAL_DATE)=0,"",'Dvd Calendar'!$AA$744*1000000000+ISNUMBER('Dvd Calendar'!$AA$745)*100000000+0*10000000+(N('Dvd Calendar'!$AA$743)&gt;0)*(N('Dvd Calendar'!$AA$743)&lt;=VAL_SERIAL)*1000000+67*1000+63))</f>
        <v/>
      </c>
      <c r="GP78" s="35">
        <f>IF(N('Dvd Calendar'!$AB$744)=0,"",IF(('Dvd Calendar'!$AB$744&gt;=GRID_FROM)*('Dvd Calendar'!$AB$744&lt;=GRID_TO)*('Dvd Calendar'!$AB$744&gt;VAL_DATE)=0,"",'Dvd Calendar'!$AB$744*1000000000+ISNUMBER('Dvd Calendar'!$AB$745)*100000000+0*10000000+(N('Dvd Calendar'!$AB$743)&gt;0)*(N('Dvd Calendar'!$AB$743)&lt;=VAL_SERIAL)*1000000+67*1000+64))</f>
        <v/>
      </c>
      <c r="GQ78" s="35">
        <f>IF(N('Dvd Calendar'!$AC$744)=0,"",IF(('Dvd Calendar'!$AC$744&gt;=GRID_FROM)*('Dvd Calendar'!$AC$744&lt;=GRID_TO)*('Dvd Calendar'!$AC$744&gt;VAL_DATE)=0,"",'Dvd Calendar'!$AC$744*1000000000+ISNUMBER('Dvd Calendar'!$AC$745)*100000000+0*10000000+(N('Dvd Calendar'!$AC$743)&gt;0)*(N('Dvd Calendar'!$AC$743)&lt;=VAL_SERIAL)*1000000+67*1000+65))</f>
        <v/>
      </c>
    </row>
    <row r="79">
      <c r="B79" s="2">
        <f>IF(HSI!$C$74="","",HSI!$C$74)</f>
        <v/>
      </c>
      <c r="C79" s="106">
        <f>IF(EE79="","",IF(ISNUMBER('Dvd Calendar'!$E$751)=FALSE,"",IF((('Dvd Calendar'!$E$753=TYPE1)*(TYPE1&lt;&gt;"")+('Dvd Calendar'!$E$753=TYPE2)*(TYPE2&lt;&gt;"")+('Dvd Calendar'!$E$753=TYPE3)*(TYPE3&lt;&gt;"")+('Dvd Calendar'!$E$753=TYPE4)*(TYPE4&lt;&gt;"")+('Dvd Calendar'!$E$753=SPECIAL_LBL)*(INC_SPECIALS="Y"))=0,"",'Dvd Calendar'!$E$751)))</f>
        <v/>
      </c>
      <c r="D79" s="106">
        <f>IF(EF79="","",IF(ISNUMBER('Dvd Calendar'!$F$751)=FALSE,"",IF((('Dvd Calendar'!$F$753=TYPE1)*(TYPE1&lt;&gt;"")+('Dvd Calendar'!$F$753=TYPE2)*(TYPE2&lt;&gt;"")+('Dvd Calendar'!$F$753=TYPE3)*(TYPE3&lt;&gt;"")+('Dvd Calendar'!$F$753=TYPE4)*(TYPE4&lt;&gt;"")+('Dvd Calendar'!$F$753=SPECIAL_LBL)*(INC_SPECIALS="Y"))=0,"",'Dvd Calendar'!$F$751)))</f>
        <v/>
      </c>
      <c r="E79" s="106">
        <f>IF(EG79="","",IF(ISNUMBER('Dvd Calendar'!$G$751)=FALSE,"",IF((('Dvd Calendar'!$G$753=TYPE1)*(TYPE1&lt;&gt;"")+('Dvd Calendar'!$G$753=TYPE2)*(TYPE2&lt;&gt;"")+('Dvd Calendar'!$G$753=TYPE3)*(TYPE3&lt;&gt;"")+('Dvd Calendar'!$G$753=TYPE4)*(TYPE4&lt;&gt;"")+('Dvd Calendar'!$G$753=SPECIAL_LBL)*(INC_SPECIALS="Y"))=0,"",'Dvd Calendar'!$G$751)))</f>
        <v/>
      </c>
      <c r="F79" s="106">
        <f>IF(EH79="","",IF(ISNUMBER('Dvd Calendar'!$H$751)=FALSE,"",IF((('Dvd Calendar'!$H$753=TYPE1)*(TYPE1&lt;&gt;"")+('Dvd Calendar'!$H$753=TYPE2)*(TYPE2&lt;&gt;"")+('Dvd Calendar'!$H$753=TYPE3)*(TYPE3&lt;&gt;"")+('Dvd Calendar'!$H$753=TYPE4)*(TYPE4&lt;&gt;"")+('Dvd Calendar'!$H$753=SPECIAL_LBL)*(INC_SPECIALS="Y"))=0,"",'Dvd Calendar'!$H$751)))</f>
        <v/>
      </c>
      <c r="G79" s="106">
        <f>IF(EI79="","",IF(ISNUMBER('Dvd Calendar'!$I$751)=FALSE,"",IF((('Dvd Calendar'!$I$753=TYPE1)*(TYPE1&lt;&gt;"")+('Dvd Calendar'!$I$753=TYPE2)*(TYPE2&lt;&gt;"")+('Dvd Calendar'!$I$753=TYPE3)*(TYPE3&lt;&gt;"")+('Dvd Calendar'!$I$753=TYPE4)*(TYPE4&lt;&gt;"")+('Dvd Calendar'!$I$753=SPECIAL_LBL)*(INC_SPECIALS="Y"))=0,"",'Dvd Calendar'!$I$751)))</f>
        <v/>
      </c>
      <c r="H79" s="106">
        <f>IF(EJ79="","",IF(ISNUMBER('Dvd Calendar'!$J$751)=FALSE,"",IF((('Dvd Calendar'!$J$753=TYPE1)*(TYPE1&lt;&gt;"")+('Dvd Calendar'!$J$753=TYPE2)*(TYPE2&lt;&gt;"")+('Dvd Calendar'!$J$753=TYPE3)*(TYPE3&lt;&gt;"")+('Dvd Calendar'!$J$753=TYPE4)*(TYPE4&lt;&gt;"")+('Dvd Calendar'!$J$753=SPECIAL_LBL)*(INC_SPECIALS="Y"))=0,"",'Dvd Calendar'!$J$751)))</f>
        <v/>
      </c>
      <c r="I79" s="106">
        <f>IF(EK79="","",IF(ISNUMBER('Dvd Calendar'!$K$751)=FALSE,"",IF((('Dvd Calendar'!$K$753=TYPE1)*(TYPE1&lt;&gt;"")+('Dvd Calendar'!$K$753=TYPE2)*(TYPE2&lt;&gt;"")+('Dvd Calendar'!$K$753=TYPE3)*(TYPE3&lt;&gt;"")+('Dvd Calendar'!$K$753=TYPE4)*(TYPE4&lt;&gt;"")+('Dvd Calendar'!$K$753=SPECIAL_LBL)*(INC_SPECIALS="Y"))=0,"",'Dvd Calendar'!$K$751)))</f>
        <v/>
      </c>
      <c r="J79" s="106">
        <f>IF(EL79="","",IF(ISNUMBER('Dvd Calendar'!$L$751)=FALSE,"",IF((('Dvd Calendar'!$L$753=TYPE1)*(TYPE1&lt;&gt;"")+('Dvd Calendar'!$L$753=TYPE2)*(TYPE2&lt;&gt;"")+('Dvd Calendar'!$L$753=TYPE3)*(TYPE3&lt;&gt;"")+('Dvd Calendar'!$L$753=TYPE4)*(TYPE4&lt;&gt;"")+('Dvd Calendar'!$L$753=SPECIAL_LBL)*(INC_SPECIALS="Y"))=0,"",'Dvd Calendar'!$L$751)))</f>
        <v/>
      </c>
      <c r="K79" s="106">
        <f>IF(EM79="","",IF(ISNUMBER('Dvd Calendar'!$M$751)=FALSE,"",IF((('Dvd Calendar'!$M$753=TYPE1)*(TYPE1&lt;&gt;"")+('Dvd Calendar'!$M$753=TYPE2)*(TYPE2&lt;&gt;"")+('Dvd Calendar'!$M$753=TYPE3)*(TYPE3&lt;&gt;"")+('Dvd Calendar'!$M$753=TYPE4)*(TYPE4&lt;&gt;"")+('Dvd Calendar'!$M$753=SPECIAL_LBL)*(INC_SPECIALS="Y"))=0,"",'Dvd Calendar'!$M$751)))</f>
        <v/>
      </c>
      <c r="L79" s="106">
        <f>IF(EN79="","",IF(ISNUMBER('Dvd Calendar'!$N$751)=FALSE,"",IF((('Dvd Calendar'!$N$753=TYPE1)*(TYPE1&lt;&gt;"")+('Dvd Calendar'!$N$753=TYPE2)*(TYPE2&lt;&gt;"")+('Dvd Calendar'!$N$753=TYPE3)*(TYPE3&lt;&gt;"")+('Dvd Calendar'!$N$753=TYPE4)*(TYPE4&lt;&gt;"")+('Dvd Calendar'!$N$753=SPECIAL_LBL)*(INC_SPECIALS="Y"))=0,"",'Dvd Calendar'!$N$751)))</f>
        <v/>
      </c>
      <c r="M79" s="106">
        <f>IF(EO79="","",IF(ISNUMBER('Dvd Calendar'!$O$751)=FALSE,"",IF((('Dvd Calendar'!$O$753=TYPE1)*(TYPE1&lt;&gt;"")+('Dvd Calendar'!$O$753=TYPE2)*(TYPE2&lt;&gt;"")+('Dvd Calendar'!$O$753=TYPE3)*(TYPE3&lt;&gt;"")+('Dvd Calendar'!$O$753=TYPE4)*(TYPE4&lt;&gt;"")+('Dvd Calendar'!$O$753=SPECIAL_LBL)*(INC_SPECIALS="Y"))=0,"",'Dvd Calendar'!$O$751)))</f>
        <v/>
      </c>
      <c r="N79" s="106">
        <f>IF(EP79="","",IF(ISNUMBER('Dvd Calendar'!$P$751)=FALSE,"",IF((('Dvd Calendar'!$P$753=TYPE1)*(TYPE1&lt;&gt;"")+('Dvd Calendar'!$P$753=TYPE2)*(TYPE2&lt;&gt;"")+('Dvd Calendar'!$P$753=TYPE3)*(TYPE3&lt;&gt;"")+('Dvd Calendar'!$P$753=TYPE4)*(TYPE4&lt;&gt;"")+('Dvd Calendar'!$P$753=SPECIAL_LBL)*(INC_SPECIALS="Y"))=0,"",'Dvd Calendar'!$P$751)))</f>
        <v/>
      </c>
      <c r="O79" s="106">
        <f>IF(EQ79="","",IF(ISNUMBER('Dvd Calendar'!$Q$751)=FALSE,"",IF((('Dvd Calendar'!$Q$753=TYPE1)*(TYPE1&lt;&gt;"")+('Dvd Calendar'!$Q$753=TYPE2)*(TYPE2&lt;&gt;"")+('Dvd Calendar'!$Q$753=TYPE3)*(TYPE3&lt;&gt;"")+('Dvd Calendar'!$Q$753=TYPE4)*(TYPE4&lt;&gt;"")+('Dvd Calendar'!$Q$753=SPECIAL_LBL)*(INC_SPECIALS="Y"))=0,"",'Dvd Calendar'!$Q$751)))</f>
        <v/>
      </c>
      <c r="P79" s="106">
        <f>IF(ER79="","",IF(ISNUMBER('Dvd Calendar'!$R$751)=FALSE,"",IF((('Dvd Calendar'!$R$753=TYPE1)*(TYPE1&lt;&gt;"")+('Dvd Calendar'!$R$753=TYPE2)*(TYPE2&lt;&gt;"")+('Dvd Calendar'!$R$753=TYPE3)*(TYPE3&lt;&gt;"")+('Dvd Calendar'!$R$753=TYPE4)*(TYPE4&lt;&gt;"")+('Dvd Calendar'!$R$753=SPECIAL_LBL)*(INC_SPECIALS="Y"))=0,"",'Dvd Calendar'!$R$751)))</f>
        <v/>
      </c>
      <c r="Q79" s="106">
        <f>IF(ES79="","",IF(ISNUMBER('Dvd Calendar'!$S$751)=FALSE,"",IF((('Dvd Calendar'!$S$753=TYPE1)*(TYPE1&lt;&gt;"")+('Dvd Calendar'!$S$753=TYPE2)*(TYPE2&lt;&gt;"")+('Dvd Calendar'!$S$753=TYPE3)*(TYPE3&lt;&gt;"")+('Dvd Calendar'!$S$753=TYPE4)*(TYPE4&lt;&gt;"")+('Dvd Calendar'!$S$753=SPECIAL_LBL)*(INC_SPECIALS="Y"))=0,"",'Dvd Calendar'!$S$751)))</f>
        <v/>
      </c>
      <c r="R79" s="106">
        <f>IF(ET79="","",IF(ISNUMBER('Dvd Calendar'!$T$751)=FALSE,"",IF((('Dvd Calendar'!$T$753=TYPE1)*(TYPE1&lt;&gt;"")+('Dvd Calendar'!$T$753=TYPE2)*(TYPE2&lt;&gt;"")+('Dvd Calendar'!$T$753=TYPE3)*(TYPE3&lt;&gt;"")+('Dvd Calendar'!$T$753=TYPE4)*(TYPE4&lt;&gt;"")+('Dvd Calendar'!$T$753=SPECIAL_LBL)*(INC_SPECIALS="Y"))=0,"",'Dvd Calendar'!$T$751)))</f>
        <v/>
      </c>
      <c r="S79" s="106">
        <f>IF(EU79="","",IF(ISNUMBER('Dvd Calendar'!$U$751)=FALSE,"",IF((('Dvd Calendar'!$U$753=TYPE1)*(TYPE1&lt;&gt;"")+('Dvd Calendar'!$U$753=TYPE2)*(TYPE2&lt;&gt;"")+('Dvd Calendar'!$U$753=TYPE3)*(TYPE3&lt;&gt;"")+('Dvd Calendar'!$U$753=TYPE4)*(TYPE4&lt;&gt;"")+('Dvd Calendar'!$U$753=SPECIAL_LBL)*(INC_SPECIALS="Y"))=0,"",'Dvd Calendar'!$U$751)))</f>
        <v/>
      </c>
      <c r="T79" s="106">
        <f>IF(EV79="","",IF(ISNUMBER('Dvd Calendar'!$V$751)=FALSE,"",IF((('Dvd Calendar'!$V$753=TYPE1)*(TYPE1&lt;&gt;"")+('Dvd Calendar'!$V$753=TYPE2)*(TYPE2&lt;&gt;"")+('Dvd Calendar'!$V$753=TYPE3)*(TYPE3&lt;&gt;"")+('Dvd Calendar'!$V$753=TYPE4)*(TYPE4&lt;&gt;"")+('Dvd Calendar'!$V$753=SPECIAL_LBL)*(INC_SPECIALS="Y"))=0,"",'Dvd Calendar'!$V$751)))</f>
        <v/>
      </c>
      <c r="U79" s="106">
        <f>IF(EW79="","",IF(ISNUMBER('Dvd Calendar'!$W$751)=FALSE,"",IF((('Dvd Calendar'!$W$753=TYPE1)*(TYPE1&lt;&gt;"")+('Dvd Calendar'!$W$753=TYPE2)*(TYPE2&lt;&gt;"")+('Dvd Calendar'!$W$753=TYPE3)*(TYPE3&lt;&gt;"")+('Dvd Calendar'!$W$753=TYPE4)*(TYPE4&lt;&gt;"")+('Dvd Calendar'!$W$753=SPECIAL_LBL)*(INC_SPECIALS="Y"))=0,"",'Dvd Calendar'!$W$751)))</f>
        <v/>
      </c>
      <c r="V79" s="106">
        <f>IF(EX79="","",IF(ISNUMBER('Dvd Calendar'!$X$751)=FALSE,"",IF((('Dvd Calendar'!$X$753=TYPE1)*(TYPE1&lt;&gt;"")+('Dvd Calendar'!$X$753=TYPE2)*(TYPE2&lt;&gt;"")+('Dvd Calendar'!$X$753=TYPE3)*(TYPE3&lt;&gt;"")+('Dvd Calendar'!$X$753=TYPE4)*(TYPE4&lt;&gt;"")+('Dvd Calendar'!$X$753=SPECIAL_LBL)*(INC_SPECIALS="Y"))=0,"",'Dvd Calendar'!$X$751)))</f>
        <v/>
      </c>
      <c r="W79" s="106">
        <f>IF(EY79="","",IF(ISNUMBER('Dvd Calendar'!$Y$751)=FALSE,"",IF((('Dvd Calendar'!$Y$753=TYPE1)*(TYPE1&lt;&gt;"")+('Dvd Calendar'!$Y$753=TYPE2)*(TYPE2&lt;&gt;"")+('Dvd Calendar'!$Y$753=TYPE3)*(TYPE3&lt;&gt;"")+('Dvd Calendar'!$Y$753=TYPE4)*(TYPE4&lt;&gt;"")+('Dvd Calendar'!$Y$753=SPECIAL_LBL)*(INC_SPECIALS="Y"))=0,"",'Dvd Calendar'!$Y$751)))</f>
        <v/>
      </c>
      <c r="X79" s="106">
        <f>IF(EZ79="","",IF(ISNUMBER('Dvd Calendar'!$Z$751)=FALSE,"",IF((('Dvd Calendar'!$Z$753=TYPE1)*(TYPE1&lt;&gt;"")+('Dvd Calendar'!$Z$753=TYPE2)*(TYPE2&lt;&gt;"")+('Dvd Calendar'!$Z$753=TYPE3)*(TYPE3&lt;&gt;"")+('Dvd Calendar'!$Z$753=TYPE4)*(TYPE4&lt;&gt;"")+('Dvd Calendar'!$Z$753=SPECIAL_LBL)*(INC_SPECIALS="Y"))=0,"",'Dvd Calendar'!$Z$751)))</f>
        <v/>
      </c>
      <c r="Y79" s="106">
        <f>IF(FA79="","",IF(ISNUMBER('Dvd Calendar'!$AA$751)=FALSE,"",IF((('Dvd Calendar'!$AA$753=TYPE1)*(TYPE1&lt;&gt;"")+('Dvd Calendar'!$AA$753=TYPE2)*(TYPE2&lt;&gt;"")+('Dvd Calendar'!$AA$753=TYPE3)*(TYPE3&lt;&gt;"")+('Dvd Calendar'!$AA$753=TYPE4)*(TYPE4&lt;&gt;"")+('Dvd Calendar'!$AA$753=SPECIAL_LBL)*(INC_SPECIALS="Y"))=0,"",'Dvd Calendar'!$AA$751)))</f>
        <v/>
      </c>
      <c r="Z79" s="106">
        <f>IF(FB79="","",IF(ISNUMBER('Dvd Calendar'!$AB$751)=FALSE,"",IF((('Dvd Calendar'!$AB$753=TYPE1)*(TYPE1&lt;&gt;"")+('Dvd Calendar'!$AB$753=TYPE2)*(TYPE2&lt;&gt;"")+('Dvd Calendar'!$AB$753=TYPE3)*(TYPE3&lt;&gt;"")+('Dvd Calendar'!$AB$753=TYPE4)*(TYPE4&lt;&gt;"")+('Dvd Calendar'!$AB$753=SPECIAL_LBL)*(INC_SPECIALS="Y"))=0,"",'Dvd Calendar'!$AB$751)))</f>
        <v/>
      </c>
      <c r="AA79" s="106">
        <f>IF(FC79="","",IF(ISNUMBER('Dvd Calendar'!$AC$751)=FALSE,"",IF((('Dvd Calendar'!$AC$753=TYPE1)*(TYPE1&lt;&gt;"")+('Dvd Calendar'!$AC$753=TYPE2)*(TYPE2&lt;&gt;"")+('Dvd Calendar'!$AC$753=TYPE3)*(TYPE3&lt;&gt;"")+('Dvd Calendar'!$AC$753=TYPE4)*(TYPE4&lt;&gt;"")+('Dvd Calendar'!$AC$753=SPECIAL_LBL)*(INC_SPECIALS="Y"))=0,"",'Dvd Calendar'!$AC$751)))</f>
        <v/>
      </c>
      <c r="AB79" s="106">
        <f>IF(FD79="","",IF(ISNUMBER('Dvd Calendar'!$AD$751)=FALSE,"",IF((('Dvd Calendar'!$AD$753=TYPE1)*(TYPE1&lt;&gt;"")+('Dvd Calendar'!$AD$753=TYPE2)*(TYPE2&lt;&gt;"")+('Dvd Calendar'!$AD$753=TYPE3)*(TYPE3&lt;&gt;"")+('Dvd Calendar'!$AD$753=TYPE4)*(TYPE4&lt;&gt;"")+('Dvd Calendar'!$AD$753=SPECIAL_LBL)*(INC_SPECIALS="Y"))=0,"",'Dvd Calendar'!$AD$751)))</f>
        <v/>
      </c>
      <c r="AC79" s="106">
        <f>IF(FE79="","",IF(ISNUMBER('Dvd Calendar'!$AE$751)=FALSE,"",IF((('Dvd Calendar'!$AE$753=TYPE1)*(TYPE1&lt;&gt;"")+('Dvd Calendar'!$AE$753=TYPE2)*(TYPE2&lt;&gt;"")+('Dvd Calendar'!$AE$753=TYPE3)*(TYPE3&lt;&gt;"")+('Dvd Calendar'!$AE$753=TYPE4)*(TYPE4&lt;&gt;"")+('Dvd Calendar'!$AE$753=SPECIAL_LBL)*(INC_SPECIALS="Y"))=0,"",'Dvd Calendar'!$AE$751)))</f>
        <v/>
      </c>
      <c r="AD79" s="106">
        <f>IF(FF79="","",IF(ISNUMBER('Dvd Calendar'!$AF$751)=FALSE,"",IF((('Dvd Calendar'!$AF$753=TYPE1)*(TYPE1&lt;&gt;"")+('Dvd Calendar'!$AF$753=TYPE2)*(TYPE2&lt;&gt;"")+('Dvd Calendar'!$AF$753=TYPE3)*(TYPE3&lt;&gt;"")+('Dvd Calendar'!$AF$753=TYPE4)*(TYPE4&lt;&gt;"")+('Dvd Calendar'!$AF$753=SPECIAL_LBL)*(INC_SPECIALS="Y"))=0,"",'Dvd Calendar'!$AF$751)))</f>
        <v/>
      </c>
      <c r="AE79" s="106">
        <f>IF(FG79="","",IF(ISNUMBER('Dvd Calendar'!$AG$751)=FALSE,"",IF((('Dvd Calendar'!$AG$753=TYPE1)*(TYPE1&lt;&gt;"")+('Dvd Calendar'!$AG$753=TYPE2)*(TYPE2&lt;&gt;"")+('Dvd Calendar'!$AG$753=TYPE3)*(TYPE3&lt;&gt;"")+('Dvd Calendar'!$AG$753=TYPE4)*(TYPE4&lt;&gt;"")+('Dvd Calendar'!$AG$753=SPECIAL_LBL)*(INC_SPECIALS="Y"))=0,"",'Dvd Calendar'!$AG$751)))</f>
        <v/>
      </c>
      <c r="AF79" s="106">
        <f>IF(FH79="","",IF(ISNUMBER('Dvd Calendar'!$AH$751)=FALSE,"",IF((('Dvd Calendar'!$AH$753=TYPE1)*(TYPE1&lt;&gt;"")+('Dvd Calendar'!$AH$753=TYPE2)*(TYPE2&lt;&gt;"")+('Dvd Calendar'!$AH$753=TYPE3)*(TYPE3&lt;&gt;"")+('Dvd Calendar'!$AH$753=TYPE4)*(TYPE4&lt;&gt;"")+('Dvd Calendar'!$AH$753=SPECIAL_LBL)*(INC_SPECIALS="Y"))=0,"",'Dvd Calendar'!$AH$751)))</f>
        <v/>
      </c>
      <c r="AG79" s="106">
        <f>IF(FI79="","",IF(ISNUMBER('Dvd Calendar'!$AI$751)=FALSE,"",IF((('Dvd Calendar'!$AI$753=TYPE1)*(TYPE1&lt;&gt;"")+('Dvd Calendar'!$AI$753=TYPE2)*(TYPE2&lt;&gt;"")+('Dvd Calendar'!$AI$753=TYPE3)*(TYPE3&lt;&gt;"")+('Dvd Calendar'!$AI$753=TYPE4)*(TYPE4&lt;&gt;"")+('Dvd Calendar'!$AI$753=SPECIAL_LBL)*(INC_SPECIALS="Y"))=0,"",'Dvd Calendar'!$AI$751)))</f>
        <v/>
      </c>
      <c r="AH79" s="106">
        <f>IF(FJ79="","",IF(ISNUMBER('Dvd Calendar'!$AJ$751)=FALSE,"",IF((('Dvd Calendar'!$AJ$753=TYPE1)*(TYPE1&lt;&gt;"")+('Dvd Calendar'!$AJ$753=TYPE2)*(TYPE2&lt;&gt;"")+('Dvd Calendar'!$AJ$753=TYPE3)*(TYPE3&lt;&gt;"")+('Dvd Calendar'!$AJ$753=TYPE4)*(TYPE4&lt;&gt;"")+('Dvd Calendar'!$AJ$753=SPECIAL_LBL)*(INC_SPECIALS="Y"))=0,"",'Dvd Calendar'!$AJ$751)))</f>
        <v/>
      </c>
      <c r="AI79" s="106">
        <f>IF(FK79="","",IF(ISNUMBER('Dvd Calendar'!$AK$751)=FALSE,"",IF((('Dvd Calendar'!$AK$753=TYPE1)*(TYPE1&lt;&gt;"")+('Dvd Calendar'!$AK$753=TYPE2)*(TYPE2&lt;&gt;"")+('Dvd Calendar'!$AK$753=TYPE3)*(TYPE3&lt;&gt;"")+('Dvd Calendar'!$AK$753=TYPE4)*(TYPE4&lt;&gt;"")+('Dvd Calendar'!$AK$753=SPECIAL_LBL)*(INC_SPECIALS="Y"))=0,"",'Dvd Calendar'!$AK$751)))</f>
        <v/>
      </c>
      <c r="AJ79" s="106">
        <f>IF(FL79="","",IF(ISNUMBER('Dvd Calendar'!$AL$751)=FALSE,"",IF((('Dvd Calendar'!$AL$753=TYPE1)*(TYPE1&lt;&gt;"")+('Dvd Calendar'!$AL$753=TYPE2)*(TYPE2&lt;&gt;"")+('Dvd Calendar'!$AL$753=TYPE3)*(TYPE3&lt;&gt;"")+('Dvd Calendar'!$AL$753=TYPE4)*(TYPE4&lt;&gt;"")+('Dvd Calendar'!$AL$753=SPECIAL_LBL)*(INC_SPECIALS="Y"))=0,"",'Dvd Calendar'!$AL$751)))</f>
        <v/>
      </c>
      <c r="AK79" s="106">
        <f>IF(FM79="","",IF(ISNUMBER('Dvd Calendar'!$AM$751)=FALSE,"",IF((('Dvd Calendar'!$AM$753=TYPE1)*(TYPE1&lt;&gt;"")+('Dvd Calendar'!$AM$753=TYPE2)*(TYPE2&lt;&gt;"")+('Dvd Calendar'!$AM$753=TYPE3)*(TYPE3&lt;&gt;"")+('Dvd Calendar'!$AM$753=TYPE4)*(TYPE4&lt;&gt;"")+('Dvd Calendar'!$AM$753=SPECIAL_LBL)*(INC_SPECIALS="Y"))=0,"",'Dvd Calendar'!$AM$751)))</f>
        <v/>
      </c>
      <c r="AL79" s="106">
        <f>IF(FN79="","",IF(ISNUMBER('Dvd Calendar'!$AN$751)=FALSE,"",IF((('Dvd Calendar'!$AN$753=TYPE1)*(TYPE1&lt;&gt;"")+('Dvd Calendar'!$AN$753=TYPE2)*(TYPE2&lt;&gt;"")+('Dvd Calendar'!$AN$753=TYPE3)*(TYPE3&lt;&gt;"")+('Dvd Calendar'!$AN$753=TYPE4)*(TYPE4&lt;&gt;"")+('Dvd Calendar'!$AN$753=SPECIAL_LBL)*(INC_SPECIALS="Y"))=0,"",'Dvd Calendar'!$AN$751)))</f>
        <v/>
      </c>
      <c r="AM79" s="106">
        <f>IF(FO79="","",IF(ISNUMBER('Dvd Calendar'!$AO$751)=FALSE,"",IF((('Dvd Calendar'!$AO$753=TYPE1)*(TYPE1&lt;&gt;"")+('Dvd Calendar'!$AO$753=TYPE2)*(TYPE2&lt;&gt;"")+('Dvd Calendar'!$AO$753=TYPE3)*(TYPE3&lt;&gt;"")+('Dvd Calendar'!$AO$753=TYPE4)*(TYPE4&lt;&gt;"")+('Dvd Calendar'!$AO$753=SPECIAL_LBL)*(INC_SPECIALS="Y"))=0,"",'Dvd Calendar'!$AO$751)))</f>
        <v/>
      </c>
      <c r="AN79" s="106">
        <f>IF(FP79="","",IF(ISNUMBER('Dvd Calendar'!$AP$751)=FALSE,"",IF((('Dvd Calendar'!$AP$753=TYPE1)*(TYPE1&lt;&gt;"")+('Dvd Calendar'!$AP$753=TYPE2)*(TYPE2&lt;&gt;"")+('Dvd Calendar'!$AP$753=TYPE3)*(TYPE3&lt;&gt;"")+('Dvd Calendar'!$AP$753=TYPE4)*(TYPE4&lt;&gt;"")+('Dvd Calendar'!$AP$753=SPECIAL_LBL)*(INC_SPECIALS="Y"))=0,"",'Dvd Calendar'!$AP$751)))</f>
        <v/>
      </c>
      <c r="AO79" s="106">
        <f>IF(FQ79="","",IF(ISNUMBER('Dvd Calendar'!$AQ$751)=FALSE,"",IF((('Dvd Calendar'!$AQ$753=TYPE1)*(TYPE1&lt;&gt;"")+('Dvd Calendar'!$AQ$753=TYPE2)*(TYPE2&lt;&gt;"")+('Dvd Calendar'!$AQ$753=TYPE3)*(TYPE3&lt;&gt;"")+('Dvd Calendar'!$AQ$753=TYPE4)*(TYPE4&lt;&gt;"")+('Dvd Calendar'!$AQ$753=SPECIAL_LBL)*(INC_SPECIALS="Y"))=0,"",'Dvd Calendar'!$AQ$751)))</f>
        <v/>
      </c>
      <c r="AP79" s="106">
        <f>IF(FR79="","",IF(ISNUMBER('Dvd Calendar'!$AR$751)=FALSE,"",IF((('Dvd Calendar'!$AR$753=TYPE1)*(TYPE1&lt;&gt;"")+('Dvd Calendar'!$AR$753=TYPE2)*(TYPE2&lt;&gt;"")+('Dvd Calendar'!$AR$753=TYPE3)*(TYPE3&lt;&gt;"")+('Dvd Calendar'!$AR$753=TYPE4)*(TYPE4&lt;&gt;"")+('Dvd Calendar'!$AR$753=SPECIAL_LBL)*(INC_SPECIALS="Y"))=0,"",'Dvd Calendar'!$AR$751)))</f>
        <v/>
      </c>
      <c r="AQ79" s="106">
        <f>IF(FS79="","",IF(ISNUMBER('Dvd Calendar'!$E$756)=FALSE,"",'Dvd Calendar'!$E$756))</f>
        <v/>
      </c>
      <c r="AR79" s="106">
        <f>IF(FT79="","",IF(ISNUMBER('Dvd Calendar'!$F$756)=FALSE,"",'Dvd Calendar'!$F$756))</f>
        <v/>
      </c>
      <c r="AS79" s="106">
        <f>IF(FU79="","",IF(ISNUMBER('Dvd Calendar'!$G$756)=FALSE,"",'Dvd Calendar'!$G$756))</f>
        <v/>
      </c>
      <c r="AT79" s="106">
        <f>IF(FV79="","",IF(ISNUMBER('Dvd Calendar'!$H$756)=FALSE,"",'Dvd Calendar'!$H$756))</f>
        <v/>
      </c>
      <c r="AU79" s="106">
        <f>IF(FW79="","",IF(ISNUMBER('Dvd Calendar'!$I$756)=FALSE,"",'Dvd Calendar'!$I$756))</f>
        <v/>
      </c>
      <c r="AV79" s="106">
        <f>IF(FX79="","",IF(ISNUMBER('Dvd Calendar'!$J$756)=FALSE,"",'Dvd Calendar'!$J$756))</f>
        <v/>
      </c>
      <c r="AW79" s="106">
        <f>IF(FY79="","",IF(ISNUMBER('Dvd Calendar'!$K$756)=FALSE,"",'Dvd Calendar'!$K$756))</f>
        <v/>
      </c>
      <c r="AX79" s="106">
        <f>IF(FZ79="","",IF(ISNUMBER('Dvd Calendar'!$L$756)=FALSE,"",'Dvd Calendar'!$L$756))</f>
        <v/>
      </c>
      <c r="AY79" s="106">
        <f>IF(GA79="","",IF(ISNUMBER('Dvd Calendar'!$M$756)=FALSE,"",'Dvd Calendar'!$M$756))</f>
        <v/>
      </c>
      <c r="AZ79" s="106">
        <f>IF(GB79="","",IF(ISNUMBER('Dvd Calendar'!$N$756)=FALSE,"",'Dvd Calendar'!$N$756))</f>
        <v/>
      </c>
      <c r="BA79" s="106">
        <f>IF(GC79="","",IF(ISNUMBER('Dvd Calendar'!$O$756)=FALSE,"",'Dvd Calendar'!$O$756))</f>
        <v/>
      </c>
      <c r="BB79" s="106">
        <f>IF(GD79="","",IF(ISNUMBER('Dvd Calendar'!$P$756)=FALSE,"",'Dvd Calendar'!$P$756))</f>
        <v/>
      </c>
      <c r="BC79" s="106">
        <f>IF(GE79="","",IF(ISNUMBER('Dvd Calendar'!$Q$756)=FALSE,"",'Dvd Calendar'!$Q$756))</f>
        <v/>
      </c>
      <c r="BD79" s="106">
        <f>IF(GF79="","",IF(ISNUMBER('Dvd Calendar'!$R$756)=FALSE,"",'Dvd Calendar'!$R$756))</f>
        <v/>
      </c>
      <c r="BE79" s="106">
        <f>IF(GG79="","",IF(ISNUMBER('Dvd Calendar'!$S$756)=FALSE,"",'Dvd Calendar'!$S$756))</f>
        <v/>
      </c>
      <c r="BF79" s="106">
        <f>IF(GH79="","",IF(ISNUMBER('Dvd Calendar'!$T$756)=FALSE,"",'Dvd Calendar'!$T$756))</f>
        <v/>
      </c>
      <c r="BG79" s="106">
        <f>IF(GI79="","",IF(ISNUMBER('Dvd Calendar'!$U$756)=FALSE,"",'Dvd Calendar'!$U$756))</f>
        <v/>
      </c>
      <c r="BH79" s="106">
        <f>IF(GJ79="","",IF(ISNUMBER('Dvd Calendar'!$V$756)=FALSE,"",'Dvd Calendar'!$V$756))</f>
        <v/>
      </c>
      <c r="BI79" s="106">
        <f>IF(GK79="","",IF(ISNUMBER('Dvd Calendar'!$W$756)=FALSE,"",'Dvd Calendar'!$W$756))</f>
        <v/>
      </c>
      <c r="BJ79" s="106">
        <f>IF(GL79="","",IF(ISNUMBER('Dvd Calendar'!$X$756)=FALSE,"",'Dvd Calendar'!$X$756))</f>
        <v/>
      </c>
      <c r="BK79" s="106">
        <f>IF(GM79="","",IF(ISNUMBER('Dvd Calendar'!$Y$756)=FALSE,"",'Dvd Calendar'!$Y$756))</f>
        <v/>
      </c>
      <c r="BL79" s="106">
        <f>IF(GN79="","",IF(ISNUMBER('Dvd Calendar'!$Z$756)=FALSE,"",'Dvd Calendar'!$Z$756))</f>
        <v/>
      </c>
      <c r="BM79" s="106">
        <f>IF(GO79="","",IF(ISNUMBER('Dvd Calendar'!$AA$756)=FALSE,"",'Dvd Calendar'!$AA$756))</f>
        <v/>
      </c>
      <c r="BN79" s="106">
        <f>IF(GP79="","",IF(ISNUMBER('Dvd Calendar'!$AB$756)=FALSE,"",'Dvd Calendar'!$AB$756))</f>
        <v/>
      </c>
      <c r="BO79" s="106">
        <f>IF(GQ79="","",IF(ISNUMBER('Dvd Calendar'!$AC$756)=FALSE,"",'Dvd Calendar'!$AC$756))</f>
        <v/>
      </c>
      <c r="BQ79" s="106">
        <f>IF(C79="","",IFERROR(C79*HSI!$B$74*HSI!$G$74/HSI!$B$3,""))</f>
        <v/>
      </c>
      <c r="BR79" s="106">
        <f>IF(D79="","",IFERROR(D79*HSI!$B$74*HSI!$G$74/HSI!$B$3,""))</f>
        <v/>
      </c>
      <c r="BS79" s="106">
        <f>IF(E79="","",IFERROR(E79*HSI!$B$74*HSI!$G$74/HSI!$B$3,""))</f>
        <v/>
      </c>
      <c r="BT79" s="106">
        <f>IF(F79="","",IFERROR(F79*HSI!$B$74*HSI!$G$74/HSI!$B$3,""))</f>
        <v/>
      </c>
      <c r="BU79" s="106">
        <f>IF(G79="","",IFERROR(G79*HSI!$B$74*HSI!$G$74/HSI!$B$3,""))</f>
        <v/>
      </c>
      <c r="BV79" s="106">
        <f>IF(H79="","",IFERROR(H79*HSI!$B$74*HSI!$G$74/HSI!$B$3,""))</f>
        <v/>
      </c>
      <c r="BW79" s="106">
        <f>IF(I79="","",IFERROR(I79*HSI!$B$74*HSI!$G$74/HSI!$B$3,""))</f>
        <v/>
      </c>
      <c r="BX79" s="106">
        <f>IF(J79="","",IFERROR(J79*HSI!$B$74*HSI!$G$74/HSI!$B$3,""))</f>
        <v/>
      </c>
      <c r="BY79" s="106">
        <f>IF(K79="","",IFERROR(K79*HSI!$B$74*HSI!$G$74/HSI!$B$3,""))</f>
        <v/>
      </c>
      <c r="BZ79" s="106">
        <f>IF(L79="","",IFERROR(L79*HSI!$B$74*HSI!$G$74/HSI!$B$3,""))</f>
        <v/>
      </c>
      <c r="CA79" s="106">
        <f>IF(M79="","",IFERROR(M79*HSI!$B$74*HSI!$G$74/HSI!$B$3,""))</f>
        <v/>
      </c>
      <c r="CB79" s="106">
        <f>IF(N79="","",IFERROR(N79*HSI!$B$74*HSI!$G$74/HSI!$B$3,""))</f>
        <v/>
      </c>
      <c r="CC79" s="106">
        <f>IF(O79="","",IFERROR(O79*HSI!$B$74*HSI!$G$74/HSI!$B$3,""))</f>
        <v/>
      </c>
      <c r="CD79" s="106">
        <f>IF(P79="","",IFERROR(P79*HSI!$B$74*HSI!$G$74/HSI!$B$3,""))</f>
        <v/>
      </c>
      <c r="CE79" s="106">
        <f>IF(Q79="","",IFERROR(Q79*HSI!$B$74*HSI!$G$74/HSI!$B$3,""))</f>
        <v/>
      </c>
      <c r="CF79" s="106">
        <f>IF(R79="","",IFERROR(R79*HSI!$B$74*HSI!$G$74/HSI!$B$3,""))</f>
        <v/>
      </c>
      <c r="CG79" s="106">
        <f>IF(S79="","",IFERROR(S79*HSI!$B$74*HSI!$G$74/HSI!$B$3,""))</f>
        <v/>
      </c>
      <c r="CH79" s="106">
        <f>IF(T79="","",IFERROR(T79*HSI!$B$74*HSI!$G$74/HSI!$B$3,""))</f>
        <v/>
      </c>
      <c r="CI79" s="106">
        <f>IF(U79="","",IFERROR(U79*HSI!$B$74*HSI!$G$74/HSI!$B$3,""))</f>
        <v/>
      </c>
      <c r="CJ79" s="106">
        <f>IF(V79="","",IFERROR(V79*HSI!$B$74*HSI!$G$74/HSI!$B$3,""))</f>
        <v/>
      </c>
      <c r="CK79" s="106">
        <f>IF(W79="","",IFERROR(W79*HSI!$B$74*HSI!$G$74/HSI!$B$3,""))</f>
        <v/>
      </c>
      <c r="CL79" s="106">
        <f>IF(X79="","",IFERROR(X79*HSI!$B$74*HSI!$G$74/HSI!$B$3,""))</f>
        <v/>
      </c>
      <c r="CM79" s="106">
        <f>IF(Y79="","",IFERROR(Y79*HSI!$B$74*HSI!$G$74/HSI!$B$3,""))</f>
        <v/>
      </c>
      <c r="CN79" s="106">
        <f>IF(Z79="","",IFERROR(Z79*HSI!$B$74*HSI!$G$74/HSI!$B$3,""))</f>
        <v/>
      </c>
      <c r="CO79" s="106">
        <f>IF(AA79="","",IFERROR(AA79*HSI!$B$74*HSI!$G$74/HSI!$B$3,""))</f>
        <v/>
      </c>
      <c r="CP79" s="106">
        <f>IF(AB79="","",IFERROR(AB79*HSI!$B$74*HSI!$G$74/HSI!$B$3,""))</f>
        <v/>
      </c>
      <c r="CQ79" s="106">
        <f>IF(AC79="","",IFERROR(AC79*HSI!$B$74*HSI!$G$74/HSI!$B$3,""))</f>
        <v/>
      </c>
      <c r="CR79" s="106">
        <f>IF(AD79="","",IFERROR(AD79*HSI!$B$74*HSI!$G$74/HSI!$B$3,""))</f>
        <v/>
      </c>
      <c r="CS79" s="106">
        <f>IF(AE79="","",IFERROR(AE79*HSI!$B$74*HSI!$G$74/HSI!$B$3,""))</f>
        <v/>
      </c>
      <c r="CT79" s="106">
        <f>IF(AF79="","",IFERROR(AF79*HSI!$B$74*HSI!$G$74/HSI!$B$3,""))</f>
        <v/>
      </c>
      <c r="CU79" s="106">
        <f>IF(AG79="","",IFERROR(AG79*HSI!$B$74*HSI!$G$74/HSI!$B$3,""))</f>
        <v/>
      </c>
      <c r="CV79" s="106">
        <f>IF(AH79="","",IFERROR(AH79*HSI!$B$74*HSI!$G$74/HSI!$B$3,""))</f>
        <v/>
      </c>
      <c r="CW79" s="106">
        <f>IF(AI79="","",IFERROR(AI79*HSI!$B$74*HSI!$G$74/HSI!$B$3,""))</f>
        <v/>
      </c>
      <c r="CX79" s="106">
        <f>IF(AJ79="","",IFERROR(AJ79*HSI!$B$74*HSI!$G$74/HSI!$B$3,""))</f>
        <v/>
      </c>
      <c r="CY79" s="106">
        <f>IF(AK79="","",IFERROR(AK79*HSI!$B$74*HSI!$G$74/HSI!$B$3,""))</f>
        <v/>
      </c>
      <c r="CZ79" s="106">
        <f>IF(AL79="","",IFERROR(AL79*HSI!$B$74*HSI!$G$74/HSI!$B$3,""))</f>
        <v/>
      </c>
      <c r="DA79" s="106">
        <f>IF(AM79="","",IFERROR(AM79*HSI!$B$74*HSI!$G$74/HSI!$B$3,""))</f>
        <v/>
      </c>
      <c r="DB79" s="106">
        <f>IF(AN79="","",IFERROR(AN79*HSI!$B$74*HSI!$G$74/HSI!$B$3,""))</f>
        <v/>
      </c>
      <c r="DC79" s="106">
        <f>IF(AO79="","",IFERROR(AO79*HSI!$B$74*HSI!$G$74/HSI!$B$3,""))</f>
        <v/>
      </c>
      <c r="DD79" s="106">
        <f>IF(AP79="","",IFERROR(AP79*HSI!$B$74*HSI!$G$74/HSI!$B$3,""))</f>
        <v/>
      </c>
      <c r="DE79" s="106">
        <f>IF(AQ79="","",IFERROR(AQ79*HSI!$B$74*HSI!$G$74/HSI!$B$3,""))</f>
        <v/>
      </c>
      <c r="DF79" s="106">
        <f>IF(AR79="","",IFERROR(AR79*HSI!$B$74*HSI!$G$74/HSI!$B$3,""))</f>
        <v/>
      </c>
      <c r="DG79" s="106">
        <f>IF(AS79="","",IFERROR(AS79*HSI!$B$74*HSI!$G$74/HSI!$B$3,""))</f>
        <v/>
      </c>
      <c r="DH79" s="106">
        <f>IF(AT79="","",IFERROR(AT79*HSI!$B$74*HSI!$G$74/HSI!$B$3,""))</f>
        <v/>
      </c>
      <c r="DI79" s="106">
        <f>IF(AU79="","",IFERROR(AU79*HSI!$B$74*HSI!$G$74/HSI!$B$3,""))</f>
        <v/>
      </c>
      <c r="DJ79" s="106">
        <f>IF(AV79="","",IFERROR(AV79*HSI!$B$74*HSI!$G$74/HSI!$B$3,""))</f>
        <v/>
      </c>
      <c r="DK79" s="106">
        <f>IF(AW79="","",IFERROR(AW79*HSI!$B$74*HSI!$G$74/HSI!$B$3,""))</f>
        <v/>
      </c>
      <c r="DL79" s="106">
        <f>IF(AX79="","",IFERROR(AX79*HSI!$B$74*HSI!$G$74/HSI!$B$3,""))</f>
        <v/>
      </c>
      <c r="DM79" s="106">
        <f>IF(AY79="","",IFERROR(AY79*HSI!$B$74*HSI!$G$74/HSI!$B$3,""))</f>
        <v/>
      </c>
      <c r="DN79" s="106">
        <f>IF(AZ79="","",IFERROR(AZ79*HSI!$B$74*HSI!$G$74/HSI!$B$3,""))</f>
        <v/>
      </c>
      <c r="DO79" s="106">
        <f>IF(BA79="","",IFERROR(BA79*HSI!$B$74*HSI!$G$74/HSI!$B$3,""))</f>
        <v/>
      </c>
      <c r="DP79" s="106">
        <f>IF(BB79="","",IFERROR(BB79*HSI!$B$74*HSI!$G$74/HSI!$B$3,""))</f>
        <v/>
      </c>
      <c r="DQ79" s="106">
        <f>IF(BC79="","",IFERROR(BC79*HSI!$B$74*HSI!$G$74/HSI!$B$3,""))</f>
        <v/>
      </c>
      <c r="DR79" s="106">
        <f>IF(BD79="","",IFERROR(BD79*HSI!$B$74*HSI!$G$74/HSI!$B$3,""))</f>
        <v/>
      </c>
      <c r="DS79" s="106">
        <f>IF(BE79="","",IFERROR(BE79*HSI!$B$74*HSI!$G$74/HSI!$B$3,""))</f>
        <v/>
      </c>
      <c r="DT79" s="106">
        <f>IF(BF79="","",IFERROR(BF79*HSI!$B$74*HSI!$G$74/HSI!$B$3,""))</f>
        <v/>
      </c>
      <c r="DU79" s="106">
        <f>IF(BG79="","",IFERROR(BG79*HSI!$B$74*HSI!$G$74/HSI!$B$3,""))</f>
        <v/>
      </c>
      <c r="DV79" s="106">
        <f>IF(BH79="","",IFERROR(BH79*HSI!$B$74*HSI!$G$74/HSI!$B$3,""))</f>
        <v/>
      </c>
      <c r="DW79" s="106">
        <f>IF(BI79="","",IFERROR(BI79*HSI!$B$74*HSI!$G$74/HSI!$B$3,""))</f>
        <v/>
      </c>
      <c r="DX79" s="106">
        <f>IF(BJ79="","",IFERROR(BJ79*HSI!$B$74*HSI!$G$74/HSI!$B$3,""))</f>
        <v/>
      </c>
      <c r="DY79" s="106">
        <f>IF(BK79="","",IFERROR(BK79*HSI!$B$74*HSI!$G$74/HSI!$B$3,""))</f>
        <v/>
      </c>
      <c r="DZ79" s="106">
        <f>IF(BL79="","",IFERROR(BL79*HSI!$B$74*HSI!$G$74/HSI!$B$3,""))</f>
        <v/>
      </c>
      <c r="EA79" s="106">
        <f>IF(BM79="","",IFERROR(BM79*HSI!$B$74*HSI!$G$74/HSI!$B$3,""))</f>
        <v/>
      </c>
      <c r="EB79" s="106">
        <f>IF(BN79="","",IFERROR(BN79*HSI!$B$74*HSI!$G$74/HSI!$B$3,""))</f>
        <v/>
      </c>
      <c r="EC79" s="106">
        <f>IF(BO79="","",IFERROR(BO79*HSI!$B$74*HSI!$G$74/HSI!$B$3,""))</f>
        <v/>
      </c>
      <c r="EE79" s="35">
        <f>IF(N('Dvd Calendar'!$E$748)=0,"",IF(('Dvd Calendar'!$E$748&gt;=GRID_FROM)*('Dvd Calendar'!$E$748&lt;=GRID_TO)*('Dvd Calendar'!$E$748&lt;=VAL_DATE)=0,"",'Dvd Calendar'!$E$748*1000000000+ISNUMBER('Dvd Calendar'!$E$751)*100000000+('Dvd Calendar'!$E$753=SPECIAL_LBL)*10000000+0*1000000+68*1000+1))</f>
        <v/>
      </c>
      <c r="EF79" s="35">
        <f>IF(N('Dvd Calendar'!$F$748)=0,"",IF(('Dvd Calendar'!$F$748&gt;=GRID_FROM)*('Dvd Calendar'!$F$748&lt;=GRID_TO)*('Dvd Calendar'!$F$748&lt;=VAL_DATE)=0,"",'Dvd Calendar'!$F$748*1000000000+ISNUMBER('Dvd Calendar'!$F$751)*100000000+('Dvd Calendar'!$F$753=SPECIAL_LBL)*10000000+0*1000000+68*1000+2))</f>
        <v/>
      </c>
      <c r="EG79" s="35">
        <f>IF(N('Dvd Calendar'!$G$748)=0,"",IF(('Dvd Calendar'!$G$748&gt;=GRID_FROM)*('Dvd Calendar'!$G$748&lt;=GRID_TO)*('Dvd Calendar'!$G$748&lt;=VAL_DATE)=0,"",'Dvd Calendar'!$G$748*1000000000+ISNUMBER('Dvd Calendar'!$G$751)*100000000+('Dvd Calendar'!$G$753=SPECIAL_LBL)*10000000+0*1000000+68*1000+3))</f>
        <v/>
      </c>
      <c r="EH79" s="35">
        <f>IF(N('Dvd Calendar'!$H$748)=0,"",IF(('Dvd Calendar'!$H$748&gt;=GRID_FROM)*('Dvd Calendar'!$H$748&lt;=GRID_TO)*('Dvd Calendar'!$H$748&lt;=VAL_DATE)=0,"",'Dvd Calendar'!$H$748*1000000000+ISNUMBER('Dvd Calendar'!$H$751)*100000000+('Dvd Calendar'!$H$753=SPECIAL_LBL)*10000000+0*1000000+68*1000+4))</f>
        <v/>
      </c>
      <c r="EI79" s="35">
        <f>IF(N('Dvd Calendar'!$I$748)=0,"",IF(('Dvd Calendar'!$I$748&gt;=GRID_FROM)*('Dvd Calendar'!$I$748&lt;=GRID_TO)*('Dvd Calendar'!$I$748&lt;=VAL_DATE)=0,"",'Dvd Calendar'!$I$748*1000000000+ISNUMBER('Dvd Calendar'!$I$751)*100000000+('Dvd Calendar'!$I$753=SPECIAL_LBL)*10000000+0*1000000+68*1000+5))</f>
        <v/>
      </c>
      <c r="EJ79" s="35">
        <f>IF(N('Dvd Calendar'!$J$748)=0,"",IF(('Dvd Calendar'!$J$748&gt;=GRID_FROM)*('Dvd Calendar'!$J$748&lt;=GRID_TO)*('Dvd Calendar'!$J$748&lt;=VAL_DATE)=0,"",'Dvd Calendar'!$J$748*1000000000+ISNUMBER('Dvd Calendar'!$J$751)*100000000+('Dvd Calendar'!$J$753=SPECIAL_LBL)*10000000+0*1000000+68*1000+6))</f>
        <v/>
      </c>
      <c r="EK79" s="35">
        <f>IF(N('Dvd Calendar'!$K$748)=0,"",IF(('Dvd Calendar'!$K$748&gt;=GRID_FROM)*('Dvd Calendar'!$K$748&lt;=GRID_TO)*('Dvd Calendar'!$K$748&lt;=VAL_DATE)=0,"",'Dvd Calendar'!$K$748*1000000000+ISNUMBER('Dvd Calendar'!$K$751)*100000000+('Dvd Calendar'!$K$753=SPECIAL_LBL)*10000000+0*1000000+68*1000+7))</f>
        <v/>
      </c>
      <c r="EL79" s="35">
        <f>IF(N('Dvd Calendar'!$L$748)=0,"",IF(('Dvd Calendar'!$L$748&gt;=GRID_FROM)*('Dvd Calendar'!$L$748&lt;=GRID_TO)*('Dvd Calendar'!$L$748&lt;=VAL_DATE)=0,"",'Dvd Calendar'!$L$748*1000000000+ISNUMBER('Dvd Calendar'!$L$751)*100000000+('Dvd Calendar'!$L$753=SPECIAL_LBL)*10000000+0*1000000+68*1000+8))</f>
        <v/>
      </c>
      <c r="EM79" s="35">
        <f>IF(N('Dvd Calendar'!$M$748)=0,"",IF(('Dvd Calendar'!$M$748&gt;=GRID_FROM)*('Dvd Calendar'!$M$748&lt;=GRID_TO)*('Dvd Calendar'!$M$748&lt;=VAL_DATE)=0,"",'Dvd Calendar'!$M$748*1000000000+ISNUMBER('Dvd Calendar'!$M$751)*100000000+('Dvd Calendar'!$M$753=SPECIAL_LBL)*10000000+0*1000000+68*1000+9))</f>
        <v/>
      </c>
      <c r="EN79" s="35">
        <f>IF(N('Dvd Calendar'!$N$748)=0,"",IF(('Dvd Calendar'!$N$748&gt;=GRID_FROM)*('Dvd Calendar'!$N$748&lt;=GRID_TO)*('Dvd Calendar'!$N$748&lt;=VAL_DATE)=0,"",'Dvd Calendar'!$N$748*1000000000+ISNUMBER('Dvd Calendar'!$N$751)*100000000+('Dvd Calendar'!$N$753=SPECIAL_LBL)*10000000+0*1000000+68*1000+10))</f>
        <v/>
      </c>
      <c r="EO79" s="35">
        <f>IF(N('Dvd Calendar'!$O$748)=0,"",IF(('Dvd Calendar'!$O$748&gt;=GRID_FROM)*('Dvd Calendar'!$O$748&lt;=GRID_TO)*('Dvd Calendar'!$O$748&lt;=VAL_DATE)=0,"",'Dvd Calendar'!$O$748*1000000000+ISNUMBER('Dvd Calendar'!$O$751)*100000000+('Dvd Calendar'!$O$753=SPECIAL_LBL)*10000000+0*1000000+68*1000+11))</f>
        <v/>
      </c>
      <c r="EP79" s="35">
        <f>IF(N('Dvd Calendar'!$P$748)=0,"",IF(('Dvd Calendar'!$P$748&gt;=GRID_FROM)*('Dvd Calendar'!$P$748&lt;=GRID_TO)*('Dvd Calendar'!$P$748&lt;=VAL_DATE)=0,"",'Dvd Calendar'!$P$748*1000000000+ISNUMBER('Dvd Calendar'!$P$751)*100000000+('Dvd Calendar'!$P$753=SPECIAL_LBL)*10000000+0*1000000+68*1000+12))</f>
        <v/>
      </c>
      <c r="EQ79" s="35">
        <f>IF(N('Dvd Calendar'!$Q$748)=0,"",IF(('Dvd Calendar'!$Q$748&gt;=GRID_FROM)*('Dvd Calendar'!$Q$748&lt;=GRID_TO)*('Dvd Calendar'!$Q$748&lt;=VAL_DATE)=0,"",'Dvd Calendar'!$Q$748*1000000000+ISNUMBER('Dvd Calendar'!$Q$751)*100000000+('Dvd Calendar'!$Q$753=SPECIAL_LBL)*10000000+0*1000000+68*1000+13))</f>
        <v/>
      </c>
      <c r="ER79" s="35">
        <f>IF(N('Dvd Calendar'!$R$748)=0,"",IF(('Dvd Calendar'!$R$748&gt;=GRID_FROM)*('Dvd Calendar'!$R$748&lt;=GRID_TO)*('Dvd Calendar'!$R$748&lt;=VAL_DATE)=0,"",'Dvd Calendar'!$R$748*1000000000+ISNUMBER('Dvd Calendar'!$R$751)*100000000+('Dvd Calendar'!$R$753=SPECIAL_LBL)*10000000+0*1000000+68*1000+14))</f>
        <v/>
      </c>
      <c r="ES79" s="35">
        <f>IF(N('Dvd Calendar'!$S$748)=0,"",IF(('Dvd Calendar'!$S$748&gt;=GRID_FROM)*('Dvd Calendar'!$S$748&lt;=GRID_TO)*('Dvd Calendar'!$S$748&lt;=VAL_DATE)=0,"",'Dvd Calendar'!$S$748*1000000000+ISNUMBER('Dvd Calendar'!$S$751)*100000000+('Dvd Calendar'!$S$753=SPECIAL_LBL)*10000000+0*1000000+68*1000+15))</f>
        <v/>
      </c>
      <c r="ET79" s="35">
        <f>IF(N('Dvd Calendar'!$T$748)=0,"",IF(('Dvd Calendar'!$T$748&gt;=GRID_FROM)*('Dvd Calendar'!$T$748&lt;=GRID_TO)*('Dvd Calendar'!$T$748&lt;=VAL_DATE)=0,"",'Dvd Calendar'!$T$748*1000000000+ISNUMBER('Dvd Calendar'!$T$751)*100000000+('Dvd Calendar'!$T$753=SPECIAL_LBL)*10000000+0*1000000+68*1000+16))</f>
        <v/>
      </c>
      <c r="EU79" s="35">
        <f>IF(N('Dvd Calendar'!$U$748)=0,"",IF(('Dvd Calendar'!$U$748&gt;=GRID_FROM)*('Dvd Calendar'!$U$748&lt;=GRID_TO)*('Dvd Calendar'!$U$748&lt;=VAL_DATE)=0,"",'Dvd Calendar'!$U$748*1000000000+ISNUMBER('Dvd Calendar'!$U$751)*100000000+('Dvd Calendar'!$U$753=SPECIAL_LBL)*10000000+0*1000000+68*1000+17))</f>
        <v/>
      </c>
      <c r="EV79" s="35">
        <f>IF(N('Dvd Calendar'!$V$748)=0,"",IF(('Dvd Calendar'!$V$748&gt;=GRID_FROM)*('Dvd Calendar'!$V$748&lt;=GRID_TO)*('Dvd Calendar'!$V$748&lt;=VAL_DATE)=0,"",'Dvd Calendar'!$V$748*1000000000+ISNUMBER('Dvd Calendar'!$V$751)*100000000+('Dvd Calendar'!$V$753=SPECIAL_LBL)*10000000+0*1000000+68*1000+18))</f>
        <v/>
      </c>
      <c r="EW79" s="35">
        <f>IF(N('Dvd Calendar'!$W$748)=0,"",IF(('Dvd Calendar'!$W$748&gt;=GRID_FROM)*('Dvd Calendar'!$W$748&lt;=GRID_TO)*('Dvd Calendar'!$W$748&lt;=VAL_DATE)=0,"",'Dvd Calendar'!$W$748*1000000000+ISNUMBER('Dvd Calendar'!$W$751)*100000000+('Dvd Calendar'!$W$753=SPECIAL_LBL)*10000000+0*1000000+68*1000+19))</f>
        <v/>
      </c>
      <c r="EX79" s="35">
        <f>IF(N('Dvd Calendar'!$X$748)=0,"",IF(('Dvd Calendar'!$X$748&gt;=GRID_FROM)*('Dvd Calendar'!$X$748&lt;=GRID_TO)*('Dvd Calendar'!$X$748&lt;=VAL_DATE)=0,"",'Dvd Calendar'!$X$748*1000000000+ISNUMBER('Dvd Calendar'!$X$751)*100000000+('Dvd Calendar'!$X$753=SPECIAL_LBL)*10000000+0*1000000+68*1000+20))</f>
        <v/>
      </c>
      <c r="EY79" s="35">
        <f>IF(N('Dvd Calendar'!$Y$748)=0,"",IF(('Dvd Calendar'!$Y$748&gt;=GRID_FROM)*('Dvd Calendar'!$Y$748&lt;=GRID_TO)*('Dvd Calendar'!$Y$748&lt;=VAL_DATE)=0,"",'Dvd Calendar'!$Y$748*1000000000+ISNUMBER('Dvd Calendar'!$Y$751)*100000000+('Dvd Calendar'!$Y$753=SPECIAL_LBL)*10000000+0*1000000+68*1000+21))</f>
        <v/>
      </c>
      <c r="EZ79" s="35">
        <f>IF(N('Dvd Calendar'!$Z$748)=0,"",IF(('Dvd Calendar'!$Z$748&gt;=GRID_FROM)*('Dvd Calendar'!$Z$748&lt;=GRID_TO)*('Dvd Calendar'!$Z$748&lt;=VAL_DATE)=0,"",'Dvd Calendar'!$Z$748*1000000000+ISNUMBER('Dvd Calendar'!$Z$751)*100000000+('Dvd Calendar'!$Z$753=SPECIAL_LBL)*10000000+0*1000000+68*1000+22))</f>
        <v/>
      </c>
      <c r="FA79" s="35">
        <f>IF(N('Dvd Calendar'!$AA$748)=0,"",IF(('Dvd Calendar'!$AA$748&gt;=GRID_FROM)*('Dvd Calendar'!$AA$748&lt;=GRID_TO)*('Dvd Calendar'!$AA$748&lt;=VAL_DATE)=0,"",'Dvd Calendar'!$AA$748*1000000000+ISNUMBER('Dvd Calendar'!$AA$751)*100000000+('Dvd Calendar'!$AA$753=SPECIAL_LBL)*10000000+0*1000000+68*1000+23))</f>
        <v/>
      </c>
      <c r="FB79" s="35">
        <f>IF(N('Dvd Calendar'!$AB$748)=0,"",IF(('Dvd Calendar'!$AB$748&gt;=GRID_FROM)*('Dvd Calendar'!$AB$748&lt;=GRID_TO)*('Dvd Calendar'!$AB$748&lt;=VAL_DATE)=0,"",'Dvd Calendar'!$AB$748*1000000000+ISNUMBER('Dvd Calendar'!$AB$751)*100000000+('Dvd Calendar'!$AB$753=SPECIAL_LBL)*10000000+0*1000000+68*1000+24))</f>
        <v/>
      </c>
      <c r="FC79" s="35">
        <f>IF(N('Dvd Calendar'!$AC$748)=0,"",IF(('Dvd Calendar'!$AC$748&gt;=GRID_FROM)*('Dvd Calendar'!$AC$748&lt;=GRID_TO)*('Dvd Calendar'!$AC$748&lt;=VAL_DATE)=0,"",'Dvd Calendar'!$AC$748*1000000000+ISNUMBER('Dvd Calendar'!$AC$751)*100000000+('Dvd Calendar'!$AC$753=SPECIAL_LBL)*10000000+0*1000000+68*1000+25))</f>
        <v/>
      </c>
      <c r="FD79" s="35">
        <f>IF(N('Dvd Calendar'!$AD$748)=0,"",IF(('Dvd Calendar'!$AD$748&gt;=GRID_FROM)*('Dvd Calendar'!$AD$748&lt;=GRID_TO)*('Dvd Calendar'!$AD$748&lt;=VAL_DATE)=0,"",'Dvd Calendar'!$AD$748*1000000000+ISNUMBER('Dvd Calendar'!$AD$751)*100000000+('Dvd Calendar'!$AD$753=SPECIAL_LBL)*10000000+0*1000000+68*1000+26))</f>
        <v/>
      </c>
      <c r="FE79" s="35">
        <f>IF(N('Dvd Calendar'!$AE$748)=0,"",IF(('Dvd Calendar'!$AE$748&gt;=GRID_FROM)*('Dvd Calendar'!$AE$748&lt;=GRID_TO)*('Dvd Calendar'!$AE$748&lt;=VAL_DATE)=0,"",'Dvd Calendar'!$AE$748*1000000000+ISNUMBER('Dvd Calendar'!$AE$751)*100000000+('Dvd Calendar'!$AE$753=SPECIAL_LBL)*10000000+0*1000000+68*1000+27))</f>
        <v/>
      </c>
      <c r="FF79" s="35">
        <f>IF(N('Dvd Calendar'!$AF$748)=0,"",IF(('Dvd Calendar'!$AF$748&gt;=GRID_FROM)*('Dvd Calendar'!$AF$748&lt;=GRID_TO)*('Dvd Calendar'!$AF$748&lt;=VAL_DATE)=0,"",'Dvd Calendar'!$AF$748*1000000000+ISNUMBER('Dvd Calendar'!$AF$751)*100000000+('Dvd Calendar'!$AF$753=SPECIAL_LBL)*10000000+0*1000000+68*1000+28))</f>
        <v/>
      </c>
      <c r="FG79" s="35">
        <f>IF(N('Dvd Calendar'!$AG$748)=0,"",IF(('Dvd Calendar'!$AG$748&gt;=GRID_FROM)*('Dvd Calendar'!$AG$748&lt;=GRID_TO)*('Dvd Calendar'!$AG$748&lt;=VAL_DATE)=0,"",'Dvd Calendar'!$AG$748*1000000000+ISNUMBER('Dvd Calendar'!$AG$751)*100000000+('Dvd Calendar'!$AG$753=SPECIAL_LBL)*10000000+0*1000000+68*1000+29))</f>
        <v/>
      </c>
      <c r="FH79" s="35">
        <f>IF(N('Dvd Calendar'!$AH$748)=0,"",IF(('Dvd Calendar'!$AH$748&gt;=GRID_FROM)*('Dvd Calendar'!$AH$748&lt;=GRID_TO)*('Dvd Calendar'!$AH$748&lt;=VAL_DATE)=0,"",'Dvd Calendar'!$AH$748*1000000000+ISNUMBER('Dvd Calendar'!$AH$751)*100000000+('Dvd Calendar'!$AH$753=SPECIAL_LBL)*10000000+0*1000000+68*1000+30))</f>
        <v/>
      </c>
      <c r="FI79" s="35">
        <f>IF(N('Dvd Calendar'!$AI$748)=0,"",IF(('Dvd Calendar'!$AI$748&gt;=GRID_FROM)*('Dvd Calendar'!$AI$748&lt;=GRID_TO)*('Dvd Calendar'!$AI$748&lt;=VAL_DATE)=0,"",'Dvd Calendar'!$AI$748*1000000000+ISNUMBER('Dvd Calendar'!$AI$751)*100000000+('Dvd Calendar'!$AI$753=SPECIAL_LBL)*10000000+0*1000000+68*1000+31))</f>
        <v/>
      </c>
      <c r="FJ79" s="35">
        <f>IF(N('Dvd Calendar'!$AJ$748)=0,"",IF(('Dvd Calendar'!$AJ$748&gt;=GRID_FROM)*('Dvd Calendar'!$AJ$748&lt;=GRID_TO)*('Dvd Calendar'!$AJ$748&lt;=VAL_DATE)=0,"",'Dvd Calendar'!$AJ$748*1000000000+ISNUMBER('Dvd Calendar'!$AJ$751)*100000000+('Dvd Calendar'!$AJ$753=SPECIAL_LBL)*10000000+0*1000000+68*1000+32))</f>
        <v/>
      </c>
      <c r="FK79" s="35">
        <f>IF(N('Dvd Calendar'!$AK$748)=0,"",IF(('Dvd Calendar'!$AK$748&gt;=GRID_FROM)*('Dvd Calendar'!$AK$748&lt;=GRID_TO)*('Dvd Calendar'!$AK$748&lt;=VAL_DATE)=0,"",'Dvd Calendar'!$AK$748*1000000000+ISNUMBER('Dvd Calendar'!$AK$751)*100000000+('Dvd Calendar'!$AK$753=SPECIAL_LBL)*10000000+0*1000000+68*1000+33))</f>
        <v/>
      </c>
      <c r="FL79" s="35">
        <f>IF(N('Dvd Calendar'!$AL$748)=0,"",IF(('Dvd Calendar'!$AL$748&gt;=GRID_FROM)*('Dvd Calendar'!$AL$748&lt;=GRID_TO)*('Dvd Calendar'!$AL$748&lt;=VAL_DATE)=0,"",'Dvd Calendar'!$AL$748*1000000000+ISNUMBER('Dvd Calendar'!$AL$751)*100000000+('Dvd Calendar'!$AL$753=SPECIAL_LBL)*10000000+0*1000000+68*1000+34))</f>
        <v/>
      </c>
      <c r="FM79" s="35">
        <f>IF(N('Dvd Calendar'!$AM$748)=0,"",IF(('Dvd Calendar'!$AM$748&gt;=GRID_FROM)*('Dvd Calendar'!$AM$748&lt;=GRID_TO)*('Dvd Calendar'!$AM$748&lt;=VAL_DATE)=0,"",'Dvd Calendar'!$AM$748*1000000000+ISNUMBER('Dvd Calendar'!$AM$751)*100000000+('Dvd Calendar'!$AM$753=SPECIAL_LBL)*10000000+0*1000000+68*1000+35))</f>
        <v/>
      </c>
      <c r="FN79" s="35">
        <f>IF(N('Dvd Calendar'!$AN$748)=0,"",IF(('Dvd Calendar'!$AN$748&gt;=GRID_FROM)*('Dvd Calendar'!$AN$748&lt;=GRID_TO)*('Dvd Calendar'!$AN$748&lt;=VAL_DATE)=0,"",'Dvd Calendar'!$AN$748*1000000000+ISNUMBER('Dvd Calendar'!$AN$751)*100000000+('Dvd Calendar'!$AN$753=SPECIAL_LBL)*10000000+0*1000000+68*1000+36))</f>
        <v/>
      </c>
      <c r="FO79" s="35">
        <f>IF(N('Dvd Calendar'!$AO$748)=0,"",IF(('Dvd Calendar'!$AO$748&gt;=GRID_FROM)*('Dvd Calendar'!$AO$748&lt;=GRID_TO)*('Dvd Calendar'!$AO$748&lt;=VAL_DATE)=0,"",'Dvd Calendar'!$AO$748*1000000000+ISNUMBER('Dvd Calendar'!$AO$751)*100000000+('Dvd Calendar'!$AO$753=SPECIAL_LBL)*10000000+0*1000000+68*1000+37))</f>
        <v/>
      </c>
      <c r="FP79" s="35">
        <f>IF(N('Dvd Calendar'!$AP$748)=0,"",IF(('Dvd Calendar'!$AP$748&gt;=GRID_FROM)*('Dvd Calendar'!$AP$748&lt;=GRID_TO)*('Dvd Calendar'!$AP$748&lt;=VAL_DATE)=0,"",'Dvd Calendar'!$AP$748*1000000000+ISNUMBER('Dvd Calendar'!$AP$751)*100000000+('Dvd Calendar'!$AP$753=SPECIAL_LBL)*10000000+0*1000000+68*1000+38))</f>
        <v/>
      </c>
      <c r="FQ79" s="35">
        <f>IF(N('Dvd Calendar'!$AQ$748)=0,"",IF(('Dvd Calendar'!$AQ$748&gt;=GRID_FROM)*('Dvd Calendar'!$AQ$748&lt;=GRID_TO)*('Dvd Calendar'!$AQ$748&lt;=VAL_DATE)=0,"",'Dvd Calendar'!$AQ$748*1000000000+ISNUMBER('Dvd Calendar'!$AQ$751)*100000000+('Dvd Calendar'!$AQ$753=SPECIAL_LBL)*10000000+0*1000000+68*1000+39))</f>
        <v/>
      </c>
      <c r="FR79" s="35">
        <f>IF(N('Dvd Calendar'!$AR$748)=0,"",IF(('Dvd Calendar'!$AR$748&gt;=GRID_FROM)*('Dvd Calendar'!$AR$748&lt;=GRID_TO)*('Dvd Calendar'!$AR$748&lt;=VAL_DATE)=0,"",'Dvd Calendar'!$AR$748*1000000000+ISNUMBER('Dvd Calendar'!$AR$751)*100000000+('Dvd Calendar'!$AR$753=SPECIAL_LBL)*10000000+0*1000000+68*1000+40))</f>
        <v/>
      </c>
      <c r="FS79" s="35">
        <f>IF(N('Dvd Calendar'!$E$755)=0,"",IF(('Dvd Calendar'!$E$755&gt;=GRID_FROM)*('Dvd Calendar'!$E$755&lt;=GRID_TO)*('Dvd Calendar'!$E$755&gt;VAL_DATE)=0,"",'Dvd Calendar'!$E$755*1000000000+ISNUMBER('Dvd Calendar'!$E$756)*100000000+0*10000000+(N('Dvd Calendar'!$E$754)&gt;0)*(N('Dvd Calendar'!$E$754)&lt;=VAL_SERIAL)*1000000+68*1000+41))</f>
        <v/>
      </c>
      <c r="FT79" s="35">
        <f>IF(N('Dvd Calendar'!$F$755)=0,"",IF(('Dvd Calendar'!$F$755&gt;=GRID_FROM)*('Dvd Calendar'!$F$755&lt;=GRID_TO)*('Dvd Calendar'!$F$755&gt;VAL_DATE)=0,"",'Dvd Calendar'!$F$755*1000000000+ISNUMBER('Dvd Calendar'!$F$756)*100000000+0*10000000+(N('Dvd Calendar'!$F$754)&gt;0)*(N('Dvd Calendar'!$F$754)&lt;=VAL_SERIAL)*1000000+68*1000+42))</f>
        <v/>
      </c>
      <c r="FU79" s="35">
        <f>IF(N('Dvd Calendar'!$G$755)=0,"",IF(('Dvd Calendar'!$G$755&gt;=GRID_FROM)*('Dvd Calendar'!$G$755&lt;=GRID_TO)*('Dvd Calendar'!$G$755&gt;VAL_DATE)=0,"",'Dvd Calendar'!$G$755*1000000000+ISNUMBER('Dvd Calendar'!$G$756)*100000000+0*10000000+(N('Dvd Calendar'!$G$754)&gt;0)*(N('Dvd Calendar'!$G$754)&lt;=VAL_SERIAL)*1000000+68*1000+43))</f>
        <v/>
      </c>
      <c r="FV79" s="35">
        <f>IF(N('Dvd Calendar'!$H$755)=0,"",IF(('Dvd Calendar'!$H$755&gt;=GRID_FROM)*('Dvd Calendar'!$H$755&lt;=GRID_TO)*('Dvd Calendar'!$H$755&gt;VAL_DATE)=0,"",'Dvd Calendar'!$H$755*1000000000+ISNUMBER('Dvd Calendar'!$H$756)*100000000+0*10000000+(N('Dvd Calendar'!$H$754)&gt;0)*(N('Dvd Calendar'!$H$754)&lt;=VAL_SERIAL)*1000000+68*1000+44))</f>
        <v/>
      </c>
      <c r="FW79" s="35">
        <f>IF(N('Dvd Calendar'!$I$755)=0,"",IF(('Dvd Calendar'!$I$755&gt;=GRID_FROM)*('Dvd Calendar'!$I$755&lt;=GRID_TO)*('Dvd Calendar'!$I$755&gt;VAL_DATE)=0,"",'Dvd Calendar'!$I$755*1000000000+ISNUMBER('Dvd Calendar'!$I$756)*100000000+0*10000000+(N('Dvd Calendar'!$I$754)&gt;0)*(N('Dvd Calendar'!$I$754)&lt;=VAL_SERIAL)*1000000+68*1000+45))</f>
        <v/>
      </c>
      <c r="FX79" s="35">
        <f>IF(N('Dvd Calendar'!$J$755)=0,"",IF(('Dvd Calendar'!$J$755&gt;=GRID_FROM)*('Dvd Calendar'!$J$755&lt;=GRID_TO)*('Dvd Calendar'!$J$755&gt;VAL_DATE)=0,"",'Dvd Calendar'!$J$755*1000000000+ISNUMBER('Dvd Calendar'!$J$756)*100000000+0*10000000+(N('Dvd Calendar'!$J$754)&gt;0)*(N('Dvd Calendar'!$J$754)&lt;=VAL_SERIAL)*1000000+68*1000+46))</f>
        <v/>
      </c>
      <c r="FY79" s="35">
        <f>IF(N('Dvd Calendar'!$K$755)=0,"",IF(('Dvd Calendar'!$K$755&gt;=GRID_FROM)*('Dvd Calendar'!$K$755&lt;=GRID_TO)*('Dvd Calendar'!$K$755&gt;VAL_DATE)=0,"",'Dvd Calendar'!$K$755*1000000000+ISNUMBER('Dvd Calendar'!$K$756)*100000000+0*10000000+(N('Dvd Calendar'!$K$754)&gt;0)*(N('Dvd Calendar'!$K$754)&lt;=VAL_SERIAL)*1000000+68*1000+47))</f>
        <v/>
      </c>
      <c r="FZ79" s="35">
        <f>IF(N('Dvd Calendar'!$L$755)=0,"",IF(('Dvd Calendar'!$L$755&gt;=GRID_FROM)*('Dvd Calendar'!$L$755&lt;=GRID_TO)*('Dvd Calendar'!$L$755&gt;VAL_DATE)=0,"",'Dvd Calendar'!$L$755*1000000000+ISNUMBER('Dvd Calendar'!$L$756)*100000000+0*10000000+(N('Dvd Calendar'!$L$754)&gt;0)*(N('Dvd Calendar'!$L$754)&lt;=VAL_SERIAL)*1000000+68*1000+48))</f>
        <v/>
      </c>
      <c r="GA79" s="35">
        <f>IF(N('Dvd Calendar'!$M$755)=0,"",IF(('Dvd Calendar'!$M$755&gt;=GRID_FROM)*('Dvd Calendar'!$M$755&lt;=GRID_TO)*('Dvd Calendar'!$M$755&gt;VAL_DATE)=0,"",'Dvd Calendar'!$M$755*1000000000+ISNUMBER('Dvd Calendar'!$M$756)*100000000+0*10000000+(N('Dvd Calendar'!$M$754)&gt;0)*(N('Dvd Calendar'!$M$754)&lt;=VAL_SERIAL)*1000000+68*1000+49))</f>
        <v/>
      </c>
      <c r="GB79" s="35">
        <f>IF(N('Dvd Calendar'!$N$755)=0,"",IF(('Dvd Calendar'!$N$755&gt;=GRID_FROM)*('Dvd Calendar'!$N$755&lt;=GRID_TO)*('Dvd Calendar'!$N$755&gt;VAL_DATE)=0,"",'Dvd Calendar'!$N$755*1000000000+ISNUMBER('Dvd Calendar'!$N$756)*100000000+0*10000000+(N('Dvd Calendar'!$N$754)&gt;0)*(N('Dvd Calendar'!$N$754)&lt;=VAL_SERIAL)*1000000+68*1000+50))</f>
        <v/>
      </c>
      <c r="GC79" s="35">
        <f>IF(N('Dvd Calendar'!$O$755)=0,"",IF(('Dvd Calendar'!$O$755&gt;=GRID_FROM)*('Dvd Calendar'!$O$755&lt;=GRID_TO)*('Dvd Calendar'!$O$755&gt;VAL_DATE)=0,"",'Dvd Calendar'!$O$755*1000000000+ISNUMBER('Dvd Calendar'!$O$756)*100000000+0*10000000+(N('Dvd Calendar'!$O$754)&gt;0)*(N('Dvd Calendar'!$O$754)&lt;=VAL_SERIAL)*1000000+68*1000+51))</f>
        <v/>
      </c>
      <c r="GD79" s="35">
        <f>IF(N('Dvd Calendar'!$P$755)=0,"",IF(('Dvd Calendar'!$P$755&gt;=GRID_FROM)*('Dvd Calendar'!$P$755&lt;=GRID_TO)*('Dvd Calendar'!$P$755&gt;VAL_DATE)=0,"",'Dvd Calendar'!$P$755*1000000000+ISNUMBER('Dvd Calendar'!$P$756)*100000000+0*10000000+(N('Dvd Calendar'!$P$754)&gt;0)*(N('Dvd Calendar'!$P$754)&lt;=VAL_SERIAL)*1000000+68*1000+52))</f>
        <v/>
      </c>
      <c r="GE79" s="35">
        <f>IF(N('Dvd Calendar'!$Q$755)=0,"",IF(('Dvd Calendar'!$Q$755&gt;=GRID_FROM)*('Dvd Calendar'!$Q$755&lt;=GRID_TO)*('Dvd Calendar'!$Q$755&gt;VAL_DATE)=0,"",'Dvd Calendar'!$Q$755*1000000000+ISNUMBER('Dvd Calendar'!$Q$756)*100000000+0*10000000+(N('Dvd Calendar'!$Q$754)&gt;0)*(N('Dvd Calendar'!$Q$754)&lt;=VAL_SERIAL)*1000000+68*1000+53))</f>
        <v/>
      </c>
      <c r="GF79" s="35">
        <f>IF(N('Dvd Calendar'!$R$755)=0,"",IF(('Dvd Calendar'!$R$755&gt;=GRID_FROM)*('Dvd Calendar'!$R$755&lt;=GRID_TO)*('Dvd Calendar'!$R$755&gt;VAL_DATE)=0,"",'Dvd Calendar'!$R$755*1000000000+ISNUMBER('Dvd Calendar'!$R$756)*100000000+0*10000000+(N('Dvd Calendar'!$R$754)&gt;0)*(N('Dvd Calendar'!$R$754)&lt;=VAL_SERIAL)*1000000+68*1000+54))</f>
        <v/>
      </c>
      <c r="GG79" s="35">
        <f>IF(N('Dvd Calendar'!$S$755)=0,"",IF(('Dvd Calendar'!$S$755&gt;=GRID_FROM)*('Dvd Calendar'!$S$755&lt;=GRID_TO)*('Dvd Calendar'!$S$755&gt;VAL_DATE)=0,"",'Dvd Calendar'!$S$755*1000000000+ISNUMBER('Dvd Calendar'!$S$756)*100000000+0*10000000+(N('Dvd Calendar'!$S$754)&gt;0)*(N('Dvd Calendar'!$S$754)&lt;=VAL_SERIAL)*1000000+68*1000+55))</f>
        <v/>
      </c>
      <c r="GH79" s="35">
        <f>IF(N('Dvd Calendar'!$T$755)=0,"",IF(('Dvd Calendar'!$T$755&gt;=GRID_FROM)*('Dvd Calendar'!$T$755&lt;=GRID_TO)*('Dvd Calendar'!$T$755&gt;VAL_DATE)=0,"",'Dvd Calendar'!$T$755*1000000000+ISNUMBER('Dvd Calendar'!$T$756)*100000000+0*10000000+(N('Dvd Calendar'!$T$754)&gt;0)*(N('Dvd Calendar'!$T$754)&lt;=VAL_SERIAL)*1000000+68*1000+56))</f>
        <v/>
      </c>
      <c r="GI79" s="35">
        <f>IF(N('Dvd Calendar'!$U$755)=0,"",IF(('Dvd Calendar'!$U$755&gt;=GRID_FROM)*('Dvd Calendar'!$U$755&lt;=GRID_TO)*('Dvd Calendar'!$U$755&gt;VAL_DATE)=0,"",'Dvd Calendar'!$U$755*1000000000+ISNUMBER('Dvd Calendar'!$U$756)*100000000+0*10000000+(N('Dvd Calendar'!$U$754)&gt;0)*(N('Dvd Calendar'!$U$754)&lt;=VAL_SERIAL)*1000000+68*1000+57))</f>
        <v/>
      </c>
      <c r="GJ79" s="35">
        <f>IF(N('Dvd Calendar'!$V$755)=0,"",IF(('Dvd Calendar'!$V$755&gt;=GRID_FROM)*('Dvd Calendar'!$V$755&lt;=GRID_TO)*('Dvd Calendar'!$V$755&gt;VAL_DATE)=0,"",'Dvd Calendar'!$V$755*1000000000+ISNUMBER('Dvd Calendar'!$V$756)*100000000+0*10000000+(N('Dvd Calendar'!$V$754)&gt;0)*(N('Dvd Calendar'!$V$754)&lt;=VAL_SERIAL)*1000000+68*1000+58))</f>
        <v/>
      </c>
      <c r="GK79" s="35">
        <f>IF(N('Dvd Calendar'!$W$755)=0,"",IF(('Dvd Calendar'!$W$755&gt;=GRID_FROM)*('Dvd Calendar'!$W$755&lt;=GRID_TO)*('Dvd Calendar'!$W$755&gt;VAL_DATE)=0,"",'Dvd Calendar'!$W$755*1000000000+ISNUMBER('Dvd Calendar'!$W$756)*100000000+0*10000000+(N('Dvd Calendar'!$W$754)&gt;0)*(N('Dvd Calendar'!$W$754)&lt;=VAL_SERIAL)*1000000+68*1000+59))</f>
        <v/>
      </c>
      <c r="GL79" s="35">
        <f>IF(N('Dvd Calendar'!$X$755)=0,"",IF(('Dvd Calendar'!$X$755&gt;=GRID_FROM)*('Dvd Calendar'!$X$755&lt;=GRID_TO)*('Dvd Calendar'!$X$755&gt;VAL_DATE)=0,"",'Dvd Calendar'!$X$755*1000000000+ISNUMBER('Dvd Calendar'!$X$756)*100000000+0*10000000+(N('Dvd Calendar'!$X$754)&gt;0)*(N('Dvd Calendar'!$X$754)&lt;=VAL_SERIAL)*1000000+68*1000+60))</f>
        <v/>
      </c>
      <c r="GM79" s="35">
        <f>IF(N('Dvd Calendar'!$Y$755)=0,"",IF(('Dvd Calendar'!$Y$755&gt;=GRID_FROM)*('Dvd Calendar'!$Y$755&lt;=GRID_TO)*('Dvd Calendar'!$Y$755&gt;VAL_DATE)=0,"",'Dvd Calendar'!$Y$755*1000000000+ISNUMBER('Dvd Calendar'!$Y$756)*100000000+0*10000000+(N('Dvd Calendar'!$Y$754)&gt;0)*(N('Dvd Calendar'!$Y$754)&lt;=VAL_SERIAL)*1000000+68*1000+61))</f>
        <v/>
      </c>
      <c r="GN79" s="35">
        <f>IF(N('Dvd Calendar'!$Z$755)=0,"",IF(('Dvd Calendar'!$Z$755&gt;=GRID_FROM)*('Dvd Calendar'!$Z$755&lt;=GRID_TO)*('Dvd Calendar'!$Z$755&gt;VAL_DATE)=0,"",'Dvd Calendar'!$Z$755*1000000000+ISNUMBER('Dvd Calendar'!$Z$756)*100000000+0*10000000+(N('Dvd Calendar'!$Z$754)&gt;0)*(N('Dvd Calendar'!$Z$754)&lt;=VAL_SERIAL)*1000000+68*1000+62))</f>
        <v/>
      </c>
      <c r="GO79" s="35">
        <f>IF(N('Dvd Calendar'!$AA$755)=0,"",IF(('Dvd Calendar'!$AA$755&gt;=GRID_FROM)*('Dvd Calendar'!$AA$755&lt;=GRID_TO)*('Dvd Calendar'!$AA$755&gt;VAL_DATE)=0,"",'Dvd Calendar'!$AA$755*1000000000+ISNUMBER('Dvd Calendar'!$AA$756)*100000000+0*10000000+(N('Dvd Calendar'!$AA$754)&gt;0)*(N('Dvd Calendar'!$AA$754)&lt;=VAL_SERIAL)*1000000+68*1000+63))</f>
        <v/>
      </c>
      <c r="GP79" s="35">
        <f>IF(N('Dvd Calendar'!$AB$755)=0,"",IF(('Dvd Calendar'!$AB$755&gt;=GRID_FROM)*('Dvd Calendar'!$AB$755&lt;=GRID_TO)*('Dvd Calendar'!$AB$755&gt;VAL_DATE)=0,"",'Dvd Calendar'!$AB$755*1000000000+ISNUMBER('Dvd Calendar'!$AB$756)*100000000+0*10000000+(N('Dvd Calendar'!$AB$754)&gt;0)*(N('Dvd Calendar'!$AB$754)&lt;=VAL_SERIAL)*1000000+68*1000+64))</f>
        <v/>
      </c>
      <c r="GQ79" s="35">
        <f>IF(N('Dvd Calendar'!$AC$755)=0,"",IF(('Dvd Calendar'!$AC$755&gt;=GRID_FROM)*('Dvd Calendar'!$AC$755&lt;=GRID_TO)*('Dvd Calendar'!$AC$755&gt;VAL_DATE)=0,"",'Dvd Calendar'!$AC$755*1000000000+ISNUMBER('Dvd Calendar'!$AC$756)*100000000+0*10000000+(N('Dvd Calendar'!$AC$754)&gt;0)*(N('Dvd Calendar'!$AC$754)&lt;=VAL_SERIAL)*1000000+68*1000+65))</f>
        <v/>
      </c>
    </row>
    <row r="80">
      <c r="B80" s="2">
        <f>IF(HSI!$C$75="","",HSI!$C$75)</f>
        <v/>
      </c>
      <c r="C80" s="106">
        <f>IF(EE80="","",IF(ISNUMBER('Dvd Calendar'!$E$762)=FALSE,"",IF((('Dvd Calendar'!$E$764=TYPE1)*(TYPE1&lt;&gt;"")+('Dvd Calendar'!$E$764=TYPE2)*(TYPE2&lt;&gt;"")+('Dvd Calendar'!$E$764=TYPE3)*(TYPE3&lt;&gt;"")+('Dvd Calendar'!$E$764=TYPE4)*(TYPE4&lt;&gt;"")+('Dvd Calendar'!$E$764=SPECIAL_LBL)*(INC_SPECIALS="Y"))=0,"",'Dvd Calendar'!$E$762)))</f>
        <v/>
      </c>
      <c r="D80" s="106">
        <f>IF(EF80="","",IF(ISNUMBER('Dvd Calendar'!$F$762)=FALSE,"",IF((('Dvd Calendar'!$F$764=TYPE1)*(TYPE1&lt;&gt;"")+('Dvd Calendar'!$F$764=TYPE2)*(TYPE2&lt;&gt;"")+('Dvd Calendar'!$F$764=TYPE3)*(TYPE3&lt;&gt;"")+('Dvd Calendar'!$F$764=TYPE4)*(TYPE4&lt;&gt;"")+('Dvd Calendar'!$F$764=SPECIAL_LBL)*(INC_SPECIALS="Y"))=0,"",'Dvd Calendar'!$F$762)))</f>
        <v/>
      </c>
      <c r="E80" s="106">
        <f>IF(EG80="","",IF(ISNUMBER('Dvd Calendar'!$G$762)=FALSE,"",IF((('Dvd Calendar'!$G$764=TYPE1)*(TYPE1&lt;&gt;"")+('Dvd Calendar'!$G$764=TYPE2)*(TYPE2&lt;&gt;"")+('Dvd Calendar'!$G$764=TYPE3)*(TYPE3&lt;&gt;"")+('Dvd Calendar'!$G$764=TYPE4)*(TYPE4&lt;&gt;"")+('Dvd Calendar'!$G$764=SPECIAL_LBL)*(INC_SPECIALS="Y"))=0,"",'Dvd Calendar'!$G$762)))</f>
        <v/>
      </c>
      <c r="F80" s="106">
        <f>IF(EH80="","",IF(ISNUMBER('Dvd Calendar'!$H$762)=FALSE,"",IF((('Dvd Calendar'!$H$764=TYPE1)*(TYPE1&lt;&gt;"")+('Dvd Calendar'!$H$764=TYPE2)*(TYPE2&lt;&gt;"")+('Dvd Calendar'!$H$764=TYPE3)*(TYPE3&lt;&gt;"")+('Dvd Calendar'!$H$764=TYPE4)*(TYPE4&lt;&gt;"")+('Dvd Calendar'!$H$764=SPECIAL_LBL)*(INC_SPECIALS="Y"))=0,"",'Dvd Calendar'!$H$762)))</f>
        <v/>
      </c>
      <c r="G80" s="106">
        <f>IF(EI80="","",IF(ISNUMBER('Dvd Calendar'!$I$762)=FALSE,"",IF((('Dvd Calendar'!$I$764=TYPE1)*(TYPE1&lt;&gt;"")+('Dvd Calendar'!$I$764=TYPE2)*(TYPE2&lt;&gt;"")+('Dvd Calendar'!$I$764=TYPE3)*(TYPE3&lt;&gt;"")+('Dvd Calendar'!$I$764=TYPE4)*(TYPE4&lt;&gt;"")+('Dvd Calendar'!$I$764=SPECIAL_LBL)*(INC_SPECIALS="Y"))=0,"",'Dvd Calendar'!$I$762)))</f>
        <v/>
      </c>
      <c r="H80" s="106">
        <f>IF(EJ80="","",IF(ISNUMBER('Dvd Calendar'!$J$762)=FALSE,"",IF((('Dvd Calendar'!$J$764=TYPE1)*(TYPE1&lt;&gt;"")+('Dvd Calendar'!$J$764=TYPE2)*(TYPE2&lt;&gt;"")+('Dvd Calendar'!$J$764=TYPE3)*(TYPE3&lt;&gt;"")+('Dvd Calendar'!$J$764=TYPE4)*(TYPE4&lt;&gt;"")+('Dvd Calendar'!$J$764=SPECIAL_LBL)*(INC_SPECIALS="Y"))=0,"",'Dvd Calendar'!$J$762)))</f>
        <v/>
      </c>
      <c r="I80" s="106">
        <f>IF(EK80="","",IF(ISNUMBER('Dvd Calendar'!$K$762)=FALSE,"",IF((('Dvd Calendar'!$K$764=TYPE1)*(TYPE1&lt;&gt;"")+('Dvd Calendar'!$K$764=TYPE2)*(TYPE2&lt;&gt;"")+('Dvd Calendar'!$K$764=TYPE3)*(TYPE3&lt;&gt;"")+('Dvd Calendar'!$K$764=TYPE4)*(TYPE4&lt;&gt;"")+('Dvd Calendar'!$K$764=SPECIAL_LBL)*(INC_SPECIALS="Y"))=0,"",'Dvd Calendar'!$K$762)))</f>
        <v/>
      </c>
      <c r="J80" s="106">
        <f>IF(EL80="","",IF(ISNUMBER('Dvd Calendar'!$L$762)=FALSE,"",IF((('Dvd Calendar'!$L$764=TYPE1)*(TYPE1&lt;&gt;"")+('Dvd Calendar'!$L$764=TYPE2)*(TYPE2&lt;&gt;"")+('Dvd Calendar'!$L$764=TYPE3)*(TYPE3&lt;&gt;"")+('Dvd Calendar'!$L$764=TYPE4)*(TYPE4&lt;&gt;"")+('Dvd Calendar'!$L$764=SPECIAL_LBL)*(INC_SPECIALS="Y"))=0,"",'Dvd Calendar'!$L$762)))</f>
        <v/>
      </c>
      <c r="K80" s="106">
        <f>IF(EM80="","",IF(ISNUMBER('Dvd Calendar'!$M$762)=FALSE,"",IF((('Dvd Calendar'!$M$764=TYPE1)*(TYPE1&lt;&gt;"")+('Dvd Calendar'!$M$764=TYPE2)*(TYPE2&lt;&gt;"")+('Dvd Calendar'!$M$764=TYPE3)*(TYPE3&lt;&gt;"")+('Dvd Calendar'!$M$764=TYPE4)*(TYPE4&lt;&gt;"")+('Dvd Calendar'!$M$764=SPECIAL_LBL)*(INC_SPECIALS="Y"))=0,"",'Dvd Calendar'!$M$762)))</f>
        <v/>
      </c>
      <c r="L80" s="106">
        <f>IF(EN80="","",IF(ISNUMBER('Dvd Calendar'!$N$762)=FALSE,"",IF((('Dvd Calendar'!$N$764=TYPE1)*(TYPE1&lt;&gt;"")+('Dvd Calendar'!$N$764=TYPE2)*(TYPE2&lt;&gt;"")+('Dvd Calendar'!$N$764=TYPE3)*(TYPE3&lt;&gt;"")+('Dvd Calendar'!$N$764=TYPE4)*(TYPE4&lt;&gt;"")+('Dvd Calendar'!$N$764=SPECIAL_LBL)*(INC_SPECIALS="Y"))=0,"",'Dvd Calendar'!$N$762)))</f>
        <v/>
      </c>
      <c r="M80" s="106">
        <f>IF(EO80="","",IF(ISNUMBER('Dvd Calendar'!$O$762)=FALSE,"",IF((('Dvd Calendar'!$O$764=TYPE1)*(TYPE1&lt;&gt;"")+('Dvd Calendar'!$O$764=TYPE2)*(TYPE2&lt;&gt;"")+('Dvd Calendar'!$O$764=TYPE3)*(TYPE3&lt;&gt;"")+('Dvd Calendar'!$O$764=TYPE4)*(TYPE4&lt;&gt;"")+('Dvd Calendar'!$O$764=SPECIAL_LBL)*(INC_SPECIALS="Y"))=0,"",'Dvd Calendar'!$O$762)))</f>
        <v/>
      </c>
      <c r="N80" s="106">
        <f>IF(EP80="","",IF(ISNUMBER('Dvd Calendar'!$P$762)=FALSE,"",IF((('Dvd Calendar'!$P$764=TYPE1)*(TYPE1&lt;&gt;"")+('Dvd Calendar'!$P$764=TYPE2)*(TYPE2&lt;&gt;"")+('Dvd Calendar'!$P$764=TYPE3)*(TYPE3&lt;&gt;"")+('Dvd Calendar'!$P$764=TYPE4)*(TYPE4&lt;&gt;"")+('Dvd Calendar'!$P$764=SPECIAL_LBL)*(INC_SPECIALS="Y"))=0,"",'Dvd Calendar'!$P$762)))</f>
        <v/>
      </c>
      <c r="O80" s="106">
        <f>IF(EQ80="","",IF(ISNUMBER('Dvd Calendar'!$Q$762)=FALSE,"",IF((('Dvd Calendar'!$Q$764=TYPE1)*(TYPE1&lt;&gt;"")+('Dvd Calendar'!$Q$764=TYPE2)*(TYPE2&lt;&gt;"")+('Dvd Calendar'!$Q$764=TYPE3)*(TYPE3&lt;&gt;"")+('Dvd Calendar'!$Q$764=TYPE4)*(TYPE4&lt;&gt;"")+('Dvd Calendar'!$Q$764=SPECIAL_LBL)*(INC_SPECIALS="Y"))=0,"",'Dvd Calendar'!$Q$762)))</f>
        <v/>
      </c>
      <c r="P80" s="106">
        <f>IF(ER80="","",IF(ISNUMBER('Dvd Calendar'!$R$762)=FALSE,"",IF((('Dvd Calendar'!$R$764=TYPE1)*(TYPE1&lt;&gt;"")+('Dvd Calendar'!$R$764=TYPE2)*(TYPE2&lt;&gt;"")+('Dvd Calendar'!$R$764=TYPE3)*(TYPE3&lt;&gt;"")+('Dvd Calendar'!$R$764=TYPE4)*(TYPE4&lt;&gt;"")+('Dvd Calendar'!$R$764=SPECIAL_LBL)*(INC_SPECIALS="Y"))=0,"",'Dvd Calendar'!$R$762)))</f>
        <v/>
      </c>
      <c r="Q80" s="106">
        <f>IF(ES80="","",IF(ISNUMBER('Dvd Calendar'!$S$762)=FALSE,"",IF((('Dvd Calendar'!$S$764=TYPE1)*(TYPE1&lt;&gt;"")+('Dvd Calendar'!$S$764=TYPE2)*(TYPE2&lt;&gt;"")+('Dvd Calendar'!$S$764=TYPE3)*(TYPE3&lt;&gt;"")+('Dvd Calendar'!$S$764=TYPE4)*(TYPE4&lt;&gt;"")+('Dvd Calendar'!$S$764=SPECIAL_LBL)*(INC_SPECIALS="Y"))=0,"",'Dvd Calendar'!$S$762)))</f>
        <v/>
      </c>
      <c r="R80" s="106">
        <f>IF(ET80="","",IF(ISNUMBER('Dvd Calendar'!$T$762)=FALSE,"",IF((('Dvd Calendar'!$T$764=TYPE1)*(TYPE1&lt;&gt;"")+('Dvd Calendar'!$T$764=TYPE2)*(TYPE2&lt;&gt;"")+('Dvd Calendar'!$T$764=TYPE3)*(TYPE3&lt;&gt;"")+('Dvd Calendar'!$T$764=TYPE4)*(TYPE4&lt;&gt;"")+('Dvd Calendar'!$T$764=SPECIAL_LBL)*(INC_SPECIALS="Y"))=0,"",'Dvd Calendar'!$T$762)))</f>
        <v/>
      </c>
      <c r="S80" s="106">
        <f>IF(EU80="","",IF(ISNUMBER('Dvd Calendar'!$U$762)=FALSE,"",IF((('Dvd Calendar'!$U$764=TYPE1)*(TYPE1&lt;&gt;"")+('Dvd Calendar'!$U$764=TYPE2)*(TYPE2&lt;&gt;"")+('Dvd Calendar'!$U$764=TYPE3)*(TYPE3&lt;&gt;"")+('Dvd Calendar'!$U$764=TYPE4)*(TYPE4&lt;&gt;"")+('Dvd Calendar'!$U$764=SPECIAL_LBL)*(INC_SPECIALS="Y"))=0,"",'Dvd Calendar'!$U$762)))</f>
        <v/>
      </c>
      <c r="T80" s="106">
        <f>IF(EV80="","",IF(ISNUMBER('Dvd Calendar'!$V$762)=FALSE,"",IF((('Dvd Calendar'!$V$764=TYPE1)*(TYPE1&lt;&gt;"")+('Dvd Calendar'!$V$764=TYPE2)*(TYPE2&lt;&gt;"")+('Dvd Calendar'!$V$764=TYPE3)*(TYPE3&lt;&gt;"")+('Dvd Calendar'!$V$764=TYPE4)*(TYPE4&lt;&gt;"")+('Dvd Calendar'!$V$764=SPECIAL_LBL)*(INC_SPECIALS="Y"))=0,"",'Dvd Calendar'!$V$762)))</f>
        <v/>
      </c>
      <c r="U80" s="106">
        <f>IF(EW80="","",IF(ISNUMBER('Dvd Calendar'!$W$762)=FALSE,"",IF((('Dvd Calendar'!$W$764=TYPE1)*(TYPE1&lt;&gt;"")+('Dvd Calendar'!$W$764=TYPE2)*(TYPE2&lt;&gt;"")+('Dvd Calendar'!$W$764=TYPE3)*(TYPE3&lt;&gt;"")+('Dvd Calendar'!$W$764=TYPE4)*(TYPE4&lt;&gt;"")+('Dvd Calendar'!$W$764=SPECIAL_LBL)*(INC_SPECIALS="Y"))=0,"",'Dvd Calendar'!$W$762)))</f>
        <v/>
      </c>
      <c r="V80" s="106">
        <f>IF(EX80="","",IF(ISNUMBER('Dvd Calendar'!$X$762)=FALSE,"",IF((('Dvd Calendar'!$X$764=TYPE1)*(TYPE1&lt;&gt;"")+('Dvd Calendar'!$X$764=TYPE2)*(TYPE2&lt;&gt;"")+('Dvd Calendar'!$X$764=TYPE3)*(TYPE3&lt;&gt;"")+('Dvd Calendar'!$X$764=TYPE4)*(TYPE4&lt;&gt;"")+('Dvd Calendar'!$X$764=SPECIAL_LBL)*(INC_SPECIALS="Y"))=0,"",'Dvd Calendar'!$X$762)))</f>
        <v/>
      </c>
      <c r="W80" s="106">
        <f>IF(EY80="","",IF(ISNUMBER('Dvd Calendar'!$Y$762)=FALSE,"",IF((('Dvd Calendar'!$Y$764=TYPE1)*(TYPE1&lt;&gt;"")+('Dvd Calendar'!$Y$764=TYPE2)*(TYPE2&lt;&gt;"")+('Dvd Calendar'!$Y$764=TYPE3)*(TYPE3&lt;&gt;"")+('Dvd Calendar'!$Y$764=TYPE4)*(TYPE4&lt;&gt;"")+('Dvd Calendar'!$Y$764=SPECIAL_LBL)*(INC_SPECIALS="Y"))=0,"",'Dvd Calendar'!$Y$762)))</f>
        <v/>
      </c>
      <c r="X80" s="106">
        <f>IF(EZ80="","",IF(ISNUMBER('Dvd Calendar'!$Z$762)=FALSE,"",IF((('Dvd Calendar'!$Z$764=TYPE1)*(TYPE1&lt;&gt;"")+('Dvd Calendar'!$Z$764=TYPE2)*(TYPE2&lt;&gt;"")+('Dvd Calendar'!$Z$764=TYPE3)*(TYPE3&lt;&gt;"")+('Dvd Calendar'!$Z$764=TYPE4)*(TYPE4&lt;&gt;"")+('Dvd Calendar'!$Z$764=SPECIAL_LBL)*(INC_SPECIALS="Y"))=0,"",'Dvd Calendar'!$Z$762)))</f>
        <v/>
      </c>
      <c r="Y80" s="106">
        <f>IF(FA80="","",IF(ISNUMBER('Dvd Calendar'!$AA$762)=FALSE,"",IF((('Dvd Calendar'!$AA$764=TYPE1)*(TYPE1&lt;&gt;"")+('Dvd Calendar'!$AA$764=TYPE2)*(TYPE2&lt;&gt;"")+('Dvd Calendar'!$AA$764=TYPE3)*(TYPE3&lt;&gt;"")+('Dvd Calendar'!$AA$764=TYPE4)*(TYPE4&lt;&gt;"")+('Dvd Calendar'!$AA$764=SPECIAL_LBL)*(INC_SPECIALS="Y"))=0,"",'Dvd Calendar'!$AA$762)))</f>
        <v/>
      </c>
      <c r="Z80" s="106">
        <f>IF(FB80="","",IF(ISNUMBER('Dvd Calendar'!$AB$762)=FALSE,"",IF((('Dvd Calendar'!$AB$764=TYPE1)*(TYPE1&lt;&gt;"")+('Dvd Calendar'!$AB$764=TYPE2)*(TYPE2&lt;&gt;"")+('Dvd Calendar'!$AB$764=TYPE3)*(TYPE3&lt;&gt;"")+('Dvd Calendar'!$AB$764=TYPE4)*(TYPE4&lt;&gt;"")+('Dvd Calendar'!$AB$764=SPECIAL_LBL)*(INC_SPECIALS="Y"))=0,"",'Dvd Calendar'!$AB$762)))</f>
        <v/>
      </c>
      <c r="AA80" s="106">
        <f>IF(FC80="","",IF(ISNUMBER('Dvd Calendar'!$AC$762)=FALSE,"",IF((('Dvd Calendar'!$AC$764=TYPE1)*(TYPE1&lt;&gt;"")+('Dvd Calendar'!$AC$764=TYPE2)*(TYPE2&lt;&gt;"")+('Dvd Calendar'!$AC$764=TYPE3)*(TYPE3&lt;&gt;"")+('Dvd Calendar'!$AC$764=TYPE4)*(TYPE4&lt;&gt;"")+('Dvd Calendar'!$AC$764=SPECIAL_LBL)*(INC_SPECIALS="Y"))=0,"",'Dvd Calendar'!$AC$762)))</f>
        <v/>
      </c>
      <c r="AB80" s="106">
        <f>IF(FD80="","",IF(ISNUMBER('Dvd Calendar'!$AD$762)=FALSE,"",IF((('Dvd Calendar'!$AD$764=TYPE1)*(TYPE1&lt;&gt;"")+('Dvd Calendar'!$AD$764=TYPE2)*(TYPE2&lt;&gt;"")+('Dvd Calendar'!$AD$764=TYPE3)*(TYPE3&lt;&gt;"")+('Dvd Calendar'!$AD$764=TYPE4)*(TYPE4&lt;&gt;"")+('Dvd Calendar'!$AD$764=SPECIAL_LBL)*(INC_SPECIALS="Y"))=0,"",'Dvd Calendar'!$AD$762)))</f>
        <v/>
      </c>
      <c r="AC80" s="106">
        <f>IF(FE80="","",IF(ISNUMBER('Dvd Calendar'!$AE$762)=FALSE,"",IF((('Dvd Calendar'!$AE$764=TYPE1)*(TYPE1&lt;&gt;"")+('Dvd Calendar'!$AE$764=TYPE2)*(TYPE2&lt;&gt;"")+('Dvd Calendar'!$AE$764=TYPE3)*(TYPE3&lt;&gt;"")+('Dvd Calendar'!$AE$764=TYPE4)*(TYPE4&lt;&gt;"")+('Dvd Calendar'!$AE$764=SPECIAL_LBL)*(INC_SPECIALS="Y"))=0,"",'Dvd Calendar'!$AE$762)))</f>
        <v/>
      </c>
      <c r="AD80" s="106">
        <f>IF(FF80="","",IF(ISNUMBER('Dvd Calendar'!$AF$762)=FALSE,"",IF((('Dvd Calendar'!$AF$764=TYPE1)*(TYPE1&lt;&gt;"")+('Dvd Calendar'!$AF$764=TYPE2)*(TYPE2&lt;&gt;"")+('Dvd Calendar'!$AF$764=TYPE3)*(TYPE3&lt;&gt;"")+('Dvd Calendar'!$AF$764=TYPE4)*(TYPE4&lt;&gt;"")+('Dvd Calendar'!$AF$764=SPECIAL_LBL)*(INC_SPECIALS="Y"))=0,"",'Dvd Calendar'!$AF$762)))</f>
        <v/>
      </c>
      <c r="AE80" s="106">
        <f>IF(FG80="","",IF(ISNUMBER('Dvd Calendar'!$AG$762)=FALSE,"",IF((('Dvd Calendar'!$AG$764=TYPE1)*(TYPE1&lt;&gt;"")+('Dvd Calendar'!$AG$764=TYPE2)*(TYPE2&lt;&gt;"")+('Dvd Calendar'!$AG$764=TYPE3)*(TYPE3&lt;&gt;"")+('Dvd Calendar'!$AG$764=TYPE4)*(TYPE4&lt;&gt;"")+('Dvd Calendar'!$AG$764=SPECIAL_LBL)*(INC_SPECIALS="Y"))=0,"",'Dvd Calendar'!$AG$762)))</f>
        <v/>
      </c>
      <c r="AF80" s="106">
        <f>IF(FH80="","",IF(ISNUMBER('Dvd Calendar'!$AH$762)=FALSE,"",IF((('Dvd Calendar'!$AH$764=TYPE1)*(TYPE1&lt;&gt;"")+('Dvd Calendar'!$AH$764=TYPE2)*(TYPE2&lt;&gt;"")+('Dvd Calendar'!$AH$764=TYPE3)*(TYPE3&lt;&gt;"")+('Dvd Calendar'!$AH$764=TYPE4)*(TYPE4&lt;&gt;"")+('Dvd Calendar'!$AH$764=SPECIAL_LBL)*(INC_SPECIALS="Y"))=0,"",'Dvd Calendar'!$AH$762)))</f>
        <v/>
      </c>
      <c r="AG80" s="106">
        <f>IF(FI80="","",IF(ISNUMBER('Dvd Calendar'!$AI$762)=FALSE,"",IF((('Dvd Calendar'!$AI$764=TYPE1)*(TYPE1&lt;&gt;"")+('Dvd Calendar'!$AI$764=TYPE2)*(TYPE2&lt;&gt;"")+('Dvd Calendar'!$AI$764=TYPE3)*(TYPE3&lt;&gt;"")+('Dvd Calendar'!$AI$764=TYPE4)*(TYPE4&lt;&gt;"")+('Dvd Calendar'!$AI$764=SPECIAL_LBL)*(INC_SPECIALS="Y"))=0,"",'Dvd Calendar'!$AI$762)))</f>
        <v/>
      </c>
      <c r="AH80" s="106">
        <f>IF(FJ80="","",IF(ISNUMBER('Dvd Calendar'!$AJ$762)=FALSE,"",IF((('Dvd Calendar'!$AJ$764=TYPE1)*(TYPE1&lt;&gt;"")+('Dvd Calendar'!$AJ$764=TYPE2)*(TYPE2&lt;&gt;"")+('Dvd Calendar'!$AJ$764=TYPE3)*(TYPE3&lt;&gt;"")+('Dvd Calendar'!$AJ$764=TYPE4)*(TYPE4&lt;&gt;"")+('Dvd Calendar'!$AJ$764=SPECIAL_LBL)*(INC_SPECIALS="Y"))=0,"",'Dvd Calendar'!$AJ$762)))</f>
        <v/>
      </c>
      <c r="AI80" s="106">
        <f>IF(FK80="","",IF(ISNUMBER('Dvd Calendar'!$AK$762)=FALSE,"",IF((('Dvd Calendar'!$AK$764=TYPE1)*(TYPE1&lt;&gt;"")+('Dvd Calendar'!$AK$764=TYPE2)*(TYPE2&lt;&gt;"")+('Dvd Calendar'!$AK$764=TYPE3)*(TYPE3&lt;&gt;"")+('Dvd Calendar'!$AK$764=TYPE4)*(TYPE4&lt;&gt;"")+('Dvd Calendar'!$AK$764=SPECIAL_LBL)*(INC_SPECIALS="Y"))=0,"",'Dvd Calendar'!$AK$762)))</f>
        <v/>
      </c>
      <c r="AJ80" s="106">
        <f>IF(FL80="","",IF(ISNUMBER('Dvd Calendar'!$AL$762)=FALSE,"",IF((('Dvd Calendar'!$AL$764=TYPE1)*(TYPE1&lt;&gt;"")+('Dvd Calendar'!$AL$764=TYPE2)*(TYPE2&lt;&gt;"")+('Dvd Calendar'!$AL$764=TYPE3)*(TYPE3&lt;&gt;"")+('Dvd Calendar'!$AL$764=TYPE4)*(TYPE4&lt;&gt;"")+('Dvd Calendar'!$AL$764=SPECIAL_LBL)*(INC_SPECIALS="Y"))=0,"",'Dvd Calendar'!$AL$762)))</f>
        <v/>
      </c>
      <c r="AK80" s="106">
        <f>IF(FM80="","",IF(ISNUMBER('Dvd Calendar'!$AM$762)=FALSE,"",IF((('Dvd Calendar'!$AM$764=TYPE1)*(TYPE1&lt;&gt;"")+('Dvd Calendar'!$AM$764=TYPE2)*(TYPE2&lt;&gt;"")+('Dvd Calendar'!$AM$764=TYPE3)*(TYPE3&lt;&gt;"")+('Dvd Calendar'!$AM$764=TYPE4)*(TYPE4&lt;&gt;"")+('Dvd Calendar'!$AM$764=SPECIAL_LBL)*(INC_SPECIALS="Y"))=0,"",'Dvd Calendar'!$AM$762)))</f>
        <v/>
      </c>
      <c r="AL80" s="106">
        <f>IF(FN80="","",IF(ISNUMBER('Dvd Calendar'!$AN$762)=FALSE,"",IF((('Dvd Calendar'!$AN$764=TYPE1)*(TYPE1&lt;&gt;"")+('Dvd Calendar'!$AN$764=TYPE2)*(TYPE2&lt;&gt;"")+('Dvd Calendar'!$AN$764=TYPE3)*(TYPE3&lt;&gt;"")+('Dvd Calendar'!$AN$764=TYPE4)*(TYPE4&lt;&gt;"")+('Dvd Calendar'!$AN$764=SPECIAL_LBL)*(INC_SPECIALS="Y"))=0,"",'Dvd Calendar'!$AN$762)))</f>
        <v/>
      </c>
      <c r="AM80" s="106">
        <f>IF(FO80="","",IF(ISNUMBER('Dvd Calendar'!$AO$762)=FALSE,"",IF((('Dvd Calendar'!$AO$764=TYPE1)*(TYPE1&lt;&gt;"")+('Dvd Calendar'!$AO$764=TYPE2)*(TYPE2&lt;&gt;"")+('Dvd Calendar'!$AO$764=TYPE3)*(TYPE3&lt;&gt;"")+('Dvd Calendar'!$AO$764=TYPE4)*(TYPE4&lt;&gt;"")+('Dvd Calendar'!$AO$764=SPECIAL_LBL)*(INC_SPECIALS="Y"))=0,"",'Dvd Calendar'!$AO$762)))</f>
        <v/>
      </c>
      <c r="AN80" s="106">
        <f>IF(FP80="","",IF(ISNUMBER('Dvd Calendar'!$AP$762)=FALSE,"",IF((('Dvd Calendar'!$AP$764=TYPE1)*(TYPE1&lt;&gt;"")+('Dvd Calendar'!$AP$764=TYPE2)*(TYPE2&lt;&gt;"")+('Dvd Calendar'!$AP$764=TYPE3)*(TYPE3&lt;&gt;"")+('Dvd Calendar'!$AP$764=TYPE4)*(TYPE4&lt;&gt;"")+('Dvd Calendar'!$AP$764=SPECIAL_LBL)*(INC_SPECIALS="Y"))=0,"",'Dvd Calendar'!$AP$762)))</f>
        <v/>
      </c>
      <c r="AO80" s="106">
        <f>IF(FQ80="","",IF(ISNUMBER('Dvd Calendar'!$AQ$762)=FALSE,"",IF((('Dvd Calendar'!$AQ$764=TYPE1)*(TYPE1&lt;&gt;"")+('Dvd Calendar'!$AQ$764=TYPE2)*(TYPE2&lt;&gt;"")+('Dvd Calendar'!$AQ$764=TYPE3)*(TYPE3&lt;&gt;"")+('Dvd Calendar'!$AQ$764=TYPE4)*(TYPE4&lt;&gt;"")+('Dvd Calendar'!$AQ$764=SPECIAL_LBL)*(INC_SPECIALS="Y"))=0,"",'Dvd Calendar'!$AQ$762)))</f>
        <v/>
      </c>
      <c r="AP80" s="106">
        <f>IF(FR80="","",IF(ISNUMBER('Dvd Calendar'!$AR$762)=FALSE,"",IF((('Dvd Calendar'!$AR$764=TYPE1)*(TYPE1&lt;&gt;"")+('Dvd Calendar'!$AR$764=TYPE2)*(TYPE2&lt;&gt;"")+('Dvd Calendar'!$AR$764=TYPE3)*(TYPE3&lt;&gt;"")+('Dvd Calendar'!$AR$764=TYPE4)*(TYPE4&lt;&gt;"")+('Dvd Calendar'!$AR$764=SPECIAL_LBL)*(INC_SPECIALS="Y"))=0,"",'Dvd Calendar'!$AR$762)))</f>
        <v/>
      </c>
      <c r="AQ80" s="106">
        <f>IF(FS80="","",IF(ISNUMBER('Dvd Calendar'!$E$767)=FALSE,"",'Dvd Calendar'!$E$767))</f>
        <v/>
      </c>
      <c r="AR80" s="106">
        <f>IF(FT80="","",IF(ISNUMBER('Dvd Calendar'!$F$767)=FALSE,"",'Dvd Calendar'!$F$767))</f>
        <v/>
      </c>
      <c r="AS80" s="106">
        <f>IF(FU80="","",IF(ISNUMBER('Dvd Calendar'!$G$767)=FALSE,"",'Dvd Calendar'!$G$767))</f>
        <v/>
      </c>
      <c r="AT80" s="106">
        <f>IF(FV80="","",IF(ISNUMBER('Dvd Calendar'!$H$767)=FALSE,"",'Dvd Calendar'!$H$767))</f>
        <v/>
      </c>
      <c r="AU80" s="106">
        <f>IF(FW80="","",IF(ISNUMBER('Dvd Calendar'!$I$767)=FALSE,"",'Dvd Calendar'!$I$767))</f>
        <v/>
      </c>
      <c r="AV80" s="106">
        <f>IF(FX80="","",IF(ISNUMBER('Dvd Calendar'!$J$767)=FALSE,"",'Dvd Calendar'!$J$767))</f>
        <v/>
      </c>
      <c r="AW80" s="106">
        <f>IF(FY80="","",IF(ISNUMBER('Dvd Calendar'!$K$767)=FALSE,"",'Dvd Calendar'!$K$767))</f>
        <v/>
      </c>
      <c r="AX80" s="106">
        <f>IF(FZ80="","",IF(ISNUMBER('Dvd Calendar'!$L$767)=FALSE,"",'Dvd Calendar'!$L$767))</f>
        <v/>
      </c>
      <c r="AY80" s="106">
        <f>IF(GA80="","",IF(ISNUMBER('Dvd Calendar'!$M$767)=FALSE,"",'Dvd Calendar'!$M$767))</f>
        <v/>
      </c>
      <c r="AZ80" s="106">
        <f>IF(GB80="","",IF(ISNUMBER('Dvd Calendar'!$N$767)=FALSE,"",'Dvd Calendar'!$N$767))</f>
        <v/>
      </c>
      <c r="BA80" s="106">
        <f>IF(GC80="","",IF(ISNUMBER('Dvd Calendar'!$O$767)=FALSE,"",'Dvd Calendar'!$O$767))</f>
        <v/>
      </c>
      <c r="BB80" s="106">
        <f>IF(GD80="","",IF(ISNUMBER('Dvd Calendar'!$P$767)=FALSE,"",'Dvd Calendar'!$P$767))</f>
        <v/>
      </c>
      <c r="BC80" s="106">
        <f>IF(GE80="","",IF(ISNUMBER('Dvd Calendar'!$Q$767)=FALSE,"",'Dvd Calendar'!$Q$767))</f>
        <v/>
      </c>
      <c r="BD80" s="106">
        <f>IF(GF80="","",IF(ISNUMBER('Dvd Calendar'!$R$767)=FALSE,"",'Dvd Calendar'!$R$767))</f>
        <v/>
      </c>
      <c r="BE80" s="106">
        <f>IF(GG80="","",IF(ISNUMBER('Dvd Calendar'!$S$767)=FALSE,"",'Dvd Calendar'!$S$767))</f>
        <v/>
      </c>
      <c r="BF80" s="106">
        <f>IF(GH80="","",IF(ISNUMBER('Dvd Calendar'!$T$767)=FALSE,"",'Dvd Calendar'!$T$767))</f>
        <v/>
      </c>
      <c r="BG80" s="106">
        <f>IF(GI80="","",IF(ISNUMBER('Dvd Calendar'!$U$767)=FALSE,"",'Dvd Calendar'!$U$767))</f>
        <v/>
      </c>
      <c r="BH80" s="106">
        <f>IF(GJ80="","",IF(ISNUMBER('Dvd Calendar'!$V$767)=FALSE,"",'Dvd Calendar'!$V$767))</f>
        <v/>
      </c>
      <c r="BI80" s="106">
        <f>IF(GK80="","",IF(ISNUMBER('Dvd Calendar'!$W$767)=FALSE,"",'Dvd Calendar'!$W$767))</f>
        <v/>
      </c>
      <c r="BJ80" s="106">
        <f>IF(GL80="","",IF(ISNUMBER('Dvd Calendar'!$X$767)=FALSE,"",'Dvd Calendar'!$X$767))</f>
        <v/>
      </c>
      <c r="BK80" s="106">
        <f>IF(GM80="","",IF(ISNUMBER('Dvd Calendar'!$Y$767)=FALSE,"",'Dvd Calendar'!$Y$767))</f>
        <v/>
      </c>
      <c r="BL80" s="106">
        <f>IF(GN80="","",IF(ISNUMBER('Dvd Calendar'!$Z$767)=FALSE,"",'Dvd Calendar'!$Z$767))</f>
        <v/>
      </c>
      <c r="BM80" s="106">
        <f>IF(GO80="","",IF(ISNUMBER('Dvd Calendar'!$AA$767)=FALSE,"",'Dvd Calendar'!$AA$767))</f>
        <v/>
      </c>
      <c r="BN80" s="106">
        <f>IF(GP80="","",IF(ISNUMBER('Dvd Calendar'!$AB$767)=FALSE,"",'Dvd Calendar'!$AB$767))</f>
        <v/>
      </c>
      <c r="BO80" s="106">
        <f>IF(GQ80="","",IF(ISNUMBER('Dvd Calendar'!$AC$767)=FALSE,"",'Dvd Calendar'!$AC$767))</f>
        <v/>
      </c>
      <c r="BQ80" s="106">
        <f>IF(C80="","",IFERROR(C80*HSI!$B$75*HSI!$G$75/HSI!$B$3,""))</f>
        <v/>
      </c>
      <c r="BR80" s="106">
        <f>IF(D80="","",IFERROR(D80*HSI!$B$75*HSI!$G$75/HSI!$B$3,""))</f>
        <v/>
      </c>
      <c r="BS80" s="106">
        <f>IF(E80="","",IFERROR(E80*HSI!$B$75*HSI!$G$75/HSI!$B$3,""))</f>
        <v/>
      </c>
      <c r="BT80" s="106">
        <f>IF(F80="","",IFERROR(F80*HSI!$B$75*HSI!$G$75/HSI!$B$3,""))</f>
        <v/>
      </c>
      <c r="BU80" s="106">
        <f>IF(G80="","",IFERROR(G80*HSI!$B$75*HSI!$G$75/HSI!$B$3,""))</f>
        <v/>
      </c>
      <c r="BV80" s="106">
        <f>IF(H80="","",IFERROR(H80*HSI!$B$75*HSI!$G$75/HSI!$B$3,""))</f>
        <v/>
      </c>
      <c r="BW80" s="106">
        <f>IF(I80="","",IFERROR(I80*HSI!$B$75*HSI!$G$75/HSI!$B$3,""))</f>
        <v/>
      </c>
      <c r="BX80" s="106">
        <f>IF(J80="","",IFERROR(J80*HSI!$B$75*HSI!$G$75/HSI!$B$3,""))</f>
        <v/>
      </c>
      <c r="BY80" s="106">
        <f>IF(K80="","",IFERROR(K80*HSI!$B$75*HSI!$G$75/HSI!$B$3,""))</f>
        <v/>
      </c>
      <c r="BZ80" s="106">
        <f>IF(L80="","",IFERROR(L80*HSI!$B$75*HSI!$G$75/HSI!$B$3,""))</f>
        <v/>
      </c>
      <c r="CA80" s="106">
        <f>IF(M80="","",IFERROR(M80*HSI!$B$75*HSI!$G$75/HSI!$B$3,""))</f>
        <v/>
      </c>
      <c r="CB80" s="106">
        <f>IF(N80="","",IFERROR(N80*HSI!$B$75*HSI!$G$75/HSI!$B$3,""))</f>
        <v/>
      </c>
      <c r="CC80" s="106">
        <f>IF(O80="","",IFERROR(O80*HSI!$B$75*HSI!$G$75/HSI!$B$3,""))</f>
        <v/>
      </c>
      <c r="CD80" s="106">
        <f>IF(P80="","",IFERROR(P80*HSI!$B$75*HSI!$G$75/HSI!$B$3,""))</f>
        <v/>
      </c>
      <c r="CE80" s="106">
        <f>IF(Q80="","",IFERROR(Q80*HSI!$B$75*HSI!$G$75/HSI!$B$3,""))</f>
        <v/>
      </c>
      <c r="CF80" s="106">
        <f>IF(R80="","",IFERROR(R80*HSI!$B$75*HSI!$G$75/HSI!$B$3,""))</f>
        <v/>
      </c>
      <c r="CG80" s="106">
        <f>IF(S80="","",IFERROR(S80*HSI!$B$75*HSI!$G$75/HSI!$B$3,""))</f>
        <v/>
      </c>
      <c r="CH80" s="106">
        <f>IF(T80="","",IFERROR(T80*HSI!$B$75*HSI!$G$75/HSI!$B$3,""))</f>
        <v/>
      </c>
      <c r="CI80" s="106">
        <f>IF(U80="","",IFERROR(U80*HSI!$B$75*HSI!$G$75/HSI!$B$3,""))</f>
        <v/>
      </c>
      <c r="CJ80" s="106">
        <f>IF(V80="","",IFERROR(V80*HSI!$B$75*HSI!$G$75/HSI!$B$3,""))</f>
        <v/>
      </c>
      <c r="CK80" s="106">
        <f>IF(W80="","",IFERROR(W80*HSI!$B$75*HSI!$G$75/HSI!$B$3,""))</f>
        <v/>
      </c>
      <c r="CL80" s="106">
        <f>IF(X80="","",IFERROR(X80*HSI!$B$75*HSI!$G$75/HSI!$B$3,""))</f>
        <v/>
      </c>
      <c r="CM80" s="106">
        <f>IF(Y80="","",IFERROR(Y80*HSI!$B$75*HSI!$G$75/HSI!$B$3,""))</f>
        <v/>
      </c>
      <c r="CN80" s="106">
        <f>IF(Z80="","",IFERROR(Z80*HSI!$B$75*HSI!$G$75/HSI!$B$3,""))</f>
        <v/>
      </c>
      <c r="CO80" s="106">
        <f>IF(AA80="","",IFERROR(AA80*HSI!$B$75*HSI!$G$75/HSI!$B$3,""))</f>
        <v/>
      </c>
      <c r="CP80" s="106">
        <f>IF(AB80="","",IFERROR(AB80*HSI!$B$75*HSI!$G$75/HSI!$B$3,""))</f>
        <v/>
      </c>
      <c r="CQ80" s="106">
        <f>IF(AC80="","",IFERROR(AC80*HSI!$B$75*HSI!$G$75/HSI!$B$3,""))</f>
        <v/>
      </c>
      <c r="CR80" s="106">
        <f>IF(AD80="","",IFERROR(AD80*HSI!$B$75*HSI!$G$75/HSI!$B$3,""))</f>
        <v/>
      </c>
      <c r="CS80" s="106">
        <f>IF(AE80="","",IFERROR(AE80*HSI!$B$75*HSI!$G$75/HSI!$B$3,""))</f>
        <v/>
      </c>
      <c r="CT80" s="106">
        <f>IF(AF80="","",IFERROR(AF80*HSI!$B$75*HSI!$G$75/HSI!$B$3,""))</f>
        <v/>
      </c>
      <c r="CU80" s="106">
        <f>IF(AG80="","",IFERROR(AG80*HSI!$B$75*HSI!$G$75/HSI!$B$3,""))</f>
        <v/>
      </c>
      <c r="CV80" s="106">
        <f>IF(AH80="","",IFERROR(AH80*HSI!$B$75*HSI!$G$75/HSI!$B$3,""))</f>
        <v/>
      </c>
      <c r="CW80" s="106">
        <f>IF(AI80="","",IFERROR(AI80*HSI!$B$75*HSI!$G$75/HSI!$B$3,""))</f>
        <v/>
      </c>
      <c r="CX80" s="106">
        <f>IF(AJ80="","",IFERROR(AJ80*HSI!$B$75*HSI!$G$75/HSI!$B$3,""))</f>
        <v/>
      </c>
      <c r="CY80" s="106">
        <f>IF(AK80="","",IFERROR(AK80*HSI!$B$75*HSI!$G$75/HSI!$B$3,""))</f>
        <v/>
      </c>
      <c r="CZ80" s="106">
        <f>IF(AL80="","",IFERROR(AL80*HSI!$B$75*HSI!$G$75/HSI!$B$3,""))</f>
        <v/>
      </c>
      <c r="DA80" s="106">
        <f>IF(AM80="","",IFERROR(AM80*HSI!$B$75*HSI!$G$75/HSI!$B$3,""))</f>
        <v/>
      </c>
      <c r="DB80" s="106">
        <f>IF(AN80="","",IFERROR(AN80*HSI!$B$75*HSI!$G$75/HSI!$B$3,""))</f>
        <v/>
      </c>
      <c r="DC80" s="106">
        <f>IF(AO80="","",IFERROR(AO80*HSI!$B$75*HSI!$G$75/HSI!$B$3,""))</f>
        <v/>
      </c>
      <c r="DD80" s="106">
        <f>IF(AP80="","",IFERROR(AP80*HSI!$B$75*HSI!$G$75/HSI!$B$3,""))</f>
        <v/>
      </c>
      <c r="DE80" s="106">
        <f>IF(AQ80="","",IFERROR(AQ80*HSI!$B$75*HSI!$G$75/HSI!$B$3,""))</f>
        <v/>
      </c>
      <c r="DF80" s="106">
        <f>IF(AR80="","",IFERROR(AR80*HSI!$B$75*HSI!$G$75/HSI!$B$3,""))</f>
        <v/>
      </c>
      <c r="DG80" s="106">
        <f>IF(AS80="","",IFERROR(AS80*HSI!$B$75*HSI!$G$75/HSI!$B$3,""))</f>
        <v/>
      </c>
      <c r="DH80" s="106">
        <f>IF(AT80="","",IFERROR(AT80*HSI!$B$75*HSI!$G$75/HSI!$B$3,""))</f>
        <v/>
      </c>
      <c r="DI80" s="106">
        <f>IF(AU80="","",IFERROR(AU80*HSI!$B$75*HSI!$G$75/HSI!$B$3,""))</f>
        <v/>
      </c>
      <c r="DJ80" s="106">
        <f>IF(AV80="","",IFERROR(AV80*HSI!$B$75*HSI!$G$75/HSI!$B$3,""))</f>
        <v/>
      </c>
      <c r="DK80" s="106">
        <f>IF(AW80="","",IFERROR(AW80*HSI!$B$75*HSI!$G$75/HSI!$B$3,""))</f>
        <v/>
      </c>
      <c r="DL80" s="106">
        <f>IF(AX80="","",IFERROR(AX80*HSI!$B$75*HSI!$G$75/HSI!$B$3,""))</f>
        <v/>
      </c>
      <c r="DM80" s="106">
        <f>IF(AY80="","",IFERROR(AY80*HSI!$B$75*HSI!$G$75/HSI!$B$3,""))</f>
        <v/>
      </c>
      <c r="DN80" s="106">
        <f>IF(AZ80="","",IFERROR(AZ80*HSI!$B$75*HSI!$G$75/HSI!$B$3,""))</f>
        <v/>
      </c>
      <c r="DO80" s="106">
        <f>IF(BA80="","",IFERROR(BA80*HSI!$B$75*HSI!$G$75/HSI!$B$3,""))</f>
        <v/>
      </c>
      <c r="DP80" s="106">
        <f>IF(BB80="","",IFERROR(BB80*HSI!$B$75*HSI!$G$75/HSI!$B$3,""))</f>
        <v/>
      </c>
      <c r="DQ80" s="106">
        <f>IF(BC80="","",IFERROR(BC80*HSI!$B$75*HSI!$G$75/HSI!$B$3,""))</f>
        <v/>
      </c>
      <c r="DR80" s="106">
        <f>IF(BD80="","",IFERROR(BD80*HSI!$B$75*HSI!$G$75/HSI!$B$3,""))</f>
        <v/>
      </c>
      <c r="DS80" s="106">
        <f>IF(BE80="","",IFERROR(BE80*HSI!$B$75*HSI!$G$75/HSI!$B$3,""))</f>
        <v/>
      </c>
      <c r="DT80" s="106">
        <f>IF(BF80="","",IFERROR(BF80*HSI!$B$75*HSI!$G$75/HSI!$B$3,""))</f>
        <v/>
      </c>
      <c r="DU80" s="106">
        <f>IF(BG80="","",IFERROR(BG80*HSI!$B$75*HSI!$G$75/HSI!$B$3,""))</f>
        <v/>
      </c>
      <c r="DV80" s="106">
        <f>IF(BH80="","",IFERROR(BH80*HSI!$B$75*HSI!$G$75/HSI!$B$3,""))</f>
        <v/>
      </c>
      <c r="DW80" s="106">
        <f>IF(BI80="","",IFERROR(BI80*HSI!$B$75*HSI!$G$75/HSI!$B$3,""))</f>
        <v/>
      </c>
      <c r="DX80" s="106">
        <f>IF(BJ80="","",IFERROR(BJ80*HSI!$B$75*HSI!$G$75/HSI!$B$3,""))</f>
        <v/>
      </c>
      <c r="DY80" s="106">
        <f>IF(BK80="","",IFERROR(BK80*HSI!$B$75*HSI!$G$75/HSI!$B$3,""))</f>
        <v/>
      </c>
      <c r="DZ80" s="106">
        <f>IF(BL80="","",IFERROR(BL80*HSI!$B$75*HSI!$G$75/HSI!$B$3,""))</f>
        <v/>
      </c>
      <c r="EA80" s="106">
        <f>IF(BM80="","",IFERROR(BM80*HSI!$B$75*HSI!$G$75/HSI!$B$3,""))</f>
        <v/>
      </c>
      <c r="EB80" s="106">
        <f>IF(BN80="","",IFERROR(BN80*HSI!$B$75*HSI!$G$75/HSI!$B$3,""))</f>
        <v/>
      </c>
      <c r="EC80" s="106">
        <f>IF(BO80="","",IFERROR(BO80*HSI!$B$75*HSI!$G$75/HSI!$B$3,""))</f>
        <v/>
      </c>
      <c r="EE80" s="35">
        <f>IF(N('Dvd Calendar'!$E$759)=0,"",IF(('Dvd Calendar'!$E$759&gt;=GRID_FROM)*('Dvd Calendar'!$E$759&lt;=GRID_TO)*('Dvd Calendar'!$E$759&lt;=VAL_DATE)=0,"",'Dvd Calendar'!$E$759*1000000000+ISNUMBER('Dvd Calendar'!$E$762)*100000000+('Dvd Calendar'!$E$764=SPECIAL_LBL)*10000000+0*1000000+69*1000+1))</f>
        <v/>
      </c>
      <c r="EF80" s="35">
        <f>IF(N('Dvd Calendar'!$F$759)=0,"",IF(('Dvd Calendar'!$F$759&gt;=GRID_FROM)*('Dvd Calendar'!$F$759&lt;=GRID_TO)*('Dvd Calendar'!$F$759&lt;=VAL_DATE)=0,"",'Dvd Calendar'!$F$759*1000000000+ISNUMBER('Dvd Calendar'!$F$762)*100000000+('Dvd Calendar'!$F$764=SPECIAL_LBL)*10000000+0*1000000+69*1000+2))</f>
        <v/>
      </c>
      <c r="EG80" s="35">
        <f>IF(N('Dvd Calendar'!$G$759)=0,"",IF(('Dvd Calendar'!$G$759&gt;=GRID_FROM)*('Dvd Calendar'!$G$759&lt;=GRID_TO)*('Dvd Calendar'!$G$759&lt;=VAL_DATE)=0,"",'Dvd Calendar'!$G$759*1000000000+ISNUMBER('Dvd Calendar'!$G$762)*100000000+('Dvd Calendar'!$G$764=SPECIAL_LBL)*10000000+0*1000000+69*1000+3))</f>
        <v/>
      </c>
      <c r="EH80" s="35">
        <f>IF(N('Dvd Calendar'!$H$759)=0,"",IF(('Dvd Calendar'!$H$759&gt;=GRID_FROM)*('Dvd Calendar'!$H$759&lt;=GRID_TO)*('Dvd Calendar'!$H$759&lt;=VAL_DATE)=0,"",'Dvd Calendar'!$H$759*1000000000+ISNUMBER('Dvd Calendar'!$H$762)*100000000+('Dvd Calendar'!$H$764=SPECIAL_LBL)*10000000+0*1000000+69*1000+4))</f>
        <v/>
      </c>
      <c r="EI80" s="35">
        <f>IF(N('Dvd Calendar'!$I$759)=0,"",IF(('Dvd Calendar'!$I$759&gt;=GRID_FROM)*('Dvd Calendar'!$I$759&lt;=GRID_TO)*('Dvd Calendar'!$I$759&lt;=VAL_DATE)=0,"",'Dvd Calendar'!$I$759*1000000000+ISNUMBER('Dvd Calendar'!$I$762)*100000000+('Dvd Calendar'!$I$764=SPECIAL_LBL)*10000000+0*1000000+69*1000+5))</f>
        <v/>
      </c>
      <c r="EJ80" s="35">
        <f>IF(N('Dvd Calendar'!$J$759)=0,"",IF(('Dvd Calendar'!$J$759&gt;=GRID_FROM)*('Dvd Calendar'!$J$759&lt;=GRID_TO)*('Dvd Calendar'!$J$759&lt;=VAL_DATE)=0,"",'Dvd Calendar'!$J$759*1000000000+ISNUMBER('Dvd Calendar'!$J$762)*100000000+('Dvd Calendar'!$J$764=SPECIAL_LBL)*10000000+0*1000000+69*1000+6))</f>
        <v/>
      </c>
      <c r="EK80" s="35">
        <f>IF(N('Dvd Calendar'!$K$759)=0,"",IF(('Dvd Calendar'!$K$759&gt;=GRID_FROM)*('Dvd Calendar'!$K$759&lt;=GRID_TO)*('Dvd Calendar'!$K$759&lt;=VAL_DATE)=0,"",'Dvd Calendar'!$K$759*1000000000+ISNUMBER('Dvd Calendar'!$K$762)*100000000+('Dvd Calendar'!$K$764=SPECIAL_LBL)*10000000+0*1000000+69*1000+7))</f>
        <v/>
      </c>
      <c r="EL80" s="35">
        <f>IF(N('Dvd Calendar'!$L$759)=0,"",IF(('Dvd Calendar'!$L$759&gt;=GRID_FROM)*('Dvd Calendar'!$L$759&lt;=GRID_TO)*('Dvd Calendar'!$L$759&lt;=VAL_DATE)=0,"",'Dvd Calendar'!$L$759*1000000000+ISNUMBER('Dvd Calendar'!$L$762)*100000000+('Dvd Calendar'!$L$764=SPECIAL_LBL)*10000000+0*1000000+69*1000+8))</f>
        <v/>
      </c>
      <c r="EM80" s="35">
        <f>IF(N('Dvd Calendar'!$M$759)=0,"",IF(('Dvd Calendar'!$M$759&gt;=GRID_FROM)*('Dvd Calendar'!$M$759&lt;=GRID_TO)*('Dvd Calendar'!$M$759&lt;=VAL_DATE)=0,"",'Dvd Calendar'!$M$759*1000000000+ISNUMBER('Dvd Calendar'!$M$762)*100000000+('Dvd Calendar'!$M$764=SPECIAL_LBL)*10000000+0*1000000+69*1000+9))</f>
        <v/>
      </c>
      <c r="EN80" s="35">
        <f>IF(N('Dvd Calendar'!$N$759)=0,"",IF(('Dvd Calendar'!$N$759&gt;=GRID_FROM)*('Dvd Calendar'!$N$759&lt;=GRID_TO)*('Dvd Calendar'!$N$759&lt;=VAL_DATE)=0,"",'Dvd Calendar'!$N$759*1000000000+ISNUMBER('Dvd Calendar'!$N$762)*100000000+('Dvd Calendar'!$N$764=SPECIAL_LBL)*10000000+0*1000000+69*1000+10))</f>
        <v/>
      </c>
      <c r="EO80" s="35">
        <f>IF(N('Dvd Calendar'!$O$759)=0,"",IF(('Dvd Calendar'!$O$759&gt;=GRID_FROM)*('Dvd Calendar'!$O$759&lt;=GRID_TO)*('Dvd Calendar'!$O$759&lt;=VAL_DATE)=0,"",'Dvd Calendar'!$O$759*1000000000+ISNUMBER('Dvd Calendar'!$O$762)*100000000+('Dvd Calendar'!$O$764=SPECIAL_LBL)*10000000+0*1000000+69*1000+11))</f>
        <v/>
      </c>
      <c r="EP80" s="35">
        <f>IF(N('Dvd Calendar'!$P$759)=0,"",IF(('Dvd Calendar'!$P$759&gt;=GRID_FROM)*('Dvd Calendar'!$P$759&lt;=GRID_TO)*('Dvd Calendar'!$P$759&lt;=VAL_DATE)=0,"",'Dvd Calendar'!$P$759*1000000000+ISNUMBER('Dvd Calendar'!$P$762)*100000000+('Dvd Calendar'!$P$764=SPECIAL_LBL)*10000000+0*1000000+69*1000+12))</f>
        <v/>
      </c>
      <c r="EQ80" s="35">
        <f>IF(N('Dvd Calendar'!$Q$759)=0,"",IF(('Dvd Calendar'!$Q$759&gt;=GRID_FROM)*('Dvd Calendar'!$Q$759&lt;=GRID_TO)*('Dvd Calendar'!$Q$759&lt;=VAL_DATE)=0,"",'Dvd Calendar'!$Q$759*1000000000+ISNUMBER('Dvd Calendar'!$Q$762)*100000000+('Dvd Calendar'!$Q$764=SPECIAL_LBL)*10000000+0*1000000+69*1000+13))</f>
        <v/>
      </c>
      <c r="ER80" s="35">
        <f>IF(N('Dvd Calendar'!$R$759)=0,"",IF(('Dvd Calendar'!$R$759&gt;=GRID_FROM)*('Dvd Calendar'!$R$759&lt;=GRID_TO)*('Dvd Calendar'!$R$759&lt;=VAL_DATE)=0,"",'Dvd Calendar'!$R$759*1000000000+ISNUMBER('Dvd Calendar'!$R$762)*100000000+('Dvd Calendar'!$R$764=SPECIAL_LBL)*10000000+0*1000000+69*1000+14))</f>
        <v/>
      </c>
      <c r="ES80" s="35">
        <f>IF(N('Dvd Calendar'!$S$759)=0,"",IF(('Dvd Calendar'!$S$759&gt;=GRID_FROM)*('Dvd Calendar'!$S$759&lt;=GRID_TO)*('Dvd Calendar'!$S$759&lt;=VAL_DATE)=0,"",'Dvd Calendar'!$S$759*1000000000+ISNUMBER('Dvd Calendar'!$S$762)*100000000+('Dvd Calendar'!$S$764=SPECIAL_LBL)*10000000+0*1000000+69*1000+15))</f>
        <v/>
      </c>
      <c r="ET80" s="35">
        <f>IF(N('Dvd Calendar'!$T$759)=0,"",IF(('Dvd Calendar'!$T$759&gt;=GRID_FROM)*('Dvd Calendar'!$T$759&lt;=GRID_TO)*('Dvd Calendar'!$T$759&lt;=VAL_DATE)=0,"",'Dvd Calendar'!$T$759*1000000000+ISNUMBER('Dvd Calendar'!$T$762)*100000000+('Dvd Calendar'!$T$764=SPECIAL_LBL)*10000000+0*1000000+69*1000+16))</f>
        <v/>
      </c>
      <c r="EU80" s="35">
        <f>IF(N('Dvd Calendar'!$U$759)=0,"",IF(('Dvd Calendar'!$U$759&gt;=GRID_FROM)*('Dvd Calendar'!$U$759&lt;=GRID_TO)*('Dvd Calendar'!$U$759&lt;=VAL_DATE)=0,"",'Dvd Calendar'!$U$759*1000000000+ISNUMBER('Dvd Calendar'!$U$762)*100000000+('Dvd Calendar'!$U$764=SPECIAL_LBL)*10000000+0*1000000+69*1000+17))</f>
        <v/>
      </c>
      <c r="EV80" s="35">
        <f>IF(N('Dvd Calendar'!$V$759)=0,"",IF(('Dvd Calendar'!$V$759&gt;=GRID_FROM)*('Dvd Calendar'!$V$759&lt;=GRID_TO)*('Dvd Calendar'!$V$759&lt;=VAL_DATE)=0,"",'Dvd Calendar'!$V$759*1000000000+ISNUMBER('Dvd Calendar'!$V$762)*100000000+('Dvd Calendar'!$V$764=SPECIAL_LBL)*10000000+0*1000000+69*1000+18))</f>
        <v/>
      </c>
      <c r="EW80" s="35">
        <f>IF(N('Dvd Calendar'!$W$759)=0,"",IF(('Dvd Calendar'!$W$759&gt;=GRID_FROM)*('Dvd Calendar'!$W$759&lt;=GRID_TO)*('Dvd Calendar'!$W$759&lt;=VAL_DATE)=0,"",'Dvd Calendar'!$W$759*1000000000+ISNUMBER('Dvd Calendar'!$W$762)*100000000+('Dvd Calendar'!$W$764=SPECIAL_LBL)*10000000+0*1000000+69*1000+19))</f>
        <v/>
      </c>
      <c r="EX80" s="35">
        <f>IF(N('Dvd Calendar'!$X$759)=0,"",IF(('Dvd Calendar'!$X$759&gt;=GRID_FROM)*('Dvd Calendar'!$X$759&lt;=GRID_TO)*('Dvd Calendar'!$X$759&lt;=VAL_DATE)=0,"",'Dvd Calendar'!$X$759*1000000000+ISNUMBER('Dvd Calendar'!$X$762)*100000000+('Dvd Calendar'!$X$764=SPECIAL_LBL)*10000000+0*1000000+69*1000+20))</f>
        <v/>
      </c>
      <c r="EY80" s="35">
        <f>IF(N('Dvd Calendar'!$Y$759)=0,"",IF(('Dvd Calendar'!$Y$759&gt;=GRID_FROM)*('Dvd Calendar'!$Y$759&lt;=GRID_TO)*('Dvd Calendar'!$Y$759&lt;=VAL_DATE)=0,"",'Dvd Calendar'!$Y$759*1000000000+ISNUMBER('Dvd Calendar'!$Y$762)*100000000+('Dvd Calendar'!$Y$764=SPECIAL_LBL)*10000000+0*1000000+69*1000+21))</f>
        <v/>
      </c>
      <c r="EZ80" s="35">
        <f>IF(N('Dvd Calendar'!$Z$759)=0,"",IF(('Dvd Calendar'!$Z$759&gt;=GRID_FROM)*('Dvd Calendar'!$Z$759&lt;=GRID_TO)*('Dvd Calendar'!$Z$759&lt;=VAL_DATE)=0,"",'Dvd Calendar'!$Z$759*1000000000+ISNUMBER('Dvd Calendar'!$Z$762)*100000000+('Dvd Calendar'!$Z$764=SPECIAL_LBL)*10000000+0*1000000+69*1000+22))</f>
        <v/>
      </c>
      <c r="FA80" s="35">
        <f>IF(N('Dvd Calendar'!$AA$759)=0,"",IF(('Dvd Calendar'!$AA$759&gt;=GRID_FROM)*('Dvd Calendar'!$AA$759&lt;=GRID_TO)*('Dvd Calendar'!$AA$759&lt;=VAL_DATE)=0,"",'Dvd Calendar'!$AA$759*1000000000+ISNUMBER('Dvd Calendar'!$AA$762)*100000000+('Dvd Calendar'!$AA$764=SPECIAL_LBL)*10000000+0*1000000+69*1000+23))</f>
        <v/>
      </c>
      <c r="FB80" s="35">
        <f>IF(N('Dvd Calendar'!$AB$759)=0,"",IF(('Dvd Calendar'!$AB$759&gt;=GRID_FROM)*('Dvd Calendar'!$AB$759&lt;=GRID_TO)*('Dvd Calendar'!$AB$759&lt;=VAL_DATE)=0,"",'Dvd Calendar'!$AB$759*1000000000+ISNUMBER('Dvd Calendar'!$AB$762)*100000000+('Dvd Calendar'!$AB$764=SPECIAL_LBL)*10000000+0*1000000+69*1000+24))</f>
        <v/>
      </c>
      <c r="FC80" s="35">
        <f>IF(N('Dvd Calendar'!$AC$759)=0,"",IF(('Dvd Calendar'!$AC$759&gt;=GRID_FROM)*('Dvd Calendar'!$AC$759&lt;=GRID_TO)*('Dvd Calendar'!$AC$759&lt;=VAL_DATE)=0,"",'Dvd Calendar'!$AC$759*1000000000+ISNUMBER('Dvd Calendar'!$AC$762)*100000000+('Dvd Calendar'!$AC$764=SPECIAL_LBL)*10000000+0*1000000+69*1000+25))</f>
        <v/>
      </c>
      <c r="FD80" s="35">
        <f>IF(N('Dvd Calendar'!$AD$759)=0,"",IF(('Dvd Calendar'!$AD$759&gt;=GRID_FROM)*('Dvd Calendar'!$AD$759&lt;=GRID_TO)*('Dvd Calendar'!$AD$759&lt;=VAL_DATE)=0,"",'Dvd Calendar'!$AD$759*1000000000+ISNUMBER('Dvd Calendar'!$AD$762)*100000000+('Dvd Calendar'!$AD$764=SPECIAL_LBL)*10000000+0*1000000+69*1000+26))</f>
        <v/>
      </c>
      <c r="FE80" s="35">
        <f>IF(N('Dvd Calendar'!$AE$759)=0,"",IF(('Dvd Calendar'!$AE$759&gt;=GRID_FROM)*('Dvd Calendar'!$AE$759&lt;=GRID_TO)*('Dvd Calendar'!$AE$759&lt;=VAL_DATE)=0,"",'Dvd Calendar'!$AE$759*1000000000+ISNUMBER('Dvd Calendar'!$AE$762)*100000000+('Dvd Calendar'!$AE$764=SPECIAL_LBL)*10000000+0*1000000+69*1000+27))</f>
        <v/>
      </c>
      <c r="FF80" s="35">
        <f>IF(N('Dvd Calendar'!$AF$759)=0,"",IF(('Dvd Calendar'!$AF$759&gt;=GRID_FROM)*('Dvd Calendar'!$AF$759&lt;=GRID_TO)*('Dvd Calendar'!$AF$759&lt;=VAL_DATE)=0,"",'Dvd Calendar'!$AF$759*1000000000+ISNUMBER('Dvd Calendar'!$AF$762)*100000000+('Dvd Calendar'!$AF$764=SPECIAL_LBL)*10000000+0*1000000+69*1000+28))</f>
        <v/>
      </c>
      <c r="FG80" s="35">
        <f>IF(N('Dvd Calendar'!$AG$759)=0,"",IF(('Dvd Calendar'!$AG$759&gt;=GRID_FROM)*('Dvd Calendar'!$AG$759&lt;=GRID_TO)*('Dvd Calendar'!$AG$759&lt;=VAL_DATE)=0,"",'Dvd Calendar'!$AG$759*1000000000+ISNUMBER('Dvd Calendar'!$AG$762)*100000000+('Dvd Calendar'!$AG$764=SPECIAL_LBL)*10000000+0*1000000+69*1000+29))</f>
        <v/>
      </c>
      <c r="FH80" s="35">
        <f>IF(N('Dvd Calendar'!$AH$759)=0,"",IF(('Dvd Calendar'!$AH$759&gt;=GRID_FROM)*('Dvd Calendar'!$AH$759&lt;=GRID_TO)*('Dvd Calendar'!$AH$759&lt;=VAL_DATE)=0,"",'Dvd Calendar'!$AH$759*1000000000+ISNUMBER('Dvd Calendar'!$AH$762)*100000000+('Dvd Calendar'!$AH$764=SPECIAL_LBL)*10000000+0*1000000+69*1000+30))</f>
        <v/>
      </c>
      <c r="FI80" s="35">
        <f>IF(N('Dvd Calendar'!$AI$759)=0,"",IF(('Dvd Calendar'!$AI$759&gt;=GRID_FROM)*('Dvd Calendar'!$AI$759&lt;=GRID_TO)*('Dvd Calendar'!$AI$759&lt;=VAL_DATE)=0,"",'Dvd Calendar'!$AI$759*1000000000+ISNUMBER('Dvd Calendar'!$AI$762)*100000000+('Dvd Calendar'!$AI$764=SPECIAL_LBL)*10000000+0*1000000+69*1000+31))</f>
        <v/>
      </c>
      <c r="FJ80" s="35">
        <f>IF(N('Dvd Calendar'!$AJ$759)=0,"",IF(('Dvd Calendar'!$AJ$759&gt;=GRID_FROM)*('Dvd Calendar'!$AJ$759&lt;=GRID_TO)*('Dvd Calendar'!$AJ$759&lt;=VAL_DATE)=0,"",'Dvd Calendar'!$AJ$759*1000000000+ISNUMBER('Dvd Calendar'!$AJ$762)*100000000+('Dvd Calendar'!$AJ$764=SPECIAL_LBL)*10000000+0*1000000+69*1000+32))</f>
        <v/>
      </c>
      <c r="FK80" s="35">
        <f>IF(N('Dvd Calendar'!$AK$759)=0,"",IF(('Dvd Calendar'!$AK$759&gt;=GRID_FROM)*('Dvd Calendar'!$AK$759&lt;=GRID_TO)*('Dvd Calendar'!$AK$759&lt;=VAL_DATE)=0,"",'Dvd Calendar'!$AK$759*1000000000+ISNUMBER('Dvd Calendar'!$AK$762)*100000000+('Dvd Calendar'!$AK$764=SPECIAL_LBL)*10000000+0*1000000+69*1000+33))</f>
        <v/>
      </c>
      <c r="FL80" s="35">
        <f>IF(N('Dvd Calendar'!$AL$759)=0,"",IF(('Dvd Calendar'!$AL$759&gt;=GRID_FROM)*('Dvd Calendar'!$AL$759&lt;=GRID_TO)*('Dvd Calendar'!$AL$759&lt;=VAL_DATE)=0,"",'Dvd Calendar'!$AL$759*1000000000+ISNUMBER('Dvd Calendar'!$AL$762)*100000000+('Dvd Calendar'!$AL$764=SPECIAL_LBL)*10000000+0*1000000+69*1000+34))</f>
        <v/>
      </c>
      <c r="FM80" s="35">
        <f>IF(N('Dvd Calendar'!$AM$759)=0,"",IF(('Dvd Calendar'!$AM$759&gt;=GRID_FROM)*('Dvd Calendar'!$AM$759&lt;=GRID_TO)*('Dvd Calendar'!$AM$759&lt;=VAL_DATE)=0,"",'Dvd Calendar'!$AM$759*1000000000+ISNUMBER('Dvd Calendar'!$AM$762)*100000000+('Dvd Calendar'!$AM$764=SPECIAL_LBL)*10000000+0*1000000+69*1000+35))</f>
        <v/>
      </c>
      <c r="FN80" s="35">
        <f>IF(N('Dvd Calendar'!$AN$759)=0,"",IF(('Dvd Calendar'!$AN$759&gt;=GRID_FROM)*('Dvd Calendar'!$AN$759&lt;=GRID_TO)*('Dvd Calendar'!$AN$759&lt;=VAL_DATE)=0,"",'Dvd Calendar'!$AN$759*1000000000+ISNUMBER('Dvd Calendar'!$AN$762)*100000000+('Dvd Calendar'!$AN$764=SPECIAL_LBL)*10000000+0*1000000+69*1000+36))</f>
        <v/>
      </c>
      <c r="FO80" s="35">
        <f>IF(N('Dvd Calendar'!$AO$759)=0,"",IF(('Dvd Calendar'!$AO$759&gt;=GRID_FROM)*('Dvd Calendar'!$AO$759&lt;=GRID_TO)*('Dvd Calendar'!$AO$759&lt;=VAL_DATE)=0,"",'Dvd Calendar'!$AO$759*1000000000+ISNUMBER('Dvd Calendar'!$AO$762)*100000000+('Dvd Calendar'!$AO$764=SPECIAL_LBL)*10000000+0*1000000+69*1000+37))</f>
        <v/>
      </c>
      <c r="FP80" s="35">
        <f>IF(N('Dvd Calendar'!$AP$759)=0,"",IF(('Dvd Calendar'!$AP$759&gt;=GRID_FROM)*('Dvd Calendar'!$AP$759&lt;=GRID_TO)*('Dvd Calendar'!$AP$759&lt;=VAL_DATE)=0,"",'Dvd Calendar'!$AP$759*1000000000+ISNUMBER('Dvd Calendar'!$AP$762)*100000000+('Dvd Calendar'!$AP$764=SPECIAL_LBL)*10000000+0*1000000+69*1000+38))</f>
        <v/>
      </c>
      <c r="FQ80" s="35">
        <f>IF(N('Dvd Calendar'!$AQ$759)=0,"",IF(('Dvd Calendar'!$AQ$759&gt;=GRID_FROM)*('Dvd Calendar'!$AQ$759&lt;=GRID_TO)*('Dvd Calendar'!$AQ$759&lt;=VAL_DATE)=0,"",'Dvd Calendar'!$AQ$759*1000000000+ISNUMBER('Dvd Calendar'!$AQ$762)*100000000+('Dvd Calendar'!$AQ$764=SPECIAL_LBL)*10000000+0*1000000+69*1000+39))</f>
        <v/>
      </c>
      <c r="FR80" s="35">
        <f>IF(N('Dvd Calendar'!$AR$759)=0,"",IF(('Dvd Calendar'!$AR$759&gt;=GRID_FROM)*('Dvd Calendar'!$AR$759&lt;=GRID_TO)*('Dvd Calendar'!$AR$759&lt;=VAL_DATE)=0,"",'Dvd Calendar'!$AR$759*1000000000+ISNUMBER('Dvd Calendar'!$AR$762)*100000000+('Dvd Calendar'!$AR$764=SPECIAL_LBL)*10000000+0*1000000+69*1000+40))</f>
        <v/>
      </c>
      <c r="FS80" s="35">
        <f>IF(N('Dvd Calendar'!$E$766)=0,"",IF(('Dvd Calendar'!$E$766&gt;=GRID_FROM)*('Dvd Calendar'!$E$766&lt;=GRID_TO)*('Dvd Calendar'!$E$766&gt;VAL_DATE)=0,"",'Dvd Calendar'!$E$766*1000000000+ISNUMBER('Dvd Calendar'!$E$767)*100000000+0*10000000+(N('Dvd Calendar'!$E$765)&gt;0)*(N('Dvd Calendar'!$E$765)&lt;=VAL_SERIAL)*1000000+69*1000+41))</f>
        <v/>
      </c>
      <c r="FT80" s="35">
        <f>IF(N('Dvd Calendar'!$F$766)=0,"",IF(('Dvd Calendar'!$F$766&gt;=GRID_FROM)*('Dvd Calendar'!$F$766&lt;=GRID_TO)*('Dvd Calendar'!$F$766&gt;VAL_DATE)=0,"",'Dvd Calendar'!$F$766*1000000000+ISNUMBER('Dvd Calendar'!$F$767)*100000000+0*10000000+(N('Dvd Calendar'!$F$765)&gt;0)*(N('Dvd Calendar'!$F$765)&lt;=VAL_SERIAL)*1000000+69*1000+42))</f>
        <v/>
      </c>
      <c r="FU80" s="35">
        <f>IF(N('Dvd Calendar'!$G$766)=0,"",IF(('Dvd Calendar'!$G$766&gt;=GRID_FROM)*('Dvd Calendar'!$G$766&lt;=GRID_TO)*('Dvd Calendar'!$G$766&gt;VAL_DATE)=0,"",'Dvd Calendar'!$G$766*1000000000+ISNUMBER('Dvd Calendar'!$G$767)*100000000+0*10000000+(N('Dvd Calendar'!$G$765)&gt;0)*(N('Dvd Calendar'!$G$765)&lt;=VAL_SERIAL)*1000000+69*1000+43))</f>
        <v/>
      </c>
      <c r="FV80" s="35">
        <f>IF(N('Dvd Calendar'!$H$766)=0,"",IF(('Dvd Calendar'!$H$766&gt;=GRID_FROM)*('Dvd Calendar'!$H$766&lt;=GRID_TO)*('Dvd Calendar'!$H$766&gt;VAL_DATE)=0,"",'Dvd Calendar'!$H$766*1000000000+ISNUMBER('Dvd Calendar'!$H$767)*100000000+0*10000000+(N('Dvd Calendar'!$H$765)&gt;0)*(N('Dvd Calendar'!$H$765)&lt;=VAL_SERIAL)*1000000+69*1000+44))</f>
        <v/>
      </c>
      <c r="FW80" s="35">
        <f>IF(N('Dvd Calendar'!$I$766)=0,"",IF(('Dvd Calendar'!$I$766&gt;=GRID_FROM)*('Dvd Calendar'!$I$766&lt;=GRID_TO)*('Dvd Calendar'!$I$766&gt;VAL_DATE)=0,"",'Dvd Calendar'!$I$766*1000000000+ISNUMBER('Dvd Calendar'!$I$767)*100000000+0*10000000+(N('Dvd Calendar'!$I$765)&gt;0)*(N('Dvd Calendar'!$I$765)&lt;=VAL_SERIAL)*1000000+69*1000+45))</f>
        <v/>
      </c>
      <c r="FX80" s="35">
        <f>IF(N('Dvd Calendar'!$J$766)=0,"",IF(('Dvd Calendar'!$J$766&gt;=GRID_FROM)*('Dvd Calendar'!$J$766&lt;=GRID_TO)*('Dvd Calendar'!$J$766&gt;VAL_DATE)=0,"",'Dvd Calendar'!$J$766*1000000000+ISNUMBER('Dvd Calendar'!$J$767)*100000000+0*10000000+(N('Dvd Calendar'!$J$765)&gt;0)*(N('Dvd Calendar'!$J$765)&lt;=VAL_SERIAL)*1000000+69*1000+46))</f>
        <v/>
      </c>
      <c r="FY80" s="35">
        <f>IF(N('Dvd Calendar'!$K$766)=0,"",IF(('Dvd Calendar'!$K$766&gt;=GRID_FROM)*('Dvd Calendar'!$K$766&lt;=GRID_TO)*('Dvd Calendar'!$K$766&gt;VAL_DATE)=0,"",'Dvd Calendar'!$K$766*1000000000+ISNUMBER('Dvd Calendar'!$K$767)*100000000+0*10000000+(N('Dvd Calendar'!$K$765)&gt;0)*(N('Dvd Calendar'!$K$765)&lt;=VAL_SERIAL)*1000000+69*1000+47))</f>
        <v/>
      </c>
      <c r="FZ80" s="35">
        <f>IF(N('Dvd Calendar'!$L$766)=0,"",IF(('Dvd Calendar'!$L$766&gt;=GRID_FROM)*('Dvd Calendar'!$L$766&lt;=GRID_TO)*('Dvd Calendar'!$L$766&gt;VAL_DATE)=0,"",'Dvd Calendar'!$L$766*1000000000+ISNUMBER('Dvd Calendar'!$L$767)*100000000+0*10000000+(N('Dvd Calendar'!$L$765)&gt;0)*(N('Dvd Calendar'!$L$765)&lt;=VAL_SERIAL)*1000000+69*1000+48))</f>
        <v/>
      </c>
      <c r="GA80" s="35">
        <f>IF(N('Dvd Calendar'!$M$766)=0,"",IF(('Dvd Calendar'!$M$766&gt;=GRID_FROM)*('Dvd Calendar'!$M$766&lt;=GRID_TO)*('Dvd Calendar'!$M$766&gt;VAL_DATE)=0,"",'Dvd Calendar'!$M$766*1000000000+ISNUMBER('Dvd Calendar'!$M$767)*100000000+0*10000000+(N('Dvd Calendar'!$M$765)&gt;0)*(N('Dvd Calendar'!$M$765)&lt;=VAL_SERIAL)*1000000+69*1000+49))</f>
        <v/>
      </c>
      <c r="GB80" s="35">
        <f>IF(N('Dvd Calendar'!$N$766)=0,"",IF(('Dvd Calendar'!$N$766&gt;=GRID_FROM)*('Dvd Calendar'!$N$766&lt;=GRID_TO)*('Dvd Calendar'!$N$766&gt;VAL_DATE)=0,"",'Dvd Calendar'!$N$766*1000000000+ISNUMBER('Dvd Calendar'!$N$767)*100000000+0*10000000+(N('Dvd Calendar'!$N$765)&gt;0)*(N('Dvd Calendar'!$N$765)&lt;=VAL_SERIAL)*1000000+69*1000+50))</f>
        <v/>
      </c>
      <c r="GC80" s="35">
        <f>IF(N('Dvd Calendar'!$O$766)=0,"",IF(('Dvd Calendar'!$O$766&gt;=GRID_FROM)*('Dvd Calendar'!$O$766&lt;=GRID_TO)*('Dvd Calendar'!$O$766&gt;VAL_DATE)=0,"",'Dvd Calendar'!$O$766*1000000000+ISNUMBER('Dvd Calendar'!$O$767)*100000000+0*10000000+(N('Dvd Calendar'!$O$765)&gt;0)*(N('Dvd Calendar'!$O$765)&lt;=VAL_SERIAL)*1000000+69*1000+51))</f>
        <v/>
      </c>
      <c r="GD80" s="35">
        <f>IF(N('Dvd Calendar'!$P$766)=0,"",IF(('Dvd Calendar'!$P$766&gt;=GRID_FROM)*('Dvd Calendar'!$P$766&lt;=GRID_TO)*('Dvd Calendar'!$P$766&gt;VAL_DATE)=0,"",'Dvd Calendar'!$P$766*1000000000+ISNUMBER('Dvd Calendar'!$P$767)*100000000+0*10000000+(N('Dvd Calendar'!$P$765)&gt;0)*(N('Dvd Calendar'!$P$765)&lt;=VAL_SERIAL)*1000000+69*1000+52))</f>
        <v/>
      </c>
      <c r="GE80" s="35">
        <f>IF(N('Dvd Calendar'!$Q$766)=0,"",IF(('Dvd Calendar'!$Q$766&gt;=GRID_FROM)*('Dvd Calendar'!$Q$766&lt;=GRID_TO)*('Dvd Calendar'!$Q$766&gt;VAL_DATE)=0,"",'Dvd Calendar'!$Q$766*1000000000+ISNUMBER('Dvd Calendar'!$Q$767)*100000000+0*10000000+(N('Dvd Calendar'!$Q$765)&gt;0)*(N('Dvd Calendar'!$Q$765)&lt;=VAL_SERIAL)*1000000+69*1000+53))</f>
        <v/>
      </c>
      <c r="GF80" s="35">
        <f>IF(N('Dvd Calendar'!$R$766)=0,"",IF(('Dvd Calendar'!$R$766&gt;=GRID_FROM)*('Dvd Calendar'!$R$766&lt;=GRID_TO)*('Dvd Calendar'!$R$766&gt;VAL_DATE)=0,"",'Dvd Calendar'!$R$766*1000000000+ISNUMBER('Dvd Calendar'!$R$767)*100000000+0*10000000+(N('Dvd Calendar'!$R$765)&gt;0)*(N('Dvd Calendar'!$R$765)&lt;=VAL_SERIAL)*1000000+69*1000+54))</f>
        <v/>
      </c>
      <c r="GG80" s="35">
        <f>IF(N('Dvd Calendar'!$S$766)=0,"",IF(('Dvd Calendar'!$S$766&gt;=GRID_FROM)*('Dvd Calendar'!$S$766&lt;=GRID_TO)*('Dvd Calendar'!$S$766&gt;VAL_DATE)=0,"",'Dvd Calendar'!$S$766*1000000000+ISNUMBER('Dvd Calendar'!$S$767)*100000000+0*10000000+(N('Dvd Calendar'!$S$765)&gt;0)*(N('Dvd Calendar'!$S$765)&lt;=VAL_SERIAL)*1000000+69*1000+55))</f>
        <v/>
      </c>
      <c r="GH80" s="35">
        <f>IF(N('Dvd Calendar'!$T$766)=0,"",IF(('Dvd Calendar'!$T$766&gt;=GRID_FROM)*('Dvd Calendar'!$T$766&lt;=GRID_TO)*('Dvd Calendar'!$T$766&gt;VAL_DATE)=0,"",'Dvd Calendar'!$T$766*1000000000+ISNUMBER('Dvd Calendar'!$T$767)*100000000+0*10000000+(N('Dvd Calendar'!$T$765)&gt;0)*(N('Dvd Calendar'!$T$765)&lt;=VAL_SERIAL)*1000000+69*1000+56))</f>
        <v/>
      </c>
      <c r="GI80" s="35">
        <f>IF(N('Dvd Calendar'!$U$766)=0,"",IF(('Dvd Calendar'!$U$766&gt;=GRID_FROM)*('Dvd Calendar'!$U$766&lt;=GRID_TO)*('Dvd Calendar'!$U$766&gt;VAL_DATE)=0,"",'Dvd Calendar'!$U$766*1000000000+ISNUMBER('Dvd Calendar'!$U$767)*100000000+0*10000000+(N('Dvd Calendar'!$U$765)&gt;0)*(N('Dvd Calendar'!$U$765)&lt;=VAL_SERIAL)*1000000+69*1000+57))</f>
        <v/>
      </c>
      <c r="GJ80" s="35">
        <f>IF(N('Dvd Calendar'!$V$766)=0,"",IF(('Dvd Calendar'!$V$766&gt;=GRID_FROM)*('Dvd Calendar'!$V$766&lt;=GRID_TO)*('Dvd Calendar'!$V$766&gt;VAL_DATE)=0,"",'Dvd Calendar'!$V$766*1000000000+ISNUMBER('Dvd Calendar'!$V$767)*100000000+0*10000000+(N('Dvd Calendar'!$V$765)&gt;0)*(N('Dvd Calendar'!$V$765)&lt;=VAL_SERIAL)*1000000+69*1000+58))</f>
        <v/>
      </c>
      <c r="GK80" s="35">
        <f>IF(N('Dvd Calendar'!$W$766)=0,"",IF(('Dvd Calendar'!$W$766&gt;=GRID_FROM)*('Dvd Calendar'!$W$766&lt;=GRID_TO)*('Dvd Calendar'!$W$766&gt;VAL_DATE)=0,"",'Dvd Calendar'!$W$766*1000000000+ISNUMBER('Dvd Calendar'!$W$767)*100000000+0*10000000+(N('Dvd Calendar'!$W$765)&gt;0)*(N('Dvd Calendar'!$W$765)&lt;=VAL_SERIAL)*1000000+69*1000+59))</f>
        <v/>
      </c>
      <c r="GL80" s="35">
        <f>IF(N('Dvd Calendar'!$X$766)=0,"",IF(('Dvd Calendar'!$X$766&gt;=GRID_FROM)*('Dvd Calendar'!$X$766&lt;=GRID_TO)*('Dvd Calendar'!$X$766&gt;VAL_DATE)=0,"",'Dvd Calendar'!$X$766*1000000000+ISNUMBER('Dvd Calendar'!$X$767)*100000000+0*10000000+(N('Dvd Calendar'!$X$765)&gt;0)*(N('Dvd Calendar'!$X$765)&lt;=VAL_SERIAL)*1000000+69*1000+60))</f>
        <v/>
      </c>
      <c r="GM80" s="35">
        <f>IF(N('Dvd Calendar'!$Y$766)=0,"",IF(('Dvd Calendar'!$Y$766&gt;=GRID_FROM)*('Dvd Calendar'!$Y$766&lt;=GRID_TO)*('Dvd Calendar'!$Y$766&gt;VAL_DATE)=0,"",'Dvd Calendar'!$Y$766*1000000000+ISNUMBER('Dvd Calendar'!$Y$767)*100000000+0*10000000+(N('Dvd Calendar'!$Y$765)&gt;0)*(N('Dvd Calendar'!$Y$765)&lt;=VAL_SERIAL)*1000000+69*1000+61))</f>
        <v/>
      </c>
      <c r="GN80" s="35">
        <f>IF(N('Dvd Calendar'!$Z$766)=0,"",IF(('Dvd Calendar'!$Z$766&gt;=GRID_FROM)*('Dvd Calendar'!$Z$766&lt;=GRID_TO)*('Dvd Calendar'!$Z$766&gt;VAL_DATE)=0,"",'Dvd Calendar'!$Z$766*1000000000+ISNUMBER('Dvd Calendar'!$Z$767)*100000000+0*10000000+(N('Dvd Calendar'!$Z$765)&gt;0)*(N('Dvd Calendar'!$Z$765)&lt;=VAL_SERIAL)*1000000+69*1000+62))</f>
        <v/>
      </c>
      <c r="GO80" s="35">
        <f>IF(N('Dvd Calendar'!$AA$766)=0,"",IF(('Dvd Calendar'!$AA$766&gt;=GRID_FROM)*('Dvd Calendar'!$AA$766&lt;=GRID_TO)*('Dvd Calendar'!$AA$766&gt;VAL_DATE)=0,"",'Dvd Calendar'!$AA$766*1000000000+ISNUMBER('Dvd Calendar'!$AA$767)*100000000+0*10000000+(N('Dvd Calendar'!$AA$765)&gt;0)*(N('Dvd Calendar'!$AA$765)&lt;=VAL_SERIAL)*1000000+69*1000+63))</f>
        <v/>
      </c>
      <c r="GP80" s="35">
        <f>IF(N('Dvd Calendar'!$AB$766)=0,"",IF(('Dvd Calendar'!$AB$766&gt;=GRID_FROM)*('Dvd Calendar'!$AB$766&lt;=GRID_TO)*('Dvd Calendar'!$AB$766&gt;VAL_DATE)=0,"",'Dvd Calendar'!$AB$766*1000000000+ISNUMBER('Dvd Calendar'!$AB$767)*100000000+0*10000000+(N('Dvd Calendar'!$AB$765)&gt;0)*(N('Dvd Calendar'!$AB$765)&lt;=VAL_SERIAL)*1000000+69*1000+64))</f>
        <v/>
      </c>
      <c r="GQ80" s="35">
        <f>IF(N('Dvd Calendar'!$AC$766)=0,"",IF(('Dvd Calendar'!$AC$766&gt;=GRID_FROM)*('Dvd Calendar'!$AC$766&lt;=GRID_TO)*('Dvd Calendar'!$AC$766&gt;VAL_DATE)=0,"",'Dvd Calendar'!$AC$766*1000000000+ISNUMBER('Dvd Calendar'!$AC$767)*100000000+0*10000000+(N('Dvd Calendar'!$AC$765)&gt;0)*(N('Dvd Calendar'!$AC$765)&lt;=VAL_SERIAL)*1000000+69*1000+65))</f>
        <v/>
      </c>
    </row>
    <row r="81">
      <c r="B81" s="2">
        <f>IF(HSI!$C$76="","",HSI!$C$76)</f>
        <v/>
      </c>
      <c r="C81" s="106">
        <f>IF(EE81="","",IF(ISNUMBER('Dvd Calendar'!$E$773)=FALSE,"",IF((('Dvd Calendar'!$E$775=TYPE1)*(TYPE1&lt;&gt;"")+('Dvd Calendar'!$E$775=TYPE2)*(TYPE2&lt;&gt;"")+('Dvd Calendar'!$E$775=TYPE3)*(TYPE3&lt;&gt;"")+('Dvd Calendar'!$E$775=TYPE4)*(TYPE4&lt;&gt;"")+('Dvd Calendar'!$E$775=SPECIAL_LBL)*(INC_SPECIALS="Y"))=0,"",'Dvd Calendar'!$E$773)))</f>
        <v/>
      </c>
      <c r="D81" s="106">
        <f>IF(EF81="","",IF(ISNUMBER('Dvd Calendar'!$F$773)=FALSE,"",IF((('Dvd Calendar'!$F$775=TYPE1)*(TYPE1&lt;&gt;"")+('Dvd Calendar'!$F$775=TYPE2)*(TYPE2&lt;&gt;"")+('Dvd Calendar'!$F$775=TYPE3)*(TYPE3&lt;&gt;"")+('Dvd Calendar'!$F$775=TYPE4)*(TYPE4&lt;&gt;"")+('Dvd Calendar'!$F$775=SPECIAL_LBL)*(INC_SPECIALS="Y"))=0,"",'Dvd Calendar'!$F$773)))</f>
        <v/>
      </c>
      <c r="E81" s="106">
        <f>IF(EG81="","",IF(ISNUMBER('Dvd Calendar'!$G$773)=FALSE,"",IF((('Dvd Calendar'!$G$775=TYPE1)*(TYPE1&lt;&gt;"")+('Dvd Calendar'!$G$775=TYPE2)*(TYPE2&lt;&gt;"")+('Dvd Calendar'!$G$775=TYPE3)*(TYPE3&lt;&gt;"")+('Dvd Calendar'!$G$775=TYPE4)*(TYPE4&lt;&gt;"")+('Dvd Calendar'!$G$775=SPECIAL_LBL)*(INC_SPECIALS="Y"))=0,"",'Dvd Calendar'!$G$773)))</f>
        <v/>
      </c>
      <c r="F81" s="106">
        <f>IF(EH81="","",IF(ISNUMBER('Dvd Calendar'!$H$773)=FALSE,"",IF((('Dvd Calendar'!$H$775=TYPE1)*(TYPE1&lt;&gt;"")+('Dvd Calendar'!$H$775=TYPE2)*(TYPE2&lt;&gt;"")+('Dvd Calendar'!$H$775=TYPE3)*(TYPE3&lt;&gt;"")+('Dvd Calendar'!$H$775=TYPE4)*(TYPE4&lt;&gt;"")+('Dvd Calendar'!$H$775=SPECIAL_LBL)*(INC_SPECIALS="Y"))=0,"",'Dvd Calendar'!$H$773)))</f>
        <v/>
      </c>
      <c r="G81" s="106">
        <f>IF(EI81="","",IF(ISNUMBER('Dvd Calendar'!$I$773)=FALSE,"",IF((('Dvd Calendar'!$I$775=TYPE1)*(TYPE1&lt;&gt;"")+('Dvd Calendar'!$I$775=TYPE2)*(TYPE2&lt;&gt;"")+('Dvd Calendar'!$I$775=TYPE3)*(TYPE3&lt;&gt;"")+('Dvd Calendar'!$I$775=TYPE4)*(TYPE4&lt;&gt;"")+('Dvd Calendar'!$I$775=SPECIAL_LBL)*(INC_SPECIALS="Y"))=0,"",'Dvd Calendar'!$I$773)))</f>
        <v/>
      </c>
      <c r="H81" s="106">
        <f>IF(EJ81="","",IF(ISNUMBER('Dvd Calendar'!$J$773)=FALSE,"",IF((('Dvd Calendar'!$J$775=TYPE1)*(TYPE1&lt;&gt;"")+('Dvd Calendar'!$J$775=TYPE2)*(TYPE2&lt;&gt;"")+('Dvd Calendar'!$J$775=TYPE3)*(TYPE3&lt;&gt;"")+('Dvd Calendar'!$J$775=TYPE4)*(TYPE4&lt;&gt;"")+('Dvd Calendar'!$J$775=SPECIAL_LBL)*(INC_SPECIALS="Y"))=0,"",'Dvd Calendar'!$J$773)))</f>
        <v/>
      </c>
      <c r="I81" s="106">
        <f>IF(EK81="","",IF(ISNUMBER('Dvd Calendar'!$K$773)=FALSE,"",IF((('Dvd Calendar'!$K$775=TYPE1)*(TYPE1&lt;&gt;"")+('Dvd Calendar'!$K$775=TYPE2)*(TYPE2&lt;&gt;"")+('Dvd Calendar'!$K$775=TYPE3)*(TYPE3&lt;&gt;"")+('Dvd Calendar'!$K$775=TYPE4)*(TYPE4&lt;&gt;"")+('Dvd Calendar'!$K$775=SPECIAL_LBL)*(INC_SPECIALS="Y"))=0,"",'Dvd Calendar'!$K$773)))</f>
        <v/>
      </c>
      <c r="J81" s="106">
        <f>IF(EL81="","",IF(ISNUMBER('Dvd Calendar'!$L$773)=FALSE,"",IF((('Dvd Calendar'!$L$775=TYPE1)*(TYPE1&lt;&gt;"")+('Dvd Calendar'!$L$775=TYPE2)*(TYPE2&lt;&gt;"")+('Dvd Calendar'!$L$775=TYPE3)*(TYPE3&lt;&gt;"")+('Dvd Calendar'!$L$775=TYPE4)*(TYPE4&lt;&gt;"")+('Dvd Calendar'!$L$775=SPECIAL_LBL)*(INC_SPECIALS="Y"))=0,"",'Dvd Calendar'!$L$773)))</f>
        <v/>
      </c>
      <c r="K81" s="106">
        <f>IF(EM81="","",IF(ISNUMBER('Dvd Calendar'!$M$773)=FALSE,"",IF((('Dvd Calendar'!$M$775=TYPE1)*(TYPE1&lt;&gt;"")+('Dvd Calendar'!$M$775=TYPE2)*(TYPE2&lt;&gt;"")+('Dvd Calendar'!$M$775=TYPE3)*(TYPE3&lt;&gt;"")+('Dvd Calendar'!$M$775=TYPE4)*(TYPE4&lt;&gt;"")+('Dvd Calendar'!$M$775=SPECIAL_LBL)*(INC_SPECIALS="Y"))=0,"",'Dvd Calendar'!$M$773)))</f>
        <v/>
      </c>
      <c r="L81" s="106">
        <f>IF(EN81="","",IF(ISNUMBER('Dvd Calendar'!$N$773)=FALSE,"",IF((('Dvd Calendar'!$N$775=TYPE1)*(TYPE1&lt;&gt;"")+('Dvd Calendar'!$N$775=TYPE2)*(TYPE2&lt;&gt;"")+('Dvd Calendar'!$N$775=TYPE3)*(TYPE3&lt;&gt;"")+('Dvd Calendar'!$N$775=TYPE4)*(TYPE4&lt;&gt;"")+('Dvd Calendar'!$N$775=SPECIAL_LBL)*(INC_SPECIALS="Y"))=0,"",'Dvd Calendar'!$N$773)))</f>
        <v/>
      </c>
      <c r="M81" s="106">
        <f>IF(EO81="","",IF(ISNUMBER('Dvd Calendar'!$O$773)=FALSE,"",IF((('Dvd Calendar'!$O$775=TYPE1)*(TYPE1&lt;&gt;"")+('Dvd Calendar'!$O$775=TYPE2)*(TYPE2&lt;&gt;"")+('Dvd Calendar'!$O$775=TYPE3)*(TYPE3&lt;&gt;"")+('Dvd Calendar'!$O$775=TYPE4)*(TYPE4&lt;&gt;"")+('Dvd Calendar'!$O$775=SPECIAL_LBL)*(INC_SPECIALS="Y"))=0,"",'Dvd Calendar'!$O$773)))</f>
        <v/>
      </c>
      <c r="N81" s="106">
        <f>IF(EP81="","",IF(ISNUMBER('Dvd Calendar'!$P$773)=FALSE,"",IF((('Dvd Calendar'!$P$775=TYPE1)*(TYPE1&lt;&gt;"")+('Dvd Calendar'!$P$775=TYPE2)*(TYPE2&lt;&gt;"")+('Dvd Calendar'!$P$775=TYPE3)*(TYPE3&lt;&gt;"")+('Dvd Calendar'!$P$775=TYPE4)*(TYPE4&lt;&gt;"")+('Dvd Calendar'!$P$775=SPECIAL_LBL)*(INC_SPECIALS="Y"))=0,"",'Dvd Calendar'!$P$773)))</f>
        <v/>
      </c>
      <c r="O81" s="106">
        <f>IF(EQ81="","",IF(ISNUMBER('Dvd Calendar'!$Q$773)=FALSE,"",IF((('Dvd Calendar'!$Q$775=TYPE1)*(TYPE1&lt;&gt;"")+('Dvd Calendar'!$Q$775=TYPE2)*(TYPE2&lt;&gt;"")+('Dvd Calendar'!$Q$775=TYPE3)*(TYPE3&lt;&gt;"")+('Dvd Calendar'!$Q$775=TYPE4)*(TYPE4&lt;&gt;"")+('Dvd Calendar'!$Q$775=SPECIAL_LBL)*(INC_SPECIALS="Y"))=0,"",'Dvd Calendar'!$Q$773)))</f>
        <v/>
      </c>
      <c r="P81" s="106">
        <f>IF(ER81="","",IF(ISNUMBER('Dvd Calendar'!$R$773)=FALSE,"",IF((('Dvd Calendar'!$R$775=TYPE1)*(TYPE1&lt;&gt;"")+('Dvd Calendar'!$R$775=TYPE2)*(TYPE2&lt;&gt;"")+('Dvd Calendar'!$R$775=TYPE3)*(TYPE3&lt;&gt;"")+('Dvd Calendar'!$R$775=TYPE4)*(TYPE4&lt;&gt;"")+('Dvd Calendar'!$R$775=SPECIAL_LBL)*(INC_SPECIALS="Y"))=0,"",'Dvd Calendar'!$R$773)))</f>
        <v/>
      </c>
      <c r="Q81" s="106">
        <f>IF(ES81="","",IF(ISNUMBER('Dvd Calendar'!$S$773)=FALSE,"",IF((('Dvd Calendar'!$S$775=TYPE1)*(TYPE1&lt;&gt;"")+('Dvd Calendar'!$S$775=TYPE2)*(TYPE2&lt;&gt;"")+('Dvd Calendar'!$S$775=TYPE3)*(TYPE3&lt;&gt;"")+('Dvd Calendar'!$S$775=TYPE4)*(TYPE4&lt;&gt;"")+('Dvd Calendar'!$S$775=SPECIAL_LBL)*(INC_SPECIALS="Y"))=0,"",'Dvd Calendar'!$S$773)))</f>
        <v/>
      </c>
      <c r="R81" s="106">
        <f>IF(ET81="","",IF(ISNUMBER('Dvd Calendar'!$T$773)=FALSE,"",IF((('Dvd Calendar'!$T$775=TYPE1)*(TYPE1&lt;&gt;"")+('Dvd Calendar'!$T$775=TYPE2)*(TYPE2&lt;&gt;"")+('Dvd Calendar'!$T$775=TYPE3)*(TYPE3&lt;&gt;"")+('Dvd Calendar'!$T$775=TYPE4)*(TYPE4&lt;&gt;"")+('Dvd Calendar'!$T$775=SPECIAL_LBL)*(INC_SPECIALS="Y"))=0,"",'Dvd Calendar'!$T$773)))</f>
        <v/>
      </c>
      <c r="S81" s="106">
        <f>IF(EU81="","",IF(ISNUMBER('Dvd Calendar'!$U$773)=FALSE,"",IF((('Dvd Calendar'!$U$775=TYPE1)*(TYPE1&lt;&gt;"")+('Dvd Calendar'!$U$775=TYPE2)*(TYPE2&lt;&gt;"")+('Dvd Calendar'!$U$775=TYPE3)*(TYPE3&lt;&gt;"")+('Dvd Calendar'!$U$775=TYPE4)*(TYPE4&lt;&gt;"")+('Dvd Calendar'!$U$775=SPECIAL_LBL)*(INC_SPECIALS="Y"))=0,"",'Dvd Calendar'!$U$773)))</f>
        <v/>
      </c>
      <c r="T81" s="106">
        <f>IF(EV81="","",IF(ISNUMBER('Dvd Calendar'!$V$773)=FALSE,"",IF((('Dvd Calendar'!$V$775=TYPE1)*(TYPE1&lt;&gt;"")+('Dvd Calendar'!$V$775=TYPE2)*(TYPE2&lt;&gt;"")+('Dvd Calendar'!$V$775=TYPE3)*(TYPE3&lt;&gt;"")+('Dvd Calendar'!$V$775=TYPE4)*(TYPE4&lt;&gt;"")+('Dvd Calendar'!$V$775=SPECIAL_LBL)*(INC_SPECIALS="Y"))=0,"",'Dvd Calendar'!$V$773)))</f>
        <v/>
      </c>
      <c r="U81" s="106">
        <f>IF(EW81="","",IF(ISNUMBER('Dvd Calendar'!$W$773)=FALSE,"",IF((('Dvd Calendar'!$W$775=TYPE1)*(TYPE1&lt;&gt;"")+('Dvd Calendar'!$W$775=TYPE2)*(TYPE2&lt;&gt;"")+('Dvd Calendar'!$W$775=TYPE3)*(TYPE3&lt;&gt;"")+('Dvd Calendar'!$W$775=TYPE4)*(TYPE4&lt;&gt;"")+('Dvd Calendar'!$W$775=SPECIAL_LBL)*(INC_SPECIALS="Y"))=0,"",'Dvd Calendar'!$W$773)))</f>
        <v/>
      </c>
      <c r="V81" s="106">
        <f>IF(EX81="","",IF(ISNUMBER('Dvd Calendar'!$X$773)=FALSE,"",IF((('Dvd Calendar'!$X$775=TYPE1)*(TYPE1&lt;&gt;"")+('Dvd Calendar'!$X$775=TYPE2)*(TYPE2&lt;&gt;"")+('Dvd Calendar'!$X$775=TYPE3)*(TYPE3&lt;&gt;"")+('Dvd Calendar'!$X$775=TYPE4)*(TYPE4&lt;&gt;"")+('Dvd Calendar'!$X$775=SPECIAL_LBL)*(INC_SPECIALS="Y"))=0,"",'Dvd Calendar'!$X$773)))</f>
        <v/>
      </c>
      <c r="W81" s="106">
        <f>IF(EY81="","",IF(ISNUMBER('Dvd Calendar'!$Y$773)=FALSE,"",IF((('Dvd Calendar'!$Y$775=TYPE1)*(TYPE1&lt;&gt;"")+('Dvd Calendar'!$Y$775=TYPE2)*(TYPE2&lt;&gt;"")+('Dvd Calendar'!$Y$775=TYPE3)*(TYPE3&lt;&gt;"")+('Dvd Calendar'!$Y$775=TYPE4)*(TYPE4&lt;&gt;"")+('Dvd Calendar'!$Y$775=SPECIAL_LBL)*(INC_SPECIALS="Y"))=0,"",'Dvd Calendar'!$Y$773)))</f>
        <v/>
      </c>
      <c r="X81" s="106">
        <f>IF(EZ81="","",IF(ISNUMBER('Dvd Calendar'!$Z$773)=FALSE,"",IF((('Dvd Calendar'!$Z$775=TYPE1)*(TYPE1&lt;&gt;"")+('Dvd Calendar'!$Z$775=TYPE2)*(TYPE2&lt;&gt;"")+('Dvd Calendar'!$Z$775=TYPE3)*(TYPE3&lt;&gt;"")+('Dvd Calendar'!$Z$775=TYPE4)*(TYPE4&lt;&gt;"")+('Dvd Calendar'!$Z$775=SPECIAL_LBL)*(INC_SPECIALS="Y"))=0,"",'Dvd Calendar'!$Z$773)))</f>
        <v/>
      </c>
      <c r="Y81" s="106">
        <f>IF(FA81="","",IF(ISNUMBER('Dvd Calendar'!$AA$773)=FALSE,"",IF((('Dvd Calendar'!$AA$775=TYPE1)*(TYPE1&lt;&gt;"")+('Dvd Calendar'!$AA$775=TYPE2)*(TYPE2&lt;&gt;"")+('Dvd Calendar'!$AA$775=TYPE3)*(TYPE3&lt;&gt;"")+('Dvd Calendar'!$AA$775=TYPE4)*(TYPE4&lt;&gt;"")+('Dvd Calendar'!$AA$775=SPECIAL_LBL)*(INC_SPECIALS="Y"))=0,"",'Dvd Calendar'!$AA$773)))</f>
        <v/>
      </c>
      <c r="Z81" s="106">
        <f>IF(FB81="","",IF(ISNUMBER('Dvd Calendar'!$AB$773)=FALSE,"",IF((('Dvd Calendar'!$AB$775=TYPE1)*(TYPE1&lt;&gt;"")+('Dvd Calendar'!$AB$775=TYPE2)*(TYPE2&lt;&gt;"")+('Dvd Calendar'!$AB$775=TYPE3)*(TYPE3&lt;&gt;"")+('Dvd Calendar'!$AB$775=TYPE4)*(TYPE4&lt;&gt;"")+('Dvd Calendar'!$AB$775=SPECIAL_LBL)*(INC_SPECIALS="Y"))=0,"",'Dvd Calendar'!$AB$773)))</f>
        <v/>
      </c>
      <c r="AA81" s="106">
        <f>IF(FC81="","",IF(ISNUMBER('Dvd Calendar'!$AC$773)=FALSE,"",IF((('Dvd Calendar'!$AC$775=TYPE1)*(TYPE1&lt;&gt;"")+('Dvd Calendar'!$AC$775=TYPE2)*(TYPE2&lt;&gt;"")+('Dvd Calendar'!$AC$775=TYPE3)*(TYPE3&lt;&gt;"")+('Dvd Calendar'!$AC$775=TYPE4)*(TYPE4&lt;&gt;"")+('Dvd Calendar'!$AC$775=SPECIAL_LBL)*(INC_SPECIALS="Y"))=0,"",'Dvd Calendar'!$AC$773)))</f>
        <v/>
      </c>
      <c r="AB81" s="106">
        <f>IF(FD81="","",IF(ISNUMBER('Dvd Calendar'!$AD$773)=FALSE,"",IF((('Dvd Calendar'!$AD$775=TYPE1)*(TYPE1&lt;&gt;"")+('Dvd Calendar'!$AD$775=TYPE2)*(TYPE2&lt;&gt;"")+('Dvd Calendar'!$AD$775=TYPE3)*(TYPE3&lt;&gt;"")+('Dvd Calendar'!$AD$775=TYPE4)*(TYPE4&lt;&gt;"")+('Dvd Calendar'!$AD$775=SPECIAL_LBL)*(INC_SPECIALS="Y"))=0,"",'Dvd Calendar'!$AD$773)))</f>
        <v/>
      </c>
      <c r="AC81" s="106">
        <f>IF(FE81="","",IF(ISNUMBER('Dvd Calendar'!$AE$773)=FALSE,"",IF((('Dvd Calendar'!$AE$775=TYPE1)*(TYPE1&lt;&gt;"")+('Dvd Calendar'!$AE$775=TYPE2)*(TYPE2&lt;&gt;"")+('Dvd Calendar'!$AE$775=TYPE3)*(TYPE3&lt;&gt;"")+('Dvd Calendar'!$AE$775=TYPE4)*(TYPE4&lt;&gt;"")+('Dvd Calendar'!$AE$775=SPECIAL_LBL)*(INC_SPECIALS="Y"))=0,"",'Dvd Calendar'!$AE$773)))</f>
        <v/>
      </c>
      <c r="AD81" s="106">
        <f>IF(FF81="","",IF(ISNUMBER('Dvd Calendar'!$AF$773)=FALSE,"",IF((('Dvd Calendar'!$AF$775=TYPE1)*(TYPE1&lt;&gt;"")+('Dvd Calendar'!$AF$775=TYPE2)*(TYPE2&lt;&gt;"")+('Dvd Calendar'!$AF$775=TYPE3)*(TYPE3&lt;&gt;"")+('Dvd Calendar'!$AF$775=TYPE4)*(TYPE4&lt;&gt;"")+('Dvd Calendar'!$AF$775=SPECIAL_LBL)*(INC_SPECIALS="Y"))=0,"",'Dvd Calendar'!$AF$773)))</f>
        <v/>
      </c>
      <c r="AE81" s="106">
        <f>IF(FG81="","",IF(ISNUMBER('Dvd Calendar'!$AG$773)=FALSE,"",IF((('Dvd Calendar'!$AG$775=TYPE1)*(TYPE1&lt;&gt;"")+('Dvd Calendar'!$AG$775=TYPE2)*(TYPE2&lt;&gt;"")+('Dvd Calendar'!$AG$775=TYPE3)*(TYPE3&lt;&gt;"")+('Dvd Calendar'!$AG$775=TYPE4)*(TYPE4&lt;&gt;"")+('Dvd Calendar'!$AG$775=SPECIAL_LBL)*(INC_SPECIALS="Y"))=0,"",'Dvd Calendar'!$AG$773)))</f>
        <v/>
      </c>
      <c r="AF81" s="106">
        <f>IF(FH81="","",IF(ISNUMBER('Dvd Calendar'!$AH$773)=FALSE,"",IF((('Dvd Calendar'!$AH$775=TYPE1)*(TYPE1&lt;&gt;"")+('Dvd Calendar'!$AH$775=TYPE2)*(TYPE2&lt;&gt;"")+('Dvd Calendar'!$AH$775=TYPE3)*(TYPE3&lt;&gt;"")+('Dvd Calendar'!$AH$775=TYPE4)*(TYPE4&lt;&gt;"")+('Dvd Calendar'!$AH$775=SPECIAL_LBL)*(INC_SPECIALS="Y"))=0,"",'Dvd Calendar'!$AH$773)))</f>
        <v/>
      </c>
      <c r="AG81" s="106">
        <f>IF(FI81="","",IF(ISNUMBER('Dvd Calendar'!$AI$773)=FALSE,"",IF((('Dvd Calendar'!$AI$775=TYPE1)*(TYPE1&lt;&gt;"")+('Dvd Calendar'!$AI$775=TYPE2)*(TYPE2&lt;&gt;"")+('Dvd Calendar'!$AI$775=TYPE3)*(TYPE3&lt;&gt;"")+('Dvd Calendar'!$AI$775=TYPE4)*(TYPE4&lt;&gt;"")+('Dvd Calendar'!$AI$775=SPECIAL_LBL)*(INC_SPECIALS="Y"))=0,"",'Dvd Calendar'!$AI$773)))</f>
        <v/>
      </c>
      <c r="AH81" s="106">
        <f>IF(FJ81="","",IF(ISNUMBER('Dvd Calendar'!$AJ$773)=FALSE,"",IF((('Dvd Calendar'!$AJ$775=TYPE1)*(TYPE1&lt;&gt;"")+('Dvd Calendar'!$AJ$775=TYPE2)*(TYPE2&lt;&gt;"")+('Dvd Calendar'!$AJ$775=TYPE3)*(TYPE3&lt;&gt;"")+('Dvd Calendar'!$AJ$775=TYPE4)*(TYPE4&lt;&gt;"")+('Dvd Calendar'!$AJ$775=SPECIAL_LBL)*(INC_SPECIALS="Y"))=0,"",'Dvd Calendar'!$AJ$773)))</f>
        <v/>
      </c>
      <c r="AI81" s="106">
        <f>IF(FK81="","",IF(ISNUMBER('Dvd Calendar'!$AK$773)=FALSE,"",IF((('Dvd Calendar'!$AK$775=TYPE1)*(TYPE1&lt;&gt;"")+('Dvd Calendar'!$AK$775=TYPE2)*(TYPE2&lt;&gt;"")+('Dvd Calendar'!$AK$775=TYPE3)*(TYPE3&lt;&gt;"")+('Dvd Calendar'!$AK$775=TYPE4)*(TYPE4&lt;&gt;"")+('Dvd Calendar'!$AK$775=SPECIAL_LBL)*(INC_SPECIALS="Y"))=0,"",'Dvd Calendar'!$AK$773)))</f>
        <v/>
      </c>
      <c r="AJ81" s="106">
        <f>IF(FL81="","",IF(ISNUMBER('Dvd Calendar'!$AL$773)=FALSE,"",IF((('Dvd Calendar'!$AL$775=TYPE1)*(TYPE1&lt;&gt;"")+('Dvd Calendar'!$AL$775=TYPE2)*(TYPE2&lt;&gt;"")+('Dvd Calendar'!$AL$775=TYPE3)*(TYPE3&lt;&gt;"")+('Dvd Calendar'!$AL$775=TYPE4)*(TYPE4&lt;&gt;"")+('Dvd Calendar'!$AL$775=SPECIAL_LBL)*(INC_SPECIALS="Y"))=0,"",'Dvd Calendar'!$AL$773)))</f>
        <v/>
      </c>
      <c r="AK81" s="106">
        <f>IF(FM81="","",IF(ISNUMBER('Dvd Calendar'!$AM$773)=FALSE,"",IF((('Dvd Calendar'!$AM$775=TYPE1)*(TYPE1&lt;&gt;"")+('Dvd Calendar'!$AM$775=TYPE2)*(TYPE2&lt;&gt;"")+('Dvd Calendar'!$AM$775=TYPE3)*(TYPE3&lt;&gt;"")+('Dvd Calendar'!$AM$775=TYPE4)*(TYPE4&lt;&gt;"")+('Dvd Calendar'!$AM$775=SPECIAL_LBL)*(INC_SPECIALS="Y"))=0,"",'Dvd Calendar'!$AM$773)))</f>
        <v/>
      </c>
      <c r="AL81" s="106">
        <f>IF(FN81="","",IF(ISNUMBER('Dvd Calendar'!$AN$773)=FALSE,"",IF((('Dvd Calendar'!$AN$775=TYPE1)*(TYPE1&lt;&gt;"")+('Dvd Calendar'!$AN$775=TYPE2)*(TYPE2&lt;&gt;"")+('Dvd Calendar'!$AN$775=TYPE3)*(TYPE3&lt;&gt;"")+('Dvd Calendar'!$AN$775=TYPE4)*(TYPE4&lt;&gt;"")+('Dvd Calendar'!$AN$775=SPECIAL_LBL)*(INC_SPECIALS="Y"))=0,"",'Dvd Calendar'!$AN$773)))</f>
        <v/>
      </c>
      <c r="AM81" s="106">
        <f>IF(FO81="","",IF(ISNUMBER('Dvd Calendar'!$AO$773)=FALSE,"",IF((('Dvd Calendar'!$AO$775=TYPE1)*(TYPE1&lt;&gt;"")+('Dvd Calendar'!$AO$775=TYPE2)*(TYPE2&lt;&gt;"")+('Dvd Calendar'!$AO$775=TYPE3)*(TYPE3&lt;&gt;"")+('Dvd Calendar'!$AO$775=TYPE4)*(TYPE4&lt;&gt;"")+('Dvd Calendar'!$AO$775=SPECIAL_LBL)*(INC_SPECIALS="Y"))=0,"",'Dvd Calendar'!$AO$773)))</f>
        <v/>
      </c>
      <c r="AN81" s="106">
        <f>IF(FP81="","",IF(ISNUMBER('Dvd Calendar'!$AP$773)=FALSE,"",IF((('Dvd Calendar'!$AP$775=TYPE1)*(TYPE1&lt;&gt;"")+('Dvd Calendar'!$AP$775=TYPE2)*(TYPE2&lt;&gt;"")+('Dvd Calendar'!$AP$775=TYPE3)*(TYPE3&lt;&gt;"")+('Dvd Calendar'!$AP$775=TYPE4)*(TYPE4&lt;&gt;"")+('Dvd Calendar'!$AP$775=SPECIAL_LBL)*(INC_SPECIALS="Y"))=0,"",'Dvd Calendar'!$AP$773)))</f>
        <v/>
      </c>
      <c r="AO81" s="106">
        <f>IF(FQ81="","",IF(ISNUMBER('Dvd Calendar'!$AQ$773)=FALSE,"",IF((('Dvd Calendar'!$AQ$775=TYPE1)*(TYPE1&lt;&gt;"")+('Dvd Calendar'!$AQ$775=TYPE2)*(TYPE2&lt;&gt;"")+('Dvd Calendar'!$AQ$775=TYPE3)*(TYPE3&lt;&gt;"")+('Dvd Calendar'!$AQ$775=TYPE4)*(TYPE4&lt;&gt;"")+('Dvd Calendar'!$AQ$775=SPECIAL_LBL)*(INC_SPECIALS="Y"))=0,"",'Dvd Calendar'!$AQ$773)))</f>
        <v/>
      </c>
      <c r="AP81" s="106">
        <f>IF(FR81="","",IF(ISNUMBER('Dvd Calendar'!$AR$773)=FALSE,"",IF((('Dvd Calendar'!$AR$775=TYPE1)*(TYPE1&lt;&gt;"")+('Dvd Calendar'!$AR$775=TYPE2)*(TYPE2&lt;&gt;"")+('Dvd Calendar'!$AR$775=TYPE3)*(TYPE3&lt;&gt;"")+('Dvd Calendar'!$AR$775=TYPE4)*(TYPE4&lt;&gt;"")+('Dvd Calendar'!$AR$775=SPECIAL_LBL)*(INC_SPECIALS="Y"))=0,"",'Dvd Calendar'!$AR$773)))</f>
        <v/>
      </c>
      <c r="AQ81" s="106">
        <f>IF(FS81="","",IF(ISNUMBER('Dvd Calendar'!$E$778)=FALSE,"",'Dvd Calendar'!$E$778))</f>
        <v/>
      </c>
      <c r="AR81" s="106">
        <f>IF(FT81="","",IF(ISNUMBER('Dvd Calendar'!$F$778)=FALSE,"",'Dvd Calendar'!$F$778))</f>
        <v/>
      </c>
      <c r="AS81" s="106">
        <f>IF(FU81="","",IF(ISNUMBER('Dvd Calendar'!$G$778)=FALSE,"",'Dvd Calendar'!$G$778))</f>
        <v/>
      </c>
      <c r="AT81" s="106">
        <f>IF(FV81="","",IF(ISNUMBER('Dvd Calendar'!$H$778)=FALSE,"",'Dvd Calendar'!$H$778))</f>
        <v/>
      </c>
      <c r="AU81" s="106">
        <f>IF(FW81="","",IF(ISNUMBER('Dvd Calendar'!$I$778)=FALSE,"",'Dvd Calendar'!$I$778))</f>
        <v/>
      </c>
      <c r="AV81" s="106">
        <f>IF(FX81="","",IF(ISNUMBER('Dvd Calendar'!$J$778)=FALSE,"",'Dvd Calendar'!$J$778))</f>
        <v/>
      </c>
      <c r="AW81" s="106">
        <f>IF(FY81="","",IF(ISNUMBER('Dvd Calendar'!$K$778)=FALSE,"",'Dvd Calendar'!$K$778))</f>
        <v/>
      </c>
      <c r="AX81" s="106">
        <f>IF(FZ81="","",IF(ISNUMBER('Dvd Calendar'!$L$778)=FALSE,"",'Dvd Calendar'!$L$778))</f>
        <v/>
      </c>
      <c r="AY81" s="106">
        <f>IF(GA81="","",IF(ISNUMBER('Dvd Calendar'!$M$778)=FALSE,"",'Dvd Calendar'!$M$778))</f>
        <v/>
      </c>
      <c r="AZ81" s="106">
        <f>IF(GB81="","",IF(ISNUMBER('Dvd Calendar'!$N$778)=FALSE,"",'Dvd Calendar'!$N$778))</f>
        <v/>
      </c>
      <c r="BA81" s="106">
        <f>IF(GC81="","",IF(ISNUMBER('Dvd Calendar'!$O$778)=FALSE,"",'Dvd Calendar'!$O$778))</f>
        <v/>
      </c>
      <c r="BB81" s="106">
        <f>IF(GD81="","",IF(ISNUMBER('Dvd Calendar'!$P$778)=FALSE,"",'Dvd Calendar'!$P$778))</f>
        <v/>
      </c>
      <c r="BC81" s="106">
        <f>IF(GE81="","",IF(ISNUMBER('Dvd Calendar'!$Q$778)=FALSE,"",'Dvd Calendar'!$Q$778))</f>
        <v/>
      </c>
      <c r="BD81" s="106">
        <f>IF(GF81="","",IF(ISNUMBER('Dvd Calendar'!$R$778)=FALSE,"",'Dvd Calendar'!$R$778))</f>
        <v/>
      </c>
      <c r="BE81" s="106">
        <f>IF(GG81="","",IF(ISNUMBER('Dvd Calendar'!$S$778)=FALSE,"",'Dvd Calendar'!$S$778))</f>
        <v/>
      </c>
      <c r="BF81" s="106">
        <f>IF(GH81="","",IF(ISNUMBER('Dvd Calendar'!$T$778)=FALSE,"",'Dvd Calendar'!$T$778))</f>
        <v/>
      </c>
      <c r="BG81" s="106">
        <f>IF(GI81="","",IF(ISNUMBER('Dvd Calendar'!$U$778)=FALSE,"",'Dvd Calendar'!$U$778))</f>
        <v/>
      </c>
      <c r="BH81" s="106">
        <f>IF(GJ81="","",IF(ISNUMBER('Dvd Calendar'!$V$778)=FALSE,"",'Dvd Calendar'!$V$778))</f>
        <v/>
      </c>
      <c r="BI81" s="106">
        <f>IF(GK81="","",IF(ISNUMBER('Dvd Calendar'!$W$778)=FALSE,"",'Dvd Calendar'!$W$778))</f>
        <v/>
      </c>
      <c r="BJ81" s="106">
        <f>IF(GL81="","",IF(ISNUMBER('Dvd Calendar'!$X$778)=FALSE,"",'Dvd Calendar'!$X$778))</f>
        <v/>
      </c>
      <c r="BK81" s="106">
        <f>IF(GM81="","",IF(ISNUMBER('Dvd Calendar'!$Y$778)=FALSE,"",'Dvd Calendar'!$Y$778))</f>
        <v/>
      </c>
      <c r="BL81" s="106">
        <f>IF(GN81="","",IF(ISNUMBER('Dvd Calendar'!$Z$778)=FALSE,"",'Dvd Calendar'!$Z$778))</f>
        <v/>
      </c>
      <c r="BM81" s="106">
        <f>IF(GO81="","",IF(ISNUMBER('Dvd Calendar'!$AA$778)=FALSE,"",'Dvd Calendar'!$AA$778))</f>
        <v/>
      </c>
      <c r="BN81" s="106">
        <f>IF(GP81="","",IF(ISNUMBER('Dvd Calendar'!$AB$778)=FALSE,"",'Dvd Calendar'!$AB$778))</f>
        <v/>
      </c>
      <c r="BO81" s="106">
        <f>IF(GQ81="","",IF(ISNUMBER('Dvd Calendar'!$AC$778)=FALSE,"",'Dvd Calendar'!$AC$778))</f>
        <v/>
      </c>
      <c r="BQ81" s="106">
        <f>IF(C81="","",IFERROR(C81*HSI!$B$76*HSI!$G$76/HSI!$B$3,""))</f>
        <v/>
      </c>
      <c r="BR81" s="106">
        <f>IF(D81="","",IFERROR(D81*HSI!$B$76*HSI!$G$76/HSI!$B$3,""))</f>
        <v/>
      </c>
      <c r="BS81" s="106">
        <f>IF(E81="","",IFERROR(E81*HSI!$B$76*HSI!$G$76/HSI!$B$3,""))</f>
        <v/>
      </c>
      <c r="BT81" s="106">
        <f>IF(F81="","",IFERROR(F81*HSI!$B$76*HSI!$G$76/HSI!$B$3,""))</f>
        <v/>
      </c>
      <c r="BU81" s="106">
        <f>IF(G81="","",IFERROR(G81*HSI!$B$76*HSI!$G$76/HSI!$B$3,""))</f>
        <v/>
      </c>
      <c r="BV81" s="106">
        <f>IF(H81="","",IFERROR(H81*HSI!$B$76*HSI!$G$76/HSI!$B$3,""))</f>
        <v/>
      </c>
      <c r="BW81" s="106">
        <f>IF(I81="","",IFERROR(I81*HSI!$B$76*HSI!$G$76/HSI!$B$3,""))</f>
        <v/>
      </c>
      <c r="BX81" s="106">
        <f>IF(J81="","",IFERROR(J81*HSI!$B$76*HSI!$G$76/HSI!$B$3,""))</f>
        <v/>
      </c>
      <c r="BY81" s="106">
        <f>IF(K81="","",IFERROR(K81*HSI!$B$76*HSI!$G$76/HSI!$B$3,""))</f>
        <v/>
      </c>
      <c r="BZ81" s="106">
        <f>IF(L81="","",IFERROR(L81*HSI!$B$76*HSI!$G$76/HSI!$B$3,""))</f>
        <v/>
      </c>
      <c r="CA81" s="106">
        <f>IF(M81="","",IFERROR(M81*HSI!$B$76*HSI!$G$76/HSI!$B$3,""))</f>
        <v/>
      </c>
      <c r="CB81" s="106">
        <f>IF(N81="","",IFERROR(N81*HSI!$B$76*HSI!$G$76/HSI!$B$3,""))</f>
        <v/>
      </c>
      <c r="CC81" s="106">
        <f>IF(O81="","",IFERROR(O81*HSI!$B$76*HSI!$G$76/HSI!$B$3,""))</f>
        <v/>
      </c>
      <c r="CD81" s="106">
        <f>IF(P81="","",IFERROR(P81*HSI!$B$76*HSI!$G$76/HSI!$B$3,""))</f>
        <v/>
      </c>
      <c r="CE81" s="106">
        <f>IF(Q81="","",IFERROR(Q81*HSI!$B$76*HSI!$G$76/HSI!$B$3,""))</f>
        <v/>
      </c>
      <c r="CF81" s="106">
        <f>IF(R81="","",IFERROR(R81*HSI!$B$76*HSI!$G$76/HSI!$B$3,""))</f>
        <v/>
      </c>
      <c r="CG81" s="106">
        <f>IF(S81="","",IFERROR(S81*HSI!$B$76*HSI!$G$76/HSI!$B$3,""))</f>
        <v/>
      </c>
      <c r="CH81" s="106">
        <f>IF(T81="","",IFERROR(T81*HSI!$B$76*HSI!$G$76/HSI!$B$3,""))</f>
        <v/>
      </c>
      <c r="CI81" s="106">
        <f>IF(U81="","",IFERROR(U81*HSI!$B$76*HSI!$G$76/HSI!$B$3,""))</f>
        <v/>
      </c>
      <c r="CJ81" s="106">
        <f>IF(V81="","",IFERROR(V81*HSI!$B$76*HSI!$G$76/HSI!$B$3,""))</f>
        <v/>
      </c>
      <c r="CK81" s="106">
        <f>IF(W81="","",IFERROR(W81*HSI!$B$76*HSI!$G$76/HSI!$B$3,""))</f>
        <v/>
      </c>
      <c r="CL81" s="106">
        <f>IF(X81="","",IFERROR(X81*HSI!$B$76*HSI!$G$76/HSI!$B$3,""))</f>
        <v/>
      </c>
      <c r="CM81" s="106">
        <f>IF(Y81="","",IFERROR(Y81*HSI!$B$76*HSI!$G$76/HSI!$B$3,""))</f>
        <v/>
      </c>
      <c r="CN81" s="106">
        <f>IF(Z81="","",IFERROR(Z81*HSI!$B$76*HSI!$G$76/HSI!$B$3,""))</f>
        <v/>
      </c>
      <c r="CO81" s="106">
        <f>IF(AA81="","",IFERROR(AA81*HSI!$B$76*HSI!$G$76/HSI!$B$3,""))</f>
        <v/>
      </c>
      <c r="CP81" s="106">
        <f>IF(AB81="","",IFERROR(AB81*HSI!$B$76*HSI!$G$76/HSI!$B$3,""))</f>
        <v/>
      </c>
      <c r="CQ81" s="106">
        <f>IF(AC81="","",IFERROR(AC81*HSI!$B$76*HSI!$G$76/HSI!$B$3,""))</f>
        <v/>
      </c>
      <c r="CR81" s="106">
        <f>IF(AD81="","",IFERROR(AD81*HSI!$B$76*HSI!$G$76/HSI!$B$3,""))</f>
        <v/>
      </c>
      <c r="CS81" s="106">
        <f>IF(AE81="","",IFERROR(AE81*HSI!$B$76*HSI!$G$76/HSI!$B$3,""))</f>
        <v/>
      </c>
      <c r="CT81" s="106">
        <f>IF(AF81="","",IFERROR(AF81*HSI!$B$76*HSI!$G$76/HSI!$B$3,""))</f>
        <v/>
      </c>
      <c r="CU81" s="106">
        <f>IF(AG81="","",IFERROR(AG81*HSI!$B$76*HSI!$G$76/HSI!$B$3,""))</f>
        <v/>
      </c>
      <c r="CV81" s="106">
        <f>IF(AH81="","",IFERROR(AH81*HSI!$B$76*HSI!$G$76/HSI!$B$3,""))</f>
        <v/>
      </c>
      <c r="CW81" s="106">
        <f>IF(AI81="","",IFERROR(AI81*HSI!$B$76*HSI!$G$76/HSI!$B$3,""))</f>
        <v/>
      </c>
      <c r="CX81" s="106">
        <f>IF(AJ81="","",IFERROR(AJ81*HSI!$B$76*HSI!$G$76/HSI!$B$3,""))</f>
        <v/>
      </c>
      <c r="CY81" s="106">
        <f>IF(AK81="","",IFERROR(AK81*HSI!$B$76*HSI!$G$76/HSI!$B$3,""))</f>
        <v/>
      </c>
      <c r="CZ81" s="106">
        <f>IF(AL81="","",IFERROR(AL81*HSI!$B$76*HSI!$G$76/HSI!$B$3,""))</f>
        <v/>
      </c>
      <c r="DA81" s="106">
        <f>IF(AM81="","",IFERROR(AM81*HSI!$B$76*HSI!$G$76/HSI!$B$3,""))</f>
        <v/>
      </c>
      <c r="DB81" s="106">
        <f>IF(AN81="","",IFERROR(AN81*HSI!$B$76*HSI!$G$76/HSI!$B$3,""))</f>
        <v/>
      </c>
      <c r="DC81" s="106">
        <f>IF(AO81="","",IFERROR(AO81*HSI!$B$76*HSI!$G$76/HSI!$B$3,""))</f>
        <v/>
      </c>
      <c r="DD81" s="106">
        <f>IF(AP81="","",IFERROR(AP81*HSI!$B$76*HSI!$G$76/HSI!$B$3,""))</f>
        <v/>
      </c>
      <c r="DE81" s="106">
        <f>IF(AQ81="","",IFERROR(AQ81*HSI!$B$76*HSI!$G$76/HSI!$B$3,""))</f>
        <v/>
      </c>
      <c r="DF81" s="106">
        <f>IF(AR81="","",IFERROR(AR81*HSI!$B$76*HSI!$G$76/HSI!$B$3,""))</f>
        <v/>
      </c>
      <c r="DG81" s="106">
        <f>IF(AS81="","",IFERROR(AS81*HSI!$B$76*HSI!$G$76/HSI!$B$3,""))</f>
        <v/>
      </c>
      <c r="DH81" s="106">
        <f>IF(AT81="","",IFERROR(AT81*HSI!$B$76*HSI!$G$76/HSI!$B$3,""))</f>
        <v/>
      </c>
      <c r="DI81" s="106">
        <f>IF(AU81="","",IFERROR(AU81*HSI!$B$76*HSI!$G$76/HSI!$B$3,""))</f>
        <v/>
      </c>
      <c r="DJ81" s="106">
        <f>IF(AV81="","",IFERROR(AV81*HSI!$B$76*HSI!$G$76/HSI!$B$3,""))</f>
        <v/>
      </c>
      <c r="DK81" s="106">
        <f>IF(AW81="","",IFERROR(AW81*HSI!$B$76*HSI!$G$76/HSI!$B$3,""))</f>
        <v/>
      </c>
      <c r="DL81" s="106">
        <f>IF(AX81="","",IFERROR(AX81*HSI!$B$76*HSI!$G$76/HSI!$B$3,""))</f>
        <v/>
      </c>
      <c r="DM81" s="106">
        <f>IF(AY81="","",IFERROR(AY81*HSI!$B$76*HSI!$G$76/HSI!$B$3,""))</f>
        <v/>
      </c>
      <c r="DN81" s="106">
        <f>IF(AZ81="","",IFERROR(AZ81*HSI!$B$76*HSI!$G$76/HSI!$B$3,""))</f>
        <v/>
      </c>
      <c r="DO81" s="106">
        <f>IF(BA81="","",IFERROR(BA81*HSI!$B$76*HSI!$G$76/HSI!$B$3,""))</f>
        <v/>
      </c>
      <c r="DP81" s="106">
        <f>IF(BB81="","",IFERROR(BB81*HSI!$B$76*HSI!$G$76/HSI!$B$3,""))</f>
        <v/>
      </c>
      <c r="DQ81" s="106">
        <f>IF(BC81="","",IFERROR(BC81*HSI!$B$76*HSI!$G$76/HSI!$B$3,""))</f>
        <v/>
      </c>
      <c r="DR81" s="106">
        <f>IF(BD81="","",IFERROR(BD81*HSI!$B$76*HSI!$G$76/HSI!$B$3,""))</f>
        <v/>
      </c>
      <c r="DS81" s="106">
        <f>IF(BE81="","",IFERROR(BE81*HSI!$B$76*HSI!$G$76/HSI!$B$3,""))</f>
        <v/>
      </c>
      <c r="DT81" s="106">
        <f>IF(BF81="","",IFERROR(BF81*HSI!$B$76*HSI!$G$76/HSI!$B$3,""))</f>
        <v/>
      </c>
      <c r="DU81" s="106">
        <f>IF(BG81="","",IFERROR(BG81*HSI!$B$76*HSI!$G$76/HSI!$B$3,""))</f>
        <v/>
      </c>
      <c r="DV81" s="106">
        <f>IF(BH81="","",IFERROR(BH81*HSI!$B$76*HSI!$G$76/HSI!$B$3,""))</f>
        <v/>
      </c>
      <c r="DW81" s="106">
        <f>IF(BI81="","",IFERROR(BI81*HSI!$B$76*HSI!$G$76/HSI!$B$3,""))</f>
        <v/>
      </c>
      <c r="DX81" s="106">
        <f>IF(BJ81="","",IFERROR(BJ81*HSI!$B$76*HSI!$G$76/HSI!$B$3,""))</f>
        <v/>
      </c>
      <c r="DY81" s="106">
        <f>IF(BK81="","",IFERROR(BK81*HSI!$B$76*HSI!$G$76/HSI!$B$3,""))</f>
        <v/>
      </c>
      <c r="DZ81" s="106">
        <f>IF(BL81="","",IFERROR(BL81*HSI!$B$76*HSI!$G$76/HSI!$B$3,""))</f>
        <v/>
      </c>
      <c r="EA81" s="106">
        <f>IF(BM81="","",IFERROR(BM81*HSI!$B$76*HSI!$G$76/HSI!$B$3,""))</f>
        <v/>
      </c>
      <c r="EB81" s="106">
        <f>IF(BN81="","",IFERROR(BN81*HSI!$B$76*HSI!$G$76/HSI!$B$3,""))</f>
        <v/>
      </c>
      <c r="EC81" s="106">
        <f>IF(BO81="","",IFERROR(BO81*HSI!$B$76*HSI!$G$76/HSI!$B$3,""))</f>
        <v/>
      </c>
      <c r="EE81" s="35">
        <f>IF(N('Dvd Calendar'!$E$770)=0,"",IF(('Dvd Calendar'!$E$770&gt;=GRID_FROM)*('Dvd Calendar'!$E$770&lt;=GRID_TO)*('Dvd Calendar'!$E$770&lt;=VAL_DATE)=0,"",'Dvd Calendar'!$E$770*1000000000+ISNUMBER('Dvd Calendar'!$E$773)*100000000+('Dvd Calendar'!$E$775=SPECIAL_LBL)*10000000+0*1000000+70*1000+1))</f>
        <v/>
      </c>
      <c r="EF81" s="35">
        <f>IF(N('Dvd Calendar'!$F$770)=0,"",IF(('Dvd Calendar'!$F$770&gt;=GRID_FROM)*('Dvd Calendar'!$F$770&lt;=GRID_TO)*('Dvd Calendar'!$F$770&lt;=VAL_DATE)=0,"",'Dvd Calendar'!$F$770*1000000000+ISNUMBER('Dvd Calendar'!$F$773)*100000000+('Dvd Calendar'!$F$775=SPECIAL_LBL)*10000000+0*1000000+70*1000+2))</f>
        <v/>
      </c>
      <c r="EG81" s="35">
        <f>IF(N('Dvd Calendar'!$G$770)=0,"",IF(('Dvd Calendar'!$G$770&gt;=GRID_FROM)*('Dvd Calendar'!$G$770&lt;=GRID_TO)*('Dvd Calendar'!$G$770&lt;=VAL_DATE)=0,"",'Dvd Calendar'!$G$770*1000000000+ISNUMBER('Dvd Calendar'!$G$773)*100000000+('Dvd Calendar'!$G$775=SPECIAL_LBL)*10000000+0*1000000+70*1000+3))</f>
        <v/>
      </c>
      <c r="EH81" s="35">
        <f>IF(N('Dvd Calendar'!$H$770)=0,"",IF(('Dvd Calendar'!$H$770&gt;=GRID_FROM)*('Dvd Calendar'!$H$770&lt;=GRID_TO)*('Dvd Calendar'!$H$770&lt;=VAL_DATE)=0,"",'Dvd Calendar'!$H$770*1000000000+ISNUMBER('Dvd Calendar'!$H$773)*100000000+('Dvd Calendar'!$H$775=SPECIAL_LBL)*10000000+0*1000000+70*1000+4))</f>
        <v/>
      </c>
      <c r="EI81" s="35">
        <f>IF(N('Dvd Calendar'!$I$770)=0,"",IF(('Dvd Calendar'!$I$770&gt;=GRID_FROM)*('Dvd Calendar'!$I$770&lt;=GRID_TO)*('Dvd Calendar'!$I$770&lt;=VAL_DATE)=0,"",'Dvd Calendar'!$I$770*1000000000+ISNUMBER('Dvd Calendar'!$I$773)*100000000+('Dvd Calendar'!$I$775=SPECIAL_LBL)*10000000+0*1000000+70*1000+5))</f>
        <v/>
      </c>
      <c r="EJ81" s="35">
        <f>IF(N('Dvd Calendar'!$J$770)=0,"",IF(('Dvd Calendar'!$J$770&gt;=GRID_FROM)*('Dvd Calendar'!$J$770&lt;=GRID_TO)*('Dvd Calendar'!$J$770&lt;=VAL_DATE)=0,"",'Dvd Calendar'!$J$770*1000000000+ISNUMBER('Dvd Calendar'!$J$773)*100000000+('Dvd Calendar'!$J$775=SPECIAL_LBL)*10000000+0*1000000+70*1000+6))</f>
        <v/>
      </c>
      <c r="EK81" s="35">
        <f>IF(N('Dvd Calendar'!$K$770)=0,"",IF(('Dvd Calendar'!$K$770&gt;=GRID_FROM)*('Dvd Calendar'!$K$770&lt;=GRID_TO)*('Dvd Calendar'!$K$770&lt;=VAL_DATE)=0,"",'Dvd Calendar'!$K$770*1000000000+ISNUMBER('Dvd Calendar'!$K$773)*100000000+('Dvd Calendar'!$K$775=SPECIAL_LBL)*10000000+0*1000000+70*1000+7))</f>
        <v/>
      </c>
      <c r="EL81" s="35">
        <f>IF(N('Dvd Calendar'!$L$770)=0,"",IF(('Dvd Calendar'!$L$770&gt;=GRID_FROM)*('Dvd Calendar'!$L$770&lt;=GRID_TO)*('Dvd Calendar'!$L$770&lt;=VAL_DATE)=0,"",'Dvd Calendar'!$L$770*1000000000+ISNUMBER('Dvd Calendar'!$L$773)*100000000+('Dvd Calendar'!$L$775=SPECIAL_LBL)*10000000+0*1000000+70*1000+8))</f>
        <v/>
      </c>
      <c r="EM81" s="35">
        <f>IF(N('Dvd Calendar'!$M$770)=0,"",IF(('Dvd Calendar'!$M$770&gt;=GRID_FROM)*('Dvd Calendar'!$M$770&lt;=GRID_TO)*('Dvd Calendar'!$M$770&lt;=VAL_DATE)=0,"",'Dvd Calendar'!$M$770*1000000000+ISNUMBER('Dvd Calendar'!$M$773)*100000000+('Dvd Calendar'!$M$775=SPECIAL_LBL)*10000000+0*1000000+70*1000+9))</f>
        <v/>
      </c>
      <c r="EN81" s="35">
        <f>IF(N('Dvd Calendar'!$N$770)=0,"",IF(('Dvd Calendar'!$N$770&gt;=GRID_FROM)*('Dvd Calendar'!$N$770&lt;=GRID_TO)*('Dvd Calendar'!$N$770&lt;=VAL_DATE)=0,"",'Dvd Calendar'!$N$770*1000000000+ISNUMBER('Dvd Calendar'!$N$773)*100000000+('Dvd Calendar'!$N$775=SPECIAL_LBL)*10000000+0*1000000+70*1000+10))</f>
        <v/>
      </c>
      <c r="EO81" s="35">
        <f>IF(N('Dvd Calendar'!$O$770)=0,"",IF(('Dvd Calendar'!$O$770&gt;=GRID_FROM)*('Dvd Calendar'!$O$770&lt;=GRID_TO)*('Dvd Calendar'!$O$770&lt;=VAL_DATE)=0,"",'Dvd Calendar'!$O$770*1000000000+ISNUMBER('Dvd Calendar'!$O$773)*100000000+('Dvd Calendar'!$O$775=SPECIAL_LBL)*10000000+0*1000000+70*1000+11))</f>
        <v/>
      </c>
      <c r="EP81" s="35">
        <f>IF(N('Dvd Calendar'!$P$770)=0,"",IF(('Dvd Calendar'!$P$770&gt;=GRID_FROM)*('Dvd Calendar'!$P$770&lt;=GRID_TO)*('Dvd Calendar'!$P$770&lt;=VAL_DATE)=0,"",'Dvd Calendar'!$P$770*1000000000+ISNUMBER('Dvd Calendar'!$P$773)*100000000+('Dvd Calendar'!$P$775=SPECIAL_LBL)*10000000+0*1000000+70*1000+12))</f>
        <v/>
      </c>
      <c r="EQ81" s="35">
        <f>IF(N('Dvd Calendar'!$Q$770)=0,"",IF(('Dvd Calendar'!$Q$770&gt;=GRID_FROM)*('Dvd Calendar'!$Q$770&lt;=GRID_TO)*('Dvd Calendar'!$Q$770&lt;=VAL_DATE)=0,"",'Dvd Calendar'!$Q$770*1000000000+ISNUMBER('Dvd Calendar'!$Q$773)*100000000+('Dvd Calendar'!$Q$775=SPECIAL_LBL)*10000000+0*1000000+70*1000+13))</f>
        <v/>
      </c>
      <c r="ER81" s="35">
        <f>IF(N('Dvd Calendar'!$R$770)=0,"",IF(('Dvd Calendar'!$R$770&gt;=GRID_FROM)*('Dvd Calendar'!$R$770&lt;=GRID_TO)*('Dvd Calendar'!$R$770&lt;=VAL_DATE)=0,"",'Dvd Calendar'!$R$770*1000000000+ISNUMBER('Dvd Calendar'!$R$773)*100000000+('Dvd Calendar'!$R$775=SPECIAL_LBL)*10000000+0*1000000+70*1000+14))</f>
        <v/>
      </c>
      <c r="ES81" s="35">
        <f>IF(N('Dvd Calendar'!$S$770)=0,"",IF(('Dvd Calendar'!$S$770&gt;=GRID_FROM)*('Dvd Calendar'!$S$770&lt;=GRID_TO)*('Dvd Calendar'!$S$770&lt;=VAL_DATE)=0,"",'Dvd Calendar'!$S$770*1000000000+ISNUMBER('Dvd Calendar'!$S$773)*100000000+('Dvd Calendar'!$S$775=SPECIAL_LBL)*10000000+0*1000000+70*1000+15))</f>
        <v/>
      </c>
      <c r="ET81" s="35">
        <f>IF(N('Dvd Calendar'!$T$770)=0,"",IF(('Dvd Calendar'!$T$770&gt;=GRID_FROM)*('Dvd Calendar'!$T$770&lt;=GRID_TO)*('Dvd Calendar'!$T$770&lt;=VAL_DATE)=0,"",'Dvd Calendar'!$T$770*1000000000+ISNUMBER('Dvd Calendar'!$T$773)*100000000+('Dvd Calendar'!$T$775=SPECIAL_LBL)*10000000+0*1000000+70*1000+16))</f>
        <v/>
      </c>
      <c r="EU81" s="35">
        <f>IF(N('Dvd Calendar'!$U$770)=0,"",IF(('Dvd Calendar'!$U$770&gt;=GRID_FROM)*('Dvd Calendar'!$U$770&lt;=GRID_TO)*('Dvd Calendar'!$U$770&lt;=VAL_DATE)=0,"",'Dvd Calendar'!$U$770*1000000000+ISNUMBER('Dvd Calendar'!$U$773)*100000000+('Dvd Calendar'!$U$775=SPECIAL_LBL)*10000000+0*1000000+70*1000+17))</f>
        <v/>
      </c>
      <c r="EV81" s="35">
        <f>IF(N('Dvd Calendar'!$V$770)=0,"",IF(('Dvd Calendar'!$V$770&gt;=GRID_FROM)*('Dvd Calendar'!$V$770&lt;=GRID_TO)*('Dvd Calendar'!$V$770&lt;=VAL_DATE)=0,"",'Dvd Calendar'!$V$770*1000000000+ISNUMBER('Dvd Calendar'!$V$773)*100000000+('Dvd Calendar'!$V$775=SPECIAL_LBL)*10000000+0*1000000+70*1000+18))</f>
        <v/>
      </c>
      <c r="EW81" s="35">
        <f>IF(N('Dvd Calendar'!$W$770)=0,"",IF(('Dvd Calendar'!$W$770&gt;=GRID_FROM)*('Dvd Calendar'!$W$770&lt;=GRID_TO)*('Dvd Calendar'!$W$770&lt;=VAL_DATE)=0,"",'Dvd Calendar'!$W$770*1000000000+ISNUMBER('Dvd Calendar'!$W$773)*100000000+('Dvd Calendar'!$W$775=SPECIAL_LBL)*10000000+0*1000000+70*1000+19))</f>
        <v/>
      </c>
      <c r="EX81" s="35">
        <f>IF(N('Dvd Calendar'!$X$770)=0,"",IF(('Dvd Calendar'!$X$770&gt;=GRID_FROM)*('Dvd Calendar'!$X$770&lt;=GRID_TO)*('Dvd Calendar'!$X$770&lt;=VAL_DATE)=0,"",'Dvd Calendar'!$X$770*1000000000+ISNUMBER('Dvd Calendar'!$X$773)*100000000+('Dvd Calendar'!$X$775=SPECIAL_LBL)*10000000+0*1000000+70*1000+20))</f>
        <v/>
      </c>
      <c r="EY81" s="35">
        <f>IF(N('Dvd Calendar'!$Y$770)=0,"",IF(('Dvd Calendar'!$Y$770&gt;=GRID_FROM)*('Dvd Calendar'!$Y$770&lt;=GRID_TO)*('Dvd Calendar'!$Y$770&lt;=VAL_DATE)=0,"",'Dvd Calendar'!$Y$770*1000000000+ISNUMBER('Dvd Calendar'!$Y$773)*100000000+('Dvd Calendar'!$Y$775=SPECIAL_LBL)*10000000+0*1000000+70*1000+21))</f>
        <v/>
      </c>
      <c r="EZ81" s="35">
        <f>IF(N('Dvd Calendar'!$Z$770)=0,"",IF(('Dvd Calendar'!$Z$770&gt;=GRID_FROM)*('Dvd Calendar'!$Z$770&lt;=GRID_TO)*('Dvd Calendar'!$Z$770&lt;=VAL_DATE)=0,"",'Dvd Calendar'!$Z$770*1000000000+ISNUMBER('Dvd Calendar'!$Z$773)*100000000+('Dvd Calendar'!$Z$775=SPECIAL_LBL)*10000000+0*1000000+70*1000+22))</f>
        <v/>
      </c>
      <c r="FA81" s="35">
        <f>IF(N('Dvd Calendar'!$AA$770)=0,"",IF(('Dvd Calendar'!$AA$770&gt;=GRID_FROM)*('Dvd Calendar'!$AA$770&lt;=GRID_TO)*('Dvd Calendar'!$AA$770&lt;=VAL_DATE)=0,"",'Dvd Calendar'!$AA$770*1000000000+ISNUMBER('Dvd Calendar'!$AA$773)*100000000+('Dvd Calendar'!$AA$775=SPECIAL_LBL)*10000000+0*1000000+70*1000+23))</f>
        <v/>
      </c>
      <c r="FB81" s="35">
        <f>IF(N('Dvd Calendar'!$AB$770)=0,"",IF(('Dvd Calendar'!$AB$770&gt;=GRID_FROM)*('Dvd Calendar'!$AB$770&lt;=GRID_TO)*('Dvd Calendar'!$AB$770&lt;=VAL_DATE)=0,"",'Dvd Calendar'!$AB$770*1000000000+ISNUMBER('Dvd Calendar'!$AB$773)*100000000+('Dvd Calendar'!$AB$775=SPECIAL_LBL)*10000000+0*1000000+70*1000+24))</f>
        <v/>
      </c>
      <c r="FC81" s="35">
        <f>IF(N('Dvd Calendar'!$AC$770)=0,"",IF(('Dvd Calendar'!$AC$770&gt;=GRID_FROM)*('Dvd Calendar'!$AC$770&lt;=GRID_TO)*('Dvd Calendar'!$AC$770&lt;=VAL_DATE)=0,"",'Dvd Calendar'!$AC$770*1000000000+ISNUMBER('Dvd Calendar'!$AC$773)*100000000+('Dvd Calendar'!$AC$775=SPECIAL_LBL)*10000000+0*1000000+70*1000+25))</f>
        <v/>
      </c>
      <c r="FD81" s="35">
        <f>IF(N('Dvd Calendar'!$AD$770)=0,"",IF(('Dvd Calendar'!$AD$770&gt;=GRID_FROM)*('Dvd Calendar'!$AD$770&lt;=GRID_TO)*('Dvd Calendar'!$AD$770&lt;=VAL_DATE)=0,"",'Dvd Calendar'!$AD$770*1000000000+ISNUMBER('Dvd Calendar'!$AD$773)*100000000+('Dvd Calendar'!$AD$775=SPECIAL_LBL)*10000000+0*1000000+70*1000+26))</f>
        <v/>
      </c>
      <c r="FE81" s="35">
        <f>IF(N('Dvd Calendar'!$AE$770)=0,"",IF(('Dvd Calendar'!$AE$770&gt;=GRID_FROM)*('Dvd Calendar'!$AE$770&lt;=GRID_TO)*('Dvd Calendar'!$AE$770&lt;=VAL_DATE)=0,"",'Dvd Calendar'!$AE$770*1000000000+ISNUMBER('Dvd Calendar'!$AE$773)*100000000+('Dvd Calendar'!$AE$775=SPECIAL_LBL)*10000000+0*1000000+70*1000+27))</f>
        <v/>
      </c>
      <c r="FF81" s="35">
        <f>IF(N('Dvd Calendar'!$AF$770)=0,"",IF(('Dvd Calendar'!$AF$770&gt;=GRID_FROM)*('Dvd Calendar'!$AF$770&lt;=GRID_TO)*('Dvd Calendar'!$AF$770&lt;=VAL_DATE)=0,"",'Dvd Calendar'!$AF$770*1000000000+ISNUMBER('Dvd Calendar'!$AF$773)*100000000+('Dvd Calendar'!$AF$775=SPECIAL_LBL)*10000000+0*1000000+70*1000+28))</f>
        <v/>
      </c>
      <c r="FG81" s="35">
        <f>IF(N('Dvd Calendar'!$AG$770)=0,"",IF(('Dvd Calendar'!$AG$770&gt;=GRID_FROM)*('Dvd Calendar'!$AG$770&lt;=GRID_TO)*('Dvd Calendar'!$AG$770&lt;=VAL_DATE)=0,"",'Dvd Calendar'!$AG$770*1000000000+ISNUMBER('Dvd Calendar'!$AG$773)*100000000+('Dvd Calendar'!$AG$775=SPECIAL_LBL)*10000000+0*1000000+70*1000+29))</f>
        <v/>
      </c>
      <c r="FH81" s="35">
        <f>IF(N('Dvd Calendar'!$AH$770)=0,"",IF(('Dvd Calendar'!$AH$770&gt;=GRID_FROM)*('Dvd Calendar'!$AH$770&lt;=GRID_TO)*('Dvd Calendar'!$AH$770&lt;=VAL_DATE)=0,"",'Dvd Calendar'!$AH$770*1000000000+ISNUMBER('Dvd Calendar'!$AH$773)*100000000+('Dvd Calendar'!$AH$775=SPECIAL_LBL)*10000000+0*1000000+70*1000+30))</f>
        <v/>
      </c>
      <c r="FI81" s="35">
        <f>IF(N('Dvd Calendar'!$AI$770)=0,"",IF(('Dvd Calendar'!$AI$770&gt;=GRID_FROM)*('Dvd Calendar'!$AI$770&lt;=GRID_TO)*('Dvd Calendar'!$AI$770&lt;=VAL_DATE)=0,"",'Dvd Calendar'!$AI$770*1000000000+ISNUMBER('Dvd Calendar'!$AI$773)*100000000+('Dvd Calendar'!$AI$775=SPECIAL_LBL)*10000000+0*1000000+70*1000+31))</f>
        <v/>
      </c>
      <c r="FJ81" s="35">
        <f>IF(N('Dvd Calendar'!$AJ$770)=0,"",IF(('Dvd Calendar'!$AJ$770&gt;=GRID_FROM)*('Dvd Calendar'!$AJ$770&lt;=GRID_TO)*('Dvd Calendar'!$AJ$770&lt;=VAL_DATE)=0,"",'Dvd Calendar'!$AJ$770*1000000000+ISNUMBER('Dvd Calendar'!$AJ$773)*100000000+('Dvd Calendar'!$AJ$775=SPECIAL_LBL)*10000000+0*1000000+70*1000+32))</f>
        <v/>
      </c>
      <c r="FK81" s="35">
        <f>IF(N('Dvd Calendar'!$AK$770)=0,"",IF(('Dvd Calendar'!$AK$770&gt;=GRID_FROM)*('Dvd Calendar'!$AK$770&lt;=GRID_TO)*('Dvd Calendar'!$AK$770&lt;=VAL_DATE)=0,"",'Dvd Calendar'!$AK$770*1000000000+ISNUMBER('Dvd Calendar'!$AK$773)*100000000+('Dvd Calendar'!$AK$775=SPECIAL_LBL)*10000000+0*1000000+70*1000+33))</f>
        <v/>
      </c>
      <c r="FL81" s="35">
        <f>IF(N('Dvd Calendar'!$AL$770)=0,"",IF(('Dvd Calendar'!$AL$770&gt;=GRID_FROM)*('Dvd Calendar'!$AL$770&lt;=GRID_TO)*('Dvd Calendar'!$AL$770&lt;=VAL_DATE)=0,"",'Dvd Calendar'!$AL$770*1000000000+ISNUMBER('Dvd Calendar'!$AL$773)*100000000+('Dvd Calendar'!$AL$775=SPECIAL_LBL)*10000000+0*1000000+70*1000+34))</f>
        <v/>
      </c>
      <c r="FM81" s="35">
        <f>IF(N('Dvd Calendar'!$AM$770)=0,"",IF(('Dvd Calendar'!$AM$770&gt;=GRID_FROM)*('Dvd Calendar'!$AM$770&lt;=GRID_TO)*('Dvd Calendar'!$AM$770&lt;=VAL_DATE)=0,"",'Dvd Calendar'!$AM$770*1000000000+ISNUMBER('Dvd Calendar'!$AM$773)*100000000+('Dvd Calendar'!$AM$775=SPECIAL_LBL)*10000000+0*1000000+70*1000+35))</f>
        <v/>
      </c>
      <c r="FN81" s="35">
        <f>IF(N('Dvd Calendar'!$AN$770)=0,"",IF(('Dvd Calendar'!$AN$770&gt;=GRID_FROM)*('Dvd Calendar'!$AN$770&lt;=GRID_TO)*('Dvd Calendar'!$AN$770&lt;=VAL_DATE)=0,"",'Dvd Calendar'!$AN$770*1000000000+ISNUMBER('Dvd Calendar'!$AN$773)*100000000+('Dvd Calendar'!$AN$775=SPECIAL_LBL)*10000000+0*1000000+70*1000+36))</f>
        <v/>
      </c>
      <c r="FO81" s="35">
        <f>IF(N('Dvd Calendar'!$AO$770)=0,"",IF(('Dvd Calendar'!$AO$770&gt;=GRID_FROM)*('Dvd Calendar'!$AO$770&lt;=GRID_TO)*('Dvd Calendar'!$AO$770&lt;=VAL_DATE)=0,"",'Dvd Calendar'!$AO$770*1000000000+ISNUMBER('Dvd Calendar'!$AO$773)*100000000+('Dvd Calendar'!$AO$775=SPECIAL_LBL)*10000000+0*1000000+70*1000+37))</f>
        <v/>
      </c>
      <c r="FP81" s="35">
        <f>IF(N('Dvd Calendar'!$AP$770)=0,"",IF(('Dvd Calendar'!$AP$770&gt;=GRID_FROM)*('Dvd Calendar'!$AP$770&lt;=GRID_TO)*('Dvd Calendar'!$AP$770&lt;=VAL_DATE)=0,"",'Dvd Calendar'!$AP$770*1000000000+ISNUMBER('Dvd Calendar'!$AP$773)*100000000+('Dvd Calendar'!$AP$775=SPECIAL_LBL)*10000000+0*1000000+70*1000+38))</f>
        <v/>
      </c>
      <c r="FQ81" s="35">
        <f>IF(N('Dvd Calendar'!$AQ$770)=0,"",IF(('Dvd Calendar'!$AQ$770&gt;=GRID_FROM)*('Dvd Calendar'!$AQ$770&lt;=GRID_TO)*('Dvd Calendar'!$AQ$770&lt;=VAL_DATE)=0,"",'Dvd Calendar'!$AQ$770*1000000000+ISNUMBER('Dvd Calendar'!$AQ$773)*100000000+('Dvd Calendar'!$AQ$775=SPECIAL_LBL)*10000000+0*1000000+70*1000+39))</f>
        <v/>
      </c>
      <c r="FR81" s="35">
        <f>IF(N('Dvd Calendar'!$AR$770)=0,"",IF(('Dvd Calendar'!$AR$770&gt;=GRID_FROM)*('Dvd Calendar'!$AR$770&lt;=GRID_TO)*('Dvd Calendar'!$AR$770&lt;=VAL_DATE)=0,"",'Dvd Calendar'!$AR$770*1000000000+ISNUMBER('Dvd Calendar'!$AR$773)*100000000+('Dvd Calendar'!$AR$775=SPECIAL_LBL)*10000000+0*1000000+70*1000+40))</f>
        <v/>
      </c>
      <c r="FS81" s="35">
        <f>IF(N('Dvd Calendar'!$E$777)=0,"",IF(('Dvd Calendar'!$E$777&gt;=GRID_FROM)*('Dvd Calendar'!$E$777&lt;=GRID_TO)*('Dvd Calendar'!$E$777&gt;VAL_DATE)=0,"",'Dvd Calendar'!$E$777*1000000000+ISNUMBER('Dvd Calendar'!$E$778)*100000000+0*10000000+(N('Dvd Calendar'!$E$776)&gt;0)*(N('Dvd Calendar'!$E$776)&lt;=VAL_SERIAL)*1000000+70*1000+41))</f>
        <v/>
      </c>
      <c r="FT81" s="35">
        <f>IF(N('Dvd Calendar'!$F$777)=0,"",IF(('Dvd Calendar'!$F$777&gt;=GRID_FROM)*('Dvd Calendar'!$F$777&lt;=GRID_TO)*('Dvd Calendar'!$F$777&gt;VAL_DATE)=0,"",'Dvd Calendar'!$F$777*1000000000+ISNUMBER('Dvd Calendar'!$F$778)*100000000+0*10000000+(N('Dvd Calendar'!$F$776)&gt;0)*(N('Dvd Calendar'!$F$776)&lt;=VAL_SERIAL)*1000000+70*1000+42))</f>
        <v/>
      </c>
      <c r="FU81" s="35">
        <f>IF(N('Dvd Calendar'!$G$777)=0,"",IF(('Dvd Calendar'!$G$777&gt;=GRID_FROM)*('Dvd Calendar'!$G$777&lt;=GRID_TO)*('Dvd Calendar'!$G$777&gt;VAL_DATE)=0,"",'Dvd Calendar'!$G$777*1000000000+ISNUMBER('Dvd Calendar'!$G$778)*100000000+0*10000000+(N('Dvd Calendar'!$G$776)&gt;0)*(N('Dvd Calendar'!$G$776)&lt;=VAL_SERIAL)*1000000+70*1000+43))</f>
        <v/>
      </c>
      <c r="FV81" s="35">
        <f>IF(N('Dvd Calendar'!$H$777)=0,"",IF(('Dvd Calendar'!$H$777&gt;=GRID_FROM)*('Dvd Calendar'!$H$777&lt;=GRID_TO)*('Dvd Calendar'!$H$777&gt;VAL_DATE)=0,"",'Dvd Calendar'!$H$777*1000000000+ISNUMBER('Dvd Calendar'!$H$778)*100000000+0*10000000+(N('Dvd Calendar'!$H$776)&gt;0)*(N('Dvd Calendar'!$H$776)&lt;=VAL_SERIAL)*1000000+70*1000+44))</f>
        <v/>
      </c>
      <c r="FW81" s="35">
        <f>IF(N('Dvd Calendar'!$I$777)=0,"",IF(('Dvd Calendar'!$I$777&gt;=GRID_FROM)*('Dvd Calendar'!$I$777&lt;=GRID_TO)*('Dvd Calendar'!$I$777&gt;VAL_DATE)=0,"",'Dvd Calendar'!$I$777*1000000000+ISNUMBER('Dvd Calendar'!$I$778)*100000000+0*10000000+(N('Dvd Calendar'!$I$776)&gt;0)*(N('Dvd Calendar'!$I$776)&lt;=VAL_SERIAL)*1000000+70*1000+45))</f>
        <v/>
      </c>
      <c r="FX81" s="35">
        <f>IF(N('Dvd Calendar'!$J$777)=0,"",IF(('Dvd Calendar'!$J$777&gt;=GRID_FROM)*('Dvd Calendar'!$J$777&lt;=GRID_TO)*('Dvd Calendar'!$J$777&gt;VAL_DATE)=0,"",'Dvd Calendar'!$J$777*1000000000+ISNUMBER('Dvd Calendar'!$J$778)*100000000+0*10000000+(N('Dvd Calendar'!$J$776)&gt;0)*(N('Dvd Calendar'!$J$776)&lt;=VAL_SERIAL)*1000000+70*1000+46))</f>
        <v/>
      </c>
      <c r="FY81" s="35">
        <f>IF(N('Dvd Calendar'!$K$777)=0,"",IF(('Dvd Calendar'!$K$777&gt;=GRID_FROM)*('Dvd Calendar'!$K$777&lt;=GRID_TO)*('Dvd Calendar'!$K$777&gt;VAL_DATE)=0,"",'Dvd Calendar'!$K$777*1000000000+ISNUMBER('Dvd Calendar'!$K$778)*100000000+0*10000000+(N('Dvd Calendar'!$K$776)&gt;0)*(N('Dvd Calendar'!$K$776)&lt;=VAL_SERIAL)*1000000+70*1000+47))</f>
        <v/>
      </c>
      <c r="FZ81" s="35">
        <f>IF(N('Dvd Calendar'!$L$777)=0,"",IF(('Dvd Calendar'!$L$777&gt;=GRID_FROM)*('Dvd Calendar'!$L$777&lt;=GRID_TO)*('Dvd Calendar'!$L$777&gt;VAL_DATE)=0,"",'Dvd Calendar'!$L$777*1000000000+ISNUMBER('Dvd Calendar'!$L$778)*100000000+0*10000000+(N('Dvd Calendar'!$L$776)&gt;0)*(N('Dvd Calendar'!$L$776)&lt;=VAL_SERIAL)*1000000+70*1000+48))</f>
        <v/>
      </c>
      <c r="GA81" s="35">
        <f>IF(N('Dvd Calendar'!$M$777)=0,"",IF(('Dvd Calendar'!$M$777&gt;=GRID_FROM)*('Dvd Calendar'!$M$777&lt;=GRID_TO)*('Dvd Calendar'!$M$777&gt;VAL_DATE)=0,"",'Dvd Calendar'!$M$777*1000000000+ISNUMBER('Dvd Calendar'!$M$778)*100000000+0*10000000+(N('Dvd Calendar'!$M$776)&gt;0)*(N('Dvd Calendar'!$M$776)&lt;=VAL_SERIAL)*1000000+70*1000+49))</f>
        <v/>
      </c>
      <c r="GB81" s="35">
        <f>IF(N('Dvd Calendar'!$N$777)=0,"",IF(('Dvd Calendar'!$N$777&gt;=GRID_FROM)*('Dvd Calendar'!$N$777&lt;=GRID_TO)*('Dvd Calendar'!$N$777&gt;VAL_DATE)=0,"",'Dvd Calendar'!$N$777*1000000000+ISNUMBER('Dvd Calendar'!$N$778)*100000000+0*10000000+(N('Dvd Calendar'!$N$776)&gt;0)*(N('Dvd Calendar'!$N$776)&lt;=VAL_SERIAL)*1000000+70*1000+50))</f>
        <v/>
      </c>
      <c r="GC81" s="35">
        <f>IF(N('Dvd Calendar'!$O$777)=0,"",IF(('Dvd Calendar'!$O$777&gt;=GRID_FROM)*('Dvd Calendar'!$O$777&lt;=GRID_TO)*('Dvd Calendar'!$O$777&gt;VAL_DATE)=0,"",'Dvd Calendar'!$O$777*1000000000+ISNUMBER('Dvd Calendar'!$O$778)*100000000+0*10000000+(N('Dvd Calendar'!$O$776)&gt;0)*(N('Dvd Calendar'!$O$776)&lt;=VAL_SERIAL)*1000000+70*1000+51))</f>
        <v/>
      </c>
      <c r="GD81" s="35">
        <f>IF(N('Dvd Calendar'!$P$777)=0,"",IF(('Dvd Calendar'!$P$777&gt;=GRID_FROM)*('Dvd Calendar'!$P$777&lt;=GRID_TO)*('Dvd Calendar'!$P$777&gt;VAL_DATE)=0,"",'Dvd Calendar'!$P$777*1000000000+ISNUMBER('Dvd Calendar'!$P$778)*100000000+0*10000000+(N('Dvd Calendar'!$P$776)&gt;0)*(N('Dvd Calendar'!$P$776)&lt;=VAL_SERIAL)*1000000+70*1000+52))</f>
        <v/>
      </c>
      <c r="GE81" s="35">
        <f>IF(N('Dvd Calendar'!$Q$777)=0,"",IF(('Dvd Calendar'!$Q$777&gt;=GRID_FROM)*('Dvd Calendar'!$Q$777&lt;=GRID_TO)*('Dvd Calendar'!$Q$777&gt;VAL_DATE)=0,"",'Dvd Calendar'!$Q$777*1000000000+ISNUMBER('Dvd Calendar'!$Q$778)*100000000+0*10000000+(N('Dvd Calendar'!$Q$776)&gt;0)*(N('Dvd Calendar'!$Q$776)&lt;=VAL_SERIAL)*1000000+70*1000+53))</f>
        <v/>
      </c>
      <c r="GF81" s="35">
        <f>IF(N('Dvd Calendar'!$R$777)=0,"",IF(('Dvd Calendar'!$R$777&gt;=GRID_FROM)*('Dvd Calendar'!$R$777&lt;=GRID_TO)*('Dvd Calendar'!$R$777&gt;VAL_DATE)=0,"",'Dvd Calendar'!$R$777*1000000000+ISNUMBER('Dvd Calendar'!$R$778)*100000000+0*10000000+(N('Dvd Calendar'!$R$776)&gt;0)*(N('Dvd Calendar'!$R$776)&lt;=VAL_SERIAL)*1000000+70*1000+54))</f>
        <v/>
      </c>
      <c r="GG81" s="35">
        <f>IF(N('Dvd Calendar'!$S$777)=0,"",IF(('Dvd Calendar'!$S$777&gt;=GRID_FROM)*('Dvd Calendar'!$S$777&lt;=GRID_TO)*('Dvd Calendar'!$S$777&gt;VAL_DATE)=0,"",'Dvd Calendar'!$S$777*1000000000+ISNUMBER('Dvd Calendar'!$S$778)*100000000+0*10000000+(N('Dvd Calendar'!$S$776)&gt;0)*(N('Dvd Calendar'!$S$776)&lt;=VAL_SERIAL)*1000000+70*1000+55))</f>
        <v/>
      </c>
      <c r="GH81" s="35">
        <f>IF(N('Dvd Calendar'!$T$777)=0,"",IF(('Dvd Calendar'!$T$777&gt;=GRID_FROM)*('Dvd Calendar'!$T$777&lt;=GRID_TO)*('Dvd Calendar'!$T$777&gt;VAL_DATE)=0,"",'Dvd Calendar'!$T$777*1000000000+ISNUMBER('Dvd Calendar'!$T$778)*100000000+0*10000000+(N('Dvd Calendar'!$T$776)&gt;0)*(N('Dvd Calendar'!$T$776)&lt;=VAL_SERIAL)*1000000+70*1000+56))</f>
        <v/>
      </c>
      <c r="GI81" s="35">
        <f>IF(N('Dvd Calendar'!$U$777)=0,"",IF(('Dvd Calendar'!$U$777&gt;=GRID_FROM)*('Dvd Calendar'!$U$777&lt;=GRID_TO)*('Dvd Calendar'!$U$777&gt;VAL_DATE)=0,"",'Dvd Calendar'!$U$777*1000000000+ISNUMBER('Dvd Calendar'!$U$778)*100000000+0*10000000+(N('Dvd Calendar'!$U$776)&gt;0)*(N('Dvd Calendar'!$U$776)&lt;=VAL_SERIAL)*1000000+70*1000+57))</f>
        <v/>
      </c>
      <c r="GJ81" s="35">
        <f>IF(N('Dvd Calendar'!$V$777)=0,"",IF(('Dvd Calendar'!$V$777&gt;=GRID_FROM)*('Dvd Calendar'!$V$777&lt;=GRID_TO)*('Dvd Calendar'!$V$777&gt;VAL_DATE)=0,"",'Dvd Calendar'!$V$777*1000000000+ISNUMBER('Dvd Calendar'!$V$778)*100000000+0*10000000+(N('Dvd Calendar'!$V$776)&gt;0)*(N('Dvd Calendar'!$V$776)&lt;=VAL_SERIAL)*1000000+70*1000+58))</f>
        <v/>
      </c>
      <c r="GK81" s="35">
        <f>IF(N('Dvd Calendar'!$W$777)=0,"",IF(('Dvd Calendar'!$W$777&gt;=GRID_FROM)*('Dvd Calendar'!$W$777&lt;=GRID_TO)*('Dvd Calendar'!$W$777&gt;VAL_DATE)=0,"",'Dvd Calendar'!$W$777*1000000000+ISNUMBER('Dvd Calendar'!$W$778)*100000000+0*10000000+(N('Dvd Calendar'!$W$776)&gt;0)*(N('Dvd Calendar'!$W$776)&lt;=VAL_SERIAL)*1000000+70*1000+59))</f>
        <v/>
      </c>
      <c r="GL81" s="35">
        <f>IF(N('Dvd Calendar'!$X$777)=0,"",IF(('Dvd Calendar'!$X$777&gt;=GRID_FROM)*('Dvd Calendar'!$X$777&lt;=GRID_TO)*('Dvd Calendar'!$X$777&gt;VAL_DATE)=0,"",'Dvd Calendar'!$X$777*1000000000+ISNUMBER('Dvd Calendar'!$X$778)*100000000+0*10000000+(N('Dvd Calendar'!$X$776)&gt;0)*(N('Dvd Calendar'!$X$776)&lt;=VAL_SERIAL)*1000000+70*1000+60))</f>
        <v/>
      </c>
      <c r="GM81" s="35">
        <f>IF(N('Dvd Calendar'!$Y$777)=0,"",IF(('Dvd Calendar'!$Y$777&gt;=GRID_FROM)*('Dvd Calendar'!$Y$777&lt;=GRID_TO)*('Dvd Calendar'!$Y$777&gt;VAL_DATE)=0,"",'Dvd Calendar'!$Y$777*1000000000+ISNUMBER('Dvd Calendar'!$Y$778)*100000000+0*10000000+(N('Dvd Calendar'!$Y$776)&gt;0)*(N('Dvd Calendar'!$Y$776)&lt;=VAL_SERIAL)*1000000+70*1000+61))</f>
        <v/>
      </c>
      <c r="GN81" s="35">
        <f>IF(N('Dvd Calendar'!$Z$777)=0,"",IF(('Dvd Calendar'!$Z$777&gt;=GRID_FROM)*('Dvd Calendar'!$Z$777&lt;=GRID_TO)*('Dvd Calendar'!$Z$777&gt;VAL_DATE)=0,"",'Dvd Calendar'!$Z$777*1000000000+ISNUMBER('Dvd Calendar'!$Z$778)*100000000+0*10000000+(N('Dvd Calendar'!$Z$776)&gt;0)*(N('Dvd Calendar'!$Z$776)&lt;=VAL_SERIAL)*1000000+70*1000+62))</f>
        <v/>
      </c>
      <c r="GO81" s="35">
        <f>IF(N('Dvd Calendar'!$AA$777)=0,"",IF(('Dvd Calendar'!$AA$777&gt;=GRID_FROM)*('Dvd Calendar'!$AA$777&lt;=GRID_TO)*('Dvd Calendar'!$AA$777&gt;VAL_DATE)=0,"",'Dvd Calendar'!$AA$777*1000000000+ISNUMBER('Dvd Calendar'!$AA$778)*100000000+0*10000000+(N('Dvd Calendar'!$AA$776)&gt;0)*(N('Dvd Calendar'!$AA$776)&lt;=VAL_SERIAL)*1000000+70*1000+63))</f>
        <v/>
      </c>
      <c r="GP81" s="35">
        <f>IF(N('Dvd Calendar'!$AB$777)=0,"",IF(('Dvd Calendar'!$AB$777&gt;=GRID_FROM)*('Dvd Calendar'!$AB$777&lt;=GRID_TO)*('Dvd Calendar'!$AB$777&gt;VAL_DATE)=0,"",'Dvd Calendar'!$AB$777*1000000000+ISNUMBER('Dvd Calendar'!$AB$778)*100000000+0*10000000+(N('Dvd Calendar'!$AB$776)&gt;0)*(N('Dvd Calendar'!$AB$776)&lt;=VAL_SERIAL)*1000000+70*1000+64))</f>
        <v/>
      </c>
      <c r="GQ81" s="35">
        <f>IF(N('Dvd Calendar'!$AC$777)=0,"",IF(('Dvd Calendar'!$AC$777&gt;=GRID_FROM)*('Dvd Calendar'!$AC$777&lt;=GRID_TO)*('Dvd Calendar'!$AC$777&gt;VAL_DATE)=0,"",'Dvd Calendar'!$AC$777*1000000000+ISNUMBER('Dvd Calendar'!$AC$778)*100000000+0*10000000+(N('Dvd Calendar'!$AC$776)&gt;0)*(N('Dvd Calendar'!$AC$776)&lt;=VAL_SERIAL)*1000000+70*1000+65))</f>
        <v/>
      </c>
    </row>
    <row r="82">
      <c r="B82" s="2">
        <f>IF(HSI!$C$77="","",HSI!$C$77)</f>
        <v/>
      </c>
      <c r="C82" s="106">
        <f>IF(EE82="","",IF(ISNUMBER('Dvd Calendar'!$E$784)=FALSE,"",IF((('Dvd Calendar'!$E$786=TYPE1)*(TYPE1&lt;&gt;"")+('Dvd Calendar'!$E$786=TYPE2)*(TYPE2&lt;&gt;"")+('Dvd Calendar'!$E$786=TYPE3)*(TYPE3&lt;&gt;"")+('Dvd Calendar'!$E$786=TYPE4)*(TYPE4&lt;&gt;"")+('Dvd Calendar'!$E$786=SPECIAL_LBL)*(INC_SPECIALS="Y"))=0,"",'Dvd Calendar'!$E$784)))</f>
        <v/>
      </c>
      <c r="D82" s="106">
        <f>IF(EF82="","",IF(ISNUMBER('Dvd Calendar'!$F$784)=FALSE,"",IF((('Dvd Calendar'!$F$786=TYPE1)*(TYPE1&lt;&gt;"")+('Dvd Calendar'!$F$786=TYPE2)*(TYPE2&lt;&gt;"")+('Dvd Calendar'!$F$786=TYPE3)*(TYPE3&lt;&gt;"")+('Dvd Calendar'!$F$786=TYPE4)*(TYPE4&lt;&gt;"")+('Dvd Calendar'!$F$786=SPECIAL_LBL)*(INC_SPECIALS="Y"))=0,"",'Dvd Calendar'!$F$784)))</f>
        <v/>
      </c>
      <c r="E82" s="106">
        <f>IF(EG82="","",IF(ISNUMBER('Dvd Calendar'!$G$784)=FALSE,"",IF((('Dvd Calendar'!$G$786=TYPE1)*(TYPE1&lt;&gt;"")+('Dvd Calendar'!$G$786=TYPE2)*(TYPE2&lt;&gt;"")+('Dvd Calendar'!$G$786=TYPE3)*(TYPE3&lt;&gt;"")+('Dvd Calendar'!$G$786=TYPE4)*(TYPE4&lt;&gt;"")+('Dvd Calendar'!$G$786=SPECIAL_LBL)*(INC_SPECIALS="Y"))=0,"",'Dvd Calendar'!$G$784)))</f>
        <v/>
      </c>
      <c r="F82" s="106">
        <f>IF(EH82="","",IF(ISNUMBER('Dvd Calendar'!$H$784)=FALSE,"",IF((('Dvd Calendar'!$H$786=TYPE1)*(TYPE1&lt;&gt;"")+('Dvd Calendar'!$H$786=TYPE2)*(TYPE2&lt;&gt;"")+('Dvd Calendar'!$H$786=TYPE3)*(TYPE3&lt;&gt;"")+('Dvd Calendar'!$H$786=TYPE4)*(TYPE4&lt;&gt;"")+('Dvd Calendar'!$H$786=SPECIAL_LBL)*(INC_SPECIALS="Y"))=0,"",'Dvd Calendar'!$H$784)))</f>
        <v/>
      </c>
      <c r="G82" s="106">
        <f>IF(EI82="","",IF(ISNUMBER('Dvd Calendar'!$I$784)=FALSE,"",IF((('Dvd Calendar'!$I$786=TYPE1)*(TYPE1&lt;&gt;"")+('Dvd Calendar'!$I$786=TYPE2)*(TYPE2&lt;&gt;"")+('Dvd Calendar'!$I$786=TYPE3)*(TYPE3&lt;&gt;"")+('Dvd Calendar'!$I$786=TYPE4)*(TYPE4&lt;&gt;"")+('Dvd Calendar'!$I$786=SPECIAL_LBL)*(INC_SPECIALS="Y"))=0,"",'Dvd Calendar'!$I$784)))</f>
        <v/>
      </c>
      <c r="H82" s="106">
        <f>IF(EJ82="","",IF(ISNUMBER('Dvd Calendar'!$J$784)=FALSE,"",IF((('Dvd Calendar'!$J$786=TYPE1)*(TYPE1&lt;&gt;"")+('Dvd Calendar'!$J$786=TYPE2)*(TYPE2&lt;&gt;"")+('Dvd Calendar'!$J$786=TYPE3)*(TYPE3&lt;&gt;"")+('Dvd Calendar'!$J$786=TYPE4)*(TYPE4&lt;&gt;"")+('Dvd Calendar'!$J$786=SPECIAL_LBL)*(INC_SPECIALS="Y"))=0,"",'Dvd Calendar'!$J$784)))</f>
        <v/>
      </c>
      <c r="I82" s="106">
        <f>IF(EK82="","",IF(ISNUMBER('Dvd Calendar'!$K$784)=FALSE,"",IF((('Dvd Calendar'!$K$786=TYPE1)*(TYPE1&lt;&gt;"")+('Dvd Calendar'!$K$786=TYPE2)*(TYPE2&lt;&gt;"")+('Dvd Calendar'!$K$786=TYPE3)*(TYPE3&lt;&gt;"")+('Dvd Calendar'!$K$786=TYPE4)*(TYPE4&lt;&gt;"")+('Dvd Calendar'!$K$786=SPECIAL_LBL)*(INC_SPECIALS="Y"))=0,"",'Dvd Calendar'!$K$784)))</f>
        <v/>
      </c>
      <c r="J82" s="106">
        <f>IF(EL82="","",IF(ISNUMBER('Dvd Calendar'!$L$784)=FALSE,"",IF((('Dvd Calendar'!$L$786=TYPE1)*(TYPE1&lt;&gt;"")+('Dvd Calendar'!$L$786=TYPE2)*(TYPE2&lt;&gt;"")+('Dvd Calendar'!$L$786=TYPE3)*(TYPE3&lt;&gt;"")+('Dvd Calendar'!$L$786=TYPE4)*(TYPE4&lt;&gt;"")+('Dvd Calendar'!$L$786=SPECIAL_LBL)*(INC_SPECIALS="Y"))=0,"",'Dvd Calendar'!$L$784)))</f>
        <v/>
      </c>
      <c r="K82" s="106">
        <f>IF(EM82="","",IF(ISNUMBER('Dvd Calendar'!$M$784)=FALSE,"",IF((('Dvd Calendar'!$M$786=TYPE1)*(TYPE1&lt;&gt;"")+('Dvd Calendar'!$M$786=TYPE2)*(TYPE2&lt;&gt;"")+('Dvd Calendar'!$M$786=TYPE3)*(TYPE3&lt;&gt;"")+('Dvd Calendar'!$M$786=TYPE4)*(TYPE4&lt;&gt;"")+('Dvd Calendar'!$M$786=SPECIAL_LBL)*(INC_SPECIALS="Y"))=0,"",'Dvd Calendar'!$M$784)))</f>
        <v/>
      </c>
      <c r="L82" s="106">
        <f>IF(EN82="","",IF(ISNUMBER('Dvd Calendar'!$N$784)=FALSE,"",IF((('Dvd Calendar'!$N$786=TYPE1)*(TYPE1&lt;&gt;"")+('Dvd Calendar'!$N$786=TYPE2)*(TYPE2&lt;&gt;"")+('Dvd Calendar'!$N$786=TYPE3)*(TYPE3&lt;&gt;"")+('Dvd Calendar'!$N$786=TYPE4)*(TYPE4&lt;&gt;"")+('Dvd Calendar'!$N$786=SPECIAL_LBL)*(INC_SPECIALS="Y"))=0,"",'Dvd Calendar'!$N$784)))</f>
        <v/>
      </c>
      <c r="M82" s="106">
        <f>IF(EO82="","",IF(ISNUMBER('Dvd Calendar'!$O$784)=FALSE,"",IF((('Dvd Calendar'!$O$786=TYPE1)*(TYPE1&lt;&gt;"")+('Dvd Calendar'!$O$786=TYPE2)*(TYPE2&lt;&gt;"")+('Dvd Calendar'!$O$786=TYPE3)*(TYPE3&lt;&gt;"")+('Dvd Calendar'!$O$786=TYPE4)*(TYPE4&lt;&gt;"")+('Dvd Calendar'!$O$786=SPECIAL_LBL)*(INC_SPECIALS="Y"))=0,"",'Dvd Calendar'!$O$784)))</f>
        <v/>
      </c>
      <c r="N82" s="106">
        <f>IF(EP82="","",IF(ISNUMBER('Dvd Calendar'!$P$784)=FALSE,"",IF((('Dvd Calendar'!$P$786=TYPE1)*(TYPE1&lt;&gt;"")+('Dvd Calendar'!$P$786=TYPE2)*(TYPE2&lt;&gt;"")+('Dvd Calendar'!$P$786=TYPE3)*(TYPE3&lt;&gt;"")+('Dvd Calendar'!$P$786=TYPE4)*(TYPE4&lt;&gt;"")+('Dvd Calendar'!$P$786=SPECIAL_LBL)*(INC_SPECIALS="Y"))=0,"",'Dvd Calendar'!$P$784)))</f>
        <v/>
      </c>
      <c r="O82" s="106">
        <f>IF(EQ82="","",IF(ISNUMBER('Dvd Calendar'!$Q$784)=FALSE,"",IF((('Dvd Calendar'!$Q$786=TYPE1)*(TYPE1&lt;&gt;"")+('Dvd Calendar'!$Q$786=TYPE2)*(TYPE2&lt;&gt;"")+('Dvd Calendar'!$Q$786=TYPE3)*(TYPE3&lt;&gt;"")+('Dvd Calendar'!$Q$786=TYPE4)*(TYPE4&lt;&gt;"")+('Dvd Calendar'!$Q$786=SPECIAL_LBL)*(INC_SPECIALS="Y"))=0,"",'Dvd Calendar'!$Q$784)))</f>
        <v/>
      </c>
      <c r="P82" s="106">
        <f>IF(ER82="","",IF(ISNUMBER('Dvd Calendar'!$R$784)=FALSE,"",IF((('Dvd Calendar'!$R$786=TYPE1)*(TYPE1&lt;&gt;"")+('Dvd Calendar'!$R$786=TYPE2)*(TYPE2&lt;&gt;"")+('Dvd Calendar'!$R$786=TYPE3)*(TYPE3&lt;&gt;"")+('Dvd Calendar'!$R$786=TYPE4)*(TYPE4&lt;&gt;"")+('Dvd Calendar'!$R$786=SPECIAL_LBL)*(INC_SPECIALS="Y"))=0,"",'Dvd Calendar'!$R$784)))</f>
        <v/>
      </c>
      <c r="Q82" s="106">
        <f>IF(ES82="","",IF(ISNUMBER('Dvd Calendar'!$S$784)=FALSE,"",IF((('Dvd Calendar'!$S$786=TYPE1)*(TYPE1&lt;&gt;"")+('Dvd Calendar'!$S$786=TYPE2)*(TYPE2&lt;&gt;"")+('Dvd Calendar'!$S$786=TYPE3)*(TYPE3&lt;&gt;"")+('Dvd Calendar'!$S$786=TYPE4)*(TYPE4&lt;&gt;"")+('Dvd Calendar'!$S$786=SPECIAL_LBL)*(INC_SPECIALS="Y"))=0,"",'Dvd Calendar'!$S$784)))</f>
        <v/>
      </c>
      <c r="R82" s="106">
        <f>IF(ET82="","",IF(ISNUMBER('Dvd Calendar'!$T$784)=FALSE,"",IF((('Dvd Calendar'!$T$786=TYPE1)*(TYPE1&lt;&gt;"")+('Dvd Calendar'!$T$786=TYPE2)*(TYPE2&lt;&gt;"")+('Dvd Calendar'!$T$786=TYPE3)*(TYPE3&lt;&gt;"")+('Dvd Calendar'!$T$786=TYPE4)*(TYPE4&lt;&gt;"")+('Dvd Calendar'!$T$786=SPECIAL_LBL)*(INC_SPECIALS="Y"))=0,"",'Dvd Calendar'!$T$784)))</f>
        <v/>
      </c>
      <c r="S82" s="106">
        <f>IF(EU82="","",IF(ISNUMBER('Dvd Calendar'!$U$784)=FALSE,"",IF((('Dvd Calendar'!$U$786=TYPE1)*(TYPE1&lt;&gt;"")+('Dvd Calendar'!$U$786=TYPE2)*(TYPE2&lt;&gt;"")+('Dvd Calendar'!$U$786=TYPE3)*(TYPE3&lt;&gt;"")+('Dvd Calendar'!$U$786=TYPE4)*(TYPE4&lt;&gt;"")+('Dvd Calendar'!$U$786=SPECIAL_LBL)*(INC_SPECIALS="Y"))=0,"",'Dvd Calendar'!$U$784)))</f>
        <v/>
      </c>
      <c r="T82" s="106">
        <f>IF(EV82="","",IF(ISNUMBER('Dvd Calendar'!$V$784)=FALSE,"",IF((('Dvd Calendar'!$V$786=TYPE1)*(TYPE1&lt;&gt;"")+('Dvd Calendar'!$V$786=TYPE2)*(TYPE2&lt;&gt;"")+('Dvd Calendar'!$V$786=TYPE3)*(TYPE3&lt;&gt;"")+('Dvd Calendar'!$V$786=TYPE4)*(TYPE4&lt;&gt;"")+('Dvd Calendar'!$V$786=SPECIAL_LBL)*(INC_SPECIALS="Y"))=0,"",'Dvd Calendar'!$V$784)))</f>
        <v/>
      </c>
      <c r="U82" s="106">
        <f>IF(EW82="","",IF(ISNUMBER('Dvd Calendar'!$W$784)=FALSE,"",IF((('Dvd Calendar'!$W$786=TYPE1)*(TYPE1&lt;&gt;"")+('Dvd Calendar'!$W$786=TYPE2)*(TYPE2&lt;&gt;"")+('Dvd Calendar'!$W$786=TYPE3)*(TYPE3&lt;&gt;"")+('Dvd Calendar'!$W$786=TYPE4)*(TYPE4&lt;&gt;"")+('Dvd Calendar'!$W$786=SPECIAL_LBL)*(INC_SPECIALS="Y"))=0,"",'Dvd Calendar'!$W$784)))</f>
        <v/>
      </c>
      <c r="V82" s="106">
        <f>IF(EX82="","",IF(ISNUMBER('Dvd Calendar'!$X$784)=FALSE,"",IF((('Dvd Calendar'!$X$786=TYPE1)*(TYPE1&lt;&gt;"")+('Dvd Calendar'!$X$786=TYPE2)*(TYPE2&lt;&gt;"")+('Dvd Calendar'!$X$786=TYPE3)*(TYPE3&lt;&gt;"")+('Dvd Calendar'!$X$786=TYPE4)*(TYPE4&lt;&gt;"")+('Dvd Calendar'!$X$786=SPECIAL_LBL)*(INC_SPECIALS="Y"))=0,"",'Dvd Calendar'!$X$784)))</f>
        <v/>
      </c>
      <c r="W82" s="106">
        <f>IF(EY82="","",IF(ISNUMBER('Dvd Calendar'!$Y$784)=FALSE,"",IF((('Dvd Calendar'!$Y$786=TYPE1)*(TYPE1&lt;&gt;"")+('Dvd Calendar'!$Y$786=TYPE2)*(TYPE2&lt;&gt;"")+('Dvd Calendar'!$Y$786=TYPE3)*(TYPE3&lt;&gt;"")+('Dvd Calendar'!$Y$786=TYPE4)*(TYPE4&lt;&gt;"")+('Dvd Calendar'!$Y$786=SPECIAL_LBL)*(INC_SPECIALS="Y"))=0,"",'Dvd Calendar'!$Y$784)))</f>
        <v/>
      </c>
      <c r="X82" s="106">
        <f>IF(EZ82="","",IF(ISNUMBER('Dvd Calendar'!$Z$784)=FALSE,"",IF((('Dvd Calendar'!$Z$786=TYPE1)*(TYPE1&lt;&gt;"")+('Dvd Calendar'!$Z$786=TYPE2)*(TYPE2&lt;&gt;"")+('Dvd Calendar'!$Z$786=TYPE3)*(TYPE3&lt;&gt;"")+('Dvd Calendar'!$Z$786=TYPE4)*(TYPE4&lt;&gt;"")+('Dvd Calendar'!$Z$786=SPECIAL_LBL)*(INC_SPECIALS="Y"))=0,"",'Dvd Calendar'!$Z$784)))</f>
        <v/>
      </c>
      <c r="Y82" s="106">
        <f>IF(FA82="","",IF(ISNUMBER('Dvd Calendar'!$AA$784)=FALSE,"",IF((('Dvd Calendar'!$AA$786=TYPE1)*(TYPE1&lt;&gt;"")+('Dvd Calendar'!$AA$786=TYPE2)*(TYPE2&lt;&gt;"")+('Dvd Calendar'!$AA$786=TYPE3)*(TYPE3&lt;&gt;"")+('Dvd Calendar'!$AA$786=TYPE4)*(TYPE4&lt;&gt;"")+('Dvd Calendar'!$AA$786=SPECIAL_LBL)*(INC_SPECIALS="Y"))=0,"",'Dvd Calendar'!$AA$784)))</f>
        <v/>
      </c>
      <c r="Z82" s="106">
        <f>IF(FB82="","",IF(ISNUMBER('Dvd Calendar'!$AB$784)=FALSE,"",IF((('Dvd Calendar'!$AB$786=TYPE1)*(TYPE1&lt;&gt;"")+('Dvd Calendar'!$AB$786=TYPE2)*(TYPE2&lt;&gt;"")+('Dvd Calendar'!$AB$786=TYPE3)*(TYPE3&lt;&gt;"")+('Dvd Calendar'!$AB$786=TYPE4)*(TYPE4&lt;&gt;"")+('Dvd Calendar'!$AB$786=SPECIAL_LBL)*(INC_SPECIALS="Y"))=0,"",'Dvd Calendar'!$AB$784)))</f>
        <v/>
      </c>
      <c r="AA82" s="106">
        <f>IF(FC82="","",IF(ISNUMBER('Dvd Calendar'!$AC$784)=FALSE,"",IF((('Dvd Calendar'!$AC$786=TYPE1)*(TYPE1&lt;&gt;"")+('Dvd Calendar'!$AC$786=TYPE2)*(TYPE2&lt;&gt;"")+('Dvd Calendar'!$AC$786=TYPE3)*(TYPE3&lt;&gt;"")+('Dvd Calendar'!$AC$786=TYPE4)*(TYPE4&lt;&gt;"")+('Dvd Calendar'!$AC$786=SPECIAL_LBL)*(INC_SPECIALS="Y"))=0,"",'Dvd Calendar'!$AC$784)))</f>
        <v/>
      </c>
      <c r="AB82" s="106">
        <f>IF(FD82="","",IF(ISNUMBER('Dvd Calendar'!$AD$784)=FALSE,"",IF((('Dvd Calendar'!$AD$786=TYPE1)*(TYPE1&lt;&gt;"")+('Dvd Calendar'!$AD$786=TYPE2)*(TYPE2&lt;&gt;"")+('Dvd Calendar'!$AD$786=TYPE3)*(TYPE3&lt;&gt;"")+('Dvd Calendar'!$AD$786=TYPE4)*(TYPE4&lt;&gt;"")+('Dvd Calendar'!$AD$786=SPECIAL_LBL)*(INC_SPECIALS="Y"))=0,"",'Dvd Calendar'!$AD$784)))</f>
        <v/>
      </c>
      <c r="AC82" s="106">
        <f>IF(FE82="","",IF(ISNUMBER('Dvd Calendar'!$AE$784)=FALSE,"",IF((('Dvd Calendar'!$AE$786=TYPE1)*(TYPE1&lt;&gt;"")+('Dvd Calendar'!$AE$786=TYPE2)*(TYPE2&lt;&gt;"")+('Dvd Calendar'!$AE$786=TYPE3)*(TYPE3&lt;&gt;"")+('Dvd Calendar'!$AE$786=TYPE4)*(TYPE4&lt;&gt;"")+('Dvd Calendar'!$AE$786=SPECIAL_LBL)*(INC_SPECIALS="Y"))=0,"",'Dvd Calendar'!$AE$784)))</f>
        <v/>
      </c>
      <c r="AD82" s="106">
        <f>IF(FF82="","",IF(ISNUMBER('Dvd Calendar'!$AF$784)=FALSE,"",IF((('Dvd Calendar'!$AF$786=TYPE1)*(TYPE1&lt;&gt;"")+('Dvd Calendar'!$AF$786=TYPE2)*(TYPE2&lt;&gt;"")+('Dvd Calendar'!$AF$786=TYPE3)*(TYPE3&lt;&gt;"")+('Dvd Calendar'!$AF$786=TYPE4)*(TYPE4&lt;&gt;"")+('Dvd Calendar'!$AF$786=SPECIAL_LBL)*(INC_SPECIALS="Y"))=0,"",'Dvd Calendar'!$AF$784)))</f>
        <v/>
      </c>
      <c r="AE82" s="106">
        <f>IF(FG82="","",IF(ISNUMBER('Dvd Calendar'!$AG$784)=FALSE,"",IF((('Dvd Calendar'!$AG$786=TYPE1)*(TYPE1&lt;&gt;"")+('Dvd Calendar'!$AG$786=TYPE2)*(TYPE2&lt;&gt;"")+('Dvd Calendar'!$AG$786=TYPE3)*(TYPE3&lt;&gt;"")+('Dvd Calendar'!$AG$786=TYPE4)*(TYPE4&lt;&gt;"")+('Dvd Calendar'!$AG$786=SPECIAL_LBL)*(INC_SPECIALS="Y"))=0,"",'Dvd Calendar'!$AG$784)))</f>
        <v/>
      </c>
      <c r="AF82" s="106">
        <f>IF(FH82="","",IF(ISNUMBER('Dvd Calendar'!$AH$784)=FALSE,"",IF((('Dvd Calendar'!$AH$786=TYPE1)*(TYPE1&lt;&gt;"")+('Dvd Calendar'!$AH$786=TYPE2)*(TYPE2&lt;&gt;"")+('Dvd Calendar'!$AH$786=TYPE3)*(TYPE3&lt;&gt;"")+('Dvd Calendar'!$AH$786=TYPE4)*(TYPE4&lt;&gt;"")+('Dvd Calendar'!$AH$786=SPECIAL_LBL)*(INC_SPECIALS="Y"))=0,"",'Dvd Calendar'!$AH$784)))</f>
        <v/>
      </c>
      <c r="AG82" s="106">
        <f>IF(FI82="","",IF(ISNUMBER('Dvd Calendar'!$AI$784)=FALSE,"",IF((('Dvd Calendar'!$AI$786=TYPE1)*(TYPE1&lt;&gt;"")+('Dvd Calendar'!$AI$786=TYPE2)*(TYPE2&lt;&gt;"")+('Dvd Calendar'!$AI$786=TYPE3)*(TYPE3&lt;&gt;"")+('Dvd Calendar'!$AI$786=TYPE4)*(TYPE4&lt;&gt;"")+('Dvd Calendar'!$AI$786=SPECIAL_LBL)*(INC_SPECIALS="Y"))=0,"",'Dvd Calendar'!$AI$784)))</f>
        <v/>
      </c>
      <c r="AH82" s="106">
        <f>IF(FJ82="","",IF(ISNUMBER('Dvd Calendar'!$AJ$784)=FALSE,"",IF((('Dvd Calendar'!$AJ$786=TYPE1)*(TYPE1&lt;&gt;"")+('Dvd Calendar'!$AJ$786=TYPE2)*(TYPE2&lt;&gt;"")+('Dvd Calendar'!$AJ$786=TYPE3)*(TYPE3&lt;&gt;"")+('Dvd Calendar'!$AJ$786=TYPE4)*(TYPE4&lt;&gt;"")+('Dvd Calendar'!$AJ$786=SPECIAL_LBL)*(INC_SPECIALS="Y"))=0,"",'Dvd Calendar'!$AJ$784)))</f>
        <v/>
      </c>
      <c r="AI82" s="106">
        <f>IF(FK82="","",IF(ISNUMBER('Dvd Calendar'!$AK$784)=FALSE,"",IF((('Dvd Calendar'!$AK$786=TYPE1)*(TYPE1&lt;&gt;"")+('Dvd Calendar'!$AK$786=TYPE2)*(TYPE2&lt;&gt;"")+('Dvd Calendar'!$AK$786=TYPE3)*(TYPE3&lt;&gt;"")+('Dvd Calendar'!$AK$786=TYPE4)*(TYPE4&lt;&gt;"")+('Dvd Calendar'!$AK$786=SPECIAL_LBL)*(INC_SPECIALS="Y"))=0,"",'Dvd Calendar'!$AK$784)))</f>
        <v/>
      </c>
      <c r="AJ82" s="106">
        <f>IF(FL82="","",IF(ISNUMBER('Dvd Calendar'!$AL$784)=FALSE,"",IF((('Dvd Calendar'!$AL$786=TYPE1)*(TYPE1&lt;&gt;"")+('Dvd Calendar'!$AL$786=TYPE2)*(TYPE2&lt;&gt;"")+('Dvd Calendar'!$AL$786=TYPE3)*(TYPE3&lt;&gt;"")+('Dvd Calendar'!$AL$786=TYPE4)*(TYPE4&lt;&gt;"")+('Dvd Calendar'!$AL$786=SPECIAL_LBL)*(INC_SPECIALS="Y"))=0,"",'Dvd Calendar'!$AL$784)))</f>
        <v/>
      </c>
      <c r="AK82" s="106">
        <f>IF(FM82="","",IF(ISNUMBER('Dvd Calendar'!$AM$784)=FALSE,"",IF((('Dvd Calendar'!$AM$786=TYPE1)*(TYPE1&lt;&gt;"")+('Dvd Calendar'!$AM$786=TYPE2)*(TYPE2&lt;&gt;"")+('Dvd Calendar'!$AM$786=TYPE3)*(TYPE3&lt;&gt;"")+('Dvd Calendar'!$AM$786=TYPE4)*(TYPE4&lt;&gt;"")+('Dvd Calendar'!$AM$786=SPECIAL_LBL)*(INC_SPECIALS="Y"))=0,"",'Dvd Calendar'!$AM$784)))</f>
        <v/>
      </c>
      <c r="AL82" s="106">
        <f>IF(FN82="","",IF(ISNUMBER('Dvd Calendar'!$AN$784)=FALSE,"",IF((('Dvd Calendar'!$AN$786=TYPE1)*(TYPE1&lt;&gt;"")+('Dvd Calendar'!$AN$786=TYPE2)*(TYPE2&lt;&gt;"")+('Dvd Calendar'!$AN$786=TYPE3)*(TYPE3&lt;&gt;"")+('Dvd Calendar'!$AN$786=TYPE4)*(TYPE4&lt;&gt;"")+('Dvd Calendar'!$AN$786=SPECIAL_LBL)*(INC_SPECIALS="Y"))=0,"",'Dvd Calendar'!$AN$784)))</f>
        <v/>
      </c>
      <c r="AM82" s="106">
        <f>IF(FO82="","",IF(ISNUMBER('Dvd Calendar'!$AO$784)=FALSE,"",IF((('Dvd Calendar'!$AO$786=TYPE1)*(TYPE1&lt;&gt;"")+('Dvd Calendar'!$AO$786=TYPE2)*(TYPE2&lt;&gt;"")+('Dvd Calendar'!$AO$786=TYPE3)*(TYPE3&lt;&gt;"")+('Dvd Calendar'!$AO$786=TYPE4)*(TYPE4&lt;&gt;"")+('Dvd Calendar'!$AO$786=SPECIAL_LBL)*(INC_SPECIALS="Y"))=0,"",'Dvd Calendar'!$AO$784)))</f>
        <v/>
      </c>
      <c r="AN82" s="106">
        <f>IF(FP82="","",IF(ISNUMBER('Dvd Calendar'!$AP$784)=FALSE,"",IF((('Dvd Calendar'!$AP$786=TYPE1)*(TYPE1&lt;&gt;"")+('Dvd Calendar'!$AP$786=TYPE2)*(TYPE2&lt;&gt;"")+('Dvd Calendar'!$AP$786=TYPE3)*(TYPE3&lt;&gt;"")+('Dvd Calendar'!$AP$786=TYPE4)*(TYPE4&lt;&gt;"")+('Dvd Calendar'!$AP$786=SPECIAL_LBL)*(INC_SPECIALS="Y"))=0,"",'Dvd Calendar'!$AP$784)))</f>
        <v/>
      </c>
      <c r="AO82" s="106">
        <f>IF(FQ82="","",IF(ISNUMBER('Dvd Calendar'!$AQ$784)=FALSE,"",IF((('Dvd Calendar'!$AQ$786=TYPE1)*(TYPE1&lt;&gt;"")+('Dvd Calendar'!$AQ$786=TYPE2)*(TYPE2&lt;&gt;"")+('Dvd Calendar'!$AQ$786=TYPE3)*(TYPE3&lt;&gt;"")+('Dvd Calendar'!$AQ$786=TYPE4)*(TYPE4&lt;&gt;"")+('Dvd Calendar'!$AQ$786=SPECIAL_LBL)*(INC_SPECIALS="Y"))=0,"",'Dvd Calendar'!$AQ$784)))</f>
        <v/>
      </c>
      <c r="AP82" s="106">
        <f>IF(FR82="","",IF(ISNUMBER('Dvd Calendar'!$AR$784)=FALSE,"",IF((('Dvd Calendar'!$AR$786=TYPE1)*(TYPE1&lt;&gt;"")+('Dvd Calendar'!$AR$786=TYPE2)*(TYPE2&lt;&gt;"")+('Dvd Calendar'!$AR$786=TYPE3)*(TYPE3&lt;&gt;"")+('Dvd Calendar'!$AR$786=TYPE4)*(TYPE4&lt;&gt;"")+('Dvd Calendar'!$AR$786=SPECIAL_LBL)*(INC_SPECIALS="Y"))=0,"",'Dvd Calendar'!$AR$784)))</f>
        <v/>
      </c>
      <c r="AQ82" s="106">
        <f>IF(FS82="","",IF(ISNUMBER('Dvd Calendar'!$E$789)=FALSE,"",'Dvd Calendar'!$E$789))</f>
        <v/>
      </c>
      <c r="AR82" s="106">
        <f>IF(FT82="","",IF(ISNUMBER('Dvd Calendar'!$F$789)=FALSE,"",'Dvd Calendar'!$F$789))</f>
        <v/>
      </c>
      <c r="AS82" s="106">
        <f>IF(FU82="","",IF(ISNUMBER('Dvd Calendar'!$G$789)=FALSE,"",'Dvd Calendar'!$G$789))</f>
        <v/>
      </c>
      <c r="AT82" s="106">
        <f>IF(FV82="","",IF(ISNUMBER('Dvd Calendar'!$H$789)=FALSE,"",'Dvd Calendar'!$H$789))</f>
        <v/>
      </c>
      <c r="AU82" s="106">
        <f>IF(FW82="","",IF(ISNUMBER('Dvd Calendar'!$I$789)=FALSE,"",'Dvd Calendar'!$I$789))</f>
        <v/>
      </c>
      <c r="AV82" s="106">
        <f>IF(FX82="","",IF(ISNUMBER('Dvd Calendar'!$J$789)=FALSE,"",'Dvd Calendar'!$J$789))</f>
        <v/>
      </c>
      <c r="AW82" s="106">
        <f>IF(FY82="","",IF(ISNUMBER('Dvd Calendar'!$K$789)=FALSE,"",'Dvd Calendar'!$K$789))</f>
        <v/>
      </c>
      <c r="AX82" s="106">
        <f>IF(FZ82="","",IF(ISNUMBER('Dvd Calendar'!$L$789)=FALSE,"",'Dvd Calendar'!$L$789))</f>
        <v/>
      </c>
      <c r="AY82" s="106">
        <f>IF(GA82="","",IF(ISNUMBER('Dvd Calendar'!$M$789)=FALSE,"",'Dvd Calendar'!$M$789))</f>
        <v/>
      </c>
      <c r="AZ82" s="106">
        <f>IF(GB82="","",IF(ISNUMBER('Dvd Calendar'!$N$789)=FALSE,"",'Dvd Calendar'!$N$789))</f>
        <v/>
      </c>
      <c r="BA82" s="106">
        <f>IF(GC82="","",IF(ISNUMBER('Dvd Calendar'!$O$789)=FALSE,"",'Dvd Calendar'!$O$789))</f>
        <v/>
      </c>
      <c r="BB82" s="106">
        <f>IF(GD82="","",IF(ISNUMBER('Dvd Calendar'!$P$789)=FALSE,"",'Dvd Calendar'!$P$789))</f>
        <v/>
      </c>
      <c r="BC82" s="106">
        <f>IF(GE82="","",IF(ISNUMBER('Dvd Calendar'!$Q$789)=FALSE,"",'Dvd Calendar'!$Q$789))</f>
        <v/>
      </c>
      <c r="BD82" s="106">
        <f>IF(GF82="","",IF(ISNUMBER('Dvd Calendar'!$R$789)=FALSE,"",'Dvd Calendar'!$R$789))</f>
        <v/>
      </c>
      <c r="BE82" s="106">
        <f>IF(GG82="","",IF(ISNUMBER('Dvd Calendar'!$S$789)=FALSE,"",'Dvd Calendar'!$S$789))</f>
        <v/>
      </c>
      <c r="BF82" s="106">
        <f>IF(GH82="","",IF(ISNUMBER('Dvd Calendar'!$T$789)=FALSE,"",'Dvd Calendar'!$T$789))</f>
        <v/>
      </c>
      <c r="BG82" s="106">
        <f>IF(GI82="","",IF(ISNUMBER('Dvd Calendar'!$U$789)=FALSE,"",'Dvd Calendar'!$U$789))</f>
        <v/>
      </c>
      <c r="BH82" s="106">
        <f>IF(GJ82="","",IF(ISNUMBER('Dvd Calendar'!$V$789)=FALSE,"",'Dvd Calendar'!$V$789))</f>
        <v/>
      </c>
      <c r="BI82" s="106">
        <f>IF(GK82="","",IF(ISNUMBER('Dvd Calendar'!$W$789)=FALSE,"",'Dvd Calendar'!$W$789))</f>
        <v/>
      </c>
      <c r="BJ82" s="106">
        <f>IF(GL82="","",IF(ISNUMBER('Dvd Calendar'!$X$789)=FALSE,"",'Dvd Calendar'!$X$789))</f>
        <v/>
      </c>
      <c r="BK82" s="106">
        <f>IF(GM82="","",IF(ISNUMBER('Dvd Calendar'!$Y$789)=FALSE,"",'Dvd Calendar'!$Y$789))</f>
        <v/>
      </c>
      <c r="BL82" s="106">
        <f>IF(GN82="","",IF(ISNUMBER('Dvd Calendar'!$Z$789)=FALSE,"",'Dvd Calendar'!$Z$789))</f>
        <v/>
      </c>
      <c r="BM82" s="106">
        <f>IF(GO82="","",IF(ISNUMBER('Dvd Calendar'!$AA$789)=FALSE,"",'Dvd Calendar'!$AA$789))</f>
        <v/>
      </c>
      <c r="BN82" s="106">
        <f>IF(GP82="","",IF(ISNUMBER('Dvd Calendar'!$AB$789)=FALSE,"",'Dvd Calendar'!$AB$789))</f>
        <v/>
      </c>
      <c r="BO82" s="106">
        <f>IF(GQ82="","",IF(ISNUMBER('Dvd Calendar'!$AC$789)=FALSE,"",'Dvd Calendar'!$AC$789))</f>
        <v/>
      </c>
      <c r="BQ82" s="106">
        <f>IF(C82="","",IFERROR(C82*HSI!$B$77*HSI!$G$77/HSI!$B$3,""))</f>
        <v/>
      </c>
      <c r="BR82" s="106">
        <f>IF(D82="","",IFERROR(D82*HSI!$B$77*HSI!$G$77/HSI!$B$3,""))</f>
        <v/>
      </c>
      <c r="BS82" s="106">
        <f>IF(E82="","",IFERROR(E82*HSI!$B$77*HSI!$G$77/HSI!$B$3,""))</f>
        <v/>
      </c>
      <c r="BT82" s="106">
        <f>IF(F82="","",IFERROR(F82*HSI!$B$77*HSI!$G$77/HSI!$B$3,""))</f>
        <v/>
      </c>
      <c r="BU82" s="106">
        <f>IF(G82="","",IFERROR(G82*HSI!$B$77*HSI!$G$77/HSI!$B$3,""))</f>
        <v/>
      </c>
      <c r="BV82" s="106">
        <f>IF(H82="","",IFERROR(H82*HSI!$B$77*HSI!$G$77/HSI!$B$3,""))</f>
        <v/>
      </c>
      <c r="BW82" s="106">
        <f>IF(I82="","",IFERROR(I82*HSI!$B$77*HSI!$G$77/HSI!$B$3,""))</f>
        <v/>
      </c>
      <c r="BX82" s="106">
        <f>IF(J82="","",IFERROR(J82*HSI!$B$77*HSI!$G$77/HSI!$B$3,""))</f>
        <v/>
      </c>
      <c r="BY82" s="106">
        <f>IF(K82="","",IFERROR(K82*HSI!$B$77*HSI!$G$77/HSI!$B$3,""))</f>
        <v/>
      </c>
      <c r="BZ82" s="106">
        <f>IF(L82="","",IFERROR(L82*HSI!$B$77*HSI!$G$77/HSI!$B$3,""))</f>
        <v/>
      </c>
      <c r="CA82" s="106">
        <f>IF(M82="","",IFERROR(M82*HSI!$B$77*HSI!$G$77/HSI!$B$3,""))</f>
        <v/>
      </c>
      <c r="CB82" s="106">
        <f>IF(N82="","",IFERROR(N82*HSI!$B$77*HSI!$G$77/HSI!$B$3,""))</f>
        <v/>
      </c>
      <c r="CC82" s="106">
        <f>IF(O82="","",IFERROR(O82*HSI!$B$77*HSI!$G$77/HSI!$B$3,""))</f>
        <v/>
      </c>
      <c r="CD82" s="106">
        <f>IF(P82="","",IFERROR(P82*HSI!$B$77*HSI!$G$77/HSI!$B$3,""))</f>
        <v/>
      </c>
      <c r="CE82" s="106">
        <f>IF(Q82="","",IFERROR(Q82*HSI!$B$77*HSI!$G$77/HSI!$B$3,""))</f>
        <v/>
      </c>
      <c r="CF82" s="106">
        <f>IF(R82="","",IFERROR(R82*HSI!$B$77*HSI!$G$77/HSI!$B$3,""))</f>
        <v/>
      </c>
      <c r="CG82" s="106">
        <f>IF(S82="","",IFERROR(S82*HSI!$B$77*HSI!$G$77/HSI!$B$3,""))</f>
        <v/>
      </c>
      <c r="CH82" s="106">
        <f>IF(T82="","",IFERROR(T82*HSI!$B$77*HSI!$G$77/HSI!$B$3,""))</f>
        <v/>
      </c>
      <c r="CI82" s="106">
        <f>IF(U82="","",IFERROR(U82*HSI!$B$77*HSI!$G$77/HSI!$B$3,""))</f>
        <v/>
      </c>
      <c r="CJ82" s="106">
        <f>IF(V82="","",IFERROR(V82*HSI!$B$77*HSI!$G$77/HSI!$B$3,""))</f>
        <v/>
      </c>
      <c r="CK82" s="106">
        <f>IF(W82="","",IFERROR(W82*HSI!$B$77*HSI!$G$77/HSI!$B$3,""))</f>
        <v/>
      </c>
      <c r="CL82" s="106">
        <f>IF(X82="","",IFERROR(X82*HSI!$B$77*HSI!$G$77/HSI!$B$3,""))</f>
        <v/>
      </c>
      <c r="CM82" s="106">
        <f>IF(Y82="","",IFERROR(Y82*HSI!$B$77*HSI!$G$77/HSI!$B$3,""))</f>
        <v/>
      </c>
      <c r="CN82" s="106">
        <f>IF(Z82="","",IFERROR(Z82*HSI!$B$77*HSI!$G$77/HSI!$B$3,""))</f>
        <v/>
      </c>
      <c r="CO82" s="106">
        <f>IF(AA82="","",IFERROR(AA82*HSI!$B$77*HSI!$G$77/HSI!$B$3,""))</f>
        <v/>
      </c>
      <c r="CP82" s="106">
        <f>IF(AB82="","",IFERROR(AB82*HSI!$B$77*HSI!$G$77/HSI!$B$3,""))</f>
        <v/>
      </c>
      <c r="CQ82" s="106">
        <f>IF(AC82="","",IFERROR(AC82*HSI!$B$77*HSI!$G$77/HSI!$B$3,""))</f>
        <v/>
      </c>
      <c r="CR82" s="106">
        <f>IF(AD82="","",IFERROR(AD82*HSI!$B$77*HSI!$G$77/HSI!$B$3,""))</f>
        <v/>
      </c>
      <c r="CS82" s="106">
        <f>IF(AE82="","",IFERROR(AE82*HSI!$B$77*HSI!$G$77/HSI!$B$3,""))</f>
        <v/>
      </c>
      <c r="CT82" s="106">
        <f>IF(AF82="","",IFERROR(AF82*HSI!$B$77*HSI!$G$77/HSI!$B$3,""))</f>
        <v/>
      </c>
      <c r="CU82" s="106">
        <f>IF(AG82="","",IFERROR(AG82*HSI!$B$77*HSI!$G$77/HSI!$B$3,""))</f>
        <v/>
      </c>
      <c r="CV82" s="106">
        <f>IF(AH82="","",IFERROR(AH82*HSI!$B$77*HSI!$G$77/HSI!$B$3,""))</f>
        <v/>
      </c>
      <c r="CW82" s="106">
        <f>IF(AI82="","",IFERROR(AI82*HSI!$B$77*HSI!$G$77/HSI!$B$3,""))</f>
        <v/>
      </c>
      <c r="CX82" s="106">
        <f>IF(AJ82="","",IFERROR(AJ82*HSI!$B$77*HSI!$G$77/HSI!$B$3,""))</f>
        <v/>
      </c>
      <c r="CY82" s="106">
        <f>IF(AK82="","",IFERROR(AK82*HSI!$B$77*HSI!$G$77/HSI!$B$3,""))</f>
        <v/>
      </c>
      <c r="CZ82" s="106">
        <f>IF(AL82="","",IFERROR(AL82*HSI!$B$77*HSI!$G$77/HSI!$B$3,""))</f>
        <v/>
      </c>
      <c r="DA82" s="106">
        <f>IF(AM82="","",IFERROR(AM82*HSI!$B$77*HSI!$G$77/HSI!$B$3,""))</f>
        <v/>
      </c>
      <c r="DB82" s="106">
        <f>IF(AN82="","",IFERROR(AN82*HSI!$B$77*HSI!$G$77/HSI!$B$3,""))</f>
        <v/>
      </c>
      <c r="DC82" s="106">
        <f>IF(AO82="","",IFERROR(AO82*HSI!$B$77*HSI!$G$77/HSI!$B$3,""))</f>
        <v/>
      </c>
      <c r="DD82" s="106">
        <f>IF(AP82="","",IFERROR(AP82*HSI!$B$77*HSI!$G$77/HSI!$B$3,""))</f>
        <v/>
      </c>
      <c r="DE82" s="106">
        <f>IF(AQ82="","",IFERROR(AQ82*HSI!$B$77*HSI!$G$77/HSI!$B$3,""))</f>
        <v/>
      </c>
      <c r="DF82" s="106">
        <f>IF(AR82="","",IFERROR(AR82*HSI!$B$77*HSI!$G$77/HSI!$B$3,""))</f>
        <v/>
      </c>
      <c r="DG82" s="106">
        <f>IF(AS82="","",IFERROR(AS82*HSI!$B$77*HSI!$G$77/HSI!$B$3,""))</f>
        <v/>
      </c>
      <c r="DH82" s="106">
        <f>IF(AT82="","",IFERROR(AT82*HSI!$B$77*HSI!$G$77/HSI!$B$3,""))</f>
        <v/>
      </c>
      <c r="DI82" s="106">
        <f>IF(AU82="","",IFERROR(AU82*HSI!$B$77*HSI!$G$77/HSI!$B$3,""))</f>
        <v/>
      </c>
      <c r="DJ82" s="106">
        <f>IF(AV82="","",IFERROR(AV82*HSI!$B$77*HSI!$G$77/HSI!$B$3,""))</f>
        <v/>
      </c>
      <c r="DK82" s="106">
        <f>IF(AW82="","",IFERROR(AW82*HSI!$B$77*HSI!$G$77/HSI!$B$3,""))</f>
        <v/>
      </c>
      <c r="DL82" s="106">
        <f>IF(AX82="","",IFERROR(AX82*HSI!$B$77*HSI!$G$77/HSI!$B$3,""))</f>
        <v/>
      </c>
      <c r="DM82" s="106">
        <f>IF(AY82="","",IFERROR(AY82*HSI!$B$77*HSI!$G$77/HSI!$B$3,""))</f>
        <v/>
      </c>
      <c r="DN82" s="106">
        <f>IF(AZ82="","",IFERROR(AZ82*HSI!$B$77*HSI!$G$77/HSI!$B$3,""))</f>
        <v/>
      </c>
      <c r="DO82" s="106">
        <f>IF(BA82="","",IFERROR(BA82*HSI!$B$77*HSI!$G$77/HSI!$B$3,""))</f>
        <v/>
      </c>
      <c r="DP82" s="106">
        <f>IF(BB82="","",IFERROR(BB82*HSI!$B$77*HSI!$G$77/HSI!$B$3,""))</f>
        <v/>
      </c>
      <c r="DQ82" s="106">
        <f>IF(BC82="","",IFERROR(BC82*HSI!$B$77*HSI!$G$77/HSI!$B$3,""))</f>
        <v/>
      </c>
      <c r="DR82" s="106">
        <f>IF(BD82="","",IFERROR(BD82*HSI!$B$77*HSI!$G$77/HSI!$B$3,""))</f>
        <v/>
      </c>
      <c r="DS82" s="106">
        <f>IF(BE82="","",IFERROR(BE82*HSI!$B$77*HSI!$G$77/HSI!$B$3,""))</f>
        <v/>
      </c>
      <c r="DT82" s="106">
        <f>IF(BF82="","",IFERROR(BF82*HSI!$B$77*HSI!$G$77/HSI!$B$3,""))</f>
        <v/>
      </c>
      <c r="DU82" s="106">
        <f>IF(BG82="","",IFERROR(BG82*HSI!$B$77*HSI!$G$77/HSI!$B$3,""))</f>
        <v/>
      </c>
      <c r="DV82" s="106">
        <f>IF(BH82="","",IFERROR(BH82*HSI!$B$77*HSI!$G$77/HSI!$B$3,""))</f>
        <v/>
      </c>
      <c r="DW82" s="106">
        <f>IF(BI82="","",IFERROR(BI82*HSI!$B$77*HSI!$G$77/HSI!$B$3,""))</f>
        <v/>
      </c>
      <c r="DX82" s="106">
        <f>IF(BJ82="","",IFERROR(BJ82*HSI!$B$77*HSI!$G$77/HSI!$B$3,""))</f>
        <v/>
      </c>
      <c r="DY82" s="106">
        <f>IF(BK82="","",IFERROR(BK82*HSI!$B$77*HSI!$G$77/HSI!$B$3,""))</f>
        <v/>
      </c>
      <c r="DZ82" s="106">
        <f>IF(BL82="","",IFERROR(BL82*HSI!$B$77*HSI!$G$77/HSI!$B$3,""))</f>
        <v/>
      </c>
      <c r="EA82" s="106">
        <f>IF(BM82="","",IFERROR(BM82*HSI!$B$77*HSI!$G$77/HSI!$B$3,""))</f>
        <v/>
      </c>
      <c r="EB82" s="106">
        <f>IF(BN82="","",IFERROR(BN82*HSI!$B$77*HSI!$G$77/HSI!$B$3,""))</f>
        <v/>
      </c>
      <c r="EC82" s="106">
        <f>IF(BO82="","",IFERROR(BO82*HSI!$B$77*HSI!$G$77/HSI!$B$3,""))</f>
        <v/>
      </c>
      <c r="EE82" s="35">
        <f>IF(N('Dvd Calendar'!$E$781)=0,"",IF(('Dvd Calendar'!$E$781&gt;=GRID_FROM)*('Dvd Calendar'!$E$781&lt;=GRID_TO)*('Dvd Calendar'!$E$781&lt;=VAL_DATE)=0,"",'Dvd Calendar'!$E$781*1000000000+ISNUMBER('Dvd Calendar'!$E$784)*100000000+('Dvd Calendar'!$E$786=SPECIAL_LBL)*10000000+0*1000000+71*1000+1))</f>
        <v/>
      </c>
      <c r="EF82" s="35">
        <f>IF(N('Dvd Calendar'!$F$781)=0,"",IF(('Dvd Calendar'!$F$781&gt;=GRID_FROM)*('Dvd Calendar'!$F$781&lt;=GRID_TO)*('Dvd Calendar'!$F$781&lt;=VAL_DATE)=0,"",'Dvd Calendar'!$F$781*1000000000+ISNUMBER('Dvd Calendar'!$F$784)*100000000+('Dvd Calendar'!$F$786=SPECIAL_LBL)*10000000+0*1000000+71*1000+2))</f>
        <v/>
      </c>
      <c r="EG82" s="35">
        <f>IF(N('Dvd Calendar'!$G$781)=0,"",IF(('Dvd Calendar'!$G$781&gt;=GRID_FROM)*('Dvd Calendar'!$G$781&lt;=GRID_TO)*('Dvd Calendar'!$G$781&lt;=VAL_DATE)=0,"",'Dvd Calendar'!$G$781*1000000000+ISNUMBER('Dvd Calendar'!$G$784)*100000000+('Dvd Calendar'!$G$786=SPECIAL_LBL)*10000000+0*1000000+71*1000+3))</f>
        <v/>
      </c>
      <c r="EH82" s="35">
        <f>IF(N('Dvd Calendar'!$H$781)=0,"",IF(('Dvd Calendar'!$H$781&gt;=GRID_FROM)*('Dvd Calendar'!$H$781&lt;=GRID_TO)*('Dvd Calendar'!$H$781&lt;=VAL_DATE)=0,"",'Dvd Calendar'!$H$781*1000000000+ISNUMBER('Dvd Calendar'!$H$784)*100000000+('Dvd Calendar'!$H$786=SPECIAL_LBL)*10000000+0*1000000+71*1000+4))</f>
        <v/>
      </c>
      <c r="EI82" s="35">
        <f>IF(N('Dvd Calendar'!$I$781)=0,"",IF(('Dvd Calendar'!$I$781&gt;=GRID_FROM)*('Dvd Calendar'!$I$781&lt;=GRID_TO)*('Dvd Calendar'!$I$781&lt;=VAL_DATE)=0,"",'Dvd Calendar'!$I$781*1000000000+ISNUMBER('Dvd Calendar'!$I$784)*100000000+('Dvd Calendar'!$I$786=SPECIAL_LBL)*10000000+0*1000000+71*1000+5))</f>
        <v/>
      </c>
      <c r="EJ82" s="35">
        <f>IF(N('Dvd Calendar'!$J$781)=0,"",IF(('Dvd Calendar'!$J$781&gt;=GRID_FROM)*('Dvd Calendar'!$J$781&lt;=GRID_TO)*('Dvd Calendar'!$J$781&lt;=VAL_DATE)=0,"",'Dvd Calendar'!$J$781*1000000000+ISNUMBER('Dvd Calendar'!$J$784)*100000000+('Dvd Calendar'!$J$786=SPECIAL_LBL)*10000000+0*1000000+71*1000+6))</f>
        <v/>
      </c>
      <c r="EK82" s="35">
        <f>IF(N('Dvd Calendar'!$K$781)=0,"",IF(('Dvd Calendar'!$K$781&gt;=GRID_FROM)*('Dvd Calendar'!$K$781&lt;=GRID_TO)*('Dvd Calendar'!$K$781&lt;=VAL_DATE)=0,"",'Dvd Calendar'!$K$781*1000000000+ISNUMBER('Dvd Calendar'!$K$784)*100000000+('Dvd Calendar'!$K$786=SPECIAL_LBL)*10000000+0*1000000+71*1000+7))</f>
        <v/>
      </c>
      <c r="EL82" s="35">
        <f>IF(N('Dvd Calendar'!$L$781)=0,"",IF(('Dvd Calendar'!$L$781&gt;=GRID_FROM)*('Dvd Calendar'!$L$781&lt;=GRID_TO)*('Dvd Calendar'!$L$781&lt;=VAL_DATE)=0,"",'Dvd Calendar'!$L$781*1000000000+ISNUMBER('Dvd Calendar'!$L$784)*100000000+('Dvd Calendar'!$L$786=SPECIAL_LBL)*10000000+0*1000000+71*1000+8))</f>
        <v/>
      </c>
      <c r="EM82" s="35">
        <f>IF(N('Dvd Calendar'!$M$781)=0,"",IF(('Dvd Calendar'!$M$781&gt;=GRID_FROM)*('Dvd Calendar'!$M$781&lt;=GRID_TO)*('Dvd Calendar'!$M$781&lt;=VAL_DATE)=0,"",'Dvd Calendar'!$M$781*1000000000+ISNUMBER('Dvd Calendar'!$M$784)*100000000+('Dvd Calendar'!$M$786=SPECIAL_LBL)*10000000+0*1000000+71*1000+9))</f>
        <v/>
      </c>
      <c r="EN82" s="35">
        <f>IF(N('Dvd Calendar'!$N$781)=0,"",IF(('Dvd Calendar'!$N$781&gt;=GRID_FROM)*('Dvd Calendar'!$N$781&lt;=GRID_TO)*('Dvd Calendar'!$N$781&lt;=VAL_DATE)=0,"",'Dvd Calendar'!$N$781*1000000000+ISNUMBER('Dvd Calendar'!$N$784)*100000000+('Dvd Calendar'!$N$786=SPECIAL_LBL)*10000000+0*1000000+71*1000+10))</f>
        <v/>
      </c>
      <c r="EO82" s="35">
        <f>IF(N('Dvd Calendar'!$O$781)=0,"",IF(('Dvd Calendar'!$O$781&gt;=GRID_FROM)*('Dvd Calendar'!$O$781&lt;=GRID_TO)*('Dvd Calendar'!$O$781&lt;=VAL_DATE)=0,"",'Dvd Calendar'!$O$781*1000000000+ISNUMBER('Dvd Calendar'!$O$784)*100000000+('Dvd Calendar'!$O$786=SPECIAL_LBL)*10000000+0*1000000+71*1000+11))</f>
        <v/>
      </c>
      <c r="EP82" s="35">
        <f>IF(N('Dvd Calendar'!$P$781)=0,"",IF(('Dvd Calendar'!$P$781&gt;=GRID_FROM)*('Dvd Calendar'!$P$781&lt;=GRID_TO)*('Dvd Calendar'!$P$781&lt;=VAL_DATE)=0,"",'Dvd Calendar'!$P$781*1000000000+ISNUMBER('Dvd Calendar'!$P$784)*100000000+('Dvd Calendar'!$P$786=SPECIAL_LBL)*10000000+0*1000000+71*1000+12))</f>
        <v/>
      </c>
      <c r="EQ82" s="35">
        <f>IF(N('Dvd Calendar'!$Q$781)=0,"",IF(('Dvd Calendar'!$Q$781&gt;=GRID_FROM)*('Dvd Calendar'!$Q$781&lt;=GRID_TO)*('Dvd Calendar'!$Q$781&lt;=VAL_DATE)=0,"",'Dvd Calendar'!$Q$781*1000000000+ISNUMBER('Dvd Calendar'!$Q$784)*100000000+('Dvd Calendar'!$Q$786=SPECIAL_LBL)*10000000+0*1000000+71*1000+13))</f>
        <v/>
      </c>
      <c r="ER82" s="35">
        <f>IF(N('Dvd Calendar'!$R$781)=0,"",IF(('Dvd Calendar'!$R$781&gt;=GRID_FROM)*('Dvd Calendar'!$R$781&lt;=GRID_TO)*('Dvd Calendar'!$R$781&lt;=VAL_DATE)=0,"",'Dvd Calendar'!$R$781*1000000000+ISNUMBER('Dvd Calendar'!$R$784)*100000000+('Dvd Calendar'!$R$786=SPECIAL_LBL)*10000000+0*1000000+71*1000+14))</f>
        <v/>
      </c>
      <c r="ES82" s="35">
        <f>IF(N('Dvd Calendar'!$S$781)=0,"",IF(('Dvd Calendar'!$S$781&gt;=GRID_FROM)*('Dvd Calendar'!$S$781&lt;=GRID_TO)*('Dvd Calendar'!$S$781&lt;=VAL_DATE)=0,"",'Dvd Calendar'!$S$781*1000000000+ISNUMBER('Dvd Calendar'!$S$784)*100000000+('Dvd Calendar'!$S$786=SPECIAL_LBL)*10000000+0*1000000+71*1000+15))</f>
        <v/>
      </c>
      <c r="ET82" s="35">
        <f>IF(N('Dvd Calendar'!$T$781)=0,"",IF(('Dvd Calendar'!$T$781&gt;=GRID_FROM)*('Dvd Calendar'!$T$781&lt;=GRID_TO)*('Dvd Calendar'!$T$781&lt;=VAL_DATE)=0,"",'Dvd Calendar'!$T$781*1000000000+ISNUMBER('Dvd Calendar'!$T$784)*100000000+('Dvd Calendar'!$T$786=SPECIAL_LBL)*10000000+0*1000000+71*1000+16))</f>
        <v/>
      </c>
      <c r="EU82" s="35">
        <f>IF(N('Dvd Calendar'!$U$781)=0,"",IF(('Dvd Calendar'!$U$781&gt;=GRID_FROM)*('Dvd Calendar'!$U$781&lt;=GRID_TO)*('Dvd Calendar'!$U$781&lt;=VAL_DATE)=0,"",'Dvd Calendar'!$U$781*1000000000+ISNUMBER('Dvd Calendar'!$U$784)*100000000+('Dvd Calendar'!$U$786=SPECIAL_LBL)*10000000+0*1000000+71*1000+17))</f>
        <v/>
      </c>
      <c r="EV82" s="35">
        <f>IF(N('Dvd Calendar'!$V$781)=0,"",IF(('Dvd Calendar'!$V$781&gt;=GRID_FROM)*('Dvd Calendar'!$V$781&lt;=GRID_TO)*('Dvd Calendar'!$V$781&lt;=VAL_DATE)=0,"",'Dvd Calendar'!$V$781*1000000000+ISNUMBER('Dvd Calendar'!$V$784)*100000000+('Dvd Calendar'!$V$786=SPECIAL_LBL)*10000000+0*1000000+71*1000+18))</f>
        <v/>
      </c>
      <c r="EW82" s="35">
        <f>IF(N('Dvd Calendar'!$W$781)=0,"",IF(('Dvd Calendar'!$W$781&gt;=GRID_FROM)*('Dvd Calendar'!$W$781&lt;=GRID_TO)*('Dvd Calendar'!$W$781&lt;=VAL_DATE)=0,"",'Dvd Calendar'!$W$781*1000000000+ISNUMBER('Dvd Calendar'!$W$784)*100000000+('Dvd Calendar'!$W$786=SPECIAL_LBL)*10000000+0*1000000+71*1000+19))</f>
        <v/>
      </c>
      <c r="EX82" s="35">
        <f>IF(N('Dvd Calendar'!$X$781)=0,"",IF(('Dvd Calendar'!$X$781&gt;=GRID_FROM)*('Dvd Calendar'!$X$781&lt;=GRID_TO)*('Dvd Calendar'!$X$781&lt;=VAL_DATE)=0,"",'Dvd Calendar'!$X$781*1000000000+ISNUMBER('Dvd Calendar'!$X$784)*100000000+('Dvd Calendar'!$X$786=SPECIAL_LBL)*10000000+0*1000000+71*1000+20))</f>
        <v/>
      </c>
      <c r="EY82" s="35">
        <f>IF(N('Dvd Calendar'!$Y$781)=0,"",IF(('Dvd Calendar'!$Y$781&gt;=GRID_FROM)*('Dvd Calendar'!$Y$781&lt;=GRID_TO)*('Dvd Calendar'!$Y$781&lt;=VAL_DATE)=0,"",'Dvd Calendar'!$Y$781*1000000000+ISNUMBER('Dvd Calendar'!$Y$784)*100000000+('Dvd Calendar'!$Y$786=SPECIAL_LBL)*10000000+0*1000000+71*1000+21))</f>
        <v/>
      </c>
      <c r="EZ82" s="35">
        <f>IF(N('Dvd Calendar'!$Z$781)=0,"",IF(('Dvd Calendar'!$Z$781&gt;=GRID_FROM)*('Dvd Calendar'!$Z$781&lt;=GRID_TO)*('Dvd Calendar'!$Z$781&lt;=VAL_DATE)=0,"",'Dvd Calendar'!$Z$781*1000000000+ISNUMBER('Dvd Calendar'!$Z$784)*100000000+('Dvd Calendar'!$Z$786=SPECIAL_LBL)*10000000+0*1000000+71*1000+22))</f>
        <v/>
      </c>
      <c r="FA82" s="35">
        <f>IF(N('Dvd Calendar'!$AA$781)=0,"",IF(('Dvd Calendar'!$AA$781&gt;=GRID_FROM)*('Dvd Calendar'!$AA$781&lt;=GRID_TO)*('Dvd Calendar'!$AA$781&lt;=VAL_DATE)=0,"",'Dvd Calendar'!$AA$781*1000000000+ISNUMBER('Dvd Calendar'!$AA$784)*100000000+('Dvd Calendar'!$AA$786=SPECIAL_LBL)*10000000+0*1000000+71*1000+23))</f>
        <v/>
      </c>
      <c r="FB82" s="35">
        <f>IF(N('Dvd Calendar'!$AB$781)=0,"",IF(('Dvd Calendar'!$AB$781&gt;=GRID_FROM)*('Dvd Calendar'!$AB$781&lt;=GRID_TO)*('Dvd Calendar'!$AB$781&lt;=VAL_DATE)=0,"",'Dvd Calendar'!$AB$781*1000000000+ISNUMBER('Dvd Calendar'!$AB$784)*100000000+('Dvd Calendar'!$AB$786=SPECIAL_LBL)*10000000+0*1000000+71*1000+24))</f>
        <v/>
      </c>
      <c r="FC82" s="35">
        <f>IF(N('Dvd Calendar'!$AC$781)=0,"",IF(('Dvd Calendar'!$AC$781&gt;=GRID_FROM)*('Dvd Calendar'!$AC$781&lt;=GRID_TO)*('Dvd Calendar'!$AC$781&lt;=VAL_DATE)=0,"",'Dvd Calendar'!$AC$781*1000000000+ISNUMBER('Dvd Calendar'!$AC$784)*100000000+('Dvd Calendar'!$AC$786=SPECIAL_LBL)*10000000+0*1000000+71*1000+25))</f>
        <v/>
      </c>
      <c r="FD82" s="35">
        <f>IF(N('Dvd Calendar'!$AD$781)=0,"",IF(('Dvd Calendar'!$AD$781&gt;=GRID_FROM)*('Dvd Calendar'!$AD$781&lt;=GRID_TO)*('Dvd Calendar'!$AD$781&lt;=VAL_DATE)=0,"",'Dvd Calendar'!$AD$781*1000000000+ISNUMBER('Dvd Calendar'!$AD$784)*100000000+('Dvd Calendar'!$AD$786=SPECIAL_LBL)*10000000+0*1000000+71*1000+26))</f>
        <v/>
      </c>
      <c r="FE82" s="35">
        <f>IF(N('Dvd Calendar'!$AE$781)=0,"",IF(('Dvd Calendar'!$AE$781&gt;=GRID_FROM)*('Dvd Calendar'!$AE$781&lt;=GRID_TO)*('Dvd Calendar'!$AE$781&lt;=VAL_DATE)=0,"",'Dvd Calendar'!$AE$781*1000000000+ISNUMBER('Dvd Calendar'!$AE$784)*100000000+('Dvd Calendar'!$AE$786=SPECIAL_LBL)*10000000+0*1000000+71*1000+27))</f>
        <v/>
      </c>
      <c r="FF82" s="35">
        <f>IF(N('Dvd Calendar'!$AF$781)=0,"",IF(('Dvd Calendar'!$AF$781&gt;=GRID_FROM)*('Dvd Calendar'!$AF$781&lt;=GRID_TO)*('Dvd Calendar'!$AF$781&lt;=VAL_DATE)=0,"",'Dvd Calendar'!$AF$781*1000000000+ISNUMBER('Dvd Calendar'!$AF$784)*100000000+('Dvd Calendar'!$AF$786=SPECIAL_LBL)*10000000+0*1000000+71*1000+28))</f>
        <v/>
      </c>
      <c r="FG82" s="35">
        <f>IF(N('Dvd Calendar'!$AG$781)=0,"",IF(('Dvd Calendar'!$AG$781&gt;=GRID_FROM)*('Dvd Calendar'!$AG$781&lt;=GRID_TO)*('Dvd Calendar'!$AG$781&lt;=VAL_DATE)=0,"",'Dvd Calendar'!$AG$781*1000000000+ISNUMBER('Dvd Calendar'!$AG$784)*100000000+('Dvd Calendar'!$AG$786=SPECIAL_LBL)*10000000+0*1000000+71*1000+29))</f>
        <v/>
      </c>
      <c r="FH82" s="35">
        <f>IF(N('Dvd Calendar'!$AH$781)=0,"",IF(('Dvd Calendar'!$AH$781&gt;=GRID_FROM)*('Dvd Calendar'!$AH$781&lt;=GRID_TO)*('Dvd Calendar'!$AH$781&lt;=VAL_DATE)=0,"",'Dvd Calendar'!$AH$781*1000000000+ISNUMBER('Dvd Calendar'!$AH$784)*100000000+('Dvd Calendar'!$AH$786=SPECIAL_LBL)*10000000+0*1000000+71*1000+30))</f>
        <v/>
      </c>
      <c r="FI82" s="35">
        <f>IF(N('Dvd Calendar'!$AI$781)=0,"",IF(('Dvd Calendar'!$AI$781&gt;=GRID_FROM)*('Dvd Calendar'!$AI$781&lt;=GRID_TO)*('Dvd Calendar'!$AI$781&lt;=VAL_DATE)=0,"",'Dvd Calendar'!$AI$781*1000000000+ISNUMBER('Dvd Calendar'!$AI$784)*100000000+('Dvd Calendar'!$AI$786=SPECIAL_LBL)*10000000+0*1000000+71*1000+31))</f>
        <v/>
      </c>
      <c r="FJ82" s="35">
        <f>IF(N('Dvd Calendar'!$AJ$781)=0,"",IF(('Dvd Calendar'!$AJ$781&gt;=GRID_FROM)*('Dvd Calendar'!$AJ$781&lt;=GRID_TO)*('Dvd Calendar'!$AJ$781&lt;=VAL_DATE)=0,"",'Dvd Calendar'!$AJ$781*1000000000+ISNUMBER('Dvd Calendar'!$AJ$784)*100000000+('Dvd Calendar'!$AJ$786=SPECIAL_LBL)*10000000+0*1000000+71*1000+32))</f>
        <v/>
      </c>
      <c r="FK82" s="35">
        <f>IF(N('Dvd Calendar'!$AK$781)=0,"",IF(('Dvd Calendar'!$AK$781&gt;=GRID_FROM)*('Dvd Calendar'!$AK$781&lt;=GRID_TO)*('Dvd Calendar'!$AK$781&lt;=VAL_DATE)=0,"",'Dvd Calendar'!$AK$781*1000000000+ISNUMBER('Dvd Calendar'!$AK$784)*100000000+('Dvd Calendar'!$AK$786=SPECIAL_LBL)*10000000+0*1000000+71*1000+33))</f>
        <v/>
      </c>
      <c r="FL82" s="35">
        <f>IF(N('Dvd Calendar'!$AL$781)=0,"",IF(('Dvd Calendar'!$AL$781&gt;=GRID_FROM)*('Dvd Calendar'!$AL$781&lt;=GRID_TO)*('Dvd Calendar'!$AL$781&lt;=VAL_DATE)=0,"",'Dvd Calendar'!$AL$781*1000000000+ISNUMBER('Dvd Calendar'!$AL$784)*100000000+('Dvd Calendar'!$AL$786=SPECIAL_LBL)*10000000+0*1000000+71*1000+34))</f>
        <v/>
      </c>
      <c r="FM82" s="35">
        <f>IF(N('Dvd Calendar'!$AM$781)=0,"",IF(('Dvd Calendar'!$AM$781&gt;=GRID_FROM)*('Dvd Calendar'!$AM$781&lt;=GRID_TO)*('Dvd Calendar'!$AM$781&lt;=VAL_DATE)=0,"",'Dvd Calendar'!$AM$781*1000000000+ISNUMBER('Dvd Calendar'!$AM$784)*100000000+('Dvd Calendar'!$AM$786=SPECIAL_LBL)*10000000+0*1000000+71*1000+35))</f>
        <v/>
      </c>
      <c r="FN82" s="35">
        <f>IF(N('Dvd Calendar'!$AN$781)=0,"",IF(('Dvd Calendar'!$AN$781&gt;=GRID_FROM)*('Dvd Calendar'!$AN$781&lt;=GRID_TO)*('Dvd Calendar'!$AN$781&lt;=VAL_DATE)=0,"",'Dvd Calendar'!$AN$781*1000000000+ISNUMBER('Dvd Calendar'!$AN$784)*100000000+('Dvd Calendar'!$AN$786=SPECIAL_LBL)*10000000+0*1000000+71*1000+36))</f>
        <v/>
      </c>
      <c r="FO82" s="35">
        <f>IF(N('Dvd Calendar'!$AO$781)=0,"",IF(('Dvd Calendar'!$AO$781&gt;=GRID_FROM)*('Dvd Calendar'!$AO$781&lt;=GRID_TO)*('Dvd Calendar'!$AO$781&lt;=VAL_DATE)=0,"",'Dvd Calendar'!$AO$781*1000000000+ISNUMBER('Dvd Calendar'!$AO$784)*100000000+('Dvd Calendar'!$AO$786=SPECIAL_LBL)*10000000+0*1000000+71*1000+37))</f>
        <v/>
      </c>
      <c r="FP82" s="35">
        <f>IF(N('Dvd Calendar'!$AP$781)=0,"",IF(('Dvd Calendar'!$AP$781&gt;=GRID_FROM)*('Dvd Calendar'!$AP$781&lt;=GRID_TO)*('Dvd Calendar'!$AP$781&lt;=VAL_DATE)=0,"",'Dvd Calendar'!$AP$781*1000000000+ISNUMBER('Dvd Calendar'!$AP$784)*100000000+('Dvd Calendar'!$AP$786=SPECIAL_LBL)*10000000+0*1000000+71*1000+38))</f>
        <v/>
      </c>
      <c r="FQ82" s="35">
        <f>IF(N('Dvd Calendar'!$AQ$781)=0,"",IF(('Dvd Calendar'!$AQ$781&gt;=GRID_FROM)*('Dvd Calendar'!$AQ$781&lt;=GRID_TO)*('Dvd Calendar'!$AQ$781&lt;=VAL_DATE)=0,"",'Dvd Calendar'!$AQ$781*1000000000+ISNUMBER('Dvd Calendar'!$AQ$784)*100000000+('Dvd Calendar'!$AQ$786=SPECIAL_LBL)*10000000+0*1000000+71*1000+39))</f>
        <v/>
      </c>
      <c r="FR82" s="35">
        <f>IF(N('Dvd Calendar'!$AR$781)=0,"",IF(('Dvd Calendar'!$AR$781&gt;=GRID_FROM)*('Dvd Calendar'!$AR$781&lt;=GRID_TO)*('Dvd Calendar'!$AR$781&lt;=VAL_DATE)=0,"",'Dvd Calendar'!$AR$781*1000000000+ISNUMBER('Dvd Calendar'!$AR$784)*100000000+('Dvd Calendar'!$AR$786=SPECIAL_LBL)*10000000+0*1000000+71*1000+40))</f>
        <v/>
      </c>
      <c r="FS82" s="35">
        <f>IF(N('Dvd Calendar'!$E$788)=0,"",IF(('Dvd Calendar'!$E$788&gt;=GRID_FROM)*('Dvd Calendar'!$E$788&lt;=GRID_TO)*('Dvd Calendar'!$E$788&gt;VAL_DATE)=0,"",'Dvd Calendar'!$E$788*1000000000+ISNUMBER('Dvd Calendar'!$E$789)*100000000+0*10000000+(N('Dvd Calendar'!$E$787)&gt;0)*(N('Dvd Calendar'!$E$787)&lt;=VAL_SERIAL)*1000000+71*1000+41))</f>
        <v/>
      </c>
      <c r="FT82" s="35">
        <f>IF(N('Dvd Calendar'!$F$788)=0,"",IF(('Dvd Calendar'!$F$788&gt;=GRID_FROM)*('Dvd Calendar'!$F$788&lt;=GRID_TO)*('Dvd Calendar'!$F$788&gt;VAL_DATE)=0,"",'Dvd Calendar'!$F$788*1000000000+ISNUMBER('Dvd Calendar'!$F$789)*100000000+0*10000000+(N('Dvd Calendar'!$F$787)&gt;0)*(N('Dvd Calendar'!$F$787)&lt;=VAL_SERIAL)*1000000+71*1000+42))</f>
        <v/>
      </c>
      <c r="FU82" s="35">
        <f>IF(N('Dvd Calendar'!$G$788)=0,"",IF(('Dvd Calendar'!$G$788&gt;=GRID_FROM)*('Dvd Calendar'!$G$788&lt;=GRID_TO)*('Dvd Calendar'!$G$788&gt;VAL_DATE)=0,"",'Dvd Calendar'!$G$788*1000000000+ISNUMBER('Dvd Calendar'!$G$789)*100000000+0*10000000+(N('Dvd Calendar'!$G$787)&gt;0)*(N('Dvd Calendar'!$G$787)&lt;=VAL_SERIAL)*1000000+71*1000+43))</f>
        <v/>
      </c>
      <c r="FV82" s="35">
        <f>IF(N('Dvd Calendar'!$H$788)=0,"",IF(('Dvd Calendar'!$H$788&gt;=GRID_FROM)*('Dvd Calendar'!$H$788&lt;=GRID_TO)*('Dvd Calendar'!$H$788&gt;VAL_DATE)=0,"",'Dvd Calendar'!$H$788*1000000000+ISNUMBER('Dvd Calendar'!$H$789)*100000000+0*10000000+(N('Dvd Calendar'!$H$787)&gt;0)*(N('Dvd Calendar'!$H$787)&lt;=VAL_SERIAL)*1000000+71*1000+44))</f>
        <v/>
      </c>
      <c r="FW82" s="35">
        <f>IF(N('Dvd Calendar'!$I$788)=0,"",IF(('Dvd Calendar'!$I$788&gt;=GRID_FROM)*('Dvd Calendar'!$I$788&lt;=GRID_TO)*('Dvd Calendar'!$I$788&gt;VAL_DATE)=0,"",'Dvd Calendar'!$I$788*1000000000+ISNUMBER('Dvd Calendar'!$I$789)*100000000+0*10000000+(N('Dvd Calendar'!$I$787)&gt;0)*(N('Dvd Calendar'!$I$787)&lt;=VAL_SERIAL)*1000000+71*1000+45))</f>
        <v/>
      </c>
      <c r="FX82" s="35">
        <f>IF(N('Dvd Calendar'!$J$788)=0,"",IF(('Dvd Calendar'!$J$788&gt;=GRID_FROM)*('Dvd Calendar'!$J$788&lt;=GRID_TO)*('Dvd Calendar'!$J$788&gt;VAL_DATE)=0,"",'Dvd Calendar'!$J$788*1000000000+ISNUMBER('Dvd Calendar'!$J$789)*100000000+0*10000000+(N('Dvd Calendar'!$J$787)&gt;0)*(N('Dvd Calendar'!$J$787)&lt;=VAL_SERIAL)*1000000+71*1000+46))</f>
        <v/>
      </c>
      <c r="FY82" s="35">
        <f>IF(N('Dvd Calendar'!$K$788)=0,"",IF(('Dvd Calendar'!$K$788&gt;=GRID_FROM)*('Dvd Calendar'!$K$788&lt;=GRID_TO)*('Dvd Calendar'!$K$788&gt;VAL_DATE)=0,"",'Dvd Calendar'!$K$788*1000000000+ISNUMBER('Dvd Calendar'!$K$789)*100000000+0*10000000+(N('Dvd Calendar'!$K$787)&gt;0)*(N('Dvd Calendar'!$K$787)&lt;=VAL_SERIAL)*1000000+71*1000+47))</f>
        <v/>
      </c>
      <c r="FZ82" s="35">
        <f>IF(N('Dvd Calendar'!$L$788)=0,"",IF(('Dvd Calendar'!$L$788&gt;=GRID_FROM)*('Dvd Calendar'!$L$788&lt;=GRID_TO)*('Dvd Calendar'!$L$788&gt;VAL_DATE)=0,"",'Dvd Calendar'!$L$788*1000000000+ISNUMBER('Dvd Calendar'!$L$789)*100000000+0*10000000+(N('Dvd Calendar'!$L$787)&gt;0)*(N('Dvd Calendar'!$L$787)&lt;=VAL_SERIAL)*1000000+71*1000+48))</f>
        <v/>
      </c>
      <c r="GA82" s="35">
        <f>IF(N('Dvd Calendar'!$M$788)=0,"",IF(('Dvd Calendar'!$M$788&gt;=GRID_FROM)*('Dvd Calendar'!$M$788&lt;=GRID_TO)*('Dvd Calendar'!$M$788&gt;VAL_DATE)=0,"",'Dvd Calendar'!$M$788*1000000000+ISNUMBER('Dvd Calendar'!$M$789)*100000000+0*10000000+(N('Dvd Calendar'!$M$787)&gt;0)*(N('Dvd Calendar'!$M$787)&lt;=VAL_SERIAL)*1000000+71*1000+49))</f>
        <v/>
      </c>
      <c r="GB82" s="35">
        <f>IF(N('Dvd Calendar'!$N$788)=0,"",IF(('Dvd Calendar'!$N$788&gt;=GRID_FROM)*('Dvd Calendar'!$N$788&lt;=GRID_TO)*('Dvd Calendar'!$N$788&gt;VAL_DATE)=0,"",'Dvd Calendar'!$N$788*1000000000+ISNUMBER('Dvd Calendar'!$N$789)*100000000+0*10000000+(N('Dvd Calendar'!$N$787)&gt;0)*(N('Dvd Calendar'!$N$787)&lt;=VAL_SERIAL)*1000000+71*1000+50))</f>
        <v/>
      </c>
      <c r="GC82" s="35">
        <f>IF(N('Dvd Calendar'!$O$788)=0,"",IF(('Dvd Calendar'!$O$788&gt;=GRID_FROM)*('Dvd Calendar'!$O$788&lt;=GRID_TO)*('Dvd Calendar'!$O$788&gt;VAL_DATE)=0,"",'Dvd Calendar'!$O$788*1000000000+ISNUMBER('Dvd Calendar'!$O$789)*100000000+0*10000000+(N('Dvd Calendar'!$O$787)&gt;0)*(N('Dvd Calendar'!$O$787)&lt;=VAL_SERIAL)*1000000+71*1000+51))</f>
        <v/>
      </c>
      <c r="GD82" s="35">
        <f>IF(N('Dvd Calendar'!$P$788)=0,"",IF(('Dvd Calendar'!$P$788&gt;=GRID_FROM)*('Dvd Calendar'!$P$788&lt;=GRID_TO)*('Dvd Calendar'!$P$788&gt;VAL_DATE)=0,"",'Dvd Calendar'!$P$788*1000000000+ISNUMBER('Dvd Calendar'!$P$789)*100000000+0*10000000+(N('Dvd Calendar'!$P$787)&gt;0)*(N('Dvd Calendar'!$P$787)&lt;=VAL_SERIAL)*1000000+71*1000+52))</f>
        <v/>
      </c>
      <c r="GE82" s="35">
        <f>IF(N('Dvd Calendar'!$Q$788)=0,"",IF(('Dvd Calendar'!$Q$788&gt;=GRID_FROM)*('Dvd Calendar'!$Q$788&lt;=GRID_TO)*('Dvd Calendar'!$Q$788&gt;VAL_DATE)=0,"",'Dvd Calendar'!$Q$788*1000000000+ISNUMBER('Dvd Calendar'!$Q$789)*100000000+0*10000000+(N('Dvd Calendar'!$Q$787)&gt;0)*(N('Dvd Calendar'!$Q$787)&lt;=VAL_SERIAL)*1000000+71*1000+53))</f>
        <v/>
      </c>
      <c r="GF82" s="35">
        <f>IF(N('Dvd Calendar'!$R$788)=0,"",IF(('Dvd Calendar'!$R$788&gt;=GRID_FROM)*('Dvd Calendar'!$R$788&lt;=GRID_TO)*('Dvd Calendar'!$R$788&gt;VAL_DATE)=0,"",'Dvd Calendar'!$R$788*1000000000+ISNUMBER('Dvd Calendar'!$R$789)*100000000+0*10000000+(N('Dvd Calendar'!$R$787)&gt;0)*(N('Dvd Calendar'!$R$787)&lt;=VAL_SERIAL)*1000000+71*1000+54))</f>
        <v/>
      </c>
      <c r="GG82" s="35">
        <f>IF(N('Dvd Calendar'!$S$788)=0,"",IF(('Dvd Calendar'!$S$788&gt;=GRID_FROM)*('Dvd Calendar'!$S$788&lt;=GRID_TO)*('Dvd Calendar'!$S$788&gt;VAL_DATE)=0,"",'Dvd Calendar'!$S$788*1000000000+ISNUMBER('Dvd Calendar'!$S$789)*100000000+0*10000000+(N('Dvd Calendar'!$S$787)&gt;0)*(N('Dvd Calendar'!$S$787)&lt;=VAL_SERIAL)*1000000+71*1000+55))</f>
        <v/>
      </c>
      <c r="GH82" s="35">
        <f>IF(N('Dvd Calendar'!$T$788)=0,"",IF(('Dvd Calendar'!$T$788&gt;=GRID_FROM)*('Dvd Calendar'!$T$788&lt;=GRID_TO)*('Dvd Calendar'!$T$788&gt;VAL_DATE)=0,"",'Dvd Calendar'!$T$788*1000000000+ISNUMBER('Dvd Calendar'!$T$789)*100000000+0*10000000+(N('Dvd Calendar'!$T$787)&gt;0)*(N('Dvd Calendar'!$T$787)&lt;=VAL_SERIAL)*1000000+71*1000+56))</f>
        <v/>
      </c>
      <c r="GI82" s="35">
        <f>IF(N('Dvd Calendar'!$U$788)=0,"",IF(('Dvd Calendar'!$U$788&gt;=GRID_FROM)*('Dvd Calendar'!$U$788&lt;=GRID_TO)*('Dvd Calendar'!$U$788&gt;VAL_DATE)=0,"",'Dvd Calendar'!$U$788*1000000000+ISNUMBER('Dvd Calendar'!$U$789)*100000000+0*10000000+(N('Dvd Calendar'!$U$787)&gt;0)*(N('Dvd Calendar'!$U$787)&lt;=VAL_SERIAL)*1000000+71*1000+57))</f>
        <v/>
      </c>
      <c r="GJ82" s="35">
        <f>IF(N('Dvd Calendar'!$V$788)=0,"",IF(('Dvd Calendar'!$V$788&gt;=GRID_FROM)*('Dvd Calendar'!$V$788&lt;=GRID_TO)*('Dvd Calendar'!$V$788&gt;VAL_DATE)=0,"",'Dvd Calendar'!$V$788*1000000000+ISNUMBER('Dvd Calendar'!$V$789)*100000000+0*10000000+(N('Dvd Calendar'!$V$787)&gt;0)*(N('Dvd Calendar'!$V$787)&lt;=VAL_SERIAL)*1000000+71*1000+58))</f>
        <v/>
      </c>
      <c r="GK82" s="35">
        <f>IF(N('Dvd Calendar'!$W$788)=0,"",IF(('Dvd Calendar'!$W$788&gt;=GRID_FROM)*('Dvd Calendar'!$W$788&lt;=GRID_TO)*('Dvd Calendar'!$W$788&gt;VAL_DATE)=0,"",'Dvd Calendar'!$W$788*1000000000+ISNUMBER('Dvd Calendar'!$W$789)*100000000+0*10000000+(N('Dvd Calendar'!$W$787)&gt;0)*(N('Dvd Calendar'!$W$787)&lt;=VAL_SERIAL)*1000000+71*1000+59))</f>
        <v/>
      </c>
      <c r="GL82" s="35">
        <f>IF(N('Dvd Calendar'!$X$788)=0,"",IF(('Dvd Calendar'!$X$788&gt;=GRID_FROM)*('Dvd Calendar'!$X$788&lt;=GRID_TO)*('Dvd Calendar'!$X$788&gt;VAL_DATE)=0,"",'Dvd Calendar'!$X$788*1000000000+ISNUMBER('Dvd Calendar'!$X$789)*100000000+0*10000000+(N('Dvd Calendar'!$X$787)&gt;0)*(N('Dvd Calendar'!$X$787)&lt;=VAL_SERIAL)*1000000+71*1000+60))</f>
        <v/>
      </c>
      <c r="GM82" s="35">
        <f>IF(N('Dvd Calendar'!$Y$788)=0,"",IF(('Dvd Calendar'!$Y$788&gt;=GRID_FROM)*('Dvd Calendar'!$Y$788&lt;=GRID_TO)*('Dvd Calendar'!$Y$788&gt;VAL_DATE)=0,"",'Dvd Calendar'!$Y$788*1000000000+ISNUMBER('Dvd Calendar'!$Y$789)*100000000+0*10000000+(N('Dvd Calendar'!$Y$787)&gt;0)*(N('Dvd Calendar'!$Y$787)&lt;=VAL_SERIAL)*1000000+71*1000+61))</f>
        <v/>
      </c>
      <c r="GN82" s="35">
        <f>IF(N('Dvd Calendar'!$Z$788)=0,"",IF(('Dvd Calendar'!$Z$788&gt;=GRID_FROM)*('Dvd Calendar'!$Z$788&lt;=GRID_TO)*('Dvd Calendar'!$Z$788&gt;VAL_DATE)=0,"",'Dvd Calendar'!$Z$788*1000000000+ISNUMBER('Dvd Calendar'!$Z$789)*100000000+0*10000000+(N('Dvd Calendar'!$Z$787)&gt;0)*(N('Dvd Calendar'!$Z$787)&lt;=VAL_SERIAL)*1000000+71*1000+62))</f>
        <v/>
      </c>
      <c r="GO82" s="35">
        <f>IF(N('Dvd Calendar'!$AA$788)=0,"",IF(('Dvd Calendar'!$AA$788&gt;=GRID_FROM)*('Dvd Calendar'!$AA$788&lt;=GRID_TO)*('Dvd Calendar'!$AA$788&gt;VAL_DATE)=0,"",'Dvd Calendar'!$AA$788*1000000000+ISNUMBER('Dvd Calendar'!$AA$789)*100000000+0*10000000+(N('Dvd Calendar'!$AA$787)&gt;0)*(N('Dvd Calendar'!$AA$787)&lt;=VAL_SERIAL)*1000000+71*1000+63))</f>
        <v/>
      </c>
      <c r="GP82" s="35">
        <f>IF(N('Dvd Calendar'!$AB$788)=0,"",IF(('Dvd Calendar'!$AB$788&gt;=GRID_FROM)*('Dvd Calendar'!$AB$788&lt;=GRID_TO)*('Dvd Calendar'!$AB$788&gt;VAL_DATE)=0,"",'Dvd Calendar'!$AB$788*1000000000+ISNUMBER('Dvd Calendar'!$AB$789)*100000000+0*10000000+(N('Dvd Calendar'!$AB$787)&gt;0)*(N('Dvd Calendar'!$AB$787)&lt;=VAL_SERIAL)*1000000+71*1000+64))</f>
        <v/>
      </c>
      <c r="GQ82" s="35">
        <f>IF(N('Dvd Calendar'!$AC$788)=0,"",IF(('Dvd Calendar'!$AC$788&gt;=GRID_FROM)*('Dvd Calendar'!$AC$788&lt;=GRID_TO)*('Dvd Calendar'!$AC$788&gt;VAL_DATE)=0,"",'Dvd Calendar'!$AC$788*1000000000+ISNUMBER('Dvd Calendar'!$AC$789)*100000000+0*10000000+(N('Dvd Calendar'!$AC$787)&gt;0)*(N('Dvd Calendar'!$AC$787)&lt;=VAL_SERIAL)*1000000+71*1000+65))</f>
        <v/>
      </c>
    </row>
    <row r="83">
      <c r="B83" s="2">
        <f>IF(HSI!$C$78="","",HSI!$C$78)</f>
        <v/>
      </c>
      <c r="C83" s="106">
        <f>IF(EE83="","",IF(ISNUMBER('Dvd Calendar'!$E$795)=FALSE,"",IF((('Dvd Calendar'!$E$797=TYPE1)*(TYPE1&lt;&gt;"")+('Dvd Calendar'!$E$797=TYPE2)*(TYPE2&lt;&gt;"")+('Dvd Calendar'!$E$797=TYPE3)*(TYPE3&lt;&gt;"")+('Dvd Calendar'!$E$797=TYPE4)*(TYPE4&lt;&gt;"")+('Dvd Calendar'!$E$797=SPECIAL_LBL)*(INC_SPECIALS="Y"))=0,"",'Dvd Calendar'!$E$795)))</f>
        <v/>
      </c>
      <c r="D83" s="106">
        <f>IF(EF83="","",IF(ISNUMBER('Dvd Calendar'!$F$795)=FALSE,"",IF((('Dvd Calendar'!$F$797=TYPE1)*(TYPE1&lt;&gt;"")+('Dvd Calendar'!$F$797=TYPE2)*(TYPE2&lt;&gt;"")+('Dvd Calendar'!$F$797=TYPE3)*(TYPE3&lt;&gt;"")+('Dvd Calendar'!$F$797=TYPE4)*(TYPE4&lt;&gt;"")+('Dvd Calendar'!$F$797=SPECIAL_LBL)*(INC_SPECIALS="Y"))=0,"",'Dvd Calendar'!$F$795)))</f>
        <v/>
      </c>
      <c r="E83" s="106">
        <f>IF(EG83="","",IF(ISNUMBER('Dvd Calendar'!$G$795)=FALSE,"",IF((('Dvd Calendar'!$G$797=TYPE1)*(TYPE1&lt;&gt;"")+('Dvd Calendar'!$G$797=TYPE2)*(TYPE2&lt;&gt;"")+('Dvd Calendar'!$G$797=TYPE3)*(TYPE3&lt;&gt;"")+('Dvd Calendar'!$G$797=TYPE4)*(TYPE4&lt;&gt;"")+('Dvd Calendar'!$G$797=SPECIAL_LBL)*(INC_SPECIALS="Y"))=0,"",'Dvd Calendar'!$G$795)))</f>
        <v/>
      </c>
      <c r="F83" s="106">
        <f>IF(EH83="","",IF(ISNUMBER('Dvd Calendar'!$H$795)=FALSE,"",IF((('Dvd Calendar'!$H$797=TYPE1)*(TYPE1&lt;&gt;"")+('Dvd Calendar'!$H$797=TYPE2)*(TYPE2&lt;&gt;"")+('Dvd Calendar'!$H$797=TYPE3)*(TYPE3&lt;&gt;"")+('Dvd Calendar'!$H$797=TYPE4)*(TYPE4&lt;&gt;"")+('Dvd Calendar'!$H$797=SPECIAL_LBL)*(INC_SPECIALS="Y"))=0,"",'Dvd Calendar'!$H$795)))</f>
        <v/>
      </c>
      <c r="G83" s="106">
        <f>IF(EI83="","",IF(ISNUMBER('Dvd Calendar'!$I$795)=FALSE,"",IF((('Dvd Calendar'!$I$797=TYPE1)*(TYPE1&lt;&gt;"")+('Dvd Calendar'!$I$797=TYPE2)*(TYPE2&lt;&gt;"")+('Dvd Calendar'!$I$797=TYPE3)*(TYPE3&lt;&gt;"")+('Dvd Calendar'!$I$797=TYPE4)*(TYPE4&lt;&gt;"")+('Dvd Calendar'!$I$797=SPECIAL_LBL)*(INC_SPECIALS="Y"))=0,"",'Dvd Calendar'!$I$795)))</f>
        <v/>
      </c>
      <c r="H83" s="106">
        <f>IF(EJ83="","",IF(ISNUMBER('Dvd Calendar'!$J$795)=FALSE,"",IF((('Dvd Calendar'!$J$797=TYPE1)*(TYPE1&lt;&gt;"")+('Dvd Calendar'!$J$797=TYPE2)*(TYPE2&lt;&gt;"")+('Dvd Calendar'!$J$797=TYPE3)*(TYPE3&lt;&gt;"")+('Dvd Calendar'!$J$797=TYPE4)*(TYPE4&lt;&gt;"")+('Dvd Calendar'!$J$797=SPECIAL_LBL)*(INC_SPECIALS="Y"))=0,"",'Dvd Calendar'!$J$795)))</f>
        <v/>
      </c>
      <c r="I83" s="106">
        <f>IF(EK83="","",IF(ISNUMBER('Dvd Calendar'!$K$795)=FALSE,"",IF((('Dvd Calendar'!$K$797=TYPE1)*(TYPE1&lt;&gt;"")+('Dvd Calendar'!$K$797=TYPE2)*(TYPE2&lt;&gt;"")+('Dvd Calendar'!$K$797=TYPE3)*(TYPE3&lt;&gt;"")+('Dvd Calendar'!$K$797=TYPE4)*(TYPE4&lt;&gt;"")+('Dvd Calendar'!$K$797=SPECIAL_LBL)*(INC_SPECIALS="Y"))=0,"",'Dvd Calendar'!$K$795)))</f>
        <v/>
      </c>
      <c r="J83" s="106">
        <f>IF(EL83="","",IF(ISNUMBER('Dvd Calendar'!$L$795)=FALSE,"",IF((('Dvd Calendar'!$L$797=TYPE1)*(TYPE1&lt;&gt;"")+('Dvd Calendar'!$L$797=TYPE2)*(TYPE2&lt;&gt;"")+('Dvd Calendar'!$L$797=TYPE3)*(TYPE3&lt;&gt;"")+('Dvd Calendar'!$L$797=TYPE4)*(TYPE4&lt;&gt;"")+('Dvd Calendar'!$L$797=SPECIAL_LBL)*(INC_SPECIALS="Y"))=0,"",'Dvd Calendar'!$L$795)))</f>
        <v/>
      </c>
      <c r="K83" s="106">
        <f>IF(EM83="","",IF(ISNUMBER('Dvd Calendar'!$M$795)=FALSE,"",IF((('Dvd Calendar'!$M$797=TYPE1)*(TYPE1&lt;&gt;"")+('Dvd Calendar'!$M$797=TYPE2)*(TYPE2&lt;&gt;"")+('Dvd Calendar'!$M$797=TYPE3)*(TYPE3&lt;&gt;"")+('Dvd Calendar'!$M$797=TYPE4)*(TYPE4&lt;&gt;"")+('Dvd Calendar'!$M$797=SPECIAL_LBL)*(INC_SPECIALS="Y"))=0,"",'Dvd Calendar'!$M$795)))</f>
        <v/>
      </c>
      <c r="L83" s="106">
        <f>IF(EN83="","",IF(ISNUMBER('Dvd Calendar'!$N$795)=FALSE,"",IF((('Dvd Calendar'!$N$797=TYPE1)*(TYPE1&lt;&gt;"")+('Dvd Calendar'!$N$797=TYPE2)*(TYPE2&lt;&gt;"")+('Dvd Calendar'!$N$797=TYPE3)*(TYPE3&lt;&gt;"")+('Dvd Calendar'!$N$797=TYPE4)*(TYPE4&lt;&gt;"")+('Dvd Calendar'!$N$797=SPECIAL_LBL)*(INC_SPECIALS="Y"))=0,"",'Dvd Calendar'!$N$795)))</f>
        <v/>
      </c>
      <c r="M83" s="106">
        <f>IF(EO83="","",IF(ISNUMBER('Dvd Calendar'!$O$795)=FALSE,"",IF((('Dvd Calendar'!$O$797=TYPE1)*(TYPE1&lt;&gt;"")+('Dvd Calendar'!$O$797=TYPE2)*(TYPE2&lt;&gt;"")+('Dvd Calendar'!$O$797=TYPE3)*(TYPE3&lt;&gt;"")+('Dvd Calendar'!$O$797=TYPE4)*(TYPE4&lt;&gt;"")+('Dvd Calendar'!$O$797=SPECIAL_LBL)*(INC_SPECIALS="Y"))=0,"",'Dvd Calendar'!$O$795)))</f>
        <v/>
      </c>
      <c r="N83" s="106">
        <f>IF(EP83="","",IF(ISNUMBER('Dvd Calendar'!$P$795)=FALSE,"",IF((('Dvd Calendar'!$P$797=TYPE1)*(TYPE1&lt;&gt;"")+('Dvd Calendar'!$P$797=TYPE2)*(TYPE2&lt;&gt;"")+('Dvd Calendar'!$P$797=TYPE3)*(TYPE3&lt;&gt;"")+('Dvd Calendar'!$P$797=TYPE4)*(TYPE4&lt;&gt;"")+('Dvd Calendar'!$P$797=SPECIAL_LBL)*(INC_SPECIALS="Y"))=0,"",'Dvd Calendar'!$P$795)))</f>
        <v/>
      </c>
      <c r="O83" s="106">
        <f>IF(EQ83="","",IF(ISNUMBER('Dvd Calendar'!$Q$795)=FALSE,"",IF((('Dvd Calendar'!$Q$797=TYPE1)*(TYPE1&lt;&gt;"")+('Dvd Calendar'!$Q$797=TYPE2)*(TYPE2&lt;&gt;"")+('Dvd Calendar'!$Q$797=TYPE3)*(TYPE3&lt;&gt;"")+('Dvd Calendar'!$Q$797=TYPE4)*(TYPE4&lt;&gt;"")+('Dvd Calendar'!$Q$797=SPECIAL_LBL)*(INC_SPECIALS="Y"))=0,"",'Dvd Calendar'!$Q$795)))</f>
        <v/>
      </c>
      <c r="P83" s="106">
        <f>IF(ER83="","",IF(ISNUMBER('Dvd Calendar'!$R$795)=FALSE,"",IF((('Dvd Calendar'!$R$797=TYPE1)*(TYPE1&lt;&gt;"")+('Dvd Calendar'!$R$797=TYPE2)*(TYPE2&lt;&gt;"")+('Dvd Calendar'!$R$797=TYPE3)*(TYPE3&lt;&gt;"")+('Dvd Calendar'!$R$797=TYPE4)*(TYPE4&lt;&gt;"")+('Dvd Calendar'!$R$797=SPECIAL_LBL)*(INC_SPECIALS="Y"))=0,"",'Dvd Calendar'!$R$795)))</f>
        <v/>
      </c>
      <c r="Q83" s="106">
        <f>IF(ES83="","",IF(ISNUMBER('Dvd Calendar'!$S$795)=FALSE,"",IF((('Dvd Calendar'!$S$797=TYPE1)*(TYPE1&lt;&gt;"")+('Dvd Calendar'!$S$797=TYPE2)*(TYPE2&lt;&gt;"")+('Dvd Calendar'!$S$797=TYPE3)*(TYPE3&lt;&gt;"")+('Dvd Calendar'!$S$797=TYPE4)*(TYPE4&lt;&gt;"")+('Dvd Calendar'!$S$797=SPECIAL_LBL)*(INC_SPECIALS="Y"))=0,"",'Dvd Calendar'!$S$795)))</f>
        <v/>
      </c>
      <c r="R83" s="106">
        <f>IF(ET83="","",IF(ISNUMBER('Dvd Calendar'!$T$795)=FALSE,"",IF((('Dvd Calendar'!$T$797=TYPE1)*(TYPE1&lt;&gt;"")+('Dvd Calendar'!$T$797=TYPE2)*(TYPE2&lt;&gt;"")+('Dvd Calendar'!$T$797=TYPE3)*(TYPE3&lt;&gt;"")+('Dvd Calendar'!$T$797=TYPE4)*(TYPE4&lt;&gt;"")+('Dvd Calendar'!$T$797=SPECIAL_LBL)*(INC_SPECIALS="Y"))=0,"",'Dvd Calendar'!$T$795)))</f>
        <v/>
      </c>
      <c r="S83" s="106">
        <f>IF(EU83="","",IF(ISNUMBER('Dvd Calendar'!$U$795)=FALSE,"",IF((('Dvd Calendar'!$U$797=TYPE1)*(TYPE1&lt;&gt;"")+('Dvd Calendar'!$U$797=TYPE2)*(TYPE2&lt;&gt;"")+('Dvd Calendar'!$U$797=TYPE3)*(TYPE3&lt;&gt;"")+('Dvd Calendar'!$U$797=TYPE4)*(TYPE4&lt;&gt;"")+('Dvd Calendar'!$U$797=SPECIAL_LBL)*(INC_SPECIALS="Y"))=0,"",'Dvd Calendar'!$U$795)))</f>
        <v/>
      </c>
      <c r="T83" s="106">
        <f>IF(EV83="","",IF(ISNUMBER('Dvd Calendar'!$V$795)=FALSE,"",IF((('Dvd Calendar'!$V$797=TYPE1)*(TYPE1&lt;&gt;"")+('Dvd Calendar'!$V$797=TYPE2)*(TYPE2&lt;&gt;"")+('Dvd Calendar'!$V$797=TYPE3)*(TYPE3&lt;&gt;"")+('Dvd Calendar'!$V$797=TYPE4)*(TYPE4&lt;&gt;"")+('Dvd Calendar'!$V$797=SPECIAL_LBL)*(INC_SPECIALS="Y"))=0,"",'Dvd Calendar'!$V$795)))</f>
        <v/>
      </c>
      <c r="U83" s="106">
        <f>IF(EW83="","",IF(ISNUMBER('Dvd Calendar'!$W$795)=FALSE,"",IF((('Dvd Calendar'!$W$797=TYPE1)*(TYPE1&lt;&gt;"")+('Dvd Calendar'!$W$797=TYPE2)*(TYPE2&lt;&gt;"")+('Dvd Calendar'!$W$797=TYPE3)*(TYPE3&lt;&gt;"")+('Dvd Calendar'!$W$797=TYPE4)*(TYPE4&lt;&gt;"")+('Dvd Calendar'!$W$797=SPECIAL_LBL)*(INC_SPECIALS="Y"))=0,"",'Dvd Calendar'!$W$795)))</f>
        <v/>
      </c>
      <c r="V83" s="106">
        <f>IF(EX83="","",IF(ISNUMBER('Dvd Calendar'!$X$795)=FALSE,"",IF((('Dvd Calendar'!$X$797=TYPE1)*(TYPE1&lt;&gt;"")+('Dvd Calendar'!$X$797=TYPE2)*(TYPE2&lt;&gt;"")+('Dvd Calendar'!$X$797=TYPE3)*(TYPE3&lt;&gt;"")+('Dvd Calendar'!$X$797=TYPE4)*(TYPE4&lt;&gt;"")+('Dvd Calendar'!$X$797=SPECIAL_LBL)*(INC_SPECIALS="Y"))=0,"",'Dvd Calendar'!$X$795)))</f>
        <v/>
      </c>
      <c r="W83" s="106">
        <f>IF(EY83="","",IF(ISNUMBER('Dvd Calendar'!$Y$795)=FALSE,"",IF((('Dvd Calendar'!$Y$797=TYPE1)*(TYPE1&lt;&gt;"")+('Dvd Calendar'!$Y$797=TYPE2)*(TYPE2&lt;&gt;"")+('Dvd Calendar'!$Y$797=TYPE3)*(TYPE3&lt;&gt;"")+('Dvd Calendar'!$Y$797=TYPE4)*(TYPE4&lt;&gt;"")+('Dvd Calendar'!$Y$797=SPECIAL_LBL)*(INC_SPECIALS="Y"))=0,"",'Dvd Calendar'!$Y$795)))</f>
        <v/>
      </c>
      <c r="X83" s="106">
        <f>IF(EZ83="","",IF(ISNUMBER('Dvd Calendar'!$Z$795)=FALSE,"",IF((('Dvd Calendar'!$Z$797=TYPE1)*(TYPE1&lt;&gt;"")+('Dvd Calendar'!$Z$797=TYPE2)*(TYPE2&lt;&gt;"")+('Dvd Calendar'!$Z$797=TYPE3)*(TYPE3&lt;&gt;"")+('Dvd Calendar'!$Z$797=TYPE4)*(TYPE4&lt;&gt;"")+('Dvd Calendar'!$Z$797=SPECIAL_LBL)*(INC_SPECIALS="Y"))=0,"",'Dvd Calendar'!$Z$795)))</f>
        <v/>
      </c>
      <c r="Y83" s="106">
        <f>IF(FA83="","",IF(ISNUMBER('Dvd Calendar'!$AA$795)=FALSE,"",IF((('Dvd Calendar'!$AA$797=TYPE1)*(TYPE1&lt;&gt;"")+('Dvd Calendar'!$AA$797=TYPE2)*(TYPE2&lt;&gt;"")+('Dvd Calendar'!$AA$797=TYPE3)*(TYPE3&lt;&gt;"")+('Dvd Calendar'!$AA$797=TYPE4)*(TYPE4&lt;&gt;"")+('Dvd Calendar'!$AA$797=SPECIAL_LBL)*(INC_SPECIALS="Y"))=0,"",'Dvd Calendar'!$AA$795)))</f>
        <v/>
      </c>
      <c r="Z83" s="106">
        <f>IF(FB83="","",IF(ISNUMBER('Dvd Calendar'!$AB$795)=FALSE,"",IF((('Dvd Calendar'!$AB$797=TYPE1)*(TYPE1&lt;&gt;"")+('Dvd Calendar'!$AB$797=TYPE2)*(TYPE2&lt;&gt;"")+('Dvd Calendar'!$AB$797=TYPE3)*(TYPE3&lt;&gt;"")+('Dvd Calendar'!$AB$797=TYPE4)*(TYPE4&lt;&gt;"")+('Dvd Calendar'!$AB$797=SPECIAL_LBL)*(INC_SPECIALS="Y"))=0,"",'Dvd Calendar'!$AB$795)))</f>
        <v/>
      </c>
      <c r="AA83" s="106">
        <f>IF(FC83="","",IF(ISNUMBER('Dvd Calendar'!$AC$795)=FALSE,"",IF((('Dvd Calendar'!$AC$797=TYPE1)*(TYPE1&lt;&gt;"")+('Dvd Calendar'!$AC$797=TYPE2)*(TYPE2&lt;&gt;"")+('Dvd Calendar'!$AC$797=TYPE3)*(TYPE3&lt;&gt;"")+('Dvd Calendar'!$AC$797=TYPE4)*(TYPE4&lt;&gt;"")+('Dvd Calendar'!$AC$797=SPECIAL_LBL)*(INC_SPECIALS="Y"))=0,"",'Dvd Calendar'!$AC$795)))</f>
        <v/>
      </c>
      <c r="AB83" s="106">
        <f>IF(FD83="","",IF(ISNUMBER('Dvd Calendar'!$AD$795)=FALSE,"",IF((('Dvd Calendar'!$AD$797=TYPE1)*(TYPE1&lt;&gt;"")+('Dvd Calendar'!$AD$797=TYPE2)*(TYPE2&lt;&gt;"")+('Dvd Calendar'!$AD$797=TYPE3)*(TYPE3&lt;&gt;"")+('Dvd Calendar'!$AD$797=TYPE4)*(TYPE4&lt;&gt;"")+('Dvd Calendar'!$AD$797=SPECIAL_LBL)*(INC_SPECIALS="Y"))=0,"",'Dvd Calendar'!$AD$795)))</f>
        <v/>
      </c>
      <c r="AC83" s="106">
        <f>IF(FE83="","",IF(ISNUMBER('Dvd Calendar'!$AE$795)=FALSE,"",IF((('Dvd Calendar'!$AE$797=TYPE1)*(TYPE1&lt;&gt;"")+('Dvd Calendar'!$AE$797=TYPE2)*(TYPE2&lt;&gt;"")+('Dvd Calendar'!$AE$797=TYPE3)*(TYPE3&lt;&gt;"")+('Dvd Calendar'!$AE$797=TYPE4)*(TYPE4&lt;&gt;"")+('Dvd Calendar'!$AE$797=SPECIAL_LBL)*(INC_SPECIALS="Y"))=0,"",'Dvd Calendar'!$AE$795)))</f>
        <v/>
      </c>
      <c r="AD83" s="106">
        <f>IF(FF83="","",IF(ISNUMBER('Dvd Calendar'!$AF$795)=FALSE,"",IF((('Dvd Calendar'!$AF$797=TYPE1)*(TYPE1&lt;&gt;"")+('Dvd Calendar'!$AF$797=TYPE2)*(TYPE2&lt;&gt;"")+('Dvd Calendar'!$AF$797=TYPE3)*(TYPE3&lt;&gt;"")+('Dvd Calendar'!$AF$797=TYPE4)*(TYPE4&lt;&gt;"")+('Dvd Calendar'!$AF$797=SPECIAL_LBL)*(INC_SPECIALS="Y"))=0,"",'Dvd Calendar'!$AF$795)))</f>
        <v/>
      </c>
      <c r="AE83" s="106">
        <f>IF(FG83="","",IF(ISNUMBER('Dvd Calendar'!$AG$795)=FALSE,"",IF((('Dvd Calendar'!$AG$797=TYPE1)*(TYPE1&lt;&gt;"")+('Dvd Calendar'!$AG$797=TYPE2)*(TYPE2&lt;&gt;"")+('Dvd Calendar'!$AG$797=TYPE3)*(TYPE3&lt;&gt;"")+('Dvd Calendar'!$AG$797=TYPE4)*(TYPE4&lt;&gt;"")+('Dvd Calendar'!$AG$797=SPECIAL_LBL)*(INC_SPECIALS="Y"))=0,"",'Dvd Calendar'!$AG$795)))</f>
        <v/>
      </c>
      <c r="AF83" s="106">
        <f>IF(FH83="","",IF(ISNUMBER('Dvd Calendar'!$AH$795)=FALSE,"",IF((('Dvd Calendar'!$AH$797=TYPE1)*(TYPE1&lt;&gt;"")+('Dvd Calendar'!$AH$797=TYPE2)*(TYPE2&lt;&gt;"")+('Dvd Calendar'!$AH$797=TYPE3)*(TYPE3&lt;&gt;"")+('Dvd Calendar'!$AH$797=TYPE4)*(TYPE4&lt;&gt;"")+('Dvd Calendar'!$AH$797=SPECIAL_LBL)*(INC_SPECIALS="Y"))=0,"",'Dvd Calendar'!$AH$795)))</f>
        <v/>
      </c>
      <c r="AG83" s="106">
        <f>IF(FI83="","",IF(ISNUMBER('Dvd Calendar'!$AI$795)=FALSE,"",IF((('Dvd Calendar'!$AI$797=TYPE1)*(TYPE1&lt;&gt;"")+('Dvd Calendar'!$AI$797=TYPE2)*(TYPE2&lt;&gt;"")+('Dvd Calendar'!$AI$797=TYPE3)*(TYPE3&lt;&gt;"")+('Dvd Calendar'!$AI$797=TYPE4)*(TYPE4&lt;&gt;"")+('Dvd Calendar'!$AI$797=SPECIAL_LBL)*(INC_SPECIALS="Y"))=0,"",'Dvd Calendar'!$AI$795)))</f>
        <v/>
      </c>
      <c r="AH83" s="106">
        <f>IF(FJ83="","",IF(ISNUMBER('Dvd Calendar'!$AJ$795)=FALSE,"",IF((('Dvd Calendar'!$AJ$797=TYPE1)*(TYPE1&lt;&gt;"")+('Dvd Calendar'!$AJ$797=TYPE2)*(TYPE2&lt;&gt;"")+('Dvd Calendar'!$AJ$797=TYPE3)*(TYPE3&lt;&gt;"")+('Dvd Calendar'!$AJ$797=TYPE4)*(TYPE4&lt;&gt;"")+('Dvd Calendar'!$AJ$797=SPECIAL_LBL)*(INC_SPECIALS="Y"))=0,"",'Dvd Calendar'!$AJ$795)))</f>
        <v/>
      </c>
      <c r="AI83" s="106">
        <f>IF(FK83="","",IF(ISNUMBER('Dvd Calendar'!$AK$795)=FALSE,"",IF((('Dvd Calendar'!$AK$797=TYPE1)*(TYPE1&lt;&gt;"")+('Dvd Calendar'!$AK$797=TYPE2)*(TYPE2&lt;&gt;"")+('Dvd Calendar'!$AK$797=TYPE3)*(TYPE3&lt;&gt;"")+('Dvd Calendar'!$AK$797=TYPE4)*(TYPE4&lt;&gt;"")+('Dvd Calendar'!$AK$797=SPECIAL_LBL)*(INC_SPECIALS="Y"))=0,"",'Dvd Calendar'!$AK$795)))</f>
        <v/>
      </c>
      <c r="AJ83" s="106">
        <f>IF(FL83="","",IF(ISNUMBER('Dvd Calendar'!$AL$795)=FALSE,"",IF((('Dvd Calendar'!$AL$797=TYPE1)*(TYPE1&lt;&gt;"")+('Dvd Calendar'!$AL$797=TYPE2)*(TYPE2&lt;&gt;"")+('Dvd Calendar'!$AL$797=TYPE3)*(TYPE3&lt;&gt;"")+('Dvd Calendar'!$AL$797=TYPE4)*(TYPE4&lt;&gt;"")+('Dvd Calendar'!$AL$797=SPECIAL_LBL)*(INC_SPECIALS="Y"))=0,"",'Dvd Calendar'!$AL$795)))</f>
        <v/>
      </c>
      <c r="AK83" s="106">
        <f>IF(FM83="","",IF(ISNUMBER('Dvd Calendar'!$AM$795)=FALSE,"",IF((('Dvd Calendar'!$AM$797=TYPE1)*(TYPE1&lt;&gt;"")+('Dvd Calendar'!$AM$797=TYPE2)*(TYPE2&lt;&gt;"")+('Dvd Calendar'!$AM$797=TYPE3)*(TYPE3&lt;&gt;"")+('Dvd Calendar'!$AM$797=TYPE4)*(TYPE4&lt;&gt;"")+('Dvd Calendar'!$AM$797=SPECIAL_LBL)*(INC_SPECIALS="Y"))=0,"",'Dvd Calendar'!$AM$795)))</f>
        <v/>
      </c>
      <c r="AL83" s="106">
        <f>IF(FN83="","",IF(ISNUMBER('Dvd Calendar'!$AN$795)=FALSE,"",IF((('Dvd Calendar'!$AN$797=TYPE1)*(TYPE1&lt;&gt;"")+('Dvd Calendar'!$AN$797=TYPE2)*(TYPE2&lt;&gt;"")+('Dvd Calendar'!$AN$797=TYPE3)*(TYPE3&lt;&gt;"")+('Dvd Calendar'!$AN$797=TYPE4)*(TYPE4&lt;&gt;"")+('Dvd Calendar'!$AN$797=SPECIAL_LBL)*(INC_SPECIALS="Y"))=0,"",'Dvd Calendar'!$AN$795)))</f>
        <v/>
      </c>
      <c r="AM83" s="106">
        <f>IF(FO83="","",IF(ISNUMBER('Dvd Calendar'!$AO$795)=FALSE,"",IF((('Dvd Calendar'!$AO$797=TYPE1)*(TYPE1&lt;&gt;"")+('Dvd Calendar'!$AO$797=TYPE2)*(TYPE2&lt;&gt;"")+('Dvd Calendar'!$AO$797=TYPE3)*(TYPE3&lt;&gt;"")+('Dvd Calendar'!$AO$797=TYPE4)*(TYPE4&lt;&gt;"")+('Dvd Calendar'!$AO$797=SPECIAL_LBL)*(INC_SPECIALS="Y"))=0,"",'Dvd Calendar'!$AO$795)))</f>
        <v/>
      </c>
      <c r="AN83" s="106">
        <f>IF(FP83="","",IF(ISNUMBER('Dvd Calendar'!$AP$795)=FALSE,"",IF((('Dvd Calendar'!$AP$797=TYPE1)*(TYPE1&lt;&gt;"")+('Dvd Calendar'!$AP$797=TYPE2)*(TYPE2&lt;&gt;"")+('Dvd Calendar'!$AP$797=TYPE3)*(TYPE3&lt;&gt;"")+('Dvd Calendar'!$AP$797=TYPE4)*(TYPE4&lt;&gt;"")+('Dvd Calendar'!$AP$797=SPECIAL_LBL)*(INC_SPECIALS="Y"))=0,"",'Dvd Calendar'!$AP$795)))</f>
        <v/>
      </c>
      <c r="AO83" s="106">
        <f>IF(FQ83="","",IF(ISNUMBER('Dvd Calendar'!$AQ$795)=FALSE,"",IF((('Dvd Calendar'!$AQ$797=TYPE1)*(TYPE1&lt;&gt;"")+('Dvd Calendar'!$AQ$797=TYPE2)*(TYPE2&lt;&gt;"")+('Dvd Calendar'!$AQ$797=TYPE3)*(TYPE3&lt;&gt;"")+('Dvd Calendar'!$AQ$797=TYPE4)*(TYPE4&lt;&gt;"")+('Dvd Calendar'!$AQ$797=SPECIAL_LBL)*(INC_SPECIALS="Y"))=0,"",'Dvd Calendar'!$AQ$795)))</f>
        <v/>
      </c>
      <c r="AP83" s="106">
        <f>IF(FR83="","",IF(ISNUMBER('Dvd Calendar'!$AR$795)=FALSE,"",IF((('Dvd Calendar'!$AR$797=TYPE1)*(TYPE1&lt;&gt;"")+('Dvd Calendar'!$AR$797=TYPE2)*(TYPE2&lt;&gt;"")+('Dvd Calendar'!$AR$797=TYPE3)*(TYPE3&lt;&gt;"")+('Dvd Calendar'!$AR$797=TYPE4)*(TYPE4&lt;&gt;"")+('Dvd Calendar'!$AR$797=SPECIAL_LBL)*(INC_SPECIALS="Y"))=0,"",'Dvd Calendar'!$AR$795)))</f>
        <v/>
      </c>
      <c r="AQ83" s="106">
        <f>IF(FS83="","",IF(ISNUMBER('Dvd Calendar'!$E$800)=FALSE,"",'Dvd Calendar'!$E$800))</f>
        <v/>
      </c>
      <c r="AR83" s="106">
        <f>IF(FT83="","",IF(ISNUMBER('Dvd Calendar'!$F$800)=FALSE,"",'Dvd Calendar'!$F$800))</f>
        <v/>
      </c>
      <c r="AS83" s="106">
        <f>IF(FU83="","",IF(ISNUMBER('Dvd Calendar'!$G$800)=FALSE,"",'Dvd Calendar'!$G$800))</f>
        <v/>
      </c>
      <c r="AT83" s="106">
        <f>IF(FV83="","",IF(ISNUMBER('Dvd Calendar'!$H$800)=FALSE,"",'Dvd Calendar'!$H$800))</f>
        <v/>
      </c>
      <c r="AU83" s="106">
        <f>IF(FW83="","",IF(ISNUMBER('Dvd Calendar'!$I$800)=FALSE,"",'Dvd Calendar'!$I$800))</f>
        <v/>
      </c>
      <c r="AV83" s="106">
        <f>IF(FX83="","",IF(ISNUMBER('Dvd Calendar'!$J$800)=FALSE,"",'Dvd Calendar'!$J$800))</f>
        <v/>
      </c>
      <c r="AW83" s="106">
        <f>IF(FY83="","",IF(ISNUMBER('Dvd Calendar'!$K$800)=FALSE,"",'Dvd Calendar'!$K$800))</f>
        <v/>
      </c>
      <c r="AX83" s="106">
        <f>IF(FZ83="","",IF(ISNUMBER('Dvd Calendar'!$L$800)=FALSE,"",'Dvd Calendar'!$L$800))</f>
        <v/>
      </c>
      <c r="AY83" s="106">
        <f>IF(GA83="","",IF(ISNUMBER('Dvd Calendar'!$M$800)=FALSE,"",'Dvd Calendar'!$M$800))</f>
        <v/>
      </c>
      <c r="AZ83" s="106">
        <f>IF(GB83="","",IF(ISNUMBER('Dvd Calendar'!$N$800)=FALSE,"",'Dvd Calendar'!$N$800))</f>
        <v/>
      </c>
      <c r="BA83" s="106">
        <f>IF(GC83="","",IF(ISNUMBER('Dvd Calendar'!$O$800)=FALSE,"",'Dvd Calendar'!$O$800))</f>
        <v/>
      </c>
      <c r="BB83" s="106">
        <f>IF(GD83="","",IF(ISNUMBER('Dvd Calendar'!$P$800)=FALSE,"",'Dvd Calendar'!$P$800))</f>
        <v/>
      </c>
      <c r="BC83" s="106">
        <f>IF(GE83="","",IF(ISNUMBER('Dvd Calendar'!$Q$800)=FALSE,"",'Dvd Calendar'!$Q$800))</f>
        <v/>
      </c>
      <c r="BD83" s="106">
        <f>IF(GF83="","",IF(ISNUMBER('Dvd Calendar'!$R$800)=FALSE,"",'Dvd Calendar'!$R$800))</f>
        <v/>
      </c>
      <c r="BE83" s="106">
        <f>IF(GG83="","",IF(ISNUMBER('Dvd Calendar'!$S$800)=FALSE,"",'Dvd Calendar'!$S$800))</f>
        <v/>
      </c>
      <c r="BF83" s="106">
        <f>IF(GH83="","",IF(ISNUMBER('Dvd Calendar'!$T$800)=FALSE,"",'Dvd Calendar'!$T$800))</f>
        <v/>
      </c>
      <c r="BG83" s="106">
        <f>IF(GI83="","",IF(ISNUMBER('Dvd Calendar'!$U$800)=FALSE,"",'Dvd Calendar'!$U$800))</f>
        <v/>
      </c>
      <c r="BH83" s="106">
        <f>IF(GJ83="","",IF(ISNUMBER('Dvd Calendar'!$V$800)=FALSE,"",'Dvd Calendar'!$V$800))</f>
        <v/>
      </c>
      <c r="BI83" s="106">
        <f>IF(GK83="","",IF(ISNUMBER('Dvd Calendar'!$W$800)=FALSE,"",'Dvd Calendar'!$W$800))</f>
        <v/>
      </c>
      <c r="BJ83" s="106">
        <f>IF(GL83="","",IF(ISNUMBER('Dvd Calendar'!$X$800)=FALSE,"",'Dvd Calendar'!$X$800))</f>
        <v/>
      </c>
      <c r="BK83" s="106">
        <f>IF(GM83="","",IF(ISNUMBER('Dvd Calendar'!$Y$800)=FALSE,"",'Dvd Calendar'!$Y$800))</f>
        <v/>
      </c>
      <c r="BL83" s="106">
        <f>IF(GN83="","",IF(ISNUMBER('Dvd Calendar'!$Z$800)=FALSE,"",'Dvd Calendar'!$Z$800))</f>
        <v/>
      </c>
      <c r="BM83" s="106">
        <f>IF(GO83="","",IF(ISNUMBER('Dvd Calendar'!$AA$800)=FALSE,"",'Dvd Calendar'!$AA$800))</f>
        <v/>
      </c>
      <c r="BN83" s="106">
        <f>IF(GP83="","",IF(ISNUMBER('Dvd Calendar'!$AB$800)=FALSE,"",'Dvd Calendar'!$AB$800))</f>
        <v/>
      </c>
      <c r="BO83" s="106">
        <f>IF(GQ83="","",IF(ISNUMBER('Dvd Calendar'!$AC$800)=FALSE,"",'Dvd Calendar'!$AC$800))</f>
        <v/>
      </c>
      <c r="BQ83" s="106">
        <f>IF(C83="","",IFERROR(C83*HSI!$B$78*HSI!$G$78/HSI!$B$3,""))</f>
        <v/>
      </c>
      <c r="BR83" s="106">
        <f>IF(D83="","",IFERROR(D83*HSI!$B$78*HSI!$G$78/HSI!$B$3,""))</f>
        <v/>
      </c>
      <c r="BS83" s="106">
        <f>IF(E83="","",IFERROR(E83*HSI!$B$78*HSI!$G$78/HSI!$B$3,""))</f>
        <v/>
      </c>
      <c r="BT83" s="106">
        <f>IF(F83="","",IFERROR(F83*HSI!$B$78*HSI!$G$78/HSI!$B$3,""))</f>
        <v/>
      </c>
      <c r="BU83" s="106">
        <f>IF(G83="","",IFERROR(G83*HSI!$B$78*HSI!$G$78/HSI!$B$3,""))</f>
        <v/>
      </c>
      <c r="BV83" s="106">
        <f>IF(H83="","",IFERROR(H83*HSI!$B$78*HSI!$G$78/HSI!$B$3,""))</f>
        <v/>
      </c>
      <c r="BW83" s="106">
        <f>IF(I83="","",IFERROR(I83*HSI!$B$78*HSI!$G$78/HSI!$B$3,""))</f>
        <v/>
      </c>
      <c r="BX83" s="106">
        <f>IF(J83="","",IFERROR(J83*HSI!$B$78*HSI!$G$78/HSI!$B$3,""))</f>
        <v/>
      </c>
      <c r="BY83" s="106">
        <f>IF(K83="","",IFERROR(K83*HSI!$B$78*HSI!$G$78/HSI!$B$3,""))</f>
        <v/>
      </c>
      <c r="BZ83" s="106">
        <f>IF(L83="","",IFERROR(L83*HSI!$B$78*HSI!$G$78/HSI!$B$3,""))</f>
        <v/>
      </c>
      <c r="CA83" s="106">
        <f>IF(M83="","",IFERROR(M83*HSI!$B$78*HSI!$G$78/HSI!$B$3,""))</f>
        <v/>
      </c>
      <c r="CB83" s="106">
        <f>IF(N83="","",IFERROR(N83*HSI!$B$78*HSI!$G$78/HSI!$B$3,""))</f>
        <v/>
      </c>
      <c r="CC83" s="106">
        <f>IF(O83="","",IFERROR(O83*HSI!$B$78*HSI!$G$78/HSI!$B$3,""))</f>
        <v/>
      </c>
      <c r="CD83" s="106">
        <f>IF(P83="","",IFERROR(P83*HSI!$B$78*HSI!$G$78/HSI!$B$3,""))</f>
        <v/>
      </c>
      <c r="CE83" s="106">
        <f>IF(Q83="","",IFERROR(Q83*HSI!$B$78*HSI!$G$78/HSI!$B$3,""))</f>
        <v/>
      </c>
      <c r="CF83" s="106">
        <f>IF(R83="","",IFERROR(R83*HSI!$B$78*HSI!$G$78/HSI!$B$3,""))</f>
        <v/>
      </c>
      <c r="CG83" s="106">
        <f>IF(S83="","",IFERROR(S83*HSI!$B$78*HSI!$G$78/HSI!$B$3,""))</f>
        <v/>
      </c>
      <c r="CH83" s="106">
        <f>IF(T83="","",IFERROR(T83*HSI!$B$78*HSI!$G$78/HSI!$B$3,""))</f>
        <v/>
      </c>
      <c r="CI83" s="106">
        <f>IF(U83="","",IFERROR(U83*HSI!$B$78*HSI!$G$78/HSI!$B$3,""))</f>
        <v/>
      </c>
      <c r="CJ83" s="106">
        <f>IF(V83="","",IFERROR(V83*HSI!$B$78*HSI!$G$78/HSI!$B$3,""))</f>
        <v/>
      </c>
      <c r="CK83" s="106">
        <f>IF(W83="","",IFERROR(W83*HSI!$B$78*HSI!$G$78/HSI!$B$3,""))</f>
        <v/>
      </c>
      <c r="CL83" s="106">
        <f>IF(X83="","",IFERROR(X83*HSI!$B$78*HSI!$G$78/HSI!$B$3,""))</f>
        <v/>
      </c>
      <c r="CM83" s="106">
        <f>IF(Y83="","",IFERROR(Y83*HSI!$B$78*HSI!$G$78/HSI!$B$3,""))</f>
        <v/>
      </c>
      <c r="CN83" s="106">
        <f>IF(Z83="","",IFERROR(Z83*HSI!$B$78*HSI!$G$78/HSI!$B$3,""))</f>
        <v/>
      </c>
      <c r="CO83" s="106">
        <f>IF(AA83="","",IFERROR(AA83*HSI!$B$78*HSI!$G$78/HSI!$B$3,""))</f>
        <v/>
      </c>
      <c r="CP83" s="106">
        <f>IF(AB83="","",IFERROR(AB83*HSI!$B$78*HSI!$G$78/HSI!$B$3,""))</f>
        <v/>
      </c>
      <c r="CQ83" s="106">
        <f>IF(AC83="","",IFERROR(AC83*HSI!$B$78*HSI!$G$78/HSI!$B$3,""))</f>
        <v/>
      </c>
      <c r="CR83" s="106">
        <f>IF(AD83="","",IFERROR(AD83*HSI!$B$78*HSI!$G$78/HSI!$B$3,""))</f>
        <v/>
      </c>
      <c r="CS83" s="106">
        <f>IF(AE83="","",IFERROR(AE83*HSI!$B$78*HSI!$G$78/HSI!$B$3,""))</f>
        <v/>
      </c>
      <c r="CT83" s="106">
        <f>IF(AF83="","",IFERROR(AF83*HSI!$B$78*HSI!$G$78/HSI!$B$3,""))</f>
        <v/>
      </c>
      <c r="CU83" s="106">
        <f>IF(AG83="","",IFERROR(AG83*HSI!$B$78*HSI!$G$78/HSI!$B$3,""))</f>
        <v/>
      </c>
      <c r="CV83" s="106">
        <f>IF(AH83="","",IFERROR(AH83*HSI!$B$78*HSI!$G$78/HSI!$B$3,""))</f>
        <v/>
      </c>
      <c r="CW83" s="106">
        <f>IF(AI83="","",IFERROR(AI83*HSI!$B$78*HSI!$G$78/HSI!$B$3,""))</f>
        <v/>
      </c>
      <c r="CX83" s="106">
        <f>IF(AJ83="","",IFERROR(AJ83*HSI!$B$78*HSI!$G$78/HSI!$B$3,""))</f>
        <v/>
      </c>
      <c r="CY83" s="106">
        <f>IF(AK83="","",IFERROR(AK83*HSI!$B$78*HSI!$G$78/HSI!$B$3,""))</f>
        <v/>
      </c>
      <c r="CZ83" s="106">
        <f>IF(AL83="","",IFERROR(AL83*HSI!$B$78*HSI!$G$78/HSI!$B$3,""))</f>
        <v/>
      </c>
      <c r="DA83" s="106">
        <f>IF(AM83="","",IFERROR(AM83*HSI!$B$78*HSI!$G$78/HSI!$B$3,""))</f>
        <v/>
      </c>
      <c r="DB83" s="106">
        <f>IF(AN83="","",IFERROR(AN83*HSI!$B$78*HSI!$G$78/HSI!$B$3,""))</f>
        <v/>
      </c>
      <c r="DC83" s="106">
        <f>IF(AO83="","",IFERROR(AO83*HSI!$B$78*HSI!$G$78/HSI!$B$3,""))</f>
        <v/>
      </c>
      <c r="DD83" s="106">
        <f>IF(AP83="","",IFERROR(AP83*HSI!$B$78*HSI!$G$78/HSI!$B$3,""))</f>
        <v/>
      </c>
      <c r="DE83" s="106">
        <f>IF(AQ83="","",IFERROR(AQ83*HSI!$B$78*HSI!$G$78/HSI!$B$3,""))</f>
        <v/>
      </c>
      <c r="DF83" s="106">
        <f>IF(AR83="","",IFERROR(AR83*HSI!$B$78*HSI!$G$78/HSI!$B$3,""))</f>
        <v/>
      </c>
      <c r="DG83" s="106">
        <f>IF(AS83="","",IFERROR(AS83*HSI!$B$78*HSI!$G$78/HSI!$B$3,""))</f>
        <v/>
      </c>
      <c r="DH83" s="106">
        <f>IF(AT83="","",IFERROR(AT83*HSI!$B$78*HSI!$G$78/HSI!$B$3,""))</f>
        <v/>
      </c>
      <c r="DI83" s="106">
        <f>IF(AU83="","",IFERROR(AU83*HSI!$B$78*HSI!$G$78/HSI!$B$3,""))</f>
        <v/>
      </c>
      <c r="DJ83" s="106">
        <f>IF(AV83="","",IFERROR(AV83*HSI!$B$78*HSI!$G$78/HSI!$B$3,""))</f>
        <v/>
      </c>
      <c r="DK83" s="106">
        <f>IF(AW83="","",IFERROR(AW83*HSI!$B$78*HSI!$G$78/HSI!$B$3,""))</f>
        <v/>
      </c>
      <c r="DL83" s="106">
        <f>IF(AX83="","",IFERROR(AX83*HSI!$B$78*HSI!$G$78/HSI!$B$3,""))</f>
        <v/>
      </c>
      <c r="DM83" s="106">
        <f>IF(AY83="","",IFERROR(AY83*HSI!$B$78*HSI!$G$78/HSI!$B$3,""))</f>
        <v/>
      </c>
      <c r="DN83" s="106">
        <f>IF(AZ83="","",IFERROR(AZ83*HSI!$B$78*HSI!$G$78/HSI!$B$3,""))</f>
        <v/>
      </c>
      <c r="DO83" s="106">
        <f>IF(BA83="","",IFERROR(BA83*HSI!$B$78*HSI!$G$78/HSI!$B$3,""))</f>
        <v/>
      </c>
      <c r="DP83" s="106">
        <f>IF(BB83="","",IFERROR(BB83*HSI!$B$78*HSI!$G$78/HSI!$B$3,""))</f>
        <v/>
      </c>
      <c r="DQ83" s="106">
        <f>IF(BC83="","",IFERROR(BC83*HSI!$B$78*HSI!$G$78/HSI!$B$3,""))</f>
        <v/>
      </c>
      <c r="DR83" s="106">
        <f>IF(BD83="","",IFERROR(BD83*HSI!$B$78*HSI!$G$78/HSI!$B$3,""))</f>
        <v/>
      </c>
      <c r="DS83" s="106">
        <f>IF(BE83="","",IFERROR(BE83*HSI!$B$78*HSI!$G$78/HSI!$B$3,""))</f>
        <v/>
      </c>
      <c r="DT83" s="106">
        <f>IF(BF83="","",IFERROR(BF83*HSI!$B$78*HSI!$G$78/HSI!$B$3,""))</f>
        <v/>
      </c>
      <c r="DU83" s="106">
        <f>IF(BG83="","",IFERROR(BG83*HSI!$B$78*HSI!$G$78/HSI!$B$3,""))</f>
        <v/>
      </c>
      <c r="DV83" s="106">
        <f>IF(BH83="","",IFERROR(BH83*HSI!$B$78*HSI!$G$78/HSI!$B$3,""))</f>
        <v/>
      </c>
      <c r="DW83" s="106">
        <f>IF(BI83="","",IFERROR(BI83*HSI!$B$78*HSI!$G$78/HSI!$B$3,""))</f>
        <v/>
      </c>
      <c r="DX83" s="106">
        <f>IF(BJ83="","",IFERROR(BJ83*HSI!$B$78*HSI!$G$78/HSI!$B$3,""))</f>
        <v/>
      </c>
      <c r="DY83" s="106">
        <f>IF(BK83="","",IFERROR(BK83*HSI!$B$78*HSI!$G$78/HSI!$B$3,""))</f>
        <v/>
      </c>
      <c r="DZ83" s="106">
        <f>IF(BL83="","",IFERROR(BL83*HSI!$B$78*HSI!$G$78/HSI!$B$3,""))</f>
        <v/>
      </c>
      <c r="EA83" s="106">
        <f>IF(BM83="","",IFERROR(BM83*HSI!$B$78*HSI!$G$78/HSI!$B$3,""))</f>
        <v/>
      </c>
      <c r="EB83" s="106">
        <f>IF(BN83="","",IFERROR(BN83*HSI!$B$78*HSI!$G$78/HSI!$B$3,""))</f>
        <v/>
      </c>
      <c r="EC83" s="106">
        <f>IF(BO83="","",IFERROR(BO83*HSI!$B$78*HSI!$G$78/HSI!$B$3,""))</f>
        <v/>
      </c>
      <c r="EE83" s="35">
        <f>IF(N('Dvd Calendar'!$E$792)=0,"",IF(('Dvd Calendar'!$E$792&gt;=GRID_FROM)*('Dvd Calendar'!$E$792&lt;=GRID_TO)*('Dvd Calendar'!$E$792&lt;=VAL_DATE)=0,"",'Dvd Calendar'!$E$792*1000000000+ISNUMBER('Dvd Calendar'!$E$795)*100000000+('Dvd Calendar'!$E$797=SPECIAL_LBL)*10000000+0*1000000+72*1000+1))</f>
        <v/>
      </c>
      <c r="EF83" s="35">
        <f>IF(N('Dvd Calendar'!$F$792)=0,"",IF(('Dvd Calendar'!$F$792&gt;=GRID_FROM)*('Dvd Calendar'!$F$792&lt;=GRID_TO)*('Dvd Calendar'!$F$792&lt;=VAL_DATE)=0,"",'Dvd Calendar'!$F$792*1000000000+ISNUMBER('Dvd Calendar'!$F$795)*100000000+('Dvd Calendar'!$F$797=SPECIAL_LBL)*10000000+0*1000000+72*1000+2))</f>
        <v/>
      </c>
      <c r="EG83" s="35">
        <f>IF(N('Dvd Calendar'!$G$792)=0,"",IF(('Dvd Calendar'!$G$792&gt;=GRID_FROM)*('Dvd Calendar'!$G$792&lt;=GRID_TO)*('Dvd Calendar'!$G$792&lt;=VAL_DATE)=0,"",'Dvd Calendar'!$G$792*1000000000+ISNUMBER('Dvd Calendar'!$G$795)*100000000+('Dvd Calendar'!$G$797=SPECIAL_LBL)*10000000+0*1000000+72*1000+3))</f>
        <v/>
      </c>
      <c r="EH83" s="35">
        <f>IF(N('Dvd Calendar'!$H$792)=0,"",IF(('Dvd Calendar'!$H$792&gt;=GRID_FROM)*('Dvd Calendar'!$H$792&lt;=GRID_TO)*('Dvd Calendar'!$H$792&lt;=VAL_DATE)=0,"",'Dvd Calendar'!$H$792*1000000000+ISNUMBER('Dvd Calendar'!$H$795)*100000000+('Dvd Calendar'!$H$797=SPECIAL_LBL)*10000000+0*1000000+72*1000+4))</f>
        <v/>
      </c>
      <c r="EI83" s="35">
        <f>IF(N('Dvd Calendar'!$I$792)=0,"",IF(('Dvd Calendar'!$I$792&gt;=GRID_FROM)*('Dvd Calendar'!$I$792&lt;=GRID_TO)*('Dvd Calendar'!$I$792&lt;=VAL_DATE)=0,"",'Dvd Calendar'!$I$792*1000000000+ISNUMBER('Dvd Calendar'!$I$795)*100000000+('Dvd Calendar'!$I$797=SPECIAL_LBL)*10000000+0*1000000+72*1000+5))</f>
        <v/>
      </c>
      <c r="EJ83" s="35">
        <f>IF(N('Dvd Calendar'!$J$792)=0,"",IF(('Dvd Calendar'!$J$792&gt;=GRID_FROM)*('Dvd Calendar'!$J$792&lt;=GRID_TO)*('Dvd Calendar'!$J$792&lt;=VAL_DATE)=0,"",'Dvd Calendar'!$J$792*1000000000+ISNUMBER('Dvd Calendar'!$J$795)*100000000+('Dvd Calendar'!$J$797=SPECIAL_LBL)*10000000+0*1000000+72*1000+6))</f>
        <v/>
      </c>
      <c r="EK83" s="35">
        <f>IF(N('Dvd Calendar'!$K$792)=0,"",IF(('Dvd Calendar'!$K$792&gt;=GRID_FROM)*('Dvd Calendar'!$K$792&lt;=GRID_TO)*('Dvd Calendar'!$K$792&lt;=VAL_DATE)=0,"",'Dvd Calendar'!$K$792*1000000000+ISNUMBER('Dvd Calendar'!$K$795)*100000000+('Dvd Calendar'!$K$797=SPECIAL_LBL)*10000000+0*1000000+72*1000+7))</f>
        <v/>
      </c>
      <c r="EL83" s="35">
        <f>IF(N('Dvd Calendar'!$L$792)=0,"",IF(('Dvd Calendar'!$L$792&gt;=GRID_FROM)*('Dvd Calendar'!$L$792&lt;=GRID_TO)*('Dvd Calendar'!$L$792&lt;=VAL_DATE)=0,"",'Dvd Calendar'!$L$792*1000000000+ISNUMBER('Dvd Calendar'!$L$795)*100000000+('Dvd Calendar'!$L$797=SPECIAL_LBL)*10000000+0*1000000+72*1000+8))</f>
        <v/>
      </c>
      <c r="EM83" s="35">
        <f>IF(N('Dvd Calendar'!$M$792)=0,"",IF(('Dvd Calendar'!$M$792&gt;=GRID_FROM)*('Dvd Calendar'!$M$792&lt;=GRID_TO)*('Dvd Calendar'!$M$792&lt;=VAL_DATE)=0,"",'Dvd Calendar'!$M$792*1000000000+ISNUMBER('Dvd Calendar'!$M$795)*100000000+('Dvd Calendar'!$M$797=SPECIAL_LBL)*10000000+0*1000000+72*1000+9))</f>
        <v/>
      </c>
      <c r="EN83" s="35">
        <f>IF(N('Dvd Calendar'!$N$792)=0,"",IF(('Dvd Calendar'!$N$792&gt;=GRID_FROM)*('Dvd Calendar'!$N$792&lt;=GRID_TO)*('Dvd Calendar'!$N$792&lt;=VAL_DATE)=0,"",'Dvd Calendar'!$N$792*1000000000+ISNUMBER('Dvd Calendar'!$N$795)*100000000+('Dvd Calendar'!$N$797=SPECIAL_LBL)*10000000+0*1000000+72*1000+10))</f>
        <v/>
      </c>
      <c r="EO83" s="35">
        <f>IF(N('Dvd Calendar'!$O$792)=0,"",IF(('Dvd Calendar'!$O$792&gt;=GRID_FROM)*('Dvd Calendar'!$O$792&lt;=GRID_TO)*('Dvd Calendar'!$O$792&lt;=VAL_DATE)=0,"",'Dvd Calendar'!$O$792*1000000000+ISNUMBER('Dvd Calendar'!$O$795)*100000000+('Dvd Calendar'!$O$797=SPECIAL_LBL)*10000000+0*1000000+72*1000+11))</f>
        <v/>
      </c>
      <c r="EP83" s="35">
        <f>IF(N('Dvd Calendar'!$P$792)=0,"",IF(('Dvd Calendar'!$P$792&gt;=GRID_FROM)*('Dvd Calendar'!$P$792&lt;=GRID_TO)*('Dvd Calendar'!$P$792&lt;=VAL_DATE)=0,"",'Dvd Calendar'!$P$792*1000000000+ISNUMBER('Dvd Calendar'!$P$795)*100000000+('Dvd Calendar'!$P$797=SPECIAL_LBL)*10000000+0*1000000+72*1000+12))</f>
        <v/>
      </c>
      <c r="EQ83" s="35">
        <f>IF(N('Dvd Calendar'!$Q$792)=0,"",IF(('Dvd Calendar'!$Q$792&gt;=GRID_FROM)*('Dvd Calendar'!$Q$792&lt;=GRID_TO)*('Dvd Calendar'!$Q$792&lt;=VAL_DATE)=0,"",'Dvd Calendar'!$Q$792*1000000000+ISNUMBER('Dvd Calendar'!$Q$795)*100000000+('Dvd Calendar'!$Q$797=SPECIAL_LBL)*10000000+0*1000000+72*1000+13))</f>
        <v/>
      </c>
      <c r="ER83" s="35">
        <f>IF(N('Dvd Calendar'!$R$792)=0,"",IF(('Dvd Calendar'!$R$792&gt;=GRID_FROM)*('Dvd Calendar'!$R$792&lt;=GRID_TO)*('Dvd Calendar'!$R$792&lt;=VAL_DATE)=0,"",'Dvd Calendar'!$R$792*1000000000+ISNUMBER('Dvd Calendar'!$R$795)*100000000+('Dvd Calendar'!$R$797=SPECIAL_LBL)*10000000+0*1000000+72*1000+14))</f>
        <v/>
      </c>
      <c r="ES83" s="35">
        <f>IF(N('Dvd Calendar'!$S$792)=0,"",IF(('Dvd Calendar'!$S$792&gt;=GRID_FROM)*('Dvd Calendar'!$S$792&lt;=GRID_TO)*('Dvd Calendar'!$S$792&lt;=VAL_DATE)=0,"",'Dvd Calendar'!$S$792*1000000000+ISNUMBER('Dvd Calendar'!$S$795)*100000000+('Dvd Calendar'!$S$797=SPECIAL_LBL)*10000000+0*1000000+72*1000+15))</f>
        <v/>
      </c>
      <c r="ET83" s="35">
        <f>IF(N('Dvd Calendar'!$T$792)=0,"",IF(('Dvd Calendar'!$T$792&gt;=GRID_FROM)*('Dvd Calendar'!$T$792&lt;=GRID_TO)*('Dvd Calendar'!$T$792&lt;=VAL_DATE)=0,"",'Dvd Calendar'!$T$792*1000000000+ISNUMBER('Dvd Calendar'!$T$795)*100000000+('Dvd Calendar'!$T$797=SPECIAL_LBL)*10000000+0*1000000+72*1000+16))</f>
        <v/>
      </c>
      <c r="EU83" s="35">
        <f>IF(N('Dvd Calendar'!$U$792)=0,"",IF(('Dvd Calendar'!$U$792&gt;=GRID_FROM)*('Dvd Calendar'!$U$792&lt;=GRID_TO)*('Dvd Calendar'!$U$792&lt;=VAL_DATE)=0,"",'Dvd Calendar'!$U$792*1000000000+ISNUMBER('Dvd Calendar'!$U$795)*100000000+('Dvd Calendar'!$U$797=SPECIAL_LBL)*10000000+0*1000000+72*1000+17))</f>
        <v/>
      </c>
      <c r="EV83" s="35">
        <f>IF(N('Dvd Calendar'!$V$792)=0,"",IF(('Dvd Calendar'!$V$792&gt;=GRID_FROM)*('Dvd Calendar'!$V$792&lt;=GRID_TO)*('Dvd Calendar'!$V$792&lt;=VAL_DATE)=0,"",'Dvd Calendar'!$V$792*1000000000+ISNUMBER('Dvd Calendar'!$V$795)*100000000+('Dvd Calendar'!$V$797=SPECIAL_LBL)*10000000+0*1000000+72*1000+18))</f>
        <v/>
      </c>
      <c r="EW83" s="35">
        <f>IF(N('Dvd Calendar'!$W$792)=0,"",IF(('Dvd Calendar'!$W$792&gt;=GRID_FROM)*('Dvd Calendar'!$W$792&lt;=GRID_TO)*('Dvd Calendar'!$W$792&lt;=VAL_DATE)=0,"",'Dvd Calendar'!$W$792*1000000000+ISNUMBER('Dvd Calendar'!$W$795)*100000000+('Dvd Calendar'!$W$797=SPECIAL_LBL)*10000000+0*1000000+72*1000+19))</f>
        <v/>
      </c>
      <c r="EX83" s="35">
        <f>IF(N('Dvd Calendar'!$X$792)=0,"",IF(('Dvd Calendar'!$X$792&gt;=GRID_FROM)*('Dvd Calendar'!$X$792&lt;=GRID_TO)*('Dvd Calendar'!$X$792&lt;=VAL_DATE)=0,"",'Dvd Calendar'!$X$792*1000000000+ISNUMBER('Dvd Calendar'!$X$795)*100000000+('Dvd Calendar'!$X$797=SPECIAL_LBL)*10000000+0*1000000+72*1000+20))</f>
        <v/>
      </c>
      <c r="EY83" s="35">
        <f>IF(N('Dvd Calendar'!$Y$792)=0,"",IF(('Dvd Calendar'!$Y$792&gt;=GRID_FROM)*('Dvd Calendar'!$Y$792&lt;=GRID_TO)*('Dvd Calendar'!$Y$792&lt;=VAL_DATE)=0,"",'Dvd Calendar'!$Y$792*1000000000+ISNUMBER('Dvd Calendar'!$Y$795)*100000000+('Dvd Calendar'!$Y$797=SPECIAL_LBL)*10000000+0*1000000+72*1000+21))</f>
        <v/>
      </c>
      <c r="EZ83" s="35">
        <f>IF(N('Dvd Calendar'!$Z$792)=0,"",IF(('Dvd Calendar'!$Z$792&gt;=GRID_FROM)*('Dvd Calendar'!$Z$792&lt;=GRID_TO)*('Dvd Calendar'!$Z$792&lt;=VAL_DATE)=0,"",'Dvd Calendar'!$Z$792*1000000000+ISNUMBER('Dvd Calendar'!$Z$795)*100000000+('Dvd Calendar'!$Z$797=SPECIAL_LBL)*10000000+0*1000000+72*1000+22))</f>
        <v/>
      </c>
      <c r="FA83" s="35">
        <f>IF(N('Dvd Calendar'!$AA$792)=0,"",IF(('Dvd Calendar'!$AA$792&gt;=GRID_FROM)*('Dvd Calendar'!$AA$792&lt;=GRID_TO)*('Dvd Calendar'!$AA$792&lt;=VAL_DATE)=0,"",'Dvd Calendar'!$AA$792*1000000000+ISNUMBER('Dvd Calendar'!$AA$795)*100000000+('Dvd Calendar'!$AA$797=SPECIAL_LBL)*10000000+0*1000000+72*1000+23))</f>
        <v/>
      </c>
      <c r="FB83" s="35">
        <f>IF(N('Dvd Calendar'!$AB$792)=0,"",IF(('Dvd Calendar'!$AB$792&gt;=GRID_FROM)*('Dvd Calendar'!$AB$792&lt;=GRID_TO)*('Dvd Calendar'!$AB$792&lt;=VAL_DATE)=0,"",'Dvd Calendar'!$AB$792*1000000000+ISNUMBER('Dvd Calendar'!$AB$795)*100000000+('Dvd Calendar'!$AB$797=SPECIAL_LBL)*10000000+0*1000000+72*1000+24))</f>
        <v/>
      </c>
      <c r="FC83" s="35">
        <f>IF(N('Dvd Calendar'!$AC$792)=0,"",IF(('Dvd Calendar'!$AC$792&gt;=GRID_FROM)*('Dvd Calendar'!$AC$792&lt;=GRID_TO)*('Dvd Calendar'!$AC$792&lt;=VAL_DATE)=0,"",'Dvd Calendar'!$AC$792*1000000000+ISNUMBER('Dvd Calendar'!$AC$795)*100000000+('Dvd Calendar'!$AC$797=SPECIAL_LBL)*10000000+0*1000000+72*1000+25))</f>
        <v/>
      </c>
      <c r="FD83" s="35">
        <f>IF(N('Dvd Calendar'!$AD$792)=0,"",IF(('Dvd Calendar'!$AD$792&gt;=GRID_FROM)*('Dvd Calendar'!$AD$792&lt;=GRID_TO)*('Dvd Calendar'!$AD$792&lt;=VAL_DATE)=0,"",'Dvd Calendar'!$AD$792*1000000000+ISNUMBER('Dvd Calendar'!$AD$795)*100000000+('Dvd Calendar'!$AD$797=SPECIAL_LBL)*10000000+0*1000000+72*1000+26))</f>
        <v/>
      </c>
      <c r="FE83" s="35">
        <f>IF(N('Dvd Calendar'!$AE$792)=0,"",IF(('Dvd Calendar'!$AE$792&gt;=GRID_FROM)*('Dvd Calendar'!$AE$792&lt;=GRID_TO)*('Dvd Calendar'!$AE$792&lt;=VAL_DATE)=0,"",'Dvd Calendar'!$AE$792*1000000000+ISNUMBER('Dvd Calendar'!$AE$795)*100000000+('Dvd Calendar'!$AE$797=SPECIAL_LBL)*10000000+0*1000000+72*1000+27))</f>
        <v/>
      </c>
      <c r="FF83" s="35">
        <f>IF(N('Dvd Calendar'!$AF$792)=0,"",IF(('Dvd Calendar'!$AF$792&gt;=GRID_FROM)*('Dvd Calendar'!$AF$792&lt;=GRID_TO)*('Dvd Calendar'!$AF$792&lt;=VAL_DATE)=0,"",'Dvd Calendar'!$AF$792*1000000000+ISNUMBER('Dvd Calendar'!$AF$795)*100000000+('Dvd Calendar'!$AF$797=SPECIAL_LBL)*10000000+0*1000000+72*1000+28))</f>
        <v/>
      </c>
      <c r="FG83" s="35">
        <f>IF(N('Dvd Calendar'!$AG$792)=0,"",IF(('Dvd Calendar'!$AG$792&gt;=GRID_FROM)*('Dvd Calendar'!$AG$792&lt;=GRID_TO)*('Dvd Calendar'!$AG$792&lt;=VAL_DATE)=0,"",'Dvd Calendar'!$AG$792*1000000000+ISNUMBER('Dvd Calendar'!$AG$795)*100000000+('Dvd Calendar'!$AG$797=SPECIAL_LBL)*10000000+0*1000000+72*1000+29))</f>
        <v/>
      </c>
      <c r="FH83" s="35">
        <f>IF(N('Dvd Calendar'!$AH$792)=0,"",IF(('Dvd Calendar'!$AH$792&gt;=GRID_FROM)*('Dvd Calendar'!$AH$792&lt;=GRID_TO)*('Dvd Calendar'!$AH$792&lt;=VAL_DATE)=0,"",'Dvd Calendar'!$AH$792*1000000000+ISNUMBER('Dvd Calendar'!$AH$795)*100000000+('Dvd Calendar'!$AH$797=SPECIAL_LBL)*10000000+0*1000000+72*1000+30))</f>
        <v/>
      </c>
      <c r="FI83" s="35">
        <f>IF(N('Dvd Calendar'!$AI$792)=0,"",IF(('Dvd Calendar'!$AI$792&gt;=GRID_FROM)*('Dvd Calendar'!$AI$792&lt;=GRID_TO)*('Dvd Calendar'!$AI$792&lt;=VAL_DATE)=0,"",'Dvd Calendar'!$AI$792*1000000000+ISNUMBER('Dvd Calendar'!$AI$795)*100000000+('Dvd Calendar'!$AI$797=SPECIAL_LBL)*10000000+0*1000000+72*1000+31))</f>
        <v/>
      </c>
      <c r="FJ83" s="35">
        <f>IF(N('Dvd Calendar'!$AJ$792)=0,"",IF(('Dvd Calendar'!$AJ$792&gt;=GRID_FROM)*('Dvd Calendar'!$AJ$792&lt;=GRID_TO)*('Dvd Calendar'!$AJ$792&lt;=VAL_DATE)=0,"",'Dvd Calendar'!$AJ$792*1000000000+ISNUMBER('Dvd Calendar'!$AJ$795)*100000000+('Dvd Calendar'!$AJ$797=SPECIAL_LBL)*10000000+0*1000000+72*1000+32))</f>
        <v/>
      </c>
      <c r="FK83" s="35">
        <f>IF(N('Dvd Calendar'!$AK$792)=0,"",IF(('Dvd Calendar'!$AK$792&gt;=GRID_FROM)*('Dvd Calendar'!$AK$792&lt;=GRID_TO)*('Dvd Calendar'!$AK$792&lt;=VAL_DATE)=0,"",'Dvd Calendar'!$AK$792*1000000000+ISNUMBER('Dvd Calendar'!$AK$795)*100000000+('Dvd Calendar'!$AK$797=SPECIAL_LBL)*10000000+0*1000000+72*1000+33))</f>
        <v/>
      </c>
      <c r="FL83" s="35">
        <f>IF(N('Dvd Calendar'!$AL$792)=0,"",IF(('Dvd Calendar'!$AL$792&gt;=GRID_FROM)*('Dvd Calendar'!$AL$792&lt;=GRID_TO)*('Dvd Calendar'!$AL$792&lt;=VAL_DATE)=0,"",'Dvd Calendar'!$AL$792*1000000000+ISNUMBER('Dvd Calendar'!$AL$795)*100000000+('Dvd Calendar'!$AL$797=SPECIAL_LBL)*10000000+0*1000000+72*1000+34))</f>
        <v/>
      </c>
      <c r="FM83" s="35">
        <f>IF(N('Dvd Calendar'!$AM$792)=0,"",IF(('Dvd Calendar'!$AM$792&gt;=GRID_FROM)*('Dvd Calendar'!$AM$792&lt;=GRID_TO)*('Dvd Calendar'!$AM$792&lt;=VAL_DATE)=0,"",'Dvd Calendar'!$AM$792*1000000000+ISNUMBER('Dvd Calendar'!$AM$795)*100000000+('Dvd Calendar'!$AM$797=SPECIAL_LBL)*10000000+0*1000000+72*1000+35))</f>
        <v/>
      </c>
      <c r="FN83" s="35">
        <f>IF(N('Dvd Calendar'!$AN$792)=0,"",IF(('Dvd Calendar'!$AN$792&gt;=GRID_FROM)*('Dvd Calendar'!$AN$792&lt;=GRID_TO)*('Dvd Calendar'!$AN$792&lt;=VAL_DATE)=0,"",'Dvd Calendar'!$AN$792*1000000000+ISNUMBER('Dvd Calendar'!$AN$795)*100000000+('Dvd Calendar'!$AN$797=SPECIAL_LBL)*10000000+0*1000000+72*1000+36))</f>
        <v/>
      </c>
      <c r="FO83" s="35">
        <f>IF(N('Dvd Calendar'!$AO$792)=0,"",IF(('Dvd Calendar'!$AO$792&gt;=GRID_FROM)*('Dvd Calendar'!$AO$792&lt;=GRID_TO)*('Dvd Calendar'!$AO$792&lt;=VAL_DATE)=0,"",'Dvd Calendar'!$AO$792*1000000000+ISNUMBER('Dvd Calendar'!$AO$795)*100000000+('Dvd Calendar'!$AO$797=SPECIAL_LBL)*10000000+0*1000000+72*1000+37))</f>
        <v/>
      </c>
      <c r="FP83" s="35">
        <f>IF(N('Dvd Calendar'!$AP$792)=0,"",IF(('Dvd Calendar'!$AP$792&gt;=GRID_FROM)*('Dvd Calendar'!$AP$792&lt;=GRID_TO)*('Dvd Calendar'!$AP$792&lt;=VAL_DATE)=0,"",'Dvd Calendar'!$AP$792*1000000000+ISNUMBER('Dvd Calendar'!$AP$795)*100000000+('Dvd Calendar'!$AP$797=SPECIAL_LBL)*10000000+0*1000000+72*1000+38))</f>
        <v/>
      </c>
      <c r="FQ83" s="35">
        <f>IF(N('Dvd Calendar'!$AQ$792)=0,"",IF(('Dvd Calendar'!$AQ$792&gt;=GRID_FROM)*('Dvd Calendar'!$AQ$792&lt;=GRID_TO)*('Dvd Calendar'!$AQ$792&lt;=VAL_DATE)=0,"",'Dvd Calendar'!$AQ$792*1000000000+ISNUMBER('Dvd Calendar'!$AQ$795)*100000000+('Dvd Calendar'!$AQ$797=SPECIAL_LBL)*10000000+0*1000000+72*1000+39))</f>
        <v/>
      </c>
      <c r="FR83" s="35">
        <f>IF(N('Dvd Calendar'!$AR$792)=0,"",IF(('Dvd Calendar'!$AR$792&gt;=GRID_FROM)*('Dvd Calendar'!$AR$792&lt;=GRID_TO)*('Dvd Calendar'!$AR$792&lt;=VAL_DATE)=0,"",'Dvd Calendar'!$AR$792*1000000000+ISNUMBER('Dvd Calendar'!$AR$795)*100000000+('Dvd Calendar'!$AR$797=SPECIAL_LBL)*10000000+0*1000000+72*1000+40))</f>
        <v/>
      </c>
      <c r="FS83" s="35">
        <f>IF(N('Dvd Calendar'!$E$799)=0,"",IF(('Dvd Calendar'!$E$799&gt;=GRID_FROM)*('Dvd Calendar'!$E$799&lt;=GRID_TO)*('Dvd Calendar'!$E$799&gt;VAL_DATE)=0,"",'Dvd Calendar'!$E$799*1000000000+ISNUMBER('Dvd Calendar'!$E$800)*100000000+0*10000000+(N('Dvd Calendar'!$E$798)&gt;0)*(N('Dvd Calendar'!$E$798)&lt;=VAL_SERIAL)*1000000+72*1000+41))</f>
        <v/>
      </c>
      <c r="FT83" s="35">
        <f>IF(N('Dvd Calendar'!$F$799)=0,"",IF(('Dvd Calendar'!$F$799&gt;=GRID_FROM)*('Dvd Calendar'!$F$799&lt;=GRID_TO)*('Dvd Calendar'!$F$799&gt;VAL_DATE)=0,"",'Dvd Calendar'!$F$799*1000000000+ISNUMBER('Dvd Calendar'!$F$800)*100000000+0*10000000+(N('Dvd Calendar'!$F$798)&gt;0)*(N('Dvd Calendar'!$F$798)&lt;=VAL_SERIAL)*1000000+72*1000+42))</f>
        <v/>
      </c>
      <c r="FU83" s="35">
        <f>IF(N('Dvd Calendar'!$G$799)=0,"",IF(('Dvd Calendar'!$G$799&gt;=GRID_FROM)*('Dvd Calendar'!$G$799&lt;=GRID_TO)*('Dvd Calendar'!$G$799&gt;VAL_DATE)=0,"",'Dvd Calendar'!$G$799*1000000000+ISNUMBER('Dvd Calendar'!$G$800)*100000000+0*10000000+(N('Dvd Calendar'!$G$798)&gt;0)*(N('Dvd Calendar'!$G$798)&lt;=VAL_SERIAL)*1000000+72*1000+43))</f>
        <v/>
      </c>
      <c r="FV83" s="35">
        <f>IF(N('Dvd Calendar'!$H$799)=0,"",IF(('Dvd Calendar'!$H$799&gt;=GRID_FROM)*('Dvd Calendar'!$H$799&lt;=GRID_TO)*('Dvd Calendar'!$H$799&gt;VAL_DATE)=0,"",'Dvd Calendar'!$H$799*1000000000+ISNUMBER('Dvd Calendar'!$H$800)*100000000+0*10000000+(N('Dvd Calendar'!$H$798)&gt;0)*(N('Dvd Calendar'!$H$798)&lt;=VAL_SERIAL)*1000000+72*1000+44))</f>
        <v/>
      </c>
      <c r="FW83" s="35">
        <f>IF(N('Dvd Calendar'!$I$799)=0,"",IF(('Dvd Calendar'!$I$799&gt;=GRID_FROM)*('Dvd Calendar'!$I$799&lt;=GRID_TO)*('Dvd Calendar'!$I$799&gt;VAL_DATE)=0,"",'Dvd Calendar'!$I$799*1000000000+ISNUMBER('Dvd Calendar'!$I$800)*100000000+0*10000000+(N('Dvd Calendar'!$I$798)&gt;0)*(N('Dvd Calendar'!$I$798)&lt;=VAL_SERIAL)*1000000+72*1000+45))</f>
        <v/>
      </c>
      <c r="FX83" s="35">
        <f>IF(N('Dvd Calendar'!$J$799)=0,"",IF(('Dvd Calendar'!$J$799&gt;=GRID_FROM)*('Dvd Calendar'!$J$799&lt;=GRID_TO)*('Dvd Calendar'!$J$799&gt;VAL_DATE)=0,"",'Dvd Calendar'!$J$799*1000000000+ISNUMBER('Dvd Calendar'!$J$800)*100000000+0*10000000+(N('Dvd Calendar'!$J$798)&gt;0)*(N('Dvd Calendar'!$J$798)&lt;=VAL_SERIAL)*1000000+72*1000+46))</f>
        <v/>
      </c>
      <c r="FY83" s="35">
        <f>IF(N('Dvd Calendar'!$K$799)=0,"",IF(('Dvd Calendar'!$K$799&gt;=GRID_FROM)*('Dvd Calendar'!$K$799&lt;=GRID_TO)*('Dvd Calendar'!$K$799&gt;VAL_DATE)=0,"",'Dvd Calendar'!$K$799*1000000000+ISNUMBER('Dvd Calendar'!$K$800)*100000000+0*10000000+(N('Dvd Calendar'!$K$798)&gt;0)*(N('Dvd Calendar'!$K$798)&lt;=VAL_SERIAL)*1000000+72*1000+47))</f>
        <v/>
      </c>
      <c r="FZ83" s="35">
        <f>IF(N('Dvd Calendar'!$L$799)=0,"",IF(('Dvd Calendar'!$L$799&gt;=GRID_FROM)*('Dvd Calendar'!$L$799&lt;=GRID_TO)*('Dvd Calendar'!$L$799&gt;VAL_DATE)=0,"",'Dvd Calendar'!$L$799*1000000000+ISNUMBER('Dvd Calendar'!$L$800)*100000000+0*10000000+(N('Dvd Calendar'!$L$798)&gt;0)*(N('Dvd Calendar'!$L$798)&lt;=VAL_SERIAL)*1000000+72*1000+48))</f>
        <v/>
      </c>
      <c r="GA83" s="35">
        <f>IF(N('Dvd Calendar'!$M$799)=0,"",IF(('Dvd Calendar'!$M$799&gt;=GRID_FROM)*('Dvd Calendar'!$M$799&lt;=GRID_TO)*('Dvd Calendar'!$M$799&gt;VAL_DATE)=0,"",'Dvd Calendar'!$M$799*1000000000+ISNUMBER('Dvd Calendar'!$M$800)*100000000+0*10000000+(N('Dvd Calendar'!$M$798)&gt;0)*(N('Dvd Calendar'!$M$798)&lt;=VAL_SERIAL)*1000000+72*1000+49))</f>
        <v/>
      </c>
      <c r="GB83" s="35">
        <f>IF(N('Dvd Calendar'!$N$799)=0,"",IF(('Dvd Calendar'!$N$799&gt;=GRID_FROM)*('Dvd Calendar'!$N$799&lt;=GRID_TO)*('Dvd Calendar'!$N$799&gt;VAL_DATE)=0,"",'Dvd Calendar'!$N$799*1000000000+ISNUMBER('Dvd Calendar'!$N$800)*100000000+0*10000000+(N('Dvd Calendar'!$N$798)&gt;0)*(N('Dvd Calendar'!$N$798)&lt;=VAL_SERIAL)*1000000+72*1000+50))</f>
        <v/>
      </c>
      <c r="GC83" s="35">
        <f>IF(N('Dvd Calendar'!$O$799)=0,"",IF(('Dvd Calendar'!$O$799&gt;=GRID_FROM)*('Dvd Calendar'!$O$799&lt;=GRID_TO)*('Dvd Calendar'!$O$799&gt;VAL_DATE)=0,"",'Dvd Calendar'!$O$799*1000000000+ISNUMBER('Dvd Calendar'!$O$800)*100000000+0*10000000+(N('Dvd Calendar'!$O$798)&gt;0)*(N('Dvd Calendar'!$O$798)&lt;=VAL_SERIAL)*1000000+72*1000+51))</f>
        <v/>
      </c>
      <c r="GD83" s="35">
        <f>IF(N('Dvd Calendar'!$P$799)=0,"",IF(('Dvd Calendar'!$P$799&gt;=GRID_FROM)*('Dvd Calendar'!$P$799&lt;=GRID_TO)*('Dvd Calendar'!$P$799&gt;VAL_DATE)=0,"",'Dvd Calendar'!$P$799*1000000000+ISNUMBER('Dvd Calendar'!$P$800)*100000000+0*10000000+(N('Dvd Calendar'!$P$798)&gt;0)*(N('Dvd Calendar'!$P$798)&lt;=VAL_SERIAL)*1000000+72*1000+52))</f>
        <v/>
      </c>
      <c r="GE83" s="35">
        <f>IF(N('Dvd Calendar'!$Q$799)=0,"",IF(('Dvd Calendar'!$Q$799&gt;=GRID_FROM)*('Dvd Calendar'!$Q$799&lt;=GRID_TO)*('Dvd Calendar'!$Q$799&gt;VAL_DATE)=0,"",'Dvd Calendar'!$Q$799*1000000000+ISNUMBER('Dvd Calendar'!$Q$800)*100000000+0*10000000+(N('Dvd Calendar'!$Q$798)&gt;0)*(N('Dvd Calendar'!$Q$798)&lt;=VAL_SERIAL)*1000000+72*1000+53))</f>
        <v/>
      </c>
      <c r="GF83" s="35">
        <f>IF(N('Dvd Calendar'!$R$799)=0,"",IF(('Dvd Calendar'!$R$799&gt;=GRID_FROM)*('Dvd Calendar'!$R$799&lt;=GRID_TO)*('Dvd Calendar'!$R$799&gt;VAL_DATE)=0,"",'Dvd Calendar'!$R$799*1000000000+ISNUMBER('Dvd Calendar'!$R$800)*100000000+0*10000000+(N('Dvd Calendar'!$R$798)&gt;0)*(N('Dvd Calendar'!$R$798)&lt;=VAL_SERIAL)*1000000+72*1000+54))</f>
        <v/>
      </c>
      <c r="GG83" s="35">
        <f>IF(N('Dvd Calendar'!$S$799)=0,"",IF(('Dvd Calendar'!$S$799&gt;=GRID_FROM)*('Dvd Calendar'!$S$799&lt;=GRID_TO)*('Dvd Calendar'!$S$799&gt;VAL_DATE)=0,"",'Dvd Calendar'!$S$799*1000000000+ISNUMBER('Dvd Calendar'!$S$800)*100000000+0*10000000+(N('Dvd Calendar'!$S$798)&gt;0)*(N('Dvd Calendar'!$S$798)&lt;=VAL_SERIAL)*1000000+72*1000+55))</f>
        <v/>
      </c>
      <c r="GH83" s="35">
        <f>IF(N('Dvd Calendar'!$T$799)=0,"",IF(('Dvd Calendar'!$T$799&gt;=GRID_FROM)*('Dvd Calendar'!$T$799&lt;=GRID_TO)*('Dvd Calendar'!$T$799&gt;VAL_DATE)=0,"",'Dvd Calendar'!$T$799*1000000000+ISNUMBER('Dvd Calendar'!$T$800)*100000000+0*10000000+(N('Dvd Calendar'!$T$798)&gt;0)*(N('Dvd Calendar'!$T$798)&lt;=VAL_SERIAL)*1000000+72*1000+56))</f>
        <v/>
      </c>
      <c r="GI83" s="35">
        <f>IF(N('Dvd Calendar'!$U$799)=0,"",IF(('Dvd Calendar'!$U$799&gt;=GRID_FROM)*('Dvd Calendar'!$U$799&lt;=GRID_TO)*('Dvd Calendar'!$U$799&gt;VAL_DATE)=0,"",'Dvd Calendar'!$U$799*1000000000+ISNUMBER('Dvd Calendar'!$U$800)*100000000+0*10000000+(N('Dvd Calendar'!$U$798)&gt;0)*(N('Dvd Calendar'!$U$798)&lt;=VAL_SERIAL)*1000000+72*1000+57))</f>
        <v/>
      </c>
      <c r="GJ83" s="35">
        <f>IF(N('Dvd Calendar'!$V$799)=0,"",IF(('Dvd Calendar'!$V$799&gt;=GRID_FROM)*('Dvd Calendar'!$V$799&lt;=GRID_TO)*('Dvd Calendar'!$V$799&gt;VAL_DATE)=0,"",'Dvd Calendar'!$V$799*1000000000+ISNUMBER('Dvd Calendar'!$V$800)*100000000+0*10000000+(N('Dvd Calendar'!$V$798)&gt;0)*(N('Dvd Calendar'!$V$798)&lt;=VAL_SERIAL)*1000000+72*1000+58))</f>
        <v/>
      </c>
      <c r="GK83" s="35">
        <f>IF(N('Dvd Calendar'!$W$799)=0,"",IF(('Dvd Calendar'!$W$799&gt;=GRID_FROM)*('Dvd Calendar'!$W$799&lt;=GRID_TO)*('Dvd Calendar'!$W$799&gt;VAL_DATE)=0,"",'Dvd Calendar'!$W$799*1000000000+ISNUMBER('Dvd Calendar'!$W$800)*100000000+0*10000000+(N('Dvd Calendar'!$W$798)&gt;0)*(N('Dvd Calendar'!$W$798)&lt;=VAL_SERIAL)*1000000+72*1000+59))</f>
        <v/>
      </c>
      <c r="GL83" s="35">
        <f>IF(N('Dvd Calendar'!$X$799)=0,"",IF(('Dvd Calendar'!$X$799&gt;=GRID_FROM)*('Dvd Calendar'!$X$799&lt;=GRID_TO)*('Dvd Calendar'!$X$799&gt;VAL_DATE)=0,"",'Dvd Calendar'!$X$799*1000000000+ISNUMBER('Dvd Calendar'!$X$800)*100000000+0*10000000+(N('Dvd Calendar'!$X$798)&gt;0)*(N('Dvd Calendar'!$X$798)&lt;=VAL_SERIAL)*1000000+72*1000+60))</f>
        <v/>
      </c>
      <c r="GM83" s="35">
        <f>IF(N('Dvd Calendar'!$Y$799)=0,"",IF(('Dvd Calendar'!$Y$799&gt;=GRID_FROM)*('Dvd Calendar'!$Y$799&lt;=GRID_TO)*('Dvd Calendar'!$Y$799&gt;VAL_DATE)=0,"",'Dvd Calendar'!$Y$799*1000000000+ISNUMBER('Dvd Calendar'!$Y$800)*100000000+0*10000000+(N('Dvd Calendar'!$Y$798)&gt;0)*(N('Dvd Calendar'!$Y$798)&lt;=VAL_SERIAL)*1000000+72*1000+61))</f>
        <v/>
      </c>
      <c r="GN83" s="35">
        <f>IF(N('Dvd Calendar'!$Z$799)=0,"",IF(('Dvd Calendar'!$Z$799&gt;=GRID_FROM)*('Dvd Calendar'!$Z$799&lt;=GRID_TO)*('Dvd Calendar'!$Z$799&gt;VAL_DATE)=0,"",'Dvd Calendar'!$Z$799*1000000000+ISNUMBER('Dvd Calendar'!$Z$800)*100000000+0*10000000+(N('Dvd Calendar'!$Z$798)&gt;0)*(N('Dvd Calendar'!$Z$798)&lt;=VAL_SERIAL)*1000000+72*1000+62))</f>
        <v/>
      </c>
      <c r="GO83" s="35">
        <f>IF(N('Dvd Calendar'!$AA$799)=0,"",IF(('Dvd Calendar'!$AA$799&gt;=GRID_FROM)*('Dvd Calendar'!$AA$799&lt;=GRID_TO)*('Dvd Calendar'!$AA$799&gt;VAL_DATE)=0,"",'Dvd Calendar'!$AA$799*1000000000+ISNUMBER('Dvd Calendar'!$AA$800)*100000000+0*10000000+(N('Dvd Calendar'!$AA$798)&gt;0)*(N('Dvd Calendar'!$AA$798)&lt;=VAL_SERIAL)*1000000+72*1000+63))</f>
        <v/>
      </c>
      <c r="GP83" s="35">
        <f>IF(N('Dvd Calendar'!$AB$799)=0,"",IF(('Dvd Calendar'!$AB$799&gt;=GRID_FROM)*('Dvd Calendar'!$AB$799&lt;=GRID_TO)*('Dvd Calendar'!$AB$799&gt;VAL_DATE)=0,"",'Dvd Calendar'!$AB$799*1000000000+ISNUMBER('Dvd Calendar'!$AB$800)*100000000+0*10000000+(N('Dvd Calendar'!$AB$798)&gt;0)*(N('Dvd Calendar'!$AB$798)&lt;=VAL_SERIAL)*1000000+72*1000+64))</f>
        <v/>
      </c>
      <c r="GQ83" s="35">
        <f>IF(N('Dvd Calendar'!$AC$799)=0,"",IF(('Dvd Calendar'!$AC$799&gt;=GRID_FROM)*('Dvd Calendar'!$AC$799&lt;=GRID_TO)*('Dvd Calendar'!$AC$799&gt;VAL_DATE)=0,"",'Dvd Calendar'!$AC$799*1000000000+ISNUMBER('Dvd Calendar'!$AC$800)*100000000+0*10000000+(N('Dvd Calendar'!$AC$798)&gt;0)*(N('Dvd Calendar'!$AC$798)&lt;=VAL_SERIAL)*1000000+72*1000+65))</f>
        <v/>
      </c>
    </row>
    <row r="84">
      <c r="B84" s="2">
        <f>IF(HSI!$C$79="","",HSI!$C$79)</f>
        <v/>
      </c>
      <c r="C84" s="106">
        <f>IF(EE84="","",IF(ISNUMBER('Dvd Calendar'!$E$806)=FALSE,"",IF((('Dvd Calendar'!$E$808=TYPE1)*(TYPE1&lt;&gt;"")+('Dvd Calendar'!$E$808=TYPE2)*(TYPE2&lt;&gt;"")+('Dvd Calendar'!$E$808=TYPE3)*(TYPE3&lt;&gt;"")+('Dvd Calendar'!$E$808=TYPE4)*(TYPE4&lt;&gt;"")+('Dvd Calendar'!$E$808=SPECIAL_LBL)*(INC_SPECIALS="Y"))=0,"",'Dvd Calendar'!$E$806)))</f>
        <v/>
      </c>
      <c r="D84" s="106">
        <f>IF(EF84="","",IF(ISNUMBER('Dvd Calendar'!$F$806)=FALSE,"",IF((('Dvd Calendar'!$F$808=TYPE1)*(TYPE1&lt;&gt;"")+('Dvd Calendar'!$F$808=TYPE2)*(TYPE2&lt;&gt;"")+('Dvd Calendar'!$F$808=TYPE3)*(TYPE3&lt;&gt;"")+('Dvd Calendar'!$F$808=TYPE4)*(TYPE4&lt;&gt;"")+('Dvd Calendar'!$F$808=SPECIAL_LBL)*(INC_SPECIALS="Y"))=0,"",'Dvd Calendar'!$F$806)))</f>
        <v/>
      </c>
      <c r="E84" s="106">
        <f>IF(EG84="","",IF(ISNUMBER('Dvd Calendar'!$G$806)=FALSE,"",IF((('Dvd Calendar'!$G$808=TYPE1)*(TYPE1&lt;&gt;"")+('Dvd Calendar'!$G$808=TYPE2)*(TYPE2&lt;&gt;"")+('Dvd Calendar'!$G$808=TYPE3)*(TYPE3&lt;&gt;"")+('Dvd Calendar'!$G$808=TYPE4)*(TYPE4&lt;&gt;"")+('Dvd Calendar'!$G$808=SPECIAL_LBL)*(INC_SPECIALS="Y"))=0,"",'Dvd Calendar'!$G$806)))</f>
        <v/>
      </c>
      <c r="F84" s="106">
        <f>IF(EH84="","",IF(ISNUMBER('Dvd Calendar'!$H$806)=FALSE,"",IF((('Dvd Calendar'!$H$808=TYPE1)*(TYPE1&lt;&gt;"")+('Dvd Calendar'!$H$808=TYPE2)*(TYPE2&lt;&gt;"")+('Dvd Calendar'!$H$808=TYPE3)*(TYPE3&lt;&gt;"")+('Dvd Calendar'!$H$808=TYPE4)*(TYPE4&lt;&gt;"")+('Dvd Calendar'!$H$808=SPECIAL_LBL)*(INC_SPECIALS="Y"))=0,"",'Dvd Calendar'!$H$806)))</f>
        <v/>
      </c>
      <c r="G84" s="106">
        <f>IF(EI84="","",IF(ISNUMBER('Dvd Calendar'!$I$806)=FALSE,"",IF((('Dvd Calendar'!$I$808=TYPE1)*(TYPE1&lt;&gt;"")+('Dvd Calendar'!$I$808=TYPE2)*(TYPE2&lt;&gt;"")+('Dvd Calendar'!$I$808=TYPE3)*(TYPE3&lt;&gt;"")+('Dvd Calendar'!$I$808=TYPE4)*(TYPE4&lt;&gt;"")+('Dvd Calendar'!$I$808=SPECIAL_LBL)*(INC_SPECIALS="Y"))=0,"",'Dvd Calendar'!$I$806)))</f>
        <v/>
      </c>
      <c r="H84" s="106">
        <f>IF(EJ84="","",IF(ISNUMBER('Dvd Calendar'!$J$806)=FALSE,"",IF((('Dvd Calendar'!$J$808=TYPE1)*(TYPE1&lt;&gt;"")+('Dvd Calendar'!$J$808=TYPE2)*(TYPE2&lt;&gt;"")+('Dvd Calendar'!$J$808=TYPE3)*(TYPE3&lt;&gt;"")+('Dvd Calendar'!$J$808=TYPE4)*(TYPE4&lt;&gt;"")+('Dvd Calendar'!$J$808=SPECIAL_LBL)*(INC_SPECIALS="Y"))=0,"",'Dvd Calendar'!$J$806)))</f>
        <v/>
      </c>
      <c r="I84" s="106">
        <f>IF(EK84="","",IF(ISNUMBER('Dvd Calendar'!$K$806)=FALSE,"",IF((('Dvd Calendar'!$K$808=TYPE1)*(TYPE1&lt;&gt;"")+('Dvd Calendar'!$K$808=TYPE2)*(TYPE2&lt;&gt;"")+('Dvd Calendar'!$K$808=TYPE3)*(TYPE3&lt;&gt;"")+('Dvd Calendar'!$K$808=TYPE4)*(TYPE4&lt;&gt;"")+('Dvd Calendar'!$K$808=SPECIAL_LBL)*(INC_SPECIALS="Y"))=0,"",'Dvd Calendar'!$K$806)))</f>
        <v/>
      </c>
      <c r="J84" s="106">
        <f>IF(EL84="","",IF(ISNUMBER('Dvd Calendar'!$L$806)=FALSE,"",IF((('Dvd Calendar'!$L$808=TYPE1)*(TYPE1&lt;&gt;"")+('Dvd Calendar'!$L$808=TYPE2)*(TYPE2&lt;&gt;"")+('Dvd Calendar'!$L$808=TYPE3)*(TYPE3&lt;&gt;"")+('Dvd Calendar'!$L$808=TYPE4)*(TYPE4&lt;&gt;"")+('Dvd Calendar'!$L$808=SPECIAL_LBL)*(INC_SPECIALS="Y"))=0,"",'Dvd Calendar'!$L$806)))</f>
        <v/>
      </c>
      <c r="K84" s="106">
        <f>IF(EM84="","",IF(ISNUMBER('Dvd Calendar'!$M$806)=FALSE,"",IF((('Dvd Calendar'!$M$808=TYPE1)*(TYPE1&lt;&gt;"")+('Dvd Calendar'!$M$808=TYPE2)*(TYPE2&lt;&gt;"")+('Dvd Calendar'!$M$808=TYPE3)*(TYPE3&lt;&gt;"")+('Dvd Calendar'!$M$808=TYPE4)*(TYPE4&lt;&gt;"")+('Dvd Calendar'!$M$808=SPECIAL_LBL)*(INC_SPECIALS="Y"))=0,"",'Dvd Calendar'!$M$806)))</f>
        <v/>
      </c>
      <c r="L84" s="106">
        <f>IF(EN84="","",IF(ISNUMBER('Dvd Calendar'!$N$806)=FALSE,"",IF((('Dvd Calendar'!$N$808=TYPE1)*(TYPE1&lt;&gt;"")+('Dvd Calendar'!$N$808=TYPE2)*(TYPE2&lt;&gt;"")+('Dvd Calendar'!$N$808=TYPE3)*(TYPE3&lt;&gt;"")+('Dvd Calendar'!$N$808=TYPE4)*(TYPE4&lt;&gt;"")+('Dvd Calendar'!$N$808=SPECIAL_LBL)*(INC_SPECIALS="Y"))=0,"",'Dvd Calendar'!$N$806)))</f>
        <v/>
      </c>
      <c r="M84" s="106">
        <f>IF(EO84="","",IF(ISNUMBER('Dvd Calendar'!$O$806)=FALSE,"",IF((('Dvd Calendar'!$O$808=TYPE1)*(TYPE1&lt;&gt;"")+('Dvd Calendar'!$O$808=TYPE2)*(TYPE2&lt;&gt;"")+('Dvd Calendar'!$O$808=TYPE3)*(TYPE3&lt;&gt;"")+('Dvd Calendar'!$O$808=TYPE4)*(TYPE4&lt;&gt;"")+('Dvd Calendar'!$O$808=SPECIAL_LBL)*(INC_SPECIALS="Y"))=0,"",'Dvd Calendar'!$O$806)))</f>
        <v/>
      </c>
      <c r="N84" s="106">
        <f>IF(EP84="","",IF(ISNUMBER('Dvd Calendar'!$P$806)=FALSE,"",IF((('Dvd Calendar'!$P$808=TYPE1)*(TYPE1&lt;&gt;"")+('Dvd Calendar'!$P$808=TYPE2)*(TYPE2&lt;&gt;"")+('Dvd Calendar'!$P$808=TYPE3)*(TYPE3&lt;&gt;"")+('Dvd Calendar'!$P$808=TYPE4)*(TYPE4&lt;&gt;"")+('Dvd Calendar'!$P$808=SPECIAL_LBL)*(INC_SPECIALS="Y"))=0,"",'Dvd Calendar'!$P$806)))</f>
        <v/>
      </c>
      <c r="O84" s="106">
        <f>IF(EQ84="","",IF(ISNUMBER('Dvd Calendar'!$Q$806)=FALSE,"",IF((('Dvd Calendar'!$Q$808=TYPE1)*(TYPE1&lt;&gt;"")+('Dvd Calendar'!$Q$808=TYPE2)*(TYPE2&lt;&gt;"")+('Dvd Calendar'!$Q$808=TYPE3)*(TYPE3&lt;&gt;"")+('Dvd Calendar'!$Q$808=TYPE4)*(TYPE4&lt;&gt;"")+('Dvd Calendar'!$Q$808=SPECIAL_LBL)*(INC_SPECIALS="Y"))=0,"",'Dvd Calendar'!$Q$806)))</f>
        <v/>
      </c>
      <c r="P84" s="106">
        <f>IF(ER84="","",IF(ISNUMBER('Dvd Calendar'!$R$806)=FALSE,"",IF((('Dvd Calendar'!$R$808=TYPE1)*(TYPE1&lt;&gt;"")+('Dvd Calendar'!$R$808=TYPE2)*(TYPE2&lt;&gt;"")+('Dvd Calendar'!$R$808=TYPE3)*(TYPE3&lt;&gt;"")+('Dvd Calendar'!$R$808=TYPE4)*(TYPE4&lt;&gt;"")+('Dvd Calendar'!$R$808=SPECIAL_LBL)*(INC_SPECIALS="Y"))=0,"",'Dvd Calendar'!$R$806)))</f>
        <v/>
      </c>
      <c r="Q84" s="106">
        <f>IF(ES84="","",IF(ISNUMBER('Dvd Calendar'!$S$806)=FALSE,"",IF((('Dvd Calendar'!$S$808=TYPE1)*(TYPE1&lt;&gt;"")+('Dvd Calendar'!$S$808=TYPE2)*(TYPE2&lt;&gt;"")+('Dvd Calendar'!$S$808=TYPE3)*(TYPE3&lt;&gt;"")+('Dvd Calendar'!$S$808=TYPE4)*(TYPE4&lt;&gt;"")+('Dvd Calendar'!$S$808=SPECIAL_LBL)*(INC_SPECIALS="Y"))=0,"",'Dvd Calendar'!$S$806)))</f>
        <v/>
      </c>
      <c r="R84" s="106">
        <f>IF(ET84="","",IF(ISNUMBER('Dvd Calendar'!$T$806)=FALSE,"",IF((('Dvd Calendar'!$T$808=TYPE1)*(TYPE1&lt;&gt;"")+('Dvd Calendar'!$T$808=TYPE2)*(TYPE2&lt;&gt;"")+('Dvd Calendar'!$T$808=TYPE3)*(TYPE3&lt;&gt;"")+('Dvd Calendar'!$T$808=TYPE4)*(TYPE4&lt;&gt;"")+('Dvd Calendar'!$T$808=SPECIAL_LBL)*(INC_SPECIALS="Y"))=0,"",'Dvd Calendar'!$T$806)))</f>
        <v/>
      </c>
      <c r="S84" s="106">
        <f>IF(EU84="","",IF(ISNUMBER('Dvd Calendar'!$U$806)=FALSE,"",IF((('Dvd Calendar'!$U$808=TYPE1)*(TYPE1&lt;&gt;"")+('Dvd Calendar'!$U$808=TYPE2)*(TYPE2&lt;&gt;"")+('Dvd Calendar'!$U$808=TYPE3)*(TYPE3&lt;&gt;"")+('Dvd Calendar'!$U$808=TYPE4)*(TYPE4&lt;&gt;"")+('Dvd Calendar'!$U$808=SPECIAL_LBL)*(INC_SPECIALS="Y"))=0,"",'Dvd Calendar'!$U$806)))</f>
        <v/>
      </c>
      <c r="T84" s="106">
        <f>IF(EV84="","",IF(ISNUMBER('Dvd Calendar'!$V$806)=FALSE,"",IF((('Dvd Calendar'!$V$808=TYPE1)*(TYPE1&lt;&gt;"")+('Dvd Calendar'!$V$808=TYPE2)*(TYPE2&lt;&gt;"")+('Dvd Calendar'!$V$808=TYPE3)*(TYPE3&lt;&gt;"")+('Dvd Calendar'!$V$808=TYPE4)*(TYPE4&lt;&gt;"")+('Dvd Calendar'!$V$808=SPECIAL_LBL)*(INC_SPECIALS="Y"))=0,"",'Dvd Calendar'!$V$806)))</f>
        <v/>
      </c>
      <c r="U84" s="106">
        <f>IF(EW84="","",IF(ISNUMBER('Dvd Calendar'!$W$806)=FALSE,"",IF((('Dvd Calendar'!$W$808=TYPE1)*(TYPE1&lt;&gt;"")+('Dvd Calendar'!$W$808=TYPE2)*(TYPE2&lt;&gt;"")+('Dvd Calendar'!$W$808=TYPE3)*(TYPE3&lt;&gt;"")+('Dvd Calendar'!$W$808=TYPE4)*(TYPE4&lt;&gt;"")+('Dvd Calendar'!$W$808=SPECIAL_LBL)*(INC_SPECIALS="Y"))=0,"",'Dvd Calendar'!$W$806)))</f>
        <v/>
      </c>
      <c r="V84" s="106">
        <f>IF(EX84="","",IF(ISNUMBER('Dvd Calendar'!$X$806)=FALSE,"",IF((('Dvd Calendar'!$X$808=TYPE1)*(TYPE1&lt;&gt;"")+('Dvd Calendar'!$X$808=TYPE2)*(TYPE2&lt;&gt;"")+('Dvd Calendar'!$X$808=TYPE3)*(TYPE3&lt;&gt;"")+('Dvd Calendar'!$X$808=TYPE4)*(TYPE4&lt;&gt;"")+('Dvd Calendar'!$X$808=SPECIAL_LBL)*(INC_SPECIALS="Y"))=0,"",'Dvd Calendar'!$X$806)))</f>
        <v/>
      </c>
      <c r="W84" s="106">
        <f>IF(EY84="","",IF(ISNUMBER('Dvd Calendar'!$Y$806)=FALSE,"",IF((('Dvd Calendar'!$Y$808=TYPE1)*(TYPE1&lt;&gt;"")+('Dvd Calendar'!$Y$808=TYPE2)*(TYPE2&lt;&gt;"")+('Dvd Calendar'!$Y$808=TYPE3)*(TYPE3&lt;&gt;"")+('Dvd Calendar'!$Y$808=TYPE4)*(TYPE4&lt;&gt;"")+('Dvd Calendar'!$Y$808=SPECIAL_LBL)*(INC_SPECIALS="Y"))=0,"",'Dvd Calendar'!$Y$806)))</f>
        <v/>
      </c>
      <c r="X84" s="106">
        <f>IF(EZ84="","",IF(ISNUMBER('Dvd Calendar'!$Z$806)=FALSE,"",IF((('Dvd Calendar'!$Z$808=TYPE1)*(TYPE1&lt;&gt;"")+('Dvd Calendar'!$Z$808=TYPE2)*(TYPE2&lt;&gt;"")+('Dvd Calendar'!$Z$808=TYPE3)*(TYPE3&lt;&gt;"")+('Dvd Calendar'!$Z$808=TYPE4)*(TYPE4&lt;&gt;"")+('Dvd Calendar'!$Z$808=SPECIAL_LBL)*(INC_SPECIALS="Y"))=0,"",'Dvd Calendar'!$Z$806)))</f>
        <v/>
      </c>
      <c r="Y84" s="106">
        <f>IF(FA84="","",IF(ISNUMBER('Dvd Calendar'!$AA$806)=FALSE,"",IF((('Dvd Calendar'!$AA$808=TYPE1)*(TYPE1&lt;&gt;"")+('Dvd Calendar'!$AA$808=TYPE2)*(TYPE2&lt;&gt;"")+('Dvd Calendar'!$AA$808=TYPE3)*(TYPE3&lt;&gt;"")+('Dvd Calendar'!$AA$808=TYPE4)*(TYPE4&lt;&gt;"")+('Dvd Calendar'!$AA$808=SPECIAL_LBL)*(INC_SPECIALS="Y"))=0,"",'Dvd Calendar'!$AA$806)))</f>
        <v/>
      </c>
      <c r="Z84" s="106">
        <f>IF(FB84="","",IF(ISNUMBER('Dvd Calendar'!$AB$806)=FALSE,"",IF((('Dvd Calendar'!$AB$808=TYPE1)*(TYPE1&lt;&gt;"")+('Dvd Calendar'!$AB$808=TYPE2)*(TYPE2&lt;&gt;"")+('Dvd Calendar'!$AB$808=TYPE3)*(TYPE3&lt;&gt;"")+('Dvd Calendar'!$AB$808=TYPE4)*(TYPE4&lt;&gt;"")+('Dvd Calendar'!$AB$808=SPECIAL_LBL)*(INC_SPECIALS="Y"))=0,"",'Dvd Calendar'!$AB$806)))</f>
        <v/>
      </c>
      <c r="AA84" s="106">
        <f>IF(FC84="","",IF(ISNUMBER('Dvd Calendar'!$AC$806)=FALSE,"",IF((('Dvd Calendar'!$AC$808=TYPE1)*(TYPE1&lt;&gt;"")+('Dvd Calendar'!$AC$808=TYPE2)*(TYPE2&lt;&gt;"")+('Dvd Calendar'!$AC$808=TYPE3)*(TYPE3&lt;&gt;"")+('Dvd Calendar'!$AC$808=TYPE4)*(TYPE4&lt;&gt;"")+('Dvd Calendar'!$AC$808=SPECIAL_LBL)*(INC_SPECIALS="Y"))=0,"",'Dvd Calendar'!$AC$806)))</f>
        <v/>
      </c>
      <c r="AB84" s="106">
        <f>IF(FD84="","",IF(ISNUMBER('Dvd Calendar'!$AD$806)=FALSE,"",IF((('Dvd Calendar'!$AD$808=TYPE1)*(TYPE1&lt;&gt;"")+('Dvd Calendar'!$AD$808=TYPE2)*(TYPE2&lt;&gt;"")+('Dvd Calendar'!$AD$808=TYPE3)*(TYPE3&lt;&gt;"")+('Dvd Calendar'!$AD$808=TYPE4)*(TYPE4&lt;&gt;"")+('Dvd Calendar'!$AD$808=SPECIAL_LBL)*(INC_SPECIALS="Y"))=0,"",'Dvd Calendar'!$AD$806)))</f>
        <v/>
      </c>
      <c r="AC84" s="106">
        <f>IF(FE84="","",IF(ISNUMBER('Dvd Calendar'!$AE$806)=FALSE,"",IF((('Dvd Calendar'!$AE$808=TYPE1)*(TYPE1&lt;&gt;"")+('Dvd Calendar'!$AE$808=TYPE2)*(TYPE2&lt;&gt;"")+('Dvd Calendar'!$AE$808=TYPE3)*(TYPE3&lt;&gt;"")+('Dvd Calendar'!$AE$808=TYPE4)*(TYPE4&lt;&gt;"")+('Dvd Calendar'!$AE$808=SPECIAL_LBL)*(INC_SPECIALS="Y"))=0,"",'Dvd Calendar'!$AE$806)))</f>
        <v/>
      </c>
      <c r="AD84" s="106">
        <f>IF(FF84="","",IF(ISNUMBER('Dvd Calendar'!$AF$806)=FALSE,"",IF((('Dvd Calendar'!$AF$808=TYPE1)*(TYPE1&lt;&gt;"")+('Dvd Calendar'!$AF$808=TYPE2)*(TYPE2&lt;&gt;"")+('Dvd Calendar'!$AF$808=TYPE3)*(TYPE3&lt;&gt;"")+('Dvd Calendar'!$AF$808=TYPE4)*(TYPE4&lt;&gt;"")+('Dvd Calendar'!$AF$808=SPECIAL_LBL)*(INC_SPECIALS="Y"))=0,"",'Dvd Calendar'!$AF$806)))</f>
        <v/>
      </c>
      <c r="AE84" s="106">
        <f>IF(FG84="","",IF(ISNUMBER('Dvd Calendar'!$AG$806)=FALSE,"",IF((('Dvd Calendar'!$AG$808=TYPE1)*(TYPE1&lt;&gt;"")+('Dvd Calendar'!$AG$808=TYPE2)*(TYPE2&lt;&gt;"")+('Dvd Calendar'!$AG$808=TYPE3)*(TYPE3&lt;&gt;"")+('Dvd Calendar'!$AG$808=TYPE4)*(TYPE4&lt;&gt;"")+('Dvd Calendar'!$AG$808=SPECIAL_LBL)*(INC_SPECIALS="Y"))=0,"",'Dvd Calendar'!$AG$806)))</f>
        <v/>
      </c>
      <c r="AF84" s="106">
        <f>IF(FH84="","",IF(ISNUMBER('Dvd Calendar'!$AH$806)=FALSE,"",IF((('Dvd Calendar'!$AH$808=TYPE1)*(TYPE1&lt;&gt;"")+('Dvd Calendar'!$AH$808=TYPE2)*(TYPE2&lt;&gt;"")+('Dvd Calendar'!$AH$808=TYPE3)*(TYPE3&lt;&gt;"")+('Dvd Calendar'!$AH$808=TYPE4)*(TYPE4&lt;&gt;"")+('Dvd Calendar'!$AH$808=SPECIAL_LBL)*(INC_SPECIALS="Y"))=0,"",'Dvd Calendar'!$AH$806)))</f>
        <v/>
      </c>
      <c r="AG84" s="106">
        <f>IF(FI84="","",IF(ISNUMBER('Dvd Calendar'!$AI$806)=FALSE,"",IF((('Dvd Calendar'!$AI$808=TYPE1)*(TYPE1&lt;&gt;"")+('Dvd Calendar'!$AI$808=TYPE2)*(TYPE2&lt;&gt;"")+('Dvd Calendar'!$AI$808=TYPE3)*(TYPE3&lt;&gt;"")+('Dvd Calendar'!$AI$808=TYPE4)*(TYPE4&lt;&gt;"")+('Dvd Calendar'!$AI$808=SPECIAL_LBL)*(INC_SPECIALS="Y"))=0,"",'Dvd Calendar'!$AI$806)))</f>
        <v/>
      </c>
      <c r="AH84" s="106">
        <f>IF(FJ84="","",IF(ISNUMBER('Dvd Calendar'!$AJ$806)=FALSE,"",IF((('Dvd Calendar'!$AJ$808=TYPE1)*(TYPE1&lt;&gt;"")+('Dvd Calendar'!$AJ$808=TYPE2)*(TYPE2&lt;&gt;"")+('Dvd Calendar'!$AJ$808=TYPE3)*(TYPE3&lt;&gt;"")+('Dvd Calendar'!$AJ$808=TYPE4)*(TYPE4&lt;&gt;"")+('Dvd Calendar'!$AJ$808=SPECIAL_LBL)*(INC_SPECIALS="Y"))=0,"",'Dvd Calendar'!$AJ$806)))</f>
        <v/>
      </c>
      <c r="AI84" s="106">
        <f>IF(FK84="","",IF(ISNUMBER('Dvd Calendar'!$AK$806)=FALSE,"",IF((('Dvd Calendar'!$AK$808=TYPE1)*(TYPE1&lt;&gt;"")+('Dvd Calendar'!$AK$808=TYPE2)*(TYPE2&lt;&gt;"")+('Dvd Calendar'!$AK$808=TYPE3)*(TYPE3&lt;&gt;"")+('Dvd Calendar'!$AK$808=TYPE4)*(TYPE4&lt;&gt;"")+('Dvd Calendar'!$AK$808=SPECIAL_LBL)*(INC_SPECIALS="Y"))=0,"",'Dvd Calendar'!$AK$806)))</f>
        <v/>
      </c>
      <c r="AJ84" s="106">
        <f>IF(FL84="","",IF(ISNUMBER('Dvd Calendar'!$AL$806)=FALSE,"",IF((('Dvd Calendar'!$AL$808=TYPE1)*(TYPE1&lt;&gt;"")+('Dvd Calendar'!$AL$808=TYPE2)*(TYPE2&lt;&gt;"")+('Dvd Calendar'!$AL$808=TYPE3)*(TYPE3&lt;&gt;"")+('Dvd Calendar'!$AL$808=TYPE4)*(TYPE4&lt;&gt;"")+('Dvd Calendar'!$AL$808=SPECIAL_LBL)*(INC_SPECIALS="Y"))=0,"",'Dvd Calendar'!$AL$806)))</f>
        <v/>
      </c>
      <c r="AK84" s="106">
        <f>IF(FM84="","",IF(ISNUMBER('Dvd Calendar'!$AM$806)=FALSE,"",IF((('Dvd Calendar'!$AM$808=TYPE1)*(TYPE1&lt;&gt;"")+('Dvd Calendar'!$AM$808=TYPE2)*(TYPE2&lt;&gt;"")+('Dvd Calendar'!$AM$808=TYPE3)*(TYPE3&lt;&gt;"")+('Dvd Calendar'!$AM$808=TYPE4)*(TYPE4&lt;&gt;"")+('Dvd Calendar'!$AM$808=SPECIAL_LBL)*(INC_SPECIALS="Y"))=0,"",'Dvd Calendar'!$AM$806)))</f>
        <v/>
      </c>
      <c r="AL84" s="106">
        <f>IF(FN84="","",IF(ISNUMBER('Dvd Calendar'!$AN$806)=FALSE,"",IF((('Dvd Calendar'!$AN$808=TYPE1)*(TYPE1&lt;&gt;"")+('Dvd Calendar'!$AN$808=TYPE2)*(TYPE2&lt;&gt;"")+('Dvd Calendar'!$AN$808=TYPE3)*(TYPE3&lt;&gt;"")+('Dvd Calendar'!$AN$808=TYPE4)*(TYPE4&lt;&gt;"")+('Dvd Calendar'!$AN$808=SPECIAL_LBL)*(INC_SPECIALS="Y"))=0,"",'Dvd Calendar'!$AN$806)))</f>
        <v/>
      </c>
      <c r="AM84" s="106">
        <f>IF(FO84="","",IF(ISNUMBER('Dvd Calendar'!$AO$806)=FALSE,"",IF((('Dvd Calendar'!$AO$808=TYPE1)*(TYPE1&lt;&gt;"")+('Dvd Calendar'!$AO$808=TYPE2)*(TYPE2&lt;&gt;"")+('Dvd Calendar'!$AO$808=TYPE3)*(TYPE3&lt;&gt;"")+('Dvd Calendar'!$AO$808=TYPE4)*(TYPE4&lt;&gt;"")+('Dvd Calendar'!$AO$808=SPECIAL_LBL)*(INC_SPECIALS="Y"))=0,"",'Dvd Calendar'!$AO$806)))</f>
        <v/>
      </c>
      <c r="AN84" s="106">
        <f>IF(FP84="","",IF(ISNUMBER('Dvd Calendar'!$AP$806)=FALSE,"",IF((('Dvd Calendar'!$AP$808=TYPE1)*(TYPE1&lt;&gt;"")+('Dvd Calendar'!$AP$808=TYPE2)*(TYPE2&lt;&gt;"")+('Dvd Calendar'!$AP$808=TYPE3)*(TYPE3&lt;&gt;"")+('Dvd Calendar'!$AP$808=TYPE4)*(TYPE4&lt;&gt;"")+('Dvd Calendar'!$AP$808=SPECIAL_LBL)*(INC_SPECIALS="Y"))=0,"",'Dvd Calendar'!$AP$806)))</f>
        <v/>
      </c>
      <c r="AO84" s="106">
        <f>IF(FQ84="","",IF(ISNUMBER('Dvd Calendar'!$AQ$806)=FALSE,"",IF((('Dvd Calendar'!$AQ$808=TYPE1)*(TYPE1&lt;&gt;"")+('Dvd Calendar'!$AQ$808=TYPE2)*(TYPE2&lt;&gt;"")+('Dvd Calendar'!$AQ$808=TYPE3)*(TYPE3&lt;&gt;"")+('Dvd Calendar'!$AQ$808=TYPE4)*(TYPE4&lt;&gt;"")+('Dvd Calendar'!$AQ$808=SPECIAL_LBL)*(INC_SPECIALS="Y"))=0,"",'Dvd Calendar'!$AQ$806)))</f>
        <v/>
      </c>
      <c r="AP84" s="106">
        <f>IF(FR84="","",IF(ISNUMBER('Dvd Calendar'!$AR$806)=FALSE,"",IF((('Dvd Calendar'!$AR$808=TYPE1)*(TYPE1&lt;&gt;"")+('Dvd Calendar'!$AR$808=TYPE2)*(TYPE2&lt;&gt;"")+('Dvd Calendar'!$AR$808=TYPE3)*(TYPE3&lt;&gt;"")+('Dvd Calendar'!$AR$808=TYPE4)*(TYPE4&lt;&gt;"")+('Dvd Calendar'!$AR$808=SPECIAL_LBL)*(INC_SPECIALS="Y"))=0,"",'Dvd Calendar'!$AR$806)))</f>
        <v/>
      </c>
      <c r="AQ84" s="106">
        <f>IF(FS84="","",IF(ISNUMBER('Dvd Calendar'!$E$811)=FALSE,"",'Dvd Calendar'!$E$811))</f>
        <v/>
      </c>
      <c r="AR84" s="106">
        <f>IF(FT84="","",IF(ISNUMBER('Dvd Calendar'!$F$811)=FALSE,"",'Dvd Calendar'!$F$811))</f>
        <v/>
      </c>
      <c r="AS84" s="106">
        <f>IF(FU84="","",IF(ISNUMBER('Dvd Calendar'!$G$811)=FALSE,"",'Dvd Calendar'!$G$811))</f>
        <v/>
      </c>
      <c r="AT84" s="106">
        <f>IF(FV84="","",IF(ISNUMBER('Dvd Calendar'!$H$811)=FALSE,"",'Dvd Calendar'!$H$811))</f>
        <v/>
      </c>
      <c r="AU84" s="106">
        <f>IF(FW84="","",IF(ISNUMBER('Dvd Calendar'!$I$811)=FALSE,"",'Dvd Calendar'!$I$811))</f>
        <v/>
      </c>
      <c r="AV84" s="106">
        <f>IF(FX84="","",IF(ISNUMBER('Dvd Calendar'!$J$811)=FALSE,"",'Dvd Calendar'!$J$811))</f>
        <v/>
      </c>
      <c r="AW84" s="106">
        <f>IF(FY84="","",IF(ISNUMBER('Dvd Calendar'!$K$811)=FALSE,"",'Dvd Calendar'!$K$811))</f>
        <v/>
      </c>
      <c r="AX84" s="106">
        <f>IF(FZ84="","",IF(ISNUMBER('Dvd Calendar'!$L$811)=FALSE,"",'Dvd Calendar'!$L$811))</f>
        <v/>
      </c>
      <c r="AY84" s="106">
        <f>IF(GA84="","",IF(ISNUMBER('Dvd Calendar'!$M$811)=FALSE,"",'Dvd Calendar'!$M$811))</f>
        <v/>
      </c>
      <c r="AZ84" s="106">
        <f>IF(GB84="","",IF(ISNUMBER('Dvd Calendar'!$N$811)=FALSE,"",'Dvd Calendar'!$N$811))</f>
        <v/>
      </c>
      <c r="BA84" s="106">
        <f>IF(GC84="","",IF(ISNUMBER('Dvd Calendar'!$O$811)=FALSE,"",'Dvd Calendar'!$O$811))</f>
        <v/>
      </c>
      <c r="BB84" s="106">
        <f>IF(GD84="","",IF(ISNUMBER('Dvd Calendar'!$P$811)=FALSE,"",'Dvd Calendar'!$P$811))</f>
        <v/>
      </c>
      <c r="BC84" s="106">
        <f>IF(GE84="","",IF(ISNUMBER('Dvd Calendar'!$Q$811)=FALSE,"",'Dvd Calendar'!$Q$811))</f>
        <v/>
      </c>
      <c r="BD84" s="106">
        <f>IF(GF84="","",IF(ISNUMBER('Dvd Calendar'!$R$811)=FALSE,"",'Dvd Calendar'!$R$811))</f>
        <v/>
      </c>
      <c r="BE84" s="106">
        <f>IF(GG84="","",IF(ISNUMBER('Dvd Calendar'!$S$811)=FALSE,"",'Dvd Calendar'!$S$811))</f>
        <v/>
      </c>
      <c r="BF84" s="106">
        <f>IF(GH84="","",IF(ISNUMBER('Dvd Calendar'!$T$811)=FALSE,"",'Dvd Calendar'!$T$811))</f>
        <v/>
      </c>
      <c r="BG84" s="106">
        <f>IF(GI84="","",IF(ISNUMBER('Dvd Calendar'!$U$811)=FALSE,"",'Dvd Calendar'!$U$811))</f>
        <v/>
      </c>
      <c r="BH84" s="106">
        <f>IF(GJ84="","",IF(ISNUMBER('Dvd Calendar'!$V$811)=FALSE,"",'Dvd Calendar'!$V$811))</f>
        <v/>
      </c>
      <c r="BI84" s="106">
        <f>IF(GK84="","",IF(ISNUMBER('Dvd Calendar'!$W$811)=FALSE,"",'Dvd Calendar'!$W$811))</f>
        <v/>
      </c>
      <c r="BJ84" s="106">
        <f>IF(GL84="","",IF(ISNUMBER('Dvd Calendar'!$X$811)=FALSE,"",'Dvd Calendar'!$X$811))</f>
        <v/>
      </c>
      <c r="BK84" s="106">
        <f>IF(GM84="","",IF(ISNUMBER('Dvd Calendar'!$Y$811)=FALSE,"",'Dvd Calendar'!$Y$811))</f>
        <v/>
      </c>
      <c r="BL84" s="106">
        <f>IF(GN84="","",IF(ISNUMBER('Dvd Calendar'!$Z$811)=FALSE,"",'Dvd Calendar'!$Z$811))</f>
        <v/>
      </c>
      <c r="BM84" s="106">
        <f>IF(GO84="","",IF(ISNUMBER('Dvd Calendar'!$AA$811)=FALSE,"",'Dvd Calendar'!$AA$811))</f>
        <v/>
      </c>
      <c r="BN84" s="106">
        <f>IF(GP84="","",IF(ISNUMBER('Dvd Calendar'!$AB$811)=FALSE,"",'Dvd Calendar'!$AB$811))</f>
        <v/>
      </c>
      <c r="BO84" s="106">
        <f>IF(GQ84="","",IF(ISNUMBER('Dvd Calendar'!$AC$811)=FALSE,"",'Dvd Calendar'!$AC$811))</f>
        <v/>
      </c>
      <c r="BQ84" s="106">
        <f>IF(C84="","",IFERROR(C84*HSI!$B$79*HSI!$G$79/HSI!$B$3,""))</f>
        <v/>
      </c>
      <c r="BR84" s="106">
        <f>IF(D84="","",IFERROR(D84*HSI!$B$79*HSI!$G$79/HSI!$B$3,""))</f>
        <v/>
      </c>
      <c r="BS84" s="106">
        <f>IF(E84="","",IFERROR(E84*HSI!$B$79*HSI!$G$79/HSI!$B$3,""))</f>
        <v/>
      </c>
      <c r="BT84" s="106">
        <f>IF(F84="","",IFERROR(F84*HSI!$B$79*HSI!$G$79/HSI!$B$3,""))</f>
        <v/>
      </c>
      <c r="BU84" s="106">
        <f>IF(G84="","",IFERROR(G84*HSI!$B$79*HSI!$G$79/HSI!$B$3,""))</f>
        <v/>
      </c>
      <c r="BV84" s="106">
        <f>IF(H84="","",IFERROR(H84*HSI!$B$79*HSI!$G$79/HSI!$B$3,""))</f>
        <v/>
      </c>
      <c r="BW84" s="106">
        <f>IF(I84="","",IFERROR(I84*HSI!$B$79*HSI!$G$79/HSI!$B$3,""))</f>
        <v/>
      </c>
      <c r="BX84" s="106">
        <f>IF(J84="","",IFERROR(J84*HSI!$B$79*HSI!$G$79/HSI!$B$3,""))</f>
        <v/>
      </c>
      <c r="BY84" s="106">
        <f>IF(K84="","",IFERROR(K84*HSI!$B$79*HSI!$G$79/HSI!$B$3,""))</f>
        <v/>
      </c>
      <c r="BZ84" s="106">
        <f>IF(L84="","",IFERROR(L84*HSI!$B$79*HSI!$G$79/HSI!$B$3,""))</f>
        <v/>
      </c>
      <c r="CA84" s="106">
        <f>IF(M84="","",IFERROR(M84*HSI!$B$79*HSI!$G$79/HSI!$B$3,""))</f>
        <v/>
      </c>
      <c r="CB84" s="106">
        <f>IF(N84="","",IFERROR(N84*HSI!$B$79*HSI!$G$79/HSI!$B$3,""))</f>
        <v/>
      </c>
      <c r="CC84" s="106">
        <f>IF(O84="","",IFERROR(O84*HSI!$B$79*HSI!$G$79/HSI!$B$3,""))</f>
        <v/>
      </c>
      <c r="CD84" s="106">
        <f>IF(P84="","",IFERROR(P84*HSI!$B$79*HSI!$G$79/HSI!$B$3,""))</f>
        <v/>
      </c>
      <c r="CE84" s="106">
        <f>IF(Q84="","",IFERROR(Q84*HSI!$B$79*HSI!$G$79/HSI!$B$3,""))</f>
        <v/>
      </c>
      <c r="CF84" s="106">
        <f>IF(R84="","",IFERROR(R84*HSI!$B$79*HSI!$G$79/HSI!$B$3,""))</f>
        <v/>
      </c>
      <c r="CG84" s="106">
        <f>IF(S84="","",IFERROR(S84*HSI!$B$79*HSI!$G$79/HSI!$B$3,""))</f>
        <v/>
      </c>
      <c r="CH84" s="106">
        <f>IF(T84="","",IFERROR(T84*HSI!$B$79*HSI!$G$79/HSI!$B$3,""))</f>
        <v/>
      </c>
      <c r="CI84" s="106">
        <f>IF(U84="","",IFERROR(U84*HSI!$B$79*HSI!$G$79/HSI!$B$3,""))</f>
        <v/>
      </c>
      <c r="CJ84" s="106">
        <f>IF(V84="","",IFERROR(V84*HSI!$B$79*HSI!$G$79/HSI!$B$3,""))</f>
        <v/>
      </c>
      <c r="CK84" s="106">
        <f>IF(W84="","",IFERROR(W84*HSI!$B$79*HSI!$G$79/HSI!$B$3,""))</f>
        <v/>
      </c>
      <c r="CL84" s="106">
        <f>IF(X84="","",IFERROR(X84*HSI!$B$79*HSI!$G$79/HSI!$B$3,""))</f>
        <v/>
      </c>
      <c r="CM84" s="106">
        <f>IF(Y84="","",IFERROR(Y84*HSI!$B$79*HSI!$G$79/HSI!$B$3,""))</f>
        <v/>
      </c>
      <c r="CN84" s="106">
        <f>IF(Z84="","",IFERROR(Z84*HSI!$B$79*HSI!$G$79/HSI!$B$3,""))</f>
        <v/>
      </c>
      <c r="CO84" s="106">
        <f>IF(AA84="","",IFERROR(AA84*HSI!$B$79*HSI!$G$79/HSI!$B$3,""))</f>
        <v/>
      </c>
      <c r="CP84" s="106">
        <f>IF(AB84="","",IFERROR(AB84*HSI!$B$79*HSI!$G$79/HSI!$B$3,""))</f>
        <v/>
      </c>
      <c r="CQ84" s="106">
        <f>IF(AC84="","",IFERROR(AC84*HSI!$B$79*HSI!$G$79/HSI!$B$3,""))</f>
        <v/>
      </c>
      <c r="CR84" s="106">
        <f>IF(AD84="","",IFERROR(AD84*HSI!$B$79*HSI!$G$79/HSI!$B$3,""))</f>
        <v/>
      </c>
      <c r="CS84" s="106">
        <f>IF(AE84="","",IFERROR(AE84*HSI!$B$79*HSI!$G$79/HSI!$B$3,""))</f>
        <v/>
      </c>
      <c r="CT84" s="106">
        <f>IF(AF84="","",IFERROR(AF84*HSI!$B$79*HSI!$G$79/HSI!$B$3,""))</f>
        <v/>
      </c>
      <c r="CU84" s="106">
        <f>IF(AG84="","",IFERROR(AG84*HSI!$B$79*HSI!$G$79/HSI!$B$3,""))</f>
        <v/>
      </c>
      <c r="CV84" s="106">
        <f>IF(AH84="","",IFERROR(AH84*HSI!$B$79*HSI!$G$79/HSI!$B$3,""))</f>
        <v/>
      </c>
      <c r="CW84" s="106">
        <f>IF(AI84="","",IFERROR(AI84*HSI!$B$79*HSI!$G$79/HSI!$B$3,""))</f>
        <v/>
      </c>
      <c r="CX84" s="106">
        <f>IF(AJ84="","",IFERROR(AJ84*HSI!$B$79*HSI!$G$79/HSI!$B$3,""))</f>
        <v/>
      </c>
      <c r="CY84" s="106">
        <f>IF(AK84="","",IFERROR(AK84*HSI!$B$79*HSI!$G$79/HSI!$B$3,""))</f>
        <v/>
      </c>
      <c r="CZ84" s="106">
        <f>IF(AL84="","",IFERROR(AL84*HSI!$B$79*HSI!$G$79/HSI!$B$3,""))</f>
        <v/>
      </c>
      <c r="DA84" s="106">
        <f>IF(AM84="","",IFERROR(AM84*HSI!$B$79*HSI!$G$79/HSI!$B$3,""))</f>
        <v/>
      </c>
      <c r="DB84" s="106">
        <f>IF(AN84="","",IFERROR(AN84*HSI!$B$79*HSI!$G$79/HSI!$B$3,""))</f>
        <v/>
      </c>
      <c r="DC84" s="106">
        <f>IF(AO84="","",IFERROR(AO84*HSI!$B$79*HSI!$G$79/HSI!$B$3,""))</f>
        <v/>
      </c>
      <c r="DD84" s="106">
        <f>IF(AP84="","",IFERROR(AP84*HSI!$B$79*HSI!$G$79/HSI!$B$3,""))</f>
        <v/>
      </c>
      <c r="DE84" s="106">
        <f>IF(AQ84="","",IFERROR(AQ84*HSI!$B$79*HSI!$G$79/HSI!$B$3,""))</f>
        <v/>
      </c>
      <c r="DF84" s="106">
        <f>IF(AR84="","",IFERROR(AR84*HSI!$B$79*HSI!$G$79/HSI!$B$3,""))</f>
        <v/>
      </c>
      <c r="DG84" s="106">
        <f>IF(AS84="","",IFERROR(AS84*HSI!$B$79*HSI!$G$79/HSI!$B$3,""))</f>
        <v/>
      </c>
      <c r="DH84" s="106">
        <f>IF(AT84="","",IFERROR(AT84*HSI!$B$79*HSI!$G$79/HSI!$B$3,""))</f>
        <v/>
      </c>
      <c r="DI84" s="106">
        <f>IF(AU84="","",IFERROR(AU84*HSI!$B$79*HSI!$G$79/HSI!$B$3,""))</f>
        <v/>
      </c>
      <c r="DJ84" s="106">
        <f>IF(AV84="","",IFERROR(AV84*HSI!$B$79*HSI!$G$79/HSI!$B$3,""))</f>
        <v/>
      </c>
      <c r="DK84" s="106">
        <f>IF(AW84="","",IFERROR(AW84*HSI!$B$79*HSI!$G$79/HSI!$B$3,""))</f>
        <v/>
      </c>
      <c r="DL84" s="106">
        <f>IF(AX84="","",IFERROR(AX84*HSI!$B$79*HSI!$G$79/HSI!$B$3,""))</f>
        <v/>
      </c>
      <c r="DM84" s="106">
        <f>IF(AY84="","",IFERROR(AY84*HSI!$B$79*HSI!$G$79/HSI!$B$3,""))</f>
        <v/>
      </c>
      <c r="DN84" s="106">
        <f>IF(AZ84="","",IFERROR(AZ84*HSI!$B$79*HSI!$G$79/HSI!$B$3,""))</f>
        <v/>
      </c>
      <c r="DO84" s="106">
        <f>IF(BA84="","",IFERROR(BA84*HSI!$B$79*HSI!$G$79/HSI!$B$3,""))</f>
        <v/>
      </c>
      <c r="DP84" s="106">
        <f>IF(BB84="","",IFERROR(BB84*HSI!$B$79*HSI!$G$79/HSI!$B$3,""))</f>
        <v/>
      </c>
      <c r="DQ84" s="106">
        <f>IF(BC84="","",IFERROR(BC84*HSI!$B$79*HSI!$G$79/HSI!$B$3,""))</f>
        <v/>
      </c>
      <c r="DR84" s="106">
        <f>IF(BD84="","",IFERROR(BD84*HSI!$B$79*HSI!$G$79/HSI!$B$3,""))</f>
        <v/>
      </c>
      <c r="DS84" s="106">
        <f>IF(BE84="","",IFERROR(BE84*HSI!$B$79*HSI!$G$79/HSI!$B$3,""))</f>
        <v/>
      </c>
      <c r="DT84" s="106">
        <f>IF(BF84="","",IFERROR(BF84*HSI!$B$79*HSI!$G$79/HSI!$B$3,""))</f>
        <v/>
      </c>
      <c r="DU84" s="106">
        <f>IF(BG84="","",IFERROR(BG84*HSI!$B$79*HSI!$G$79/HSI!$B$3,""))</f>
        <v/>
      </c>
      <c r="DV84" s="106">
        <f>IF(BH84="","",IFERROR(BH84*HSI!$B$79*HSI!$G$79/HSI!$B$3,""))</f>
        <v/>
      </c>
      <c r="DW84" s="106">
        <f>IF(BI84="","",IFERROR(BI84*HSI!$B$79*HSI!$G$79/HSI!$B$3,""))</f>
        <v/>
      </c>
      <c r="DX84" s="106">
        <f>IF(BJ84="","",IFERROR(BJ84*HSI!$B$79*HSI!$G$79/HSI!$B$3,""))</f>
        <v/>
      </c>
      <c r="DY84" s="106">
        <f>IF(BK84="","",IFERROR(BK84*HSI!$B$79*HSI!$G$79/HSI!$B$3,""))</f>
        <v/>
      </c>
      <c r="DZ84" s="106">
        <f>IF(BL84="","",IFERROR(BL84*HSI!$B$79*HSI!$G$79/HSI!$B$3,""))</f>
        <v/>
      </c>
      <c r="EA84" s="106">
        <f>IF(BM84="","",IFERROR(BM84*HSI!$B$79*HSI!$G$79/HSI!$B$3,""))</f>
        <v/>
      </c>
      <c r="EB84" s="106">
        <f>IF(BN84="","",IFERROR(BN84*HSI!$B$79*HSI!$G$79/HSI!$B$3,""))</f>
        <v/>
      </c>
      <c r="EC84" s="106">
        <f>IF(BO84="","",IFERROR(BO84*HSI!$B$79*HSI!$G$79/HSI!$B$3,""))</f>
        <v/>
      </c>
      <c r="EE84" s="35">
        <f>IF(N('Dvd Calendar'!$E$803)=0,"",IF(('Dvd Calendar'!$E$803&gt;=GRID_FROM)*('Dvd Calendar'!$E$803&lt;=GRID_TO)*('Dvd Calendar'!$E$803&lt;=VAL_DATE)=0,"",'Dvd Calendar'!$E$803*1000000000+ISNUMBER('Dvd Calendar'!$E$806)*100000000+('Dvd Calendar'!$E$808=SPECIAL_LBL)*10000000+0*1000000+73*1000+1))</f>
        <v/>
      </c>
      <c r="EF84" s="35">
        <f>IF(N('Dvd Calendar'!$F$803)=0,"",IF(('Dvd Calendar'!$F$803&gt;=GRID_FROM)*('Dvd Calendar'!$F$803&lt;=GRID_TO)*('Dvd Calendar'!$F$803&lt;=VAL_DATE)=0,"",'Dvd Calendar'!$F$803*1000000000+ISNUMBER('Dvd Calendar'!$F$806)*100000000+('Dvd Calendar'!$F$808=SPECIAL_LBL)*10000000+0*1000000+73*1000+2))</f>
        <v/>
      </c>
      <c r="EG84" s="35">
        <f>IF(N('Dvd Calendar'!$G$803)=0,"",IF(('Dvd Calendar'!$G$803&gt;=GRID_FROM)*('Dvd Calendar'!$G$803&lt;=GRID_TO)*('Dvd Calendar'!$G$803&lt;=VAL_DATE)=0,"",'Dvd Calendar'!$G$803*1000000000+ISNUMBER('Dvd Calendar'!$G$806)*100000000+('Dvd Calendar'!$G$808=SPECIAL_LBL)*10000000+0*1000000+73*1000+3))</f>
        <v/>
      </c>
      <c r="EH84" s="35">
        <f>IF(N('Dvd Calendar'!$H$803)=0,"",IF(('Dvd Calendar'!$H$803&gt;=GRID_FROM)*('Dvd Calendar'!$H$803&lt;=GRID_TO)*('Dvd Calendar'!$H$803&lt;=VAL_DATE)=0,"",'Dvd Calendar'!$H$803*1000000000+ISNUMBER('Dvd Calendar'!$H$806)*100000000+('Dvd Calendar'!$H$808=SPECIAL_LBL)*10000000+0*1000000+73*1000+4))</f>
        <v/>
      </c>
      <c r="EI84" s="35">
        <f>IF(N('Dvd Calendar'!$I$803)=0,"",IF(('Dvd Calendar'!$I$803&gt;=GRID_FROM)*('Dvd Calendar'!$I$803&lt;=GRID_TO)*('Dvd Calendar'!$I$803&lt;=VAL_DATE)=0,"",'Dvd Calendar'!$I$803*1000000000+ISNUMBER('Dvd Calendar'!$I$806)*100000000+('Dvd Calendar'!$I$808=SPECIAL_LBL)*10000000+0*1000000+73*1000+5))</f>
        <v/>
      </c>
      <c r="EJ84" s="35">
        <f>IF(N('Dvd Calendar'!$J$803)=0,"",IF(('Dvd Calendar'!$J$803&gt;=GRID_FROM)*('Dvd Calendar'!$J$803&lt;=GRID_TO)*('Dvd Calendar'!$J$803&lt;=VAL_DATE)=0,"",'Dvd Calendar'!$J$803*1000000000+ISNUMBER('Dvd Calendar'!$J$806)*100000000+('Dvd Calendar'!$J$808=SPECIAL_LBL)*10000000+0*1000000+73*1000+6))</f>
        <v/>
      </c>
      <c r="EK84" s="35">
        <f>IF(N('Dvd Calendar'!$K$803)=0,"",IF(('Dvd Calendar'!$K$803&gt;=GRID_FROM)*('Dvd Calendar'!$K$803&lt;=GRID_TO)*('Dvd Calendar'!$K$803&lt;=VAL_DATE)=0,"",'Dvd Calendar'!$K$803*1000000000+ISNUMBER('Dvd Calendar'!$K$806)*100000000+('Dvd Calendar'!$K$808=SPECIAL_LBL)*10000000+0*1000000+73*1000+7))</f>
        <v/>
      </c>
      <c r="EL84" s="35">
        <f>IF(N('Dvd Calendar'!$L$803)=0,"",IF(('Dvd Calendar'!$L$803&gt;=GRID_FROM)*('Dvd Calendar'!$L$803&lt;=GRID_TO)*('Dvd Calendar'!$L$803&lt;=VAL_DATE)=0,"",'Dvd Calendar'!$L$803*1000000000+ISNUMBER('Dvd Calendar'!$L$806)*100000000+('Dvd Calendar'!$L$808=SPECIAL_LBL)*10000000+0*1000000+73*1000+8))</f>
        <v/>
      </c>
      <c r="EM84" s="35">
        <f>IF(N('Dvd Calendar'!$M$803)=0,"",IF(('Dvd Calendar'!$M$803&gt;=GRID_FROM)*('Dvd Calendar'!$M$803&lt;=GRID_TO)*('Dvd Calendar'!$M$803&lt;=VAL_DATE)=0,"",'Dvd Calendar'!$M$803*1000000000+ISNUMBER('Dvd Calendar'!$M$806)*100000000+('Dvd Calendar'!$M$808=SPECIAL_LBL)*10000000+0*1000000+73*1000+9))</f>
        <v/>
      </c>
      <c r="EN84" s="35">
        <f>IF(N('Dvd Calendar'!$N$803)=0,"",IF(('Dvd Calendar'!$N$803&gt;=GRID_FROM)*('Dvd Calendar'!$N$803&lt;=GRID_TO)*('Dvd Calendar'!$N$803&lt;=VAL_DATE)=0,"",'Dvd Calendar'!$N$803*1000000000+ISNUMBER('Dvd Calendar'!$N$806)*100000000+('Dvd Calendar'!$N$808=SPECIAL_LBL)*10000000+0*1000000+73*1000+10))</f>
        <v/>
      </c>
      <c r="EO84" s="35">
        <f>IF(N('Dvd Calendar'!$O$803)=0,"",IF(('Dvd Calendar'!$O$803&gt;=GRID_FROM)*('Dvd Calendar'!$O$803&lt;=GRID_TO)*('Dvd Calendar'!$O$803&lt;=VAL_DATE)=0,"",'Dvd Calendar'!$O$803*1000000000+ISNUMBER('Dvd Calendar'!$O$806)*100000000+('Dvd Calendar'!$O$808=SPECIAL_LBL)*10000000+0*1000000+73*1000+11))</f>
        <v/>
      </c>
      <c r="EP84" s="35">
        <f>IF(N('Dvd Calendar'!$P$803)=0,"",IF(('Dvd Calendar'!$P$803&gt;=GRID_FROM)*('Dvd Calendar'!$P$803&lt;=GRID_TO)*('Dvd Calendar'!$P$803&lt;=VAL_DATE)=0,"",'Dvd Calendar'!$P$803*1000000000+ISNUMBER('Dvd Calendar'!$P$806)*100000000+('Dvd Calendar'!$P$808=SPECIAL_LBL)*10000000+0*1000000+73*1000+12))</f>
        <v/>
      </c>
      <c r="EQ84" s="35">
        <f>IF(N('Dvd Calendar'!$Q$803)=0,"",IF(('Dvd Calendar'!$Q$803&gt;=GRID_FROM)*('Dvd Calendar'!$Q$803&lt;=GRID_TO)*('Dvd Calendar'!$Q$803&lt;=VAL_DATE)=0,"",'Dvd Calendar'!$Q$803*1000000000+ISNUMBER('Dvd Calendar'!$Q$806)*100000000+('Dvd Calendar'!$Q$808=SPECIAL_LBL)*10000000+0*1000000+73*1000+13))</f>
        <v/>
      </c>
      <c r="ER84" s="35">
        <f>IF(N('Dvd Calendar'!$R$803)=0,"",IF(('Dvd Calendar'!$R$803&gt;=GRID_FROM)*('Dvd Calendar'!$R$803&lt;=GRID_TO)*('Dvd Calendar'!$R$803&lt;=VAL_DATE)=0,"",'Dvd Calendar'!$R$803*1000000000+ISNUMBER('Dvd Calendar'!$R$806)*100000000+('Dvd Calendar'!$R$808=SPECIAL_LBL)*10000000+0*1000000+73*1000+14))</f>
        <v/>
      </c>
      <c r="ES84" s="35">
        <f>IF(N('Dvd Calendar'!$S$803)=0,"",IF(('Dvd Calendar'!$S$803&gt;=GRID_FROM)*('Dvd Calendar'!$S$803&lt;=GRID_TO)*('Dvd Calendar'!$S$803&lt;=VAL_DATE)=0,"",'Dvd Calendar'!$S$803*1000000000+ISNUMBER('Dvd Calendar'!$S$806)*100000000+('Dvd Calendar'!$S$808=SPECIAL_LBL)*10000000+0*1000000+73*1000+15))</f>
        <v/>
      </c>
      <c r="ET84" s="35">
        <f>IF(N('Dvd Calendar'!$T$803)=0,"",IF(('Dvd Calendar'!$T$803&gt;=GRID_FROM)*('Dvd Calendar'!$T$803&lt;=GRID_TO)*('Dvd Calendar'!$T$803&lt;=VAL_DATE)=0,"",'Dvd Calendar'!$T$803*1000000000+ISNUMBER('Dvd Calendar'!$T$806)*100000000+('Dvd Calendar'!$T$808=SPECIAL_LBL)*10000000+0*1000000+73*1000+16))</f>
        <v/>
      </c>
      <c r="EU84" s="35">
        <f>IF(N('Dvd Calendar'!$U$803)=0,"",IF(('Dvd Calendar'!$U$803&gt;=GRID_FROM)*('Dvd Calendar'!$U$803&lt;=GRID_TO)*('Dvd Calendar'!$U$803&lt;=VAL_DATE)=0,"",'Dvd Calendar'!$U$803*1000000000+ISNUMBER('Dvd Calendar'!$U$806)*100000000+('Dvd Calendar'!$U$808=SPECIAL_LBL)*10000000+0*1000000+73*1000+17))</f>
        <v/>
      </c>
      <c r="EV84" s="35">
        <f>IF(N('Dvd Calendar'!$V$803)=0,"",IF(('Dvd Calendar'!$V$803&gt;=GRID_FROM)*('Dvd Calendar'!$V$803&lt;=GRID_TO)*('Dvd Calendar'!$V$803&lt;=VAL_DATE)=0,"",'Dvd Calendar'!$V$803*1000000000+ISNUMBER('Dvd Calendar'!$V$806)*100000000+('Dvd Calendar'!$V$808=SPECIAL_LBL)*10000000+0*1000000+73*1000+18))</f>
        <v/>
      </c>
      <c r="EW84" s="35">
        <f>IF(N('Dvd Calendar'!$W$803)=0,"",IF(('Dvd Calendar'!$W$803&gt;=GRID_FROM)*('Dvd Calendar'!$W$803&lt;=GRID_TO)*('Dvd Calendar'!$W$803&lt;=VAL_DATE)=0,"",'Dvd Calendar'!$W$803*1000000000+ISNUMBER('Dvd Calendar'!$W$806)*100000000+('Dvd Calendar'!$W$808=SPECIAL_LBL)*10000000+0*1000000+73*1000+19))</f>
        <v/>
      </c>
      <c r="EX84" s="35">
        <f>IF(N('Dvd Calendar'!$X$803)=0,"",IF(('Dvd Calendar'!$X$803&gt;=GRID_FROM)*('Dvd Calendar'!$X$803&lt;=GRID_TO)*('Dvd Calendar'!$X$803&lt;=VAL_DATE)=0,"",'Dvd Calendar'!$X$803*1000000000+ISNUMBER('Dvd Calendar'!$X$806)*100000000+('Dvd Calendar'!$X$808=SPECIAL_LBL)*10000000+0*1000000+73*1000+20))</f>
        <v/>
      </c>
      <c r="EY84" s="35">
        <f>IF(N('Dvd Calendar'!$Y$803)=0,"",IF(('Dvd Calendar'!$Y$803&gt;=GRID_FROM)*('Dvd Calendar'!$Y$803&lt;=GRID_TO)*('Dvd Calendar'!$Y$803&lt;=VAL_DATE)=0,"",'Dvd Calendar'!$Y$803*1000000000+ISNUMBER('Dvd Calendar'!$Y$806)*100000000+('Dvd Calendar'!$Y$808=SPECIAL_LBL)*10000000+0*1000000+73*1000+21))</f>
        <v/>
      </c>
      <c r="EZ84" s="35">
        <f>IF(N('Dvd Calendar'!$Z$803)=0,"",IF(('Dvd Calendar'!$Z$803&gt;=GRID_FROM)*('Dvd Calendar'!$Z$803&lt;=GRID_TO)*('Dvd Calendar'!$Z$803&lt;=VAL_DATE)=0,"",'Dvd Calendar'!$Z$803*1000000000+ISNUMBER('Dvd Calendar'!$Z$806)*100000000+('Dvd Calendar'!$Z$808=SPECIAL_LBL)*10000000+0*1000000+73*1000+22))</f>
        <v/>
      </c>
      <c r="FA84" s="35">
        <f>IF(N('Dvd Calendar'!$AA$803)=0,"",IF(('Dvd Calendar'!$AA$803&gt;=GRID_FROM)*('Dvd Calendar'!$AA$803&lt;=GRID_TO)*('Dvd Calendar'!$AA$803&lt;=VAL_DATE)=0,"",'Dvd Calendar'!$AA$803*1000000000+ISNUMBER('Dvd Calendar'!$AA$806)*100000000+('Dvd Calendar'!$AA$808=SPECIAL_LBL)*10000000+0*1000000+73*1000+23))</f>
        <v/>
      </c>
      <c r="FB84" s="35">
        <f>IF(N('Dvd Calendar'!$AB$803)=0,"",IF(('Dvd Calendar'!$AB$803&gt;=GRID_FROM)*('Dvd Calendar'!$AB$803&lt;=GRID_TO)*('Dvd Calendar'!$AB$803&lt;=VAL_DATE)=0,"",'Dvd Calendar'!$AB$803*1000000000+ISNUMBER('Dvd Calendar'!$AB$806)*100000000+('Dvd Calendar'!$AB$808=SPECIAL_LBL)*10000000+0*1000000+73*1000+24))</f>
        <v/>
      </c>
      <c r="FC84" s="35">
        <f>IF(N('Dvd Calendar'!$AC$803)=0,"",IF(('Dvd Calendar'!$AC$803&gt;=GRID_FROM)*('Dvd Calendar'!$AC$803&lt;=GRID_TO)*('Dvd Calendar'!$AC$803&lt;=VAL_DATE)=0,"",'Dvd Calendar'!$AC$803*1000000000+ISNUMBER('Dvd Calendar'!$AC$806)*100000000+('Dvd Calendar'!$AC$808=SPECIAL_LBL)*10000000+0*1000000+73*1000+25))</f>
        <v/>
      </c>
      <c r="FD84" s="35">
        <f>IF(N('Dvd Calendar'!$AD$803)=0,"",IF(('Dvd Calendar'!$AD$803&gt;=GRID_FROM)*('Dvd Calendar'!$AD$803&lt;=GRID_TO)*('Dvd Calendar'!$AD$803&lt;=VAL_DATE)=0,"",'Dvd Calendar'!$AD$803*1000000000+ISNUMBER('Dvd Calendar'!$AD$806)*100000000+('Dvd Calendar'!$AD$808=SPECIAL_LBL)*10000000+0*1000000+73*1000+26))</f>
        <v/>
      </c>
      <c r="FE84" s="35">
        <f>IF(N('Dvd Calendar'!$AE$803)=0,"",IF(('Dvd Calendar'!$AE$803&gt;=GRID_FROM)*('Dvd Calendar'!$AE$803&lt;=GRID_TO)*('Dvd Calendar'!$AE$803&lt;=VAL_DATE)=0,"",'Dvd Calendar'!$AE$803*1000000000+ISNUMBER('Dvd Calendar'!$AE$806)*100000000+('Dvd Calendar'!$AE$808=SPECIAL_LBL)*10000000+0*1000000+73*1000+27))</f>
        <v/>
      </c>
      <c r="FF84" s="35">
        <f>IF(N('Dvd Calendar'!$AF$803)=0,"",IF(('Dvd Calendar'!$AF$803&gt;=GRID_FROM)*('Dvd Calendar'!$AF$803&lt;=GRID_TO)*('Dvd Calendar'!$AF$803&lt;=VAL_DATE)=0,"",'Dvd Calendar'!$AF$803*1000000000+ISNUMBER('Dvd Calendar'!$AF$806)*100000000+('Dvd Calendar'!$AF$808=SPECIAL_LBL)*10000000+0*1000000+73*1000+28))</f>
        <v/>
      </c>
      <c r="FG84" s="35">
        <f>IF(N('Dvd Calendar'!$AG$803)=0,"",IF(('Dvd Calendar'!$AG$803&gt;=GRID_FROM)*('Dvd Calendar'!$AG$803&lt;=GRID_TO)*('Dvd Calendar'!$AG$803&lt;=VAL_DATE)=0,"",'Dvd Calendar'!$AG$803*1000000000+ISNUMBER('Dvd Calendar'!$AG$806)*100000000+('Dvd Calendar'!$AG$808=SPECIAL_LBL)*10000000+0*1000000+73*1000+29))</f>
        <v/>
      </c>
      <c r="FH84" s="35">
        <f>IF(N('Dvd Calendar'!$AH$803)=0,"",IF(('Dvd Calendar'!$AH$803&gt;=GRID_FROM)*('Dvd Calendar'!$AH$803&lt;=GRID_TO)*('Dvd Calendar'!$AH$803&lt;=VAL_DATE)=0,"",'Dvd Calendar'!$AH$803*1000000000+ISNUMBER('Dvd Calendar'!$AH$806)*100000000+('Dvd Calendar'!$AH$808=SPECIAL_LBL)*10000000+0*1000000+73*1000+30))</f>
        <v/>
      </c>
      <c r="FI84" s="35">
        <f>IF(N('Dvd Calendar'!$AI$803)=0,"",IF(('Dvd Calendar'!$AI$803&gt;=GRID_FROM)*('Dvd Calendar'!$AI$803&lt;=GRID_TO)*('Dvd Calendar'!$AI$803&lt;=VAL_DATE)=0,"",'Dvd Calendar'!$AI$803*1000000000+ISNUMBER('Dvd Calendar'!$AI$806)*100000000+('Dvd Calendar'!$AI$808=SPECIAL_LBL)*10000000+0*1000000+73*1000+31))</f>
        <v/>
      </c>
      <c r="FJ84" s="35">
        <f>IF(N('Dvd Calendar'!$AJ$803)=0,"",IF(('Dvd Calendar'!$AJ$803&gt;=GRID_FROM)*('Dvd Calendar'!$AJ$803&lt;=GRID_TO)*('Dvd Calendar'!$AJ$803&lt;=VAL_DATE)=0,"",'Dvd Calendar'!$AJ$803*1000000000+ISNUMBER('Dvd Calendar'!$AJ$806)*100000000+('Dvd Calendar'!$AJ$808=SPECIAL_LBL)*10000000+0*1000000+73*1000+32))</f>
        <v/>
      </c>
      <c r="FK84" s="35">
        <f>IF(N('Dvd Calendar'!$AK$803)=0,"",IF(('Dvd Calendar'!$AK$803&gt;=GRID_FROM)*('Dvd Calendar'!$AK$803&lt;=GRID_TO)*('Dvd Calendar'!$AK$803&lt;=VAL_DATE)=0,"",'Dvd Calendar'!$AK$803*1000000000+ISNUMBER('Dvd Calendar'!$AK$806)*100000000+('Dvd Calendar'!$AK$808=SPECIAL_LBL)*10000000+0*1000000+73*1000+33))</f>
        <v/>
      </c>
      <c r="FL84" s="35">
        <f>IF(N('Dvd Calendar'!$AL$803)=0,"",IF(('Dvd Calendar'!$AL$803&gt;=GRID_FROM)*('Dvd Calendar'!$AL$803&lt;=GRID_TO)*('Dvd Calendar'!$AL$803&lt;=VAL_DATE)=0,"",'Dvd Calendar'!$AL$803*1000000000+ISNUMBER('Dvd Calendar'!$AL$806)*100000000+('Dvd Calendar'!$AL$808=SPECIAL_LBL)*10000000+0*1000000+73*1000+34))</f>
        <v/>
      </c>
      <c r="FM84" s="35">
        <f>IF(N('Dvd Calendar'!$AM$803)=0,"",IF(('Dvd Calendar'!$AM$803&gt;=GRID_FROM)*('Dvd Calendar'!$AM$803&lt;=GRID_TO)*('Dvd Calendar'!$AM$803&lt;=VAL_DATE)=0,"",'Dvd Calendar'!$AM$803*1000000000+ISNUMBER('Dvd Calendar'!$AM$806)*100000000+('Dvd Calendar'!$AM$808=SPECIAL_LBL)*10000000+0*1000000+73*1000+35))</f>
        <v/>
      </c>
      <c r="FN84" s="35">
        <f>IF(N('Dvd Calendar'!$AN$803)=0,"",IF(('Dvd Calendar'!$AN$803&gt;=GRID_FROM)*('Dvd Calendar'!$AN$803&lt;=GRID_TO)*('Dvd Calendar'!$AN$803&lt;=VAL_DATE)=0,"",'Dvd Calendar'!$AN$803*1000000000+ISNUMBER('Dvd Calendar'!$AN$806)*100000000+('Dvd Calendar'!$AN$808=SPECIAL_LBL)*10000000+0*1000000+73*1000+36))</f>
        <v/>
      </c>
      <c r="FO84" s="35">
        <f>IF(N('Dvd Calendar'!$AO$803)=0,"",IF(('Dvd Calendar'!$AO$803&gt;=GRID_FROM)*('Dvd Calendar'!$AO$803&lt;=GRID_TO)*('Dvd Calendar'!$AO$803&lt;=VAL_DATE)=0,"",'Dvd Calendar'!$AO$803*1000000000+ISNUMBER('Dvd Calendar'!$AO$806)*100000000+('Dvd Calendar'!$AO$808=SPECIAL_LBL)*10000000+0*1000000+73*1000+37))</f>
        <v/>
      </c>
      <c r="FP84" s="35">
        <f>IF(N('Dvd Calendar'!$AP$803)=0,"",IF(('Dvd Calendar'!$AP$803&gt;=GRID_FROM)*('Dvd Calendar'!$AP$803&lt;=GRID_TO)*('Dvd Calendar'!$AP$803&lt;=VAL_DATE)=0,"",'Dvd Calendar'!$AP$803*1000000000+ISNUMBER('Dvd Calendar'!$AP$806)*100000000+('Dvd Calendar'!$AP$808=SPECIAL_LBL)*10000000+0*1000000+73*1000+38))</f>
        <v/>
      </c>
      <c r="FQ84" s="35">
        <f>IF(N('Dvd Calendar'!$AQ$803)=0,"",IF(('Dvd Calendar'!$AQ$803&gt;=GRID_FROM)*('Dvd Calendar'!$AQ$803&lt;=GRID_TO)*('Dvd Calendar'!$AQ$803&lt;=VAL_DATE)=0,"",'Dvd Calendar'!$AQ$803*1000000000+ISNUMBER('Dvd Calendar'!$AQ$806)*100000000+('Dvd Calendar'!$AQ$808=SPECIAL_LBL)*10000000+0*1000000+73*1000+39))</f>
        <v/>
      </c>
      <c r="FR84" s="35">
        <f>IF(N('Dvd Calendar'!$AR$803)=0,"",IF(('Dvd Calendar'!$AR$803&gt;=GRID_FROM)*('Dvd Calendar'!$AR$803&lt;=GRID_TO)*('Dvd Calendar'!$AR$803&lt;=VAL_DATE)=0,"",'Dvd Calendar'!$AR$803*1000000000+ISNUMBER('Dvd Calendar'!$AR$806)*100000000+('Dvd Calendar'!$AR$808=SPECIAL_LBL)*10000000+0*1000000+73*1000+40))</f>
        <v/>
      </c>
      <c r="FS84" s="35">
        <f>IF(N('Dvd Calendar'!$E$810)=0,"",IF(('Dvd Calendar'!$E$810&gt;=GRID_FROM)*('Dvd Calendar'!$E$810&lt;=GRID_TO)*('Dvd Calendar'!$E$810&gt;VAL_DATE)=0,"",'Dvd Calendar'!$E$810*1000000000+ISNUMBER('Dvd Calendar'!$E$811)*100000000+0*10000000+(N('Dvd Calendar'!$E$809)&gt;0)*(N('Dvd Calendar'!$E$809)&lt;=VAL_SERIAL)*1000000+73*1000+41))</f>
        <v/>
      </c>
      <c r="FT84" s="35">
        <f>IF(N('Dvd Calendar'!$F$810)=0,"",IF(('Dvd Calendar'!$F$810&gt;=GRID_FROM)*('Dvd Calendar'!$F$810&lt;=GRID_TO)*('Dvd Calendar'!$F$810&gt;VAL_DATE)=0,"",'Dvd Calendar'!$F$810*1000000000+ISNUMBER('Dvd Calendar'!$F$811)*100000000+0*10000000+(N('Dvd Calendar'!$F$809)&gt;0)*(N('Dvd Calendar'!$F$809)&lt;=VAL_SERIAL)*1000000+73*1000+42))</f>
        <v/>
      </c>
      <c r="FU84" s="35">
        <f>IF(N('Dvd Calendar'!$G$810)=0,"",IF(('Dvd Calendar'!$G$810&gt;=GRID_FROM)*('Dvd Calendar'!$G$810&lt;=GRID_TO)*('Dvd Calendar'!$G$810&gt;VAL_DATE)=0,"",'Dvd Calendar'!$G$810*1000000000+ISNUMBER('Dvd Calendar'!$G$811)*100000000+0*10000000+(N('Dvd Calendar'!$G$809)&gt;0)*(N('Dvd Calendar'!$G$809)&lt;=VAL_SERIAL)*1000000+73*1000+43))</f>
        <v/>
      </c>
      <c r="FV84" s="35">
        <f>IF(N('Dvd Calendar'!$H$810)=0,"",IF(('Dvd Calendar'!$H$810&gt;=GRID_FROM)*('Dvd Calendar'!$H$810&lt;=GRID_TO)*('Dvd Calendar'!$H$810&gt;VAL_DATE)=0,"",'Dvd Calendar'!$H$810*1000000000+ISNUMBER('Dvd Calendar'!$H$811)*100000000+0*10000000+(N('Dvd Calendar'!$H$809)&gt;0)*(N('Dvd Calendar'!$H$809)&lt;=VAL_SERIAL)*1000000+73*1000+44))</f>
        <v/>
      </c>
      <c r="FW84" s="35">
        <f>IF(N('Dvd Calendar'!$I$810)=0,"",IF(('Dvd Calendar'!$I$810&gt;=GRID_FROM)*('Dvd Calendar'!$I$810&lt;=GRID_TO)*('Dvd Calendar'!$I$810&gt;VAL_DATE)=0,"",'Dvd Calendar'!$I$810*1000000000+ISNUMBER('Dvd Calendar'!$I$811)*100000000+0*10000000+(N('Dvd Calendar'!$I$809)&gt;0)*(N('Dvd Calendar'!$I$809)&lt;=VAL_SERIAL)*1000000+73*1000+45))</f>
        <v/>
      </c>
      <c r="FX84" s="35">
        <f>IF(N('Dvd Calendar'!$J$810)=0,"",IF(('Dvd Calendar'!$J$810&gt;=GRID_FROM)*('Dvd Calendar'!$J$810&lt;=GRID_TO)*('Dvd Calendar'!$J$810&gt;VAL_DATE)=0,"",'Dvd Calendar'!$J$810*1000000000+ISNUMBER('Dvd Calendar'!$J$811)*100000000+0*10000000+(N('Dvd Calendar'!$J$809)&gt;0)*(N('Dvd Calendar'!$J$809)&lt;=VAL_SERIAL)*1000000+73*1000+46))</f>
        <v/>
      </c>
      <c r="FY84" s="35">
        <f>IF(N('Dvd Calendar'!$K$810)=0,"",IF(('Dvd Calendar'!$K$810&gt;=GRID_FROM)*('Dvd Calendar'!$K$810&lt;=GRID_TO)*('Dvd Calendar'!$K$810&gt;VAL_DATE)=0,"",'Dvd Calendar'!$K$810*1000000000+ISNUMBER('Dvd Calendar'!$K$811)*100000000+0*10000000+(N('Dvd Calendar'!$K$809)&gt;0)*(N('Dvd Calendar'!$K$809)&lt;=VAL_SERIAL)*1000000+73*1000+47))</f>
        <v/>
      </c>
      <c r="FZ84" s="35">
        <f>IF(N('Dvd Calendar'!$L$810)=0,"",IF(('Dvd Calendar'!$L$810&gt;=GRID_FROM)*('Dvd Calendar'!$L$810&lt;=GRID_TO)*('Dvd Calendar'!$L$810&gt;VAL_DATE)=0,"",'Dvd Calendar'!$L$810*1000000000+ISNUMBER('Dvd Calendar'!$L$811)*100000000+0*10000000+(N('Dvd Calendar'!$L$809)&gt;0)*(N('Dvd Calendar'!$L$809)&lt;=VAL_SERIAL)*1000000+73*1000+48))</f>
        <v/>
      </c>
      <c r="GA84" s="35">
        <f>IF(N('Dvd Calendar'!$M$810)=0,"",IF(('Dvd Calendar'!$M$810&gt;=GRID_FROM)*('Dvd Calendar'!$M$810&lt;=GRID_TO)*('Dvd Calendar'!$M$810&gt;VAL_DATE)=0,"",'Dvd Calendar'!$M$810*1000000000+ISNUMBER('Dvd Calendar'!$M$811)*100000000+0*10000000+(N('Dvd Calendar'!$M$809)&gt;0)*(N('Dvd Calendar'!$M$809)&lt;=VAL_SERIAL)*1000000+73*1000+49))</f>
        <v/>
      </c>
      <c r="GB84" s="35">
        <f>IF(N('Dvd Calendar'!$N$810)=0,"",IF(('Dvd Calendar'!$N$810&gt;=GRID_FROM)*('Dvd Calendar'!$N$810&lt;=GRID_TO)*('Dvd Calendar'!$N$810&gt;VAL_DATE)=0,"",'Dvd Calendar'!$N$810*1000000000+ISNUMBER('Dvd Calendar'!$N$811)*100000000+0*10000000+(N('Dvd Calendar'!$N$809)&gt;0)*(N('Dvd Calendar'!$N$809)&lt;=VAL_SERIAL)*1000000+73*1000+50))</f>
        <v/>
      </c>
      <c r="GC84" s="35">
        <f>IF(N('Dvd Calendar'!$O$810)=0,"",IF(('Dvd Calendar'!$O$810&gt;=GRID_FROM)*('Dvd Calendar'!$O$810&lt;=GRID_TO)*('Dvd Calendar'!$O$810&gt;VAL_DATE)=0,"",'Dvd Calendar'!$O$810*1000000000+ISNUMBER('Dvd Calendar'!$O$811)*100000000+0*10000000+(N('Dvd Calendar'!$O$809)&gt;0)*(N('Dvd Calendar'!$O$809)&lt;=VAL_SERIAL)*1000000+73*1000+51))</f>
        <v/>
      </c>
      <c r="GD84" s="35">
        <f>IF(N('Dvd Calendar'!$P$810)=0,"",IF(('Dvd Calendar'!$P$810&gt;=GRID_FROM)*('Dvd Calendar'!$P$810&lt;=GRID_TO)*('Dvd Calendar'!$P$810&gt;VAL_DATE)=0,"",'Dvd Calendar'!$P$810*1000000000+ISNUMBER('Dvd Calendar'!$P$811)*100000000+0*10000000+(N('Dvd Calendar'!$P$809)&gt;0)*(N('Dvd Calendar'!$P$809)&lt;=VAL_SERIAL)*1000000+73*1000+52))</f>
        <v/>
      </c>
      <c r="GE84" s="35">
        <f>IF(N('Dvd Calendar'!$Q$810)=0,"",IF(('Dvd Calendar'!$Q$810&gt;=GRID_FROM)*('Dvd Calendar'!$Q$810&lt;=GRID_TO)*('Dvd Calendar'!$Q$810&gt;VAL_DATE)=0,"",'Dvd Calendar'!$Q$810*1000000000+ISNUMBER('Dvd Calendar'!$Q$811)*100000000+0*10000000+(N('Dvd Calendar'!$Q$809)&gt;0)*(N('Dvd Calendar'!$Q$809)&lt;=VAL_SERIAL)*1000000+73*1000+53))</f>
        <v/>
      </c>
      <c r="GF84" s="35">
        <f>IF(N('Dvd Calendar'!$R$810)=0,"",IF(('Dvd Calendar'!$R$810&gt;=GRID_FROM)*('Dvd Calendar'!$R$810&lt;=GRID_TO)*('Dvd Calendar'!$R$810&gt;VAL_DATE)=0,"",'Dvd Calendar'!$R$810*1000000000+ISNUMBER('Dvd Calendar'!$R$811)*100000000+0*10000000+(N('Dvd Calendar'!$R$809)&gt;0)*(N('Dvd Calendar'!$R$809)&lt;=VAL_SERIAL)*1000000+73*1000+54))</f>
        <v/>
      </c>
      <c r="GG84" s="35">
        <f>IF(N('Dvd Calendar'!$S$810)=0,"",IF(('Dvd Calendar'!$S$810&gt;=GRID_FROM)*('Dvd Calendar'!$S$810&lt;=GRID_TO)*('Dvd Calendar'!$S$810&gt;VAL_DATE)=0,"",'Dvd Calendar'!$S$810*1000000000+ISNUMBER('Dvd Calendar'!$S$811)*100000000+0*10000000+(N('Dvd Calendar'!$S$809)&gt;0)*(N('Dvd Calendar'!$S$809)&lt;=VAL_SERIAL)*1000000+73*1000+55))</f>
        <v/>
      </c>
      <c r="GH84" s="35">
        <f>IF(N('Dvd Calendar'!$T$810)=0,"",IF(('Dvd Calendar'!$T$810&gt;=GRID_FROM)*('Dvd Calendar'!$T$810&lt;=GRID_TO)*('Dvd Calendar'!$T$810&gt;VAL_DATE)=0,"",'Dvd Calendar'!$T$810*1000000000+ISNUMBER('Dvd Calendar'!$T$811)*100000000+0*10000000+(N('Dvd Calendar'!$T$809)&gt;0)*(N('Dvd Calendar'!$T$809)&lt;=VAL_SERIAL)*1000000+73*1000+56))</f>
        <v/>
      </c>
      <c r="GI84" s="35">
        <f>IF(N('Dvd Calendar'!$U$810)=0,"",IF(('Dvd Calendar'!$U$810&gt;=GRID_FROM)*('Dvd Calendar'!$U$810&lt;=GRID_TO)*('Dvd Calendar'!$U$810&gt;VAL_DATE)=0,"",'Dvd Calendar'!$U$810*1000000000+ISNUMBER('Dvd Calendar'!$U$811)*100000000+0*10000000+(N('Dvd Calendar'!$U$809)&gt;0)*(N('Dvd Calendar'!$U$809)&lt;=VAL_SERIAL)*1000000+73*1000+57))</f>
        <v/>
      </c>
      <c r="GJ84" s="35">
        <f>IF(N('Dvd Calendar'!$V$810)=0,"",IF(('Dvd Calendar'!$V$810&gt;=GRID_FROM)*('Dvd Calendar'!$V$810&lt;=GRID_TO)*('Dvd Calendar'!$V$810&gt;VAL_DATE)=0,"",'Dvd Calendar'!$V$810*1000000000+ISNUMBER('Dvd Calendar'!$V$811)*100000000+0*10000000+(N('Dvd Calendar'!$V$809)&gt;0)*(N('Dvd Calendar'!$V$809)&lt;=VAL_SERIAL)*1000000+73*1000+58))</f>
        <v/>
      </c>
      <c r="GK84" s="35">
        <f>IF(N('Dvd Calendar'!$W$810)=0,"",IF(('Dvd Calendar'!$W$810&gt;=GRID_FROM)*('Dvd Calendar'!$W$810&lt;=GRID_TO)*('Dvd Calendar'!$W$810&gt;VAL_DATE)=0,"",'Dvd Calendar'!$W$810*1000000000+ISNUMBER('Dvd Calendar'!$W$811)*100000000+0*10000000+(N('Dvd Calendar'!$W$809)&gt;0)*(N('Dvd Calendar'!$W$809)&lt;=VAL_SERIAL)*1000000+73*1000+59))</f>
        <v/>
      </c>
      <c r="GL84" s="35">
        <f>IF(N('Dvd Calendar'!$X$810)=0,"",IF(('Dvd Calendar'!$X$810&gt;=GRID_FROM)*('Dvd Calendar'!$X$810&lt;=GRID_TO)*('Dvd Calendar'!$X$810&gt;VAL_DATE)=0,"",'Dvd Calendar'!$X$810*1000000000+ISNUMBER('Dvd Calendar'!$X$811)*100000000+0*10000000+(N('Dvd Calendar'!$X$809)&gt;0)*(N('Dvd Calendar'!$X$809)&lt;=VAL_SERIAL)*1000000+73*1000+60))</f>
        <v/>
      </c>
      <c r="GM84" s="35">
        <f>IF(N('Dvd Calendar'!$Y$810)=0,"",IF(('Dvd Calendar'!$Y$810&gt;=GRID_FROM)*('Dvd Calendar'!$Y$810&lt;=GRID_TO)*('Dvd Calendar'!$Y$810&gt;VAL_DATE)=0,"",'Dvd Calendar'!$Y$810*1000000000+ISNUMBER('Dvd Calendar'!$Y$811)*100000000+0*10000000+(N('Dvd Calendar'!$Y$809)&gt;0)*(N('Dvd Calendar'!$Y$809)&lt;=VAL_SERIAL)*1000000+73*1000+61))</f>
        <v/>
      </c>
      <c r="GN84" s="35">
        <f>IF(N('Dvd Calendar'!$Z$810)=0,"",IF(('Dvd Calendar'!$Z$810&gt;=GRID_FROM)*('Dvd Calendar'!$Z$810&lt;=GRID_TO)*('Dvd Calendar'!$Z$810&gt;VAL_DATE)=0,"",'Dvd Calendar'!$Z$810*1000000000+ISNUMBER('Dvd Calendar'!$Z$811)*100000000+0*10000000+(N('Dvd Calendar'!$Z$809)&gt;0)*(N('Dvd Calendar'!$Z$809)&lt;=VAL_SERIAL)*1000000+73*1000+62))</f>
        <v/>
      </c>
      <c r="GO84" s="35">
        <f>IF(N('Dvd Calendar'!$AA$810)=0,"",IF(('Dvd Calendar'!$AA$810&gt;=GRID_FROM)*('Dvd Calendar'!$AA$810&lt;=GRID_TO)*('Dvd Calendar'!$AA$810&gt;VAL_DATE)=0,"",'Dvd Calendar'!$AA$810*1000000000+ISNUMBER('Dvd Calendar'!$AA$811)*100000000+0*10000000+(N('Dvd Calendar'!$AA$809)&gt;0)*(N('Dvd Calendar'!$AA$809)&lt;=VAL_SERIAL)*1000000+73*1000+63))</f>
        <v/>
      </c>
      <c r="GP84" s="35">
        <f>IF(N('Dvd Calendar'!$AB$810)=0,"",IF(('Dvd Calendar'!$AB$810&gt;=GRID_FROM)*('Dvd Calendar'!$AB$810&lt;=GRID_TO)*('Dvd Calendar'!$AB$810&gt;VAL_DATE)=0,"",'Dvd Calendar'!$AB$810*1000000000+ISNUMBER('Dvd Calendar'!$AB$811)*100000000+0*10000000+(N('Dvd Calendar'!$AB$809)&gt;0)*(N('Dvd Calendar'!$AB$809)&lt;=VAL_SERIAL)*1000000+73*1000+64))</f>
        <v/>
      </c>
      <c r="GQ84" s="35">
        <f>IF(N('Dvd Calendar'!$AC$810)=0,"",IF(('Dvd Calendar'!$AC$810&gt;=GRID_FROM)*('Dvd Calendar'!$AC$810&lt;=GRID_TO)*('Dvd Calendar'!$AC$810&gt;VAL_DATE)=0,"",'Dvd Calendar'!$AC$810*1000000000+ISNUMBER('Dvd Calendar'!$AC$811)*100000000+0*10000000+(N('Dvd Calendar'!$AC$809)&gt;0)*(N('Dvd Calendar'!$AC$809)&lt;=VAL_SERIAL)*1000000+73*1000+65))</f>
        <v/>
      </c>
    </row>
    <row r="85">
      <c r="B85" s="2">
        <f>IF(HSI!$C$80="","",HSI!$C$80)</f>
        <v/>
      </c>
      <c r="C85" s="106">
        <f>IF(EE85="","",IF(ISNUMBER('Dvd Calendar'!$E$817)=FALSE,"",IF((('Dvd Calendar'!$E$819=TYPE1)*(TYPE1&lt;&gt;"")+('Dvd Calendar'!$E$819=TYPE2)*(TYPE2&lt;&gt;"")+('Dvd Calendar'!$E$819=TYPE3)*(TYPE3&lt;&gt;"")+('Dvd Calendar'!$E$819=TYPE4)*(TYPE4&lt;&gt;"")+('Dvd Calendar'!$E$819=SPECIAL_LBL)*(INC_SPECIALS="Y"))=0,"",'Dvd Calendar'!$E$817)))</f>
        <v/>
      </c>
      <c r="D85" s="106">
        <f>IF(EF85="","",IF(ISNUMBER('Dvd Calendar'!$F$817)=FALSE,"",IF((('Dvd Calendar'!$F$819=TYPE1)*(TYPE1&lt;&gt;"")+('Dvd Calendar'!$F$819=TYPE2)*(TYPE2&lt;&gt;"")+('Dvd Calendar'!$F$819=TYPE3)*(TYPE3&lt;&gt;"")+('Dvd Calendar'!$F$819=TYPE4)*(TYPE4&lt;&gt;"")+('Dvd Calendar'!$F$819=SPECIAL_LBL)*(INC_SPECIALS="Y"))=0,"",'Dvd Calendar'!$F$817)))</f>
        <v/>
      </c>
      <c r="E85" s="106">
        <f>IF(EG85="","",IF(ISNUMBER('Dvd Calendar'!$G$817)=FALSE,"",IF((('Dvd Calendar'!$G$819=TYPE1)*(TYPE1&lt;&gt;"")+('Dvd Calendar'!$G$819=TYPE2)*(TYPE2&lt;&gt;"")+('Dvd Calendar'!$G$819=TYPE3)*(TYPE3&lt;&gt;"")+('Dvd Calendar'!$G$819=TYPE4)*(TYPE4&lt;&gt;"")+('Dvd Calendar'!$G$819=SPECIAL_LBL)*(INC_SPECIALS="Y"))=0,"",'Dvd Calendar'!$G$817)))</f>
        <v/>
      </c>
      <c r="F85" s="106">
        <f>IF(EH85="","",IF(ISNUMBER('Dvd Calendar'!$H$817)=FALSE,"",IF((('Dvd Calendar'!$H$819=TYPE1)*(TYPE1&lt;&gt;"")+('Dvd Calendar'!$H$819=TYPE2)*(TYPE2&lt;&gt;"")+('Dvd Calendar'!$H$819=TYPE3)*(TYPE3&lt;&gt;"")+('Dvd Calendar'!$H$819=TYPE4)*(TYPE4&lt;&gt;"")+('Dvd Calendar'!$H$819=SPECIAL_LBL)*(INC_SPECIALS="Y"))=0,"",'Dvd Calendar'!$H$817)))</f>
        <v/>
      </c>
      <c r="G85" s="106">
        <f>IF(EI85="","",IF(ISNUMBER('Dvd Calendar'!$I$817)=FALSE,"",IF((('Dvd Calendar'!$I$819=TYPE1)*(TYPE1&lt;&gt;"")+('Dvd Calendar'!$I$819=TYPE2)*(TYPE2&lt;&gt;"")+('Dvd Calendar'!$I$819=TYPE3)*(TYPE3&lt;&gt;"")+('Dvd Calendar'!$I$819=TYPE4)*(TYPE4&lt;&gt;"")+('Dvd Calendar'!$I$819=SPECIAL_LBL)*(INC_SPECIALS="Y"))=0,"",'Dvd Calendar'!$I$817)))</f>
        <v/>
      </c>
      <c r="H85" s="106">
        <f>IF(EJ85="","",IF(ISNUMBER('Dvd Calendar'!$J$817)=FALSE,"",IF((('Dvd Calendar'!$J$819=TYPE1)*(TYPE1&lt;&gt;"")+('Dvd Calendar'!$J$819=TYPE2)*(TYPE2&lt;&gt;"")+('Dvd Calendar'!$J$819=TYPE3)*(TYPE3&lt;&gt;"")+('Dvd Calendar'!$J$819=TYPE4)*(TYPE4&lt;&gt;"")+('Dvd Calendar'!$J$819=SPECIAL_LBL)*(INC_SPECIALS="Y"))=0,"",'Dvd Calendar'!$J$817)))</f>
        <v/>
      </c>
      <c r="I85" s="106">
        <f>IF(EK85="","",IF(ISNUMBER('Dvd Calendar'!$K$817)=FALSE,"",IF((('Dvd Calendar'!$K$819=TYPE1)*(TYPE1&lt;&gt;"")+('Dvd Calendar'!$K$819=TYPE2)*(TYPE2&lt;&gt;"")+('Dvd Calendar'!$K$819=TYPE3)*(TYPE3&lt;&gt;"")+('Dvd Calendar'!$K$819=TYPE4)*(TYPE4&lt;&gt;"")+('Dvd Calendar'!$K$819=SPECIAL_LBL)*(INC_SPECIALS="Y"))=0,"",'Dvd Calendar'!$K$817)))</f>
        <v/>
      </c>
      <c r="J85" s="106">
        <f>IF(EL85="","",IF(ISNUMBER('Dvd Calendar'!$L$817)=FALSE,"",IF((('Dvd Calendar'!$L$819=TYPE1)*(TYPE1&lt;&gt;"")+('Dvd Calendar'!$L$819=TYPE2)*(TYPE2&lt;&gt;"")+('Dvd Calendar'!$L$819=TYPE3)*(TYPE3&lt;&gt;"")+('Dvd Calendar'!$L$819=TYPE4)*(TYPE4&lt;&gt;"")+('Dvd Calendar'!$L$819=SPECIAL_LBL)*(INC_SPECIALS="Y"))=0,"",'Dvd Calendar'!$L$817)))</f>
        <v/>
      </c>
      <c r="K85" s="106">
        <f>IF(EM85="","",IF(ISNUMBER('Dvd Calendar'!$M$817)=FALSE,"",IF((('Dvd Calendar'!$M$819=TYPE1)*(TYPE1&lt;&gt;"")+('Dvd Calendar'!$M$819=TYPE2)*(TYPE2&lt;&gt;"")+('Dvd Calendar'!$M$819=TYPE3)*(TYPE3&lt;&gt;"")+('Dvd Calendar'!$M$819=TYPE4)*(TYPE4&lt;&gt;"")+('Dvd Calendar'!$M$819=SPECIAL_LBL)*(INC_SPECIALS="Y"))=0,"",'Dvd Calendar'!$M$817)))</f>
        <v/>
      </c>
      <c r="L85" s="106">
        <f>IF(EN85="","",IF(ISNUMBER('Dvd Calendar'!$N$817)=FALSE,"",IF((('Dvd Calendar'!$N$819=TYPE1)*(TYPE1&lt;&gt;"")+('Dvd Calendar'!$N$819=TYPE2)*(TYPE2&lt;&gt;"")+('Dvd Calendar'!$N$819=TYPE3)*(TYPE3&lt;&gt;"")+('Dvd Calendar'!$N$819=TYPE4)*(TYPE4&lt;&gt;"")+('Dvd Calendar'!$N$819=SPECIAL_LBL)*(INC_SPECIALS="Y"))=0,"",'Dvd Calendar'!$N$817)))</f>
        <v/>
      </c>
      <c r="M85" s="106">
        <f>IF(EO85="","",IF(ISNUMBER('Dvd Calendar'!$O$817)=FALSE,"",IF((('Dvd Calendar'!$O$819=TYPE1)*(TYPE1&lt;&gt;"")+('Dvd Calendar'!$O$819=TYPE2)*(TYPE2&lt;&gt;"")+('Dvd Calendar'!$O$819=TYPE3)*(TYPE3&lt;&gt;"")+('Dvd Calendar'!$O$819=TYPE4)*(TYPE4&lt;&gt;"")+('Dvd Calendar'!$O$819=SPECIAL_LBL)*(INC_SPECIALS="Y"))=0,"",'Dvd Calendar'!$O$817)))</f>
        <v/>
      </c>
      <c r="N85" s="106">
        <f>IF(EP85="","",IF(ISNUMBER('Dvd Calendar'!$P$817)=FALSE,"",IF((('Dvd Calendar'!$P$819=TYPE1)*(TYPE1&lt;&gt;"")+('Dvd Calendar'!$P$819=TYPE2)*(TYPE2&lt;&gt;"")+('Dvd Calendar'!$P$819=TYPE3)*(TYPE3&lt;&gt;"")+('Dvd Calendar'!$P$819=TYPE4)*(TYPE4&lt;&gt;"")+('Dvd Calendar'!$P$819=SPECIAL_LBL)*(INC_SPECIALS="Y"))=0,"",'Dvd Calendar'!$P$817)))</f>
        <v/>
      </c>
      <c r="O85" s="106">
        <f>IF(EQ85="","",IF(ISNUMBER('Dvd Calendar'!$Q$817)=FALSE,"",IF((('Dvd Calendar'!$Q$819=TYPE1)*(TYPE1&lt;&gt;"")+('Dvd Calendar'!$Q$819=TYPE2)*(TYPE2&lt;&gt;"")+('Dvd Calendar'!$Q$819=TYPE3)*(TYPE3&lt;&gt;"")+('Dvd Calendar'!$Q$819=TYPE4)*(TYPE4&lt;&gt;"")+('Dvd Calendar'!$Q$819=SPECIAL_LBL)*(INC_SPECIALS="Y"))=0,"",'Dvd Calendar'!$Q$817)))</f>
        <v/>
      </c>
      <c r="P85" s="106">
        <f>IF(ER85="","",IF(ISNUMBER('Dvd Calendar'!$R$817)=FALSE,"",IF((('Dvd Calendar'!$R$819=TYPE1)*(TYPE1&lt;&gt;"")+('Dvd Calendar'!$R$819=TYPE2)*(TYPE2&lt;&gt;"")+('Dvd Calendar'!$R$819=TYPE3)*(TYPE3&lt;&gt;"")+('Dvd Calendar'!$R$819=TYPE4)*(TYPE4&lt;&gt;"")+('Dvd Calendar'!$R$819=SPECIAL_LBL)*(INC_SPECIALS="Y"))=0,"",'Dvd Calendar'!$R$817)))</f>
        <v/>
      </c>
      <c r="Q85" s="106">
        <f>IF(ES85="","",IF(ISNUMBER('Dvd Calendar'!$S$817)=FALSE,"",IF((('Dvd Calendar'!$S$819=TYPE1)*(TYPE1&lt;&gt;"")+('Dvd Calendar'!$S$819=TYPE2)*(TYPE2&lt;&gt;"")+('Dvd Calendar'!$S$819=TYPE3)*(TYPE3&lt;&gt;"")+('Dvd Calendar'!$S$819=TYPE4)*(TYPE4&lt;&gt;"")+('Dvd Calendar'!$S$819=SPECIAL_LBL)*(INC_SPECIALS="Y"))=0,"",'Dvd Calendar'!$S$817)))</f>
        <v/>
      </c>
      <c r="R85" s="106">
        <f>IF(ET85="","",IF(ISNUMBER('Dvd Calendar'!$T$817)=FALSE,"",IF((('Dvd Calendar'!$T$819=TYPE1)*(TYPE1&lt;&gt;"")+('Dvd Calendar'!$T$819=TYPE2)*(TYPE2&lt;&gt;"")+('Dvd Calendar'!$T$819=TYPE3)*(TYPE3&lt;&gt;"")+('Dvd Calendar'!$T$819=TYPE4)*(TYPE4&lt;&gt;"")+('Dvd Calendar'!$T$819=SPECIAL_LBL)*(INC_SPECIALS="Y"))=0,"",'Dvd Calendar'!$T$817)))</f>
        <v/>
      </c>
      <c r="S85" s="106">
        <f>IF(EU85="","",IF(ISNUMBER('Dvd Calendar'!$U$817)=FALSE,"",IF((('Dvd Calendar'!$U$819=TYPE1)*(TYPE1&lt;&gt;"")+('Dvd Calendar'!$U$819=TYPE2)*(TYPE2&lt;&gt;"")+('Dvd Calendar'!$U$819=TYPE3)*(TYPE3&lt;&gt;"")+('Dvd Calendar'!$U$819=TYPE4)*(TYPE4&lt;&gt;"")+('Dvd Calendar'!$U$819=SPECIAL_LBL)*(INC_SPECIALS="Y"))=0,"",'Dvd Calendar'!$U$817)))</f>
        <v/>
      </c>
      <c r="T85" s="106">
        <f>IF(EV85="","",IF(ISNUMBER('Dvd Calendar'!$V$817)=FALSE,"",IF((('Dvd Calendar'!$V$819=TYPE1)*(TYPE1&lt;&gt;"")+('Dvd Calendar'!$V$819=TYPE2)*(TYPE2&lt;&gt;"")+('Dvd Calendar'!$V$819=TYPE3)*(TYPE3&lt;&gt;"")+('Dvd Calendar'!$V$819=TYPE4)*(TYPE4&lt;&gt;"")+('Dvd Calendar'!$V$819=SPECIAL_LBL)*(INC_SPECIALS="Y"))=0,"",'Dvd Calendar'!$V$817)))</f>
        <v/>
      </c>
      <c r="U85" s="106">
        <f>IF(EW85="","",IF(ISNUMBER('Dvd Calendar'!$W$817)=FALSE,"",IF((('Dvd Calendar'!$W$819=TYPE1)*(TYPE1&lt;&gt;"")+('Dvd Calendar'!$W$819=TYPE2)*(TYPE2&lt;&gt;"")+('Dvd Calendar'!$W$819=TYPE3)*(TYPE3&lt;&gt;"")+('Dvd Calendar'!$W$819=TYPE4)*(TYPE4&lt;&gt;"")+('Dvd Calendar'!$W$819=SPECIAL_LBL)*(INC_SPECIALS="Y"))=0,"",'Dvd Calendar'!$W$817)))</f>
        <v/>
      </c>
      <c r="V85" s="106">
        <f>IF(EX85="","",IF(ISNUMBER('Dvd Calendar'!$X$817)=FALSE,"",IF((('Dvd Calendar'!$X$819=TYPE1)*(TYPE1&lt;&gt;"")+('Dvd Calendar'!$X$819=TYPE2)*(TYPE2&lt;&gt;"")+('Dvd Calendar'!$X$819=TYPE3)*(TYPE3&lt;&gt;"")+('Dvd Calendar'!$X$819=TYPE4)*(TYPE4&lt;&gt;"")+('Dvd Calendar'!$X$819=SPECIAL_LBL)*(INC_SPECIALS="Y"))=0,"",'Dvd Calendar'!$X$817)))</f>
        <v/>
      </c>
      <c r="W85" s="106">
        <f>IF(EY85="","",IF(ISNUMBER('Dvd Calendar'!$Y$817)=FALSE,"",IF((('Dvd Calendar'!$Y$819=TYPE1)*(TYPE1&lt;&gt;"")+('Dvd Calendar'!$Y$819=TYPE2)*(TYPE2&lt;&gt;"")+('Dvd Calendar'!$Y$819=TYPE3)*(TYPE3&lt;&gt;"")+('Dvd Calendar'!$Y$819=TYPE4)*(TYPE4&lt;&gt;"")+('Dvd Calendar'!$Y$819=SPECIAL_LBL)*(INC_SPECIALS="Y"))=0,"",'Dvd Calendar'!$Y$817)))</f>
        <v/>
      </c>
      <c r="X85" s="106">
        <f>IF(EZ85="","",IF(ISNUMBER('Dvd Calendar'!$Z$817)=FALSE,"",IF((('Dvd Calendar'!$Z$819=TYPE1)*(TYPE1&lt;&gt;"")+('Dvd Calendar'!$Z$819=TYPE2)*(TYPE2&lt;&gt;"")+('Dvd Calendar'!$Z$819=TYPE3)*(TYPE3&lt;&gt;"")+('Dvd Calendar'!$Z$819=TYPE4)*(TYPE4&lt;&gt;"")+('Dvd Calendar'!$Z$819=SPECIAL_LBL)*(INC_SPECIALS="Y"))=0,"",'Dvd Calendar'!$Z$817)))</f>
        <v/>
      </c>
      <c r="Y85" s="106">
        <f>IF(FA85="","",IF(ISNUMBER('Dvd Calendar'!$AA$817)=FALSE,"",IF((('Dvd Calendar'!$AA$819=TYPE1)*(TYPE1&lt;&gt;"")+('Dvd Calendar'!$AA$819=TYPE2)*(TYPE2&lt;&gt;"")+('Dvd Calendar'!$AA$819=TYPE3)*(TYPE3&lt;&gt;"")+('Dvd Calendar'!$AA$819=TYPE4)*(TYPE4&lt;&gt;"")+('Dvd Calendar'!$AA$819=SPECIAL_LBL)*(INC_SPECIALS="Y"))=0,"",'Dvd Calendar'!$AA$817)))</f>
        <v/>
      </c>
      <c r="Z85" s="106">
        <f>IF(FB85="","",IF(ISNUMBER('Dvd Calendar'!$AB$817)=FALSE,"",IF((('Dvd Calendar'!$AB$819=TYPE1)*(TYPE1&lt;&gt;"")+('Dvd Calendar'!$AB$819=TYPE2)*(TYPE2&lt;&gt;"")+('Dvd Calendar'!$AB$819=TYPE3)*(TYPE3&lt;&gt;"")+('Dvd Calendar'!$AB$819=TYPE4)*(TYPE4&lt;&gt;"")+('Dvd Calendar'!$AB$819=SPECIAL_LBL)*(INC_SPECIALS="Y"))=0,"",'Dvd Calendar'!$AB$817)))</f>
        <v/>
      </c>
      <c r="AA85" s="106">
        <f>IF(FC85="","",IF(ISNUMBER('Dvd Calendar'!$AC$817)=FALSE,"",IF((('Dvd Calendar'!$AC$819=TYPE1)*(TYPE1&lt;&gt;"")+('Dvd Calendar'!$AC$819=TYPE2)*(TYPE2&lt;&gt;"")+('Dvd Calendar'!$AC$819=TYPE3)*(TYPE3&lt;&gt;"")+('Dvd Calendar'!$AC$819=TYPE4)*(TYPE4&lt;&gt;"")+('Dvd Calendar'!$AC$819=SPECIAL_LBL)*(INC_SPECIALS="Y"))=0,"",'Dvd Calendar'!$AC$817)))</f>
        <v/>
      </c>
      <c r="AB85" s="106">
        <f>IF(FD85="","",IF(ISNUMBER('Dvd Calendar'!$AD$817)=FALSE,"",IF((('Dvd Calendar'!$AD$819=TYPE1)*(TYPE1&lt;&gt;"")+('Dvd Calendar'!$AD$819=TYPE2)*(TYPE2&lt;&gt;"")+('Dvd Calendar'!$AD$819=TYPE3)*(TYPE3&lt;&gt;"")+('Dvd Calendar'!$AD$819=TYPE4)*(TYPE4&lt;&gt;"")+('Dvd Calendar'!$AD$819=SPECIAL_LBL)*(INC_SPECIALS="Y"))=0,"",'Dvd Calendar'!$AD$817)))</f>
        <v/>
      </c>
      <c r="AC85" s="106">
        <f>IF(FE85="","",IF(ISNUMBER('Dvd Calendar'!$AE$817)=FALSE,"",IF((('Dvd Calendar'!$AE$819=TYPE1)*(TYPE1&lt;&gt;"")+('Dvd Calendar'!$AE$819=TYPE2)*(TYPE2&lt;&gt;"")+('Dvd Calendar'!$AE$819=TYPE3)*(TYPE3&lt;&gt;"")+('Dvd Calendar'!$AE$819=TYPE4)*(TYPE4&lt;&gt;"")+('Dvd Calendar'!$AE$819=SPECIAL_LBL)*(INC_SPECIALS="Y"))=0,"",'Dvd Calendar'!$AE$817)))</f>
        <v/>
      </c>
      <c r="AD85" s="106">
        <f>IF(FF85="","",IF(ISNUMBER('Dvd Calendar'!$AF$817)=FALSE,"",IF((('Dvd Calendar'!$AF$819=TYPE1)*(TYPE1&lt;&gt;"")+('Dvd Calendar'!$AF$819=TYPE2)*(TYPE2&lt;&gt;"")+('Dvd Calendar'!$AF$819=TYPE3)*(TYPE3&lt;&gt;"")+('Dvd Calendar'!$AF$819=TYPE4)*(TYPE4&lt;&gt;"")+('Dvd Calendar'!$AF$819=SPECIAL_LBL)*(INC_SPECIALS="Y"))=0,"",'Dvd Calendar'!$AF$817)))</f>
        <v/>
      </c>
      <c r="AE85" s="106">
        <f>IF(FG85="","",IF(ISNUMBER('Dvd Calendar'!$AG$817)=FALSE,"",IF((('Dvd Calendar'!$AG$819=TYPE1)*(TYPE1&lt;&gt;"")+('Dvd Calendar'!$AG$819=TYPE2)*(TYPE2&lt;&gt;"")+('Dvd Calendar'!$AG$819=TYPE3)*(TYPE3&lt;&gt;"")+('Dvd Calendar'!$AG$819=TYPE4)*(TYPE4&lt;&gt;"")+('Dvd Calendar'!$AG$819=SPECIAL_LBL)*(INC_SPECIALS="Y"))=0,"",'Dvd Calendar'!$AG$817)))</f>
        <v/>
      </c>
      <c r="AF85" s="106">
        <f>IF(FH85="","",IF(ISNUMBER('Dvd Calendar'!$AH$817)=FALSE,"",IF((('Dvd Calendar'!$AH$819=TYPE1)*(TYPE1&lt;&gt;"")+('Dvd Calendar'!$AH$819=TYPE2)*(TYPE2&lt;&gt;"")+('Dvd Calendar'!$AH$819=TYPE3)*(TYPE3&lt;&gt;"")+('Dvd Calendar'!$AH$819=TYPE4)*(TYPE4&lt;&gt;"")+('Dvd Calendar'!$AH$819=SPECIAL_LBL)*(INC_SPECIALS="Y"))=0,"",'Dvd Calendar'!$AH$817)))</f>
        <v/>
      </c>
      <c r="AG85" s="106">
        <f>IF(FI85="","",IF(ISNUMBER('Dvd Calendar'!$AI$817)=FALSE,"",IF((('Dvd Calendar'!$AI$819=TYPE1)*(TYPE1&lt;&gt;"")+('Dvd Calendar'!$AI$819=TYPE2)*(TYPE2&lt;&gt;"")+('Dvd Calendar'!$AI$819=TYPE3)*(TYPE3&lt;&gt;"")+('Dvd Calendar'!$AI$819=TYPE4)*(TYPE4&lt;&gt;"")+('Dvd Calendar'!$AI$819=SPECIAL_LBL)*(INC_SPECIALS="Y"))=0,"",'Dvd Calendar'!$AI$817)))</f>
        <v/>
      </c>
      <c r="AH85" s="106">
        <f>IF(FJ85="","",IF(ISNUMBER('Dvd Calendar'!$AJ$817)=FALSE,"",IF((('Dvd Calendar'!$AJ$819=TYPE1)*(TYPE1&lt;&gt;"")+('Dvd Calendar'!$AJ$819=TYPE2)*(TYPE2&lt;&gt;"")+('Dvd Calendar'!$AJ$819=TYPE3)*(TYPE3&lt;&gt;"")+('Dvd Calendar'!$AJ$819=TYPE4)*(TYPE4&lt;&gt;"")+('Dvd Calendar'!$AJ$819=SPECIAL_LBL)*(INC_SPECIALS="Y"))=0,"",'Dvd Calendar'!$AJ$817)))</f>
        <v/>
      </c>
      <c r="AI85" s="106">
        <f>IF(FK85="","",IF(ISNUMBER('Dvd Calendar'!$AK$817)=FALSE,"",IF((('Dvd Calendar'!$AK$819=TYPE1)*(TYPE1&lt;&gt;"")+('Dvd Calendar'!$AK$819=TYPE2)*(TYPE2&lt;&gt;"")+('Dvd Calendar'!$AK$819=TYPE3)*(TYPE3&lt;&gt;"")+('Dvd Calendar'!$AK$819=TYPE4)*(TYPE4&lt;&gt;"")+('Dvd Calendar'!$AK$819=SPECIAL_LBL)*(INC_SPECIALS="Y"))=0,"",'Dvd Calendar'!$AK$817)))</f>
        <v/>
      </c>
      <c r="AJ85" s="106">
        <f>IF(FL85="","",IF(ISNUMBER('Dvd Calendar'!$AL$817)=FALSE,"",IF((('Dvd Calendar'!$AL$819=TYPE1)*(TYPE1&lt;&gt;"")+('Dvd Calendar'!$AL$819=TYPE2)*(TYPE2&lt;&gt;"")+('Dvd Calendar'!$AL$819=TYPE3)*(TYPE3&lt;&gt;"")+('Dvd Calendar'!$AL$819=TYPE4)*(TYPE4&lt;&gt;"")+('Dvd Calendar'!$AL$819=SPECIAL_LBL)*(INC_SPECIALS="Y"))=0,"",'Dvd Calendar'!$AL$817)))</f>
        <v/>
      </c>
      <c r="AK85" s="106">
        <f>IF(FM85="","",IF(ISNUMBER('Dvd Calendar'!$AM$817)=FALSE,"",IF((('Dvd Calendar'!$AM$819=TYPE1)*(TYPE1&lt;&gt;"")+('Dvd Calendar'!$AM$819=TYPE2)*(TYPE2&lt;&gt;"")+('Dvd Calendar'!$AM$819=TYPE3)*(TYPE3&lt;&gt;"")+('Dvd Calendar'!$AM$819=TYPE4)*(TYPE4&lt;&gt;"")+('Dvd Calendar'!$AM$819=SPECIAL_LBL)*(INC_SPECIALS="Y"))=0,"",'Dvd Calendar'!$AM$817)))</f>
        <v/>
      </c>
      <c r="AL85" s="106">
        <f>IF(FN85="","",IF(ISNUMBER('Dvd Calendar'!$AN$817)=FALSE,"",IF((('Dvd Calendar'!$AN$819=TYPE1)*(TYPE1&lt;&gt;"")+('Dvd Calendar'!$AN$819=TYPE2)*(TYPE2&lt;&gt;"")+('Dvd Calendar'!$AN$819=TYPE3)*(TYPE3&lt;&gt;"")+('Dvd Calendar'!$AN$819=TYPE4)*(TYPE4&lt;&gt;"")+('Dvd Calendar'!$AN$819=SPECIAL_LBL)*(INC_SPECIALS="Y"))=0,"",'Dvd Calendar'!$AN$817)))</f>
        <v/>
      </c>
      <c r="AM85" s="106">
        <f>IF(FO85="","",IF(ISNUMBER('Dvd Calendar'!$AO$817)=FALSE,"",IF((('Dvd Calendar'!$AO$819=TYPE1)*(TYPE1&lt;&gt;"")+('Dvd Calendar'!$AO$819=TYPE2)*(TYPE2&lt;&gt;"")+('Dvd Calendar'!$AO$819=TYPE3)*(TYPE3&lt;&gt;"")+('Dvd Calendar'!$AO$819=TYPE4)*(TYPE4&lt;&gt;"")+('Dvd Calendar'!$AO$819=SPECIAL_LBL)*(INC_SPECIALS="Y"))=0,"",'Dvd Calendar'!$AO$817)))</f>
        <v/>
      </c>
      <c r="AN85" s="106">
        <f>IF(FP85="","",IF(ISNUMBER('Dvd Calendar'!$AP$817)=FALSE,"",IF((('Dvd Calendar'!$AP$819=TYPE1)*(TYPE1&lt;&gt;"")+('Dvd Calendar'!$AP$819=TYPE2)*(TYPE2&lt;&gt;"")+('Dvd Calendar'!$AP$819=TYPE3)*(TYPE3&lt;&gt;"")+('Dvd Calendar'!$AP$819=TYPE4)*(TYPE4&lt;&gt;"")+('Dvd Calendar'!$AP$819=SPECIAL_LBL)*(INC_SPECIALS="Y"))=0,"",'Dvd Calendar'!$AP$817)))</f>
        <v/>
      </c>
      <c r="AO85" s="106">
        <f>IF(FQ85="","",IF(ISNUMBER('Dvd Calendar'!$AQ$817)=FALSE,"",IF((('Dvd Calendar'!$AQ$819=TYPE1)*(TYPE1&lt;&gt;"")+('Dvd Calendar'!$AQ$819=TYPE2)*(TYPE2&lt;&gt;"")+('Dvd Calendar'!$AQ$819=TYPE3)*(TYPE3&lt;&gt;"")+('Dvd Calendar'!$AQ$819=TYPE4)*(TYPE4&lt;&gt;"")+('Dvd Calendar'!$AQ$819=SPECIAL_LBL)*(INC_SPECIALS="Y"))=0,"",'Dvd Calendar'!$AQ$817)))</f>
        <v/>
      </c>
      <c r="AP85" s="106">
        <f>IF(FR85="","",IF(ISNUMBER('Dvd Calendar'!$AR$817)=FALSE,"",IF((('Dvd Calendar'!$AR$819=TYPE1)*(TYPE1&lt;&gt;"")+('Dvd Calendar'!$AR$819=TYPE2)*(TYPE2&lt;&gt;"")+('Dvd Calendar'!$AR$819=TYPE3)*(TYPE3&lt;&gt;"")+('Dvd Calendar'!$AR$819=TYPE4)*(TYPE4&lt;&gt;"")+('Dvd Calendar'!$AR$819=SPECIAL_LBL)*(INC_SPECIALS="Y"))=0,"",'Dvd Calendar'!$AR$817)))</f>
        <v/>
      </c>
      <c r="AQ85" s="106">
        <f>IF(FS85="","",IF(ISNUMBER('Dvd Calendar'!$E$822)=FALSE,"",'Dvd Calendar'!$E$822))</f>
        <v/>
      </c>
      <c r="AR85" s="106">
        <f>IF(FT85="","",IF(ISNUMBER('Dvd Calendar'!$F$822)=FALSE,"",'Dvd Calendar'!$F$822))</f>
        <v/>
      </c>
      <c r="AS85" s="106">
        <f>IF(FU85="","",IF(ISNUMBER('Dvd Calendar'!$G$822)=FALSE,"",'Dvd Calendar'!$G$822))</f>
        <v/>
      </c>
      <c r="AT85" s="106">
        <f>IF(FV85="","",IF(ISNUMBER('Dvd Calendar'!$H$822)=FALSE,"",'Dvd Calendar'!$H$822))</f>
        <v/>
      </c>
      <c r="AU85" s="106">
        <f>IF(FW85="","",IF(ISNUMBER('Dvd Calendar'!$I$822)=FALSE,"",'Dvd Calendar'!$I$822))</f>
        <v/>
      </c>
      <c r="AV85" s="106">
        <f>IF(FX85="","",IF(ISNUMBER('Dvd Calendar'!$J$822)=FALSE,"",'Dvd Calendar'!$J$822))</f>
        <v/>
      </c>
      <c r="AW85" s="106">
        <f>IF(FY85="","",IF(ISNUMBER('Dvd Calendar'!$K$822)=FALSE,"",'Dvd Calendar'!$K$822))</f>
        <v/>
      </c>
      <c r="AX85" s="106">
        <f>IF(FZ85="","",IF(ISNUMBER('Dvd Calendar'!$L$822)=FALSE,"",'Dvd Calendar'!$L$822))</f>
        <v/>
      </c>
      <c r="AY85" s="106">
        <f>IF(GA85="","",IF(ISNUMBER('Dvd Calendar'!$M$822)=FALSE,"",'Dvd Calendar'!$M$822))</f>
        <v/>
      </c>
      <c r="AZ85" s="106">
        <f>IF(GB85="","",IF(ISNUMBER('Dvd Calendar'!$N$822)=FALSE,"",'Dvd Calendar'!$N$822))</f>
        <v/>
      </c>
      <c r="BA85" s="106">
        <f>IF(GC85="","",IF(ISNUMBER('Dvd Calendar'!$O$822)=FALSE,"",'Dvd Calendar'!$O$822))</f>
        <v/>
      </c>
      <c r="BB85" s="106">
        <f>IF(GD85="","",IF(ISNUMBER('Dvd Calendar'!$P$822)=FALSE,"",'Dvd Calendar'!$P$822))</f>
        <v/>
      </c>
      <c r="BC85" s="106">
        <f>IF(GE85="","",IF(ISNUMBER('Dvd Calendar'!$Q$822)=FALSE,"",'Dvd Calendar'!$Q$822))</f>
        <v/>
      </c>
      <c r="BD85" s="106">
        <f>IF(GF85="","",IF(ISNUMBER('Dvd Calendar'!$R$822)=FALSE,"",'Dvd Calendar'!$R$822))</f>
        <v/>
      </c>
      <c r="BE85" s="106">
        <f>IF(GG85="","",IF(ISNUMBER('Dvd Calendar'!$S$822)=FALSE,"",'Dvd Calendar'!$S$822))</f>
        <v/>
      </c>
      <c r="BF85" s="106">
        <f>IF(GH85="","",IF(ISNUMBER('Dvd Calendar'!$T$822)=FALSE,"",'Dvd Calendar'!$T$822))</f>
        <v/>
      </c>
      <c r="BG85" s="106">
        <f>IF(GI85="","",IF(ISNUMBER('Dvd Calendar'!$U$822)=FALSE,"",'Dvd Calendar'!$U$822))</f>
        <v/>
      </c>
      <c r="BH85" s="106">
        <f>IF(GJ85="","",IF(ISNUMBER('Dvd Calendar'!$V$822)=FALSE,"",'Dvd Calendar'!$V$822))</f>
        <v/>
      </c>
      <c r="BI85" s="106">
        <f>IF(GK85="","",IF(ISNUMBER('Dvd Calendar'!$W$822)=FALSE,"",'Dvd Calendar'!$W$822))</f>
        <v/>
      </c>
      <c r="BJ85" s="106">
        <f>IF(GL85="","",IF(ISNUMBER('Dvd Calendar'!$X$822)=FALSE,"",'Dvd Calendar'!$X$822))</f>
        <v/>
      </c>
      <c r="BK85" s="106">
        <f>IF(GM85="","",IF(ISNUMBER('Dvd Calendar'!$Y$822)=FALSE,"",'Dvd Calendar'!$Y$822))</f>
        <v/>
      </c>
      <c r="BL85" s="106">
        <f>IF(GN85="","",IF(ISNUMBER('Dvd Calendar'!$Z$822)=FALSE,"",'Dvd Calendar'!$Z$822))</f>
        <v/>
      </c>
      <c r="BM85" s="106">
        <f>IF(GO85="","",IF(ISNUMBER('Dvd Calendar'!$AA$822)=FALSE,"",'Dvd Calendar'!$AA$822))</f>
        <v/>
      </c>
      <c r="BN85" s="106">
        <f>IF(GP85="","",IF(ISNUMBER('Dvd Calendar'!$AB$822)=FALSE,"",'Dvd Calendar'!$AB$822))</f>
        <v/>
      </c>
      <c r="BO85" s="106">
        <f>IF(GQ85="","",IF(ISNUMBER('Dvd Calendar'!$AC$822)=FALSE,"",'Dvd Calendar'!$AC$822))</f>
        <v/>
      </c>
      <c r="BQ85" s="106">
        <f>IF(C85="","",IFERROR(C85*HSI!$B$80*HSI!$G$80/HSI!$B$3,""))</f>
        <v/>
      </c>
      <c r="BR85" s="106">
        <f>IF(D85="","",IFERROR(D85*HSI!$B$80*HSI!$G$80/HSI!$B$3,""))</f>
        <v/>
      </c>
      <c r="BS85" s="106">
        <f>IF(E85="","",IFERROR(E85*HSI!$B$80*HSI!$G$80/HSI!$B$3,""))</f>
        <v/>
      </c>
      <c r="BT85" s="106">
        <f>IF(F85="","",IFERROR(F85*HSI!$B$80*HSI!$G$80/HSI!$B$3,""))</f>
        <v/>
      </c>
      <c r="BU85" s="106">
        <f>IF(G85="","",IFERROR(G85*HSI!$B$80*HSI!$G$80/HSI!$B$3,""))</f>
        <v/>
      </c>
      <c r="BV85" s="106">
        <f>IF(H85="","",IFERROR(H85*HSI!$B$80*HSI!$G$80/HSI!$B$3,""))</f>
        <v/>
      </c>
      <c r="BW85" s="106">
        <f>IF(I85="","",IFERROR(I85*HSI!$B$80*HSI!$G$80/HSI!$B$3,""))</f>
        <v/>
      </c>
      <c r="BX85" s="106">
        <f>IF(J85="","",IFERROR(J85*HSI!$B$80*HSI!$G$80/HSI!$B$3,""))</f>
        <v/>
      </c>
      <c r="BY85" s="106">
        <f>IF(K85="","",IFERROR(K85*HSI!$B$80*HSI!$G$80/HSI!$B$3,""))</f>
        <v/>
      </c>
      <c r="BZ85" s="106">
        <f>IF(L85="","",IFERROR(L85*HSI!$B$80*HSI!$G$80/HSI!$B$3,""))</f>
        <v/>
      </c>
      <c r="CA85" s="106">
        <f>IF(M85="","",IFERROR(M85*HSI!$B$80*HSI!$G$80/HSI!$B$3,""))</f>
        <v/>
      </c>
      <c r="CB85" s="106">
        <f>IF(N85="","",IFERROR(N85*HSI!$B$80*HSI!$G$80/HSI!$B$3,""))</f>
        <v/>
      </c>
      <c r="CC85" s="106">
        <f>IF(O85="","",IFERROR(O85*HSI!$B$80*HSI!$G$80/HSI!$B$3,""))</f>
        <v/>
      </c>
      <c r="CD85" s="106">
        <f>IF(P85="","",IFERROR(P85*HSI!$B$80*HSI!$G$80/HSI!$B$3,""))</f>
        <v/>
      </c>
      <c r="CE85" s="106">
        <f>IF(Q85="","",IFERROR(Q85*HSI!$B$80*HSI!$G$80/HSI!$B$3,""))</f>
        <v/>
      </c>
      <c r="CF85" s="106">
        <f>IF(R85="","",IFERROR(R85*HSI!$B$80*HSI!$G$80/HSI!$B$3,""))</f>
        <v/>
      </c>
      <c r="CG85" s="106">
        <f>IF(S85="","",IFERROR(S85*HSI!$B$80*HSI!$G$80/HSI!$B$3,""))</f>
        <v/>
      </c>
      <c r="CH85" s="106">
        <f>IF(T85="","",IFERROR(T85*HSI!$B$80*HSI!$G$80/HSI!$B$3,""))</f>
        <v/>
      </c>
      <c r="CI85" s="106">
        <f>IF(U85="","",IFERROR(U85*HSI!$B$80*HSI!$G$80/HSI!$B$3,""))</f>
        <v/>
      </c>
      <c r="CJ85" s="106">
        <f>IF(V85="","",IFERROR(V85*HSI!$B$80*HSI!$G$80/HSI!$B$3,""))</f>
        <v/>
      </c>
      <c r="CK85" s="106">
        <f>IF(W85="","",IFERROR(W85*HSI!$B$80*HSI!$G$80/HSI!$B$3,""))</f>
        <v/>
      </c>
      <c r="CL85" s="106">
        <f>IF(X85="","",IFERROR(X85*HSI!$B$80*HSI!$G$80/HSI!$B$3,""))</f>
        <v/>
      </c>
      <c r="CM85" s="106">
        <f>IF(Y85="","",IFERROR(Y85*HSI!$B$80*HSI!$G$80/HSI!$B$3,""))</f>
        <v/>
      </c>
      <c r="CN85" s="106">
        <f>IF(Z85="","",IFERROR(Z85*HSI!$B$80*HSI!$G$80/HSI!$B$3,""))</f>
        <v/>
      </c>
      <c r="CO85" s="106">
        <f>IF(AA85="","",IFERROR(AA85*HSI!$B$80*HSI!$G$80/HSI!$B$3,""))</f>
        <v/>
      </c>
      <c r="CP85" s="106">
        <f>IF(AB85="","",IFERROR(AB85*HSI!$B$80*HSI!$G$80/HSI!$B$3,""))</f>
        <v/>
      </c>
      <c r="CQ85" s="106">
        <f>IF(AC85="","",IFERROR(AC85*HSI!$B$80*HSI!$G$80/HSI!$B$3,""))</f>
        <v/>
      </c>
      <c r="CR85" s="106">
        <f>IF(AD85="","",IFERROR(AD85*HSI!$B$80*HSI!$G$80/HSI!$B$3,""))</f>
        <v/>
      </c>
      <c r="CS85" s="106">
        <f>IF(AE85="","",IFERROR(AE85*HSI!$B$80*HSI!$G$80/HSI!$B$3,""))</f>
        <v/>
      </c>
      <c r="CT85" s="106">
        <f>IF(AF85="","",IFERROR(AF85*HSI!$B$80*HSI!$G$80/HSI!$B$3,""))</f>
        <v/>
      </c>
      <c r="CU85" s="106">
        <f>IF(AG85="","",IFERROR(AG85*HSI!$B$80*HSI!$G$80/HSI!$B$3,""))</f>
        <v/>
      </c>
      <c r="CV85" s="106">
        <f>IF(AH85="","",IFERROR(AH85*HSI!$B$80*HSI!$G$80/HSI!$B$3,""))</f>
        <v/>
      </c>
      <c r="CW85" s="106">
        <f>IF(AI85="","",IFERROR(AI85*HSI!$B$80*HSI!$G$80/HSI!$B$3,""))</f>
        <v/>
      </c>
      <c r="CX85" s="106">
        <f>IF(AJ85="","",IFERROR(AJ85*HSI!$B$80*HSI!$G$80/HSI!$B$3,""))</f>
        <v/>
      </c>
      <c r="CY85" s="106">
        <f>IF(AK85="","",IFERROR(AK85*HSI!$B$80*HSI!$G$80/HSI!$B$3,""))</f>
        <v/>
      </c>
      <c r="CZ85" s="106">
        <f>IF(AL85="","",IFERROR(AL85*HSI!$B$80*HSI!$G$80/HSI!$B$3,""))</f>
        <v/>
      </c>
      <c r="DA85" s="106">
        <f>IF(AM85="","",IFERROR(AM85*HSI!$B$80*HSI!$G$80/HSI!$B$3,""))</f>
        <v/>
      </c>
      <c r="DB85" s="106">
        <f>IF(AN85="","",IFERROR(AN85*HSI!$B$80*HSI!$G$80/HSI!$B$3,""))</f>
        <v/>
      </c>
      <c r="DC85" s="106">
        <f>IF(AO85="","",IFERROR(AO85*HSI!$B$80*HSI!$G$80/HSI!$B$3,""))</f>
        <v/>
      </c>
      <c r="DD85" s="106">
        <f>IF(AP85="","",IFERROR(AP85*HSI!$B$80*HSI!$G$80/HSI!$B$3,""))</f>
        <v/>
      </c>
      <c r="DE85" s="106">
        <f>IF(AQ85="","",IFERROR(AQ85*HSI!$B$80*HSI!$G$80/HSI!$B$3,""))</f>
        <v/>
      </c>
      <c r="DF85" s="106">
        <f>IF(AR85="","",IFERROR(AR85*HSI!$B$80*HSI!$G$80/HSI!$B$3,""))</f>
        <v/>
      </c>
      <c r="DG85" s="106">
        <f>IF(AS85="","",IFERROR(AS85*HSI!$B$80*HSI!$G$80/HSI!$B$3,""))</f>
        <v/>
      </c>
      <c r="DH85" s="106">
        <f>IF(AT85="","",IFERROR(AT85*HSI!$B$80*HSI!$G$80/HSI!$B$3,""))</f>
        <v/>
      </c>
      <c r="DI85" s="106">
        <f>IF(AU85="","",IFERROR(AU85*HSI!$B$80*HSI!$G$80/HSI!$B$3,""))</f>
        <v/>
      </c>
      <c r="DJ85" s="106">
        <f>IF(AV85="","",IFERROR(AV85*HSI!$B$80*HSI!$G$80/HSI!$B$3,""))</f>
        <v/>
      </c>
      <c r="DK85" s="106">
        <f>IF(AW85="","",IFERROR(AW85*HSI!$B$80*HSI!$G$80/HSI!$B$3,""))</f>
        <v/>
      </c>
      <c r="DL85" s="106">
        <f>IF(AX85="","",IFERROR(AX85*HSI!$B$80*HSI!$G$80/HSI!$B$3,""))</f>
        <v/>
      </c>
      <c r="DM85" s="106">
        <f>IF(AY85="","",IFERROR(AY85*HSI!$B$80*HSI!$G$80/HSI!$B$3,""))</f>
        <v/>
      </c>
      <c r="DN85" s="106">
        <f>IF(AZ85="","",IFERROR(AZ85*HSI!$B$80*HSI!$G$80/HSI!$B$3,""))</f>
        <v/>
      </c>
      <c r="DO85" s="106">
        <f>IF(BA85="","",IFERROR(BA85*HSI!$B$80*HSI!$G$80/HSI!$B$3,""))</f>
        <v/>
      </c>
      <c r="DP85" s="106">
        <f>IF(BB85="","",IFERROR(BB85*HSI!$B$80*HSI!$G$80/HSI!$B$3,""))</f>
        <v/>
      </c>
      <c r="DQ85" s="106">
        <f>IF(BC85="","",IFERROR(BC85*HSI!$B$80*HSI!$G$80/HSI!$B$3,""))</f>
        <v/>
      </c>
      <c r="DR85" s="106">
        <f>IF(BD85="","",IFERROR(BD85*HSI!$B$80*HSI!$G$80/HSI!$B$3,""))</f>
        <v/>
      </c>
      <c r="DS85" s="106">
        <f>IF(BE85="","",IFERROR(BE85*HSI!$B$80*HSI!$G$80/HSI!$B$3,""))</f>
        <v/>
      </c>
      <c r="DT85" s="106">
        <f>IF(BF85="","",IFERROR(BF85*HSI!$B$80*HSI!$G$80/HSI!$B$3,""))</f>
        <v/>
      </c>
      <c r="DU85" s="106">
        <f>IF(BG85="","",IFERROR(BG85*HSI!$B$80*HSI!$G$80/HSI!$B$3,""))</f>
        <v/>
      </c>
      <c r="DV85" s="106">
        <f>IF(BH85="","",IFERROR(BH85*HSI!$B$80*HSI!$G$80/HSI!$B$3,""))</f>
        <v/>
      </c>
      <c r="DW85" s="106">
        <f>IF(BI85="","",IFERROR(BI85*HSI!$B$80*HSI!$G$80/HSI!$B$3,""))</f>
        <v/>
      </c>
      <c r="DX85" s="106">
        <f>IF(BJ85="","",IFERROR(BJ85*HSI!$B$80*HSI!$G$80/HSI!$B$3,""))</f>
        <v/>
      </c>
      <c r="DY85" s="106">
        <f>IF(BK85="","",IFERROR(BK85*HSI!$B$80*HSI!$G$80/HSI!$B$3,""))</f>
        <v/>
      </c>
      <c r="DZ85" s="106">
        <f>IF(BL85="","",IFERROR(BL85*HSI!$B$80*HSI!$G$80/HSI!$B$3,""))</f>
        <v/>
      </c>
      <c r="EA85" s="106">
        <f>IF(BM85="","",IFERROR(BM85*HSI!$B$80*HSI!$G$80/HSI!$B$3,""))</f>
        <v/>
      </c>
      <c r="EB85" s="106">
        <f>IF(BN85="","",IFERROR(BN85*HSI!$B$80*HSI!$G$80/HSI!$B$3,""))</f>
        <v/>
      </c>
      <c r="EC85" s="106">
        <f>IF(BO85="","",IFERROR(BO85*HSI!$B$80*HSI!$G$80/HSI!$B$3,""))</f>
        <v/>
      </c>
      <c r="EE85" s="35">
        <f>IF(N('Dvd Calendar'!$E$814)=0,"",IF(('Dvd Calendar'!$E$814&gt;=GRID_FROM)*('Dvd Calendar'!$E$814&lt;=GRID_TO)*('Dvd Calendar'!$E$814&lt;=VAL_DATE)=0,"",'Dvd Calendar'!$E$814*1000000000+ISNUMBER('Dvd Calendar'!$E$817)*100000000+('Dvd Calendar'!$E$819=SPECIAL_LBL)*10000000+0*1000000+74*1000+1))</f>
        <v/>
      </c>
      <c r="EF85" s="35">
        <f>IF(N('Dvd Calendar'!$F$814)=0,"",IF(('Dvd Calendar'!$F$814&gt;=GRID_FROM)*('Dvd Calendar'!$F$814&lt;=GRID_TO)*('Dvd Calendar'!$F$814&lt;=VAL_DATE)=0,"",'Dvd Calendar'!$F$814*1000000000+ISNUMBER('Dvd Calendar'!$F$817)*100000000+('Dvd Calendar'!$F$819=SPECIAL_LBL)*10000000+0*1000000+74*1000+2))</f>
        <v/>
      </c>
      <c r="EG85" s="35">
        <f>IF(N('Dvd Calendar'!$G$814)=0,"",IF(('Dvd Calendar'!$G$814&gt;=GRID_FROM)*('Dvd Calendar'!$G$814&lt;=GRID_TO)*('Dvd Calendar'!$G$814&lt;=VAL_DATE)=0,"",'Dvd Calendar'!$G$814*1000000000+ISNUMBER('Dvd Calendar'!$G$817)*100000000+('Dvd Calendar'!$G$819=SPECIAL_LBL)*10000000+0*1000000+74*1000+3))</f>
        <v/>
      </c>
      <c r="EH85" s="35">
        <f>IF(N('Dvd Calendar'!$H$814)=0,"",IF(('Dvd Calendar'!$H$814&gt;=GRID_FROM)*('Dvd Calendar'!$H$814&lt;=GRID_TO)*('Dvd Calendar'!$H$814&lt;=VAL_DATE)=0,"",'Dvd Calendar'!$H$814*1000000000+ISNUMBER('Dvd Calendar'!$H$817)*100000000+('Dvd Calendar'!$H$819=SPECIAL_LBL)*10000000+0*1000000+74*1000+4))</f>
        <v/>
      </c>
      <c r="EI85" s="35">
        <f>IF(N('Dvd Calendar'!$I$814)=0,"",IF(('Dvd Calendar'!$I$814&gt;=GRID_FROM)*('Dvd Calendar'!$I$814&lt;=GRID_TO)*('Dvd Calendar'!$I$814&lt;=VAL_DATE)=0,"",'Dvd Calendar'!$I$814*1000000000+ISNUMBER('Dvd Calendar'!$I$817)*100000000+('Dvd Calendar'!$I$819=SPECIAL_LBL)*10000000+0*1000000+74*1000+5))</f>
        <v/>
      </c>
      <c r="EJ85" s="35">
        <f>IF(N('Dvd Calendar'!$J$814)=0,"",IF(('Dvd Calendar'!$J$814&gt;=GRID_FROM)*('Dvd Calendar'!$J$814&lt;=GRID_TO)*('Dvd Calendar'!$J$814&lt;=VAL_DATE)=0,"",'Dvd Calendar'!$J$814*1000000000+ISNUMBER('Dvd Calendar'!$J$817)*100000000+('Dvd Calendar'!$J$819=SPECIAL_LBL)*10000000+0*1000000+74*1000+6))</f>
        <v/>
      </c>
      <c r="EK85" s="35">
        <f>IF(N('Dvd Calendar'!$K$814)=0,"",IF(('Dvd Calendar'!$K$814&gt;=GRID_FROM)*('Dvd Calendar'!$K$814&lt;=GRID_TO)*('Dvd Calendar'!$K$814&lt;=VAL_DATE)=0,"",'Dvd Calendar'!$K$814*1000000000+ISNUMBER('Dvd Calendar'!$K$817)*100000000+('Dvd Calendar'!$K$819=SPECIAL_LBL)*10000000+0*1000000+74*1000+7))</f>
        <v/>
      </c>
      <c r="EL85" s="35">
        <f>IF(N('Dvd Calendar'!$L$814)=0,"",IF(('Dvd Calendar'!$L$814&gt;=GRID_FROM)*('Dvd Calendar'!$L$814&lt;=GRID_TO)*('Dvd Calendar'!$L$814&lt;=VAL_DATE)=0,"",'Dvd Calendar'!$L$814*1000000000+ISNUMBER('Dvd Calendar'!$L$817)*100000000+('Dvd Calendar'!$L$819=SPECIAL_LBL)*10000000+0*1000000+74*1000+8))</f>
        <v/>
      </c>
      <c r="EM85" s="35">
        <f>IF(N('Dvd Calendar'!$M$814)=0,"",IF(('Dvd Calendar'!$M$814&gt;=GRID_FROM)*('Dvd Calendar'!$M$814&lt;=GRID_TO)*('Dvd Calendar'!$M$814&lt;=VAL_DATE)=0,"",'Dvd Calendar'!$M$814*1000000000+ISNUMBER('Dvd Calendar'!$M$817)*100000000+('Dvd Calendar'!$M$819=SPECIAL_LBL)*10000000+0*1000000+74*1000+9))</f>
        <v/>
      </c>
      <c r="EN85" s="35">
        <f>IF(N('Dvd Calendar'!$N$814)=0,"",IF(('Dvd Calendar'!$N$814&gt;=GRID_FROM)*('Dvd Calendar'!$N$814&lt;=GRID_TO)*('Dvd Calendar'!$N$814&lt;=VAL_DATE)=0,"",'Dvd Calendar'!$N$814*1000000000+ISNUMBER('Dvd Calendar'!$N$817)*100000000+('Dvd Calendar'!$N$819=SPECIAL_LBL)*10000000+0*1000000+74*1000+10))</f>
        <v/>
      </c>
      <c r="EO85" s="35">
        <f>IF(N('Dvd Calendar'!$O$814)=0,"",IF(('Dvd Calendar'!$O$814&gt;=GRID_FROM)*('Dvd Calendar'!$O$814&lt;=GRID_TO)*('Dvd Calendar'!$O$814&lt;=VAL_DATE)=0,"",'Dvd Calendar'!$O$814*1000000000+ISNUMBER('Dvd Calendar'!$O$817)*100000000+('Dvd Calendar'!$O$819=SPECIAL_LBL)*10000000+0*1000000+74*1000+11))</f>
        <v/>
      </c>
      <c r="EP85" s="35">
        <f>IF(N('Dvd Calendar'!$P$814)=0,"",IF(('Dvd Calendar'!$P$814&gt;=GRID_FROM)*('Dvd Calendar'!$P$814&lt;=GRID_TO)*('Dvd Calendar'!$P$814&lt;=VAL_DATE)=0,"",'Dvd Calendar'!$P$814*1000000000+ISNUMBER('Dvd Calendar'!$P$817)*100000000+('Dvd Calendar'!$P$819=SPECIAL_LBL)*10000000+0*1000000+74*1000+12))</f>
        <v/>
      </c>
      <c r="EQ85" s="35">
        <f>IF(N('Dvd Calendar'!$Q$814)=0,"",IF(('Dvd Calendar'!$Q$814&gt;=GRID_FROM)*('Dvd Calendar'!$Q$814&lt;=GRID_TO)*('Dvd Calendar'!$Q$814&lt;=VAL_DATE)=0,"",'Dvd Calendar'!$Q$814*1000000000+ISNUMBER('Dvd Calendar'!$Q$817)*100000000+('Dvd Calendar'!$Q$819=SPECIAL_LBL)*10000000+0*1000000+74*1000+13))</f>
        <v/>
      </c>
      <c r="ER85" s="35">
        <f>IF(N('Dvd Calendar'!$R$814)=0,"",IF(('Dvd Calendar'!$R$814&gt;=GRID_FROM)*('Dvd Calendar'!$R$814&lt;=GRID_TO)*('Dvd Calendar'!$R$814&lt;=VAL_DATE)=0,"",'Dvd Calendar'!$R$814*1000000000+ISNUMBER('Dvd Calendar'!$R$817)*100000000+('Dvd Calendar'!$R$819=SPECIAL_LBL)*10000000+0*1000000+74*1000+14))</f>
        <v/>
      </c>
      <c r="ES85" s="35">
        <f>IF(N('Dvd Calendar'!$S$814)=0,"",IF(('Dvd Calendar'!$S$814&gt;=GRID_FROM)*('Dvd Calendar'!$S$814&lt;=GRID_TO)*('Dvd Calendar'!$S$814&lt;=VAL_DATE)=0,"",'Dvd Calendar'!$S$814*1000000000+ISNUMBER('Dvd Calendar'!$S$817)*100000000+('Dvd Calendar'!$S$819=SPECIAL_LBL)*10000000+0*1000000+74*1000+15))</f>
        <v/>
      </c>
      <c r="ET85" s="35">
        <f>IF(N('Dvd Calendar'!$T$814)=0,"",IF(('Dvd Calendar'!$T$814&gt;=GRID_FROM)*('Dvd Calendar'!$T$814&lt;=GRID_TO)*('Dvd Calendar'!$T$814&lt;=VAL_DATE)=0,"",'Dvd Calendar'!$T$814*1000000000+ISNUMBER('Dvd Calendar'!$T$817)*100000000+('Dvd Calendar'!$T$819=SPECIAL_LBL)*10000000+0*1000000+74*1000+16))</f>
        <v/>
      </c>
      <c r="EU85" s="35">
        <f>IF(N('Dvd Calendar'!$U$814)=0,"",IF(('Dvd Calendar'!$U$814&gt;=GRID_FROM)*('Dvd Calendar'!$U$814&lt;=GRID_TO)*('Dvd Calendar'!$U$814&lt;=VAL_DATE)=0,"",'Dvd Calendar'!$U$814*1000000000+ISNUMBER('Dvd Calendar'!$U$817)*100000000+('Dvd Calendar'!$U$819=SPECIAL_LBL)*10000000+0*1000000+74*1000+17))</f>
        <v/>
      </c>
      <c r="EV85" s="35">
        <f>IF(N('Dvd Calendar'!$V$814)=0,"",IF(('Dvd Calendar'!$V$814&gt;=GRID_FROM)*('Dvd Calendar'!$V$814&lt;=GRID_TO)*('Dvd Calendar'!$V$814&lt;=VAL_DATE)=0,"",'Dvd Calendar'!$V$814*1000000000+ISNUMBER('Dvd Calendar'!$V$817)*100000000+('Dvd Calendar'!$V$819=SPECIAL_LBL)*10000000+0*1000000+74*1000+18))</f>
        <v/>
      </c>
      <c r="EW85" s="35">
        <f>IF(N('Dvd Calendar'!$W$814)=0,"",IF(('Dvd Calendar'!$W$814&gt;=GRID_FROM)*('Dvd Calendar'!$W$814&lt;=GRID_TO)*('Dvd Calendar'!$W$814&lt;=VAL_DATE)=0,"",'Dvd Calendar'!$W$814*1000000000+ISNUMBER('Dvd Calendar'!$W$817)*100000000+('Dvd Calendar'!$W$819=SPECIAL_LBL)*10000000+0*1000000+74*1000+19))</f>
        <v/>
      </c>
      <c r="EX85" s="35">
        <f>IF(N('Dvd Calendar'!$X$814)=0,"",IF(('Dvd Calendar'!$X$814&gt;=GRID_FROM)*('Dvd Calendar'!$X$814&lt;=GRID_TO)*('Dvd Calendar'!$X$814&lt;=VAL_DATE)=0,"",'Dvd Calendar'!$X$814*1000000000+ISNUMBER('Dvd Calendar'!$X$817)*100000000+('Dvd Calendar'!$X$819=SPECIAL_LBL)*10000000+0*1000000+74*1000+20))</f>
        <v/>
      </c>
      <c r="EY85" s="35">
        <f>IF(N('Dvd Calendar'!$Y$814)=0,"",IF(('Dvd Calendar'!$Y$814&gt;=GRID_FROM)*('Dvd Calendar'!$Y$814&lt;=GRID_TO)*('Dvd Calendar'!$Y$814&lt;=VAL_DATE)=0,"",'Dvd Calendar'!$Y$814*1000000000+ISNUMBER('Dvd Calendar'!$Y$817)*100000000+('Dvd Calendar'!$Y$819=SPECIAL_LBL)*10000000+0*1000000+74*1000+21))</f>
        <v/>
      </c>
      <c r="EZ85" s="35">
        <f>IF(N('Dvd Calendar'!$Z$814)=0,"",IF(('Dvd Calendar'!$Z$814&gt;=GRID_FROM)*('Dvd Calendar'!$Z$814&lt;=GRID_TO)*('Dvd Calendar'!$Z$814&lt;=VAL_DATE)=0,"",'Dvd Calendar'!$Z$814*1000000000+ISNUMBER('Dvd Calendar'!$Z$817)*100000000+('Dvd Calendar'!$Z$819=SPECIAL_LBL)*10000000+0*1000000+74*1000+22))</f>
        <v/>
      </c>
      <c r="FA85" s="35">
        <f>IF(N('Dvd Calendar'!$AA$814)=0,"",IF(('Dvd Calendar'!$AA$814&gt;=GRID_FROM)*('Dvd Calendar'!$AA$814&lt;=GRID_TO)*('Dvd Calendar'!$AA$814&lt;=VAL_DATE)=0,"",'Dvd Calendar'!$AA$814*1000000000+ISNUMBER('Dvd Calendar'!$AA$817)*100000000+('Dvd Calendar'!$AA$819=SPECIAL_LBL)*10000000+0*1000000+74*1000+23))</f>
        <v/>
      </c>
      <c r="FB85" s="35">
        <f>IF(N('Dvd Calendar'!$AB$814)=0,"",IF(('Dvd Calendar'!$AB$814&gt;=GRID_FROM)*('Dvd Calendar'!$AB$814&lt;=GRID_TO)*('Dvd Calendar'!$AB$814&lt;=VAL_DATE)=0,"",'Dvd Calendar'!$AB$814*1000000000+ISNUMBER('Dvd Calendar'!$AB$817)*100000000+('Dvd Calendar'!$AB$819=SPECIAL_LBL)*10000000+0*1000000+74*1000+24))</f>
        <v/>
      </c>
      <c r="FC85" s="35">
        <f>IF(N('Dvd Calendar'!$AC$814)=0,"",IF(('Dvd Calendar'!$AC$814&gt;=GRID_FROM)*('Dvd Calendar'!$AC$814&lt;=GRID_TO)*('Dvd Calendar'!$AC$814&lt;=VAL_DATE)=0,"",'Dvd Calendar'!$AC$814*1000000000+ISNUMBER('Dvd Calendar'!$AC$817)*100000000+('Dvd Calendar'!$AC$819=SPECIAL_LBL)*10000000+0*1000000+74*1000+25))</f>
        <v/>
      </c>
      <c r="FD85" s="35">
        <f>IF(N('Dvd Calendar'!$AD$814)=0,"",IF(('Dvd Calendar'!$AD$814&gt;=GRID_FROM)*('Dvd Calendar'!$AD$814&lt;=GRID_TO)*('Dvd Calendar'!$AD$814&lt;=VAL_DATE)=0,"",'Dvd Calendar'!$AD$814*1000000000+ISNUMBER('Dvd Calendar'!$AD$817)*100000000+('Dvd Calendar'!$AD$819=SPECIAL_LBL)*10000000+0*1000000+74*1000+26))</f>
        <v/>
      </c>
      <c r="FE85" s="35">
        <f>IF(N('Dvd Calendar'!$AE$814)=0,"",IF(('Dvd Calendar'!$AE$814&gt;=GRID_FROM)*('Dvd Calendar'!$AE$814&lt;=GRID_TO)*('Dvd Calendar'!$AE$814&lt;=VAL_DATE)=0,"",'Dvd Calendar'!$AE$814*1000000000+ISNUMBER('Dvd Calendar'!$AE$817)*100000000+('Dvd Calendar'!$AE$819=SPECIAL_LBL)*10000000+0*1000000+74*1000+27))</f>
        <v/>
      </c>
      <c r="FF85" s="35">
        <f>IF(N('Dvd Calendar'!$AF$814)=0,"",IF(('Dvd Calendar'!$AF$814&gt;=GRID_FROM)*('Dvd Calendar'!$AF$814&lt;=GRID_TO)*('Dvd Calendar'!$AF$814&lt;=VAL_DATE)=0,"",'Dvd Calendar'!$AF$814*1000000000+ISNUMBER('Dvd Calendar'!$AF$817)*100000000+('Dvd Calendar'!$AF$819=SPECIAL_LBL)*10000000+0*1000000+74*1000+28))</f>
        <v/>
      </c>
      <c r="FG85" s="35">
        <f>IF(N('Dvd Calendar'!$AG$814)=0,"",IF(('Dvd Calendar'!$AG$814&gt;=GRID_FROM)*('Dvd Calendar'!$AG$814&lt;=GRID_TO)*('Dvd Calendar'!$AG$814&lt;=VAL_DATE)=0,"",'Dvd Calendar'!$AG$814*1000000000+ISNUMBER('Dvd Calendar'!$AG$817)*100000000+('Dvd Calendar'!$AG$819=SPECIAL_LBL)*10000000+0*1000000+74*1000+29))</f>
        <v/>
      </c>
      <c r="FH85" s="35">
        <f>IF(N('Dvd Calendar'!$AH$814)=0,"",IF(('Dvd Calendar'!$AH$814&gt;=GRID_FROM)*('Dvd Calendar'!$AH$814&lt;=GRID_TO)*('Dvd Calendar'!$AH$814&lt;=VAL_DATE)=0,"",'Dvd Calendar'!$AH$814*1000000000+ISNUMBER('Dvd Calendar'!$AH$817)*100000000+('Dvd Calendar'!$AH$819=SPECIAL_LBL)*10000000+0*1000000+74*1000+30))</f>
        <v/>
      </c>
      <c r="FI85" s="35">
        <f>IF(N('Dvd Calendar'!$AI$814)=0,"",IF(('Dvd Calendar'!$AI$814&gt;=GRID_FROM)*('Dvd Calendar'!$AI$814&lt;=GRID_TO)*('Dvd Calendar'!$AI$814&lt;=VAL_DATE)=0,"",'Dvd Calendar'!$AI$814*1000000000+ISNUMBER('Dvd Calendar'!$AI$817)*100000000+('Dvd Calendar'!$AI$819=SPECIAL_LBL)*10000000+0*1000000+74*1000+31))</f>
        <v/>
      </c>
      <c r="FJ85" s="35">
        <f>IF(N('Dvd Calendar'!$AJ$814)=0,"",IF(('Dvd Calendar'!$AJ$814&gt;=GRID_FROM)*('Dvd Calendar'!$AJ$814&lt;=GRID_TO)*('Dvd Calendar'!$AJ$814&lt;=VAL_DATE)=0,"",'Dvd Calendar'!$AJ$814*1000000000+ISNUMBER('Dvd Calendar'!$AJ$817)*100000000+('Dvd Calendar'!$AJ$819=SPECIAL_LBL)*10000000+0*1000000+74*1000+32))</f>
        <v/>
      </c>
      <c r="FK85" s="35">
        <f>IF(N('Dvd Calendar'!$AK$814)=0,"",IF(('Dvd Calendar'!$AK$814&gt;=GRID_FROM)*('Dvd Calendar'!$AK$814&lt;=GRID_TO)*('Dvd Calendar'!$AK$814&lt;=VAL_DATE)=0,"",'Dvd Calendar'!$AK$814*1000000000+ISNUMBER('Dvd Calendar'!$AK$817)*100000000+('Dvd Calendar'!$AK$819=SPECIAL_LBL)*10000000+0*1000000+74*1000+33))</f>
        <v/>
      </c>
      <c r="FL85" s="35">
        <f>IF(N('Dvd Calendar'!$AL$814)=0,"",IF(('Dvd Calendar'!$AL$814&gt;=GRID_FROM)*('Dvd Calendar'!$AL$814&lt;=GRID_TO)*('Dvd Calendar'!$AL$814&lt;=VAL_DATE)=0,"",'Dvd Calendar'!$AL$814*1000000000+ISNUMBER('Dvd Calendar'!$AL$817)*100000000+('Dvd Calendar'!$AL$819=SPECIAL_LBL)*10000000+0*1000000+74*1000+34))</f>
        <v/>
      </c>
      <c r="FM85" s="35">
        <f>IF(N('Dvd Calendar'!$AM$814)=0,"",IF(('Dvd Calendar'!$AM$814&gt;=GRID_FROM)*('Dvd Calendar'!$AM$814&lt;=GRID_TO)*('Dvd Calendar'!$AM$814&lt;=VAL_DATE)=0,"",'Dvd Calendar'!$AM$814*1000000000+ISNUMBER('Dvd Calendar'!$AM$817)*100000000+('Dvd Calendar'!$AM$819=SPECIAL_LBL)*10000000+0*1000000+74*1000+35))</f>
        <v/>
      </c>
      <c r="FN85" s="35">
        <f>IF(N('Dvd Calendar'!$AN$814)=0,"",IF(('Dvd Calendar'!$AN$814&gt;=GRID_FROM)*('Dvd Calendar'!$AN$814&lt;=GRID_TO)*('Dvd Calendar'!$AN$814&lt;=VAL_DATE)=0,"",'Dvd Calendar'!$AN$814*1000000000+ISNUMBER('Dvd Calendar'!$AN$817)*100000000+('Dvd Calendar'!$AN$819=SPECIAL_LBL)*10000000+0*1000000+74*1000+36))</f>
        <v/>
      </c>
      <c r="FO85" s="35">
        <f>IF(N('Dvd Calendar'!$AO$814)=0,"",IF(('Dvd Calendar'!$AO$814&gt;=GRID_FROM)*('Dvd Calendar'!$AO$814&lt;=GRID_TO)*('Dvd Calendar'!$AO$814&lt;=VAL_DATE)=0,"",'Dvd Calendar'!$AO$814*1000000000+ISNUMBER('Dvd Calendar'!$AO$817)*100000000+('Dvd Calendar'!$AO$819=SPECIAL_LBL)*10000000+0*1000000+74*1000+37))</f>
        <v/>
      </c>
      <c r="FP85" s="35">
        <f>IF(N('Dvd Calendar'!$AP$814)=0,"",IF(('Dvd Calendar'!$AP$814&gt;=GRID_FROM)*('Dvd Calendar'!$AP$814&lt;=GRID_TO)*('Dvd Calendar'!$AP$814&lt;=VAL_DATE)=0,"",'Dvd Calendar'!$AP$814*1000000000+ISNUMBER('Dvd Calendar'!$AP$817)*100000000+('Dvd Calendar'!$AP$819=SPECIAL_LBL)*10000000+0*1000000+74*1000+38))</f>
        <v/>
      </c>
      <c r="FQ85" s="35">
        <f>IF(N('Dvd Calendar'!$AQ$814)=0,"",IF(('Dvd Calendar'!$AQ$814&gt;=GRID_FROM)*('Dvd Calendar'!$AQ$814&lt;=GRID_TO)*('Dvd Calendar'!$AQ$814&lt;=VAL_DATE)=0,"",'Dvd Calendar'!$AQ$814*1000000000+ISNUMBER('Dvd Calendar'!$AQ$817)*100000000+('Dvd Calendar'!$AQ$819=SPECIAL_LBL)*10000000+0*1000000+74*1000+39))</f>
        <v/>
      </c>
      <c r="FR85" s="35">
        <f>IF(N('Dvd Calendar'!$AR$814)=0,"",IF(('Dvd Calendar'!$AR$814&gt;=GRID_FROM)*('Dvd Calendar'!$AR$814&lt;=GRID_TO)*('Dvd Calendar'!$AR$814&lt;=VAL_DATE)=0,"",'Dvd Calendar'!$AR$814*1000000000+ISNUMBER('Dvd Calendar'!$AR$817)*100000000+('Dvd Calendar'!$AR$819=SPECIAL_LBL)*10000000+0*1000000+74*1000+40))</f>
        <v/>
      </c>
      <c r="FS85" s="35">
        <f>IF(N('Dvd Calendar'!$E$821)=0,"",IF(('Dvd Calendar'!$E$821&gt;=GRID_FROM)*('Dvd Calendar'!$E$821&lt;=GRID_TO)*('Dvd Calendar'!$E$821&gt;VAL_DATE)=0,"",'Dvd Calendar'!$E$821*1000000000+ISNUMBER('Dvd Calendar'!$E$822)*100000000+0*10000000+(N('Dvd Calendar'!$E$820)&gt;0)*(N('Dvd Calendar'!$E$820)&lt;=VAL_SERIAL)*1000000+74*1000+41))</f>
        <v/>
      </c>
      <c r="FT85" s="35">
        <f>IF(N('Dvd Calendar'!$F$821)=0,"",IF(('Dvd Calendar'!$F$821&gt;=GRID_FROM)*('Dvd Calendar'!$F$821&lt;=GRID_TO)*('Dvd Calendar'!$F$821&gt;VAL_DATE)=0,"",'Dvd Calendar'!$F$821*1000000000+ISNUMBER('Dvd Calendar'!$F$822)*100000000+0*10000000+(N('Dvd Calendar'!$F$820)&gt;0)*(N('Dvd Calendar'!$F$820)&lt;=VAL_SERIAL)*1000000+74*1000+42))</f>
        <v/>
      </c>
      <c r="FU85" s="35">
        <f>IF(N('Dvd Calendar'!$G$821)=0,"",IF(('Dvd Calendar'!$G$821&gt;=GRID_FROM)*('Dvd Calendar'!$G$821&lt;=GRID_TO)*('Dvd Calendar'!$G$821&gt;VAL_DATE)=0,"",'Dvd Calendar'!$G$821*1000000000+ISNUMBER('Dvd Calendar'!$G$822)*100000000+0*10000000+(N('Dvd Calendar'!$G$820)&gt;0)*(N('Dvd Calendar'!$G$820)&lt;=VAL_SERIAL)*1000000+74*1000+43))</f>
        <v/>
      </c>
      <c r="FV85" s="35">
        <f>IF(N('Dvd Calendar'!$H$821)=0,"",IF(('Dvd Calendar'!$H$821&gt;=GRID_FROM)*('Dvd Calendar'!$H$821&lt;=GRID_TO)*('Dvd Calendar'!$H$821&gt;VAL_DATE)=0,"",'Dvd Calendar'!$H$821*1000000000+ISNUMBER('Dvd Calendar'!$H$822)*100000000+0*10000000+(N('Dvd Calendar'!$H$820)&gt;0)*(N('Dvd Calendar'!$H$820)&lt;=VAL_SERIAL)*1000000+74*1000+44))</f>
        <v/>
      </c>
      <c r="FW85" s="35">
        <f>IF(N('Dvd Calendar'!$I$821)=0,"",IF(('Dvd Calendar'!$I$821&gt;=GRID_FROM)*('Dvd Calendar'!$I$821&lt;=GRID_TO)*('Dvd Calendar'!$I$821&gt;VAL_DATE)=0,"",'Dvd Calendar'!$I$821*1000000000+ISNUMBER('Dvd Calendar'!$I$822)*100000000+0*10000000+(N('Dvd Calendar'!$I$820)&gt;0)*(N('Dvd Calendar'!$I$820)&lt;=VAL_SERIAL)*1000000+74*1000+45))</f>
        <v/>
      </c>
      <c r="FX85" s="35">
        <f>IF(N('Dvd Calendar'!$J$821)=0,"",IF(('Dvd Calendar'!$J$821&gt;=GRID_FROM)*('Dvd Calendar'!$J$821&lt;=GRID_TO)*('Dvd Calendar'!$J$821&gt;VAL_DATE)=0,"",'Dvd Calendar'!$J$821*1000000000+ISNUMBER('Dvd Calendar'!$J$822)*100000000+0*10000000+(N('Dvd Calendar'!$J$820)&gt;0)*(N('Dvd Calendar'!$J$820)&lt;=VAL_SERIAL)*1000000+74*1000+46))</f>
        <v/>
      </c>
      <c r="FY85" s="35">
        <f>IF(N('Dvd Calendar'!$K$821)=0,"",IF(('Dvd Calendar'!$K$821&gt;=GRID_FROM)*('Dvd Calendar'!$K$821&lt;=GRID_TO)*('Dvd Calendar'!$K$821&gt;VAL_DATE)=0,"",'Dvd Calendar'!$K$821*1000000000+ISNUMBER('Dvd Calendar'!$K$822)*100000000+0*10000000+(N('Dvd Calendar'!$K$820)&gt;0)*(N('Dvd Calendar'!$K$820)&lt;=VAL_SERIAL)*1000000+74*1000+47))</f>
        <v/>
      </c>
      <c r="FZ85" s="35">
        <f>IF(N('Dvd Calendar'!$L$821)=0,"",IF(('Dvd Calendar'!$L$821&gt;=GRID_FROM)*('Dvd Calendar'!$L$821&lt;=GRID_TO)*('Dvd Calendar'!$L$821&gt;VAL_DATE)=0,"",'Dvd Calendar'!$L$821*1000000000+ISNUMBER('Dvd Calendar'!$L$822)*100000000+0*10000000+(N('Dvd Calendar'!$L$820)&gt;0)*(N('Dvd Calendar'!$L$820)&lt;=VAL_SERIAL)*1000000+74*1000+48))</f>
        <v/>
      </c>
      <c r="GA85" s="35">
        <f>IF(N('Dvd Calendar'!$M$821)=0,"",IF(('Dvd Calendar'!$M$821&gt;=GRID_FROM)*('Dvd Calendar'!$M$821&lt;=GRID_TO)*('Dvd Calendar'!$M$821&gt;VAL_DATE)=0,"",'Dvd Calendar'!$M$821*1000000000+ISNUMBER('Dvd Calendar'!$M$822)*100000000+0*10000000+(N('Dvd Calendar'!$M$820)&gt;0)*(N('Dvd Calendar'!$M$820)&lt;=VAL_SERIAL)*1000000+74*1000+49))</f>
        <v/>
      </c>
      <c r="GB85" s="35">
        <f>IF(N('Dvd Calendar'!$N$821)=0,"",IF(('Dvd Calendar'!$N$821&gt;=GRID_FROM)*('Dvd Calendar'!$N$821&lt;=GRID_TO)*('Dvd Calendar'!$N$821&gt;VAL_DATE)=0,"",'Dvd Calendar'!$N$821*1000000000+ISNUMBER('Dvd Calendar'!$N$822)*100000000+0*10000000+(N('Dvd Calendar'!$N$820)&gt;0)*(N('Dvd Calendar'!$N$820)&lt;=VAL_SERIAL)*1000000+74*1000+50))</f>
        <v/>
      </c>
      <c r="GC85" s="35">
        <f>IF(N('Dvd Calendar'!$O$821)=0,"",IF(('Dvd Calendar'!$O$821&gt;=GRID_FROM)*('Dvd Calendar'!$O$821&lt;=GRID_TO)*('Dvd Calendar'!$O$821&gt;VAL_DATE)=0,"",'Dvd Calendar'!$O$821*1000000000+ISNUMBER('Dvd Calendar'!$O$822)*100000000+0*10000000+(N('Dvd Calendar'!$O$820)&gt;0)*(N('Dvd Calendar'!$O$820)&lt;=VAL_SERIAL)*1000000+74*1000+51))</f>
        <v/>
      </c>
      <c r="GD85" s="35">
        <f>IF(N('Dvd Calendar'!$P$821)=0,"",IF(('Dvd Calendar'!$P$821&gt;=GRID_FROM)*('Dvd Calendar'!$P$821&lt;=GRID_TO)*('Dvd Calendar'!$P$821&gt;VAL_DATE)=0,"",'Dvd Calendar'!$P$821*1000000000+ISNUMBER('Dvd Calendar'!$P$822)*100000000+0*10000000+(N('Dvd Calendar'!$P$820)&gt;0)*(N('Dvd Calendar'!$P$820)&lt;=VAL_SERIAL)*1000000+74*1000+52))</f>
        <v/>
      </c>
      <c r="GE85" s="35">
        <f>IF(N('Dvd Calendar'!$Q$821)=0,"",IF(('Dvd Calendar'!$Q$821&gt;=GRID_FROM)*('Dvd Calendar'!$Q$821&lt;=GRID_TO)*('Dvd Calendar'!$Q$821&gt;VAL_DATE)=0,"",'Dvd Calendar'!$Q$821*1000000000+ISNUMBER('Dvd Calendar'!$Q$822)*100000000+0*10000000+(N('Dvd Calendar'!$Q$820)&gt;0)*(N('Dvd Calendar'!$Q$820)&lt;=VAL_SERIAL)*1000000+74*1000+53))</f>
        <v/>
      </c>
      <c r="GF85" s="35">
        <f>IF(N('Dvd Calendar'!$R$821)=0,"",IF(('Dvd Calendar'!$R$821&gt;=GRID_FROM)*('Dvd Calendar'!$R$821&lt;=GRID_TO)*('Dvd Calendar'!$R$821&gt;VAL_DATE)=0,"",'Dvd Calendar'!$R$821*1000000000+ISNUMBER('Dvd Calendar'!$R$822)*100000000+0*10000000+(N('Dvd Calendar'!$R$820)&gt;0)*(N('Dvd Calendar'!$R$820)&lt;=VAL_SERIAL)*1000000+74*1000+54))</f>
        <v/>
      </c>
      <c r="GG85" s="35">
        <f>IF(N('Dvd Calendar'!$S$821)=0,"",IF(('Dvd Calendar'!$S$821&gt;=GRID_FROM)*('Dvd Calendar'!$S$821&lt;=GRID_TO)*('Dvd Calendar'!$S$821&gt;VAL_DATE)=0,"",'Dvd Calendar'!$S$821*1000000000+ISNUMBER('Dvd Calendar'!$S$822)*100000000+0*10000000+(N('Dvd Calendar'!$S$820)&gt;0)*(N('Dvd Calendar'!$S$820)&lt;=VAL_SERIAL)*1000000+74*1000+55))</f>
        <v/>
      </c>
      <c r="GH85" s="35">
        <f>IF(N('Dvd Calendar'!$T$821)=0,"",IF(('Dvd Calendar'!$T$821&gt;=GRID_FROM)*('Dvd Calendar'!$T$821&lt;=GRID_TO)*('Dvd Calendar'!$T$821&gt;VAL_DATE)=0,"",'Dvd Calendar'!$T$821*1000000000+ISNUMBER('Dvd Calendar'!$T$822)*100000000+0*10000000+(N('Dvd Calendar'!$T$820)&gt;0)*(N('Dvd Calendar'!$T$820)&lt;=VAL_SERIAL)*1000000+74*1000+56))</f>
        <v/>
      </c>
      <c r="GI85" s="35">
        <f>IF(N('Dvd Calendar'!$U$821)=0,"",IF(('Dvd Calendar'!$U$821&gt;=GRID_FROM)*('Dvd Calendar'!$U$821&lt;=GRID_TO)*('Dvd Calendar'!$U$821&gt;VAL_DATE)=0,"",'Dvd Calendar'!$U$821*1000000000+ISNUMBER('Dvd Calendar'!$U$822)*100000000+0*10000000+(N('Dvd Calendar'!$U$820)&gt;0)*(N('Dvd Calendar'!$U$820)&lt;=VAL_SERIAL)*1000000+74*1000+57))</f>
        <v/>
      </c>
      <c r="GJ85" s="35">
        <f>IF(N('Dvd Calendar'!$V$821)=0,"",IF(('Dvd Calendar'!$V$821&gt;=GRID_FROM)*('Dvd Calendar'!$V$821&lt;=GRID_TO)*('Dvd Calendar'!$V$821&gt;VAL_DATE)=0,"",'Dvd Calendar'!$V$821*1000000000+ISNUMBER('Dvd Calendar'!$V$822)*100000000+0*10000000+(N('Dvd Calendar'!$V$820)&gt;0)*(N('Dvd Calendar'!$V$820)&lt;=VAL_SERIAL)*1000000+74*1000+58))</f>
        <v/>
      </c>
      <c r="GK85" s="35">
        <f>IF(N('Dvd Calendar'!$W$821)=0,"",IF(('Dvd Calendar'!$W$821&gt;=GRID_FROM)*('Dvd Calendar'!$W$821&lt;=GRID_TO)*('Dvd Calendar'!$W$821&gt;VAL_DATE)=0,"",'Dvd Calendar'!$W$821*1000000000+ISNUMBER('Dvd Calendar'!$W$822)*100000000+0*10000000+(N('Dvd Calendar'!$W$820)&gt;0)*(N('Dvd Calendar'!$W$820)&lt;=VAL_SERIAL)*1000000+74*1000+59))</f>
        <v/>
      </c>
      <c r="GL85" s="35">
        <f>IF(N('Dvd Calendar'!$X$821)=0,"",IF(('Dvd Calendar'!$X$821&gt;=GRID_FROM)*('Dvd Calendar'!$X$821&lt;=GRID_TO)*('Dvd Calendar'!$X$821&gt;VAL_DATE)=0,"",'Dvd Calendar'!$X$821*1000000000+ISNUMBER('Dvd Calendar'!$X$822)*100000000+0*10000000+(N('Dvd Calendar'!$X$820)&gt;0)*(N('Dvd Calendar'!$X$820)&lt;=VAL_SERIAL)*1000000+74*1000+60))</f>
        <v/>
      </c>
      <c r="GM85" s="35">
        <f>IF(N('Dvd Calendar'!$Y$821)=0,"",IF(('Dvd Calendar'!$Y$821&gt;=GRID_FROM)*('Dvd Calendar'!$Y$821&lt;=GRID_TO)*('Dvd Calendar'!$Y$821&gt;VAL_DATE)=0,"",'Dvd Calendar'!$Y$821*1000000000+ISNUMBER('Dvd Calendar'!$Y$822)*100000000+0*10000000+(N('Dvd Calendar'!$Y$820)&gt;0)*(N('Dvd Calendar'!$Y$820)&lt;=VAL_SERIAL)*1000000+74*1000+61))</f>
        <v/>
      </c>
      <c r="GN85" s="35">
        <f>IF(N('Dvd Calendar'!$Z$821)=0,"",IF(('Dvd Calendar'!$Z$821&gt;=GRID_FROM)*('Dvd Calendar'!$Z$821&lt;=GRID_TO)*('Dvd Calendar'!$Z$821&gt;VAL_DATE)=0,"",'Dvd Calendar'!$Z$821*1000000000+ISNUMBER('Dvd Calendar'!$Z$822)*100000000+0*10000000+(N('Dvd Calendar'!$Z$820)&gt;0)*(N('Dvd Calendar'!$Z$820)&lt;=VAL_SERIAL)*1000000+74*1000+62))</f>
        <v/>
      </c>
      <c r="GO85" s="35">
        <f>IF(N('Dvd Calendar'!$AA$821)=0,"",IF(('Dvd Calendar'!$AA$821&gt;=GRID_FROM)*('Dvd Calendar'!$AA$821&lt;=GRID_TO)*('Dvd Calendar'!$AA$821&gt;VAL_DATE)=0,"",'Dvd Calendar'!$AA$821*1000000000+ISNUMBER('Dvd Calendar'!$AA$822)*100000000+0*10000000+(N('Dvd Calendar'!$AA$820)&gt;0)*(N('Dvd Calendar'!$AA$820)&lt;=VAL_SERIAL)*1000000+74*1000+63))</f>
        <v/>
      </c>
      <c r="GP85" s="35">
        <f>IF(N('Dvd Calendar'!$AB$821)=0,"",IF(('Dvd Calendar'!$AB$821&gt;=GRID_FROM)*('Dvd Calendar'!$AB$821&lt;=GRID_TO)*('Dvd Calendar'!$AB$821&gt;VAL_DATE)=0,"",'Dvd Calendar'!$AB$821*1000000000+ISNUMBER('Dvd Calendar'!$AB$822)*100000000+0*10000000+(N('Dvd Calendar'!$AB$820)&gt;0)*(N('Dvd Calendar'!$AB$820)&lt;=VAL_SERIAL)*1000000+74*1000+64))</f>
        <v/>
      </c>
      <c r="GQ85" s="35">
        <f>IF(N('Dvd Calendar'!$AC$821)=0,"",IF(('Dvd Calendar'!$AC$821&gt;=GRID_FROM)*('Dvd Calendar'!$AC$821&lt;=GRID_TO)*('Dvd Calendar'!$AC$821&gt;VAL_DATE)=0,"",'Dvd Calendar'!$AC$821*1000000000+ISNUMBER('Dvd Calendar'!$AC$822)*100000000+0*10000000+(N('Dvd Calendar'!$AC$820)&gt;0)*(N('Dvd Calendar'!$AC$820)&lt;=VAL_SERIAL)*1000000+74*1000+65))</f>
        <v/>
      </c>
    </row>
    <row r="86">
      <c r="B86" s="2">
        <f>IF(HSI!$C$81="","",HSI!$C$81)</f>
        <v/>
      </c>
      <c r="C86" s="106">
        <f>IF(EE86="","",IF(ISNUMBER('Dvd Calendar'!$E$828)=FALSE,"",IF((('Dvd Calendar'!$E$830=TYPE1)*(TYPE1&lt;&gt;"")+('Dvd Calendar'!$E$830=TYPE2)*(TYPE2&lt;&gt;"")+('Dvd Calendar'!$E$830=TYPE3)*(TYPE3&lt;&gt;"")+('Dvd Calendar'!$E$830=TYPE4)*(TYPE4&lt;&gt;"")+('Dvd Calendar'!$E$830=SPECIAL_LBL)*(INC_SPECIALS="Y"))=0,"",'Dvd Calendar'!$E$828)))</f>
        <v/>
      </c>
      <c r="D86" s="106">
        <f>IF(EF86="","",IF(ISNUMBER('Dvd Calendar'!$F$828)=FALSE,"",IF((('Dvd Calendar'!$F$830=TYPE1)*(TYPE1&lt;&gt;"")+('Dvd Calendar'!$F$830=TYPE2)*(TYPE2&lt;&gt;"")+('Dvd Calendar'!$F$830=TYPE3)*(TYPE3&lt;&gt;"")+('Dvd Calendar'!$F$830=TYPE4)*(TYPE4&lt;&gt;"")+('Dvd Calendar'!$F$830=SPECIAL_LBL)*(INC_SPECIALS="Y"))=0,"",'Dvd Calendar'!$F$828)))</f>
        <v/>
      </c>
      <c r="E86" s="106">
        <f>IF(EG86="","",IF(ISNUMBER('Dvd Calendar'!$G$828)=FALSE,"",IF((('Dvd Calendar'!$G$830=TYPE1)*(TYPE1&lt;&gt;"")+('Dvd Calendar'!$G$830=TYPE2)*(TYPE2&lt;&gt;"")+('Dvd Calendar'!$G$830=TYPE3)*(TYPE3&lt;&gt;"")+('Dvd Calendar'!$G$830=TYPE4)*(TYPE4&lt;&gt;"")+('Dvd Calendar'!$G$830=SPECIAL_LBL)*(INC_SPECIALS="Y"))=0,"",'Dvd Calendar'!$G$828)))</f>
        <v/>
      </c>
      <c r="F86" s="106">
        <f>IF(EH86="","",IF(ISNUMBER('Dvd Calendar'!$H$828)=FALSE,"",IF((('Dvd Calendar'!$H$830=TYPE1)*(TYPE1&lt;&gt;"")+('Dvd Calendar'!$H$830=TYPE2)*(TYPE2&lt;&gt;"")+('Dvd Calendar'!$H$830=TYPE3)*(TYPE3&lt;&gt;"")+('Dvd Calendar'!$H$830=TYPE4)*(TYPE4&lt;&gt;"")+('Dvd Calendar'!$H$830=SPECIAL_LBL)*(INC_SPECIALS="Y"))=0,"",'Dvd Calendar'!$H$828)))</f>
        <v/>
      </c>
      <c r="G86" s="106">
        <f>IF(EI86="","",IF(ISNUMBER('Dvd Calendar'!$I$828)=FALSE,"",IF((('Dvd Calendar'!$I$830=TYPE1)*(TYPE1&lt;&gt;"")+('Dvd Calendar'!$I$830=TYPE2)*(TYPE2&lt;&gt;"")+('Dvd Calendar'!$I$830=TYPE3)*(TYPE3&lt;&gt;"")+('Dvd Calendar'!$I$830=TYPE4)*(TYPE4&lt;&gt;"")+('Dvd Calendar'!$I$830=SPECIAL_LBL)*(INC_SPECIALS="Y"))=0,"",'Dvd Calendar'!$I$828)))</f>
        <v/>
      </c>
      <c r="H86" s="106">
        <f>IF(EJ86="","",IF(ISNUMBER('Dvd Calendar'!$J$828)=FALSE,"",IF((('Dvd Calendar'!$J$830=TYPE1)*(TYPE1&lt;&gt;"")+('Dvd Calendar'!$J$830=TYPE2)*(TYPE2&lt;&gt;"")+('Dvd Calendar'!$J$830=TYPE3)*(TYPE3&lt;&gt;"")+('Dvd Calendar'!$J$830=TYPE4)*(TYPE4&lt;&gt;"")+('Dvd Calendar'!$J$830=SPECIAL_LBL)*(INC_SPECIALS="Y"))=0,"",'Dvd Calendar'!$J$828)))</f>
        <v/>
      </c>
      <c r="I86" s="106">
        <f>IF(EK86="","",IF(ISNUMBER('Dvd Calendar'!$K$828)=FALSE,"",IF((('Dvd Calendar'!$K$830=TYPE1)*(TYPE1&lt;&gt;"")+('Dvd Calendar'!$K$830=TYPE2)*(TYPE2&lt;&gt;"")+('Dvd Calendar'!$K$830=TYPE3)*(TYPE3&lt;&gt;"")+('Dvd Calendar'!$K$830=TYPE4)*(TYPE4&lt;&gt;"")+('Dvd Calendar'!$K$830=SPECIAL_LBL)*(INC_SPECIALS="Y"))=0,"",'Dvd Calendar'!$K$828)))</f>
        <v/>
      </c>
      <c r="J86" s="106">
        <f>IF(EL86="","",IF(ISNUMBER('Dvd Calendar'!$L$828)=FALSE,"",IF((('Dvd Calendar'!$L$830=TYPE1)*(TYPE1&lt;&gt;"")+('Dvd Calendar'!$L$830=TYPE2)*(TYPE2&lt;&gt;"")+('Dvd Calendar'!$L$830=TYPE3)*(TYPE3&lt;&gt;"")+('Dvd Calendar'!$L$830=TYPE4)*(TYPE4&lt;&gt;"")+('Dvd Calendar'!$L$830=SPECIAL_LBL)*(INC_SPECIALS="Y"))=0,"",'Dvd Calendar'!$L$828)))</f>
        <v/>
      </c>
      <c r="K86" s="106">
        <f>IF(EM86="","",IF(ISNUMBER('Dvd Calendar'!$M$828)=FALSE,"",IF((('Dvd Calendar'!$M$830=TYPE1)*(TYPE1&lt;&gt;"")+('Dvd Calendar'!$M$830=TYPE2)*(TYPE2&lt;&gt;"")+('Dvd Calendar'!$M$830=TYPE3)*(TYPE3&lt;&gt;"")+('Dvd Calendar'!$M$830=TYPE4)*(TYPE4&lt;&gt;"")+('Dvd Calendar'!$M$830=SPECIAL_LBL)*(INC_SPECIALS="Y"))=0,"",'Dvd Calendar'!$M$828)))</f>
        <v/>
      </c>
      <c r="L86" s="106">
        <f>IF(EN86="","",IF(ISNUMBER('Dvd Calendar'!$N$828)=FALSE,"",IF((('Dvd Calendar'!$N$830=TYPE1)*(TYPE1&lt;&gt;"")+('Dvd Calendar'!$N$830=TYPE2)*(TYPE2&lt;&gt;"")+('Dvd Calendar'!$N$830=TYPE3)*(TYPE3&lt;&gt;"")+('Dvd Calendar'!$N$830=TYPE4)*(TYPE4&lt;&gt;"")+('Dvd Calendar'!$N$830=SPECIAL_LBL)*(INC_SPECIALS="Y"))=0,"",'Dvd Calendar'!$N$828)))</f>
        <v/>
      </c>
      <c r="M86" s="106">
        <f>IF(EO86="","",IF(ISNUMBER('Dvd Calendar'!$O$828)=FALSE,"",IF((('Dvd Calendar'!$O$830=TYPE1)*(TYPE1&lt;&gt;"")+('Dvd Calendar'!$O$830=TYPE2)*(TYPE2&lt;&gt;"")+('Dvd Calendar'!$O$830=TYPE3)*(TYPE3&lt;&gt;"")+('Dvd Calendar'!$O$830=TYPE4)*(TYPE4&lt;&gt;"")+('Dvd Calendar'!$O$830=SPECIAL_LBL)*(INC_SPECIALS="Y"))=0,"",'Dvd Calendar'!$O$828)))</f>
        <v/>
      </c>
      <c r="N86" s="106">
        <f>IF(EP86="","",IF(ISNUMBER('Dvd Calendar'!$P$828)=FALSE,"",IF((('Dvd Calendar'!$P$830=TYPE1)*(TYPE1&lt;&gt;"")+('Dvd Calendar'!$P$830=TYPE2)*(TYPE2&lt;&gt;"")+('Dvd Calendar'!$P$830=TYPE3)*(TYPE3&lt;&gt;"")+('Dvd Calendar'!$P$830=TYPE4)*(TYPE4&lt;&gt;"")+('Dvd Calendar'!$P$830=SPECIAL_LBL)*(INC_SPECIALS="Y"))=0,"",'Dvd Calendar'!$P$828)))</f>
        <v/>
      </c>
      <c r="O86" s="106">
        <f>IF(EQ86="","",IF(ISNUMBER('Dvd Calendar'!$Q$828)=FALSE,"",IF((('Dvd Calendar'!$Q$830=TYPE1)*(TYPE1&lt;&gt;"")+('Dvd Calendar'!$Q$830=TYPE2)*(TYPE2&lt;&gt;"")+('Dvd Calendar'!$Q$830=TYPE3)*(TYPE3&lt;&gt;"")+('Dvd Calendar'!$Q$830=TYPE4)*(TYPE4&lt;&gt;"")+('Dvd Calendar'!$Q$830=SPECIAL_LBL)*(INC_SPECIALS="Y"))=0,"",'Dvd Calendar'!$Q$828)))</f>
        <v/>
      </c>
      <c r="P86" s="106">
        <f>IF(ER86="","",IF(ISNUMBER('Dvd Calendar'!$R$828)=FALSE,"",IF((('Dvd Calendar'!$R$830=TYPE1)*(TYPE1&lt;&gt;"")+('Dvd Calendar'!$R$830=TYPE2)*(TYPE2&lt;&gt;"")+('Dvd Calendar'!$R$830=TYPE3)*(TYPE3&lt;&gt;"")+('Dvd Calendar'!$R$830=TYPE4)*(TYPE4&lt;&gt;"")+('Dvd Calendar'!$R$830=SPECIAL_LBL)*(INC_SPECIALS="Y"))=0,"",'Dvd Calendar'!$R$828)))</f>
        <v/>
      </c>
      <c r="Q86" s="106">
        <f>IF(ES86="","",IF(ISNUMBER('Dvd Calendar'!$S$828)=FALSE,"",IF((('Dvd Calendar'!$S$830=TYPE1)*(TYPE1&lt;&gt;"")+('Dvd Calendar'!$S$830=TYPE2)*(TYPE2&lt;&gt;"")+('Dvd Calendar'!$S$830=TYPE3)*(TYPE3&lt;&gt;"")+('Dvd Calendar'!$S$830=TYPE4)*(TYPE4&lt;&gt;"")+('Dvd Calendar'!$S$830=SPECIAL_LBL)*(INC_SPECIALS="Y"))=0,"",'Dvd Calendar'!$S$828)))</f>
        <v/>
      </c>
      <c r="R86" s="106">
        <f>IF(ET86="","",IF(ISNUMBER('Dvd Calendar'!$T$828)=FALSE,"",IF((('Dvd Calendar'!$T$830=TYPE1)*(TYPE1&lt;&gt;"")+('Dvd Calendar'!$T$830=TYPE2)*(TYPE2&lt;&gt;"")+('Dvd Calendar'!$T$830=TYPE3)*(TYPE3&lt;&gt;"")+('Dvd Calendar'!$T$830=TYPE4)*(TYPE4&lt;&gt;"")+('Dvd Calendar'!$T$830=SPECIAL_LBL)*(INC_SPECIALS="Y"))=0,"",'Dvd Calendar'!$T$828)))</f>
        <v/>
      </c>
      <c r="S86" s="106">
        <f>IF(EU86="","",IF(ISNUMBER('Dvd Calendar'!$U$828)=FALSE,"",IF((('Dvd Calendar'!$U$830=TYPE1)*(TYPE1&lt;&gt;"")+('Dvd Calendar'!$U$830=TYPE2)*(TYPE2&lt;&gt;"")+('Dvd Calendar'!$U$830=TYPE3)*(TYPE3&lt;&gt;"")+('Dvd Calendar'!$U$830=TYPE4)*(TYPE4&lt;&gt;"")+('Dvd Calendar'!$U$830=SPECIAL_LBL)*(INC_SPECIALS="Y"))=0,"",'Dvd Calendar'!$U$828)))</f>
        <v/>
      </c>
      <c r="T86" s="106">
        <f>IF(EV86="","",IF(ISNUMBER('Dvd Calendar'!$V$828)=FALSE,"",IF((('Dvd Calendar'!$V$830=TYPE1)*(TYPE1&lt;&gt;"")+('Dvd Calendar'!$V$830=TYPE2)*(TYPE2&lt;&gt;"")+('Dvd Calendar'!$V$830=TYPE3)*(TYPE3&lt;&gt;"")+('Dvd Calendar'!$V$830=TYPE4)*(TYPE4&lt;&gt;"")+('Dvd Calendar'!$V$830=SPECIAL_LBL)*(INC_SPECIALS="Y"))=0,"",'Dvd Calendar'!$V$828)))</f>
        <v/>
      </c>
      <c r="U86" s="106">
        <f>IF(EW86="","",IF(ISNUMBER('Dvd Calendar'!$W$828)=FALSE,"",IF((('Dvd Calendar'!$W$830=TYPE1)*(TYPE1&lt;&gt;"")+('Dvd Calendar'!$W$830=TYPE2)*(TYPE2&lt;&gt;"")+('Dvd Calendar'!$W$830=TYPE3)*(TYPE3&lt;&gt;"")+('Dvd Calendar'!$W$830=TYPE4)*(TYPE4&lt;&gt;"")+('Dvd Calendar'!$W$830=SPECIAL_LBL)*(INC_SPECIALS="Y"))=0,"",'Dvd Calendar'!$W$828)))</f>
        <v/>
      </c>
      <c r="V86" s="106">
        <f>IF(EX86="","",IF(ISNUMBER('Dvd Calendar'!$X$828)=FALSE,"",IF((('Dvd Calendar'!$X$830=TYPE1)*(TYPE1&lt;&gt;"")+('Dvd Calendar'!$X$830=TYPE2)*(TYPE2&lt;&gt;"")+('Dvd Calendar'!$X$830=TYPE3)*(TYPE3&lt;&gt;"")+('Dvd Calendar'!$X$830=TYPE4)*(TYPE4&lt;&gt;"")+('Dvd Calendar'!$X$830=SPECIAL_LBL)*(INC_SPECIALS="Y"))=0,"",'Dvd Calendar'!$X$828)))</f>
        <v/>
      </c>
      <c r="W86" s="106">
        <f>IF(EY86="","",IF(ISNUMBER('Dvd Calendar'!$Y$828)=FALSE,"",IF((('Dvd Calendar'!$Y$830=TYPE1)*(TYPE1&lt;&gt;"")+('Dvd Calendar'!$Y$830=TYPE2)*(TYPE2&lt;&gt;"")+('Dvd Calendar'!$Y$830=TYPE3)*(TYPE3&lt;&gt;"")+('Dvd Calendar'!$Y$830=TYPE4)*(TYPE4&lt;&gt;"")+('Dvd Calendar'!$Y$830=SPECIAL_LBL)*(INC_SPECIALS="Y"))=0,"",'Dvd Calendar'!$Y$828)))</f>
        <v/>
      </c>
      <c r="X86" s="106">
        <f>IF(EZ86="","",IF(ISNUMBER('Dvd Calendar'!$Z$828)=FALSE,"",IF((('Dvd Calendar'!$Z$830=TYPE1)*(TYPE1&lt;&gt;"")+('Dvd Calendar'!$Z$830=TYPE2)*(TYPE2&lt;&gt;"")+('Dvd Calendar'!$Z$830=TYPE3)*(TYPE3&lt;&gt;"")+('Dvd Calendar'!$Z$830=TYPE4)*(TYPE4&lt;&gt;"")+('Dvd Calendar'!$Z$830=SPECIAL_LBL)*(INC_SPECIALS="Y"))=0,"",'Dvd Calendar'!$Z$828)))</f>
        <v/>
      </c>
      <c r="Y86" s="106">
        <f>IF(FA86="","",IF(ISNUMBER('Dvd Calendar'!$AA$828)=FALSE,"",IF((('Dvd Calendar'!$AA$830=TYPE1)*(TYPE1&lt;&gt;"")+('Dvd Calendar'!$AA$830=TYPE2)*(TYPE2&lt;&gt;"")+('Dvd Calendar'!$AA$830=TYPE3)*(TYPE3&lt;&gt;"")+('Dvd Calendar'!$AA$830=TYPE4)*(TYPE4&lt;&gt;"")+('Dvd Calendar'!$AA$830=SPECIAL_LBL)*(INC_SPECIALS="Y"))=0,"",'Dvd Calendar'!$AA$828)))</f>
        <v/>
      </c>
      <c r="Z86" s="106">
        <f>IF(FB86="","",IF(ISNUMBER('Dvd Calendar'!$AB$828)=FALSE,"",IF((('Dvd Calendar'!$AB$830=TYPE1)*(TYPE1&lt;&gt;"")+('Dvd Calendar'!$AB$830=TYPE2)*(TYPE2&lt;&gt;"")+('Dvd Calendar'!$AB$830=TYPE3)*(TYPE3&lt;&gt;"")+('Dvd Calendar'!$AB$830=TYPE4)*(TYPE4&lt;&gt;"")+('Dvd Calendar'!$AB$830=SPECIAL_LBL)*(INC_SPECIALS="Y"))=0,"",'Dvd Calendar'!$AB$828)))</f>
        <v/>
      </c>
      <c r="AA86" s="106">
        <f>IF(FC86="","",IF(ISNUMBER('Dvd Calendar'!$AC$828)=FALSE,"",IF((('Dvd Calendar'!$AC$830=TYPE1)*(TYPE1&lt;&gt;"")+('Dvd Calendar'!$AC$830=TYPE2)*(TYPE2&lt;&gt;"")+('Dvd Calendar'!$AC$830=TYPE3)*(TYPE3&lt;&gt;"")+('Dvd Calendar'!$AC$830=TYPE4)*(TYPE4&lt;&gt;"")+('Dvd Calendar'!$AC$830=SPECIAL_LBL)*(INC_SPECIALS="Y"))=0,"",'Dvd Calendar'!$AC$828)))</f>
        <v/>
      </c>
      <c r="AB86" s="106">
        <f>IF(FD86="","",IF(ISNUMBER('Dvd Calendar'!$AD$828)=FALSE,"",IF((('Dvd Calendar'!$AD$830=TYPE1)*(TYPE1&lt;&gt;"")+('Dvd Calendar'!$AD$830=TYPE2)*(TYPE2&lt;&gt;"")+('Dvd Calendar'!$AD$830=TYPE3)*(TYPE3&lt;&gt;"")+('Dvd Calendar'!$AD$830=TYPE4)*(TYPE4&lt;&gt;"")+('Dvd Calendar'!$AD$830=SPECIAL_LBL)*(INC_SPECIALS="Y"))=0,"",'Dvd Calendar'!$AD$828)))</f>
        <v/>
      </c>
      <c r="AC86" s="106">
        <f>IF(FE86="","",IF(ISNUMBER('Dvd Calendar'!$AE$828)=FALSE,"",IF((('Dvd Calendar'!$AE$830=TYPE1)*(TYPE1&lt;&gt;"")+('Dvd Calendar'!$AE$830=TYPE2)*(TYPE2&lt;&gt;"")+('Dvd Calendar'!$AE$830=TYPE3)*(TYPE3&lt;&gt;"")+('Dvd Calendar'!$AE$830=TYPE4)*(TYPE4&lt;&gt;"")+('Dvd Calendar'!$AE$830=SPECIAL_LBL)*(INC_SPECIALS="Y"))=0,"",'Dvd Calendar'!$AE$828)))</f>
        <v/>
      </c>
      <c r="AD86" s="106">
        <f>IF(FF86="","",IF(ISNUMBER('Dvd Calendar'!$AF$828)=FALSE,"",IF((('Dvd Calendar'!$AF$830=TYPE1)*(TYPE1&lt;&gt;"")+('Dvd Calendar'!$AF$830=TYPE2)*(TYPE2&lt;&gt;"")+('Dvd Calendar'!$AF$830=TYPE3)*(TYPE3&lt;&gt;"")+('Dvd Calendar'!$AF$830=TYPE4)*(TYPE4&lt;&gt;"")+('Dvd Calendar'!$AF$830=SPECIAL_LBL)*(INC_SPECIALS="Y"))=0,"",'Dvd Calendar'!$AF$828)))</f>
        <v/>
      </c>
      <c r="AE86" s="106">
        <f>IF(FG86="","",IF(ISNUMBER('Dvd Calendar'!$AG$828)=FALSE,"",IF((('Dvd Calendar'!$AG$830=TYPE1)*(TYPE1&lt;&gt;"")+('Dvd Calendar'!$AG$830=TYPE2)*(TYPE2&lt;&gt;"")+('Dvd Calendar'!$AG$830=TYPE3)*(TYPE3&lt;&gt;"")+('Dvd Calendar'!$AG$830=TYPE4)*(TYPE4&lt;&gt;"")+('Dvd Calendar'!$AG$830=SPECIAL_LBL)*(INC_SPECIALS="Y"))=0,"",'Dvd Calendar'!$AG$828)))</f>
        <v/>
      </c>
      <c r="AF86" s="106">
        <f>IF(FH86="","",IF(ISNUMBER('Dvd Calendar'!$AH$828)=FALSE,"",IF((('Dvd Calendar'!$AH$830=TYPE1)*(TYPE1&lt;&gt;"")+('Dvd Calendar'!$AH$830=TYPE2)*(TYPE2&lt;&gt;"")+('Dvd Calendar'!$AH$830=TYPE3)*(TYPE3&lt;&gt;"")+('Dvd Calendar'!$AH$830=TYPE4)*(TYPE4&lt;&gt;"")+('Dvd Calendar'!$AH$830=SPECIAL_LBL)*(INC_SPECIALS="Y"))=0,"",'Dvd Calendar'!$AH$828)))</f>
        <v/>
      </c>
      <c r="AG86" s="106">
        <f>IF(FI86="","",IF(ISNUMBER('Dvd Calendar'!$AI$828)=FALSE,"",IF((('Dvd Calendar'!$AI$830=TYPE1)*(TYPE1&lt;&gt;"")+('Dvd Calendar'!$AI$830=TYPE2)*(TYPE2&lt;&gt;"")+('Dvd Calendar'!$AI$830=TYPE3)*(TYPE3&lt;&gt;"")+('Dvd Calendar'!$AI$830=TYPE4)*(TYPE4&lt;&gt;"")+('Dvd Calendar'!$AI$830=SPECIAL_LBL)*(INC_SPECIALS="Y"))=0,"",'Dvd Calendar'!$AI$828)))</f>
        <v/>
      </c>
      <c r="AH86" s="106">
        <f>IF(FJ86="","",IF(ISNUMBER('Dvd Calendar'!$AJ$828)=FALSE,"",IF((('Dvd Calendar'!$AJ$830=TYPE1)*(TYPE1&lt;&gt;"")+('Dvd Calendar'!$AJ$830=TYPE2)*(TYPE2&lt;&gt;"")+('Dvd Calendar'!$AJ$830=TYPE3)*(TYPE3&lt;&gt;"")+('Dvd Calendar'!$AJ$830=TYPE4)*(TYPE4&lt;&gt;"")+('Dvd Calendar'!$AJ$830=SPECIAL_LBL)*(INC_SPECIALS="Y"))=0,"",'Dvd Calendar'!$AJ$828)))</f>
        <v/>
      </c>
      <c r="AI86" s="106">
        <f>IF(FK86="","",IF(ISNUMBER('Dvd Calendar'!$AK$828)=FALSE,"",IF((('Dvd Calendar'!$AK$830=TYPE1)*(TYPE1&lt;&gt;"")+('Dvd Calendar'!$AK$830=TYPE2)*(TYPE2&lt;&gt;"")+('Dvd Calendar'!$AK$830=TYPE3)*(TYPE3&lt;&gt;"")+('Dvd Calendar'!$AK$830=TYPE4)*(TYPE4&lt;&gt;"")+('Dvd Calendar'!$AK$830=SPECIAL_LBL)*(INC_SPECIALS="Y"))=0,"",'Dvd Calendar'!$AK$828)))</f>
        <v/>
      </c>
      <c r="AJ86" s="106">
        <f>IF(FL86="","",IF(ISNUMBER('Dvd Calendar'!$AL$828)=FALSE,"",IF((('Dvd Calendar'!$AL$830=TYPE1)*(TYPE1&lt;&gt;"")+('Dvd Calendar'!$AL$830=TYPE2)*(TYPE2&lt;&gt;"")+('Dvd Calendar'!$AL$830=TYPE3)*(TYPE3&lt;&gt;"")+('Dvd Calendar'!$AL$830=TYPE4)*(TYPE4&lt;&gt;"")+('Dvd Calendar'!$AL$830=SPECIAL_LBL)*(INC_SPECIALS="Y"))=0,"",'Dvd Calendar'!$AL$828)))</f>
        <v/>
      </c>
      <c r="AK86" s="106">
        <f>IF(FM86="","",IF(ISNUMBER('Dvd Calendar'!$AM$828)=FALSE,"",IF((('Dvd Calendar'!$AM$830=TYPE1)*(TYPE1&lt;&gt;"")+('Dvd Calendar'!$AM$830=TYPE2)*(TYPE2&lt;&gt;"")+('Dvd Calendar'!$AM$830=TYPE3)*(TYPE3&lt;&gt;"")+('Dvd Calendar'!$AM$830=TYPE4)*(TYPE4&lt;&gt;"")+('Dvd Calendar'!$AM$830=SPECIAL_LBL)*(INC_SPECIALS="Y"))=0,"",'Dvd Calendar'!$AM$828)))</f>
        <v/>
      </c>
      <c r="AL86" s="106">
        <f>IF(FN86="","",IF(ISNUMBER('Dvd Calendar'!$AN$828)=FALSE,"",IF((('Dvd Calendar'!$AN$830=TYPE1)*(TYPE1&lt;&gt;"")+('Dvd Calendar'!$AN$830=TYPE2)*(TYPE2&lt;&gt;"")+('Dvd Calendar'!$AN$830=TYPE3)*(TYPE3&lt;&gt;"")+('Dvd Calendar'!$AN$830=TYPE4)*(TYPE4&lt;&gt;"")+('Dvd Calendar'!$AN$830=SPECIAL_LBL)*(INC_SPECIALS="Y"))=0,"",'Dvd Calendar'!$AN$828)))</f>
        <v/>
      </c>
      <c r="AM86" s="106">
        <f>IF(FO86="","",IF(ISNUMBER('Dvd Calendar'!$AO$828)=FALSE,"",IF((('Dvd Calendar'!$AO$830=TYPE1)*(TYPE1&lt;&gt;"")+('Dvd Calendar'!$AO$830=TYPE2)*(TYPE2&lt;&gt;"")+('Dvd Calendar'!$AO$830=TYPE3)*(TYPE3&lt;&gt;"")+('Dvd Calendar'!$AO$830=TYPE4)*(TYPE4&lt;&gt;"")+('Dvd Calendar'!$AO$830=SPECIAL_LBL)*(INC_SPECIALS="Y"))=0,"",'Dvd Calendar'!$AO$828)))</f>
        <v/>
      </c>
      <c r="AN86" s="106">
        <f>IF(FP86="","",IF(ISNUMBER('Dvd Calendar'!$AP$828)=FALSE,"",IF((('Dvd Calendar'!$AP$830=TYPE1)*(TYPE1&lt;&gt;"")+('Dvd Calendar'!$AP$830=TYPE2)*(TYPE2&lt;&gt;"")+('Dvd Calendar'!$AP$830=TYPE3)*(TYPE3&lt;&gt;"")+('Dvd Calendar'!$AP$830=TYPE4)*(TYPE4&lt;&gt;"")+('Dvd Calendar'!$AP$830=SPECIAL_LBL)*(INC_SPECIALS="Y"))=0,"",'Dvd Calendar'!$AP$828)))</f>
        <v/>
      </c>
      <c r="AO86" s="106">
        <f>IF(FQ86="","",IF(ISNUMBER('Dvd Calendar'!$AQ$828)=FALSE,"",IF((('Dvd Calendar'!$AQ$830=TYPE1)*(TYPE1&lt;&gt;"")+('Dvd Calendar'!$AQ$830=TYPE2)*(TYPE2&lt;&gt;"")+('Dvd Calendar'!$AQ$830=TYPE3)*(TYPE3&lt;&gt;"")+('Dvd Calendar'!$AQ$830=TYPE4)*(TYPE4&lt;&gt;"")+('Dvd Calendar'!$AQ$830=SPECIAL_LBL)*(INC_SPECIALS="Y"))=0,"",'Dvd Calendar'!$AQ$828)))</f>
        <v/>
      </c>
      <c r="AP86" s="106">
        <f>IF(FR86="","",IF(ISNUMBER('Dvd Calendar'!$AR$828)=FALSE,"",IF((('Dvd Calendar'!$AR$830=TYPE1)*(TYPE1&lt;&gt;"")+('Dvd Calendar'!$AR$830=TYPE2)*(TYPE2&lt;&gt;"")+('Dvd Calendar'!$AR$830=TYPE3)*(TYPE3&lt;&gt;"")+('Dvd Calendar'!$AR$830=TYPE4)*(TYPE4&lt;&gt;"")+('Dvd Calendar'!$AR$830=SPECIAL_LBL)*(INC_SPECIALS="Y"))=0,"",'Dvd Calendar'!$AR$828)))</f>
        <v/>
      </c>
      <c r="AQ86" s="106">
        <f>IF(FS86="","",IF(ISNUMBER('Dvd Calendar'!$E$833)=FALSE,"",'Dvd Calendar'!$E$833))</f>
        <v/>
      </c>
      <c r="AR86" s="106">
        <f>IF(FT86="","",IF(ISNUMBER('Dvd Calendar'!$F$833)=FALSE,"",'Dvd Calendar'!$F$833))</f>
        <v/>
      </c>
      <c r="AS86" s="106">
        <f>IF(FU86="","",IF(ISNUMBER('Dvd Calendar'!$G$833)=FALSE,"",'Dvd Calendar'!$G$833))</f>
        <v/>
      </c>
      <c r="AT86" s="106">
        <f>IF(FV86="","",IF(ISNUMBER('Dvd Calendar'!$H$833)=FALSE,"",'Dvd Calendar'!$H$833))</f>
        <v/>
      </c>
      <c r="AU86" s="106">
        <f>IF(FW86="","",IF(ISNUMBER('Dvd Calendar'!$I$833)=FALSE,"",'Dvd Calendar'!$I$833))</f>
        <v/>
      </c>
      <c r="AV86" s="106">
        <f>IF(FX86="","",IF(ISNUMBER('Dvd Calendar'!$J$833)=FALSE,"",'Dvd Calendar'!$J$833))</f>
        <v/>
      </c>
      <c r="AW86" s="106">
        <f>IF(FY86="","",IF(ISNUMBER('Dvd Calendar'!$K$833)=FALSE,"",'Dvd Calendar'!$K$833))</f>
        <v/>
      </c>
      <c r="AX86" s="106">
        <f>IF(FZ86="","",IF(ISNUMBER('Dvd Calendar'!$L$833)=FALSE,"",'Dvd Calendar'!$L$833))</f>
        <v/>
      </c>
      <c r="AY86" s="106">
        <f>IF(GA86="","",IF(ISNUMBER('Dvd Calendar'!$M$833)=FALSE,"",'Dvd Calendar'!$M$833))</f>
        <v/>
      </c>
      <c r="AZ86" s="106">
        <f>IF(GB86="","",IF(ISNUMBER('Dvd Calendar'!$N$833)=FALSE,"",'Dvd Calendar'!$N$833))</f>
        <v/>
      </c>
      <c r="BA86" s="106">
        <f>IF(GC86="","",IF(ISNUMBER('Dvd Calendar'!$O$833)=FALSE,"",'Dvd Calendar'!$O$833))</f>
        <v/>
      </c>
      <c r="BB86" s="106">
        <f>IF(GD86="","",IF(ISNUMBER('Dvd Calendar'!$P$833)=FALSE,"",'Dvd Calendar'!$P$833))</f>
        <v/>
      </c>
      <c r="BC86" s="106">
        <f>IF(GE86="","",IF(ISNUMBER('Dvd Calendar'!$Q$833)=FALSE,"",'Dvd Calendar'!$Q$833))</f>
        <v/>
      </c>
      <c r="BD86" s="106">
        <f>IF(GF86="","",IF(ISNUMBER('Dvd Calendar'!$R$833)=FALSE,"",'Dvd Calendar'!$R$833))</f>
        <v/>
      </c>
      <c r="BE86" s="106">
        <f>IF(GG86="","",IF(ISNUMBER('Dvd Calendar'!$S$833)=FALSE,"",'Dvd Calendar'!$S$833))</f>
        <v/>
      </c>
      <c r="BF86" s="106">
        <f>IF(GH86="","",IF(ISNUMBER('Dvd Calendar'!$T$833)=FALSE,"",'Dvd Calendar'!$T$833))</f>
        <v/>
      </c>
      <c r="BG86" s="106">
        <f>IF(GI86="","",IF(ISNUMBER('Dvd Calendar'!$U$833)=FALSE,"",'Dvd Calendar'!$U$833))</f>
        <v/>
      </c>
      <c r="BH86" s="106">
        <f>IF(GJ86="","",IF(ISNUMBER('Dvd Calendar'!$V$833)=FALSE,"",'Dvd Calendar'!$V$833))</f>
        <v/>
      </c>
      <c r="BI86" s="106">
        <f>IF(GK86="","",IF(ISNUMBER('Dvd Calendar'!$W$833)=FALSE,"",'Dvd Calendar'!$W$833))</f>
        <v/>
      </c>
      <c r="BJ86" s="106">
        <f>IF(GL86="","",IF(ISNUMBER('Dvd Calendar'!$X$833)=FALSE,"",'Dvd Calendar'!$X$833))</f>
        <v/>
      </c>
      <c r="BK86" s="106">
        <f>IF(GM86="","",IF(ISNUMBER('Dvd Calendar'!$Y$833)=FALSE,"",'Dvd Calendar'!$Y$833))</f>
        <v/>
      </c>
      <c r="BL86" s="106">
        <f>IF(GN86="","",IF(ISNUMBER('Dvd Calendar'!$Z$833)=FALSE,"",'Dvd Calendar'!$Z$833))</f>
        <v/>
      </c>
      <c r="BM86" s="106">
        <f>IF(GO86="","",IF(ISNUMBER('Dvd Calendar'!$AA$833)=FALSE,"",'Dvd Calendar'!$AA$833))</f>
        <v/>
      </c>
      <c r="BN86" s="106">
        <f>IF(GP86="","",IF(ISNUMBER('Dvd Calendar'!$AB$833)=FALSE,"",'Dvd Calendar'!$AB$833))</f>
        <v/>
      </c>
      <c r="BO86" s="106">
        <f>IF(GQ86="","",IF(ISNUMBER('Dvd Calendar'!$AC$833)=FALSE,"",'Dvd Calendar'!$AC$833))</f>
        <v/>
      </c>
      <c r="BQ86" s="106">
        <f>IF(C86="","",IFERROR(C86*HSI!$B$81*HSI!$G$81/HSI!$B$3,""))</f>
        <v/>
      </c>
      <c r="BR86" s="106">
        <f>IF(D86="","",IFERROR(D86*HSI!$B$81*HSI!$G$81/HSI!$B$3,""))</f>
        <v/>
      </c>
      <c r="BS86" s="106">
        <f>IF(E86="","",IFERROR(E86*HSI!$B$81*HSI!$G$81/HSI!$B$3,""))</f>
        <v/>
      </c>
      <c r="BT86" s="106">
        <f>IF(F86="","",IFERROR(F86*HSI!$B$81*HSI!$G$81/HSI!$B$3,""))</f>
        <v/>
      </c>
      <c r="BU86" s="106">
        <f>IF(G86="","",IFERROR(G86*HSI!$B$81*HSI!$G$81/HSI!$B$3,""))</f>
        <v/>
      </c>
      <c r="BV86" s="106">
        <f>IF(H86="","",IFERROR(H86*HSI!$B$81*HSI!$G$81/HSI!$B$3,""))</f>
        <v/>
      </c>
      <c r="BW86" s="106">
        <f>IF(I86="","",IFERROR(I86*HSI!$B$81*HSI!$G$81/HSI!$B$3,""))</f>
        <v/>
      </c>
      <c r="BX86" s="106">
        <f>IF(J86="","",IFERROR(J86*HSI!$B$81*HSI!$G$81/HSI!$B$3,""))</f>
        <v/>
      </c>
      <c r="BY86" s="106">
        <f>IF(K86="","",IFERROR(K86*HSI!$B$81*HSI!$G$81/HSI!$B$3,""))</f>
        <v/>
      </c>
      <c r="BZ86" s="106">
        <f>IF(L86="","",IFERROR(L86*HSI!$B$81*HSI!$G$81/HSI!$B$3,""))</f>
        <v/>
      </c>
      <c r="CA86" s="106">
        <f>IF(M86="","",IFERROR(M86*HSI!$B$81*HSI!$G$81/HSI!$B$3,""))</f>
        <v/>
      </c>
      <c r="CB86" s="106">
        <f>IF(N86="","",IFERROR(N86*HSI!$B$81*HSI!$G$81/HSI!$B$3,""))</f>
        <v/>
      </c>
      <c r="CC86" s="106">
        <f>IF(O86="","",IFERROR(O86*HSI!$B$81*HSI!$G$81/HSI!$B$3,""))</f>
        <v/>
      </c>
      <c r="CD86" s="106">
        <f>IF(P86="","",IFERROR(P86*HSI!$B$81*HSI!$G$81/HSI!$B$3,""))</f>
        <v/>
      </c>
      <c r="CE86" s="106">
        <f>IF(Q86="","",IFERROR(Q86*HSI!$B$81*HSI!$G$81/HSI!$B$3,""))</f>
        <v/>
      </c>
      <c r="CF86" s="106">
        <f>IF(R86="","",IFERROR(R86*HSI!$B$81*HSI!$G$81/HSI!$B$3,""))</f>
        <v/>
      </c>
      <c r="CG86" s="106">
        <f>IF(S86="","",IFERROR(S86*HSI!$B$81*HSI!$G$81/HSI!$B$3,""))</f>
        <v/>
      </c>
      <c r="CH86" s="106">
        <f>IF(T86="","",IFERROR(T86*HSI!$B$81*HSI!$G$81/HSI!$B$3,""))</f>
        <v/>
      </c>
      <c r="CI86" s="106">
        <f>IF(U86="","",IFERROR(U86*HSI!$B$81*HSI!$G$81/HSI!$B$3,""))</f>
        <v/>
      </c>
      <c r="CJ86" s="106">
        <f>IF(V86="","",IFERROR(V86*HSI!$B$81*HSI!$G$81/HSI!$B$3,""))</f>
        <v/>
      </c>
      <c r="CK86" s="106">
        <f>IF(W86="","",IFERROR(W86*HSI!$B$81*HSI!$G$81/HSI!$B$3,""))</f>
        <v/>
      </c>
      <c r="CL86" s="106">
        <f>IF(X86="","",IFERROR(X86*HSI!$B$81*HSI!$G$81/HSI!$B$3,""))</f>
        <v/>
      </c>
      <c r="CM86" s="106">
        <f>IF(Y86="","",IFERROR(Y86*HSI!$B$81*HSI!$G$81/HSI!$B$3,""))</f>
        <v/>
      </c>
      <c r="CN86" s="106">
        <f>IF(Z86="","",IFERROR(Z86*HSI!$B$81*HSI!$G$81/HSI!$B$3,""))</f>
        <v/>
      </c>
      <c r="CO86" s="106">
        <f>IF(AA86="","",IFERROR(AA86*HSI!$B$81*HSI!$G$81/HSI!$B$3,""))</f>
        <v/>
      </c>
      <c r="CP86" s="106">
        <f>IF(AB86="","",IFERROR(AB86*HSI!$B$81*HSI!$G$81/HSI!$B$3,""))</f>
        <v/>
      </c>
      <c r="CQ86" s="106">
        <f>IF(AC86="","",IFERROR(AC86*HSI!$B$81*HSI!$G$81/HSI!$B$3,""))</f>
        <v/>
      </c>
      <c r="CR86" s="106">
        <f>IF(AD86="","",IFERROR(AD86*HSI!$B$81*HSI!$G$81/HSI!$B$3,""))</f>
        <v/>
      </c>
      <c r="CS86" s="106">
        <f>IF(AE86="","",IFERROR(AE86*HSI!$B$81*HSI!$G$81/HSI!$B$3,""))</f>
        <v/>
      </c>
      <c r="CT86" s="106">
        <f>IF(AF86="","",IFERROR(AF86*HSI!$B$81*HSI!$G$81/HSI!$B$3,""))</f>
        <v/>
      </c>
      <c r="CU86" s="106">
        <f>IF(AG86="","",IFERROR(AG86*HSI!$B$81*HSI!$G$81/HSI!$B$3,""))</f>
        <v/>
      </c>
      <c r="CV86" s="106">
        <f>IF(AH86="","",IFERROR(AH86*HSI!$B$81*HSI!$G$81/HSI!$B$3,""))</f>
        <v/>
      </c>
      <c r="CW86" s="106">
        <f>IF(AI86="","",IFERROR(AI86*HSI!$B$81*HSI!$G$81/HSI!$B$3,""))</f>
        <v/>
      </c>
      <c r="CX86" s="106">
        <f>IF(AJ86="","",IFERROR(AJ86*HSI!$B$81*HSI!$G$81/HSI!$B$3,""))</f>
        <v/>
      </c>
      <c r="CY86" s="106">
        <f>IF(AK86="","",IFERROR(AK86*HSI!$B$81*HSI!$G$81/HSI!$B$3,""))</f>
        <v/>
      </c>
      <c r="CZ86" s="106">
        <f>IF(AL86="","",IFERROR(AL86*HSI!$B$81*HSI!$G$81/HSI!$B$3,""))</f>
        <v/>
      </c>
      <c r="DA86" s="106">
        <f>IF(AM86="","",IFERROR(AM86*HSI!$B$81*HSI!$G$81/HSI!$B$3,""))</f>
        <v/>
      </c>
      <c r="DB86" s="106">
        <f>IF(AN86="","",IFERROR(AN86*HSI!$B$81*HSI!$G$81/HSI!$B$3,""))</f>
        <v/>
      </c>
      <c r="DC86" s="106">
        <f>IF(AO86="","",IFERROR(AO86*HSI!$B$81*HSI!$G$81/HSI!$B$3,""))</f>
        <v/>
      </c>
      <c r="DD86" s="106">
        <f>IF(AP86="","",IFERROR(AP86*HSI!$B$81*HSI!$G$81/HSI!$B$3,""))</f>
        <v/>
      </c>
      <c r="DE86" s="106">
        <f>IF(AQ86="","",IFERROR(AQ86*HSI!$B$81*HSI!$G$81/HSI!$B$3,""))</f>
        <v/>
      </c>
      <c r="DF86" s="106">
        <f>IF(AR86="","",IFERROR(AR86*HSI!$B$81*HSI!$G$81/HSI!$B$3,""))</f>
        <v/>
      </c>
      <c r="DG86" s="106">
        <f>IF(AS86="","",IFERROR(AS86*HSI!$B$81*HSI!$G$81/HSI!$B$3,""))</f>
        <v/>
      </c>
      <c r="DH86" s="106">
        <f>IF(AT86="","",IFERROR(AT86*HSI!$B$81*HSI!$G$81/HSI!$B$3,""))</f>
        <v/>
      </c>
      <c r="DI86" s="106">
        <f>IF(AU86="","",IFERROR(AU86*HSI!$B$81*HSI!$G$81/HSI!$B$3,""))</f>
        <v/>
      </c>
      <c r="DJ86" s="106">
        <f>IF(AV86="","",IFERROR(AV86*HSI!$B$81*HSI!$G$81/HSI!$B$3,""))</f>
        <v/>
      </c>
      <c r="DK86" s="106">
        <f>IF(AW86="","",IFERROR(AW86*HSI!$B$81*HSI!$G$81/HSI!$B$3,""))</f>
        <v/>
      </c>
      <c r="DL86" s="106">
        <f>IF(AX86="","",IFERROR(AX86*HSI!$B$81*HSI!$G$81/HSI!$B$3,""))</f>
        <v/>
      </c>
      <c r="DM86" s="106">
        <f>IF(AY86="","",IFERROR(AY86*HSI!$B$81*HSI!$G$81/HSI!$B$3,""))</f>
        <v/>
      </c>
      <c r="DN86" s="106">
        <f>IF(AZ86="","",IFERROR(AZ86*HSI!$B$81*HSI!$G$81/HSI!$B$3,""))</f>
        <v/>
      </c>
      <c r="DO86" s="106">
        <f>IF(BA86="","",IFERROR(BA86*HSI!$B$81*HSI!$G$81/HSI!$B$3,""))</f>
        <v/>
      </c>
      <c r="DP86" s="106">
        <f>IF(BB86="","",IFERROR(BB86*HSI!$B$81*HSI!$G$81/HSI!$B$3,""))</f>
        <v/>
      </c>
      <c r="DQ86" s="106">
        <f>IF(BC86="","",IFERROR(BC86*HSI!$B$81*HSI!$G$81/HSI!$B$3,""))</f>
        <v/>
      </c>
      <c r="DR86" s="106">
        <f>IF(BD86="","",IFERROR(BD86*HSI!$B$81*HSI!$G$81/HSI!$B$3,""))</f>
        <v/>
      </c>
      <c r="DS86" s="106">
        <f>IF(BE86="","",IFERROR(BE86*HSI!$B$81*HSI!$G$81/HSI!$B$3,""))</f>
        <v/>
      </c>
      <c r="DT86" s="106">
        <f>IF(BF86="","",IFERROR(BF86*HSI!$B$81*HSI!$G$81/HSI!$B$3,""))</f>
        <v/>
      </c>
      <c r="DU86" s="106">
        <f>IF(BG86="","",IFERROR(BG86*HSI!$B$81*HSI!$G$81/HSI!$B$3,""))</f>
        <v/>
      </c>
      <c r="DV86" s="106">
        <f>IF(BH86="","",IFERROR(BH86*HSI!$B$81*HSI!$G$81/HSI!$B$3,""))</f>
        <v/>
      </c>
      <c r="DW86" s="106">
        <f>IF(BI86="","",IFERROR(BI86*HSI!$B$81*HSI!$G$81/HSI!$B$3,""))</f>
        <v/>
      </c>
      <c r="DX86" s="106">
        <f>IF(BJ86="","",IFERROR(BJ86*HSI!$B$81*HSI!$G$81/HSI!$B$3,""))</f>
        <v/>
      </c>
      <c r="DY86" s="106">
        <f>IF(BK86="","",IFERROR(BK86*HSI!$B$81*HSI!$G$81/HSI!$B$3,""))</f>
        <v/>
      </c>
      <c r="DZ86" s="106">
        <f>IF(BL86="","",IFERROR(BL86*HSI!$B$81*HSI!$G$81/HSI!$B$3,""))</f>
        <v/>
      </c>
      <c r="EA86" s="106">
        <f>IF(BM86="","",IFERROR(BM86*HSI!$B$81*HSI!$G$81/HSI!$B$3,""))</f>
        <v/>
      </c>
      <c r="EB86" s="106">
        <f>IF(BN86="","",IFERROR(BN86*HSI!$B$81*HSI!$G$81/HSI!$B$3,""))</f>
        <v/>
      </c>
      <c r="EC86" s="106">
        <f>IF(BO86="","",IFERROR(BO86*HSI!$B$81*HSI!$G$81/HSI!$B$3,""))</f>
        <v/>
      </c>
      <c r="EE86" s="35">
        <f>IF(N('Dvd Calendar'!$E$825)=0,"",IF(('Dvd Calendar'!$E$825&gt;=GRID_FROM)*('Dvd Calendar'!$E$825&lt;=GRID_TO)*('Dvd Calendar'!$E$825&lt;=VAL_DATE)=0,"",'Dvd Calendar'!$E$825*1000000000+ISNUMBER('Dvd Calendar'!$E$828)*100000000+('Dvd Calendar'!$E$830=SPECIAL_LBL)*10000000+0*1000000+75*1000+1))</f>
        <v/>
      </c>
      <c r="EF86" s="35">
        <f>IF(N('Dvd Calendar'!$F$825)=0,"",IF(('Dvd Calendar'!$F$825&gt;=GRID_FROM)*('Dvd Calendar'!$F$825&lt;=GRID_TO)*('Dvd Calendar'!$F$825&lt;=VAL_DATE)=0,"",'Dvd Calendar'!$F$825*1000000000+ISNUMBER('Dvd Calendar'!$F$828)*100000000+('Dvd Calendar'!$F$830=SPECIAL_LBL)*10000000+0*1000000+75*1000+2))</f>
        <v/>
      </c>
      <c r="EG86" s="35">
        <f>IF(N('Dvd Calendar'!$G$825)=0,"",IF(('Dvd Calendar'!$G$825&gt;=GRID_FROM)*('Dvd Calendar'!$G$825&lt;=GRID_TO)*('Dvd Calendar'!$G$825&lt;=VAL_DATE)=0,"",'Dvd Calendar'!$G$825*1000000000+ISNUMBER('Dvd Calendar'!$G$828)*100000000+('Dvd Calendar'!$G$830=SPECIAL_LBL)*10000000+0*1000000+75*1000+3))</f>
        <v/>
      </c>
      <c r="EH86" s="35">
        <f>IF(N('Dvd Calendar'!$H$825)=0,"",IF(('Dvd Calendar'!$H$825&gt;=GRID_FROM)*('Dvd Calendar'!$H$825&lt;=GRID_TO)*('Dvd Calendar'!$H$825&lt;=VAL_DATE)=0,"",'Dvd Calendar'!$H$825*1000000000+ISNUMBER('Dvd Calendar'!$H$828)*100000000+('Dvd Calendar'!$H$830=SPECIAL_LBL)*10000000+0*1000000+75*1000+4))</f>
        <v/>
      </c>
      <c r="EI86" s="35">
        <f>IF(N('Dvd Calendar'!$I$825)=0,"",IF(('Dvd Calendar'!$I$825&gt;=GRID_FROM)*('Dvd Calendar'!$I$825&lt;=GRID_TO)*('Dvd Calendar'!$I$825&lt;=VAL_DATE)=0,"",'Dvd Calendar'!$I$825*1000000000+ISNUMBER('Dvd Calendar'!$I$828)*100000000+('Dvd Calendar'!$I$830=SPECIAL_LBL)*10000000+0*1000000+75*1000+5))</f>
        <v/>
      </c>
      <c r="EJ86" s="35">
        <f>IF(N('Dvd Calendar'!$J$825)=0,"",IF(('Dvd Calendar'!$J$825&gt;=GRID_FROM)*('Dvd Calendar'!$J$825&lt;=GRID_TO)*('Dvd Calendar'!$J$825&lt;=VAL_DATE)=0,"",'Dvd Calendar'!$J$825*1000000000+ISNUMBER('Dvd Calendar'!$J$828)*100000000+('Dvd Calendar'!$J$830=SPECIAL_LBL)*10000000+0*1000000+75*1000+6))</f>
        <v/>
      </c>
      <c r="EK86" s="35">
        <f>IF(N('Dvd Calendar'!$K$825)=0,"",IF(('Dvd Calendar'!$K$825&gt;=GRID_FROM)*('Dvd Calendar'!$K$825&lt;=GRID_TO)*('Dvd Calendar'!$K$825&lt;=VAL_DATE)=0,"",'Dvd Calendar'!$K$825*1000000000+ISNUMBER('Dvd Calendar'!$K$828)*100000000+('Dvd Calendar'!$K$830=SPECIAL_LBL)*10000000+0*1000000+75*1000+7))</f>
        <v/>
      </c>
      <c r="EL86" s="35">
        <f>IF(N('Dvd Calendar'!$L$825)=0,"",IF(('Dvd Calendar'!$L$825&gt;=GRID_FROM)*('Dvd Calendar'!$L$825&lt;=GRID_TO)*('Dvd Calendar'!$L$825&lt;=VAL_DATE)=0,"",'Dvd Calendar'!$L$825*1000000000+ISNUMBER('Dvd Calendar'!$L$828)*100000000+('Dvd Calendar'!$L$830=SPECIAL_LBL)*10000000+0*1000000+75*1000+8))</f>
        <v/>
      </c>
      <c r="EM86" s="35">
        <f>IF(N('Dvd Calendar'!$M$825)=0,"",IF(('Dvd Calendar'!$M$825&gt;=GRID_FROM)*('Dvd Calendar'!$M$825&lt;=GRID_TO)*('Dvd Calendar'!$M$825&lt;=VAL_DATE)=0,"",'Dvd Calendar'!$M$825*1000000000+ISNUMBER('Dvd Calendar'!$M$828)*100000000+('Dvd Calendar'!$M$830=SPECIAL_LBL)*10000000+0*1000000+75*1000+9))</f>
        <v/>
      </c>
      <c r="EN86" s="35">
        <f>IF(N('Dvd Calendar'!$N$825)=0,"",IF(('Dvd Calendar'!$N$825&gt;=GRID_FROM)*('Dvd Calendar'!$N$825&lt;=GRID_TO)*('Dvd Calendar'!$N$825&lt;=VAL_DATE)=0,"",'Dvd Calendar'!$N$825*1000000000+ISNUMBER('Dvd Calendar'!$N$828)*100000000+('Dvd Calendar'!$N$830=SPECIAL_LBL)*10000000+0*1000000+75*1000+10))</f>
        <v/>
      </c>
      <c r="EO86" s="35">
        <f>IF(N('Dvd Calendar'!$O$825)=0,"",IF(('Dvd Calendar'!$O$825&gt;=GRID_FROM)*('Dvd Calendar'!$O$825&lt;=GRID_TO)*('Dvd Calendar'!$O$825&lt;=VAL_DATE)=0,"",'Dvd Calendar'!$O$825*1000000000+ISNUMBER('Dvd Calendar'!$O$828)*100000000+('Dvd Calendar'!$O$830=SPECIAL_LBL)*10000000+0*1000000+75*1000+11))</f>
        <v/>
      </c>
      <c r="EP86" s="35">
        <f>IF(N('Dvd Calendar'!$P$825)=0,"",IF(('Dvd Calendar'!$P$825&gt;=GRID_FROM)*('Dvd Calendar'!$P$825&lt;=GRID_TO)*('Dvd Calendar'!$P$825&lt;=VAL_DATE)=0,"",'Dvd Calendar'!$P$825*1000000000+ISNUMBER('Dvd Calendar'!$P$828)*100000000+('Dvd Calendar'!$P$830=SPECIAL_LBL)*10000000+0*1000000+75*1000+12))</f>
        <v/>
      </c>
      <c r="EQ86" s="35">
        <f>IF(N('Dvd Calendar'!$Q$825)=0,"",IF(('Dvd Calendar'!$Q$825&gt;=GRID_FROM)*('Dvd Calendar'!$Q$825&lt;=GRID_TO)*('Dvd Calendar'!$Q$825&lt;=VAL_DATE)=0,"",'Dvd Calendar'!$Q$825*1000000000+ISNUMBER('Dvd Calendar'!$Q$828)*100000000+('Dvd Calendar'!$Q$830=SPECIAL_LBL)*10000000+0*1000000+75*1000+13))</f>
        <v/>
      </c>
      <c r="ER86" s="35">
        <f>IF(N('Dvd Calendar'!$R$825)=0,"",IF(('Dvd Calendar'!$R$825&gt;=GRID_FROM)*('Dvd Calendar'!$R$825&lt;=GRID_TO)*('Dvd Calendar'!$R$825&lt;=VAL_DATE)=0,"",'Dvd Calendar'!$R$825*1000000000+ISNUMBER('Dvd Calendar'!$R$828)*100000000+('Dvd Calendar'!$R$830=SPECIAL_LBL)*10000000+0*1000000+75*1000+14))</f>
        <v/>
      </c>
      <c r="ES86" s="35">
        <f>IF(N('Dvd Calendar'!$S$825)=0,"",IF(('Dvd Calendar'!$S$825&gt;=GRID_FROM)*('Dvd Calendar'!$S$825&lt;=GRID_TO)*('Dvd Calendar'!$S$825&lt;=VAL_DATE)=0,"",'Dvd Calendar'!$S$825*1000000000+ISNUMBER('Dvd Calendar'!$S$828)*100000000+('Dvd Calendar'!$S$830=SPECIAL_LBL)*10000000+0*1000000+75*1000+15))</f>
        <v/>
      </c>
      <c r="ET86" s="35">
        <f>IF(N('Dvd Calendar'!$T$825)=0,"",IF(('Dvd Calendar'!$T$825&gt;=GRID_FROM)*('Dvd Calendar'!$T$825&lt;=GRID_TO)*('Dvd Calendar'!$T$825&lt;=VAL_DATE)=0,"",'Dvd Calendar'!$T$825*1000000000+ISNUMBER('Dvd Calendar'!$T$828)*100000000+('Dvd Calendar'!$T$830=SPECIAL_LBL)*10000000+0*1000000+75*1000+16))</f>
        <v/>
      </c>
      <c r="EU86" s="35">
        <f>IF(N('Dvd Calendar'!$U$825)=0,"",IF(('Dvd Calendar'!$U$825&gt;=GRID_FROM)*('Dvd Calendar'!$U$825&lt;=GRID_TO)*('Dvd Calendar'!$U$825&lt;=VAL_DATE)=0,"",'Dvd Calendar'!$U$825*1000000000+ISNUMBER('Dvd Calendar'!$U$828)*100000000+('Dvd Calendar'!$U$830=SPECIAL_LBL)*10000000+0*1000000+75*1000+17))</f>
        <v/>
      </c>
      <c r="EV86" s="35">
        <f>IF(N('Dvd Calendar'!$V$825)=0,"",IF(('Dvd Calendar'!$V$825&gt;=GRID_FROM)*('Dvd Calendar'!$V$825&lt;=GRID_TO)*('Dvd Calendar'!$V$825&lt;=VAL_DATE)=0,"",'Dvd Calendar'!$V$825*1000000000+ISNUMBER('Dvd Calendar'!$V$828)*100000000+('Dvd Calendar'!$V$830=SPECIAL_LBL)*10000000+0*1000000+75*1000+18))</f>
        <v/>
      </c>
      <c r="EW86" s="35">
        <f>IF(N('Dvd Calendar'!$W$825)=0,"",IF(('Dvd Calendar'!$W$825&gt;=GRID_FROM)*('Dvd Calendar'!$W$825&lt;=GRID_TO)*('Dvd Calendar'!$W$825&lt;=VAL_DATE)=0,"",'Dvd Calendar'!$W$825*1000000000+ISNUMBER('Dvd Calendar'!$W$828)*100000000+('Dvd Calendar'!$W$830=SPECIAL_LBL)*10000000+0*1000000+75*1000+19))</f>
        <v/>
      </c>
      <c r="EX86" s="35">
        <f>IF(N('Dvd Calendar'!$X$825)=0,"",IF(('Dvd Calendar'!$X$825&gt;=GRID_FROM)*('Dvd Calendar'!$X$825&lt;=GRID_TO)*('Dvd Calendar'!$X$825&lt;=VAL_DATE)=0,"",'Dvd Calendar'!$X$825*1000000000+ISNUMBER('Dvd Calendar'!$X$828)*100000000+('Dvd Calendar'!$X$830=SPECIAL_LBL)*10000000+0*1000000+75*1000+20))</f>
        <v/>
      </c>
      <c r="EY86" s="35">
        <f>IF(N('Dvd Calendar'!$Y$825)=0,"",IF(('Dvd Calendar'!$Y$825&gt;=GRID_FROM)*('Dvd Calendar'!$Y$825&lt;=GRID_TO)*('Dvd Calendar'!$Y$825&lt;=VAL_DATE)=0,"",'Dvd Calendar'!$Y$825*1000000000+ISNUMBER('Dvd Calendar'!$Y$828)*100000000+('Dvd Calendar'!$Y$830=SPECIAL_LBL)*10000000+0*1000000+75*1000+21))</f>
        <v/>
      </c>
      <c r="EZ86" s="35">
        <f>IF(N('Dvd Calendar'!$Z$825)=0,"",IF(('Dvd Calendar'!$Z$825&gt;=GRID_FROM)*('Dvd Calendar'!$Z$825&lt;=GRID_TO)*('Dvd Calendar'!$Z$825&lt;=VAL_DATE)=0,"",'Dvd Calendar'!$Z$825*1000000000+ISNUMBER('Dvd Calendar'!$Z$828)*100000000+('Dvd Calendar'!$Z$830=SPECIAL_LBL)*10000000+0*1000000+75*1000+22))</f>
        <v/>
      </c>
      <c r="FA86" s="35">
        <f>IF(N('Dvd Calendar'!$AA$825)=0,"",IF(('Dvd Calendar'!$AA$825&gt;=GRID_FROM)*('Dvd Calendar'!$AA$825&lt;=GRID_TO)*('Dvd Calendar'!$AA$825&lt;=VAL_DATE)=0,"",'Dvd Calendar'!$AA$825*1000000000+ISNUMBER('Dvd Calendar'!$AA$828)*100000000+('Dvd Calendar'!$AA$830=SPECIAL_LBL)*10000000+0*1000000+75*1000+23))</f>
        <v/>
      </c>
      <c r="FB86" s="35">
        <f>IF(N('Dvd Calendar'!$AB$825)=0,"",IF(('Dvd Calendar'!$AB$825&gt;=GRID_FROM)*('Dvd Calendar'!$AB$825&lt;=GRID_TO)*('Dvd Calendar'!$AB$825&lt;=VAL_DATE)=0,"",'Dvd Calendar'!$AB$825*1000000000+ISNUMBER('Dvd Calendar'!$AB$828)*100000000+('Dvd Calendar'!$AB$830=SPECIAL_LBL)*10000000+0*1000000+75*1000+24))</f>
        <v/>
      </c>
      <c r="FC86" s="35">
        <f>IF(N('Dvd Calendar'!$AC$825)=0,"",IF(('Dvd Calendar'!$AC$825&gt;=GRID_FROM)*('Dvd Calendar'!$AC$825&lt;=GRID_TO)*('Dvd Calendar'!$AC$825&lt;=VAL_DATE)=0,"",'Dvd Calendar'!$AC$825*1000000000+ISNUMBER('Dvd Calendar'!$AC$828)*100000000+('Dvd Calendar'!$AC$830=SPECIAL_LBL)*10000000+0*1000000+75*1000+25))</f>
        <v/>
      </c>
      <c r="FD86" s="35">
        <f>IF(N('Dvd Calendar'!$AD$825)=0,"",IF(('Dvd Calendar'!$AD$825&gt;=GRID_FROM)*('Dvd Calendar'!$AD$825&lt;=GRID_TO)*('Dvd Calendar'!$AD$825&lt;=VAL_DATE)=0,"",'Dvd Calendar'!$AD$825*1000000000+ISNUMBER('Dvd Calendar'!$AD$828)*100000000+('Dvd Calendar'!$AD$830=SPECIAL_LBL)*10000000+0*1000000+75*1000+26))</f>
        <v/>
      </c>
      <c r="FE86" s="35">
        <f>IF(N('Dvd Calendar'!$AE$825)=0,"",IF(('Dvd Calendar'!$AE$825&gt;=GRID_FROM)*('Dvd Calendar'!$AE$825&lt;=GRID_TO)*('Dvd Calendar'!$AE$825&lt;=VAL_DATE)=0,"",'Dvd Calendar'!$AE$825*1000000000+ISNUMBER('Dvd Calendar'!$AE$828)*100000000+('Dvd Calendar'!$AE$830=SPECIAL_LBL)*10000000+0*1000000+75*1000+27))</f>
        <v/>
      </c>
      <c r="FF86" s="35">
        <f>IF(N('Dvd Calendar'!$AF$825)=0,"",IF(('Dvd Calendar'!$AF$825&gt;=GRID_FROM)*('Dvd Calendar'!$AF$825&lt;=GRID_TO)*('Dvd Calendar'!$AF$825&lt;=VAL_DATE)=0,"",'Dvd Calendar'!$AF$825*1000000000+ISNUMBER('Dvd Calendar'!$AF$828)*100000000+('Dvd Calendar'!$AF$830=SPECIAL_LBL)*10000000+0*1000000+75*1000+28))</f>
        <v/>
      </c>
      <c r="FG86" s="35">
        <f>IF(N('Dvd Calendar'!$AG$825)=0,"",IF(('Dvd Calendar'!$AG$825&gt;=GRID_FROM)*('Dvd Calendar'!$AG$825&lt;=GRID_TO)*('Dvd Calendar'!$AG$825&lt;=VAL_DATE)=0,"",'Dvd Calendar'!$AG$825*1000000000+ISNUMBER('Dvd Calendar'!$AG$828)*100000000+('Dvd Calendar'!$AG$830=SPECIAL_LBL)*10000000+0*1000000+75*1000+29))</f>
        <v/>
      </c>
      <c r="FH86" s="35">
        <f>IF(N('Dvd Calendar'!$AH$825)=0,"",IF(('Dvd Calendar'!$AH$825&gt;=GRID_FROM)*('Dvd Calendar'!$AH$825&lt;=GRID_TO)*('Dvd Calendar'!$AH$825&lt;=VAL_DATE)=0,"",'Dvd Calendar'!$AH$825*1000000000+ISNUMBER('Dvd Calendar'!$AH$828)*100000000+('Dvd Calendar'!$AH$830=SPECIAL_LBL)*10000000+0*1000000+75*1000+30))</f>
        <v/>
      </c>
      <c r="FI86" s="35">
        <f>IF(N('Dvd Calendar'!$AI$825)=0,"",IF(('Dvd Calendar'!$AI$825&gt;=GRID_FROM)*('Dvd Calendar'!$AI$825&lt;=GRID_TO)*('Dvd Calendar'!$AI$825&lt;=VAL_DATE)=0,"",'Dvd Calendar'!$AI$825*1000000000+ISNUMBER('Dvd Calendar'!$AI$828)*100000000+('Dvd Calendar'!$AI$830=SPECIAL_LBL)*10000000+0*1000000+75*1000+31))</f>
        <v/>
      </c>
      <c r="FJ86" s="35">
        <f>IF(N('Dvd Calendar'!$AJ$825)=0,"",IF(('Dvd Calendar'!$AJ$825&gt;=GRID_FROM)*('Dvd Calendar'!$AJ$825&lt;=GRID_TO)*('Dvd Calendar'!$AJ$825&lt;=VAL_DATE)=0,"",'Dvd Calendar'!$AJ$825*1000000000+ISNUMBER('Dvd Calendar'!$AJ$828)*100000000+('Dvd Calendar'!$AJ$830=SPECIAL_LBL)*10000000+0*1000000+75*1000+32))</f>
        <v/>
      </c>
      <c r="FK86" s="35">
        <f>IF(N('Dvd Calendar'!$AK$825)=0,"",IF(('Dvd Calendar'!$AK$825&gt;=GRID_FROM)*('Dvd Calendar'!$AK$825&lt;=GRID_TO)*('Dvd Calendar'!$AK$825&lt;=VAL_DATE)=0,"",'Dvd Calendar'!$AK$825*1000000000+ISNUMBER('Dvd Calendar'!$AK$828)*100000000+('Dvd Calendar'!$AK$830=SPECIAL_LBL)*10000000+0*1000000+75*1000+33))</f>
        <v/>
      </c>
      <c r="FL86" s="35">
        <f>IF(N('Dvd Calendar'!$AL$825)=0,"",IF(('Dvd Calendar'!$AL$825&gt;=GRID_FROM)*('Dvd Calendar'!$AL$825&lt;=GRID_TO)*('Dvd Calendar'!$AL$825&lt;=VAL_DATE)=0,"",'Dvd Calendar'!$AL$825*1000000000+ISNUMBER('Dvd Calendar'!$AL$828)*100000000+('Dvd Calendar'!$AL$830=SPECIAL_LBL)*10000000+0*1000000+75*1000+34))</f>
        <v/>
      </c>
      <c r="FM86" s="35">
        <f>IF(N('Dvd Calendar'!$AM$825)=0,"",IF(('Dvd Calendar'!$AM$825&gt;=GRID_FROM)*('Dvd Calendar'!$AM$825&lt;=GRID_TO)*('Dvd Calendar'!$AM$825&lt;=VAL_DATE)=0,"",'Dvd Calendar'!$AM$825*1000000000+ISNUMBER('Dvd Calendar'!$AM$828)*100000000+('Dvd Calendar'!$AM$830=SPECIAL_LBL)*10000000+0*1000000+75*1000+35))</f>
        <v/>
      </c>
      <c r="FN86" s="35">
        <f>IF(N('Dvd Calendar'!$AN$825)=0,"",IF(('Dvd Calendar'!$AN$825&gt;=GRID_FROM)*('Dvd Calendar'!$AN$825&lt;=GRID_TO)*('Dvd Calendar'!$AN$825&lt;=VAL_DATE)=0,"",'Dvd Calendar'!$AN$825*1000000000+ISNUMBER('Dvd Calendar'!$AN$828)*100000000+('Dvd Calendar'!$AN$830=SPECIAL_LBL)*10000000+0*1000000+75*1000+36))</f>
        <v/>
      </c>
      <c r="FO86" s="35">
        <f>IF(N('Dvd Calendar'!$AO$825)=0,"",IF(('Dvd Calendar'!$AO$825&gt;=GRID_FROM)*('Dvd Calendar'!$AO$825&lt;=GRID_TO)*('Dvd Calendar'!$AO$825&lt;=VAL_DATE)=0,"",'Dvd Calendar'!$AO$825*1000000000+ISNUMBER('Dvd Calendar'!$AO$828)*100000000+('Dvd Calendar'!$AO$830=SPECIAL_LBL)*10000000+0*1000000+75*1000+37))</f>
        <v/>
      </c>
      <c r="FP86" s="35">
        <f>IF(N('Dvd Calendar'!$AP$825)=0,"",IF(('Dvd Calendar'!$AP$825&gt;=GRID_FROM)*('Dvd Calendar'!$AP$825&lt;=GRID_TO)*('Dvd Calendar'!$AP$825&lt;=VAL_DATE)=0,"",'Dvd Calendar'!$AP$825*1000000000+ISNUMBER('Dvd Calendar'!$AP$828)*100000000+('Dvd Calendar'!$AP$830=SPECIAL_LBL)*10000000+0*1000000+75*1000+38))</f>
        <v/>
      </c>
      <c r="FQ86" s="35">
        <f>IF(N('Dvd Calendar'!$AQ$825)=0,"",IF(('Dvd Calendar'!$AQ$825&gt;=GRID_FROM)*('Dvd Calendar'!$AQ$825&lt;=GRID_TO)*('Dvd Calendar'!$AQ$825&lt;=VAL_DATE)=0,"",'Dvd Calendar'!$AQ$825*1000000000+ISNUMBER('Dvd Calendar'!$AQ$828)*100000000+('Dvd Calendar'!$AQ$830=SPECIAL_LBL)*10000000+0*1000000+75*1000+39))</f>
        <v/>
      </c>
      <c r="FR86" s="35">
        <f>IF(N('Dvd Calendar'!$AR$825)=0,"",IF(('Dvd Calendar'!$AR$825&gt;=GRID_FROM)*('Dvd Calendar'!$AR$825&lt;=GRID_TO)*('Dvd Calendar'!$AR$825&lt;=VAL_DATE)=0,"",'Dvd Calendar'!$AR$825*1000000000+ISNUMBER('Dvd Calendar'!$AR$828)*100000000+('Dvd Calendar'!$AR$830=SPECIAL_LBL)*10000000+0*1000000+75*1000+40))</f>
        <v/>
      </c>
      <c r="FS86" s="35">
        <f>IF(N('Dvd Calendar'!$E$832)=0,"",IF(('Dvd Calendar'!$E$832&gt;=GRID_FROM)*('Dvd Calendar'!$E$832&lt;=GRID_TO)*('Dvd Calendar'!$E$832&gt;VAL_DATE)=0,"",'Dvd Calendar'!$E$832*1000000000+ISNUMBER('Dvd Calendar'!$E$833)*100000000+0*10000000+(N('Dvd Calendar'!$E$831)&gt;0)*(N('Dvd Calendar'!$E$831)&lt;=VAL_SERIAL)*1000000+75*1000+41))</f>
        <v/>
      </c>
      <c r="FT86" s="35">
        <f>IF(N('Dvd Calendar'!$F$832)=0,"",IF(('Dvd Calendar'!$F$832&gt;=GRID_FROM)*('Dvd Calendar'!$F$832&lt;=GRID_TO)*('Dvd Calendar'!$F$832&gt;VAL_DATE)=0,"",'Dvd Calendar'!$F$832*1000000000+ISNUMBER('Dvd Calendar'!$F$833)*100000000+0*10000000+(N('Dvd Calendar'!$F$831)&gt;0)*(N('Dvd Calendar'!$F$831)&lt;=VAL_SERIAL)*1000000+75*1000+42))</f>
        <v/>
      </c>
      <c r="FU86" s="35">
        <f>IF(N('Dvd Calendar'!$G$832)=0,"",IF(('Dvd Calendar'!$G$832&gt;=GRID_FROM)*('Dvd Calendar'!$G$832&lt;=GRID_TO)*('Dvd Calendar'!$G$832&gt;VAL_DATE)=0,"",'Dvd Calendar'!$G$832*1000000000+ISNUMBER('Dvd Calendar'!$G$833)*100000000+0*10000000+(N('Dvd Calendar'!$G$831)&gt;0)*(N('Dvd Calendar'!$G$831)&lt;=VAL_SERIAL)*1000000+75*1000+43))</f>
        <v/>
      </c>
      <c r="FV86" s="35">
        <f>IF(N('Dvd Calendar'!$H$832)=0,"",IF(('Dvd Calendar'!$H$832&gt;=GRID_FROM)*('Dvd Calendar'!$H$832&lt;=GRID_TO)*('Dvd Calendar'!$H$832&gt;VAL_DATE)=0,"",'Dvd Calendar'!$H$832*1000000000+ISNUMBER('Dvd Calendar'!$H$833)*100000000+0*10000000+(N('Dvd Calendar'!$H$831)&gt;0)*(N('Dvd Calendar'!$H$831)&lt;=VAL_SERIAL)*1000000+75*1000+44))</f>
        <v/>
      </c>
      <c r="FW86" s="35">
        <f>IF(N('Dvd Calendar'!$I$832)=0,"",IF(('Dvd Calendar'!$I$832&gt;=GRID_FROM)*('Dvd Calendar'!$I$832&lt;=GRID_TO)*('Dvd Calendar'!$I$832&gt;VAL_DATE)=0,"",'Dvd Calendar'!$I$832*1000000000+ISNUMBER('Dvd Calendar'!$I$833)*100000000+0*10000000+(N('Dvd Calendar'!$I$831)&gt;0)*(N('Dvd Calendar'!$I$831)&lt;=VAL_SERIAL)*1000000+75*1000+45))</f>
        <v/>
      </c>
      <c r="FX86" s="35">
        <f>IF(N('Dvd Calendar'!$J$832)=0,"",IF(('Dvd Calendar'!$J$832&gt;=GRID_FROM)*('Dvd Calendar'!$J$832&lt;=GRID_TO)*('Dvd Calendar'!$J$832&gt;VAL_DATE)=0,"",'Dvd Calendar'!$J$832*1000000000+ISNUMBER('Dvd Calendar'!$J$833)*100000000+0*10000000+(N('Dvd Calendar'!$J$831)&gt;0)*(N('Dvd Calendar'!$J$831)&lt;=VAL_SERIAL)*1000000+75*1000+46))</f>
        <v/>
      </c>
      <c r="FY86" s="35">
        <f>IF(N('Dvd Calendar'!$K$832)=0,"",IF(('Dvd Calendar'!$K$832&gt;=GRID_FROM)*('Dvd Calendar'!$K$832&lt;=GRID_TO)*('Dvd Calendar'!$K$832&gt;VAL_DATE)=0,"",'Dvd Calendar'!$K$832*1000000000+ISNUMBER('Dvd Calendar'!$K$833)*100000000+0*10000000+(N('Dvd Calendar'!$K$831)&gt;0)*(N('Dvd Calendar'!$K$831)&lt;=VAL_SERIAL)*1000000+75*1000+47))</f>
        <v/>
      </c>
      <c r="FZ86" s="35">
        <f>IF(N('Dvd Calendar'!$L$832)=0,"",IF(('Dvd Calendar'!$L$832&gt;=GRID_FROM)*('Dvd Calendar'!$L$832&lt;=GRID_TO)*('Dvd Calendar'!$L$832&gt;VAL_DATE)=0,"",'Dvd Calendar'!$L$832*1000000000+ISNUMBER('Dvd Calendar'!$L$833)*100000000+0*10000000+(N('Dvd Calendar'!$L$831)&gt;0)*(N('Dvd Calendar'!$L$831)&lt;=VAL_SERIAL)*1000000+75*1000+48))</f>
        <v/>
      </c>
      <c r="GA86" s="35">
        <f>IF(N('Dvd Calendar'!$M$832)=0,"",IF(('Dvd Calendar'!$M$832&gt;=GRID_FROM)*('Dvd Calendar'!$M$832&lt;=GRID_TO)*('Dvd Calendar'!$M$832&gt;VAL_DATE)=0,"",'Dvd Calendar'!$M$832*1000000000+ISNUMBER('Dvd Calendar'!$M$833)*100000000+0*10000000+(N('Dvd Calendar'!$M$831)&gt;0)*(N('Dvd Calendar'!$M$831)&lt;=VAL_SERIAL)*1000000+75*1000+49))</f>
        <v/>
      </c>
      <c r="GB86" s="35">
        <f>IF(N('Dvd Calendar'!$N$832)=0,"",IF(('Dvd Calendar'!$N$832&gt;=GRID_FROM)*('Dvd Calendar'!$N$832&lt;=GRID_TO)*('Dvd Calendar'!$N$832&gt;VAL_DATE)=0,"",'Dvd Calendar'!$N$832*1000000000+ISNUMBER('Dvd Calendar'!$N$833)*100000000+0*10000000+(N('Dvd Calendar'!$N$831)&gt;0)*(N('Dvd Calendar'!$N$831)&lt;=VAL_SERIAL)*1000000+75*1000+50))</f>
        <v/>
      </c>
      <c r="GC86" s="35">
        <f>IF(N('Dvd Calendar'!$O$832)=0,"",IF(('Dvd Calendar'!$O$832&gt;=GRID_FROM)*('Dvd Calendar'!$O$832&lt;=GRID_TO)*('Dvd Calendar'!$O$832&gt;VAL_DATE)=0,"",'Dvd Calendar'!$O$832*1000000000+ISNUMBER('Dvd Calendar'!$O$833)*100000000+0*10000000+(N('Dvd Calendar'!$O$831)&gt;0)*(N('Dvd Calendar'!$O$831)&lt;=VAL_SERIAL)*1000000+75*1000+51))</f>
        <v/>
      </c>
      <c r="GD86" s="35">
        <f>IF(N('Dvd Calendar'!$P$832)=0,"",IF(('Dvd Calendar'!$P$832&gt;=GRID_FROM)*('Dvd Calendar'!$P$832&lt;=GRID_TO)*('Dvd Calendar'!$P$832&gt;VAL_DATE)=0,"",'Dvd Calendar'!$P$832*1000000000+ISNUMBER('Dvd Calendar'!$P$833)*100000000+0*10000000+(N('Dvd Calendar'!$P$831)&gt;0)*(N('Dvd Calendar'!$P$831)&lt;=VAL_SERIAL)*1000000+75*1000+52))</f>
        <v/>
      </c>
      <c r="GE86" s="35">
        <f>IF(N('Dvd Calendar'!$Q$832)=0,"",IF(('Dvd Calendar'!$Q$832&gt;=GRID_FROM)*('Dvd Calendar'!$Q$832&lt;=GRID_TO)*('Dvd Calendar'!$Q$832&gt;VAL_DATE)=0,"",'Dvd Calendar'!$Q$832*1000000000+ISNUMBER('Dvd Calendar'!$Q$833)*100000000+0*10000000+(N('Dvd Calendar'!$Q$831)&gt;0)*(N('Dvd Calendar'!$Q$831)&lt;=VAL_SERIAL)*1000000+75*1000+53))</f>
        <v/>
      </c>
      <c r="GF86" s="35">
        <f>IF(N('Dvd Calendar'!$R$832)=0,"",IF(('Dvd Calendar'!$R$832&gt;=GRID_FROM)*('Dvd Calendar'!$R$832&lt;=GRID_TO)*('Dvd Calendar'!$R$832&gt;VAL_DATE)=0,"",'Dvd Calendar'!$R$832*1000000000+ISNUMBER('Dvd Calendar'!$R$833)*100000000+0*10000000+(N('Dvd Calendar'!$R$831)&gt;0)*(N('Dvd Calendar'!$R$831)&lt;=VAL_SERIAL)*1000000+75*1000+54))</f>
        <v/>
      </c>
      <c r="GG86" s="35">
        <f>IF(N('Dvd Calendar'!$S$832)=0,"",IF(('Dvd Calendar'!$S$832&gt;=GRID_FROM)*('Dvd Calendar'!$S$832&lt;=GRID_TO)*('Dvd Calendar'!$S$832&gt;VAL_DATE)=0,"",'Dvd Calendar'!$S$832*1000000000+ISNUMBER('Dvd Calendar'!$S$833)*100000000+0*10000000+(N('Dvd Calendar'!$S$831)&gt;0)*(N('Dvd Calendar'!$S$831)&lt;=VAL_SERIAL)*1000000+75*1000+55))</f>
        <v/>
      </c>
      <c r="GH86" s="35">
        <f>IF(N('Dvd Calendar'!$T$832)=0,"",IF(('Dvd Calendar'!$T$832&gt;=GRID_FROM)*('Dvd Calendar'!$T$832&lt;=GRID_TO)*('Dvd Calendar'!$T$832&gt;VAL_DATE)=0,"",'Dvd Calendar'!$T$832*1000000000+ISNUMBER('Dvd Calendar'!$T$833)*100000000+0*10000000+(N('Dvd Calendar'!$T$831)&gt;0)*(N('Dvd Calendar'!$T$831)&lt;=VAL_SERIAL)*1000000+75*1000+56))</f>
        <v/>
      </c>
      <c r="GI86" s="35">
        <f>IF(N('Dvd Calendar'!$U$832)=0,"",IF(('Dvd Calendar'!$U$832&gt;=GRID_FROM)*('Dvd Calendar'!$U$832&lt;=GRID_TO)*('Dvd Calendar'!$U$832&gt;VAL_DATE)=0,"",'Dvd Calendar'!$U$832*1000000000+ISNUMBER('Dvd Calendar'!$U$833)*100000000+0*10000000+(N('Dvd Calendar'!$U$831)&gt;0)*(N('Dvd Calendar'!$U$831)&lt;=VAL_SERIAL)*1000000+75*1000+57))</f>
        <v/>
      </c>
      <c r="GJ86" s="35">
        <f>IF(N('Dvd Calendar'!$V$832)=0,"",IF(('Dvd Calendar'!$V$832&gt;=GRID_FROM)*('Dvd Calendar'!$V$832&lt;=GRID_TO)*('Dvd Calendar'!$V$832&gt;VAL_DATE)=0,"",'Dvd Calendar'!$V$832*1000000000+ISNUMBER('Dvd Calendar'!$V$833)*100000000+0*10000000+(N('Dvd Calendar'!$V$831)&gt;0)*(N('Dvd Calendar'!$V$831)&lt;=VAL_SERIAL)*1000000+75*1000+58))</f>
        <v/>
      </c>
      <c r="GK86" s="35">
        <f>IF(N('Dvd Calendar'!$W$832)=0,"",IF(('Dvd Calendar'!$W$832&gt;=GRID_FROM)*('Dvd Calendar'!$W$832&lt;=GRID_TO)*('Dvd Calendar'!$W$832&gt;VAL_DATE)=0,"",'Dvd Calendar'!$W$832*1000000000+ISNUMBER('Dvd Calendar'!$W$833)*100000000+0*10000000+(N('Dvd Calendar'!$W$831)&gt;0)*(N('Dvd Calendar'!$W$831)&lt;=VAL_SERIAL)*1000000+75*1000+59))</f>
        <v/>
      </c>
      <c r="GL86" s="35">
        <f>IF(N('Dvd Calendar'!$X$832)=0,"",IF(('Dvd Calendar'!$X$832&gt;=GRID_FROM)*('Dvd Calendar'!$X$832&lt;=GRID_TO)*('Dvd Calendar'!$X$832&gt;VAL_DATE)=0,"",'Dvd Calendar'!$X$832*1000000000+ISNUMBER('Dvd Calendar'!$X$833)*100000000+0*10000000+(N('Dvd Calendar'!$X$831)&gt;0)*(N('Dvd Calendar'!$X$831)&lt;=VAL_SERIAL)*1000000+75*1000+60))</f>
        <v/>
      </c>
      <c r="GM86" s="35">
        <f>IF(N('Dvd Calendar'!$Y$832)=0,"",IF(('Dvd Calendar'!$Y$832&gt;=GRID_FROM)*('Dvd Calendar'!$Y$832&lt;=GRID_TO)*('Dvd Calendar'!$Y$832&gt;VAL_DATE)=0,"",'Dvd Calendar'!$Y$832*1000000000+ISNUMBER('Dvd Calendar'!$Y$833)*100000000+0*10000000+(N('Dvd Calendar'!$Y$831)&gt;0)*(N('Dvd Calendar'!$Y$831)&lt;=VAL_SERIAL)*1000000+75*1000+61))</f>
        <v/>
      </c>
      <c r="GN86" s="35">
        <f>IF(N('Dvd Calendar'!$Z$832)=0,"",IF(('Dvd Calendar'!$Z$832&gt;=GRID_FROM)*('Dvd Calendar'!$Z$832&lt;=GRID_TO)*('Dvd Calendar'!$Z$832&gt;VAL_DATE)=0,"",'Dvd Calendar'!$Z$832*1000000000+ISNUMBER('Dvd Calendar'!$Z$833)*100000000+0*10000000+(N('Dvd Calendar'!$Z$831)&gt;0)*(N('Dvd Calendar'!$Z$831)&lt;=VAL_SERIAL)*1000000+75*1000+62))</f>
        <v/>
      </c>
      <c r="GO86" s="35">
        <f>IF(N('Dvd Calendar'!$AA$832)=0,"",IF(('Dvd Calendar'!$AA$832&gt;=GRID_FROM)*('Dvd Calendar'!$AA$832&lt;=GRID_TO)*('Dvd Calendar'!$AA$832&gt;VAL_DATE)=0,"",'Dvd Calendar'!$AA$832*1000000000+ISNUMBER('Dvd Calendar'!$AA$833)*100000000+0*10000000+(N('Dvd Calendar'!$AA$831)&gt;0)*(N('Dvd Calendar'!$AA$831)&lt;=VAL_SERIAL)*1000000+75*1000+63))</f>
        <v/>
      </c>
      <c r="GP86" s="35">
        <f>IF(N('Dvd Calendar'!$AB$832)=0,"",IF(('Dvd Calendar'!$AB$832&gt;=GRID_FROM)*('Dvd Calendar'!$AB$832&lt;=GRID_TO)*('Dvd Calendar'!$AB$832&gt;VAL_DATE)=0,"",'Dvd Calendar'!$AB$832*1000000000+ISNUMBER('Dvd Calendar'!$AB$833)*100000000+0*10000000+(N('Dvd Calendar'!$AB$831)&gt;0)*(N('Dvd Calendar'!$AB$831)&lt;=VAL_SERIAL)*1000000+75*1000+64))</f>
        <v/>
      </c>
      <c r="GQ86" s="35">
        <f>IF(N('Dvd Calendar'!$AC$832)=0,"",IF(('Dvd Calendar'!$AC$832&gt;=GRID_FROM)*('Dvd Calendar'!$AC$832&lt;=GRID_TO)*('Dvd Calendar'!$AC$832&gt;VAL_DATE)=0,"",'Dvd Calendar'!$AC$832*1000000000+ISNUMBER('Dvd Calendar'!$AC$833)*100000000+0*10000000+(N('Dvd Calendar'!$AC$831)&gt;0)*(N('Dvd Calendar'!$AC$831)&lt;=VAL_SERIAL)*1000000+75*1000+65))</f>
        <v/>
      </c>
    </row>
    <row r="87">
      <c r="B87" s="2">
        <f>IF(HSI!$C$82="","",HSI!$C$82)</f>
        <v/>
      </c>
      <c r="C87" s="106">
        <f>IF(EE87="","",IF(ISNUMBER('Dvd Calendar'!$E$839)=FALSE,"",IF((('Dvd Calendar'!$E$841=TYPE1)*(TYPE1&lt;&gt;"")+('Dvd Calendar'!$E$841=TYPE2)*(TYPE2&lt;&gt;"")+('Dvd Calendar'!$E$841=TYPE3)*(TYPE3&lt;&gt;"")+('Dvd Calendar'!$E$841=TYPE4)*(TYPE4&lt;&gt;"")+('Dvd Calendar'!$E$841=SPECIAL_LBL)*(INC_SPECIALS="Y"))=0,"",'Dvd Calendar'!$E$839)))</f>
        <v/>
      </c>
      <c r="D87" s="106">
        <f>IF(EF87="","",IF(ISNUMBER('Dvd Calendar'!$F$839)=FALSE,"",IF((('Dvd Calendar'!$F$841=TYPE1)*(TYPE1&lt;&gt;"")+('Dvd Calendar'!$F$841=TYPE2)*(TYPE2&lt;&gt;"")+('Dvd Calendar'!$F$841=TYPE3)*(TYPE3&lt;&gt;"")+('Dvd Calendar'!$F$841=TYPE4)*(TYPE4&lt;&gt;"")+('Dvd Calendar'!$F$841=SPECIAL_LBL)*(INC_SPECIALS="Y"))=0,"",'Dvd Calendar'!$F$839)))</f>
        <v/>
      </c>
      <c r="E87" s="106">
        <f>IF(EG87="","",IF(ISNUMBER('Dvd Calendar'!$G$839)=FALSE,"",IF((('Dvd Calendar'!$G$841=TYPE1)*(TYPE1&lt;&gt;"")+('Dvd Calendar'!$G$841=TYPE2)*(TYPE2&lt;&gt;"")+('Dvd Calendar'!$G$841=TYPE3)*(TYPE3&lt;&gt;"")+('Dvd Calendar'!$G$841=TYPE4)*(TYPE4&lt;&gt;"")+('Dvd Calendar'!$G$841=SPECIAL_LBL)*(INC_SPECIALS="Y"))=0,"",'Dvd Calendar'!$G$839)))</f>
        <v/>
      </c>
      <c r="F87" s="106">
        <f>IF(EH87="","",IF(ISNUMBER('Dvd Calendar'!$H$839)=FALSE,"",IF((('Dvd Calendar'!$H$841=TYPE1)*(TYPE1&lt;&gt;"")+('Dvd Calendar'!$H$841=TYPE2)*(TYPE2&lt;&gt;"")+('Dvd Calendar'!$H$841=TYPE3)*(TYPE3&lt;&gt;"")+('Dvd Calendar'!$H$841=TYPE4)*(TYPE4&lt;&gt;"")+('Dvd Calendar'!$H$841=SPECIAL_LBL)*(INC_SPECIALS="Y"))=0,"",'Dvd Calendar'!$H$839)))</f>
        <v/>
      </c>
      <c r="G87" s="106">
        <f>IF(EI87="","",IF(ISNUMBER('Dvd Calendar'!$I$839)=FALSE,"",IF((('Dvd Calendar'!$I$841=TYPE1)*(TYPE1&lt;&gt;"")+('Dvd Calendar'!$I$841=TYPE2)*(TYPE2&lt;&gt;"")+('Dvd Calendar'!$I$841=TYPE3)*(TYPE3&lt;&gt;"")+('Dvd Calendar'!$I$841=TYPE4)*(TYPE4&lt;&gt;"")+('Dvd Calendar'!$I$841=SPECIAL_LBL)*(INC_SPECIALS="Y"))=0,"",'Dvd Calendar'!$I$839)))</f>
        <v/>
      </c>
      <c r="H87" s="106">
        <f>IF(EJ87="","",IF(ISNUMBER('Dvd Calendar'!$J$839)=FALSE,"",IF((('Dvd Calendar'!$J$841=TYPE1)*(TYPE1&lt;&gt;"")+('Dvd Calendar'!$J$841=TYPE2)*(TYPE2&lt;&gt;"")+('Dvd Calendar'!$J$841=TYPE3)*(TYPE3&lt;&gt;"")+('Dvd Calendar'!$J$841=TYPE4)*(TYPE4&lt;&gt;"")+('Dvd Calendar'!$J$841=SPECIAL_LBL)*(INC_SPECIALS="Y"))=0,"",'Dvd Calendar'!$J$839)))</f>
        <v/>
      </c>
      <c r="I87" s="106">
        <f>IF(EK87="","",IF(ISNUMBER('Dvd Calendar'!$K$839)=FALSE,"",IF((('Dvd Calendar'!$K$841=TYPE1)*(TYPE1&lt;&gt;"")+('Dvd Calendar'!$K$841=TYPE2)*(TYPE2&lt;&gt;"")+('Dvd Calendar'!$K$841=TYPE3)*(TYPE3&lt;&gt;"")+('Dvd Calendar'!$K$841=TYPE4)*(TYPE4&lt;&gt;"")+('Dvd Calendar'!$K$841=SPECIAL_LBL)*(INC_SPECIALS="Y"))=0,"",'Dvd Calendar'!$K$839)))</f>
        <v/>
      </c>
      <c r="J87" s="106">
        <f>IF(EL87="","",IF(ISNUMBER('Dvd Calendar'!$L$839)=FALSE,"",IF((('Dvd Calendar'!$L$841=TYPE1)*(TYPE1&lt;&gt;"")+('Dvd Calendar'!$L$841=TYPE2)*(TYPE2&lt;&gt;"")+('Dvd Calendar'!$L$841=TYPE3)*(TYPE3&lt;&gt;"")+('Dvd Calendar'!$L$841=TYPE4)*(TYPE4&lt;&gt;"")+('Dvd Calendar'!$L$841=SPECIAL_LBL)*(INC_SPECIALS="Y"))=0,"",'Dvd Calendar'!$L$839)))</f>
        <v/>
      </c>
      <c r="K87" s="106">
        <f>IF(EM87="","",IF(ISNUMBER('Dvd Calendar'!$M$839)=FALSE,"",IF((('Dvd Calendar'!$M$841=TYPE1)*(TYPE1&lt;&gt;"")+('Dvd Calendar'!$M$841=TYPE2)*(TYPE2&lt;&gt;"")+('Dvd Calendar'!$M$841=TYPE3)*(TYPE3&lt;&gt;"")+('Dvd Calendar'!$M$841=TYPE4)*(TYPE4&lt;&gt;"")+('Dvd Calendar'!$M$841=SPECIAL_LBL)*(INC_SPECIALS="Y"))=0,"",'Dvd Calendar'!$M$839)))</f>
        <v/>
      </c>
      <c r="L87" s="106">
        <f>IF(EN87="","",IF(ISNUMBER('Dvd Calendar'!$N$839)=FALSE,"",IF((('Dvd Calendar'!$N$841=TYPE1)*(TYPE1&lt;&gt;"")+('Dvd Calendar'!$N$841=TYPE2)*(TYPE2&lt;&gt;"")+('Dvd Calendar'!$N$841=TYPE3)*(TYPE3&lt;&gt;"")+('Dvd Calendar'!$N$841=TYPE4)*(TYPE4&lt;&gt;"")+('Dvd Calendar'!$N$841=SPECIAL_LBL)*(INC_SPECIALS="Y"))=0,"",'Dvd Calendar'!$N$839)))</f>
        <v/>
      </c>
      <c r="M87" s="106">
        <f>IF(EO87="","",IF(ISNUMBER('Dvd Calendar'!$O$839)=FALSE,"",IF((('Dvd Calendar'!$O$841=TYPE1)*(TYPE1&lt;&gt;"")+('Dvd Calendar'!$O$841=TYPE2)*(TYPE2&lt;&gt;"")+('Dvd Calendar'!$O$841=TYPE3)*(TYPE3&lt;&gt;"")+('Dvd Calendar'!$O$841=TYPE4)*(TYPE4&lt;&gt;"")+('Dvd Calendar'!$O$841=SPECIAL_LBL)*(INC_SPECIALS="Y"))=0,"",'Dvd Calendar'!$O$839)))</f>
        <v/>
      </c>
      <c r="N87" s="106">
        <f>IF(EP87="","",IF(ISNUMBER('Dvd Calendar'!$P$839)=FALSE,"",IF((('Dvd Calendar'!$P$841=TYPE1)*(TYPE1&lt;&gt;"")+('Dvd Calendar'!$P$841=TYPE2)*(TYPE2&lt;&gt;"")+('Dvd Calendar'!$P$841=TYPE3)*(TYPE3&lt;&gt;"")+('Dvd Calendar'!$P$841=TYPE4)*(TYPE4&lt;&gt;"")+('Dvd Calendar'!$P$841=SPECIAL_LBL)*(INC_SPECIALS="Y"))=0,"",'Dvd Calendar'!$P$839)))</f>
        <v/>
      </c>
      <c r="O87" s="106">
        <f>IF(EQ87="","",IF(ISNUMBER('Dvd Calendar'!$Q$839)=FALSE,"",IF((('Dvd Calendar'!$Q$841=TYPE1)*(TYPE1&lt;&gt;"")+('Dvd Calendar'!$Q$841=TYPE2)*(TYPE2&lt;&gt;"")+('Dvd Calendar'!$Q$841=TYPE3)*(TYPE3&lt;&gt;"")+('Dvd Calendar'!$Q$841=TYPE4)*(TYPE4&lt;&gt;"")+('Dvd Calendar'!$Q$841=SPECIAL_LBL)*(INC_SPECIALS="Y"))=0,"",'Dvd Calendar'!$Q$839)))</f>
        <v/>
      </c>
      <c r="P87" s="106">
        <f>IF(ER87="","",IF(ISNUMBER('Dvd Calendar'!$R$839)=FALSE,"",IF((('Dvd Calendar'!$R$841=TYPE1)*(TYPE1&lt;&gt;"")+('Dvd Calendar'!$R$841=TYPE2)*(TYPE2&lt;&gt;"")+('Dvd Calendar'!$R$841=TYPE3)*(TYPE3&lt;&gt;"")+('Dvd Calendar'!$R$841=TYPE4)*(TYPE4&lt;&gt;"")+('Dvd Calendar'!$R$841=SPECIAL_LBL)*(INC_SPECIALS="Y"))=0,"",'Dvd Calendar'!$R$839)))</f>
        <v/>
      </c>
      <c r="Q87" s="106">
        <f>IF(ES87="","",IF(ISNUMBER('Dvd Calendar'!$S$839)=FALSE,"",IF((('Dvd Calendar'!$S$841=TYPE1)*(TYPE1&lt;&gt;"")+('Dvd Calendar'!$S$841=TYPE2)*(TYPE2&lt;&gt;"")+('Dvd Calendar'!$S$841=TYPE3)*(TYPE3&lt;&gt;"")+('Dvd Calendar'!$S$841=TYPE4)*(TYPE4&lt;&gt;"")+('Dvd Calendar'!$S$841=SPECIAL_LBL)*(INC_SPECIALS="Y"))=0,"",'Dvd Calendar'!$S$839)))</f>
        <v/>
      </c>
      <c r="R87" s="106">
        <f>IF(ET87="","",IF(ISNUMBER('Dvd Calendar'!$T$839)=FALSE,"",IF((('Dvd Calendar'!$T$841=TYPE1)*(TYPE1&lt;&gt;"")+('Dvd Calendar'!$T$841=TYPE2)*(TYPE2&lt;&gt;"")+('Dvd Calendar'!$T$841=TYPE3)*(TYPE3&lt;&gt;"")+('Dvd Calendar'!$T$841=TYPE4)*(TYPE4&lt;&gt;"")+('Dvd Calendar'!$T$841=SPECIAL_LBL)*(INC_SPECIALS="Y"))=0,"",'Dvd Calendar'!$T$839)))</f>
        <v/>
      </c>
      <c r="S87" s="106">
        <f>IF(EU87="","",IF(ISNUMBER('Dvd Calendar'!$U$839)=FALSE,"",IF((('Dvd Calendar'!$U$841=TYPE1)*(TYPE1&lt;&gt;"")+('Dvd Calendar'!$U$841=TYPE2)*(TYPE2&lt;&gt;"")+('Dvd Calendar'!$U$841=TYPE3)*(TYPE3&lt;&gt;"")+('Dvd Calendar'!$U$841=TYPE4)*(TYPE4&lt;&gt;"")+('Dvd Calendar'!$U$841=SPECIAL_LBL)*(INC_SPECIALS="Y"))=0,"",'Dvd Calendar'!$U$839)))</f>
        <v/>
      </c>
      <c r="T87" s="106">
        <f>IF(EV87="","",IF(ISNUMBER('Dvd Calendar'!$V$839)=FALSE,"",IF((('Dvd Calendar'!$V$841=TYPE1)*(TYPE1&lt;&gt;"")+('Dvd Calendar'!$V$841=TYPE2)*(TYPE2&lt;&gt;"")+('Dvd Calendar'!$V$841=TYPE3)*(TYPE3&lt;&gt;"")+('Dvd Calendar'!$V$841=TYPE4)*(TYPE4&lt;&gt;"")+('Dvd Calendar'!$V$841=SPECIAL_LBL)*(INC_SPECIALS="Y"))=0,"",'Dvd Calendar'!$V$839)))</f>
        <v/>
      </c>
      <c r="U87" s="106">
        <f>IF(EW87="","",IF(ISNUMBER('Dvd Calendar'!$W$839)=FALSE,"",IF((('Dvd Calendar'!$W$841=TYPE1)*(TYPE1&lt;&gt;"")+('Dvd Calendar'!$W$841=TYPE2)*(TYPE2&lt;&gt;"")+('Dvd Calendar'!$W$841=TYPE3)*(TYPE3&lt;&gt;"")+('Dvd Calendar'!$W$841=TYPE4)*(TYPE4&lt;&gt;"")+('Dvd Calendar'!$W$841=SPECIAL_LBL)*(INC_SPECIALS="Y"))=0,"",'Dvd Calendar'!$W$839)))</f>
        <v/>
      </c>
      <c r="V87" s="106">
        <f>IF(EX87="","",IF(ISNUMBER('Dvd Calendar'!$X$839)=FALSE,"",IF((('Dvd Calendar'!$X$841=TYPE1)*(TYPE1&lt;&gt;"")+('Dvd Calendar'!$X$841=TYPE2)*(TYPE2&lt;&gt;"")+('Dvd Calendar'!$X$841=TYPE3)*(TYPE3&lt;&gt;"")+('Dvd Calendar'!$X$841=TYPE4)*(TYPE4&lt;&gt;"")+('Dvd Calendar'!$X$841=SPECIAL_LBL)*(INC_SPECIALS="Y"))=0,"",'Dvd Calendar'!$X$839)))</f>
        <v/>
      </c>
      <c r="W87" s="106">
        <f>IF(EY87="","",IF(ISNUMBER('Dvd Calendar'!$Y$839)=FALSE,"",IF((('Dvd Calendar'!$Y$841=TYPE1)*(TYPE1&lt;&gt;"")+('Dvd Calendar'!$Y$841=TYPE2)*(TYPE2&lt;&gt;"")+('Dvd Calendar'!$Y$841=TYPE3)*(TYPE3&lt;&gt;"")+('Dvd Calendar'!$Y$841=TYPE4)*(TYPE4&lt;&gt;"")+('Dvd Calendar'!$Y$841=SPECIAL_LBL)*(INC_SPECIALS="Y"))=0,"",'Dvd Calendar'!$Y$839)))</f>
        <v/>
      </c>
      <c r="X87" s="106">
        <f>IF(EZ87="","",IF(ISNUMBER('Dvd Calendar'!$Z$839)=FALSE,"",IF((('Dvd Calendar'!$Z$841=TYPE1)*(TYPE1&lt;&gt;"")+('Dvd Calendar'!$Z$841=TYPE2)*(TYPE2&lt;&gt;"")+('Dvd Calendar'!$Z$841=TYPE3)*(TYPE3&lt;&gt;"")+('Dvd Calendar'!$Z$841=TYPE4)*(TYPE4&lt;&gt;"")+('Dvd Calendar'!$Z$841=SPECIAL_LBL)*(INC_SPECIALS="Y"))=0,"",'Dvd Calendar'!$Z$839)))</f>
        <v/>
      </c>
      <c r="Y87" s="106">
        <f>IF(FA87="","",IF(ISNUMBER('Dvd Calendar'!$AA$839)=FALSE,"",IF((('Dvd Calendar'!$AA$841=TYPE1)*(TYPE1&lt;&gt;"")+('Dvd Calendar'!$AA$841=TYPE2)*(TYPE2&lt;&gt;"")+('Dvd Calendar'!$AA$841=TYPE3)*(TYPE3&lt;&gt;"")+('Dvd Calendar'!$AA$841=TYPE4)*(TYPE4&lt;&gt;"")+('Dvd Calendar'!$AA$841=SPECIAL_LBL)*(INC_SPECIALS="Y"))=0,"",'Dvd Calendar'!$AA$839)))</f>
        <v/>
      </c>
      <c r="Z87" s="106">
        <f>IF(FB87="","",IF(ISNUMBER('Dvd Calendar'!$AB$839)=FALSE,"",IF((('Dvd Calendar'!$AB$841=TYPE1)*(TYPE1&lt;&gt;"")+('Dvd Calendar'!$AB$841=TYPE2)*(TYPE2&lt;&gt;"")+('Dvd Calendar'!$AB$841=TYPE3)*(TYPE3&lt;&gt;"")+('Dvd Calendar'!$AB$841=TYPE4)*(TYPE4&lt;&gt;"")+('Dvd Calendar'!$AB$841=SPECIAL_LBL)*(INC_SPECIALS="Y"))=0,"",'Dvd Calendar'!$AB$839)))</f>
        <v/>
      </c>
      <c r="AA87" s="106">
        <f>IF(FC87="","",IF(ISNUMBER('Dvd Calendar'!$AC$839)=FALSE,"",IF((('Dvd Calendar'!$AC$841=TYPE1)*(TYPE1&lt;&gt;"")+('Dvd Calendar'!$AC$841=TYPE2)*(TYPE2&lt;&gt;"")+('Dvd Calendar'!$AC$841=TYPE3)*(TYPE3&lt;&gt;"")+('Dvd Calendar'!$AC$841=TYPE4)*(TYPE4&lt;&gt;"")+('Dvd Calendar'!$AC$841=SPECIAL_LBL)*(INC_SPECIALS="Y"))=0,"",'Dvd Calendar'!$AC$839)))</f>
        <v/>
      </c>
      <c r="AB87" s="106">
        <f>IF(FD87="","",IF(ISNUMBER('Dvd Calendar'!$AD$839)=FALSE,"",IF((('Dvd Calendar'!$AD$841=TYPE1)*(TYPE1&lt;&gt;"")+('Dvd Calendar'!$AD$841=TYPE2)*(TYPE2&lt;&gt;"")+('Dvd Calendar'!$AD$841=TYPE3)*(TYPE3&lt;&gt;"")+('Dvd Calendar'!$AD$841=TYPE4)*(TYPE4&lt;&gt;"")+('Dvd Calendar'!$AD$841=SPECIAL_LBL)*(INC_SPECIALS="Y"))=0,"",'Dvd Calendar'!$AD$839)))</f>
        <v/>
      </c>
      <c r="AC87" s="106">
        <f>IF(FE87="","",IF(ISNUMBER('Dvd Calendar'!$AE$839)=FALSE,"",IF((('Dvd Calendar'!$AE$841=TYPE1)*(TYPE1&lt;&gt;"")+('Dvd Calendar'!$AE$841=TYPE2)*(TYPE2&lt;&gt;"")+('Dvd Calendar'!$AE$841=TYPE3)*(TYPE3&lt;&gt;"")+('Dvd Calendar'!$AE$841=TYPE4)*(TYPE4&lt;&gt;"")+('Dvd Calendar'!$AE$841=SPECIAL_LBL)*(INC_SPECIALS="Y"))=0,"",'Dvd Calendar'!$AE$839)))</f>
        <v/>
      </c>
      <c r="AD87" s="106">
        <f>IF(FF87="","",IF(ISNUMBER('Dvd Calendar'!$AF$839)=FALSE,"",IF((('Dvd Calendar'!$AF$841=TYPE1)*(TYPE1&lt;&gt;"")+('Dvd Calendar'!$AF$841=TYPE2)*(TYPE2&lt;&gt;"")+('Dvd Calendar'!$AF$841=TYPE3)*(TYPE3&lt;&gt;"")+('Dvd Calendar'!$AF$841=TYPE4)*(TYPE4&lt;&gt;"")+('Dvd Calendar'!$AF$841=SPECIAL_LBL)*(INC_SPECIALS="Y"))=0,"",'Dvd Calendar'!$AF$839)))</f>
        <v/>
      </c>
      <c r="AE87" s="106">
        <f>IF(FG87="","",IF(ISNUMBER('Dvd Calendar'!$AG$839)=FALSE,"",IF((('Dvd Calendar'!$AG$841=TYPE1)*(TYPE1&lt;&gt;"")+('Dvd Calendar'!$AG$841=TYPE2)*(TYPE2&lt;&gt;"")+('Dvd Calendar'!$AG$841=TYPE3)*(TYPE3&lt;&gt;"")+('Dvd Calendar'!$AG$841=TYPE4)*(TYPE4&lt;&gt;"")+('Dvd Calendar'!$AG$841=SPECIAL_LBL)*(INC_SPECIALS="Y"))=0,"",'Dvd Calendar'!$AG$839)))</f>
        <v/>
      </c>
      <c r="AF87" s="106">
        <f>IF(FH87="","",IF(ISNUMBER('Dvd Calendar'!$AH$839)=FALSE,"",IF((('Dvd Calendar'!$AH$841=TYPE1)*(TYPE1&lt;&gt;"")+('Dvd Calendar'!$AH$841=TYPE2)*(TYPE2&lt;&gt;"")+('Dvd Calendar'!$AH$841=TYPE3)*(TYPE3&lt;&gt;"")+('Dvd Calendar'!$AH$841=TYPE4)*(TYPE4&lt;&gt;"")+('Dvd Calendar'!$AH$841=SPECIAL_LBL)*(INC_SPECIALS="Y"))=0,"",'Dvd Calendar'!$AH$839)))</f>
        <v/>
      </c>
      <c r="AG87" s="106">
        <f>IF(FI87="","",IF(ISNUMBER('Dvd Calendar'!$AI$839)=FALSE,"",IF((('Dvd Calendar'!$AI$841=TYPE1)*(TYPE1&lt;&gt;"")+('Dvd Calendar'!$AI$841=TYPE2)*(TYPE2&lt;&gt;"")+('Dvd Calendar'!$AI$841=TYPE3)*(TYPE3&lt;&gt;"")+('Dvd Calendar'!$AI$841=TYPE4)*(TYPE4&lt;&gt;"")+('Dvd Calendar'!$AI$841=SPECIAL_LBL)*(INC_SPECIALS="Y"))=0,"",'Dvd Calendar'!$AI$839)))</f>
        <v/>
      </c>
      <c r="AH87" s="106">
        <f>IF(FJ87="","",IF(ISNUMBER('Dvd Calendar'!$AJ$839)=FALSE,"",IF((('Dvd Calendar'!$AJ$841=TYPE1)*(TYPE1&lt;&gt;"")+('Dvd Calendar'!$AJ$841=TYPE2)*(TYPE2&lt;&gt;"")+('Dvd Calendar'!$AJ$841=TYPE3)*(TYPE3&lt;&gt;"")+('Dvd Calendar'!$AJ$841=TYPE4)*(TYPE4&lt;&gt;"")+('Dvd Calendar'!$AJ$841=SPECIAL_LBL)*(INC_SPECIALS="Y"))=0,"",'Dvd Calendar'!$AJ$839)))</f>
        <v/>
      </c>
      <c r="AI87" s="106">
        <f>IF(FK87="","",IF(ISNUMBER('Dvd Calendar'!$AK$839)=FALSE,"",IF((('Dvd Calendar'!$AK$841=TYPE1)*(TYPE1&lt;&gt;"")+('Dvd Calendar'!$AK$841=TYPE2)*(TYPE2&lt;&gt;"")+('Dvd Calendar'!$AK$841=TYPE3)*(TYPE3&lt;&gt;"")+('Dvd Calendar'!$AK$841=TYPE4)*(TYPE4&lt;&gt;"")+('Dvd Calendar'!$AK$841=SPECIAL_LBL)*(INC_SPECIALS="Y"))=0,"",'Dvd Calendar'!$AK$839)))</f>
        <v/>
      </c>
      <c r="AJ87" s="106">
        <f>IF(FL87="","",IF(ISNUMBER('Dvd Calendar'!$AL$839)=FALSE,"",IF((('Dvd Calendar'!$AL$841=TYPE1)*(TYPE1&lt;&gt;"")+('Dvd Calendar'!$AL$841=TYPE2)*(TYPE2&lt;&gt;"")+('Dvd Calendar'!$AL$841=TYPE3)*(TYPE3&lt;&gt;"")+('Dvd Calendar'!$AL$841=TYPE4)*(TYPE4&lt;&gt;"")+('Dvd Calendar'!$AL$841=SPECIAL_LBL)*(INC_SPECIALS="Y"))=0,"",'Dvd Calendar'!$AL$839)))</f>
        <v/>
      </c>
      <c r="AK87" s="106">
        <f>IF(FM87="","",IF(ISNUMBER('Dvd Calendar'!$AM$839)=FALSE,"",IF((('Dvd Calendar'!$AM$841=TYPE1)*(TYPE1&lt;&gt;"")+('Dvd Calendar'!$AM$841=TYPE2)*(TYPE2&lt;&gt;"")+('Dvd Calendar'!$AM$841=TYPE3)*(TYPE3&lt;&gt;"")+('Dvd Calendar'!$AM$841=TYPE4)*(TYPE4&lt;&gt;"")+('Dvd Calendar'!$AM$841=SPECIAL_LBL)*(INC_SPECIALS="Y"))=0,"",'Dvd Calendar'!$AM$839)))</f>
        <v/>
      </c>
      <c r="AL87" s="106">
        <f>IF(FN87="","",IF(ISNUMBER('Dvd Calendar'!$AN$839)=FALSE,"",IF((('Dvd Calendar'!$AN$841=TYPE1)*(TYPE1&lt;&gt;"")+('Dvd Calendar'!$AN$841=TYPE2)*(TYPE2&lt;&gt;"")+('Dvd Calendar'!$AN$841=TYPE3)*(TYPE3&lt;&gt;"")+('Dvd Calendar'!$AN$841=TYPE4)*(TYPE4&lt;&gt;"")+('Dvd Calendar'!$AN$841=SPECIAL_LBL)*(INC_SPECIALS="Y"))=0,"",'Dvd Calendar'!$AN$839)))</f>
        <v/>
      </c>
      <c r="AM87" s="106">
        <f>IF(FO87="","",IF(ISNUMBER('Dvd Calendar'!$AO$839)=FALSE,"",IF((('Dvd Calendar'!$AO$841=TYPE1)*(TYPE1&lt;&gt;"")+('Dvd Calendar'!$AO$841=TYPE2)*(TYPE2&lt;&gt;"")+('Dvd Calendar'!$AO$841=TYPE3)*(TYPE3&lt;&gt;"")+('Dvd Calendar'!$AO$841=TYPE4)*(TYPE4&lt;&gt;"")+('Dvd Calendar'!$AO$841=SPECIAL_LBL)*(INC_SPECIALS="Y"))=0,"",'Dvd Calendar'!$AO$839)))</f>
        <v/>
      </c>
      <c r="AN87" s="106">
        <f>IF(FP87="","",IF(ISNUMBER('Dvd Calendar'!$AP$839)=FALSE,"",IF((('Dvd Calendar'!$AP$841=TYPE1)*(TYPE1&lt;&gt;"")+('Dvd Calendar'!$AP$841=TYPE2)*(TYPE2&lt;&gt;"")+('Dvd Calendar'!$AP$841=TYPE3)*(TYPE3&lt;&gt;"")+('Dvd Calendar'!$AP$841=TYPE4)*(TYPE4&lt;&gt;"")+('Dvd Calendar'!$AP$841=SPECIAL_LBL)*(INC_SPECIALS="Y"))=0,"",'Dvd Calendar'!$AP$839)))</f>
        <v/>
      </c>
      <c r="AO87" s="106">
        <f>IF(FQ87="","",IF(ISNUMBER('Dvd Calendar'!$AQ$839)=FALSE,"",IF((('Dvd Calendar'!$AQ$841=TYPE1)*(TYPE1&lt;&gt;"")+('Dvd Calendar'!$AQ$841=TYPE2)*(TYPE2&lt;&gt;"")+('Dvd Calendar'!$AQ$841=TYPE3)*(TYPE3&lt;&gt;"")+('Dvd Calendar'!$AQ$841=TYPE4)*(TYPE4&lt;&gt;"")+('Dvd Calendar'!$AQ$841=SPECIAL_LBL)*(INC_SPECIALS="Y"))=0,"",'Dvd Calendar'!$AQ$839)))</f>
        <v/>
      </c>
      <c r="AP87" s="106">
        <f>IF(FR87="","",IF(ISNUMBER('Dvd Calendar'!$AR$839)=FALSE,"",IF((('Dvd Calendar'!$AR$841=TYPE1)*(TYPE1&lt;&gt;"")+('Dvd Calendar'!$AR$841=TYPE2)*(TYPE2&lt;&gt;"")+('Dvd Calendar'!$AR$841=TYPE3)*(TYPE3&lt;&gt;"")+('Dvd Calendar'!$AR$841=TYPE4)*(TYPE4&lt;&gt;"")+('Dvd Calendar'!$AR$841=SPECIAL_LBL)*(INC_SPECIALS="Y"))=0,"",'Dvd Calendar'!$AR$839)))</f>
        <v/>
      </c>
      <c r="AQ87" s="106">
        <f>IF(FS87="","",IF(ISNUMBER('Dvd Calendar'!$E$844)=FALSE,"",'Dvd Calendar'!$E$844))</f>
        <v/>
      </c>
      <c r="AR87" s="106">
        <f>IF(FT87="","",IF(ISNUMBER('Dvd Calendar'!$F$844)=FALSE,"",'Dvd Calendar'!$F$844))</f>
        <v/>
      </c>
      <c r="AS87" s="106">
        <f>IF(FU87="","",IF(ISNUMBER('Dvd Calendar'!$G$844)=FALSE,"",'Dvd Calendar'!$G$844))</f>
        <v/>
      </c>
      <c r="AT87" s="106">
        <f>IF(FV87="","",IF(ISNUMBER('Dvd Calendar'!$H$844)=FALSE,"",'Dvd Calendar'!$H$844))</f>
        <v/>
      </c>
      <c r="AU87" s="106">
        <f>IF(FW87="","",IF(ISNUMBER('Dvd Calendar'!$I$844)=FALSE,"",'Dvd Calendar'!$I$844))</f>
        <v/>
      </c>
      <c r="AV87" s="106">
        <f>IF(FX87="","",IF(ISNUMBER('Dvd Calendar'!$J$844)=FALSE,"",'Dvd Calendar'!$J$844))</f>
        <v/>
      </c>
      <c r="AW87" s="106">
        <f>IF(FY87="","",IF(ISNUMBER('Dvd Calendar'!$K$844)=FALSE,"",'Dvd Calendar'!$K$844))</f>
        <v/>
      </c>
      <c r="AX87" s="106">
        <f>IF(FZ87="","",IF(ISNUMBER('Dvd Calendar'!$L$844)=FALSE,"",'Dvd Calendar'!$L$844))</f>
        <v/>
      </c>
      <c r="AY87" s="106">
        <f>IF(GA87="","",IF(ISNUMBER('Dvd Calendar'!$M$844)=FALSE,"",'Dvd Calendar'!$M$844))</f>
        <v/>
      </c>
      <c r="AZ87" s="106">
        <f>IF(GB87="","",IF(ISNUMBER('Dvd Calendar'!$N$844)=FALSE,"",'Dvd Calendar'!$N$844))</f>
        <v/>
      </c>
      <c r="BA87" s="106">
        <f>IF(GC87="","",IF(ISNUMBER('Dvd Calendar'!$O$844)=FALSE,"",'Dvd Calendar'!$O$844))</f>
        <v/>
      </c>
      <c r="BB87" s="106">
        <f>IF(GD87="","",IF(ISNUMBER('Dvd Calendar'!$P$844)=FALSE,"",'Dvd Calendar'!$P$844))</f>
        <v/>
      </c>
      <c r="BC87" s="106">
        <f>IF(GE87="","",IF(ISNUMBER('Dvd Calendar'!$Q$844)=FALSE,"",'Dvd Calendar'!$Q$844))</f>
        <v/>
      </c>
      <c r="BD87" s="106">
        <f>IF(GF87="","",IF(ISNUMBER('Dvd Calendar'!$R$844)=FALSE,"",'Dvd Calendar'!$R$844))</f>
        <v/>
      </c>
      <c r="BE87" s="106">
        <f>IF(GG87="","",IF(ISNUMBER('Dvd Calendar'!$S$844)=FALSE,"",'Dvd Calendar'!$S$844))</f>
        <v/>
      </c>
      <c r="BF87" s="106">
        <f>IF(GH87="","",IF(ISNUMBER('Dvd Calendar'!$T$844)=FALSE,"",'Dvd Calendar'!$T$844))</f>
        <v/>
      </c>
      <c r="BG87" s="106">
        <f>IF(GI87="","",IF(ISNUMBER('Dvd Calendar'!$U$844)=FALSE,"",'Dvd Calendar'!$U$844))</f>
        <v/>
      </c>
      <c r="BH87" s="106">
        <f>IF(GJ87="","",IF(ISNUMBER('Dvd Calendar'!$V$844)=FALSE,"",'Dvd Calendar'!$V$844))</f>
        <v/>
      </c>
      <c r="BI87" s="106">
        <f>IF(GK87="","",IF(ISNUMBER('Dvd Calendar'!$W$844)=FALSE,"",'Dvd Calendar'!$W$844))</f>
        <v/>
      </c>
      <c r="BJ87" s="106">
        <f>IF(GL87="","",IF(ISNUMBER('Dvd Calendar'!$X$844)=FALSE,"",'Dvd Calendar'!$X$844))</f>
        <v/>
      </c>
      <c r="BK87" s="106">
        <f>IF(GM87="","",IF(ISNUMBER('Dvd Calendar'!$Y$844)=FALSE,"",'Dvd Calendar'!$Y$844))</f>
        <v/>
      </c>
      <c r="BL87" s="106">
        <f>IF(GN87="","",IF(ISNUMBER('Dvd Calendar'!$Z$844)=FALSE,"",'Dvd Calendar'!$Z$844))</f>
        <v/>
      </c>
      <c r="BM87" s="106">
        <f>IF(GO87="","",IF(ISNUMBER('Dvd Calendar'!$AA$844)=FALSE,"",'Dvd Calendar'!$AA$844))</f>
        <v/>
      </c>
      <c r="BN87" s="106">
        <f>IF(GP87="","",IF(ISNUMBER('Dvd Calendar'!$AB$844)=FALSE,"",'Dvd Calendar'!$AB$844))</f>
        <v/>
      </c>
      <c r="BO87" s="106">
        <f>IF(GQ87="","",IF(ISNUMBER('Dvd Calendar'!$AC$844)=FALSE,"",'Dvd Calendar'!$AC$844))</f>
        <v/>
      </c>
      <c r="BQ87" s="106">
        <f>IF(C87="","",IFERROR(C87*HSI!$B$82*HSI!$G$82/HSI!$B$3,""))</f>
        <v/>
      </c>
      <c r="BR87" s="106">
        <f>IF(D87="","",IFERROR(D87*HSI!$B$82*HSI!$G$82/HSI!$B$3,""))</f>
        <v/>
      </c>
      <c r="BS87" s="106">
        <f>IF(E87="","",IFERROR(E87*HSI!$B$82*HSI!$G$82/HSI!$B$3,""))</f>
        <v/>
      </c>
      <c r="BT87" s="106">
        <f>IF(F87="","",IFERROR(F87*HSI!$B$82*HSI!$G$82/HSI!$B$3,""))</f>
        <v/>
      </c>
      <c r="BU87" s="106">
        <f>IF(G87="","",IFERROR(G87*HSI!$B$82*HSI!$G$82/HSI!$B$3,""))</f>
        <v/>
      </c>
      <c r="BV87" s="106">
        <f>IF(H87="","",IFERROR(H87*HSI!$B$82*HSI!$G$82/HSI!$B$3,""))</f>
        <v/>
      </c>
      <c r="BW87" s="106">
        <f>IF(I87="","",IFERROR(I87*HSI!$B$82*HSI!$G$82/HSI!$B$3,""))</f>
        <v/>
      </c>
      <c r="BX87" s="106">
        <f>IF(J87="","",IFERROR(J87*HSI!$B$82*HSI!$G$82/HSI!$B$3,""))</f>
        <v/>
      </c>
      <c r="BY87" s="106">
        <f>IF(K87="","",IFERROR(K87*HSI!$B$82*HSI!$G$82/HSI!$B$3,""))</f>
        <v/>
      </c>
      <c r="BZ87" s="106">
        <f>IF(L87="","",IFERROR(L87*HSI!$B$82*HSI!$G$82/HSI!$B$3,""))</f>
        <v/>
      </c>
      <c r="CA87" s="106">
        <f>IF(M87="","",IFERROR(M87*HSI!$B$82*HSI!$G$82/HSI!$B$3,""))</f>
        <v/>
      </c>
      <c r="CB87" s="106">
        <f>IF(N87="","",IFERROR(N87*HSI!$B$82*HSI!$G$82/HSI!$B$3,""))</f>
        <v/>
      </c>
      <c r="CC87" s="106">
        <f>IF(O87="","",IFERROR(O87*HSI!$B$82*HSI!$G$82/HSI!$B$3,""))</f>
        <v/>
      </c>
      <c r="CD87" s="106">
        <f>IF(P87="","",IFERROR(P87*HSI!$B$82*HSI!$G$82/HSI!$B$3,""))</f>
        <v/>
      </c>
      <c r="CE87" s="106">
        <f>IF(Q87="","",IFERROR(Q87*HSI!$B$82*HSI!$G$82/HSI!$B$3,""))</f>
        <v/>
      </c>
      <c r="CF87" s="106">
        <f>IF(R87="","",IFERROR(R87*HSI!$B$82*HSI!$G$82/HSI!$B$3,""))</f>
        <v/>
      </c>
      <c r="CG87" s="106">
        <f>IF(S87="","",IFERROR(S87*HSI!$B$82*HSI!$G$82/HSI!$B$3,""))</f>
        <v/>
      </c>
      <c r="CH87" s="106">
        <f>IF(T87="","",IFERROR(T87*HSI!$B$82*HSI!$G$82/HSI!$B$3,""))</f>
        <v/>
      </c>
      <c r="CI87" s="106">
        <f>IF(U87="","",IFERROR(U87*HSI!$B$82*HSI!$G$82/HSI!$B$3,""))</f>
        <v/>
      </c>
      <c r="CJ87" s="106">
        <f>IF(V87="","",IFERROR(V87*HSI!$B$82*HSI!$G$82/HSI!$B$3,""))</f>
        <v/>
      </c>
      <c r="CK87" s="106">
        <f>IF(W87="","",IFERROR(W87*HSI!$B$82*HSI!$G$82/HSI!$B$3,""))</f>
        <v/>
      </c>
      <c r="CL87" s="106">
        <f>IF(X87="","",IFERROR(X87*HSI!$B$82*HSI!$G$82/HSI!$B$3,""))</f>
        <v/>
      </c>
      <c r="CM87" s="106">
        <f>IF(Y87="","",IFERROR(Y87*HSI!$B$82*HSI!$G$82/HSI!$B$3,""))</f>
        <v/>
      </c>
      <c r="CN87" s="106">
        <f>IF(Z87="","",IFERROR(Z87*HSI!$B$82*HSI!$G$82/HSI!$B$3,""))</f>
        <v/>
      </c>
      <c r="CO87" s="106">
        <f>IF(AA87="","",IFERROR(AA87*HSI!$B$82*HSI!$G$82/HSI!$B$3,""))</f>
        <v/>
      </c>
      <c r="CP87" s="106">
        <f>IF(AB87="","",IFERROR(AB87*HSI!$B$82*HSI!$G$82/HSI!$B$3,""))</f>
        <v/>
      </c>
      <c r="CQ87" s="106">
        <f>IF(AC87="","",IFERROR(AC87*HSI!$B$82*HSI!$G$82/HSI!$B$3,""))</f>
        <v/>
      </c>
      <c r="CR87" s="106">
        <f>IF(AD87="","",IFERROR(AD87*HSI!$B$82*HSI!$G$82/HSI!$B$3,""))</f>
        <v/>
      </c>
      <c r="CS87" s="106">
        <f>IF(AE87="","",IFERROR(AE87*HSI!$B$82*HSI!$G$82/HSI!$B$3,""))</f>
        <v/>
      </c>
      <c r="CT87" s="106">
        <f>IF(AF87="","",IFERROR(AF87*HSI!$B$82*HSI!$G$82/HSI!$B$3,""))</f>
        <v/>
      </c>
      <c r="CU87" s="106">
        <f>IF(AG87="","",IFERROR(AG87*HSI!$B$82*HSI!$G$82/HSI!$B$3,""))</f>
        <v/>
      </c>
      <c r="CV87" s="106">
        <f>IF(AH87="","",IFERROR(AH87*HSI!$B$82*HSI!$G$82/HSI!$B$3,""))</f>
        <v/>
      </c>
      <c r="CW87" s="106">
        <f>IF(AI87="","",IFERROR(AI87*HSI!$B$82*HSI!$G$82/HSI!$B$3,""))</f>
        <v/>
      </c>
      <c r="CX87" s="106">
        <f>IF(AJ87="","",IFERROR(AJ87*HSI!$B$82*HSI!$G$82/HSI!$B$3,""))</f>
        <v/>
      </c>
      <c r="CY87" s="106">
        <f>IF(AK87="","",IFERROR(AK87*HSI!$B$82*HSI!$G$82/HSI!$B$3,""))</f>
        <v/>
      </c>
      <c r="CZ87" s="106">
        <f>IF(AL87="","",IFERROR(AL87*HSI!$B$82*HSI!$G$82/HSI!$B$3,""))</f>
        <v/>
      </c>
      <c r="DA87" s="106">
        <f>IF(AM87="","",IFERROR(AM87*HSI!$B$82*HSI!$G$82/HSI!$B$3,""))</f>
        <v/>
      </c>
      <c r="DB87" s="106">
        <f>IF(AN87="","",IFERROR(AN87*HSI!$B$82*HSI!$G$82/HSI!$B$3,""))</f>
        <v/>
      </c>
      <c r="DC87" s="106">
        <f>IF(AO87="","",IFERROR(AO87*HSI!$B$82*HSI!$G$82/HSI!$B$3,""))</f>
        <v/>
      </c>
      <c r="DD87" s="106">
        <f>IF(AP87="","",IFERROR(AP87*HSI!$B$82*HSI!$G$82/HSI!$B$3,""))</f>
        <v/>
      </c>
      <c r="DE87" s="106">
        <f>IF(AQ87="","",IFERROR(AQ87*HSI!$B$82*HSI!$G$82/HSI!$B$3,""))</f>
        <v/>
      </c>
      <c r="DF87" s="106">
        <f>IF(AR87="","",IFERROR(AR87*HSI!$B$82*HSI!$G$82/HSI!$B$3,""))</f>
        <v/>
      </c>
      <c r="DG87" s="106">
        <f>IF(AS87="","",IFERROR(AS87*HSI!$B$82*HSI!$G$82/HSI!$B$3,""))</f>
        <v/>
      </c>
      <c r="DH87" s="106">
        <f>IF(AT87="","",IFERROR(AT87*HSI!$B$82*HSI!$G$82/HSI!$B$3,""))</f>
        <v/>
      </c>
      <c r="DI87" s="106">
        <f>IF(AU87="","",IFERROR(AU87*HSI!$B$82*HSI!$G$82/HSI!$B$3,""))</f>
        <v/>
      </c>
      <c r="DJ87" s="106">
        <f>IF(AV87="","",IFERROR(AV87*HSI!$B$82*HSI!$G$82/HSI!$B$3,""))</f>
        <v/>
      </c>
      <c r="DK87" s="106">
        <f>IF(AW87="","",IFERROR(AW87*HSI!$B$82*HSI!$G$82/HSI!$B$3,""))</f>
        <v/>
      </c>
      <c r="DL87" s="106">
        <f>IF(AX87="","",IFERROR(AX87*HSI!$B$82*HSI!$G$82/HSI!$B$3,""))</f>
        <v/>
      </c>
      <c r="DM87" s="106">
        <f>IF(AY87="","",IFERROR(AY87*HSI!$B$82*HSI!$G$82/HSI!$B$3,""))</f>
        <v/>
      </c>
      <c r="DN87" s="106">
        <f>IF(AZ87="","",IFERROR(AZ87*HSI!$B$82*HSI!$G$82/HSI!$B$3,""))</f>
        <v/>
      </c>
      <c r="DO87" s="106">
        <f>IF(BA87="","",IFERROR(BA87*HSI!$B$82*HSI!$G$82/HSI!$B$3,""))</f>
        <v/>
      </c>
      <c r="DP87" s="106">
        <f>IF(BB87="","",IFERROR(BB87*HSI!$B$82*HSI!$G$82/HSI!$B$3,""))</f>
        <v/>
      </c>
      <c r="DQ87" s="106">
        <f>IF(BC87="","",IFERROR(BC87*HSI!$B$82*HSI!$G$82/HSI!$B$3,""))</f>
        <v/>
      </c>
      <c r="DR87" s="106">
        <f>IF(BD87="","",IFERROR(BD87*HSI!$B$82*HSI!$G$82/HSI!$B$3,""))</f>
        <v/>
      </c>
      <c r="DS87" s="106">
        <f>IF(BE87="","",IFERROR(BE87*HSI!$B$82*HSI!$G$82/HSI!$B$3,""))</f>
        <v/>
      </c>
      <c r="DT87" s="106">
        <f>IF(BF87="","",IFERROR(BF87*HSI!$B$82*HSI!$G$82/HSI!$B$3,""))</f>
        <v/>
      </c>
      <c r="DU87" s="106">
        <f>IF(BG87="","",IFERROR(BG87*HSI!$B$82*HSI!$G$82/HSI!$B$3,""))</f>
        <v/>
      </c>
      <c r="DV87" s="106">
        <f>IF(BH87="","",IFERROR(BH87*HSI!$B$82*HSI!$G$82/HSI!$B$3,""))</f>
        <v/>
      </c>
      <c r="DW87" s="106">
        <f>IF(BI87="","",IFERROR(BI87*HSI!$B$82*HSI!$G$82/HSI!$B$3,""))</f>
        <v/>
      </c>
      <c r="DX87" s="106">
        <f>IF(BJ87="","",IFERROR(BJ87*HSI!$B$82*HSI!$G$82/HSI!$B$3,""))</f>
        <v/>
      </c>
      <c r="DY87" s="106">
        <f>IF(BK87="","",IFERROR(BK87*HSI!$B$82*HSI!$G$82/HSI!$B$3,""))</f>
        <v/>
      </c>
      <c r="DZ87" s="106">
        <f>IF(BL87="","",IFERROR(BL87*HSI!$B$82*HSI!$G$82/HSI!$B$3,""))</f>
        <v/>
      </c>
      <c r="EA87" s="106">
        <f>IF(BM87="","",IFERROR(BM87*HSI!$B$82*HSI!$G$82/HSI!$B$3,""))</f>
        <v/>
      </c>
      <c r="EB87" s="106">
        <f>IF(BN87="","",IFERROR(BN87*HSI!$B$82*HSI!$G$82/HSI!$B$3,""))</f>
        <v/>
      </c>
      <c r="EC87" s="106">
        <f>IF(BO87="","",IFERROR(BO87*HSI!$B$82*HSI!$G$82/HSI!$B$3,""))</f>
        <v/>
      </c>
      <c r="EE87" s="35">
        <f>IF(N('Dvd Calendar'!$E$836)=0,"",IF(('Dvd Calendar'!$E$836&gt;=GRID_FROM)*('Dvd Calendar'!$E$836&lt;=GRID_TO)*('Dvd Calendar'!$E$836&lt;=VAL_DATE)=0,"",'Dvd Calendar'!$E$836*1000000000+ISNUMBER('Dvd Calendar'!$E$839)*100000000+('Dvd Calendar'!$E$841=SPECIAL_LBL)*10000000+0*1000000+76*1000+1))</f>
        <v/>
      </c>
      <c r="EF87" s="35">
        <f>IF(N('Dvd Calendar'!$F$836)=0,"",IF(('Dvd Calendar'!$F$836&gt;=GRID_FROM)*('Dvd Calendar'!$F$836&lt;=GRID_TO)*('Dvd Calendar'!$F$836&lt;=VAL_DATE)=0,"",'Dvd Calendar'!$F$836*1000000000+ISNUMBER('Dvd Calendar'!$F$839)*100000000+('Dvd Calendar'!$F$841=SPECIAL_LBL)*10000000+0*1000000+76*1000+2))</f>
        <v/>
      </c>
      <c r="EG87" s="35">
        <f>IF(N('Dvd Calendar'!$G$836)=0,"",IF(('Dvd Calendar'!$G$836&gt;=GRID_FROM)*('Dvd Calendar'!$G$836&lt;=GRID_TO)*('Dvd Calendar'!$G$836&lt;=VAL_DATE)=0,"",'Dvd Calendar'!$G$836*1000000000+ISNUMBER('Dvd Calendar'!$G$839)*100000000+('Dvd Calendar'!$G$841=SPECIAL_LBL)*10000000+0*1000000+76*1000+3))</f>
        <v/>
      </c>
      <c r="EH87" s="35">
        <f>IF(N('Dvd Calendar'!$H$836)=0,"",IF(('Dvd Calendar'!$H$836&gt;=GRID_FROM)*('Dvd Calendar'!$H$836&lt;=GRID_TO)*('Dvd Calendar'!$H$836&lt;=VAL_DATE)=0,"",'Dvd Calendar'!$H$836*1000000000+ISNUMBER('Dvd Calendar'!$H$839)*100000000+('Dvd Calendar'!$H$841=SPECIAL_LBL)*10000000+0*1000000+76*1000+4))</f>
        <v/>
      </c>
      <c r="EI87" s="35">
        <f>IF(N('Dvd Calendar'!$I$836)=0,"",IF(('Dvd Calendar'!$I$836&gt;=GRID_FROM)*('Dvd Calendar'!$I$836&lt;=GRID_TO)*('Dvd Calendar'!$I$836&lt;=VAL_DATE)=0,"",'Dvd Calendar'!$I$836*1000000000+ISNUMBER('Dvd Calendar'!$I$839)*100000000+('Dvd Calendar'!$I$841=SPECIAL_LBL)*10000000+0*1000000+76*1000+5))</f>
        <v/>
      </c>
      <c r="EJ87" s="35">
        <f>IF(N('Dvd Calendar'!$J$836)=0,"",IF(('Dvd Calendar'!$J$836&gt;=GRID_FROM)*('Dvd Calendar'!$J$836&lt;=GRID_TO)*('Dvd Calendar'!$J$836&lt;=VAL_DATE)=0,"",'Dvd Calendar'!$J$836*1000000000+ISNUMBER('Dvd Calendar'!$J$839)*100000000+('Dvd Calendar'!$J$841=SPECIAL_LBL)*10000000+0*1000000+76*1000+6))</f>
        <v/>
      </c>
      <c r="EK87" s="35">
        <f>IF(N('Dvd Calendar'!$K$836)=0,"",IF(('Dvd Calendar'!$K$836&gt;=GRID_FROM)*('Dvd Calendar'!$K$836&lt;=GRID_TO)*('Dvd Calendar'!$K$836&lt;=VAL_DATE)=0,"",'Dvd Calendar'!$K$836*1000000000+ISNUMBER('Dvd Calendar'!$K$839)*100000000+('Dvd Calendar'!$K$841=SPECIAL_LBL)*10000000+0*1000000+76*1000+7))</f>
        <v/>
      </c>
      <c r="EL87" s="35">
        <f>IF(N('Dvd Calendar'!$L$836)=0,"",IF(('Dvd Calendar'!$L$836&gt;=GRID_FROM)*('Dvd Calendar'!$L$836&lt;=GRID_TO)*('Dvd Calendar'!$L$836&lt;=VAL_DATE)=0,"",'Dvd Calendar'!$L$836*1000000000+ISNUMBER('Dvd Calendar'!$L$839)*100000000+('Dvd Calendar'!$L$841=SPECIAL_LBL)*10000000+0*1000000+76*1000+8))</f>
        <v/>
      </c>
      <c r="EM87" s="35">
        <f>IF(N('Dvd Calendar'!$M$836)=0,"",IF(('Dvd Calendar'!$M$836&gt;=GRID_FROM)*('Dvd Calendar'!$M$836&lt;=GRID_TO)*('Dvd Calendar'!$M$836&lt;=VAL_DATE)=0,"",'Dvd Calendar'!$M$836*1000000000+ISNUMBER('Dvd Calendar'!$M$839)*100000000+('Dvd Calendar'!$M$841=SPECIAL_LBL)*10000000+0*1000000+76*1000+9))</f>
        <v/>
      </c>
      <c r="EN87" s="35">
        <f>IF(N('Dvd Calendar'!$N$836)=0,"",IF(('Dvd Calendar'!$N$836&gt;=GRID_FROM)*('Dvd Calendar'!$N$836&lt;=GRID_TO)*('Dvd Calendar'!$N$836&lt;=VAL_DATE)=0,"",'Dvd Calendar'!$N$836*1000000000+ISNUMBER('Dvd Calendar'!$N$839)*100000000+('Dvd Calendar'!$N$841=SPECIAL_LBL)*10000000+0*1000000+76*1000+10))</f>
        <v/>
      </c>
      <c r="EO87" s="35">
        <f>IF(N('Dvd Calendar'!$O$836)=0,"",IF(('Dvd Calendar'!$O$836&gt;=GRID_FROM)*('Dvd Calendar'!$O$836&lt;=GRID_TO)*('Dvd Calendar'!$O$836&lt;=VAL_DATE)=0,"",'Dvd Calendar'!$O$836*1000000000+ISNUMBER('Dvd Calendar'!$O$839)*100000000+('Dvd Calendar'!$O$841=SPECIAL_LBL)*10000000+0*1000000+76*1000+11))</f>
        <v/>
      </c>
      <c r="EP87" s="35">
        <f>IF(N('Dvd Calendar'!$P$836)=0,"",IF(('Dvd Calendar'!$P$836&gt;=GRID_FROM)*('Dvd Calendar'!$P$836&lt;=GRID_TO)*('Dvd Calendar'!$P$836&lt;=VAL_DATE)=0,"",'Dvd Calendar'!$P$836*1000000000+ISNUMBER('Dvd Calendar'!$P$839)*100000000+('Dvd Calendar'!$P$841=SPECIAL_LBL)*10000000+0*1000000+76*1000+12))</f>
        <v/>
      </c>
      <c r="EQ87" s="35">
        <f>IF(N('Dvd Calendar'!$Q$836)=0,"",IF(('Dvd Calendar'!$Q$836&gt;=GRID_FROM)*('Dvd Calendar'!$Q$836&lt;=GRID_TO)*('Dvd Calendar'!$Q$836&lt;=VAL_DATE)=0,"",'Dvd Calendar'!$Q$836*1000000000+ISNUMBER('Dvd Calendar'!$Q$839)*100000000+('Dvd Calendar'!$Q$841=SPECIAL_LBL)*10000000+0*1000000+76*1000+13))</f>
        <v/>
      </c>
      <c r="ER87" s="35">
        <f>IF(N('Dvd Calendar'!$R$836)=0,"",IF(('Dvd Calendar'!$R$836&gt;=GRID_FROM)*('Dvd Calendar'!$R$836&lt;=GRID_TO)*('Dvd Calendar'!$R$836&lt;=VAL_DATE)=0,"",'Dvd Calendar'!$R$836*1000000000+ISNUMBER('Dvd Calendar'!$R$839)*100000000+('Dvd Calendar'!$R$841=SPECIAL_LBL)*10000000+0*1000000+76*1000+14))</f>
        <v/>
      </c>
      <c r="ES87" s="35">
        <f>IF(N('Dvd Calendar'!$S$836)=0,"",IF(('Dvd Calendar'!$S$836&gt;=GRID_FROM)*('Dvd Calendar'!$S$836&lt;=GRID_TO)*('Dvd Calendar'!$S$836&lt;=VAL_DATE)=0,"",'Dvd Calendar'!$S$836*1000000000+ISNUMBER('Dvd Calendar'!$S$839)*100000000+('Dvd Calendar'!$S$841=SPECIAL_LBL)*10000000+0*1000000+76*1000+15))</f>
        <v/>
      </c>
      <c r="ET87" s="35">
        <f>IF(N('Dvd Calendar'!$T$836)=0,"",IF(('Dvd Calendar'!$T$836&gt;=GRID_FROM)*('Dvd Calendar'!$T$836&lt;=GRID_TO)*('Dvd Calendar'!$T$836&lt;=VAL_DATE)=0,"",'Dvd Calendar'!$T$836*1000000000+ISNUMBER('Dvd Calendar'!$T$839)*100000000+('Dvd Calendar'!$T$841=SPECIAL_LBL)*10000000+0*1000000+76*1000+16))</f>
        <v/>
      </c>
      <c r="EU87" s="35">
        <f>IF(N('Dvd Calendar'!$U$836)=0,"",IF(('Dvd Calendar'!$U$836&gt;=GRID_FROM)*('Dvd Calendar'!$U$836&lt;=GRID_TO)*('Dvd Calendar'!$U$836&lt;=VAL_DATE)=0,"",'Dvd Calendar'!$U$836*1000000000+ISNUMBER('Dvd Calendar'!$U$839)*100000000+('Dvd Calendar'!$U$841=SPECIAL_LBL)*10000000+0*1000000+76*1000+17))</f>
        <v/>
      </c>
      <c r="EV87" s="35">
        <f>IF(N('Dvd Calendar'!$V$836)=0,"",IF(('Dvd Calendar'!$V$836&gt;=GRID_FROM)*('Dvd Calendar'!$V$836&lt;=GRID_TO)*('Dvd Calendar'!$V$836&lt;=VAL_DATE)=0,"",'Dvd Calendar'!$V$836*1000000000+ISNUMBER('Dvd Calendar'!$V$839)*100000000+('Dvd Calendar'!$V$841=SPECIAL_LBL)*10000000+0*1000000+76*1000+18))</f>
        <v/>
      </c>
      <c r="EW87" s="35">
        <f>IF(N('Dvd Calendar'!$W$836)=0,"",IF(('Dvd Calendar'!$W$836&gt;=GRID_FROM)*('Dvd Calendar'!$W$836&lt;=GRID_TO)*('Dvd Calendar'!$W$836&lt;=VAL_DATE)=0,"",'Dvd Calendar'!$W$836*1000000000+ISNUMBER('Dvd Calendar'!$W$839)*100000000+('Dvd Calendar'!$W$841=SPECIAL_LBL)*10000000+0*1000000+76*1000+19))</f>
        <v/>
      </c>
      <c r="EX87" s="35">
        <f>IF(N('Dvd Calendar'!$X$836)=0,"",IF(('Dvd Calendar'!$X$836&gt;=GRID_FROM)*('Dvd Calendar'!$X$836&lt;=GRID_TO)*('Dvd Calendar'!$X$836&lt;=VAL_DATE)=0,"",'Dvd Calendar'!$X$836*1000000000+ISNUMBER('Dvd Calendar'!$X$839)*100000000+('Dvd Calendar'!$X$841=SPECIAL_LBL)*10000000+0*1000000+76*1000+20))</f>
        <v/>
      </c>
      <c r="EY87" s="35">
        <f>IF(N('Dvd Calendar'!$Y$836)=0,"",IF(('Dvd Calendar'!$Y$836&gt;=GRID_FROM)*('Dvd Calendar'!$Y$836&lt;=GRID_TO)*('Dvd Calendar'!$Y$836&lt;=VAL_DATE)=0,"",'Dvd Calendar'!$Y$836*1000000000+ISNUMBER('Dvd Calendar'!$Y$839)*100000000+('Dvd Calendar'!$Y$841=SPECIAL_LBL)*10000000+0*1000000+76*1000+21))</f>
        <v/>
      </c>
      <c r="EZ87" s="35">
        <f>IF(N('Dvd Calendar'!$Z$836)=0,"",IF(('Dvd Calendar'!$Z$836&gt;=GRID_FROM)*('Dvd Calendar'!$Z$836&lt;=GRID_TO)*('Dvd Calendar'!$Z$836&lt;=VAL_DATE)=0,"",'Dvd Calendar'!$Z$836*1000000000+ISNUMBER('Dvd Calendar'!$Z$839)*100000000+('Dvd Calendar'!$Z$841=SPECIAL_LBL)*10000000+0*1000000+76*1000+22))</f>
        <v/>
      </c>
      <c r="FA87" s="35">
        <f>IF(N('Dvd Calendar'!$AA$836)=0,"",IF(('Dvd Calendar'!$AA$836&gt;=GRID_FROM)*('Dvd Calendar'!$AA$836&lt;=GRID_TO)*('Dvd Calendar'!$AA$836&lt;=VAL_DATE)=0,"",'Dvd Calendar'!$AA$836*1000000000+ISNUMBER('Dvd Calendar'!$AA$839)*100000000+('Dvd Calendar'!$AA$841=SPECIAL_LBL)*10000000+0*1000000+76*1000+23))</f>
        <v/>
      </c>
      <c r="FB87" s="35">
        <f>IF(N('Dvd Calendar'!$AB$836)=0,"",IF(('Dvd Calendar'!$AB$836&gt;=GRID_FROM)*('Dvd Calendar'!$AB$836&lt;=GRID_TO)*('Dvd Calendar'!$AB$836&lt;=VAL_DATE)=0,"",'Dvd Calendar'!$AB$836*1000000000+ISNUMBER('Dvd Calendar'!$AB$839)*100000000+('Dvd Calendar'!$AB$841=SPECIAL_LBL)*10000000+0*1000000+76*1000+24))</f>
        <v/>
      </c>
      <c r="FC87" s="35">
        <f>IF(N('Dvd Calendar'!$AC$836)=0,"",IF(('Dvd Calendar'!$AC$836&gt;=GRID_FROM)*('Dvd Calendar'!$AC$836&lt;=GRID_TO)*('Dvd Calendar'!$AC$836&lt;=VAL_DATE)=0,"",'Dvd Calendar'!$AC$836*1000000000+ISNUMBER('Dvd Calendar'!$AC$839)*100000000+('Dvd Calendar'!$AC$841=SPECIAL_LBL)*10000000+0*1000000+76*1000+25))</f>
        <v/>
      </c>
      <c r="FD87" s="35">
        <f>IF(N('Dvd Calendar'!$AD$836)=0,"",IF(('Dvd Calendar'!$AD$836&gt;=GRID_FROM)*('Dvd Calendar'!$AD$836&lt;=GRID_TO)*('Dvd Calendar'!$AD$836&lt;=VAL_DATE)=0,"",'Dvd Calendar'!$AD$836*1000000000+ISNUMBER('Dvd Calendar'!$AD$839)*100000000+('Dvd Calendar'!$AD$841=SPECIAL_LBL)*10000000+0*1000000+76*1000+26))</f>
        <v/>
      </c>
      <c r="FE87" s="35">
        <f>IF(N('Dvd Calendar'!$AE$836)=0,"",IF(('Dvd Calendar'!$AE$836&gt;=GRID_FROM)*('Dvd Calendar'!$AE$836&lt;=GRID_TO)*('Dvd Calendar'!$AE$836&lt;=VAL_DATE)=0,"",'Dvd Calendar'!$AE$836*1000000000+ISNUMBER('Dvd Calendar'!$AE$839)*100000000+('Dvd Calendar'!$AE$841=SPECIAL_LBL)*10000000+0*1000000+76*1000+27))</f>
        <v/>
      </c>
      <c r="FF87" s="35">
        <f>IF(N('Dvd Calendar'!$AF$836)=0,"",IF(('Dvd Calendar'!$AF$836&gt;=GRID_FROM)*('Dvd Calendar'!$AF$836&lt;=GRID_TO)*('Dvd Calendar'!$AF$836&lt;=VAL_DATE)=0,"",'Dvd Calendar'!$AF$836*1000000000+ISNUMBER('Dvd Calendar'!$AF$839)*100000000+('Dvd Calendar'!$AF$841=SPECIAL_LBL)*10000000+0*1000000+76*1000+28))</f>
        <v/>
      </c>
      <c r="FG87" s="35">
        <f>IF(N('Dvd Calendar'!$AG$836)=0,"",IF(('Dvd Calendar'!$AG$836&gt;=GRID_FROM)*('Dvd Calendar'!$AG$836&lt;=GRID_TO)*('Dvd Calendar'!$AG$836&lt;=VAL_DATE)=0,"",'Dvd Calendar'!$AG$836*1000000000+ISNUMBER('Dvd Calendar'!$AG$839)*100000000+('Dvd Calendar'!$AG$841=SPECIAL_LBL)*10000000+0*1000000+76*1000+29))</f>
        <v/>
      </c>
      <c r="FH87" s="35">
        <f>IF(N('Dvd Calendar'!$AH$836)=0,"",IF(('Dvd Calendar'!$AH$836&gt;=GRID_FROM)*('Dvd Calendar'!$AH$836&lt;=GRID_TO)*('Dvd Calendar'!$AH$836&lt;=VAL_DATE)=0,"",'Dvd Calendar'!$AH$836*1000000000+ISNUMBER('Dvd Calendar'!$AH$839)*100000000+('Dvd Calendar'!$AH$841=SPECIAL_LBL)*10000000+0*1000000+76*1000+30))</f>
        <v/>
      </c>
      <c r="FI87" s="35">
        <f>IF(N('Dvd Calendar'!$AI$836)=0,"",IF(('Dvd Calendar'!$AI$836&gt;=GRID_FROM)*('Dvd Calendar'!$AI$836&lt;=GRID_TO)*('Dvd Calendar'!$AI$836&lt;=VAL_DATE)=0,"",'Dvd Calendar'!$AI$836*1000000000+ISNUMBER('Dvd Calendar'!$AI$839)*100000000+('Dvd Calendar'!$AI$841=SPECIAL_LBL)*10000000+0*1000000+76*1000+31))</f>
        <v/>
      </c>
      <c r="FJ87" s="35">
        <f>IF(N('Dvd Calendar'!$AJ$836)=0,"",IF(('Dvd Calendar'!$AJ$836&gt;=GRID_FROM)*('Dvd Calendar'!$AJ$836&lt;=GRID_TO)*('Dvd Calendar'!$AJ$836&lt;=VAL_DATE)=0,"",'Dvd Calendar'!$AJ$836*1000000000+ISNUMBER('Dvd Calendar'!$AJ$839)*100000000+('Dvd Calendar'!$AJ$841=SPECIAL_LBL)*10000000+0*1000000+76*1000+32))</f>
        <v/>
      </c>
      <c r="FK87" s="35">
        <f>IF(N('Dvd Calendar'!$AK$836)=0,"",IF(('Dvd Calendar'!$AK$836&gt;=GRID_FROM)*('Dvd Calendar'!$AK$836&lt;=GRID_TO)*('Dvd Calendar'!$AK$836&lt;=VAL_DATE)=0,"",'Dvd Calendar'!$AK$836*1000000000+ISNUMBER('Dvd Calendar'!$AK$839)*100000000+('Dvd Calendar'!$AK$841=SPECIAL_LBL)*10000000+0*1000000+76*1000+33))</f>
        <v/>
      </c>
      <c r="FL87" s="35">
        <f>IF(N('Dvd Calendar'!$AL$836)=0,"",IF(('Dvd Calendar'!$AL$836&gt;=GRID_FROM)*('Dvd Calendar'!$AL$836&lt;=GRID_TO)*('Dvd Calendar'!$AL$836&lt;=VAL_DATE)=0,"",'Dvd Calendar'!$AL$836*1000000000+ISNUMBER('Dvd Calendar'!$AL$839)*100000000+('Dvd Calendar'!$AL$841=SPECIAL_LBL)*10000000+0*1000000+76*1000+34))</f>
        <v/>
      </c>
      <c r="FM87" s="35">
        <f>IF(N('Dvd Calendar'!$AM$836)=0,"",IF(('Dvd Calendar'!$AM$836&gt;=GRID_FROM)*('Dvd Calendar'!$AM$836&lt;=GRID_TO)*('Dvd Calendar'!$AM$836&lt;=VAL_DATE)=0,"",'Dvd Calendar'!$AM$836*1000000000+ISNUMBER('Dvd Calendar'!$AM$839)*100000000+('Dvd Calendar'!$AM$841=SPECIAL_LBL)*10000000+0*1000000+76*1000+35))</f>
        <v/>
      </c>
      <c r="FN87" s="35">
        <f>IF(N('Dvd Calendar'!$AN$836)=0,"",IF(('Dvd Calendar'!$AN$836&gt;=GRID_FROM)*('Dvd Calendar'!$AN$836&lt;=GRID_TO)*('Dvd Calendar'!$AN$836&lt;=VAL_DATE)=0,"",'Dvd Calendar'!$AN$836*1000000000+ISNUMBER('Dvd Calendar'!$AN$839)*100000000+('Dvd Calendar'!$AN$841=SPECIAL_LBL)*10000000+0*1000000+76*1000+36))</f>
        <v/>
      </c>
      <c r="FO87" s="35">
        <f>IF(N('Dvd Calendar'!$AO$836)=0,"",IF(('Dvd Calendar'!$AO$836&gt;=GRID_FROM)*('Dvd Calendar'!$AO$836&lt;=GRID_TO)*('Dvd Calendar'!$AO$836&lt;=VAL_DATE)=0,"",'Dvd Calendar'!$AO$836*1000000000+ISNUMBER('Dvd Calendar'!$AO$839)*100000000+('Dvd Calendar'!$AO$841=SPECIAL_LBL)*10000000+0*1000000+76*1000+37))</f>
        <v/>
      </c>
      <c r="FP87" s="35">
        <f>IF(N('Dvd Calendar'!$AP$836)=0,"",IF(('Dvd Calendar'!$AP$836&gt;=GRID_FROM)*('Dvd Calendar'!$AP$836&lt;=GRID_TO)*('Dvd Calendar'!$AP$836&lt;=VAL_DATE)=0,"",'Dvd Calendar'!$AP$836*1000000000+ISNUMBER('Dvd Calendar'!$AP$839)*100000000+('Dvd Calendar'!$AP$841=SPECIAL_LBL)*10000000+0*1000000+76*1000+38))</f>
        <v/>
      </c>
      <c r="FQ87" s="35">
        <f>IF(N('Dvd Calendar'!$AQ$836)=0,"",IF(('Dvd Calendar'!$AQ$836&gt;=GRID_FROM)*('Dvd Calendar'!$AQ$836&lt;=GRID_TO)*('Dvd Calendar'!$AQ$836&lt;=VAL_DATE)=0,"",'Dvd Calendar'!$AQ$836*1000000000+ISNUMBER('Dvd Calendar'!$AQ$839)*100000000+('Dvd Calendar'!$AQ$841=SPECIAL_LBL)*10000000+0*1000000+76*1000+39))</f>
        <v/>
      </c>
      <c r="FR87" s="35">
        <f>IF(N('Dvd Calendar'!$AR$836)=0,"",IF(('Dvd Calendar'!$AR$836&gt;=GRID_FROM)*('Dvd Calendar'!$AR$836&lt;=GRID_TO)*('Dvd Calendar'!$AR$836&lt;=VAL_DATE)=0,"",'Dvd Calendar'!$AR$836*1000000000+ISNUMBER('Dvd Calendar'!$AR$839)*100000000+('Dvd Calendar'!$AR$841=SPECIAL_LBL)*10000000+0*1000000+76*1000+40))</f>
        <v/>
      </c>
      <c r="FS87" s="35">
        <f>IF(N('Dvd Calendar'!$E$843)=0,"",IF(('Dvd Calendar'!$E$843&gt;=GRID_FROM)*('Dvd Calendar'!$E$843&lt;=GRID_TO)*('Dvd Calendar'!$E$843&gt;VAL_DATE)=0,"",'Dvd Calendar'!$E$843*1000000000+ISNUMBER('Dvd Calendar'!$E$844)*100000000+0*10000000+(N('Dvd Calendar'!$E$842)&gt;0)*(N('Dvd Calendar'!$E$842)&lt;=VAL_SERIAL)*1000000+76*1000+41))</f>
        <v/>
      </c>
      <c r="FT87" s="35">
        <f>IF(N('Dvd Calendar'!$F$843)=0,"",IF(('Dvd Calendar'!$F$843&gt;=GRID_FROM)*('Dvd Calendar'!$F$843&lt;=GRID_TO)*('Dvd Calendar'!$F$843&gt;VAL_DATE)=0,"",'Dvd Calendar'!$F$843*1000000000+ISNUMBER('Dvd Calendar'!$F$844)*100000000+0*10000000+(N('Dvd Calendar'!$F$842)&gt;0)*(N('Dvd Calendar'!$F$842)&lt;=VAL_SERIAL)*1000000+76*1000+42))</f>
        <v/>
      </c>
      <c r="FU87" s="35">
        <f>IF(N('Dvd Calendar'!$G$843)=0,"",IF(('Dvd Calendar'!$G$843&gt;=GRID_FROM)*('Dvd Calendar'!$G$843&lt;=GRID_TO)*('Dvd Calendar'!$G$843&gt;VAL_DATE)=0,"",'Dvd Calendar'!$G$843*1000000000+ISNUMBER('Dvd Calendar'!$G$844)*100000000+0*10000000+(N('Dvd Calendar'!$G$842)&gt;0)*(N('Dvd Calendar'!$G$842)&lt;=VAL_SERIAL)*1000000+76*1000+43))</f>
        <v/>
      </c>
      <c r="FV87" s="35">
        <f>IF(N('Dvd Calendar'!$H$843)=0,"",IF(('Dvd Calendar'!$H$843&gt;=GRID_FROM)*('Dvd Calendar'!$H$843&lt;=GRID_TO)*('Dvd Calendar'!$H$843&gt;VAL_DATE)=0,"",'Dvd Calendar'!$H$843*1000000000+ISNUMBER('Dvd Calendar'!$H$844)*100000000+0*10000000+(N('Dvd Calendar'!$H$842)&gt;0)*(N('Dvd Calendar'!$H$842)&lt;=VAL_SERIAL)*1000000+76*1000+44))</f>
        <v/>
      </c>
      <c r="FW87" s="35">
        <f>IF(N('Dvd Calendar'!$I$843)=0,"",IF(('Dvd Calendar'!$I$843&gt;=GRID_FROM)*('Dvd Calendar'!$I$843&lt;=GRID_TO)*('Dvd Calendar'!$I$843&gt;VAL_DATE)=0,"",'Dvd Calendar'!$I$843*1000000000+ISNUMBER('Dvd Calendar'!$I$844)*100000000+0*10000000+(N('Dvd Calendar'!$I$842)&gt;0)*(N('Dvd Calendar'!$I$842)&lt;=VAL_SERIAL)*1000000+76*1000+45))</f>
        <v/>
      </c>
      <c r="FX87" s="35">
        <f>IF(N('Dvd Calendar'!$J$843)=0,"",IF(('Dvd Calendar'!$J$843&gt;=GRID_FROM)*('Dvd Calendar'!$J$843&lt;=GRID_TO)*('Dvd Calendar'!$J$843&gt;VAL_DATE)=0,"",'Dvd Calendar'!$J$843*1000000000+ISNUMBER('Dvd Calendar'!$J$844)*100000000+0*10000000+(N('Dvd Calendar'!$J$842)&gt;0)*(N('Dvd Calendar'!$J$842)&lt;=VAL_SERIAL)*1000000+76*1000+46))</f>
        <v/>
      </c>
      <c r="FY87" s="35">
        <f>IF(N('Dvd Calendar'!$K$843)=0,"",IF(('Dvd Calendar'!$K$843&gt;=GRID_FROM)*('Dvd Calendar'!$K$843&lt;=GRID_TO)*('Dvd Calendar'!$K$843&gt;VAL_DATE)=0,"",'Dvd Calendar'!$K$843*1000000000+ISNUMBER('Dvd Calendar'!$K$844)*100000000+0*10000000+(N('Dvd Calendar'!$K$842)&gt;0)*(N('Dvd Calendar'!$K$842)&lt;=VAL_SERIAL)*1000000+76*1000+47))</f>
        <v/>
      </c>
      <c r="FZ87" s="35">
        <f>IF(N('Dvd Calendar'!$L$843)=0,"",IF(('Dvd Calendar'!$L$843&gt;=GRID_FROM)*('Dvd Calendar'!$L$843&lt;=GRID_TO)*('Dvd Calendar'!$L$843&gt;VAL_DATE)=0,"",'Dvd Calendar'!$L$843*1000000000+ISNUMBER('Dvd Calendar'!$L$844)*100000000+0*10000000+(N('Dvd Calendar'!$L$842)&gt;0)*(N('Dvd Calendar'!$L$842)&lt;=VAL_SERIAL)*1000000+76*1000+48))</f>
        <v/>
      </c>
      <c r="GA87" s="35">
        <f>IF(N('Dvd Calendar'!$M$843)=0,"",IF(('Dvd Calendar'!$M$843&gt;=GRID_FROM)*('Dvd Calendar'!$M$843&lt;=GRID_TO)*('Dvd Calendar'!$M$843&gt;VAL_DATE)=0,"",'Dvd Calendar'!$M$843*1000000000+ISNUMBER('Dvd Calendar'!$M$844)*100000000+0*10000000+(N('Dvd Calendar'!$M$842)&gt;0)*(N('Dvd Calendar'!$M$842)&lt;=VAL_SERIAL)*1000000+76*1000+49))</f>
        <v/>
      </c>
      <c r="GB87" s="35">
        <f>IF(N('Dvd Calendar'!$N$843)=0,"",IF(('Dvd Calendar'!$N$843&gt;=GRID_FROM)*('Dvd Calendar'!$N$843&lt;=GRID_TO)*('Dvd Calendar'!$N$843&gt;VAL_DATE)=0,"",'Dvd Calendar'!$N$843*1000000000+ISNUMBER('Dvd Calendar'!$N$844)*100000000+0*10000000+(N('Dvd Calendar'!$N$842)&gt;0)*(N('Dvd Calendar'!$N$842)&lt;=VAL_SERIAL)*1000000+76*1000+50))</f>
        <v/>
      </c>
      <c r="GC87" s="35">
        <f>IF(N('Dvd Calendar'!$O$843)=0,"",IF(('Dvd Calendar'!$O$843&gt;=GRID_FROM)*('Dvd Calendar'!$O$843&lt;=GRID_TO)*('Dvd Calendar'!$O$843&gt;VAL_DATE)=0,"",'Dvd Calendar'!$O$843*1000000000+ISNUMBER('Dvd Calendar'!$O$844)*100000000+0*10000000+(N('Dvd Calendar'!$O$842)&gt;0)*(N('Dvd Calendar'!$O$842)&lt;=VAL_SERIAL)*1000000+76*1000+51))</f>
        <v/>
      </c>
      <c r="GD87" s="35">
        <f>IF(N('Dvd Calendar'!$P$843)=0,"",IF(('Dvd Calendar'!$P$843&gt;=GRID_FROM)*('Dvd Calendar'!$P$843&lt;=GRID_TO)*('Dvd Calendar'!$P$843&gt;VAL_DATE)=0,"",'Dvd Calendar'!$P$843*1000000000+ISNUMBER('Dvd Calendar'!$P$844)*100000000+0*10000000+(N('Dvd Calendar'!$P$842)&gt;0)*(N('Dvd Calendar'!$P$842)&lt;=VAL_SERIAL)*1000000+76*1000+52))</f>
        <v/>
      </c>
      <c r="GE87" s="35">
        <f>IF(N('Dvd Calendar'!$Q$843)=0,"",IF(('Dvd Calendar'!$Q$843&gt;=GRID_FROM)*('Dvd Calendar'!$Q$843&lt;=GRID_TO)*('Dvd Calendar'!$Q$843&gt;VAL_DATE)=0,"",'Dvd Calendar'!$Q$843*1000000000+ISNUMBER('Dvd Calendar'!$Q$844)*100000000+0*10000000+(N('Dvd Calendar'!$Q$842)&gt;0)*(N('Dvd Calendar'!$Q$842)&lt;=VAL_SERIAL)*1000000+76*1000+53))</f>
        <v/>
      </c>
      <c r="GF87" s="35">
        <f>IF(N('Dvd Calendar'!$R$843)=0,"",IF(('Dvd Calendar'!$R$843&gt;=GRID_FROM)*('Dvd Calendar'!$R$843&lt;=GRID_TO)*('Dvd Calendar'!$R$843&gt;VAL_DATE)=0,"",'Dvd Calendar'!$R$843*1000000000+ISNUMBER('Dvd Calendar'!$R$844)*100000000+0*10000000+(N('Dvd Calendar'!$R$842)&gt;0)*(N('Dvd Calendar'!$R$842)&lt;=VAL_SERIAL)*1000000+76*1000+54))</f>
        <v/>
      </c>
      <c r="GG87" s="35">
        <f>IF(N('Dvd Calendar'!$S$843)=0,"",IF(('Dvd Calendar'!$S$843&gt;=GRID_FROM)*('Dvd Calendar'!$S$843&lt;=GRID_TO)*('Dvd Calendar'!$S$843&gt;VAL_DATE)=0,"",'Dvd Calendar'!$S$843*1000000000+ISNUMBER('Dvd Calendar'!$S$844)*100000000+0*10000000+(N('Dvd Calendar'!$S$842)&gt;0)*(N('Dvd Calendar'!$S$842)&lt;=VAL_SERIAL)*1000000+76*1000+55))</f>
        <v/>
      </c>
      <c r="GH87" s="35">
        <f>IF(N('Dvd Calendar'!$T$843)=0,"",IF(('Dvd Calendar'!$T$843&gt;=GRID_FROM)*('Dvd Calendar'!$T$843&lt;=GRID_TO)*('Dvd Calendar'!$T$843&gt;VAL_DATE)=0,"",'Dvd Calendar'!$T$843*1000000000+ISNUMBER('Dvd Calendar'!$T$844)*100000000+0*10000000+(N('Dvd Calendar'!$T$842)&gt;0)*(N('Dvd Calendar'!$T$842)&lt;=VAL_SERIAL)*1000000+76*1000+56))</f>
        <v/>
      </c>
      <c r="GI87" s="35">
        <f>IF(N('Dvd Calendar'!$U$843)=0,"",IF(('Dvd Calendar'!$U$843&gt;=GRID_FROM)*('Dvd Calendar'!$U$843&lt;=GRID_TO)*('Dvd Calendar'!$U$843&gt;VAL_DATE)=0,"",'Dvd Calendar'!$U$843*1000000000+ISNUMBER('Dvd Calendar'!$U$844)*100000000+0*10000000+(N('Dvd Calendar'!$U$842)&gt;0)*(N('Dvd Calendar'!$U$842)&lt;=VAL_SERIAL)*1000000+76*1000+57))</f>
        <v/>
      </c>
      <c r="GJ87" s="35">
        <f>IF(N('Dvd Calendar'!$V$843)=0,"",IF(('Dvd Calendar'!$V$843&gt;=GRID_FROM)*('Dvd Calendar'!$V$843&lt;=GRID_TO)*('Dvd Calendar'!$V$843&gt;VAL_DATE)=0,"",'Dvd Calendar'!$V$843*1000000000+ISNUMBER('Dvd Calendar'!$V$844)*100000000+0*10000000+(N('Dvd Calendar'!$V$842)&gt;0)*(N('Dvd Calendar'!$V$842)&lt;=VAL_SERIAL)*1000000+76*1000+58))</f>
        <v/>
      </c>
      <c r="GK87" s="35">
        <f>IF(N('Dvd Calendar'!$W$843)=0,"",IF(('Dvd Calendar'!$W$843&gt;=GRID_FROM)*('Dvd Calendar'!$W$843&lt;=GRID_TO)*('Dvd Calendar'!$W$843&gt;VAL_DATE)=0,"",'Dvd Calendar'!$W$843*1000000000+ISNUMBER('Dvd Calendar'!$W$844)*100000000+0*10000000+(N('Dvd Calendar'!$W$842)&gt;0)*(N('Dvd Calendar'!$W$842)&lt;=VAL_SERIAL)*1000000+76*1000+59))</f>
        <v/>
      </c>
      <c r="GL87" s="35">
        <f>IF(N('Dvd Calendar'!$X$843)=0,"",IF(('Dvd Calendar'!$X$843&gt;=GRID_FROM)*('Dvd Calendar'!$X$843&lt;=GRID_TO)*('Dvd Calendar'!$X$843&gt;VAL_DATE)=0,"",'Dvd Calendar'!$X$843*1000000000+ISNUMBER('Dvd Calendar'!$X$844)*100000000+0*10000000+(N('Dvd Calendar'!$X$842)&gt;0)*(N('Dvd Calendar'!$X$842)&lt;=VAL_SERIAL)*1000000+76*1000+60))</f>
        <v/>
      </c>
      <c r="GM87" s="35">
        <f>IF(N('Dvd Calendar'!$Y$843)=0,"",IF(('Dvd Calendar'!$Y$843&gt;=GRID_FROM)*('Dvd Calendar'!$Y$843&lt;=GRID_TO)*('Dvd Calendar'!$Y$843&gt;VAL_DATE)=0,"",'Dvd Calendar'!$Y$843*1000000000+ISNUMBER('Dvd Calendar'!$Y$844)*100000000+0*10000000+(N('Dvd Calendar'!$Y$842)&gt;0)*(N('Dvd Calendar'!$Y$842)&lt;=VAL_SERIAL)*1000000+76*1000+61))</f>
        <v/>
      </c>
      <c r="GN87" s="35">
        <f>IF(N('Dvd Calendar'!$Z$843)=0,"",IF(('Dvd Calendar'!$Z$843&gt;=GRID_FROM)*('Dvd Calendar'!$Z$843&lt;=GRID_TO)*('Dvd Calendar'!$Z$843&gt;VAL_DATE)=0,"",'Dvd Calendar'!$Z$843*1000000000+ISNUMBER('Dvd Calendar'!$Z$844)*100000000+0*10000000+(N('Dvd Calendar'!$Z$842)&gt;0)*(N('Dvd Calendar'!$Z$842)&lt;=VAL_SERIAL)*1000000+76*1000+62))</f>
        <v/>
      </c>
      <c r="GO87" s="35">
        <f>IF(N('Dvd Calendar'!$AA$843)=0,"",IF(('Dvd Calendar'!$AA$843&gt;=GRID_FROM)*('Dvd Calendar'!$AA$843&lt;=GRID_TO)*('Dvd Calendar'!$AA$843&gt;VAL_DATE)=0,"",'Dvd Calendar'!$AA$843*1000000000+ISNUMBER('Dvd Calendar'!$AA$844)*100000000+0*10000000+(N('Dvd Calendar'!$AA$842)&gt;0)*(N('Dvd Calendar'!$AA$842)&lt;=VAL_SERIAL)*1000000+76*1000+63))</f>
        <v/>
      </c>
      <c r="GP87" s="35">
        <f>IF(N('Dvd Calendar'!$AB$843)=0,"",IF(('Dvd Calendar'!$AB$843&gt;=GRID_FROM)*('Dvd Calendar'!$AB$843&lt;=GRID_TO)*('Dvd Calendar'!$AB$843&gt;VAL_DATE)=0,"",'Dvd Calendar'!$AB$843*1000000000+ISNUMBER('Dvd Calendar'!$AB$844)*100000000+0*10000000+(N('Dvd Calendar'!$AB$842)&gt;0)*(N('Dvd Calendar'!$AB$842)&lt;=VAL_SERIAL)*1000000+76*1000+64))</f>
        <v/>
      </c>
      <c r="GQ87" s="35">
        <f>IF(N('Dvd Calendar'!$AC$843)=0,"",IF(('Dvd Calendar'!$AC$843&gt;=GRID_FROM)*('Dvd Calendar'!$AC$843&lt;=GRID_TO)*('Dvd Calendar'!$AC$843&gt;VAL_DATE)=0,"",'Dvd Calendar'!$AC$843*1000000000+ISNUMBER('Dvd Calendar'!$AC$844)*100000000+0*10000000+(N('Dvd Calendar'!$AC$842)&gt;0)*(N('Dvd Calendar'!$AC$842)&lt;=VAL_SERIAL)*1000000+76*1000+65))</f>
        <v/>
      </c>
    </row>
    <row r="88">
      <c r="B88" s="2">
        <f>IF(HSI!$C$83="","",HSI!$C$83)</f>
        <v/>
      </c>
      <c r="C88" s="106">
        <f>IF(EE88="","",IF(ISNUMBER('Dvd Calendar'!$E$850)=FALSE,"",IF((('Dvd Calendar'!$E$852=TYPE1)*(TYPE1&lt;&gt;"")+('Dvd Calendar'!$E$852=TYPE2)*(TYPE2&lt;&gt;"")+('Dvd Calendar'!$E$852=TYPE3)*(TYPE3&lt;&gt;"")+('Dvd Calendar'!$E$852=TYPE4)*(TYPE4&lt;&gt;"")+('Dvd Calendar'!$E$852=SPECIAL_LBL)*(INC_SPECIALS="Y"))=0,"",'Dvd Calendar'!$E$850)))</f>
        <v/>
      </c>
      <c r="D88" s="106">
        <f>IF(EF88="","",IF(ISNUMBER('Dvd Calendar'!$F$850)=FALSE,"",IF((('Dvd Calendar'!$F$852=TYPE1)*(TYPE1&lt;&gt;"")+('Dvd Calendar'!$F$852=TYPE2)*(TYPE2&lt;&gt;"")+('Dvd Calendar'!$F$852=TYPE3)*(TYPE3&lt;&gt;"")+('Dvd Calendar'!$F$852=TYPE4)*(TYPE4&lt;&gt;"")+('Dvd Calendar'!$F$852=SPECIAL_LBL)*(INC_SPECIALS="Y"))=0,"",'Dvd Calendar'!$F$850)))</f>
        <v/>
      </c>
      <c r="E88" s="106">
        <f>IF(EG88="","",IF(ISNUMBER('Dvd Calendar'!$G$850)=FALSE,"",IF((('Dvd Calendar'!$G$852=TYPE1)*(TYPE1&lt;&gt;"")+('Dvd Calendar'!$G$852=TYPE2)*(TYPE2&lt;&gt;"")+('Dvd Calendar'!$G$852=TYPE3)*(TYPE3&lt;&gt;"")+('Dvd Calendar'!$G$852=TYPE4)*(TYPE4&lt;&gt;"")+('Dvd Calendar'!$G$852=SPECIAL_LBL)*(INC_SPECIALS="Y"))=0,"",'Dvd Calendar'!$G$850)))</f>
        <v/>
      </c>
      <c r="F88" s="106">
        <f>IF(EH88="","",IF(ISNUMBER('Dvd Calendar'!$H$850)=FALSE,"",IF((('Dvd Calendar'!$H$852=TYPE1)*(TYPE1&lt;&gt;"")+('Dvd Calendar'!$H$852=TYPE2)*(TYPE2&lt;&gt;"")+('Dvd Calendar'!$H$852=TYPE3)*(TYPE3&lt;&gt;"")+('Dvd Calendar'!$H$852=TYPE4)*(TYPE4&lt;&gt;"")+('Dvd Calendar'!$H$852=SPECIAL_LBL)*(INC_SPECIALS="Y"))=0,"",'Dvd Calendar'!$H$850)))</f>
        <v/>
      </c>
      <c r="G88" s="106">
        <f>IF(EI88="","",IF(ISNUMBER('Dvd Calendar'!$I$850)=FALSE,"",IF((('Dvd Calendar'!$I$852=TYPE1)*(TYPE1&lt;&gt;"")+('Dvd Calendar'!$I$852=TYPE2)*(TYPE2&lt;&gt;"")+('Dvd Calendar'!$I$852=TYPE3)*(TYPE3&lt;&gt;"")+('Dvd Calendar'!$I$852=TYPE4)*(TYPE4&lt;&gt;"")+('Dvd Calendar'!$I$852=SPECIAL_LBL)*(INC_SPECIALS="Y"))=0,"",'Dvd Calendar'!$I$850)))</f>
        <v/>
      </c>
      <c r="H88" s="106">
        <f>IF(EJ88="","",IF(ISNUMBER('Dvd Calendar'!$J$850)=FALSE,"",IF((('Dvd Calendar'!$J$852=TYPE1)*(TYPE1&lt;&gt;"")+('Dvd Calendar'!$J$852=TYPE2)*(TYPE2&lt;&gt;"")+('Dvd Calendar'!$J$852=TYPE3)*(TYPE3&lt;&gt;"")+('Dvd Calendar'!$J$852=TYPE4)*(TYPE4&lt;&gt;"")+('Dvd Calendar'!$J$852=SPECIAL_LBL)*(INC_SPECIALS="Y"))=0,"",'Dvd Calendar'!$J$850)))</f>
        <v/>
      </c>
      <c r="I88" s="106">
        <f>IF(EK88="","",IF(ISNUMBER('Dvd Calendar'!$K$850)=FALSE,"",IF((('Dvd Calendar'!$K$852=TYPE1)*(TYPE1&lt;&gt;"")+('Dvd Calendar'!$K$852=TYPE2)*(TYPE2&lt;&gt;"")+('Dvd Calendar'!$K$852=TYPE3)*(TYPE3&lt;&gt;"")+('Dvd Calendar'!$K$852=TYPE4)*(TYPE4&lt;&gt;"")+('Dvd Calendar'!$K$852=SPECIAL_LBL)*(INC_SPECIALS="Y"))=0,"",'Dvd Calendar'!$K$850)))</f>
        <v/>
      </c>
      <c r="J88" s="106">
        <f>IF(EL88="","",IF(ISNUMBER('Dvd Calendar'!$L$850)=FALSE,"",IF((('Dvd Calendar'!$L$852=TYPE1)*(TYPE1&lt;&gt;"")+('Dvd Calendar'!$L$852=TYPE2)*(TYPE2&lt;&gt;"")+('Dvd Calendar'!$L$852=TYPE3)*(TYPE3&lt;&gt;"")+('Dvd Calendar'!$L$852=TYPE4)*(TYPE4&lt;&gt;"")+('Dvd Calendar'!$L$852=SPECIAL_LBL)*(INC_SPECIALS="Y"))=0,"",'Dvd Calendar'!$L$850)))</f>
        <v/>
      </c>
      <c r="K88" s="106">
        <f>IF(EM88="","",IF(ISNUMBER('Dvd Calendar'!$M$850)=FALSE,"",IF((('Dvd Calendar'!$M$852=TYPE1)*(TYPE1&lt;&gt;"")+('Dvd Calendar'!$M$852=TYPE2)*(TYPE2&lt;&gt;"")+('Dvd Calendar'!$M$852=TYPE3)*(TYPE3&lt;&gt;"")+('Dvd Calendar'!$M$852=TYPE4)*(TYPE4&lt;&gt;"")+('Dvd Calendar'!$M$852=SPECIAL_LBL)*(INC_SPECIALS="Y"))=0,"",'Dvd Calendar'!$M$850)))</f>
        <v/>
      </c>
      <c r="L88" s="106">
        <f>IF(EN88="","",IF(ISNUMBER('Dvd Calendar'!$N$850)=FALSE,"",IF((('Dvd Calendar'!$N$852=TYPE1)*(TYPE1&lt;&gt;"")+('Dvd Calendar'!$N$852=TYPE2)*(TYPE2&lt;&gt;"")+('Dvd Calendar'!$N$852=TYPE3)*(TYPE3&lt;&gt;"")+('Dvd Calendar'!$N$852=TYPE4)*(TYPE4&lt;&gt;"")+('Dvd Calendar'!$N$852=SPECIAL_LBL)*(INC_SPECIALS="Y"))=0,"",'Dvd Calendar'!$N$850)))</f>
        <v/>
      </c>
      <c r="M88" s="106">
        <f>IF(EO88="","",IF(ISNUMBER('Dvd Calendar'!$O$850)=FALSE,"",IF((('Dvd Calendar'!$O$852=TYPE1)*(TYPE1&lt;&gt;"")+('Dvd Calendar'!$O$852=TYPE2)*(TYPE2&lt;&gt;"")+('Dvd Calendar'!$O$852=TYPE3)*(TYPE3&lt;&gt;"")+('Dvd Calendar'!$O$852=TYPE4)*(TYPE4&lt;&gt;"")+('Dvd Calendar'!$O$852=SPECIAL_LBL)*(INC_SPECIALS="Y"))=0,"",'Dvd Calendar'!$O$850)))</f>
        <v/>
      </c>
      <c r="N88" s="106">
        <f>IF(EP88="","",IF(ISNUMBER('Dvd Calendar'!$P$850)=FALSE,"",IF((('Dvd Calendar'!$P$852=TYPE1)*(TYPE1&lt;&gt;"")+('Dvd Calendar'!$P$852=TYPE2)*(TYPE2&lt;&gt;"")+('Dvd Calendar'!$P$852=TYPE3)*(TYPE3&lt;&gt;"")+('Dvd Calendar'!$P$852=TYPE4)*(TYPE4&lt;&gt;"")+('Dvd Calendar'!$P$852=SPECIAL_LBL)*(INC_SPECIALS="Y"))=0,"",'Dvd Calendar'!$P$850)))</f>
        <v/>
      </c>
      <c r="O88" s="106">
        <f>IF(EQ88="","",IF(ISNUMBER('Dvd Calendar'!$Q$850)=FALSE,"",IF((('Dvd Calendar'!$Q$852=TYPE1)*(TYPE1&lt;&gt;"")+('Dvd Calendar'!$Q$852=TYPE2)*(TYPE2&lt;&gt;"")+('Dvd Calendar'!$Q$852=TYPE3)*(TYPE3&lt;&gt;"")+('Dvd Calendar'!$Q$852=TYPE4)*(TYPE4&lt;&gt;"")+('Dvd Calendar'!$Q$852=SPECIAL_LBL)*(INC_SPECIALS="Y"))=0,"",'Dvd Calendar'!$Q$850)))</f>
        <v/>
      </c>
      <c r="P88" s="106">
        <f>IF(ER88="","",IF(ISNUMBER('Dvd Calendar'!$R$850)=FALSE,"",IF((('Dvd Calendar'!$R$852=TYPE1)*(TYPE1&lt;&gt;"")+('Dvd Calendar'!$R$852=TYPE2)*(TYPE2&lt;&gt;"")+('Dvd Calendar'!$R$852=TYPE3)*(TYPE3&lt;&gt;"")+('Dvd Calendar'!$R$852=TYPE4)*(TYPE4&lt;&gt;"")+('Dvd Calendar'!$R$852=SPECIAL_LBL)*(INC_SPECIALS="Y"))=0,"",'Dvd Calendar'!$R$850)))</f>
        <v/>
      </c>
      <c r="Q88" s="106">
        <f>IF(ES88="","",IF(ISNUMBER('Dvd Calendar'!$S$850)=FALSE,"",IF((('Dvd Calendar'!$S$852=TYPE1)*(TYPE1&lt;&gt;"")+('Dvd Calendar'!$S$852=TYPE2)*(TYPE2&lt;&gt;"")+('Dvd Calendar'!$S$852=TYPE3)*(TYPE3&lt;&gt;"")+('Dvd Calendar'!$S$852=TYPE4)*(TYPE4&lt;&gt;"")+('Dvd Calendar'!$S$852=SPECIAL_LBL)*(INC_SPECIALS="Y"))=0,"",'Dvd Calendar'!$S$850)))</f>
        <v/>
      </c>
      <c r="R88" s="106">
        <f>IF(ET88="","",IF(ISNUMBER('Dvd Calendar'!$T$850)=FALSE,"",IF((('Dvd Calendar'!$T$852=TYPE1)*(TYPE1&lt;&gt;"")+('Dvd Calendar'!$T$852=TYPE2)*(TYPE2&lt;&gt;"")+('Dvd Calendar'!$T$852=TYPE3)*(TYPE3&lt;&gt;"")+('Dvd Calendar'!$T$852=TYPE4)*(TYPE4&lt;&gt;"")+('Dvd Calendar'!$T$852=SPECIAL_LBL)*(INC_SPECIALS="Y"))=0,"",'Dvd Calendar'!$T$850)))</f>
        <v/>
      </c>
      <c r="S88" s="106">
        <f>IF(EU88="","",IF(ISNUMBER('Dvd Calendar'!$U$850)=FALSE,"",IF((('Dvd Calendar'!$U$852=TYPE1)*(TYPE1&lt;&gt;"")+('Dvd Calendar'!$U$852=TYPE2)*(TYPE2&lt;&gt;"")+('Dvd Calendar'!$U$852=TYPE3)*(TYPE3&lt;&gt;"")+('Dvd Calendar'!$U$852=TYPE4)*(TYPE4&lt;&gt;"")+('Dvd Calendar'!$U$852=SPECIAL_LBL)*(INC_SPECIALS="Y"))=0,"",'Dvd Calendar'!$U$850)))</f>
        <v/>
      </c>
      <c r="T88" s="106">
        <f>IF(EV88="","",IF(ISNUMBER('Dvd Calendar'!$V$850)=FALSE,"",IF((('Dvd Calendar'!$V$852=TYPE1)*(TYPE1&lt;&gt;"")+('Dvd Calendar'!$V$852=TYPE2)*(TYPE2&lt;&gt;"")+('Dvd Calendar'!$V$852=TYPE3)*(TYPE3&lt;&gt;"")+('Dvd Calendar'!$V$852=TYPE4)*(TYPE4&lt;&gt;"")+('Dvd Calendar'!$V$852=SPECIAL_LBL)*(INC_SPECIALS="Y"))=0,"",'Dvd Calendar'!$V$850)))</f>
        <v/>
      </c>
      <c r="U88" s="106">
        <f>IF(EW88="","",IF(ISNUMBER('Dvd Calendar'!$W$850)=FALSE,"",IF((('Dvd Calendar'!$W$852=TYPE1)*(TYPE1&lt;&gt;"")+('Dvd Calendar'!$W$852=TYPE2)*(TYPE2&lt;&gt;"")+('Dvd Calendar'!$W$852=TYPE3)*(TYPE3&lt;&gt;"")+('Dvd Calendar'!$W$852=TYPE4)*(TYPE4&lt;&gt;"")+('Dvd Calendar'!$W$852=SPECIAL_LBL)*(INC_SPECIALS="Y"))=0,"",'Dvd Calendar'!$W$850)))</f>
        <v/>
      </c>
      <c r="V88" s="106">
        <f>IF(EX88="","",IF(ISNUMBER('Dvd Calendar'!$X$850)=FALSE,"",IF((('Dvd Calendar'!$X$852=TYPE1)*(TYPE1&lt;&gt;"")+('Dvd Calendar'!$X$852=TYPE2)*(TYPE2&lt;&gt;"")+('Dvd Calendar'!$X$852=TYPE3)*(TYPE3&lt;&gt;"")+('Dvd Calendar'!$X$852=TYPE4)*(TYPE4&lt;&gt;"")+('Dvd Calendar'!$X$852=SPECIAL_LBL)*(INC_SPECIALS="Y"))=0,"",'Dvd Calendar'!$X$850)))</f>
        <v/>
      </c>
      <c r="W88" s="106">
        <f>IF(EY88="","",IF(ISNUMBER('Dvd Calendar'!$Y$850)=FALSE,"",IF((('Dvd Calendar'!$Y$852=TYPE1)*(TYPE1&lt;&gt;"")+('Dvd Calendar'!$Y$852=TYPE2)*(TYPE2&lt;&gt;"")+('Dvd Calendar'!$Y$852=TYPE3)*(TYPE3&lt;&gt;"")+('Dvd Calendar'!$Y$852=TYPE4)*(TYPE4&lt;&gt;"")+('Dvd Calendar'!$Y$852=SPECIAL_LBL)*(INC_SPECIALS="Y"))=0,"",'Dvd Calendar'!$Y$850)))</f>
        <v/>
      </c>
      <c r="X88" s="106">
        <f>IF(EZ88="","",IF(ISNUMBER('Dvd Calendar'!$Z$850)=FALSE,"",IF((('Dvd Calendar'!$Z$852=TYPE1)*(TYPE1&lt;&gt;"")+('Dvd Calendar'!$Z$852=TYPE2)*(TYPE2&lt;&gt;"")+('Dvd Calendar'!$Z$852=TYPE3)*(TYPE3&lt;&gt;"")+('Dvd Calendar'!$Z$852=TYPE4)*(TYPE4&lt;&gt;"")+('Dvd Calendar'!$Z$852=SPECIAL_LBL)*(INC_SPECIALS="Y"))=0,"",'Dvd Calendar'!$Z$850)))</f>
        <v/>
      </c>
      <c r="Y88" s="106">
        <f>IF(FA88="","",IF(ISNUMBER('Dvd Calendar'!$AA$850)=FALSE,"",IF((('Dvd Calendar'!$AA$852=TYPE1)*(TYPE1&lt;&gt;"")+('Dvd Calendar'!$AA$852=TYPE2)*(TYPE2&lt;&gt;"")+('Dvd Calendar'!$AA$852=TYPE3)*(TYPE3&lt;&gt;"")+('Dvd Calendar'!$AA$852=TYPE4)*(TYPE4&lt;&gt;"")+('Dvd Calendar'!$AA$852=SPECIAL_LBL)*(INC_SPECIALS="Y"))=0,"",'Dvd Calendar'!$AA$850)))</f>
        <v/>
      </c>
      <c r="Z88" s="106">
        <f>IF(FB88="","",IF(ISNUMBER('Dvd Calendar'!$AB$850)=FALSE,"",IF((('Dvd Calendar'!$AB$852=TYPE1)*(TYPE1&lt;&gt;"")+('Dvd Calendar'!$AB$852=TYPE2)*(TYPE2&lt;&gt;"")+('Dvd Calendar'!$AB$852=TYPE3)*(TYPE3&lt;&gt;"")+('Dvd Calendar'!$AB$852=TYPE4)*(TYPE4&lt;&gt;"")+('Dvd Calendar'!$AB$852=SPECIAL_LBL)*(INC_SPECIALS="Y"))=0,"",'Dvd Calendar'!$AB$850)))</f>
        <v/>
      </c>
      <c r="AA88" s="106">
        <f>IF(FC88="","",IF(ISNUMBER('Dvd Calendar'!$AC$850)=FALSE,"",IF((('Dvd Calendar'!$AC$852=TYPE1)*(TYPE1&lt;&gt;"")+('Dvd Calendar'!$AC$852=TYPE2)*(TYPE2&lt;&gt;"")+('Dvd Calendar'!$AC$852=TYPE3)*(TYPE3&lt;&gt;"")+('Dvd Calendar'!$AC$852=TYPE4)*(TYPE4&lt;&gt;"")+('Dvd Calendar'!$AC$852=SPECIAL_LBL)*(INC_SPECIALS="Y"))=0,"",'Dvd Calendar'!$AC$850)))</f>
        <v/>
      </c>
      <c r="AB88" s="106">
        <f>IF(FD88="","",IF(ISNUMBER('Dvd Calendar'!$AD$850)=FALSE,"",IF((('Dvd Calendar'!$AD$852=TYPE1)*(TYPE1&lt;&gt;"")+('Dvd Calendar'!$AD$852=TYPE2)*(TYPE2&lt;&gt;"")+('Dvd Calendar'!$AD$852=TYPE3)*(TYPE3&lt;&gt;"")+('Dvd Calendar'!$AD$852=TYPE4)*(TYPE4&lt;&gt;"")+('Dvd Calendar'!$AD$852=SPECIAL_LBL)*(INC_SPECIALS="Y"))=0,"",'Dvd Calendar'!$AD$850)))</f>
        <v/>
      </c>
      <c r="AC88" s="106">
        <f>IF(FE88="","",IF(ISNUMBER('Dvd Calendar'!$AE$850)=FALSE,"",IF((('Dvd Calendar'!$AE$852=TYPE1)*(TYPE1&lt;&gt;"")+('Dvd Calendar'!$AE$852=TYPE2)*(TYPE2&lt;&gt;"")+('Dvd Calendar'!$AE$852=TYPE3)*(TYPE3&lt;&gt;"")+('Dvd Calendar'!$AE$852=TYPE4)*(TYPE4&lt;&gt;"")+('Dvd Calendar'!$AE$852=SPECIAL_LBL)*(INC_SPECIALS="Y"))=0,"",'Dvd Calendar'!$AE$850)))</f>
        <v/>
      </c>
      <c r="AD88" s="106">
        <f>IF(FF88="","",IF(ISNUMBER('Dvd Calendar'!$AF$850)=FALSE,"",IF((('Dvd Calendar'!$AF$852=TYPE1)*(TYPE1&lt;&gt;"")+('Dvd Calendar'!$AF$852=TYPE2)*(TYPE2&lt;&gt;"")+('Dvd Calendar'!$AF$852=TYPE3)*(TYPE3&lt;&gt;"")+('Dvd Calendar'!$AF$852=TYPE4)*(TYPE4&lt;&gt;"")+('Dvd Calendar'!$AF$852=SPECIAL_LBL)*(INC_SPECIALS="Y"))=0,"",'Dvd Calendar'!$AF$850)))</f>
        <v/>
      </c>
      <c r="AE88" s="106">
        <f>IF(FG88="","",IF(ISNUMBER('Dvd Calendar'!$AG$850)=FALSE,"",IF((('Dvd Calendar'!$AG$852=TYPE1)*(TYPE1&lt;&gt;"")+('Dvd Calendar'!$AG$852=TYPE2)*(TYPE2&lt;&gt;"")+('Dvd Calendar'!$AG$852=TYPE3)*(TYPE3&lt;&gt;"")+('Dvd Calendar'!$AG$852=TYPE4)*(TYPE4&lt;&gt;"")+('Dvd Calendar'!$AG$852=SPECIAL_LBL)*(INC_SPECIALS="Y"))=0,"",'Dvd Calendar'!$AG$850)))</f>
        <v/>
      </c>
      <c r="AF88" s="106">
        <f>IF(FH88="","",IF(ISNUMBER('Dvd Calendar'!$AH$850)=FALSE,"",IF((('Dvd Calendar'!$AH$852=TYPE1)*(TYPE1&lt;&gt;"")+('Dvd Calendar'!$AH$852=TYPE2)*(TYPE2&lt;&gt;"")+('Dvd Calendar'!$AH$852=TYPE3)*(TYPE3&lt;&gt;"")+('Dvd Calendar'!$AH$852=TYPE4)*(TYPE4&lt;&gt;"")+('Dvd Calendar'!$AH$852=SPECIAL_LBL)*(INC_SPECIALS="Y"))=0,"",'Dvd Calendar'!$AH$850)))</f>
        <v/>
      </c>
      <c r="AG88" s="106">
        <f>IF(FI88="","",IF(ISNUMBER('Dvd Calendar'!$AI$850)=FALSE,"",IF((('Dvd Calendar'!$AI$852=TYPE1)*(TYPE1&lt;&gt;"")+('Dvd Calendar'!$AI$852=TYPE2)*(TYPE2&lt;&gt;"")+('Dvd Calendar'!$AI$852=TYPE3)*(TYPE3&lt;&gt;"")+('Dvd Calendar'!$AI$852=TYPE4)*(TYPE4&lt;&gt;"")+('Dvd Calendar'!$AI$852=SPECIAL_LBL)*(INC_SPECIALS="Y"))=0,"",'Dvd Calendar'!$AI$850)))</f>
        <v/>
      </c>
      <c r="AH88" s="106">
        <f>IF(FJ88="","",IF(ISNUMBER('Dvd Calendar'!$AJ$850)=FALSE,"",IF((('Dvd Calendar'!$AJ$852=TYPE1)*(TYPE1&lt;&gt;"")+('Dvd Calendar'!$AJ$852=TYPE2)*(TYPE2&lt;&gt;"")+('Dvd Calendar'!$AJ$852=TYPE3)*(TYPE3&lt;&gt;"")+('Dvd Calendar'!$AJ$852=TYPE4)*(TYPE4&lt;&gt;"")+('Dvd Calendar'!$AJ$852=SPECIAL_LBL)*(INC_SPECIALS="Y"))=0,"",'Dvd Calendar'!$AJ$850)))</f>
        <v/>
      </c>
      <c r="AI88" s="106">
        <f>IF(FK88="","",IF(ISNUMBER('Dvd Calendar'!$AK$850)=FALSE,"",IF((('Dvd Calendar'!$AK$852=TYPE1)*(TYPE1&lt;&gt;"")+('Dvd Calendar'!$AK$852=TYPE2)*(TYPE2&lt;&gt;"")+('Dvd Calendar'!$AK$852=TYPE3)*(TYPE3&lt;&gt;"")+('Dvd Calendar'!$AK$852=TYPE4)*(TYPE4&lt;&gt;"")+('Dvd Calendar'!$AK$852=SPECIAL_LBL)*(INC_SPECIALS="Y"))=0,"",'Dvd Calendar'!$AK$850)))</f>
        <v/>
      </c>
      <c r="AJ88" s="106">
        <f>IF(FL88="","",IF(ISNUMBER('Dvd Calendar'!$AL$850)=FALSE,"",IF((('Dvd Calendar'!$AL$852=TYPE1)*(TYPE1&lt;&gt;"")+('Dvd Calendar'!$AL$852=TYPE2)*(TYPE2&lt;&gt;"")+('Dvd Calendar'!$AL$852=TYPE3)*(TYPE3&lt;&gt;"")+('Dvd Calendar'!$AL$852=TYPE4)*(TYPE4&lt;&gt;"")+('Dvd Calendar'!$AL$852=SPECIAL_LBL)*(INC_SPECIALS="Y"))=0,"",'Dvd Calendar'!$AL$850)))</f>
        <v/>
      </c>
      <c r="AK88" s="106">
        <f>IF(FM88="","",IF(ISNUMBER('Dvd Calendar'!$AM$850)=FALSE,"",IF((('Dvd Calendar'!$AM$852=TYPE1)*(TYPE1&lt;&gt;"")+('Dvd Calendar'!$AM$852=TYPE2)*(TYPE2&lt;&gt;"")+('Dvd Calendar'!$AM$852=TYPE3)*(TYPE3&lt;&gt;"")+('Dvd Calendar'!$AM$852=TYPE4)*(TYPE4&lt;&gt;"")+('Dvd Calendar'!$AM$852=SPECIAL_LBL)*(INC_SPECIALS="Y"))=0,"",'Dvd Calendar'!$AM$850)))</f>
        <v/>
      </c>
      <c r="AL88" s="106">
        <f>IF(FN88="","",IF(ISNUMBER('Dvd Calendar'!$AN$850)=FALSE,"",IF((('Dvd Calendar'!$AN$852=TYPE1)*(TYPE1&lt;&gt;"")+('Dvd Calendar'!$AN$852=TYPE2)*(TYPE2&lt;&gt;"")+('Dvd Calendar'!$AN$852=TYPE3)*(TYPE3&lt;&gt;"")+('Dvd Calendar'!$AN$852=TYPE4)*(TYPE4&lt;&gt;"")+('Dvd Calendar'!$AN$852=SPECIAL_LBL)*(INC_SPECIALS="Y"))=0,"",'Dvd Calendar'!$AN$850)))</f>
        <v/>
      </c>
      <c r="AM88" s="106">
        <f>IF(FO88="","",IF(ISNUMBER('Dvd Calendar'!$AO$850)=FALSE,"",IF((('Dvd Calendar'!$AO$852=TYPE1)*(TYPE1&lt;&gt;"")+('Dvd Calendar'!$AO$852=TYPE2)*(TYPE2&lt;&gt;"")+('Dvd Calendar'!$AO$852=TYPE3)*(TYPE3&lt;&gt;"")+('Dvd Calendar'!$AO$852=TYPE4)*(TYPE4&lt;&gt;"")+('Dvd Calendar'!$AO$852=SPECIAL_LBL)*(INC_SPECIALS="Y"))=0,"",'Dvd Calendar'!$AO$850)))</f>
        <v/>
      </c>
      <c r="AN88" s="106">
        <f>IF(FP88="","",IF(ISNUMBER('Dvd Calendar'!$AP$850)=FALSE,"",IF((('Dvd Calendar'!$AP$852=TYPE1)*(TYPE1&lt;&gt;"")+('Dvd Calendar'!$AP$852=TYPE2)*(TYPE2&lt;&gt;"")+('Dvd Calendar'!$AP$852=TYPE3)*(TYPE3&lt;&gt;"")+('Dvd Calendar'!$AP$852=TYPE4)*(TYPE4&lt;&gt;"")+('Dvd Calendar'!$AP$852=SPECIAL_LBL)*(INC_SPECIALS="Y"))=0,"",'Dvd Calendar'!$AP$850)))</f>
        <v/>
      </c>
      <c r="AO88" s="106">
        <f>IF(FQ88="","",IF(ISNUMBER('Dvd Calendar'!$AQ$850)=FALSE,"",IF((('Dvd Calendar'!$AQ$852=TYPE1)*(TYPE1&lt;&gt;"")+('Dvd Calendar'!$AQ$852=TYPE2)*(TYPE2&lt;&gt;"")+('Dvd Calendar'!$AQ$852=TYPE3)*(TYPE3&lt;&gt;"")+('Dvd Calendar'!$AQ$852=TYPE4)*(TYPE4&lt;&gt;"")+('Dvd Calendar'!$AQ$852=SPECIAL_LBL)*(INC_SPECIALS="Y"))=0,"",'Dvd Calendar'!$AQ$850)))</f>
        <v/>
      </c>
      <c r="AP88" s="106">
        <f>IF(FR88="","",IF(ISNUMBER('Dvd Calendar'!$AR$850)=FALSE,"",IF((('Dvd Calendar'!$AR$852=TYPE1)*(TYPE1&lt;&gt;"")+('Dvd Calendar'!$AR$852=TYPE2)*(TYPE2&lt;&gt;"")+('Dvd Calendar'!$AR$852=TYPE3)*(TYPE3&lt;&gt;"")+('Dvd Calendar'!$AR$852=TYPE4)*(TYPE4&lt;&gt;"")+('Dvd Calendar'!$AR$852=SPECIAL_LBL)*(INC_SPECIALS="Y"))=0,"",'Dvd Calendar'!$AR$850)))</f>
        <v/>
      </c>
      <c r="AQ88" s="106">
        <f>IF(FS88="","",IF(ISNUMBER('Dvd Calendar'!$E$855)=FALSE,"",'Dvd Calendar'!$E$855))</f>
        <v/>
      </c>
      <c r="AR88" s="106">
        <f>IF(FT88="","",IF(ISNUMBER('Dvd Calendar'!$F$855)=FALSE,"",'Dvd Calendar'!$F$855))</f>
        <v/>
      </c>
      <c r="AS88" s="106">
        <f>IF(FU88="","",IF(ISNUMBER('Dvd Calendar'!$G$855)=FALSE,"",'Dvd Calendar'!$G$855))</f>
        <v/>
      </c>
      <c r="AT88" s="106">
        <f>IF(FV88="","",IF(ISNUMBER('Dvd Calendar'!$H$855)=FALSE,"",'Dvd Calendar'!$H$855))</f>
        <v/>
      </c>
      <c r="AU88" s="106">
        <f>IF(FW88="","",IF(ISNUMBER('Dvd Calendar'!$I$855)=FALSE,"",'Dvd Calendar'!$I$855))</f>
        <v/>
      </c>
      <c r="AV88" s="106">
        <f>IF(FX88="","",IF(ISNUMBER('Dvd Calendar'!$J$855)=FALSE,"",'Dvd Calendar'!$J$855))</f>
        <v/>
      </c>
      <c r="AW88" s="106">
        <f>IF(FY88="","",IF(ISNUMBER('Dvd Calendar'!$K$855)=FALSE,"",'Dvd Calendar'!$K$855))</f>
        <v/>
      </c>
      <c r="AX88" s="106">
        <f>IF(FZ88="","",IF(ISNUMBER('Dvd Calendar'!$L$855)=FALSE,"",'Dvd Calendar'!$L$855))</f>
        <v/>
      </c>
      <c r="AY88" s="106">
        <f>IF(GA88="","",IF(ISNUMBER('Dvd Calendar'!$M$855)=FALSE,"",'Dvd Calendar'!$M$855))</f>
        <v/>
      </c>
      <c r="AZ88" s="106">
        <f>IF(GB88="","",IF(ISNUMBER('Dvd Calendar'!$N$855)=FALSE,"",'Dvd Calendar'!$N$855))</f>
        <v/>
      </c>
      <c r="BA88" s="106">
        <f>IF(GC88="","",IF(ISNUMBER('Dvd Calendar'!$O$855)=FALSE,"",'Dvd Calendar'!$O$855))</f>
        <v/>
      </c>
      <c r="BB88" s="106">
        <f>IF(GD88="","",IF(ISNUMBER('Dvd Calendar'!$P$855)=FALSE,"",'Dvd Calendar'!$P$855))</f>
        <v/>
      </c>
      <c r="BC88" s="106">
        <f>IF(GE88="","",IF(ISNUMBER('Dvd Calendar'!$Q$855)=FALSE,"",'Dvd Calendar'!$Q$855))</f>
        <v/>
      </c>
      <c r="BD88" s="106">
        <f>IF(GF88="","",IF(ISNUMBER('Dvd Calendar'!$R$855)=FALSE,"",'Dvd Calendar'!$R$855))</f>
        <v/>
      </c>
      <c r="BE88" s="106">
        <f>IF(GG88="","",IF(ISNUMBER('Dvd Calendar'!$S$855)=FALSE,"",'Dvd Calendar'!$S$855))</f>
        <v/>
      </c>
      <c r="BF88" s="106">
        <f>IF(GH88="","",IF(ISNUMBER('Dvd Calendar'!$T$855)=FALSE,"",'Dvd Calendar'!$T$855))</f>
        <v/>
      </c>
      <c r="BG88" s="106">
        <f>IF(GI88="","",IF(ISNUMBER('Dvd Calendar'!$U$855)=FALSE,"",'Dvd Calendar'!$U$855))</f>
        <v/>
      </c>
      <c r="BH88" s="106">
        <f>IF(GJ88="","",IF(ISNUMBER('Dvd Calendar'!$V$855)=FALSE,"",'Dvd Calendar'!$V$855))</f>
        <v/>
      </c>
      <c r="BI88" s="106">
        <f>IF(GK88="","",IF(ISNUMBER('Dvd Calendar'!$W$855)=FALSE,"",'Dvd Calendar'!$W$855))</f>
        <v/>
      </c>
      <c r="BJ88" s="106">
        <f>IF(GL88="","",IF(ISNUMBER('Dvd Calendar'!$X$855)=FALSE,"",'Dvd Calendar'!$X$855))</f>
        <v/>
      </c>
      <c r="BK88" s="106">
        <f>IF(GM88="","",IF(ISNUMBER('Dvd Calendar'!$Y$855)=FALSE,"",'Dvd Calendar'!$Y$855))</f>
        <v/>
      </c>
      <c r="BL88" s="106">
        <f>IF(GN88="","",IF(ISNUMBER('Dvd Calendar'!$Z$855)=FALSE,"",'Dvd Calendar'!$Z$855))</f>
        <v/>
      </c>
      <c r="BM88" s="106">
        <f>IF(GO88="","",IF(ISNUMBER('Dvd Calendar'!$AA$855)=FALSE,"",'Dvd Calendar'!$AA$855))</f>
        <v/>
      </c>
      <c r="BN88" s="106">
        <f>IF(GP88="","",IF(ISNUMBER('Dvd Calendar'!$AB$855)=FALSE,"",'Dvd Calendar'!$AB$855))</f>
        <v/>
      </c>
      <c r="BO88" s="106">
        <f>IF(GQ88="","",IF(ISNUMBER('Dvd Calendar'!$AC$855)=FALSE,"",'Dvd Calendar'!$AC$855))</f>
        <v/>
      </c>
      <c r="BQ88" s="106">
        <f>IF(C88="","",IFERROR(C88*HSI!$B$83*HSI!$G$83/HSI!$B$3,""))</f>
        <v/>
      </c>
      <c r="BR88" s="106">
        <f>IF(D88="","",IFERROR(D88*HSI!$B$83*HSI!$G$83/HSI!$B$3,""))</f>
        <v/>
      </c>
      <c r="BS88" s="106">
        <f>IF(E88="","",IFERROR(E88*HSI!$B$83*HSI!$G$83/HSI!$B$3,""))</f>
        <v/>
      </c>
      <c r="BT88" s="106">
        <f>IF(F88="","",IFERROR(F88*HSI!$B$83*HSI!$G$83/HSI!$B$3,""))</f>
        <v/>
      </c>
      <c r="BU88" s="106">
        <f>IF(G88="","",IFERROR(G88*HSI!$B$83*HSI!$G$83/HSI!$B$3,""))</f>
        <v/>
      </c>
      <c r="BV88" s="106">
        <f>IF(H88="","",IFERROR(H88*HSI!$B$83*HSI!$G$83/HSI!$B$3,""))</f>
        <v/>
      </c>
      <c r="BW88" s="106">
        <f>IF(I88="","",IFERROR(I88*HSI!$B$83*HSI!$G$83/HSI!$B$3,""))</f>
        <v/>
      </c>
      <c r="BX88" s="106">
        <f>IF(J88="","",IFERROR(J88*HSI!$B$83*HSI!$G$83/HSI!$B$3,""))</f>
        <v/>
      </c>
      <c r="BY88" s="106">
        <f>IF(K88="","",IFERROR(K88*HSI!$B$83*HSI!$G$83/HSI!$B$3,""))</f>
        <v/>
      </c>
      <c r="BZ88" s="106">
        <f>IF(L88="","",IFERROR(L88*HSI!$B$83*HSI!$G$83/HSI!$B$3,""))</f>
        <v/>
      </c>
      <c r="CA88" s="106">
        <f>IF(M88="","",IFERROR(M88*HSI!$B$83*HSI!$G$83/HSI!$B$3,""))</f>
        <v/>
      </c>
      <c r="CB88" s="106">
        <f>IF(N88="","",IFERROR(N88*HSI!$B$83*HSI!$G$83/HSI!$B$3,""))</f>
        <v/>
      </c>
      <c r="CC88" s="106">
        <f>IF(O88="","",IFERROR(O88*HSI!$B$83*HSI!$G$83/HSI!$B$3,""))</f>
        <v/>
      </c>
      <c r="CD88" s="106">
        <f>IF(P88="","",IFERROR(P88*HSI!$B$83*HSI!$G$83/HSI!$B$3,""))</f>
        <v/>
      </c>
      <c r="CE88" s="106">
        <f>IF(Q88="","",IFERROR(Q88*HSI!$B$83*HSI!$G$83/HSI!$B$3,""))</f>
        <v/>
      </c>
      <c r="CF88" s="106">
        <f>IF(R88="","",IFERROR(R88*HSI!$B$83*HSI!$G$83/HSI!$B$3,""))</f>
        <v/>
      </c>
      <c r="CG88" s="106">
        <f>IF(S88="","",IFERROR(S88*HSI!$B$83*HSI!$G$83/HSI!$B$3,""))</f>
        <v/>
      </c>
      <c r="CH88" s="106">
        <f>IF(T88="","",IFERROR(T88*HSI!$B$83*HSI!$G$83/HSI!$B$3,""))</f>
        <v/>
      </c>
      <c r="CI88" s="106">
        <f>IF(U88="","",IFERROR(U88*HSI!$B$83*HSI!$G$83/HSI!$B$3,""))</f>
        <v/>
      </c>
      <c r="CJ88" s="106">
        <f>IF(V88="","",IFERROR(V88*HSI!$B$83*HSI!$G$83/HSI!$B$3,""))</f>
        <v/>
      </c>
      <c r="CK88" s="106">
        <f>IF(W88="","",IFERROR(W88*HSI!$B$83*HSI!$G$83/HSI!$B$3,""))</f>
        <v/>
      </c>
      <c r="CL88" s="106">
        <f>IF(X88="","",IFERROR(X88*HSI!$B$83*HSI!$G$83/HSI!$B$3,""))</f>
        <v/>
      </c>
      <c r="CM88" s="106">
        <f>IF(Y88="","",IFERROR(Y88*HSI!$B$83*HSI!$G$83/HSI!$B$3,""))</f>
        <v/>
      </c>
      <c r="CN88" s="106">
        <f>IF(Z88="","",IFERROR(Z88*HSI!$B$83*HSI!$G$83/HSI!$B$3,""))</f>
        <v/>
      </c>
      <c r="CO88" s="106">
        <f>IF(AA88="","",IFERROR(AA88*HSI!$B$83*HSI!$G$83/HSI!$B$3,""))</f>
        <v/>
      </c>
      <c r="CP88" s="106">
        <f>IF(AB88="","",IFERROR(AB88*HSI!$B$83*HSI!$G$83/HSI!$B$3,""))</f>
        <v/>
      </c>
      <c r="CQ88" s="106">
        <f>IF(AC88="","",IFERROR(AC88*HSI!$B$83*HSI!$G$83/HSI!$B$3,""))</f>
        <v/>
      </c>
      <c r="CR88" s="106">
        <f>IF(AD88="","",IFERROR(AD88*HSI!$B$83*HSI!$G$83/HSI!$B$3,""))</f>
        <v/>
      </c>
      <c r="CS88" s="106">
        <f>IF(AE88="","",IFERROR(AE88*HSI!$B$83*HSI!$G$83/HSI!$B$3,""))</f>
        <v/>
      </c>
      <c r="CT88" s="106">
        <f>IF(AF88="","",IFERROR(AF88*HSI!$B$83*HSI!$G$83/HSI!$B$3,""))</f>
        <v/>
      </c>
      <c r="CU88" s="106">
        <f>IF(AG88="","",IFERROR(AG88*HSI!$B$83*HSI!$G$83/HSI!$B$3,""))</f>
        <v/>
      </c>
      <c r="CV88" s="106">
        <f>IF(AH88="","",IFERROR(AH88*HSI!$B$83*HSI!$G$83/HSI!$B$3,""))</f>
        <v/>
      </c>
      <c r="CW88" s="106">
        <f>IF(AI88="","",IFERROR(AI88*HSI!$B$83*HSI!$G$83/HSI!$B$3,""))</f>
        <v/>
      </c>
      <c r="CX88" s="106">
        <f>IF(AJ88="","",IFERROR(AJ88*HSI!$B$83*HSI!$G$83/HSI!$B$3,""))</f>
        <v/>
      </c>
      <c r="CY88" s="106">
        <f>IF(AK88="","",IFERROR(AK88*HSI!$B$83*HSI!$G$83/HSI!$B$3,""))</f>
        <v/>
      </c>
      <c r="CZ88" s="106">
        <f>IF(AL88="","",IFERROR(AL88*HSI!$B$83*HSI!$G$83/HSI!$B$3,""))</f>
        <v/>
      </c>
      <c r="DA88" s="106">
        <f>IF(AM88="","",IFERROR(AM88*HSI!$B$83*HSI!$G$83/HSI!$B$3,""))</f>
        <v/>
      </c>
      <c r="DB88" s="106">
        <f>IF(AN88="","",IFERROR(AN88*HSI!$B$83*HSI!$G$83/HSI!$B$3,""))</f>
        <v/>
      </c>
      <c r="DC88" s="106">
        <f>IF(AO88="","",IFERROR(AO88*HSI!$B$83*HSI!$G$83/HSI!$B$3,""))</f>
        <v/>
      </c>
      <c r="DD88" s="106">
        <f>IF(AP88="","",IFERROR(AP88*HSI!$B$83*HSI!$G$83/HSI!$B$3,""))</f>
        <v/>
      </c>
      <c r="DE88" s="106">
        <f>IF(AQ88="","",IFERROR(AQ88*HSI!$B$83*HSI!$G$83/HSI!$B$3,""))</f>
        <v/>
      </c>
      <c r="DF88" s="106">
        <f>IF(AR88="","",IFERROR(AR88*HSI!$B$83*HSI!$G$83/HSI!$B$3,""))</f>
        <v/>
      </c>
      <c r="DG88" s="106">
        <f>IF(AS88="","",IFERROR(AS88*HSI!$B$83*HSI!$G$83/HSI!$B$3,""))</f>
        <v/>
      </c>
      <c r="DH88" s="106">
        <f>IF(AT88="","",IFERROR(AT88*HSI!$B$83*HSI!$G$83/HSI!$B$3,""))</f>
        <v/>
      </c>
      <c r="DI88" s="106">
        <f>IF(AU88="","",IFERROR(AU88*HSI!$B$83*HSI!$G$83/HSI!$B$3,""))</f>
        <v/>
      </c>
      <c r="DJ88" s="106">
        <f>IF(AV88="","",IFERROR(AV88*HSI!$B$83*HSI!$G$83/HSI!$B$3,""))</f>
        <v/>
      </c>
      <c r="DK88" s="106">
        <f>IF(AW88="","",IFERROR(AW88*HSI!$B$83*HSI!$G$83/HSI!$B$3,""))</f>
        <v/>
      </c>
      <c r="DL88" s="106">
        <f>IF(AX88="","",IFERROR(AX88*HSI!$B$83*HSI!$G$83/HSI!$B$3,""))</f>
        <v/>
      </c>
      <c r="DM88" s="106">
        <f>IF(AY88="","",IFERROR(AY88*HSI!$B$83*HSI!$G$83/HSI!$B$3,""))</f>
        <v/>
      </c>
      <c r="DN88" s="106">
        <f>IF(AZ88="","",IFERROR(AZ88*HSI!$B$83*HSI!$G$83/HSI!$B$3,""))</f>
        <v/>
      </c>
      <c r="DO88" s="106">
        <f>IF(BA88="","",IFERROR(BA88*HSI!$B$83*HSI!$G$83/HSI!$B$3,""))</f>
        <v/>
      </c>
      <c r="DP88" s="106">
        <f>IF(BB88="","",IFERROR(BB88*HSI!$B$83*HSI!$G$83/HSI!$B$3,""))</f>
        <v/>
      </c>
      <c r="DQ88" s="106">
        <f>IF(BC88="","",IFERROR(BC88*HSI!$B$83*HSI!$G$83/HSI!$B$3,""))</f>
        <v/>
      </c>
      <c r="DR88" s="106">
        <f>IF(BD88="","",IFERROR(BD88*HSI!$B$83*HSI!$G$83/HSI!$B$3,""))</f>
        <v/>
      </c>
      <c r="DS88" s="106">
        <f>IF(BE88="","",IFERROR(BE88*HSI!$B$83*HSI!$G$83/HSI!$B$3,""))</f>
        <v/>
      </c>
      <c r="DT88" s="106">
        <f>IF(BF88="","",IFERROR(BF88*HSI!$B$83*HSI!$G$83/HSI!$B$3,""))</f>
        <v/>
      </c>
      <c r="DU88" s="106">
        <f>IF(BG88="","",IFERROR(BG88*HSI!$B$83*HSI!$G$83/HSI!$B$3,""))</f>
        <v/>
      </c>
      <c r="DV88" s="106">
        <f>IF(BH88="","",IFERROR(BH88*HSI!$B$83*HSI!$G$83/HSI!$B$3,""))</f>
        <v/>
      </c>
      <c r="DW88" s="106">
        <f>IF(BI88="","",IFERROR(BI88*HSI!$B$83*HSI!$G$83/HSI!$B$3,""))</f>
        <v/>
      </c>
      <c r="DX88" s="106">
        <f>IF(BJ88="","",IFERROR(BJ88*HSI!$B$83*HSI!$G$83/HSI!$B$3,""))</f>
        <v/>
      </c>
      <c r="DY88" s="106">
        <f>IF(BK88="","",IFERROR(BK88*HSI!$B$83*HSI!$G$83/HSI!$B$3,""))</f>
        <v/>
      </c>
      <c r="DZ88" s="106">
        <f>IF(BL88="","",IFERROR(BL88*HSI!$B$83*HSI!$G$83/HSI!$B$3,""))</f>
        <v/>
      </c>
      <c r="EA88" s="106">
        <f>IF(BM88="","",IFERROR(BM88*HSI!$B$83*HSI!$G$83/HSI!$B$3,""))</f>
        <v/>
      </c>
      <c r="EB88" s="106">
        <f>IF(BN88="","",IFERROR(BN88*HSI!$B$83*HSI!$G$83/HSI!$B$3,""))</f>
        <v/>
      </c>
      <c r="EC88" s="106">
        <f>IF(BO88="","",IFERROR(BO88*HSI!$B$83*HSI!$G$83/HSI!$B$3,""))</f>
        <v/>
      </c>
      <c r="EE88" s="35">
        <f>IF(N('Dvd Calendar'!$E$847)=0,"",IF(('Dvd Calendar'!$E$847&gt;=GRID_FROM)*('Dvd Calendar'!$E$847&lt;=GRID_TO)*('Dvd Calendar'!$E$847&lt;=VAL_DATE)=0,"",'Dvd Calendar'!$E$847*1000000000+ISNUMBER('Dvd Calendar'!$E$850)*100000000+('Dvd Calendar'!$E$852=SPECIAL_LBL)*10000000+0*1000000+77*1000+1))</f>
        <v/>
      </c>
      <c r="EF88" s="35">
        <f>IF(N('Dvd Calendar'!$F$847)=0,"",IF(('Dvd Calendar'!$F$847&gt;=GRID_FROM)*('Dvd Calendar'!$F$847&lt;=GRID_TO)*('Dvd Calendar'!$F$847&lt;=VAL_DATE)=0,"",'Dvd Calendar'!$F$847*1000000000+ISNUMBER('Dvd Calendar'!$F$850)*100000000+('Dvd Calendar'!$F$852=SPECIAL_LBL)*10000000+0*1000000+77*1000+2))</f>
        <v/>
      </c>
      <c r="EG88" s="35">
        <f>IF(N('Dvd Calendar'!$G$847)=0,"",IF(('Dvd Calendar'!$G$847&gt;=GRID_FROM)*('Dvd Calendar'!$G$847&lt;=GRID_TO)*('Dvd Calendar'!$G$847&lt;=VAL_DATE)=0,"",'Dvd Calendar'!$G$847*1000000000+ISNUMBER('Dvd Calendar'!$G$850)*100000000+('Dvd Calendar'!$G$852=SPECIAL_LBL)*10000000+0*1000000+77*1000+3))</f>
        <v/>
      </c>
      <c r="EH88" s="35">
        <f>IF(N('Dvd Calendar'!$H$847)=0,"",IF(('Dvd Calendar'!$H$847&gt;=GRID_FROM)*('Dvd Calendar'!$H$847&lt;=GRID_TO)*('Dvd Calendar'!$H$847&lt;=VAL_DATE)=0,"",'Dvd Calendar'!$H$847*1000000000+ISNUMBER('Dvd Calendar'!$H$850)*100000000+('Dvd Calendar'!$H$852=SPECIAL_LBL)*10000000+0*1000000+77*1000+4))</f>
        <v/>
      </c>
      <c r="EI88" s="35">
        <f>IF(N('Dvd Calendar'!$I$847)=0,"",IF(('Dvd Calendar'!$I$847&gt;=GRID_FROM)*('Dvd Calendar'!$I$847&lt;=GRID_TO)*('Dvd Calendar'!$I$847&lt;=VAL_DATE)=0,"",'Dvd Calendar'!$I$847*1000000000+ISNUMBER('Dvd Calendar'!$I$850)*100000000+('Dvd Calendar'!$I$852=SPECIAL_LBL)*10000000+0*1000000+77*1000+5))</f>
        <v/>
      </c>
      <c r="EJ88" s="35">
        <f>IF(N('Dvd Calendar'!$J$847)=0,"",IF(('Dvd Calendar'!$J$847&gt;=GRID_FROM)*('Dvd Calendar'!$J$847&lt;=GRID_TO)*('Dvd Calendar'!$J$847&lt;=VAL_DATE)=0,"",'Dvd Calendar'!$J$847*1000000000+ISNUMBER('Dvd Calendar'!$J$850)*100000000+('Dvd Calendar'!$J$852=SPECIAL_LBL)*10000000+0*1000000+77*1000+6))</f>
        <v/>
      </c>
      <c r="EK88" s="35">
        <f>IF(N('Dvd Calendar'!$K$847)=0,"",IF(('Dvd Calendar'!$K$847&gt;=GRID_FROM)*('Dvd Calendar'!$K$847&lt;=GRID_TO)*('Dvd Calendar'!$K$847&lt;=VAL_DATE)=0,"",'Dvd Calendar'!$K$847*1000000000+ISNUMBER('Dvd Calendar'!$K$850)*100000000+('Dvd Calendar'!$K$852=SPECIAL_LBL)*10000000+0*1000000+77*1000+7))</f>
        <v/>
      </c>
      <c r="EL88" s="35">
        <f>IF(N('Dvd Calendar'!$L$847)=0,"",IF(('Dvd Calendar'!$L$847&gt;=GRID_FROM)*('Dvd Calendar'!$L$847&lt;=GRID_TO)*('Dvd Calendar'!$L$847&lt;=VAL_DATE)=0,"",'Dvd Calendar'!$L$847*1000000000+ISNUMBER('Dvd Calendar'!$L$850)*100000000+('Dvd Calendar'!$L$852=SPECIAL_LBL)*10000000+0*1000000+77*1000+8))</f>
        <v/>
      </c>
      <c r="EM88" s="35">
        <f>IF(N('Dvd Calendar'!$M$847)=0,"",IF(('Dvd Calendar'!$M$847&gt;=GRID_FROM)*('Dvd Calendar'!$M$847&lt;=GRID_TO)*('Dvd Calendar'!$M$847&lt;=VAL_DATE)=0,"",'Dvd Calendar'!$M$847*1000000000+ISNUMBER('Dvd Calendar'!$M$850)*100000000+('Dvd Calendar'!$M$852=SPECIAL_LBL)*10000000+0*1000000+77*1000+9))</f>
        <v/>
      </c>
      <c r="EN88" s="35">
        <f>IF(N('Dvd Calendar'!$N$847)=0,"",IF(('Dvd Calendar'!$N$847&gt;=GRID_FROM)*('Dvd Calendar'!$N$847&lt;=GRID_TO)*('Dvd Calendar'!$N$847&lt;=VAL_DATE)=0,"",'Dvd Calendar'!$N$847*1000000000+ISNUMBER('Dvd Calendar'!$N$850)*100000000+('Dvd Calendar'!$N$852=SPECIAL_LBL)*10000000+0*1000000+77*1000+10))</f>
        <v/>
      </c>
      <c r="EO88" s="35">
        <f>IF(N('Dvd Calendar'!$O$847)=0,"",IF(('Dvd Calendar'!$O$847&gt;=GRID_FROM)*('Dvd Calendar'!$O$847&lt;=GRID_TO)*('Dvd Calendar'!$O$847&lt;=VAL_DATE)=0,"",'Dvd Calendar'!$O$847*1000000000+ISNUMBER('Dvd Calendar'!$O$850)*100000000+('Dvd Calendar'!$O$852=SPECIAL_LBL)*10000000+0*1000000+77*1000+11))</f>
        <v/>
      </c>
      <c r="EP88" s="35">
        <f>IF(N('Dvd Calendar'!$P$847)=0,"",IF(('Dvd Calendar'!$P$847&gt;=GRID_FROM)*('Dvd Calendar'!$P$847&lt;=GRID_TO)*('Dvd Calendar'!$P$847&lt;=VAL_DATE)=0,"",'Dvd Calendar'!$P$847*1000000000+ISNUMBER('Dvd Calendar'!$P$850)*100000000+('Dvd Calendar'!$P$852=SPECIAL_LBL)*10000000+0*1000000+77*1000+12))</f>
        <v/>
      </c>
      <c r="EQ88" s="35">
        <f>IF(N('Dvd Calendar'!$Q$847)=0,"",IF(('Dvd Calendar'!$Q$847&gt;=GRID_FROM)*('Dvd Calendar'!$Q$847&lt;=GRID_TO)*('Dvd Calendar'!$Q$847&lt;=VAL_DATE)=0,"",'Dvd Calendar'!$Q$847*1000000000+ISNUMBER('Dvd Calendar'!$Q$850)*100000000+('Dvd Calendar'!$Q$852=SPECIAL_LBL)*10000000+0*1000000+77*1000+13))</f>
        <v/>
      </c>
      <c r="ER88" s="35">
        <f>IF(N('Dvd Calendar'!$R$847)=0,"",IF(('Dvd Calendar'!$R$847&gt;=GRID_FROM)*('Dvd Calendar'!$R$847&lt;=GRID_TO)*('Dvd Calendar'!$R$847&lt;=VAL_DATE)=0,"",'Dvd Calendar'!$R$847*1000000000+ISNUMBER('Dvd Calendar'!$R$850)*100000000+('Dvd Calendar'!$R$852=SPECIAL_LBL)*10000000+0*1000000+77*1000+14))</f>
        <v/>
      </c>
      <c r="ES88" s="35">
        <f>IF(N('Dvd Calendar'!$S$847)=0,"",IF(('Dvd Calendar'!$S$847&gt;=GRID_FROM)*('Dvd Calendar'!$S$847&lt;=GRID_TO)*('Dvd Calendar'!$S$847&lt;=VAL_DATE)=0,"",'Dvd Calendar'!$S$847*1000000000+ISNUMBER('Dvd Calendar'!$S$850)*100000000+('Dvd Calendar'!$S$852=SPECIAL_LBL)*10000000+0*1000000+77*1000+15))</f>
        <v/>
      </c>
      <c r="ET88" s="35">
        <f>IF(N('Dvd Calendar'!$T$847)=0,"",IF(('Dvd Calendar'!$T$847&gt;=GRID_FROM)*('Dvd Calendar'!$T$847&lt;=GRID_TO)*('Dvd Calendar'!$T$847&lt;=VAL_DATE)=0,"",'Dvd Calendar'!$T$847*1000000000+ISNUMBER('Dvd Calendar'!$T$850)*100000000+('Dvd Calendar'!$T$852=SPECIAL_LBL)*10000000+0*1000000+77*1000+16))</f>
        <v/>
      </c>
      <c r="EU88" s="35">
        <f>IF(N('Dvd Calendar'!$U$847)=0,"",IF(('Dvd Calendar'!$U$847&gt;=GRID_FROM)*('Dvd Calendar'!$U$847&lt;=GRID_TO)*('Dvd Calendar'!$U$847&lt;=VAL_DATE)=0,"",'Dvd Calendar'!$U$847*1000000000+ISNUMBER('Dvd Calendar'!$U$850)*100000000+('Dvd Calendar'!$U$852=SPECIAL_LBL)*10000000+0*1000000+77*1000+17))</f>
        <v/>
      </c>
      <c r="EV88" s="35">
        <f>IF(N('Dvd Calendar'!$V$847)=0,"",IF(('Dvd Calendar'!$V$847&gt;=GRID_FROM)*('Dvd Calendar'!$V$847&lt;=GRID_TO)*('Dvd Calendar'!$V$847&lt;=VAL_DATE)=0,"",'Dvd Calendar'!$V$847*1000000000+ISNUMBER('Dvd Calendar'!$V$850)*100000000+('Dvd Calendar'!$V$852=SPECIAL_LBL)*10000000+0*1000000+77*1000+18))</f>
        <v/>
      </c>
      <c r="EW88" s="35">
        <f>IF(N('Dvd Calendar'!$W$847)=0,"",IF(('Dvd Calendar'!$W$847&gt;=GRID_FROM)*('Dvd Calendar'!$W$847&lt;=GRID_TO)*('Dvd Calendar'!$W$847&lt;=VAL_DATE)=0,"",'Dvd Calendar'!$W$847*1000000000+ISNUMBER('Dvd Calendar'!$W$850)*100000000+('Dvd Calendar'!$W$852=SPECIAL_LBL)*10000000+0*1000000+77*1000+19))</f>
        <v/>
      </c>
      <c r="EX88" s="35">
        <f>IF(N('Dvd Calendar'!$X$847)=0,"",IF(('Dvd Calendar'!$X$847&gt;=GRID_FROM)*('Dvd Calendar'!$X$847&lt;=GRID_TO)*('Dvd Calendar'!$X$847&lt;=VAL_DATE)=0,"",'Dvd Calendar'!$X$847*1000000000+ISNUMBER('Dvd Calendar'!$X$850)*100000000+('Dvd Calendar'!$X$852=SPECIAL_LBL)*10000000+0*1000000+77*1000+20))</f>
        <v/>
      </c>
      <c r="EY88" s="35">
        <f>IF(N('Dvd Calendar'!$Y$847)=0,"",IF(('Dvd Calendar'!$Y$847&gt;=GRID_FROM)*('Dvd Calendar'!$Y$847&lt;=GRID_TO)*('Dvd Calendar'!$Y$847&lt;=VAL_DATE)=0,"",'Dvd Calendar'!$Y$847*1000000000+ISNUMBER('Dvd Calendar'!$Y$850)*100000000+('Dvd Calendar'!$Y$852=SPECIAL_LBL)*10000000+0*1000000+77*1000+21))</f>
        <v/>
      </c>
      <c r="EZ88" s="35">
        <f>IF(N('Dvd Calendar'!$Z$847)=0,"",IF(('Dvd Calendar'!$Z$847&gt;=GRID_FROM)*('Dvd Calendar'!$Z$847&lt;=GRID_TO)*('Dvd Calendar'!$Z$847&lt;=VAL_DATE)=0,"",'Dvd Calendar'!$Z$847*1000000000+ISNUMBER('Dvd Calendar'!$Z$850)*100000000+('Dvd Calendar'!$Z$852=SPECIAL_LBL)*10000000+0*1000000+77*1000+22))</f>
        <v/>
      </c>
      <c r="FA88" s="35">
        <f>IF(N('Dvd Calendar'!$AA$847)=0,"",IF(('Dvd Calendar'!$AA$847&gt;=GRID_FROM)*('Dvd Calendar'!$AA$847&lt;=GRID_TO)*('Dvd Calendar'!$AA$847&lt;=VAL_DATE)=0,"",'Dvd Calendar'!$AA$847*1000000000+ISNUMBER('Dvd Calendar'!$AA$850)*100000000+('Dvd Calendar'!$AA$852=SPECIAL_LBL)*10000000+0*1000000+77*1000+23))</f>
        <v/>
      </c>
      <c r="FB88" s="35">
        <f>IF(N('Dvd Calendar'!$AB$847)=0,"",IF(('Dvd Calendar'!$AB$847&gt;=GRID_FROM)*('Dvd Calendar'!$AB$847&lt;=GRID_TO)*('Dvd Calendar'!$AB$847&lt;=VAL_DATE)=0,"",'Dvd Calendar'!$AB$847*1000000000+ISNUMBER('Dvd Calendar'!$AB$850)*100000000+('Dvd Calendar'!$AB$852=SPECIAL_LBL)*10000000+0*1000000+77*1000+24))</f>
        <v/>
      </c>
      <c r="FC88" s="35">
        <f>IF(N('Dvd Calendar'!$AC$847)=0,"",IF(('Dvd Calendar'!$AC$847&gt;=GRID_FROM)*('Dvd Calendar'!$AC$847&lt;=GRID_TO)*('Dvd Calendar'!$AC$847&lt;=VAL_DATE)=0,"",'Dvd Calendar'!$AC$847*1000000000+ISNUMBER('Dvd Calendar'!$AC$850)*100000000+('Dvd Calendar'!$AC$852=SPECIAL_LBL)*10000000+0*1000000+77*1000+25))</f>
        <v/>
      </c>
      <c r="FD88" s="35">
        <f>IF(N('Dvd Calendar'!$AD$847)=0,"",IF(('Dvd Calendar'!$AD$847&gt;=GRID_FROM)*('Dvd Calendar'!$AD$847&lt;=GRID_TO)*('Dvd Calendar'!$AD$847&lt;=VAL_DATE)=0,"",'Dvd Calendar'!$AD$847*1000000000+ISNUMBER('Dvd Calendar'!$AD$850)*100000000+('Dvd Calendar'!$AD$852=SPECIAL_LBL)*10000000+0*1000000+77*1000+26))</f>
        <v/>
      </c>
      <c r="FE88" s="35">
        <f>IF(N('Dvd Calendar'!$AE$847)=0,"",IF(('Dvd Calendar'!$AE$847&gt;=GRID_FROM)*('Dvd Calendar'!$AE$847&lt;=GRID_TO)*('Dvd Calendar'!$AE$847&lt;=VAL_DATE)=0,"",'Dvd Calendar'!$AE$847*1000000000+ISNUMBER('Dvd Calendar'!$AE$850)*100000000+('Dvd Calendar'!$AE$852=SPECIAL_LBL)*10000000+0*1000000+77*1000+27))</f>
        <v/>
      </c>
      <c r="FF88" s="35">
        <f>IF(N('Dvd Calendar'!$AF$847)=0,"",IF(('Dvd Calendar'!$AF$847&gt;=GRID_FROM)*('Dvd Calendar'!$AF$847&lt;=GRID_TO)*('Dvd Calendar'!$AF$847&lt;=VAL_DATE)=0,"",'Dvd Calendar'!$AF$847*1000000000+ISNUMBER('Dvd Calendar'!$AF$850)*100000000+('Dvd Calendar'!$AF$852=SPECIAL_LBL)*10000000+0*1000000+77*1000+28))</f>
        <v/>
      </c>
      <c r="FG88" s="35">
        <f>IF(N('Dvd Calendar'!$AG$847)=0,"",IF(('Dvd Calendar'!$AG$847&gt;=GRID_FROM)*('Dvd Calendar'!$AG$847&lt;=GRID_TO)*('Dvd Calendar'!$AG$847&lt;=VAL_DATE)=0,"",'Dvd Calendar'!$AG$847*1000000000+ISNUMBER('Dvd Calendar'!$AG$850)*100000000+('Dvd Calendar'!$AG$852=SPECIAL_LBL)*10000000+0*1000000+77*1000+29))</f>
        <v/>
      </c>
      <c r="FH88" s="35">
        <f>IF(N('Dvd Calendar'!$AH$847)=0,"",IF(('Dvd Calendar'!$AH$847&gt;=GRID_FROM)*('Dvd Calendar'!$AH$847&lt;=GRID_TO)*('Dvd Calendar'!$AH$847&lt;=VAL_DATE)=0,"",'Dvd Calendar'!$AH$847*1000000000+ISNUMBER('Dvd Calendar'!$AH$850)*100000000+('Dvd Calendar'!$AH$852=SPECIAL_LBL)*10000000+0*1000000+77*1000+30))</f>
        <v/>
      </c>
      <c r="FI88" s="35">
        <f>IF(N('Dvd Calendar'!$AI$847)=0,"",IF(('Dvd Calendar'!$AI$847&gt;=GRID_FROM)*('Dvd Calendar'!$AI$847&lt;=GRID_TO)*('Dvd Calendar'!$AI$847&lt;=VAL_DATE)=0,"",'Dvd Calendar'!$AI$847*1000000000+ISNUMBER('Dvd Calendar'!$AI$850)*100000000+('Dvd Calendar'!$AI$852=SPECIAL_LBL)*10000000+0*1000000+77*1000+31))</f>
        <v/>
      </c>
      <c r="FJ88" s="35">
        <f>IF(N('Dvd Calendar'!$AJ$847)=0,"",IF(('Dvd Calendar'!$AJ$847&gt;=GRID_FROM)*('Dvd Calendar'!$AJ$847&lt;=GRID_TO)*('Dvd Calendar'!$AJ$847&lt;=VAL_DATE)=0,"",'Dvd Calendar'!$AJ$847*1000000000+ISNUMBER('Dvd Calendar'!$AJ$850)*100000000+('Dvd Calendar'!$AJ$852=SPECIAL_LBL)*10000000+0*1000000+77*1000+32))</f>
        <v/>
      </c>
      <c r="FK88" s="35">
        <f>IF(N('Dvd Calendar'!$AK$847)=0,"",IF(('Dvd Calendar'!$AK$847&gt;=GRID_FROM)*('Dvd Calendar'!$AK$847&lt;=GRID_TO)*('Dvd Calendar'!$AK$847&lt;=VAL_DATE)=0,"",'Dvd Calendar'!$AK$847*1000000000+ISNUMBER('Dvd Calendar'!$AK$850)*100000000+('Dvd Calendar'!$AK$852=SPECIAL_LBL)*10000000+0*1000000+77*1000+33))</f>
        <v/>
      </c>
      <c r="FL88" s="35">
        <f>IF(N('Dvd Calendar'!$AL$847)=0,"",IF(('Dvd Calendar'!$AL$847&gt;=GRID_FROM)*('Dvd Calendar'!$AL$847&lt;=GRID_TO)*('Dvd Calendar'!$AL$847&lt;=VAL_DATE)=0,"",'Dvd Calendar'!$AL$847*1000000000+ISNUMBER('Dvd Calendar'!$AL$850)*100000000+('Dvd Calendar'!$AL$852=SPECIAL_LBL)*10000000+0*1000000+77*1000+34))</f>
        <v/>
      </c>
      <c r="FM88" s="35">
        <f>IF(N('Dvd Calendar'!$AM$847)=0,"",IF(('Dvd Calendar'!$AM$847&gt;=GRID_FROM)*('Dvd Calendar'!$AM$847&lt;=GRID_TO)*('Dvd Calendar'!$AM$847&lt;=VAL_DATE)=0,"",'Dvd Calendar'!$AM$847*1000000000+ISNUMBER('Dvd Calendar'!$AM$850)*100000000+('Dvd Calendar'!$AM$852=SPECIAL_LBL)*10000000+0*1000000+77*1000+35))</f>
        <v/>
      </c>
      <c r="FN88" s="35">
        <f>IF(N('Dvd Calendar'!$AN$847)=0,"",IF(('Dvd Calendar'!$AN$847&gt;=GRID_FROM)*('Dvd Calendar'!$AN$847&lt;=GRID_TO)*('Dvd Calendar'!$AN$847&lt;=VAL_DATE)=0,"",'Dvd Calendar'!$AN$847*1000000000+ISNUMBER('Dvd Calendar'!$AN$850)*100000000+('Dvd Calendar'!$AN$852=SPECIAL_LBL)*10000000+0*1000000+77*1000+36))</f>
        <v/>
      </c>
      <c r="FO88" s="35">
        <f>IF(N('Dvd Calendar'!$AO$847)=0,"",IF(('Dvd Calendar'!$AO$847&gt;=GRID_FROM)*('Dvd Calendar'!$AO$847&lt;=GRID_TO)*('Dvd Calendar'!$AO$847&lt;=VAL_DATE)=0,"",'Dvd Calendar'!$AO$847*1000000000+ISNUMBER('Dvd Calendar'!$AO$850)*100000000+('Dvd Calendar'!$AO$852=SPECIAL_LBL)*10000000+0*1000000+77*1000+37))</f>
        <v/>
      </c>
      <c r="FP88" s="35">
        <f>IF(N('Dvd Calendar'!$AP$847)=0,"",IF(('Dvd Calendar'!$AP$847&gt;=GRID_FROM)*('Dvd Calendar'!$AP$847&lt;=GRID_TO)*('Dvd Calendar'!$AP$847&lt;=VAL_DATE)=0,"",'Dvd Calendar'!$AP$847*1000000000+ISNUMBER('Dvd Calendar'!$AP$850)*100000000+('Dvd Calendar'!$AP$852=SPECIAL_LBL)*10000000+0*1000000+77*1000+38))</f>
        <v/>
      </c>
      <c r="FQ88" s="35">
        <f>IF(N('Dvd Calendar'!$AQ$847)=0,"",IF(('Dvd Calendar'!$AQ$847&gt;=GRID_FROM)*('Dvd Calendar'!$AQ$847&lt;=GRID_TO)*('Dvd Calendar'!$AQ$847&lt;=VAL_DATE)=0,"",'Dvd Calendar'!$AQ$847*1000000000+ISNUMBER('Dvd Calendar'!$AQ$850)*100000000+('Dvd Calendar'!$AQ$852=SPECIAL_LBL)*10000000+0*1000000+77*1000+39))</f>
        <v/>
      </c>
      <c r="FR88" s="35">
        <f>IF(N('Dvd Calendar'!$AR$847)=0,"",IF(('Dvd Calendar'!$AR$847&gt;=GRID_FROM)*('Dvd Calendar'!$AR$847&lt;=GRID_TO)*('Dvd Calendar'!$AR$847&lt;=VAL_DATE)=0,"",'Dvd Calendar'!$AR$847*1000000000+ISNUMBER('Dvd Calendar'!$AR$850)*100000000+('Dvd Calendar'!$AR$852=SPECIAL_LBL)*10000000+0*1000000+77*1000+40))</f>
        <v/>
      </c>
      <c r="FS88" s="35">
        <f>IF(N('Dvd Calendar'!$E$854)=0,"",IF(('Dvd Calendar'!$E$854&gt;=GRID_FROM)*('Dvd Calendar'!$E$854&lt;=GRID_TO)*('Dvd Calendar'!$E$854&gt;VAL_DATE)=0,"",'Dvd Calendar'!$E$854*1000000000+ISNUMBER('Dvd Calendar'!$E$855)*100000000+0*10000000+(N('Dvd Calendar'!$E$853)&gt;0)*(N('Dvd Calendar'!$E$853)&lt;=VAL_SERIAL)*1000000+77*1000+41))</f>
        <v/>
      </c>
      <c r="FT88" s="35">
        <f>IF(N('Dvd Calendar'!$F$854)=0,"",IF(('Dvd Calendar'!$F$854&gt;=GRID_FROM)*('Dvd Calendar'!$F$854&lt;=GRID_TO)*('Dvd Calendar'!$F$854&gt;VAL_DATE)=0,"",'Dvd Calendar'!$F$854*1000000000+ISNUMBER('Dvd Calendar'!$F$855)*100000000+0*10000000+(N('Dvd Calendar'!$F$853)&gt;0)*(N('Dvd Calendar'!$F$853)&lt;=VAL_SERIAL)*1000000+77*1000+42))</f>
        <v/>
      </c>
      <c r="FU88" s="35">
        <f>IF(N('Dvd Calendar'!$G$854)=0,"",IF(('Dvd Calendar'!$G$854&gt;=GRID_FROM)*('Dvd Calendar'!$G$854&lt;=GRID_TO)*('Dvd Calendar'!$G$854&gt;VAL_DATE)=0,"",'Dvd Calendar'!$G$854*1000000000+ISNUMBER('Dvd Calendar'!$G$855)*100000000+0*10000000+(N('Dvd Calendar'!$G$853)&gt;0)*(N('Dvd Calendar'!$G$853)&lt;=VAL_SERIAL)*1000000+77*1000+43))</f>
        <v/>
      </c>
      <c r="FV88" s="35">
        <f>IF(N('Dvd Calendar'!$H$854)=0,"",IF(('Dvd Calendar'!$H$854&gt;=GRID_FROM)*('Dvd Calendar'!$H$854&lt;=GRID_TO)*('Dvd Calendar'!$H$854&gt;VAL_DATE)=0,"",'Dvd Calendar'!$H$854*1000000000+ISNUMBER('Dvd Calendar'!$H$855)*100000000+0*10000000+(N('Dvd Calendar'!$H$853)&gt;0)*(N('Dvd Calendar'!$H$853)&lt;=VAL_SERIAL)*1000000+77*1000+44))</f>
        <v/>
      </c>
      <c r="FW88" s="35">
        <f>IF(N('Dvd Calendar'!$I$854)=0,"",IF(('Dvd Calendar'!$I$854&gt;=GRID_FROM)*('Dvd Calendar'!$I$854&lt;=GRID_TO)*('Dvd Calendar'!$I$854&gt;VAL_DATE)=0,"",'Dvd Calendar'!$I$854*1000000000+ISNUMBER('Dvd Calendar'!$I$855)*100000000+0*10000000+(N('Dvd Calendar'!$I$853)&gt;0)*(N('Dvd Calendar'!$I$853)&lt;=VAL_SERIAL)*1000000+77*1000+45))</f>
        <v/>
      </c>
      <c r="FX88" s="35">
        <f>IF(N('Dvd Calendar'!$J$854)=0,"",IF(('Dvd Calendar'!$J$854&gt;=GRID_FROM)*('Dvd Calendar'!$J$854&lt;=GRID_TO)*('Dvd Calendar'!$J$854&gt;VAL_DATE)=0,"",'Dvd Calendar'!$J$854*1000000000+ISNUMBER('Dvd Calendar'!$J$855)*100000000+0*10000000+(N('Dvd Calendar'!$J$853)&gt;0)*(N('Dvd Calendar'!$J$853)&lt;=VAL_SERIAL)*1000000+77*1000+46))</f>
        <v/>
      </c>
      <c r="FY88" s="35">
        <f>IF(N('Dvd Calendar'!$K$854)=0,"",IF(('Dvd Calendar'!$K$854&gt;=GRID_FROM)*('Dvd Calendar'!$K$854&lt;=GRID_TO)*('Dvd Calendar'!$K$854&gt;VAL_DATE)=0,"",'Dvd Calendar'!$K$854*1000000000+ISNUMBER('Dvd Calendar'!$K$855)*100000000+0*10000000+(N('Dvd Calendar'!$K$853)&gt;0)*(N('Dvd Calendar'!$K$853)&lt;=VAL_SERIAL)*1000000+77*1000+47))</f>
        <v/>
      </c>
      <c r="FZ88" s="35">
        <f>IF(N('Dvd Calendar'!$L$854)=0,"",IF(('Dvd Calendar'!$L$854&gt;=GRID_FROM)*('Dvd Calendar'!$L$854&lt;=GRID_TO)*('Dvd Calendar'!$L$854&gt;VAL_DATE)=0,"",'Dvd Calendar'!$L$854*1000000000+ISNUMBER('Dvd Calendar'!$L$855)*100000000+0*10000000+(N('Dvd Calendar'!$L$853)&gt;0)*(N('Dvd Calendar'!$L$853)&lt;=VAL_SERIAL)*1000000+77*1000+48))</f>
        <v/>
      </c>
      <c r="GA88" s="35">
        <f>IF(N('Dvd Calendar'!$M$854)=0,"",IF(('Dvd Calendar'!$M$854&gt;=GRID_FROM)*('Dvd Calendar'!$M$854&lt;=GRID_TO)*('Dvd Calendar'!$M$854&gt;VAL_DATE)=0,"",'Dvd Calendar'!$M$854*1000000000+ISNUMBER('Dvd Calendar'!$M$855)*100000000+0*10000000+(N('Dvd Calendar'!$M$853)&gt;0)*(N('Dvd Calendar'!$M$853)&lt;=VAL_SERIAL)*1000000+77*1000+49))</f>
        <v/>
      </c>
      <c r="GB88" s="35">
        <f>IF(N('Dvd Calendar'!$N$854)=0,"",IF(('Dvd Calendar'!$N$854&gt;=GRID_FROM)*('Dvd Calendar'!$N$854&lt;=GRID_TO)*('Dvd Calendar'!$N$854&gt;VAL_DATE)=0,"",'Dvd Calendar'!$N$854*1000000000+ISNUMBER('Dvd Calendar'!$N$855)*100000000+0*10000000+(N('Dvd Calendar'!$N$853)&gt;0)*(N('Dvd Calendar'!$N$853)&lt;=VAL_SERIAL)*1000000+77*1000+50))</f>
        <v/>
      </c>
      <c r="GC88" s="35">
        <f>IF(N('Dvd Calendar'!$O$854)=0,"",IF(('Dvd Calendar'!$O$854&gt;=GRID_FROM)*('Dvd Calendar'!$O$854&lt;=GRID_TO)*('Dvd Calendar'!$O$854&gt;VAL_DATE)=0,"",'Dvd Calendar'!$O$854*1000000000+ISNUMBER('Dvd Calendar'!$O$855)*100000000+0*10000000+(N('Dvd Calendar'!$O$853)&gt;0)*(N('Dvd Calendar'!$O$853)&lt;=VAL_SERIAL)*1000000+77*1000+51))</f>
        <v/>
      </c>
      <c r="GD88" s="35">
        <f>IF(N('Dvd Calendar'!$P$854)=0,"",IF(('Dvd Calendar'!$P$854&gt;=GRID_FROM)*('Dvd Calendar'!$P$854&lt;=GRID_TO)*('Dvd Calendar'!$P$854&gt;VAL_DATE)=0,"",'Dvd Calendar'!$P$854*1000000000+ISNUMBER('Dvd Calendar'!$P$855)*100000000+0*10000000+(N('Dvd Calendar'!$P$853)&gt;0)*(N('Dvd Calendar'!$P$853)&lt;=VAL_SERIAL)*1000000+77*1000+52))</f>
        <v/>
      </c>
      <c r="GE88" s="35">
        <f>IF(N('Dvd Calendar'!$Q$854)=0,"",IF(('Dvd Calendar'!$Q$854&gt;=GRID_FROM)*('Dvd Calendar'!$Q$854&lt;=GRID_TO)*('Dvd Calendar'!$Q$854&gt;VAL_DATE)=0,"",'Dvd Calendar'!$Q$854*1000000000+ISNUMBER('Dvd Calendar'!$Q$855)*100000000+0*10000000+(N('Dvd Calendar'!$Q$853)&gt;0)*(N('Dvd Calendar'!$Q$853)&lt;=VAL_SERIAL)*1000000+77*1000+53))</f>
        <v/>
      </c>
      <c r="GF88" s="35">
        <f>IF(N('Dvd Calendar'!$R$854)=0,"",IF(('Dvd Calendar'!$R$854&gt;=GRID_FROM)*('Dvd Calendar'!$R$854&lt;=GRID_TO)*('Dvd Calendar'!$R$854&gt;VAL_DATE)=0,"",'Dvd Calendar'!$R$854*1000000000+ISNUMBER('Dvd Calendar'!$R$855)*100000000+0*10000000+(N('Dvd Calendar'!$R$853)&gt;0)*(N('Dvd Calendar'!$R$853)&lt;=VAL_SERIAL)*1000000+77*1000+54))</f>
        <v/>
      </c>
      <c r="GG88" s="35">
        <f>IF(N('Dvd Calendar'!$S$854)=0,"",IF(('Dvd Calendar'!$S$854&gt;=GRID_FROM)*('Dvd Calendar'!$S$854&lt;=GRID_TO)*('Dvd Calendar'!$S$854&gt;VAL_DATE)=0,"",'Dvd Calendar'!$S$854*1000000000+ISNUMBER('Dvd Calendar'!$S$855)*100000000+0*10000000+(N('Dvd Calendar'!$S$853)&gt;0)*(N('Dvd Calendar'!$S$853)&lt;=VAL_SERIAL)*1000000+77*1000+55))</f>
        <v/>
      </c>
      <c r="GH88" s="35">
        <f>IF(N('Dvd Calendar'!$T$854)=0,"",IF(('Dvd Calendar'!$T$854&gt;=GRID_FROM)*('Dvd Calendar'!$T$854&lt;=GRID_TO)*('Dvd Calendar'!$T$854&gt;VAL_DATE)=0,"",'Dvd Calendar'!$T$854*1000000000+ISNUMBER('Dvd Calendar'!$T$855)*100000000+0*10000000+(N('Dvd Calendar'!$T$853)&gt;0)*(N('Dvd Calendar'!$T$853)&lt;=VAL_SERIAL)*1000000+77*1000+56))</f>
        <v/>
      </c>
      <c r="GI88" s="35">
        <f>IF(N('Dvd Calendar'!$U$854)=0,"",IF(('Dvd Calendar'!$U$854&gt;=GRID_FROM)*('Dvd Calendar'!$U$854&lt;=GRID_TO)*('Dvd Calendar'!$U$854&gt;VAL_DATE)=0,"",'Dvd Calendar'!$U$854*1000000000+ISNUMBER('Dvd Calendar'!$U$855)*100000000+0*10000000+(N('Dvd Calendar'!$U$853)&gt;0)*(N('Dvd Calendar'!$U$853)&lt;=VAL_SERIAL)*1000000+77*1000+57))</f>
        <v/>
      </c>
      <c r="GJ88" s="35">
        <f>IF(N('Dvd Calendar'!$V$854)=0,"",IF(('Dvd Calendar'!$V$854&gt;=GRID_FROM)*('Dvd Calendar'!$V$854&lt;=GRID_TO)*('Dvd Calendar'!$V$854&gt;VAL_DATE)=0,"",'Dvd Calendar'!$V$854*1000000000+ISNUMBER('Dvd Calendar'!$V$855)*100000000+0*10000000+(N('Dvd Calendar'!$V$853)&gt;0)*(N('Dvd Calendar'!$V$853)&lt;=VAL_SERIAL)*1000000+77*1000+58))</f>
        <v/>
      </c>
      <c r="GK88" s="35">
        <f>IF(N('Dvd Calendar'!$W$854)=0,"",IF(('Dvd Calendar'!$W$854&gt;=GRID_FROM)*('Dvd Calendar'!$W$854&lt;=GRID_TO)*('Dvd Calendar'!$W$854&gt;VAL_DATE)=0,"",'Dvd Calendar'!$W$854*1000000000+ISNUMBER('Dvd Calendar'!$W$855)*100000000+0*10000000+(N('Dvd Calendar'!$W$853)&gt;0)*(N('Dvd Calendar'!$W$853)&lt;=VAL_SERIAL)*1000000+77*1000+59))</f>
        <v/>
      </c>
      <c r="GL88" s="35">
        <f>IF(N('Dvd Calendar'!$X$854)=0,"",IF(('Dvd Calendar'!$X$854&gt;=GRID_FROM)*('Dvd Calendar'!$X$854&lt;=GRID_TO)*('Dvd Calendar'!$X$854&gt;VAL_DATE)=0,"",'Dvd Calendar'!$X$854*1000000000+ISNUMBER('Dvd Calendar'!$X$855)*100000000+0*10000000+(N('Dvd Calendar'!$X$853)&gt;0)*(N('Dvd Calendar'!$X$853)&lt;=VAL_SERIAL)*1000000+77*1000+60))</f>
        <v/>
      </c>
      <c r="GM88" s="35">
        <f>IF(N('Dvd Calendar'!$Y$854)=0,"",IF(('Dvd Calendar'!$Y$854&gt;=GRID_FROM)*('Dvd Calendar'!$Y$854&lt;=GRID_TO)*('Dvd Calendar'!$Y$854&gt;VAL_DATE)=0,"",'Dvd Calendar'!$Y$854*1000000000+ISNUMBER('Dvd Calendar'!$Y$855)*100000000+0*10000000+(N('Dvd Calendar'!$Y$853)&gt;0)*(N('Dvd Calendar'!$Y$853)&lt;=VAL_SERIAL)*1000000+77*1000+61))</f>
        <v/>
      </c>
      <c r="GN88" s="35">
        <f>IF(N('Dvd Calendar'!$Z$854)=0,"",IF(('Dvd Calendar'!$Z$854&gt;=GRID_FROM)*('Dvd Calendar'!$Z$854&lt;=GRID_TO)*('Dvd Calendar'!$Z$854&gt;VAL_DATE)=0,"",'Dvd Calendar'!$Z$854*1000000000+ISNUMBER('Dvd Calendar'!$Z$855)*100000000+0*10000000+(N('Dvd Calendar'!$Z$853)&gt;0)*(N('Dvd Calendar'!$Z$853)&lt;=VAL_SERIAL)*1000000+77*1000+62))</f>
        <v/>
      </c>
      <c r="GO88" s="35">
        <f>IF(N('Dvd Calendar'!$AA$854)=0,"",IF(('Dvd Calendar'!$AA$854&gt;=GRID_FROM)*('Dvd Calendar'!$AA$854&lt;=GRID_TO)*('Dvd Calendar'!$AA$854&gt;VAL_DATE)=0,"",'Dvd Calendar'!$AA$854*1000000000+ISNUMBER('Dvd Calendar'!$AA$855)*100000000+0*10000000+(N('Dvd Calendar'!$AA$853)&gt;0)*(N('Dvd Calendar'!$AA$853)&lt;=VAL_SERIAL)*1000000+77*1000+63))</f>
        <v/>
      </c>
      <c r="GP88" s="35">
        <f>IF(N('Dvd Calendar'!$AB$854)=0,"",IF(('Dvd Calendar'!$AB$854&gt;=GRID_FROM)*('Dvd Calendar'!$AB$854&lt;=GRID_TO)*('Dvd Calendar'!$AB$854&gt;VAL_DATE)=0,"",'Dvd Calendar'!$AB$854*1000000000+ISNUMBER('Dvd Calendar'!$AB$855)*100000000+0*10000000+(N('Dvd Calendar'!$AB$853)&gt;0)*(N('Dvd Calendar'!$AB$853)&lt;=VAL_SERIAL)*1000000+77*1000+64))</f>
        <v/>
      </c>
      <c r="GQ88" s="35">
        <f>IF(N('Dvd Calendar'!$AC$854)=0,"",IF(('Dvd Calendar'!$AC$854&gt;=GRID_FROM)*('Dvd Calendar'!$AC$854&lt;=GRID_TO)*('Dvd Calendar'!$AC$854&gt;VAL_DATE)=0,"",'Dvd Calendar'!$AC$854*1000000000+ISNUMBER('Dvd Calendar'!$AC$855)*100000000+0*10000000+(N('Dvd Calendar'!$AC$853)&gt;0)*(N('Dvd Calendar'!$AC$853)&lt;=VAL_SERIAL)*1000000+77*1000+65))</f>
        <v/>
      </c>
    </row>
    <row r="89">
      <c r="B89" s="2">
        <f>IF(HSI!$C$84="","",HSI!$C$84)</f>
        <v/>
      </c>
      <c r="C89" s="106">
        <f>IF(EE89="","",IF(ISNUMBER('Dvd Calendar'!$E$861)=FALSE,"",IF((('Dvd Calendar'!$E$863=TYPE1)*(TYPE1&lt;&gt;"")+('Dvd Calendar'!$E$863=TYPE2)*(TYPE2&lt;&gt;"")+('Dvd Calendar'!$E$863=TYPE3)*(TYPE3&lt;&gt;"")+('Dvd Calendar'!$E$863=TYPE4)*(TYPE4&lt;&gt;"")+('Dvd Calendar'!$E$863=SPECIAL_LBL)*(INC_SPECIALS="Y"))=0,"",'Dvd Calendar'!$E$861)))</f>
        <v/>
      </c>
      <c r="D89" s="106">
        <f>IF(EF89="","",IF(ISNUMBER('Dvd Calendar'!$F$861)=FALSE,"",IF((('Dvd Calendar'!$F$863=TYPE1)*(TYPE1&lt;&gt;"")+('Dvd Calendar'!$F$863=TYPE2)*(TYPE2&lt;&gt;"")+('Dvd Calendar'!$F$863=TYPE3)*(TYPE3&lt;&gt;"")+('Dvd Calendar'!$F$863=TYPE4)*(TYPE4&lt;&gt;"")+('Dvd Calendar'!$F$863=SPECIAL_LBL)*(INC_SPECIALS="Y"))=0,"",'Dvd Calendar'!$F$861)))</f>
        <v/>
      </c>
      <c r="E89" s="106">
        <f>IF(EG89="","",IF(ISNUMBER('Dvd Calendar'!$G$861)=FALSE,"",IF((('Dvd Calendar'!$G$863=TYPE1)*(TYPE1&lt;&gt;"")+('Dvd Calendar'!$G$863=TYPE2)*(TYPE2&lt;&gt;"")+('Dvd Calendar'!$G$863=TYPE3)*(TYPE3&lt;&gt;"")+('Dvd Calendar'!$G$863=TYPE4)*(TYPE4&lt;&gt;"")+('Dvd Calendar'!$G$863=SPECIAL_LBL)*(INC_SPECIALS="Y"))=0,"",'Dvd Calendar'!$G$861)))</f>
        <v/>
      </c>
      <c r="F89" s="106">
        <f>IF(EH89="","",IF(ISNUMBER('Dvd Calendar'!$H$861)=FALSE,"",IF((('Dvd Calendar'!$H$863=TYPE1)*(TYPE1&lt;&gt;"")+('Dvd Calendar'!$H$863=TYPE2)*(TYPE2&lt;&gt;"")+('Dvd Calendar'!$H$863=TYPE3)*(TYPE3&lt;&gt;"")+('Dvd Calendar'!$H$863=TYPE4)*(TYPE4&lt;&gt;"")+('Dvd Calendar'!$H$863=SPECIAL_LBL)*(INC_SPECIALS="Y"))=0,"",'Dvd Calendar'!$H$861)))</f>
        <v/>
      </c>
      <c r="G89" s="106">
        <f>IF(EI89="","",IF(ISNUMBER('Dvd Calendar'!$I$861)=FALSE,"",IF((('Dvd Calendar'!$I$863=TYPE1)*(TYPE1&lt;&gt;"")+('Dvd Calendar'!$I$863=TYPE2)*(TYPE2&lt;&gt;"")+('Dvd Calendar'!$I$863=TYPE3)*(TYPE3&lt;&gt;"")+('Dvd Calendar'!$I$863=TYPE4)*(TYPE4&lt;&gt;"")+('Dvd Calendar'!$I$863=SPECIAL_LBL)*(INC_SPECIALS="Y"))=0,"",'Dvd Calendar'!$I$861)))</f>
        <v/>
      </c>
      <c r="H89" s="106">
        <f>IF(EJ89="","",IF(ISNUMBER('Dvd Calendar'!$J$861)=FALSE,"",IF((('Dvd Calendar'!$J$863=TYPE1)*(TYPE1&lt;&gt;"")+('Dvd Calendar'!$J$863=TYPE2)*(TYPE2&lt;&gt;"")+('Dvd Calendar'!$J$863=TYPE3)*(TYPE3&lt;&gt;"")+('Dvd Calendar'!$J$863=TYPE4)*(TYPE4&lt;&gt;"")+('Dvd Calendar'!$J$863=SPECIAL_LBL)*(INC_SPECIALS="Y"))=0,"",'Dvd Calendar'!$J$861)))</f>
        <v/>
      </c>
      <c r="I89" s="106">
        <f>IF(EK89="","",IF(ISNUMBER('Dvd Calendar'!$K$861)=FALSE,"",IF((('Dvd Calendar'!$K$863=TYPE1)*(TYPE1&lt;&gt;"")+('Dvd Calendar'!$K$863=TYPE2)*(TYPE2&lt;&gt;"")+('Dvd Calendar'!$K$863=TYPE3)*(TYPE3&lt;&gt;"")+('Dvd Calendar'!$K$863=TYPE4)*(TYPE4&lt;&gt;"")+('Dvd Calendar'!$K$863=SPECIAL_LBL)*(INC_SPECIALS="Y"))=0,"",'Dvd Calendar'!$K$861)))</f>
        <v/>
      </c>
      <c r="J89" s="106">
        <f>IF(EL89="","",IF(ISNUMBER('Dvd Calendar'!$L$861)=FALSE,"",IF((('Dvd Calendar'!$L$863=TYPE1)*(TYPE1&lt;&gt;"")+('Dvd Calendar'!$L$863=TYPE2)*(TYPE2&lt;&gt;"")+('Dvd Calendar'!$L$863=TYPE3)*(TYPE3&lt;&gt;"")+('Dvd Calendar'!$L$863=TYPE4)*(TYPE4&lt;&gt;"")+('Dvd Calendar'!$L$863=SPECIAL_LBL)*(INC_SPECIALS="Y"))=0,"",'Dvd Calendar'!$L$861)))</f>
        <v/>
      </c>
      <c r="K89" s="106">
        <f>IF(EM89="","",IF(ISNUMBER('Dvd Calendar'!$M$861)=FALSE,"",IF((('Dvd Calendar'!$M$863=TYPE1)*(TYPE1&lt;&gt;"")+('Dvd Calendar'!$M$863=TYPE2)*(TYPE2&lt;&gt;"")+('Dvd Calendar'!$M$863=TYPE3)*(TYPE3&lt;&gt;"")+('Dvd Calendar'!$M$863=TYPE4)*(TYPE4&lt;&gt;"")+('Dvd Calendar'!$M$863=SPECIAL_LBL)*(INC_SPECIALS="Y"))=0,"",'Dvd Calendar'!$M$861)))</f>
        <v/>
      </c>
      <c r="L89" s="106">
        <f>IF(EN89="","",IF(ISNUMBER('Dvd Calendar'!$N$861)=FALSE,"",IF((('Dvd Calendar'!$N$863=TYPE1)*(TYPE1&lt;&gt;"")+('Dvd Calendar'!$N$863=TYPE2)*(TYPE2&lt;&gt;"")+('Dvd Calendar'!$N$863=TYPE3)*(TYPE3&lt;&gt;"")+('Dvd Calendar'!$N$863=TYPE4)*(TYPE4&lt;&gt;"")+('Dvd Calendar'!$N$863=SPECIAL_LBL)*(INC_SPECIALS="Y"))=0,"",'Dvd Calendar'!$N$861)))</f>
        <v/>
      </c>
      <c r="M89" s="106">
        <f>IF(EO89="","",IF(ISNUMBER('Dvd Calendar'!$O$861)=FALSE,"",IF((('Dvd Calendar'!$O$863=TYPE1)*(TYPE1&lt;&gt;"")+('Dvd Calendar'!$O$863=TYPE2)*(TYPE2&lt;&gt;"")+('Dvd Calendar'!$O$863=TYPE3)*(TYPE3&lt;&gt;"")+('Dvd Calendar'!$O$863=TYPE4)*(TYPE4&lt;&gt;"")+('Dvd Calendar'!$O$863=SPECIAL_LBL)*(INC_SPECIALS="Y"))=0,"",'Dvd Calendar'!$O$861)))</f>
        <v/>
      </c>
      <c r="N89" s="106">
        <f>IF(EP89="","",IF(ISNUMBER('Dvd Calendar'!$P$861)=FALSE,"",IF((('Dvd Calendar'!$P$863=TYPE1)*(TYPE1&lt;&gt;"")+('Dvd Calendar'!$P$863=TYPE2)*(TYPE2&lt;&gt;"")+('Dvd Calendar'!$P$863=TYPE3)*(TYPE3&lt;&gt;"")+('Dvd Calendar'!$P$863=TYPE4)*(TYPE4&lt;&gt;"")+('Dvd Calendar'!$P$863=SPECIAL_LBL)*(INC_SPECIALS="Y"))=0,"",'Dvd Calendar'!$P$861)))</f>
        <v/>
      </c>
      <c r="O89" s="106">
        <f>IF(EQ89="","",IF(ISNUMBER('Dvd Calendar'!$Q$861)=FALSE,"",IF((('Dvd Calendar'!$Q$863=TYPE1)*(TYPE1&lt;&gt;"")+('Dvd Calendar'!$Q$863=TYPE2)*(TYPE2&lt;&gt;"")+('Dvd Calendar'!$Q$863=TYPE3)*(TYPE3&lt;&gt;"")+('Dvd Calendar'!$Q$863=TYPE4)*(TYPE4&lt;&gt;"")+('Dvd Calendar'!$Q$863=SPECIAL_LBL)*(INC_SPECIALS="Y"))=0,"",'Dvd Calendar'!$Q$861)))</f>
        <v/>
      </c>
      <c r="P89" s="106">
        <f>IF(ER89="","",IF(ISNUMBER('Dvd Calendar'!$R$861)=FALSE,"",IF((('Dvd Calendar'!$R$863=TYPE1)*(TYPE1&lt;&gt;"")+('Dvd Calendar'!$R$863=TYPE2)*(TYPE2&lt;&gt;"")+('Dvd Calendar'!$R$863=TYPE3)*(TYPE3&lt;&gt;"")+('Dvd Calendar'!$R$863=TYPE4)*(TYPE4&lt;&gt;"")+('Dvd Calendar'!$R$863=SPECIAL_LBL)*(INC_SPECIALS="Y"))=0,"",'Dvd Calendar'!$R$861)))</f>
        <v/>
      </c>
      <c r="Q89" s="106">
        <f>IF(ES89="","",IF(ISNUMBER('Dvd Calendar'!$S$861)=FALSE,"",IF((('Dvd Calendar'!$S$863=TYPE1)*(TYPE1&lt;&gt;"")+('Dvd Calendar'!$S$863=TYPE2)*(TYPE2&lt;&gt;"")+('Dvd Calendar'!$S$863=TYPE3)*(TYPE3&lt;&gt;"")+('Dvd Calendar'!$S$863=TYPE4)*(TYPE4&lt;&gt;"")+('Dvd Calendar'!$S$863=SPECIAL_LBL)*(INC_SPECIALS="Y"))=0,"",'Dvd Calendar'!$S$861)))</f>
        <v/>
      </c>
      <c r="R89" s="106">
        <f>IF(ET89="","",IF(ISNUMBER('Dvd Calendar'!$T$861)=FALSE,"",IF((('Dvd Calendar'!$T$863=TYPE1)*(TYPE1&lt;&gt;"")+('Dvd Calendar'!$T$863=TYPE2)*(TYPE2&lt;&gt;"")+('Dvd Calendar'!$T$863=TYPE3)*(TYPE3&lt;&gt;"")+('Dvd Calendar'!$T$863=TYPE4)*(TYPE4&lt;&gt;"")+('Dvd Calendar'!$T$863=SPECIAL_LBL)*(INC_SPECIALS="Y"))=0,"",'Dvd Calendar'!$T$861)))</f>
        <v/>
      </c>
      <c r="S89" s="106">
        <f>IF(EU89="","",IF(ISNUMBER('Dvd Calendar'!$U$861)=FALSE,"",IF((('Dvd Calendar'!$U$863=TYPE1)*(TYPE1&lt;&gt;"")+('Dvd Calendar'!$U$863=TYPE2)*(TYPE2&lt;&gt;"")+('Dvd Calendar'!$U$863=TYPE3)*(TYPE3&lt;&gt;"")+('Dvd Calendar'!$U$863=TYPE4)*(TYPE4&lt;&gt;"")+('Dvd Calendar'!$U$863=SPECIAL_LBL)*(INC_SPECIALS="Y"))=0,"",'Dvd Calendar'!$U$861)))</f>
        <v/>
      </c>
      <c r="T89" s="106">
        <f>IF(EV89="","",IF(ISNUMBER('Dvd Calendar'!$V$861)=FALSE,"",IF((('Dvd Calendar'!$V$863=TYPE1)*(TYPE1&lt;&gt;"")+('Dvd Calendar'!$V$863=TYPE2)*(TYPE2&lt;&gt;"")+('Dvd Calendar'!$V$863=TYPE3)*(TYPE3&lt;&gt;"")+('Dvd Calendar'!$V$863=TYPE4)*(TYPE4&lt;&gt;"")+('Dvd Calendar'!$V$863=SPECIAL_LBL)*(INC_SPECIALS="Y"))=0,"",'Dvd Calendar'!$V$861)))</f>
        <v/>
      </c>
      <c r="U89" s="106">
        <f>IF(EW89="","",IF(ISNUMBER('Dvd Calendar'!$W$861)=FALSE,"",IF((('Dvd Calendar'!$W$863=TYPE1)*(TYPE1&lt;&gt;"")+('Dvd Calendar'!$W$863=TYPE2)*(TYPE2&lt;&gt;"")+('Dvd Calendar'!$W$863=TYPE3)*(TYPE3&lt;&gt;"")+('Dvd Calendar'!$W$863=TYPE4)*(TYPE4&lt;&gt;"")+('Dvd Calendar'!$W$863=SPECIAL_LBL)*(INC_SPECIALS="Y"))=0,"",'Dvd Calendar'!$W$861)))</f>
        <v/>
      </c>
      <c r="V89" s="106">
        <f>IF(EX89="","",IF(ISNUMBER('Dvd Calendar'!$X$861)=FALSE,"",IF((('Dvd Calendar'!$X$863=TYPE1)*(TYPE1&lt;&gt;"")+('Dvd Calendar'!$X$863=TYPE2)*(TYPE2&lt;&gt;"")+('Dvd Calendar'!$X$863=TYPE3)*(TYPE3&lt;&gt;"")+('Dvd Calendar'!$X$863=TYPE4)*(TYPE4&lt;&gt;"")+('Dvd Calendar'!$X$863=SPECIAL_LBL)*(INC_SPECIALS="Y"))=0,"",'Dvd Calendar'!$X$861)))</f>
        <v/>
      </c>
      <c r="W89" s="106">
        <f>IF(EY89="","",IF(ISNUMBER('Dvd Calendar'!$Y$861)=FALSE,"",IF((('Dvd Calendar'!$Y$863=TYPE1)*(TYPE1&lt;&gt;"")+('Dvd Calendar'!$Y$863=TYPE2)*(TYPE2&lt;&gt;"")+('Dvd Calendar'!$Y$863=TYPE3)*(TYPE3&lt;&gt;"")+('Dvd Calendar'!$Y$863=TYPE4)*(TYPE4&lt;&gt;"")+('Dvd Calendar'!$Y$863=SPECIAL_LBL)*(INC_SPECIALS="Y"))=0,"",'Dvd Calendar'!$Y$861)))</f>
        <v/>
      </c>
      <c r="X89" s="106">
        <f>IF(EZ89="","",IF(ISNUMBER('Dvd Calendar'!$Z$861)=FALSE,"",IF((('Dvd Calendar'!$Z$863=TYPE1)*(TYPE1&lt;&gt;"")+('Dvd Calendar'!$Z$863=TYPE2)*(TYPE2&lt;&gt;"")+('Dvd Calendar'!$Z$863=TYPE3)*(TYPE3&lt;&gt;"")+('Dvd Calendar'!$Z$863=TYPE4)*(TYPE4&lt;&gt;"")+('Dvd Calendar'!$Z$863=SPECIAL_LBL)*(INC_SPECIALS="Y"))=0,"",'Dvd Calendar'!$Z$861)))</f>
        <v/>
      </c>
      <c r="Y89" s="106">
        <f>IF(FA89="","",IF(ISNUMBER('Dvd Calendar'!$AA$861)=FALSE,"",IF((('Dvd Calendar'!$AA$863=TYPE1)*(TYPE1&lt;&gt;"")+('Dvd Calendar'!$AA$863=TYPE2)*(TYPE2&lt;&gt;"")+('Dvd Calendar'!$AA$863=TYPE3)*(TYPE3&lt;&gt;"")+('Dvd Calendar'!$AA$863=TYPE4)*(TYPE4&lt;&gt;"")+('Dvd Calendar'!$AA$863=SPECIAL_LBL)*(INC_SPECIALS="Y"))=0,"",'Dvd Calendar'!$AA$861)))</f>
        <v/>
      </c>
      <c r="Z89" s="106">
        <f>IF(FB89="","",IF(ISNUMBER('Dvd Calendar'!$AB$861)=FALSE,"",IF((('Dvd Calendar'!$AB$863=TYPE1)*(TYPE1&lt;&gt;"")+('Dvd Calendar'!$AB$863=TYPE2)*(TYPE2&lt;&gt;"")+('Dvd Calendar'!$AB$863=TYPE3)*(TYPE3&lt;&gt;"")+('Dvd Calendar'!$AB$863=TYPE4)*(TYPE4&lt;&gt;"")+('Dvd Calendar'!$AB$863=SPECIAL_LBL)*(INC_SPECIALS="Y"))=0,"",'Dvd Calendar'!$AB$861)))</f>
        <v/>
      </c>
      <c r="AA89" s="106">
        <f>IF(FC89="","",IF(ISNUMBER('Dvd Calendar'!$AC$861)=FALSE,"",IF((('Dvd Calendar'!$AC$863=TYPE1)*(TYPE1&lt;&gt;"")+('Dvd Calendar'!$AC$863=TYPE2)*(TYPE2&lt;&gt;"")+('Dvd Calendar'!$AC$863=TYPE3)*(TYPE3&lt;&gt;"")+('Dvd Calendar'!$AC$863=TYPE4)*(TYPE4&lt;&gt;"")+('Dvd Calendar'!$AC$863=SPECIAL_LBL)*(INC_SPECIALS="Y"))=0,"",'Dvd Calendar'!$AC$861)))</f>
        <v/>
      </c>
      <c r="AB89" s="106">
        <f>IF(FD89="","",IF(ISNUMBER('Dvd Calendar'!$AD$861)=FALSE,"",IF((('Dvd Calendar'!$AD$863=TYPE1)*(TYPE1&lt;&gt;"")+('Dvd Calendar'!$AD$863=TYPE2)*(TYPE2&lt;&gt;"")+('Dvd Calendar'!$AD$863=TYPE3)*(TYPE3&lt;&gt;"")+('Dvd Calendar'!$AD$863=TYPE4)*(TYPE4&lt;&gt;"")+('Dvd Calendar'!$AD$863=SPECIAL_LBL)*(INC_SPECIALS="Y"))=0,"",'Dvd Calendar'!$AD$861)))</f>
        <v/>
      </c>
      <c r="AC89" s="106">
        <f>IF(FE89="","",IF(ISNUMBER('Dvd Calendar'!$AE$861)=FALSE,"",IF((('Dvd Calendar'!$AE$863=TYPE1)*(TYPE1&lt;&gt;"")+('Dvd Calendar'!$AE$863=TYPE2)*(TYPE2&lt;&gt;"")+('Dvd Calendar'!$AE$863=TYPE3)*(TYPE3&lt;&gt;"")+('Dvd Calendar'!$AE$863=TYPE4)*(TYPE4&lt;&gt;"")+('Dvd Calendar'!$AE$863=SPECIAL_LBL)*(INC_SPECIALS="Y"))=0,"",'Dvd Calendar'!$AE$861)))</f>
        <v/>
      </c>
      <c r="AD89" s="106">
        <f>IF(FF89="","",IF(ISNUMBER('Dvd Calendar'!$AF$861)=FALSE,"",IF((('Dvd Calendar'!$AF$863=TYPE1)*(TYPE1&lt;&gt;"")+('Dvd Calendar'!$AF$863=TYPE2)*(TYPE2&lt;&gt;"")+('Dvd Calendar'!$AF$863=TYPE3)*(TYPE3&lt;&gt;"")+('Dvd Calendar'!$AF$863=TYPE4)*(TYPE4&lt;&gt;"")+('Dvd Calendar'!$AF$863=SPECIAL_LBL)*(INC_SPECIALS="Y"))=0,"",'Dvd Calendar'!$AF$861)))</f>
        <v/>
      </c>
      <c r="AE89" s="106">
        <f>IF(FG89="","",IF(ISNUMBER('Dvd Calendar'!$AG$861)=FALSE,"",IF((('Dvd Calendar'!$AG$863=TYPE1)*(TYPE1&lt;&gt;"")+('Dvd Calendar'!$AG$863=TYPE2)*(TYPE2&lt;&gt;"")+('Dvd Calendar'!$AG$863=TYPE3)*(TYPE3&lt;&gt;"")+('Dvd Calendar'!$AG$863=TYPE4)*(TYPE4&lt;&gt;"")+('Dvd Calendar'!$AG$863=SPECIAL_LBL)*(INC_SPECIALS="Y"))=0,"",'Dvd Calendar'!$AG$861)))</f>
        <v/>
      </c>
      <c r="AF89" s="106">
        <f>IF(FH89="","",IF(ISNUMBER('Dvd Calendar'!$AH$861)=FALSE,"",IF((('Dvd Calendar'!$AH$863=TYPE1)*(TYPE1&lt;&gt;"")+('Dvd Calendar'!$AH$863=TYPE2)*(TYPE2&lt;&gt;"")+('Dvd Calendar'!$AH$863=TYPE3)*(TYPE3&lt;&gt;"")+('Dvd Calendar'!$AH$863=TYPE4)*(TYPE4&lt;&gt;"")+('Dvd Calendar'!$AH$863=SPECIAL_LBL)*(INC_SPECIALS="Y"))=0,"",'Dvd Calendar'!$AH$861)))</f>
        <v/>
      </c>
      <c r="AG89" s="106">
        <f>IF(FI89="","",IF(ISNUMBER('Dvd Calendar'!$AI$861)=FALSE,"",IF((('Dvd Calendar'!$AI$863=TYPE1)*(TYPE1&lt;&gt;"")+('Dvd Calendar'!$AI$863=TYPE2)*(TYPE2&lt;&gt;"")+('Dvd Calendar'!$AI$863=TYPE3)*(TYPE3&lt;&gt;"")+('Dvd Calendar'!$AI$863=TYPE4)*(TYPE4&lt;&gt;"")+('Dvd Calendar'!$AI$863=SPECIAL_LBL)*(INC_SPECIALS="Y"))=0,"",'Dvd Calendar'!$AI$861)))</f>
        <v/>
      </c>
      <c r="AH89" s="106">
        <f>IF(FJ89="","",IF(ISNUMBER('Dvd Calendar'!$AJ$861)=FALSE,"",IF((('Dvd Calendar'!$AJ$863=TYPE1)*(TYPE1&lt;&gt;"")+('Dvd Calendar'!$AJ$863=TYPE2)*(TYPE2&lt;&gt;"")+('Dvd Calendar'!$AJ$863=TYPE3)*(TYPE3&lt;&gt;"")+('Dvd Calendar'!$AJ$863=TYPE4)*(TYPE4&lt;&gt;"")+('Dvd Calendar'!$AJ$863=SPECIAL_LBL)*(INC_SPECIALS="Y"))=0,"",'Dvd Calendar'!$AJ$861)))</f>
        <v/>
      </c>
      <c r="AI89" s="106">
        <f>IF(FK89="","",IF(ISNUMBER('Dvd Calendar'!$AK$861)=FALSE,"",IF((('Dvd Calendar'!$AK$863=TYPE1)*(TYPE1&lt;&gt;"")+('Dvd Calendar'!$AK$863=TYPE2)*(TYPE2&lt;&gt;"")+('Dvd Calendar'!$AK$863=TYPE3)*(TYPE3&lt;&gt;"")+('Dvd Calendar'!$AK$863=TYPE4)*(TYPE4&lt;&gt;"")+('Dvd Calendar'!$AK$863=SPECIAL_LBL)*(INC_SPECIALS="Y"))=0,"",'Dvd Calendar'!$AK$861)))</f>
        <v/>
      </c>
      <c r="AJ89" s="106">
        <f>IF(FL89="","",IF(ISNUMBER('Dvd Calendar'!$AL$861)=FALSE,"",IF((('Dvd Calendar'!$AL$863=TYPE1)*(TYPE1&lt;&gt;"")+('Dvd Calendar'!$AL$863=TYPE2)*(TYPE2&lt;&gt;"")+('Dvd Calendar'!$AL$863=TYPE3)*(TYPE3&lt;&gt;"")+('Dvd Calendar'!$AL$863=TYPE4)*(TYPE4&lt;&gt;"")+('Dvd Calendar'!$AL$863=SPECIAL_LBL)*(INC_SPECIALS="Y"))=0,"",'Dvd Calendar'!$AL$861)))</f>
        <v/>
      </c>
      <c r="AK89" s="106">
        <f>IF(FM89="","",IF(ISNUMBER('Dvd Calendar'!$AM$861)=FALSE,"",IF((('Dvd Calendar'!$AM$863=TYPE1)*(TYPE1&lt;&gt;"")+('Dvd Calendar'!$AM$863=TYPE2)*(TYPE2&lt;&gt;"")+('Dvd Calendar'!$AM$863=TYPE3)*(TYPE3&lt;&gt;"")+('Dvd Calendar'!$AM$863=TYPE4)*(TYPE4&lt;&gt;"")+('Dvd Calendar'!$AM$863=SPECIAL_LBL)*(INC_SPECIALS="Y"))=0,"",'Dvd Calendar'!$AM$861)))</f>
        <v/>
      </c>
      <c r="AL89" s="106">
        <f>IF(FN89="","",IF(ISNUMBER('Dvd Calendar'!$AN$861)=FALSE,"",IF((('Dvd Calendar'!$AN$863=TYPE1)*(TYPE1&lt;&gt;"")+('Dvd Calendar'!$AN$863=TYPE2)*(TYPE2&lt;&gt;"")+('Dvd Calendar'!$AN$863=TYPE3)*(TYPE3&lt;&gt;"")+('Dvd Calendar'!$AN$863=TYPE4)*(TYPE4&lt;&gt;"")+('Dvd Calendar'!$AN$863=SPECIAL_LBL)*(INC_SPECIALS="Y"))=0,"",'Dvd Calendar'!$AN$861)))</f>
        <v/>
      </c>
      <c r="AM89" s="106">
        <f>IF(FO89="","",IF(ISNUMBER('Dvd Calendar'!$AO$861)=FALSE,"",IF((('Dvd Calendar'!$AO$863=TYPE1)*(TYPE1&lt;&gt;"")+('Dvd Calendar'!$AO$863=TYPE2)*(TYPE2&lt;&gt;"")+('Dvd Calendar'!$AO$863=TYPE3)*(TYPE3&lt;&gt;"")+('Dvd Calendar'!$AO$863=TYPE4)*(TYPE4&lt;&gt;"")+('Dvd Calendar'!$AO$863=SPECIAL_LBL)*(INC_SPECIALS="Y"))=0,"",'Dvd Calendar'!$AO$861)))</f>
        <v/>
      </c>
      <c r="AN89" s="106">
        <f>IF(FP89="","",IF(ISNUMBER('Dvd Calendar'!$AP$861)=FALSE,"",IF((('Dvd Calendar'!$AP$863=TYPE1)*(TYPE1&lt;&gt;"")+('Dvd Calendar'!$AP$863=TYPE2)*(TYPE2&lt;&gt;"")+('Dvd Calendar'!$AP$863=TYPE3)*(TYPE3&lt;&gt;"")+('Dvd Calendar'!$AP$863=TYPE4)*(TYPE4&lt;&gt;"")+('Dvd Calendar'!$AP$863=SPECIAL_LBL)*(INC_SPECIALS="Y"))=0,"",'Dvd Calendar'!$AP$861)))</f>
        <v/>
      </c>
      <c r="AO89" s="106">
        <f>IF(FQ89="","",IF(ISNUMBER('Dvd Calendar'!$AQ$861)=FALSE,"",IF((('Dvd Calendar'!$AQ$863=TYPE1)*(TYPE1&lt;&gt;"")+('Dvd Calendar'!$AQ$863=TYPE2)*(TYPE2&lt;&gt;"")+('Dvd Calendar'!$AQ$863=TYPE3)*(TYPE3&lt;&gt;"")+('Dvd Calendar'!$AQ$863=TYPE4)*(TYPE4&lt;&gt;"")+('Dvd Calendar'!$AQ$863=SPECIAL_LBL)*(INC_SPECIALS="Y"))=0,"",'Dvd Calendar'!$AQ$861)))</f>
        <v/>
      </c>
      <c r="AP89" s="106">
        <f>IF(FR89="","",IF(ISNUMBER('Dvd Calendar'!$AR$861)=FALSE,"",IF((('Dvd Calendar'!$AR$863=TYPE1)*(TYPE1&lt;&gt;"")+('Dvd Calendar'!$AR$863=TYPE2)*(TYPE2&lt;&gt;"")+('Dvd Calendar'!$AR$863=TYPE3)*(TYPE3&lt;&gt;"")+('Dvd Calendar'!$AR$863=TYPE4)*(TYPE4&lt;&gt;"")+('Dvd Calendar'!$AR$863=SPECIAL_LBL)*(INC_SPECIALS="Y"))=0,"",'Dvd Calendar'!$AR$861)))</f>
        <v/>
      </c>
      <c r="AQ89" s="106">
        <f>IF(FS89="","",IF(ISNUMBER('Dvd Calendar'!$E$866)=FALSE,"",'Dvd Calendar'!$E$866))</f>
        <v/>
      </c>
      <c r="AR89" s="106">
        <f>IF(FT89="","",IF(ISNUMBER('Dvd Calendar'!$F$866)=FALSE,"",'Dvd Calendar'!$F$866))</f>
        <v/>
      </c>
      <c r="AS89" s="106">
        <f>IF(FU89="","",IF(ISNUMBER('Dvd Calendar'!$G$866)=FALSE,"",'Dvd Calendar'!$G$866))</f>
        <v/>
      </c>
      <c r="AT89" s="106">
        <f>IF(FV89="","",IF(ISNUMBER('Dvd Calendar'!$H$866)=FALSE,"",'Dvd Calendar'!$H$866))</f>
        <v/>
      </c>
      <c r="AU89" s="106">
        <f>IF(FW89="","",IF(ISNUMBER('Dvd Calendar'!$I$866)=FALSE,"",'Dvd Calendar'!$I$866))</f>
        <v/>
      </c>
      <c r="AV89" s="106">
        <f>IF(FX89="","",IF(ISNUMBER('Dvd Calendar'!$J$866)=FALSE,"",'Dvd Calendar'!$J$866))</f>
        <v/>
      </c>
      <c r="AW89" s="106">
        <f>IF(FY89="","",IF(ISNUMBER('Dvd Calendar'!$K$866)=FALSE,"",'Dvd Calendar'!$K$866))</f>
        <v/>
      </c>
      <c r="AX89" s="106">
        <f>IF(FZ89="","",IF(ISNUMBER('Dvd Calendar'!$L$866)=FALSE,"",'Dvd Calendar'!$L$866))</f>
        <v/>
      </c>
      <c r="AY89" s="106">
        <f>IF(GA89="","",IF(ISNUMBER('Dvd Calendar'!$M$866)=FALSE,"",'Dvd Calendar'!$M$866))</f>
        <v/>
      </c>
      <c r="AZ89" s="106">
        <f>IF(GB89="","",IF(ISNUMBER('Dvd Calendar'!$N$866)=FALSE,"",'Dvd Calendar'!$N$866))</f>
        <v/>
      </c>
      <c r="BA89" s="106">
        <f>IF(GC89="","",IF(ISNUMBER('Dvd Calendar'!$O$866)=FALSE,"",'Dvd Calendar'!$O$866))</f>
        <v/>
      </c>
      <c r="BB89" s="106">
        <f>IF(GD89="","",IF(ISNUMBER('Dvd Calendar'!$P$866)=FALSE,"",'Dvd Calendar'!$P$866))</f>
        <v/>
      </c>
      <c r="BC89" s="106">
        <f>IF(GE89="","",IF(ISNUMBER('Dvd Calendar'!$Q$866)=FALSE,"",'Dvd Calendar'!$Q$866))</f>
        <v/>
      </c>
      <c r="BD89" s="106">
        <f>IF(GF89="","",IF(ISNUMBER('Dvd Calendar'!$R$866)=FALSE,"",'Dvd Calendar'!$R$866))</f>
        <v/>
      </c>
      <c r="BE89" s="106">
        <f>IF(GG89="","",IF(ISNUMBER('Dvd Calendar'!$S$866)=FALSE,"",'Dvd Calendar'!$S$866))</f>
        <v/>
      </c>
      <c r="BF89" s="106">
        <f>IF(GH89="","",IF(ISNUMBER('Dvd Calendar'!$T$866)=FALSE,"",'Dvd Calendar'!$T$866))</f>
        <v/>
      </c>
      <c r="BG89" s="106">
        <f>IF(GI89="","",IF(ISNUMBER('Dvd Calendar'!$U$866)=FALSE,"",'Dvd Calendar'!$U$866))</f>
        <v/>
      </c>
      <c r="BH89" s="106">
        <f>IF(GJ89="","",IF(ISNUMBER('Dvd Calendar'!$V$866)=FALSE,"",'Dvd Calendar'!$V$866))</f>
        <v/>
      </c>
      <c r="BI89" s="106">
        <f>IF(GK89="","",IF(ISNUMBER('Dvd Calendar'!$W$866)=FALSE,"",'Dvd Calendar'!$W$866))</f>
        <v/>
      </c>
      <c r="BJ89" s="106">
        <f>IF(GL89="","",IF(ISNUMBER('Dvd Calendar'!$X$866)=FALSE,"",'Dvd Calendar'!$X$866))</f>
        <v/>
      </c>
      <c r="BK89" s="106">
        <f>IF(GM89="","",IF(ISNUMBER('Dvd Calendar'!$Y$866)=FALSE,"",'Dvd Calendar'!$Y$866))</f>
        <v/>
      </c>
      <c r="BL89" s="106">
        <f>IF(GN89="","",IF(ISNUMBER('Dvd Calendar'!$Z$866)=FALSE,"",'Dvd Calendar'!$Z$866))</f>
        <v/>
      </c>
      <c r="BM89" s="106">
        <f>IF(GO89="","",IF(ISNUMBER('Dvd Calendar'!$AA$866)=FALSE,"",'Dvd Calendar'!$AA$866))</f>
        <v/>
      </c>
      <c r="BN89" s="106">
        <f>IF(GP89="","",IF(ISNUMBER('Dvd Calendar'!$AB$866)=FALSE,"",'Dvd Calendar'!$AB$866))</f>
        <v/>
      </c>
      <c r="BO89" s="106">
        <f>IF(GQ89="","",IF(ISNUMBER('Dvd Calendar'!$AC$866)=FALSE,"",'Dvd Calendar'!$AC$866))</f>
        <v/>
      </c>
      <c r="BQ89" s="106">
        <f>IF(C89="","",IFERROR(C89*HSI!$B$84*HSI!$G$84/HSI!$B$3,""))</f>
        <v/>
      </c>
      <c r="BR89" s="106">
        <f>IF(D89="","",IFERROR(D89*HSI!$B$84*HSI!$G$84/HSI!$B$3,""))</f>
        <v/>
      </c>
      <c r="BS89" s="106">
        <f>IF(E89="","",IFERROR(E89*HSI!$B$84*HSI!$G$84/HSI!$B$3,""))</f>
        <v/>
      </c>
      <c r="BT89" s="106">
        <f>IF(F89="","",IFERROR(F89*HSI!$B$84*HSI!$G$84/HSI!$B$3,""))</f>
        <v/>
      </c>
      <c r="BU89" s="106">
        <f>IF(G89="","",IFERROR(G89*HSI!$B$84*HSI!$G$84/HSI!$B$3,""))</f>
        <v/>
      </c>
      <c r="BV89" s="106">
        <f>IF(H89="","",IFERROR(H89*HSI!$B$84*HSI!$G$84/HSI!$B$3,""))</f>
        <v/>
      </c>
      <c r="BW89" s="106">
        <f>IF(I89="","",IFERROR(I89*HSI!$B$84*HSI!$G$84/HSI!$B$3,""))</f>
        <v/>
      </c>
      <c r="BX89" s="106">
        <f>IF(J89="","",IFERROR(J89*HSI!$B$84*HSI!$G$84/HSI!$B$3,""))</f>
        <v/>
      </c>
      <c r="BY89" s="106">
        <f>IF(K89="","",IFERROR(K89*HSI!$B$84*HSI!$G$84/HSI!$B$3,""))</f>
        <v/>
      </c>
      <c r="BZ89" s="106">
        <f>IF(L89="","",IFERROR(L89*HSI!$B$84*HSI!$G$84/HSI!$B$3,""))</f>
        <v/>
      </c>
      <c r="CA89" s="106">
        <f>IF(M89="","",IFERROR(M89*HSI!$B$84*HSI!$G$84/HSI!$B$3,""))</f>
        <v/>
      </c>
      <c r="CB89" s="106">
        <f>IF(N89="","",IFERROR(N89*HSI!$B$84*HSI!$G$84/HSI!$B$3,""))</f>
        <v/>
      </c>
      <c r="CC89" s="106">
        <f>IF(O89="","",IFERROR(O89*HSI!$B$84*HSI!$G$84/HSI!$B$3,""))</f>
        <v/>
      </c>
      <c r="CD89" s="106">
        <f>IF(P89="","",IFERROR(P89*HSI!$B$84*HSI!$G$84/HSI!$B$3,""))</f>
        <v/>
      </c>
      <c r="CE89" s="106">
        <f>IF(Q89="","",IFERROR(Q89*HSI!$B$84*HSI!$G$84/HSI!$B$3,""))</f>
        <v/>
      </c>
      <c r="CF89" s="106">
        <f>IF(R89="","",IFERROR(R89*HSI!$B$84*HSI!$G$84/HSI!$B$3,""))</f>
        <v/>
      </c>
      <c r="CG89" s="106">
        <f>IF(S89="","",IFERROR(S89*HSI!$B$84*HSI!$G$84/HSI!$B$3,""))</f>
        <v/>
      </c>
      <c r="CH89" s="106">
        <f>IF(T89="","",IFERROR(T89*HSI!$B$84*HSI!$G$84/HSI!$B$3,""))</f>
        <v/>
      </c>
      <c r="CI89" s="106">
        <f>IF(U89="","",IFERROR(U89*HSI!$B$84*HSI!$G$84/HSI!$B$3,""))</f>
        <v/>
      </c>
      <c r="CJ89" s="106">
        <f>IF(V89="","",IFERROR(V89*HSI!$B$84*HSI!$G$84/HSI!$B$3,""))</f>
        <v/>
      </c>
      <c r="CK89" s="106">
        <f>IF(W89="","",IFERROR(W89*HSI!$B$84*HSI!$G$84/HSI!$B$3,""))</f>
        <v/>
      </c>
      <c r="CL89" s="106">
        <f>IF(X89="","",IFERROR(X89*HSI!$B$84*HSI!$G$84/HSI!$B$3,""))</f>
        <v/>
      </c>
      <c r="CM89" s="106">
        <f>IF(Y89="","",IFERROR(Y89*HSI!$B$84*HSI!$G$84/HSI!$B$3,""))</f>
        <v/>
      </c>
      <c r="CN89" s="106">
        <f>IF(Z89="","",IFERROR(Z89*HSI!$B$84*HSI!$G$84/HSI!$B$3,""))</f>
        <v/>
      </c>
      <c r="CO89" s="106">
        <f>IF(AA89="","",IFERROR(AA89*HSI!$B$84*HSI!$G$84/HSI!$B$3,""))</f>
        <v/>
      </c>
      <c r="CP89" s="106">
        <f>IF(AB89="","",IFERROR(AB89*HSI!$B$84*HSI!$G$84/HSI!$B$3,""))</f>
        <v/>
      </c>
      <c r="CQ89" s="106">
        <f>IF(AC89="","",IFERROR(AC89*HSI!$B$84*HSI!$G$84/HSI!$B$3,""))</f>
        <v/>
      </c>
      <c r="CR89" s="106">
        <f>IF(AD89="","",IFERROR(AD89*HSI!$B$84*HSI!$G$84/HSI!$B$3,""))</f>
        <v/>
      </c>
      <c r="CS89" s="106">
        <f>IF(AE89="","",IFERROR(AE89*HSI!$B$84*HSI!$G$84/HSI!$B$3,""))</f>
        <v/>
      </c>
      <c r="CT89" s="106">
        <f>IF(AF89="","",IFERROR(AF89*HSI!$B$84*HSI!$G$84/HSI!$B$3,""))</f>
        <v/>
      </c>
      <c r="CU89" s="106">
        <f>IF(AG89="","",IFERROR(AG89*HSI!$B$84*HSI!$G$84/HSI!$B$3,""))</f>
        <v/>
      </c>
      <c r="CV89" s="106">
        <f>IF(AH89="","",IFERROR(AH89*HSI!$B$84*HSI!$G$84/HSI!$B$3,""))</f>
        <v/>
      </c>
      <c r="CW89" s="106">
        <f>IF(AI89="","",IFERROR(AI89*HSI!$B$84*HSI!$G$84/HSI!$B$3,""))</f>
        <v/>
      </c>
      <c r="CX89" s="106">
        <f>IF(AJ89="","",IFERROR(AJ89*HSI!$B$84*HSI!$G$84/HSI!$B$3,""))</f>
        <v/>
      </c>
      <c r="CY89" s="106">
        <f>IF(AK89="","",IFERROR(AK89*HSI!$B$84*HSI!$G$84/HSI!$B$3,""))</f>
        <v/>
      </c>
      <c r="CZ89" s="106">
        <f>IF(AL89="","",IFERROR(AL89*HSI!$B$84*HSI!$G$84/HSI!$B$3,""))</f>
        <v/>
      </c>
      <c r="DA89" s="106">
        <f>IF(AM89="","",IFERROR(AM89*HSI!$B$84*HSI!$G$84/HSI!$B$3,""))</f>
        <v/>
      </c>
      <c r="DB89" s="106">
        <f>IF(AN89="","",IFERROR(AN89*HSI!$B$84*HSI!$G$84/HSI!$B$3,""))</f>
        <v/>
      </c>
      <c r="DC89" s="106">
        <f>IF(AO89="","",IFERROR(AO89*HSI!$B$84*HSI!$G$84/HSI!$B$3,""))</f>
        <v/>
      </c>
      <c r="DD89" s="106">
        <f>IF(AP89="","",IFERROR(AP89*HSI!$B$84*HSI!$G$84/HSI!$B$3,""))</f>
        <v/>
      </c>
      <c r="DE89" s="106">
        <f>IF(AQ89="","",IFERROR(AQ89*HSI!$B$84*HSI!$G$84/HSI!$B$3,""))</f>
        <v/>
      </c>
      <c r="DF89" s="106">
        <f>IF(AR89="","",IFERROR(AR89*HSI!$B$84*HSI!$G$84/HSI!$B$3,""))</f>
        <v/>
      </c>
      <c r="DG89" s="106">
        <f>IF(AS89="","",IFERROR(AS89*HSI!$B$84*HSI!$G$84/HSI!$B$3,""))</f>
        <v/>
      </c>
      <c r="DH89" s="106">
        <f>IF(AT89="","",IFERROR(AT89*HSI!$B$84*HSI!$G$84/HSI!$B$3,""))</f>
        <v/>
      </c>
      <c r="DI89" s="106">
        <f>IF(AU89="","",IFERROR(AU89*HSI!$B$84*HSI!$G$84/HSI!$B$3,""))</f>
        <v/>
      </c>
      <c r="DJ89" s="106">
        <f>IF(AV89="","",IFERROR(AV89*HSI!$B$84*HSI!$G$84/HSI!$B$3,""))</f>
        <v/>
      </c>
      <c r="DK89" s="106">
        <f>IF(AW89="","",IFERROR(AW89*HSI!$B$84*HSI!$G$84/HSI!$B$3,""))</f>
        <v/>
      </c>
      <c r="DL89" s="106">
        <f>IF(AX89="","",IFERROR(AX89*HSI!$B$84*HSI!$G$84/HSI!$B$3,""))</f>
        <v/>
      </c>
      <c r="DM89" s="106">
        <f>IF(AY89="","",IFERROR(AY89*HSI!$B$84*HSI!$G$84/HSI!$B$3,""))</f>
        <v/>
      </c>
      <c r="DN89" s="106">
        <f>IF(AZ89="","",IFERROR(AZ89*HSI!$B$84*HSI!$G$84/HSI!$B$3,""))</f>
        <v/>
      </c>
      <c r="DO89" s="106">
        <f>IF(BA89="","",IFERROR(BA89*HSI!$B$84*HSI!$G$84/HSI!$B$3,""))</f>
        <v/>
      </c>
      <c r="DP89" s="106">
        <f>IF(BB89="","",IFERROR(BB89*HSI!$B$84*HSI!$G$84/HSI!$B$3,""))</f>
        <v/>
      </c>
      <c r="DQ89" s="106">
        <f>IF(BC89="","",IFERROR(BC89*HSI!$B$84*HSI!$G$84/HSI!$B$3,""))</f>
        <v/>
      </c>
      <c r="DR89" s="106">
        <f>IF(BD89="","",IFERROR(BD89*HSI!$B$84*HSI!$G$84/HSI!$B$3,""))</f>
        <v/>
      </c>
      <c r="DS89" s="106">
        <f>IF(BE89="","",IFERROR(BE89*HSI!$B$84*HSI!$G$84/HSI!$B$3,""))</f>
        <v/>
      </c>
      <c r="DT89" s="106">
        <f>IF(BF89="","",IFERROR(BF89*HSI!$B$84*HSI!$G$84/HSI!$B$3,""))</f>
        <v/>
      </c>
      <c r="DU89" s="106">
        <f>IF(BG89="","",IFERROR(BG89*HSI!$B$84*HSI!$G$84/HSI!$B$3,""))</f>
        <v/>
      </c>
      <c r="DV89" s="106">
        <f>IF(BH89="","",IFERROR(BH89*HSI!$B$84*HSI!$G$84/HSI!$B$3,""))</f>
        <v/>
      </c>
      <c r="DW89" s="106">
        <f>IF(BI89="","",IFERROR(BI89*HSI!$B$84*HSI!$G$84/HSI!$B$3,""))</f>
        <v/>
      </c>
      <c r="DX89" s="106">
        <f>IF(BJ89="","",IFERROR(BJ89*HSI!$B$84*HSI!$G$84/HSI!$B$3,""))</f>
        <v/>
      </c>
      <c r="DY89" s="106">
        <f>IF(BK89="","",IFERROR(BK89*HSI!$B$84*HSI!$G$84/HSI!$B$3,""))</f>
        <v/>
      </c>
      <c r="DZ89" s="106">
        <f>IF(BL89="","",IFERROR(BL89*HSI!$B$84*HSI!$G$84/HSI!$B$3,""))</f>
        <v/>
      </c>
      <c r="EA89" s="106">
        <f>IF(BM89="","",IFERROR(BM89*HSI!$B$84*HSI!$G$84/HSI!$B$3,""))</f>
        <v/>
      </c>
      <c r="EB89" s="106">
        <f>IF(BN89="","",IFERROR(BN89*HSI!$B$84*HSI!$G$84/HSI!$B$3,""))</f>
        <v/>
      </c>
      <c r="EC89" s="106">
        <f>IF(BO89="","",IFERROR(BO89*HSI!$B$84*HSI!$G$84/HSI!$B$3,""))</f>
        <v/>
      </c>
      <c r="EE89" s="35">
        <f>IF(N('Dvd Calendar'!$E$858)=0,"",IF(('Dvd Calendar'!$E$858&gt;=GRID_FROM)*('Dvd Calendar'!$E$858&lt;=GRID_TO)*('Dvd Calendar'!$E$858&lt;=VAL_DATE)=0,"",'Dvd Calendar'!$E$858*1000000000+ISNUMBER('Dvd Calendar'!$E$861)*100000000+('Dvd Calendar'!$E$863=SPECIAL_LBL)*10000000+0*1000000+78*1000+1))</f>
        <v/>
      </c>
      <c r="EF89" s="35">
        <f>IF(N('Dvd Calendar'!$F$858)=0,"",IF(('Dvd Calendar'!$F$858&gt;=GRID_FROM)*('Dvd Calendar'!$F$858&lt;=GRID_TO)*('Dvd Calendar'!$F$858&lt;=VAL_DATE)=0,"",'Dvd Calendar'!$F$858*1000000000+ISNUMBER('Dvd Calendar'!$F$861)*100000000+('Dvd Calendar'!$F$863=SPECIAL_LBL)*10000000+0*1000000+78*1000+2))</f>
        <v/>
      </c>
      <c r="EG89" s="35">
        <f>IF(N('Dvd Calendar'!$G$858)=0,"",IF(('Dvd Calendar'!$G$858&gt;=GRID_FROM)*('Dvd Calendar'!$G$858&lt;=GRID_TO)*('Dvd Calendar'!$G$858&lt;=VAL_DATE)=0,"",'Dvd Calendar'!$G$858*1000000000+ISNUMBER('Dvd Calendar'!$G$861)*100000000+('Dvd Calendar'!$G$863=SPECIAL_LBL)*10000000+0*1000000+78*1000+3))</f>
        <v/>
      </c>
      <c r="EH89" s="35">
        <f>IF(N('Dvd Calendar'!$H$858)=0,"",IF(('Dvd Calendar'!$H$858&gt;=GRID_FROM)*('Dvd Calendar'!$H$858&lt;=GRID_TO)*('Dvd Calendar'!$H$858&lt;=VAL_DATE)=0,"",'Dvd Calendar'!$H$858*1000000000+ISNUMBER('Dvd Calendar'!$H$861)*100000000+('Dvd Calendar'!$H$863=SPECIAL_LBL)*10000000+0*1000000+78*1000+4))</f>
        <v/>
      </c>
      <c r="EI89" s="35">
        <f>IF(N('Dvd Calendar'!$I$858)=0,"",IF(('Dvd Calendar'!$I$858&gt;=GRID_FROM)*('Dvd Calendar'!$I$858&lt;=GRID_TO)*('Dvd Calendar'!$I$858&lt;=VAL_DATE)=0,"",'Dvd Calendar'!$I$858*1000000000+ISNUMBER('Dvd Calendar'!$I$861)*100000000+('Dvd Calendar'!$I$863=SPECIAL_LBL)*10000000+0*1000000+78*1000+5))</f>
        <v/>
      </c>
      <c r="EJ89" s="35">
        <f>IF(N('Dvd Calendar'!$J$858)=0,"",IF(('Dvd Calendar'!$J$858&gt;=GRID_FROM)*('Dvd Calendar'!$J$858&lt;=GRID_TO)*('Dvd Calendar'!$J$858&lt;=VAL_DATE)=0,"",'Dvd Calendar'!$J$858*1000000000+ISNUMBER('Dvd Calendar'!$J$861)*100000000+('Dvd Calendar'!$J$863=SPECIAL_LBL)*10000000+0*1000000+78*1000+6))</f>
        <v/>
      </c>
      <c r="EK89" s="35">
        <f>IF(N('Dvd Calendar'!$K$858)=0,"",IF(('Dvd Calendar'!$K$858&gt;=GRID_FROM)*('Dvd Calendar'!$K$858&lt;=GRID_TO)*('Dvd Calendar'!$K$858&lt;=VAL_DATE)=0,"",'Dvd Calendar'!$K$858*1000000000+ISNUMBER('Dvd Calendar'!$K$861)*100000000+('Dvd Calendar'!$K$863=SPECIAL_LBL)*10000000+0*1000000+78*1000+7))</f>
        <v/>
      </c>
      <c r="EL89" s="35">
        <f>IF(N('Dvd Calendar'!$L$858)=0,"",IF(('Dvd Calendar'!$L$858&gt;=GRID_FROM)*('Dvd Calendar'!$L$858&lt;=GRID_TO)*('Dvd Calendar'!$L$858&lt;=VAL_DATE)=0,"",'Dvd Calendar'!$L$858*1000000000+ISNUMBER('Dvd Calendar'!$L$861)*100000000+('Dvd Calendar'!$L$863=SPECIAL_LBL)*10000000+0*1000000+78*1000+8))</f>
        <v/>
      </c>
      <c r="EM89" s="35">
        <f>IF(N('Dvd Calendar'!$M$858)=0,"",IF(('Dvd Calendar'!$M$858&gt;=GRID_FROM)*('Dvd Calendar'!$M$858&lt;=GRID_TO)*('Dvd Calendar'!$M$858&lt;=VAL_DATE)=0,"",'Dvd Calendar'!$M$858*1000000000+ISNUMBER('Dvd Calendar'!$M$861)*100000000+('Dvd Calendar'!$M$863=SPECIAL_LBL)*10000000+0*1000000+78*1000+9))</f>
        <v/>
      </c>
      <c r="EN89" s="35">
        <f>IF(N('Dvd Calendar'!$N$858)=0,"",IF(('Dvd Calendar'!$N$858&gt;=GRID_FROM)*('Dvd Calendar'!$N$858&lt;=GRID_TO)*('Dvd Calendar'!$N$858&lt;=VAL_DATE)=0,"",'Dvd Calendar'!$N$858*1000000000+ISNUMBER('Dvd Calendar'!$N$861)*100000000+('Dvd Calendar'!$N$863=SPECIAL_LBL)*10000000+0*1000000+78*1000+10))</f>
        <v/>
      </c>
      <c r="EO89" s="35">
        <f>IF(N('Dvd Calendar'!$O$858)=0,"",IF(('Dvd Calendar'!$O$858&gt;=GRID_FROM)*('Dvd Calendar'!$O$858&lt;=GRID_TO)*('Dvd Calendar'!$O$858&lt;=VAL_DATE)=0,"",'Dvd Calendar'!$O$858*1000000000+ISNUMBER('Dvd Calendar'!$O$861)*100000000+('Dvd Calendar'!$O$863=SPECIAL_LBL)*10000000+0*1000000+78*1000+11))</f>
        <v/>
      </c>
      <c r="EP89" s="35">
        <f>IF(N('Dvd Calendar'!$P$858)=0,"",IF(('Dvd Calendar'!$P$858&gt;=GRID_FROM)*('Dvd Calendar'!$P$858&lt;=GRID_TO)*('Dvd Calendar'!$P$858&lt;=VAL_DATE)=0,"",'Dvd Calendar'!$P$858*1000000000+ISNUMBER('Dvd Calendar'!$P$861)*100000000+('Dvd Calendar'!$P$863=SPECIAL_LBL)*10000000+0*1000000+78*1000+12))</f>
        <v/>
      </c>
      <c r="EQ89" s="35">
        <f>IF(N('Dvd Calendar'!$Q$858)=0,"",IF(('Dvd Calendar'!$Q$858&gt;=GRID_FROM)*('Dvd Calendar'!$Q$858&lt;=GRID_TO)*('Dvd Calendar'!$Q$858&lt;=VAL_DATE)=0,"",'Dvd Calendar'!$Q$858*1000000000+ISNUMBER('Dvd Calendar'!$Q$861)*100000000+('Dvd Calendar'!$Q$863=SPECIAL_LBL)*10000000+0*1000000+78*1000+13))</f>
        <v/>
      </c>
      <c r="ER89" s="35">
        <f>IF(N('Dvd Calendar'!$R$858)=0,"",IF(('Dvd Calendar'!$R$858&gt;=GRID_FROM)*('Dvd Calendar'!$R$858&lt;=GRID_TO)*('Dvd Calendar'!$R$858&lt;=VAL_DATE)=0,"",'Dvd Calendar'!$R$858*1000000000+ISNUMBER('Dvd Calendar'!$R$861)*100000000+('Dvd Calendar'!$R$863=SPECIAL_LBL)*10000000+0*1000000+78*1000+14))</f>
        <v/>
      </c>
      <c r="ES89" s="35">
        <f>IF(N('Dvd Calendar'!$S$858)=0,"",IF(('Dvd Calendar'!$S$858&gt;=GRID_FROM)*('Dvd Calendar'!$S$858&lt;=GRID_TO)*('Dvd Calendar'!$S$858&lt;=VAL_DATE)=0,"",'Dvd Calendar'!$S$858*1000000000+ISNUMBER('Dvd Calendar'!$S$861)*100000000+('Dvd Calendar'!$S$863=SPECIAL_LBL)*10000000+0*1000000+78*1000+15))</f>
        <v/>
      </c>
      <c r="ET89" s="35">
        <f>IF(N('Dvd Calendar'!$T$858)=0,"",IF(('Dvd Calendar'!$T$858&gt;=GRID_FROM)*('Dvd Calendar'!$T$858&lt;=GRID_TO)*('Dvd Calendar'!$T$858&lt;=VAL_DATE)=0,"",'Dvd Calendar'!$T$858*1000000000+ISNUMBER('Dvd Calendar'!$T$861)*100000000+('Dvd Calendar'!$T$863=SPECIAL_LBL)*10000000+0*1000000+78*1000+16))</f>
        <v/>
      </c>
      <c r="EU89" s="35">
        <f>IF(N('Dvd Calendar'!$U$858)=0,"",IF(('Dvd Calendar'!$U$858&gt;=GRID_FROM)*('Dvd Calendar'!$U$858&lt;=GRID_TO)*('Dvd Calendar'!$U$858&lt;=VAL_DATE)=0,"",'Dvd Calendar'!$U$858*1000000000+ISNUMBER('Dvd Calendar'!$U$861)*100000000+('Dvd Calendar'!$U$863=SPECIAL_LBL)*10000000+0*1000000+78*1000+17))</f>
        <v/>
      </c>
      <c r="EV89" s="35">
        <f>IF(N('Dvd Calendar'!$V$858)=0,"",IF(('Dvd Calendar'!$V$858&gt;=GRID_FROM)*('Dvd Calendar'!$V$858&lt;=GRID_TO)*('Dvd Calendar'!$V$858&lt;=VAL_DATE)=0,"",'Dvd Calendar'!$V$858*1000000000+ISNUMBER('Dvd Calendar'!$V$861)*100000000+('Dvd Calendar'!$V$863=SPECIAL_LBL)*10000000+0*1000000+78*1000+18))</f>
        <v/>
      </c>
      <c r="EW89" s="35">
        <f>IF(N('Dvd Calendar'!$W$858)=0,"",IF(('Dvd Calendar'!$W$858&gt;=GRID_FROM)*('Dvd Calendar'!$W$858&lt;=GRID_TO)*('Dvd Calendar'!$W$858&lt;=VAL_DATE)=0,"",'Dvd Calendar'!$W$858*1000000000+ISNUMBER('Dvd Calendar'!$W$861)*100000000+('Dvd Calendar'!$W$863=SPECIAL_LBL)*10000000+0*1000000+78*1000+19))</f>
        <v/>
      </c>
      <c r="EX89" s="35">
        <f>IF(N('Dvd Calendar'!$X$858)=0,"",IF(('Dvd Calendar'!$X$858&gt;=GRID_FROM)*('Dvd Calendar'!$X$858&lt;=GRID_TO)*('Dvd Calendar'!$X$858&lt;=VAL_DATE)=0,"",'Dvd Calendar'!$X$858*1000000000+ISNUMBER('Dvd Calendar'!$X$861)*100000000+('Dvd Calendar'!$X$863=SPECIAL_LBL)*10000000+0*1000000+78*1000+20))</f>
        <v/>
      </c>
      <c r="EY89" s="35">
        <f>IF(N('Dvd Calendar'!$Y$858)=0,"",IF(('Dvd Calendar'!$Y$858&gt;=GRID_FROM)*('Dvd Calendar'!$Y$858&lt;=GRID_TO)*('Dvd Calendar'!$Y$858&lt;=VAL_DATE)=0,"",'Dvd Calendar'!$Y$858*1000000000+ISNUMBER('Dvd Calendar'!$Y$861)*100000000+('Dvd Calendar'!$Y$863=SPECIAL_LBL)*10000000+0*1000000+78*1000+21))</f>
        <v/>
      </c>
      <c r="EZ89" s="35">
        <f>IF(N('Dvd Calendar'!$Z$858)=0,"",IF(('Dvd Calendar'!$Z$858&gt;=GRID_FROM)*('Dvd Calendar'!$Z$858&lt;=GRID_TO)*('Dvd Calendar'!$Z$858&lt;=VAL_DATE)=0,"",'Dvd Calendar'!$Z$858*1000000000+ISNUMBER('Dvd Calendar'!$Z$861)*100000000+('Dvd Calendar'!$Z$863=SPECIAL_LBL)*10000000+0*1000000+78*1000+22))</f>
        <v/>
      </c>
      <c r="FA89" s="35">
        <f>IF(N('Dvd Calendar'!$AA$858)=0,"",IF(('Dvd Calendar'!$AA$858&gt;=GRID_FROM)*('Dvd Calendar'!$AA$858&lt;=GRID_TO)*('Dvd Calendar'!$AA$858&lt;=VAL_DATE)=0,"",'Dvd Calendar'!$AA$858*1000000000+ISNUMBER('Dvd Calendar'!$AA$861)*100000000+('Dvd Calendar'!$AA$863=SPECIAL_LBL)*10000000+0*1000000+78*1000+23))</f>
        <v/>
      </c>
      <c r="FB89" s="35">
        <f>IF(N('Dvd Calendar'!$AB$858)=0,"",IF(('Dvd Calendar'!$AB$858&gt;=GRID_FROM)*('Dvd Calendar'!$AB$858&lt;=GRID_TO)*('Dvd Calendar'!$AB$858&lt;=VAL_DATE)=0,"",'Dvd Calendar'!$AB$858*1000000000+ISNUMBER('Dvd Calendar'!$AB$861)*100000000+('Dvd Calendar'!$AB$863=SPECIAL_LBL)*10000000+0*1000000+78*1000+24))</f>
        <v/>
      </c>
      <c r="FC89" s="35">
        <f>IF(N('Dvd Calendar'!$AC$858)=0,"",IF(('Dvd Calendar'!$AC$858&gt;=GRID_FROM)*('Dvd Calendar'!$AC$858&lt;=GRID_TO)*('Dvd Calendar'!$AC$858&lt;=VAL_DATE)=0,"",'Dvd Calendar'!$AC$858*1000000000+ISNUMBER('Dvd Calendar'!$AC$861)*100000000+('Dvd Calendar'!$AC$863=SPECIAL_LBL)*10000000+0*1000000+78*1000+25))</f>
        <v/>
      </c>
      <c r="FD89" s="35">
        <f>IF(N('Dvd Calendar'!$AD$858)=0,"",IF(('Dvd Calendar'!$AD$858&gt;=GRID_FROM)*('Dvd Calendar'!$AD$858&lt;=GRID_TO)*('Dvd Calendar'!$AD$858&lt;=VAL_DATE)=0,"",'Dvd Calendar'!$AD$858*1000000000+ISNUMBER('Dvd Calendar'!$AD$861)*100000000+('Dvd Calendar'!$AD$863=SPECIAL_LBL)*10000000+0*1000000+78*1000+26))</f>
        <v/>
      </c>
      <c r="FE89" s="35">
        <f>IF(N('Dvd Calendar'!$AE$858)=0,"",IF(('Dvd Calendar'!$AE$858&gt;=GRID_FROM)*('Dvd Calendar'!$AE$858&lt;=GRID_TO)*('Dvd Calendar'!$AE$858&lt;=VAL_DATE)=0,"",'Dvd Calendar'!$AE$858*1000000000+ISNUMBER('Dvd Calendar'!$AE$861)*100000000+('Dvd Calendar'!$AE$863=SPECIAL_LBL)*10000000+0*1000000+78*1000+27))</f>
        <v/>
      </c>
      <c r="FF89" s="35">
        <f>IF(N('Dvd Calendar'!$AF$858)=0,"",IF(('Dvd Calendar'!$AF$858&gt;=GRID_FROM)*('Dvd Calendar'!$AF$858&lt;=GRID_TO)*('Dvd Calendar'!$AF$858&lt;=VAL_DATE)=0,"",'Dvd Calendar'!$AF$858*1000000000+ISNUMBER('Dvd Calendar'!$AF$861)*100000000+('Dvd Calendar'!$AF$863=SPECIAL_LBL)*10000000+0*1000000+78*1000+28))</f>
        <v/>
      </c>
      <c r="FG89" s="35">
        <f>IF(N('Dvd Calendar'!$AG$858)=0,"",IF(('Dvd Calendar'!$AG$858&gt;=GRID_FROM)*('Dvd Calendar'!$AG$858&lt;=GRID_TO)*('Dvd Calendar'!$AG$858&lt;=VAL_DATE)=0,"",'Dvd Calendar'!$AG$858*1000000000+ISNUMBER('Dvd Calendar'!$AG$861)*100000000+('Dvd Calendar'!$AG$863=SPECIAL_LBL)*10000000+0*1000000+78*1000+29))</f>
        <v/>
      </c>
      <c r="FH89" s="35">
        <f>IF(N('Dvd Calendar'!$AH$858)=0,"",IF(('Dvd Calendar'!$AH$858&gt;=GRID_FROM)*('Dvd Calendar'!$AH$858&lt;=GRID_TO)*('Dvd Calendar'!$AH$858&lt;=VAL_DATE)=0,"",'Dvd Calendar'!$AH$858*1000000000+ISNUMBER('Dvd Calendar'!$AH$861)*100000000+('Dvd Calendar'!$AH$863=SPECIAL_LBL)*10000000+0*1000000+78*1000+30))</f>
        <v/>
      </c>
      <c r="FI89" s="35">
        <f>IF(N('Dvd Calendar'!$AI$858)=0,"",IF(('Dvd Calendar'!$AI$858&gt;=GRID_FROM)*('Dvd Calendar'!$AI$858&lt;=GRID_TO)*('Dvd Calendar'!$AI$858&lt;=VAL_DATE)=0,"",'Dvd Calendar'!$AI$858*1000000000+ISNUMBER('Dvd Calendar'!$AI$861)*100000000+('Dvd Calendar'!$AI$863=SPECIAL_LBL)*10000000+0*1000000+78*1000+31))</f>
        <v/>
      </c>
      <c r="FJ89" s="35">
        <f>IF(N('Dvd Calendar'!$AJ$858)=0,"",IF(('Dvd Calendar'!$AJ$858&gt;=GRID_FROM)*('Dvd Calendar'!$AJ$858&lt;=GRID_TO)*('Dvd Calendar'!$AJ$858&lt;=VAL_DATE)=0,"",'Dvd Calendar'!$AJ$858*1000000000+ISNUMBER('Dvd Calendar'!$AJ$861)*100000000+('Dvd Calendar'!$AJ$863=SPECIAL_LBL)*10000000+0*1000000+78*1000+32))</f>
        <v/>
      </c>
      <c r="FK89" s="35">
        <f>IF(N('Dvd Calendar'!$AK$858)=0,"",IF(('Dvd Calendar'!$AK$858&gt;=GRID_FROM)*('Dvd Calendar'!$AK$858&lt;=GRID_TO)*('Dvd Calendar'!$AK$858&lt;=VAL_DATE)=0,"",'Dvd Calendar'!$AK$858*1000000000+ISNUMBER('Dvd Calendar'!$AK$861)*100000000+('Dvd Calendar'!$AK$863=SPECIAL_LBL)*10000000+0*1000000+78*1000+33))</f>
        <v/>
      </c>
      <c r="FL89" s="35">
        <f>IF(N('Dvd Calendar'!$AL$858)=0,"",IF(('Dvd Calendar'!$AL$858&gt;=GRID_FROM)*('Dvd Calendar'!$AL$858&lt;=GRID_TO)*('Dvd Calendar'!$AL$858&lt;=VAL_DATE)=0,"",'Dvd Calendar'!$AL$858*1000000000+ISNUMBER('Dvd Calendar'!$AL$861)*100000000+('Dvd Calendar'!$AL$863=SPECIAL_LBL)*10000000+0*1000000+78*1000+34))</f>
        <v/>
      </c>
      <c r="FM89" s="35">
        <f>IF(N('Dvd Calendar'!$AM$858)=0,"",IF(('Dvd Calendar'!$AM$858&gt;=GRID_FROM)*('Dvd Calendar'!$AM$858&lt;=GRID_TO)*('Dvd Calendar'!$AM$858&lt;=VAL_DATE)=0,"",'Dvd Calendar'!$AM$858*1000000000+ISNUMBER('Dvd Calendar'!$AM$861)*100000000+('Dvd Calendar'!$AM$863=SPECIAL_LBL)*10000000+0*1000000+78*1000+35))</f>
        <v/>
      </c>
      <c r="FN89" s="35">
        <f>IF(N('Dvd Calendar'!$AN$858)=0,"",IF(('Dvd Calendar'!$AN$858&gt;=GRID_FROM)*('Dvd Calendar'!$AN$858&lt;=GRID_TO)*('Dvd Calendar'!$AN$858&lt;=VAL_DATE)=0,"",'Dvd Calendar'!$AN$858*1000000000+ISNUMBER('Dvd Calendar'!$AN$861)*100000000+('Dvd Calendar'!$AN$863=SPECIAL_LBL)*10000000+0*1000000+78*1000+36))</f>
        <v/>
      </c>
      <c r="FO89" s="35">
        <f>IF(N('Dvd Calendar'!$AO$858)=0,"",IF(('Dvd Calendar'!$AO$858&gt;=GRID_FROM)*('Dvd Calendar'!$AO$858&lt;=GRID_TO)*('Dvd Calendar'!$AO$858&lt;=VAL_DATE)=0,"",'Dvd Calendar'!$AO$858*1000000000+ISNUMBER('Dvd Calendar'!$AO$861)*100000000+('Dvd Calendar'!$AO$863=SPECIAL_LBL)*10000000+0*1000000+78*1000+37))</f>
        <v/>
      </c>
      <c r="FP89" s="35">
        <f>IF(N('Dvd Calendar'!$AP$858)=0,"",IF(('Dvd Calendar'!$AP$858&gt;=GRID_FROM)*('Dvd Calendar'!$AP$858&lt;=GRID_TO)*('Dvd Calendar'!$AP$858&lt;=VAL_DATE)=0,"",'Dvd Calendar'!$AP$858*1000000000+ISNUMBER('Dvd Calendar'!$AP$861)*100000000+('Dvd Calendar'!$AP$863=SPECIAL_LBL)*10000000+0*1000000+78*1000+38))</f>
        <v/>
      </c>
      <c r="FQ89" s="35">
        <f>IF(N('Dvd Calendar'!$AQ$858)=0,"",IF(('Dvd Calendar'!$AQ$858&gt;=GRID_FROM)*('Dvd Calendar'!$AQ$858&lt;=GRID_TO)*('Dvd Calendar'!$AQ$858&lt;=VAL_DATE)=0,"",'Dvd Calendar'!$AQ$858*1000000000+ISNUMBER('Dvd Calendar'!$AQ$861)*100000000+('Dvd Calendar'!$AQ$863=SPECIAL_LBL)*10000000+0*1000000+78*1000+39))</f>
        <v/>
      </c>
      <c r="FR89" s="35">
        <f>IF(N('Dvd Calendar'!$AR$858)=0,"",IF(('Dvd Calendar'!$AR$858&gt;=GRID_FROM)*('Dvd Calendar'!$AR$858&lt;=GRID_TO)*('Dvd Calendar'!$AR$858&lt;=VAL_DATE)=0,"",'Dvd Calendar'!$AR$858*1000000000+ISNUMBER('Dvd Calendar'!$AR$861)*100000000+('Dvd Calendar'!$AR$863=SPECIAL_LBL)*10000000+0*1000000+78*1000+40))</f>
        <v/>
      </c>
      <c r="FS89" s="35">
        <f>IF(N('Dvd Calendar'!$E$865)=0,"",IF(('Dvd Calendar'!$E$865&gt;=GRID_FROM)*('Dvd Calendar'!$E$865&lt;=GRID_TO)*('Dvd Calendar'!$E$865&gt;VAL_DATE)=0,"",'Dvd Calendar'!$E$865*1000000000+ISNUMBER('Dvd Calendar'!$E$866)*100000000+0*10000000+(N('Dvd Calendar'!$E$864)&gt;0)*(N('Dvd Calendar'!$E$864)&lt;=VAL_SERIAL)*1000000+78*1000+41))</f>
        <v/>
      </c>
      <c r="FT89" s="35">
        <f>IF(N('Dvd Calendar'!$F$865)=0,"",IF(('Dvd Calendar'!$F$865&gt;=GRID_FROM)*('Dvd Calendar'!$F$865&lt;=GRID_TO)*('Dvd Calendar'!$F$865&gt;VAL_DATE)=0,"",'Dvd Calendar'!$F$865*1000000000+ISNUMBER('Dvd Calendar'!$F$866)*100000000+0*10000000+(N('Dvd Calendar'!$F$864)&gt;0)*(N('Dvd Calendar'!$F$864)&lt;=VAL_SERIAL)*1000000+78*1000+42))</f>
        <v/>
      </c>
      <c r="FU89" s="35">
        <f>IF(N('Dvd Calendar'!$G$865)=0,"",IF(('Dvd Calendar'!$G$865&gt;=GRID_FROM)*('Dvd Calendar'!$G$865&lt;=GRID_TO)*('Dvd Calendar'!$G$865&gt;VAL_DATE)=0,"",'Dvd Calendar'!$G$865*1000000000+ISNUMBER('Dvd Calendar'!$G$866)*100000000+0*10000000+(N('Dvd Calendar'!$G$864)&gt;0)*(N('Dvd Calendar'!$G$864)&lt;=VAL_SERIAL)*1000000+78*1000+43))</f>
        <v/>
      </c>
      <c r="FV89" s="35">
        <f>IF(N('Dvd Calendar'!$H$865)=0,"",IF(('Dvd Calendar'!$H$865&gt;=GRID_FROM)*('Dvd Calendar'!$H$865&lt;=GRID_TO)*('Dvd Calendar'!$H$865&gt;VAL_DATE)=0,"",'Dvd Calendar'!$H$865*1000000000+ISNUMBER('Dvd Calendar'!$H$866)*100000000+0*10000000+(N('Dvd Calendar'!$H$864)&gt;0)*(N('Dvd Calendar'!$H$864)&lt;=VAL_SERIAL)*1000000+78*1000+44))</f>
        <v/>
      </c>
      <c r="FW89" s="35">
        <f>IF(N('Dvd Calendar'!$I$865)=0,"",IF(('Dvd Calendar'!$I$865&gt;=GRID_FROM)*('Dvd Calendar'!$I$865&lt;=GRID_TO)*('Dvd Calendar'!$I$865&gt;VAL_DATE)=0,"",'Dvd Calendar'!$I$865*1000000000+ISNUMBER('Dvd Calendar'!$I$866)*100000000+0*10000000+(N('Dvd Calendar'!$I$864)&gt;0)*(N('Dvd Calendar'!$I$864)&lt;=VAL_SERIAL)*1000000+78*1000+45))</f>
        <v/>
      </c>
      <c r="FX89" s="35">
        <f>IF(N('Dvd Calendar'!$J$865)=0,"",IF(('Dvd Calendar'!$J$865&gt;=GRID_FROM)*('Dvd Calendar'!$J$865&lt;=GRID_TO)*('Dvd Calendar'!$J$865&gt;VAL_DATE)=0,"",'Dvd Calendar'!$J$865*1000000000+ISNUMBER('Dvd Calendar'!$J$866)*100000000+0*10000000+(N('Dvd Calendar'!$J$864)&gt;0)*(N('Dvd Calendar'!$J$864)&lt;=VAL_SERIAL)*1000000+78*1000+46))</f>
        <v/>
      </c>
      <c r="FY89" s="35">
        <f>IF(N('Dvd Calendar'!$K$865)=0,"",IF(('Dvd Calendar'!$K$865&gt;=GRID_FROM)*('Dvd Calendar'!$K$865&lt;=GRID_TO)*('Dvd Calendar'!$K$865&gt;VAL_DATE)=0,"",'Dvd Calendar'!$K$865*1000000000+ISNUMBER('Dvd Calendar'!$K$866)*100000000+0*10000000+(N('Dvd Calendar'!$K$864)&gt;0)*(N('Dvd Calendar'!$K$864)&lt;=VAL_SERIAL)*1000000+78*1000+47))</f>
        <v/>
      </c>
      <c r="FZ89" s="35">
        <f>IF(N('Dvd Calendar'!$L$865)=0,"",IF(('Dvd Calendar'!$L$865&gt;=GRID_FROM)*('Dvd Calendar'!$L$865&lt;=GRID_TO)*('Dvd Calendar'!$L$865&gt;VAL_DATE)=0,"",'Dvd Calendar'!$L$865*1000000000+ISNUMBER('Dvd Calendar'!$L$866)*100000000+0*10000000+(N('Dvd Calendar'!$L$864)&gt;0)*(N('Dvd Calendar'!$L$864)&lt;=VAL_SERIAL)*1000000+78*1000+48))</f>
        <v/>
      </c>
      <c r="GA89" s="35">
        <f>IF(N('Dvd Calendar'!$M$865)=0,"",IF(('Dvd Calendar'!$M$865&gt;=GRID_FROM)*('Dvd Calendar'!$M$865&lt;=GRID_TO)*('Dvd Calendar'!$M$865&gt;VAL_DATE)=0,"",'Dvd Calendar'!$M$865*1000000000+ISNUMBER('Dvd Calendar'!$M$866)*100000000+0*10000000+(N('Dvd Calendar'!$M$864)&gt;0)*(N('Dvd Calendar'!$M$864)&lt;=VAL_SERIAL)*1000000+78*1000+49))</f>
        <v/>
      </c>
      <c r="GB89" s="35">
        <f>IF(N('Dvd Calendar'!$N$865)=0,"",IF(('Dvd Calendar'!$N$865&gt;=GRID_FROM)*('Dvd Calendar'!$N$865&lt;=GRID_TO)*('Dvd Calendar'!$N$865&gt;VAL_DATE)=0,"",'Dvd Calendar'!$N$865*1000000000+ISNUMBER('Dvd Calendar'!$N$866)*100000000+0*10000000+(N('Dvd Calendar'!$N$864)&gt;0)*(N('Dvd Calendar'!$N$864)&lt;=VAL_SERIAL)*1000000+78*1000+50))</f>
        <v/>
      </c>
      <c r="GC89" s="35">
        <f>IF(N('Dvd Calendar'!$O$865)=0,"",IF(('Dvd Calendar'!$O$865&gt;=GRID_FROM)*('Dvd Calendar'!$O$865&lt;=GRID_TO)*('Dvd Calendar'!$O$865&gt;VAL_DATE)=0,"",'Dvd Calendar'!$O$865*1000000000+ISNUMBER('Dvd Calendar'!$O$866)*100000000+0*10000000+(N('Dvd Calendar'!$O$864)&gt;0)*(N('Dvd Calendar'!$O$864)&lt;=VAL_SERIAL)*1000000+78*1000+51))</f>
        <v/>
      </c>
      <c r="GD89" s="35">
        <f>IF(N('Dvd Calendar'!$P$865)=0,"",IF(('Dvd Calendar'!$P$865&gt;=GRID_FROM)*('Dvd Calendar'!$P$865&lt;=GRID_TO)*('Dvd Calendar'!$P$865&gt;VAL_DATE)=0,"",'Dvd Calendar'!$P$865*1000000000+ISNUMBER('Dvd Calendar'!$P$866)*100000000+0*10000000+(N('Dvd Calendar'!$P$864)&gt;0)*(N('Dvd Calendar'!$P$864)&lt;=VAL_SERIAL)*1000000+78*1000+52))</f>
        <v/>
      </c>
      <c r="GE89" s="35">
        <f>IF(N('Dvd Calendar'!$Q$865)=0,"",IF(('Dvd Calendar'!$Q$865&gt;=GRID_FROM)*('Dvd Calendar'!$Q$865&lt;=GRID_TO)*('Dvd Calendar'!$Q$865&gt;VAL_DATE)=0,"",'Dvd Calendar'!$Q$865*1000000000+ISNUMBER('Dvd Calendar'!$Q$866)*100000000+0*10000000+(N('Dvd Calendar'!$Q$864)&gt;0)*(N('Dvd Calendar'!$Q$864)&lt;=VAL_SERIAL)*1000000+78*1000+53))</f>
        <v/>
      </c>
      <c r="GF89" s="35">
        <f>IF(N('Dvd Calendar'!$R$865)=0,"",IF(('Dvd Calendar'!$R$865&gt;=GRID_FROM)*('Dvd Calendar'!$R$865&lt;=GRID_TO)*('Dvd Calendar'!$R$865&gt;VAL_DATE)=0,"",'Dvd Calendar'!$R$865*1000000000+ISNUMBER('Dvd Calendar'!$R$866)*100000000+0*10000000+(N('Dvd Calendar'!$R$864)&gt;0)*(N('Dvd Calendar'!$R$864)&lt;=VAL_SERIAL)*1000000+78*1000+54))</f>
        <v/>
      </c>
      <c r="GG89" s="35">
        <f>IF(N('Dvd Calendar'!$S$865)=0,"",IF(('Dvd Calendar'!$S$865&gt;=GRID_FROM)*('Dvd Calendar'!$S$865&lt;=GRID_TO)*('Dvd Calendar'!$S$865&gt;VAL_DATE)=0,"",'Dvd Calendar'!$S$865*1000000000+ISNUMBER('Dvd Calendar'!$S$866)*100000000+0*10000000+(N('Dvd Calendar'!$S$864)&gt;0)*(N('Dvd Calendar'!$S$864)&lt;=VAL_SERIAL)*1000000+78*1000+55))</f>
        <v/>
      </c>
      <c r="GH89" s="35">
        <f>IF(N('Dvd Calendar'!$T$865)=0,"",IF(('Dvd Calendar'!$T$865&gt;=GRID_FROM)*('Dvd Calendar'!$T$865&lt;=GRID_TO)*('Dvd Calendar'!$T$865&gt;VAL_DATE)=0,"",'Dvd Calendar'!$T$865*1000000000+ISNUMBER('Dvd Calendar'!$T$866)*100000000+0*10000000+(N('Dvd Calendar'!$T$864)&gt;0)*(N('Dvd Calendar'!$T$864)&lt;=VAL_SERIAL)*1000000+78*1000+56))</f>
        <v/>
      </c>
      <c r="GI89" s="35">
        <f>IF(N('Dvd Calendar'!$U$865)=0,"",IF(('Dvd Calendar'!$U$865&gt;=GRID_FROM)*('Dvd Calendar'!$U$865&lt;=GRID_TO)*('Dvd Calendar'!$U$865&gt;VAL_DATE)=0,"",'Dvd Calendar'!$U$865*1000000000+ISNUMBER('Dvd Calendar'!$U$866)*100000000+0*10000000+(N('Dvd Calendar'!$U$864)&gt;0)*(N('Dvd Calendar'!$U$864)&lt;=VAL_SERIAL)*1000000+78*1000+57))</f>
        <v/>
      </c>
      <c r="GJ89" s="35">
        <f>IF(N('Dvd Calendar'!$V$865)=0,"",IF(('Dvd Calendar'!$V$865&gt;=GRID_FROM)*('Dvd Calendar'!$V$865&lt;=GRID_TO)*('Dvd Calendar'!$V$865&gt;VAL_DATE)=0,"",'Dvd Calendar'!$V$865*1000000000+ISNUMBER('Dvd Calendar'!$V$866)*100000000+0*10000000+(N('Dvd Calendar'!$V$864)&gt;0)*(N('Dvd Calendar'!$V$864)&lt;=VAL_SERIAL)*1000000+78*1000+58))</f>
        <v/>
      </c>
      <c r="GK89" s="35">
        <f>IF(N('Dvd Calendar'!$W$865)=0,"",IF(('Dvd Calendar'!$W$865&gt;=GRID_FROM)*('Dvd Calendar'!$W$865&lt;=GRID_TO)*('Dvd Calendar'!$W$865&gt;VAL_DATE)=0,"",'Dvd Calendar'!$W$865*1000000000+ISNUMBER('Dvd Calendar'!$W$866)*100000000+0*10000000+(N('Dvd Calendar'!$W$864)&gt;0)*(N('Dvd Calendar'!$W$864)&lt;=VAL_SERIAL)*1000000+78*1000+59))</f>
        <v/>
      </c>
      <c r="GL89" s="35">
        <f>IF(N('Dvd Calendar'!$X$865)=0,"",IF(('Dvd Calendar'!$X$865&gt;=GRID_FROM)*('Dvd Calendar'!$X$865&lt;=GRID_TO)*('Dvd Calendar'!$X$865&gt;VAL_DATE)=0,"",'Dvd Calendar'!$X$865*1000000000+ISNUMBER('Dvd Calendar'!$X$866)*100000000+0*10000000+(N('Dvd Calendar'!$X$864)&gt;0)*(N('Dvd Calendar'!$X$864)&lt;=VAL_SERIAL)*1000000+78*1000+60))</f>
        <v/>
      </c>
      <c r="GM89" s="35">
        <f>IF(N('Dvd Calendar'!$Y$865)=0,"",IF(('Dvd Calendar'!$Y$865&gt;=GRID_FROM)*('Dvd Calendar'!$Y$865&lt;=GRID_TO)*('Dvd Calendar'!$Y$865&gt;VAL_DATE)=0,"",'Dvd Calendar'!$Y$865*1000000000+ISNUMBER('Dvd Calendar'!$Y$866)*100000000+0*10000000+(N('Dvd Calendar'!$Y$864)&gt;0)*(N('Dvd Calendar'!$Y$864)&lt;=VAL_SERIAL)*1000000+78*1000+61))</f>
        <v/>
      </c>
      <c r="GN89" s="35">
        <f>IF(N('Dvd Calendar'!$Z$865)=0,"",IF(('Dvd Calendar'!$Z$865&gt;=GRID_FROM)*('Dvd Calendar'!$Z$865&lt;=GRID_TO)*('Dvd Calendar'!$Z$865&gt;VAL_DATE)=0,"",'Dvd Calendar'!$Z$865*1000000000+ISNUMBER('Dvd Calendar'!$Z$866)*100000000+0*10000000+(N('Dvd Calendar'!$Z$864)&gt;0)*(N('Dvd Calendar'!$Z$864)&lt;=VAL_SERIAL)*1000000+78*1000+62))</f>
        <v/>
      </c>
      <c r="GO89" s="35">
        <f>IF(N('Dvd Calendar'!$AA$865)=0,"",IF(('Dvd Calendar'!$AA$865&gt;=GRID_FROM)*('Dvd Calendar'!$AA$865&lt;=GRID_TO)*('Dvd Calendar'!$AA$865&gt;VAL_DATE)=0,"",'Dvd Calendar'!$AA$865*1000000000+ISNUMBER('Dvd Calendar'!$AA$866)*100000000+0*10000000+(N('Dvd Calendar'!$AA$864)&gt;0)*(N('Dvd Calendar'!$AA$864)&lt;=VAL_SERIAL)*1000000+78*1000+63))</f>
        <v/>
      </c>
      <c r="GP89" s="35">
        <f>IF(N('Dvd Calendar'!$AB$865)=0,"",IF(('Dvd Calendar'!$AB$865&gt;=GRID_FROM)*('Dvd Calendar'!$AB$865&lt;=GRID_TO)*('Dvd Calendar'!$AB$865&gt;VAL_DATE)=0,"",'Dvd Calendar'!$AB$865*1000000000+ISNUMBER('Dvd Calendar'!$AB$866)*100000000+0*10000000+(N('Dvd Calendar'!$AB$864)&gt;0)*(N('Dvd Calendar'!$AB$864)&lt;=VAL_SERIAL)*1000000+78*1000+64))</f>
        <v/>
      </c>
      <c r="GQ89" s="35">
        <f>IF(N('Dvd Calendar'!$AC$865)=0,"",IF(('Dvd Calendar'!$AC$865&gt;=GRID_FROM)*('Dvd Calendar'!$AC$865&lt;=GRID_TO)*('Dvd Calendar'!$AC$865&gt;VAL_DATE)=0,"",'Dvd Calendar'!$AC$865*1000000000+ISNUMBER('Dvd Calendar'!$AC$866)*100000000+0*10000000+(N('Dvd Calendar'!$AC$864)&gt;0)*(N('Dvd Calendar'!$AC$864)&lt;=VAL_SERIAL)*1000000+78*1000+65))</f>
        <v/>
      </c>
    </row>
    <row r="90">
      <c r="B90" s="2">
        <f>IF(HSI!$C$85="","",HSI!$C$85)</f>
        <v/>
      </c>
      <c r="C90" s="106">
        <f>IF(EE90="","",IF(ISNUMBER('Dvd Calendar'!$E$872)=FALSE,"",IF((('Dvd Calendar'!$E$874=TYPE1)*(TYPE1&lt;&gt;"")+('Dvd Calendar'!$E$874=TYPE2)*(TYPE2&lt;&gt;"")+('Dvd Calendar'!$E$874=TYPE3)*(TYPE3&lt;&gt;"")+('Dvd Calendar'!$E$874=TYPE4)*(TYPE4&lt;&gt;"")+('Dvd Calendar'!$E$874=SPECIAL_LBL)*(INC_SPECIALS="Y"))=0,"",'Dvd Calendar'!$E$872)))</f>
        <v/>
      </c>
      <c r="D90" s="106">
        <f>IF(EF90="","",IF(ISNUMBER('Dvd Calendar'!$F$872)=FALSE,"",IF((('Dvd Calendar'!$F$874=TYPE1)*(TYPE1&lt;&gt;"")+('Dvd Calendar'!$F$874=TYPE2)*(TYPE2&lt;&gt;"")+('Dvd Calendar'!$F$874=TYPE3)*(TYPE3&lt;&gt;"")+('Dvd Calendar'!$F$874=TYPE4)*(TYPE4&lt;&gt;"")+('Dvd Calendar'!$F$874=SPECIAL_LBL)*(INC_SPECIALS="Y"))=0,"",'Dvd Calendar'!$F$872)))</f>
        <v/>
      </c>
      <c r="E90" s="106">
        <f>IF(EG90="","",IF(ISNUMBER('Dvd Calendar'!$G$872)=FALSE,"",IF((('Dvd Calendar'!$G$874=TYPE1)*(TYPE1&lt;&gt;"")+('Dvd Calendar'!$G$874=TYPE2)*(TYPE2&lt;&gt;"")+('Dvd Calendar'!$G$874=TYPE3)*(TYPE3&lt;&gt;"")+('Dvd Calendar'!$G$874=TYPE4)*(TYPE4&lt;&gt;"")+('Dvd Calendar'!$G$874=SPECIAL_LBL)*(INC_SPECIALS="Y"))=0,"",'Dvd Calendar'!$G$872)))</f>
        <v/>
      </c>
      <c r="F90" s="106">
        <f>IF(EH90="","",IF(ISNUMBER('Dvd Calendar'!$H$872)=FALSE,"",IF((('Dvd Calendar'!$H$874=TYPE1)*(TYPE1&lt;&gt;"")+('Dvd Calendar'!$H$874=TYPE2)*(TYPE2&lt;&gt;"")+('Dvd Calendar'!$H$874=TYPE3)*(TYPE3&lt;&gt;"")+('Dvd Calendar'!$H$874=TYPE4)*(TYPE4&lt;&gt;"")+('Dvd Calendar'!$H$874=SPECIAL_LBL)*(INC_SPECIALS="Y"))=0,"",'Dvd Calendar'!$H$872)))</f>
        <v/>
      </c>
      <c r="G90" s="106">
        <f>IF(EI90="","",IF(ISNUMBER('Dvd Calendar'!$I$872)=FALSE,"",IF((('Dvd Calendar'!$I$874=TYPE1)*(TYPE1&lt;&gt;"")+('Dvd Calendar'!$I$874=TYPE2)*(TYPE2&lt;&gt;"")+('Dvd Calendar'!$I$874=TYPE3)*(TYPE3&lt;&gt;"")+('Dvd Calendar'!$I$874=TYPE4)*(TYPE4&lt;&gt;"")+('Dvd Calendar'!$I$874=SPECIAL_LBL)*(INC_SPECIALS="Y"))=0,"",'Dvd Calendar'!$I$872)))</f>
        <v/>
      </c>
      <c r="H90" s="106">
        <f>IF(EJ90="","",IF(ISNUMBER('Dvd Calendar'!$J$872)=FALSE,"",IF((('Dvd Calendar'!$J$874=TYPE1)*(TYPE1&lt;&gt;"")+('Dvd Calendar'!$J$874=TYPE2)*(TYPE2&lt;&gt;"")+('Dvd Calendar'!$J$874=TYPE3)*(TYPE3&lt;&gt;"")+('Dvd Calendar'!$J$874=TYPE4)*(TYPE4&lt;&gt;"")+('Dvd Calendar'!$J$874=SPECIAL_LBL)*(INC_SPECIALS="Y"))=0,"",'Dvd Calendar'!$J$872)))</f>
        <v/>
      </c>
      <c r="I90" s="106">
        <f>IF(EK90="","",IF(ISNUMBER('Dvd Calendar'!$K$872)=FALSE,"",IF((('Dvd Calendar'!$K$874=TYPE1)*(TYPE1&lt;&gt;"")+('Dvd Calendar'!$K$874=TYPE2)*(TYPE2&lt;&gt;"")+('Dvd Calendar'!$K$874=TYPE3)*(TYPE3&lt;&gt;"")+('Dvd Calendar'!$K$874=TYPE4)*(TYPE4&lt;&gt;"")+('Dvd Calendar'!$K$874=SPECIAL_LBL)*(INC_SPECIALS="Y"))=0,"",'Dvd Calendar'!$K$872)))</f>
        <v/>
      </c>
      <c r="J90" s="106">
        <f>IF(EL90="","",IF(ISNUMBER('Dvd Calendar'!$L$872)=FALSE,"",IF((('Dvd Calendar'!$L$874=TYPE1)*(TYPE1&lt;&gt;"")+('Dvd Calendar'!$L$874=TYPE2)*(TYPE2&lt;&gt;"")+('Dvd Calendar'!$L$874=TYPE3)*(TYPE3&lt;&gt;"")+('Dvd Calendar'!$L$874=TYPE4)*(TYPE4&lt;&gt;"")+('Dvd Calendar'!$L$874=SPECIAL_LBL)*(INC_SPECIALS="Y"))=0,"",'Dvd Calendar'!$L$872)))</f>
        <v/>
      </c>
      <c r="K90" s="106">
        <f>IF(EM90="","",IF(ISNUMBER('Dvd Calendar'!$M$872)=FALSE,"",IF((('Dvd Calendar'!$M$874=TYPE1)*(TYPE1&lt;&gt;"")+('Dvd Calendar'!$M$874=TYPE2)*(TYPE2&lt;&gt;"")+('Dvd Calendar'!$M$874=TYPE3)*(TYPE3&lt;&gt;"")+('Dvd Calendar'!$M$874=TYPE4)*(TYPE4&lt;&gt;"")+('Dvd Calendar'!$M$874=SPECIAL_LBL)*(INC_SPECIALS="Y"))=0,"",'Dvd Calendar'!$M$872)))</f>
        <v/>
      </c>
      <c r="L90" s="106">
        <f>IF(EN90="","",IF(ISNUMBER('Dvd Calendar'!$N$872)=FALSE,"",IF((('Dvd Calendar'!$N$874=TYPE1)*(TYPE1&lt;&gt;"")+('Dvd Calendar'!$N$874=TYPE2)*(TYPE2&lt;&gt;"")+('Dvd Calendar'!$N$874=TYPE3)*(TYPE3&lt;&gt;"")+('Dvd Calendar'!$N$874=TYPE4)*(TYPE4&lt;&gt;"")+('Dvd Calendar'!$N$874=SPECIAL_LBL)*(INC_SPECIALS="Y"))=0,"",'Dvd Calendar'!$N$872)))</f>
        <v/>
      </c>
      <c r="M90" s="106">
        <f>IF(EO90="","",IF(ISNUMBER('Dvd Calendar'!$O$872)=FALSE,"",IF((('Dvd Calendar'!$O$874=TYPE1)*(TYPE1&lt;&gt;"")+('Dvd Calendar'!$O$874=TYPE2)*(TYPE2&lt;&gt;"")+('Dvd Calendar'!$O$874=TYPE3)*(TYPE3&lt;&gt;"")+('Dvd Calendar'!$O$874=TYPE4)*(TYPE4&lt;&gt;"")+('Dvd Calendar'!$O$874=SPECIAL_LBL)*(INC_SPECIALS="Y"))=0,"",'Dvd Calendar'!$O$872)))</f>
        <v/>
      </c>
      <c r="N90" s="106">
        <f>IF(EP90="","",IF(ISNUMBER('Dvd Calendar'!$P$872)=FALSE,"",IF((('Dvd Calendar'!$P$874=TYPE1)*(TYPE1&lt;&gt;"")+('Dvd Calendar'!$P$874=TYPE2)*(TYPE2&lt;&gt;"")+('Dvd Calendar'!$P$874=TYPE3)*(TYPE3&lt;&gt;"")+('Dvd Calendar'!$P$874=TYPE4)*(TYPE4&lt;&gt;"")+('Dvd Calendar'!$P$874=SPECIAL_LBL)*(INC_SPECIALS="Y"))=0,"",'Dvd Calendar'!$P$872)))</f>
        <v/>
      </c>
      <c r="O90" s="106">
        <f>IF(EQ90="","",IF(ISNUMBER('Dvd Calendar'!$Q$872)=FALSE,"",IF((('Dvd Calendar'!$Q$874=TYPE1)*(TYPE1&lt;&gt;"")+('Dvd Calendar'!$Q$874=TYPE2)*(TYPE2&lt;&gt;"")+('Dvd Calendar'!$Q$874=TYPE3)*(TYPE3&lt;&gt;"")+('Dvd Calendar'!$Q$874=TYPE4)*(TYPE4&lt;&gt;"")+('Dvd Calendar'!$Q$874=SPECIAL_LBL)*(INC_SPECIALS="Y"))=0,"",'Dvd Calendar'!$Q$872)))</f>
        <v/>
      </c>
      <c r="P90" s="106">
        <f>IF(ER90="","",IF(ISNUMBER('Dvd Calendar'!$R$872)=FALSE,"",IF((('Dvd Calendar'!$R$874=TYPE1)*(TYPE1&lt;&gt;"")+('Dvd Calendar'!$R$874=TYPE2)*(TYPE2&lt;&gt;"")+('Dvd Calendar'!$R$874=TYPE3)*(TYPE3&lt;&gt;"")+('Dvd Calendar'!$R$874=TYPE4)*(TYPE4&lt;&gt;"")+('Dvd Calendar'!$R$874=SPECIAL_LBL)*(INC_SPECIALS="Y"))=0,"",'Dvd Calendar'!$R$872)))</f>
        <v/>
      </c>
      <c r="Q90" s="106">
        <f>IF(ES90="","",IF(ISNUMBER('Dvd Calendar'!$S$872)=FALSE,"",IF((('Dvd Calendar'!$S$874=TYPE1)*(TYPE1&lt;&gt;"")+('Dvd Calendar'!$S$874=TYPE2)*(TYPE2&lt;&gt;"")+('Dvd Calendar'!$S$874=TYPE3)*(TYPE3&lt;&gt;"")+('Dvd Calendar'!$S$874=TYPE4)*(TYPE4&lt;&gt;"")+('Dvd Calendar'!$S$874=SPECIAL_LBL)*(INC_SPECIALS="Y"))=0,"",'Dvd Calendar'!$S$872)))</f>
        <v/>
      </c>
      <c r="R90" s="106">
        <f>IF(ET90="","",IF(ISNUMBER('Dvd Calendar'!$T$872)=FALSE,"",IF((('Dvd Calendar'!$T$874=TYPE1)*(TYPE1&lt;&gt;"")+('Dvd Calendar'!$T$874=TYPE2)*(TYPE2&lt;&gt;"")+('Dvd Calendar'!$T$874=TYPE3)*(TYPE3&lt;&gt;"")+('Dvd Calendar'!$T$874=TYPE4)*(TYPE4&lt;&gt;"")+('Dvd Calendar'!$T$874=SPECIAL_LBL)*(INC_SPECIALS="Y"))=0,"",'Dvd Calendar'!$T$872)))</f>
        <v/>
      </c>
      <c r="S90" s="106">
        <f>IF(EU90="","",IF(ISNUMBER('Dvd Calendar'!$U$872)=FALSE,"",IF((('Dvd Calendar'!$U$874=TYPE1)*(TYPE1&lt;&gt;"")+('Dvd Calendar'!$U$874=TYPE2)*(TYPE2&lt;&gt;"")+('Dvd Calendar'!$U$874=TYPE3)*(TYPE3&lt;&gt;"")+('Dvd Calendar'!$U$874=TYPE4)*(TYPE4&lt;&gt;"")+('Dvd Calendar'!$U$874=SPECIAL_LBL)*(INC_SPECIALS="Y"))=0,"",'Dvd Calendar'!$U$872)))</f>
        <v/>
      </c>
      <c r="T90" s="106">
        <f>IF(EV90="","",IF(ISNUMBER('Dvd Calendar'!$V$872)=FALSE,"",IF((('Dvd Calendar'!$V$874=TYPE1)*(TYPE1&lt;&gt;"")+('Dvd Calendar'!$V$874=TYPE2)*(TYPE2&lt;&gt;"")+('Dvd Calendar'!$V$874=TYPE3)*(TYPE3&lt;&gt;"")+('Dvd Calendar'!$V$874=TYPE4)*(TYPE4&lt;&gt;"")+('Dvd Calendar'!$V$874=SPECIAL_LBL)*(INC_SPECIALS="Y"))=0,"",'Dvd Calendar'!$V$872)))</f>
        <v/>
      </c>
      <c r="U90" s="106">
        <f>IF(EW90="","",IF(ISNUMBER('Dvd Calendar'!$W$872)=FALSE,"",IF((('Dvd Calendar'!$W$874=TYPE1)*(TYPE1&lt;&gt;"")+('Dvd Calendar'!$W$874=TYPE2)*(TYPE2&lt;&gt;"")+('Dvd Calendar'!$W$874=TYPE3)*(TYPE3&lt;&gt;"")+('Dvd Calendar'!$W$874=TYPE4)*(TYPE4&lt;&gt;"")+('Dvd Calendar'!$W$874=SPECIAL_LBL)*(INC_SPECIALS="Y"))=0,"",'Dvd Calendar'!$W$872)))</f>
        <v/>
      </c>
      <c r="V90" s="106">
        <f>IF(EX90="","",IF(ISNUMBER('Dvd Calendar'!$X$872)=FALSE,"",IF((('Dvd Calendar'!$X$874=TYPE1)*(TYPE1&lt;&gt;"")+('Dvd Calendar'!$X$874=TYPE2)*(TYPE2&lt;&gt;"")+('Dvd Calendar'!$X$874=TYPE3)*(TYPE3&lt;&gt;"")+('Dvd Calendar'!$X$874=TYPE4)*(TYPE4&lt;&gt;"")+('Dvd Calendar'!$X$874=SPECIAL_LBL)*(INC_SPECIALS="Y"))=0,"",'Dvd Calendar'!$X$872)))</f>
        <v/>
      </c>
      <c r="W90" s="106">
        <f>IF(EY90="","",IF(ISNUMBER('Dvd Calendar'!$Y$872)=FALSE,"",IF((('Dvd Calendar'!$Y$874=TYPE1)*(TYPE1&lt;&gt;"")+('Dvd Calendar'!$Y$874=TYPE2)*(TYPE2&lt;&gt;"")+('Dvd Calendar'!$Y$874=TYPE3)*(TYPE3&lt;&gt;"")+('Dvd Calendar'!$Y$874=TYPE4)*(TYPE4&lt;&gt;"")+('Dvd Calendar'!$Y$874=SPECIAL_LBL)*(INC_SPECIALS="Y"))=0,"",'Dvd Calendar'!$Y$872)))</f>
        <v/>
      </c>
      <c r="X90" s="106">
        <f>IF(EZ90="","",IF(ISNUMBER('Dvd Calendar'!$Z$872)=FALSE,"",IF((('Dvd Calendar'!$Z$874=TYPE1)*(TYPE1&lt;&gt;"")+('Dvd Calendar'!$Z$874=TYPE2)*(TYPE2&lt;&gt;"")+('Dvd Calendar'!$Z$874=TYPE3)*(TYPE3&lt;&gt;"")+('Dvd Calendar'!$Z$874=TYPE4)*(TYPE4&lt;&gt;"")+('Dvd Calendar'!$Z$874=SPECIAL_LBL)*(INC_SPECIALS="Y"))=0,"",'Dvd Calendar'!$Z$872)))</f>
        <v/>
      </c>
      <c r="Y90" s="106">
        <f>IF(FA90="","",IF(ISNUMBER('Dvd Calendar'!$AA$872)=FALSE,"",IF((('Dvd Calendar'!$AA$874=TYPE1)*(TYPE1&lt;&gt;"")+('Dvd Calendar'!$AA$874=TYPE2)*(TYPE2&lt;&gt;"")+('Dvd Calendar'!$AA$874=TYPE3)*(TYPE3&lt;&gt;"")+('Dvd Calendar'!$AA$874=TYPE4)*(TYPE4&lt;&gt;"")+('Dvd Calendar'!$AA$874=SPECIAL_LBL)*(INC_SPECIALS="Y"))=0,"",'Dvd Calendar'!$AA$872)))</f>
        <v/>
      </c>
      <c r="Z90" s="106">
        <f>IF(FB90="","",IF(ISNUMBER('Dvd Calendar'!$AB$872)=FALSE,"",IF((('Dvd Calendar'!$AB$874=TYPE1)*(TYPE1&lt;&gt;"")+('Dvd Calendar'!$AB$874=TYPE2)*(TYPE2&lt;&gt;"")+('Dvd Calendar'!$AB$874=TYPE3)*(TYPE3&lt;&gt;"")+('Dvd Calendar'!$AB$874=TYPE4)*(TYPE4&lt;&gt;"")+('Dvd Calendar'!$AB$874=SPECIAL_LBL)*(INC_SPECIALS="Y"))=0,"",'Dvd Calendar'!$AB$872)))</f>
        <v/>
      </c>
      <c r="AA90" s="106">
        <f>IF(FC90="","",IF(ISNUMBER('Dvd Calendar'!$AC$872)=FALSE,"",IF((('Dvd Calendar'!$AC$874=TYPE1)*(TYPE1&lt;&gt;"")+('Dvd Calendar'!$AC$874=TYPE2)*(TYPE2&lt;&gt;"")+('Dvd Calendar'!$AC$874=TYPE3)*(TYPE3&lt;&gt;"")+('Dvd Calendar'!$AC$874=TYPE4)*(TYPE4&lt;&gt;"")+('Dvd Calendar'!$AC$874=SPECIAL_LBL)*(INC_SPECIALS="Y"))=0,"",'Dvd Calendar'!$AC$872)))</f>
        <v/>
      </c>
      <c r="AB90" s="106">
        <f>IF(FD90="","",IF(ISNUMBER('Dvd Calendar'!$AD$872)=FALSE,"",IF((('Dvd Calendar'!$AD$874=TYPE1)*(TYPE1&lt;&gt;"")+('Dvd Calendar'!$AD$874=TYPE2)*(TYPE2&lt;&gt;"")+('Dvd Calendar'!$AD$874=TYPE3)*(TYPE3&lt;&gt;"")+('Dvd Calendar'!$AD$874=TYPE4)*(TYPE4&lt;&gt;"")+('Dvd Calendar'!$AD$874=SPECIAL_LBL)*(INC_SPECIALS="Y"))=0,"",'Dvd Calendar'!$AD$872)))</f>
        <v/>
      </c>
      <c r="AC90" s="106">
        <f>IF(FE90="","",IF(ISNUMBER('Dvd Calendar'!$AE$872)=FALSE,"",IF((('Dvd Calendar'!$AE$874=TYPE1)*(TYPE1&lt;&gt;"")+('Dvd Calendar'!$AE$874=TYPE2)*(TYPE2&lt;&gt;"")+('Dvd Calendar'!$AE$874=TYPE3)*(TYPE3&lt;&gt;"")+('Dvd Calendar'!$AE$874=TYPE4)*(TYPE4&lt;&gt;"")+('Dvd Calendar'!$AE$874=SPECIAL_LBL)*(INC_SPECIALS="Y"))=0,"",'Dvd Calendar'!$AE$872)))</f>
        <v/>
      </c>
      <c r="AD90" s="106">
        <f>IF(FF90="","",IF(ISNUMBER('Dvd Calendar'!$AF$872)=FALSE,"",IF((('Dvd Calendar'!$AF$874=TYPE1)*(TYPE1&lt;&gt;"")+('Dvd Calendar'!$AF$874=TYPE2)*(TYPE2&lt;&gt;"")+('Dvd Calendar'!$AF$874=TYPE3)*(TYPE3&lt;&gt;"")+('Dvd Calendar'!$AF$874=TYPE4)*(TYPE4&lt;&gt;"")+('Dvd Calendar'!$AF$874=SPECIAL_LBL)*(INC_SPECIALS="Y"))=0,"",'Dvd Calendar'!$AF$872)))</f>
        <v/>
      </c>
      <c r="AE90" s="106">
        <f>IF(FG90="","",IF(ISNUMBER('Dvd Calendar'!$AG$872)=FALSE,"",IF((('Dvd Calendar'!$AG$874=TYPE1)*(TYPE1&lt;&gt;"")+('Dvd Calendar'!$AG$874=TYPE2)*(TYPE2&lt;&gt;"")+('Dvd Calendar'!$AG$874=TYPE3)*(TYPE3&lt;&gt;"")+('Dvd Calendar'!$AG$874=TYPE4)*(TYPE4&lt;&gt;"")+('Dvd Calendar'!$AG$874=SPECIAL_LBL)*(INC_SPECIALS="Y"))=0,"",'Dvd Calendar'!$AG$872)))</f>
        <v/>
      </c>
      <c r="AF90" s="106">
        <f>IF(FH90="","",IF(ISNUMBER('Dvd Calendar'!$AH$872)=FALSE,"",IF((('Dvd Calendar'!$AH$874=TYPE1)*(TYPE1&lt;&gt;"")+('Dvd Calendar'!$AH$874=TYPE2)*(TYPE2&lt;&gt;"")+('Dvd Calendar'!$AH$874=TYPE3)*(TYPE3&lt;&gt;"")+('Dvd Calendar'!$AH$874=TYPE4)*(TYPE4&lt;&gt;"")+('Dvd Calendar'!$AH$874=SPECIAL_LBL)*(INC_SPECIALS="Y"))=0,"",'Dvd Calendar'!$AH$872)))</f>
        <v/>
      </c>
      <c r="AG90" s="106">
        <f>IF(FI90="","",IF(ISNUMBER('Dvd Calendar'!$AI$872)=FALSE,"",IF((('Dvd Calendar'!$AI$874=TYPE1)*(TYPE1&lt;&gt;"")+('Dvd Calendar'!$AI$874=TYPE2)*(TYPE2&lt;&gt;"")+('Dvd Calendar'!$AI$874=TYPE3)*(TYPE3&lt;&gt;"")+('Dvd Calendar'!$AI$874=TYPE4)*(TYPE4&lt;&gt;"")+('Dvd Calendar'!$AI$874=SPECIAL_LBL)*(INC_SPECIALS="Y"))=0,"",'Dvd Calendar'!$AI$872)))</f>
        <v/>
      </c>
      <c r="AH90" s="106">
        <f>IF(FJ90="","",IF(ISNUMBER('Dvd Calendar'!$AJ$872)=FALSE,"",IF((('Dvd Calendar'!$AJ$874=TYPE1)*(TYPE1&lt;&gt;"")+('Dvd Calendar'!$AJ$874=TYPE2)*(TYPE2&lt;&gt;"")+('Dvd Calendar'!$AJ$874=TYPE3)*(TYPE3&lt;&gt;"")+('Dvd Calendar'!$AJ$874=TYPE4)*(TYPE4&lt;&gt;"")+('Dvd Calendar'!$AJ$874=SPECIAL_LBL)*(INC_SPECIALS="Y"))=0,"",'Dvd Calendar'!$AJ$872)))</f>
        <v/>
      </c>
      <c r="AI90" s="106">
        <f>IF(FK90="","",IF(ISNUMBER('Dvd Calendar'!$AK$872)=FALSE,"",IF((('Dvd Calendar'!$AK$874=TYPE1)*(TYPE1&lt;&gt;"")+('Dvd Calendar'!$AK$874=TYPE2)*(TYPE2&lt;&gt;"")+('Dvd Calendar'!$AK$874=TYPE3)*(TYPE3&lt;&gt;"")+('Dvd Calendar'!$AK$874=TYPE4)*(TYPE4&lt;&gt;"")+('Dvd Calendar'!$AK$874=SPECIAL_LBL)*(INC_SPECIALS="Y"))=0,"",'Dvd Calendar'!$AK$872)))</f>
        <v/>
      </c>
      <c r="AJ90" s="106">
        <f>IF(FL90="","",IF(ISNUMBER('Dvd Calendar'!$AL$872)=FALSE,"",IF((('Dvd Calendar'!$AL$874=TYPE1)*(TYPE1&lt;&gt;"")+('Dvd Calendar'!$AL$874=TYPE2)*(TYPE2&lt;&gt;"")+('Dvd Calendar'!$AL$874=TYPE3)*(TYPE3&lt;&gt;"")+('Dvd Calendar'!$AL$874=TYPE4)*(TYPE4&lt;&gt;"")+('Dvd Calendar'!$AL$874=SPECIAL_LBL)*(INC_SPECIALS="Y"))=0,"",'Dvd Calendar'!$AL$872)))</f>
        <v/>
      </c>
      <c r="AK90" s="106">
        <f>IF(FM90="","",IF(ISNUMBER('Dvd Calendar'!$AM$872)=FALSE,"",IF((('Dvd Calendar'!$AM$874=TYPE1)*(TYPE1&lt;&gt;"")+('Dvd Calendar'!$AM$874=TYPE2)*(TYPE2&lt;&gt;"")+('Dvd Calendar'!$AM$874=TYPE3)*(TYPE3&lt;&gt;"")+('Dvd Calendar'!$AM$874=TYPE4)*(TYPE4&lt;&gt;"")+('Dvd Calendar'!$AM$874=SPECIAL_LBL)*(INC_SPECIALS="Y"))=0,"",'Dvd Calendar'!$AM$872)))</f>
        <v/>
      </c>
      <c r="AL90" s="106">
        <f>IF(FN90="","",IF(ISNUMBER('Dvd Calendar'!$AN$872)=FALSE,"",IF((('Dvd Calendar'!$AN$874=TYPE1)*(TYPE1&lt;&gt;"")+('Dvd Calendar'!$AN$874=TYPE2)*(TYPE2&lt;&gt;"")+('Dvd Calendar'!$AN$874=TYPE3)*(TYPE3&lt;&gt;"")+('Dvd Calendar'!$AN$874=TYPE4)*(TYPE4&lt;&gt;"")+('Dvd Calendar'!$AN$874=SPECIAL_LBL)*(INC_SPECIALS="Y"))=0,"",'Dvd Calendar'!$AN$872)))</f>
        <v/>
      </c>
      <c r="AM90" s="106">
        <f>IF(FO90="","",IF(ISNUMBER('Dvd Calendar'!$AO$872)=FALSE,"",IF((('Dvd Calendar'!$AO$874=TYPE1)*(TYPE1&lt;&gt;"")+('Dvd Calendar'!$AO$874=TYPE2)*(TYPE2&lt;&gt;"")+('Dvd Calendar'!$AO$874=TYPE3)*(TYPE3&lt;&gt;"")+('Dvd Calendar'!$AO$874=TYPE4)*(TYPE4&lt;&gt;"")+('Dvd Calendar'!$AO$874=SPECIAL_LBL)*(INC_SPECIALS="Y"))=0,"",'Dvd Calendar'!$AO$872)))</f>
        <v/>
      </c>
      <c r="AN90" s="106">
        <f>IF(FP90="","",IF(ISNUMBER('Dvd Calendar'!$AP$872)=FALSE,"",IF((('Dvd Calendar'!$AP$874=TYPE1)*(TYPE1&lt;&gt;"")+('Dvd Calendar'!$AP$874=TYPE2)*(TYPE2&lt;&gt;"")+('Dvd Calendar'!$AP$874=TYPE3)*(TYPE3&lt;&gt;"")+('Dvd Calendar'!$AP$874=TYPE4)*(TYPE4&lt;&gt;"")+('Dvd Calendar'!$AP$874=SPECIAL_LBL)*(INC_SPECIALS="Y"))=0,"",'Dvd Calendar'!$AP$872)))</f>
        <v/>
      </c>
      <c r="AO90" s="106">
        <f>IF(FQ90="","",IF(ISNUMBER('Dvd Calendar'!$AQ$872)=FALSE,"",IF((('Dvd Calendar'!$AQ$874=TYPE1)*(TYPE1&lt;&gt;"")+('Dvd Calendar'!$AQ$874=TYPE2)*(TYPE2&lt;&gt;"")+('Dvd Calendar'!$AQ$874=TYPE3)*(TYPE3&lt;&gt;"")+('Dvd Calendar'!$AQ$874=TYPE4)*(TYPE4&lt;&gt;"")+('Dvd Calendar'!$AQ$874=SPECIAL_LBL)*(INC_SPECIALS="Y"))=0,"",'Dvd Calendar'!$AQ$872)))</f>
        <v/>
      </c>
      <c r="AP90" s="106">
        <f>IF(FR90="","",IF(ISNUMBER('Dvd Calendar'!$AR$872)=FALSE,"",IF((('Dvd Calendar'!$AR$874=TYPE1)*(TYPE1&lt;&gt;"")+('Dvd Calendar'!$AR$874=TYPE2)*(TYPE2&lt;&gt;"")+('Dvd Calendar'!$AR$874=TYPE3)*(TYPE3&lt;&gt;"")+('Dvd Calendar'!$AR$874=TYPE4)*(TYPE4&lt;&gt;"")+('Dvd Calendar'!$AR$874=SPECIAL_LBL)*(INC_SPECIALS="Y"))=0,"",'Dvd Calendar'!$AR$872)))</f>
        <v/>
      </c>
      <c r="AQ90" s="106">
        <f>IF(FS90="","",IF(ISNUMBER('Dvd Calendar'!$E$877)=FALSE,"",'Dvd Calendar'!$E$877))</f>
        <v/>
      </c>
      <c r="AR90" s="106">
        <f>IF(FT90="","",IF(ISNUMBER('Dvd Calendar'!$F$877)=FALSE,"",'Dvd Calendar'!$F$877))</f>
        <v/>
      </c>
      <c r="AS90" s="106">
        <f>IF(FU90="","",IF(ISNUMBER('Dvd Calendar'!$G$877)=FALSE,"",'Dvd Calendar'!$G$877))</f>
        <v/>
      </c>
      <c r="AT90" s="106">
        <f>IF(FV90="","",IF(ISNUMBER('Dvd Calendar'!$H$877)=FALSE,"",'Dvd Calendar'!$H$877))</f>
        <v/>
      </c>
      <c r="AU90" s="106">
        <f>IF(FW90="","",IF(ISNUMBER('Dvd Calendar'!$I$877)=FALSE,"",'Dvd Calendar'!$I$877))</f>
        <v/>
      </c>
      <c r="AV90" s="106">
        <f>IF(FX90="","",IF(ISNUMBER('Dvd Calendar'!$J$877)=FALSE,"",'Dvd Calendar'!$J$877))</f>
        <v/>
      </c>
      <c r="AW90" s="106">
        <f>IF(FY90="","",IF(ISNUMBER('Dvd Calendar'!$K$877)=FALSE,"",'Dvd Calendar'!$K$877))</f>
        <v/>
      </c>
      <c r="AX90" s="106">
        <f>IF(FZ90="","",IF(ISNUMBER('Dvd Calendar'!$L$877)=FALSE,"",'Dvd Calendar'!$L$877))</f>
        <v/>
      </c>
      <c r="AY90" s="106">
        <f>IF(GA90="","",IF(ISNUMBER('Dvd Calendar'!$M$877)=FALSE,"",'Dvd Calendar'!$M$877))</f>
        <v/>
      </c>
      <c r="AZ90" s="106">
        <f>IF(GB90="","",IF(ISNUMBER('Dvd Calendar'!$N$877)=FALSE,"",'Dvd Calendar'!$N$877))</f>
        <v/>
      </c>
      <c r="BA90" s="106">
        <f>IF(GC90="","",IF(ISNUMBER('Dvd Calendar'!$O$877)=FALSE,"",'Dvd Calendar'!$O$877))</f>
        <v/>
      </c>
      <c r="BB90" s="106">
        <f>IF(GD90="","",IF(ISNUMBER('Dvd Calendar'!$P$877)=FALSE,"",'Dvd Calendar'!$P$877))</f>
        <v/>
      </c>
      <c r="BC90" s="106">
        <f>IF(GE90="","",IF(ISNUMBER('Dvd Calendar'!$Q$877)=FALSE,"",'Dvd Calendar'!$Q$877))</f>
        <v/>
      </c>
      <c r="BD90" s="106">
        <f>IF(GF90="","",IF(ISNUMBER('Dvd Calendar'!$R$877)=FALSE,"",'Dvd Calendar'!$R$877))</f>
        <v/>
      </c>
      <c r="BE90" s="106">
        <f>IF(GG90="","",IF(ISNUMBER('Dvd Calendar'!$S$877)=FALSE,"",'Dvd Calendar'!$S$877))</f>
        <v/>
      </c>
      <c r="BF90" s="106">
        <f>IF(GH90="","",IF(ISNUMBER('Dvd Calendar'!$T$877)=FALSE,"",'Dvd Calendar'!$T$877))</f>
        <v/>
      </c>
      <c r="BG90" s="106">
        <f>IF(GI90="","",IF(ISNUMBER('Dvd Calendar'!$U$877)=FALSE,"",'Dvd Calendar'!$U$877))</f>
        <v/>
      </c>
      <c r="BH90" s="106">
        <f>IF(GJ90="","",IF(ISNUMBER('Dvd Calendar'!$V$877)=FALSE,"",'Dvd Calendar'!$V$877))</f>
        <v/>
      </c>
      <c r="BI90" s="106">
        <f>IF(GK90="","",IF(ISNUMBER('Dvd Calendar'!$W$877)=FALSE,"",'Dvd Calendar'!$W$877))</f>
        <v/>
      </c>
      <c r="BJ90" s="106">
        <f>IF(GL90="","",IF(ISNUMBER('Dvd Calendar'!$X$877)=FALSE,"",'Dvd Calendar'!$X$877))</f>
        <v/>
      </c>
      <c r="BK90" s="106">
        <f>IF(GM90="","",IF(ISNUMBER('Dvd Calendar'!$Y$877)=FALSE,"",'Dvd Calendar'!$Y$877))</f>
        <v/>
      </c>
      <c r="BL90" s="106">
        <f>IF(GN90="","",IF(ISNUMBER('Dvd Calendar'!$Z$877)=FALSE,"",'Dvd Calendar'!$Z$877))</f>
        <v/>
      </c>
      <c r="BM90" s="106">
        <f>IF(GO90="","",IF(ISNUMBER('Dvd Calendar'!$AA$877)=FALSE,"",'Dvd Calendar'!$AA$877))</f>
        <v/>
      </c>
      <c r="BN90" s="106">
        <f>IF(GP90="","",IF(ISNUMBER('Dvd Calendar'!$AB$877)=FALSE,"",'Dvd Calendar'!$AB$877))</f>
        <v/>
      </c>
      <c r="BO90" s="106">
        <f>IF(GQ90="","",IF(ISNUMBER('Dvd Calendar'!$AC$877)=FALSE,"",'Dvd Calendar'!$AC$877))</f>
        <v/>
      </c>
      <c r="BQ90" s="106">
        <f>IF(C90="","",IFERROR(C90*HSI!$B$85*HSI!$G$85/HSI!$B$3,""))</f>
        <v/>
      </c>
      <c r="BR90" s="106">
        <f>IF(D90="","",IFERROR(D90*HSI!$B$85*HSI!$G$85/HSI!$B$3,""))</f>
        <v/>
      </c>
      <c r="BS90" s="106">
        <f>IF(E90="","",IFERROR(E90*HSI!$B$85*HSI!$G$85/HSI!$B$3,""))</f>
        <v/>
      </c>
      <c r="BT90" s="106">
        <f>IF(F90="","",IFERROR(F90*HSI!$B$85*HSI!$G$85/HSI!$B$3,""))</f>
        <v/>
      </c>
      <c r="BU90" s="106">
        <f>IF(G90="","",IFERROR(G90*HSI!$B$85*HSI!$G$85/HSI!$B$3,""))</f>
        <v/>
      </c>
      <c r="BV90" s="106">
        <f>IF(H90="","",IFERROR(H90*HSI!$B$85*HSI!$G$85/HSI!$B$3,""))</f>
        <v/>
      </c>
      <c r="BW90" s="106">
        <f>IF(I90="","",IFERROR(I90*HSI!$B$85*HSI!$G$85/HSI!$B$3,""))</f>
        <v/>
      </c>
      <c r="BX90" s="106">
        <f>IF(J90="","",IFERROR(J90*HSI!$B$85*HSI!$G$85/HSI!$B$3,""))</f>
        <v/>
      </c>
      <c r="BY90" s="106">
        <f>IF(K90="","",IFERROR(K90*HSI!$B$85*HSI!$G$85/HSI!$B$3,""))</f>
        <v/>
      </c>
      <c r="BZ90" s="106">
        <f>IF(L90="","",IFERROR(L90*HSI!$B$85*HSI!$G$85/HSI!$B$3,""))</f>
        <v/>
      </c>
      <c r="CA90" s="106">
        <f>IF(M90="","",IFERROR(M90*HSI!$B$85*HSI!$G$85/HSI!$B$3,""))</f>
        <v/>
      </c>
      <c r="CB90" s="106">
        <f>IF(N90="","",IFERROR(N90*HSI!$B$85*HSI!$G$85/HSI!$B$3,""))</f>
        <v/>
      </c>
      <c r="CC90" s="106">
        <f>IF(O90="","",IFERROR(O90*HSI!$B$85*HSI!$G$85/HSI!$B$3,""))</f>
        <v/>
      </c>
      <c r="CD90" s="106">
        <f>IF(P90="","",IFERROR(P90*HSI!$B$85*HSI!$G$85/HSI!$B$3,""))</f>
        <v/>
      </c>
      <c r="CE90" s="106">
        <f>IF(Q90="","",IFERROR(Q90*HSI!$B$85*HSI!$G$85/HSI!$B$3,""))</f>
        <v/>
      </c>
      <c r="CF90" s="106">
        <f>IF(R90="","",IFERROR(R90*HSI!$B$85*HSI!$G$85/HSI!$B$3,""))</f>
        <v/>
      </c>
      <c r="CG90" s="106">
        <f>IF(S90="","",IFERROR(S90*HSI!$B$85*HSI!$G$85/HSI!$B$3,""))</f>
        <v/>
      </c>
      <c r="CH90" s="106">
        <f>IF(T90="","",IFERROR(T90*HSI!$B$85*HSI!$G$85/HSI!$B$3,""))</f>
        <v/>
      </c>
      <c r="CI90" s="106">
        <f>IF(U90="","",IFERROR(U90*HSI!$B$85*HSI!$G$85/HSI!$B$3,""))</f>
        <v/>
      </c>
      <c r="CJ90" s="106">
        <f>IF(V90="","",IFERROR(V90*HSI!$B$85*HSI!$G$85/HSI!$B$3,""))</f>
        <v/>
      </c>
      <c r="CK90" s="106">
        <f>IF(W90="","",IFERROR(W90*HSI!$B$85*HSI!$G$85/HSI!$B$3,""))</f>
        <v/>
      </c>
      <c r="CL90" s="106">
        <f>IF(X90="","",IFERROR(X90*HSI!$B$85*HSI!$G$85/HSI!$B$3,""))</f>
        <v/>
      </c>
      <c r="CM90" s="106">
        <f>IF(Y90="","",IFERROR(Y90*HSI!$B$85*HSI!$G$85/HSI!$B$3,""))</f>
        <v/>
      </c>
      <c r="CN90" s="106">
        <f>IF(Z90="","",IFERROR(Z90*HSI!$B$85*HSI!$G$85/HSI!$B$3,""))</f>
        <v/>
      </c>
      <c r="CO90" s="106">
        <f>IF(AA90="","",IFERROR(AA90*HSI!$B$85*HSI!$G$85/HSI!$B$3,""))</f>
        <v/>
      </c>
      <c r="CP90" s="106">
        <f>IF(AB90="","",IFERROR(AB90*HSI!$B$85*HSI!$G$85/HSI!$B$3,""))</f>
        <v/>
      </c>
      <c r="CQ90" s="106">
        <f>IF(AC90="","",IFERROR(AC90*HSI!$B$85*HSI!$G$85/HSI!$B$3,""))</f>
        <v/>
      </c>
      <c r="CR90" s="106">
        <f>IF(AD90="","",IFERROR(AD90*HSI!$B$85*HSI!$G$85/HSI!$B$3,""))</f>
        <v/>
      </c>
      <c r="CS90" s="106">
        <f>IF(AE90="","",IFERROR(AE90*HSI!$B$85*HSI!$G$85/HSI!$B$3,""))</f>
        <v/>
      </c>
      <c r="CT90" s="106">
        <f>IF(AF90="","",IFERROR(AF90*HSI!$B$85*HSI!$G$85/HSI!$B$3,""))</f>
        <v/>
      </c>
      <c r="CU90" s="106">
        <f>IF(AG90="","",IFERROR(AG90*HSI!$B$85*HSI!$G$85/HSI!$B$3,""))</f>
        <v/>
      </c>
      <c r="CV90" s="106">
        <f>IF(AH90="","",IFERROR(AH90*HSI!$B$85*HSI!$G$85/HSI!$B$3,""))</f>
        <v/>
      </c>
      <c r="CW90" s="106">
        <f>IF(AI90="","",IFERROR(AI90*HSI!$B$85*HSI!$G$85/HSI!$B$3,""))</f>
        <v/>
      </c>
      <c r="CX90" s="106">
        <f>IF(AJ90="","",IFERROR(AJ90*HSI!$B$85*HSI!$G$85/HSI!$B$3,""))</f>
        <v/>
      </c>
      <c r="CY90" s="106">
        <f>IF(AK90="","",IFERROR(AK90*HSI!$B$85*HSI!$G$85/HSI!$B$3,""))</f>
        <v/>
      </c>
      <c r="CZ90" s="106">
        <f>IF(AL90="","",IFERROR(AL90*HSI!$B$85*HSI!$G$85/HSI!$B$3,""))</f>
        <v/>
      </c>
      <c r="DA90" s="106">
        <f>IF(AM90="","",IFERROR(AM90*HSI!$B$85*HSI!$G$85/HSI!$B$3,""))</f>
        <v/>
      </c>
      <c r="DB90" s="106">
        <f>IF(AN90="","",IFERROR(AN90*HSI!$B$85*HSI!$G$85/HSI!$B$3,""))</f>
        <v/>
      </c>
      <c r="DC90" s="106">
        <f>IF(AO90="","",IFERROR(AO90*HSI!$B$85*HSI!$G$85/HSI!$B$3,""))</f>
        <v/>
      </c>
      <c r="DD90" s="106">
        <f>IF(AP90="","",IFERROR(AP90*HSI!$B$85*HSI!$G$85/HSI!$B$3,""))</f>
        <v/>
      </c>
      <c r="DE90" s="106">
        <f>IF(AQ90="","",IFERROR(AQ90*HSI!$B$85*HSI!$G$85/HSI!$B$3,""))</f>
        <v/>
      </c>
      <c r="DF90" s="106">
        <f>IF(AR90="","",IFERROR(AR90*HSI!$B$85*HSI!$G$85/HSI!$B$3,""))</f>
        <v/>
      </c>
      <c r="DG90" s="106">
        <f>IF(AS90="","",IFERROR(AS90*HSI!$B$85*HSI!$G$85/HSI!$B$3,""))</f>
        <v/>
      </c>
      <c r="DH90" s="106">
        <f>IF(AT90="","",IFERROR(AT90*HSI!$B$85*HSI!$G$85/HSI!$B$3,""))</f>
        <v/>
      </c>
      <c r="DI90" s="106">
        <f>IF(AU90="","",IFERROR(AU90*HSI!$B$85*HSI!$G$85/HSI!$B$3,""))</f>
        <v/>
      </c>
      <c r="DJ90" s="106">
        <f>IF(AV90="","",IFERROR(AV90*HSI!$B$85*HSI!$G$85/HSI!$B$3,""))</f>
        <v/>
      </c>
      <c r="DK90" s="106">
        <f>IF(AW90="","",IFERROR(AW90*HSI!$B$85*HSI!$G$85/HSI!$B$3,""))</f>
        <v/>
      </c>
      <c r="DL90" s="106">
        <f>IF(AX90="","",IFERROR(AX90*HSI!$B$85*HSI!$G$85/HSI!$B$3,""))</f>
        <v/>
      </c>
      <c r="DM90" s="106">
        <f>IF(AY90="","",IFERROR(AY90*HSI!$B$85*HSI!$G$85/HSI!$B$3,""))</f>
        <v/>
      </c>
      <c r="DN90" s="106">
        <f>IF(AZ90="","",IFERROR(AZ90*HSI!$B$85*HSI!$G$85/HSI!$B$3,""))</f>
        <v/>
      </c>
      <c r="DO90" s="106">
        <f>IF(BA90="","",IFERROR(BA90*HSI!$B$85*HSI!$G$85/HSI!$B$3,""))</f>
        <v/>
      </c>
      <c r="DP90" s="106">
        <f>IF(BB90="","",IFERROR(BB90*HSI!$B$85*HSI!$G$85/HSI!$B$3,""))</f>
        <v/>
      </c>
      <c r="DQ90" s="106">
        <f>IF(BC90="","",IFERROR(BC90*HSI!$B$85*HSI!$G$85/HSI!$B$3,""))</f>
        <v/>
      </c>
      <c r="DR90" s="106">
        <f>IF(BD90="","",IFERROR(BD90*HSI!$B$85*HSI!$G$85/HSI!$B$3,""))</f>
        <v/>
      </c>
      <c r="DS90" s="106">
        <f>IF(BE90="","",IFERROR(BE90*HSI!$B$85*HSI!$G$85/HSI!$B$3,""))</f>
        <v/>
      </c>
      <c r="DT90" s="106">
        <f>IF(BF90="","",IFERROR(BF90*HSI!$B$85*HSI!$G$85/HSI!$B$3,""))</f>
        <v/>
      </c>
      <c r="DU90" s="106">
        <f>IF(BG90="","",IFERROR(BG90*HSI!$B$85*HSI!$G$85/HSI!$B$3,""))</f>
        <v/>
      </c>
      <c r="DV90" s="106">
        <f>IF(BH90="","",IFERROR(BH90*HSI!$B$85*HSI!$G$85/HSI!$B$3,""))</f>
        <v/>
      </c>
      <c r="DW90" s="106">
        <f>IF(BI90="","",IFERROR(BI90*HSI!$B$85*HSI!$G$85/HSI!$B$3,""))</f>
        <v/>
      </c>
      <c r="DX90" s="106">
        <f>IF(BJ90="","",IFERROR(BJ90*HSI!$B$85*HSI!$G$85/HSI!$B$3,""))</f>
        <v/>
      </c>
      <c r="DY90" s="106">
        <f>IF(BK90="","",IFERROR(BK90*HSI!$B$85*HSI!$G$85/HSI!$B$3,""))</f>
        <v/>
      </c>
      <c r="DZ90" s="106">
        <f>IF(BL90="","",IFERROR(BL90*HSI!$B$85*HSI!$G$85/HSI!$B$3,""))</f>
        <v/>
      </c>
      <c r="EA90" s="106">
        <f>IF(BM90="","",IFERROR(BM90*HSI!$B$85*HSI!$G$85/HSI!$B$3,""))</f>
        <v/>
      </c>
      <c r="EB90" s="106">
        <f>IF(BN90="","",IFERROR(BN90*HSI!$B$85*HSI!$G$85/HSI!$B$3,""))</f>
        <v/>
      </c>
      <c r="EC90" s="106">
        <f>IF(BO90="","",IFERROR(BO90*HSI!$B$85*HSI!$G$85/HSI!$B$3,""))</f>
        <v/>
      </c>
      <c r="EE90" s="35">
        <f>IF(N('Dvd Calendar'!$E$869)=0,"",IF(('Dvd Calendar'!$E$869&gt;=GRID_FROM)*('Dvd Calendar'!$E$869&lt;=GRID_TO)*('Dvd Calendar'!$E$869&lt;=VAL_DATE)=0,"",'Dvd Calendar'!$E$869*1000000000+ISNUMBER('Dvd Calendar'!$E$872)*100000000+('Dvd Calendar'!$E$874=SPECIAL_LBL)*10000000+0*1000000+79*1000+1))</f>
        <v/>
      </c>
      <c r="EF90" s="35">
        <f>IF(N('Dvd Calendar'!$F$869)=0,"",IF(('Dvd Calendar'!$F$869&gt;=GRID_FROM)*('Dvd Calendar'!$F$869&lt;=GRID_TO)*('Dvd Calendar'!$F$869&lt;=VAL_DATE)=0,"",'Dvd Calendar'!$F$869*1000000000+ISNUMBER('Dvd Calendar'!$F$872)*100000000+('Dvd Calendar'!$F$874=SPECIAL_LBL)*10000000+0*1000000+79*1000+2))</f>
        <v/>
      </c>
      <c r="EG90" s="35">
        <f>IF(N('Dvd Calendar'!$G$869)=0,"",IF(('Dvd Calendar'!$G$869&gt;=GRID_FROM)*('Dvd Calendar'!$G$869&lt;=GRID_TO)*('Dvd Calendar'!$G$869&lt;=VAL_DATE)=0,"",'Dvd Calendar'!$G$869*1000000000+ISNUMBER('Dvd Calendar'!$G$872)*100000000+('Dvd Calendar'!$G$874=SPECIAL_LBL)*10000000+0*1000000+79*1000+3))</f>
        <v/>
      </c>
      <c r="EH90" s="35">
        <f>IF(N('Dvd Calendar'!$H$869)=0,"",IF(('Dvd Calendar'!$H$869&gt;=GRID_FROM)*('Dvd Calendar'!$H$869&lt;=GRID_TO)*('Dvd Calendar'!$H$869&lt;=VAL_DATE)=0,"",'Dvd Calendar'!$H$869*1000000000+ISNUMBER('Dvd Calendar'!$H$872)*100000000+('Dvd Calendar'!$H$874=SPECIAL_LBL)*10000000+0*1000000+79*1000+4))</f>
        <v/>
      </c>
      <c r="EI90" s="35">
        <f>IF(N('Dvd Calendar'!$I$869)=0,"",IF(('Dvd Calendar'!$I$869&gt;=GRID_FROM)*('Dvd Calendar'!$I$869&lt;=GRID_TO)*('Dvd Calendar'!$I$869&lt;=VAL_DATE)=0,"",'Dvd Calendar'!$I$869*1000000000+ISNUMBER('Dvd Calendar'!$I$872)*100000000+('Dvd Calendar'!$I$874=SPECIAL_LBL)*10000000+0*1000000+79*1000+5))</f>
        <v/>
      </c>
      <c r="EJ90" s="35">
        <f>IF(N('Dvd Calendar'!$J$869)=0,"",IF(('Dvd Calendar'!$J$869&gt;=GRID_FROM)*('Dvd Calendar'!$J$869&lt;=GRID_TO)*('Dvd Calendar'!$J$869&lt;=VAL_DATE)=0,"",'Dvd Calendar'!$J$869*1000000000+ISNUMBER('Dvd Calendar'!$J$872)*100000000+('Dvd Calendar'!$J$874=SPECIAL_LBL)*10000000+0*1000000+79*1000+6))</f>
        <v/>
      </c>
      <c r="EK90" s="35">
        <f>IF(N('Dvd Calendar'!$K$869)=0,"",IF(('Dvd Calendar'!$K$869&gt;=GRID_FROM)*('Dvd Calendar'!$K$869&lt;=GRID_TO)*('Dvd Calendar'!$K$869&lt;=VAL_DATE)=0,"",'Dvd Calendar'!$K$869*1000000000+ISNUMBER('Dvd Calendar'!$K$872)*100000000+('Dvd Calendar'!$K$874=SPECIAL_LBL)*10000000+0*1000000+79*1000+7))</f>
        <v/>
      </c>
      <c r="EL90" s="35">
        <f>IF(N('Dvd Calendar'!$L$869)=0,"",IF(('Dvd Calendar'!$L$869&gt;=GRID_FROM)*('Dvd Calendar'!$L$869&lt;=GRID_TO)*('Dvd Calendar'!$L$869&lt;=VAL_DATE)=0,"",'Dvd Calendar'!$L$869*1000000000+ISNUMBER('Dvd Calendar'!$L$872)*100000000+('Dvd Calendar'!$L$874=SPECIAL_LBL)*10000000+0*1000000+79*1000+8))</f>
        <v/>
      </c>
      <c r="EM90" s="35">
        <f>IF(N('Dvd Calendar'!$M$869)=0,"",IF(('Dvd Calendar'!$M$869&gt;=GRID_FROM)*('Dvd Calendar'!$M$869&lt;=GRID_TO)*('Dvd Calendar'!$M$869&lt;=VAL_DATE)=0,"",'Dvd Calendar'!$M$869*1000000000+ISNUMBER('Dvd Calendar'!$M$872)*100000000+('Dvd Calendar'!$M$874=SPECIAL_LBL)*10000000+0*1000000+79*1000+9))</f>
        <v/>
      </c>
      <c r="EN90" s="35">
        <f>IF(N('Dvd Calendar'!$N$869)=0,"",IF(('Dvd Calendar'!$N$869&gt;=GRID_FROM)*('Dvd Calendar'!$N$869&lt;=GRID_TO)*('Dvd Calendar'!$N$869&lt;=VAL_DATE)=0,"",'Dvd Calendar'!$N$869*1000000000+ISNUMBER('Dvd Calendar'!$N$872)*100000000+('Dvd Calendar'!$N$874=SPECIAL_LBL)*10000000+0*1000000+79*1000+10))</f>
        <v/>
      </c>
      <c r="EO90" s="35">
        <f>IF(N('Dvd Calendar'!$O$869)=0,"",IF(('Dvd Calendar'!$O$869&gt;=GRID_FROM)*('Dvd Calendar'!$O$869&lt;=GRID_TO)*('Dvd Calendar'!$O$869&lt;=VAL_DATE)=0,"",'Dvd Calendar'!$O$869*1000000000+ISNUMBER('Dvd Calendar'!$O$872)*100000000+('Dvd Calendar'!$O$874=SPECIAL_LBL)*10000000+0*1000000+79*1000+11))</f>
        <v/>
      </c>
      <c r="EP90" s="35">
        <f>IF(N('Dvd Calendar'!$P$869)=0,"",IF(('Dvd Calendar'!$P$869&gt;=GRID_FROM)*('Dvd Calendar'!$P$869&lt;=GRID_TO)*('Dvd Calendar'!$P$869&lt;=VAL_DATE)=0,"",'Dvd Calendar'!$P$869*1000000000+ISNUMBER('Dvd Calendar'!$P$872)*100000000+('Dvd Calendar'!$P$874=SPECIAL_LBL)*10000000+0*1000000+79*1000+12))</f>
        <v/>
      </c>
      <c r="EQ90" s="35">
        <f>IF(N('Dvd Calendar'!$Q$869)=0,"",IF(('Dvd Calendar'!$Q$869&gt;=GRID_FROM)*('Dvd Calendar'!$Q$869&lt;=GRID_TO)*('Dvd Calendar'!$Q$869&lt;=VAL_DATE)=0,"",'Dvd Calendar'!$Q$869*1000000000+ISNUMBER('Dvd Calendar'!$Q$872)*100000000+('Dvd Calendar'!$Q$874=SPECIAL_LBL)*10000000+0*1000000+79*1000+13))</f>
        <v/>
      </c>
      <c r="ER90" s="35">
        <f>IF(N('Dvd Calendar'!$R$869)=0,"",IF(('Dvd Calendar'!$R$869&gt;=GRID_FROM)*('Dvd Calendar'!$R$869&lt;=GRID_TO)*('Dvd Calendar'!$R$869&lt;=VAL_DATE)=0,"",'Dvd Calendar'!$R$869*1000000000+ISNUMBER('Dvd Calendar'!$R$872)*100000000+('Dvd Calendar'!$R$874=SPECIAL_LBL)*10000000+0*1000000+79*1000+14))</f>
        <v/>
      </c>
      <c r="ES90" s="35">
        <f>IF(N('Dvd Calendar'!$S$869)=0,"",IF(('Dvd Calendar'!$S$869&gt;=GRID_FROM)*('Dvd Calendar'!$S$869&lt;=GRID_TO)*('Dvd Calendar'!$S$869&lt;=VAL_DATE)=0,"",'Dvd Calendar'!$S$869*1000000000+ISNUMBER('Dvd Calendar'!$S$872)*100000000+('Dvd Calendar'!$S$874=SPECIAL_LBL)*10000000+0*1000000+79*1000+15))</f>
        <v/>
      </c>
      <c r="ET90" s="35">
        <f>IF(N('Dvd Calendar'!$T$869)=0,"",IF(('Dvd Calendar'!$T$869&gt;=GRID_FROM)*('Dvd Calendar'!$T$869&lt;=GRID_TO)*('Dvd Calendar'!$T$869&lt;=VAL_DATE)=0,"",'Dvd Calendar'!$T$869*1000000000+ISNUMBER('Dvd Calendar'!$T$872)*100000000+('Dvd Calendar'!$T$874=SPECIAL_LBL)*10000000+0*1000000+79*1000+16))</f>
        <v/>
      </c>
      <c r="EU90" s="35">
        <f>IF(N('Dvd Calendar'!$U$869)=0,"",IF(('Dvd Calendar'!$U$869&gt;=GRID_FROM)*('Dvd Calendar'!$U$869&lt;=GRID_TO)*('Dvd Calendar'!$U$869&lt;=VAL_DATE)=0,"",'Dvd Calendar'!$U$869*1000000000+ISNUMBER('Dvd Calendar'!$U$872)*100000000+('Dvd Calendar'!$U$874=SPECIAL_LBL)*10000000+0*1000000+79*1000+17))</f>
        <v/>
      </c>
      <c r="EV90" s="35">
        <f>IF(N('Dvd Calendar'!$V$869)=0,"",IF(('Dvd Calendar'!$V$869&gt;=GRID_FROM)*('Dvd Calendar'!$V$869&lt;=GRID_TO)*('Dvd Calendar'!$V$869&lt;=VAL_DATE)=0,"",'Dvd Calendar'!$V$869*1000000000+ISNUMBER('Dvd Calendar'!$V$872)*100000000+('Dvd Calendar'!$V$874=SPECIAL_LBL)*10000000+0*1000000+79*1000+18))</f>
        <v/>
      </c>
      <c r="EW90" s="35">
        <f>IF(N('Dvd Calendar'!$W$869)=0,"",IF(('Dvd Calendar'!$W$869&gt;=GRID_FROM)*('Dvd Calendar'!$W$869&lt;=GRID_TO)*('Dvd Calendar'!$W$869&lt;=VAL_DATE)=0,"",'Dvd Calendar'!$W$869*1000000000+ISNUMBER('Dvd Calendar'!$W$872)*100000000+('Dvd Calendar'!$W$874=SPECIAL_LBL)*10000000+0*1000000+79*1000+19))</f>
        <v/>
      </c>
      <c r="EX90" s="35">
        <f>IF(N('Dvd Calendar'!$X$869)=0,"",IF(('Dvd Calendar'!$X$869&gt;=GRID_FROM)*('Dvd Calendar'!$X$869&lt;=GRID_TO)*('Dvd Calendar'!$X$869&lt;=VAL_DATE)=0,"",'Dvd Calendar'!$X$869*1000000000+ISNUMBER('Dvd Calendar'!$X$872)*100000000+('Dvd Calendar'!$X$874=SPECIAL_LBL)*10000000+0*1000000+79*1000+20))</f>
        <v/>
      </c>
      <c r="EY90" s="35">
        <f>IF(N('Dvd Calendar'!$Y$869)=0,"",IF(('Dvd Calendar'!$Y$869&gt;=GRID_FROM)*('Dvd Calendar'!$Y$869&lt;=GRID_TO)*('Dvd Calendar'!$Y$869&lt;=VAL_DATE)=0,"",'Dvd Calendar'!$Y$869*1000000000+ISNUMBER('Dvd Calendar'!$Y$872)*100000000+('Dvd Calendar'!$Y$874=SPECIAL_LBL)*10000000+0*1000000+79*1000+21))</f>
        <v/>
      </c>
      <c r="EZ90" s="35">
        <f>IF(N('Dvd Calendar'!$Z$869)=0,"",IF(('Dvd Calendar'!$Z$869&gt;=GRID_FROM)*('Dvd Calendar'!$Z$869&lt;=GRID_TO)*('Dvd Calendar'!$Z$869&lt;=VAL_DATE)=0,"",'Dvd Calendar'!$Z$869*1000000000+ISNUMBER('Dvd Calendar'!$Z$872)*100000000+('Dvd Calendar'!$Z$874=SPECIAL_LBL)*10000000+0*1000000+79*1000+22))</f>
        <v/>
      </c>
      <c r="FA90" s="35">
        <f>IF(N('Dvd Calendar'!$AA$869)=0,"",IF(('Dvd Calendar'!$AA$869&gt;=GRID_FROM)*('Dvd Calendar'!$AA$869&lt;=GRID_TO)*('Dvd Calendar'!$AA$869&lt;=VAL_DATE)=0,"",'Dvd Calendar'!$AA$869*1000000000+ISNUMBER('Dvd Calendar'!$AA$872)*100000000+('Dvd Calendar'!$AA$874=SPECIAL_LBL)*10000000+0*1000000+79*1000+23))</f>
        <v/>
      </c>
      <c r="FB90" s="35">
        <f>IF(N('Dvd Calendar'!$AB$869)=0,"",IF(('Dvd Calendar'!$AB$869&gt;=GRID_FROM)*('Dvd Calendar'!$AB$869&lt;=GRID_TO)*('Dvd Calendar'!$AB$869&lt;=VAL_DATE)=0,"",'Dvd Calendar'!$AB$869*1000000000+ISNUMBER('Dvd Calendar'!$AB$872)*100000000+('Dvd Calendar'!$AB$874=SPECIAL_LBL)*10000000+0*1000000+79*1000+24))</f>
        <v/>
      </c>
      <c r="FC90" s="35">
        <f>IF(N('Dvd Calendar'!$AC$869)=0,"",IF(('Dvd Calendar'!$AC$869&gt;=GRID_FROM)*('Dvd Calendar'!$AC$869&lt;=GRID_TO)*('Dvd Calendar'!$AC$869&lt;=VAL_DATE)=0,"",'Dvd Calendar'!$AC$869*1000000000+ISNUMBER('Dvd Calendar'!$AC$872)*100000000+('Dvd Calendar'!$AC$874=SPECIAL_LBL)*10000000+0*1000000+79*1000+25))</f>
        <v/>
      </c>
      <c r="FD90" s="35">
        <f>IF(N('Dvd Calendar'!$AD$869)=0,"",IF(('Dvd Calendar'!$AD$869&gt;=GRID_FROM)*('Dvd Calendar'!$AD$869&lt;=GRID_TO)*('Dvd Calendar'!$AD$869&lt;=VAL_DATE)=0,"",'Dvd Calendar'!$AD$869*1000000000+ISNUMBER('Dvd Calendar'!$AD$872)*100000000+('Dvd Calendar'!$AD$874=SPECIAL_LBL)*10000000+0*1000000+79*1000+26))</f>
        <v/>
      </c>
      <c r="FE90" s="35">
        <f>IF(N('Dvd Calendar'!$AE$869)=0,"",IF(('Dvd Calendar'!$AE$869&gt;=GRID_FROM)*('Dvd Calendar'!$AE$869&lt;=GRID_TO)*('Dvd Calendar'!$AE$869&lt;=VAL_DATE)=0,"",'Dvd Calendar'!$AE$869*1000000000+ISNUMBER('Dvd Calendar'!$AE$872)*100000000+('Dvd Calendar'!$AE$874=SPECIAL_LBL)*10000000+0*1000000+79*1000+27))</f>
        <v/>
      </c>
      <c r="FF90" s="35">
        <f>IF(N('Dvd Calendar'!$AF$869)=0,"",IF(('Dvd Calendar'!$AF$869&gt;=GRID_FROM)*('Dvd Calendar'!$AF$869&lt;=GRID_TO)*('Dvd Calendar'!$AF$869&lt;=VAL_DATE)=0,"",'Dvd Calendar'!$AF$869*1000000000+ISNUMBER('Dvd Calendar'!$AF$872)*100000000+('Dvd Calendar'!$AF$874=SPECIAL_LBL)*10000000+0*1000000+79*1000+28))</f>
        <v/>
      </c>
      <c r="FG90" s="35">
        <f>IF(N('Dvd Calendar'!$AG$869)=0,"",IF(('Dvd Calendar'!$AG$869&gt;=GRID_FROM)*('Dvd Calendar'!$AG$869&lt;=GRID_TO)*('Dvd Calendar'!$AG$869&lt;=VAL_DATE)=0,"",'Dvd Calendar'!$AG$869*1000000000+ISNUMBER('Dvd Calendar'!$AG$872)*100000000+('Dvd Calendar'!$AG$874=SPECIAL_LBL)*10000000+0*1000000+79*1000+29))</f>
        <v/>
      </c>
      <c r="FH90" s="35">
        <f>IF(N('Dvd Calendar'!$AH$869)=0,"",IF(('Dvd Calendar'!$AH$869&gt;=GRID_FROM)*('Dvd Calendar'!$AH$869&lt;=GRID_TO)*('Dvd Calendar'!$AH$869&lt;=VAL_DATE)=0,"",'Dvd Calendar'!$AH$869*1000000000+ISNUMBER('Dvd Calendar'!$AH$872)*100000000+('Dvd Calendar'!$AH$874=SPECIAL_LBL)*10000000+0*1000000+79*1000+30))</f>
        <v/>
      </c>
      <c r="FI90" s="35">
        <f>IF(N('Dvd Calendar'!$AI$869)=0,"",IF(('Dvd Calendar'!$AI$869&gt;=GRID_FROM)*('Dvd Calendar'!$AI$869&lt;=GRID_TO)*('Dvd Calendar'!$AI$869&lt;=VAL_DATE)=0,"",'Dvd Calendar'!$AI$869*1000000000+ISNUMBER('Dvd Calendar'!$AI$872)*100000000+('Dvd Calendar'!$AI$874=SPECIAL_LBL)*10000000+0*1000000+79*1000+31))</f>
        <v/>
      </c>
      <c r="FJ90" s="35">
        <f>IF(N('Dvd Calendar'!$AJ$869)=0,"",IF(('Dvd Calendar'!$AJ$869&gt;=GRID_FROM)*('Dvd Calendar'!$AJ$869&lt;=GRID_TO)*('Dvd Calendar'!$AJ$869&lt;=VAL_DATE)=0,"",'Dvd Calendar'!$AJ$869*1000000000+ISNUMBER('Dvd Calendar'!$AJ$872)*100000000+('Dvd Calendar'!$AJ$874=SPECIAL_LBL)*10000000+0*1000000+79*1000+32))</f>
        <v/>
      </c>
      <c r="FK90" s="35">
        <f>IF(N('Dvd Calendar'!$AK$869)=0,"",IF(('Dvd Calendar'!$AK$869&gt;=GRID_FROM)*('Dvd Calendar'!$AK$869&lt;=GRID_TO)*('Dvd Calendar'!$AK$869&lt;=VAL_DATE)=0,"",'Dvd Calendar'!$AK$869*1000000000+ISNUMBER('Dvd Calendar'!$AK$872)*100000000+('Dvd Calendar'!$AK$874=SPECIAL_LBL)*10000000+0*1000000+79*1000+33))</f>
        <v/>
      </c>
      <c r="FL90" s="35">
        <f>IF(N('Dvd Calendar'!$AL$869)=0,"",IF(('Dvd Calendar'!$AL$869&gt;=GRID_FROM)*('Dvd Calendar'!$AL$869&lt;=GRID_TO)*('Dvd Calendar'!$AL$869&lt;=VAL_DATE)=0,"",'Dvd Calendar'!$AL$869*1000000000+ISNUMBER('Dvd Calendar'!$AL$872)*100000000+('Dvd Calendar'!$AL$874=SPECIAL_LBL)*10000000+0*1000000+79*1000+34))</f>
        <v/>
      </c>
      <c r="FM90" s="35">
        <f>IF(N('Dvd Calendar'!$AM$869)=0,"",IF(('Dvd Calendar'!$AM$869&gt;=GRID_FROM)*('Dvd Calendar'!$AM$869&lt;=GRID_TO)*('Dvd Calendar'!$AM$869&lt;=VAL_DATE)=0,"",'Dvd Calendar'!$AM$869*1000000000+ISNUMBER('Dvd Calendar'!$AM$872)*100000000+('Dvd Calendar'!$AM$874=SPECIAL_LBL)*10000000+0*1000000+79*1000+35))</f>
        <v/>
      </c>
      <c r="FN90" s="35">
        <f>IF(N('Dvd Calendar'!$AN$869)=0,"",IF(('Dvd Calendar'!$AN$869&gt;=GRID_FROM)*('Dvd Calendar'!$AN$869&lt;=GRID_TO)*('Dvd Calendar'!$AN$869&lt;=VAL_DATE)=0,"",'Dvd Calendar'!$AN$869*1000000000+ISNUMBER('Dvd Calendar'!$AN$872)*100000000+('Dvd Calendar'!$AN$874=SPECIAL_LBL)*10000000+0*1000000+79*1000+36))</f>
        <v/>
      </c>
      <c r="FO90" s="35">
        <f>IF(N('Dvd Calendar'!$AO$869)=0,"",IF(('Dvd Calendar'!$AO$869&gt;=GRID_FROM)*('Dvd Calendar'!$AO$869&lt;=GRID_TO)*('Dvd Calendar'!$AO$869&lt;=VAL_DATE)=0,"",'Dvd Calendar'!$AO$869*1000000000+ISNUMBER('Dvd Calendar'!$AO$872)*100000000+('Dvd Calendar'!$AO$874=SPECIAL_LBL)*10000000+0*1000000+79*1000+37))</f>
        <v/>
      </c>
      <c r="FP90" s="35">
        <f>IF(N('Dvd Calendar'!$AP$869)=0,"",IF(('Dvd Calendar'!$AP$869&gt;=GRID_FROM)*('Dvd Calendar'!$AP$869&lt;=GRID_TO)*('Dvd Calendar'!$AP$869&lt;=VAL_DATE)=0,"",'Dvd Calendar'!$AP$869*1000000000+ISNUMBER('Dvd Calendar'!$AP$872)*100000000+('Dvd Calendar'!$AP$874=SPECIAL_LBL)*10000000+0*1000000+79*1000+38))</f>
        <v/>
      </c>
      <c r="FQ90" s="35">
        <f>IF(N('Dvd Calendar'!$AQ$869)=0,"",IF(('Dvd Calendar'!$AQ$869&gt;=GRID_FROM)*('Dvd Calendar'!$AQ$869&lt;=GRID_TO)*('Dvd Calendar'!$AQ$869&lt;=VAL_DATE)=0,"",'Dvd Calendar'!$AQ$869*1000000000+ISNUMBER('Dvd Calendar'!$AQ$872)*100000000+('Dvd Calendar'!$AQ$874=SPECIAL_LBL)*10000000+0*1000000+79*1000+39))</f>
        <v/>
      </c>
      <c r="FR90" s="35">
        <f>IF(N('Dvd Calendar'!$AR$869)=0,"",IF(('Dvd Calendar'!$AR$869&gt;=GRID_FROM)*('Dvd Calendar'!$AR$869&lt;=GRID_TO)*('Dvd Calendar'!$AR$869&lt;=VAL_DATE)=0,"",'Dvd Calendar'!$AR$869*1000000000+ISNUMBER('Dvd Calendar'!$AR$872)*100000000+('Dvd Calendar'!$AR$874=SPECIAL_LBL)*10000000+0*1000000+79*1000+40))</f>
        <v/>
      </c>
      <c r="FS90" s="35">
        <f>IF(N('Dvd Calendar'!$E$876)=0,"",IF(('Dvd Calendar'!$E$876&gt;=GRID_FROM)*('Dvd Calendar'!$E$876&lt;=GRID_TO)*('Dvd Calendar'!$E$876&gt;VAL_DATE)=0,"",'Dvd Calendar'!$E$876*1000000000+ISNUMBER('Dvd Calendar'!$E$877)*100000000+0*10000000+(N('Dvd Calendar'!$E$875)&gt;0)*(N('Dvd Calendar'!$E$875)&lt;=VAL_SERIAL)*1000000+79*1000+41))</f>
        <v/>
      </c>
      <c r="FT90" s="35">
        <f>IF(N('Dvd Calendar'!$F$876)=0,"",IF(('Dvd Calendar'!$F$876&gt;=GRID_FROM)*('Dvd Calendar'!$F$876&lt;=GRID_TO)*('Dvd Calendar'!$F$876&gt;VAL_DATE)=0,"",'Dvd Calendar'!$F$876*1000000000+ISNUMBER('Dvd Calendar'!$F$877)*100000000+0*10000000+(N('Dvd Calendar'!$F$875)&gt;0)*(N('Dvd Calendar'!$F$875)&lt;=VAL_SERIAL)*1000000+79*1000+42))</f>
        <v/>
      </c>
      <c r="FU90" s="35">
        <f>IF(N('Dvd Calendar'!$G$876)=0,"",IF(('Dvd Calendar'!$G$876&gt;=GRID_FROM)*('Dvd Calendar'!$G$876&lt;=GRID_TO)*('Dvd Calendar'!$G$876&gt;VAL_DATE)=0,"",'Dvd Calendar'!$G$876*1000000000+ISNUMBER('Dvd Calendar'!$G$877)*100000000+0*10000000+(N('Dvd Calendar'!$G$875)&gt;0)*(N('Dvd Calendar'!$G$875)&lt;=VAL_SERIAL)*1000000+79*1000+43))</f>
        <v/>
      </c>
      <c r="FV90" s="35">
        <f>IF(N('Dvd Calendar'!$H$876)=0,"",IF(('Dvd Calendar'!$H$876&gt;=GRID_FROM)*('Dvd Calendar'!$H$876&lt;=GRID_TO)*('Dvd Calendar'!$H$876&gt;VAL_DATE)=0,"",'Dvd Calendar'!$H$876*1000000000+ISNUMBER('Dvd Calendar'!$H$877)*100000000+0*10000000+(N('Dvd Calendar'!$H$875)&gt;0)*(N('Dvd Calendar'!$H$875)&lt;=VAL_SERIAL)*1000000+79*1000+44))</f>
        <v/>
      </c>
      <c r="FW90" s="35">
        <f>IF(N('Dvd Calendar'!$I$876)=0,"",IF(('Dvd Calendar'!$I$876&gt;=GRID_FROM)*('Dvd Calendar'!$I$876&lt;=GRID_TO)*('Dvd Calendar'!$I$876&gt;VAL_DATE)=0,"",'Dvd Calendar'!$I$876*1000000000+ISNUMBER('Dvd Calendar'!$I$877)*100000000+0*10000000+(N('Dvd Calendar'!$I$875)&gt;0)*(N('Dvd Calendar'!$I$875)&lt;=VAL_SERIAL)*1000000+79*1000+45))</f>
        <v/>
      </c>
      <c r="FX90" s="35">
        <f>IF(N('Dvd Calendar'!$J$876)=0,"",IF(('Dvd Calendar'!$J$876&gt;=GRID_FROM)*('Dvd Calendar'!$J$876&lt;=GRID_TO)*('Dvd Calendar'!$J$876&gt;VAL_DATE)=0,"",'Dvd Calendar'!$J$876*1000000000+ISNUMBER('Dvd Calendar'!$J$877)*100000000+0*10000000+(N('Dvd Calendar'!$J$875)&gt;0)*(N('Dvd Calendar'!$J$875)&lt;=VAL_SERIAL)*1000000+79*1000+46))</f>
        <v/>
      </c>
      <c r="FY90" s="35">
        <f>IF(N('Dvd Calendar'!$K$876)=0,"",IF(('Dvd Calendar'!$K$876&gt;=GRID_FROM)*('Dvd Calendar'!$K$876&lt;=GRID_TO)*('Dvd Calendar'!$K$876&gt;VAL_DATE)=0,"",'Dvd Calendar'!$K$876*1000000000+ISNUMBER('Dvd Calendar'!$K$877)*100000000+0*10000000+(N('Dvd Calendar'!$K$875)&gt;0)*(N('Dvd Calendar'!$K$875)&lt;=VAL_SERIAL)*1000000+79*1000+47))</f>
        <v/>
      </c>
      <c r="FZ90" s="35">
        <f>IF(N('Dvd Calendar'!$L$876)=0,"",IF(('Dvd Calendar'!$L$876&gt;=GRID_FROM)*('Dvd Calendar'!$L$876&lt;=GRID_TO)*('Dvd Calendar'!$L$876&gt;VAL_DATE)=0,"",'Dvd Calendar'!$L$876*1000000000+ISNUMBER('Dvd Calendar'!$L$877)*100000000+0*10000000+(N('Dvd Calendar'!$L$875)&gt;0)*(N('Dvd Calendar'!$L$875)&lt;=VAL_SERIAL)*1000000+79*1000+48))</f>
        <v/>
      </c>
      <c r="GA90" s="35">
        <f>IF(N('Dvd Calendar'!$M$876)=0,"",IF(('Dvd Calendar'!$M$876&gt;=GRID_FROM)*('Dvd Calendar'!$M$876&lt;=GRID_TO)*('Dvd Calendar'!$M$876&gt;VAL_DATE)=0,"",'Dvd Calendar'!$M$876*1000000000+ISNUMBER('Dvd Calendar'!$M$877)*100000000+0*10000000+(N('Dvd Calendar'!$M$875)&gt;0)*(N('Dvd Calendar'!$M$875)&lt;=VAL_SERIAL)*1000000+79*1000+49))</f>
        <v/>
      </c>
      <c r="GB90" s="35">
        <f>IF(N('Dvd Calendar'!$N$876)=0,"",IF(('Dvd Calendar'!$N$876&gt;=GRID_FROM)*('Dvd Calendar'!$N$876&lt;=GRID_TO)*('Dvd Calendar'!$N$876&gt;VAL_DATE)=0,"",'Dvd Calendar'!$N$876*1000000000+ISNUMBER('Dvd Calendar'!$N$877)*100000000+0*10000000+(N('Dvd Calendar'!$N$875)&gt;0)*(N('Dvd Calendar'!$N$875)&lt;=VAL_SERIAL)*1000000+79*1000+50))</f>
        <v/>
      </c>
      <c r="GC90" s="35">
        <f>IF(N('Dvd Calendar'!$O$876)=0,"",IF(('Dvd Calendar'!$O$876&gt;=GRID_FROM)*('Dvd Calendar'!$O$876&lt;=GRID_TO)*('Dvd Calendar'!$O$876&gt;VAL_DATE)=0,"",'Dvd Calendar'!$O$876*1000000000+ISNUMBER('Dvd Calendar'!$O$877)*100000000+0*10000000+(N('Dvd Calendar'!$O$875)&gt;0)*(N('Dvd Calendar'!$O$875)&lt;=VAL_SERIAL)*1000000+79*1000+51))</f>
        <v/>
      </c>
      <c r="GD90" s="35">
        <f>IF(N('Dvd Calendar'!$P$876)=0,"",IF(('Dvd Calendar'!$P$876&gt;=GRID_FROM)*('Dvd Calendar'!$P$876&lt;=GRID_TO)*('Dvd Calendar'!$P$876&gt;VAL_DATE)=0,"",'Dvd Calendar'!$P$876*1000000000+ISNUMBER('Dvd Calendar'!$P$877)*100000000+0*10000000+(N('Dvd Calendar'!$P$875)&gt;0)*(N('Dvd Calendar'!$P$875)&lt;=VAL_SERIAL)*1000000+79*1000+52))</f>
        <v/>
      </c>
      <c r="GE90" s="35">
        <f>IF(N('Dvd Calendar'!$Q$876)=0,"",IF(('Dvd Calendar'!$Q$876&gt;=GRID_FROM)*('Dvd Calendar'!$Q$876&lt;=GRID_TO)*('Dvd Calendar'!$Q$876&gt;VAL_DATE)=0,"",'Dvd Calendar'!$Q$876*1000000000+ISNUMBER('Dvd Calendar'!$Q$877)*100000000+0*10000000+(N('Dvd Calendar'!$Q$875)&gt;0)*(N('Dvd Calendar'!$Q$875)&lt;=VAL_SERIAL)*1000000+79*1000+53))</f>
        <v/>
      </c>
      <c r="GF90" s="35">
        <f>IF(N('Dvd Calendar'!$R$876)=0,"",IF(('Dvd Calendar'!$R$876&gt;=GRID_FROM)*('Dvd Calendar'!$R$876&lt;=GRID_TO)*('Dvd Calendar'!$R$876&gt;VAL_DATE)=0,"",'Dvd Calendar'!$R$876*1000000000+ISNUMBER('Dvd Calendar'!$R$877)*100000000+0*10000000+(N('Dvd Calendar'!$R$875)&gt;0)*(N('Dvd Calendar'!$R$875)&lt;=VAL_SERIAL)*1000000+79*1000+54))</f>
        <v/>
      </c>
      <c r="GG90" s="35">
        <f>IF(N('Dvd Calendar'!$S$876)=0,"",IF(('Dvd Calendar'!$S$876&gt;=GRID_FROM)*('Dvd Calendar'!$S$876&lt;=GRID_TO)*('Dvd Calendar'!$S$876&gt;VAL_DATE)=0,"",'Dvd Calendar'!$S$876*1000000000+ISNUMBER('Dvd Calendar'!$S$877)*100000000+0*10000000+(N('Dvd Calendar'!$S$875)&gt;0)*(N('Dvd Calendar'!$S$875)&lt;=VAL_SERIAL)*1000000+79*1000+55))</f>
        <v/>
      </c>
      <c r="GH90" s="35">
        <f>IF(N('Dvd Calendar'!$T$876)=0,"",IF(('Dvd Calendar'!$T$876&gt;=GRID_FROM)*('Dvd Calendar'!$T$876&lt;=GRID_TO)*('Dvd Calendar'!$T$876&gt;VAL_DATE)=0,"",'Dvd Calendar'!$T$876*1000000000+ISNUMBER('Dvd Calendar'!$T$877)*100000000+0*10000000+(N('Dvd Calendar'!$T$875)&gt;0)*(N('Dvd Calendar'!$T$875)&lt;=VAL_SERIAL)*1000000+79*1000+56))</f>
        <v/>
      </c>
      <c r="GI90" s="35">
        <f>IF(N('Dvd Calendar'!$U$876)=0,"",IF(('Dvd Calendar'!$U$876&gt;=GRID_FROM)*('Dvd Calendar'!$U$876&lt;=GRID_TO)*('Dvd Calendar'!$U$876&gt;VAL_DATE)=0,"",'Dvd Calendar'!$U$876*1000000000+ISNUMBER('Dvd Calendar'!$U$877)*100000000+0*10000000+(N('Dvd Calendar'!$U$875)&gt;0)*(N('Dvd Calendar'!$U$875)&lt;=VAL_SERIAL)*1000000+79*1000+57))</f>
        <v/>
      </c>
      <c r="GJ90" s="35">
        <f>IF(N('Dvd Calendar'!$V$876)=0,"",IF(('Dvd Calendar'!$V$876&gt;=GRID_FROM)*('Dvd Calendar'!$V$876&lt;=GRID_TO)*('Dvd Calendar'!$V$876&gt;VAL_DATE)=0,"",'Dvd Calendar'!$V$876*1000000000+ISNUMBER('Dvd Calendar'!$V$877)*100000000+0*10000000+(N('Dvd Calendar'!$V$875)&gt;0)*(N('Dvd Calendar'!$V$875)&lt;=VAL_SERIAL)*1000000+79*1000+58))</f>
        <v/>
      </c>
      <c r="GK90" s="35">
        <f>IF(N('Dvd Calendar'!$W$876)=0,"",IF(('Dvd Calendar'!$W$876&gt;=GRID_FROM)*('Dvd Calendar'!$W$876&lt;=GRID_TO)*('Dvd Calendar'!$W$876&gt;VAL_DATE)=0,"",'Dvd Calendar'!$W$876*1000000000+ISNUMBER('Dvd Calendar'!$W$877)*100000000+0*10000000+(N('Dvd Calendar'!$W$875)&gt;0)*(N('Dvd Calendar'!$W$875)&lt;=VAL_SERIAL)*1000000+79*1000+59))</f>
        <v/>
      </c>
      <c r="GL90" s="35">
        <f>IF(N('Dvd Calendar'!$X$876)=0,"",IF(('Dvd Calendar'!$X$876&gt;=GRID_FROM)*('Dvd Calendar'!$X$876&lt;=GRID_TO)*('Dvd Calendar'!$X$876&gt;VAL_DATE)=0,"",'Dvd Calendar'!$X$876*1000000000+ISNUMBER('Dvd Calendar'!$X$877)*100000000+0*10000000+(N('Dvd Calendar'!$X$875)&gt;0)*(N('Dvd Calendar'!$X$875)&lt;=VAL_SERIAL)*1000000+79*1000+60))</f>
        <v/>
      </c>
      <c r="GM90" s="35">
        <f>IF(N('Dvd Calendar'!$Y$876)=0,"",IF(('Dvd Calendar'!$Y$876&gt;=GRID_FROM)*('Dvd Calendar'!$Y$876&lt;=GRID_TO)*('Dvd Calendar'!$Y$876&gt;VAL_DATE)=0,"",'Dvd Calendar'!$Y$876*1000000000+ISNUMBER('Dvd Calendar'!$Y$877)*100000000+0*10000000+(N('Dvd Calendar'!$Y$875)&gt;0)*(N('Dvd Calendar'!$Y$875)&lt;=VAL_SERIAL)*1000000+79*1000+61))</f>
        <v/>
      </c>
      <c r="GN90" s="35">
        <f>IF(N('Dvd Calendar'!$Z$876)=0,"",IF(('Dvd Calendar'!$Z$876&gt;=GRID_FROM)*('Dvd Calendar'!$Z$876&lt;=GRID_TO)*('Dvd Calendar'!$Z$876&gt;VAL_DATE)=0,"",'Dvd Calendar'!$Z$876*1000000000+ISNUMBER('Dvd Calendar'!$Z$877)*100000000+0*10000000+(N('Dvd Calendar'!$Z$875)&gt;0)*(N('Dvd Calendar'!$Z$875)&lt;=VAL_SERIAL)*1000000+79*1000+62))</f>
        <v/>
      </c>
      <c r="GO90" s="35">
        <f>IF(N('Dvd Calendar'!$AA$876)=0,"",IF(('Dvd Calendar'!$AA$876&gt;=GRID_FROM)*('Dvd Calendar'!$AA$876&lt;=GRID_TO)*('Dvd Calendar'!$AA$876&gt;VAL_DATE)=0,"",'Dvd Calendar'!$AA$876*1000000000+ISNUMBER('Dvd Calendar'!$AA$877)*100000000+0*10000000+(N('Dvd Calendar'!$AA$875)&gt;0)*(N('Dvd Calendar'!$AA$875)&lt;=VAL_SERIAL)*1000000+79*1000+63))</f>
        <v/>
      </c>
      <c r="GP90" s="35">
        <f>IF(N('Dvd Calendar'!$AB$876)=0,"",IF(('Dvd Calendar'!$AB$876&gt;=GRID_FROM)*('Dvd Calendar'!$AB$876&lt;=GRID_TO)*('Dvd Calendar'!$AB$876&gt;VAL_DATE)=0,"",'Dvd Calendar'!$AB$876*1000000000+ISNUMBER('Dvd Calendar'!$AB$877)*100000000+0*10000000+(N('Dvd Calendar'!$AB$875)&gt;0)*(N('Dvd Calendar'!$AB$875)&lt;=VAL_SERIAL)*1000000+79*1000+64))</f>
        <v/>
      </c>
      <c r="GQ90" s="35">
        <f>IF(N('Dvd Calendar'!$AC$876)=0,"",IF(('Dvd Calendar'!$AC$876&gt;=GRID_FROM)*('Dvd Calendar'!$AC$876&lt;=GRID_TO)*('Dvd Calendar'!$AC$876&gt;VAL_DATE)=0,"",'Dvd Calendar'!$AC$876*1000000000+ISNUMBER('Dvd Calendar'!$AC$877)*100000000+0*10000000+(N('Dvd Calendar'!$AC$875)&gt;0)*(N('Dvd Calendar'!$AC$875)&lt;=VAL_SERIAL)*1000000+79*1000+65))</f>
        <v/>
      </c>
    </row>
    <row r="91">
      <c r="B91" s="2">
        <f>IF(HSI!$C$86="","",HSI!$C$86)</f>
        <v/>
      </c>
      <c r="C91" s="106">
        <f>IF(EE91="","",IF(ISNUMBER('Dvd Calendar'!$E$883)=FALSE,"",IF((('Dvd Calendar'!$E$885=TYPE1)*(TYPE1&lt;&gt;"")+('Dvd Calendar'!$E$885=TYPE2)*(TYPE2&lt;&gt;"")+('Dvd Calendar'!$E$885=TYPE3)*(TYPE3&lt;&gt;"")+('Dvd Calendar'!$E$885=TYPE4)*(TYPE4&lt;&gt;"")+('Dvd Calendar'!$E$885=SPECIAL_LBL)*(INC_SPECIALS="Y"))=0,"",'Dvd Calendar'!$E$883)))</f>
        <v/>
      </c>
      <c r="D91" s="106">
        <f>IF(EF91="","",IF(ISNUMBER('Dvd Calendar'!$F$883)=FALSE,"",IF((('Dvd Calendar'!$F$885=TYPE1)*(TYPE1&lt;&gt;"")+('Dvd Calendar'!$F$885=TYPE2)*(TYPE2&lt;&gt;"")+('Dvd Calendar'!$F$885=TYPE3)*(TYPE3&lt;&gt;"")+('Dvd Calendar'!$F$885=TYPE4)*(TYPE4&lt;&gt;"")+('Dvd Calendar'!$F$885=SPECIAL_LBL)*(INC_SPECIALS="Y"))=0,"",'Dvd Calendar'!$F$883)))</f>
        <v/>
      </c>
      <c r="E91" s="106">
        <f>IF(EG91="","",IF(ISNUMBER('Dvd Calendar'!$G$883)=FALSE,"",IF((('Dvd Calendar'!$G$885=TYPE1)*(TYPE1&lt;&gt;"")+('Dvd Calendar'!$G$885=TYPE2)*(TYPE2&lt;&gt;"")+('Dvd Calendar'!$G$885=TYPE3)*(TYPE3&lt;&gt;"")+('Dvd Calendar'!$G$885=TYPE4)*(TYPE4&lt;&gt;"")+('Dvd Calendar'!$G$885=SPECIAL_LBL)*(INC_SPECIALS="Y"))=0,"",'Dvd Calendar'!$G$883)))</f>
        <v/>
      </c>
      <c r="F91" s="106">
        <f>IF(EH91="","",IF(ISNUMBER('Dvd Calendar'!$H$883)=FALSE,"",IF((('Dvd Calendar'!$H$885=TYPE1)*(TYPE1&lt;&gt;"")+('Dvd Calendar'!$H$885=TYPE2)*(TYPE2&lt;&gt;"")+('Dvd Calendar'!$H$885=TYPE3)*(TYPE3&lt;&gt;"")+('Dvd Calendar'!$H$885=TYPE4)*(TYPE4&lt;&gt;"")+('Dvd Calendar'!$H$885=SPECIAL_LBL)*(INC_SPECIALS="Y"))=0,"",'Dvd Calendar'!$H$883)))</f>
        <v/>
      </c>
      <c r="G91" s="106">
        <f>IF(EI91="","",IF(ISNUMBER('Dvd Calendar'!$I$883)=FALSE,"",IF((('Dvd Calendar'!$I$885=TYPE1)*(TYPE1&lt;&gt;"")+('Dvd Calendar'!$I$885=TYPE2)*(TYPE2&lt;&gt;"")+('Dvd Calendar'!$I$885=TYPE3)*(TYPE3&lt;&gt;"")+('Dvd Calendar'!$I$885=TYPE4)*(TYPE4&lt;&gt;"")+('Dvd Calendar'!$I$885=SPECIAL_LBL)*(INC_SPECIALS="Y"))=0,"",'Dvd Calendar'!$I$883)))</f>
        <v/>
      </c>
      <c r="H91" s="106">
        <f>IF(EJ91="","",IF(ISNUMBER('Dvd Calendar'!$J$883)=FALSE,"",IF((('Dvd Calendar'!$J$885=TYPE1)*(TYPE1&lt;&gt;"")+('Dvd Calendar'!$J$885=TYPE2)*(TYPE2&lt;&gt;"")+('Dvd Calendar'!$J$885=TYPE3)*(TYPE3&lt;&gt;"")+('Dvd Calendar'!$J$885=TYPE4)*(TYPE4&lt;&gt;"")+('Dvd Calendar'!$J$885=SPECIAL_LBL)*(INC_SPECIALS="Y"))=0,"",'Dvd Calendar'!$J$883)))</f>
        <v/>
      </c>
      <c r="I91" s="106">
        <f>IF(EK91="","",IF(ISNUMBER('Dvd Calendar'!$K$883)=FALSE,"",IF((('Dvd Calendar'!$K$885=TYPE1)*(TYPE1&lt;&gt;"")+('Dvd Calendar'!$K$885=TYPE2)*(TYPE2&lt;&gt;"")+('Dvd Calendar'!$K$885=TYPE3)*(TYPE3&lt;&gt;"")+('Dvd Calendar'!$K$885=TYPE4)*(TYPE4&lt;&gt;"")+('Dvd Calendar'!$K$885=SPECIAL_LBL)*(INC_SPECIALS="Y"))=0,"",'Dvd Calendar'!$K$883)))</f>
        <v/>
      </c>
      <c r="J91" s="106">
        <f>IF(EL91="","",IF(ISNUMBER('Dvd Calendar'!$L$883)=FALSE,"",IF((('Dvd Calendar'!$L$885=TYPE1)*(TYPE1&lt;&gt;"")+('Dvd Calendar'!$L$885=TYPE2)*(TYPE2&lt;&gt;"")+('Dvd Calendar'!$L$885=TYPE3)*(TYPE3&lt;&gt;"")+('Dvd Calendar'!$L$885=TYPE4)*(TYPE4&lt;&gt;"")+('Dvd Calendar'!$L$885=SPECIAL_LBL)*(INC_SPECIALS="Y"))=0,"",'Dvd Calendar'!$L$883)))</f>
        <v/>
      </c>
      <c r="K91" s="106">
        <f>IF(EM91="","",IF(ISNUMBER('Dvd Calendar'!$M$883)=FALSE,"",IF((('Dvd Calendar'!$M$885=TYPE1)*(TYPE1&lt;&gt;"")+('Dvd Calendar'!$M$885=TYPE2)*(TYPE2&lt;&gt;"")+('Dvd Calendar'!$M$885=TYPE3)*(TYPE3&lt;&gt;"")+('Dvd Calendar'!$M$885=TYPE4)*(TYPE4&lt;&gt;"")+('Dvd Calendar'!$M$885=SPECIAL_LBL)*(INC_SPECIALS="Y"))=0,"",'Dvd Calendar'!$M$883)))</f>
        <v/>
      </c>
      <c r="L91" s="106">
        <f>IF(EN91="","",IF(ISNUMBER('Dvd Calendar'!$N$883)=FALSE,"",IF((('Dvd Calendar'!$N$885=TYPE1)*(TYPE1&lt;&gt;"")+('Dvd Calendar'!$N$885=TYPE2)*(TYPE2&lt;&gt;"")+('Dvd Calendar'!$N$885=TYPE3)*(TYPE3&lt;&gt;"")+('Dvd Calendar'!$N$885=TYPE4)*(TYPE4&lt;&gt;"")+('Dvd Calendar'!$N$885=SPECIAL_LBL)*(INC_SPECIALS="Y"))=0,"",'Dvd Calendar'!$N$883)))</f>
        <v/>
      </c>
      <c r="M91" s="106">
        <f>IF(EO91="","",IF(ISNUMBER('Dvd Calendar'!$O$883)=FALSE,"",IF((('Dvd Calendar'!$O$885=TYPE1)*(TYPE1&lt;&gt;"")+('Dvd Calendar'!$O$885=TYPE2)*(TYPE2&lt;&gt;"")+('Dvd Calendar'!$O$885=TYPE3)*(TYPE3&lt;&gt;"")+('Dvd Calendar'!$O$885=TYPE4)*(TYPE4&lt;&gt;"")+('Dvd Calendar'!$O$885=SPECIAL_LBL)*(INC_SPECIALS="Y"))=0,"",'Dvd Calendar'!$O$883)))</f>
        <v/>
      </c>
      <c r="N91" s="106">
        <f>IF(EP91="","",IF(ISNUMBER('Dvd Calendar'!$P$883)=FALSE,"",IF((('Dvd Calendar'!$P$885=TYPE1)*(TYPE1&lt;&gt;"")+('Dvd Calendar'!$P$885=TYPE2)*(TYPE2&lt;&gt;"")+('Dvd Calendar'!$P$885=TYPE3)*(TYPE3&lt;&gt;"")+('Dvd Calendar'!$P$885=TYPE4)*(TYPE4&lt;&gt;"")+('Dvd Calendar'!$P$885=SPECIAL_LBL)*(INC_SPECIALS="Y"))=0,"",'Dvd Calendar'!$P$883)))</f>
        <v/>
      </c>
      <c r="O91" s="106">
        <f>IF(EQ91="","",IF(ISNUMBER('Dvd Calendar'!$Q$883)=FALSE,"",IF((('Dvd Calendar'!$Q$885=TYPE1)*(TYPE1&lt;&gt;"")+('Dvd Calendar'!$Q$885=TYPE2)*(TYPE2&lt;&gt;"")+('Dvd Calendar'!$Q$885=TYPE3)*(TYPE3&lt;&gt;"")+('Dvd Calendar'!$Q$885=TYPE4)*(TYPE4&lt;&gt;"")+('Dvd Calendar'!$Q$885=SPECIAL_LBL)*(INC_SPECIALS="Y"))=0,"",'Dvd Calendar'!$Q$883)))</f>
        <v/>
      </c>
      <c r="P91" s="106">
        <f>IF(ER91="","",IF(ISNUMBER('Dvd Calendar'!$R$883)=FALSE,"",IF((('Dvd Calendar'!$R$885=TYPE1)*(TYPE1&lt;&gt;"")+('Dvd Calendar'!$R$885=TYPE2)*(TYPE2&lt;&gt;"")+('Dvd Calendar'!$R$885=TYPE3)*(TYPE3&lt;&gt;"")+('Dvd Calendar'!$R$885=TYPE4)*(TYPE4&lt;&gt;"")+('Dvd Calendar'!$R$885=SPECIAL_LBL)*(INC_SPECIALS="Y"))=0,"",'Dvd Calendar'!$R$883)))</f>
        <v/>
      </c>
      <c r="Q91" s="106">
        <f>IF(ES91="","",IF(ISNUMBER('Dvd Calendar'!$S$883)=FALSE,"",IF((('Dvd Calendar'!$S$885=TYPE1)*(TYPE1&lt;&gt;"")+('Dvd Calendar'!$S$885=TYPE2)*(TYPE2&lt;&gt;"")+('Dvd Calendar'!$S$885=TYPE3)*(TYPE3&lt;&gt;"")+('Dvd Calendar'!$S$885=TYPE4)*(TYPE4&lt;&gt;"")+('Dvd Calendar'!$S$885=SPECIAL_LBL)*(INC_SPECIALS="Y"))=0,"",'Dvd Calendar'!$S$883)))</f>
        <v/>
      </c>
      <c r="R91" s="106">
        <f>IF(ET91="","",IF(ISNUMBER('Dvd Calendar'!$T$883)=FALSE,"",IF((('Dvd Calendar'!$T$885=TYPE1)*(TYPE1&lt;&gt;"")+('Dvd Calendar'!$T$885=TYPE2)*(TYPE2&lt;&gt;"")+('Dvd Calendar'!$T$885=TYPE3)*(TYPE3&lt;&gt;"")+('Dvd Calendar'!$T$885=TYPE4)*(TYPE4&lt;&gt;"")+('Dvd Calendar'!$T$885=SPECIAL_LBL)*(INC_SPECIALS="Y"))=0,"",'Dvd Calendar'!$T$883)))</f>
        <v/>
      </c>
      <c r="S91" s="106">
        <f>IF(EU91="","",IF(ISNUMBER('Dvd Calendar'!$U$883)=FALSE,"",IF((('Dvd Calendar'!$U$885=TYPE1)*(TYPE1&lt;&gt;"")+('Dvd Calendar'!$U$885=TYPE2)*(TYPE2&lt;&gt;"")+('Dvd Calendar'!$U$885=TYPE3)*(TYPE3&lt;&gt;"")+('Dvd Calendar'!$U$885=TYPE4)*(TYPE4&lt;&gt;"")+('Dvd Calendar'!$U$885=SPECIAL_LBL)*(INC_SPECIALS="Y"))=0,"",'Dvd Calendar'!$U$883)))</f>
        <v/>
      </c>
      <c r="T91" s="106">
        <f>IF(EV91="","",IF(ISNUMBER('Dvd Calendar'!$V$883)=FALSE,"",IF((('Dvd Calendar'!$V$885=TYPE1)*(TYPE1&lt;&gt;"")+('Dvd Calendar'!$V$885=TYPE2)*(TYPE2&lt;&gt;"")+('Dvd Calendar'!$V$885=TYPE3)*(TYPE3&lt;&gt;"")+('Dvd Calendar'!$V$885=TYPE4)*(TYPE4&lt;&gt;"")+('Dvd Calendar'!$V$885=SPECIAL_LBL)*(INC_SPECIALS="Y"))=0,"",'Dvd Calendar'!$V$883)))</f>
        <v/>
      </c>
      <c r="U91" s="106">
        <f>IF(EW91="","",IF(ISNUMBER('Dvd Calendar'!$W$883)=FALSE,"",IF((('Dvd Calendar'!$W$885=TYPE1)*(TYPE1&lt;&gt;"")+('Dvd Calendar'!$W$885=TYPE2)*(TYPE2&lt;&gt;"")+('Dvd Calendar'!$W$885=TYPE3)*(TYPE3&lt;&gt;"")+('Dvd Calendar'!$W$885=TYPE4)*(TYPE4&lt;&gt;"")+('Dvd Calendar'!$W$885=SPECIAL_LBL)*(INC_SPECIALS="Y"))=0,"",'Dvd Calendar'!$W$883)))</f>
        <v/>
      </c>
      <c r="V91" s="106">
        <f>IF(EX91="","",IF(ISNUMBER('Dvd Calendar'!$X$883)=FALSE,"",IF((('Dvd Calendar'!$X$885=TYPE1)*(TYPE1&lt;&gt;"")+('Dvd Calendar'!$X$885=TYPE2)*(TYPE2&lt;&gt;"")+('Dvd Calendar'!$X$885=TYPE3)*(TYPE3&lt;&gt;"")+('Dvd Calendar'!$X$885=TYPE4)*(TYPE4&lt;&gt;"")+('Dvd Calendar'!$X$885=SPECIAL_LBL)*(INC_SPECIALS="Y"))=0,"",'Dvd Calendar'!$X$883)))</f>
        <v/>
      </c>
      <c r="W91" s="106">
        <f>IF(EY91="","",IF(ISNUMBER('Dvd Calendar'!$Y$883)=FALSE,"",IF((('Dvd Calendar'!$Y$885=TYPE1)*(TYPE1&lt;&gt;"")+('Dvd Calendar'!$Y$885=TYPE2)*(TYPE2&lt;&gt;"")+('Dvd Calendar'!$Y$885=TYPE3)*(TYPE3&lt;&gt;"")+('Dvd Calendar'!$Y$885=TYPE4)*(TYPE4&lt;&gt;"")+('Dvd Calendar'!$Y$885=SPECIAL_LBL)*(INC_SPECIALS="Y"))=0,"",'Dvd Calendar'!$Y$883)))</f>
        <v/>
      </c>
      <c r="X91" s="106">
        <f>IF(EZ91="","",IF(ISNUMBER('Dvd Calendar'!$Z$883)=FALSE,"",IF((('Dvd Calendar'!$Z$885=TYPE1)*(TYPE1&lt;&gt;"")+('Dvd Calendar'!$Z$885=TYPE2)*(TYPE2&lt;&gt;"")+('Dvd Calendar'!$Z$885=TYPE3)*(TYPE3&lt;&gt;"")+('Dvd Calendar'!$Z$885=TYPE4)*(TYPE4&lt;&gt;"")+('Dvd Calendar'!$Z$885=SPECIAL_LBL)*(INC_SPECIALS="Y"))=0,"",'Dvd Calendar'!$Z$883)))</f>
        <v/>
      </c>
      <c r="Y91" s="106">
        <f>IF(FA91="","",IF(ISNUMBER('Dvd Calendar'!$AA$883)=FALSE,"",IF((('Dvd Calendar'!$AA$885=TYPE1)*(TYPE1&lt;&gt;"")+('Dvd Calendar'!$AA$885=TYPE2)*(TYPE2&lt;&gt;"")+('Dvd Calendar'!$AA$885=TYPE3)*(TYPE3&lt;&gt;"")+('Dvd Calendar'!$AA$885=TYPE4)*(TYPE4&lt;&gt;"")+('Dvd Calendar'!$AA$885=SPECIAL_LBL)*(INC_SPECIALS="Y"))=0,"",'Dvd Calendar'!$AA$883)))</f>
        <v/>
      </c>
      <c r="Z91" s="106">
        <f>IF(FB91="","",IF(ISNUMBER('Dvd Calendar'!$AB$883)=FALSE,"",IF((('Dvd Calendar'!$AB$885=TYPE1)*(TYPE1&lt;&gt;"")+('Dvd Calendar'!$AB$885=TYPE2)*(TYPE2&lt;&gt;"")+('Dvd Calendar'!$AB$885=TYPE3)*(TYPE3&lt;&gt;"")+('Dvd Calendar'!$AB$885=TYPE4)*(TYPE4&lt;&gt;"")+('Dvd Calendar'!$AB$885=SPECIAL_LBL)*(INC_SPECIALS="Y"))=0,"",'Dvd Calendar'!$AB$883)))</f>
        <v/>
      </c>
      <c r="AA91" s="106">
        <f>IF(FC91="","",IF(ISNUMBER('Dvd Calendar'!$AC$883)=FALSE,"",IF((('Dvd Calendar'!$AC$885=TYPE1)*(TYPE1&lt;&gt;"")+('Dvd Calendar'!$AC$885=TYPE2)*(TYPE2&lt;&gt;"")+('Dvd Calendar'!$AC$885=TYPE3)*(TYPE3&lt;&gt;"")+('Dvd Calendar'!$AC$885=TYPE4)*(TYPE4&lt;&gt;"")+('Dvd Calendar'!$AC$885=SPECIAL_LBL)*(INC_SPECIALS="Y"))=0,"",'Dvd Calendar'!$AC$883)))</f>
        <v/>
      </c>
      <c r="AB91" s="106">
        <f>IF(FD91="","",IF(ISNUMBER('Dvd Calendar'!$AD$883)=FALSE,"",IF((('Dvd Calendar'!$AD$885=TYPE1)*(TYPE1&lt;&gt;"")+('Dvd Calendar'!$AD$885=TYPE2)*(TYPE2&lt;&gt;"")+('Dvd Calendar'!$AD$885=TYPE3)*(TYPE3&lt;&gt;"")+('Dvd Calendar'!$AD$885=TYPE4)*(TYPE4&lt;&gt;"")+('Dvd Calendar'!$AD$885=SPECIAL_LBL)*(INC_SPECIALS="Y"))=0,"",'Dvd Calendar'!$AD$883)))</f>
        <v/>
      </c>
      <c r="AC91" s="106">
        <f>IF(FE91="","",IF(ISNUMBER('Dvd Calendar'!$AE$883)=FALSE,"",IF((('Dvd Calendar'!$AE$885=TYPE1)*(TYPE1&lt;&gt;"")+('Dvd Calendar'!$AE$885=TYPE2)*(TYPE2&lt;&gt;"")+('Dvd Calendar'!$AE$885=TYPE3)*(TYPE3&lt;&gt;"")+('Dvd Calendar'!$AE$885=TYPE4)*(TYPE4&lt;&gt;"")+('Dvd Calendar'!$AE$885=SPECIAL_LBL)*(INC_SPECIALS="Y"))=0,"",'Dvd Calendar'!$AE$883)))</f>
        <v/>
      </c>
      <c r="AD91" s="106">
        <f>IF(FF91="","",IF(ISNUMBER('Dvd Calendar'!$AF$883)=FALSE,"",IF((('Dvd Calendar'!$AF$885=TYPE1)*(TYPE1&lt;&gt;"")+('Dvd Calendar'!$AF$885=TYPE2)*(TYPE2&lt;&gt;"")+('Dvd Calendar'!$AF$885=TYPE3)*(TYPE3&lt;&gt;"")+('Dvd Calendar'!$AF$885=TYPE4)*(TYPE4&lt;&gt;"")+('Dvd Calendar'!$AF$885=SPECIAL_LBL)*(INC_SPECIALS="Y"))=0,"",'Dvd Calendar'!$AF$883)))</f>
        <v/>
      </c>
      <c r="AE91" s="106">
        <f>IF(FG91="","",IF(ISNUMBER('Dvd Calendar'!$AG$883)=FALSE,"",IF((('Dvd Calendar'!$AG$885=TYPE1)*(TYPE1&lt;&gt;"")+('Dvd Calendar'!$AG$885=TYPE2)*(TYPE2&lt;&gt;"")+('Dvd Calendar'!$AG$885=TYPE3)*(TYPE3&lt;&gt;"")+('Dvd Calendar'!$AG$885=TYPE4)*(TYPE4&lt;&gt;"")+('Dvd Calendar'!$AG$885=SPECIAL_LBL)*(INC_SPECIALS="Y"))=0,"",'Dvd Calendar'!$AG$883)))</f>
        <v/>
      </c>
      <c r="AF91" s="106">
        <f>IF(FH91="","",IF(ISNUMBER('Dvd Calendar'!$AH$883)=FALSE,"",IF((('Dvd Calendar'!$AH$885=TYPE1)*(TYPE1&lt;&gt;"")+('Dvd Calendar'!$AH$885=TYPE2)*(TYPE2&lt;&gt;"")+('Dvd Calendar'!$AH$885=TYPE3)*(TYPE3&lt;&gt;"")+('Dvd Calendar'!$AH$885=TYPE4)*(TYPE4&lt;&gt;"")+('Dvd Calendar'!$AH$885=SPECIAL_LBL)*(INC_SPECIALS="Y"))=0,"",'Dvd Calendar'!$AH$883)))</f>
        <v/>
      </c>
      <c r="AG91" s="106">
        <f>IF(FI91="","",IF(ISNUMBER('Dvd Calendar'!$AI$883)=FALSE,"",IF((('Dvd Calendar'!$AI$885=TYPE1)*(TYPE1&lt;&gt;"")+('Dvd Calendar'!$AI$885=TYPE2)*(TYPE2&lt;&gt;"")+('Dvd Calendar'!$AI$885=TYPE3)*(TYPE3&lt;&gt;"")+('Dvd Calendar'!$AI$885=TYPE4)*(TYPE4&lt;&gt;"")+('Dvd Calendar'!$AI$885=SPECIAL_LBL)*(INC_SPECIALS="Y"))=0,"",'Dvd Calendar'!$AI$883)))</f>
        <v/>
      </c>
      <c r="AH91" s="106">
        <f>IF(FJ91="","",IF(ISNUMBER('Dvd Calendar'!$AJ$883)=FALSE,"",IF((('Dvd Calendar'!$AJ$885=TYPE1)*(TYPE1&lt;&gt;"")+('Dvd Calendar'!$AJ$885=TYPE2)*(TYPE2&lt;&gt;"")+('Dvd Calendar'!$AJ$885=TYPE3)*(TYPE3&lt;&gt;"")+('Dvd Calendar'!$AJ$885=TYPE4)*(TYPE4&lt;&gt;"")+('Dvd Calendar'!$AJ$885=SPECIAL_LBL)*(INC_SPECIALS="Y"))=0,"",'Dvd Calendar'!$AJ$883)))</f>
        <v/>
      </c>
      <c r="AI91" s="106">
        <f>IF(FK91="","",IF(ISNUMBER('Dvd Calendar'!$AK$883)=FALSE,"",IF((('Dvd Calendar'!$AK$885=TYPE1)*(TYPE1&lt;&gt;"")+('Dvd Calendar'!$AK$885=TYPE2)*(TYPE2&lt;&gt;"")+('Dvd Calendar'!$AK$885=TYPE3)*(TYPE3&lt;&gt;"")+('Dvd Calendar'!$AK$885=TYPE4)*(TYPE4&lt;&gt;"")+('Dvd Calendar'!$AK$885=SPECIAL_LBL)*(INC_SPECIALS="Y"))=0,"",'Dvd Calendar'!$AK$883)))</f>
        <v/>
      </c>
      <c r="AJ91" s="106">
        <f>IF(FL91="","",IF(ISNUMBER('Dvd Calendar'!$AL$883)=FALSE,"",IF((('Dvd Calendar'!$AL$885=TYPE1)*(TYPE1&lt;&gt;"")+('Dvd Calendar'!$AL$885=TYPE2)*(TYPE2&lt;&gt;"")+('Dvd Calendar'!$AL$885=TYPE3)*(TYPE3&lt;&gt;"")+('Dvd Calendar'!$AL$885=TYPE4)*(TYPE4&lt;&gt;"")+('Dvd Calendar'!$AL$885=SPECIAL_LBL)*(INC_SPECIALS="Y"))=0,"",'Dvd Calendar'!$AL$883)))</f>
        <v/>
      </c>
      <c r="AK91" s="106">
        <f>IF(FM91="","",IF(ISNUMBER('Dvd Calendar'!$AM$883)=FALSE,"",IF((('Dvd Calendar'!$AM$885=TYPE1)*(TYPE1&lt;&gt;"")+('Dvd Calendar'!$AM$885=TYPE2)*(TYPE2&lt;&gt;"")+('Dvd Calendar'!$AM$885=TYPE3)*(TYPE3&lt;&gt;"")+('Dvd Calendar'!$AM$885=TYPE4)*(TYPE4&lt;&gt;"")+('Dvd Calendar'!$AM$885=SPECIAL_LBL)*(INC_SPECIALS="Y"))=0,"",'Dvd Calendar'!$AM$883)))</f>
        <v/>
      </c>
      <c r="AL91" s="106">
        <f>IF(FN91="","",IF(ISNUMBER('Dvd Calendar'!$AN$883)=FALSE,"",IF((('Dvd Calendar'!$AN$885=TYPE1)*(TYPE1&lt;&gt;"")+('Dvd Calendar'!$AN$885=TYPE2)*(TYPE2&lt;&gt;"")+('Dvd Calendar'!$AN$885=TYPE3)*(TYPE3&lt;&gt;"")+('Dvd Calendar'!$AN$885=TYPE4)*(TYPE4&lt;&gt;"")+('Dvd Calendar'!$AN$885=SPECIAL_LBL)*(INC_SPECIALS="Y"))=0,"",'Dvd Calendar'!$AN$883)))</f>
        <v/>
      </c>
      <c r="AM91" s="106">
        <f>IF(FO91="","",IF(ISNUMBER('Dvd Calendar'!$AO$883)=FALSE,"",IF((('Dvd Calendar'!$AO$885=TYPE1)*(TYPE1&lt;&gt;"")+('Dvd Calendar'!$AO$885=TYPE2)*(TYPE2&lt;&gt;"")+('Dvd Calendar'!$AO$885=TYPE3)*(TYPE3&lt;&gt;"")+('Dvd Calendar'!$AO$885=TYPE4)*(TYPE4&lt;&gt;"")+('Dvd Calendar'!$AO$885=SPECIAL_LBL)*(INC_SPECIALS="Y"))=0,"",'Dvd Calendar'!$AO$883)))</f>
        <v/>
      </c>
      <c r="AN91" s="106">
        <f>IF(FP91="","",IF(ISNUMBER('Dvd Calendar'!$AP$883)=FALSE,"",IF((('Dvd Calendar'!$AP$885=TYPE1)*(TYPE1&lt;&gt;"")+('Dvd Calendar'!$AP$885=TYPE2)*(TYPE2&lt;&gt;"")+('Dvd Calendar'!$AP$885=TYPE3)*(TYPE3&lt;&gt;"")+('Dvd Calendar'!$AP$885=TYPE4)*(TYPE4&lt;&gt;"")+('Dvd Calendar'!$AP$885=SPECIAL_LBL)*(INC_SPECIALS="Y"))=0,"",'Dvd Calendar'!$AP$883)))</f>
        <v/>
      </c>
      <c r="AO91" s="106">
        <f>IF(FQ91="","",IF(ISNUMBER('Dvd Calendar'!$AQ$883)=FALSE,"",IF((('Dvd Calendar'!$AQ$885=TYPE1)*(TYPE1&lt;&gt;"")+('Dvd Calendar'!$AQ$885=TYPE2)*(TYPE2&lt;&gt;"")+('Dvd Calendar'!$AQ$885=TYPE3)*(TYPE3&lt;&gt;"")+('Dvd Calendar'!$AQ$885=TYPE4)*(TYPE4&lt;&gt;"")+('Dvd Calendar'!$AQ$885=SPECIAL_LBL)*(INC_SPECIALS="Y"))=0,"",'Dvd Calendar'!$AQ$883)))</f>
        <v/>
      </c>
      <c r="AP91" s="106">
        <f>IF(FR91="","",IF(ISNUMBER('Dvd Calendar'!$AR$883)=FALSE,"",IF((('Dvd Calendar'!$AR$885=TYPE1)*(TYPE1&lt;&gt;"")+('Dvd Calendar'!$AR$885=TYPE2)*(TYPE2&lt;&gt;"")+('Dvd Calendar'!$AR$885=TYPE3)*(TYPE3&lt;&gt;"")+('Dvd Calendar'!$AR$885=TYPE4)*(TYPE4&lt;&gt;"")+('Dvd Calendar'!$AR$885=SPECIAL_LBL)*(INC_SPECIALS="Y"))=0,"",'Dvd Calendar'!$AR$883)))</f>
        <v/>
      </c>
      <c r="AQ91" s="106">
        <f>IF(FS91="","",IF(ISNUMBER('Dvd Calendar'!$E$888)=FALSE,"",'Dvd Calendar'!$E$888))</f>
        <v/>
      </c>
      <c r="AR91" s="106">
        <f>IF(FT91="","",IF(ISNUMBER('Dvd Calendar'!$F$888)=FALSE,"",'Dvd Calendar'!$F$888))</f>
        <v/>
      </c>
      <c r="AS91" s="106">
        <f>IF(FU91="","",IF(ISNUMBER('Dvd Calendar'!$G$888)=FALSE,"",'Dvd Calendar'!$G$888))</f>
        <v/>
      </c>
      <c r="AT91" s="106">
        <f>IF(FV91="","",IF(ISNUMBER('Dvd Calendar'!$H$888)=FALSE,"",'Dvd Calendar'!$H$888))</f>
        <v/>
      </c>
      <c r="AU91" s="106">
        <f>IF(FW91="","",IF(ISNUMBER('Dvd Calendar'!$I$888)=FALSE,"",'Dvd Calendar'!$I$888))</f>
        <v/>
      </c>
      <c r="AV91" s="106">
        <f>IF(FX91="","",IF(ISNUMBER('Dvd Calendar'!$J$888)=FALSE,"",'Dvd Calendar'!$J$888))</f>
        <v/>
      </c>
      <c r="AW91" s="106">
        <f>IF(FY91="","",IF(ISNUMBER('Dvd Calendar'!$K$888)=FALSE,"",'Dvd Calendar'!$K$888))</f>
        <v/>
      </c>
      <c r="AX91" s="106">
        <f>IF(FZ91="","",IF(ISNUMBER('Dvd Calendar'!$L$888)=FALSE,"",'Dvd Calendar'!$L$888))</f>
        <v/>
      </c>
      <c r="AY91" s="106">
        <f>IF(GA91="","",IF(ISNUMBER('Dvd Calendar'!$M$888)=FALSE,"",'Dvd Calendar'!$M$888))</f>
        <v/>
      </c>
      <c r="AZ91" s="106">
        <f>IF(GB91="","",IF(ISNUMBER('Dvd Calendar'!$N$888)=FALSE,"",'Dvd Calendar'!$N$888))</f>
        <v/>
      </c>
      <c r="BA91" s="106">
        <f>IF(GC91="","",IF(ISNUMBER('Dvd Calendar'!$O$888)=FALSE,"",'Dvd Calendar'!$O$888))</f>
        <v/>
      </c>
      <c r="BB91" s="106">
        <f>IF(GD91="","",IF(ISNUMBER('Dvd Calendar'!$P$888)=FALSE,"",'Dvd Calendar'!$P$888))</f>
        <v/>
      </c>
      <c r="BC91" s="106">
        <f>IF(GE91="","",IF(ISNUMBER('Dvd Calendar'!$Q$888)=FALSE,"",'Dvd Calendar'!$Q$888))</f>
        <v/>
      </c>
      <c r="BD91" s="106">
        <f>IF(GF91="","",IF(ISNUMBER('Dvd Calendar'!$R$888)=FALSE,"",'Dvd Calendar'!$R$888))</f>
        <v/>
      </c>
      <c r="BE91" s="106">
        <f>IF(GG91="","",IF(ISNUMBER('Dvd Calendar'!$S$888)=FALSE,"",'Dvd Calendar'!$S$888))</f>
        <v/>
      </c>
      <c r="BF91" s="106">
        <f>IF(GH91="","",IF(ISNUMBER('Dvd Calendar'!$T$888)=FALSE,"",'Dvd Calendar'!$T$888))</f>
        <v/>
      </c>
      <c r="BG91" s="106">
        <f>IF(GI91="","",IF(ISNUMBER('Dvd Calendar'!$U$888)=FALSE,"",'Dvd Calendar'!$U$888))</f>
        <v/>
      </c>
      <c r="BH91" s="106">
        <f>IF(GJ91="","",IF(ISNUMBER('Dvd Calendar'!$V$888)=FALSE,"",'Dvd Calendar'!$V$888))</f>
        <v/>
      </c>
      <c r="BI91" s="106">
        <f>IF(GK91="","",IF(ISNUMBER('Dvd Calendar'!$W$888)=FALSE,"",'Dvd Calendar'!$W$888))</f>
        <v/>
      </c>
      <c r="BJ91" s="106">
        <f>IF(GL91="","",IF(ISNUMBER('Dvd Calendar'!$X$888)=FALSE,"",'Dvd Calendar'!$X$888))</f>
        <v/>
      </c>
      <c r="BK91" s="106">
        <f>IF(GM91="","",IF(ISNUMBER('Dvd Calendar'!$Y$888)=FALSE,"",'Dvd Calendar'!$Y$888))</f>
        <v/>
      </c>
      <c r="BL91" s="106">
        <f>IF(GN91="","",IF(ISNUMBER('Dvd Calendar'!$Z$888)=FALSE,"",'Dvd Calendar'!$Z$888))</f>
        <v/>
      </c>
      <c r="BM91" s="106">
        <f>IF(GO91="","",IF(ISNUMBER('Dvd Calendar'!$AA$888)=FALSE,"",'Dvd Calendar'!$AA$888))</f>
        <v/>
      </c>
      <c r="BN91" s="106">
        <f>IF(GP91="","",IF(ISNUMBER('Dvd Calendar'!$AB$888)=FALSE,"",'Dvd Calendar'!$AB$888))</f>
        <v/>
      </c>
      <c r="BO91" s="106">
        <f>IF(GQ91="","",IF(ISNUMBER('Dvd Calendar'!$AC$888)=FALSE,"",'Dvd Calendar'!$AC$888))</f>
        <v/>
      </c>
      <c r="BQ91" s="106">
        <f>IF(C91="","",IFERROR(C91*HSI!$B$86*HSI!$G$86/HSI!$B$3,""))</f>
        <v/>
      </c>
      <c r="BR91" s="106">
        <f>IF(D91="","",IFERROR(D91*HSI!$B$86*HSI!$G$86/HSI!$B$3,""))</f>
        <v/>
      </c>
      <c r="BS91" s="106">
        <f>IF(E91="","",IFERROR(E91*HSI!$B$86*HSI!$G$86/HSI!$B$3,""))</f>
        <v/>
      </c>
      <c r="BT91" s="106">
        <f>IF(F91="","",IFERROR(F91*HSI!$B$86*HSI!$G$86/HSI!$B$3,""))</f>
        <v/>
      </c>
      <c r="BU91" s="106">
        <f>IF(G91="","",IFERROR(G91*HSI!$B$86*HSI!$G$86/HSI!$B$3,""))</f>
        <v/>
      </c>
      <c r="BV91" s="106">
        <f>IF(H91="","",IFERROR(H91*HSI!$B$86*HSI!$G$86/HSI!$B$3,""))</f>
        <v/>
      </c>
      <c r="BW91" s="106">
        <f>IF(I91="","",IFERROR(I91*HSI!$B$86*HSI!$G$86/HSI!$B$3,""))</f>
        <v/>
      </c>
      <c r="BX91" s="106">
        <f>IF(J91="","",IFERROR(J91*HSI!$B$86*HSI!$G$86/HSI!$B$3,""))</f>
        <v/>
      </c>
      <c r="BY91" s="106">
        <f>IF(K91="","",IFERROR(K91*HSI!$B$86*HSI!$G$86/HSI!$B$3,""))</f>
        <v/>
      </c>
      <c r="BZ91" s="106">
        <f>IF(L91="","",IFERROR(L91*HSI!$B$86*HSI!$G$86/HSI!$B$3,""))</f>
        <v/>
      </c>
      <c r="CA91" s="106">
        <f>IF(M91="","",IFERROR(M91*HSI!$B$86*HSI!$G$86/HSI!$B$3,""))</f>
        <v/>
      </c>
      <c r="CB91" s="106">
        <f>IF(N91="","",IFERROR(N91*HSI!$B$86*HSI!$G$86/HSI!$B$3,""))</f>
        <v/>
      </c>
      <c r="CC91" s="106">
        <f>IF(O91="","",IFERROR(O91*HSI!$B$86*HSI!$G$86/HSI!$B$3,""))</f>
        <v/>
      </c>
      <c r="CD91" s="106">
        <f>IF(P91="","",IFERROR(P91*HSI!$B$86*HSI!$G$86/HSI!$B$3,""))</f>
        <v/>
      </c>
      <c r="CE91" s="106">
        <f>IF(Q91="","",IFERROR(Q91*HSI!$B$86*HSI!$G$86/HSI!$B$3,""))</f>
        <v/>
      </c>
      <c r="CF91" s="106">
        <f>IF(R91="","",IFERROR(R91*HSI!$B$86*HSI!$G$86/HSI!$B$3,""))</f>
        <v/>
      </c>
      <c r="CG91" s="106">
        <f>IF(S91="","",IFERROR(S91*HSI!$B$86*HSI!$G$86/HSI!$B$3,""))</f>
        <v/>
      </c>
      <c r="CH91" s="106">
        <f>IF(T91="","",IFERROR(T91*HSI!$B$86*HSI!$G$86/HSI!$B$3,""))</f>
        <v/>
      </c>
      <c r="CI91" s="106">
        <f>IF(U91="","",IFERROR(U91*HSI!$B$86*HSI!$G$86/HSI!$B$3,""))</f>
        <v/>
      </c>
      <c r="CJ91" s="106">
        <f>IF(V91="","",IFERROR(V91*HSI!$B$86*HSI!$G$86/HSI!$B$3,""))</f>
        <v/>
      </c>
      <c r="CK91" s="106">
        <f>IF(W91="","",IFERROR(W91*HSI!$B$86*HSI!$G$86/HSI!$B$3,""))</f>
        <v/>
      </c>
      <c r="CL91" s="106">
        <f>IF(X91="","",IFERROR(X91*HSI!$B$86*HSI!$G$86/HSI!$B$3,""))</f>
        <v/>
      </c>
      <c r="CM91" s="106">
        <f>IF(Y91="","",IFERROR(Y91*HSI!$B$86*HSI!$G$86/HSI!$B$3,""))</f>
        <v/>
      </c>
      <c r="CN91" s="106">
        <f>IF(Z91="","",IFERROR(Z91*HSI!$B$86*HSI!$G$86/HSI!$B$3,""))</f>
        <v/>
      </c>
      <c r="CO91" s="106">
        <f>IF(AA91="","",IFERROR(AA91*HSI!$B$86*HSI!$G$86/HSI!$B$3,""))</f>
        <v/>
      </c>
      <c r="CP91" s="106">
        <f>IF(AB91="","",IFERROR(AB91*HSI!$B$86*HSI!$G$86/HSI!$B$3,""))</f>
        <v/>
      </c>
      <c r="CQ91" s="106">
        <f>IF(AC91="","",IFERROR(AC91*HSI!$B$86*HSI!$G$86/HSI!$B$3,""))</f>
        <v/>
      </c>
      <c r="CR91" s="106">
        <f>IF(AD91="","",IFERROR(AD91*HSI!$B$86*HSI!$G$86/HSI!$B$3,""))</f>
        <v/>
      </c>
      <c r="CS91" s="106">
        <f>IF(AE91="","",IFERROR(AE91*HSI!$B$86*HSI!$G$86/HSI!$B$3,""))</f>
        <v/>
      </c>
      <c r="CT91" s="106">
        <f>IF(AF91="","",IFERROR(AF91*HSI!$B$86*HSI!$G$86/HSI!$B$3,""))</f>
        <v/>
      </c>
      <c r="CU91" s="106">
        <f>IF(AG91="","",IFERROR(AG91*HSI!$B$86*HSI!$G$86/HSI!$B$3,""))</f>
        <v/>
      </c>
      <c r="CV91" s="106">
        <f>IF(AH91="","",IFERROR(AH91*HSI!$B$86*HSI!$G$86/HSI!$B$3,""))</f>
        <v/>
      </c>
      <c r="CW91" s="106">
        <f>IF(AI91="","",IFERROR(AI91*HSI!$B$86*HSI!$G$86/HSI!$B$3,""))</f>
        <v/>
      </c>
      <c r="CX91" s="106">
        <f>IF(AJ91="","",IFERROR(AJ91*HSI!$B$86*HSI!$G$86/HSI!$B$3,""))</f>
        <v/>
      </c>
      <c r="CY91" s="106">
        <f>IF(AK91="","",IFERROR(AK91*HSI!$B$86*HSI!$G$86/HSI!$B$3,""))</f>
        <v/>
      </c>
      <c r="CZ91" s="106">
        <f>IF(AL91="","",IFERROR(AL91*HSI!$B$86*HSI!$G$86/HSI!$B$3,""))</f>
        <v/>
      </c>
      <c r="DA91" s="106">
        <f>IF(AM91="","",IFERROR(AM91*HSI!$B$86*HSI!$G$86/HSI!$B$3,""))</f>
        <v/>
      </c>
      <c r="DB91" s="106">
        <f>IF(AN91="","",IFERROR(AN91*HSI!$B$86*HSI!$G$86/HSI!$B$3,""))</f>
        <v/>
      </c>
      <c r="DC91" s="106">
        <f>IF(AO91="","",IFERROR(AO91*HSI!$B$86*HSI!$G$86/HSI!$B$3,""))</f>
        <v/>
      </c>
      <c r="DD91" s="106">
        <f>IF(AP91="","",IFERROR(AP91*HSI!$B$86*HSI!$G$86/HSI!$B$3,""))</f>
        <v/>
      </c>
      <c r="DE91" s="106">
        <f>IF(AQ91="","",IFERROR(AQ91*HSI!$B$86*HSI!$G$86/HSI!$B$3,""))</f>
        <v/>
      </c>
      <c r="DF91" s="106">
        <f>IF(AR91="","",IFERROR(AR91*HSI!$B$86*HSI!$G$86/HSI!$B$3,""))</f>
        <v/>
      </c>
      <c r="DG91" s="106">
        <f>IF(AS91="","",IFERROR(AS91*HSI!$B$86*HSI!$G$86/HSI!$B$3,""))</f>
        <v/>
      </c>
      <c r="DH91" s="106">
        <f>IF(AT91="","",IFERROR(AT91*HSI!$B$86*HSI!$G$86/HSI!$B$3,""))</f>
        <v/>
      </c>
      <c r="DI91" s="106">
        <f>IF(AU91="","",IFERROR(AU91*HSI!$B$86*HSI!$G$86/HSI!$B$3,""))</f>
        <v/>
      </c>
      <c r="DJ91" s="106">
        <f>IF(AV91="","",IFERROR(AV91*HSI!$B$86*HSI!$G$86/HSI!$B$3,""))</f>
        <v/>
      </c>
      <c r="DK91" s="106">
        <f>IF(AW91="","",IFERROR(AW91*HSI!$B$86*HSI!$G$86/HSI!$B$3,""))</f>
        <v/>
      </c>
      <c r="DL91" s="106">
        <f>IF(AX91="","",IFERROR(AX91*HSI!$B$86*HSI!$G$86/HSI!$B$3,""))</f>
        <v/>
      </c>
      <c r="DM91" s="106">
        <f>IF(AY91="","",IFERROR(AY91*HSI!$B$86*HSI!$G$86/HSI!$B$3,""))</f>
        <v/>
      </c>
      <c r="DN91" s="106">
        <f>IF(AZ91="","",IFERROR(AZ91*HSI!$B$86*HSI!$G$86/HSI!$B$3,""))</f>
        <v/>
      </c>
      <c r="DO91" s="106">
        <f>IF(BA91="","",IFERROR(BA91*HSI!$B$86*HSI!$G$86/HSI!$B$3,""))</f>
        <v/>
      </c>
      <c r="DP91" s="106">
        <f>IF(BB91="","",IFERROR(BB91*HSI!$B$86*HSI!$G$86/HSI!$B$3,""))</f>
        <v/>
      </c>
      <c r="DQ91" s="106">
        <f>IF(BC91="","",IFERROR(BC91*HSI!$B$86*HSI!$G$86/HSI!$B$3,""))</f>
        <v/>
      </c>
      <c r="DR91" s="106">
        <f>IF(BD91="","",IFERROR(BD91*HSI!$B$86*HSI!$G$86/HSI!$B$3,""))</f>
        <v/>
      </c>
      <c r="DS91" s="106">
        <f>IF(BE91="","",IFERROR(BE91*HSI!$B$86*HSI!$G$86/HSI!$B$3,""))</f>
        <v/>
      </c>
      <c r="DT91" s="106">
        <f>IF(BF91="","",IFERROR(BF91*HSI!$B$86*HSI!$G$86/HSI!$B$3,""))</f>
        <v/>
      </c>
      <c r="DU91" s="106">
        <f>IF(BG91="","",IFERROR(BG91*HSI!$B$86*HSI!$G$86/HSI!$B$3,""))</f>
        <v/>
      </c>
      <c r="DV91" s="106">
        <f>IF(BH91="","",IFERROR(BH91*HSI!$B$86*HSI!$G$86/HSI!$B$3,""))</f>
        <v/>
      </c>
      <c r="DW91" s="106">
        <f>IF(BI91="","",IFERROR(BI91*HSI!$B$86*HSI!$G$86/HSI!$B$3,""))</f>
        <v/>
      </c>
      <c r="DX91" s="106">
        <f>IF(BJ91="","",IFERROR(BJ91*HSI!$B$86*HSI!$G$86/HSI!$B$3,""))</f>
        <v/>
      </c>
      <c r="DY91" s="106">
        <f>IF(BK91="","",IFERROR(BK91*HSI!$B$86*HSI!$G$86/HSI!$B$3,""))</f>
        <v/>
      </c>
      <c r="DZ91" s="106">
        <f>IF(BL91="","",IFERROR(BL91*HSI!$B$86*HSI!$G$86/HSI!$B$3,""))</f>
        <v/>
      </c>
      <c r="EA91" s="106">
        <f>IF(BM91="","",IFERROR(BM91*HSI!$B$86*HSI!$G$86/HSI!$B$3,""))</f>
        <v/>
      </c>
      <c r="EB91" s="106">
        <f>IF(BN91="","",IFERROR(BN91*HSI!$B$86*HSI!$G$86/HSI!$B$3,""))</f>
        <v/>
      </c>
      <c r="EC91" s="106">
        <f>IF(BO91="","",IFERROR(BO91*HSI!$B$86*HSI!$G$86/HSI!$B$3,""))</f>
        <v/>
      </c>
      <c r="EE91" s="35">
        <f>IF(N('Dvd Calendar'!$E$880)=0,"",IF(('Dvd Calendar'!$E$880&gt;=GRID_FROM)*('Dvd Calendar'!$E$880&lt;=GRID_TO)*('Dvd Calendar'!$E$880&lt;=VAL_DATE)=0,"",'Dvd Calendar'!$E$880*1000000000+ISNUMBER('Dvd Calendar'!$E$883)*100000000+('Dvd Calendar'!$E$885=SPECIAL_LBL)*10000000+0*1000000+80*1000+1))</f>
        <v/>
      </c>
      <c r="EF91" s="35">
        <f>IF(N('Dvd Calendar'!$F$880)=0,"",IF(('Dvd Calendar'!$F$880&gt;=GRID_FROM)*('Dvd Calendar'!$F$880&lt;=GRID_TO)*('Dvd Calendar'!$F$880&lt;=VAL_DATE)=0,"",'Dvd Calendar'!$F$880*1000000000+ISNUMBER('Dvd Calendar'!$F$883)*100000000+('Dvd Calendar'!$F$885=SPECIAL_LBL)*10000000+0*1000000+80*1000+2))</f>
        <v/>
      </c>
      <c r="EG91" s="35">
        <f>IF(N('Dvd Calendar'!$G$880)=0,"",IF(('Dvd Calendar'!$G$880&gt;=GRID_FROM)*('Dvd Calendar'!$G$880&lt;=GRID_TO)*('Dvd Calendar'!$G$880&lt;=VAL_DATE)=0,"",'Dvd Calendar'!$G$880*1000000000+ISNUMBER('Dvd Calendar'!$G$883)*100000000+('Dvd Calendar'!$G$885=SPECIAL_LBL)*10000000+0*1000000+80*1000+3))</f>
        <v/>
      </c>
      <c r="EH91" s="35">
        <f>IF(N('Dvd Calendar'!$H$880)=0,"",IF(('Dvd Calendar'!$H$880&gt;=GRID_FROM)*('Dvd Calendar'!$H$880&lt;=GRID_TO)*('Dvd Calendar'!$H$880&lt;=VAL_DATE)=0,"",'Dvd Calendar'!$H$880*1000000000+ISNUMBER('Dvd Calendar'!$H$883)*100000000+('Dvd Calendar'!$H$885=SPECIAL_LBL)*10000000+0*1000000+80*1000+4))</f>
        <v/>
      </c>
      <c r="EI91" s="35">
        <f>IF(N('Dvd Calendar'!$I$880)=0,"",IF(('Dvd Calendar'!$I$880&gt;=GRID_FROM)*('Dvd Calendar'!$I$880&lt;=GRID_TO)*('Dvd Calendar'!$I$880&lt;=VAL_DATE)=0,"",'Dvd Calendar'!$I$880*1000000000+ISNUMBER('Dvd Calendar'!$I$883)*100000000+('Dvd Calendar'!$I$885=SPECIAL_LBL)*10000000+0*1000000+80*1000+5))</f>
        <v/>
      </c>
      <c r="EJ91" s="35">
        <f>IF(N('Dvd Calendar'!$J$880)=0,"",IF(('Dvd Calendar'!$J$880&gt;=GRID_FROM)*('Dvd Calendar'!$J$880&lt;=GRID_TO)*('Dvd Calendar'!$J$880&lt;=VAL_DATE)=0,"",'Dvd Calendar'!$J$880*1000000000+ISNUMBER('Dvd Calendar'!$J$883)*100000000+('Dvd Calendar'!$J$885=SPECIAL_LBL)*10000000+0*1000000+80*1000+6))</f>
        <v/>
      </c>
      <c r="EK91" s="35">
        <f>IF(N('Dvd Calendar'!$K$880)=0,"",IF(('Dvd Calendar'!$K$880&gt;=GRID_FROM)*('Dvd Calendar'!$K$880&lt;=GRID_TO)*('Dvd Calendar'!$K$880&lt;=VAL_DATE)=0,"",'Dvd Calendar'!$K$880*1000000000+ISNUMBER('Dvd Calendar'!$K$883)*100000000+('Dvd Calendar'!$K$885=SPECIAL_LBL)*10000000+0*1000000+80*1000+7))</f>
        <v/>
      </c>
      <c r="EL91" s="35">
        <f>IF(N('Dvd Calendar'!$L$880)=0,"",IF(('Dvd Calendar'!$L$880&gt;=GRID_FROM)*('Dvd Calendar'!$L$880&lt;=GRID_TO)*('Dvd Calendar'!$L$880&lt;=VAL_DATE)=0,"",'Dvd Calendar'!$L$880*1000000000+ISNUMBER('Dvd Calendar'!$L$883)*100000000+('Dvd Calendar'!$L$885=SPECIAL_LBL)*10000000+0*1000000+80*1000+8))</f>
        <v/>
      </c>
      <c r="EM91" s="35">
        <f>IF(N('Dvd Calendar'!$M$880)=0,"",IF(('Dvd Calendar'!$M$880&gt;=GRID_FROM)*('Dvd Calendar'!$M$880&lt;=GRID_TO)*('Dvd Calendar'!$M$880&lt;=VAL_DATE)=0,"",'Dvd Calendar'!$M$880*1000000000+ISNUMBER('Dvd Calendar'!$M$883)*100000000+('Dvd Calendar'!$M$885=SPECIAL_LBL)*10000000+0*1000000+80*1000+9))</f>
        <v/>
      </c>
      <c r="EN91" s="35">
        <f>IF(N('Dvd Calendar'!$N$880)=0,"",IF(('Dvd Calendar'!$N$880&gt;=GRID_FROM)*('Dvd Calendar'!$N$880&lt;=GRID_TO)*('Dvd Calendar'!$N$880&lt;=VAL_DATE)=0,"",'Dvd Calendar'!$N$880*1000000000+ISNUMBER('Dvd Calendar'!$N$883)*100000000+('Dvd Calendar'!$N$885=SPECIAL_LBL)*10000000+0*1000000+80*1000+10))</f>
        <v/>
      </c>
      <c r="EO91" s="35">
        <f>IF(N('Dvd Calendar'!$O$880)=0,"",IF(('Dvd Calendar'!$O$880&gt;=GRID_FROM)*('Dvd Calendar'!$O$880&lt;=GRID_TO)*('Dvd Calendar'!$O$880&lt;=VAL_DATE)=0,"",'Dvd Calendar'!$O$880*1000000000+ISNUMBER('Dvd Calendar'!$O$883)*100000000+('Dvd Calendar'!$O$885=SPECIAL_LBL)*10000000+0*1000000+80*1000+11))</f>
        <v/>
      </c>
      <c r="EP91" s="35">
        <f>IF(N('Dvd Calendar'!$P$880)=0,"",IF(('Dvd Calendar'!$P$880&gt;=GRID_FROM)*('Dvd Calendar'!$P$880&lt;=GRID_TO)*('Dvd Calendar'!$P$880&lt;=VAL_DATE)=0,"",'Dvd Calendar'!$P$880*1000000000+ISNUMBER('Dvd Calendar'!$P$883)*100000000+('Dvd Calendar'!$P$885=SPECIAL_LBL)*10000000+0*1000000+80*1000+12))</f>
        <v/>
      </c>
      <c r="EQ91" s="35">
        <f>IF(N('Dvd Calendar'!$Q$880)=0,"",IF(('Dvd Calendar'!$Q$880&gt;=GRID_FROM)*('Dvd Calendar'!$Q$880&lt;=GRID_TO)*('Dvd Calendar'!$Q$880&lt;=VAL_DATE)=0,"",'Dvd Calendar'!$Q$880*1000000000+ISNUMBER('Dvd Calendar'!$Q$883)*100000000+('Dvd Calendar'!$Q$885=SPECIAL_LBL)*10000000+0*1000000+80*1000+13))</f>
        <v/>
      </c>
      <c r="ER91" s="35">
        <f>IF(N('Dvd Calendar'!$R$880)=0,"",IF(('Dvd Calendar'!$R$880&gt;=GRID_FROM)*('Dvd Calendar'!$R$880&lt;=GRID_TO)*('Dvd Calendar'!$R$880&lt;=VAL_DATE)=0,"",'Dvd Calendar'!$R$880*1000000000+ISNUMBER('Dvd Calendar'!$R$883)*100000000+('Dvd Calendar'!$R$885=SPECIAL_LBL)*10000000+0*1000000+80*1000+14))</f>
        <v/>
      </c>
      <c r="ES91" s="35">
        <f>IF(N('Dvd Calendar'!$S$880)=0,"",IF(('Dvd Calendar'!$S$880&gt;=GRID_FROM)*('Dvd Calendar'!$S$880&lt;=GRID_TO)*('Dvd Calendar'!$S$880&lt;=VAL_DATE)=0,"",'Dvd Calendar'!$S$880*1000000000+ISNUMBER('Dvd Calendar'!$S$883)*100000000+('Dvd Calendar'!$S$885=SPECIAL_LBL)*10000000+0*1000000+80*1000+15))</f>
        <v/>
      </c>
      <c r="ET91" s="35">
        <f>IF(N('Dvd Calendar'!$T$880)=0,"",IF(('Dvd Calendar'!$T$880&gt;=GRID_FROM)*('Dvd Calendar'!$T$880&lt;=GRID_TO)*('Dvd Calendar'!$T$880&lt;=VAL_DATE)=0,"",'Dvd Calendar'!$T$880*1000000000+ISNUMBER('Dvd Calendar'!$T$883)*100000000+('Dvd Calendar'!$T$885=SPECIAL_LBL)*10000000+0*1000000+80*1000+16))</f>
        <v/>
      </c>
      <c r="EU91" s="35">
        <f>IF(N('Dvd Calendar'!$U$880)=0,"",IF(('Dvd Calendar'!$U$880&gt;=GRID_FROM)*('Dvd Calendar'!$U$880&lt;=GRID_TO)*('Dvd Calendar'!$U$880&lt;=VAL_DATE)=0,"",'Dvd Calendar'!$U$880*1000000000+ISNUMBER('Dvd Calendar'!$U$883)*100000000+('Dvd Calendar'!$U$885=SPECIAL_LBL)*10000000+0*1000000+80*1000+17))</f>
        <v/>
      </c>
      <c r="EV91" s="35">
        <f>IF(N('Dvd Calendar'!$V$880)=0,"",IF(('Dvd Calendar'!$V$880&gt;=GRID_FROM)*('Dvd Calendar'!$V$880&lt;=GRID_TO)*('Dvd Calendar'!$V$880&lt;=VAL_DATE)=0,"",'Dvd Calendar'!$V$880*1000000000+ISNUMBER('Dvd Calendar'!$V$883)*100000000+('Dvd Calendar'!$V$885=SPECIAL_LBL)*10000000+0*1000000+80*1000+18))</f>
        <v/>
      </c>
      <c r="EW91" s="35">
        <f>IF(N('Dvd Calendar'!$W$880)=0,"",IF(('Dvd Calendar'!$W$880&gt;=GRID_FROM)*('Dvd Calendar'!$W$880&lt;=GRID_TO)*('Dvd Calendar'!$W$880&lt;=VAL_DATE)=0,"",'Dvd Calendar'!$W$880*1000000000+ISNUMBER('Dvd Calendar'!$W$883)*100000000+('Dvd Calendar'!$W$885=SPECIAL_LBL)*10000000+0*1000000+80*1000+19))</f>
        <v/>
      </c>
      <c r="EX91" s="35">
        <f>IF(N('Dvd Calendar'!$X$880)=0,"",IF(('Dvd Calendar'!$X$880&gt;=GRID_FROM)*('Dvd Calendar'!$X$880&lt;=GRID_TO)*('Dvd Calendar'!$X$880&lt;=VAL_DATE)=0,"",'Dvd Calendar'!$X$880*1000000000+ISNUMBER('Dvd Calendar'!$X$883)*100000000+('Dvd Calendar'!$X$885=SPECIAL_LBL)*10000000+0*1000000+80*1000+20))</f>
        <v/>
      </c>
      <c r="EY91" s="35">
        <f>IF(N('Dvd Calendar'!$Y$880)=0,"",IF(('Dvd Calendar'!$Y$880&gt;=GRID_FROM)*('Dvd Calendar'!$Y$880&lt;=GRID_TO)*('Dvd Calendar'!$Y$880&lt;=VAL_DATE)=0,"",'Dvd Calendar'!$Y$880*1000000000+ISNUMBER('Dvd Calendar'!$Y$883)*100000000+('Dvd Calendar'!$Y$885=SPECIAL_LBL)*10000000+0*1000000+80*1000+21))</f>
        <v/>
      </c>
      <c r="EZ91" s="35">
        <f>IF(N('Dvd Calendar'!$Z$880)=0,"",IF(('Dvd Calendar'!$Z$880&gt;=GRID_FROM)*('Dvd Calendar'!$Z$880&lt;=GRID_TO)*('Dvd Calendar'!$Z$880&lt;=VAL_DATE)=0,"",'Dvd Calendar'!$Z$880*1000000000+ISNUMBER('Dvd Calendar'!$Z$883)*100000000+('Dvd Calendar'!$Z$885=SPECIAL_LBL)*10000000+0*1000000+80*1000+22))</f>
        <v/>
      </c>
      <c r="FA91" s="35">
        <f>IF(N('Dvd Calendar'!$AA$880)=0,"",IF(('Dvd Calendar'!$AA$880&gt;=GRID_FROM)*('Dvd Calendar'!$AA$880&lt;=GRID_TO)*('Dvd Calendar'!$AA$880&lt;=VAL_DATE)=0,"",'Dvd Calendar'!$AA$880*1000000000+ISNUMBER('Dvd Calendar'!$AA$883)*100000000+('Dvd Calendar'!$AA$885=SPECIAL_LBL)*10000000+0*1000000+80*1000+23))</f>
        <v/>
      </c>
      <c r="FB91" s="35">
        <f>IF(N('Dvd Calendar'!$AB$880)=0,"",IF(('Dvd Calendar'!$AB$880&gt;=GRID_FROM)*('Dvd Calendar'!$AB$880&lt;=GRID_TO)*('Dvd Calendar'!$AB$880&lt;=VAL_DATE)=0,"",'Dvd Calendar'!$AB$880*1000000000+ISNUMBER('Dvd Calendar'!$AB$883)*100000000+('Dvd Calendar'!$AB$885=SPECIAL_LBL)*10000000+0*1000000+80*1000+24))</f>
        <v/>
      </c>
      <c r="FC91" s="35">
        <f>IF(N('Dvd Calendar'!$AC$880)=0,"",IF(('Dvd Calendar'!$AC$880&gt;=GRID_FROM)*('Dvd Calendar'!$AC$880&lt;=GRID_TO)*('Dvd Calendar'!$AC$880&lt;=VAL_DATE)=0,"",'Dvd Calendar'!$AC$880*1000000000+ISNUMBER('Dvd Calendar'!$AC$883)*100000000+('Dvd Calendar'!$AC$885=SPECIAL_LBL)*10000000+0*1000000+80*1000+25))</f>
        <v/>
      </c>
      <c r="FD91" s="35">
        <f>IF(N('Dvd Calendar'!$AD$880)=0,"",IF(('Dvd Calendar'!$AD$880&gt;=GRID_FROM)*('Dvd Calendar'!$AD$880&lt;=GRID_TO)*('Dvd Calendar'!$AD$880&lt;=VAL_DATE)=0,"",'Dvd Calendar'!$AD$880*1000000000+ISNUMBER('Dvd Calendar'!$AD$883)*100000000+('Dvd Calendar'!$AD$885=SPECIAL_LBL)*10000000+0*1000000+80*1000+26))</f>
        <v/>
      </c>
      <c r="FE91" s="35">
        <f>IF(N('Dvd Calendar'!$AE$880)=0,"",IF(('Dvd Calendar'!$AE$880&gt;=GRID_FROM)*('Dvd Calendar'!$AE$880&lt;=GRID_TO)*('Dvd Calendar'!$AE$880&lt;=VAL_DATE)=0,"",'Dvd Calendar'!$AE$880*1000000000+ISNUMBER('Dvd Calendar'!$AE$883)*100000000+('Dvd Calendar'!$AE$885=SPECIAL_LBL)*10000000+0*1000000+80*1000+27))</f>
        <v/>
      </c>
      <c r="FF91" s="35">
        <f>IF(N('Dvd Calendar'!$AF$880)=0,"",IF(('Dvd Calendar'!$AF$880&gt;=GRID_FROM)*('Dvd Calendar'!$AF$880&lt;=GRID_TO)*('Dvd Calendar'!$AF$880&lt;=VAL_DATE)=0,"",'Dvd Calendar'!$AF$880*1000000000+ISNUMBER('Dvd Calendar'!$AF$883)*100000000+('Dvd Calendar'!$AF$885=SPECIAL_LBL)*10000000+0*1000000+80*1000+28))</f>
        <v/>
      </c>
      <c r="FG91" s="35">
        <f>IF(N('Dvd Calendar'!$AG$880)=0,"",IF(('Dvd Calendar'!$AG$880&gt;=GRID_FROM)*('Dvd Calendar'!$AG$880&lt;=GRID_TO)*('Dvd Calendar'!$AG$880&lt;=VAL_DATE)=0,"",'Dvd Calendar'!$AG$880*1000000000+ISNUMBER('Dvd Calendar'!$AG$883)*100000000+('Dvd Calendar'!$AG$885=SPECIAL_LBL)*10000000+0*1000000+80*1000+29))</f>
        <v/>
      </c>
      <c r="FH91" s="35">
        <f>IF(N('Dvd Calendar'!$AH$880)=0,"",IF(('Dvd Calendar'!$AH$880&gt;=GRID_FROM)*('Dvd Calendar'!$AH$880&lt;=GRID_TO)*('Dvd Calendar'!$AH$880&lt;=VAL_DATE)=0,"",'Dvd Calendar'!$AH$880*1000000000+ISNUMBER('Dvd Calendar'!$AH$883)*100000000+('Dvd Calendar'!$AH$885=SPECIAL_LBL)*10000000+0*1000000+80*1000+30))</f>
        <v/>
      </c>
      <c r="FI91" s="35">
        <f>IF(N('Dvd Calendar'!$AI$880)=0,"",IF(('Dvd Calendar'!$AI$880&gt;=GRID_FROM)*('Dvd Calendar'!$AI$880&lt;=GRID_TO)*('Dvd Calendar'!$AI$880&lt;=VAL_DATE)=0,"",'Dvd Calendar'!$AI$880*1000000000+ISNUMBER('Dvd Calendar'!$AI$883)*100000000+('Dvd Calendar'!$AI$885=SPECIAL_LBL)*10000000+0*1000000+80*1000+31))</f>
        <v/>
      </c>
      <c r="FJ91" s="35">
        <f>IF(N('Dvd Calendar'!$AJ$880)=0,"",IF(('Dvd Calendar'!$AJ$880&gt;=GRID_FROM)*('Dvd Calendar'!$AJ$880&lt;=GRID_TO)*('Dvd Calendar'!$AJ$880&lt;=VAL_DATE)=0,"",'Dvd Calendar'!$AJ$880*1000000000+ISNUMBER('Dvd Calendar'!$AJ$883)*100000000+('Dvd Calendar'!$AJ$885=SPECIAL_LBL)*10000000+0*1000000+80*1000+32))</f>
        <v/>
      </c>
      <c r="FK91" s="35">
        <f>IF(N('Dvd Calendar'!$AK$880)=0,"",IF(('Dvd Calendar'!$AK$880&gt;=GRID_FROM)*('Dvd Calendar'!$AK$880&lt;=GRID_TO)*('Dvd Calendar'!$AK$880&lt;=VAL_DATE)=0,"",'Dvd Calendar'!$AK$880*1000000000+ISNUMBER('Dvd Calendar'!$AK$883)*100000000+('Dvd Calendar'!$AK$885=SPECIAL_LBL)*10000000+0*1000000+80*1000+33))</f>
        <v/>
      </c>
      <c r="FL91" s="35">
        <f>IF(N('Dvd Calendar'!$AL$880)=0,"",IF(('Dvd Calendar'!$AL$880&gt;=GRID_FROM)*('Dvd Calendar'!$AL$880&lt;=GRID_TO)*('Dvd Calendar'!$AL$880&lt;=VAL_DATE)=0,"",'Dvd Calendar'!$AL$880*1000000000+ISNUMBER('Dvd Calendar'!$AL$883)*100000000+('Dvd Calendar'!$AL$885=SPECIAL_LBL)*10000000+0*1000000+80*1000+34))</f>
        <v/>
      </c>
      <c r="FM91" s="35">
        <f>IF(N('Dvd Calendar'!$AM$880)=0,"",IF(('Dvd Calendar'!$AM$880&gt;=GRID_FROM)*('Dvd Calendar'!$AM$880&lt;=GRID_TO)*('Dvd Calendar'!$AM$880&lt;=VAL_DATE)=0,"",'Dvd Calendar'!$AM$880*1000000000+ISNUMBER('Dvd Calendar'!$AM$883)*100000000+('Dvd Calendar'!$AM$885=SPECIAL_LBL)*10000000+0*1000000+80*1000+35))</f>
        <v/>
      </c>
      <c r="FN91" s="35">
        <f>IF(N('Dvd Calendar'!$AN$880)=0,"",IF(('Dvd Calendar'!$AN$880&gt;=GRID_FROM)*('Dvd Calendar'!$AN$880&lt;=GRID_TO)*('Dvd Calendar'!$AN$880&lt;=VAL_DATE)=0,"",'Dvd Calendar'!$AN$880*1000000000+ISNUMBER('Dvd Calendar'!$AN$883)*100000000+('Dvd Calendar'!$AN$885=SPECIAL_LBL)*10000000+0*1000000+80*1000+36))</f>
        <v/>
      </c>
      <c r="FO91" s="35">
        <f>IF(N('Dvd Calendar'!$AO$880)=0,"",IF(('Dvd Calendar'!$AO$880&gt;=GRID_FROM)*('Dvd Calendar'!$AO$880&lt;=GRID_TO)*('Dvd Calendar'!$AO$880&lt;=VAL_DATE)=0,"",'Dvd Calendar'!$AO$880*1000000000+ISNUMBER('Dvd Calendar'!$AO$883)*100000000+('Dvd Calendar'!$AO$885=SPECIAL_LBL)*10000000+0*1000000+80*1000+37))</f>
        <v/>
      </c>
      <c r="FP91" s="35">
        <f>IF(N('Dvd Calendar'!$AP$880)=0,"",IF(('Dvd Calendar'!$AP$880&gt;=GRID_FROM)*('Dvd Calendar'!$AP$880&lt;=GRID_TO)*('Dvd Calendar'!$AP$880&lt;=VAL_DATE)=0,"",'Dvd Calendar'!$AP$880*1000000000+ISNUMBER('Dvd Calendar'!$AP$883)*100000000+('Dvd Calendar'!$AP$885=SPECIAL_LBL)*10000000+0*1000000+80*1000+38))</f>
        <v/>
      </c>
      <c r="FQ91" s="35">
        <f>IF(N('Dvd Calendar'!$AQ$880)=0,"",IF(('Dvd Calendar'!$AQ$880&gt;=GRID_FROM)*('Dvd Calendar'!$AQ$880&lt;=GRID_TO)*('Dvd Calendar'!$AQ$880&lt;=VAL_DATE)=0,"",'Dvd Calendar'!$AQ$880*1000000000+ISNUMBER('Dvd Calendar'!$AQ$883)*100000000+('Dvd Calendar'!$AQ$885=SPECIAL_LBL)*10000000+0*1000000+80*1000+39))</f>
        <v/>
      </c>
      <c r="FR91" s="35">
        <f>IF(N('Dvd Calendar'!$AR$880)=0,"",IF(('Dvd Calendar'!$AR$880&gt;=GRID_FROM)*('Dvd Calendar'!$AR$880&lt;=GRID_TO)*('Dvd Calendar'!$AR$880&lt;=VAL_DATE)=0,"",'Dvd Calendar'!$AR$880*1000000000+ISNUMBER('Dvd Calendar'!$AR$883)*100000000+('Dvd Calendar'!$AR$885=SPECIAL_LBL)*10000000+0*1000000+80*1000+40))</f>
        <v/>
      </c>
      <c r="FS91" s="35">
        <f>IF(N('Dvd Calendar'!$E$887)=0,"",IF(('Dvd Calendar'!$E$887&gt;=GRID_FROM)*('Dvd Calendar'!$E$887&lt;=GRID_TO)*('Dvd Calendar'!$E$887&gt;VAL_DATE)=0,"",'Dvd Calendar'!$E$887*1000000000+ISNUMBER('Dvd Calendar'!$E$888)*100000000+0*10000000+(N('Dvd Calendar'!$E$886)&gt;0)*(N('Dvd Calendar'!$E$886)&lt;=VAL_SERIAL)*1000000+80*1000+41))</f>
        <v/>
      </c>
      <c r="FT91" s="35">
        <f>IF(N('Dvd Calendar'!$F$887)=0,"",IF(('Dvd Calendar'!$F$887&gt;=GRID_FROM)*('Dvd Calendar'!$F$887&lt;=GRID_TO)*('Dvd Calendar'!$F$887&gt;VAL_DATE)=0,"",'Dvd Calendar'!$F$887*1000000000+ISNUMBER('Dvd Calendar'!$F$888)*100000000+0*10000000+(N('Dvd Calendar'!$F$886)&gt;0)*(N('Dvd Calendar'!$F$886)&lt;=VAL_SERIAL)*1000000+80*1000+42))</f>
        <v/>
      </c>
      <c r="FU91" s="35">
        <f>IF(N('Dvd Calendar'!$G$887)=0,"",IF(('Dvd Calendar'!$G$887&gt;=GRID_FROM)*('Dvd Calendar'!$G$887&lt;=GRID_TO)*('Dvd Calendar'!$G$887&gt;VAL_DATE)=0,"",'Dvd Calendar'!$G$887*1000000000+ISNUMBER('Dvd Calendar'!$G$888)*100000000+0*10000000+(N('Dvd Calendar'!$G$886)&gt;0)*(N('Dvd Calendar'!$G$886)&lt;=VAL_SERIAL)*1000000+80*1000+43))</f>
        <v/>
      </c>
      <c r="FV91" s="35">
        <f>IF(N('Dvd Calendar'!$H$887)=0,"",IF(('Dvd Calendar'!$H$887&gt;=GRID_FROM)*('Dvd Calendar'!$H$887&lt;=GRID_TO)*('Dvd Calendar'!$H$887&gt;VAL_DATE)=0,"",'Dvd Calendar'!$H$887*1000000000+ISNUMBER('Dvd Calendar'!$H$888)*100000000+0*10000000+(N('Dvd Calendar'!$H$886)&gt;0)*(N('Dvd Calendar'!$H$886)&lt;=VAL_SERIAL)*1000000+80*1000+44))</f>
        <v/>
      </c>
      <c r="FW91" s="35">
        <f>IF(N('Dvd Calendar'!$I$887)=0,"",IF(('Dvd Calendar'!$I$887&gt;=GRID_FROM)*('Dvd Calendar'!$I$887&lt;=GRID_TO)*('Dvd Calendar'!$I$887&gt;VAL_DATE)=0,"",'Dvd Calendar'!$I$887*1000000000+ISNUMBER('Dvd Calendar'!$I$888)*100000000+0*10000000+(N('Dvd Calendar'!$I$886)&gt;0)*(N('Dvd Calendar'!$I$886)&lt;=VAL_SERIAL)*1000000+80*1000+45))</f>
        <v/>
      </c>
      <c r="FX91" s="35">
        <f>IF(N('Dvd Calendar'!$J$887)=0,"",IF(('Dvd Calendar'!$J$887&gt;=GRID_FROM)*('Dvd Calendar'!$J$887&lt;=GRID_TO)*('Dvd Calendar'!$J$887&gt;VAL_DATE)=0,"",'Dvd Calendar'!$J$887*1000000000+ISNUMBER('Dvd Calendar'!$J$888)*100000000+0*10000000+(N('Dvd Calendar'!$J$886)&gt;0)*(N('Dvd Calendar'!$J$886)&lt;=VAL_SERIAL)*1000000+80*1000+46))</f>
        <v/>
      </c>
      <c r="FY91" s="35">
        <f>IF(N('Dvd Calendar'!$K$887)=0,"",IF(('Dvd Calendar'!$K$887&gt;=GRID_FROM)*('Dvd Calendar'!$K$887&lt;=GRID_TO)*('Dvd Calendar'!$K$887&gt;VAL_DATE)=0,"",'Dvd Calendar'!$K$887*1000000000+ISNUMBER('Dvd Calendar'!$K$888)*100000000+0*10000000+(N('Dvd Calendar'!$K$886)&gt;0)*(N('Dvd Calendar'!$K$886)&lt;=VAL_SERIAL)*1000000+80*1000+47))</f>
        <v/>
      </c>
      <c r="FZ91" s="35">
        <f>IF(N('Dvd Calendar'!$L$887)=0,"",IF(('Dvd Calendar'!$L$887&gt;=GRID_FROM)*('Dvd Calendar'!$L$887&lt;=GRID_TO)*('Dvd Calendar'!$L$887&gt;VAL_DATE)=0,"",'Dvd Calendar'!$L$887*1000000000+ISNUMBER('Dvd Calendar'!$L$888)*100000000+0*10000000+(N('Dvd Calendar'!$L$886)&gt;0)*(N('Dvd Calendar'!$L$886)&lt;=VAL_SERIAL)*1000000+80*1000+48))</f>
        <v/>
      </c>
      <c r="GA91" s="35">
        <f>IF(N('Dvd Calendar'!$M$887)=0,"",IF(('Dvd Calendar'!$M$887&gt;=GRID_FROM)*('Dvd Calendar'!$M$887&lt;=GRID_TO)*('Dvd Calendar'!$M$887&gt;VAL_DATE)=0,"",'Dvd Calendar'!$M$887*1000000000+ISNUMBER('Dvd Calendar'!$M$888)*100000000+0*10000000+(N('Dvd Calendar'!$M$886)&gt;0)*(N('Dvd Calendar'!$M$886)&lt;=VAL_SERIAL)*1000000+80*1000+49))</f>
        <v/>
      </c>
      <c r="GB91" s="35">
        <f>IF(N('Dvd Calendar'!$N$887)=0,"",IF(('Dvd Calendar'!$N$887&gt;=GRID_FROM)*('Dvd Calendar'!$N$887&lt;=GRID_TO)*('Dvd Calendar'!$N$887&gt;VAL_DATE)=0,"",'Dvd Calendar'!$N$887*1000000000+ISNUMBER('Dvd Calendar'!$N$888)*100000000+0*10000000+(N('Dvd Calendar'!$N$886)&gt;0)*(N('Dvd Calendar'!$N$886)&lt;=VAL_SERIAL)*1000000+80*1000+50))</f>
        <v/>
      </c>
      <c r="GC91" s="35">
        <f>IF(N('Dvd Calendar'!$O$887)=0,"",IF(('Dvd Calendar'!$O$887&gt;=GRID_FROM)*('Dvd Calendar'!$O$887&lt;=GRID_TO)*('Dvd Calendar'!$O$887&gt;VAL_DATE)=0,"",'Dvd Calendar'!$O$887*1000000000+ISNUMBER('Dvd Calendar'!$O$888)*100000000+0*10000000+(N('Dvd Calendar'!$O$886)&gt;0)*(N('Dvd Calendar'!$O$886)&lt;=VAL_SERIAL)*1000000+80*1000+51))</f>
        <v/>
      </c>
      <c r="GD91" s="35">
        <f>IF(N('Dvd Calendar'!$P$887)=0,"",IF(('Dvd Calendar'!$P$887&gt;=GRID_FROM)*('Dvd Calendar'!$P$887&lt;=GRID_TO)*('Dvd Calendar'!$P$887&gt;VAL_DATE)=0,"",'Dvd Calendar'!$P$887*1000000000+ISNUMBER('Dvd Calendar'!$P$888)*100000000+0*10000000+(N('Dvd Calendar'!$P$886)&gt;0)*(N('Dvd Calendar'!$P$886)&lt;=VAL_SERIAL)*1000000+80*1000+52))</f>
        <v/>
      </c>
      <c r="GE91" s="35">
        <f>IF(N('Dvd Calendar'!$Q$887)=0,"",IF(('Dvd Calendar'!$Q$887&gt;=GRID_FROM)*('Dvd Calendar'!$Q$887&lt;=GRID_TO)*('Dvd Calendar'!$Q$887&gt;VAL_DATE)=0,"",'Dvd Calendar'!$Q$887*1000000000+ISNUMBER('Dvd Calendar'!$Q$888)*100000000+0*10000000+(N('Dvd Calendar'!$Q$886)&gt;0)*(N('Dvd Calendar'!$Q$886)&lt;=VAL_SERIAL)*1000000+80*1000+53))</f>
        <v/>
      </c>
      <c r="GF91" s="35">
        <f>IF(N('Dvd Calendar'!$R$887)=0,"",IF(('Dvd Calendar'!$R$887&gt;=GRID_FROM)*('Dvd Calendar'!$R$887&lt;=GRID_TO)*('Dvd Calendar'!$R$887&gt;VAL_DATE)=0,"",'Dvd Calendar'!$R$887*1000000000+ISNUMBER('Dvd Calendar'!$R$888)*100000000+0*10000000+(N('Dvd Calendar'!$R$886)&gt;0)*(N('Dvd Calendar'!$R$886)&lt;=VAL_SERIAL)*1000000+80*1000+54))</f>
        <v/>
      </c>
      <c r="GG91" s="35">
        <f>IF(N('Dvd Calendar'!$S$887)=0,"",IF(('Dvd Calendar'!$S$887&gt;=GRID_FROM)*('Dvd Calendar'!$S$887&lt;=GRID_TO)*('Dvd Calendar'!$S$887&gt;VAL_DATE)=0,"",'Dvd Calendar'!$S$887*1000000000+ISNUMBER('Dvd Calendar'!$S$888)*100000000+0*10000000+(N('Dvd Calendar'!$S$886)&gt;0)*(N('Dvd Calendar'!$S$886)&lt;=VAL_SERIAL)*1000000+80*1000+55))</f>
        <v/>
      </c>
      <c r="GH91" s="35">
        <f>IF(N('Dvd Calendar'!$T$887)=0,"",IF(('Dvd Calendar'!$T$887&gt;=GRID_FROM)*('Dvd Calendar'!$T$887&lt;=GRID_TO)*('Dvd Calendar'!$T$887&gt;VAL_DATE)=0,"",'Dvd Calendar'!$T$887*1000000000+ISNUMBER('Dvd Calendar'!$T$888)*100000000+0*10000000+(N('Dvd Calendar'!$T$886)&gt;0)*(N('Dvd Calendar'!$T$886)&lt;=VAL_SERIAL)*1000000+80*1000+56))</f>
        <v/>
      </c>
      <c r="GI91" s="35">
        <f>IF(N('Dvd Calendar'!$U$887)=0,"",IF(('Dvd Calendar'!$U$887&gt;=GRID_FROM)*('Dvd Calendar'!$U$887&lt;=GRID_TO)*('Dvd Calendar'!$U$887&gt;VAL_DATE)=0,"",'Dvd Calendar'!$U$887*1000000000+ISNUMBER('Dvd Calendar'!$U$888)*100000000+0*10000000+(N('Dvd Calendar'!$U$886)&gt;0)*(N('Dvd Calendar'!$U$886)&lt;=VAL_SERIAL)*1000000+80*1000+57))</f>
        <v/>
      </c>
      <c r="GJ91" s="35">
        <f>IF(N('Dvd Calendar'!$V$887)=0,"",IF(('Dvd Calendar'!$V$887&gt;=GRID_FROM)*('Dvd Calendar'!$V$887&lt;=GRID_TO)*('Dvd Calendar'!$V$887&gt;VAL_DATE)=0,"",'Dvd Calendar'!$V$887*1000000000+ISNUMBER('Dvd Calendar'!$V$888)*100000000+0*10000000+(N('Dvd Calendar'!$V$886)&gt;0)*(N('Dvd Calendar'!$V$886)&lt;=VAL_SERIAL)*1000000+80*1000+58))</f>
        <v/>
      </c>
      <c r="GK91" s="35">
        <f>IF(N('Dvd Calendar'!$W$887)=0,"",IF(('Dvd Calendar'!$W$887&gt;=GRID_FROM)*('Dvd Calendar'!$W$887&lt;=GRID_TO)*('Dvd Calendar'!$W$887&gt;VAL_DATE)=0,"",'Dvd Calendar'!$W$887*1000000000+ISNUMBER('Dvd Calendar'!$W$888)*100000000+0*10000000+(N('Dvd Calendar'!$W$886)&gt;0)*(N('Dvd Calendar'!$W$886)&lt;=VAL_SERIAL)*1000000+80*1000+59))</f>
        <v/>
      </c>
      <c r="GL91" s="35">
        <f>IF(N('Dvd Calendar'!$X$887)=0,"",IF(('Dvd Calendar'!$X$887&gt;=GRID_FROM)*('Dvd Calendar'!$X$887&lt;=GRID_TO)*('Dvd Calendar'!$X$887&gt;VAL_DATE)=0,"",'Dvd Calendar'!$X$887*1000000000+ISNUMBER('Dvd Calendar'!$X$888)*100000000+0*10000000+(N('Dvd Calendar'!$X$886)&gt;0)*(N('Dvd Calendar'!$X$886)&lt;=VAL_SERIAL)*1000000+80*1000+60))</f>
        <v/>
      </c>
      <c r="GM91" s="35">
        <f>IF(N('Dvd Calendar'!$Y$887)=0,"",IF(('Dvd Calendar'!$Y$887&gt;=GRID_FROM)*('Dvd Calendar'!$Y$887&lt;=GRID_TO)*('Dvd Calendar'!$Y$887&gt;VAL_DATE)=0,"",'Dvd Calendar'!$Y$887*1000000000+ISNUMBER('Dvd Calendar'!$Y$888)*100000000+0*10000000+(N('Dvd Calendar'!$Y$886)&gt;0)*(N('Dvd Calendar'!$Y$886)&lt;=VAL_SERIAL)*1000000+80*1000+61))</f>
        <v/>
      </c>
      <c r="GN91" s="35">
        <f>IF(N('Dvd Calendar'!$Z$887)=0,"",IF(('Dvd Calendar'!$Z$887&gt;=GRID_FROM)*('Dvd Calendar'!$Z$887&lt;=GRID_TO)*('Dvd Calendar'!$Z$887&gt;VAL_DATE)=0,"",'Dvd Calendar'!$Z$887*1000000000+ISNUMBER('Dvd Calendar'!$Z$888)*100000000+0*10000000+(N('Dvd Calendar'!$Z$886)&gt;0)*(N('Dvd Calendar'!$Z$886)&lt;=VAL_SERIAL)*1000000+80*1000+62))</f>
        <v/>
      </c>
      <c r="GO91" s="35">
        <f>IF(N('Dvd Calendar'!$AA$887)=0,"",IF(('Dvd Calendar'!$AA$887&gt;=GRID_FROM)*('Dvd Calendar'!$AA$887&lt;=GRID_TO)*('Dvd Calendar'!$AA$887&gt;VAL_DATE)=0,"",'Dvd Calendar'!$AA$887*1000000000+ISNUMBER('Dvd Calendar'!$AA$888)*100000000+0*10000000+(N('Dvd Calendar'!$AA$886)&gt;0)*(N('Dvd Calendar'!$AA$886)&lt;=VAL_SERIAL)*1000000+80*1000+63))</f>
        <v/>
      </c>
      <c r="GP91" s="35">
        <f>IF(N('Dvd Calendar'!$AB$887)=0,"",IF(('Dvd Calendar'!$AB$887&gt;=GRID_FROM)*('Dvd Calendar'!$AB$887&lt;=GRID_TO)*('Dvd Calendar'!$AB$887&gt;VAL_DATE)=0,"",'Dvd Calendar'!$AB$887*1000000000+ISNUMBER('Dvd Calendar'!$AB$888)*100000000+0*10000000+(N('Dvd Calendar'!$AB$886)&gt;0)*(N('Dvd Calendar'!$AB$886)&lt;=VAL_SERIAL)*1000000+80*1000+64))</f>
        <v/>
      </c>
      <c r="GQ91" s="35">
        <f>IF(N('Dvd Calendar'!$AC$887)=0,"",IF(('Dvd Calendar'!$AC$887&gt;=GRID_FROM)*('Dvd Calendar'!$AC$887&lt;=GRID_TO)*('Dvd Calendar'!$AC$887&gt;VAL_DATE)=0,"",'Dvd Calendar'!$AC$887*1000000000+ISNUMBER('Dvd Calendar'!$AC$888)*100000000+0*10000000+(N('Dvd Calendar'!$AC$886)&gt;0)*(N('Dvd Calendar'!$AC$886)&lt;=VAL_SERIAL)*1000000+80*1000+65))</f>
        <v/>
      </c>
    </row>
    <row r="92">
      <c r="B92" s="2">
        <f>IF(HSI!$C$87="","",HSI!$C$87)</f>
        <v/>
      </c>
      <c r="C92" s="106">
        <f>IF(EE92="","",IF(ISNUMBER('Dvd Calendar'!$E$894)=FALSE,"",IF((('Dvd Calendar'!$E$896=TYPE1)*(TYPE1&lt;&gt;"")+('Dvd Calendar'!$E$896=TYPE2)*(TYPE2&lt;&gt;"")+('Dvd Calendar'!$E$896=TYPE3)*(TYPE3&lt;&gt;"")+('Dvd Calendar'!$E$896=TYPE4)*(TYPE4&lt;&gt;"")+('Dvd Calendar'!$E$896=SPECIAL_LBL)*(INC_SPECIALS="Y"))=0,"",'Dvd Calendar'!$E$894)))</f>
        <v/>
      </c>
      <c r="D92" s="106">
        <f>IF(EF92="","",IF(ISNUMBER('Dvd Calendar'!$F$894)=FALSE,"",IF((('Dvd Calendar'!$F$896=TYPE1)*(TYPE1&lt;&gt;"")+('Dvd Calendar'!$F$896=TYPE2)*(TYPE2&lt;&gt;"")+('Dvd Calendar'!$F$896=TYPE3)*(TYPE3&lt;&gt;"")+('Dvd Calendar'!$F$896=TYPE4)*(TYPE4&lt;&gt;"")+('Dvd Calendar'!$F$896=SPECIAL_LBL)*(INC_SPECIALS="Y"))=0,"",'Dvd Calendar'!$F$894)))</f>
        <v/>
      </c>
      <c r="E92" s="106">
        <f>IF(EG92="","",IF(ISNUMBER('Dvd Calendar'!$G$894)=FALSE,"",IF((('Dvd Calendar'!$G$896=TYPE1)*(TYPE1&lt;&gt;"")+('Dvd Calendar'!$G$896=TYPE2)*(TYPE2&lt;&gt;"")+('Dvd Calendar'!$G$896=TYPE3)*(TYPE3&lt;&gt;"")+('Dvd Calendar'!$G$896=TYPE4)*(TYPE4&lt;&gt;"")+('Dvd Calendar'!$G$896=SPECIAL_LBL)*(INC_SPECIALS="Y"))=0,"",'Dvd Calendar'!$G$894)))</f>
        <v/>
      </c>
      <c r="F92" s="106">
        <f>IF(EH92="","",IF(ISNUMBER('Dvd Calendar'!$H$894)=FALSE,"",IF((('Dvd Calendar'!$H$896=TYPE1)*(TYPE1&lt;&gt;"")+('Dvd Calendar'!$H$896=TYPE2)*(TYPE2&lt;&gt;"")+('Dvd Calendar'!$H$896=TYPE3)*(TYPE3&lt;&gt;"")+('Dvd Calendar'!$H$896=TYPE4)*(TYPE4&lt;&gt;"")+('Dvd Calendar'!$H$896=SPECIAL_LBL)*(INC_SPECIALS="Y"))=0,"",'Dvd Calendar'!$H$894)))</f>
        <v/>
      </c>
      <c r="G92" s="106">
        <f>IF(EI92="","",IF(ISNUMBER('Dvd Calendar'!$I$894)=FALSE,"",IF((('Dvd Calendar'!$I$896=TYPE1)*(TYPE1&lt;&gt;"")+('Dvd Calendar'!$I$896=TYPE2)*(TYPE2&lt;&gt;"")+('Dvd Calendar'!$I$896=TYPE3)*(TYPE3&lt;&gt;"")+('Dvd Calendar'!$I$896=TYPE4)*(TYPE4&lt;&gt;"")+('Dvd Calendar'!$I$896=SPECIAL_LBL)*(INC_SPECIALS="Y"))=0,"",'Dvd Calendar'!$I$894)))</f>
        <v/>
      </c>
      <c r="H92" s="106">
        <f>IF(EJ92="","",IF(ISNUMBER('Dvd Calendar'!$J$894)=FALSE,"",IF((('Dvd Calendar'!$J$896=TYPE1)*(TYPE1&lt;&gt;"")+('Dvd Calendar'!$J$896=TYPE2)*(TYPE2&lt;&gt;"")+('Dvd Calendar'!$J$896=TYPE3)*(TYPE3&lt;&gt;"")+('Dvd Calendar'!$J$896=TYPE4)*(TYPE4&lt;&gt;"")+('Dvd Calendar'!$J$896=SPECIAL_LBL)*(INC_SPECIALS="Y"))=0,"",'Dvd Calendar'!$J$894)))</f>
        <v/>
      </c>
      <c r="I92" s="106">
        <f>IF(EK92="","",IF(ISNUMBER('Dvd Calendar'!$K$894)=FALSE,"",IF((('Dvd Calendar'!$K$896=TYPE1)*(TYPE1&lt;&gt;"")+('Dvd Calendar'!$K$896=TYPE2)*(TYPE2&lt;&gt;"")+('Dvd Calendar'!$K$896=TYPE3)*(TYPE3&lt;&gt;"")+('Dvd Calendar'!$K$896=TYPE4)*(TYPE4&lt;&gt;"")+('Dvd Calendar'!$K$896=SPECIAL_LBL)*(INC_SPECIALS="Y"))=0,"",'Dvd Calendar'!$K$894)))</f>
        <v/>
      </c>
      <c r="J92" s="106">
        <f>IF(EL92="","",IF(ISNUMBER('Dvd Calendar'!$L$894)=FALSE,"",IF((('Dvd Calendar'!$L$896=TYPE1)*(TYPE1&lt;&gt;"")+('Dvd Calendar'!$L$896=TYPE2)*(TYPE2&lt;&gt;"")+('Dvd Calendar'!$L$896=TYPE3)*(TYPE3&lt;&gt;"")+('Dvd Calendar'!$L$896=TYPE4)*(TYPE4&lt;&gt;"")+('Dvd Calendar'!$L$896=SPECIAL_LBL)*(INC_SPECIALS="Y"))=0,"",'Dvd Calendar'!$L$894)))</f>
        <v/>
      </c>
      <c r="K92" s="106">
        <f>IF(EM92="","",IF(ISNUMBER('Dvd Calendar'!$M$894)=FALSE,"",IF((('Dvd Calendar'!$M$896=TYPE1)*(TYPE1&lt;&gt;"")+('Dvd Calendar'!$M$896=TYPE2)*(TYPE2&lt;&gt;"")+('Dvd Calendar'!$M$896=TYPE3)*(TYPE3&lt;&gt;"")+('Dvd Calendar'!$M$896=TYPE4)*(TYPE4&lt;&gt;"")+('Dvd Calendar'!$M$896=SPECIAL_LBL)*(INC_SPECIALS="Y"))=0,"",'Dvd Calendar'!$M$894)))</f>
        <v/>
      </c>
      <c r="L92" s="106">
        <f>IF(EN92="","",IF(ISNUMBER('Dvd Calendar'!$N$894)=FALSE,"",IF((('Dvd Calendar'!$N$896=TYPE1)*(TYPE1&lt;&gt;"")+('Dvd Calendar'!$N$896=TYPE2)*(TYPE2&lt;&gt;"")+('Dvd Calendar'!$N$896=TYPE3)*(TYPE3&lt;&gt;"")+('Dvd Calendar'!$N$896=TYPE4)*(TYPE4&lt;&gt;"")+('Dvd Calendar'!$N$896=SPECIAL_LBL)*(INC_SPECIALS="Y"))=0,"",'Dvd Calendar'!$N$894)))</f>
        <v/>
      </c>
      <c r="M92" s="106">
        <f>IF(EO92="","",IF(ISNUMBER('Dvd Calendar'!$O$894)=FALSE,"",IF((('Dvd Calendar'!$O$896=TYPE1)*(TYPE1&lt;&gt;"")+('Dvd Calendar'!$O$896=TYPE2)*(TYPE2&lt;&gt;"")+('Dvd Calendar'!$O$896=TYPE3)*(TYPE3&lt;&gt;"")+('Dvd Calendar'!$O$896=TYPE4)*(TYPE4&lt;&gt;"")+('Dvd Calendar'!$O$896=SPECIAL_LBL)*(INC_SPECIALS="Y"))=0,"",'Dvd Calendar'!$O$894)))</f>
        <v/>
      </c>
      <c r="N92" s="106">
        <f>IF(EP92="","",IF(ISNUMBER('Dvd Calendar'!$P$894)=FALSE,"",IF((('Dvd Calendar'!$P$896=TYPE1)*(TYPE1&lt;&gt;"")+('Dvd Calendar'!$P$896=TYPE2)*(TYPE2&lt;&gt;"")+('Dvd Calendar'!$P$896=TYPE3)*(TYPE3&lt;&gt;"")+('Dvd Calendar'!$P$896=TYPE4)*(TYPE4&lt;&gt;"")+('Dvd Calendar'!$P$896=SPECIAL_LBL)*(INC_SPECIALS="Y"))=0,"",'Dvd Calendar'!$P$894)))</f>
        <v/>
      </c>
      <c r="O92" s="106">
        <f>IF(EQ92="","",IF(ISNUMBER('Dvd Calendar'!$Q$894)=FALSE,"",IF((('Dvd Calendar'!$Q$896=TYPE1)*(TYPE1&lt;&gt;"")+('Dvd Calendar'!$Q$896=TYPE2)*(TYPE2&lt;&gt;"")+('Dvd Calendar'!$Q$896=TYPE3)*(TYPE3&lt;&gt;"")+('Dvd Calendar'!$Q$896=TYPE4)*(TYPE4&lt;&gt;"")+('Dvd Calendar'!$Q$896=SPECIAL_LBL)*(INC_SPECIALS="Y"))=0,"",'Dvd Calendar'!$Q$894)))</f>
        <v/>
      </c>
      <c r="P92" s="106">
        <f>IF(ER92="","",IF(ISNUMBER('Dvd Calendar'!$R$894)=FALSE,"",IF((('Dvd Calendar'!$R$896=TYPE1)*(TYPE1&lt;&gt;"")+('Dvd Calendar'!$R$896=TYPE2)*(TYPE2&lt;&gt;"")+('Dvd Calendar'!$R$896=TYPE3)*(TYPE3&lt;&gt;"")+('Dvd Calendar'!$R$896=TYPE4)*(TYPE4&lt;&gt;"")+('Dvd Calendar'!$R$896=SPECIAL_LBL)*(INC_SPECIALS="Y"))=0,"",'Dvd Calendar'!$R$894)))</f>
        <v/>
      </c>
      <c r="Q92" s="106">
        <f>IF(ES92="","",IF(ISNUMBER('Dvd Calendar'!$S$894)=FALSE,"",IF((('Dvd Calendar'!$S$896=TYPE1)*(TYPE1&lt;&gt;"")+('Dvd Calendar'!$S$896=TYPE2)*(TYPE2&lt;&gt;"")+('Dvd Calendar'!$S$896=TYPE3)*(TYPE3&lt;&gt;"")+('Dvd Calendar'!$S$896=TYPE4)*(TYPE4&lt;&gt;"")+('Dvd Calendar'!$S$896=SPECIAL_LBL)*(INC_SPECIALS="Y"))=0,"",'Dvd Calendar'!$S$894)))</f>
        <v/>
      </c>
      <c r="R92" s="106">
        <f>IF(ET92="","",IF(ISNUMBER('Dvd Calendar'!$T$894)=FALSE,"",IF((('Dvd Calendar'!$T$896=TYPE1)*(TYPE1&lt;&gt;"")+('Dvd Calendar'!$T$896=TYPE2)*(TYPE2&lt;&gt;"")+('Dvd Calendar'!$T$896=TYPE3)*(TYPE3&lt;&gt;"")+('Dvd Calendar'!$T$896=TYPE4)*(TYPE4&lt;&gt;"")+('Dvd Calendar'!$T$896=SPECIAL_LBL)*(INC_SPECIALS="Y"))=0,"",'Dvd Calendar'!$T$894)))</f>
        <v/>
      </c>
      <c r="S92" s="106">
        <f>IF(EU92="","",IF(ISNUMBER('Dvd Calendar'!$U$894)=FALSE,"",IF((('Dvd Calendar'!$U$896=TYPE1)*(TYPE1&lt;&gt;"")+('Dvd Calendar'!$U$896=TYPE2)*(TYPE2&lt;&gt;"")+('Dvd Calendar'!$U$896=TYPE3)*(TYPE3&lt;&gt;"")+('Dvd Calendar'!$U$896=TYPE4)*(TYPE4&lt;&gt;"")+('Dvd Calendar'!$U$896=SPECIAL_LBL)*(INC_SPECIALS="Y"))=0,"",'Dvd Calendar'!$U$894)))</f>
        <v/>
      </c>
      <c r="T92" s="106">
        <f>IF(EV92="","",IF(ISNUMBER('Dvd Calendar'!$V$894)=FALSE,"",IF((('Dvd Calendar'!$V$896=TYPE1)*(TYPE1&lt;&gt;"")+('Dvd Calendar'!$V$896=TYPE2)*(TYPE2&lt;&gt;"")+('Dvd Calendar'!$V$896=TYPE3)*(TYPE3&lt;&gt;"")+('Dvd Calendar'!$V$896=TYPE4)*(TYPE4&lt;&gt;"")+('Dvd Calendar'!$V$896=SPECIAL_LBL)*(INC_SPECIALS="Y"))=0,"",'Dvd Calendar'!$V$894)))</f>
        <v/>
      </c>
      <c r="U92" s="106">
        <f>IF(EW92="","",IF(ISNUMBER('Dvd Calendar'!$W$894)=FALSE,"",IF((('Dvd Calendar'!$W$896=TYPE1)*(TYPE1&lt;&gt;"")+('Dvd Calendar'!$W$896=TYPE2)*(TYPE2&lt;&gt;"")+('Dvd Calendar'!$W$896=TYPE3)*(TYPE3&lt;&gt;"")+('Dvd Calendar'!$W$896=TYPE4)*(TYPE4&lt;&gt;"")+('Dvd Calendar'!$W$896=SPECIAL_LBL)*(INC_SPECIALS="Y"))=0,"",'Dvd Calendar'!$W$894)))</f>
        <v/>
      </c>
      <c r="V92" s="106">
        <f>IF(EX92="","",IF(ISNUMBER('Dvd Calendar'!$X$894)=FALSE,"",IF((('Dvd Calendar'!$X$896=TYPE1)*(TYPE1&lt;&gt;"")+('Dvd Calendar'!$X$896=TYPE2)*(TYPE2&lt;&gt;"")+('Dvd Calendar'!$X$896=TYPE3)*(TYPE3&lt;&gt;"")+('Dvd Calendar'!$X$896=TYPE4)*(TYPE4&lt;&gt;"")+('Dvd Calendar'!$X$896=SPECIAL_LBL)*(INC_SPECIALS="Y"))=0,"",'Dvd Calendar'!$X$894)))</f>
        <v/>
      </c>
      <c r="W92" s="106">
        <f>IF(EY92="","",IF(ISNUMBER('Dvd Calendar'!$Y$894)=FALSE,"",IF((('Dvd Calendar'!$Y$896=TYPE1)*(TYPE1&lt;&gt;"")+('Dvd Calendar'!$Y$896=TYPE2)*(TYPE2&lt;&gt;"")+('Dvd Calendar'!$Y$896=TYPE3)*(TYPE3&lt;&gt;"")+('Dvd Calendar'!$Y$896=TYPE4)*(TYPE4&lt;&gt;"")+('Dvd Calendar'!$Y$896=SPECIAL_LBL)*(INC_SPECIALS="Y"))=0,"",'Dvd Calendar'!$Y$894)))</f>
        <v/>
      </c>
      <c r="X92" s="106">
        <f>IF(EZ92="","",IF(ISNUMBER('Dvd Calendar'!$Z$894)=FALSE,"",IF((('Dvd Calendar'!$Z$896=TYPE1)*(TYPE1&lt;&gt;"")+('Dvd Calendar'!$Z$896=TYPE2)*(TYPE2&lt;&gt;"")+('Dvd Calendar'!$Z$896=TYPE3)*(TYPE3&lt;&gt;"")+('Dvd Calendar'!$Z$896=TYPE4)*(TYPE4&lt;&gt;"")+('Dvd Calendar'!$Z$896=SPECIAL_LBL)*(INC_SPECIALS="Y"))=0,"",'Dvd Calendar'!$Z$894)))</f>
        <v/>
      </c>
      <c r="Y92" s="106">
        <f>IF(FA92="","",IF(ISNUMBER('Dvd Calendar'!$AA$894)=FALSE,"",IF((('Dvd Calendar'!$AA$896=TYPE1)*(TYPE1&lt;&gt;"")+('Dvd Calendar'!$AA$896=TYPE2)*(TYPE2&lt;&gt;"")+('Dvd Calendar'!$AA$896=TYPE3)*(TYPE3&lt;&gt;"")+('Dvd Calendar'!$AA$896=TYPE4)*(TYPE4&lt;&gt;"")+('Dvd Calendar'!$AA$896=SPECIAL_LBL)*(INC_SPECIALS="Y"))=0,"",'Dvd Calendar'!$AA$894)))</f>
        <v/>
      </c>
      <c r="Z92" s="106">
        <f>IF(FB92="","",IF(ISNUMBER('Dvd Calendar'!$AB$894)=FALSE,"",IF((('Dvd Calendar'!$AB$896=TYPE1)*(TYPE1&lt;&gt;"")+('Dvd Calendar'!$AB$896=TYPE2)*(TYPE2&lt;&gt;"")+('Dvd Calendar'!$AB$896=TYPE3)*(TYPE3&lt;&gt;"")+('Dvd Calendar'!$AB$896=TYPE4)*(TYPE4&lt;&gt;"")+('Dvd Calendar'!$AB$896=SPECIAL_LBL)*(INC_SPECIALS="Y"))=0,"",'Dvd Calendar'!$AB$894)))</f>
        <v/>
      </c>
      <c r="AA92" s="106">
        <f>IF(FC92="","",IF(ISNUMBER('Dvd Calendar'!$AC$894)=FALSE,"",IF((('Dvd Calendar'!$AC$896=TYPE1)*(TYPE1&lt;&gt;"")+('Dvd Calendar'!$AC$896=TYPE2)*(TYPE2&lt;&gt;"")+('Dvd Calendar'!$AC$896=TYPE3)*(TYPE3&lt;&gt;"")+('Dvd Calendar'!$AC$896=TYPE4)*(TYPE4&lt;&gt;"")+('Dvd Calendar'!$AC$896=SPECIAL_LBL)*(INC_SPECIALS="Y"))=0,"",'Dvd Calendar'!$AC$894)))</f>
        <v/>
      </c>
      <c r="AB92" s="106">
        <f>IF(FD92="","",IF(ISNUMBER('Dvd Calendar'!$AD$894)=FALSE,"",IF((('Dvd Calendar'!$AD$896=TYPE1)*(TYPE1&lt;&gt;"")+('Dvd Calendar'!$AD$896=TYPE2)*(TYPE2&lt;&gt;"")+('Dvd Calendar'!$AD$896=TYPE3)*(TYPE3&lt;&gt;"")+('Dvd Calendar'!$AD$896=TYPE4)*(TYPE4&lt;&gt;"")+('Dvd Calendar'!$AD$896=SPECIAL_LBL)*(INC_SPECIALS="Y"))=0,"",'Dvd Calendar'!$AD$894)))</f>
        <v/>
      </c>
      <c r="AC92" s="106">
        <f>IF(FE92="","",IF(ISNUMBER('Dvd Calendar'!$AE$894)=FALSE,"",IF((('Dvd Calendar'!$AE$896=TYPE1)*(TYPE1&lt;&gt;"")+('Dvd Calendar'!$AE$896=TYPE2)*(TYPE2&lt;&gt;"")+('Dvd Calendar'!$AE$896=TYPE3)*(TYPE3&lt;&gt;"")+('Dvd Calendar'!$AE$896=TYPE4)*(TYPE4&lt;&gt;"")+('Dvd Calendar'!$AE$896=SPECIAL_LBL)*(INC_SPECIALS="Y"))=0,"",'Dvd Calendar'!$AE$894)))</f>
        <v/>
      </c>
      <c r="AD92" s="106">
        <f>IF(FF92="","",IF(ISNUMBER('Dvd Calendar'!$AF$894)=FALSE,"",IF((('Dvd Calendar'!$AF$896=TYPE1)*(TYPE1&lt;&gt;"")+('Dvd Calendar'!$AF$896=TYPE2)*(TYPE2&lt;&gt;"")+('Dvd Calendar'!$AF$896=TYPE3)*(TYPE3&lt;&gt;"")+('Dvd Calendar'!$AF$896=TYPE4)*(TYPE4&lt;&gt;"")+('Dvd Calendar'!$AF$896=SPECIAL_LBL)*(INC_SPECIALS="Y"))=0,"",'Dvd Calendar'!$AF$894)))</f>
        <v/>
      </c>
      <c r="AE92" s="106">
        <f>IF(FG92="","",IF(ISNUMBER('Dvd Calendar'!$AG$894)=FALSE,"",IF((('Dvd Calendar'!$AG$896=TYPE1)*(TYPE1&lt;&gt;"")+('Dvd Calendar'!$AG$896=TYPE2)*(TYPE2&lt;&gt;"")+('Dvd Calendar'!$AG$896=TYPE3)*(TYPE3&lt;&gt;"")+('Dvd Calendar'!$AG$896=TYPE4)*(TYPE4&lt;&gt;"")+('Dvd Calendar'!$AG$896=SPECIAL_LBL)*(INC_SPECIALS="Y"))=0,"",'Dvd Calendar'!$AG$894)))</f>
        <v/>
      </c>
      <c r="AF92" s="106">
        <f>IF(FH92="","",IF(ISNUMBER('Dvd Calendar'!$AH$894)=FALSE,"",IF((('Dvd Calendar'!$AH$896=TYPE1)*(TYPE1&lt;&gt;"")+('Dvd Calendar'!$AH$896=TYPE2)*(TYPE2&lt;&gt;"")+('Dvd Calendar'!$AH$896=TYPE3)*(TYPE3&lt;&gt;"")+('Dvd Calendar'!$AH$896=TYPE4)*(TYPE4&lt;&gt;"")+('Dvd Calendar'!$AH$896=SPECIAL_LBL)*(INC_SPECIALS="Y"))=0,"",'Dvd Calendar'!$AH$894)))</f>
        <v/>
      </c>
      <c r="AG92" s="106">
        <f>IF(FI92="","",IF(ISNUMBER('Dvd Calendar'!$AI$894)=FALSE,"",IF((('Dvd Calendar'!$AI$896=TYPE1)*(TYPE1&lt;&gt;"")+('Dvd Calendar'!$AI$896=TYPE2)*(TYPE2&lt;&gt;"")+('Dvd Calendar'!$AI$896=TYPE3)*(TYPE3&lt;&gt;"")+('Dvd Calendar'!$AI$896=TYPE4)*(TYPE4&lt;&gt;"")+('Dvd Calendar'!$AI$896=SPECIAL_LBL)*(INC_SPECIALS="Y"))=0,"",'Dvd Calendar'!$AI$894)))</f>
        <v/>
      </c>
      <c r="AH92" s="106">
        <f>IF(FJ92="","",IF(ISNUMBER('Dvd Calendar'!$AJ$894)=FALSE,"",IF((('Dvd Calendar'!$AJ$896=TYPE1)*(TYPE1&lt;&gt;"")+('Dvd Calendar'!$AJ$896=TYPE2)*(TYPE2&lt;&gt;"")+('Dvd Calendar'!$AJ$896=TYPE3)*(TYPE3&lt;&gt;"")+('Dvd Calendar'!$AJ$896=TYPE4)*(TYPE4&lt;&gt;"")+('Dvd Calendar'!$AJ$896=SPECIAL_LBL)*(INC_SPECIALS="Y"))=0,"",'Dvd Calendar'!$AJ$894)))</f>
        <v/>
      </c>
      <c r="AI92" s="106">
        <f>IF(FK92="","",IF(ISNUMBER('Dvd Calendar'!$AK$894)=FALSE,"",IF((('Dvd Calendar'!$AK$896=TYPE1)*(TYPE1&lt;&gt;"")+('Dvd Calendar'!$AK$896=TYPE2)*(TYPE2&lt;&gt;"")+('Dvd Calendar'!$AK$896=TYPE3)*(TYPE3&lt;&gt;"")+('Dvd Calendar'!$AK$896=TYPE4)*(TYPE4&lt;&gt;"")+('Dvd Calendar'!$AK$896=SPECIAL_LBL)*(INC_SPECIALS="Y"))=0,"",'Dvd Calendar'!$AK$894)))</f>
        <v/>
      </c>
      <c r="AJ92" s="106">
        <f>IF(FL92="","",IF(ISNUMBER('Dvd Calendar'!$AL$894)=FALSE,"",IF((('Dvd Calendar'!$AL$896=TYPE1)*(TYPE1&lt;&gt;"")+('Dvd Calendar'!$AL$896=TYPE2)*(TYPE2&lt;&gt;"")+('Dvd Calendar'!$AL$896=TYPE3)*(TYPE3&lt;&gt;"")+('Dvd Calendar'!$AL$896=TYPE4)*(TYPE4&lt;&gt;"")+('Dvd Calendar'!$AL$896=SPECIAL_LBL)*(INC_SPECIALS="Y"))=0,"",'Dvd Calendar'!$AL$894)))</f>
        <v/>
      </c>
      <c r="AK92" s="106">
        <f>IF(FM92="","",IF(ISNUMBER('Dvd Calendar'!$AM$894)=FALSE,"",IF((('Dvd Calendar'!$AM$896=TYPE1)*(TYPE1&lt;&gt;"")+('Dvd Calendar'!$AM$896=TYPE2)*(TYPE2&lt;&gt;"")+('Dvd Calendar'!$AM$896=TYPE3)*(TYPE3&lt;&gt;"")+('Dvd Calendar'!$AM$896=TYPE4)*(TYPE4&lt;&gt;"")+('Dvd Calendar'!$AM$896=SPECIAL_LBL)*(INC_SPECIALS="Y"))=0,"",'Dvd Calendar'!$AM$894)))</f>
        <v/>
      </c>
      <c r="AL92" s="106">
        <f>IF(FN92="","",IF(ISNUMBER('Dvd Calendar'!$AN$894)=FALSE,"",IF((('Dvd Calendar'!$AN$896=TYPE1)*(TYPE1&lt;&gt;"")+('Dvd Calendar'!$AN$896=TYPE2)*(TYPE2&lt;&gt;"")+('Dvd Calendar'!$AN$896=TYPE3)*(TYPE3&lt;&gt;"")+('Dvd Calendar'!$AN$896=TYPE4)*(TYPE4&lt;&gt;"")+('Dvd Calendar'!$AN$896=SPECIAL_LBL)*(INC_SPECIALS="Y"))=0,"",'Dvd Calendar'!$AN$894)))</f>
        <v/>
      </c>
      <c r="AM92" s="106">
        <f>IF(FO92="","",IF(ISNUMBER('Dvd Calendar'!$AO$894)=FALSE,"",IF((('Dvd Calendar'!$AO$896=TYPE1)*(TYPE1&lt;&gt;"")+('Dvd Calendar'!$AO$896=TYPE2)*(TYPE2&lt;&gt;"")+('Dvd Calendar'!$AO$896=TYPE3)*(TYPE3&lt;&gt;"")+('Dvd Calendar'!$AO$896=TYPE4)*(TYPE4&lt;&gt;"")+('Dvd Calendar'!$AO$896=SPECIAL_LBL)*(INC_SPECIALS="Y"))=0,"",'Dvd Calendar'!$AO$894)))</f>
        <v/>
      </c>
      <c r="AN92" s="106">
        <f>IF(FP92="","",IF(ISNUMBER('Dvd Calendar'!$AP$894)=FALSE,"",IF((('Dvd Calendar'!$AP$896=TYPE1)*(TYPE1&lt;&gt;"")+('Dvd Calendar'!$AP$896=TYPE2)*(TYPE2&lt;&gt;"")+('Dvd Calendar'!$AP$896=TYPE3)*(TYPE3&lt;&gt;"")+('Dvd Calendar'!$AP$896=TYPE4)*(TYPE4&lt;&gt;"")+('Dvd Calendar'!$AP$896=SPECIAL_LBL)*(INC_SPECIALS="Y"))=0,"",'Dvd Calendar'!$AP$894)))</f>
        <v/>
      </c>
      <c r="AO92" s="106">
        <f>IF(FQ92="","",IF(ISNUMBER('Dvd Calendar'!$AQ$894)=FALSE,"",IF((('Dvd Calendar'!$AQ$896=TYPE1)*(TYPE1&lt;&gt;"")+('Dvd Calendar'!$AQ$896=TYPE2)*(TYPE2&lt;&gt;"")+('Dvd Calendar'!$AQ$896=TYPE3)*(TYPE3&lt;&gt;"")+('Dvd Calendar'!$AQ$896=TYPE4)*(TYPE4&lt;&gt;"")+('Dvd Calendar'!$AQ$896=SPECIAL_LBL)*(INC_SPECIALS="Y"))=0,"",'Dvd Calendar'!$AQ$894)))</f>
        <v/>
      </c>
      <c r="AP92" s="106">
        <f>IF(FR92="","",IF(ISNUMBER('Dvd Calendar'!$AR$894)=FALSE,"",IF((('Dvd Calendar'!$AR$896=TYPE1)*(TYPE1&lt;&gt;"")+('Dvd Calendar'!$AR$896=TYPE2)*(TYPE2&lt;&gt;"")+('Dvd Calendar'!$AR$896=TYPE3)*(TYPE3&lt;&gt;"")+('Dvd Calendar'!$AR$896=TYPE4)*(TYPE4&lt;&gt;"")+('Dvd Calendar'!$AR$896=SPECIAL_LBL)*(INC_SPECIALS="Y"))=0,"",'Dvd Calendar'!$AR$894)))</f>
        <v/>
      </c>
      <c r="AQ92" s="106">
        <f>IF(FS92="","",IF(ISNUMBER('Dvd Calendar'!$E$899)=FALSE,"",'Dvd Calendar'!$E$899))</f>
        <v/>
      </c>
      <c r="AR92" s="106">
        <f>IF(FT92="","",IF(ISNUMBER('Dvd Calendar'!$F$899)=FALSE,"",'Dvd Calendar'!$F$899))</f>
        <v/>
      </c>
      <c r="AS92" s="106">
        <f>IF(FU92="","",IF(ISNUMBER('Dvd Calendar'!$G$899)=FALSE,"",'Dvd Calendar'!$G$899))</f>
        <v/>
      </c>
      <c r="AT92" s="106">
        <f>IF(FV92="","",IF(ISNUMBER('Dvd Calendar'!$H$899)=FALSE,"",'Dvd Calendar'!$H$899))</f>
        <v/>
      </c>
      <c r="AU92" s="106">
        <f>IF(FW92="","",IF(ISNUMBER('Dvd Calendar'!$I$899)=FALSE,"",'Dvd Calendar'!$I$899))</f>
        <v/>
      </c>
      <c r="AV92" s="106">
        <f>IF(FX92="","",IF(ISNUMBER('Dvd Calendar'!$J$899)=FALSE,"",'Dvd Calendar'!$J$899))</f>
        <v/>
      </c>
      <c r="AW92" s="106">
        <f>IF(FY92="","",IF(ISNUMBER('Dvd Calendar'!$K$899)=FALSE,"",'Dvd Calendar'!$K$899))</f>
        <v/>
      </c>
      <c r="AX92" s="106">
        <f>IF(FZ92="","",IF(ISNUMBER('Dvd Calendar'!$L$899)=FALSE,"",'Dvd Calendar'!$L$899))</f>
        <v/>
      </c>
      <c r="AY92" s="106">
        <f>IF(GA92="","",IF(ISNUMBER('Dvd Calendar'!$M$899)=FALSE,"",'Dvd Calendar'!$M$899))</f>
        <v/>
      </c>
      <c r="AZ92" s="106">
        <f>IF(GB92="","",IF(ISNUMBER('Dvd Calendar'!$N$899)=FALSE,"",'Dvd Calendar'!$N$899))</f>
        <v/>
      </c>
      <c r="BA92" s="106">
        <f>IF(GC92="","",IF(ISNUMBER('Dvd Calendar'!$O$899)=FALSE,"",'Dvd Calendar'!$O$899))</f>
        <v/>
      </c>
      <c r="BB92" s="106">
        <f>IF(GD92="","",IF(ISNUMBER('Dvd Calendar'!$P$899)=FALSE,"",'Dvd Calendar'!$P$899))</f>
        <v/>
      </c>
      <c r="BC92" s="106">
        <f>IF(GE92="","",IF(ISNUMBER('Dvd Calendar'!$Q$899)=FALSE,"",'Dvd Calendar'!$Q$899))</f>
        <v/>
      </c>
      <c r="BD92" s="106">
        <f>IF(GF92="","",IF(ISNUMBER('Dvd Calendar'!$R$899)=FALSE,"",'Dvd Calendar'!$R$899))</f>
        <v/>
      </c>
      <c r="BE92" s="106">
        <f>IF(GG92="","",IF(ISNUMBER('Dvd Calendar'!$S$899)=FALSE,"",'Dvd Calendar'!$S$899))</f>
        <v/>
      </c>
      <c r="BF92" s="106">
        <f>IF(GH92="","",IF(ISNUMBER('Dvd Calendar'!$T$899)=FALSE,"",'Dvd Calendar'!$T$899))</f>
        <v/>
      </c>
      <c r="BG92" s="106">
        <f>IF(GI92="","",IF(ISNUMBER('Dvd Calendar'!$U$899)=FALSE,"",'Dvd Calendar'!$U$899))</f>
        <v/>
      </c>
      <c r="BH92" s="106">
        <f>IF(GJ92="","",IF(ISNUMBER('Dvd Calendar'!$V$899)=FALSE,"",'Dvd Calendar'!$V$899))</f>
        <v/>
      </c>
      <c r="BI92" s="106">
        <f>IF(GK92="","",IF(ISNUMBER('Dvd Calendar'!$W$899)=FALSE,"",'Dvd Calendar'!$W$899))</f>
        <v/>
      </c>
      <c r="BJ92" s="106">
        <f>IF(GL92="","",IF(ISNUMBER('Dvd Calendar'!$X$899)=FALSE,"",'Dvd Calendar'!$X$899))</f>
        <v/>
      </c>
      <c r="BK92" s="106">
        <f>IF(GM92="","",IF(ISNUMBER('Dvd Calendar'!$Y$899)=FALSE,"",'Dvd Calendar'!$Y$899))</f>
        <v/>
      </c>
      <c r="BL92" s="106">
        <f>IF(GN92="","",IF(ISNUMBER('Dvd Calendar'!$Z$899)=FALSE,"",'Dvd Calendar'!$Z$899))</f>
        <v/>
      </c>
      <c r="BM92" s="106">
        <f>IF(GO92="","",IF(ISNUMBER('Dvd Calendar'!$AA$899)=FALSE,"",'Dvd Calendar'!$AA$899))</f>
        <v/>
      </c>
      <c r="BN92" s="106">
        <f>IF(GP92="","",IF(ISNUMBER('Dvd Calendar'!$AB$899)=FALSE,"",'Dvd Calendar'!$AB$899))</f>
        <v/>
      </c>
      <c r="BO92" s="106">
        <f>IF(GQ92="","",IF(ISNUMBER('Dvd Calendar'!$AC$899)=FALSE,"",'Dvd Calendar'!$AC$899))</f>
        <v/>
      </c>
      <c r="BQ92" s="106">
        <f>IF(C92="","",IFERROR(C92*HSI!$B$87*HSI!$G$87/HSI!$B$3,""))</f>
        <v/>
      </c>
      <c r="BR92" s="106">
        <f>IF(D92="","",IFERROR(D92*HSI!$B$87*HSI!$G$87/HSI!$B$3,""))</f>
        <v/>
      </c>
      <c r="BS92" s="106">
        <f>IF(E92="","",IFERROR(E92*HSI!$B$87*HSI!$G$87/HSI!$B$3,""))</f>
        <v/>
      </c>
      <c r="BT92" s="106">
        <f>IF(F92="","",IFERROR(F92*HSI!$B$87*HSI!$G$87/HSI!$B$3,""))</f>
        <v/>
      </c>
      <c r="BU92" s="106">
        <f>IF(G92="","",IFERROR(G92*HSI!$B$87*HSI!$G$87/HSI!$B$3,""))</f>
        <v/>
      </c>
      <c r="BV92" s="106">
        <f>IF(H92="","",IFERROR(H92*HSI!$B$87*HSI!$G$87/HSI!$B$3,""))</f>
        <v/>
      </c>
      <c r="BW92" s="106">
        <f>IF(I92="","",IFERROR(I92*HSI!$B$87*HSI!$G$87/HSI!$B$3,""))</f>
        <v/>
      </c>
      <c r="BX92" s="106">
        <f>IF(J92="","",IFERROR(J92*HSI!$B$87*HSI!$G$87/HSI!$B$3,""))</f>
        <v/>
      </c>
      <c r="BY92" s="106">
        <f>IF(K92="","",IFERROR(K92*HSI!$B$87*HSI!$G$87/HSI!$B$3,""))</f>
        <v/>
      </c>
      <c r="BZ92" s="106">
        <f>IF(L92="","",IFERROR(L92*HSI!$B$87*HSI!$G$87/HSI!$B$3,""))</f>
        <v/>
      </c>
      <c r="CA92" s="106">
        <f>IF(M92="","",IFERROR(M92*HSI!$B$87*HSI!$G$87/HSI!$B$3,""))</f>
        <v/>
      </c>
      <c r="CB92" s="106">
        <f>IF(N92="","",IFERROR(N92*HSI!$B$87*HSI!$G$87/HSI!$B$3,""))</f>
        <v/>
      </c>
      <c r="CC92" s="106">
        <f>IF(O92="","",IFERROR(O92*HSI!$B$87*HSI!$G$87/HSI!$B$3,""))</f>
        <v/>
      </c>
      <c r="CD92" s="106">
        <f>IF(P92="","",IFERROR(P92*HSI!$B$87*HSI!$G$87/HSI!$B$3,""))</f>
        <v/>
      </c>
      <c r="CE92" s="106">
        <f>IF(Q92="","",IFERROR(Q92*HSI!$B$87*HSI!$G$87/HSI!$B$3,""))</f>
        <v/>
      </c>
      <c r="CF92" s="106">
        <f>IF(R92="","",IFERROR(R92*HSI!$B$87*HSI!$G$87/HSI!$B$3,""))</f>
        <v/>
      </c>
      <c r="CG92" s="106">
        <f>IF(S92="","",IFERROR(S92*HSI!$B$87*HSI!$G$87/HSI!$B$3,""))</f>
        <v/>
      </c>
      <c r="CH92" s="106">
        <f>IF(T92="","",IFERROR(T92*HSI!$B$87*HSI!$G$87/HSI!$B$3,""))</f>
        <v/>
      </c>
      <c r="CI92" s="106">
        <f>IF(U92="","",IFERROR(U92*HSI!$B$87*HSI!$G$87/HSI!$B$3,""))</f>
        <v/>
      </c>
      <c r="CJ92" s="106">
        <f>IF(V92="","",IFERROR(V92*HSI!$B$87*HSI!$G$87/HSI!$B$3,""))</f>
        <v/>
      </c>
      <c r="CK92" s="106">
        <f>IF(W92="","",IFERROR(W92*HSI!$B$87*HSI!$G$87/HSI!$B$3,""))</f>
        <v/>
      </c>
      <c r="CL92" s="106">
        <f>IF(X92="","",IFERROR(X92*HSI!$B$87*HSI!$G$87/HSI!$B$3,""))</f>
        <v/>
      </c>
      <c r="CM92" s="106">
        <f>IF(Y92="","",IFERROR(Y92*HSI!$B$87*HSI!$G$87/HSI!$B$3,""))</f>
        <v/>
      </c>
      <c r="CN92" s="106">
        <f>IF(Z92="","",IFERROR(Z92*HSI!$B$87*HSI!$G$87/HSI!$B$3,""))</f>
        <v/>
      </c>
      <c r="CO92" s="106">
        <f>IF(AA92="","",IFERROR(AA92*HSI!$B$87*HSI!$G$87/HSI!$B$3,""))</f>
        <v/>
      </c>
      <c r="CP92" s="106">
        <f>IF(AB92="","",IFERROR(AB92*HSI!$B$87*HSI!$G$87/HSI!$B$3,""))</f>
        <v/>
      </c>
      <c r="CQ92" s="106">
        <f>IF(AC92="","",IFERROR(AC92*HSI!$B$87*HSI!$G$87/HSI!$B$3,""))</f>
        <v/>
      </c>
      <c r="CR92" s="106">
        <f>IF(AD92="","",IFERROR(AD92*HSI!$B$87*HSI!$G$87/HSI!$B$3,""))</f>
        <v/>
      </c>
      <c r="CS92" s="106">
        <f>IF(AE92="","",IFERROR(AE92*HSI!$B$87*HSI!$G$87/HSI!$B$3,""))</f>
        <v/>
      </c>
      <c r="CT92" s="106">
        <f>IF(AF92="","",IFERROR(AF92*HSI!$B$87*HSI!$G$87/HSI!$B$3,""))</f>
        <v/>
      </c>
      <c r="CU92" s="106">
        <f>IF(AG92="","",IFERROR(AG92*HSI!$B$87*HSI!$G$87/HSI!$B$3,""))</f>
        <v/>
      </c>
      <c r="CV92" s="106">
        <f>IF(AH92="","",IFERROR(AH92*HSI!$B$87*HSI!$G$87/HSI!$B$3,""))</f>
        <v/>
      </c>
      <c r="CW92" s="106">
        <f>IF(AI92="","",IFERROR(AI92*HSI!$B$87*HSI!$G$87/HSI!$B$3,""))</f>
        <v/>
      </c>
      <c r="CX92" s="106">
        <f>IF(AJ92="","",IFERROR(AJ92*HSI!$B$87*HSI!$G$87/HSI!$B$3,""))</f>
        <v/>
      </c>
      <c r="CY92" s="106">
        <f>IF(AK92="","",IFERROR(AK92*HSI!$B$87*HSI!$G$87/HSI!$B$3,""))</f>
        <v/>
      </c>
      <c r="CZ92" s="106">
        <f>IF(AL92="","",IFERROR(AL92*HSI!$B$87*HSI!$G$87/HSI!$B$3,""))</f>
        <v/>
      </c>
      <c r="DA92" s="106">
        <f>IF(AM92="","",IFERROR(AM92*HSI!$B$87*HSI!$G$87/HSI!$B$3,""))</f>
        <v/>
      </c>
      <c r="DB92" s="106">
        <f>IF(AN92="","",IFERROR(AN92*HSI!$B$87*HSI!$G$87/HSI!$B$3,""))</f>
        <v/>
      </c>
      <c r="DC92" s="106">
        <f>IF(AO92="","",IFERROR(AO92*HSI!$B$87*HSI!$G$87/HSI!$B$3,""))</f>
        <v/>
      </c>
      <c r="DD92" s="106">
        <f>IF(AP92="","",IFERROR(AP92*HSI!$B$87*HSI!$G$87/HSI!$B$3,""))</f>
        <v/>
      </c>
      <c r="DE92" s="106">
        <f>IF(AQ92="","",IFERROR(AQ92*HSI!$B$87*HSI!$G$87/HSI!$B$3,""))</f>
        <v/>
      </c>
      <c r="DF92" s="106">
        <f>IF(AR92="","",IFERROR(AR92*HSI!$B$87*HSI!$G$87/HSI!$B$3,""))</f>
        <v/>
      </c>
      <c r="DG92" s="106">
        <f>IF(AS92="","",IFERROR(AS92*HSI!$B$87*HSI!$G$87/HSI!$B$3,""))</f>
        <v/>
      </c>
      <c r="DH92" s="106">
        <f>IF(AT92="","",IFERROR(AT92*HSI!$B$87*HSI!$G$87/HSI!$B$3,""))</f>
        <v/>
      </c>
      <c r="DI92" s="106">
        <f>IF(AU92="","",IFERROR(AU92*HSI!$B$87*HSI!$G$87/HSI!$B$3,""))</f>
        <v/>
      </c>
      <c r="DJ92" s="106">
        <f>IF(AV92="","",IFERROR(AV92*HSI!$B$87*HSI!$G$87/HSI!$B$3,""))</f>
        <v/>
      </c>
      <c r="DK92" s="106">
        <f>IF(AW92="","",IFERROR(AW92*HSI!$B$87*HSI!$G$87/HSI!$B$3,""))</f>
        <v/>
      </c>
      <c r="DL92" s="106">
        <f>IF(AX92="","",IFERROR(AX92*HSI!$B$87*HSI!$G$87/HSI!$B$3,""))</f>
        <v/>
      </c>
      <c r="DM92" s="106">
        <f>IF(AY92="","",IFERROR(AY92*HSI!$B$87*HSI!$G$87/HSI!$B$3,""))</f>
        <v/>
      </c>
      <c r="DN92" s="106">
        <f>IF(AZ92="","",IFERROR(AZ92*HSI!$B$87*HSI!$G$87/HSI!$B$3,""))</f>
        <v/>
      </c>
      <c r="DO92" s="106">
        <f>IF(BA92="","",IFERROR(BA92*HSI!$B$87*HSI!$G$87/HSI!$B$3,""))</f>
        <v/>
      </c>
      <c r="DP92" s="106">
        <f>IF(BB92="","",IFERROR(BB92*HSI!$B$87*HSI!$G$87/HSI!$B$3,""))</f>
        <v/>
      </c>
      <c r="DQ92" s="106">
        <f>IF(BC92="","",IFERROR(BC92*HSI!$B$87*HSI!$G$87/HSI!$B$3,""))</f>
        <v/>
      </c>
      <c r="DR92" s="106">
        <f>IF(BD92="","",IFERROR(BD92*HSI!$B$87*HSI!$G$87/HSI!$B$3,""))</f>
        <v/>
      </c>
      <c r="DS92" s="106">
        <f>IF(BE92="","",IFERROR(BE92*HSI!$B$87*HSI!$G$87/HSI!$B$3,""))</f>
        <v/>
      </c>
      <c r="DT92" s="106">
        <f>IF(BF92="","",IFERROR(BF92*HSI!$B$87*HSI!$G$87/HSI!$B$3,""))</f>
        <v/>
      </c>
      <c r="DU92" s="106">
        <f>IF(BG92="","",IFERROR(BG92*HSI!$B$87*HSI!$G$87/HSI!$B$3,""))</f>
        <v/>
      </c>
      <c r="DV92" s="106">
        <f>IF(BH92="","",IFERROR(BH92*HSI!$B$87*HSI!$G$87/HSI!$B$3,""))</f>
        <v/>
      </c>
      <c r="DW92" s="106">
        <f>IF(BI92="","",IFERROR(BI92*HSI!$B$87*HSI!$G$87/HSI!$B$3,""))</f>
        <v/>
      </c>
      <c r="DX92" s="106">
        <f>IF(BJ92="","",IFERROR(BJ92*HSI!$B$87*HSI!$G$87/HSI!$B$3,""))</f>
        <v/>
      </c>
      <c r="DY92" s="106">
        <f>IF(BK92="","",IFERROR(BK92*HSI!$B$87*HSI!$G$87/HSI!$B$3,""))</f>
        <v/>
      </c>
      <c r="DZ92" s="106">
        <f>IF(BL92="","",IFERROR(BL92*HSI!$B$87*HSI!$G$87/HSI!$B$3,""))</f>
        <v/>
      </c>
      <c r="EA92" s="106">
        <f>IF(BM92="","",IFERROR(BM92*HSI!$B$87*HSI!$G$87/HSI!$B$3,""))</f>
        <v/>
      </c>
      <c r="EB92" s="106">
        <f>IF(BN92="","",IFERROR(BN92*HSI!$B$87*HSI!$G$87/HSI!$B$3,""))</f>
        <v/>
      </c>
      <c r="EC92" s="106">
        <f>IF(BO92="","",IFERROR(BO92*HSI!$B$87*HSI!$G$87/HSI!$B$3,""))</f>
        <v/>
      </c>
      <c r="EE92" s="35">
        <f>IF(N('Dvd Calendar'!$E$891)=0,"",IF(('Dvd Calendar'!$E$891&gt;=GRID_FROM)*('Dvd Calendar'!$E$891&lt;=GRID_TO)*('Dvd Calendar'!$E$891&lt;=VAL_DATE)=0,"",'Dvd Calendar'!$E$891*1000000000+ISNUMBER('Dvd Calendar'!$E$894)*100000000+('Dvd Calendar'!$E$896=SPECIAL_LBL)*10000000+0*1000000+81*1000+1))</f>
        <v/>
      </c>
      <c r="EF92" s="35">
        <f>IF(N('Dvd Calendar'!$F$891)=0,"",IF(('Dvd Calendar'!$F$891&gt;=GRID_FROM)*('Dvd Calendar'!$F$891&lt;=GRID_TO)*('Dvd Calendar'!$F$891&lt;=VAL_DATE)=0,"",'Dvd Calendar'!$F$891*1000000000+ISNUMBER('Dvd Calendar'!$F$894)*100000000+('Dvd Calendar'!$F$896=SPECIAL_LBL)*10000000+0*1000000+81*1000+2))</f>
        <v/>
      </c>
      <c r="EG92" s="35">
        <f>IF(N('Dvd Calendar'!$G$891)=0,"",IF(('Dvd Calendar'!$G$891&gt;=GRID_FROM)*('Dvd Calendar'!$G$891&lt;=GRID_TO)*('Dvd Calendar'!$G$891&lt;=VAL_DATE)=0,"",'Dvd Calendar'!$G$891*1000000000+ISNUMBER('Dvd Calendar'!$G$894)*100000000+('Dvd Calendar'!$G$896=SPECIAL_LBL)*10000000+0*1000000+81*1000+3))</f>
        <v/>
      </c>
      <c r="EH92" s="35">
        <f>IF(N('Dvd Calendar'!$H$891)=0,"",IF(('Dvd Calendar'!$H$891&gt;=GRID_FROM)*('Dvd Calendar'!$H$891&lt;=GRID_TO)*('Dvd Calendar'!$H$891&lt;=VAL_DATE)=0,"",'Dvd Calendar'!$H$891*1000000000+ISNUMBER('Dvd Calendar'!$H$894)*100000000+('Dvd Calendar'!$H$896=SPECIAL_LBL)*10000000+0*1000000+81*1000+4))</f>
        <v/>
      </c>
      <c r="EI92" s="35">
        <f>IF(N('Dvd Calendar'!$I$891)=0,"",IF(('Dvd Calendar'!$I$891&gt;=GRID_FROM)*('Dvd Calendar'!$I$891&lt;=GRID_TO)*('Dvd Calendar'!$I$891&lt;=VAL_DATE)=0,"",'Dvd Calendar'!$I$891*1000000000+ISNUMBER('Dvd Calendar'!$I$894)*100000000+('Dvd Calendar'!$I$896=SPECIAL_LBL)*10000000+0*1000000+81*1000+5))</f>
        <v/>
      </c>
      <c r="EJ92" s="35">
        <f>IF(N('Dvd Calendar'!$J$891)=0,"",IF(('Dvd Calendar'!$J$891&gt;=GRID_FROM)*('Dvd Calendar'!$J$891&lt;=GRID_TO)*('Dvd Calendar'!$J$891&lt;=VAL_DATE)=0,"",'Dvd Calendar'!$J$891*1000000000+ISNUMBER('Dvd Calendar'!$J$894)*100000000+('Dvd Calendar'!$J$896=SPECIAL_LBL)*10000000+0*1000000+81*1000+6))</f>
        <v/>
      </c>
      <c r="EK92" s="35">
        <f>IF(N('Dvd Calendar'!$K$891)=0,"",IF(('Dvd Calendar'!$K$891&gt;=GRID_FROM)*('Dvd Calendar'!$K$891&lt;=GRID_TO)*('Dvd Calendar'!$K$891&lt;=VAL_DATE)=0,"",'Dvd Calendar'!$K$891*1000000000+ISNUMBER('Dvd Calendar'!$K$894)*100000000+('Dvd Calendar'!$K$896=SPECIAL_LBL)*10000000+0*1000000+81*1000+7))</f>
        <v/>
      </c>
      <c r="EL92" s="35">
        <f>IF(N('Dvd Calendar'!$L$891)=0,"",IF(('Dvd Calendar'!$L$891&gt;=GRID_FROM)*('Dvd Calendar'!$L$891&lt;=GRID_TO)*('Dvd Calendar'!$L$891&lt;=VAL_DATE)=0,"",'Dvd Calendar'!$L$891*1000000000+ISNUMBER('Dvd Calendar'!$L$894)*100000000+('Dvd Calendar'!$L$896=SPECIAL_LBL)*10000000+0*1000000+81*1000+8))</f>
        <v/>
      </c>
      <c r="EM92" s="35">
        <f>IF(N('Dvd Calendar'!$M$891)=0,"",IF(('Dvd Calendar'!$M$891&gt;=GRID_FROM)*('Dvd Calendar'!$M$891&lt;=GRID_TO)*('Dvd Calendar'!$M$891&lt;=VAL_DATE)=0,"",'Dvd Calendar'!$M$891*1000000000+ISNUMBER('Dvd Calendar'!$M$894)*100000000+('Dvd Calendar'!$M$896=SPECIAL_LBL)*10000000+0*1000000+81*1000+9))</f>
        <v/>
      </c>
      <c r="EN92" s="35">
        <f>IF(N('Dvd Calendar'!$N$891)=0,"",IF(('Dvd Calendar'!$N$891&gt;=GRID_FROM)*('Dvd Calendar'!$N$891&lt;=GRID_TO)*('Dvd Calendar'!$N$891&lt;=VAL_DATE)=0,"",'Dvd Calendar'!$N$891*1000000000+ISNUMBER('Dvd Calendar'!$N$894)*100000000+('Dvd Calendar'!$N$896=SPECIAL_LBL)*10000000+0*1000000+81*1000+10))</f>
        <v/>
      </c>
      <c r="EO92" s="35">
        <f>IF(N('Dvd Calendar'!$O$891)=0,"",IF(('Dvd Calendar'!$O$891&gt;=GRID_FROM)*('Dvd Calendar'!$O$891&lt;=GRID_TO)*('Dvd Calendar'!$O$891&lt;=VAL_DATE)=0,"",'Dvd Calendar'!$O$891*1000000000+ISNUMBER('Dvd Calendar'!$O$894)*100000000+('Dvd Calendar'!$O$896=SPECIAL_LBL)*10000000+0*1000000+81*1000+11))</f>
        <v/>
      </c>
      <c r="EP92" s="35">
        <f>IF(N('Dvd Calendar'!$P$891)=0,"",IF(('Dvd Calendar'!$P$891&gt;=GRID_FROM)*('Dvd Calendar'!$P$891&lt;=GRID_TO)*('Dvd Calendar'!$P$891&lt;=VAL_DATE)=0,"",'Dvd Calendar'!$P$891*1000000000+ISNUMBER('Dvd Calendar'!$P$894)*100000000+('Dvd Calendar'!$P$896=SPECIAL_LBL)*10000000+0*1000000+81*1000+12))</f>
        <v/>
      </c>
      <c r="EQ92" s="35">
        <f>IF(N('Dvd Calendar'!$Q$891)=0,"",IF(('Dvd Calendar'!$Q$891&gt;=GRID_FROM)*('Dvd Calendar'!$Q$891&lt;=GRID_TO)*('Dvd Calendar'!$Q$891&lt;=VAL_DATE)=0,"",'Dvd Calendar'!$Q$891*1000000000+ISNUMBER('Dvd Calendar'!$Q$894)*100000000+('Dvd Calendar'!$Q$896=SPECIAL_LBL)*10000000+0*1000000+81*1000+13))</f>
        <v/>
      </c>
      <c r="ER92" s="35">
        <f>IF(N('Dvd Calendar'!$R$891)=0,"",IF(('Dvd Calendar'!$R$891&gt;=GRID_FROM)*('Dvd Calendar'!$R$891&lt;=GRID_TO)*('Dvd Calendar'!$R$891&lt;=VAL_DATE)=0,"",'Dvd Calendar'!$R$891*1000000000+ISNUMBER('Dvd Calendar'!$R$894)*100000000+('Dvd Calendar'!$R$896=SPECIAL_LBL)*10000000+0*1000000+81*1000+14))</f>
        <v/>
      </c>
      <c r="ES92" s="35">
        <f>IF(N('Dvd Calendar'!$S$891)=0,"",IF(('Dvd Calendar'!$S$891&gt;=GRID_FROM)*('Dvd Calendar'!$S$891&lt;=GRID_TO)*('Dvd Calendar'!$S$891&lt;=VAL_DATE)=0,"",'Dvd Calendar'!$S$891*1000000000+ISNUMBER('Dvd Calendar'!$S$894)*100000000+('Dvd Calendar'!$S$896=SPECIAL_LBL)*10000000+0*1000000+81*1000+15))</f>
        <v/>
      </c>
      <c r="ET92" s="35">
        <f>IF(N('Dvd Calendar'!$T$891)=0,"",IF(('Dvd Calendar'!$T$891&gt;=GRID_FROM)*('Dvd Calendar'!$T$891&lt;=GRID_TO)*('Dvd Calendar'!$T$891&lt;=VAL_DATE)=0,"",'Dvd Calendar'!$T$891*1000000000+ISNUMBER('Dvd Calendar'!$T$894)*100000000+('Dvd Calendar'!$T$896=SPECIAL_LBL)*10000000+0*1000000+81*1000+16))</f>
        <v/>
      </c>
      <c r="EU92" s="35">
        <f>IF(N('Dvd Calendar'!$U$891)=0,"",IF(('Dvd Calendar'!$U$891&gt;=GRID_FROM)*('Dvd Calendar'!$U$891&lt;=GRID_TO)*('Dvd Calendar'!$U$891&lt;=VAL_DATE)=0,"",'Dvd Calendar'!$U$891*1000000000+ISNUMBER('Dvd Calendar'!$U$894)*100000000+('Dvd Calendar'!$U$896=SPECIAL_LBL)*10000000+0*1000000+81*1000+17))</f>
        <v/>
      </c>
      <c r="EV92" s="35">
        <f>IF(N('Dvd Calendar'!$V$891)=0,"",IF(('Dvd Calendar'!$V$891&gt;=GRID_FROM)*('Dvd Calendar'!$V$891&lt;=GRID_TO)*('Dvd Calendar'!$V$891&lt;=VAL_DATE)=0,"",'Dvd Calendar'!$V$891*1000000000+ISNUMBER('Dvd Calendar'!$V$894)*100000000+('Dvd Calendar'!$V$896=SPECIAL_LBL)*10000000+0*1000000+81*1000+18))</f>
        <v/>
      </c>
      <c r="EW92" s="35">
        <f>IF(N('Dvd Calendar'!$W$891)=0,"",IF(('Dvd Calendar'!$W$891&gt;=GRID_FROM)*('Dvd Calendar'!$W$891&lt;=GRID_TO)*('Dvd Calendar'!$W$891&lt;=VAL_DATE)=0,"",'Dvd Calendar'!$W$891*1000000000+ISNUMBER('Dvd Calendar'!$W$894)*100000000+('Dvd Calendar'!$W$896=SPECIAL_LBL)*10000000+0*1000000+81*1000+19))</f>
        <v/>
      </c>
      <c r="EX92" s="35">
        <f>IF(N('Dvd Calendar'!$X$891)=0,"",IF(('Dvd Calendar'!$X$891&gt;=GRID_FROM)*('Dvd Calendar'!$X$891&lt;=GRID_TO)*('Dvd Calendar'!$X$891&lt;=VAL_DATE)=0,"",'Dvd Calendar'!$X$891*1000000000+ISNUMBER('Dvd Calendar'!$X$894)*100000000+('Dvd Calendar'!$X$896=SPECIAL_LBL)*10000000+0*1000000+81*1000+20))</f>
        <v/>
      </c>
      <c r="EY92" s="35">
        <f>IF(N('Dvd Calendar'!$Y$891)=0,"",IF(('Dvd Calendar'!$Y$891&gt;=GRID_FROM)*('Dvd Calendar'!$Y$891&lt;=GRID_TO)*('Dvd Calendar'!$Y$891&lt;=VAL_DATE)=0,"",'Dvd Calendar'!$Y$891*1000000000+ISNUMBER('Dvd Calendar'!$Y$894)*100000000+('Dvd Calendar'!$Y$896=SPECIAL_LBL)*10000000+0*1000000+81*1000+21))</f>
        <v/>
      </c>
      <c r="EZ92" s="35">
        <f>IF(N('Dvd Calendar'!$Z$891)=0,"",IF(('Dvd Calendar'!$Z$891&gt;=GRID_FROM)*('Dvd Calendar'!$Z$891&lt;=GRID_TO)*('Dvd Calendar'!$Z$891&lt;=VAL_DATE)=0,"",'Dvd Calendar'!$Z$891*1000000000+ISNUMBER('Dvd Calendar'!$Z$894)*100000000+('Dvd Calendar'!$Z$896=SPECIAL_LBL)*10000000+0*1000000+81*1000+22))</f>
        <v/>
      </c>
      <c r="FA92" s="35">
        <f>IF(N('Dvd Calendar'!$AA$891)=0,"",IF(('Dvd Calendar'!$AA$891&gt;=GRID_FROM)*('Dvd Calendar'!$AA$891&lt;=GRID_TO)*('Dvd Calendar'!$AA$891&lt;=VAL_DATE)=0,"",'Dvd Calendar'!$AA$891*1000000000+ISNUMBER('Dvd Calendar'!$AA$894)*100000000+('Dvd Calendar'!$AA$896=SPECIAL_LBL)*10000000+0*1000000+81*1000+23))</f>
        <v/>
      </c>
      <c r="FB92" s="35">
        <f>IF(N('Dvd Calendar'!$AB$891)=0,"",IF(('Dvd Calendar'!$AB$891&gt;=GRID_FROM)*('Dvd Calendar'!$AB$891&lt;=GRID_TO)*('Dvd Calendar'!$AB$891&lt;=VAL_DATE)=0,"",'Dvd Calendar'!$AB$891*1000000000+ISNUMBER('Dvd Calendar'!$AB$894)*100000000+('Dvd Calendar'!$AB$896=SPECIAL_LBL)*10000000+0*1000000+81*1000+24))</f>
        <v/>
      </c>
      <c r="FC92" s="35">
        <f>IF(N('Dvd Calendar'!$AC$891)=0,"",IF(('Dvd Calendar'!$AC$891&gt;=GRID_FROM)*('Dvd Calendar'!$AC$891&lt;=GRID_TO)*('Dvd Calendar'!$AC$891&lt;=VAL_DATE)=0,"",'Dvd Calendar'!$AC$891*1000000000+ISNUMBER('Dvd Calendar'!$AC$894)*100000000+('Dvd Calendar'!$AC$896=SPECIAL_LBL)*10000000+0*1000000+81*1000+25))</f>
        <v/>
      </c>
      <c r="FD92" s="35">
        <f>IF(N('Dvd Calendar'!$AD$891)=0,"",IF(('Dvd Calendar'!$AD$891&gt;=GRID_FROM)*('Dvd Calendar'!$AD$891&lt;=GRID_TO)*('Dvd Calendar'!$AD$891&lt;=VAL_DATE)=0,"",'Dvd Calendar'!$AD$891*1000000000+ISNUMBER('Dvd Calendar'!$AD$894)*100000000+('Dvd Calendar'!$AD$896=SPECIAL_LBL)*10000000+0*1000000+81*1000+26))</f>
        <v/>
      </c>
      <c r="FE92" s="35">
        <f>IF(N('Dvd Calendar'!$AE$891)=0,"",IF(('Dvd Calendar'!$AE$891&gt;=GRID_FROM)*('Dvd Calendar'!$AE$891&lt;=GRID_TO)*('Dvd Calendar'!$AE$891&lt;=VAL_DATE)=0,"",'Dvd Calendar'!$AE$891*1000000000+ISNUMBER('Dvd Calendar'!$AE$894)*100000000+('Dvd Calendar'!$AE$896=SPECIAL_LBL)*10000000+0*1000000+81*1000+27))</f>
        <v/>
      </c>
      <c r="FF92" s="35">
        <f>IF(N('Dvd Calendar'!$AF$891)=0,"",IF(('Dvd Calendar'!$AF$891&gt;=GRID_FROM)*('Dvd Calendar'!$AF$891&lt;=GRID_TO)*('Dvd Calendar'!$AF$891&lt;=VAL_DATE)=0,"",'Dvd Calendar'!$AF$891*1000000000+ISNUMBER('Dvd Calendar'!$AF$894)*100000000+('Dvd Calendar'!$AF$896=SPECIAL_LBL)*10000000+0*1000000+81*1000+28))</f>
        <v/>
      </c>
      <c r="FG92" s="35">
        <f>IF(N('Dvd Calendar'!$AG$891)=0,"",IF(('Dvd Calendar'!$AG$891&gt;=GRID_FROM)*('Dvd Calendar'!$AG$891&lt;=GRID_TO)*('Dvd Calendar'!$AG$891&lt;=VAL_DATE)=0,"",'Dvd Calendar'!$AG$891*1000000000+ISNUMBER('Dvd Calendar'!$AG$894)*100000000+('Dvd Calendar'!$AG$896=SPECIAL_LBL)*10000000+0*1000000+81*1000+29))</f>
        <v/>
      </c>
      <c r="FH92" s="35">
        <f>IF(N('Dvd Calendar'!$AH$891)=0,"",IF(('Dvd Calendar'!$AH$891&gt;=GRID_FROM)*('Dvd Calendar'!$AH$891&lt;=GRID_TO)*('Dvd Calendar'!$AH$891&lt;=VAL_DATE)=0,"",'Dvd Calendar'!$AH$891*1000000000+ISNUMBER('Dvd Calendar'!$AH$894)*100000000+('Dvd Calendar'!$AH$896=SPECIAL_LBL)*10000000+0*1000000+81*1000+30))</f>
        <v/>
      </c>
      <c r="FI92" s="35">
        <f>IF(N('Dvd Calendar'!$AI$891)=0,"",IF(('Dvd Calendar'!$AI$891&gt;=GRID_FROM)*('Dvd Calendar'!$AI$891&lt;=GRID_TO)*('Dvd Calendar'!$AI$891&lt;=VAL_DATE)=0,"",'Dvd Calendar'!$AI$891*1000000000+ISNUMBER('Dvd Calendar'!$AI$894)*100000000+('Dvd Calendar'!$AI$896=SPECIAL_LBL)*10000000+0*1000000+81*1000+31))</f>
        <v/>
      </c>
      <c r="FJ92" s="35">
        <f>IF(N('Dvd Calendar'!$AJ$891)=0,"",IF(('Dvd Calendar'!$AJ$891&gt;=GRID_FROM)*('Dvd Calendar'!$AJ$891&lt;=GRID_TO)*('Dvd Calendar'!$AJ$891&lt;=VAL_DATE)=0,"",'Dvd Calendar'!$AJ$891*1000000000+ISNUMBER('Dvd Calendar'!$AJ$894)*100000000+('Dvd Calendar'!$AJ$896=SPECIAL_LBL)*10000000+0*1000000+81*1000+32))</f>
        <v/>
      </c>
      <c r="FK92" s="35">
        <f>IF(N('Dvd Calendar'!$AK$891)=0,"",IF(('Dvd Calendar'!$AK$891&gt;=GRID_FROM)*('Dvd Calendar'!$AK$891&lt;=GRID_TO)*('Dvd Calendar'!$AK$891&lt;=VAL_DATE)=0,"",'Dvd Calendar'!$AK$891*1000000000+ISNUMBER('Dvd Calendar'!$AK$894)*100000000+('Dvd Calendar'!$AK$896=SPECIAL_LBL)*10000000+0*1000000+81*1000+33))</f>
        <v/>
      </c>
      <c r="FL92" s="35">
        <f>IF(N('Dvd Calendar'!$AL$891)=0,"",IF(('Dvd Calendar'!$AL$891&gt;=GRID_FROM)*('Dvd Calendar'!$AL$891&lt;=GRID_TO)*('Dvd Calendar'!$AL$891&lt;=VAL_DATE)=0,"",'Dvd Calendar'!$AL$891*1000000000+ISNUMBER('Dvd Calendar'!$AL$894)*100000000+('Dvd Calendar'!$AL$896=SPECIAL_LBL)*10000000+0*1000000+81*1000+34))</f>
        <v/>
      </c>
      <c r="FM92" s="35">
        <f>IF(N('Dvd Calendar'!$AM$891)=0,"",IF(('Dvd Calendar'!$AM$891&gt;=GRID_FROM)*('Dvd Calendar'!$AM$891&lt;=GRID_TO)*('Dvd Calendar'!$AM$891&lt;=VAL_DATE)=0,"",'Dvd Calendar'!$AM$891*1000000000+ISNUMBER('Dvd Calendar'!$AM$894)*100000000+('Dvd Calendar'!$AM$896=SPECIAL_LBL)*10000000+0*1000000+81*1000+35))</f>
        <v/>
      </c>
      <c r="FN92" s="35">
        <f>IF(N('Dvd Calendar'!$AN$891)=0,"",IF(('Dvd Calendar'!$AN$891&gt;=GRID_FROM)*('Dvd Calendar'!$AN$891&lt;=GRID_TO)*('Dvd Calendar'!$AN$891&lt;=VAL_DATE)=0,"",'Dvd Calendar'!$AN$891*1000000000+ISNUMBER('Dvd Calendar'!$AN$894)*100000000+('Dvd Calendar'!$AN$896=SPECIAL_LBL)*10000000+0*1000000+81*1000+36))</f>
        <v/>
      </c>
      <c r="FO92" s="35">
        <f>IF(N('Dvd Calendar'!$AO$891)=0,"",IF(('Dvd Calendar'!$AO$891&gt;=GRID_FROM)*('Dvd Calendar'!$AO$891&lt;=GRID_TO)*('Dvd Calendar'!$AO$891&lt;=VAL_DATE)=0,"",'Dvd Calendar'!$AO$891*1000000000+ISNUMBER('Dvd Calendar'!$AO$894)*100000000+('Dvd Calendar'!$AO$896=SPECIAL_LBL)*10000000+0*1000000+81*1000+37))</f>
        <v/>
      </c>
      <c r="FP92" s="35">
        <f>IF(N('Dvd Calendar'!$AP$891)=0,"",IF(('Dvd Calendar'!$AP$891&gt;=GRID_FROM)*('Dvd Calendar'!$AP$891&lt;=GRID_TO)*('Dvd Calendar'!$AP$891&lt;=VAL_DATE)=0,"",'Dvd Calendar'!$AP$891*1000000000+ISNUMBER('Dvd Calendar'!$AP$894)*100000000+('Dvd Calendar'!$AP$896=SPECIAL_LBL)*10000000+0*1000000+81*1000+38))</f>
        <v/>
      </c>
      <c r="FQ92" s="35">
        <f>IF(N('Dvd Calendar'!$AQ$891)=0,"",IF(('Dvd Calendar'!$AQ$891&gt;=GRID_FROM)*('Dvd Calendar'!$AQ$891&lt;=GRID_TO)*('Dvd Calendar'!$AQ$891&lt;=VAL_DATE)=0,"",'Dvd Calendar'!$AQ$891*1000000000+ISNUMBER('Dvd Calendar'!$AQ$894)*100000000+('Dvd Calendar'!$AQ$896=SPECIAL_LBL)*10000000+0*1000000+81*1000+39))</f>
        <v/>
      </c>
      <c r="FR92" s="35">
        <f>IF(N('Dvd Calendar'!$AR$891)=0,"",IF(('Dvd Calendar'!$AR$891&gt;=GRID_FROM)*('Dvd Calendar'!$AR$891&lt;=GRID_TO)*('Dvd Calendar'!$AR$891&lt;=VAL_DATE)=0,"",'Dvd Calendar'!$AR$891*1000000000+ISNUMBER('Dvd Calendar'!$AR$894)*100000000+('Dvd Calendar'!$AR$896=SPECIAL_LBL)*10000000+0*1000000+81*1000+40))</f>
        <v/>
      </c>
      <c r="FS92" s="35">
        <f>IF(N('Dvd Calendar'!$E$898)=0,"",IF(('Dvd Calendar'!$E$898&gt;=GRID_FROM)*('Dvd Calendar'!$E$898&lt;=GRID_TO)*('Dvd Calendar'!$E$898&gt;VAL_DATE)=0,"",'Dvd Calendar'!$E$898*1000000000+ISNUMBER('Dvd Calendar'!$E$899)*100000000+0*10000000+(N('Dvd Calendar'!$E$897)&gt;0)*(N('Dvd Calendar'!$E$897)&lt;=VAL_SERIAL)*1000000+81*1000+41))</f>
        <v/>
      </c>
      <c r="FT92" s="35">
        <f>IF(N('Dvd Calendar'!$F$898)=0,"",IF(('Dvd Calendar'!$F$898&gt;=GRID_FROM)*('Dvd Calendar'!$F$898&lt;=GRID_TO)*('Dvd Calendar'!$F$898&gt;VAL_DATE)=0,"",'Dvd Calendar'!$F$898*1000000000+ISNUMBER('Dvd Calendar'!$F$899)*100000000+0*10000000+(N('Dvd Calendar'!$F$897)&gt;0)*(N('Dvd Calendar'!$F$897)&lt;=VAL_SERIAL)*1000000+81*1000+42))</f>
        <v/>
      </c>
      <c r="FU92" s="35">
        <f>IF(N('Dvd Calendar'!$G$898)=0,"",IF(('Dvd Calendar'!$G$898&gt;=GRID_FROM)*('Dvd Calendar'!$G$898&lt;=GRID_TO)*('Dvd Calendar'!$G$898&gt;VAL_DATE)=0,"",'Dvd Calendar'!$G$898*1000000000+ISNUMBER('Dvd Calendar'!$G$899)*100000000+0*10000000+(N('Dvd Calendar'!$G$897)&gt;0)*(N('Dvd Calendar'!$G$897)&lt;=VAL_SERIAL)*1000000+81*1000+43))</f>
        <v/>
      </c>
      <c r="FV92" s="35">
        <f>IF(N('Dvd Calendar'!$H$898)=0,"",IF(('Dvd Calendar'!$H$898&gt;=GRID_FROM)*('Dvd Calendar'!$H$898&lt;=GRID_TO)*('Dvd Calendar'!$H$898&gt;VAL_DATE)=0,"",'Dvd Calendar'!$H$898*1000000000+ISNUMBER('Dvd Calendar'!$H$899)*100000000+0*10000000+(N('Dvd Calendar'!$H$897)&gt;0)*(N('Dvd Calendar'!$H$897)&lt;=VAL_SERIAL)*1000000+81*1000+44))</f>
        <v/>
      </c>
      <c r="FW92" s="35">
        <f>IF(N('Dvd Calendar'!$I$898)=0,"",IF(('Dvd Calendar'!$I$898&gt;=GRID_FROM)*('Dvd Calendar'!$I$898&lt;=GRID_TO)*('Dvd Calendar'!$I$898&gt;VAL_DATE)=0,"",'Dvd Calendar'!$I$898*1000000000+ISNUMBER('Dvd Calendar'!$I$899)*100000000+0*10000000+(N('Dvd Calendar'!$I$897)&gt;0)*(N('Dvd Calendar'!$I$897)&lt;=VAL_SERIAL)*1000000+81*1000+45))</f>
        <v/>
      </c>
      <c r="FX92" s="35">
        <f>IF(N('Dvd Calendar'!$J$898)=0,"",IF(('Dvd Calendar'!$J$898&gt;=GRID_FROM)*('Dvd Calendar'!$J$898&lt;=GRID_TO)*('Dvd Calendar'!$J$898&gt;VAL_DATE)=0,"",'Dvd Calendar'!$J$898*1000000000+ISNUMBER('Dvd Calendar'!$J$899)*100000000+0*10000000+(N('Dvd Calendar'!$J$897)&gt;0)*(N('Dvd Calendar'!$J$897)&lt;=VAL_SERIAL)*1000000+81*1000+46))</f>
        <v/>
      </c>
      <c r="FY92" s="35">
        <f>IF(N('Dvd Calendar'!$K$898)=0,"",IF(('Dvd Calendar'!$K$898&gt;=GRID_FROM)*('Dvd Calendar'!$K$898&lt;=GRID_TO)*('Dvd Calendar'!$K$898&gt;VAL_DATE)=0,"",'Dvd Calendar'!$K$898*1000000000+ISNUMBER('Dvd Calendar'!$K$899)*100000000+0*10000000+(N('Dvd Calendar'!$K$897)&gt;0)*(N('Dvd Calendar'!$K$897)&lt;=VAL_SERIAL)*1000000+81*1000+47))</f>
        <v/>
      </c>
      <c r="FZ92" s="35">
        <f>IF(N('Dvd Calendar'!$L$898)=0,"",IF(('Dvd Calendar'!$L$898&gt;=GRID_FROM)*('Dvd Calendar'!$L$898&lt;=GRID_TO)*('Dvd Calendar'!$L$898&gt;VAL_DATE)=0,"",'Dvd Calendar'!$L$898*1000000000+ISNUMBER('Dvd Calendar'!$L$899)*100000000+0*10000000+(N('Dvd Calendar'!$L$897)&gt;0)*(N('Dvd Calendar'!$L$897)&lt;=VAL_SERIAL)*1000000+81*1000+48))</f>
        <v/>
      </c>
      <c r="GA92" s="35">
        <f>IF(N('Dvd Calendar'!$M$898)=0,"",IF(('Dvd Calendar'!$M$898&gt;=GRID_FROM)*('Dvd Calendar'!$M$898&lt;=GRID_TO)*('Dvd Calendar'!$M$898&gt;VAL_DATE)=0,"",'Dvd Calendar'!$M$898*1000000000+ISNUMBER('Dvd Calendar'!$M$899)*100000000+0*10000000+(N('Dvd Calendar'!$M$897)&gt;0)*(N('Dvd Calendar'!$M$897)&lt;=VAL_SERIAL)*1000000+81*1000+49))</f>
        <v/>
      </c>
      <c r="GB92" s="35">
        <f>IF(N('Dvd Calendar'!$N$898)=0,"",IF(('Dvd Calendar'!$N$898&gt;=GRID_FROM)*('Dvd Calendar'!$N$898&lt;=GRID_TO)*('Dvd Calendar'!$N$898&gt;VAL_DATE)=0,"",'Dvd Calendar'!$N$898*1000000000+ISNUMBER('Dvd Calendar'!$N$899)*100000000+0*10000000+(N('Dvd Calendar'!$N$897)&gt;0)*(N('Dvd Calendar'!$N$897)&lt;=VAL_SERIAL)*1000000+81*1000+50))</f>
        <v/>
      </c>
      <c r="GC92" s="35">
        <f>IF(N('Dvd Calendar'!$O$898)=0,"",IF(('Dvd Calendar'!$O$898&gt;=GRID_FROM)*('Dvd Calendar'!$O$898&lt;=GRID_TO)*('Dvd Calendar'!$O$898&gt;VAL_DATE)=0,"",'Dvd Calendar'!$O$898*1000000000+ISNUMBER('Dvd Calendar'!$O$899)*100000000+0*10000000+(N('Dvd Calendar'!$O$897)&gt;0)*(N('Dvd Calendar'!$O$897)&lt;=VAL_SERIAL)*1000000+81*1000+51))</f>
        <v/>
      </c>
      <c r="GD92" s="35">
        <f>IF(N('Dvd Calendar'!$P$898)=0,"",IF(('Dvd Calendar'!$P$898&gt;=GRID_FROM)*('Dvd Calendar'!$P$898&lt;=GRID_TO)*('Dvd Calendar'!$P$898&gt;VAL_DATE)=0,"",'Dvd Calendar'!$P$898*1000000000+ISNUMBER('Dvd Calendar'!$P$899)*100000000+0*10000000+(N('Dvd Calendar'!$P$897)&gt;0)*(N('Dvd Calendar'!$P$897)&lt;=VAL_SERIAL)*1000000+81*1000+52))</f>
        <v/>
      </c>
      <c r="GE92" s="35">
        <f>IF(N('Dvd Calendar'!$Q$898)=0,"",IF(('Dvd Calendar'!$Q$898&gt;=GRID_FROM)*('Dvd Calendar'!$Q$898&lt;=GRID_TO)*('Dvd Calendar'!$Q$898&gt;VAL_DATE)=0,"",'Dvd Calendar'!$Q$898*1000000000+ISNUMBER('Dvd Calendar'!$Q$899)*100000000+0*10000000+(N('Dvd Calendar'!$Q$897)&gt;0)*(N('Dvd Calendar'!$Q$897)&lt;=VAL_SERIAL)*1000000+81*1000+53))</f>
        <v/>
      </c>
      <c r="GF92" s="35">
        <f>IF(N('Dvd Calendar'!$R$898)=0,"",IF(('Dvd Calendar'!$R$898&gt;=GRID_FROM)*('Dvd Calendar'!$R$898&lt;=GRID_TO)*('Dvd Calendar'!$R$898&gt;VAL_DATE)=0,"",'Dvd Calendar'!$R$898*1000000000+ISNUMBER('Dvd Calendar'!$R$899)*100000000+0*10000000+(N('Dvd Calendar'!$R$897)&gt;0)*(N('Dvd Calendar'!$R$897)&lt;=VAL_SERIAL)*1000000+81*1000+54))</f>
        <v/>
      </c>
      <c r="GG92" s="35">
        <f>IF(N('Dvd Calendar'!$S$898)=0,"",IF(('Dvd Calendar'!$S$898&gt;=GRID_FROM)*('Dvd Calendar'!$S$898&lt;=GRID_TO)*('Dvd Calendar'!$S$898&gt;VAL_DATE)=0,"",'Dvd Calendar'!$S$898*1000000000+ISNUMBER('Dvd Calendar'!$S$899)*100000000+0*10000000+(N('Dvd Calendar'!$S$897)&gt;0)*(N('Dvd Calendar'!$S$897)&lt;=VAL_SERIAL)*1000000+81*1000+55))</f>
        <v/>
      </c>
      <c r="GH92" s="35">
        <f>IF(N('Dvd Calendar'!$T$898)=0,"",IF(('Dvd Calendar'!$T$898&gt;=GRID_FROM)*('Dvd Calendar'!$T$898&lt;=GRID_TO)*('Dvd Calendar'!$T$898&gt;VAL_DATE)=0,"",'Dvd Calendar'!$T$898*1000000000+ISNUMBER('Dvd Calendar'!$T$899)*100000000+0*10000000+(N('Dvd Calendar'!$T$897)&gt;0)*(N('Dvd Calendar'!$T$897)&lt;=VAL_SERIAL)*1000000+81*1000+56))</f>
        <v/>
      </c>
      <c r="GI92" s="35">
        <f>IF(N('Dvd Calendar'!$U$898)=0,"",IF(('Dvd Calendar'!$U$898&gt;=GRID_FROM)*('Dvd Calendar'!$U$898&lt;=GRID_TO)*('Dvd Calendar'!$U$898&gt;VAL_DATE)=0,"",'Dvd Calendar'!$U$898*1000000000+ISNUMBER('Dvd Calendar'!$U$899)*100000000+0*10000000+(N('Dvd Calendar'!$U$897)&gt;0)*(N('Dvd Calendar'!$U$897)&lt;=VAL_SERIAL)*1000000+81*1000+57))</f>
        <v/>
      </c>
      <c r="GJ92" s="35">
        <f>IF(N('Dvd Calendar'!$V$898)=0,"",IF(('Dvd Calendar'!$V$898&gt;=GRID_FROM)*('Dvd Calendar'!$V$898&lt;=GRID_TO)*('Dvd Calendar'!$V$898&gt;VAL_DATE)=0,"",'Dvd Calendar'!$V$898*1000000000+ISNUMBER('Dvd Calendar'!$V$899)*100000000+0*10000000+(N('Dvd Calendar'!$V$897)&gt;0)*(N('Dvd Calendar'!$V$897)&lt;=VAL_SERIAL)*1000000+81*1000+58))</f>
        <v/>
      </c>
      <c r="GK92" s="35">
        <f>IF(N('Dvd Calendar'!$W$898)=0,"",IF(('Dvd Calendar'!$W$898&gt;=GRID_FROM)*('Dvd Calendar'!$W$898&lt;=GRID_TO)*('Dvd Calendar'!$W$898&gt;VAL_DATE)=0,"",'Dvd Calendar'!$W$898*1000000000+ISNUMBER('Dvd Calendar'!$W$899)*100000000+0*10000000+(N('Dvd Calendar'!$W$897)&gt;0)*(N('Dvd Calendar'!$W$897)&lt;=VAL_SERIAL)*1000000+81*1000+59))</f>
        <v/>
      </c>
      <c r="GL92" s="35">
        <f>IF(N('Dvd Calendar'!$X$898)=0,"",IF(('Dvd Calendar'!$X$898&gt;=GRID_FROM)*('Dvd Calendar'!$X$898&lt;=GRID_TO)*('Dvd Calendar'!$X$898&gt;VAL_DATE)=0,"",'Dvd Calendar'!$X$898*1000000000+ISNUMBER('Dvd Calendar'!$X$899)*100000000+0*10000000+(N('Dvd Calendar'!$X$897)&gt;0)*(N('Dvd Calendar'!$X$897)&lt;=VAL_SERIAL)*1000000+81*1000+60))</f>
        <v/>
      </c>
      <c r="GM92" s="35">
        <f>IF(N('Dvd Calendar'!$Y$898)=0,"",IF(('Dvd Calendar'!$Y$898&gt;=GRID_FROM)*('Dvd Calendar'!$Y$898&lt;=GRID_TO)*('Dvd Calendar'!$Y$898&gt;VAL_DATE)=0,"",'Dvd Calendar'!$Y$898*1000000000+ISNUMBER('Dvd Calendar'!$Y$899)*100000000+0*10000000+(N('Dvd Calendar'!$Y$897)&gt;0)*(N('Dvd Calendar'!$Y$897)&lt;=VAL_SERIAL)*1000000+81*1000+61))</f>
        <v/>
      </c>
      <c r="GN92" s="35">
        <f>IF(N('Dvd Calendar'!$Z$898)=0,"",IF(('Dvd Calendar'!$Z$898&gt;=GRID_FROM)*('Dvd Calendar'!$Z$898&lt;=GRID_TO)*('Dvd Calendar'!$Z$898&gt;VAL_DATE)=0,"",'Dvd Calendar'!$Z$898*1000000000+ISNUMBER('Dvd Calendar'!$Z$899)*100000000+0*10000000+(N('Dvd Calendar'!$Z$897)&gt;0)*(N('Dvd Calendar'!$Z$897)&lt;=VAL_SERIAL)*1000000+81*1000+62))</f>
        <v/>
      </c>
      <c r="GO92" s="35">
        <f>IF(N('Dvd Calendar'!$AA$898)=0,"",IF(('Dvd Calendar'!$AA$898&gt;=GRID_FROM)*('Dvd Calendar'!$AA$898&lt;=GRID_TO)*('Dvd Calendar'!$AA$898&gt;VAL_DATE)=0,"",'Dvd Calendar'!$AA$898*1000000000+ISNUMBER('Dvd Calendar'!$AA$899)*100000000+0*10000000+(N('Dvd Calendar'!$AA$897)&gt;0)*(N('Dvd Calendar'!$AA$897)&lt;=VAL_SERIAL)*1000000+81*1000+63))</f>
        <v/>
      </c>
      <c r="GP92" s="35">
        <f>IF(N('Dvd Calendar'!$AB$898)=0,"",IF(('Dvd Calendar'!$AB$898&gt;=GRID_FROM)*('Dvd Calendar'!$AB$898&lt;=GRID_TO)*('Dvd Calendar'!$AB$898&gt;VAL_DATE)=0,"",'Dvd Calendar'!$AB$898*1000000000+ISNUMBER('Dvd Calendar'!$AB$899)*100000000+0*10000000+(N('Dvd Calendar'!$AB$897)&gt;0)*(N('Dvd Calendar'!$AB$897)&lt;=VAL_SERIAL)*1000000+81*1000+64))</f>
        <v/>
      </c>
      <c r="GQ92" s="35">
        <f>IF(N('Dvd Calendar'!$AC$898)=0,"",IF(('Dvd Calendar'!$AC$898&gt;=GRID_FROM)*('Dvd Calendar'!$AC$898&lt;=GRID_TO)*('Dvd Calendar'!$AC$898&gt;VAL_DATE)=0,"",'Dvd Calendar'!$AC$898*1000000000+ISNUMBER('Dvd Calendar'!$AC$899)*100000000+0*10000000+(N('Dvd Calendar'!$AC$897)&gt;0)*(N('Dvd Calendar'!$AC$897)&lt;=VAL_SERIAL)*1000000+81*1000+65))</f>
        <v/>
      </c>
    </row>
    <row r="93">
      <c r="B93" s="2">
        <f>IF(HSI!$C$88="","",HSI!$C$88)</f>
        <v/>
      </c>
      <c r="C93" s="106">
        <f>IF(EE93="","",IF(ISNUMBER('Dvd Calendar'!$E$905)=FALSE,"",IF((('Dvd Calendar'!$E$907=TYPE1)*(TYPE1&lt;&gt;"")+('Dvd Calendar'!$E$907=TYPE2)*(TYPE2&lt;&gt;"")+('Dvd Calendar'!$E$907=TYPE3)*(TYPE3&lt;&gt;"")+('Dvd Calendar'!$E$907=TYPE4)*(TYPE4&lt;&gt;"")+('Dvd Calendar'!$E$907=SPECIAL_LBL)*(INC_SPECIALS="Y"))=0,"",'Dvd Calendar'!$E$905)))</f>
        <v/>
      </c>
      <c r="D93" s="106">
        <f>IF(EF93="","",IF(ISNUMBER('Dvd Calendar'!$F$905)=FALSE,"",IF((('Dvd Calendar'!$F$907=TYPE1)*(TYPE1&lt;&gt;"")+('Dvd Calendar'!$F$907=TYPE2)*(TYPE2&lt;&gt;"")+('Dvd Calendar'!$F$907=TYPE3)*(TYPE3&lt;&gt;"")+('Dvd Calendar'!$F$907=TYPE4)*(TYPE4&lt;&gt;"")+('Dvd Calendar'!$F$907=SPECIAL_LBL)*(INC_SPECIALS="Y"))=0,"",'Dvd Calendar'!$F$905)))</f>
        <v/>
      </c>
      <c r="E93" s="106">
        <f>IF(EG93="","",IF(ISNUMBER('Dvd Calendar'!$G$905)=FALSE,"",IF((('Dvd Calendar'!$G$907=TYPE1)*(TYPE1&lt;&gt;"")+('Dvd Calendar'!$G$907=TYPE2)*(TYPE2&lt;&gt;"")+('Dvd Calendar'!$G$907=TYPE3)*(TYPE3&lt;&gt;"")+('Dvd Calendar'!$G$907=TYPE4)*(TYPE4&lt;&gt;"")+('Dvd Calendar'!$G$907=SPECIAL_LBL)*(INC_SPECIALS="Y"))=0,"",'Dvd Calendar'!$G$905)))</f>
        <v/>
      </c>
      <c r="F93" s="106">
        <f>IF(EH93="","",IF(ISNUMBER('Dvd Calendar'!$H$905)=FALSE,"",IF((('Dvd Calendar'!$H$907=TYPE1)*(TYPE1&lt;&gt;"")+('Dvd Calendar'!$H$907=TYPE2)*(TYPE2&lt;&gt;"")+('Dvd Calendar'!$H$907=TYPE3)*(TYPE3&lt;&gt;"")+('Dvd Calendar'!$H$907=TYPE4)*(TYPE4&lt;&gt;"")+('Dvd Calendar'!$H$907=SPECIAL_LBL)*(INC_SPECIALS="Y"))=0,"",'Dvd Calendar'!$H$905)))</f>
        <v/>
      </c>
      <c r="G93" s="106">
        <f>IF(EI93="","",IF(ISNUMBER('Dvd Calendar'!$I$905)=FALSE,"",IF((('Dvd Calendar'!$I$907=TYPE1)*(TYPE1&lt;&gt;"")+('Dvd Calendar'!$I$907=TYPE2)*(TYPE2&lt;&gt;"")+('Dvd Calendar'!$I$907=TYPE3)*(TYPE3&lt;&gt;"")+('Dvd Calendar'!$I$907=TYPE4)*(TYPE4&lt;&gt;"")+('Dvd Calendar'!$I$907=SPECIAL_LBL)*(INC_SPECIALS="Y"))=0,"",'Dvd Calendar'!$I$905)))</f>
        <v/>
      </c>
      <c r="H93" s="106">
        <f>IF(EJ93="","",IF(ISNUMBER('Dvd Calendar'!$J$905)=FALSE,"",IF((('Dvd Calendar'!$J$907=TYPE1)*(TYPE1&lt;&gt;"")+('Dvd Calendar'!$J$907=TYPE2)*(TYPE2&lt;&gt;"")+('Dvd Calendar'!$J$907=TYPE3)*(TYPE3&lt;&gt;"")+('Dvd Calendar'!$J$907=TYPE4)*(TYPE4&lt;&gt;"")+('Dvd Calendar'!$J$907=SPECIAL_LBL)*(INC_SPECIALS="Y"))=0,"",'Dvd Calendar'!$J$905)))</f>
        <v/>
      </c>
      <c r="I93" s="106">
        <f>IF(EK93="","",IF(ISNUMBER('Dvd Calendar'!$K$905)=FALSE,"",IF((('Dvd Calendar'!$K$907=TYPE1)*(TYPE1&lt;&gt;"")+('Dvd Calendar'!$K$907=TYPE2)*(TYPE2&lt;&gt;"")+('Dvd Calendar'!$K$907=TYPE3)*(TYPE3&lt;&gt;"")+('Dvd Calendar'!$K$907=TYPE4)*(TYPE4&lt;&gt;"")+('Dvd Calendar'!$K$907=SPECIAL_LBL)*(INC_SPECIALS="Y"))=0,"",'Dvd Calendar'!$K$905)))</f>
        <v/>
      </c>
      <c r="J93" s="106">
        <f>IF(EL93="","",IF(ISNUMBER('Dvd Calendar'!$L$905)=FALSE,"",IF((('Dvd Calendar'!$L$907=TYPE1)*(TYPE1&lt;&gt;"")+('Dvd Calendar'!$L$907=TYPE2)*(TYPE2&lt;&gt;"")+('Dvd Calendar'!$L$907=TYPE3)*(TYPE3&lt;&gt;"")+('Dvd Calendar'!$L$907=TYPE4)*(TYPE4&lt;&gt;"")+('Dvd Calendar'!$L$907=SPECIAL_LBL)*(INC_SPECIALS="Y"))=0,"",'Dvd Calendar'!$L$905)))</f>
        <v/>
      </c>
      <c r="K93" s="106">
        <f>IF(EM93="","",IF(ISNUMBER('Dvd Calendar'!$M$905)=FALSE,"",IF((('Dvd Calendar'!$M$907=TYPE1)*(TYPE1&lt;&gt;"")+('Dvd Calendar'!$M$907=TYPE2)*(TYPE2&lt;&gt;"")+('Dvd Calendar'!$M$907=TYPE3)*(TYPE3&lt;&gt;"")+('Dvd Calendar'!$M$907=TYPE4)*(TYPE4&lt;&gt;"")+('Dvd Calendar'!$M$907=SPECIAL_LBL)*(INC_SPECIALS="Y"))=0,"",'Dvd Calendar'!$M$905)))</f>
        <v/>
      </c>
      <c r="L93" s="106">
        <f>IF(EN93="","",IF(ISNUMBER('Dvd Calendar'!$N$905)=FALSE,"",IF((('Dvd Calendar'!$N$907=TYPE1)*(TYPE1&lt;&gt;"")+('Dvd Calendar'!$N$907=TYPE2)*(TYPE2&lt;&gt;"")+('Dvd Calendar'!$N$907=TYPE3)*(TYPE3&lt;&gt;"")+('Dvd Calendar'!$N$907=TYPE4)*(TYPE4&lt;&gt;"")+('Dvd Calendar'!$N$907=SPECIAL_LBL)*(INC_SPECIALS="Y"))=0,"",'Dvd Calendar'!$N$905)))</f>
        <v/>
      </c>
      <c r="M93" s="106">
        <f>IF(EO93="","",IF(ISNUMBER('Dvd Calendar'!$O$905)=FALSE,"",IF((('Dvd Calendar'!$O$907=TYPE1)*(TYPE1&lt;&gt;"")+('Dvd Calendar'!$O$907=TYPE2)*(TYPE2&lt;&gt;"")+('Dvd Calendar'!$O$907=TYPE3)*(TYPE3&lt;&gt;"")+('Dvd Calendar'!$O$907=TYPE4)*(TYPE4&lt;&gt;"")+('Dvd Calendar'!$O$907=SPECIAL_LBL)*(INC_SPECIALS="Y"))=0,"",'Dvd Calendar'!$O$905)))</f>
        <v/>
      </c>
      <c r="N93" s="106">
        <f>IF(EP93="","",IF(ISNUMBER('Dvd Calendar'!$P$905)=FALSE,"",IF((('Dvd Calendar'!$P$907=TYPE1)*(TYPE1&lt;&gt;"")+('Dvd Calendar'!$P$907=TYPE2)*(TYPE2&lt;&gt;"")+('Dvd Calendar'!$P$907=TYPE3)*(TYPE3&lt;&gt;"")+('Dvd Calendar'!$P$907=TYPE4)*(TYPE4&lt;&gt;"")+('Dvd Calendar'!$P$907=SPECIAL_LBL)*(INC_SPECIALS="Y"))=0,"",'Dvd Calendar'!$P$905)))</f>
        <v/>
      </c>
      <c r="O93" s="106">
        <f>IF(EQ93="","",IF(ISNUMBER('Dvd Calendar'!$Q$905)=FALSE,"",IF((('Dvd Calendar'!$Q$907=TYPE1)*(TYPE1&lt;&gt;"")+('Dvd Calendar'!$Q$907=TYPE2)*(TYPE2&lt;&gt;"")+('Dvd Calendar'!$Q$907=TYPE3)*(TYPE3&lt;&gt;"")+('Dvd Calendar'!$Q$907=TYPE4)*(TYPE4&lt;&gt;"")+('Dvd Calendar'!$Q$907=SPECIAL_LBL)*(INC_SPECIALS="Y"))=0,"",'Dvd Calendar'!$Q$905)))</f>
        <v/>
      </c>
      <c r="P93" s="106">
        <f>IF(ER93="","",IF(ISNUMBER('Dvd Calendar'!$R$905)=FALSE,"",IF((('Dvd Calendar'!$R$907=TYPE1)*(TYPE1&lt;&gt;"")+('Dvd Calendar'!$R$907=TYPE2)*(TYPE2&lt;&gt;"")+('Dvd Calendar'!$R$907=TYPE3)*(TYPE3&lt;&gt;"")+('Dvd Calendar'!$R$907=TYPE4)*(TYPE4&lt;&gt;"")+('Dvd Calendar'!$R$907=SPECIAL_LBL)*(INC_SPECIALS="Y"))=0,"",'Dvd Calendar'!$R$905)))</f>
        <v/>
      </c>
      <c r="Q93" s="106">
        <f>IF(ES93="","",IF(ISNUMBER('Dvd Calendar'!$S$905)=FALSE,"",IF((('Dvd Calendar'!$S$907=TYPE1)*(TYPE1&lt;&gt;"")+('Dvd Calendar'!$S$907=TYPE2)*(TYPE2&lt;&gt;"")+('Dvd Calendar'!$S$907=TYPE3)*(TYPE3&lt;&gt;"")+('Dvd Calendar'!$S$907=TYPE4)*(TYPE4&lt;&gt;"")+('Dvd Calendar'!$S$907=SPECIAL_LBL)*(INC_SPECIALS="Y"))=0,"",'Dvd Calendar'!$S$905)))</f>
        <v/>
      </c>
      <c r="R93" s="106">
        <f>IF(ET93="","",IF(ISNUMBER('Dvd Calendar'!$T$905)=FALSE,"",IF((('Dvd Calendar'!$T$907=TYPE1)*(TYPE1&lt;&gt;"")+('Dvd Calendar'!$T$907=TYPE2)*(TYPE2&lt;&gt;"")+('Dvd Calendar'!$T$907=TYPE3)*(TYPE3&lt;&gt;"")+('Dvd Calendar'!$T$907=TYPE4)*(TYPE4&lt;&gt;"")+('Dvd Calendar'!$T$907=SPECIAL_LBL)*(INC_SPECIALS="Y"))=0,"",'Dvd Calendar'!$T$905)))</f>
        <v/>
      </c>
      <c r="S93" s="106">
        <f>IF(EU93="","",IF(ISNUMBER('Dvd Calendar'!$U$905)=FALSE,"",IF((('Dvd Calendar'!$U$907=TYPE1)*(TYPE1&lt;&gt;"")+('Dvd Calendar'!$U$907=TYPE2)*(TYPE2&lt;&gt;"")+('Dvd Calendar'!$U$907=TYPE3)*(TYPE3&lt;&gt;"")+('Dvd Calendar'!$U$907=TYPE4)*(TYPE4&lt;&gt;"")+('Dvd Calendar'!$U$907=SPECIAL_LBL)*(INC_SPECIALS="Y"))=0,"",'Dvd Calendar'!$U$905)))</f>
        <v/>
      </c>
      <c r="T93" s="106">
        <f>IF(EV93="","",IF(ISNUMBER('Dvd Calendar'!$V$905)=FALSE,"",IF((('Dvd Calendar'!$V$907=TYPE1)*(TYPE1&lt;&gt;"")+('Dvd Calendar'!$V$907=TYPE2)*(TYPE2&lt;&gt;"")+('Dvd Calendar'!$V$907=TYPE3)*(TYPE3&lt;&gt;"")+('Dvd Calendar'!$V$907=TYPE4)*(TYPE4&lt;&gt;"")+('Dvd Calendar'!$V$907=SPECIAL_LBL)*(INC_SPECIALS="Y"))=0,"",'Dvd Calendar'!$V$905)))</f>
        <v/>
      </c>
      <c r="U93" s="106">
        <f>IF(EW93="","",IF(ISNUMBER('Dvd Calendar'!$W$905)=FALSE,"",IF((('Dvd Calendar'!$W$907=TYPE1)*(TYPE1&lt;&gt;"")+('Dvd Calendar'!$W$907=TYPE2)*(TYPE2&lt;&gt;"")+('Dvd Calendar'!$W$907=TYPE3)*(TYPE3&lt;&gt;"")+('Dvd Calendar'!$W$907=TYPE4)*(TYPE4&lt;&gt;"")+('Dvd Calendar'!$W$907=SPECIAL_LBL)*(INC_SPECIALS="Y"))=0,"",'Dvd Calendar'!$W$905)))</f>
        <v/>
      </c>
      <c r="V93" s="106">
        <f>IF(EX93="","",IF(ISNUMBER('Dvd Calendar'!$X$905)=FALSE,"",IF((('Dvd Calendar'!$X$907=TYPE1)*(TYPE1&lt;&gt;"")+('Dvd Calendar'!$X$907=TYPE2)*(TYPE2&lt;&gt;"")+('Dvd Calendar'!$X$907=TYPE3)*(TYPE3&lt;&gt;"")+('Dvd Calendar'!$X$907=TYPE4)*(TYPE4&lt;&gt;"")+('Dvd Calendar'!$X$907=SPECIAL_LBL)*(INC_SPECIALS="Y"))=0,"",'Dvd Calendar'!$X$905)))</f>
        <v/>
      </c>
      <c r="W93" s="106">
        <f>IF(EY93="","",IF(ISNUMBER('Dvd Calendar'!$Y$905)=FALSE,"",IF((('Dvd Calendar'!$Y$907=TYPE1)*(TYPE1&lt;&gt;"")+('Dvd Calendar'!$Y$907=TYPE2)*(TYPE2&lt;&gt;"")+('Dvd Calendar'!$Y$907=TYPE3)*(TYPE3&lt;&gt;"")+('Dvd Calendar'!$Y$907=TYPE4)*(TYPE4&lt;&gt;"")+('Dvd Calendar'!$Y$907=SPECIAL_LBL)*(INC_SPECIALS="Y"))=0,"",'Dvd Calendar'!$Y$905)))</f>
        <v/>
      </c>
      <c r="X93" s="106">
        <f>IF(EZ93="","",IF(ISNUMBER('Dvd Calendar'!$Z$905)=FALSE,"",IF((('Dvd Calendar'!$Z$907=TYPE1)*(TYPE1&lt;&gt;"")+('Dvd Calendar'!$Z$907=TYPE2)*(TYPE2&lt;&gt;"")+('Dvd Calendar'!$Z$907=TYPE3)*(TYPE3&lt;&gt;"")+('Dvd Calendar'!$Z$907=TYPE4)*(TYPE4&lt;&gt;"")+('Dvd Calendar'!$Z$907=SPECIAL_LBL)*(INC_SPECIALS="Y"))=0,"",'Dvd Calendar'!$Z$905)))</f>
        <v/>
      </c>
      <c r="Y93" s="106">
        <f>IF(FA93="","",IF(ISNUMBER('Dvd Calendar'!$AA$905)=FALSE,"",IF((('Dvd Calendar'!$AA$907=TYPE1)*(TYPE1&lt;&gt;"")+('Dvd Calendar'!$AA$907=TYPE2)*(TYPE2&lt;&gt;"")+('Dvd Calendar'!$AA$907=TYPE3)*(TYPE3&lt;&gt;"")+('Dvd Calendar'!$AA$907=TYPE4)*(TYPE4&lt;&gt;"")+('Dvd Calendar'!$AA$907=SPECIAL_LBL)*(INC_SPECIALS="Y"))=0,"",'Dvd Calendar'!$AA$905)))</f>
        <v/>
      </c>
      <c r="Z93" s="106">
        <f>IF(FB93="","",IF(ISNUMBER('Dvd Calendar'!$AB$905)=FALSE,"",IF((('Dvd Calendar'!$AB$907=TYPE1)*(TYPE1&lt;&gt;"")+('Dvd Calendar'!$AB$907=TYPE2)*(TYPE2&lt;&gt;"")+('Dvd Calendar'!$AB$907=TYPE3)*(TYPE3&lt;&gt;"")+('Dvd Calendar'!$AB$907=TYPE4)*(TYPE4&lt;&gt;"")+('Dvd Calendar'!$AB$907=SPECIAL_LBL)*(INC_SPECIALS="Y"))=0,"",'Dvd Calendar'!$AB$905)))</f>
        <v/>
      </c>
      <c r="AA93" s="106">
        <f>IF(FC93="","",IF(ISNUMBER('Dvd Calendar'!$AC$905)=FALSE,"",IF((('Dvd Calendar'!$AC$907=TYPE1)*(TYPE1&lt;&gt;"")+('Dvd Calendar'!$AC$907=TYPE2)*(TYPE2&lt;&gt;"")+('Dvd Calendar'!$AC$907=TYPE3)*(TYPE3&lt;&gt;"")+('Dvd Calendar'!$AC$907=TYPE4)*(TYPE4&lt;&gt;"")+('Dvd Calendar'!$AC$907=SPECIAL_LBL)*(INC_SPECIALS="Y"))=0,"",'Dvd Calendar'!$AC$905)))</f>
        <v/>
      </c>
      <c r="AB93" s="106">
        <f>IF(FD93="","",IF(ISNUMBER('Dvd Calendar'!$AD$905)=FALSE,"",IF((('Dvd Calendar'!$AD$907=TYPE1)*(TYPE1&lt;&gt;"")+('Dvd Calendar'!$AD$907=TYPE2)*(TYPE2&lt;&gt;"")+('Dvd Calendar'!$AD$907=TYPE3)*(TYPE3&lt;&gt;"")+('Dvd Calendar'!$AD$907=TYPE4)*(TYPE4&lt;&gt;"")+('Dvd Calendar'!$AD$907=SPECIAL_LBL)*(INC_SPECIALS="Y"))=0,"",'Dvd Calendar'!$AD$905)))</f>
        <v/>
      </c>
      <c r="AC93" s="106">
        <f>IF(FE93="","",IF(ISNUMBER('Dvd Calendar'!$AE$905)=FALSE,"",IF((('Dvd Calendar'!$AE$907=TYPE1)*(TYPE1&lt;&gt;"")+('Dvd Calendar'!$AE$907=TYPE2)*(TYPE2&lt;&gt;"")+('Dvd Calendar'!$AE$907=TYPE3)*(TYPE3&lt;&gt;"")+('Dvd Calendar'!$AE$907=TYPE4)*(TYPE4&lt;&gt;"")+('Dvd Calendar'!$AE$907=SPECIAL_LBL)*(INC_SPECIALS="Y"))=0,"",'Dvd Calendar'!$AE$905)))</f>
        <v/>
      </c>
      <c r="AD93" s="106">
        <f>IF(FF93="","",IF(ISNUMBER('Dvd Calendar'!$AF$905)=FALSE,"",IF((('Dvd Calendar'!$AF$907=TYPE1)*(TYPE1&lt;&gt;"")+('Dvd Calendar'!$AF$907=TYPE2)*(TYPE2&lt;&gt;"")+('Dvd Calendar'!$AF$907=TYPE3)*(TYPE3&lt;&gt;"")+('Dvd Calendar'!$AF$907=TYPE4)*(TYPE4&lt;&gt;"")+('Dvd Calendar'!$AF$907=SPECIAL_LBL)*(INC_SPECIALS="Y"))=0,"",'Dvd Calendar'!$AF$905)))</f>
        <v/>
      </c>
      <c r="AE93" s="106">
        <f>IF(FG93="","",IF(ISNUMBER('Dvd Calendar'!$AG$905)=FALSE,"",IF((('Dvd Calendar'!$AG$907=TYPE1)*(TYPE1&lt;&gt;"")+('Dvd Calendar'!$AG$907=TYPE2)*(TYPE2&lt;&gt;"")+('Dvd Calendar'!$AG$907=TYPE3)*(TYPE3&lt;&gt;"")+('Dvd Calendar'!$AG$907=TYPE4)*(TYPE4&lt;&gt;"")+('Dvd Calendar'!$AG$907=SPECIAL_LBL)*(INC_SPECIALS="Y"))=0,"",'Dvd Calendar'!$AG$905)))</f>
        <v/>
      </c>
      <c r="AF93" s="106">
        <f>IF(FH93="","",IF(ISNUMBER('Dvd Calendar'!$AH$905)=FALSE,"",IF((('Dvd Calendar'!$AH$907=TYPE1)*(TYPE1&lt;&gt;"")+('Dvd Calendar'!$AH$907=TYPE2)*(TYPE2&lt;&gt;"")+('Dvd Calendar'!$AH$907=TYPE3)*(TYPE3&lt;&gt;"")+('Dvd Calendar'!$AH$907=TYPE4)*(TYPE4&lt;&gt;"")+('Dvd Calendar'!$AH$907=SPECIAL_LBL)*(INC_SPECIALS="Y"))=0,"",'Dvd Calendar'!$AH$905)))</f>
        <v/>
      </c>
      <c r="AG93" s="106">
        <f>IF(FI93="","",IF(ISNUMBER('Dvd Calendar'!$AI$905)=FALSE,"",IF((('Dvd Calendar'!$AI$907=TYPE1)*(TYPE1&lt;&gt;"")+('Dvd Calendar'!$AI$907=TYPE2)*(TYPE2&lt;&gt;"")+('Dvd Calendar'!$AI$907=TYPE3)*(TYPE3&lt;&gt;"")+('Dvd Calendar'!$AI$907=TYPE4)*(TYPE4&lt;&gt;"")+('Dvd Calendar'!$AI$907=SPECIAL_LBL)*(INC_SPECIALS="Y"))=0,"",'Dvd Calendar'!$AI$905)))</f>
        <v/>
      </c>
      <c r="AH93" s="106">
        <f>IF(FJ93="","",IF(ISNUMBER('Dvd Calendar'!$AJ$905)=FALSE,"",IF((('Dvd Calendar'!$AJ$907=TYPE1)*(TYPE1&lt;&gt;"")+('Dvd Calendar'!$AJ$907=TYPE2)*(TYPE2&lt;&gt;"")+('Dvd Calendar'!$AJ$907=TYPE3)*(TYPE3&lt;&gt;"")+('Dvd Calendar'!$AJ$907=TYPE4)*(TYPE4&lt;&gt;"")+('Dvd Calendar'!$AJ$907=SPECIAL_LBL)*(INC_SPECIALS="Y"))=0,"",'Dvd Calendar'!$AJ$905)))</f>
        <v/>
      </c>
      <c r="AI93" s="106">
        <f>IF(FK93="","",IF(ISNUMBER('Dvd Calendar'!$AK$905)=FALSE,"",IF((('Dvd Calendar'!$AK$907=TYPE1)*(TYPE1&lt;&gt;"")+('Dvd Calendar'!$AK$907=TYPE2)*(TYPE2&lt;&gt;"")+('Dvd Calendar'!$AK$907=TYPE3)*(TYPE3&lt;&gt;"")+('Dvd Calendar'!$AK$907=TYPE4)*(TYPE4&lt;&gt;"")+('Dvd Calendar'!$AK$907=SPECIAL_LBL)*(INC_SPECIALS="Y"))=0,"",'Dvd Calendar'!$AK$905)))</f>
        <v/>
      </c>
      <c r="AJ93" s="106">
        <f>IF(FL93="","",IF(ISNUMBER('Dvd Calendar'!$AL$905)=FALSE,"",IF((('Dvd Calendar'!$AL$907=TYPE1)*(TYPE1&lt;&gt;"")+('Dvd Calendar'!$AL$907=TYPE2)*(TYPE2&lt;&gt;"")+('Dvd Calendar'!$AL$907=TYPE3)*(TYPE3&lt;&gt;"")+('Dvd Calendar'!$AL$907=TYPE4)*(TYPE4&lt;&gt;"")+('Dvd Calendar'!$AL$907=SPECIAL_LBL)*(INC_SPECIALS="Y"))=0,"",'Dvd Calendar'!$AL$905)))</f>
        <v/>
      </c>
      <c r="AK93" s="106">
        <f>IF(FM93="","",IF(ISNUMBER('Dvd Calendar'!$AM$905)=FALSE,"",IF((('Dvd Calendar'!$AM$907=TYPE1)*(TYPE1&lt;&gt;"")+('Dvd Calendar'!$AM$907=TYPE2)*(TYPE2&lt;&gt;"")+('Dvd Calendar'!$AM$907=TYPE3)*(TYPE3&lt;&gt;"")+('Dvd Calendar'!$AM$907=TYPE4)*(TYPE4&lt;&gt;"")+('Dvd Calendar'!$AM$907=SPECIAL_LBL)*(INC_SPECIALS="Y"))=0,"",'Dvd Calendar'!$AM$905)))</f>
        <v/>
      </c>
      <c r="AL93" s="106">
        <f>IF(FN93="","",IF(ISNUMBER('Dvd Calendar'!$AN$905)=FALSE,"",IF((('Dvd Calendar'!$AN$907=TYPE1)*(TYPE1&lt;&gt;"")+('Dvd Calendar'!$AN$907=TYPE2)*(TYPE2&lt;&gt;"")+('Dvd Calendar'!$AN$907=TYPE3)*(TYPE3&lt;&gt;"")+('Dvd Calendar'!$AN$907=TYPE4)*(TYPE4&lt;&gt;"")+('Dvd Calendar'!$AN$907=SPECIAL_LBL)*(INC_SPECIALS="Y"))=0,"",'Dvd Calendar'!$AN$905)))</f>
        <v/>
      </c>
      <c r="AM93" s="106">
        <f>IF(FO93="","",IF(ISNUMBER('Dvd Calendar'!$AO$905)=FALSE,"",IF((('Dvd Calendar'!$AO$907=TYPE1)*(TYPE1&lt;&gt;"")+('Dvd Calendar'!$AO$907=TYPE2)*(TYPE2&lt;&gt;"")+('Dvd Calendar'!$AO$907=TYPE3)*(TYPE3&lt;&gt;"")+('Dvd Calendar'!$AO$907=TYPE4)*(TYPE4&lt;&gt;"")+('Dvd Calendar'!$AO$907=SPECIAL_LBL)*(INC_SPECIALS="Y"))=0,"",'Dvd Calendar'!$AO$905)))</f>
        <v/>
      </c>
      <c r="AN93" s="106">
        <f>IF(FP93="","",IF(ISNUMBER('Dvd Calendar'!$AP$905)=FALSE,"",IF((('Dvd Calendar'!$AP$907=TYPE1)*(TYPE1&lt;&gt;"")+('Dvd Calendar'!$AP$907=TYPE2)*(TYPE2&lt;&gt;"")+('Dvd Calendar'!$AP$907=TYPE3)*(TYPE3&lt;&gt;"")+('Dvd Calendar'!$AP$907=TYPE4)*(TYPE4&lt;&gt;"")+('Dvd Calendar'!$AP$907=SPECIAL_LBL)*(INC_SPECIALS="Y"))=0,"",'Dvd Calendar'!$AP$905)))</f>
        <v/>
      </c>
      <c r="AO93" s="106">
        <f>IF(FQ93="","",IF(ISNUMBER('Dvd Calendar'!$AQ$905)=FALSE,"",IF((('Dvd Calendar'!$AQ$907=TYPE1)*(TYPE1&lt;&gt;"")+('Dvd Calendar'!$AQ$907=TYPE2)*(TYPE2&lt;&gt;"")+('Dvd Calendar'!$AQ$907=TYPE3)*(TYPE3&lt;&gt;"")+('Dvd Calendar'!$AQ$907=TYPE4)*(TYPE4&lt;&gt;"")+('Dvd Calendar'!$AQ$907=SPECIAL_LBL)*(INC_SPECIALS="Y"))=0,"",'Dvd Calendar'!$AQ$905)))</f>
        <v/>
      </c>
      <c r="AP93" s="106">
        <f>IF(FR93="","",IF(ISNUMBER('Dvd Calendar'!$AR$905)=FALSE,"",IF((('Dvd Calendar'!$AR$907=TYPE1)*(TYPE1&lt;&gt;"")+('Dvd Calendar'!$AR$907=TYPE2)*(TYPE2&lt;&gt;"")+('Dvd Calendar'!$AR$907=TYPE3)*(TYPE3&lt;&gt;"")+('Dvd Calendar'!$AR$907=TYPE4)*(TYPE4&lt;&gt;"")+('Dvd Calendar'!$AR$907=SPECIAL_LBL)*(INC_SPECIALS="Y"))=0,"",'Dvd Calendar'!$AR$905)))</f>
        <v/>
      </c>
      <c r="AQ93" s="106">
        <f>IF(FS93="","",IF(ISNUMBER('Dvd Calendar'!$E$910)=FALSE,"",'Dvd Calendar'!$E$910))</f>
        <v/>
      </c>
      <c r="AR93" s="106">
        <f>IF(FT93="","",IF(ISNUMBER('Dvd Calendar'!$F$910)=FALSE,"",'Dvd Calendar'!$F$910))</f>
        <v/>
      </c>
      <c r="AS93" s="106">
        <f>IF(FU93="","",IF(ISNUMBER('Dvd Calendar'!$G$910)=FALSE,"",'Dvd Calendar'!$G$910))</f>
        <v/>
      </c>
      <c r="AT93" s="106">
        <f>IF(FV93="","",IF(ISNUMBER('Dvd Calendar'!$H$910)=FALSE,"",'Dvd Calendar'!$H$910))</f>
        <v/>
      </c>
      <c r="AU93" s="106">
        <f>IF(FW93="","",IF(ISNUMBER('Dvd Calendar'!$I$910)=FALSE,"",'Dvd Calendar'!$I$910))</f>
        <v/>
      </c>
      <c r="AV93" s="106">
        <f>IF(FX93="","",IF(ISNUMBER('Dvd Calendar'!$J$910)=FALSE,"",'Dvd Calendar'!$J$910))</f>
        <v/>
      </c>
      <c r="AW93" s="106">
        <f>IF(FY93="","",IF(ISNUMBER('Dvd Calendar'!$K$910)=FALSE,"",'Dvd Calendar'!$K$910))</f>
        <v/>
      </c>
      <c r="AX93" s="106">
        <f>IF(FZ93="","",IF(ISNUMBER('Dvd Calendar'!$L$910)=FALSE,"",'Dvd Calendar'!$L$910))</f>
        <v/>
      </c>
      <c r="AY93" s="106">
        <f>IF(GA93="","",IF(ISNUMBER('Dvd Calendar'!$M$910)=FALSE,"",'Dvd Calendar'!$M$910))</f>
        <v/>
      </c>
      <c r="AZ93" s="106">
        <f>IF(GB93="","",IF(ISNUMBER('Dvd Calendar'!$N$910)=FALSE,"",'Dvd Calendar'!$N$910))</f>
        <v/>
      </c>
      <c r="BA93" s="106">
        <f>IF(GC93="","",IF(ISNUMBER('Dvd Calendar'!$O$910)=FALSE,"",'Dvd Calendar'!$O$910))</f>
        <v/>
      </c>
      <c r="BB93" s="106">
        <f>IF(GD93="","",IF(ISNUMBER('Dvd Calendar'!$P$910)=FALSE,"",'Dvd Calendar'!$P$910))</f>
        <v/>
      </c>
      <c r="BC93" s="106">
        <f>IF(GE93="","",IF(ISNUMBER('Dvd Calendar'!$Q$910)=FALSE,"",'Dvd Calendar'!$Q$910))</f>
        <v/>
      </c>
      <c r="BD93" s="106">
        <f>IF(GF93="","",IF(ISNUMBER('Dvd Calendar'!$R$910)=FALSE,"",'Dvd Calendar'!$R$910))</f>
        <v/>
      </c>
      <c r="BE93" s="106">
        <f>IF(GG93="","",IF(ISNUMBER('Dvd Calendar'!$S$910)=FALSE,"",'Dvd Calendar'!$S$910))</f>
        <v/>
      </c>
      <c r="BF93" s="106">
        <f>IF(GH93="","",IF(ISNUMBER('Dvd Calendar'!$T$910)=FALSE,"",'Dvd Calendar'!$T$910))</f>
        <v/>
      </c>
      <c r="BG93" s="106">
        <f>IF(GI93="","",IF(ISNUMBER('Dvd Calendar'!$U$910)=FALSE,"",'Dvd Calendar'!$U$910))</f>
        <v/>
      </c>
      <c r="BH93" s="106">
        <f>IF(GJ93="","",IF(ISNUMBER('Dvd Calendar'!$V$910)=FALSE,"",'Dvd Calendar'!$V$910))</f>
        <v/>
      </c>
      <c r="BI93" s="106">
        <f>IF(GK93="","",IF(ISNUMBER('Dvd Calendar'!$W$910)=FALSE,"",'Dvd Calendar'!$W$910))</f>
        <v/>
      </c>
      <c r="BJ93" s="106">
        <f>IF(GL93="","",IF(ISNUMBER('Dvd Calendar'!$X$910)=FALSE,"",'Dvd Calendar'!$X$910))</f>
        <v/>
      </c>
      <c r="BK93" s="106">
        <f>IF(GM93="","",IF(ISNUMBER('Dvd Calendar'!$Y$910)=FALSE,"",'Dvd Calendar'!$Y$910))</f>
        <v/>
      </c>
      <c r="BL93" s="106">
        <f>IF(GN93="","",IF(ISNUMBER('Dvd Calendar'!$Z$910)=FALSE,"",'Dvd Calendar'!$Z$910))</f>
        <v/>
      </c>
      <c r="BM93" s="106">
        <f>IF(GO93="","",IF(ISNUMBER('Dvd Calendar'!$AA$910)=FALSE,"",'Dvd Calendar'!$AA$910))</f>
        <v/>
      </c>
      <c r="BN93" s="106">
        <f>IF(GP93="","",IF(ISNUMBER('Dvd Calendar'!$AB$910)=FALSE,"",'Dvd Calendar'!$AB$910))</f>
        <v/>
      </c>
      <c r="BO93" s="106">
        <f>IF(GQ93="","",IF(ISNUMBER('Dvd Calendar'!$AC$910)=FALSE,"",'Dvd Calendar'!$AC$910))</f>
        <v/>
      </c>
      <c r="BQ93" s="106">
        <f>IF(C93="","",IFERROR(C93*HSI!$B$88*HSI!$G$88/HSI!$B$3,""))</f>
        <v/>
      </c>
      <c r="BR93" s="106">
        <f>IF(D93="","",IFERROR(D93*HSI!$B$88*HSI!$G$88/HSI!$B$3,""))</f>
        <v/>
      </c>
      <c r="BS93" s="106">
        <f>IF(E93="","",IFERROR(E93*HSI!$B$88*HSI!$G$88/HSI!$B$3,""))</f>
        <v/>
      </c>
      <c r="BT93" s="106">
        <f>IF(F93="","",IFERROR(F93*HSI!$B$88*HSI!$G$88/HSI!$B$3,""))</f>
        <v/>
      </c>
      <c r="BU93" s="106">
        <f>IF(G93="","",IFERROR(G93*HSI!$B$88*HSI!$G$88/HSI!$B$3,""))</f>
        <v/>
      </c>
      <c r="BV93" s="106">
        <f>IF(H93="","",IFERROR(H93*HSI!$B$88*HSI!$G$88/HSI!$B$3,""))</f>
        <v/>
      </c>
      <c r="BW93" s="106">
        <f>IF(I93="","",IFERROR(I93*HSI!$B$88*HSI!$G$88/HSI!$B$3,""))</f>
        <v/>
      </c>
      <c r="BX93" s="106">
        <f>IF(J93="","",IFERROR(J93*HSI!$B$88*HSI!$G$88/HSI!$B$3,""))</f>
        <v/>
      </c>
      <c r="BY93" s="106">
        <f>IF(K93="","",IFERROR(K93*HSI!$B$88*HSI!$G$88/HSI!$B$3,""))</f>
        <v/>
      </c>
      <c r="BZ93" s="106">
        <f>IF(L93="","",IFERROR(L93*HSI!$B$88*HSI!$G$88/HSI!$B$3,""))</f>
        <v/>
      </c>
      <c r="CA93" s="106">
        <f>IF(M93="","",IFERROR(M93*HSI!$B$88*HSI!$G$88/HSI!$B$3,""))</f>
        <v/>
      </c>
      <c r="CB93" s="106">
        <f>IF(N93="","",IFERROR(N93*HSI!$B$88*HSI!$G$88/HSI!$B$3,""))</f>
        <v/>
      </c>
      <c r="CC93" s="106">
        <f>IF(O93="","",IFERROR(O93*HSI!$B$88*HSI!$G$88/HSI!$B$3,""))</f>
        <v/>
      </c>
      <c r="CD93" s="106">
        <f>IF(P93="","",IFERROR(P93*HSI!$B$88*HSI!$G$88/HSI!$B$3,""))</f>
        <v/>
      </c>
      <c r="CE93" s="106">
        <f>IF(Q93="","",IFERROR(Q93*HSI!$B$88*HSI!$G$88/HSI!$B$3,""))</f>
        <v/>
      </c>
      <c r="CF93" s="106">
        <f>IF(R93="","",IFERROR(R93*HSI!$B$88*HSI!$G$88/HSI!$B$3,""))</f>
        <v/>
      </c>
      <c r="CG93" s="106">
        <f>IF(S93="","",IFERROR(S93*HSI!$B$88*HSI!$G$88/HSI!$B$3,""))</f>
        <v/>
      </c>
      <c r="CH93" s="106">
        <f>IF(T93="","",IFERROR(T93*HSI!$B$88*HSI!$G$88/HSI!$B$3,""))</f>
        <v/>
      </c>
      <c r="CI93" s="106">
        <f>IF(U93="","",IFERROR(U93*HSI!$B$88*HSI!$G$88/HSI!$B$3,""))</f>
        <v/>
      </c>
      <c r="CJ93" s="106">
        <f>IF(V93="","",IFERROR(V93*HSI!$B$88*HSI!$G$88/HSI!$B$3,""))</f>
        <v/>
      </c>
      <c r="CK93" s="106">
        <f>IF(W93="","",IFERROR(W93*HSI!$B$88*HSI!$G$88/HSI!$B$3,""))</f>
        <v/>
      </c>
      <c r="CL93" s="106">
        <f>IF(X93="","",IFERROR(X93*HSI!$B$88*HSI!$G$88/HSI!$B$3,""))</f>
        <v/>
      </c>
      <c r="CM93" s="106">
        <f>IF(Y93="","",IFERROR(Y93*HSI!$B$88*HSI!$G$88/HSI!$B$3,""))</f>
        <v/>
      </c>
      <c r="CN93" s="106">
        <f>IF(Z93="","",IFERROR(Z93*HSI!$B$88*HSI!$G$88/HSI!$B$3,""))</f>
        <v/>
      </c>
      <c r="CO93" s="106">
        <f>IF(AA93="","",IFERROR(AA93*HSI!$B$88*HSI!$G$88/HSI!$B$3,""))</f>
        <v/>
      </c>
      <c r="CP93" s="106">
        <f>IF(AB93="","",IFERROR(AB93*HSI!$B$88*HSI!$G$88/HSI!$B$3,""))</f>
        <v/>
      </c>
      <c r="CQ93" s="106">
        <f>IF(AC93="","",IFERROR(AC93*HSI!$B$88*HSI!$G$88/HSI!$B$3,""))</f>
        <v/>
      </c>
      <c r="CR93" s="106">
        <f>IF(AD93="","",IFERROR(AD93*HSI!$B$88*HSI!$G$88/HSI!$B$3,""))</f>
        <v/>
      </c>
      <c r="CS93" s="106">
        <f>IF(AE93="","",IFERROR(AE93*HSI!$B$88*HSI!$G$88/HSI!$B$3,""))</f>
        <v/>
      </c>
      <c r="CT93" s="106">
        <f>IF(AF93="","",IFERROR(AF93*HSI!$B$88*HSI!$G$88/HSI!$B$3,""))</f>
        <v/>
      </c>
      <c r="CU93" s="106">
        <f>IF(AG93="","",IFERROR(AG93*HSI!$B$88*HSI!$G$88/HSI!$B$3,""))</f>
        <v/>
      </c>
      <c r="CV93" s="106">
        <f>IF(AH93="","",IFERROR(AH93*HSI!$B$88*HSI!$G$88/HSI!$B$3,""))</f>
        <v/>
      </c>
      <c r="CW93" s="106">
        <f>IF(AI93="","",IFERROR(AI93*HSI!$B$88*HSI!$G$88/HSI!$B$3,""))</f>
        <v/>
      </c>
      <c r="CX93" s="106">
        <f>IF(AJ93="","",IFERROR(AJ93*HSI!$B$88*HSI!$G$88/HSI!$B$3,""))</f>
        <v/>
      </c>
      <c r="CY93" s="106">
        <f>IF(AK93="","",IFERROR(AK93*HSI!$B$88*HSI!$G$88/HSI!$B$3,""))</f>
        <v/>
      </c>
      <c r="CZ93" s="106">
        <f>IF(AL93="","",IFERROR(AL93*HSI!$B$88*HSI!$G$88/HSI!$B$3,""))</f>
        <v/>
      </c>
      <c r="DA93" s="106">
        <f>IF(AM93="","",IFERROR(AM93*HSI!$B$88*HSI!$G$88/HSI!$B$3,""))</f>
        <v/>
      </c>
      <c r="DB93" s="106">
        <f>IF(AN93="","",IFERROR(AN93*HSI!$B$88*HSI!$G$88/HSI!$B$3,""))</f>
        <v/>
      </c>
      <c r="DC93" s="106">
        <f>IF(AO93="","",IFERROR(AO93*HSI!$B$88*HSI!$G$88/HSI!$B$3,""))</f>
        <v/>
      </c>
      <c r="DD93" s="106">
        <f>IF(AP93="","",IFERROR(AP93*HSI!$B$88*HSI!$G$88/HSI!$B$3,""))</f>
        <v/>
      </c>
      <c r="DE93" s="106">
        <f>IF(AQ93="","",IFERROR(AQ93*HSI!$B$88*HSI!$G$88/HSI!$B$3,""))</f>
        <v/>
      </c>
      <c r="DF93" s="106">
        <f>IF(AR93="","",IFERROR(AR93*HSI!$B$88*HSI!$G$88/HSI!$B$3,""))</f>
        <v/>
      </c>
      <c r="DG93" s="106">
        <f>IF(AS93="","",IFERROR(AS93*HSI!$B$88*HSI!$G$88/HSI!$B$3,""))</f>
        <v/>
      </c>
      <c r="DH93" s="106">
        <f>IF(AT93="","",IFERROR(AT93*HSI!$B$88*HSI!$G$88/HSI!$B$3,""))</f>
        <v/>
      </c>
      <c r="DI93" s="106">
        <f>IF(AU93="","",IFERROR(AU93*HSI!$B$88*HSI!$G$88/HSI!$B$3,""))</f>
        <v/>
      </c>
      <c r="DJ93" s="106">
        <f>IF(AV93="","",IFERROR(AV93*HSI!$B$88*HSI!$G$88/HSI!$B$3,""))</f>
        <v/>
      </c>
      <c r="DK93" s="106">
        <f>IF(AW93="","",IFERROR(AW93*HSI!$B$88*HSI!$G$88/HSI!$B$3,""))</f>
        <v/>
      </c>
      <c r="DL93" s="106">
        <f>IF(AX93="","",IFERROR(AX93*HSI!$B$88*HSI!$G$88/HSI!$B$3,""))</f>
        <v/>
      </c>
      <c r="DM93" s="106">
        <f>IF(AY93="","",IFERROR(AY93*HSI!$B$88*HSI!$G$88/HSI!$B$3,""))</f>
        <v/>
      </c>
      <c r="DN93" s="106">
        <f>IF(AZ93="","",IFERROR(AZ93*HSI!$B$88*HSI!$G$88/HSI!$B$3,""))</f>
        <v/>
      </c>
      <c r="DO93" s="106">
        <f>IF(BA93="","",IFERROR(BA93*HSI!$B$88*HSI!$G$88/HSI!$B$3,""))</f>
        <v/>
      </c>
      <c r="DP93" s="106">
        <f>IF(BB93="","",IFERROR(BB93*HSI!$B$88*HSI!$G$88/HSI!$B$3,""))</f>
        <v/>
      </c>
      <c r="DQ93" s="106">
        <f>IF(BC93="","",IFERROR(BC93*HSI!$B$88*HSI!$G$88/HSI!$B$3,""))</f>
        <v/>
      </c>
      <c r="DR93" s="106">
        <f>IF(BD93="","",IFERROR(BD93*HSI!$B$88*HSI!$G$88/HSI!$B$3,""))</f>
        <v/>
      </c>
      <c r="DS93" s="106">
        <f>IF(BE93="","",IFERROR(BE93*HSI!$B$88*HSI!$G$88/HSI!$B$3,""))</f>
        <v/>
      </c>
      <c r="DT93" s="106">
        <f>IF(BF93="","",IFERROR(BF93*HSI!$B$88*HSI!$G$88/HSI!$B$3,""))</f>
        <v/>
      </c>
      <c r="DU93" s="106">
        <f>IF(BG93="","",IFERROR(BG93*HSI!$B$88*HSI!$G$88/HSI!$B$3,""))</f>
        <v/>
      </c>
      <c r="DV93" s="106">
        <f>IF(BH93="","",IFERROR(BH93*HSI!$B$88*HSI!$G$88/HSI!$B$3,""))</f>
        <v/>
      </c>
      <c r="DW93" s="106">
        <f>IF(BI93="","",IFERROR(BI93*HSI!$B$88*HSI!$G$88/HSI!$B$3,""))</f>
        <v/>
      </c>
      <c r="DX93" s="106">
        <f>IF(BJ93="","",IFERROR(BJ93*HSI!$B$88*HSI!$G$88/HSI!$B$3,""))</f>
        <v/>
      </c>
      <c r="DY93" s="106">
        <f>IF(BK93="","",IFERROR(BK93*HSI!$B$88*HSI!$G$88/HSI!$B$3,""))</f>
        <v/>
      </c>
      <c r="DZ93" s="106">
        <f>IF(BL93="","",IFERROR(BL93*HSI!$B$88*HSI!$G$88/HSI!$B$3,""))</f>
        <v/>
      </c>
      <c r="EA93" s="106">
        <f>IF(BM93="","",IFERROR(BM93*HSI!$B$88*HSI!$G$88/HSI!$B$3,""))</f>
        <v/>
      </c>
      <c r="EB93" s="106">
        <f>IF(BN93="","",IFERROR(BN93*HSI!$B$88*HSI!$G$88/HSI!$B$3,""))</f>
        <v/>
      </c>
      <c r="EC93" s="106">
        <f>IF(BO93="","",IFERROR(BO93*HSI!$B$88*HSI!$G$88/HSI!$B$3,""))</f>
        <v/>
      </c>
      <c r="EE93" s="35">
        <f>IF(N('Dvd Calendar'!$E$902)=0,"",IF(('Dvd Calendar'!$E$902&gt;=GRID_FROM)*('Dvd Calendar'!$E$902&lt;=GRID_TO)*('Dvd Calendar'!$E$902&lt;=VAL_DATE)=0,"",'Dvd Calendar'!$E$902*1000000000+ISNUMBER('Dvd Calendar'!$E$905)*100000000+('Dvd Calendar'!$E$907=SPECIAL_LBL)*10000000+0*1000000+82*1000+1))</f>
        <v/>
      </c>
      <c r="EF93" s="35">
        <f>IF(N('Dvd Calendar'!$F$902)=0,"",IF(('Dvd Calendar'!$F$902&gt;=GRID_FROM)*('Dvd Calendar'!$F$902&lt;=GRID_TO)*('Dvd Calendar'!$F$902&lt;=VAL_DATE)=0,"",'Dvd Calendar'!$F$902*1000000000+ISNUMBER('Dvd Calendar'!$F$905)*100000000+('Dvd Calendar'!$F$907=SPECIAL_LBL)*10000000+0*1000000+82*1000+2))</f>
        <v/>
      </c>
      <c r="EG93" s="35">
        <f>IF(N('Dvd Calendar'!$G$902)=0,"",IF(('Dvd Calendar'!$G$902&gt;=GRID_FROM)*('Dvd Calendar'!$G$902&lt;=GRID_TO)*('Dvd Calendar'!$G$902&lt;=VAL_DATE)=0,"",'Dvd Calendar'!$G$902*1000000000+ISNUMBER('Dvd Calendar'!$G$905)*100000000+('Dvd Calendar'!$G$907=SPECIAL_LBL)*10000000+0*1000000+82*1000+3))</f>
        <v/>
      </c>
      <c r="EH93" s="35">
        <f>IF(N('Dvd Calendar'!$H$902)=0,"",IF(('Dvd Calendar'!$H$902&gt;=GRID_FROM)*('Dvd Calendar'!$H$902&lt;=GRID_TO)*('Dvd Calendar'!$H$902&lt;=VAL_DATE)=0,"",'Dvd Calendar'!$H$902*1000000000+ISNUMBER('Dvd Calendar'!$H$905)*100000000+('Dvd Calendar'!$H$907=SPECIAL_LBL)*10000000+0*1000000+82*1000+4))</f>
        <v/>
      </c>
      <c r="EI93" s="35">
        <f>IF(N('Dvd Calendar'!$I$902)=0,"",IF(('Dvd Calendar'!$I$902&gt;=GRID_FROM)*('Dvd Calendar'!$I$902&lt;=GRID_TO)*('Dvd Calendar'!$I$902&lt;=VAL_DATE)=0,"",'Dvd Calendar'!$I$902*1000000000+ISNUMBER('Dvd Calendar'!$I$905)*100000000+('Dvd Calendar'!$I$907=SPECIAL_LBL)*10000000+0*1000000+82*1000+5))</f>
        <v/>
      </c>
      <c r="EJ93" s="35">
        <f>IF(N('Dvd Calendar'!$J$902)=0,"",IF(('Dvd Calendar'!$J$902&gt;=GRID_FROM)*('Dvd Calendar'!$J$902&lt;=GRID_TO)*('Dvd Calendar'!$J$902&lt;=VAL_DATE)=0,"",'Dvd Calendar'!$J$902*1000000000+ISNUMBER('Dvd Calendar'!$J$905)*100000000+('Dvd Calendar'!$J$907=SPECIAL_LBL)*10000000+0*1000000+82*1000+6))</f>
        <v/>
      </c>
      <c r="EK93" s="35">
        <f>IF(N('Dvd Calendar'!$K$902)=0,"",IF(('Dvd Calendar'!$K$902&gt;=GRID_FROM)*('Dvd Calendar'!$K$902&lt;=GRID_TO)*('Dvd Calendar'!$K$902&lt;=VAL_DATE)=0,"",'Dvd Calendar'!$K$902*1000000000+ISNUMBER('Dvd Calendar'!$K$905)*100000000+('Dvd Calendar'!$K$907=SPECIAL_LBL)*10000000+0*1000000+82*1000+7))</f>
        <v/>
      </c>
      <c r="EL93" s="35">
        <f>IF(N('Dvd Calendar'!$L$902)=0,"",IF(('Dvd Calendar'!$L$902&gt;=GRID_FROM)*('Dvd Calendar'!$L$902&lt;=GRID_TO)*('Dvd Calendar'!$L$902&lt;=VAL_DATE)=0,"",'Dvd Calendar'!$L$902*1000000000+ISNUMBER('Dvd Calendar'!$L$905)*100000000+('Dvd Calendar'!$L$907=SPECIAL_LBL)*10000000+0*1000000+82*1000+8))</f>
        <v/>
      </c>
      <c r="EM93" s="35">
        <f>IF(N('Dvd Calendar'!$M$902)=0,"",IF(('Dvd Calendar'!$M$902&gt;=GRID_FROM)*('Dvd Calendar'!$M$902&lt;=GRID_TO)*('Dvd Calendar'!$M$902&lt;=VAL_DATE)=0,"",'Dvd Calendar'!$M$902*1000000000+ISNUMBER('Dvd Calendar'!$M$905)*100000000+('Dvd Calendar'!$M$907=SPECIAL_LBL)*10000000+0*1000000+82*1000+9))</f>
        <v/>
      </c>
      <c r="EN93" s="35">
        <f>IF(N('Dvd Calendar'!$N$902)=0,"",IF(('Dvd Calendar'!$N$902&gt;=GRID_FROM)*('Dvd Calendar'!$N$902&lt;=GRID_TO)*('Dvd Calendar'!$N$902&lt;=VAL_DATE)=0,"",'Dvd Calendar'!$N$902*1000000000+ISNUMBER('Dvd Calendar'!$N$905)*100000000+('Dvd Calendar'!$N$907=SPECIAL_LBL)*10000000+0*1000000+82*1000+10))</f>
        <v/>
      </c>
      <c r="EO93" s="35">
        <f>IF(N('Dvd Calendar'!$O$902)=0,"",IF(('Dvd Calendar'!$O$902&gt;=GRID_FROM)*('Dvd Calendar'!$O$902&lt;=GRID_TO)*('Dvd Calendar'!$O$902&lt;=VAL_DATE)=0,"",'Dvd Calendar'!$O$902*1000000000+ISNUMBER('Dvd Calendar'!$O$905)*100000000+('Dvd Calendar'!$O$907=SPECIAL_LBL)*10000000+0*1000000+82*1000+11))</f>
        <v/>
      </c>
      <c r="EP93" s="35">
        <f>IF(N('Dvd Calendar'!$P$902)=0,"",IF(('Dvd Calendar'!$P$902&gt;=GRID_FROM)*('Dvd Calendar'!$P$902&lt;=GRID_TO)*('Dvd Calendar'!$P$902&lt;=VAL_DATE)=0,"",'Dvd Calendar'!$P$902*1000000000+ISNUMBER('Dvd Calendar'!$P$905)*100000000+('Dvd Calendar'!$P$907=SPECIAL_LBL)*10000000+0*1000000+82*1000+12))</f>
        <v/>
      </c>
      <c r="EQ93" s="35">
        <f>IF(N('Dvd Calendar'!$Q$902)=0,"",IF(('Dvd Calendar'!$Q$902&gt;=GRID_FROM)*('Dvd Calendar'!$Q$902&lt;=GRID_TO)*('Dvd Calendar'!$Q$902&lt;=VAL_DATE)=0,"",'Dvd Calendar'!$Q$902*1000000000+ISNUMBER('Dvd Calendar'!$Q$905)*100000000+('Dvd Calendar'!$Q$907=SPECIAL_LBL)*10000000+0*1000000+82*1000+13))</f>
        <v/>
      </c>
      <c r="ER93" s="35">
        <f>IF(N('Dvd Calendar'!$R$902)=0,"",IF(('Dvd Calendar'!$R$902&gt;=GRID_FROM)*('Dvd Calendar'!$R$902&lt;=GRID_TO)*('Dvd Calendar'!$R$902&lt;=VAL_DATE)=0,"",'Dvd Calendar'!$R$902*1000000000+ISNUMBER('Dvd Calendar'!$R$905)*100000000+('Dvd Calendar'!$R$907=SPECIAL_LBL)*10000000+0*1000000+82*1000+14))</f>
        <v/>
      </c>
      <c r="ES93" s="35">
        <f>IF(N('Dvd Calendar'!$S$902)=0,"",IF(('Dvd Calendar'!$S$902&gt;=GRID_FROM)*('Dvd Calendar'!$S$902&lt;=GRID_TO)*('Dvd Calendar'!$S$902&lt;=VAL_DATE)=0,"",'Dvd Calendar'!$S$902*1000000000+ISNUMBER('Dvd Calendar'!$S$905)*100000000+('Dvd Calendar'!$S$907=SPECIAL_LBL)*10000000+0*1000000+82*1000+15))</f>
        <v/>
      </c>
      <c r="ET93" s="35">
        <f>IF(N('Dvd Calendar'!$T$902)=0,"",IF(('Dvd Calendar'!$T$902&gt;=GRID_FROM)*('Dvd Calendar'!$T$902&lt;=GRID_TO)*('Dvd Calendar'!$T$902&lt;=VAL_DATE)=0,"",'Dvd Calendar'!$T$902*1000000000+ISNUMBER('Dvd Calendar'!$T$905)*100000000+('Dvd Calendar'!$T$907=SPECIAL_LBL)*10000000+0*1000000+82*1000+16))</f>
        <v/>
      </c>
      <c r="EU93" s="35">
        <f>IF(N('Dvd Calendar'!$U$902)=0,"",IF(('Dvd Calendar'!$U$902&gt;=GRID_FROM)*('Dvd Calendar'!$U$902&lt;=GRID_TO)*('Dvd Calendar'!$U$902&lt;=VAL_DATE)=0,"",'Dvd Calendar'!$U$902*1000000000+ISNUMBER('Dvd Calendar'!$U$905)*100000000+('Dvd Calendar'!$U$907=SPECIAL_LBL)*10000000+0*1000000+82*1000+17))</f>
        <v/>
      </c>
      <c r="EV93" s="35">
        <f>IF(N('Dvd Calendar'!$V$902)=0,"",IF(('Dvd Calendar'!$V$902&gt;=GRID_FROM)*('Dvd Calendar'!$V$902&lt;=GRID_TO)*('Dvd Calendar'!$V$902&lt;=VAL_DATE)=0,"",'Dvd Calendar'!$V$902*1000000000+ISNUMBER('Dvd Calendar'!$V$905)*100000000+('Dvd Calendar'!$V$907=SPECIAL_LBL)*10000000+0*1000000+82*1000+18))</f>
        <v/>
      </c>
      <c r="EW93" s="35">
        <f>IF(N('Dvd Calendar'!$W$902)=0,"",IF(('Dvd Calendar'!$W$902&gt;=GRID_FROM)*('Dvd Calendar'!$W$902&lt;=GRID_TO)*('Dvd Calendar'!$W$902&lt;=VAL_DATE)=0,"",'Dvd Calendar'!$W$902*1000000000+ISNUMBER('Dvd Calendar'!$W$905)*100000000+('Dvd Calendar'!$W$907=SPECIAL_LBL)*10000000+0*1000000+82*1000+19))</f>
        <v/>
      </c>
      <c r="EX93" s="35">
        <f>IF(N('Dvd Calendar'!$X$902)=0,"",IF(('Dvd Calendar'!$X$902&gt;=GRID_FROM)*('Dvd Calendar'!$X$902&lt;=GRID_TO)*('Dvd Calendar'!$X$902&lt;=VAL_DATE)=0,"",'Dvd Calendar'!$X$902*1000000000+ISNUMBER('Dvd Calendar'!$X$905)*100000000+('Dvd Calendar'!$X$907=SPECIAL_LBL)*10000000+0*1000000+82*1000+20))</f>
        <v/>
      </c>
      <c r="EY93" s="35">
        <f>IF(N('Dvd Calendar'!$Y$902)=0,"",IF(('Dvd Calendar'!$Y$902&gt;=GRID_FROM)*('Dvd Calendar'!$Y$902&lt;=GRID_TO)*('Dvd Calendar'!$Y$902&lt;=VAL_DATE)=0,"",'Dvd Calendar'!$Y$902*1000000000+ISNUMBER('Dvd Calendar'!$Y$905)*100000000+('Dvd Calendar'!$Y$907=SPECIAL_LBL)*10000000+0*1000000+82*1000+21))</f>
        <v/>
      </c>
      <c r="EZ93" s="35">
        <f>IF(N('Dvd Calendar'!$Z$902)=0,"",IF(('Dvd Calendar'!$Z$902&gt;=GRID_FROM)*('Dvd Calendar'!$Z$902&lt;=GRID_TO)*('Dvd Calendar'!$Z$902&lt;=VAL_DATE)=0,"",'Dvd Calendar'!$Z$902*1000000000+ISNUMBER('Dvd Calendar'!$Z$905)*100000000+('Dvd Calendar'!$Z$907=SPECIAL_LBL)*10000000+0*1000000+82*1000+22))</f>
        <v/>
      </c>
      <c r="FA93" s="35">
        <f>IF(N('Dvd Calendar'!$AA$902)=0,"",IF(('Dvd Calendar'!$AA$902&gt;=GRID_FROM)*('Dvd Calendar'!$AA$902&lt;=GRID_TO)*('Dvd Calendar'!$AA$902&lt;=VAL_DATE)=0,"",'Dvd Calendar'!$AA$902*1000000000+ISNUMBER('Dvd Calendar'!$AA$905)*100000000+('Dvd Calendar'!$AA$907=SPECIAL_LBL)*10000000+0*1000000+82*1000+23))</f>
        <v/>
      </c>
      <c r="FB93" s="35">
        <f>IF(N('Dvd Calendar'!$AB$902)=0,"",IF(('Dvd Calendar'!$AB$902&gt;=GRID_FROM)*('Dvd Calendar'!$AB$902&lt;=GRID_TO)*('Dvd Calendar'!$AB$902&lt;=VAL_DATE)=0,"",'Dvd Calendar'!$AB$902*1000000000+ISNUMBER('Dvd Calendar'!$AB$905)*100000000+('Dvd Calendar'!$AB$907=SPECIAL_LBL)*10000000+0*1000000+82*1000+24))</f>
        <v/>
      </c>
      <c r="FC93" s="35">
        <f>IF(N('Dvd Calendar'!$AC$902)=0,"",IF(('Dvd Calendar'!$AC$902&gt;=GRID_FROM)*('Dvd Calendar'!$AC$902&lt;=GRID_TO)*('Dvd Calendar'!$AC$902&lt;=VAL_DATE)=0,"",'Dvd Calendar'!$AC$902*1000000000+ISNUMBER('Dvd Calendar'!$AC$905)*100000000+('Dvd Calendar'!$AC$907=SPECIAL_LBL)*10000000+0*1000000+82*1000+25))</f>
        <v/>
      </c>
      <c r="FD93" s="35">
        <f>IF(N('Dvd Calendar'!$AD$902)=0,"",IF(('Dvd Calendar'!$AD$902&gt;=GRID_FROM)*('Dvd Calendar'!$AD$902&lt;=GRID_TO)*('Dvd Calendar'!$AD$902&lt;=VAL_DATE)=0,"",'Dvd Calendar'!$AD$902*1000000000+ISNUMBER('Dvd Calendar'!$AD$905)*100000000+('Dvd Calendar'!$AD$907=SPECIAL_LBL)*10000000+0*1000000+82*1000+26))</f>
        <v/>
      </c>
      <c r="FE93" s="35">
        <f>IF(N('Dvd Calendar'!$AE$902)=0,"",IF(('Dvd Calendar'!$AE$902&gt;=GRID_FROM)*('Dvd Calendar'!$AE$902&lt;=GRID_TO)*('Dvd Calendar'!$AE$902&lt;=VAL_DATE)=0,"",'Dvd Calendar'!$AE$902*1000000000+ISNUMBER('Dvd Calendar'!$AE$905)*100000000+('Dvd Calendar'!$AE$907=SPECIAL_LBL)*10000000+0*1000000+82*1000+27))</f>
        <v/>
      </c>
      <c r="FF93" s="35">
        <f>IF(N('Dvd Calendar'!$AF$902)=0,"",IF(('Dvd Calendar'!$AF$902&gt;=GRID_FROM)*('Dvd Calendar'!$AF$902&lt;=GRID_TO)*('Dvd Calendar'!$AF$902&lt;=VAL_DATE)=0,"",'Dvd Calendar'!$AF$902*1000000000+ISNUMBER('Dvd Calendar'!$AF$905)*100000000+('Dvd Calendar'!$AF$907=SPECIAL_LBL)*10000000+0*1000000+82*1000+28))</f>
        <v/>
      </c>
      <c r="FG93" s="35">
        <f>IF(N('Dvd Calendar'!$AG$902)=0,"",IF(('Dvd Calendar'!$AG$902&gt;=GRID_FROM)*('Dvd Calendar'!$AG$902&lt;=GRID_TO)*('Dvd Calendar'!$AG$902&lt;=VAL_DATE)=0,"",'Dvd Calendar'!$AG$902*1000000000+ISNUMBER('Dvd Calendar'!$AG$905)*100000000+('Dvd Calendar'!$AG$907=SPECIAL_LBL)*10000000+0*1000000+82*1000+29))</f>
        <v/>
      </c>
      <c r="FH93" s="35">
        <f>IF(N('Dvd Calendar'!$AH$902)=0,"",IF(('Dvd Calendar'!$AH$902&gt;=GRID_FROM)*('Dvd Calendar'!$AH$902&lt;=GRID_TO)*('Dvd Calendar'!$AH$902&lt;=VAL_DATE)=0,"",'Dvd Calendar'!$AH$902*1000000000+ISNUMBER('Dvd Calendar'!$AH$905)*100000000+('Dvd Calendar'!$AH$907=SPECIAL_LBL)*10000000+0*1000000+82*1000+30))</f>
        <v/>
      </c>
      <c r="FI93" s="35">
        <f>IF(N('Dvd Calendar'!$AI$902)=0,"",IF(('Dvd Calendar'!$AI$902&gt;=GRID_FROM)*('Dvd Calendar'!$AI$902&lt;=GRID_TO)*('Dvd Calendar'!$AI$902&lt;=VAL_DATE)=0,"",'Dvd Calendar'!$AI$902*1000000000+ISNUMBER('Dvd Calendar'!$AI$905)*100000000+('Dvd Calendar'!$AI$907=SPECIAL_LBL)*10000000+0*1000000+82*1000+31))</f>
        <v/>
      </c>
      <c r="FJ93" s="35">
        <f>IF(N('Dvd Calendar'!$AJ$902)=0,"",IF(('Dvd Calendar'!$AJ$902&gt;=GRID_FROM)*('Dvd Calendar'!$AJ$902&lt;=GRID_TO)*('Dvd Calendar'!$AJ$902&lt;=VAL_DATE)=0,"",'Dvd Calendar'!$AJ$902*1000000000+ISNUMBER('Dvd Calendar'!$AJ$905)*100000000+('Dvd Calendar'!$AJ$907=SPECIAL_LBL)*10000000+0*1000000+82*1000+32))</f>
        <v/>
      </c>
      <c r="FK93" s="35">
        <f>IF(N('Dvd Calendar'!$AK$902)=0,"",IF(('Dvd Calendar'!$AK$902&gt;=GRID_FROM)*('Dvd Calendar'!$AK$902&lt;=GRID_TO)*('Dvd Calendar'!$AK$902&lt;=VAL_DATE)=0,"",'Dvd Calendar'!$AK$902*1000000000+ISNUMBER('Dvd Calendar'!$AK$905)*100000000+('Dvd Calendar'!$AK$907=SPECIAL_LBL)*10000000+0*1000000+82*1000+33))</f>
        <v/>
      </c>
      <c r="FL93" s="35">
        <f>IF(N('Dvd Calendar'!$AL$902)=0,"",IF(('Dvd Calendar'!$AL$902&gt;=GRID_FROM)*('Dvd Calendar'!$AL$902&lt;=GRID_TO)*('Dvd Calendar'!$AL$902&lt;=VAL_DATE)=0,"",'Dvd Calendar'!$AL$902*1000000000+ISNUMBER('Dvd Calendar'!$AL$905)*100000000+('Dvd Calendar'!$AL$907=SPECIAL_LBL)*10000000+0*1000000+82*1000+34))</f>
        <v/>
      </c>
      <c r="FM93" s="35">
        <f>IF(N('Dvd Calendar'!$AM$902)=0,"",IF(('Dvd Calendar'!$AM$902&gt;=GRID_FROM)*('Dvd Calendar'!$AM$902&lt;=GRID_TO)*('Dvd Calendar'!$AM$902&lt;=VAL_DATE)=0,"",'Dvd Calendar'!$AM$902*1000000000+ISNUMBER('Dvd Calendar'!$AM$905)*100000000+('Dvd Calendar'!$AM$907=SPECIAL_LBL)*10000000+0*1000000+82*1000+35))</f>
        <v/>
      </c>
      <c r="FN93" s="35">
        <f>IF(N('Dvd Calendar'!$AN$902)=0,"",IF(('Dvd Calendar'!$AN$902&gt;=GRID_FROM)*('Dvd Calendar'!$AN$902&lt;=GRID_TO)*('Dvd Calendar'!$AN$902&lt;=VAL_DATE)=0,"",'Dvd Calendar'!$AN$902*1000000000+ISNUMBER('Dvd Calendar'!$AN$905)*100000000+('Dvd Calendar'!$AN$907=SPECIAL_LBL)*10000000+0*1000000+82*1000+36))</f>
        <v/>
      </c>
      <c r="FO93" s="35">
        <f>IF(N('Dvd Calendar'!$AO$902)=0,"",IF(('Dvd Calendar'!$AO$902&gt;=GRID_FROM)*('Dvd Calendar'!$AO$902&lt;=GRID_TO)*('Dvd Calendar'!$AO$902&lt;=VAL_DATE)=0,"",'Dvd Calendar'!$AO$902*1000000000+ISNUMBER('Dvd Calendar'!$AO$905)*100000000+('Dvd Calendar'!$AO$907=SPECIAL_LBL)*10000000+0*1000000+82*1000+37))</f>
        <v/>
      </c>
      <c r="FP93" s="35">
        <f>IF(N('Dvd Calendar'!$AP$902)=0,"",IF(('Dvd Calendar'!$AP$902&gt;=GRID_FROM)*('Dvd Calendar'!$AP$902&lt;=GRID_TO)*('Dvd Calendar'!$AP$902&lt;=VAL_DATE)=0,"",'Dvd Calendar'!$AP$902*1000000000+ISNUMBER('Dvd Calendar'!$AP$905)*100000000+('Dvd Calendar'!$AP$907=SPECIAL_LBL)*10000000+0*1000000+82*1000+38))</f>
        <v/>
      </c>
      <c r="FQ93" s="35">
        <f>IF(N('Dvd Calendar'!$AQ$902)=0,"",IF(('Dvd Calendar'!$AQ$902&gt;=GRID_FROM)*('Dvd Calendar'!$AQ$902&lt;=GRID_TO)*('Dvd Calendar'!$AQ$902&lt;=VAL_DATE)=0,"",'Dvd Calendar'!$AQ$902*1000000000+ISNUMBER('Dvd Calendar'!$AQ$905)*100000000+('Dvd Calendar'!$AQ$907=SPECIAL_LBL)*10000000+0*1000000+82*1000+39))</f>
        <v/>
      </c>
      <c r="FR93" s="35">
        <f>IF(N('Dvd Calendar'!$AR$902)=0,"",IF(('Dvd Calendar'!$AR$902&gt;=GRID_FROM)*('Dvd Calendar'!$AR$902&lt;=GRID_TO)*('Dvd Calendar'!$AR$902&lt;=VAL_DATE)=0,"",'Dvd Calendar'!$AR$902*1000000000+ISNUMBER('Dvd Calendar'!$AR$905)*100000000+('Dvd Calendar'!$AR$907=SPECIAL_LBL)*10000000+0*1000000+82*1000+40))</f>
        <v/>
      </c>
      <c r="FS93" s="35">
        <f>IF(N('Dvd Calendar'!$E$909)=0,"",IF(('Dvd Calendar'!$E$909&gt;=GRID_FROM)*('Dvd Calendar'!$E$909&lt;=GRID_TO)*('Dvd Calendar'!$E$909&gt;VAL_DATE)=0,"",'Dvd Calendar'!$E$909*1000000000+ISNUMBER('Dvd Calendar'!$E$910)*100000000+0*10000000+(N('Dvd Calendar'!$E$908)&gt;0)*(N('Dvd Calendar'!$E$908)&lt;=VAL_SERIAL)*1000000+82*1000+41))</f>
        <v/>
      </c>
      <c r="FT93" s="35">
        <f>IF(N('Dvd Calendar'!$F$909)=0,"",IF(('Dvd Calendar'!$F$909&gt;=GRID_FROM)*('Dvd Calendar'!$F$909&lt;=GRID_TO)*('Dvd Calendar'!$F$909&gt;VAL_DATE)=0,"",'Dvd Calendar'!$F$909*1000000000+ISNUMBER('Dvd Calendar'!$F$910)*100000000+0*10000000+(N('Dvd Calendar'!$F$908)&gt;0)*(N('Dvd Calendar'!$F$908)&lt;=VAL_SERIAL)*1000000+82*1000+42))</f>
        <v/>
      </c>
      <c r="FU93" s="35">
        <f>IF(N('Dvd Calendar'!$G$909)=0,"",IF(('Dvd Calendar'!$G$909&gt;=GRID_FROM)*('Dvd Calendar'!$G$909&lt;=GRID_TO)*('Dvd Calendar'!$G$909&gt;VAL_DATE)=0,"",'Dvd Calendar'!$G$909*1000000000+ISNUMBER('Dvd Calendar'!$G$910)*100000000+0*10000000+(N('Dvd Calendar'!$G$908)&gt;0)*(N('Dvd Calendar'!$G$908)&lt;=VAL_SERIAL)*1000000+82*1000+43))</f>
        <v/>
      </c>
      <c r="FV93" s="35">
        <f>IF(N('Dvd Calendar'!$H$909)=0,"",IF(('Dvd Calendar'!$H$909&gt;=GRID_FROM)*('Dvd Calendar'!$H$909&lt;=GRID_TO)*('Dvd Calendar'!$H$909&gt;VAL_DATE)=0,"",'Dvd Calendar'!$H$909*1000000000+ISNUMBER('Dvd Calendar'!$H$910)*100000000+0*10000000+(N('Dvd Calendar'!$H$908)&gt;0)*(N('Dvd Calendar'!$H$908)&lt;=VAL_SERIAL)*1000000+82*1000+44))</f>
        <v/>
      </c>
      <c r="FW93" s="35">
        <f>IF(N('Dvd Calendar'!$I$909)=0,"",IF(('Dvd Calendar'!$I$909&gt;=GRID_FROM)*('Dvd Calendar'!$I$909&lt;=GRID_TO)*('Dvd Calendar'!$I$909&gt;VAL_DATE)=0,"",'Dvd Calendar'!$I$909*1000000000+ISNUMBER('Dvd Calendar'!$I$910)*100000000+0*10000000+(N('Dvd Calendar'!$I$908)&gt;0)*(N('Dvd Calendar'!$I$908)&lt;=VAL_SERIAL)*1000000+82*1000+45))</f>
        <v/>
      </c>
      <c r="FX93" s="35">
        <f>IF(N('Dvd Calendar'!$J$909)=0,"",IF(('Dvd Calendar'!$J$909&gt;=GRID_FROM)*('Dvd Calendar'!$J$909&lt;=GRID_TO)*('Dvd Calendar'!$J$909&gt;VAL_DATE)=0,"",'Dvd Calendar'!$J$909*1000000000+ISNUMBER('Dvd Calendar'!$J$910)*100000000+0*10000000+(N('Dvd Calendar'!$J$908)&gt;0)*(N('Dvd Calendar'!$J$908)&lt;=VAL_SERIAL)*1000000+82*1000+46))</f>
        <v/>
      </c>
      <c r="FY93" s="35">
        <f>IF(N('Dvd Calendar'!$K$909)=0,"",IF(('Dvd Calendar'!$K$909&gt;=GRID_FROM)*('Dvd Calendar'!$K$909&lt;=GRID_TO)*('Dvd Calendar'!$K$909&gt;VAL_DATE)=0,"",'Dvd Calendar'!$K$909*1000000000+ISNUMBER('Dvd Calendar'!$K$910)*100000000+0*10000000+(N('Dvd Calendar'!$K$908)&gt;0)*(N('Dvd Calendar'!$K$908)&lt;=VAL_SERIAL)*1000000+82*1000+47))</f>
        <v/>
      </c>
      <c r="FZ93" s="35">
        <f>IF(N('Dvd Calendar'!$L$909)=0,"",IF(('Dvd Calendar'!$L$909&gt;=GRID_FROM)*('Dvd Calendar'!$L$909&lt;=GRID_TO)*('Dvd Calendar'!$L$909&gt;VAL_DATE)=0,"",'Dvd Calendar'!$L$909*1000000000+ISNUMBER('Dvd Calendar'!$L$910)*100000000+0*10000000+(N('Dvd Calendar'!$L$908)&gt;0)*(N('Dvd Calendar'!$L$908)&lt;=VAL_SERIAL)*1000000+82*1000+48))</f>
        <v/>
      </c>
      <c r="GA93" s="35">
        <f>IF(N('Dvd Calendar'!$M$909)=0,"",IF(('Dvd Calendar'!$M$909&gt;=GRID_FROM)*('Dvd Calendar'!$M$909&lt;=GRID_TO)*('Dvd Calendar'!$M$909&gt;VAL_DATE)=0,"",'Dvd Calendar'!$M$909*1000000000+ISNUMBER('Dvd Calendar'!$M$910)*100000000+0*10000000+(N('Dvd Calendar'!$M$908)&gt;0)*(N('Dvd Calendar'!$M$908)&lt;=VAL_SERIAL)*1000000+82*1000+49))</f>
        <v/>
      </c>
      <c r="GB93" s="35">
        <f>IF(N('Dvd Calendar'!$N$909)=0,"",IF(('Dvd Calendar'!$N$909&gt;=GRID_FROM)*('Dvd Calendar'!$N$909&lt;=GRID_TO)*('Dvd Calendar'!$N$909&gt;VAL_DATE)=0,"",'Dvd Calendar'!$N$909*1000000000+ISNUMBER('Dvd Calendar'!$N$910)*100000000+0*10000000+(N('Dvd Calendar'!$N$908)&gt;0)*(N('Dvd Calendar'!$N$908)&lt;=VAL_SERIAL)*1000000+82*1000+50))</f>
        <v/>
      </c>
      <c r="GC93" s="35">
        <f>IF(N('Dvd Calendar'!$O$909)=0,"",IF(('Dvd Calendar'!$O$909&gt;=GRID_FROM)*('Dvd Calendar'!$O$909&lt;=GRID_TO)*('Dvd Calendar'!$O$909&gt;VAL_DATE)=0,"",'Dvd Calendar'!$O$909*1000000000+ISNUMBER('Dvd Calendar'!$O$910)*100000000+0*10000000+(N('Dvd Calendar'!$O$908)&gt;0)*(N('Dvd Calendar'!$O$908)&lt;=VAL_SERIAL)*1000000+82*1000+51))</f>
        <v/>
      </c>
      <c r="GD93" s="35">
        <f>IF(N('Dvd Calendar'!$P$909)=0,"",IF(('Dvd Calendar'!$P$909&gt;=GRID_FROM)*('Dvd Calendar'!$P$909&lt;=GRID_TO)*('Dvd Calendar'!$P$909&gt;VAL_DATE)=0,"",'Dvd Calendar'!$P$909*1000000000+ISNUMBER('Dvd Calendar'!$P$910)*100000000+0*10000000+(N('Dvd Calendar'!$P$908)&gt;0)*(N('Dvd Calendar'!$P$908)&lt;=VAL_SERIAL)*1000000+82*1000+52))</f>
        <v/>
      </c>
      <c r="GE93" s="35">
        <f>IF(N('Dvd Calendar'!$Q$909)=0,"",IF(('Dvd Calendar'!$Q$909&gt;=GRID_FROM)*('Dvd Calendar'!$Q$909&lt;=GRID_TO)*('Dvd Calendar'!$Q$909&gt;VAL_DATE)=0,"",'Dvd Calendar'!$Q$909*1000000000+ISNUMBER('Dvd Calendar'!$Q$910)*100000000+0*10000000+(N('Dvd Calendar'!$Q$908)&gt;0)*(N('Dvd Calendar'!$Q$908)&lt;=VAL_SERIAL)*1000000+82*1000+53))</f>
        <v/>
      </c>
      <c r="GF93" s="35">
        <f>IF(N('Dvd Calendar'!$R$909)=0,"",IF(('Dvd Calendar'!$R$909&gt;=GRID_FROM)*('Dvd Calendar'!$R$909&lt;=GRID_TO)*('Dvd Calendar'!$R$909&gt;VAL_DATE)=0,"",'Dvd Calendar'!$R$909*1000000000+ISNUMBER('Dvd Calendar'!$R$910)*100000000+0*10000000+(N('Dvd Calendar'!$R$908)&gt;0)*(N('Dvd Calendar'!$R$908)&lt;=VAL_SERIAL)*1000000+82*1000+54))</f>
        <v/>
      </c>
      <c r="GG93" s="35">
        <f>IF(N('Dvd Calendar'!$S$909)=0,"",IF(('Dvd Calendar'!$S$909&gt;=GRID_FROM)*('Dvd Calendar'!$S$909&lt;=GRID_TO)*('Dvd Calendar'!$S$909&gt;VAL_DATE)=0,"",'Dvd Calendar'!$S$909*1000000000+ISNUMBER('Dvd Calendar'!$S$910)*100000000+0*10000000+(N('Dvd Calendar'!$S$908)&gt;0)*(N('Dvd Calendar'!$S$908)&lt;=VAL_SERIAL)*1000000+82*1000+55))</f>
        <v/>
      </c>
      <c r="GH93" s="35">
        <f>IF(N('Dvd Calendar'!$T$909)=0,"",IF(('Dvd Calendar'!$T$909&gt;=GRID_FROM)*('Dvd Calendar'!$T$909&lt;=GRID_TO)*('Dvd Calendar'!$T$909&gt;VAL_DATE)=0,"",'Dvd Calendar'!$T$909*1000000000+ISNUMBER('Dvd Calendar'!$T$910)*100000000+0*10000000+(N('Dvd Calendar'!$T$908)&gt;0)*(N('Dvd Calendar'!$T$908)&lt;=VAL_SERIAL)*1000000+82*1000+56))</f>
        <v/>
      </c>
      <c r="GI93" s="35">
        <f>IF(N('Dvd Calendar'!$U$909)=0,"",IF(('Dvd Calendar'!$U$909&gt;=GRID_FROM)*('Dvd Calendar'!$U$909&lt;=GRID_TO)*('Dvd Calendar'!$U$909&gt;VAL_DATE)=0,"",'Dvd Calendar'!$U$909*1000000000+ISNUMBER('Dvd Calendar'!$U$910)*100000000+0*10000000+(N('Dvd Calendar'!$U$908)&gt;0)*(N('Dvd Calendar'!$U$908)&lt;=VAL_SERIAL)*1000000+82*1000+57))</f>
        <v/>
      </c>
      <c r="GJ93" s="35">
        <f>IF(N('Dvd Calendar'!$V$909)=0,"",IF(('Dvd Calendar'!$V$909&gt;=GRID_FROM)*('Dvd Calendar'!$V$909&lt;=GRID_TO)*('Dvd Calendar'!$V$909&gt;VAL_DATE)=0,"",'Dvd Calendar'!$V$909*1000000000+ISNUMBER('Dvd Calendar'!$V$910)*100000000+0*10000000+(N('Dvd Calendar'!$V$908)&gt;0)*(N('Dvd Calendar'!$V$908)&lt;=VAL_SERIAL)*1000000+82*1000+58))</f>
        <v/>
      </c>
      <c r="GK93" s="35">
        <f>IF(N('Dvd Calendar'!$W$909)=0,"",IF(('Dvd Calendar'!$W$909&gt;=GRID_FROM)*('Dvd Calendar'!$W$909&lt;=GRID_TO)*('Dvd Calendar'!$W$909&gt;VAL_DATE)=0,"",'Dvd Calendar'!$W$909*1000000000+ISNUMBER('Dvd Calendar'!$W$910)*100000000+0*10000000+(N('Dvd Calendar'!$W$908)&gt;0)*(N('Dvd Calendar'!$W$908)&lt;=VAL_SERIAL)*1000000+82*1000+59))</f>
        <v/>
      </c>
      <c r="GL93" s="35">
        <f>IF(N('Dvd Calendar'!$X$909)=0,"",IF(('Dvd Calendar'!$X$909&gt;=GRID_FROM)*('Dvd Calendar'!$X$909&lt;=GRID_TO)*('Dvd Calendar'!$X$909&gt;VAL_DATE)=0,"",'Dvd Calendar'!$X$909*1000000000+ISNUMBER('Dvd Calendar'!$X$910)*100000000+0*10000000+(N('Dvd Calendar'!$X$908)&gt;0)*(N('Dvd Calendar'!$X$908)&lt;=VAL_SERIAL)*1000000+82*1000+60))</f>
        <v/>
      </c>
      <c r="GM93" s="35">
        <f>IF(N('Dvd Calendar'!$Y$909)=0,"",IF(('Dvd Calendar'!$Y$909&gt;=GRID_FROM)*('Dvd Calendar'!$Y$909&lt;=GRID_TO)*('Dvd Calendar'!$Y$909&gt;VAL_DATE)=0,"",'Dvd Calendar'!$Y$909*1000000000+ISNUMBER('Dvd Calendar'!$Y$910)*100000000+0*10000000+(N('Dvd Calendar'!$Y$908)&gt;0)*(N('Dvd Calendar'!$Y$908)&lt;=VAL_SERIAL)*1000000+82*1000+61))</f>
        <v/>
      </c>
      <c r="GN93" s="35">
        <f>IF(N('Dvd Calendar'!$Z$909)=0,"",IF(('Dvd Calendar'!$Z$909&gt;=GRID_FROM)*('Dvd Calendar'!$Z$909&lt;=GRID_TO)*('Dvd Calendar'!$Z$909&gt;VAL_DATE)=0,"",'Dvd Calendar'!$Z$909*1000000000+ISNUMBER('Dvd Calendar'!$Z$910)*100000000+0*10000000+(N('Dvd Calendar'!$Z$908)&gt;0)*(N('Dvd Calendar'!$Z$908)&lt;=VAL_SERIAL)*1000000+82*1000+62))</f>
        <v/>
      </c>
      <c r="GO93" s="35">
        <f>IF(N('Dvd Calendar'!$AA$909)=0,"",IF(('Dvd Calendar'!$AA$909&gt;=GRID_FROM)*('Dvd Calendar'!$AA$909&lt;=GRID_TO)*('Dvd Calendar'!$AA$909&gt;VAL_DATE)=0,"",'Dvd Calendar'!$AA$909*1000000000+ISNUMBER('Dvd Calendar'!$AA$910)*100000000+0*10000000+(N('Dvd Calendar'!$AA$908)&gt;0)*(N('Dvd Calendar'!$AA$908)&lt;=VAL_SERIAL)*1000000+82*1000+63))</f>
        <v/>
      </c>
      <c r="GP93" s="35">
        <f>IF(N('Dvd Calendar'!$AB$909)=0,"",IF(('Dvd Calendar'!$AB$909&gt;=GRID_FROM)*('Dvd Calendar'!$AB$909&lt;=GRID_TO)*('Dvd Calendar'!$AB$909&gt;VAL_DATE)=0,"",'Dvd Calendar'!$AB$909*1000000000+ISNUMBER('Dvd Calendar'!$AB$910)*100000000+0*10000000+(N('Dvd Calendar'!$AB$908)&gt;0)*(N('Dvd Calendar'!$AB$908)&lt;=VAL_SERIAL)*1000000+82*1000+64))</f>
        <v/>
      </c>
      <c r="GQ93" s="35">
        <f>IF(N('Dvd Calendar'!$AC$909)=0,"",IF(('Dvd Calendar'!$AC$909&gt;=GRID_FROM)*('Dvd Calendar'!$AC$909&lt;=GRID_TO)*('Dvd Calendar'!$AC$909&gt;VAL_DATE)=0,"",'Dvd Calendar'!$AC$909*1000000000+ISNUMBER('Dvd Calendar'!$AC$910)*100000000+0*10000000+(N('Dvd Calendar'!$AC$908)&gt;0)*(N('Dvd Calendar'!$AC$908)&lt;=VAL_SERIAL)*1000000+82*1000+65))</f>
        <v/>
      </c>
    </row>
    <row r="94">
      <c r="B94" s="2">
        <f>IF(HSI!$C$89="","",HSI!$C$89)</f>
        <v/>
      </c>
      <c r="C94" s="106">
        <f>IF(EE94="","",IF(ISNUMBER('Dvd Calendar'!$E$916)=FALSE,"",IF((('Dvd Calendar'!$E$918=TYPE1)*(TYPE1&lt;&gt;"")+('Dvd Calendar'!$E$918=TYPE2)*(TYPE2&lt;&gt;"")+('Dvd Calendar'!$E$918=TYPE3)*(TYPE3&lt;&gt;"")+('Dvd Calendar'!$E$918=TYPE4)*(TYPE4&lt;&gt;"")+('Dvd Calendar'!$E$918=SPECIAL_LBL)*(INC_SPECIALS="Y"))=0,"",'Dvd Calendar'!$E$916)))</f>
        <v/>
      </c>
      <c r="D94" s="106">
        <f>IF(EF94="","",IF(ISNUMBER('Dvd Calendar'!$F$916)=FALSE,"",IF((('Dvd Calendar'!$F$918=TYPE1)*(TYPE1&lt;&gt;"")+('Dvd Calendar'!$F$918=TYPE2)*(TYPE2&lt;&gt;"")+('Dvd Calendar'!$F$918=TYPE3)*(TYPE3&lt;&gt;"")+('Dvd Calendar'!$F$918=TYPE4)*(TYPE4&lt;&gt;"")+('Dvd Calendar'!$F$918=SPECIAL_LBL)*(INC_SPECIALS="Y"))=0,"",'Dvd Calendar'!$F$916)))</f>
        <v/>
      </c>
      <c r="E94" s="106">
        <f>IF(EG94="","",IF(ISNUMBER('Dvd Calendar'!$G$916)=FALSE,"",IF((('Dvd Calendar'!$G$918=TYPE1)*(TYPE1&lt;&gt;"")+('Dvd Calendar'!$G$918=TYPE2)*(TYPE2&lt;&gt;"")+('Dvd Calendar'!$G$918=TYPE3)*(TYPE3&lt;&gt;"")+('Dvd Calendar'!$G$918=TYPE4)*(TYPE4&lt;&gt;"")+('Dvd Calendar'!$G$918=SPECIAL_LBL)*(INC_SPECIALS="Y"))=0,"",'Dvd Calendar'!$G$916)))</f>
        <v/>
      </c>
      <c r="F94" s="106">
        <f>IF(EH94="","",IF(ISNUMBER('Dvd Calendar'!$H$916)=FALSE,"",IF((('Dvd Calendar'!$H$918=TYPE1)*(TYPE1&lt;&gt;"")+('Dvd Calendar'!$H$918=TYPE2)*(TYPE2&lt;&gt;"")+('Dvd Calendar'!$H$918=TYPE3)*(TYPE3&lt;&gt;"")+('Dvd Calendar'!$H$918=TYPE4)*(TYPE4&lt;&gt;"")+('Dvd Calendar'!$H$918=SPECIAL_LBL)*(INC_SPECIALS="Y"))=0,"",'Dvd Calendar'!$H$916)))</f>
        <v/>
      </c>
      <c r="G94" s="106">
        <f>IF(EI94="","",IF(ISNUMBER('Dvd Calendar'!$I$916)=FALSE,"",IF((('Dvd Calendar'!$I$918=TYPE1)*(TYPE1&lt;&gt;"")+('Dvd Calendar'!$I$918=TYPE2)*(TYPE2&lt;&gt;"")+('Dvd Calendar'!$I$918=TYPE3)*(TYPE3&lt;&gt;"")+('Dvd Calendar'!$I$918=TYPE4)*(TYPE4&lt;&gt;"")+('Dvd Calendar'!$I$918=SPECIAL_LBL)*(INC_SPECIALS="Y"))=0,"",'Dvd Calendar'!$I$916)))</f>
        <v/>
      </c>
      <c r="H94" s="106">
        <f>IF(EJ94="","",IF(ISNUMBER('Dvd Calendar'!$J$916)=FALSE,"",IF((('Dvd Calendar'!$J$918=TYPE1)*(TYPE1&lt;&gt;"")+('Dvd Calendar'!$J$918=TYPE2)*(TYPE2&lt;&gt;"")+('Dvd Calendar'!$J$918=TYPE3)*(TYPE3&lt;&gt;"")+('Dvd Calendar'!$J$918=TYPE4)*(TYPE4&lt;&gt;"")+('Dvd Calendar'!$J$918=SPECIAL_LBL)*(INC_SPECIALS="Y"))=0,"",'Dvd Calendar'!$J$916)))</f>
        <v/>
      </c>
      <c r="I94" s="106">
        <f>IF(EK94="","",IF(ISNUMBER('Dvd Calendar'!$K$916)=FALSE,"",IF((('Dvd Calendar'!$K$918=TYPE1)*(TYPE1&lt;&gt;"")+('Dvd Calendar'!$K$918=TYPE2)*(TYPE2&lt;&gt;"")+('Dvd Calendar'!$K$918=TYPE3)*(TYPE3&lt;&gt;"")+('Dvd Calendar'!$K$918=TYPE4)*(TYPE4&lt;&gt;"")+('Dvd Calendar'!$K$918=SPECIAL_LBL)*(INC_SPECIALS="Y"))=0,"",'Dvd Calendar'!$K$916)))</f>
        <v/>
      </c>
      <c r="J94" s="106">
        <f>IF(EL94="","",IF(ISNUMBER('Dvd Calendar'!$L$916)=FALSE,"",IF((('Dvd Calendar'!$L$918=TYPE1)*(TYPE1&lt;&gt;"")+('Dvd Calendar'!$L$918=TYPE2)*(TYPE2&lt;&gt;"")+('Dvd Calendar'!$L$918=TYPE3)*(TYPE3&lt;&gt;"")+('Dvd Calendar'!$L$918=TYPE4)*(TYPE4&lt;&gt;"")+('Dvd Calendar'!$L$918=SPECIAL_LBL)*(INC_SPECIALS="Y"))=0,"",'Dvd Calendar'!$L$916)))</f>
        <v/>
      </c>
      <c r="K94" s="106">
        <f>IF(EM94="","",IF(ISNUMBER('Dvd Calendar'!$M$916)=FALSE,"",IF((('Dvd Calendar'!$M$918=TYPE1)*(TYPE1&lt;&gt;"")+('Dvd Calendar'!$M$918=TYPE2)*(TYPE2&lt;&gt;"")+('Dvd Calendar'!$M$918=TYPE3)*(TYPE3&lt;&gt;"")+('Dvd Calendar'!$M$918=TYPE4)*(TYPE4&lt;&gt;"")+('Dvd Calendar'!$M$918=SPECIAL_LBL)*(INC_SPECIALS="Y"))=0,"",'Dvd Calendar'!$M$916)))</f>
        <v/>
      </c>
      <c r="L94" s="106">
        <f>IF(EN94="","",IF(ISNUMBER('Dvd Calendar'!$N$916)=FALSE,"",IF((('Dvd Calendar'!$N$918=TYPE1)*(TYPE1&lt;&gt;"")+('Dvd Calendar'!$N$918=TYPE2)*(TYPE2&lt;&gt;"")+('Dvd Calendar'!$N$918=TYPE3)*(TYPE3&lt;&gt;"")+('Dvd Calendar'!$N$918=TYPE4)*(TYPE4&lt;&gt;"")+('Dvd Calendar'!$N$918=SPECIAL_LBL)*(INC_SPECIALS="Y"))=0,"",'Dvd Calendar'!$N$916)))</f>
        <v/>
      </c>
      <c r="M94" s="106">
        <f>IF(EO94="","",IF(ISNUMBER('Dvd Calendar'!$O$916)=FALSE,"",IF((('Dvd Calendar'!$O$918=TYPE1)*(TYPE1&lt;&gt;"")+('Dvd Calendar'!$O$918=TYPE2)*(TYPE2&lt;&gt;"")+('Dvd Calendar'!$O$918=TYPE3)*(TYPE3&lt;&gt;"")+('Dvd Calendar'!$O$918=TYPE4)*(TYPE4&lt;&gt;"")+('Dvd Calendar'!$O$918=SPECIAL_LBL)*(INC_SPECIALS="Y"))=0,"",'Dvd Calendar'!$O$916)))</f>
        <v/>
      </c>
      <c r="N94" s="106">
        <f>IF(EP94="","",IF(ISNUMBER('Dvd Calendar'!$P$916)=FALSE,"",IF((('Dvd Calendar'!$P$918=TYPE1)*(TYPE1&lt;&gt;"")+('Dvd Calendar'!$P$918=TYPE2)*(TYPE2&lt;&gt;"")+('Dvd Calendar'!$P$918=TYPE3)*(TYPE3&lt;&gt;"")+('Dvd Calendar'!$P$918=TYPE4)*(TYPE4&lt;&gt;"")+('Dvd Calendar'!$P$918=SPECIAL_LBL)*(INC_SPECIALS="Y"))=0,"",'Dvd Calendar'!$P$916)))</f>
        <v/>
      </c>
      <c r="O94" s="106">
        <f>IF(EQ94="","",IF(ISNUMBER('Dvd Calendar'!$Q$916)=FALSE,"",IF((('Dvd Calendar'!$Q$918=TYPE1)*(TYPE1&lt;&gt;"")+('Dvd Calendar'!$Q$918=TYPE2)*(TYPE2&lt;&gt;"")+('Dvd Calendar'!$Q$918=TYPE3)*(TYPE3&lt;&gt;"")+('Dvd Calendar'!$Q$918=TYPE4)*(TYPE4&lt;&gt;"")+('Dvd Calendar'!$Q$918=SPECIAL_LBL)*(INC_SPECIALS="Y"))=0,"",'Dvd Calendar'!$Q$916)))</f>
        <v/>
      </c>
      <c r="P94" s="106">
        <f>IF(ER94="","",IF(ISNUMBER('Dvd Calendar'!$R$916)=FALSE,"",IF((('Dvd Calendar'!$R$918=TYPE1)*(TYPE1&lt;&gt;"")+('Dvd Calendar'!$R$918=TYPE2)*(TYPE2&lt;&gt;"")+('Dvd Calendar'!$R$918=TYPE3)*(TYPE3&lt;&gt;"")+('Dvd Calendar'!$R$918=TYPE4)*(TYPE4&lt;&gt;"")+('Dvd Calendar'!$R$918=SPECIAL_LBL)*(INC_SPECIALS="Y"))=0,"",'Dvd Calendar'!$R$916)))</f>
        <v/>
      </c>
      <c r="Q94" s="106">
        <f>IF(ES94="","",IF(ISNUMBER('Dvd Calendar'!$S$916)=FALSE,"",IF((('Dvd Calendar'!$S$918=TYPE1)*(TYPE1&lt;&gt;"")+('Dvd Calendar'!$S$918=TYPE2)*(TYPE2&lt;&gt;"")+('Dvd Calendar'!$S$918=TYPE3)*(TYPE3&lt;&gt;"")+('Dvd Calendar'!$S$918=TYPE4)*(TYPE4&lt;&gt;"")+('Dvd Calendar'!$S$918=SPECIAL_LBL)*(INC_SPECIALS="Y"))=0,"",'Dvd Calendar'!$S$916)))</f>
        <v/>
      </c>
      <c r="R94" s="106">
        <f>IF(ET94="","",IF(ISNUMBER('Dvd Calendar'!$T$916)=FALSE,"",IF((('Dvd Calendar'!$T$918=TYPE1)*(TYPE1&lt;&gt;"")+('Dvd Calendar'!$T$918=TYPE2)*(TYPE2&lt;&gt;"")+('Dvd Calendar'!$T$918=TYPE3)*(TYPE3&lt;&gt;"")+('Dvd Calendar'!$T$918=TYPE4)*(TYPE4&lt;&gt;"")+('Dvd Calendar'!$T$918=SPECIAL_LBL)*(INC_SPECIALS="Y"))=0,"",'Dvd Calendar'!$T$916)))</f>
        <v/>
      </c>
      <c r="S94" s="106">
        <f>IF(EU94="","",IF(ISNUMBER('Dvd Calendar'!$U$916)=FALSE,"",IF((('Dvd Calendar'!$U$918=TYPE1)*(TYPE1&lt;&gt;"")+('Dvd Calendar'!$U$918=TYPE2)*(TYPE2&lt;&gt;"")+('Dvd Calendar'!$U$918=TYPE3)*(TYPE3&lt;&gt;"")+('Dvd Calendar'!$U$918=TYPE4)*(TYPE4&lt;&gt;"")+('Dvd Calendar'!$U$918=SPECIAL_LBL)*(INC_SPECIALS="Y"))=0,"",'Dvd Calendar'!$U$916)))</f>
        <v/>
      </c>
      <c r="T94" s="106">
        <f>IF(EV94="","",IF(ISNUMBER('Dvd Calendar'!$V$916)=FALSE,"",IF((('Dvd Calendar'!$V$918=TYPE1)*(TYPE1&lt;&gt;"")+('Dvd Calendar'!$V$918=TYPE2)*(TYPE2&lt;&gt;"")+('Dvd Calendar'!$V$918=TYPE3)*(TYPE3&lt;&gt;"")+('Dvd Calendar'!$V$918=TYPE4)*(TYPE4&lt;&gt;"")+('Dvd Calendar'!$V$918=SPECIAL_LBL)*(INC_SPECIALS="Y"))=0,"",'Dvd Calendar'!$V$916)))</f>
        <v/>
      </c>
      <c r="U94" s="106">
        <f>IF(EW94="","",IF(ISNUMBER('Dvd Calendar'!$W$916)=FALSE,"",IF((('Dvd Calendar'!$W$918=TYPE1)*(TYPE1&lt;&gt;"")+('Dvd Calendar'!$W$918=TYPE2)*(TYPE2&lt;&gt;"")+('Dvd Calendar'!$W$918=TYPE3)*(TYPE3&lt;&gt;"")+('Dvd Calendar'!$W$918=TYPE4)*(TYPE4&lt;&gt;"")+('Dvd Calendar'!$W$918=SPECIAL_LBL)*(INC_SPECIALS="Y"))=0,"",'Dvd Calendar'!$W$916)))</f>
        <v/>
      </c>
      <c r="V94" s="106">
        <f>IF(EX94="","",IF(ISNUMBER('Dvd Calendar'!$X$916)=FALSE,"",IF((('Dvd Calendar'!$X$918=TYPE1)*(TYPE1&lt;&gt;"")+('Dvd Calendar'!$X$918=TYPE2)*(TYPE2&lt;&gt;"")+('Dvd Calendar'!$X$918=TYPE3)*(TYPE3&lt;&gt;"")+('Dvd Calendar'!$X$918=TYPE4)*(TYPE4&lt;&gt;"")+('Dvd Calendar'!$X$918=SPECIAL_LBL)*(INC_SPECIALS="Y"))=0,"",'Dvd Calendar'!$X$916)))</f>
        <v/>
      </c>
      <c r="W94" s="106">
        <f>IF(EY94="","",IF(ISNUMBER('Dvd Calendar'!$Y$916)=FALSE,"",IF((('Dvd Calendar'!$Y$918=TYPE1)*(TYPE1&lt;&gt;"")+('Dvd Calendar'!$Y$918=TYPE2)*(TYPE2&lt;&gt;"")+('Dvd Calendar'!$Y$918=TYPE3)*(TYPE3&lt;&gt;"")+('Dvd Calendar'!$Y$918=TYPE4)*(TYPE4&lt;&gt;"")+('Dvd Calendar'!$Y$918=SPECIAL_LBL)*(INC_SPECIALS="Y"))=0,"",'Dvd Calendar'!$Y$916)))</f>
        <v/>
      </c>
      <c r="X94" s="106">
        <f>IF(EZ94="","",IF(ISNUMBER('Dvd Calendar'!$Z$916)=FALSE,"",IF((('Dvd Calendar'!$Z$918=TYPE1)*(TYPE1&lt;&gt;"")+('Dvd Calendar'!$Z$918=TYPE2)*(TYPE2&lt;&gt;"")+('Dvd Calendar'!$Z$918=TYPE3)*(TYPE3&lt;&gt;"")+('Dvd Calendar'!$Z$918=TYPE4)*(TYPE4&lt;&gt;"")+('Dvd Calendar'!$Z$918=SPECIAL_LBL)*(INC_SPECIALS="Y"))=0,"",'Dvd Calendar'!$Z$916)))</f>
        <v/>
      </c>
      <c r="Y94" s="106">
        <f>IF(FA94="","",IF(ISNUMBER('Dvd Calendar'!$AA$916)=FALSE,"",IF((('Dvd Calendar'!$AA$918=TYPE1)*(TYPE1&lt;&gt;"")+('Dvd Calendar'!$AA$918=TYPE2)*(TYPE2&lt;&gt;"")+('Dvd Calendar'!$AA$918=TYPE3)*(TYPE3&lt;&gt;"")+('Dvd Calendar'!$AA$918=TYPE4)*(TYPE4&lt;&gt;"")+('Dvd Calendar'!$AA$918=SPECIAL_LBL)*(INC_SPECIALS="Y"))=0,"",'Dvd Calendar'!$AA$916)))</f>
        <v/>
      </c>
      <c r="Z94" s="106">
        <f>IF(FB94="","",IF(ISNUMBER('Dvd Calendar'!$AB$916)=FALSE,"",IF((('Dvd Calendar'!$AB$918=TYPE1)*(TYPE1&lt;&gt;"")+('Dvd Calendar'!$AB$918=TYPE2)*(TYPE2&lt;&gt;"")+('Dvd Calendar'!$AB$918=TYPE3)*(TYPE3&lt;&gt;"")+('Dvd Calendar'!$AB$918=TYPE4)*(TYPE4&lt;&gt;"")+('Dvd Calendar'!$AB$918=SPECIAL_LBL)*(INC_SPECIALS="Y"))=0,"",'Dvd Calendar'!$AB$916)))</f>
        <v/>
      </c>
      <c r="AA94" s="106">
        <f>IF(FC94="","",IF(ISNUMBER('Dvd Calendar'!$AC$916)=FALSE,"",IF((('Dvd Calendar'!$AC$918=TYPE1)*(TYPE1&lt;&gt;"")+('Dvd Calendar'!$AC$918=TYPE2)*(TYPE2&lt;&gt;"")+('Dvd Calendar'!$AC$918=TYPE3)*(TYPE3&lt;&gt;"")+('Dvd Calendar'!$AC$918=TYPE4)*(TYPE4&lt;&gt;"")+('Dvd Calendar'!$AC$918=SPECIAL_LBL)*(INC_SPECIALS="Y"))=0,"",'Dvd Calendar'!$AC$916)))</f>
        <v/>
      </c>
      <c r="AB94" s="106">
        <f>IF(FD94="","",IF(ISNUMBER('Dvd Calendar'!$AD$916)=FALSE,"",IF((('Dvd Calendar'!$AD$918=TYPE1)*(TYPE1&lt;&gt;"")+('Dvd Calendar'!$AD$918=TYPE2)*(TYPE2&lt;&gt;"")+('Dvd Calendar'!$AD$918=TYPE3)*(TYPE3&lt;&gt;"")+('Dvd Calendar'!$AD$918=TYPE4)*(TYPE4&lt;&gt;"")+('Dvd Calendar'!$AD$918=SPECIAL_LBL)*(INC_SPECIALS="Y"))=0,"",'Dvd Calendar'!$AD$916)))</f>
        <v/>
      </c>
      <c r="AC94" s="106">
        <f>IF(FE94="","",IF(ISNUMBER('Dvd Calendar'!$AE$916)=FALSE,"",IF((('Dvd Calendar'!$AE$918=TYPE1)*(TYPE1&lt;&gt;"")+('Dvd Calendar'!$AE$918=TYPE2)*(TYPE2&lt;&gt;"")+('Dvd Calendar'!$AE$918=TYPE3)*(TYPE3&lt;&gt;"")+('Dvd Calendar'!$AE$918=TYPE4)*(TYPE4&lt;&gt;"")+('Dvd Calendar'!$AE$918=SPECIAL_LBL)*(INC_SPECIALS="Y"))=0,"",'Dvd Calendar'!$AE$916)))</f>
        <v/>
      </c>
      <c r="AD94" s="106">
        <f>IF(FF94="","",IF(ISNUMBER('Dvd Calendar'!$AF$916)=FALSE,"",IF((('Dvd Calendar'!$AF$918=TYPE1)*(TYPE1&lt;&gt;"")+('Dvd Calendar'!$AF$918=TYPE2)*(TYPE2&lt;&gt;"")+('Dvd Calendar'!$AF$918=TYPE3)*(TYPE3&lt;&gt;"")+('Dvd Calendar'!$AF$918=TYPE4)*(TYPE4&lt;&gt;"")+('Dvd Calendar'!$AF$918=SPECIAL_LBL)*(INC_SPECIALS="Y"))=0,"",'Dvd Calendar'!$AF$916)))</f>
        <v/>
      </c>
      <c r="AE94" s="106">
        <f>IF(FG94="","",IF(ISNUMBER('Dvd Calendar'!$AG$916)=FALSE,"",IF((('Dvd Calendar'!$AG$918=TYPE1)*(TYPE1&lt;&gt;"")+('Dvd Calendar'!$AG$918=TYPE2)*(TYPE2&lt;&gt;"")+('Dvd Calendar'!$AG$918=TYPE3)*(TYPE3&lt;&gt;"")+('Dvd Calendar'!$AG$918=TYPE4)*(TYPE4&lt;&gt;"")+('Dvd Calendar'!$AG$918=SPECIAL_LBL)*(INC_SPECIALS="Y"))=0,"",'Dvd Calendar'!$AG$916)))</f>
        <v/>
      </c>
      <c r="AF94" s="106">
        <f>IF(FH94="","",IF(ISNUMBER('Dvd Calendar'!$AH$916)=FALSE,"",IF((('Dvd Calendar'!$AH$918=TYPE1)*(TYPE1&lt;&gt;"")+('Dvd Calendar'!$AH$918=TYPE2)*(TYPE2&lt;&gt;"")+('Dvd Calendar'!$AH$918=TYPE3)*(TYPE3&lt;&gt;"")+('Dvd Calendar'!$AH$918=TYPE4)*(TYPE4&lt;&gt;"")+('Dvd Calendar'!$AH$918=SPECIAL_LBL)*(INC_SPECIALS="Y"))=0,"",'Dvd Calendar'!$AH$916)))</f>
        <v/>
      </c>
      <c r="AG94" s="106">
        <f>IF(FI94="","",IF(ISNUMBER('Dvd Calendar'!$AI$916)=FALSE,"",IF((('Dvd Calendar'!$AI$918=TYPE1)*(TYPE1&lt;&gt;"")+('Dvd Calendar'!$AI$918=TYPE2)*(TYPE2&lt;&gt;"")+('Dvd Calendar'!$AI$918=TYPE3)*(TYPE3&lt;&gt;"")+('Dvd Calendar'!$AI$918=TYPE4)*(TYPE4&lt;&gt;"")+('Dvd Calendar'!$AI$918=SPECIAL_LBL)*(INC_SPECIALS="Y"))=0,"",'Dvd Calendar'!$AI$916)))</f>
        <v/>
      </c>
      <c r="AH94" s="106">
        <f>IF(FJ94="","",IF(ISNUMBER('Dvd Calendar'!$AJ$916)=FALSE,"",IF((('Dvd Calendar'!$AJ$918=TYPE1)*(TYPE1&lt;&gt;"")+('Dvd Calendar'!$AJ$918=TYPE2)*(TYPE2&lt;&gt;"")+('Dvd Calendar'!$AJ$918=TYPE3)*(TYPE3&lt;&gt;"")+('Dvd Calendar'!$AJ$918=TYPE4)*(TYPE4&lt;&gt;"")+('Dvd Calendar'!$AJ$918=SPECIAL_LBL)*(INC_SPECIALS="Y"))=0,"",'Dvd Calendar'!$AJ$916)))</f>
        <v/>
      </c>
      <c r="AI94" s="106">
        <f>IF(FK94="","",IF(ISNUMBER('Dvd Calendar'!$AK$916)=FALSE,"",IF((('Dvd Calendar'!$AK$918=TYPE1)*(TYPE1&lt;&gt;"")+('Dvd Calendar'!$AK$918=TYPE2)*(TYPE2&lt;&gt;"")+('Dvd Calendar'!$AK$918=TYPE3)*(TYPE3&lt;&gt;"")+('Dvd Calendar'!$AK$918=TYPE4)*(TYPE4&lt;&gt;"")+('Dvd Calendar'!$AK$918=SPECIAL_LBL)*(INC_SPECIALS="Y"))=0,"",'Dvd Calendar'!$AK$916)))</f>
        <v/>
      </c>
      <c r="AJ94" s="106">
        <f>IF(FL94="","",IF(ISNUMBER('Dvd Calendar'!$AL$916)=FALSE,"",IF((('Dvd Calendar'!$AL$918=TYPE1)*(TYPE1&lt;&gt;"")+('Dvd Calendar'!$AL$918=TYPE2)*(TYPE2&lt;&gt;"")+('Dvd Calendar'!$AL$918=TYPE3)*(TYPE3&lt;&gt;"")+('Dvd Calendar'!$AL$918=TYPE4)*(TYPE4&lt;&gt;"")+('Dvd Calendar'!$AL$918=SPECIAL_LBL)*(INC_SPECIALS="Y"))=0,"",'Dvd Calendar'!$AL$916)))</f>
        <v/>
      </c>
      <c r="AK94" s="106">
        <f>IF(FM94="","",IF(ISNUMBER('Dvd Calendar'!$AM$916)=FALSE,"",IF((('Dvd Calendar'!$AM$918=TYPE1)*(TYPE1&lt;&gt;"")+('Dvd Calendar'!$AM$918=TYPE2)*(TYPE2&lt;&gt;"")+('Dvd Calendar'!$AM$918=TYPE3)*(TYPE3&lt;&gt;"")+('Dvd Calendar'!$AM$918=TYPE4)*(TYPE4&lt;&gt;"")+('Dvd Calendar'!$AM$918=SPECIAL_LBL)*(INC_SPECIALS="Y"))=0,"",'Dvd Calendar'!$AM$916)))</f>
        <v/>
      </c>
      <c r="AL94" s="106">
        <f>IF(FN94="","",IF(ISNUMBER('Dvd Calendar'!$AN$916)=FALSE,"",IF((('Dvd Calendar'!$AN$918=TYPE1)*(TYPE1&lt;&gt;"")+('Dvd Calendar'!$AN$918=TYPE2)*(TYPE2&lt;&gt;"")+('Dvd Calendar'!$AN$918=TYPE3)*(TYPE3&lt;&gt;"")+('Dvd Calendar'!$AN$918=TYPE4)*(TYPE4&lt;&gt;"")+('Dvd Calendar'!$AN$918=SPECIAL_LBL)*(INC_SPECIALS="Y"))=0,"",'Dvd Calendar'!$AN$916)))</f>
        <v/>
      </c>
      <c r="AM94" s="106">
        <f>IF(FO94="","",IF(ISNUMBER('Dvd Calendar'!$AO$916)=FALSE,"",IF((('Dvd Calendar'!$AO$918=TYPE1)*(TYPE1&lt;&gt;"")+('Dvd Calendar'!$AO$918=TYPE2)*(TYPE2&lt;&gt;"")+('Dvd Calendar'!$AO$918=TYPE3)*(TYPE3&lt;&gt;"")+('Dvd Calendar'!$AO$918=TYPE4)*(TYPE4&lt;&gt;"")+('Dvd Calendar'!$AO$918=SPECIAL_LBL)*(INC_SPECIALS="Y"))=0,"",'Dvd Calendar'!$AO$916)))</f>
        <v/>
      </c>
      <c r="AN94" s="106">
        <f>IF(FP94="","",IF(ISNUMBER('Dvd Calendar'!$AP$916)=FALSE,"",IF((('Dvd Calendar'!$AP$918=TYPE1)*(TYPE1&lt;&gt;"")+('Dvd Calendar'!$AP$918=TYPE2)*(TYPE2&lt;&gt;"")+('Dvd Calendar'!$AP$918=TYPE3)*(TYPE3&lt;&gt;"")+('Dvd Calendar'!$AP$918=TYPE4)*(TYPE4&lt;&gt;"")+('Dvd Calendar'!$AP$918=SPECIAL_LBL)*(INC_SPECIALS="Y"))=0,"",'Dvd Calendar'!$AP$916)))</f>
        <v/>
      </c>
      <c r="AO94" s="106">
        <f>IF(FQ94="","",IF(ISNUMBER('Dvd Calendar'!$AQ$916)=FALSE,"",IF((('Dvd Calendar'!$AQ$918=TYPE1)*(TYPE1&lt;&gt;"")+('Dvd Calendar'!$AQ$918=TYPE2)*(TYPE2&lt;&gt;"")+('Dvd Calendar'!$AQ$918=TYPE3)*(TYPE3&lt;&gt;"")+('Dvd Calendar'!$AQ$918=TYPE4)*(TYPE4&lt;&gt;"")+('Dvd Calendar'!$AQ$918=SPECIAL_LBL)*(INC_SPECIALS="Y"))=0,"",'Dvd Calendar'!$AQ$916)))</f>
        <v/>
      </c>
      <c r="AP94" s="106">
        <f>IF(FR94="","",IF(ISNUMBER('Dvd Calendar'!$AR$916)=FALSE,"",IF((('Dvd Calendar'!$AR$918=TYPE1)*(TYPE1&lt;&gt;"")+('Dvd Calendar'!$AR$918=TYPE2)*(TYPE2&lt;&gt;"")+('Dvd Calendar'!$AR$918=TYPE3)*(TYPE3&lt;&gt;"")+('Dvd Calendar'!$AR$918=TYPE4)*(TYPE4&lt;&gt;"")+('Dvd Calendar'!$AR$918=SPECIAL_LBL)*(INC_SPECIALS="Y"))=0,"",'Dvd Calendar'!$AR$916)))</f>
        <v/>
      </c>
      <c r="AQ94" s="106">
        <f>IF(FS94="","",IF(ISNUMBER('Dvd Calendar'!$E$921)=FALSE,"",'Dvd Calendar'!$E$921))</f>
        <v/>
      </c>
      <c r="AR94" s="106">
        <f>IF(FT94="","",IF(ISNUMBER('Dvd Calendar'!$F$921)=FALSE,"",'Dvd Calendar'!$F$921))</f>
        <v/>
      </c>
      <c r="AS94" s="106">
        <f>IF(FU94="","",IF(ISNUMBER('Dvd Calendar'!$G$921)=FALSE,"",'Dvd Calendar'!$G$921))</f>
        <v/>
      </c>
      <c r="AT94" s="106">
        <f>IF(FV94="","",IF(ISNUMBER('Dvd Calendar'!$H$921)=FALSE,"",'Dvd Calendar'!$H$921))</f>
        <v/>
      </c>
      <c r="AU94" s="106">
        <f>IF(FW94="","",IF(ISNUMBER('Dvd Calendar'!$I$921)=FALSE,"",'Dvd Calendar'!$I$921))</f>
        <v/>
      </c>
      <c r="AV94" s="106">
        <f>IF(FX94="","",IF(ISNUMBER('Dvd Calendar'!$J$921)=FALSE,"",'Dvd Calendar'!$J$921))</f>
        <v/>
      </c>
      <c r="AW94" s="106">
        <f>IF(FY94="","",IF(ISNUMBER('Dvd Calendar'!$K$921)=FALSE,"",'Dvd Calendar'!$K$921))</f>
        <v/>
      </c>
      <c r="AX94" s="106">
        <f>IF(FZ94="","",IF(ISNUMBER('Dvd Calendar'!$L$921)=FALSE,"",'Dvd Calendar'!$L$921))</f>
        <v/>
      </c>
      <c r="AY94" s="106">
        <f>IF(GA94="","",IF(ISNUMBER('Dvd Calendar'!$M$921)=FALSE,"",'Dvd Calendar'!$M$921))</f>
        <v/>
      </c>
      <c r="AZ94" s="106">
        <f>IF(GB94="","",IF(ISNUMBER('Dvd Calendar'!$N$921)=FALSE,"",'Dvd Calendar'!$N$921))</f>
        <v/>
      </c>
      <c r="BA94" s="106">
        <f>IF(GC94="","",IF(ISNUMBER('Dvd Calendar'!$O$921)=FALSE,"",'Dvd Calendar'!$O$921))</f>
        <v/>
      </c>
      <c r="BB94" s="106">
        <f>IF(GD94="","",IF(ISNUMBER('Dvd Calendar'!$P$921)=FALSE,"",'Dvd Calendar'!$P$921))</f>
        <v/>
      </c>
      <c r="BC94" s="106">
        <f>IF(GE94="","",IF(ISNUMBER('Dvd Calendar'!$Q$921)=FALSE,"",'Dvd Calendar'!$Q$921))</f>
        <v/>
      </c>
      <c r="BD94" s="106">
        <f>IF(GF94="","",IF(ISNUMBER('Dvd Calendar'!$R$921)=FALSE,"",'Dvd Calendar'!$R$921))</f>
        <v/>
      </c>
      <c r="BE94" s="106">
        <f>IF(GG94="","",IF(ISNUMBER('Dvd Calendar'!$S$921)=FALSE,"",'Dvd Calendar'!$S$921))</f>
        <v/>
      </c>
      <c r="BF94" s="106">
        <f>IF(GH94="","",IF(ISNUMBER('Dvd Calendar'!$T$921)=FALSE,"",'Dvd Calendar'!$T$921))</f>
        <v/>
      </c>
      <c r="BG94" s="106">
        <f>IF(GI94="","",IF(ISNUMBER('Dvd Calendar'!$U$921)=FALSE,"",'Dvd Calendar'!$U$921))</f>
        <v/>
      </c>
      <c r="BH94" s="106">
        <f>IF(GJ94="","",IF(ISNUMBER('Dvd Calendar'!$V$921)=FALSE,"",'Dvd Calendar'!$V$921))</f>
        <v/>
      </c>
      <c r="BI94" s="106">
        <f>IF(GK94="","",IF(ISNUMBER('Dvd Calendar'!$W$921)=FALSE,"",'Dvd Calendar'!$W$921))</f>
        <v/>
      </c>
      <c r="BJ94" s="106">
        <f>IF(GL94="","",IF(ISNUMBER('Dvd Calendar'!$X$921)=FALSE,"",'Dvd Calendar'!$X$921))</f>
        <v/>
      </c>
      <c r="BK94" s="106">
        <f>IF(GM94="","",IF(ISNUMBER('Dvd Calendar'!$Y$921)=FALSE,"",'Dvd Calendar'!$Y$921))</f>
        <v/>
      </c>
      <c r="BL94" s="106">
        <f>IF(GN94="","",IF(ISNUMBER('Dvd Calendar'!$Z$921)=FALSE,"",'Dvd Calendar'!$Z$921))</f>
        <v/>
      </c>
      <c r="BM94" s="106">
        <f>IF(GO94="","",IF(ISNUMBER('Dvd Calendar'!$AA$921)=FALSE,"",'Dvd Calendar'!$AA$921))</f>
        <v/>
      </c>
      <c r="BN94" s="106">
        <f>IF(GP94="","",IF(ISNUMBER('Dvd Calendar'!$AB$921)=FALSE,"",'Dvd Calendar'!$AB$921))</f>
        <v/>
      </c>
      <c r="BO94" s="106">
        <f>IF(GQ94="","",IF(ISNUMBER('Dvd Calendar'!$AC$921)=FALSE,"",'Dvd Calendar'!$AC$921))</f>
        <v/>
      </c>
      <c r="BQ94" s="106">
        <f>IF(C94="","",IFERROR(C94*HSI!$B$89*HSI!$G$89/HSI!$B$3,""))</f>
        <v/>
      </c>
      <c r="BR94" s="106">
        <f>IF(D94="","",IFERROR(D94*HSI!$B$89*HSI!$G$89/HSI!$B$3,""))</f>
        <v/>
      </c>
      <c r="BS94" s="106">
        <f>IF(E94="","",IFERROR(E94*HSI!$B$89*HSI!$G$89/HSI!$B$3,""))</f>
        <v/>
      </c>
      <c r="BT94" s="106">
        <f>IF(F94="","",IFERROR(F94*HSI!$B$89*HSI!$G$89/HSI!$B$3,""))</f>
        <v/>
      </c>
      <c r="BU94" s="106">
        <f>IF(G94="","",IFERROR(G94*HSI!$B$89*HSI!$G$89/HSI!$B$3,""))</f>
        <v/>
      </c>
      <c r="BV94" s="106">
        <f>IF(H94="","",IFERROR(H94*HSI!$B$89*HSI!$G$89/HSI!$B$3,""))</f>
        <v/>
      </c>
      <c r="BW94" s="106">
        <f>IF(I94="","",IFERROR(I94*HSI!$B$89*HSI!$G$89/HSI!$B$3,""))</f>
        <v/>
      </c>
      <c r="BX94" s="106">
        <f>IF(J94="","",IFERROR(J94*HSI!$B$89*HSI!$G$89/HSI!$B$3,""))</f>
        <v/>
      </c>
      <c r="BY94" s="106">
        <f>IF(K94="","",IFERROR(K94*HSI!$B$89*HSI!$G$89/HSI!$B$3,""))</f>
        <v/>
      </c>
      <c r="BZ94" s="106">
        <f>IF(L94="","",IFERROR(L94*HSI!$B$89*HSI!$G$89/HSI!$B$3,""))</f>
        <v/>
      </c>
      <c r="CA94" s="106">
        <f>IF(M94="","",IFERROR(M94*HSI!$B$89*HSI!$G$89/HSI!$B$3,""))</f>
        <v/>
      </c>
      <c r="CB94" s="106">
        <f>IF(N94="","",IFERROR(N94*HSI!$B$89*HSI!$G$89/HSI!$B$3,""))</f>
        <v/>
      </c>
      <c r="CC94" s="106">
        <f>IF(O94="","",IFERROR(O94*HSI!$B$89*HSI!$G$89/HSI!$B$3,""))</f>
        <v/>
      </c>
      <c r="CD94" s="106">
        <f>IF(P94="","",IFERROR(P94*HSI!$B$89*HSI!$G$89/HSI!$B$3,""))</f>
        <v/>
      </c>
      <c r="CE94" s="106">
        <f>IF(Q94="","",IFERROR(Q94*HSI!$B$89*HSI!$G$89/HSI!$B$3,""))</f>
        <v/>
      </c>
      <c r="CF94" s="106">
        <f>IF(R94="","",IFERROR(R94*HSI!$B$89*HSI!$G$89/HSI!$B$3,""))</f>
        <v/>
      </c>
      <c r="CG94" s="106">
        <f>IF(S94="","",IFERROR(S94*HSI!$B$89*HSI!$G$89/HSI!$B$3,""))</f>
        <v/>
      </c>
      <c r="CH94" s="106">
        <f>IF(T94="","",IFERROR(T94*HSI!$B$89*HSI!$G$89/HSI!$B$3,""))</f>
        <v/>
      </c>
      <c r="CI94" s="106">
        <f>IF(U94="","",IFERROR(U94*HSI!$B$89*HSI!$G$89/HSI!$B$3,""))</f>
        <v/>
      </c>
      <c r="CJ94" s="106">
        <f>IF(V94="","",IFERROR(V94*HSI!$B$89*HSI!$G$89/HSI!$B$3,""))</f>
        <v/>
      </c>
      <c r="CK94" s="106">
        <f>IF(W94="","",IFERROR(W94*HSI!$B$89*HSI!$G$89/HSI!$B$3,""))</f>
        <v/>
      </c>
      <c r="CL94" s="106">
        <f>IF(X94="","",IFERROR(X94*HSI!$B$89*HSI!$G$89/HSI!$B$3,""))</f>
        <v/>
      </c>
      <c r="CM94" s="106">
        <f>IF(Y94="","",IFERROR(Y94*HSI!$B$89*HSI!$G$89/HSI!$B$3,""))</f>
        <v/>
      </c>
      <c r="CN94" s="106">
        <f>IF(Z94="","",IFERROR(Z94*HSI!$B$89*HSI!$G$89/HSI!$B$3,""))</f>
        <v/>
      </c>
      <c r="CO94" s="106">
        <f>IF(AA94="","",IFERROR(AA94*HSI!$B$89*HSI!$G$89/HSI!$B$3,""))</f>
        <v/>
      </c>
      <c r="CP94" s="106">
        <f>IF(AB94="","",IFERROR(AB94*HSI!$B$89*HSI!$G$89/HSI!$B$3,""))</f>
        <v/>
      </c>
      <c r="CQ94" s="106">
        <f>IF(AC94="","",IFERROR(AC94*HSI!$B$89*HSI!$G$89/HSI!$B$3,""))</f>
        <v/>
      </c>
      <c r="CR94" s="106">
        <f>IF(AD94="","",IFERROR(AD94*HSI!$B$89*HSI!$G$89/HSI!$B$3,""))</f>
        <v/>
      </c>
      <c r="CS94" s="106">
        <f>IF(AE94="","",IFERROR(AE94*HSI!$B$89*HSI!$G$89/HSI!$B$3,""))</f>
        <v/>
      </c>
      <c r="CT94" s="106">
        <f>IF(AF94="","",IFERROR(AF94*HSI!$B$89*HSI!$G$89/HSI!$B$3,""))</f>
        <v/>
      </c>
      <c r="CU94" s="106">
        <f>IF(AG94="","",IFERROR(AG94*HSI!$B$89*HSI!$G$89/HSI!$B$3,""))</f>
        <v/>
      </c>
      <c r="CV94" s="106">
        <f>IF(AH94="","",IFERROR(AH94*HSI!$B$89*HSI!$G$89/HSI!$B$3,""))</f>
        <v/>
      </c>
      <c r="CW94" s="106">
        <f>IF(AI94="","",IFERROR(AI94*HSI!$B$89*HSI!$G$89/HSI!$B$3,""))</f>
        <v/>
      </c>
      <c r="CX94" s="106">
        <f>IF(AJ94="","",IFERROR(AJ94*HSI!$B$89*HSI!$G$89/HSI!$B$3,""))</f>
        <v/>
      </c>
      <c r="CY94" s="106">
        <f>IF(AK94="","",IFERROR(AK94*HSI!$B$89*HSI!$G$89/HSI!$B$3,""))</f>
        <v/>
      </c>
      <c r="CZ94" s="106">
        <f>IF(AL94="","",IFERROR(AL94*HSI!$B$89*HSI!$G$89/HSI!$B$3,""))</f>
        <v/>
      </c>
      <c r="DA94" s="106">
        <f>IF(AM94="","",IFERROR(AM94*HSI!$B$89*HSI!$G$89/HSI!$B$3,""))</f>
        <v/>
      </c>
      <c r="DB94" s="106">
        <f>IF(AN94="","",IFERROR(AN94*HSI!$B$89*HSI!$G$89/HSI!$B$3,""))</f>
        <v/>
      </c>
      <c r="DC94" s="106">
        <f>IF(AO94="","",IFERROR(AO94*HSI!$B$89*HSI!$G$89/HSI!$B$3,""))</f>
        <v/>
      </c>
      <c r="DD94" s="106">
        <f>IF(AP94="","",IFERROR(AP94*HSI!$B$89*HSI!$G$89/HSI!$B$3,""))</f>
        <v/>
      </c>
      <c r="DE94" s="106">
        <f>IF(AQ94="","",IFERROR(AQ94*HSI!$B$89*HSI!$G$89/HSI!$B$3,""))</f>
        <v/>
      </c>
      <c r="DF94" s="106">
        <f>IF(AR94="","",IFERROR(AR94*HSI!$B$89*HSI!$G$89/HSI!$B$3,""))</f>
        <v/>
      </c>
      <c r="DG94" s="106">
        <f>IF(AS94="","",IFERROR(AS94*HSI!$B$89*HSI!$G$89/HSI!$B$3,""))</f>
        <v/>
      </c>
      <c r="DH94" s="106">
        <f>IF(AT94="","",IFERROR(AT94*HSI!$B$89*HSI!$G$89/HSI!$B$3,""))</f>
        <v/>
      </c>
      <c r="DI94" s="106">
        <f>IF(AU94="","",IFERROR(AU94*HSI!$B$89*HSI!$G$89/HSI!$B$3,""))</f>
        <v/>
      </c>
      <c r="DJ94" s="106">
        <f>IF(AV94="","",IFERROR(AV94*HSI!$B$89*HSI!$G$89/HSI!$B$3,""))</f>
        <v/>
      </c>
      <c r="DK94" s="106">
        <f>IF(AW94="","",IFERROR(AW94*HSI!$B$89*HSI!$G$89/HSI!$B$3,""))</f>
        <v/>
      </c>
      <c r="DL94" s="106">
        <f>IF(AX94="","",IFERROR(AX94*HSI!$B$89*HSI!$G$89/HSI!$B$3,""))</f>
        <v/>
      </c>
      <c r="DM94" s="106">
        <f>IF(AY94="","",IFERROR(AY94*HSI!$B$89*HSI!$G$89/HSI!$B$3,""))</f>
        <v/>
      </c>
      <c r="DN94" s="106">
        <f>IF(AZ94="","",IFERROR(AZ94*HSI!$B$89*HSI!$G$89/HSI!$B$3,""))</f>
        <v/>
      </c>
      <c r="DO94" s="106">
        <f>IF(BA94="","",IFERROR(BA94*HSI!$B$89*HSI!$G$89/HSI!$B$3,""))</f>
        <v/>
      </c>
      <c r="DP94" s="106">
        <f>IF(BB94="","",IFERROR(BB94*HSI!$B$89*HSI!$G$89/HSI!$B$3,""))</f>
        <v/>
      </c>
      <c r="DQ94" s="106">
        <f>IF(BC94="","",IFERROR(BC94*HSI!$B$89*HSI!$G$89/HSI!$B$3,""))</f>
        <v/>
      </c>
      <c r="DR94" s="106">
        <f>IF(BD94="","",IFERROR(BD94*HSI!$B$89*HSI!$G$89/HSI!$B$3,""))</f>
        <v/>
      </c>
      <c r="DS94" s="106">
        <f>IF(BE94="","",IFERROR(BE94*HSI!$B$89*HSI!$G$89/HSI!$B$3,""))</f>
        <v/>
      </c>
      <c r="DT94" s="106">
        <f>IF(BF94="","",IFERROR(BF94*HSI!$B$89*HSI!$G$89/HSI!$B$3,""))</f>
        <v/>
      </c>
      <c r="DU94" s="106">
        <f>IF(BG94="","",IFERROR(BG94*HSI!$B$89*HSI!$G$89/HSI!$B$3,""))</f>
        <v/>
      </c>
      <c r="DV94" s="106">
        <f>IF(BH94="","",IFERROR(BH94*HSI!$B$89*HSI!$G$89/HSI!$B$3,""))</f>
        <v/>
      </c>
      <c r="DW94" s="106">
        <f>IF(BI94="","",IFERROR(BI94*HSI!$B$89*HSI!$G$89/HSI!$B$3,""))</f>
        <v/>
      </c>
      <c r="DX94" s="106">
        <f>IF(BJ94="","",IFERROR(BJ94*HSI!$B$89*HSI!$G$89/HSI!$B$3,""))</f>
        <v/>
      </c>
      <c r="DY94" s="106">
        <f>IF(BK94="","",IFERROR(BK94*HSI!$B$89*HSI!$G$89/HSI!$B$3,""))</f>
        <v/>
      </c>
      <c r="DZ94" s="106">
        <f>IF(BL94="","",IFERROR(BL94*HSI!$B$89*HSI!$G$89/HSI!$B$3,""))</f>
        <v/>
      </c>
      <c r="EA94" s="106">
        <f>IF(BM94="","",IFERROR(BM94*HSI!$B$89*HSI!$G$89/HSI!$B$3,""))</f>
        <v/>
      </c>
      <c r="EB94" s="106">
        <f>IF(BN94="","",IFERROR(BN94*HSI!$B$89*HSI!$G$89/HSI!$B$3,""))</f>
        <v/>
      </c>
      <c r="EC94" s="106">
        <f>IF(BO94="","",IFERROR(BO94*HSI!$B$89*HSI!$G$89/HSI!$B$3,""))</f>
        <v/>
      </c>
      <c r="EE94" s="35">
        <f>IF(N('Dvd Calendar'!$E$913)=0,"",IF(('Dvd Calendar'!$E$913&gt;=GRID_FROM)*('Dvd Calendar'!$E$913&lt;=GRID_TO)*('Dvd Calendar'!$E$913&lt;=VAL_DATE)=0,"",'Dvd Calendar'!$E$913*1000000000+ISNUMBER('Dvd Calendar'!$E$916)*100000000+('Dvd Calendar'!$E$918=SPECIAL_LBL)*10000000+0*1000000+83*1000+1))</f>
        <v/>
      </c>
      <c r="EF94" s="35">
        <f>IF(N('Dvd Calendar'!$F$913)=0,"",IF(('Dvd Calendar'!$F$913&gt;=GRID_FROM)*('Dvd Calendar'!$F$913&lt;=GRID_TO)*('Dvd Calendar'!$F$913&lt;=VAL_DATE)=0,"",'Dvd Calendar'!$F$913*1000000000+ISNUMBER('Dvd Calendar'!$F$916)*100000000+('Dvd Calendar'!$F$918=SPECIAL_LBL)*10000000+0*1000000+83*1000+2))</f>
        <v/>
      </c>
      <c r="EG94" s="35">
        <f>IF(N('Dvd Calendar'!$G$913)=0,"",IF(('Dvd Calendar'!$G$913&gt;=GRID_FROM)*('Dvd Calendar'!$G$913&lt;=GRID_TO)*('Dvd Calendar'!$G$913&lt;=VAL_DATE)=0,"",'Dvd Calendar'!$G$913*1000000000+ISNUMBER('Dvd Calendar'!$G$916)*100000000+('Dvd Calendar'!$G$918=SPECIAL_LBL)*10000000+0*1000000+83*1000+3))</f>
        <v/>
      </c>
      <c r="EH94" s="35">
        <f>IF(N('Dvd Calendar'!$H$913)=0,"",IF(('Dvd Calendar'!$H$913&gt;=GRID_FROM)*('Dvd Calendar'!$H$913&lt;=GRID_TO)*('Dvd Calendar'!$H$913&lt;=VAL_DATE)=0,"",'Dvd Calendar'!$H$913*1000000000+ISNUMBER('Dvd Calendar'!$H$916)*100000000+('Dvd Calendar'!$H$918=SPECIAL_LBL)*10000000+0*1000000+83*1000+4))</f>
        <v/>
      </c>
      <c r="EI94" s="35">
        <f>IF(N('Dvd Calendar'!$I$913)=0,"",IF(('Dvd Calendar'!$I$913&gt;=GRID_FROM)*('Dvd Calendar'!$I$913&lt;=GRID_TO)*('Dvd Calendar'!$I$913&lt;=VAL_DATE)=0,"",'Dvd Calendar'!$I$913*1000000000+ISNUMBER('Dvd Calendar'!$I$916)*100000000+('Dvd Calendar'!$I$918=SPECIAL_LBL)*10000000+0*1000000+83*1000+5))</f>
        <v/>
      </c>
      <c r="EJ94" s="35">
        <f>IF(N('Dvd Calendar'!$J$913)=0,"",IF(('Dvd Calendar'!$J$913&gt;=GRID_FROM)*('Dvd Calendar'!$J$913&lt;=GRID_TO)*('Dvd Calendar'!$J$913&lt;=VAL_DATE)=0,"",'Dvd Calendar'!$J$913*1000000000+ISNUMBER('Dvd Calendar'!$J$916)*100000000+('Dvd Calendar'!$J$918=SPECIAL_LBL)*10000000+0*1000000+83*1000+6))</f>
        <v/>
      </c>
      <c r="EK94" s="35">
        <f>IF(N('Dvd Calendar'!$K$913)=0,"",IF(('Dvd Calendar'!$K$913&gt;=GRID_FROM)*('Dvd Calendar'!$K$913&lt;=GRID_TO)*('Dvd Calendar'!$K$913&lt;=VAL_DATE)=0,"",'Dvd Calendar'!$K$913*1000000000+ISNUMBER('Dvd Calendar'!$K$916)*100000000+('Dvd Calendar'!$K$918=SPECIAL_LBL)*10000000+0*1000000+83*1000+7))</f>
        <v/>
      </c>
      <c r="EL94" s="35">
        <f>IF(N('Dvd Calendar'!$L$913)=0,"",IF(('Dvd Calendar'!$L$913&gt;=GRID_FROM)*('Dvd Calendar'!$L$913&lt;=GRID_TO)*('Dvd Calendar'!$L$913&lt;=VAL_DATE)=0,"",'Dvd Calendar'!$L$913*1000000000+ISNUMBER('Dvd Calendar'!$L$916)*100000000+('Dvd Calendar'!$L$918=SPECIAL_LBL)*10000000+0*1000000+83*1000+8))</f>
        <v/>
      </c>
      <c r="EM94" s="35">
        <f>IF(N('Dvd Calendar'!$M$913)=0,"",IF(('Dvd Calendar'!$M$913&gt;=GRID_FROM)*('Dvd Calendar'!$M$913&lt;=GRID_TO)*('Dvd Calendar'!$M$913&lt;=VAL_DATE)=0,"",'Dvd Calendar'!$M$913*1000000000+ISNUMBER('Dvd Calendar'!$M$916)*100000000+('Dvd Calendar'!$M$918=SPECIAL_LBL)*10000000+0*1000000+83*1000+9))</f>
        <v/>
      </c>
      <c r="EN94" s="35">
        <f>IF(N('Dvd Calendar'!$N$913)=0,"",IF(('Dvd Calendar'!$N$913&gt;=GRID_FROM)*('Dvd Calendar'!$N$913&lt;=GRID_TO)*('Dvd Calendar'!$N$913&lt;=VAL_DATE)=0,"",'Dvd Calendar'!$N$913*1000000000+ISNUMBER('Dvd Calendar'!$N$916)*100000000+('Dvd Calendar'!$N$918=SPECIAL_LBL)*10000000+0*1000000+83*1000+10))</f>
        <v/>
      </c>
      <c r="EO94" s="35">
        <f>IF(N('Dvd Calendar'!$O$913)=0,"",IF(('Dvd Calendar'!$O$913&gt;=GRID_FROM)*('Dvd Calendar'!$O$913&lt;=GRID_TO)*('Dvd Calendar'!$O$913&lt;=VAL_DATE)=0,"",'Dvd Calendar'!$O$913*1000000000+ISNUMBER('Dvd Calendar'!$O$916)*100000000+('Dvd Calendar'!$O$918=SPECIAL_LBL)*10000000+0*1000000+83*1000+11))</f>
        <v/>
      </c>
      <c r="EP94" s="35">
        <f>IF(N('Dvd Calendar'!$P$913)=0,"",IF(('Dvd Calendar'!$P$913&gt;=GRID_FROM)*('Dvd Calendar'!$P$913&lt;=GRID_TO)*('Dvd Calendar'!$P$913&lt;=VAL_DATE)=0,"",'Dvd Calendar'!$P$913*1000000000+ISNUMBER('Dvd Calendar'!$P$916)*100000000+('Dvd Calendar'!$P$918=SPECIAL_LBL)*10000000+0*1000000+83*1000+12))</f>
        <v/>
      </c>
      <c r="EQ94" s="35">
        <f>IF(N('Dvd Calendar'!$Q$913)=0,"",IF(('Dvd Calendar'!$Q$913&gt;=GRID_FROM)*('Dvd Calendar'!$Q$913&lt;=GRID_TO)*('Dvd Calendar'!$Q$913&lt;=VAL_DATE)=0,"",'Dvd Calendar'!$Q$913*1000000000+ISNUMBER('Dvd Calendar'!$Q$916)*100000000+('Dvd Calendar'!$Q$918=SPECIAL_LBL)*10000000+0*1000000+83*1000+13))</f>
        <v/>
      </c>
      <c r="ER94" s="35">
        <f>IF(N('Dvd Calendar'!$R$913)=0,"",IF(('Dvd Calendar'!$R$913&gt;=GRID_FROM)*('Dvd Calendar'!$R$913&lt;=GRID_TO)*('Dvd Calendar'!$R$913&lt;=VAL_DATE)=0,"",'Dvd Calendar'!$R$913*1000000000+ISNUMBER('Dvd Calendar'!$R$916)*100000000+('Dvd Calendar'!$R$918=SPECIAL_LBL)*10000000+0*1000000+83*1000+14))</f>
        <v/>
      </c>
      <c r="ES94" s="35">
        <f>IF(N('Dvd Calendar'!$S$913)=0,"",IF(('Dvd Calendar'!$S$913&gt;=GRID_FROM)*('Dvd Calendar'!$S$913&lt;=GRID_TO)*('Dvd Calendar'!$S$913&lt;=VAL_DATE)=0,"",'Dvd Calendar'!$S$913*1000000000+ISNUMBER('Dvd Calendar'!$S$916)*100000000+('Dvd Calendar'!$S$918=SPECIAL_LBL)*10000000+0*1000000+83*1000+15))</f>
        <v/>
      </c>
      <c r="ET94" s="35">
        <f>IF(N('Dvd Calendar'!$T$913)=0,"",IF(('Dvd Calendar'!$T$913&gt;=GRID_FROM)*('Dvd Calendar'!$T$913&lt;=GRID_TO)*('Dvd Calendar'!$T$913&lt;=VAL_DATE)=0,"",'Dvd Calendar'!$T$913*1000000000+ISNUMBER('Dvd Calendar'!$T$916)*100000000+('Dvd Calendar'!$T$918=SPECIAL_LBL)*10000000+0*1000000+83*1000+16))</f>
        <v/>
      </c>
      <c r="EU94" s="35">
        <f>IF(N('Dvd Calendar'!$U$913)=0,"",IF(('Dvd Calendar'!$U$913&gt;=GRID_FROM)*('Dvd Calendar'!$U$913&lt;=GRID_TO)*('Dvd Calendar'!$U$913&lt;=VAL_DATE)=0,"",'Dvd Calendar'!$U$913*1000000000+ISNUMBER('Dvd Calendar'!$U$916)*100000000+('Dvd Calendar'!$U$918=SPECIAL_LBL)*10000000+0*1000000+83*1000+17))</f>
        <v/>
      </c>
      <c r="EV94" s="35">
        <f>IF(N('Dvd Calendar'!$V$913)=0,"",IF(('Dvd Calendar'!$V$913&gt;=GRID_FROM)*('Dvd Calendar'!$V$913&lt;=GRID_TO)*('Dvd Calendar'!$V$913&lt;=VAL_DATE)=0,"",'Dvd Calendar'!$V$913*1000000000+ISNUMBER('Dvd Calendar'!$V$916)*100000000+('Dvd Calendar'!$V$918=SPECIAL_LBL)*10000000+0*1000000+83*1000+18))</f>
        <v/>
      </c>
      <c r="EW94" s="35">
        <f>IF(N('Dvd Calendar'!$W$913)=0,"",IF(('Dvd Calendar'!$W$913&gt;=GRID_FROM)*('Dvd Calendar'!$W$913&lt;=GRID_TO)*('Dvd Calendar'!$W$913&lt;=VAL_DATE)=0,"",'Dvd Calendar'!$W$913*1000000000+ISNUMBER('Dvd Calendar'!$W$916)*100000000+('Dvd Calendar'!$W$918=SPECIAL_LBL)*10000000+0*1000000+83*1000+19))</f>
        <v/>
      </c>
      <c r="EX94" s="35">
        <f>IF(N('Dvd Calendar'!$X$913)=0,"",IF(('Dvd Calendar'!$X$913&gt;=GRID_FROM)*('Dvd Calendar'!$X$913&lt;=GRID_TO)*('Dvd Calendar'!$X$913&lt;=VAL_DATE)=0,"",'Dvd Calendar'!$X$913*1000000000+ISNUMBER('Dvd Calendar'!$X$916)*100000000+('Dvd Calendar'!$X$918=SPECIAL_LBL)*10000000+0*1000000+83*1000+20))</f>
        <v/>
      </c>
      <c r="EY94" s="35">
        <f>IF(N('Dvd Calendar'!$Y$913)=0,"",IF(('Dvd Calendar'!$Y$913&gt;=GRID_FROM)*('Dvd Calendar'!$Y$913&lt;=GRID_TO)*('Dvd Calendar'!$Y$913&lt;=VAL_DATE)=0,"",'Dvd Calendar'!$Y$913*1000000000+ISNUMBER('Dvd Calendar'!$Y$916)*100000000+('Dvd Calendar'!$Y$918=SPECIAL_LBL)*10000000+0*1000000+83*1000+21))</f>
        <v/>
      </c>
      <c r="EZ94" s="35">
        <f>IF(N('Dvd Calendar'!$Z$913)=0,"",IF(('Dvd Calendar'!$Z$913&gt;=GRID_FROM)*('Dvd Calendar'!$Z$913&lt;=GRID_TO)*('Dvd Calendar'!$Z$913&lt;=VAL_DATE)=0,"",'Dvd Calendar'!$Z$913*1000000000+ISNUMBER('Dvd Calendar'!$Z$916)*100000000+('Dvd Calendar'!$Z$918=SPECIAL_LBL)*10000000+0*1000000+83*1000+22))</f>
        <v/>
      </c>
      <c r="FA94" s="35">
        <f>IF(N('Dvd Calendar'!$AA$913)=0,"",IF(('Dvd Calendar'!$AA$913&gt;=GRID_FROM)*('Dvd Calendar'!$AA$913&lt;=GRID_TO)*('Dvd Calendar'!$AA$913&lt;=VAL_DATE)=0,"",'Dvd Calendar'!$AA$913*1000000000+ISNUMBER('Dvd Calendar'!$AA$916)*100000000+('Dvd Calendar'!$AA$918=SPECIAL_LBL)*10000000+0*1000000+83*1000+23))</f>
        <v/>
      </c>
      <c r="FB94" s="35">
        <f>IF(N('Dvd Calendar'!$AB$913)=0,"",IF(('Dvd Calendar'!$AB$913&gt;=GRID_FROM)*('Dvd Calendar'!$AB$913&lt;=GRID_TO)*('Dvd Calendar'!$AB$913&lt;=VAL_DATE)=0,"",'Dvd Calendar'!$AB$913*1000000000+ISNUMBER('Dvd Calendar'!$AB$916)*100000000+('Dvd Calendar'!$AB$918=SPECIAL_LBL)*10000000+0*1000000+83*1000+24))</f>
        <v/>
      </c>
      <c r="FC94" s="35">
        <f>IF(N('Dvd Calendar'!$AC$913)=0,"",IF(('Dvd Calendar'!$AC$913&gt;=GRID_FROM)*('Dvd Calendar'!$AC$913&lt;=GRID_TO)*('Dvd Calendar'!$AC$913&lt;=VAL_DATE)=0,"",'Dvd Calendar'!$AC$913*1000000000+ISNUMBER('Dvd Calendar'!$AC$916)*100000000+('Dvd Calendar'!$AC$918=SPECIAL_LBL)*10000000+0*1000000+83*1000+25))</f>
        <v/>
      </c>
      <c r="FD94" s="35">
        <f>IF(N('Dvd Calendar'!$AD$913)=0,"",IF(('Dvd Calendar'!$AD$913&gt;=GRID_FROM)*('Dvd Calendar'!$AD$913&lt;=GRID_TO)*('Dvd Calendar'!$AD$913&lt;=VAL_DATE)=0,"",'Dvd Calendar'!$AD$913*1000000000+ISNUMBER('Dvd Calendar'!$AD$916)*100000000+('Dvd Calendar'!$AD$918=SPECIAL_LBL)*10000000+0*1000000+83*1000+26))</f>
        <v/>
      </c>
      <c r="FE94" s="35">
        <f>IF(N('Dvd Calendar'!$AE$913)=0,"",IF(('Dvd Calendar'!$AE$913&gt;=GRID_FROM)*('Dvd Calendar'!$AE$913&lt;=GRID_TO)*('Dvd Calendar'!$AE$913&lt;=VAL_DATE)=0,"",'Dvd Calendar'!$AE$913*1000000000+ISNUMBER('Dvd Calendar'!$AE$916)*100000000+('Dvd Calendar'!$AE$918=SPECIAL_LBL)*10000000+0*1000000+83*1000+27))</f>
        <v/>
      </c>
      <c r="FF94" s="35">
        <f>IF(N('Dvd Calendar'!$AF$913)=0,"",IF(('Dvd Calendar'!$AF$913&gt;=GRID_FROM)*('Dvd Calendar'!$AF$913&lt;=GRID_TO)*('Dvd Calendar'!$AF$913&lt;=VAL_DATE)=0,"",'Dvd Calendar'!$AF$913*1000000000+ISNUMBER('Dvd Calendar'!$AF$916)*100000000+('Dvd Calendar'!$AF$918=SPECIAL_LBL)*10000000+0*1000000+83*1000+28))</f>
        <v/>
      </c>
      <c r="FG94" s="35">
        <f>IF(N('Dvd Calendar'!$AG$913)=0,"",IF(('Dvd Calendar'!$AG$913&gt;=GRID_FROM)*('Dvd Calendar'!$AG$913&lt;=GRID_TO)*('Dvd Calendar'!$AG$913&lt;=VAL_DATE)=0,"",'Dvd Calendar'!$AG$913*1000000000+ISNUMBER('Dvd Calendar'!$AG$916)*100000000+('Dvd Calendar'!$AG$918=SPECIAL_LBL)*10000000+0*1000000+83*1000+29))</f>
        <v/>
      </c>
      <c r="FH94" s="35">
        <f>IF(N('Dvd Calendar'!$AH$913)=0,"",IF(('Dvd Calendar'!$AH$913&gt;=GRID_FROM)*('Dvd Calendar'!$AH$913&lt;=GRID_TO)*('Dvd Calendar'!$AH$913&lt;=VAL_DATE)=0,"",'Dvd Calendar'!$AH$913*1000000000+ISNUMBER('Dvd Calendar'!$AH$916)*100000000+('Dvd Calendar'!$AH$918=SPECIAL_LBL)*10000000+0*1000000+83*1000+30))</f>
        <v/>
      </c>
      <c r="FI94" s="35">
        <f>IF(N('Dvd Calendar'!$AI$913)=0,"",IF(('Dvd Calendar'!$AI$913&gt;=GRID_FROM)*('Dvd Calendar'!$AI$913&lt;=GRID_TO)*('Dvd Calendar'!$AI$913&lt;=VAL_DATE)=0,"",'Dvd Calendar'!$AI$913*1000000000+ISNUMBER('Dvd Calendar'!$AI$916)*100000000+('Dvd Calendar'!$AI$918=SPECIAL_LBL)*10000000+0*1000000+83*1000+31))</f>
        <v/>
      </c>
      <c r="FJ94" s="35">
        <f>IF(N('Dvd Calendar'!$AJ$913)=0,"",IF(('Dvd Calendar'!$AJ$913&gt;=GRID_FROM)*('Dvd Calendar'!$AJ$913&lt;=GRID_TO)*('Dvd Calendar'!$AJ$913&lt;=VAL_DATE)=0,"",'Dvd Calendar'!$AJ$913*1000000000+ISNUMBER('Dvd Calendar'!$AJ$916)*100000000+('Dvd Calendar'!$AJ$918=SPECIAL_LBL)*10000000+0*1000000+83*1000+32))</f>
        <v/>
      </c>
      <c r="FK94" s="35">
        <f>IF(N('Dvd Calendar'!$AK$913)=0,"",IF(('Dvd Calendar'!$AK$913&gt;=GRID_FROM)*('Dvd Calendar'!$AK$913&lt;=GRID_TO)*('Dvd Calendar'!$AK$913&lt;=VAL_DATE)=0,"",'Dvd Calendar'!$AK$913*1000000000+ISNUMBER('Dvd Calendar'!$AK$916)*100000000+('Dvd Calendar'!$AK$918=SPECIAL_LBL)*10000000+0*1000000+83*1000+33))</f>
        <v/>
      </c>
      <c r="FL94" s="35">
        <f>IF(N('Dvd Calendar'!$AL$913)=0,"",IF(('Dvd Calendar'!$AL$913&gt;=GRID_FROM)*('Dvd Calendar'!$AL$913&lt;=GRID_TO)*('Dvd Calendar'!$AL$913&lt;=VAL_DATE)=0,"",'Dvd Calendar'!$AL$913*1000000000+ISNUMBER('Dvd Calendar'!$AL$916)*100000000+('Dvd Calendar'!$AL$918=SPECIAL_LBL)*10000000+0*1000000+83*1000+34))</f>
        <v/>
      </c>
      <c r="FM94" s="35">
        <f>IF(N('Dvd Calendar'!$AM$913)=0,"",IF(('Dvd Calendar'!$AM$913&gt;=GRID_FROM)*('Dvd Calendar'!$AM$913&lt;=GRID_TO)*('Dvd Calendar'!$AM$913&lt;=VAL_DATE)=0,"",'Dvd Calendar'!$AM$913*1000000000+ISNUMBER('Dvd Calendar'!$AM$916)*100000000+('Dvd Calendar'!$AM$918=SPECIAL_LBL)*10000000+0*1000000+83*1000+35))</f>
        <v/>
      </c>
      <c r="FN94" s="35">
        <f>IF(N('Dvd Calendar'!$AN$913)=0,"",IF(('Dvd Calendar'!$AN$913&gt;=GRID_FROM)*('Dvd Calendar'!$AN$913&lt;=GRID_TO)*('Dvd Calendar'!$AN$913&lt;=VAL_DATE)=0,"",'Dvd Calendar'!$AN$913*1000000000+ISNUMBER('Dvd Calendar'!$AN$916)*100000000+('Dvd Calendar'!$AN$918=SPECIAL_LBL)*10000000+0*1000000+83*1000+36))</f>
        <v/>
      </c>
      <c r="FO94" s="35">
        <f>IF(N('Dvd Calendar'!$AO$913)=0,"",IF(('Dvd Calendar'!$AO$913&gt;=GRID_FROM)*('Dvd Calendar'!$AO$913&lt;=GRID_TO)*('Dvd Calendar'!$AO$913&lt;=VAL_DATE)=0,"",'Dvd Calendar'!$AO$913*1000000000+ISNUMBER('Dvd Calendar'!$AO$916)*100000000+('Dvd Calendar'!$AO$918=SPECIAL_LBL)*10000000+0*1000000+83*1000+37))</f>
        <v/>
      </c>
      <c r="FP94" s="35">
        <f>IF(N('Dvd Calendar'!$AP$913)=0,"",IF(('Dvd Calendar'!$AP$913&gt;=GRID_FROM)*('Dvd Calendar'!$AP$913&lt;=GRID_TO)*('Dvd Calendar'!$AP$913&lt;=VAL_DATE)=0,"",'Dvd Calendar'!$AP$913*1000000000+ISNUMBER('Dvd Calendar'!$AP$916)*100000000+('Dvd Calendar'!$AP$918=SPECIAL_LBL)*10000000+0*1000000+83*1000+38))</f>
        <v/>
      </c>
      <c r="FQ94" s="35">
        <f>IF(N('Dvd Calendar'!$AQ$913)=0,"",IF(('Dvd Calendar'!$AQ$913&gt;=GRID_FROM)*('Dvd Calendar'!$AQ$913&lt;=GRID_TO)*('Dvd Calendar'!$AQ$913&lt;=VAL_DATE)=0,"",'Dvd Calendar'!$AQ$913*1000000000+ISNUMBER('Dvd Calendar'!$AQ$916)*100000000+('Dvd Calendar'!$AQ$918=SPECIAL_LBL)*10000000+0*1000000+83*1000+39))</f>
        <v/>
      </c>
      <c r="FR94" s="35">
        <f>IF(N('Dvd Calendar'!$AR$913)=0,"",IF(('Dvd Calendar'!$AR$913&gt;=GRID_FROM)*('Dvd Calendar'!$AR$913&lt;=GRID_TO)*('Dvd Calendar'!$AR$913&lt;=VAL_DATE)=0,"",'Dvd Calendar'!$AR$913*1000000000+ISNUMBER('Dvd Calendar'!$AR$916)*100000000+('Dvd Calendar'!$AR$918=SPECIAL_LBL)*10000000+0*1000000+83*1000+40))</f>
        <v/>
      </c>
      <c r="FS94" s="35">
        <f>IF(N('Dvd Calendar'!$E$920)=0,"",IF(('Dvd Calendar'!$E$920&gt;=GRID_FROM)*('Dvd Calendar'!$E$920&lt;=GRID_TO)*('Dvd Calendar'!$E$920&gt;VAL_DATE)=0,"",'Dvd Calendar'!$E$920*1000000000+ISNUMBER('Dvd Calendar'!$E$921)*100000000+0*10000000+(N('Dvd Calendar'!$E$919)&gt;0)*(N('Dvd Calendar'!$E$919)&lt;=VAL_SERIAL)*1000000+83*1000+41))</f>
        <v/>
      </c>
      <c r="FT94" s="35">
        <f>IF(N('Dvd Calendar'!$F$920)=0,"",IF(('Dvd Calendar'!$F$920&gt;=GRID_FROM)*('Dvd Calendar'!$F$920&lt;=GRID_TO)*('Dvd Calendar'!$F$920&gt;VAL_DATE)=0,"",'Dvd Calendar'!$F$920*1000000000+ISNUMBER('Dvd Calendar'!$F$921)*100000000+0*10000000+(N('Dvd Calendar'!$F$919)&gt;0)*(N('Dvd Calendar'!$F$919)&lt;=VAL_SERIAL)*1000000+83*1000+42))</f>
        <v/>
      </c>
      <c r="FU94" s="35">
        <f>IF(N('Dvd Calendar'!$G$920)=0,"",IF(('Dvd Calendar'!$G$920&gt;=GRID_FROM)*('Dvd Calendar'!$G$920&lt;=GRID_TO)*('Dvd Calendar'!$G$920&gt;VAL_DATE)=0,"",'Dvd Calendar'!$G$920*1000000000+ISNUMBER('Dvd Calendar'!$G$921)*100000000+0*10000000+(N('Dvd Calendar'!$G$919)&gt;0)*(N('Dvd Calendar'!$G$919)&lt;=VAL_SERIAL)*1000000+83*1000+43))</f>
        <v/>
      </c>
      <c r="FV94" s="35">
        <f>IF(N('Dvd Calendar'!$H$920)=0,"",IF(('Dvd Calendar'!$H$920&gt;=GRID_FROM)*('Dvd Calendar'!$H$920&lt;=GRID_TO)*('Dvd Calendar'!$H$920&gt;VAL_DATE)=0,"",'Dvd Calendar'!$H$920*1000000000+ISNUMBER('Dvd Calendar'!$H$921)*100000000+0*10000000+(N('Dvd Calendar'!$H$919)&gt;0)*(N('Dvd Calendar'!$H$919)&lt;=VAL_SERIAL)*1000000+83*1000+44))</f>
        <v/>
      </c>
      <c r="FW94" s="35">
        <f>IF(N('Dvd Calendar'!$I$920)=0,"",IF(('Dvd Calendar'!$I$920&gt;=GRID_FROM)*('Dvd Calendar'!$I$920&lt;=GRID_TO)*('Dvd Calendar'!$I$920&gt;VAL_DATE)=0,"",'Dvd Calendar'!$I$920*1000000000+ISNUMBER('Dvd Calendar'!$I$921)*100000000+0*10000000+(N('Dvd Calendar'!$I$919)&gt;0)*(N('Dvd Calendar'!$I$919)&lt;=VAL_SERIAL)*1000000+83*1000+45))</f>
        <v/>
      </c>
      <c r="FX94" s="35">
        <f>IF(N('Dvd Calendar'!$J$920)=0,"",IF(('Dvd Calendar'!$J$920&gt;=GRID_FROM)*('Dvd Calendar'!$J$920&lt;=GRID_TO)*('Dvd Calendar'!$J$920&gt;VAL_DATE)=0,"",'Dvd Calendar'!$J$920*1000000000+ISNUMBER('Dvd Calendar'!$J$921)*100000000+0*10000000+(N('Dvd Calendar'!$J$919)&gt;0)*(N('Dvd Calendar'!$J$919)&lt;=VAL_SERIAL)*1000000+83*1000+46))</f>
        <v/>
      </c>
      <c r="FY94" s="35">
        <f>IF(N('Dvd Calendar'!$K$920)=0,"",IF(('Dvd Calendar'!$K$920&gt;=GRID_FROM)*('Dvd Calendar'!$K$920&lt;=GRID_TO)*('Dvd Calendar'!$K$920&gt;VAL_DATE)=0,"",'Dvd Calendar'!$K$920*1000000000+ISNUMBER('Dvd Calendar'!$K$921)*100000000+0*10000000+(N('Dvd Calendar'!$K$919)&gt;0)*(N('Dvd Calendar'!$K$919)&lt;=VAL_SERIAL)*1000000+83*1000+47))</f>
        <v/>
      </c>
      <c r="FZ94" s="35">
        <f>IF(N('Dvd Calendar'!$L$920)=0,"",IF(('Dvd Calendar'!$L$920&gt;=GRID_FROM)*('Dvd Calendar'!$L$920&lt;=GRID_TO)*('Dvd Calendar'!$L$920&gt;VAL_DATE)=0,"",'Dvd Calendar'!$L$920*1000000000+ISNUMBER('Dvd Calendar'!$L$921)*100000000+0*10000000+(N('Dvd Calendar'!$L$919)&gt;0)*(N('Dvd Calendar'!$L$919)&lt;=VAL_SERIAL)*1000000+83*1000+48))</f>
        <v/>
      </c>
      <c r="GA94" s="35">
        <f>IF(N('Dvd Calendar'!$M$920)=0,"",IF(('Dvd Calendar'!$M$920&gt;=GRID_FROM)*('Dvd Calendar'!$M$920&lt;=GRID_TO)*('Dvd Calendar'!$M$920&gt;VAL_DATE)=0,"",'Dvd Calendar'!$M$920*1000000000+ISNUMBER('Dvd Calendar'!$M$921)*100000000+0*10000000+(N('Dvd Calendar'!$M$919)&gt;0)*(N('Dvd Calendar'!$M$919)&lt;=VAL_SERIAL)*1000000+83*1000+49))</f>
        <v/>
      </c>
      <c r="GB94" s="35">
        <f>IF(N('Dvd Calendar'!$N$920)=0,"",IF(('Dvd Calendar'!$N$920&gt;=GRID_FROM)*('Dvd Calendar'!$N$920&lt;=GRID_TO)*('Dvd Calendar'!$N$920&gt;VAL_DATE)=0,"",'Dvd Calendar'!$N$920*1000000000+ISNUMBER('Dvd Calendar'!$N$921)*100000000+0*10000000+(N('Dvd Calendar'!$N$919)&gt;0)*(N('Dvd Calendar'!$N$919)&lt;=VAL_SERIAL)*1000000+83*1000+50))</f>
        <v/>
      </c>
      <c r="GC94" s="35">
        <f>IF(N('Dvd Calendar'!$O$920)=0,"",IF(('Dvd Calendar'!$O$920&gt;=GRID_FROM)*('Dvd Calendar'!$O$920&lt;=GRID_TO)*('Dvd Calendar'!$O$920&gt;VAL_DATE)=0,"",'Dvd Calendar'!$O$920*1000000000+ISNUMBER('Dvd Calendar'!$O$921)*100000000+0*10000000+(N('Dvd Calendar'!$O$919)&gt;0)*(N('Dvd Calendar'!$O$919)&lt;=VAL_SERIAL)*1000000+83*1000+51))</f>
        <v/>
      </c>
      <c r="GD94" s="35">
        <f>IF(N('Dvd Calendar'!$P$920)=0,"",IF(('Dvd Calendar'!$P$920&gt;=GRID_FROM)*('Dvd Calendar'!$P$920&lt;=GRID_TO)*('Dvd Calendar'!$P$920&gt;VAL_DATE)=0,"",'Dvd Calendar'!$P$920*1000000000+ISNUMBER('Dvd Calendar'!$P$921)*100000000+0*10000000+(N('Dvd Calendar'!$P$919)&gt;0)*(N('Dvd Calendar'!$P$919)&lt;=VAL_SERIAL)*1000000+83*1000+52))</f>
        <v/>
      </c>
      <c r="GE94" s="35">
        <f>IF(N('Dvd Calendar'!$Q$920)=0,"",IF(('Dvd Calendar'!$Q$920&gt;=GRID_FROM)*('Dvd Calendar'!$Q$920&lt;=GRID_TO)*('Dvd Calendar'!$Q$920&gt;VAL_DATE)=0,"",'Dvd Calendar'!$Q$920*1000000000+ISNUMBER('Dvd Calendar'!$Q$921)*100000000+0*10000000+(N('Dvd Calendar'!$Q$919)&gt;0)*(N('Dvd Calendar'!$Q$919)&lt;=VAL_SERIAL)*1000000+83*1000+53))</f>
        <v/>
      </c>
      <c r="GF94" s="35">
        <f>IF(N('Dvd Calendar'!$R$920)=0,"",IF(('Dvd Calendar'!$R$920&gt;=GRID_FROM)*('Dvd Calendar'!$R$920&lt;=GRID_TO)*('Dvd Calendar'!$R$920&gt;VAL_DATE)=0,"",'Dvd Calendar'!$R$920*1000000000+ISNUMBER('Dvd Calendar'!$R$921)*100000000+0*10000000+(N('Dvd Calendar'!$R$919)&gt;0)*(N('Dvd Calendar'!$R$919)&lt;=VAL_SERIAL)*1000000+83*1000+54))</f>
        <v/>
      </c>
      <c r="GG94" s="35">
        <f>IF(N('Dvd Calendar'!$S$920)=0,"",IF(('Dvd Calendar'!$S$920&gt;=GRID_FROM)*('Dvd Calendar'!$S$920&lt;=GRID_TO)*('Dvd Calendar'!$S$920&gt;VAL_DATE)=0,"",'Dvd Calendar'!$S$920*1000000000+ISNUMBER('Dvd Calendar'!$S$921)*100000000+0*10000000+(N('Dvd Calendar'!$S$919)&gt;0)*(N('Dvd Calendar'!$S$919)&lt;=VAL_SERIAL)*1000000+83*1000+55))</f>
        <v/>
      </c>
      <c r="GH94" s="35">
        <f>IF(N('Dvd Calendar'!$T$920)=0,"",IF(('Dvd Calendar'!$T$920&gt;=GRID_FROM)*('Dvd Calendar'!$T$920&lt;=GRID_TO)*('Dvd Calendar'!$T$920&gt;VAL_DATE)=0,"",'Dvd Calendar'!$T$920*1000000000+ISNUMBER('Dvd Calendar'!$T$921)*100000000+0*10000000+(N('Dvd Calendar'!$T$919)&gt;0)*(N('Dvd Calendar'!$T$919)&lt;=VAL_SERIAL)*1000000+83*1000+56))</f>
        <v/>
      </c>
      <c r="GI94" s="35">
        <f>IF(N('Dvd Calendar'!$U$920)=0,"",IF(('Dvd Calendar'!$U$920&gt;=GRID_FROM)*('Dvd Calendar'!$U$920&lt;=GRID_TO)*('Dvd Calendar'!$U$920&gt;VAL_DATE)=0,"",'Dvd Calendar'!$U$920*1000000000+ISNUMBER('Dvd Calendar'!$U$921)*100000000+0*10000000+(N('Dvd Calendar'!$U$919)&gt;0)*(N('Dvd Calendar'!$U$919)&lt;=VAL_SERIAL)*1000000+83*1000+57))</f>
        <v/>
      </c>
      <c r="GJ94" s="35">
        <f>IF(N('Dvd Calendar'!$V$920)=0,"",IF(('Dvd Calendar'!$V$920&gt;=GRID_FROM)*('Dvd Calendar'!$V$920&lt;=GRID_TO)*('Dvd Calendar'!$V$920&gt;VAL_DATE)=0,"",'Dvd Calendar'!$V$920*1000000000+ISNUMBER('Dvd Calendar'!$V$921)*100000000+0*10000000+(N('Dvd Calendar'!$V$919)&gt;0)*(N('Dvd Calendar'!$V$919)&lt;=VAL_SERIAL)*1000000+83*1000+58))</f>
        <v/>
      </c>
      <c r="GK94" s="35">
        <f>IF(N('Dvd Calendar'!$W$920)=0,"",IF(('Dvd Calendar'!$W$920&gt;=GRID_FROM)*('Dvd Calendar'!$W$920&lt;=GRID_TO)*('Dvd Calendar'!$W$920&gt;VAL_DATE)=0,"",'Dvd Calendar'!$W$920*1000000000+ISNUMBER('Dvd Calendar'!$W$921)*100000000+0*10000000+(N('Dvd Calendar'!$W$919)&gt;0)*(N('Dvd Calendar'!$W$919)&lt;=VAL_SERIAL)*1000000+83*1000+59))</f>
        <v/>
      </c>
      <c r="GL94" s="35">
        <f>IF(N('Dvd Calendar'!$X$920)=0,"",IF(('Dvd Calendar'!$X$920&gt;=GRID_FROM)*('Dvd Calendar'!$X$920&lt;=GRID_TO)*('Dvd Calendar'!$X$920&gt;VAL_DATE)=0,"",'Dvd Calendar'!$X$920*1000000000+ISNUMBER('Dvd Calendar'!$X$921)*100000000+0*10000000+(N('Dvd Calendar'!$X$919)&gt;0)*(N('Dvd Calendar'!$X$919)&lt;=VAL_SERIAL)*1000000+83*1000+60))</f>
        <v/>
      </c>
      <c r="GM94" s="35">
        <f>IF(N('Dvd Calendar'!$Y$920)=0,"",IF(('Dvd Calendar'!$Y$920&gt;=GRID_FROM)*('Dvd Calendar'!$Y$920&lt;=GRID_TO)*('Dvd Calendar'!$Y$920&gt;VAL_DATE)=0,"",'Dvd Calendar'!$Y$920*1000000000+ISNUMBER('Dvd Calendar'!$Y$921)*100000000+0*10000000+(N('Dvd Calendar'!$Y$919)&gt;0)*(N('Dvd Calendar'!$Y$919)&lt;=VAL_SERIAL)*1000000+83*1000+61))</f>
        <v/>
      </c>
      <c r="GN94" s="35">
        <f>IF(N('Dvd Calendar'!$Z$920)=0,"",IF(('Dvd Calendar'!$Z$920&gt;=GRID_FROM)*('Dvd Calendar'!$Z$920&lt;=GRID_TO)*('Dvd Calendar'!$Z$920&gt;VAL_DATE)=0,"",'Dvd Calendar'!$Z$920*1000000000+ISNUMBER('Dvd Calendar'!$Z$921)*100000000+0*10000000+(N('Dvd Calendar'!$Z$919)&gt;0)*(N('Dvd Calendar'!$Z$919)&lt;=VAL_SERIAL)*1000000+83*1000+62))</f>
        <v/>
      </c>
      <c r="GO94" s="35">
        <f>IF(N('Dvd Calendar'!$AA$920)=0,"",IF(('Dvd Calendar'!$AA$920&gt;=GRID_FROM)*('Dvd Calendar'!$AA$920&lt;=GRID_TO)*('Dvd Calendar'!$AA$920&gt;VAL_DATE)=0,"",'Dvd Calendar'!$AA$920*1000000000+ISNUMBER('Dvd Calendar'!$AA$921)*100000000+0*10000000+(N('Dvd Calendar'!$AA$919)&gt;0)*(N('Dvd Calendar'!$AA$919)&lt;=VAL_SERIAL)*1000000+83*1000+63))</f>
        <v/>
      </c>
      <c r="GP94" s="35">
        <f>IF(N('Dvd Calendar'!$AB$920)=0,"",IF(('Dvd Calendar'!$AB$920&gt;=GRID_FROM)*('Dvd Calendar'!$AB$920&lt;=GRID_TO)*('Dvd Calendar'!$AB$920&gt;VAL_DATE)=0,"",'Dvd Calendar'!$AB$920*1000000000+ISNUMBER('Dvd Calendar'!$AB$921)*100000000+0*10000000+(N('Dvd Calendar'!$AB$919)&gt;0)*(N('Dvd Calendar'!$AB$919)&lt;=VAL_SERIAL)*1000000+83*1000+64))</f>
        <v/>
      </c>
      <c r="GQ94" s="35">
        <f>IF(N('Dvd Calendar'!$AC$920)=0,"",IF(('Dvd Calendar'!$AC$920&gt;=GRID_FROM)*('Dvd Calendar'!$AC$920&lt;=GRID_TO)*('Dvd Calendar'!$AC$920&gt;VAL_DATE)=0,"",'Dvd Calendar'!$AC$920*1000000000+ISNUMBER('Dvd Calendar'!$AC$921)*100000000+0*10000000+(N('Dvd Calendar'!$AC$919)&gt;0)*(N('Dvd Calendar'!$AC$919)&lt;=VAL_SERIAL)*1000000+83*1000+65))</f>
        <v/>
      </c>
    </row>
    <row r="95">
      <c r="B95" s="2">
        <f>IF(HSI!$C$90="","",HSI!$C$90)</f>
        <v/>
      </c>
      <c r="C95" s="106">
        <f>IF(EE95="","",IF(ISNUMBER('Dvd Calendar'!$E$927)=FALSE,"",IF((('Dvd Calendar'!$E$929=TYPE1)*(TYPE1&lt;&gt;"")+('Dvd Calendar'!$E$929=TYPE2)*(TYPE2&lt;&gt;"")+('Dvd Calendar'!$E$929=TYPE3)*(TYPE3&lt;&gt;"")+('Dvd Calendar'!$E$929=TYPE4)*(TYPE4&lt;&gt;"")+('Dvd Calendar'!$E$929=SPECIAL_LBL)*(INC_SPECIALS="Y"))=0,"",'Dvd Calendar'!$E$927)))</f>
        <v/>
      </c>
      <c r="D95" s="106">
        <f>IF(EF95="","",IF(ISNUMBER('Dvd Calendar'!$F$927)=FALSE,"",IF((('Dvd Calendar'!$F$929=TYPE1)*(TYPE1&lt;&gt;"")+('Dvd Calendar'!$F$929=TYPE2)*(TYPE2&lt;&gt;"")+('Dvd Calendar'!$F$929=TYPE3)*(TYPE3&lt;&gt;"")+('Dvd Calendar'!$F$929=TYPE4)*(TYPE4&lt;&gt;"")+('Dvd Calendar'!$F$929=SPECIAL_LBL)*(INC_SPECIALS="Y"))=0,"",'Dvd Calendar'!$F$927)))</f>
        <v/>
      </c>
      <c r="E95" s="106">
        <f>IF(EG95="","",IF(ISNUMBER('Dvd Calendar'!$G$927)=FALSE,"",IF((('Dvd Calendar'!$G$929=TYPE1)*(TYPE1&lt;&gt;"")+('Dvd Calendar'!$G$929=TYPE2)*(TYPE2&lt;&gt;"")+('Dvd Calendar'!$G$929=TYPE3)*(TYPE3&lt;&gt;"")+('Dvd Calendar'!$G$929=TYPE4)*(TYPE4&lt;&gt;"")+('Dvd Calendar'!$G$929=SPECIAL_LBL)*(INC_SPECIALS="Y"))=0,"",'Dvd Calendar'!$G$927)))</f>
        <v/>
      </c>
      <c r="F95" s="106">
        <f>IF(EH95="","",IF(ISNUMBER('Dvd Calendar'!$H$927)=FALSE,"",IF((('Dvd Calendar'!$H$929=TYPE1)*(TYPE1&lt;&gt;"")+('Dvd Calendar'!$H$929=TYPE2)*(TYPE2&lt;&gt;"")+('Dvd Calendar'!$H$929=TYPE3)*(TYPE3&lt;&gt;"")+('Dvd Calendar'!$H$929=TYPE4)*(TYPE4&lt;&gt;"")+('Dvd Calendar'!$H$929=SPECIAL_LBL)*(INC_SPECIALS="Y"))=0,"",'Dvd Calendar'!$H$927)))</f>
        <v/>
      </c>
      <c r="G95" s="106">
        <f>IF(EI95="","",IF(ISNUMBER('Dvd Calendar'!$I$927)=FALSE,"",IF((('Dvd Calendar'!$I$929=TYPE1)*(TYPE1&lt;&gt;"")+('Dvd Calendar'!$I$929=TYPE2)*(TYPE2&lt;&gt;"")+('Dvd Calendar'!$I$929=TYPE3)*(TYPE3&lt;&gt;"")+('Dvd Calendar'!$I$929=TYPE4)*(TYPE4&lt;&gt;"")+('Dvd Calendar'!$I$929=SPECIAL_LBL)*(INC_SPECIALS="Y"))=0,"",'Dvd Calendar'!$I$927)))</f>
        <v/>
      </c>
      <c r="H95" s="106">
        <f>IF(EJ95="","",IF(ISNUMBER('Dvd Calendar'!$J$927)=FALSE,"",IF((('Dvd Calendar'!$J$929=TYPE1)*(TYPE1&lt;&gt;"")+('Dvd Calendar'!$J$929=TYPE2)*(TYPE2&lt;&gt;"")+('Dvd Calendar'!$J$929=TYPE3)*(TYPE3&lt;&gt;"")+('Dvd Calendar'!$J$929=TYPE4)*(TYPE4&lt;&gt;"")+('Dvd Calendar'!$J$929=SPECIAL_LBL)*(INC_SPECIALS="Y"))=0,"",'Dvd Calendar'!$J$927)))</f>
        <v/>
      </c>
      <c r="I95" s="106">
        <f>IF(EK95="","",IF(ISNUMBER('Dvd Calendar'!$K$927)=FALSE,"",IF((('Dvd Calendar'!$K$929=TYPE1)*(TYPE1&lt;&gt;"")+('Dvd Calendar'!$K$929=TYPE2)*(TYPE2&lt;&gt;"")+('Dvd Calendar'!$K$929=TYPE3)*(TYPE3&lt;&gt;"")+('Dvd Calendar'!$K$929=TYPE4)*(TYPE4&lt;&gt;"")+('Dvd Calendar'!$K$929=SPECIAL_LBL)*(INC_SPECIALS="Y"))=0,"",'Dvd Calendar'!$K$927)))</f>
        <v/>
      </c>
      <c r="J95" s="106">
        <f>IF(EL95="","",IF(ISNUMBER('Dvd Calendar'!$L$927)=FALSE,"",IF((('Dvd Calendar'!$L$929=TYPE1)*(TYPE1&lt;&gt;"")+('Dvd Calendar'!$L$929=TYPE2)*(TYPE2&lt;&gt;"")+('Dvd Calendar'!$L$929=TYPE3)*(TYPE3&lt;&gt;"")+('Dvd Calendar'!$L$929=TYPE4)*(TYPE4&lt;&gt;"")+('Dvd Calendar'!$L$929=SPECIAL_LBL)*(INC_SPECIALS="Y"))=0,"",'Dvd Calendar'!$L$927)))</f>
        <v/>
      </c>
      <c r="K95" s="106">
        <f>IF(EM95="","",IF(ISNUMBER('Dvd Calendar'!$M$927)=FALSE,"",IF((('Dvd Calendar'!$M$929=TYPE1)*(TYPE1&lt;&gt;"")+('Dvd Calendar'!$M$929=TYPE2)*(TYPE2&lt;&gt;"")+('Dvd Calendar'!$M$929=TYPE3)*(TYPE3&lt;&gt;"")+('Dvd Calendar'!$M$929=TYPE4)*(TYPE4&lt;&gt;"")+('Dvd Calendar'!$M$929=SPECIAL_LBL)*(INC_SPECIALS="Y"))=0,"",'Dvd Calendar'!$M$927)))</f>
        <v/>
      </c>
      <c r="L95" s="106">
        <f>IF(EN95="","",IF(ISNUMBER('Dvd Calendar'!$N$927)=FALSE,"",IF((('Dvd Calendar'!$N$929=TYPE1)*(TYPE1&lt;&gt;"")+('Dvd Calendar'!$N$929=TYPE2)*(TYPE2&lt;&gt;"")+('Dvd Calendar'!$N$929=TYPE3)*(TYPE3&lt;&gt;"")+('Dvd Calendar'!$N$929=TYPE4)*(TYPE4&lt;&gt;"")+('Dvd Calendar'!$N$929=SPECIAL_LBL)*(INC_SPECIALS="Y"))=0,"",'Dvd Calendar'!$N$927)))</f>
        <v/>
      </c>
      <c r="M95" s="106">
        <f>IF(EO95="","",IF(ISNUMBER('Dvd Calendar'!$O$927)=FALSE,"",IF((('Dvd Calendar'!$O$929=TYPE1)*(TYPE1&lt;&gt;"")+('Dvd Calendar'!$O$929=TYPE2)*(TYPE2&lt;&gt;"")+('Dvd Calendar'!$O$929=TYPE3)*(TYPE3&lt;&gt;"")+('Dvd Calendar'!$O$929=TYPE4)*(TYPE4&lt;&gt;"")+('Dvd Calendar'!$O$929=SPECIAL_LBL)*(INC_SPECIALS="Y"))=0,"",'Dvd Calendar'!$O$927)))</f>
        <v/>
      </c>
      <c r="N95" s="106">
        <f>IF(EP95="","",IF(ISNUMBER('Dvd Calendar'!$P$927)=FALSE,"",IF((('Dvd Calendar'!$P$929=TYPE1)*(TYPE1&lt;&gt;"")+('Dvd Calendar'!$P$929=TYPE2)*(TYPE2&lt;&gt;"")+('Dvd Calendar'!$P$929=TYPE3)*(TYPE3&lt;&gt;"")+('Dvd Calendar'!$P$929=TYPE4)*(TYPE4&lt;&gt;"")+('Dvd Calendar'!$P$929=SPECIAL_LBL)*(INC_SPECIALS="Y"))=0,"",'Dvd Calendar'!$P$927)))</f>
        <v/>
      </c>
      <c r="O95" s="106">
        <f>IF(EQ95="","",IF(ISNUMBER('Dvd Calendar'!$Q$927)=FALSE,"",IF((('Dvd Calendar'!$Q$929=TYPE1)*(TYPE1&lt;&gt;"")+('Dvd Calendar'!$Q$929=TYPE2)*(TYPE2&lt;&gt;"")+('Dvd Calendar'!$Q$929=TYPE3)*(TYPE3&lt;&gt;"")+('Dvd Calendar'!$Q$929=TYPE4)*(TYPE4&lt;&gt;"")+('Dvd Calendar'!$Q$929=SPECIAL_LBL)*(INC_SPECIALS="Y"))=0,"",'Dvd Calendar'!$Q$927)))</f>
        <v/>
      </c>
      <c r="P95" s="106">
        <f>IF(ER95="","",IF(ISNUMBER('Dvd Calendar'!$R$927)=FALSE,"",IF((('Dvd Calendar'!$R$929=TYPE1)*(TYPE1&lt;&gt;"")+('Dvd Calendar'!$R$929=TYPE2)*(TYPE2&lt;&gt;"")+('Dvd Calendar'!$R$929=TYPE3)*(TYPE3&lt;&gt;"")+('Dvd Calendar'!$R$929=TYPE4)*(TYPE4&lt;&gt;"")+('Dvd Calendar'!$R$929=SPECIAL_LBL)*(INC_SPECIALS="Y"))=0,"",'Dvd Calendar'!$R$927)))</f>
        <v/>
      </c>
      <c r="Q95" s="106">
        <f>IF(ES95="","",IF(ISNUMBER('Dvd Calendar'!$S$927)=FALSE,"",IF((('Dvd Calendar'!$S$929=TYPE1)*(TYPE1&lt;&gt;"")+('Dvd Calendar'!$S$929=TYPE2)*(TYPE2&lt;&gt;"")+('Dvd Calendar'!$S$929=TYPE3)*(TYPE3&lt;&gt;"")+('Dvd Calendar'!$S$929=TYPE4)*(TYPE4&lt;&gt;"")+('Dvd Calendar'!$S$929=SPECIAL_LBL)*(INC_SPECIALS="Y"))=0,"",'Dvd Calendar'!$S$927)))</f>
        <v/>
      </c>
      <c r="R95" s="106">
        <f>IF(ET95="","",IF(ISNUMBER('Dvd Calendar'!$T$927)=FALSE,"",IF((('Dvd Calendar'!$T$929=TYPE1)*(TYPE1&lt;&gt;"")+('Dvd Calendar'!$T$929=TYPE2)*(TYPE2&lt;&gt;"")+('Dvd Calendar'!$T$929=TYPE3)*(TYPE3&lt;&gt;"")+('Dvd Calendar'!$T$929=TYPE4)*(TYPE4&lt;&gt;"")+('Dvd Calendar'!$T$929=SPECIAL_LBL)*(INC_SPECIALS="Y"))=0,"",'Dvd Calendar'!$T$927)))</f>
        <v/>
      </c>
      <c r="S95" s="106">
        <f>IF(EU95="","",IF(ISNUMBER('Dvd Calendar'!$U$927)=FALSE,"",IF((('Dvd Calendar'!$U$929=TYPE1)*(TYPE1&lt;&gt;"")+('Dvd Calendar'!$U$929=TYPE2)*(TYPE2&lt;&gt;"")+('Dvd Calendar'!$U$929=TYPE3)*(TYPE3&lt;&gt;"")+('Dvd Calendar'!$U$929=TYPE4)*(TYPE4&lt;&gt;"")+('Dvd Calendar'!$U$929=SPECIAL_LBL)*(INC_SPECIALS="Y"))=0,"",'Dvd Calendar'!$U$927)))</f>
        <v/>
      </c>
      <c r="T95" s="106">
        <f>IF(EV95="","",IF(ISNUMBER('Dvd Calendar'!$V$927)=FALSE,"",IF((('Dvd Calendar'!$V$929=TYPE1)*(TYPE1&lt;&gt;"")+('Dvd Calendar'!$V$929=TYPE2)*(TYPE2&lt;&gt;"")+('Dvd Calendar'!$V$929=TYPE3)*(TYPE3&lt;&gt;"")+('Dvd Calendar'!$V$929=TYPE4)*(TYPE4&lt;&gt;"")+('Dvd Calendar'!$V$929=SPECIAL_LBL)*(INC_SPECIALS="Y"))=0,"",'Dvd Calendar'!$V$927)))</f>
        <v/>
      </c>
      <c r="U95" s="106">
        <f>IF(EW95="","",IF(ISNUMBER('Dvd Calendar'!$W$927)=FALSE,"",IF((('Dvd Calendar'!$W$929=TYPE1)*(TYPE1&lt;&gt;"")+('Dvd Calendar'!$W$929=TYPE2)*(TYPE2&lt;&gt;"")+('Dvd Calendar'!$W$929=TYPE3)*(TYPE3&lt;&gt;"")+('Dvd Calendar'!$W$929=TYPE4)*(TYPE4&lt;&gt;"")+('Dvd Calendar'!$W$929=SPECIAL_LBL)*(INC_SPECIALS="Y"))=0,"",'Dvd Calendar'!$W$927)))</f>
        <v/>
      </c>
      <c r="V95" s="106">
        <f>IF(EX95="","",IF(ISNUMBER('Dvd Calendar'!$X$927)=FALSE,"",IF((('Dvd Calendar'!$X$929=TYPE1)*(TYPE1&lt;&gt;"")+('Dvd Calendar'!$X$929=TYPE2)*(TYPE2&lt;&gt;"")+('Dvd Calendar'!$X$929=TYPE3)*(TYPE3&lt;&gt;"")+('Dvd Calendar'!$X$929=TYPE4)*(TYPE4&lt;&gt;"")+('Dvd Calendar'!$X$929=SPECIAL_LBL)*(INC_SPECIALS="Y"))=0,"",'Dvd Calendar'!$X$927)))</f>
        <v/>
      </c>
      <c r="W95" s="106">
        <f>IF(EY95="","",IF(ISNUMBER('Dvd Calendar'!$Y$927)=FALSE,"",IF((('Dvd Calendar'!$Y$929=TYPE1)*(TYPE1&lt;&gt;"")+('Dvd Calendar'!$Y$929=TYPE2)*(TYPE2&lt;&gt;"")+('Dvd Calendar'!$Y$929=TYPE3)*(TYPE3&lt;&gt;"")+('Dvd Calendar'!$Y$929=TYPE4)*(TYPE4&lt;&gt;"")+('Dvd Calendar'!$Y$929=SPECIAL_LBL)*(INC_SPECIALS="Y"))=0,"",'Dvd Calendar'!$Y$927)))</f>
        <v/>
      </c>
      <c r="X95" s="106">
        <f>IF(EZ95="","",IF(ISNUMBER('Dvd Calendar'!$Z$927)=FALSE,"",IF((('Dvd Calendar'!$Z$929=TYPE1)*(TYPE1&lt;&gt;"")+('Dvd Calendar'!$Z$929=TYPE2)*(TYPE2&lt;&gt;"")+('Dvd Calendar'!$Z$929=TYPE3)*(TYPE3&lt;&gt;"")+('Dvd Calendar'!$Z$929=TYPE4)*(TYPE4&lt;&gt;"")+('Dvd Calendar'!$Z$929=SPECIAL_LBL)*(INC_SPECIALS="Y"))=0,"",'Dvd Calendar'!$Z$927)))</f>
        <v/>
      </c>
      <c r="Y95" s="106">
        <f>IF(FA95="","",IF(ISNUMBER('Dvd Calendar'!$AA$927)=FALSE,"",IF((('Dvd Calendar'!$AA$929=TYPE1)*(TYPE1&lt;&gt;"")+('Dvd Calendar'!$AA$929=TYPE2)*(TYPE2&lt;&gt;"")+('Dvd Calendar'!$AA$929=TYPE3)*(TYPE3&lt;&gt;"")+('Dvd Calendar'!$AA$929=TYPE4)*(TYPE4&lt;&gt;"")+('Dvd Calendar'!$AA$929=SPECIAL_LBL)*(INC_SPECIALS="Y"))=0,"",'Dvd Calendar'!$AA$927)))</f>
        <v/>
      </c>
      <c r="Z95" s="106">
        <f>IF(FB95="","",IF(ISNUMBER('Dvd Calendar'!$AB$927)=FALSE,"",IF((('Dvd Calendar'!$AB$929=TYPE1)*(TYPE1&lt;&gt;"")+('Dvd Calendar'!$AB$929=TYPE2)*(TYPE2&lt;&gt;"")+('Dvd Calendar'!$AB$929=TYPE3)*(TYPE3&lt;&gt;"")+('Dvd Calendar'!$AB$929=TYPE4)*(TYPE4&lt;&gt;"")+('Dvd Calendar'!$AB$929=SPECIAL_LBL)*(INC_SPECIALS="Y"))=0,"",'Dvd Calendar'!$AB$927)))</f>
        <v/>
      </c>
      <c r="AA95" s="106">
        <f>IF(FC95="","",IF(ISNUMBER('Dvd Calendar'!$AC$927)=FALSE,"",IF((('Dvd Calendar'!$AC$929=TYPE1)*(TYPE1&lt;&gt;"")+('Dvd Calendar'!$AC$929=TYPE2)*(TYPE2&lt;&gt;"")+('Dvd Calendar'!$AC$929=TYPE3)*(TYPE3&lt;&gt;"")+('Dvd Calendar'!$AC$929=TYPE4)*(TYPE4&lt;&gt;"")+('Dvd Calendar'!$AC$929=SPECIAL_LBL)*(INC_SPECIALS="Y"))=0,"",'Dvd Calendar'!$AC$927)))</f>
        <v/>
      </c>
      <c r="AB95" s="106">
        <f>IF(FD95="","",IF(ISNUMBER('Dvd Calendar'!$AD$927)=FALSE,"",IF((('Dvd Calendar'!$AD$929=TYPE1)*(TYPE1&lt;&gt;"")+('Dvd Calendar'!$AD$929=TYPE2)*(TYPE2&lt;&gt;"")+('Dvd Calendar'!$AD$929=TYPE3)*(TYPE3&lt;&gt;"")+('Dvd Calendar'!$AD$929=TYPE4)*(TYPE4&lt;&gt;"")+('Dvd Calendar'!$AD$929=SPECIAL_LBL)*(INC_SPECIALS="Y"))=0,"",'Dvd Calendar'!$AD$927)))</f>
        <v/>
      </c>
      <c r="AC95" s="106">
        <f>IF(FE95="","",IF(ISNUMBER('Dvd Calendar'!$AE$927)=FALSE,"",IF((('Dvd Calendar'!$AE$929=TYPE1)*(TYPE1&lt;&gt;"")+('Dvd Calendar'!$AE$929=TYPE2)*(TYPE2&lt;&gt;"")+('Dvd Calendar'!$AE$929=TYPE3)*(TYPE3&lt;&gt;"")+('Dvd Calendar'!$AE$929=TYPE4)*(TYPE4&lt;&gt;"")+('Dvd Calendar'!$AE$929=SPECIAL_LBL)*(INC_SPECIALS="Y"))=0,"",'Dvd Calendar'!$AE$927)))</f>
        <v/>
      </c>
      <c r="AD95" s="106">
        <f>IF(FF95="","",IF(ISNUMBER('Dvd Calendar'!$AF$927)=FALSE,"",IF((('Dvd Calendar'!$AF$929=TYPE1)*(TYPE1&lt;&gt;"")+('Dvd Calendar'!$AF$929=TYPE2)*(TYPE2&lt;&gt;"")+('Dvd Calendar'!$AF$929=TYPE3)*(TYPE3&lt;&gt;"")+('Dvd Calendar'!$AF$929=TYPE4)*(TYPE4&lt;&gt;"")+('Dvd Calendar'!$AF$929=SPECIAL_LBL)*(INC_SPECIALS="Y"))=0,"",'Dvd Calendar'!$AF$927)))</f>
        <v/>
      </c>
      <c r="AE95" s="106">
        <f>IF(FG95="","",IF(ISNUMBER('Dvd Calendar'!$AG$927)=FALSE,"",IF((('Dvd Calendar'!$AG$929=TYPE1)*(TYPE1&lt;&gt;"")+('Dvd Calendar'!$AG$929=TYPE2)*(TYPE2&lt;&gt;"")+('Dvd Calendar'!$AG$929=TYPE3)*(TYPE3&lt;&gt;"")+('Dvd Calendar'!$AG$929=TYPE4)*(TYPE4&lt;&gt;"")+('Dvd Calendar'!$AG$929=SPECIAL_LBL)*(INC_SPECIALS="Y"))=0,"",'Dvd Calendar'!$AG$927)))</f>
        <v/>
      </c>
      <c r="AF95" s="106">
        <f>IF(FH95="","",IF(ISNUMBER('Dvd Calendar'!$AH$927)=FALSE,"",IF((('Dvd Calendar'!$AH$929=TYPE1)*(TYPE1&lt;&gt;"")+('Dvd Calendar'!$AH$929=TYPE2)*(TYPE2&lt;&gt;"")+('Dvd Calendar'!$AH$929=TYPE3)*(TYPE3&lt;&gt;"")+('Dvd Calendar'!$AH$929=TYPE4)*(TYPE4&lt;&gt;"")+('Dvd Calendar'!$AH$929=SPECIAL_LBL)*(INC_SPECIALS="Y"))=0,"",'Dvd Calendar'!$AH$927)))</f>
        <v/>
      </c>
      <c r="AG95" s="106">
        <f>IF(FI95="","",IF(ISNUMBER('Dvd Calendar'!$AI$927)=FALSE,"",IF((('Dvd Calendar'!$AI$929=TYPE1)*(TYPE1&lt;&gt;"")+('Dvd Calendar'!$AI$929=TYPE2)*(TYPE2&lt;&gt;"")+('Dvd Calendar'!$AI$929=TYPE3)*(TYPE3&lt;&gt;"")+('Dvd Calendar'!$AI$929=TYPE4)*(TYPE4&lt;&gt;"")+('Dvd Calendar'!$AI$929=SPECIAL_LBL)*(INC_SPECIALS="Y"))=0,"",'Dvd Calendar'!$AI$927)))</f>
        <v/>
      </c>
      <c r="AH95" s="106">
        <f>IF(FJ95="","",IF(ISNUMBER('Dvd Calendar'!$AJ$927)=FALSE,"",IF((('Dvd Calendar'!$AJ$929=TYPE1)*(TYPE1&lt;&gt;"")+('Dvd Calendar'!$AJ$929=TYPE2)*(TYPE2&lt;&gt;"")+('Dvd Calendar'!$AJ$929=TYPE3)*(TYPE3&lt;&gt;"")+('Dvd Calendar'!$AJ$929=TYPE4)*(TYPE4&lt;&gt;"")+('Dvd Calendar'!$AJ$929=SPECIAL_LBL)*(INC_SPECIALS="Y"))=0,"",'Dvd Calendar'!$AJ$927)))</f>
        <v/>
      </c>
      <c r="AI95" s="106">
        <f>IF(FK95="","",IF(ISNUMBER('Dvd Calendar'!$AK$927)=FALSE,"",IF((('Dvd Calendar'!$AK$929=TYPE1)*(TYPE1&lt;&gt;"")+('Dvd Calendar'!$AK$929=TYPE2)*(TYPE2&lt;&gt;"")+('Dvd Calendar'!$AK$929=TYPE3)*(TYPE3&lt;&gt;"")+('Dvd Calendar'!$AK$929=TYPE4)*(TYPE4&lt;&gt;"")+('Dvd Calendar'!$AK$929=SPECIAL_LBL)*(INC_SPECIALS="Y"))=0,"",'Dvd Calendar'!$AK$927)))</f>
        <v/>
      </c>
      <c r="AJ95" s="106">
        <f>IF(FL95="","",IF(ISNUMBER('Dvd Calendar'!$AL$927)=FALSE,"",IF((('Dvd Calendar'!$AL$929=TYPE1)*(TYPE1&lt;&gt;"")+('Dvd Calendar'!$AL$929=TYPE2)*(TYPE2&lt;&gt;"")+('Dvd Calendar'!$AL$929=TYPE3)*(TYPE3&lt;&gt;"")+('Dvd Calendar'!$AL$929=TYPE4)*(TYPE4&lt;&gt;"")+('Dvd Calendar'!$AL$929=SPECIAL_LBL)*(INC_SPECIALS="Y"))=0,"",'Dvd Calendar'!$AL$927)))</f>
        <v/>
      </c>
      <c r="AK95" s="106">
        <f>IF(FM95="","",IF(ISNUMBER('Dvd Calendar'!$AM$927)=FALSE,"",IF((('Dvd Calendar'!$AM$929=TYPE1)*(TYPE1&lt;&gt;"")+('Dvd Calendar'!$AM$929=TYPE2)*(TYPE2&lt;&gt;"")+('Dvd Calendar'!$AM$929=TYPE3)*(TYPE3&lt;&gt;"")+('Dvd Calendar'!$AM$929=TYPE4)*(TYPE4&lt;&gt;"")+('Dvd Calendar'!$AM$929=SPECIAL_LBL)*(INC_SPECIALS="Y"))=0,"",'Dvd Calendar'!$AM$927)))</f>
        <v/>
      </c>
      <c r="AL95" s="106">
        <f>IF(FN95="","",IF(ISNUMBER('Dvd Calendar'!$AN$927)=FALSE,"",IF((('Dvd Calendar'!$AN$929=TYPE1)*(TYPE1&lt;&gt;"")+('Dvd Calendar'!$AN$929=TYPE2)*(TYPE2&lt;&gt;"")+('Dvd Calendar'!$AN$929=TYPE3)*(TYPE3&lt;&gt;"")+('Dvd Calendar'!$AN$929=TYPE4)*(TYPE4&lt;&gt;"")+('Dvd Calendar'!$AN$929=SPECIAL_LBL)*(INC_SPECIALS="Y"))=0,"",'Dvd Calendar'!$AN$927)))</f>
        <v/>
      </c>
      <c r="AM95" s="106">
        <f>IF(FO95="","",IF(ISNUMBER('Dvd Calendar'!$AO$927)=FALSE,"",IF((('Dvd Calendar'!$AO$929=TYPE1)*(TYPE1&lt;&gt;"")+('Dvd Calendar'!$AO$929=TYPE2)*(TYPE2&lt;&gt;"")+('Dvd Calendar'!$AO$929=TYPE3)*(TYPE3&lt;&gt;"")+('Dvd Calendar'!$AO$929=TYPE4)*(TYPE4&lt;&gt;"")+('Dvd Calendar'!$AO$929=SPECIAL_LBL)*(INC_SPECIALS="Y"))=0,"",'Dvd Calendar'!$AO$927)))</f>
        <v/>
      </c>
      <c r="AN95" s="106">
        <f>IF(FP95="","",IF(ISNUMBER('Dvd Calendar'!$AP$927)=FALSE,"",IF((('Dvd Calendar'!$AP$929=TYPE1)*(TYPE1&lt;&gt;"")+('Dvd Calendar'!$AP$929=TYPE2)*(TYPE2&lt;&gt;"")+('Dvd Calendar'!$AP$929=TYPE3)*(TYPE3&lt;&gt;"")+('Dvd Calendar'!$AP$929=TYPE4)*(TYPE4&lt;&gt;"")+('Dvd Calendar'!$AP$929=SPECIAL_LBL)*(INC_SPECIALS="Y"))=0,"",'Dvd Calendar'!$AP$927)))</f>
        <v/>
      </c>
      <c r="AO95" s="106">
        <f>IF(FQ95="","",IF(ISNUMBER('Dvd Calendar'!$AQ$927)=FALSE,"",IF((('Dvd Calendar'!$AQ$929=TYPE1)*(TYPE1&lt;&gt;"")+('Dvd Calendar'!$AQ$929=TYPE2)*(TYPE2&lt;&gt;"")+('Dvd Calendar'!$AQ$929=TYPE3)*(TYPE3&lt;&gt;"")+('Dvd Calendar'!$AQ$929=TYPE4)*(TYPE4&lt;&gt;"")+('Dvd Calendar'!$AQ$929=SPECIAL_LBL)*(INC_SPECIALS="Y"))=0,"",'Dvd Calendar'!$AQ$927)))</f>
        <v/>
      </c>
      <c r="AP95" s="106">
        <f>IF(FR95="","",IF(ISNUMBER('Dvd Calendar'!$AR$927)=FALSE,"",IF((('Dvd Calendar'!$AR$929=TYPE1)*(TYPE1&lt;&gt;"")+('Dvd Calendar'!$AR$929=TYPE2)*(TYPE2&lt;&gt;"")+('Dvd Calendar'!$AR$929=TYPE3)*(TYPE3&lt;&gt;"")+('Dvd Calendar'!$AR$929=TYPE4)*(TYPE4&lt;&gt;"")+('Dvd Calendar'!$AR$929=SPECIAL_LBL)*(INC_SPECIALS="Y"))=0,"",'Dvd Calendar'!$AR$927)))</f>
        <v/>
      </c>
      <c r="AQ95" s="106">
        <f>IF(FS95="","",IF(ISNUMBER('Dvd Calendar'!$E$932)=FALSE,"",'Dvd Calendar'!$E$932))</f>
        <v/>
      </c>
      <c r="AR95" s="106">
        <f>IF(FT95="","",IF(ISNUMBER('Dvd Calendar'!$F$932)=FALSE,"",'Dvd Calendar'!$F$932))</f>
        <v/>
      </c>
      <c r="AS95" s="106">
        <f>IF(FU95="","",IF(ISNUMBER('Dvd Calendar'!$G$932)=FALSE,"",'Dvd Calendar'!$G$932))</f>
        <v/>
      </c>
      <c r="AT95" s="106">
        <f>IF(FV95="","",IF(ISNUMBER('Dvd Calendar'!$H$932)=FALSE,"",'Dvd Calendar'!$H$932))</f>
        <v/>
      </c>
      <c r="AU95" s="106">
        <f>IF(FW95="","",IF(ISNUMBER('Dvd Calendar'!$I$932)=FALSE,"",'Dvd Calendar'!$I$932))</f>
        <v/>
      </c>
      <c r="AV95" s="106">
        <f>IF(FX95="","",IF(ISNUMBER('Dvd Calendar'!$J$932)=FALSE,"",'Dvd Calendar'!$J$932))</f>
        <v/>
      </c>
      <c r="AW95" s="106">
        <f>IF(FY95="","",IF(ISNUMBER('Dvd Calendar'!$K$932)=FALSE,"",'Dvd Calendar'!$K$932))</f>
        <v/>
      </c>
      <c r="AX95" s="106">
        <f>IF(FZ95="","",IF(ISNUMBER('Dvd Calendar'!$L$932)=FALSE,"",'Dvd Calendar'!$L$932))</f>
        <v/>
      </c>
      <c r="AY95" s="106">
        <f>IF(GA95="","",IF(ISNUMBER('Dvd Calendar'!$M$932)=FALSE,"",'Dvd Calendar'!$M$932))</f>
        <v/>
      </c>
      <c r="AZ95" s="106">
        <f>IF(GB95="","",IF(ISNUMBER('Dvd Calendar'!$N$932)=FALSE,"",'Dvd Calendar'!$N$932))</f>
        <v/>
      </c>
      <c r="BA95" s="106">
        <f>IF(GC95="","",IF(ISNUMBER('Dvd Calendar'!$O$932)=FALSE,"",'Dvd Calendar'!$O$932))</f>
        <v/>
      </c>
      <c r="BB95" s="106">
        <f>IF(GD95="","",IF(ISNUMBER('Dvd Calendar'!$P$932)=FALSE,"",'Dvd Calendar'!$P$932))</f>
        <v/>
      </c>
      <c r="BC95" s="106">
        <f>IF(GE95="","",IF(ISNUMBER('Dvd Calendar'!$Q$932)=FALSE,"",'Dvd Calendar'!$Q$932))</f>
        <v/>
      </c>
      <c r="BD95" s="106">
        <f>IF(GF95="","",IF(ISNUMBER('Dvd Calendar'!$R$932)=FALSE,"",'Dvd Calendar'!$R$932))</f>
        <v/>
      </c>
      <c r="BE95" s="106">
        <f>IF(GG95="","",IF(ISNUMBER('Dvd Calendar'!$S$932)=FALSE,"",'Dvd Calendar'!$S$932))</f>
        <v/>
      </c>
      <c r="BF95" s="106">
        <f>IF(GH95="","",IF(ISNUMBER('Dvd Calendar'!$T$932)=FALSE,"",'Dvd Calendar'!$T$932))</f>
        <v/>
      </c>
      <c r="BG95" s="106">
        <f>IF(GI95="","",IF(ISNUMBER('Dvd Calendar'!$U$932)=FALSE,"",'Dvd Calendar'!$U$932))</f>
        <v/>
      </c>
      <c r="BH95" s="106">
        <f>IF(GJ95="","",IF(ISNUMBER('Dvd Calendar'!$V$932)=FALSE,"",'Dvd Calendar'!$V$932))</f>
        <v/>
      </c>
      <c r="BI95" s="106">
        <f>IF(GK95="","",IF(ISNUMBER('Dvd Calendar'!$W$932)=FALSE,"",'Dvd Calendar'!$W$932))</f>
        <v/>
      </c>
      <c r="BJ95" s="106">
        <f>IF(GL95="","",IF(ISNUMBER('Dvd Calendar'!$X$932)=FALSE,"",'Dvd Calendar'!$X$932))</f>
        <v/>
      </c>
      <c r="BK95" s="106">
        <f>IF(GM95="","",IF(ISNUMBER('Dvd Calendar'!$Y$932)=FALSE,"",'Dvd Calendar'!$Y$932))</f>
        <v/>
      </c>
      <c r="BL95" s="106">
        <f>IF(GN95="","",IF(ISNUMBER('Dvd Calendar'!$Z$932)=FALSE,"",'Dvd Calendar'!$Z$932))</f>
        <v/>
      </c>
      <c r="BM95" s="106">
        <f>IF(GO95="","",IF(ISNUMBER('Dvd Calendar'!$AA$932)=FALSE,"",'Dvd Calendar'!$AA$932))</f>
        <v/>
      </c>
      <c r="BN95" s="106">
        <f>IF(GP95="","",IF(ISNUMBER('Dvd Calendar'!$AB$932)=FALSE,"",'Dvd Calendar'!$AB$932))</f>
        <v/>
      </c>
      <c r="BO95" s="106">
        <f>IF(GQ95="","",IF(ISNUMBER('Dvd Calendar'!$AC$932)=FALSE,"",'Dvd Calendar'!$AC$932))</f>
        <v/>
      </c>
      <c r="BQ95" s="106">
        <f>IF(C95="","",IFERROR(C95*HSI!$B$90*HSI!$G$90/HSI!$B$3,""))</f>
        <v/>
      </c>
      <c r="BR95" s="106">
        <f>IF(D95="","",IFERROR(D95*HSI!$B$90*HSI!$G$90/HSI!$B$3,""))</f>
        <v/>
      </c>
      <c r="BS95" s="106">
        <f>IF(E95="","",IFERROR(E95*HSI!$B$90*HSI!$G$90/HSI!$B$3,""))</f>
        <v/>
      </c>
      <c r="BT95" s="106">
        <f>IF(F95="","",IFERROR(F95*HSI!$B$90*HSI!$G$90/HSI!$B$3,""))</f>
        <v/>
      </c>
      <c r="BU95" s="106">
        <f>IF(G95="","",IFERROR(G95*HSI!$B$90*HSI!$G$90/HSI!$B$3,""))</f>
        <v/>
      </c>
      <c r="BV95" s="106">
        <f>IF(H95="","",IFERROR(H95*HSI!$B$90*HSI!$G$90/HSI!$B$3,""))</f>
        <v/>
      </c>
      <c r="BW95" s="106">
        <f>IF(I95="","",IFERROR(I95*HSI!$B$90*HSI!$G$90/HSI!$B$3,""))</f>
        <v/>
      </c>
      <c r="BX95" s="106">
        <f>IF(J95="","",IFERROR(J95*HSI!$B$90*HSI!$G$90/HSI!$B$3,""))</f>
        <v/>
      </c>
      <c r="BY95" s="106">
        <f>IF(K95="","",IFERROR(K95*HSI!$B$90*HSI!$G$90/HSI!$B$3,""))</f>
        <v/>
      </c>
      <c r="BZ95" s="106">
        <f>IF(L95="","",IFERROR(L95*HSI!$B$90*HSI!$G$90/HSI!$B$3,""))</f>
        <v/>
      </c>
      <c r="CA95" s="106">
        <f>IF(M95="","",IFERROR(M95*HSI!$B$90*HSI!$G$90/HSI!$B$3,""))</f>
        <v/>
      </c>
      <c r="CB95" s="106">
        <f>IF(N95="","",IFERROR(N95*HSI!$B$90*HSI!$G$90/HSI!$B$3,""))</f>
        <v/>
      </c>
      <c r="CC95" s="106">
        <f>IF(O95="","",IFERROR(O95*HSI!$B$90*HSI!$G$90/HSI!$B$3,""))</f>
        <v/>
      </c>
      <c r="CD95" s="106">
        <f>IF(P95="","",IFERROR(P95*HSI!$B$90*HSI!$G$90/HSI!$B$3,""))</f>
        <v/>
      </c>
      <c r="CE95" s="106">
        <f>IF(Q95="","",IFERROR(Q95*HSI!$B$90*HSI!$G$90/HSI!$B$3,""))</f>
        <v/>
      </c>
      <c r="CF95" s="106">
        <f>IF(R95="","",IFERROR(R95*HSI!$B$90*HSI!$G$90/HSI!$B$3,""))</f>
        <v/>
      </c>
      <c r="CG95" s="106">
        <f>IF(S95="","",IFERROR(S95*HSI!$B$90*HSI!$G$90/HSI!$B$3,""))</f>
        <v/>
      </c>
      <c r="CH95" s="106">
        <f>IF(T95="","",IFERROR(T95*HSI!$B$90*HSI!$G$90/HSI!$B$3,""))</f>
        <v/>
      </c>
      <c r="CI95" s="106">
        <f>IF(U95="","",IFERROR(U95*HSI!$B$90*HSI!$G$90/HSI!$B$3,""))</f>
        <v/>
      </c>
      <c r="CJ95" s="106">
        <f>IF(V95="","",IFERROR(V95*HSI!$B$90*HSI!$G$90/HSI!$B$3,""))</f>
        <v/>
      </c>
      <c r="CK95" s="106">
        <f>IF(W95="","",IFERROR(W95*HSI!$B$90*HSI!$G$90/HSI!$B$3,""))</f>
        <v/>
      </c>
      <c r="CL95" s="106">
        <f>IF(X95="","",IFERROR(X95*HSI!$B$90*HSI!$G$90/HSI!$B$3,""))</f>
        <v/>
      </c>
      <c r="CM95" s="106">
        <f>IF(Y95="","",IFERROR(Y95*HSI!$B$90*HSI!$G$90/HSI!$B$3,""))</f>
        <v/>
      </c>
      <c r="CN95" s="106">
        <f>IF(Z95="","",IFERROR(Z95*HSI!$B$90*HSI!$G$90/HSI!$B$3,""))</f>
        <v/>
      </c>
      <c r="CO95" s="106">
        <f>IF(AA95="","",IFERROR(AA95*HSI!$B$90*HSI!$G$90/HSI!$B$3,""))</f>
        <v/>
      </c>
      <c r="CP95" s="106">
        <f>IF(AB95="","",IFERROR(AB95*HSI!$B$90*HSI!$G$90/HSI!$B$3,""))</f>
        <v/>
      </c>
      <c r="CQ95" s="106">
        <f>IF(AC95="","",IFERROR(AC95*HSI!$B$90*HSI!$G$90/HSI!$B$3,""))</f>
        <v/>
      </c>
      <c r="CR95" s="106">
        <f>IF(AD95="","",IFERROR(AD95*HSI!$B$90*HSI!$G$90/HSI!$B$3,""))</f>
        <v/>
      </c>
      <c r="CS95" s="106">
        <f>IF(AE95="","",IFERROR(AE95*HSI!$B$90*HSI!$G$90/HSI!$B$3,""))</f>
        <v/>
      </c>
      <c r="CT95" s="106">
        <f>IF(AF95="","",IFERROR(AF95*HSI!$B$90*HSI!$G$90/HSI!$B$3,""))</f>
        <v/>
      </c>
      <c r="CU95" s="106">
        <f>IF(AG95="","",IFERROR(AG95*HSI!$B$90*HSI!$G$90/HSI!$B$3,""))</f>
        <v/>
      </c>
      <c r="CV95" s="106">
        <f>IF(AH95="","",IFERROR(AH95*HSI!$B$90*HSI!$G$90/HSI!$B$3,""))</f>
        <v/>
      </c>
      <c r="CW95" s="106">
        <f>IF(AI95="","",IFERROR(AI95*HSI!$B$90*HSI!$G$90/HSI!$B$3,""))</f>
        <v/>
      </c>
      <c r="CX95" s="106">
        <f>IF(AJ95="","",IFERROR(AJ95*HSI!$B$90*HSI!$G$90/HSI!$B$3,""))</f>
        <v/>
      </c>
      <c r="CY95" s="106">
        <f>IF(AK95="","",IFERROR(AK95*HSI!$B$90*HSI!$G$90/HSI!$B$3,""))</f>
        <v/>
      </c>
      <c r="CZ95" s="106">
        <f>IF(AL95="","",IFERROR(AL95*HSI!$B$90*HSI!$G$90/HSI!$B$3,""))</f>
        <v/>
      </c>
      <c r="DA95" s="106">
        <f>IF(AM95="","",IFERROR(AM95*HSI!$B$90*HSI!$G$90/HSI!$B$3,""))</f>
        <v/>
      </c>
      <c r="DB95" s="106">
        <f>IF(AN95="","",IFERROR(AN95*HSI!$B$90*HSI!$G$90/HSI!$B$3,""))</f>
        <v/>
      </c>
      <c r="DC95" s="106">
        <f>IF(AO95="","",IFERROR(AO95*HSI!$B$90*HSI!$G$90/HSI!$B$3,""))</f>
        <v/>
      </c>
      <c r="DD95" s="106">
        <f>IF(AP95="","",IFERROR(AP95*HSI!$B$90*HSI!$G$90/HSI!$B$3,""))</f>
        <v/>
      </c>
      <c r="DE95" s="106">
        <f>IF(AQ95="","",IFERROR(AQ95*HSI!$B$90*HSI!$G$90/HSI!$B$3,""))</f>
        <v/>
      </c>
      <c r="DF95" s="106">
        <f>IF(AR95="","",IFERROR(AR95*HSI!$B$90*HSI!$G$90/HSI!$B$3,""))</f>
        <v/>
      </c>
      <c r="DG95" s="106">
        <f>IF(AS95="","",IFERROR(AS95*HSI!$B$90*HSI!$G$90/HSI!$B$3,""))</f>
        <v/>
      </c>
      <c r="DH95" s="106">
        <f>IF(AT95="","",IFERROR(AT95*HSI!$B$90*HSI!$G$90/HSI!$B$3,""))</f>
        <v/>
      </c>
      <c r="DI95" s="106">
        <f>IF(AU95="","",IFERROR(AU95*HSI!$B$90*HSI!$G$90/HSI!$B$3,""))</f>
        <v/>
      </c>
      <c r="DJ95" s="106">
        <f>IF(AV95="","",IFERROR(AV95*HSI!$B$90*HSI!$G$90/HSI!$B$3,""))</f>
        <v/>
      </c>
      <c r="DK95" s="106">
        <f>IF(AW95="","",IFERROR(AW95*HSI!$B$90*HSI!$G$90/HSI!$B$3,""))</f>
        <v/>
      </c>
      <c r="DL95" s="106">
        <f>IF(AX95="","",IFERROR(AX95*HSI!$B$90*HSI!$G$90/HSI!$B$3,""))</f>
        <v/>
      </c>
      <c r="DM95" s="106">
        <f>IF(AY95="","",IFERROR(AY95*HSI!$B$90*HSI!$G$90/HSI!$B$3,""))</f>
        <v/>
      </c>
      <c r="DN95" s="106">
        <f>IF(AZ95="","",IFERROR(AZ95*HSI!$B$90*HSI!$G$90/HSI!$B$3,""))</f>
        <v/>
      </c>
      <c r="DO95" s="106">
        <f>IF(BA95="","",IFERROR(BA95*HSI!$B$90*HSI!$G$90/HSI!$B$3,""))</f>
        <v/>
      </c>
      <c r="DP95" s="106">
        <f>IF(BB95="","",IFERROR(BB95*HSI!$B$90*HSI!$G$90/HSI!$B$3,""))</f>
        <v/>
      </c>
      <c r="DQ95" s="106">
        <f>IF(BC95="","",IFERROR(BC95*HSI!$B$90*HSI!$G$90/HSI!$B$3,""))</f>
        <v/>
      </c>
      <c r="DR95" s="106">
        <f>IF(BD95="","",IFERROR(BD95*HSI!$B$90*HSI!$G$90/HSI!$B$3,""))</f>
        <v/>
      </c>
      <c r="DS95" s="106">
        <f>IF(BE95="","",IFERROR(BE95*HSI!$B$90*HSI!$G$90/HSI!$B$3,""))</f>
        <v/>
      </c>
      <c r="DT95" s="106">
        <f>IF(BF95="","",IFERROR(BF95*HSI!$B$90*HSI!$G$90/HSI!$B$3,""))</f>
        <v/>
      </c>
      <c r="DU95" s="106">
        <f>IF(BG95="","",IFERROR(BG95*HSI!$B$90*HSI!$G$90/HSI!$B$3,""))</f>
        <v/>
      </c>
      <c r="DV95" s="106">
        <f>IF(BH95="","",IFERROR(BH95*HSI!$B$90*HSI!$G$90/HSI!$B$3,""))</f>
        <v/>
      </c>
      <c r="DW95" s="106">
        <f>IF(BI95="","",IFERROR(BI95*HSI!$B$90*HSI!$G$90/HSI!$B$3,""))</f>
        <v/>
      </c>
      <c r="DX95" s="106">
        <f>IF(BJ95="","",IFERROR(BJ95*HSI!$B$90*HSI!$G$90/HSI!$B$3,""))</f>
        <v/>
      </c>
      <c r="DY95" s="106">
        <f>IF(BK95="","",IFERROR(BK95*HSI!$B$90*HSI!$G$90/HSI!$B$3,""))</f>
        <v/>
      </c>
      <c r="DZ95" s="106">
        <f>IF(BL95="","",IFERROR(BL95*HSI!$B$90*HSI!$G$90/HSI!$B$3,""))</f>
        <v/>
      </c>
      <c r="EA95" s="106">
        <f>IF(BM95="","",IFERROR(BM95*HSI!$B$90*HSI!$G$90/HSI!$B$3,""))</f>
        <v/>
      </c>
      <c r="EB95" s="106">
        <f>IF(BN95="","",IFERROR(BN95*HSI!$B$90*HSI!$G$90/HSI!$B$3,""))</f>
        <v/>
      </c>
      <c r="EC95" s="106">
        <f>IF(BO95="","",IFERROR(BO95*HSI!$B$90*HSI!$G$90/HSI!$B$3,""))</f>
        <v/>
      </c>
      <c r="EE95" s="35">
        <f>IF(N('Dvd Calendar'!$E$924)=0,"",IF(('Dvd Calendar'!$E$924&gt;=GRID_FROM)*('Dvd Calendar'!$E$924&lt;=GRID_TO)*('Dvd Calendar'!$E$924&lt;=VAL_DATE)=0,"",'Dvd Calendar'!$E$924*1000000000+ISNUMBER('Dvd Calendar'!$E$927)*100000000+('Dvd Calendar'!$E$929=SPECIAL_LBL)*10000000+0*1000000+84*1000+1))</f>
        <v/>
      </c>
      <c r="EF95" s="35">
        <f>IF(N('Dvd Calendar'!$F$924)=0,"",IF(('Dvd Calendar'!$F$924&gt;=GRID_FROM)*('Dvd Calendar'!$F$924&lt;=GRID_TO)*('Dvd Calendar'!$F$924&lt;=VAL_DATE)=0,"",'Dvd Calendar'!$F$924*1000000000+ISNUMBER('Dvd Calendar'!$F$927)*100000000+('Dvd Calendar'!$F$929=SPECIAL_LBL)*10000000+0*1000000+84*1000+2))</f>
        <v/>
      </c>
      <c r="EG95" s="35">
        <f>IF(N('Dvd Calendar'!$G$924)=0,"",IF(('Dvd Calendar'!$G$924&gt;=GRID_FROM)*('Dvd Calendar'!$G$924&lt;=GRID_TO)*('Dvd Calendar'!$G$924&lt;=VAL_DATE)=0,"",'Dvd Calendar'!$G$924*1000000000+ISNUMBER('Dvd Calendar'!$G$927)*100000000+('Dvd Calendar'!$G$929=SPECIAL_LBL)*10000000+0*1000000+84*1000+3))</f>
        <v/>
      </c>
      <c r="EH95" s="35">
        <f>IF(N('Dvd Calendar'!$H$924)=0,"",IF(('Dvd Calendar'!$H$924&gt;=GRID_FROM)*('Dvd Calendar'!$H$924&lt;=GRID_TO)*('Dvd Calendar'!$H$924&lt;=VAL_DATE)=0,"",'Dvd Calendar'!$H$924*1000000000+ISNUMBER('Dvd Calendar'!$H$927)*100000000+('Dvd Calendar'!$H$929=SPECIAL_LBL)*10000000+0*1000000+84*1000+4))</f>
        <v/>
      </c>
      <c r="EI95" s="35">
        <f>IF(N('Dvd Calendar'!$I$924)=0,"",IF(('Dvd Calendar'!$I$924&gt;=GRID_FROM)*('Dvd Calendar'!$I$924&lt;=GRID_TO)*('Dvd Calendar'!$I$924&lt;=VAL_DATE)=0,"",'Dvd Calendar'!$I$924*1000000000+ISNUMBER('Dvd Calendar'!$I$927)*100000000+('Dvd Calendar'!$I$929=SPECIAL_LBL)*10000000+0*1000000+84*1000+5))</f>
        <v/>
      </c>
      <c r="EJ95" s="35">
        <f>IF(N('Dvd Calendar'!$J$924)=0,"",IF(('Dvd Calendar'!$J$924&gt;=GRID_FROM)*('Dvd Calendar'!$J$924&lt;=GRID_TO)*('Dvd Calendar'!$J$924&lt;=VAL_DATE)=0,"",'Dvd Calendar'!$J$924*1000000000+ISNUMBER('Dvd Calendar'!$J$927)*100000000+('Dvd Calendar'!$J$929=SPECIAL_LBL)*10000000+0*1000000+84*1000+6))</f>
        <v/>
      </c>
      <c r="EK95" s="35">
        <f>IF(N('Dvd Calendar'!$K$924)=0,"",IF(('Dvd Calendar'!$K$924&gt;=GRID_FROM)*('Dvd Calendar'!$K$924&lt;=GRID_TO)*('Dvd Calendar'!$K$924&lt;=VAL_DATE)=0,"",'Dvd Calendar'!$K$924*1000000000+ISNUMBER('Dvd Calendar'!$K$927)*100000000+('Dvd Calendar'!$K$929=SPECIAL_LBL)*10000000+0*1000000+84*1000+7))</f>
        <v/>
      </c>
      <c r="EL95" s="35">
        <f>IF(N('Dvd Calendar'!$L$924)=0,"",IF(('Dvd Calendar'!$L$924&gt;=GRID_FROM)*('Dvd Calendar'!$L$924&lt;=GRID_TO)*('Dvd Calendar'!$L$924&lt;=VAL_DATE)=0,"",'Dvd Calendar'!$L$924*1000000000+ISNUMBER('Dvd Calendar'!$L$927)*100000000+('Dvd Calendar'!$L$929=SPECIAL_LBL)*10000000+0*1000000+84*1000+8))</f>
        <v/>
      </c>
      <c r="EM95" s="35">
        <f>IF(N('Dvd Calendar'!$M$924)=0,"",IF(('Dvd Calendar'!$M$924&gt;=GRID_FROM)*('Dvd Calendar'!$M$924&lt;=GRID_TO)*('Dvd Calendar'!$M$924&lt;=VAL_DATE)=0,"",'Dvd Calendar'!$M$924*1000000000+ISNUMBER('Dvd Calendar'!$M$927)*100000000+('Dvd Calendar'!$M$929=SPECIAL_LBL)*10000000+0*1000000+84*1000+9))</f>
        <v/>
      </c>
      <c r="EN95" s="35">
        <f>IF(N('Dvd Calendar'!$N$924)=0,"",IF(('Dvd Calendar'!$N$924&gt;=GRID_FROM)*('Dvd Calendar'!$N$924&lt;=GRID_TO)*('Dvd Calendar'!$N$924&lt;=VAL_DATE)=0,"",'Dvd Calendar'!$N$924*1000000000+ISNUMBER('Dvd Calendar'!$N$927)*100000000+('Dvd Calendar'!$N$929=SPECIAL_LBL)*10000000+0*1000000+84*1000+10))</f>
        <v/>
      </c>
      <c r="EO95" s="35">
        <f>IF(N('Dvd Calendar'!$O$924)=0,"",IF(('Dvd Calendar'!$O$924&gt;=GRID_FROM)*('Dvd Calendar'!$O$924&lt;=GRID_TO)*('Dvd Calendar'!$O$924&lt;=VAL_DATE)=0,"",'Dvd Calendar'!$O$924*1000000000+ISNUMBER('Dvd Calendar'!$O$927)*100000000+('Dvd Calendar'!$O$929=SPECIAL_LBL)*10000000+0*1000000+84*1000+11))</f>
        <v/>
      </c>
      <c r="EP95" s="35">
        <f>IF(N('Dvd Calendar'!$P$924)=0,"",IF(('Dvd Calendar'!$P$924&gt;=GRID_FROM)*('Dvd Calendar'!$P$924&lt;=GRID_TO)*('Dvd Calendar'!$P$924&lt;=VAL_DATE)=0,"",'Dvd Calendar'!$P$924*1000000000+ISNUMBER('Dvd Calendar'!$P$927)*100000000+('Dvd Calendar'!$P$929=SPECIAL_LBL)*10000000+0*1000000+84*1000+12))</f>
        <v/>
      </c>
      <c r="EQ95" s="35">
        <f>IF(N('Dvd Calendar'!$Q$924)=0,"",IF(('Dvd Calendar'!$Q$924&gt;=GRID_FROM)*('Dvd Calendar'!$Q$924&lt;=GRID_TO)*('Dvd Calendar'!$Q$924&lt;=VAL_DATE)=0,"",'Dvd Calendar'!$Q$924*1000000000+ISNUMBER('Dvd Calendar'!$Q$927)*100000000+('Dvd Calendar'!$Q$929=SPECIAL_LBL)*10000000+0*1000000+84*1000+13))</f>
        <v/>
      </c>
      <c r="ER95" s="35">
        <f>IF(N('Dvd Calendar'!$R$924)=0,"",IF(('Dvd Calendar'!$R$924&gt;=GRID_FROM)*('Dvd Calendar'!$R$924&lt;=GRID_TO)*('Dvd Calendar'!$R$924&lt;=VAL_DATE)=0,"",'Dvd Calendar'!$R$924*1000000000+ISNUMBER('Dvd Calendar'!$R$927)*100000000+('Dvd Calendar'!$R$929=SPECIAL_LBL)*10000000+0*1000000+84*1000+14))</f>
        <v/>
      </c>
      <c r="ES95" s="35">
        <f>IF(N('Dvd Calendar'!$S$924)=0,"",IF(('Dvd Calendar'!$S$924&gt;=GRID_FROM)*('Dvd Calendar'!$S$924&lt;=GRID_TO)*('Dvd Calendar'!$S$924&lt;=VAL_DATE)=0,"",'Dvd Calendar'!$S$924*1000000000+ISNUMBER('Dvd Calendar'!$S$927)*100000000+('Dvd Calendar'!$S$929=SPECIAL_LBL)*10000000+0*1000000+84*1000+15))</f>
        <v/>
      </c>
      <c r="ET95" s="35">
        <f>IF(N('Dvd Calendar'!$T$924)=0,"",IF(('Dvd Calendar'!$T$924&gt;=GRID_FROM)*('Dvd Calendar'!$T$924&lt;=GRID_TO)*('Dvd Calendar'!$T$924&lt;=VAL_DATE)=0,"",'Dvd Calendar'!$T$924*1000000000+ISNUMBER('Dvd Calendar'!$T$927)*100000000+('Dvd Calendar'!$T$929=SPECIAL_LBL)*10000000+0*1000000+84*1000+16))</f>
        <v/>
      </c>
      <c r="EU95" s="35">
        <f>IF(N('Dvd Calendar'!$U$924)=0,"",IF(('Dvd Calendar'!$U$924&gt;=GRID_FROM)*('Dvd Calendar'!$U$924&lt;=GRID_TO)*('Dvd Calendar'!$U$924&lt;=VAL_DATE)=0,"",'Dvd Calendar'!$U$924*1000000000+ISNUMBER('Dvd Calendar'!$U$927)*100000000+('Dvd Calendar'!$U$929=SPECIAL_LBL)*10000000+0*1000000+84*1000+17))</f>
        <v/>
      </c>
      <c r="EV95" s="35">
        <f>IF(N('Dvd Calendar'!$V$924)=0,"",IF(('Dvd Calendar'!$V$924&gt;=GRID_FROM)*('Dvd Calendar'!$V$924&lt;=GRID_TO)*('Dvd Calendar'!$V$924&lt;=VAL_DATE)=0,"",'Dvd Calendar'!$V$924*1000000000+ISNUMBER('Dvd Calendar'!$V$927)*100000000+('Dvd Calendar'!$V$929=SPECIAL_LBL)*10000000+0*1000000+84*1000+18))</f>
        <v/>
      </c>
      <c r="EW95" s="35">
        <f>IF(N('Dvd Calendar'!$W$924)=0,"",IF(('Dvd Calendar'!$W$924&gt;=GRID_FROM)*('Dvd Calendar'!$W$924&lt;=GRID_TO)*('Dvd Calendar'!$W$924&lt;=VAL_DATE)=0,"",'Dvd Calendar'!$W$924*1000000000+ISNUMBER('Dvd Calendar'!$W$927)*100000000+('Dvd Calendar'!$W$929=SPECIAL_LBL)*10000000+0*1000000+84*1000+19))</f>
        <v/>
      </c>
      <c r="EX95" s="35">
        <f>IF(N('Dvd Calendar'!$X$924)=0,"",IF(('Dvd Calendar'!$X$924&gt;=GRID_FROM)*('Dvd Calendar'!$X$924&lt;=GRID_TO)*('Dvd Calendar'!$X$924&lt;=VAL_DATE)=0,"",'Dvd Calendar'!$X$924*1000000000+ISNUMBER('Dvd Calendar'!$X$927)*100000000+('Dvd Calendar'!$X$929=SPECIAL_LBL)*10000000+0*1000000+84*1000+20))</f>
        <v/>
      </c>
      <c r="EY95" s="35">
        <f>IF(N('Dvd Calendar'!$Y$924)=0,"",IF(('Dvd Calendar'!$Y$924&gt;=GRID_FROM)*('Dvd Calendar'!$Y$924&lt;=GRID_TO)*('Dvd Calendar'!$Y$924&lt;=VAL_DATE)=0,"",'Dvd Calendar'!$Y$924*1000000000+ISNUMBER('Dvd Calendar'!$Y$927)*100000000+('Dvd Calendar'!$Y$929=SPECIAL_LBL)*10000000+0*1000000+84*1000+21))</f>
        <v/>
      </c>
      <c r="EZ95" s="35">
        <f>IF(N('Dvd Calendar'!$Z$924)=0,"",IF(('Dvd Calendar'!$Z$924&gt;=GRID_FROM)*('Dvd Calendar'!$Z$924&lt;=GRID_TO)*('Dvd Calendar'!$Z$924&lt;=VAL_DATE)=0,"",'Dvd Calendar'!$Z$924*1000000000+ISNUMBER('Dvd Calendar'!$Z$927)*100000000+('Dvd Calendar'!$Z$929=SPECIAL_LBL)*10000000+0*1000000+84*1000+22))</f>
        <v/>
      </c>
      <c r="FA95" s="35">
        <f>IF(N('Dvd Calendar'!$AA$924)=0,"",IF(('Dvd Calendar'!$AA$924&gt;=GRID_FROM)*('Dvd Calendar'!$AA$924&lt;=GRID_TO)*('Dvd Calendar'!$AA$924&lt;=VAL_DATE)=0,"",'Dvd Calendar'!$AA$924*1000000000+ISNUMBER('Dvd Calendar'!$AA$927)*100000000+('Dvd Calendar'!$AA$929=SPECIAL_LBL)*10000000+0*1000000+84*1000+23))</f>
        <v/>
      </c>
      <c r="FB95" s="35">
        <f>IF(N('Dvd Calendar'!$AB$924)=0,"",IF(('Dvd Calendar'!$AB$924&gt;=GRID_FROM)*('Dvd Calendar'!$AB$924&lt;=GRID_TO)*('Dvd Calendar'!$AB$924&lt;=VAL_DATE)=0,"",'Dvd Calendar'!$AB$924*1000000000+ISNUMBER('Dvd Calendar'!$AB$927)*100000000+('Dvd Calendar'!$AB$929=SPECIAL_LBL)*10000000+0*1000000+84*1000+24))</f>
        <v/>
      </c>
      <c r="FC95" s="35">
        <f>IF(N('Dvd Calendar'!$AC$924)=0,"",IF(('Dvd Calendar'!$AC$924&gt;=GRID_FROM)*('Dvd Calendar'!$AC$924&lt;=GRID_TO)*('Dvd Calendar'!$AC$924&lt;=VAL_DATE)=0,"",'Dvd Calendar'!$AC$924*1000000000+ISNUMBER('Dvd Calendar'!$AC$927)*100000000+('Dvd Calendar'!$AC$929=SPECIAL_LBL)*10000000+0*1000000+84*1000+25))</f>
        <v/>
      </c>
      <c r="FD95" s="35">
        <f>IF(N('Dvd Calendar'!$AD$924)=0,"",IF(('Dvd Calendar'!$AD$924&gt;=GRID_FROM)*('Dvd Calendar'!$AD$924&lt;=GRID_TO)*('Dvd Calendar'!$AD$924&lt;=VAL_DATE)=0,"",'Dvd Calendar'!$AD$924*1000000000+ISNUMBER('Dvd Calendar'!$AD$927)*100000000+('Dvd Calendar'!$AD$929=SPECIAL_LBL)*10000000+0*1000000+84*1000+26))</f>
        <v/>
      </c>
      <c r="FE95" s="35">
        <f>IF(N('Dvd Calendar'!$AE$924)=0,"",IF(('Dvd Calendar'!$AE$924&gt;=GRID_FROM)*('Dvd Calendar'!$AE$924&lt;=GRID_TO)*('Dvd Calendar'!$AE$924&lt;=VAL_DATE)=0,"",'Dvd Calendar'!$AE$924*1000000000+ISNUMBER('Dvd Calendar'!$AE$927)*100000000+('Dvd Calendar'!$AE$929=SPECIAL_LBL)*10000000+0*1000000+84*1000+27))</f>
        <v/>
      </c>
      <c r="FF95" s="35">
        <f>IF(N('Dvd Calendar'!$AF$924)=0,"",IF(('Dvd Calendar'!$AF$924&gt;=GRID_FROM)*('Dvd Calendar'!$AF$924&lt;=GRID_TO)*('Dvd Calendar'!$AF$924&lt;=VAL_DATE)=0,"",'Dvd Calendar'!$AF$924*1000000000+ISNUMBER('Dvd Calendar'!$AF$927)*100000000+('Dvd Calendar'!$AF$929=SPECIAL_LBL)*10000000+0*1000000+84*1000+28))</f>
        <v/>
      </c>
      <c r="FG95" s="35">
        <f>IF(N('Dvd Calendar'!$AG$924)=0,"",IF(('Dvd Calendar'!$AG$924&gt;=GRID_FROM)*('Dvd Calendar'!$AG$924&lt;=GRID_TO)*('Dvd Calendar'!$AG$924&lt;=VAL_DATE)=0,"",'Dvd Calendar'!$AG$924*1000000000+ISNUMBER('Dvd Calendar'!$AG$927)*100000000+('Dvd Calendar'!$AG$929=SPECIAL_LBL)*10000000+0*1000000+84*1000+29))</f>
        <v/>
      </c>
      <c r="FH95" s="35">
        <f>IF(N('Dvd Calendar'!$AH$924)=0,"",IF(('Dvd Calendar'!$AH$924&gt;=GRID_FROM)*('Dvd Calendar'!$AH$924&lt;=GRID_TO)*('Dvd Calendar'!$AH$924&lt;=VAL_DATE)=0,"",'Dvd Calendar'!$AH$924*1000000000+ISNUMBER('Dvd Calendar'!$AH$927)*100000000+('Dvd Calendar'!$AH$929=SPECIAL_LBL)*10000000+0*1000000+84*1000+30))</f>
        <v/>
      </c>
      <c r="FI95" s="35">
        <f>IF(N('Dvd Calendar'!$AI$924)=0,"",IF(('Dvd Calendar'!$AI$924&gt;=GRID_FROM)*('Dvd Calendar'!$AI$924&lt;=GRID_TO)*('Dvd Calendar'!$AI$924&lt;=VAL_DATE)=0,"",'Dvd Calendar'!$AI$924*1000000000+ISNUMBER('Dvd Calendar'!$AI$927)*100000000+('Dvd Calendar'!$AI$929=SPECIAL_LBL)*10000000+0*1000000+84*1000+31))</f>
        <v/>
      </c>
      <c r="FJ95" s="35">
        <f>IF(N('Dvd Calendar'!$AJ$924)=0,"",IF(('Dvd Calendar'!$AJ$924&gt;=GRID_FROM)*('Dvd Calendar'!$AJ$924&lt;=GRID_TO)*('Dvd Calendar'!$AJ$924&lt;=VAL_DATE)=0,"",'Dvd Calendar'!$AJ$924*1000000000+ISNUMBER('Dvd Calendar'!$AJ$927)*100000000+('Dvd Calendar'!$AJ$929=SPECIAL_LBL)*10000000+0*1000000+84*1000+32))</f>
        <v/>
      </c>
      <c r="FK95" s="35">
        <f>IF(N('Dvd Calendar'!$AK$924)=0,"",IF(('Dvd Calendar'!$AK$924&gt;=GRID_FROM)*('Dvd Calendar'!$AK$924&lt;=GRID_TO)*('Dvd Calendar'!$AK$924&lt;=VAL_DATE)=0,"",'Dvd Calendar'!$AK$924*1000000000+ISNUMBER('Dvd Calendar'!$AK$927)*100000000+('Dvd Calendar'!$AK$929=SPECIAL_LBL)*10000000+0*1000000+84*1000+33))</f>
        <v/>
      </c>
      <c r="FL95" s="35">
        <f>IF(N('Dvd Calendar'!$AL$924)=0,"",IF(('Dvd Calendar'!$AL$924&gt;=GRID_FROM)*('Dvd Calendar'!$AL$924&lt;=GRID_TO)*('Dvd Calendar'!$AL$924&lt;=VAL_DATE)=0,"",'Dvd Calendar'!$AL$924*1000000000+ISNUMBER('Dvd Calendar'!$AL$927)*100000000+('Dvd Calendar'!$AL$929=SPECIAL_LBL)*10000000+0*1000000+84*1000+34))</f>
        <v/>
      </c>
      <c r="FM95" s="35">
        <f>IF(N('Dvd Calendar'!$AM$924)=0,"",IF(('Dvd Calendar'!$AM$924&gt;=GRID_FROM)*('Dvd Calendar'!$AM$924&lt;=GRID_TO)*('Dvd Calendar'!$AM$924&lt;=VAL_DATE)=0,"",'Dvd Calendar'!$AM$924*1000000000+ISNUMBER('Dvd Calendar'!$AM$927)*100000000+('Dvd Calendar'!$AM$929=SPECIAL_LBL)*10000000+0*1000000+84*1000+35))</f>
        <v/>
      </c>
      <c r="FN95" s="35">
        <f>IF(N('Dvd Calendar'!$AN$924)=0,"",IF(('Dvd Calendar'!$AN$924&gt;=GRID_FROM)*('Dvd Calendar'!$AN$924&lt;=GRID_TO)*('Dvd Calendar'!$AN$924&lt;=VAL_DATE)=0,"",'Dvd Calendar'!$AN$924*1000000000+ISNUMBER('Dvd Calendar'!$AN$927)*100000000+('Dvd Calendar'!$AN$929=SPECIAL_LBL)*10000000+0*1000000+84*1000+36))</f>
        <v/>
      </c>
      <c r="FO95" s="35">
        <f>IF(N('Dvd Calendar'!$AO$924)=0,"",IF(('Dvd Calendar'!$AO$924&gt;=GRID_FROM)*('Dvd Calendar'!$AO$924&lt;=GRID_TO)*('Dvd Calendar'!$AO$924&lt;=VAL_DATE)=0,"",'Dvd Calendar'!$AO$924*1000000000+ISNUMBER('Dvd Calendar'!$AO$927)*100000000+('Dvd Calendar'!$AO$929=SPECIAL_LBL)*10000000+0*1000000+84*1000+37))</f>
        <v/>
      </c>
      <c r="FP95" s="35">
        <f>IF(N('Dvd Calendar'!$AP$924)=0,"",IF(('Dvd Calendar'!$AP$924&gt;=GRID_FROM)*('Dvd Calendar'!$AP$924&lt;=GRID_TO)*('Dvd Calendar'!$AP$924&lt;=VAL_DATE)=0,"",'Dvd Calendar'!$AP$924*1000000000+ISNUMBER('Dvd Calendar'!$AP$927)*100000000+('Dvd Calendar'!$AP$929=SPECIAL_LBL)*10000000+0*1000000+84*1000+38))</f>
        <v/>
      </c>
      <c r="FQ95" s="35">
        <f>IF(N('Dvd Calendar'!$AQ$924)=0,"",IF(('Dvd Calendar'!$AQ$924&gt;=GRID_FROM)*('Dvd Calendar'!$AQ$924&lt;=GRID_TO)*('Dvd Calendar'!$AQ$924&lt;=VAL_DATE)=0,"",'Dvd Calendar'!$AQ$924*1000000000+ISNUMBER('Dvd Calendar'!$AQ$927)*100000000+('Dvd Calendar'!$AQ$929=SPECIAL_LBL)*10000000+0*1000000+84*1000+39))</f>
        <v/>
      </c>
      <c r="FR95" s="35">
        <f>IF(N('Dvd Calendar'!$AR$924)=0,"",IF(('Dvd Calendar'!$AR$924&gt;=GRID_FROM)*('Dvd Calendar'!$AR$924&lt;=GRID_TO)*('Dvd Calendar'!$AR$924&lt;=VAL_DATE)=0,"",'Dvd Calendar'!$AR$924*1000000000+ISNUMBER('Dvd Calendar'!$AR$927)*100000000+('Dvd Calendar'!$AR$929=SPECIAL_LBL)*10000000+0*1000000+84*1000+40))</f>
        <v/>
      </c>
      <c r="FS95" s="35">
        <f>IF(N('Dvd Calendar'!$E$931)=0,"",IF(('Dvd Calendar'!$E$931&gt;=GRID_FROM)*('Dvd Calendar'!$E$931&lt;=GRID_TO)*('Dvd Calendar'!$E$931&gt;VAL_DATE)=0,"",'Dvd Calendar'!$E$931*1000000000+ISNUMBER('Dvd Calendar'!$E$932)*100000000+0*10000000+(N('Dvd Calendar'!$E$930)&gt;0)*(N('Dvd Calendar'!$E$930)&lt;=VAL_SERIAL)*1000000+84*1000+41))</f>
        <v/>
      </c>
      <c r="FT95" s="35">
        <f>IF(N('Dvd Calendar'!$F$931)=0,"",IF(('Dvd Calendar'!$F$931&gt;=GRID_FROM)*('Dvd Calendar'!$F$931&lt;=GRID_TO)*('Dvd Calendar'!$F$931&gt;VAL_DATE)=0,"",'Dvd Calendar'!$F$931*1000000000+ISNUMBER('Dvd Calendar'!$F$932)*100000000+0*10000000+(N('Dvd Calendar'!$F$930)&gt;0)*(N('Dvd Calendar'!$F$930)&lt;=VAL_SERIAL)*1000000+84*1000+42))</f>
        <v/>
      </c>
      <c r="FU95" s="35">
        <f>IF(N('Dvd Calendar'!$G$931)=0,"",IF(('Dvd Calendar'!$G$931&gt;=GRID_FROM)*('Dvd Calendar'!$G$931&lt;=GRID_TO)*('Dvd Calendar'!$G$931&gt;VAL_DATE)=0,"",'Dvd Calendar'!$G$931*1000000000+ISNUMBER('Dvd Calendar'!$G$932)*100000000+0*10000000+(N('Dvd Calendar'!$G$930)&gt;0)*(N('Dvd Calendar'!$G$930)&lt;=VAL_SERIAL)*1000000+84*1000+43))</f>
        <v/>
      </c>
      <c r="FV95" s="35">
        <f>IF(N('Dvd Calendar'!$H$931)=0,"",IF(('Dvd Calendar'!$H$931&gt;=GRID_FROM)*('Dvd Calendar'!$H$931&lt;=GRID_TO)*('Dvd Calendar'!$H$931&gt;VAL_DATE)=0,"",'Dvd Calendar'!$H$931*1000000000+ISNUMBER('Dvd Calendar'!$H$932)*100000000+0*10000000+(N('Dvd Calendar'!$H$930)&gt;0)*(N('Dvd Calendar'!$H$930)&lt;=VAL_SERIAL)*1000000+84*1000+44))</f>
        <v/>
      </c>
      <c r="FW95" s="35">
        <f>IF(N('Dvd Calendar'!$I$931)=0,"",IF(('Dvd Calendar'!$I$931&gt;=GRID_FROM)*('Dvd Calendar'!$I$931&lt;=GRID_TO)*('Dvd Calendar'!$I$931&gt;VAL_DATE)=0,"",'Dvd Calendar'!$I$931*1000000000+ISNUMBER('Dvd Calendar'!$I$932)*100000000+0*10000000+(N('Dvd Calendar'!$I$930)&gt;0)*(N('Dvd Calendar'!$I$930)&lt;=VAL_SERIAL)*1000000+84*1000+45))</f>
        <v/>
      </c>
      <c r="FX95" s="35">
        <f>IF(N('Dvd Calendar'!$J$931)=0,"",IF(('Dvd Calendar'!$J$931&gt;=GRID_FROM)*('Dvd Calendar'!$J$931&lt;=GRID_TO)*('Dvd Calendar'!$J$931&gt;VAL_DATE)=0,"",'Dvd Calendar'!$J$931*1000000000+ISNUMBER('Dvd Calendar'!$J$932)*100000000+0*10000000+(N('Dvd Calendar'!$J$930)&gt;0)*(N('Dvd Calendar'!$J$930)&lt;=VAL_SERIAL)*1000000+84*1000+46))</f>
        <v/>
      </c>
      <c r="FY95" s="35">
        <f>IF(N('Dvd Calendar'!$K$931)=0,"",IF(('Dvd Calendar'!$K$931&gt;=GRID_FROM)*('Dvd Calendar'!$K$931&lt;=GRID_TO)*('Dvd Calendar'!$K$931&gt;VAL_DATE)=0,"",'Dvd Calendar'!$K$931*1000000000+ISNUMBER('Dvd Calendar'!$K$932)*100000000+0*10000000+(N('Dvd Calendar'!$K$930)&gt;0)*(N('Dvd Calendar'!$K$930)&lt;=VAL_SERIAL)*1000000+84*1000+47))</f>
        <v/>
      </c>
      <c r="FZ95" s="35">
        <f>IF(N('Dvd Calendar'!$L$931)=0,"",IF(('Dvd Calendar'!$L$931&gt;=GRID_FROM)*('Dvd Calendar'!$L$931&lt;=GRID_TO)*('Dvd Calendar'!$L$931&gt;VAL_DATE)=0,"",'Dvd Calendar'!$L$931*1000000000+ISNUMBER('Dvd Calendar'!$L$932)*100000000+0*10000000+(N('Dvd Calendar'!$L$930)&gt;0)*(N('Dvd Calendar'!$L$930)&lt;=VAL_SERIAL)*1000000+84*1000+48))</f>
        <v/>
      </c>
      <c r="GA95" s="35">
        <f>IF(N('Dvd Calendar'!$M$931)=0,"",IF(('Dvd Calendar'!$M$931&gt;=GRID_FROM)*('Dvd Calendar'!$M$931&lt;=GRID_TO)*('Dvd Calendar'!$M$931&gt;VAL_DATE)=0,"",'Dvd Calendar'!$M$931*1000000000+ISNUMBER('Dvd Calendar'!$M$932)*100000000+0*10000000+(N('Dvd Calendar'!$M$930)&gt;0)*(N('Dvd Calendar'!$M$930)&lt;=VAL_SERIAL)*1000000+84*1000+49))</f>
        <v/>
      </c>
      <c r="GB95" s="35">
        <f>IF(N('Dvd Calendar'!$N$931)=0,"",IF(('Dvd Calendar'!$N$931&gt;=GRID_FROM)*('Dvd Calendar'!$N$931&lt;=GRID_TO)*('Dvd Calendar'!$N$931&gt;VAL_DATE)=0,"",'Dvd Calendar'!$N$931*1000000000+ISNUMBER('Dvd Calendar'!$N$932)*100000000+0*10000000+(N('Dvd Calendar'!$N$930)&gt;0)*(N('Dvd Calendar'!$N$930)&lt;=VAL_SERIAL)*1000000+84*1000+50))</f>
        <v/>
      </c>
      <c r="GC95" s="35">
        <f>IF(N('Dvd Calendar'!$O$931)=0,"",IF(('Dvd Calendar'!$O$931&gt;=GRID_FROM)*('Dvd Calendar'!$O$931&lt;=GRID_TO)*('Dvd Calendar'!$O$931&gt;VAL_DATE)=0,"",'Dvd Calendar'!$O$931*1000000000+ISNUMBER('Dvd Calendar'!$O$932)*100000000+0*10000000+(N('Dvd Calendar'!$O$930)&gt;0)*(N('Dvd Calendar'!$O$930)&lt;=VAL_SERIAL)*1000000+84*1000+51))</f>
        <v/>
      </c>
      <c r="GD95" s="35">
        <f>IF(N('Dvd Calendar'!$P$931)=0,"",IF(('Dvd Calendar'!$P$931&gt;=GRID_FROM)*('Dvd Calendar'!$P$931&lt;=GRID_TO)*('Dvd Calendar'!$P$931&gt;VAL_DATE)=0,"",'Dvd Calendar'!$P$931*1000000000+ISNUMBER('Dvd Calendar'!$P$932)*100000000+0*10000000+(N('Dvd Calendar'!$P$930)&gt;0)*(N('Dvd Calendar'!$P$930)&lt;=VAL_SERIAL)*1000000+84*1000+52))</f>
        <v/>
      </c>
      <c r="GE95" s="35">
        <f>IF(N('Dvd Calendar'!$Q$931)=0,"",IF(('Dvd Calendar'!$Q$931&gt;=GRID_FROM)*('Dvd Calendar'!$Q$931&lt;=GRID_TO)*('Dvd Calendar'!$Q$931&gt;VAL_DATE)=0,"",'Dvd Calendar'!$Q$931*1000000000+ISNUMBER('Dvd Calendar'!$Q$932)*100000000+0*10000000+(N('Dvd Calendar'!$Q$930)&gt;0)*(N('Dvd Calendar'!$Q$930)&lt;=VAL_SERIAL)*1000000+84*1000+53))</f>
        <v/>
      </c>
      <c r="GF95" s="35">
        <f>IF(N('Dvd Calendar'!$R$931)=0,"",IF(('Dvd Calendar'!$R$931&gt;=GRID_FROM)*('Dvd Calendar'!$R$931&lt;=GRID_TO)*('Dvd Calendar'!$R$931&gt;VAL_DATE)=0,"",'Dvd Calendar'!$R$931*1000000000+ISNUMBER('Dvd Calendar'!$R$932)*100000000+0*10000000+(N('Dvd Calendar'!$R$930)&gt;0)*(N('Dvd Calendar'!$R$930)&lt;=VAL_SERIAL)*1000000+84*1000+54))</f>
        <v/>
      </c>
      <c r="GG95" s="35">
        <f>IF(N('Dvd Calendar'!$S$931)=0,"",IF(('Dvd Calendar'!$S$931&gt;=GRID_FROM)*('Dvd Calendar'!$S$931&lt;=GRID_TO)*('Dvd Calendar'!$S$931&gt;VAL_DATE)=0,"",'Dvd Calendar'!$S$931*1000000000+ISNUMBER('Dvd Calendar'!$S$932)*100000000+0*10000000+(N('Dvd Calendar'!$S$930)&gt;0)*(N('Dvd Calendar'!$S$930)&lt;=VAL_SERIAL)*1000000+84*1000+55))</f>
        <v/>
      </c>
      <c r="GH95" s="35">
        <f>IF(N('Dvd Calendar'!$T$931)=0,"",IF(('Dvd Calendar'!$T$931&gt;=GRID_FROM)*('Dvd Calendar'!$T$931&lt;=GRID_TO)*('Dvd Calendar'!$T$931&gt;VAL_DATE)=0,"",'Dvd Calendar'!$T$931*1000000000+ISNUMBER('Dvd Calendar'!$T$932)*100000000+0*10000000+(N('Dvd Calendar'!$T$930)&gt;0)*(N('Dvd Calendar'!$T$930)&lt;=VAL_SERIAL)*1000000+84*1000+56))</f>
        <v/>
      </c>
      <c r="GI95" s="35">
        <f>IF(N('Dvd Calendar'!$U$931)=0,"",IF(('Dvd Calendar'!$U$931&gt;=GRID_FROM)*('Dvd Calendar'!$U$931&lt;=GRID_TO)*('Dvd Calendar'!$U$931&gt;VAL_DATE)=0,"",'Dvd Calendar'!$U$931*1000000000+ISNUMBER('Dvd Calendar'!$U$932)*100000000+0*10000000+(N('Dvd Calendar'!$U$930)&gt;0)*(N('Dvd Calendar'!$U$930)&lt;=VAL_SERIAL)*1000000+84*1000+57))</f>
        <v/>
      </c>
      <c r="GJ95" s="35">
        <f>IF(N('Dvd Calendar'!$V$931)=0,"",IF(('Dvd Calendar'!$V$931&gt;=GRID_FROM)*('Dvd Calendar'!$V$931&lt;=GRID_TO)*('Dvd Calendar'!$V$931&gt;VAL_DATE)=0,"",'Dvd Calendar'!$V$931*1000000000+ISNUMBER('Dvd Calendar'!$V$932)*100000000+0*10000000+(N('Dvd Calendar'!$V$930)&gt;0)*(N('Dvd Calendar'!$V$930)&lt;=VAL_SERIAL)*1000000+84*1000+58))</f>
        <v/>
      </c>
      <c r="GK95" s="35">
        <f>IF(N('Dvd Calendar'!$W$931)=0,"",IF(('Dvd Calendar'!$W$931&gt;=GRID_FROM)*('Dvd Calendar'!$W$931&lt;=GRID_TO)*('Dvd Calendar'!$W$931&gt;VAL_DATE)=0,"",'Dvd Calendar'!$W$931*1000000000+ISNUMBER('Dvd Calendar'!$W$932)*100000000+0*10000000+(N('Dvd Calendar'!$W$930)&gt;0)*(N('Dvd Calendar'!$W$930)&lt;=VAL_SERIAL)*1000000+84*1000+59))</f>
        <v/>
      </c>
      <c r="GL95" s="35">
        <f>IF(N('Dvd Calendar'!$X$931)=0,"",IF(('Dvd Calendar'!$X$931&gt;=GRID_FROM)*('Dvd Calendar'!$X$931&lt;=GRID_TO)*('Dvd Calendar'!$X$931&gt;VAL_DATE)=0,"",'Dvd Calendar'!$X$931*1000000000+ISNUMBER('Dvd Calendar'!$X$932)*100000000+0*10000000+(N('Dvd Calendar'!$X$930)&gt;0)*(N('Dvd Calendar'!$X$930)&lt;=VAL_SERIAL)*1000000+84*1000+60))</f>
        <v/>
      </c>
      <c r="GM95" s="35">
        <f>IF(N('Dvd Calendar'!$Y$931)=0,"",IF(('Dvd Calendar'!$Y$931&gt;=GRID_FROM)*('Dvd Calendar'!$Y$931&lt;=GRID_TO)*('Dvd Calendar'!$Y$931&gt;VAL_DATE)=0,"",'Dvd Calendar'!$Y$931*1000000000+ISNUMBER('Dvd Calendar'!$Y$932)*100000000+0*10000000+(N('Dvd Calendar'!$Y$930)&gt;0)*(N('Dvd Calendar'!$Y$930)&lt;=VAL_SERIAL)*1000000+84*1000+61))</f>
        <v/>
      </c>
      <c r="GN95" s="35">
        <f>IF(N('Dvd Calendar'!$Z$931)=0,"",IF(('Dvd Calendar'!$Z$931&gt;=GRID_FROM)*('Dvd Calendar'!$Z$931&lt;=GRID_TO)*('Dvd Calendar'!$Z$931&gt;VAL_DATE)=0,"",'Dvd Calendar'!$Z$931*1000000000+ISNUMBER('Dvd Calendar'!$Z$932)*100000000+0*10000000+(N('Dvd Calendar'!$Z$930)&gt;0)*(N('Dvd Calendar'!$Z$930)&lt;=VAL_SERIAL)*1000000+84*1000+62))</f>
        <v/>
      </c>
      <c r="GO95" s="35">
        <f>IF(N('Dvd Calendar'!$AA$931)=0,"",IF(('Dvd Calendar'!$AA$931&gt;=GRID_FROM)*('Dvd Calendar'!$AA$931&lt;=GRID_TO)*('Dvd Calendar'!$AA$931&gt;VAL_DATE)=0,"",'Dvd Calendar'!$AA$931*1000000000+ISNUMBER('Dvd Calendar'!$AA$932)*100000000+0*10000000+(N('Dvd Calendar'!$AA$930)&gt;0)*(N('Dvd Calendar'!$AA$930)&lt;=VAL_SERIAL)*1000000+84*1000+63))</f>
        <v/>
      </c>
      <c r="GP95" s="35">
        <f>IF(N('Dvd Calendar'!$AB$931)=0,"",IF(('Dvd Calendar'!$AB$931&gt;=GRID_FROM)*('Dvd Calendar'!$AB$931&lt;=GRID_TO)*('Dvd Calendar'!$AB$931&gt;VAL_DATE)=0,"",'Dvd Calendar'!$AB$931*1000000000+ISNUMBER('Dvd Calendar'!$AB$932)*100000000+0*10000000+(N('Dvd Calendar'!$AB$930)&gt;0)*(N('Dvd Calendar'!$AB$930)&lt;=VAL_SERIAL)*1000000+84*1000+64))</f>
        <v/>
      </c>
      <c r="GQ95" s="35">
        <f>IF(N('Dvd Calendar'!$AC$931)=0,"",IF(('Dvd Calendar'!$AC$931&gt;=GRID_FROM)*('Dvd Calendar'!$AC$931&lt;=GRID_TO)*('Dvd Calendar'!$AC$931&gt;VAL_DATE)=0,"",'Dvd Calendar'!$AC$931*1000000000+ISNUMBER('Dvd Calendar'!$AC$932)*100000000+0*10000000+(N('Dvd Calendar'!$AC$930)&gt;0)*(N('Dvd Calendar'!$AC$930)&lt;=VAL_SERIAL)*1000000+84*1000+65))</f>
        <v/>
      </c>
    </row>
    <row r="96">
      <c r="B96" s="2">
        <f>IF(HSI!$C$91="","",HSI!$C$91)</f>
        <v/>
      </c>
      <c r="C96" s="106">
        <f>IF(EE96="","",IF(ISNUMBER('Dvd Calendar'!$E$938)=FALSE,"",IF((('Dvd Calendar'!$E$940=TYPE1)*(TYPE1&lt;&gt;"")+('Dvd Calendar'!$E$940=TYPE2)*(TYPE2&lt;&gt;"")+('Dvd Calendar'!$E$940=TYPE3)*(TYPE3&lt;&gt;"")+('Dvd Calendar'!$E$940=TYPE4)*(TYPE4&lt;&gt;"")+('Dvd Calendar'!$E$940=SPECIAL_LBL)*(INC_SPECIALS="Y"))=0,"",'Dvd Calendar'!$E$938)))</f>
        <v/>
      </c>
      <c r="D96" s="106">
        <f>IF(EF96="","",IF(ISNUMBER('Dvd Calendar'!$F$938)=FALSE,"",IF((('Dvd Calendar'!$F$940=TYPE1)*(TYPE1&lt;&gt;"")+('Dvd Calendar'!$F$940=TYPE2)*(TYPE2&lt;&gt;"")+('Dvd Calendar'!$F$940=TYPE3)*(TYPE3&lt;&gt;"")+('Dvd Calendar'!$F$940=TYPE4)*(TYPE4&lt;&gt;"")+('Dvd Calendar'!$F$940=SPECIAL_LBL)*(INC_SPECIALS="Y"))=0,"",'Dvd Calendar'!$F$938)))</f>
        <v/>
      </c>
      <c r="E96" s="106">
        <f>IF(EG96="","",IF(ISNUMBER('Dvd Calendar'!$G$938)=FALSE,"",IF((('Dvd Calendar'!$G$940=TYPE1)*(TYPE1&lt;&gt;"")+('Dvd Calendar'!$G$940=TYPE2)*(TYPE2&lt;&gt;"")+('Dvd Calendar'!$G$940=TYPE3)*(TYPE3&lt;&gt;"")+('Dvd Calendar'!$G$940=TYPE4)*(TYPE4&lt;&gt;"")+('Dvd Calendar'!$G$940=SPECIAL_LBL)*(INC_SPECIALS="Y"))=0,"",'Dvd Calendar'!$G$938)))</f>
        <v/>
      </c>
      <c r="F96" s="106">
        <f>IF(EH96="","",IF(ISNUMBER('Dvd Calendar'!$H$938)=FALSE,"",IF((('Dvd Calendar'!$H$940=TYPE1)*(TYPE1&lt;&gt;"")+('Dvd Calendar'!$H$940=TYPE2)*(TYPE2&lt;&gt;"")+('Dvd Calendar'!$H$940=TYPE3)*(TYPE3&lt;&gt;"")+('Dvd Calendar'!$H$940=TYPE4)*(TYPE4&lt;&gt;"")+('Dvd Calendar'!$H$940=SPECIAL_LBL)*(INC_SPECIALS="Y"))=0,"",'Dvd Calendar'!$H$938)))</f>
        <v/>
      </c>
      <c r="G96" s="106">
        <f>IF(EI96="","",IF(ISNUMBER('Dvd Calendar'!$I$938)=FALSE,"",IF((('Dvd Calendar'!$I$940=TYPE1)*(TYPE1&lt;&gt;"")+('Dvd Calendar'!$I$940=TYPE2)*(TYPE2&lt;&gt;"")+('Dvd Calendar'!$I$940=TYPE3)*(TYPE3&lt;&gt;"")+('Dvd Calendar'!$I$940=TYPE4)*(TYPE4&lt;&gt;"")+('Dvd Calendar'!$I$940=SPECIAL_LBL)*(INC_SPECIALS="Y"))=0,"",'Dvd Calendar'!$I$938)))</f>
        <v/>
      </c>
      <c r="H96" s="106">
        <f>IF(EJ96="","",IF(ISNUMBER('Dvd Calendar'!$J$938)=FALSE,"",IF((('Dvd Calendar'!$J$940=TYPE1)*(TYPE1&lt;&gt;"")+('Dvd Calendar'!$J$940=TYPE2)*(TYPE2&lt;&gt;"")+('Dvd Calendar'!$J$940=TYPE3)*(TYPE3&lt;&gt;"")+('Dvd Calendar'!$J$940=TYPE4)*(TYPE4&lt;&gt;"")+('Dvd Calendar'!$J$940=SPECIAL_LBL)*(INC_SPECIALS="Y"))=0,"",'Dvd Calendar'!$J$938)))</f>
        <v/>
      </c>
      <c r="I96" s="106">
        <f>IF(EK96="","",IF(ISNUMBER('Dvd Calendar'!$K$938)=FALSE,"",IF((('Dvd Calendar'!$K$940=TYPE1)*(TYPE1&lt;&gt;"")+('Dvd Calendar'!$K$940=TYPE2)*(TYPE2&lt;&gt;"")+('Dvd Calendar'!$K$940=TYPE3)*(TYPE3&lt;&gt;"")+('Dvd Calendar'!$K$940=TYPE4)*(TYPE4&lt;&gt;"")+('Dvd Calendar'!$K$940=SPECIAL_LBL)*(INC_SPECIALS="Y"))=0,"",'Dvd Calendar'!$K$938)))</f>
        <v/>
      </c>
      <c r="J96" s="106">
        <f>IF(EL96="","",IF(ISNUMBER('Dvd Calendar'!$L$938)=FALSE,"",IF((('Dvd Calendar'!$L$940=TYPE1)*(TYPE1&lt;&gt;"")+('Dvd Calendar'!$L$940=TYPE2)*(TYPE2&lt;&gt;"")+('Dvd Calendar'!$L$940=TYPE3)*(TYPE3&lt;&gt;"")+('Dvd Calendar'!$L$940=TYPE4)*(TYPE4&lt;&gt;"")+('Dvd Calendar'!$L$940=SPECIAL_LBL)*(INC_SPECIALS="Y"))=0,"",'Dvd Calendar'!$L$938)))</f>
        <v/>
      </c>
      <c r="K96" s="106">
        <f>IF(EM96="","",IF(ISNUMBER('Dvd Calendar'!$M$938)=FALSE,"",IF((('Dvd Calendar'!$M$940=TYPE1)*(TYPE1&lt;&gt;"")+('Dvd Calendar'!$M$940=TYPE2)*(TYPE2&lt;&gt;"")+('Dvd Calendar'!$M$940=TYPE3)*(TYPE3&lt;&gt;"")+('Dvd Calendar'!$M$940=TYPE4)*(TYPE4&lt;&gt;"")+('Dvd Calendar'!$M$940=SPECIAL_LBL)*(INC_SPECIALS="Y"))=0,"",'Dvd Calendar'!$M$938)))</f>
        <v/>
      </c>
      <c r="L96" s="106">
        <f>IF(EN96="","",IF(ISNUMBER('Dvd Calendar'!$N$938)=FALSE,"",IF((('Dvd Calendar'!$N$940=TYPE1)*(TYPE1&lt;&gt;"")+('Dvd Calendar'!$N$940=TYPE2)*(TYPE2&lt;&gt;"")+('Dvd Calendar'!$N$940=TYPE3)*(TYPE3&lt;&gt;"")+('Dvd Calendar'!$N$940=TYPE4)*(TYPE4&lt;&gt;"")+('Dvd Calendar'!$N$940=SPECIAL_LBL)*(INC_SPECIALS="Y"))=0,"",'Dvd Calendar'!$N$938)))</f>
        <v/>
      </c>
      <c r="M96" s="106">
        <f>IF(EO96="","",IF(ISNUMBER('Dvd Calendar'!$O$938)=FALSE,"",IF((('Dvd Calendar'!$O$940=TYPE1)*(TYPE1&lt;&gt;"")+('Dvd Calendar'!$O$940=TYPE2)*(TYPE2&lt;&gt;"")+('Dvd Calendar'!$O$940=TYPE3)*(TYPE3&lt;&gt;"")+('Dvd Calendar'!$O$940=TYPE4)*(TYPE4&lt;&gt;"")+('Dvd Calendar'!$O$940=SPECIAL_LBL)*(INC_SPECIALS="Y"))=0,"",'Dvd Calendar'!$O$938)))</f>
        <v/>
      </c>
      <c r="N96" s="106">
        <f>IF(EP96="","",IF(ISNUMBER('Dvd Calendar'!$P$938)=FALSE,"",IF((('Dvd Calendar'!$P$940=TYPE1)*(TYPE1&lt;&gt;"")+('Dvd Calendar'!$P$940=TYPE2)*(TYPE2&lt;&gt;"")+('Dvd Calendar'!$P$940=TYPE3)*(TYPE3&lt;&gt;"")+('Dvd Calendar'!$P$940=TYPE4)*(TYPE4&lt;&gt;"")+('Dvd Calendar'!$P$940=SPECIAL_LBL)*(INC_SPECIALS="Y"))=0,"",'Dvd Calendar'!$P$938)))</f>
        <v/>
      </c>
      <c r="O96" s="106">
        <f>IF(EQ96="","",IF(ISNUMBER('Dvd Calendar'!$Q$938)=FALSE,"",IF((('Dvd Calendar'!$Q$940=TYPE1)*(TYPE1&lt;&gt;"")+('Dvd Calendar'!$Q$940=TYPE2)*(TYPE2&lt;&gt;"")+('Dvd Calendar'!$Q$940=TYPE3)*(TYPE3&lt;&gt;"")+('Dvd Calendar'!$Q$940=TYPE4)*(TYPE4&lt;&gt;"")+('Dvd Calendar'!$Q$940=SPECIAL_LBL)*(INC_SPECIALS="Y"))=0,"",'Dvd Calendar'!$Q$938)))</f>
        <v/>
      </c>
      <c r="P96" s="106">
        <f>IF(ER96="","",IF(ISNUMBER('Dvd Calendar'!$R$938)=FALSE,"",IF((('Dvd Calendar'!$R$940=TYPE1)*(TYPE1&lt;&gt;"")+('Dvd Calendar'!$R$940=TYPE2)*(TYPE2&lt;&gt;"")+('Dvd Calendar'!$R$940=TYPE3)*(TYPE3&lt;&gt;"")+('Dvd Calendar'!$R$940=TYPE4)*(TYPE4&lt;&gt;"")+('Dvd Calendar'!$R$940=SPECIAL_LBL)*(INC_SPECIALS="Y"))=0,"",'Dvd Calendar'!$R$938)))</f>
        <v/>
      </c>
      <c r="Q96" s="106">
        <f>IF(ES96="","",IF(ISNUMBER('Dvd Calendar'!$S$938)=FALSE,"",IF((('Dvd Calendar'!$S$940=TYPE1)*(TYPE1&lt;&gt;"")+('Dvd Calendar'!$S$940=TYPE2)*(TYPE2&lt;&gt;"")+('Dvd Calendar'!$S$940=TYPE3)*(TYPE3&lt;&gt;"")+('Dvd Calendar'!$S$940=TYPE4)*(TYPE4&lt;&gt;"")+('Dvd Calendar'!$S$940=SPECIAL_LBL)*(INC_SPECIALS="Y"))=0,"",'Dvd Calendar'!$S$938)))</f>
        <v/>
      </c>
      <c r="R96" s="106">
        <f>IF(ET96="","",IF(ISNUMBER('Dvd Calendar'!$T$938)=FALSE,"",IF((('Dvd Calendar'!$T$940=TYPE1)*(TYPE1&lt;&gt;"")+('Dvd Calendar'!$T$940=TYPE2)*(TYPE2&lt;&gt;"")+('Dvd Calendar'!$T$940=TYPE3)*(TYPE3&lt;&gt;"")+('Dvd Calendar'!$T$940=TYPE4)*(TYPE4&lt;&gt;"")+('Dvd Calendar'!$T$940=SPECIAL_LBL)*(INC_SPECIALS="Y"))=0,"",'Dvd Calendar'!$T$938)))</f>
        <v/>
      </c>
      <c r="S96" s="106">
        <f>IF(EU96="","",IF(ISNUMBER('Dvd Calendar'!$U$938)=FALSE,"",IF((('Dvd Calendar'!$U$940=TYPE1)*(TYPE1&lt;&gt;"")+('Dvd Calendar'!$U$940=TYPE2)*(TYPE2&lt;&gt;"")+('Dvd Calendar'!$U$940=TYPE3)*(TYPE3&lt;&gt;"")+('Dvd Calendar'!$U$940=TYPE4)*(TYPE4&lt;&gt;"")+('Dvd Calendar'!$U$940=SPECIAL_LBL)*(INC_SPECIALS="Y"))=0,"",'Dvd Calendar'!$U$938)))</f>
        <v/>
      </c>
      <c r="T96" s="106">
        <f>IF(EV96="","",IF(ISNUMBER('Dvd Calendar'!$V$938)=FALSE,"",IF((('Dvd Calendar'!$V$940=TYPE1)*(TYPE1&lt;&gt;"")+('Dvd Calendar'!$V$940=TYPE2)*(TYPE2&lt;&gt;"")+('Dvd Calendar'!$V$940=TYPE3)*(TYPE3&lt;&gt;"")+('Dvd Calendar'!$V$940=TYPE4)*(TYPE4&lt;&gt;"")+('Dvd Calendar'!$V$940=SPECIAL_LBL)*(INC_SPECIALS="Y"))=0,"",'Dvd Calendar'!$V$938)))</f>
        <v/>
      </c>
      <c r="U96" s="106">
        <f>IF(EW96="","",IF(ISNUMBER('Dvd Calendar'!$W$938)=FALSE,"",IF((('Dvd Calendar'!$W$940=TYPE1)*(TYPE1&lt;&gt;"")+('Dvd Calendar'!$W$940=TYPE2)*(TYPE2&lt;&gt;"")+('Dvd Calendar'!$W$940=TYPE3)*(TYPE3&lt;&gt;"")+('Dvd Calendar'!$W$940=TYPE4)*(TYPE4&lt;&gt;"")+('Dvd Calendar'!$W$940=SPECIAL_LBL)*(INC_SPECIALS="Y"))=0,"",'Dvd Calendar'!$W$938)))</f>
        <v/>
      </c>
      <c r="V96" s="106">
        <f>IF(EX96="","",IF(ISNUMBER('Dvd Calendar'!$X$938)=FALSE,"",IF((('Dvd Calendar'!$X$940=TYPE1)*(TYPE1&lt;&gt;"")+('Dvd Calendar'!$X$940=TYPE2)*(TYPE2&lt;&gt;"")+('Dvd Calendar'!$X$940=TYPE3)*(TYPE3&lt;&gt;"")+('Dvd Calendar'!$X$940=TYPE4)*(TYPE4&lt;&gt;"")+('Dvd Calendar'!$X$940=SPECIAL_LBL)*(INC_SPECIALS="Y"))=0,"",'Dvd Calendar'!$X$938)))</f>
        <v/>
      </c>
      <c r="W96" s="106">
        <f>IF(EY96="","",IF(ISNUMBER('Dvd Calendar'!$Y$938)=FALSE,"",IF((('Dvd Calendar'!$Y$940=TYPE1)*(TYPE1&lt;&gt;"")+('Dvd Calendar'!$Y$940=TYPE2)*(TYPE2&lt;&gt;"")+('Dvd Calendar'!$Y$940=TYPE3)*(TYPE3&lt;&gt;"")+('Dvd Calendar'!$Y$940=TYPE4)*(TYPE4&lt;&gt;"")+('Dvd Calendar'!$Y$940=SPECIAL_LBL)*(INC_SPECIALS="Y"))=0,"",'Dvd Calendar'!$Y$938)))</f>
        <v/>
      </c>
      <c r="X96" s="106">
        <f>IF(EZ96="","",IF(ISNUMBER('Dvd Calendar'!$Z$938)=FALSE,"",IF((('Dvd Calendar'!$Z$940=TYPE1)*(TYPE1&lt;&gt;"")+('Dvd Calendar'!$Z$940=TYPE2)*(TYPE2&lt;&gt;"")+('Dvd Calendar'!$Z$940=TYPE3)*(TYPE3&lt;&gt;"")+('Dvd Calendar'!$Z$940=TYPE4)*(TYPE4&lt;&gt;"")+('Dvd Calendar'!$Z$940=SPECIAL_LBL)*(INC_SPECIALS="Y"))=0,"",'Dvd Calendar'!$Z$938)))</f>
        <v/>
      </c>
      <c r="Y96" s="106">
        <f>IF(FA96="","",IF(ISNUMBER('Dvd Calendar'!$AA$938)=FALSE,"",IF((('Dvd Calendar'!$AA$940=TYPE1)*(TYPE1&lt;&gt;"")+('Dvd Calendar'!$AA$940=TYPE2)*(TYPE2&lt;&gt;"")+('Dvd Calendar'!$AA$940=TYPE3)*(TYPE3&lt;&gt;"")+('Dvd Calendar'!$AA$940=TYPE4)*(TYPE4&lt;&gt;"")+('Dvd Calendar'!$AA$940=SPECIAL_LBL)*(INC_SPECIALS="Y"))=0,"",'Dvd Calendar'!$AA$938)))</f>
        <v/>
      </c>
      <c r="Z96" s="106">
        <f>IF(FB96="","",IF(ISNUMBER('Dvd Calendar'!$AB$938)=FALSE,"",IF((('Dvd Calendar'!$AB$940=TYPE1)*(TYPE1&lt;&gt;"")+('Dvd Calendar'!$AB$940=TYPE2)*(TYPE2&lt;&gt;"")+('Dvd Calendar'!$AB$940=TYPE3)*(TYPE3&lt;&gt;"")+('Dvd Calendar'!$AB$940=TYPE4)*(TYPE4&lt;&gt;"")+('Dvd Calendar'!$AB$940=SPECIAL_LBL)*(INC_SPECIALS="Y"))=0,"",'Dvd Calendar'!$AB$938)))</f>
        <v/>
      </c>
      <c r="AA96" s="106">
        <f>IF(FC96="","",IF(ISNUMBER('Dvd Calendar'!$AC$938)=FALSE,"",IF((('Dvd Calendar'!$AC$940=TYPE1)*(TYPE1&lt;&gt;"")+('Dvd Calendar'!$AC$940=TYPE2)*(TYPE2&lt;&gt;"")+('Dvd Calendar'!$AC$940=TYPE3)*(TYPE3&lt;&gt;"")+('Dvd Calendar'!$AC$940=TYPE4)*(TYPE4&lt;&gt;"")+('Dvd Calendar'!$AC$940=SPECIAL_LBL)*(INC_SPECIALS="Y"))=0,"",'Dvd Calendar'!$AC$938)))</f>
        <v/>
      </c>
      <c r="AB96" s="106">
        <f>IF(FD96="","",IF(ISNUMBER('Dvd Calendar'!$AD$938)=FALSE,"",IF((('Dvd Calendar'!$AD$940=TYPE1)*(TYPE1&lt;&gt;"")+('Dvd Calendar'!$AD$940=TYPE2)*(TYPE2&lt;&gt;"")+('Dvd Calendar'!$AD$940=TYPE3)*(TYPE3&lt;&gt;"")+('Dvd Calendar'!$AD$940=TYPE4)*(TYPE4&lt;&gt;"")+('Dvd Calendar'!$AD$940=SPECIAL_LBL)*(INC_SPECIALS="Y"))=0,"",'Dvd Calendar'!$AD$938)))</f>
        <v/>
      </c>
      <c r="AC96" s="106">
        <f>IF(FE96="","",IF(ISNUMBER('Dvd Calendar'!$AE$938)=FALSE,"",IF((('Dvd Calendar'!$AE$940=TYPE1)*(TYPE1&lt;&gt;"")+('Dvd Calendar'!$AE$940=TYPE2)*(TYPE2&lt;&gt;"")+('Dvd Calendar'!$AE$940=TYPE3)*(TYPE3&lt;&gt;"")+('Dvd Calendar'!$AE$940=TYPE4)*(TYPE4&lt;&gt;"")+('Dvd Calendar'!$AE$940=SPECIAL_LBL)*(INC_SPECIALS="Y"))=0,"",'Dvd Calendar'!$AE$938)))</f>
        <v/>
      </c>
      <c r="AD96" s="106">
        <f>IF(FF96="","",IF(ISNUMBER('Dvd Calendar'!$AF$938)=FALSE,"",IF((('Dvd Calendar'!$AF$940=TYPE1)*(TYPE1&lt;&gt;"")+('Dvd Calendar'!$AF$940=TYPE2)*(TYPE2&lt;&gt;"")+('Dvd Calendar'!$AF$940=TYPE3)*(TYPE3&lt;&gt;"")+('Dvd Calendar'!$AF$940=TYPE4)*(TYPE4&lt;&gt;"")+('Dvd Calendar'!$AF$940=SPECIAL_LBL)*(INC_SPECIALS="Y"))=0,"",'Dvd Calendar'!$AF$938)))</f>
        <v/>
      </c>
      <c r="AE96" s="106">
        <f>IF(FG96="","",IF(ISNUMBER('Dvd Calendar'!$AG$938)=FALSE,"",IF((('Dvd Calendar'!$AG$940=TYPE1)*(TYPE1&lt;&gt;"")+('Dvd Calendar'!$AG$940=TYPE2)*(TYPE2&lt;&gt;"")+('Dvd Calendar'!$AG$940=TYPE3)*(TYPE3&lt;&gt;"")+('Dvd Calendar'!$AG$940=TYPE4)*(TYPE4&lt;&gt;"")+('Dvd Calendar'!$AG$940=SPECIAL_LBL)*(INC_SPECIALS="Y"))=0,"",'Dvd Calendar'!$AG$938)))</f>
        <v/>
      </c>
      <c r="AF96" s="106">
        <f>IF(FH96="","",IF(ISNUMBER('Dvd Calendar'!$AH$938)=FALSE,"",IF((('Dvd Calendar'!$AH$940=TYPE1)*(TYPE1&lt;&gt;"")+('Dvd Calendar'!$AH$940=TYPE2)*(TYPE2&lt;&gt;"")+('Dvd Calendar'!$AH$940=TYPE3)*(TYPE3&lt;&gt;"")+('Dvd Calendar'!$AH$940=TYPE4)*(TYPE4&lt;&gt;"")+('Dvd Calendar'!$AH$940=SPECIAL_LBL)*(INC_SPECIALS="Y"))=0,"",'Dvd Calendar'!$AH$938)))</f>
        <v/>
      </c>
      <c r="AG96" s="106">
        <f>IF(FI96="","",IF(ISNUMBER('Dvd Calendar'!$AI$938)=FALSE,"",IF((('Dvd Calendar'!$AI$940=TYPE1)*(TYPE1&lt;&gt;"")+('Dvd Calendar'!$AI$940=TYPE2)*(TYPE2&lt;&gt;"")+('Dvd Calendar'!$AI$940=TYPE3)*(TYPE3&lt;&gt;"")+('Dvd Calendar'!$AI$940=TYPE4)*(TYPE4&lt;&gt;"")+('Dvd Calendar'!$AI$940=SPECIAL_LBL)*(INC_SPECIALS="Y"))=0,"",'Dvd Calendar'!$AI$938)))</f>
        <v/>
      </c>
      <c r="AH96" s="106">
        <f>IF(FJ96="","",IF(ISNUMBER('Dvd Calendar'!$AJ$938)=FALSE,"",IF((('Dvd Calendar'!$AJ$940=TYPE1)*(TYPE1&lt;&gt;"")+('Dvd Calendar'!$AJ$940=TYPE2)*(TYPE2&lt;&gt;"")+('Dvd Calendar'!$AJ$940=TYPE3)*(TYPE3&lt;&gt;"")+('Dvd Calendar'!$AJ$940=TYPE4)*(TYPE4&lt;&gt;"")+('Dvd Calendar'!$AJ$940=SPECIAL_LBL)*(INC_SPECIALS="Y"))=0,"",'Dvd Calendar'!$AJ$938)))</f>
        <v/>
      </c>
      <c r="AI96" s="106">
        <f>IF(FK96="","",IF(ISNUMBER('Dvd Calendar'!$AK$938)=FALSE,"",IF((('Dvd Calendar'!$AK$940=TYPE1)*(TYPE1&lt;&gt;"")+('Dvd Calendar'!$AK$940=TYPE2)*(TYPE2&lt;&gt;"")+('Dvd Calendar'!$AK$940=TYPE3)*(TYPE3&lt;&gt;"")+('Dvd Calendar'!$AK$940=TYPE4)*(TYPE4&lt;&gt;"")+('Dvd Calendar'!$AK$940=SPECIAL_LBL)*(INC_SPECIALS="Y"))=0,"",'Dvd Calendar'!$AK$938)))</f>
        <v/>
      </c>
      <c r="AJ96" s="106">
        <f>IF(FL96="","",IF(ISNUMBER('Dvd Calendar'!$AL$938)=FALSE,"",IF((('Dvd Calendar'!$AL$940=TYPE1)*(TYPE1&lt;&gt;"")+('Dvd Calendar'!$AL$940=TYPE2)*(TYPE2&lt;&gt;"")+('Dvd Calendar'!$AL$940=TYPE3)*(TYPE3&lt;&gt;"")+('Dvd Calendar'!$AL$940=TYPE4)*(TYPE4&lt;&gt;"")+('Dvd Calendar'!$AL$940=SPECIAL_LBL)*(INC_SPECIALS="Y"))=0,"",'Dvd Calendar'!$AL$938)))</f>
        <v/>
      </c>
      <c r="AK96" s="106">
        <f>IF(FM96="","",IF(ISNUMBER('Dvd Calendar'!$AM$938)=FALSE,"",IF((('Dvd Calendar'!$AM$940=TYPE1)*(TYPE1&lt;&gt;"")+('Dvd Calendar'!$AM$940=TYPE2)*(TYPE2&lt;&gt;"")+('Dvd Calendar'!$AM$940=TYPE3)*(TYPE3&lt;&gt;"")+('Dvd Calendar'!$AM$940=TYPE4)*(TYPE4&lt;&gt;"")+('Dvd Calendar'!$AM$940=SPECIAL_LBL)*(INC_SPECIALS="Y"))=0,"",'Dvd Calendar'!$AM$938)))</f>
        <v/>
      </c>
      <c r="AL96" s="106">
        <f>IF(FN96="","",IF(ISNUMBER('Dvd Calendar'!$AN$938)=FALSE,"",IF((('Dvd Calendar'!$AN$940=TYPE1)*(TYPE1&lt;&gt;"")+('Dvd Calendar'!$AN$940=TYPE2)*(TYPE2&lt;&gt;"")+('Dvd Calendar'!$AN$940=TYPE3)*(TYPE3&lt;&gt;"")+('Dvd Calendar'!$AN$940=TYPE4)*(TYPE4&lt;&gt;"")+('Dvd Calendar'!$AN$940=SPECIAL_LBL)*(INC_SPECIALS="Y"))=0,"",'Dvd Calendar'!$AN$938)))</f>
        <v/>
      </c>
      <c r="AM96" s="106">
        <f>IF(FO96="","",IF(ISNUMBER('Dvd Calendar'!$AO$938)=FALSE,"",IF((('Dvd Calendar'!$AO$940=TYPE1)*(TYPE1&lt;&gt;"")+('Dvd Calendar'!$AO$940=TYPE2)*(TYPE2&lt;&gt;"")+('Dvd Calendar'!$AO$940=TYPE3)*(TYPE3&lt;&gt;"")+('Dvd Calendar'!$AO$940=TYPE4)*(TYPE4&lt;&gt;"")+('Dvd Calendar'!$AO$940=SPECIAL_LBL)*(INC_SPECIALS="Y"))=0,"",'Dvd Calendar'!$AO$938)))</f>
        <v/>
      </c>
      <c r="AN96" s="106">
        <f>IF(FP96="","",IF(ISNUMBER('Dvd Calendar'!$AP$938)=FALSE,"",IF((('Dvd Calendar'!$AP$940=TYPE1)*(TYPE1&lt;&gt;"")+('Dvd Calendar'!$AP$940=TYPE2)*(TYPE2&lt;&gt;"")+('Dvd Calendar'!$AP$940=TYPE3)*(TYPE3&lt;&gt;"")+('Dvd Calendar'!$AP$940=TYPE4)*(TYPE4&lt;&gt;"")+('Dvd Calendar'!$AP$940=SPECIAL_LBL)*(INC_SPECIALS="Y"))=0,"",'Dvd Calendar'!$AP$938)))</f>
        <v/>
      </c>
      <c r="AO96" s="106">
        <f>IF(FQ96="","",IF(ISNUMBER('Dvd Calendar'!$AQ$938)=FALSE,"",IF((('Dvd Calendar'!$AQ$940=TYPE1)*(TYPE1&lt;&gt;"")+('Dvd Calendar'!$AQ$940=TYPE2)*(TYPE2&lt;&gt;"")+('Dvd Calendar'!$AQ$940=TYPE3)*(TYPE3&lt;&gt;"")+('Dvd Calendar'!$AQ$940=TYPE4)*(TYPE4&lt;&gt;"")+('Dvd Calendar'!$AQ$940=SPECIAL_LBL)*(INC_SPECIALS="Y"))=0,"",'Dvd Calendar'!$AQ$938)))</f>
        <v/>
      </c>
      <c r="AP96" s="106">
        <f>IF(FR96="","",IF(ISNUMBER('Dvd Calendar'!$AR$938)=FALSE,"",IF((('Dvd Calendar'!$AR$940=TYPE1)*(TYPE1&lt;&gt;"")+('Dvd Calendar'!$AR$940=TYPE2)*(TYPE2&lt;&gt;"")+('Dvd Calendar'!$AR$940=TYPE3)*(TYPE3&lt;&gt;"")+('Dvd Calendar'!$AR$940=TYPE4)*(TYPE4&lt;&gt;"")+('Dvd Calendar'!$AR$940=SPECIAL_LBL)*(INC_SPECIALS="Y"))=0,"",'Dvd Calendar'!$AR$938)))</f>
        <v/>
      </c>
      <c r="AQ96" s="106">
        <f>IF(FS96="","",IF(ISNUMBER('Dvd Calendar'!$E$943)=FALSE,"",'Dvd Calendar'!$E$943))</f>
        <v/>
      </c>
      <c r="AR96" s="106">
        <f>IF(FT96="","",IF(ISNUMBER('Dvd Calendar'!$F$943)=FALSE,"",'Dvd Calendar'!$F$943))</f>
        <v/>
      </c>
      <c r="AS96" s="106">
        <f>IF(FU96="","",IF(ISNUMBER('Dvd Calendar'!$G$943)=FALSE,"",'Dvd Calendar'!$G$943))</f>
        <v/>
      </c>
      <c r="AT96" s="106">
        <f>IF(FV96="","",IF(ISNUMBER('Dvd Calendar'!$H$943)=FALSE,"",'Dvd Calendar'!$H$943))</f>
        <v/>
      </c>
      <c r="AU96" s="106">
        <f>IF(FW96="","",IF(ISNUMBER('Dvd Calendar'!$I$943)=FALSE,"",'Dvd Calendar'!$I$943))</f>
        <v/>
      </c>
      <c r="AV96" s="106">
        <f>IF(FX96="","",IF(ISNUMBER('Dvd Calendar'!$J$943)=FALSE,"",'Dvd Calendar'!$J$943))</f>
        <v/>
      </c>
      <c r="AW96" s="106">
        <f>IF(FY96="","",IF(ISNUMBER('Dvd Calendar'!$K$943)=FALSE,"",'Dvd Calendar'!$K$943))</f>
        <v/>
      </c>
      <c r="AX96" s="106">
        <f>IF(FZ96="","",IF(ISNUMBER('Dvd Calendar'!$L$943)=FALSE,"",'Dvd Calendar'!$L$943))</f>
        <v/>
      </c>
      <c r="AY96" s="106">
        <f>IF(GA96="","",IF(ISNUMBER('Dvd Calendar'!$M$943)=FALSE,"",'Dvd Calendar'!$M$943))</f>
        <v/>
      </c>
      <c r="AZ96" s="106">
        <f>IF(GB96="","",IF(ISNUMBER('Dvd Calendar'!$N$943)=FALSE,"",'Dvd Calendar'!$N$943))</f>
        <v/>
      </c>
      <c r="BA96" s="106">
        <f>IF(GC96="","",IF(ISNUMBER('Dvd Calendar'!$O$943)=FALSE,"",'Dvd Calendar'!$O$943))</f>
        <v/>
      </c>
      <c r="BB96" s="106">
        <f>IF(GD96="","",IF(ISNUMBER('Dvd Calendar'!$P$943)=FALSE,"",'Dvd Calendar'!$P$943))</f>
        <v/>
      </c>
      <c r="BC96" s="106">
        <f>IF(GE96="","",IF(ISNUMBER('Dvd Calendar'!$Q$943)=FALSE,"",'Dvd Calendar'!$Q$943))</f>
        <v/>
      </c>
      <c r="BD96" s="106">
        <f>IF(GF96="","",IF(ISNUMBER('Dvd Calendar'!$R$943)=FALSE,"",'Dvd Calendar'!$R$943))</f>
        <v/>
      </c>
      <c r="BE96" s="106">
        <f>IF(GG96="","",IF(ISNUMBER('Dvd Calendar'!$S$943)=FALSE,"",'Dvd Calendar'!$S$943))</f>
        <v/>
      </c>
      <c r="BF96" s="106">
        <f>IF(GH96="","",IF(ISNUMBER('Dvd Calendar'!$T$943)=FALSE,"",'Dvd Calendar'!$T$943))</f>
        <v/>
      </c>
      <c r="BG96" s="106">
        <f>IF(GI96="","",IF(ISNUMBER('Dvd Calendar'!$U$943)=FALSE,"",'Dvd Calendar'!$U$943))</f>
        <v/>
      </c>
      <c r="BH96" s="106">
        <f>IF(GJ96="","",IF(ISNUMBER('Dvd Calendar'!$V$943)=FALSE,"",'Dvd Calendar'!$V$943))</f>
        <v/>
      </c>
      <c r="BI96" s="106">
        <f>IF(GK96="","",IF(ISNUMBER('Dvd Calendar'!$W$943)=FALSE,"",'Dvd Calendar'!$W$943))</f>
        <v/>
      </c>
      <c r="BJ96" s="106">
        <f>IF(GL96="","",IF(ISNUMBER('Dvd Calendar'!$X$943)=FALSE,"",'Dvd Calendar'!$X$943))</f>
        <v/>
      </c>
      <c r="BK96" s="106">
        <f>IF(GM96="","",IF(ISNUMBER('Dvd Calendar'!$Y$943)=FALSE,"",'Dvd Calendar'!$Y$943))</f>
        <v/>
      </c>
      <c r="BL96" s="106">
        <f>IF(GN96="","",IF(ISNUMBER('Dvd Calendar'!$Z$943)=FALSE,"",'Dvd Calendar'!$Z$943))</f>
        <v/>
      </c>
      <c r="BM96" s="106">
        <f>IF(GO96="","",IF(ISNUMBER('Dvd Calendar'!$AA$943)=FALSE,"",'Dvd Calendar'!$AA$943))</f>
        <v/>
      </c>
      <c r="BN96" s="106">
        <f>IF(GP96="","",IF(ISNUMBER('Dvd Calendar'!$AB$943)=FALSE,"",'Dvd Calendar'!$AB$943))</f>
        <v/>
      </c>
      <c r="BO96" s="106">
        <f>IF(GQ96="","",IF(ISNUMBER('Dvd Calendar'!$AC$943)=FALSE,"",'Dvd Calendar'!$AC$943))</f>
        <v/>
      </c>
      <c r="BQ96" s="106">
        <f>IF(C96="","",IFERROR(C96*HSI!$B$91*HSI!$G$91/HSI!$B$3,""))</f>
        <v/>
      </c>
      <c r="BR96" s="106">
        <f>IF(D96="","",IFERROR(D96*HSI!$B$91*HSI!$G$91/HSI!$B$3,""))</f>
        <v/>
      </c>
      <c r="BS96" s="106">
        <f>IF(E96="","",IFERROR(E96*HSI!$B$91*HSI!$G$91/HSI!$B$3,""))</f>
        <v/>
      </c>
      <c r="BT96" s="106">
        <f>IF(F96="","",IFERROR(F96*HSI!$B$91*HSI!$G$91/HSI!$B$3,""))</f>
        <v/>
      </c>
      <c r="BU96" s="106">
        <f>IF(G96="","",IFERROR(G96*HSI!$B$91*HSI!$G$91/HSI!$B$3,""))</f>
        <v/>
      </c>
      <c r="BV96" s="106">
        <f>IF(H96="","",IFERROR(H96*HSI!$B$91*HSI!$G$91/HSI!$B$3,""))</f>
        <v/>
      </c>
      <c r="BW96" s="106">
        <f>IF(I96="","",IFERROR(I96*HSI!$B$91*HSI!$G$91/HSI!$B$3,""))</f>
        <v/>
      </c>
      <c r="BX96" s="106">
        <f>IF(J96="","",IFERROR(J96*HSI!$B$91*HSI!$G$91/HSI!$B$3,""))</f>
        <v/>
      </c>
      <c r="BY96" s="106">
        <f>IF(K96="","",IFERROR(K96*HSI!$B$91*HSI!$G$91/HSI!$B$3,""))</f>
        <v/>
      </c>
      <c r="BZ96" s="106">
        <f>IF(L96="","",IFERROR(L96*HSI!$B$91*HSI!$G$91/HSI!$B$3,""))</f>
        <v/>
      </c>
      <c r="CA96" s="106">
        <f>IF(M96="","",IFERROR(M96*HSI!$B$91*HSI!$G$91/HSI!$B$3,""))</f>
        <v/>
      </c>
      <c r="CB96" s="106">
        <f>IF(N96="","",IFERROR(N96*HSI!$B$91*HSI!$G$91/HSI!$B$3,""))</f>
        <v/>
      </c>
      <c r="CC96" s="106">
        <f>IF(O96="","",IFERROR(O96*HSI!$B$91*HSI!$G$91/HSI!$B$3,""))</f>
        <v/>
      </c>
      <c r="CD96" s="106">
        <f>IF(P96="","",IFERROR(P96*HSI!$B$91*HSI!$G$91/HSI!$B$3,""))</f>
        <v/>
      </c>
      <c r="CE96" s="106">
        <f>IF(Q96="","",IFERROR(Q96*HSI!$B$91*HSI!$G$91/HSI!$B$3,""))</f>
        <v/>
      </c>
      <c r="CF96" s="106">
        <f>IF(R96="","",IFERROR(R96*HSI!$B$91*HSI!$G$91/HSI!$B$3,""))</f>
        <v/>
      </c>
      <c r="CG96" s="106">
        <f>IF(S96="","",IFERROR(S96*HSI!$B$91*HSI!$G$91/HSI!$B$3,""))</f>
        <v/>
      </c>
      <c r="CH96" s="106">
        <f>IF(T96="","",IFERROR(T96*HSI!$B$91*HSI!$G$91/HSI!$B$3,""))</f>
        <v/>
      </c>
      <c r="CI96" s="106">
        <f>IF(U96="","",IFERROR(U96*HSI!$B$91*HSI!$G$91/HSI!$B$3,""))</f>
        <v/>
      </c>
      <c r="CJ96" s="106">
        <f>IF(V96="","",IFERROR(V96*HSI!$B$91*HSI!$G$91/HSI!$B$3,""))</f>
        <v/>
      </c>
      <c r="CK96" s="106">
        <f>IF(W96="","",IFERROR(W96*HSI!$B$91*HSI!$G$91/HSI!$B$3,""))</f>
        <v/>
      </c>
      <c r="CL96" s="106">
        <f>IF(X96="","",IFERROR(X96*HSI!$B$91*HSI!$G$91/HSI!$B$3,""))</f>
        <v/>
      </c>
      <c r="CM96" s="106">
        <f>IF(Y96="","",IFERROR(Y96*HSI!$B$91*HSI!$G$91/HSI!$B$3,""))</f>
        <v/>
      </c>
      <c r="CN96" s="106">
        <f>IF(Z96="","",IFERROR(Z96*HSI!$B$91*HSI!$G$91/HSI!$B$3,""))</f>
        <v/>
      </c>
      <c r="CO96" s="106">
        <f>IF(AA96="","",IFERROR(AA96*HSI!$B$91*HSI!$G$91/HSI!$B$3,""))</f>
        <v/>
      </c>
      <c r="CP96" s="106">
        <f>IF(AB96="","",IFERROR(AB96*HSI!$B$91*HSI!$G$91/HSI!$B$3,""))</f>
        <v/>
      </c>
      <c r="CQ96" s="106">
        <f>IF(AC96="","",IFERROR(AC96*HSI!$B$91*HSI!$G$91/HSI!$B$3,""))</f>
        <v/>
      </c>
      <c r="CR96" s="106">
        <f>IF(AD96="","",IFERROR(AD96*HSI!$B$91*HSI!$G$91/HSI!$B$3,""))</f>
        <v/>
      </c>
      <c r="CS96" s="106">
        <f>IF(AE96="","",IFERROR(AE96*HSI!$B$91*HSI!$G$91/HSI!$B$3,""))</f>
        <v/>
      </c>
      <c r="CT96" s="106">
        <f>IF(AF96="","",IFERROR(AF96*HSI!$B$91*HSI!$G$91/HSI!$B$3,""))</f>
        <v/>
      </c>
      <c r="CU96" s="106">
        <f>IF(AG96="","",IFERROR(AG96*HSI!$B$91*HSI!$G$91/HSI!$B$3,""))</f>
        <v/>
      </c>
      <c r="CV96" s="106">
        <f>IF(AH96="","",IFERROR(AH96*HSI!$B$91*HSI!$G$91/HSI!$B$3,""))</f>
        <v/>
      </c>
      <c r="CW96" s="106">
        <f>IF(AI96="","",IFERROR(AI96*HSI!$B$91*HSI!$G$91/HSI!$B$3,""))</f>
        <v/>
      </c>
      <c r="CX96" s="106">
        <f>IF(AJ96="","",IFERROR(AJ96*HSI!$B$91*HSI!$G$91/HSI!$B$3,""))</f>
        <v/>
      </c>
      <c r="CY96" s="106">
        <f>IF(AK96="","",IFERROR(AK96*HSI!$B$91*HSI!$G$91/HSI!$B$3,""))</f>
        <v/>
      </c>
      <c r="CZ96" s="106">
        <f>IF(AL96="","",IFERROR(AL96*HSI!$B$91*HSI!$G$91/HSI!$B$3,""))</f>
        <v/>
      </c>
      <c r="DA96" s="106">
        <f>IF(AM96="","",IFERROR(AM96*HSI!$B$91*HSI!$G$91/HSI!$B$3,""))</f>
        <v/>
      </c>
      <c r="DB96" s="106">
        <f>IF(AN96="","",IFERROR(AN96*HSI!$B$91*HSI!$G$91/HSI!$B$3,""))</f>
        <v/>
      </c>
      <c r="DC96" s="106">
        <f>IF(AO96="","",IFERROR(AO96*HSI!$B$91*HSI!$G$91/HSI!$B$3,""))</f>
        <v/>
      </c>
      <c r="DD96" s="106">
        <f>IF(AP96="","",IFERROR(AP96*HSI!$B$91*HSI!$G$91/HSI!$B$3,""))</f>
        <v/>
      </c>
      <c r="DE96" s="106">
        <f>IF(AQ96="","",IFERROR(AQ96*HSI!$B$91*HSI!$G$91/HSI!$B$3,""))</f>
        <v/>
      </c>
      <c r="DF96" s="106">
        <f>IF(AR96="","",IFERROR(AR96*HSI!$B$91*HSI!$G$91/HSI!$B$3,""))</f>
        <v/>
      </c>
      <c r="DG96" s="106">
        <f>IF(AS96="","",IFERROR(AS96*HSI!$B$91*HSI!$G$91/HSI!$B$3,""))</f>
        <v/>
      </c>
      <c r="DH96" s="106">
        <f>IF(AT96="","",IFERROR(AT96*HSI!$B$91*HSI!$G$91/HSI!$B$3,""))</f>
        <v/>
      </c>
      <c r="DI96" s="106">
        <f>IF(AU96="","",IFERROR(AU96*HSI!$B$91*HSI!$G$91/HSI!$B$3,""))</f>
        <v/>
      </c>
      <c r="DJ96" s="106">
        <f>IF(AV96="","",IFERROR(AV96*HSI!$B$91*HSI!$G$91/HSI!$B$3,""))</f>
        <v/>
      </c>
      <c r="DK96" s="106">
        <f>IF(AW96="","",IFERROR(AW96*HSI!$B$91*HSI!$G$91/HSI!$B$3,""))</f>
        <v/>
      </c>
      <c r="DL96" s="106">
        <f>IF(AX96="","",IFERROR(AX96*HSI!$B$91*HSI!$G$91/HSI!$B$3,""))</f>
        <v/>
      </c>
      <c r="DM96" s="106">
        <f>IF(AY96="","",IFERROR(AY96*HSI!$B$91*HSI!$G$91/HSI!$B$3,""))</f>
        <v/>
      </c>
      <c r="DN96" s="106">
        <f>IF(AZ96="","",IFERROR(AZ96*HSI!$B$91*HSI!$G$91/HSI!$B$3,""))</f>
        <v/>
      </c>
      <c r="DO96" s="106">
        <f>IF(BA96="","",IFERROR(BA96*HSI!$B$91*HSI!$G$91/HSI!$B$3,""))</f>
        <v/>
      </c>
      <c r="DP96" s="106">
        <f>IF(BB96="","",IFERROR(BB96*HSI!$B$91*HSI!$G$91/HSI!$B$3,""))</f>
        <v/>
      </c>
      <c r="DQ96" s="106">
        <f>IF(BC96="","",IFERROR(BC96*HSI!$B$91*HSI!$G$91/HSI!$B$3,""))</f>
        <v/>
      </c>
      <c r="DR96" s="106">
        <f>IF(BD96="","",IFERROR(BD96*HSI!$B$91*HSI!$G$91/HSI!$B$3,""))</f>
        <v/>
      </c>
      <c r="DS96" s="106">
        <f>IF(BE96="","",IFERROR(BE96*HSI!$B$91*HSI!$G$91/HSI!$B$3,""))</f>
        <v/>
      </c>
      <c r="DT96" s="106">
        <f>IF(BF96="","",IFERROR(BF96*HSI!$B$91*HSI!$G$91/HSI!$B$3,""))</f>
        <v/>
      </c>
      <c r="DU96" s="106">
        <f>IF(BG96="","",IFERROR(BG96*HSI!$B$91*HSI!$G$91/HSI!$B$3,""))</f>
        <v/>
      </c>
      <c r="DV96" s="106">
        <f>IF(BH96="","",IFERROR(BH96*HSI!$B$91*HSI!$G$91/HSI!$B$3,""))</f>
        <v/>
      </c>
      <c r="DW96" s="106">
        <f>IF(BI96="","",IFERROR(BI96*HSI!$B$91*HSI!$G$91/HSI!$B$3,""))</f>
        <v/>
      </c>
      <c r="DX96" s="106">
        <f>IF(BJ96="","",IFERROR(BJ96*HSI!$B$91*HSI!$G$91/HSI!$B$3,""))</f>
        <v/>
      </c>
      <c r="DY96" s="106">
        <f>IF(BK96="","",IFERROR(BK96*HSI!$B$91*HSI!$G$91/HSI!$B$3,""))</f>
        <v/>
      </c>
      <c r="DZ96" s="106">
        <f>IF(BL96="","",IFERROR(BL96*HSI!$B$91*HSI!$G$91/HSI!$B$3,""))</f>
        <v/>
      </c>
      <c r="EA96" s="106">
        <f>IF(BM96="","",IFERROR(BM96*HSI!$B$91*HSI!$G$91/HSI!$B$3,""))</f>
        <v/>
      </c>
      <c r="EB96" s="106">
        <f>IF(BN96="","",IFERROR(BN96*HSI!$B$91*HSI!$G$91/HSI!$B$3,""))</f>
        <v/>
      </c>
      <c r="EC96" s="106">
        <f>IF(BO96="","",IFERROR(BO96*HSI!$B$91*HSI!$G$91/HSI!$B$3,""))</f>
        <v/>
      </c>
      <c r="EE96" s="35">
        <f>IF(N('Dvd Calendar'!$E$935)=0,"",IF(('Dvd Calendar'!$E$935&gt;=GRID_FROM)*('Dvd Calendar'!$E$935&lt;=GRID_TO)*('Dvd Calendar'!$E$935&lt;=VAL_DATE)=0,"",'Dvd Calendar'!$E$935*1000000000+ISNUMBER('Dvd Calendar'!$E$938)*100000000+('Dvd Calendar'!$E$940=SPECIAL_LBL)*10000000+0*1000000+85*1000+1))</f>
        <v/>
      </c>
      <c r="EF96" s="35">
        <f>IF(N('Dvd Calendar'!$F$935)=0,"",IF(('Dvd Calendar'!$F$935&gt;=GRID_FROM)*('Dvd Calendar'!$F$935&lt;=GRID_TO)*('Dvd Calendar'!$F$935&lt;=VAL_DATE)=0,"",'Dvd Calendar'!$F$935*1000000000+ISNUMBER('Dvd Calendar'!$F$938)*100000000+('Dvd Calendar'!$F$940=SPECIAL_LBL)*10000000+0*1000000+85*1000+2))</f>
        <v/>
      </c>
      <c r="EG96" s="35">
        <f>IF(N('Dvd Calendar'!$G$935)=0,"",IF(('Dvd Calendar'!$G$935&gt;=GRID_FROM)*('Dvd Calendar'!$G$935&lt;=GRID_TO)*('Dvd Calendar'!$G$935&lt;=VAL_DATE)=0,"",'Dvd Calendar'!$G$935*1000000000+ISNUMBER('Dvd Calendar'!$G$938)*100000000+('Dvd Calendar'!$G$940=SPECIAL_LBL)*10000000+0*1000000+85*1000+3))</f>
        <v/>
      </c>
      <c r="EH96" s="35">
        <f>IF(N('Dvd Calendar'!$H$935)=0,"",IF(('Dvd Calendar'!$H$935&gt;=GRID_FROM)*('Dvd Calendar'!$H$935&lt;=GRID_TO)*('Dvd Calendar'!$H$935&lt;=VAL_DATE)=0,"",'Dvd Calendar'!$H$935*1000000000+ISNUMBER('Dvd Calendar'!$H$938)*100000000+('Dvd Calendar'!$H$940=SPECIAL_LBL)*10000000+0*1000000+85*1000+4))</f>
        <v/>
      </c>
      <c r="EI96" s="35">
        <f>IF(N('Dvd Calendar'!$I$935)=0,"",IF(('Dvd Calendar'!$I$935&gt;=GRID_FROM)*('Dvd Calendar'!$I$935&lt;=GRID_TO)*('Dvd Calendar'!$I$935&lt;=VAL_DATE)=0,"",'Dvd Calendar'!$I$935*1000000000+ISNUMBER('Dvd Calendar'!$I$938)*100000000+('Dvd Calendar'!$I$940=SPECIAL_LBL)*10000000+0*1000000+85*1000+5))</f>
        <v/>
      </c>
      <c r="EJ96" s="35">
        <f>IF(N('Dvd Calendar'!$J$935)=0,"",IF(('Dvd Calendar'!$J$935&gt;=GRID_FROM)*('Dvd Calendar'!$J$935&lt;=GRID_TO)*('Dvd Calendar'!$J$935&lt;=VAL_DATE)=0,"",'Dvd Calendar'!$J$935*1000000000+ISNUMBER('Dvd Calendar'!$J$938)*100000000+('Dvd Calendar'!$J$940=SPECIAL_LBL)*10000000+0*1000000+85*1000+6))</f>
        <v/>
      </c>
      <c r="EK96" s="35">
        <f>IF(N('Dvd Calendar'!$K$935)=0,"",IF(('Dvd Calendar'!$K$935&gt;=GRID_FROM)*('Dvd Calendar'!$K$935&lt;=GRID_TO)*('Dvd Calendar'!$K$935&lt;=VAL_DATE)=0,"",'Dvd Calendar'!$K$935*1000000000+ISNUMBER('Dvd Calendar'!$K$938)*100000000+('Dvd Calendar'!$K$940=SPECIAL_LBL)*10000000+0*1000000+85*1000+7))</f>
        <v/>
      </c>
      <c r="EL96" s="35">
        <f>IF(N('Dvd Calendar'!$L$935)=0,"",IF(('Dvd Calendar'!$L$935&gt;=GRID_FROM)*('Dvd Calendar'!$L$935&lt;=GRID_TO)*('Dvd Calendar'!$L$935&lt;=VAL_DATE)=0,"",'Dvd Calendar'!$L$935*1000000000+ISNUMBER('Dvd Calendar'!$L$938)*100000000+('Dvd Calendar'!$L$940=SPECIAL_LBL)*10000000+0*1000000+85*1000+8))</f>
        <v/>
      </c>
      <c r="EM96" s="35">
        <f>IF(N('Dvd Calendar'!$M$935)=0,"",IF(('Dvd Calendar'!$M$935&gt;=GRID_FROM)*('Dvd Calendar'!$M$935&lt;=GRID_TO)*('Dvd Calendar'!$M$935&lt;=VAL_DATE)=0,"",'Dvd Calendar'!$M$935*1000000000+ISNUMBER('Dvd Calendar'!$M$938)*100000000+('Dvd Calendar'!$M$940=SPECIAL_LBL)*10000000+0*1000000+85*1000+9))</f>
        <v/>
      </c>
      <c r="EN96" s="35">
        <f>IF(N('Dvd Calendar'!$N$935)=0,"",IF(('Dvd Calendar'!$N$935&gt;=GRID_FROM)*('Dvd Calendar'!$N$935&lt;=GRID_TO)*('Dvd Calendar'!$N$935&lt;=VAL_DATE)=0,"",'Dvd Calendar'!$N$935*1000000000+ISNUMBER('Dvd Calendar'!$N$938)*100000000+('Dvd Calendar'!$N$940=SPECIAL_LBL)*10000000+0*1000000+85*1000+10))</f>
        <v/>
      </c>
      <c r="EO96" s="35">
        <f>IF(N('Dvd Calendar'!$O$935)=0,"",IF(('Dvd Calendar'!$O$935&gt;=GRID_FROM)*('Dvd Calendar'!$O$935&lt;=GRID_TO)*('Dvd Calendar'!$O$935&lt;=VAL_DATE)=0,"",'Dvd Calendar'!$O$935*1000000000+ISNUMBER('Dvd Calendar'!$O$938)*100000000+('Dvd Calendar'!$O$940=SPECIAL_LBL)*10000000+0*1000000+85*1000+11))</f>
        <v/>
      </c>
      <c r="EP96" s="35">
        <f>IF(N('Dvd Calendar'!$P$935)=0,"",IF(('Dvd Calendar'!$P$935&gt;=GRID_FROM)*('Dvd Calendar'!$P$935&lt;=GRID_TO)*('Dvd Calendar'!$P$935&lt;=VAL_DATE)=0,"",'Dvd Calendar'!$P$935*1000000000+ISNUMBER('Dvd Calendar'!$P$938)*100000000+('Dvd Calendar'!$P$940=SPECIAL_LBL)*10000000+0*1000000+85*1000+12))</f>
        <v/>
      </c>
      <c r="EQ96" s="35">
        <f>IF(N('Dvd Calendar'!$Q$935)=0,"",IF(('Dvd Calendar'!$Q$935&gt;=GRID_FROM)*('Dvd Calendar'!$Q$935&lt;=GRID_TO)*('Dvd Calendar'!$Q$935&lt;=VAL_DATE)=0,"",'Dvd Calendar'!$Q$935*1000000000+ISNUMBER('Dvd Calendar'!$Q$938)*100000000+('Dvd Calendar'!$Q$940=SPECIAL_LBL)*10000000+0*1000000+85*1000+13))</f>
        <v/>
      </c>
      <c r="ER96" s="35">
        <f>IF(N('Dvd Calendar'!$R$935)=0,"",IF(('Dvd Calendar'!$R$935&gt;=GRID_FROM)*('Dvd Calendar'!$R$935&lt;=GRID_TO)*('Dvd Calendar'!$R$935&lt;=VAL_DATE)=0,"",'Dvd Calendar'!$R$935*1000000000+ISNUMBER('Dvd Calendar'!$R$938)*100000000+('Dvd Calendar'!$R$940=SPECIAL_LBL)*10000000+0*1000000+85*1000+14))</f>
        <v/>
      </c>
      <c r="ES96" s="35">
        <f>IF(N('Dvd Calendar'!$S$935)=0,"",IF(('Dvd Calendar'!$S$935&gt;=GRID_FROM)*('Dvd Calendar'!$S$935&lt;=GRID_TO)*('Dvd Calendar'!$S$935&lt;=VAL_DATE)=0,"",'Dvd Calendar'!$S$935*1000000000+ISNUMBER('Dvd Calendar'!$S$938)*100000000+('Dvd Calendar'!$S$940=SPECIAL_LBL)*10000000+0*1000000+85*1000+15))</f>
        <v/>
      </c>
      <c r="ET96" s="35">
        <f>IF(N('Dvd Calendar'!$T$935)=0,"",IF(('Dvd Calendar'!$T$935&gt;=GRID_FROM)*('Dvd Calendar'!$T$935&lt;=GRID_TO)*('Dvd Calendar'!$T$935&lt;=VAL_DATE)=0,"",'Dvd Calendar'!$T$935*1000000000+ISNUMBER('Dvd Calendar'!$T$938)*100000000+('Dvd Calendar'!$T$940=SPECIAL_LBL)*10000000+0*1000000+85*1000+16))</f>
        <v/>
      </c>
      <c r="EU96" s="35">
        <f>IF(N('Dvd Calendar'!$U$935)=0,"",IF(('Dvd Calendar'!$U$935&gt;=GRID_FROM)*('Dvd Calendar'!$U$935&lt;=GRID_TO)*('Dvd Calendar'!$U$935&lt;=VAL_DATE)=0,"",'Dvd Calendar'!$U$935*1000000000+ISNUMBER('Dvd Calendar'!$U$938)*100000000+('Dvd Calendar'!$U$940=SPECIAL_LBL)*10000000+0*1000000+85*1000+17))</f>
        <v/>
      </c>
      <c r="EV96" s="35">
        <f>IF(N('Dvd Calendar'!$V$935)=0,"",IF(('Dvd Calendar'!$V$935&gt;=GRID_FROM)*('Dvd Calendar'!$V$935&lt;=GRID_TO)*('Dvd Calendar'!$V$935&lt;=VAL_DATE)=0,"",'Dvd Calendar'!$V$935*1000000000+ISNUMBER('Dvd Calendar'!$V$938)*100000000+('Dvd Calendar'!$V$940=SPECIAL_LBL)*10000000+0*1000000+85*1000+18))</f>
        <v/>
      </c>
      <c r="EW96" s="35">
        <f>IF(N('Dvd Calendar'!$W$935)=0,"",IF(('Dvd Calendar'!$W$935&gt;=GRID_FROM)*('Dvd Calendar'!$W$935&lt;=GRID_TO)*('Dvd Calendar'!$W$935&lt;=VAL_DATE)=0,"",'Dvd Calendar'!$W$935*1000000000+ISNUMBER('Dvd Calendar'!$W$938)*100000000+('Dvd Calendar'!$W$940=SPECIAL_LBL)*10000000+0*1000000+85*1000+19))</f>
        <v/>
      </c>
      <c r="EX96" s="35">
        <f>IF(N('Dvd Calendar'!$X$935)=0,"",IF(('Dvd Calendar'!$X$935&gt;=GRID_FROM)*('Dvd Calendar'!$X$935&lt;=GRID_TO)*('Dvd Calendar'!$X$935&lt;=VAL_DATE)=0,"",'Dvd Calendar'!$X$935*1000000000+ISNUMBER('Dvd Calendar'!$X$938)*100000000+('Dvd Calendar'!$X$940=SPECIAL_LBL)*10000000+0*1000000+85*1000+20))</f>
        <v/>
      </c>
      <c r="EY96" s="35">
        <f>IF(N('Dvd Calendar'!$Y$935)=0,"",IF(('Dvd Calendar'!$Y$935&gt;=GRID_FROM)*('Dvd Calendar'!$Y$935&lt;=GRID_TO)*('Dvd Calendar'!$Y$935&lt;=VAL_DATE)=0,"",'Dvd Calendar'!$Y$935*1000000000+ISNUMBER('Dvd Calendar'!$Y$938)*100000000+('Dvd Calendar'!$Y$940=SPECIAL_LBL)*10000000+0*1000000+85*1000+21))</f>
        <v/>
      </c>
      <c r="EZ96" s="35">
        <f>IF(N('Dvd Calendar'!$Z$935)=0,"",IF(('Dvd Calendar'!$Z$935&gt;=GRID_FROM)*('Dvd Calendar'!$Z$935&lt;=GRID_TO)*('Dvd Calendar'!$Z$935&lt;=VAL_DATE)=0,"",'Dvd Calendar'!$Z$935*1000000000+ISNUMBER('Dvd Calendar'!$Z$938)*100000000+('Dvd Calendar'!$Z$940=SPECIAL_LBL)*10000000+0*1000000+85*1000+22))</f>
        <v/>
      </c>
      <c r="FA96" s="35">
        <f>IF(N('Dvd Calendar'!$AA$935)=0,"",IF(('Dvd Calendar'!$AA$935&gt;=GRID_FROM)*('Dvd Calendar'!$AA$935&lt;=GRID_TO)*('Dvd Calendar'!$AA$935&lt;=VAL_DATE)=0,"",'Dvd Calendar'!$AA$935*1000000000+ISNUMBER('Dvd Calendar'!$AA$938)*100000000+('Dvd Calendar'!$AA$940=SPECIAL_LBL)*10000000+0*1000000+85*1000+23))</f>
        <v/>
      </c>
      <c r="FB96" s="35">
        <f>IF(N('Dvd Calendar'!$AB$935)=0,"",IF(('Dvd Calendar'!$AB$935&gt;=GRID_FROM)*('Dvd Calendar'!$AB$935&lt;=GRID_TO)*('Dvd Calendar'!$AB$935&lt;=VAL_DATE)=0,"",'Dvd Calendar'!$AB$935*1000000000+ISNUMBER('Dvd Calendar'!$AB$938)*100000000+('Dvd Calendar'!$AB$940=SPECIAL_LBL)*10000000+0*1000000+85*1000+24))</f>
        <v/>
      </c>
      <c r="FC96" s="35">
        <f>IF(N('Dvd Calendar'!$AC$935)=0,"",IF(('Dvd Calendar'!$AC$935&gt;=GRID_FROM)*('Dvd Calendar'!$AC$935&lt;=GRID_TO)*('Dvd Calendar'!$AC$935&lt;=VAL_DATE)=0,"",'Dvd Calendar'!$AC$935*1000000000+ISNUMBER('Dvd Calendar'!$AC$938)*100000000+('Dvd Calendar'!$AC$940=SPECIAL_LBL)*10000000+0*1000000+85*1000+25))</f>
        <v/>
      </c>
      <c r="FD96" s="35">
        <f>IF(N('Dvd Calendar'!$AD$935)=0,"",IF(('Dvd Calendar'!$AD$935&gt;=GRID_FROM)*('Dvd Calendar'!$AD$935&lt;=GRID_TO)*('Dvd Calendar'!$AD$935&lt;=VAL_DATE)=0,"",'Dvd Calendar'!$AD$935*1000000000+ISNUMBER('Dvd Calendar'!$AD$938)*100000000+('Dvd Calendar'!$AD$940=SPECIAL_LBL)*10000000+0*1000000+85*1000+26))</f>
        <v/>
      </c>
      <c r="FE96" s="35">
        <f>IF(N('Dvd Calendar'!$AE$935)=0,"",IF(('Dvd Calendar'!$AE$935&gt;=GRID_FROM)*('Dvd Calendar'!$AE$935&lt;=GRID_TO)*('Dvd Calendar'!$AE$935&lt;=VAL_DATE)=0,"",'Dvd Calendar'!$AE$935*1000000000+ISNUMBER('Dvd Calendar'!$AE$938)*100000000+('Dvd Calendar'!$AE$940=SPECIAL_LBL)*10000000+0*1000000+85*1000+27))</f>
        <v/>
      </c>
      <c r="FF96" s="35">
        <f>IF(N('Dvd Calendar'!$AF$935)=0,"",IF(('Dvd Calendar'!$AF$935&gt;=GRID_FROM)*('Dvd Calendar'!$AF$935&lt;=GRID_TO)*('Dvd Calendar'!$AF$935&lt;=VAL_DATE)=0,"",'Dvd Calendar'!$AF$935*1000000000+ISNUMBER('Dvd Calendar'!$AF$938)*100000000+('Dvd Calendar'!$AF$940=SPECIAL_LBL)*10000000+0*1000000+85*1000+28))</f>
        <v/>
      </c>
      <c r="FG96" s="35">
        <f>IF(N('Dvd Calendar'!$AG$935)=0,"",IF(('Dvd Calendar'!$AG$935&gt;=GRID_FROM)*('Dvd Calendar'!$AG$935&lt;=GRID_TO)*('Dvd Calendar'!$AG$935&lt;=VAL_DATE)=0,"",'Dvd Calendar'!$AG$935*1000000000+ISNUMBER('Dvd Calendar'!$AG$938)*100000000+('Dvd Calendar'!$AG$940=SPECIAL_LBL)*10000000+0*1000000+85*1000+29))</f>
        <v/>
      </c>
      <c r="FH96" s="35">
        <f>IF(N('Dvd Calendar'!$AH$935)=0,"",IF(('Dvd Calendar'!$AH$935&gt;=GRID_FROM)*('Dvd Calendar'!$AH$935&lt;=GRID_TO)*('Dvd Calendar'!$AH$935&lt;=VAL_DATE)=0,"",'Dvd Calendar'!$AH$935*1000000000+ISNUMBER('Dvd Calendar'!$AH$938)*100000000+('Dvd Calendar'!$AH$940=SPECIAL_LBL)*10000000+0*1000000+85*1000+30))</f>
        <v/>
      </c>
      <c r="FI96" s="35">
        <f>IF(N('Dvd Calendar'!$AI$935)=0,"",IF(('Dvd Calendar'!$AI$935&gt;=GRID_FROM)*('Dvd Calendar'!$AI$935&lt;=GRID_TO)*('Dvd Calendar'!$AI$935&lt;=VAL_DATE)=0,"",'Dvd Calendar'!$AI$935*1000000000+ISNUMBER('Dvd Calendar'!$AI$938)*100000000+('Dvd Calendar'!$AI$940=SPECIAL_LBL)*10000000+0*1000000+85*1000+31))</f>
        <v/>
      </c>
      <c r="FJ96" s="35">
        <f>IF(N('Dvd Calendar'!$AJ$935)=0,"",IF(('Dvd Calendar'!$AJ$935&gt;=GRID_FROM)*('Dvd Calendar'!$AJ$935&lt;=GRID_TO)*('Dvd Calendar'!$AJ$935&lt;=VAL_DATE)=0,"",'Dvd Calendar'!$AJ$935*1000000000+ISNUMBER('Dvd Calendar'!$AJ$938)*100000000+('Dvd Calendar'!$AJ$940=SPECIAL_LBL)*10000000+0*1000000+85*1000+32))</f>
        <v/>
      </c>
      <c r="FK96" s="35">
        <f>IF(N('Dvd Calendar'!$AK$935)=0,"",IF(('Dvd Calendar'!$AK$935&gt;=GRID_FROM)*('Dvd Calendar'!$AK$935&lt;=GRID_TO)*('Dvd Calendar'!$AK$935&lt;=VAL_DATE)=0,"",'Dvd Calendar'!$AK$935*1000000000+ISNUMBER('Dvd Calendar'!$AK$938)*100000000+('Dvd Calendar'!$AK$940=SPECIAL_LBL)*10000000+0*1000000+85*1000+33))</f>
        <v/>
      </c>
      <c r="FL96" s="35">
        <f>IF(N('Dvd Calendar'!$AL$935)=0,"",IF(('Dvd Calendar'!$AL$935&gt;=GRID_FROM)*('Dvd Calendar'!$AL$935&lt;=GRID_TO)*('Dvd Calendar'!$AL$935&lt;=VAL_DATE)=0,"",'Dvd Calendar'!$AL$935*1000000000+ISNUMBER('Dvd Calendar'!$AL$938)*100000000+('Dvd Calendar'!$AL$940=SPECIAL_LBL)*10000000+0*1000000+85*1000+34))</f>
        <v/>
      </c>
      <c r="FM96" s="35">
        <f>IF(N('Dvd Calendar'!$AM$935)=0,"",IF(('Dvd Calendar'!$AM$935&gt;=GRID_FROM)*('Dvd Calendar'!$AM$935&lt;=GRID_TO)*('Dvd Calendar'!$AM$935&lt;=VAL_DATE)=0,"",'Dvd Calendar'!$AM$935*1000000000+ISNUMBER('Dvd Calendar'!$AM$938)*100000000+('Dvd Calendar'!$AM$940=SPECIAL_LBL)*10000000+0*1000000+85*1000+35))</f>
        <v/>
      </c>
      <c r="FN96" s="35">
        <f>IF(N('Dvd Calendar'!$AN$935)=0,"",IF(('Dvd Calendar'!$AN$935&gt;=GRID_FROM)*('Dvd Calendar'!$AN$935&lt;=GRID_TO)*('Dvd Calendar'!$AN$935&lt;=VAL_DATE)=0,"",'Dvd Calendar'!$AN$935*1000000000+ISNUMBER('Dvd Calendar'!$AN$938)*100000000+('Dvd Calendar'!$AN$940=SPECIAL_LBL)*10000000+0*1000000+85*1000+36))</f>
        <v/>
      </c>
      <c r="FO96" s="35">
        <f>IF(N('Dvd Calendar'!$AO$935)=0,"",IF(('Dvd Calendar'!$AO$935&gt;=GRID_FROM)*('Dvd Calendar'!$AO$935&lt;=GRID_TO)*('Dvd Calendar'!$AO$935&lt;=VAL_DATE)=0,"",'Dvd Calendar'!$AO$935*1000000000+ISNUMBER('Dvd Calendar'!$AO$938)*100000000+('Dvd Calendar'!$AO$940=SPECIAL_LBL)*10000000+0*1000000+85*1000+37))</f>
        <v/>
      </c>
      <c r="FP96" s="35">
        <f>IF(N('Dvd Calendar'!$AP$935)=0,"",IF(('Dvd Calendar'!$AP$935&gt;=GRID_FROM)*('Dvd Calendar'!$AP$935&lt;=GRID_TO)*('Dvd Calendar'!$AP$935&lt;=VAL_DATE)=0,"",'Dvd Calendar'!$AP$935*1000000000+ISNUMBER('Dvd Calendar'!$AP$938)*100000000+('Dvd Calendar'!$AP$940=SPECIAL_LBL)*10000000+0*1000000+85*1000+38))</f>
        <v/>
      </c>
      <c r="FQ96" s="35">
        <f>IF(N('Dvd Calendar'!$AQ$935)=0,"",IF(('Dvd Calendar'!$AQ$935&gt;=GRID_FROM)*('Dvd Calendar'!$AQ$935&lt;=GRID_TO)*('Dvd Calendar'!$AQ$935&lt;=VAL_DATE)=0,"",'Dvd Calendar'!$AQ$935*1000000000+ISNUMBER('Dvd Calendar'!$AQ$938)*100000000+('Dvd Calendar'!$AQ$940=SPECIAL_LBL)*10000000+0*1000000+85*1000+39))</f>
        <v/>
      </c>
      <c r="FR96" s="35">
        <f>IF(N('Dvd Calendar'!$AR$935)=0,"",IF(('Dvd Calendar'!$AR$935&gt;=GRID_FROM)*('Dvd Calendar'!$AR$935&lt;=GRID_TO)*('Dvd Calendar'!$AR$935&lt;=VAL_DATE)=0,"",'Dvd Calendar'!$AR$935*1000000000+ISNUMBER('Dvd Calendar'!$AR$938)*100000000+('Dvd Calendar'!$AR$940=SPECIAL_LBL)*10000000+0*1000000+85*1000+40))</f>
        <v/>
      </c>
      <c r="FS96" s="35">
        <f>IF(N('Dvd Calendar'!$E$942)=0,"",IF(('Dvd Calendar'!$E$942&gt;=GRID_FROM)*('Dvd Calendar'!$E$942&lt;=GRID_TO)*('Dvd Calendar'!$E$942&gt;VAL_DATE)=0,"",'Dvd Calendar'!$E$942*1000000000+ISNUMBER('Dvd Calendar'!$E$943)*100000000+0*10000000+(N('Dvd Calendar'!$E$941)&gt;0)*(N('Dvd Calendar'!$E$941)&lt;=VAL_SERIAL)*1000000+85*1000+41))</f>
        <v/>
      </c>
      <c r="FT96" s="35">
        <f>IF(N('Dvd Calendar'!$F$942)=0,"",IF(('Dvd Calendar'!$F$942&gt;=GRID_FROM)*('Dvd Calendar'!$F$942&lt;=GRID_TO)*('Dvd Calendar'!$F$942&gt;VAL_DATE)=0,"",'Dvd Calendar'!$F$942*1000000000+ISNUMBER('Dvd Calendar'!$F$943)*100000000+0*10000000+(N('Dvd Calendar'!$F$941)&gt;0)*(N('Dvd Calendar'!$F$941)&lt;=VAL_SERIAL)*1000000+85*1000+42))</f>
        <v/>
      </c>
      <c r="FU96" s="35">
        <f>IF(N('Dvd Calendar'!$G$942)=0,"",IF(('Dvd Calendar'!$G$942&gt;=GRID_FROM)*('Dvd Calendar'!$G$942&lt;=GRID_TO)*('Dvd Calendar'!$G$942&gt;VAL_DATE)=0,"",'Dvd Calendar'!$G$942*1000000000+ISNUMBER('Dvd Calendar'!$G$943)*100000000+0*10000000+(N('Dvd Calendar'!$G$941)&gt;0)*(N('Dvd Calendar'!$G$941)&lt;=VAL_SERIAL)*1000000+85*1000+43))</f>
        <v/>
      </c>
      <c r="FV96" s="35">
        <f>IF(N('Dvd Calendar'!$H$942)=0,"",IF(('Dvd Calendar'!$H$942&gt;=GRID_FROM)*('Dvd Calendar'!$H$942&lt;=GRID_TO)*('Dvd Calendar'!$H$942&gt;VAL_DATE)=0,"",'Dvd Calendar'!$H$942*1000000000+ISNUMBER('Dvd Calendar'!$H$943)*100000000+0*10000000+(N('Dvd Calendar'!$H$941)&gt;0)*(N('Dvd Calendar'!$H$941)&lt;=VAL_SERIAL)*1000000+85*1000+44))</f>
        <v/>
      </c>
      <c r="FW96" s="35">
        <f>IF(N('Dvd Calendar'!$I$942)=0,"",IF(('Dvd Calendar'!$I$942&gt;=GRID_FROM)*('Dvd Calendar'!$I$942&lt;=GRID_TO)*('Dvd Calendar'!$I$942&gt;VAL_DATE)=0,"",'Dvd Calendar'!$I$942*1000000000+ISNUMBER('Dvd Calendar'!$I$943)*100000000+0*10000000+(N('Dvd Calendar'!$I$941)&gt;0)*(N('Dvd Calendar'!$I$941)&lt;=VAL_SERIAL)*1000000+85*1000+45))</f>
        <v/>
      </c>
      <c r="FX96" s="35">
        <f>IF(N('Dvd Calendar'!$J$942)=0,"",IF(('Dvd Calendar'!$J$942&gt;=GRID_FROM)*('Dvd Calendar'!$J$942&lt;=GRID_TO)*('Dvd Calendar'!$J$942&gt;VAL_DATE)=0,"",'Dvd Calendar'!$J$942*1000000000+ISNUMBER('Dvd Calendar'!$J$943)*100000000+0*10000000+(N('Dvd Calendar'!$J$941)&gt;0)*(N('Dvd Calendar'!$J$941)&lt;=VAL_SERIAL)*1000000+85*1000+46))</f>
        <v/>
      </c>
      <c r="FY96" s="35">
        <f>IF(N('Dvd Calendar'!$K$942)=0,"",IF(('Dvd Calendar'!$K$942&gt;=GRID_FROM)*('Dvd Calendar'!$K$942&lt;=GRID_TO)*('Dvd Calendar'!$K$942&gt;VAL_DATE)=0,"",'Dvd Calendar'!$K$942*1000000000+ISNUMBER('Dvd Calendar'!$K$943)*100000000+0*10000000+(N('Dvd Calendar'!$K$941)&gt;0)*(N('Dvd Calendar'!$K$941)&lt;=VAL_SERIAL)*1000000+85*1000+47))</f>
        <v/>
      </c>
      <c r="FZ96" s="35">
        <f>IF(N('Dvd Calendar'!$L$942)=0,"",IF(('Dvd Calendar'!$L$942&gt;=GRID_FROM)*('Dvd Calendar'!$L$942&lt;=GRID_TO)*('Dvd Calendar'!$L$942&gt;VAL_DATE)=0,"",'Dvd Calendar'!$L$942*1000000000+ISNUMBER('Dvd Calendar'!$L$943)*100000000+0*10000000+(N('Dvd Calendar'!$L$941)&gt;0)*(N('Dvd Calendar'!$L$941)&lt;=VAL_SERIAL)*1000000+85*1000+48))</f>
        <v/>
      </c>
      <c r="GA96" s="35">
        <f>IF(N('Dvd Calendar'!$M$942)=0,"",IF(('Dvd Calendar'!$M$942&gt;=GRID_FROM)*('Dvd Calendar'!$M$942&lt;=GRID_TO)*('Dvd Calendar'!$M$942&gt;VAL_DATE)=0,"",'Dvd Calendar'!$M$942*1000000000+ISNUMBER('Dvd Calendar'!$M$943)*100000000+0*10000000+(N('Dvd Calendar'!$M$941)&gt;0)*(N('Dvd Calendar'!$M$941)&lt;=VAL_SERIAL)*1000000+85*1000+49))</f>
        <v/>
      </c>
      <c r="GB96" s="35">
        <f>IF(N('Dvd Calendar'!$N$942)=0,"",IF(('Dvd Calendar'!$N$942&gt;=GRID_FROM)*('Dvd Calendar'!$N$942&lt;=GRID_TO)*('Dvd Calendar'!$N$942&gt;VAL_DATE)=0,"",'Dvd Calendar'!$N$942*1000000000+ISNUMBER('Dvd Calendar'!$N$943)*100000000+0*10000000+(N('Dvd Calendar'!$N$941)&gt;0)*(N('Dvd Calendar'!$N$941)&lt;=VAL_SERIAL)*1000000+85*1000+50))</f>
        <v/>
      </c>
      <c r="GC96" s="35">
        <f>IF(N('Dvd Calendar'!$O$942)=0,"",IF(('Dvd Calendar'!$O$942&gt;=GRID_FROM)*('Dvd Calendar'!$O$942&lt;=GRID_TO)*('Dvd Calendar'!$O$942&gt;VAL_DATE)=0,"",'Dvd Calendar'!$O$942*1000000000+ISNUMBER('Dvd Calendar'!$O$943)*100000000+0*10000000+(N('Dvd Calendar'!$O$941)&gt;0)*(N('Dvd Calendar'!$O$941)&lt;=VAL_SERIAL)*1000000+85*1000+51))</f>
        <v/>
      </c>
      <c r="GD96" s="35">
        <f>IF(N('Dvd Calendar'!$P$942)=0,"",IF(('Dvd Calendar'!$P$942&gt;=GRID_FROM)*('Dvd Calendar'!$P$942&lt;=GRID_TO)*('Dvd Calendar'!$P$942&gt;VAL_DATE)=0,"",'Dvd Calendar'!$P$942*1000000000+ISNUMBER('Dvd Calendar'!$P$943)*100000000+0*10000000+(N('Dvd Calendar'!$P$941)&gt;0)*(N('Dvd Calendar'!$P$941)&lt;=VAL_SERIAL)*1000000+85*1000+52))</f>
        <v/>
      </c>
      <c r="GE96" s="35">
        <f>IF(N('Dvd Calendar'!$Q$942)=0,"",IF(('Dvd Calendar'!$Q$942&gt;=GRID_FROM)*('Dvd Calendar'!$Q$942&lt;=GRID_TO)*('Dvd Calendar'!$Q$942&gt;VAL_DATE)=0,"",'Dvd Calendar'!$Q$942*1000000000+ISNUMBER('Dvd Calendar'!$Q$943)*100000000+0*10000000+(N('Dvd Calendar'!$Q$941)&gt;0)*(N('Dvd Calendar'!$Q$941)&lt;=VAL_SERIAL)*1000000+85*1000+53))</f>
        <v/>
      </c>
      <c r="GF96" s="35">
        <f>IF(N('Dvd Calendar'!$R$942)=0,"",IF(('Dvd Calendar'!$R$942&gt;=GRID_FROM)*('Dvd Calendar'!$R$942&lt;=GRID_TO)*('Dvd Calendar'!$R$942&gt;VAL_DATE)=0,"",'Dvd Calendar'!$R$942*1000000000+ISNUMBER('Dvd Calendar'!$R$943)*100000000+0*10000000+(N('Dvd Calendar'!$R$941)&gt;0)*(N('Dvd Calendar'!$R$941)&lt;=VAL_SERIAL)*1000000+85*1000+54))</f>
        <v/>
      </c>
      <c r="GG96" s="35">
        <f>IF(N('Dvd Calendar'!$S$942)=0,"",IF(('Dvd Calendar'!$S$942&gt;=GRID_FROM)*('Dvd Calendar'!$S$942&lt;=GRID_TO)*('Dvd Calendar'!$S$942&gt;VAL_DATE)=0,"",'Dvd Calendar'!$S$942*1000000000+ISNUMBER('Dvd Calendar'!$S$943)*100000000+0*10000000+(N('Dvd Calendar'!$S$941)&gt;0)*(N('Dvd Calendar'!$S$941)&lt;=VAL_SERIAL)*1000000+85*1000+55))</f>
        <v/>
      </c>
      <c r="GH96" s="35">
        <f>IF(N('Dvd Calendar'!$T$942)=0,"",IF(('Dvd Calendar'!$T$942&gt;=GRID_FROM)*('Dvd Calendar'!$T$942&lt;=GRID_TO)*('Dvd Calendar'!$T$942&gt;VAL_DATE)=0,"",'Dvd Calendar'!$T$942*1000000000+ISNUMBER('Dvd Calendar'!$T$943)*100000000+0*10000000+(N('Dvd Calendar'!$T$941)&gt;0)*(N('Dvd Calendar'!$T$941)&lt;=VAL_SERIAL)*1000000+85*1000+56))</f>
        <v/>
      </c>
      <c r="GI96" s="35">
        <f>IF(N('Dvd Calendar'!$U$942)=0,"",IF(('Dvd Calendar'!$U$942&gt;=GRID_FROM)*('Dvd Calendar'!$U$942&lt;=GRID_TO)*('Dvd Calendar'!$U$942&gt;VAL_DATE)=0,"",'Dvd Calendar'!$U$942*1000000000+ISNUMBER('Dvd Calendar'!$U$943)*100000000+0*10000000+(N('Dvd Calendar'!$U$941)&gt;0)*(N('Dvd Calendar'!$U$941)&lt;=VAL_SERIAL)*1000000+85*1000+57))</f>
        <v/>
      </c>
      <c r="GJ96" s="35">
        <f>IF(N('Dvd Calendar'!$V$942)=0,"",IF(('Dvd Calendar'!$V$942&gt;=GRID_FROM)*('Dvd Calendar'!$V$942&lt;=GRID_TO)*('Dvd Calendar'!$V$942&gt;VAL_DATE)=0,"",'Dvd Calendar'!$V$942*1000000000+ISNUMBER('Dvd Calendar'!$V$943)*100000000+0*10000000+(N('Dvd Calendar'!$V$941)&gt;0)*(N('Dvd Calendar'!$V$941)&lt;=VAL_SERIAL)*1000000+85*1000+58))</f>
        <v/>
      </c>
      <c r="GK96" s="35">
        <f>IF(N('Dvd Calendar'!$W$942)=0,"",IF(('Dvd Calendar'!$W$942&gt;=GRID_FROM)*('Dvd Calendar'!$W$942&lt;=GRID_TO)*('Dvd Calendar'!$W$942&gt;VAL_DATE)=0,"",'Dvd Calendar'!$W$942*1000000000+ISNUMBER('Dvd Calendar'!$W$943)*100000000+0*10000000+(N('Dvd Calendar'!$W$941)&gt;0)*(N('Dvd Calendar'!$W$941)&lt;=VAL_SERIAL)*1000000+85*1000+59))</f>
        <v/>
      </c>
      <c r="GL96" s="35">
        <f>IF(N('Dvd Calendar'!$X$942)=0,"",IF(('Dvd Calendar'!$X$942&gt;=GRID_FROM)*('Dvd Calendar'!$X$942&lt;=GRID_TO)*('Dvd Calendar'!$X$942&gt;VAL_DATE)=0,"",'Dvd Calendar'!$X$942*1000000000+ISNUMBER('Dvd Calendar'!$X$943)*100000000+0*10000000+(N('Dvd Calendar'!$X$941)&gt;0)*(N('Dvd Calendar'!$X$941)&lt;=VAL_SERIAL)*1000000+85*1000+60))</f>
        <v/>
      </c>
      <c r="GM96" s="35">
        <f>IF(N('Dvd Calendar'!$Y$942)=0,"",IF(('Dvd Calendar'!$Y$942&gt;=GRID_FROM)*('Dvd Calendar'!$Y$942&lt;=GRID_TO)*('Dvd Calendar'!$Y$942&gt;VAL_DATE)=0,"",'Dvd Calendar'!$Y$942*1000000000+ISNUMBER('Dvd Calendar'!$Y$943)*100000000+0*10000000+(N('Dvd Calendar'!$Y$941)&gt;0)*(N('Dvd Calendar'!$Y$941)&lt;=VAL_SERIAL)*1000000+85*1000+61))</f>
        <v/>
      </c>
      <c r="GN96" s="35">
        <f>IF(N('Dvd Calendar'!$Z$942)=0,"",IF(('Dvd Calendar'!$Z$942&gt;=GRID_FROM)*('Dvd Calendar'!$Z$942&lt;=GRID_TO)*('Dvd Calendar'!$Z$942&gt;VAL_DATE)=0,"",'Dvd Calendar'!$Z$942*1000000000+ISNUMBER('Dvd Calendar'!$Z$943)*100000000+0*10000000+(N('Dvd Calendar'!$Z$941)&gt;0)*(N('Dvd Calendar'!$Z$941)&lt;=VAL_SERIAL)*1000000+85*1000+62))</f>
        <v/>
      </c>
      <c r="GO96" s="35">
        <f>IF(N('Dvd Calendar'!$AA$942)=0,"",IF(('Dvd Calendar'!$AA$942&gt;=GRID_FROM)*('Dvd Calendar'!$AA$942&lt;=GRID_TO)*('Dvd Calendar'!$AA$942&gt;VAL_DATE)=0,"",'Dvd Calendar'!$AA$942*1000000000+ISNUMBER('Dvd Calendar'!$AA$943)*100000000+0*10000000+(N('Dvd Calendar'!$AA$941)&gt;0)*(N('Dvd Calendar'!$AA$941)&lt;=VAL_SERIAL)*1000000+85*1000+63))</f>
        <v/>
      </c>
      <c r="GP96" s="35">
        <f>IF(N('Dvd Calendar'!$AB$942)=0,"",IF(('Dvd Calendar'!$AB$942&gt;=GRID_FROM)*('Dvd Calendar'!$AB$942&lt;=GRID_TO)*('Dvd Calendar'!$AB$942&gt;VAL_DATE)=0,"",'Dvd Calendar'!$AB$942*1000000000+ISNUMBER('Dvd Calendar'!$AB$943)*100000000+0*10000000+(N('Dvd Calendar'!$AB$941)&gt;0)*(N('Dvd Calendar'!$AB$941)&lt;=VAL_SERIAL)*1000000+85*1000+64))</f>
        <v/>
      </c>
      <c r="GQ96" s="35">
        <f>IF(N('Dvd Calendar'!$AC$942)=0,"",IF(('Dvd Calendar'!$AC$942&gt;=GRID_FROM)*('Dvd Calendar'!$AC$942&lt;=GRID_TO)*('Dvd Calendar'!$AC$942&gt;VAL_DATE)=0,"",'Dvd Calendar'!$AC$942*1000000000+ISNUMBER('Dvd Calendar'!$AC$943)*100000000+0*10000000+(N('Dvd Calendar'!$AC$941)&gt;0)*(N('Dvd Calendar'!$AC$941)&lt;=VAL_SERIAL)*1000000+85*1000+65))</f>
        <v/>
      </c>
    </row>
    <row r="97">
      <c r="B97" s="2">
        <f>IF(HSI!$C$92="","",HSI!$C$92)</f>
        <v/>
      </c>
      <c r="C97" s="106">
        <f>IF(EE97="","",IF(ISNUMBER('Dvd Calendar'!$E$949)=FALSE,"",IF((('Dvd Calendar'!$E$951=TYPE1)*(TYPE1&lt;&gt;"")+('Dvd Calendar'!$E$951=TYPE2)*(TYPE2&lt;&gt;"")+('Dvd Calendar'!$E$951=TYPE3)*(TYPE3&lt;&gt;"")+('Dvd Calendar'!$E$951=TYPE4)*(TYPE4&lt;&gt;"")+('Dvd Calendar'!$E$951=SPECIAL_LBL)*(INC_SPECIALS="Y"))=0,"",'Dvd Calendar'!$E$949)))</f>
        <v/>
      </c>
      <c r="D97" s="106">
        <f>IF(EF97="","",IF(ISNUMBER('Dvd Calendar'!$F$949)=FALSE,"",IF((('Dvd Calendar'!$F$951=TYPE1)*(TYPE1&lt;&gt;"")+('Dvd Calendar'!$F$951=TYPE2)*(TYPE2&lt;&gt;"")+('Dvd Calendar'!$F$951=TYPE3)*(TYPE3&lt;&gt;"")+('Dvd Calendar'!$F$951=TYPE4)*(TYPE4&lt;&gt;"")+('Dvd Calendar'!$F$951=SPECIAL_LBL)*(INC_SPECIALS="Y"))=0,"",'Dvd Calendar'!$F$949)))</f>
        <v/>
      </c>
      <c r="E97" s="106">
        <f>IF(EG97="","",IF(ISNUMBER('Dvd Calendar'!$G$949)=FALSE,"",IF((('Dvd Calendar'!$G$951=TYPE1)*(TYPE1&lt;&gt;"")+('Dvd Calendar'!$G$951=TYPE2)*(TYPE2&lt;&gt;"")+('Dvd Calendar'!$G$951=TYPE3)*(TYPE3&lt;&gt;"")+('Dvd Calendar'!$G$951=TYPE4)*(TYPE4&lt;&gt;"")+('Dvd Calendar'!$G$951=SPECIAL_LBL)*(INC_SPECIALS="Y"))=0,"",'Dvd Calendar'!$G$949)))</f>
        <v/>
      </c>
      <c r="F97" s="106">
        <f>IF(EH97="","",IF(ISNUMBER('Dvd Calendar'!$H$949)=FALSE,"",IF((('Dvd Calendar'!$H$951=TYPE1)*(TYPE1&lt;&gt;"")+('Dvd Calendar'!$H$951=TYPE2)*(TYPE2&lt;&gt;"")+('Dvd Calendar'!$H$951=TYPE3)*(TYPE3&lt;&gt;"")+('Dvd Calendar'!$H$951=TYPE4)*(TYPE4&lt;&gt;"")+('Dvd Calendar'!$H$951=SPECIAL_LBL)*(INC_SPECIALS="Y"))=0,"",'Dvd Calendar'!$H$949)))</f>
        <v/>
      </c>
      <c r="G97" s="106">
        <f>IF(EI97="","",IF(ISNUMBER('Dvd Calendar'!$I$949)=FALSE,"",IF((('Dvd Calendar'!$I$951=TYPE1)*(TYPE1&lt;&gt;"")+('Dvd Calendar'!$I$951=TYPE2)*(TYPE2&lt;&gt;"")+('Dvd Calendar'!$I$951=TYPE3)*(TYPE3&lt;&gt;"")+('Dvd Calendar'!$I$951=TYPE4)*(TYPE4&lt;&gt;"")+('Dvd Calendar'!$I$951=SPECIAL_LBL)*(INC_SPECIALS="Y"))=0,"",'Dvd Calendar'!$I$949)))</f>
        <v/>
      </c>
      <c r="H97" s="106">
        <f>IF(EJ97="","",IF(ISNUMBER('Dvd Calendar'!$J$949)=FALSE,"",IF((('Dvd Calendar'!$J$951=TYPE1)*(TYPE1&lt;&gt;"")+('Dvd Calendar'!$J$951=TYPE2)*(TYPE2&lt;&gt;"")+('Dvd Calendar'!$J$951=TYPE3)*(TYPE3&lt;&gt;"")+('Dvd Calendar'!$J$951=TYPE4)*(TYPE4&lt;&gt;"")+('Dvd Calendar'!$J$951=SPECIAL_LBL)*(INC_SPECIALS="Y"))=0,"",'Dvd Calendar'!$J$949)))</f>
        <v/>
      </c>
      <c r="I97" s="106">
        <f>IF(EK97="","",IF(ISNUMBER('Dvd Calendar'!$K$949)=FALSE,"",IF((('Dvd Calendar'!$K$951=TYPE1)*(TYPE1&lt;&gt;"")+('Dvd Calendar'!$K$951=TYPE2)*(TYPE2&lt;&gt;"")+('Dvd Calendar'!$K$951=TYPE3)*(TYPE3&lt;&gt;"")+('Dvd Calendar'!$K$951=TYPE4)*(TYPE4&lt;&gt;"")+('Dvd Calendar'!$K$951=SPECIAL_LBL)*(INC_SPECIALS="Y"))=0,"",'Dvd Calendar'!$K$949)))</f>
        <v/>
      </c>
      <c r="J97" s="106">
        <f>IF(EL97="","",IF(ISNUMBER('Dvd Calendar'!$L$949)=FALSE,"",IF((('Dvd Calendar'!$L$951=TYPE1)*(TYPE1&lt;&gt;"")+('Dvd Calendar'!$L$951=TYPE2)*(TYPE2&lt;&gt;"")+('Dvd Calendar'!$L$951=TYPE3)*(TYPE3&lt;&gt;"")+('Dvd Calendar'!$L$951=TYPE4)*(TYPE4&lt;&gt;"")+('Dvd Calendar'!$L$951=SPECIAL_LBL)*(INC_SPECIALS="Y"))=0,"",'Dvd Calendar'!$L$949)))</f>
        <v/>
      </c>
      <c r="K97" s="106">
        <f>IF(EM97="","",IF(ISNUMBER('Dvd Calendar'!$M$949)=FALSE,"",IF((('Dvd Calendar'!$M$951=TYPE1)*(TYPE1&lt;&gt;"")+('Dvd Calendar'!$M$951=TYPE2)*(TYPE2&lt;&gt;"")+('Dvd Calendar'!$M$951=TYPE3)*(TYPE3&lt;&gt;"")+('Dvd Calendar'!$M$951=TYPE4)*(TYPE4&lt;&gt;"")+('Dvd Calendar'!$M$951=SPECIAL_LBL)*(INC_SPECIALS="Y"))=0,"",'Dvd Calendar'!$M$949)))</f>
        <v/>
      </c>
      <c r="L97" s="106">
        <f>IF(EN97="","",IF(ISNUMBER('Dvd Calendar'!$N$949)=FALSE,"",IF((('Dvd Calendar'!$N$951=TYPE1)*(TYPE1&lt;&gt;"")+('Dvd Calendar'!$N$951=TYPE2)*(TYPE2&lt;&gt;"")+('Dvd Calendar'!$N$951=TYPE3)*(TYPE3&lt;&gt;"")+('Dvd Calendar'!$N$951=TYPE4)*(TYPE4&lt;&gt;"")+('Dvd Calendar'!$N$951=SPECIAL_LBL)*(INC_SPECIALS="Y"))=0,"",'Dvd Calendar'!$N$949)))</f>
        <v/>
      </c>
      <c r="M97" s="106">
        <f>IF(EO97="","",IF(ISNUMBER('Dvd Calendar'!$O$949)=FALSE,"",IF((('Dvd Calendar'!$O$951=TYPE1)*(TYPE1&lt;&gt;"")+('Dvd Calendar'!$O$951=TYPE2)*(TYPE2&lt;&gt;"")+('Dvd Calendar'!$O$951=TYPE3)*(TYPE3&lt;&gt;"")+('Dvd Calendar'!$O$951=TYPE4)*(TYPE4&lt;&gt;"")+('Dvd Calendar'!$O$951=SPECIAL_LBL)*(INC_SPECIALS="Y"))=0,"",'Dvd Calendar'!$O$949)))</f>
        <v/>
      </c>
      <c r="N97" s="106">
        <f>IF(EP97="","",IF(ISNUMBER('Dvd Calendar'!$P$949)=FALSE,"",IF((('Dvd Calendar'!$P$951=TYPE1)*(TYPE1&lt;&gt;"")+('Dvd Calendar'!$P$951=TYPE2)*(TYPE2&lt;&gt;"")+('Dvd Calendar'!$P$951=TYPE3)*(TYPE3&lt;&gt;"")+('Dvd Calendar'!$P$951=TYPE4)*(TYPE4&lt;&gt;"")+('Dvd Calendar'!$P$951=SPECIAL_LBL)*(INC_SPECIALS="Y"))=0,"",'Dvd Calendar'!$P$949)))</f>
        <v/>
      </c>
      <c r="O97" s="106">
        <f>IF(EQ97="","",IF(ISNUMBER('Dvd Calendar'!$Q$949)=FALSE,"",IF((('Dvd Calendar'!$Q$951=TYPE1)*(TYPE1&lt;&gt;"")+('Dvd Calendar'!$Q$951=TYPE2)*(TYPE2&lt;&gt;"")+('Dvd Calendar'!$Q$951=TYPE3)*(TYPE3&lt;&gt;"")+('Dvd Calendar'!$Q$951=TYPE4)*(TYPE4&lt;&gt;"")+('Dvd Calendar'!$Q$951=SPECIAL_LBL)*(INC_SPECIALS="Y"))=0,"",'Dvd Calendar'!$Q$949)))</f>
        <v/>
      </c>
      <c r="P97" s="106">
        <f>IF(ER97="","",IF(ISNUMBER('Dvd Calendar'!$R$949)=FALSE,"",IF((('Dvd Calendar'!$R$951=TYPE1)*(TYPE1&lt;&gt;"")+('Dvd Calendar'!$R$951=TYPE2)*(TYPE2&lt;&gt;"")+('Dvd Calendar'!$R$951=TYPE3)*(TYPE3&lt;&gt;"")+('Dvd Calendar'!$R$951=TYPE4)*(TYPE4&lt;&gt;"")+('Dvd Calendar'!$R$951=SPECIAL_LBL)*(INC_SPECIALS="Y"))=0,"",'Dvd Calendar'!$R$949)))</f>
        <v/>
      </c>
      <c r="Q97" s="106">
        <f>IF(ES97="","",IF(ISNUMBER('Dvd Calendar'!$S$949)=FALSE,"",IF((('Dvd Calendar'!$S$951=TYPE1)*(TYPE1&lt;&gt;"")+('Dvd Calendar'!$S$951=TYPE2)*(TYPE2&lt;&gt;"")+('Dvd Calendar'!$S$951=TYPE3)*(TYPE3&lt;&gt;"")+('Dvd Calendar'!$S$951=TYPE4)*(TYPE4&lt;&gt;"")+('Dvd Calendar'!$S$951=SPECIAL_LBL)*(INC_SPECIALS="Y"))=0,"",'Dvd Calendar'!$S$949)))</f>
        <v/>
      </c>
      <c r="R97" s="106">
        <f>IF(ET97="","",IF(ISNUMBER('Dvd Calendar'!$T$949)=FALSE,"",IF((('Dvd Calendar'!$T$951=TYPE1)*(TYPE1&lt;&gt;"")+('Dvd Calendar'!$T$951=TYPE2)*(TYPE2&lt;&gt;"")+('Dvd Calendar'!$T$951=TYPE3)*(TYPE3&lt;&gt;"")+('Dvd Calendar'!$T$951=TYPE4)*(TYPE4&lt;&gt;"")+('Dvd Calendar'!$T$951=SPECIAL_LBL)*(INC_SPECIALS="Y"))=0,"",'Dvd Calendar'!$T$949)))</f>
        <v/>
      </c>
      <c r="S97" s="106">
        <f>IF(EU97="","",IF(ISNUMBER('Dvd Calendar'!$U$949)=FALSE,"",IF((('Dvd Calendar'!$U$951=TYPE1)*(TYPE1&lt;&gt;"")+('Dvd Calendar'!$U$951=TYPE2)*(TYPE2&lt;&gt;"")+('Dvd Calendar'!$U$951=TYPE3)*(TYPE3&lt;&gt;"")+('Dvd Calendar'!$U$951=TYPE4)*(TYPE4&lt;&gt;"")+('Dvd Calendar'!$U$951=SPECIAL_LBL)*(INC_SPECIALS="Y"))=0,"",'Dvd Calendar'!$U$949)))</f>
        <v/>
      </c>
      <c r="T97" s="106">
        <f>IF(EV97="","",IF(ISNUMBER('Dvd Calendar'!$V$949)=FALSE,"",IF((('Dvd Calendar'!$V$951=TYPE1)*(TYPE1&lt;&gt;"")+('Dvd Calendar'!$V$951=TYPE2)*(TYPE2&lt;&gt;"")+('Dvd Calendar'!$V$951=TYPE3)*(TYPE3&lt;&gt;"")+('Dvd Calendar'!$V$951=TYPE4)*(TYPE4&lt;&gt;"")+('Dvd Calendar'!$V$951=SPECIAL_LBL)*(INC_SPECIALS="Y"))=0,"",'Dvd Calendar'!$V$949)))</f>
        <v/>
      </c>
      <c r="U97" s="106">
        <f>IF(EW97="","",IF(ISNUMBER('Dvd Calendar'!$W$949)=FALSE,"",IF((('Dvd Calendar'!$W$951=TYPE1)*(TYPE1&lt;&gt;"")+('Dvd Calendar'!$W$951=TYPE2)*(TYPE2&lt;&gt;"")+('Dvd Calendar'!$W$951=TYPE3)*(TYPE3&lt;&gt;"")+('Dvd Calendar'!$W$951=TYPE4)*(TYPE4&lt;&gt;"")+('Dvd Calendar'!$W$951=SPECIAL_LBL)*(INC_SPECIALS="Y"))=0,"",'Dvd Calendar'!$W$949)))</f>
        <v/>
      </c>
      <c r="V97" s="106">
        <f>IF(EX97="","",IF(ISNUMBER('Dvd Calendar'!$X$949)=FALSE,"",IF((('Dvd Calendar'!$X$951=TYPE1)*(TYPE1&lt;&gt;"")+('Dvd Calendar'!$X$951=TYPE2)*(TYPE2&lt;&gt;"")+('Dvd Calendar'!$X$951=TYPE3)*(TYPE3&lt;&gt;"")+('Dvd Calendar'!$X$951=TYPE4)*(TYPE4&lt;&gt;"")+('Dvd Calendar'!$X$951=SPECIAL_LBL)*(INC_SPECIALS="Y"))=0,"",'Dvd Calendar'!$X$949)))</f>
        <v/>
      </c>
      <c r="W97" s="106">
        <f>IF(EY97="","",IF(ISNUMBER('Dvd Calendar'!$Y$949)=FALSE,"",IF((('Dvd Calendar'!$Y$951=TYPE1)*(TYPE1&lt;&gt;"")+('Dvd Calendar'!$Y$951=TYPE2)*(TYPE2&lt;&gt;"")+('Dvd Calendar'!$Y$951=TYPE3)*(TYPE3&lt;&gt;"")+('Dvd Calendar'!$Y$951=TYPE4)*(TYPE4&lt;&gt;"")+('Dvd Calendar'!$Y$951=SPECIAL_LBL)*(INC_SPECIALS="Y"))=0,"",'Dvd Calendar'!$Y$949)))</f>
        <v/>
      </c>
      <c r="X97" s="106">
        <f>IF(EZ97="","",IF(ISNUMBER('Dvd Calendar'!$Z$949)=FALSE,"",IF((('Dvd Calendar'!$Z$951=TYPE1)*(TYPE1&lt;&gt;"")+('Dvd Calendar'!$Z$951=TYPE2)*(TYPE2&lt;&gt;"")+('Dvd Calendar'!$Z$951=TYPE3)*(TYPE3&lt;&gt;"")+('Dvd Calendar'!$Z$951=TYPE4)*(TYPE4&lt;&gt;"")+('Dvd Calendar'!$Z$951=SPECIAL_LBL)*(INC_SPECIALS="Y"))=0,"",'Dvd Calendar'!$Z$949)))</f>
        <v/>
      </c>
      <c r="Y97" s="106">
        <f>IF(FA97="","",IF(ISNUMBER('Dvd Calendar'!$AA$949)=FALSE,"",IF((('Dvd Calendar'!$AA$951=TYPE1)*(TYPE1&lt;&gt;"")+('Dvd Calendar'!$AA$951=TYPE2)*(TYPE2&lt;&gt;"")+('Dvd Calendar'!$AA$951=TYPE3)*(TYPE3&lt;&gt;"")+('Dvd Calendar'!$AA$951=TYPE4)*(TYPE4&lt;&gt;"")+('Dvd Calendar'!$AA$951=SPECIAL_LBL)*(INC_SPECIALS="Y"))=0,"",'Dvd Calendar'!$AA$949)))</f>
        <v/>
      </c>
      <c r="Z97" s="106">
        <f>IF(FB97="","",IF(ISNUMBER('Dvd Calendar'!$AB$949)=FALSE,"",IF((('Dvd Calendar'!$AB$951=TYPE1)*(TYPE1&lt;&gt;"")+('Dvd Calendar'!$AB$951=TYPE2)*(TYPE2&lt;&gt;"")+('Dvd Calendar'!$AB$951=TYPE3)*(TYPE3&lt;&gt;"")+('Dvd Calendar'!$AB$951=TYPE4)*(TYPE4&lt;&gt;"")+('Dvd Calendar'!$AB$951=SPECIAL_LBL)*(INC_SPECIALS="Y"))=0,"",'Dvd Calendar'!$AB$949)))</f>
        <v/>
      </c>
      <c r="AA97" s="106">
        <f>IF(FC97="","",IF(ISNUMBER('Dvd Calendar'!$AC$949)=FALSE,"",IF((('Dvd Calendar'!$AC$951=TYPE1)*(TYPE1&lt;&gt;"")+('Dvd Calendar'!$AC$951=TYPE2)*(TYPE2&lt;&gt;"")+('Dvd Calendar'!$AC$951=TYPE3)*(TYPE3&lt;&gt;"")+('Dvd Calendar'!$AC$951=TYPE4)*(TYPE4&lt;&gt;"")+('Dvd Calendar'!$AC$951=SPECIAL_LBL)*(INC_SPECIALS="Y"))=0,"",'Dvd Calendar'!$AC$949)))</f>
        <v/>
      </c>
      <c r="AB97" s="106">
        <f>IF(FD97="","",IF(ISNUMBER('Dvd Calendar'!$AD$949)=FALSE,"",IF((('Dvd Calendar'!$AD$951=TYPE1)*(TYPE1&lt;&gt;"")+('Dvd Calendar'!$AD$951=TYPE2)*(TYPE2&lt;&gt;"")+('Dvd Calendar'!$AD$951=TYPE3)*(TYPE3&lt;&gt;"")+('Dvd Calendar'!$AD$951=TYPE4)*(TYPE4&lt;&gt;"")+('Dvd Calendar'!$AD$951=SPECIAL_LBL)*(INC_SPECIALS="Y"))=0,"",'Dvd Calendar'!$AD$949)))</f>
        <v/>
      </c>
      <c r="AC97" s="106">
        <f>IF(FE97="","",IF(ISNUMBER('Dvd Calendar'!$AE$949)=FALSE,"",IF((('Dvd Calendar'!$AE$951=TYPE1)*(TYPE1&lt;&gt;"")+('Dvd Calendar'!$AE$951=TYPE2)*(TYPE2&lt;&gt;"")+('Dvd Calendar'!$AE$951=TYPE3)*(TYPE3&lt;&gt;"")+('Dvd Calendar'!$AE$951=TYPE4)*(TYPE4&lt;&gt;"")+('Dvd Calendar'!$AE$951=SPECIAL_LBL)*(INC_SPECIALS="Y"))=0,"",'Dvd Calendar'!$AE$949)))</f>
        <v/>
      </c>
      <c r="AD97" s="106">
        <f>IF(FF97="","",IF(ISNUMBER('Dvd Calendar'!$AF$949)=FALSE,"",IF((('Dvd Calendar'!$AF$951=TYPE1)*(TYPE1&lt;&gt;"")+('Dvd Calendar'!$AF$951=TYPE2)*(TYPE2&lt;&gt;"")+('Dvd Calendar'!$AF$951=TYPE3)*(TYPE3&lt;&gt;"")+('Dvd Calendar'!$AF$951=TYPE4)*(TYPE4&lt;&gt;"")+('Dvd Calendar'!$AF$951=SPECIAL_LBL)*(INC_SPECIALS="Y"))=0,"",'Dvd Calendar'!$AF$949)))</f>
        <v/>
      </c>
      <c r="AE97" s="106">
        <f>IF(FG97="","",IF(ISNUMBER('Dvd Calendar'!$AG$949)=FALSE,"",IF((('Dvd Calendar'!$AG$951=TYPE1)*(TYPE1&lt;&gt;"")+('Dvd Calendar'!$AG$951=TYPE2)*(TYPE2&lt;&gt;"")+('Dvd Calendar'!$AG$951=TYPE3)*(TYPE3&lt;&gt;"")+('Dvd Calendar'!$AG$951=TYPE4)*(TYPE4&lt;&gt;"")+('Dvd Calendar'!$AG$951=SPECIAL_LBL)*(INC_SPECIALS="Y"))=0,"",'Dvd Calendar'!$AG$949)))</f>
        <v/>
      </c>
      <c r="AF97" s="106">
        <f>IF(FH97="","",IF(ISNUMBER('Dvd Calendar'!$AH$949)=FALSE,"",IF((('Dvd Calendar'!$AH$951=TYPE1)*(TYPE1&lt;&gt;"")+('Dvd Calendar'!$AH$951=TYPE2)*(TYPE2&lt;&gt;"")+('Dvd Calendar'!$AH$951=TYPE3)*(TYPE3&lt;&gt;"")+('Dvd Calendar'!$AH$951=TYPE4)*(TYPE4&lt;&gt;"")+('Dvd Calendar'!$AH$951=SPECIAL_LBL)*(INC_SPECIALS="Y"))=0,"",'Dvd Calendar'!$AH$949)))</f>
        <v/>
      </c>
      <c r="AG97" s="106">
        <f>IF(FI97="","",IF(ISNUMBER('Dvd Calendar'!$AI$949)=FALSE,"",IF((('Dvd Calendar'!$AI$951=TYPE1)*(TYPE1&lt;&gt;"")+('Dvd Calendar'!$AI$951=TYPE2)*(TYPE2&lt;&gt;"")+('Dvd Calendar'!$AI$951=TYPE3)*(TYPE3&lt;&gt;"")+('Dvd Calendar'!$AI$951=TYPE4)*(TYPE4&lt;&gt;"")+('Dvd Calendar'!$AI$951=SPECIAL_LBL)*(INC_SPECIALS="Y"))=0,"",'Dvd Calendar'!$AI$949)))</f>
        <v/>
      </c>
      <c r="AH97" s="106">
        <f>IF(FJ97="","",IF(ISNUMBER('Dvd Calendar'!$AJ$949)=FALSE,"",IF((('Dvd Calendar'!$AJ$951=TYPE1)*(TYPE1&lt;&gt;"")+('Dvd Calendar'!$AJ$951=TYPE2)*(TYPE2&lt;&gt;"")+('Dvd Calendar'!$AJ$951=TYPE3)*(TYPE3&lt;&gt;"")+('Dvd Calendar'!$AJ$951=TYPE4)*(TYPE4&lt;&gt;"")+('Dvd Calendar'!$AJ$951=SPECIAL_LBL)*(INC_SPECIALS="Y"))=0,"",'Dvd Calendar'!$AJ$949)))</f>
        <v/>
      </c>
      <c r="AI97" s="106">
        <f>IF(FK97="","",IF(ISNUMBER('Dvd Calendar'!$AK$949)=FALSE,"",IF((('Dvd Calendar'!$AK$951=TYPE1)*(TYPE1&lt;&gt;"")+('Dvd Calendar'!$AK$951=TYPE2)*(TYPE2&lt;&gt;"")+('Dvd Calendar'!$AK$951=TYPE3)*(TYPE3&lt;&gt;"")+('Dvd Calendar'!$AK$951=TYPE4)*(TYPE4&lt;&gt;"")+('Dvd Calendar'!$AK$951=SPECIAL_LBL)*(INC_SPECIALS="Y"))=0,"",'Dvd Calendar'!$AK$949)))</f>
        <v/>
      </c>
      <c r="AJ97" s="106">
        <f>IF(FL97="","",IF(ISNUMBER('Dvd Calendar'!$AL$949)=FALSE,"",IF((('Dvd Calendar'!$AL$951=TYPE1)*(TYPE1&lt;&gt;"")+('Dvd Calendar'!$AL$951=TYPE2)*(TYPE2&lt;&gt;"")+('Dvd Calendar'!$AL$951=TYPE3)*(TYPE3&lt;&gt;"")+('Dvd Calendar'!$AL$951=TYPE4)*(TYPE4&lt;&gt;"")+('Dvd Calendar'!$AL$951=SPECIAL_LBL)*(INC_SPECIALS="Y"))=0,"",'Dvd Calendar'!$AL$949)))</f>
        <v/>
      </c>
      <c r="AK97" s="106">
        <f>IF(FM97="","",IF(ISNUMBER('Dvd Calendar'!$AM$949)=FALSE,"",IF((('Dvd Calendar'!$AM$951=TYPE1)*(TYPE1&lt;&gt;"")+('Dvd Calendar'!$AM$951=TYPE2)*(TYPE2&lt;&gt;"")+('Dvd Calendar'!$AM$951=TYPE3)*(TYPE3&lt;&gt;"")+('Dvd Calendar'!$AM$951=TYPE4)*(TYPE4&lt;&gt;"")+('Dvd Calendar'!$AM$951=SPECIAL_LBL)*(INC_SPECIALS="Y"))=0,"",'Dvd Calendar'!$AM$949)))</f>
        <v/>
      </c>
      <c r="AL97" s="106">
        <f>IF(FN97="","",IF(ISNUMBER('Dvd Calendar'!$AN$949)=FALSE,"",IF((('Dvd Calendar'!$AN$951=TYPE1)*(TYPE1&lt;&gt;"")+('Dvd Calendar'!$AN$951=TYPE2)*(TYPE2&lt;&gt;"")+('Dvd Calendar'!$AN$951=TYPE3)*(TYPE3&lt;&gt;"")+('Dvd Calendar'!$AN$951=TYPE4)*(TYPE4&lt;&gt;"")+('Dvd Calendar'!$AN$951=SPECIAL_LBL)*(INC_SPECIALS="Y"))=0,"",'Dvd Calendar'!$AN$949)))</f>
        <v/>
      </c>
      <c r="AM97" s="106">
        <f>IF(FO97="","",IF(ISNUMBER('Dvd Calendar'!$AO$949)=FALSE,"",IF((('Dvd Calendar'!$AO$951=TYPE1)*(TYPE1&lt;&gt;"")+('Dvd Calendar'!$AO$951=TYPE2)*(TYPE2&lt;&gt;"")+('Dvd Calendar'!$AO$951=TYPE3)*(TYPE3&lt;&gt;"")+('Dvd Calendar'!$AO$951=TYPE4)*(TYPE4&lt;&gt;"")+('Dvd Calendar'!$AO$951=SPECIAL_LBL)*(INC_SPECIALS="Y"))=0,"",'Dvd Calendar'!$AO$949)))</f>
        <v/>
      </c>
      <c r="AN97" s="106">
        <f>IF(FP97="","",IF(ISNUMBER('Dvd Calendar'!$AP$949)=FALSE,"",IF((('Dvd Calendar'!$AP$951=TYPE1)*(TYPE1&lt;&gt;"")+('Dvd Calendar'!$AP$951=TYPE2)*(TYPE2&lt;&gt;"")+('Dvd Calendar'!$AP$951=TYPE3)*(TYPE3&lt;&gt;"")+('Dvd Calendar'!$AP$951=TYPE4)*(TYPE4&lt;&gt;"")+('Dvd Calendar'!$AP$951=SPECIAL_LBL)*(INC_SPECIALS="Y"))=0,"",'Dvd Calendar'!$AP$949)))</f>
        <v/>
      </c>
      <c r="AO97" s="106">
        <f>IF(FQ97="","",IF(ISNUMBER('Dvd Calendar'!$AQ$949)=FALSE,"",IF((('Dvd Calendar'!$AQ$951=TYPE1)*(TYPE1&lt;&gt;"")+('Dvd Calendar'!$AQ$951=TYPE2)*(TYPE2&lt;&gt;"")+('Dvd Calendar'!$AQ$951=TYPE3)*(TYPE3&lt;&gt;"")+('Dvd Calendar'!$AQ$951=TYPE4)*(TYPE4&lt;&gt;"")+('Dvd Calendar'!$AQ$951=SPECIAL_LBL)*(INC_SPECIALS="Y"))=0,"",'Dvd Calendar'!$AQ$949)))</f>
        <v/>
      </c>
      <c r="AP97" s="106">
        <f>IF(FR97="","",IF(ISNUMBER('Dvd Calendar'!$AR$949)=FALSE,"",IF((('Dvd Calendar'!$AR$951=TYPE1)*(TYPE1&lt;&gt;"")+('Dvd Calendar'!$AR$951=TYPE2)*(TYPE2&lt;&gt;"")+('Dvd Calendar'!$AR$951=TYPE3)*(TYPE3&lt;&gt;"")+('Dvd Calendar'!$AR$951=TYPE4)*(TYPE4&lt;&gt;"")+('Dvd Calendar'!$AR$951=SPECIAL_LBL)*(INC_SPECIALS="Y"))=0,"",'Dvd Calendar'!$AR$949)))</f>
        <v/>
      </c>
      <c r="AQ97" s="106">
        <f>IF(FS97="","",IF(ISNUMBER('Dvd Calendar'!$E$954)=FALSE,"",'Dvd Calendar'!$E$954))</f>
        <v/>
      </c>
      <c r="AR97" s="106">
        <f>IF(FT97="","",IF(ISNUMBER('Dvd Calendar'!$F$954)=FALSE,"",'Dvd Calendar'!$F$954))</f>
        <v/>
      </c>
      <c r="AS97" s="106">
        <f>IF(FU97="","",IF(ISNUMBER('Dvd Calendar'!$G$954)=FALSE,"",'Dvd Calendar'!$G$954))</f>
        <v/>
      </c>
      <c r="AT97" s="106">
        <f>IF(FV97="","",IF(ISNUMBER('Dvd Calendar'!$H$954)=FALSE,"",'Dvd Calendar'!$H$954))</f>
        <v/>
      </c>
      <c r="AU97" s="106">
        <f>IF(FW97="","",IF(ISNUMBER('Dvd Calendar'!$I$954)=FALSE,"",'Dvd Calendar'!$I$954))</f>
        <v/>
      </c>
      <c r="AV97" s="106">
        <f>IF(FX97="","",IF(ISNUMBER('Dvd Calendar'!$J$954)=FALSE,"",'Dvd Calendar'!$J$954))</f>
        <v/>
      </c>
      <c r="AW97" s="106">
        <f>IF(FY97="","",IF(ISNUMBER('Dvd Calendar'!$K$954)=FALSE,"",'Dvd Calendar'!$K$954))</f>
        <v/>
      </c>
      <c r="AX97" s="106">
        <f>IF(FZ97="","",IF(ISNUMBER('Dvd Calendar'!$L$954)=FALSE,"",'Dvd Calendar'!$L$954))</f>
        <v/>
      </c>
      <c r="AY97" s="106">
        <f>IF(GA97="","",IF(ISNUMBER('Dvd Calendar'!$M$954)=FALSE,"",'Dvd Calendar'!$M$954))</f>
        <v/>
      </c>
      <c r="AZ97" s="106">
        <f>IF(GB97="","",IF(ISNUMBER('Dvd Calendar'!$N$954)=FALSE,"",'Dvd Calendar'!$N$954))</f>
        <v/>
      </c>
      <c r="BA97" s="106">
        <f>IF(GC97="","",IF(ISNUMBER('Dvd Calendar'!$O$954)=FALSE,"",'Dvd Calendar'!$O$954))</f>
        <v/>
      </c>
      <c r="BB97" s="106">
        <f>IF(GD97="","",IF(ISNUMBER('Dvd Calendar'!$P$954)=FALSE,"",'Dvd Calendar'!$P$954))</f>
        <v/>
      </c>
      <c r="BC97" s="106">
        <f>IF(GE97="","",IF(ISNUMBER('Dvd Calendar'!$Q$954)=FALSE,"",'Dvd Calendar'!$Q$954))</f>
        <v/>
      </c>
      <c r="BD97" s="106">
        <f>IF(GF97="","",IF(ISNUMBER('Dvd Calendar'!$R$954)=FALSE,"",'Dvd Calendar'!$R$954))</f>
        <v/>
      </c>
      <c r="BE97" s="106">
        <f>IF(GG97="","",IF(ISNUMBER('Dvd Calendar'!$S$954)=FALSE,"",'Dvd Calendar'!$S$954))</f>
        <v/>
      </c>
      <c r="BF97" s="106">
        <f>IF(GH97="","",IF(ISNUMBER('Dvd Calendar'!$T$954)=FALSE,"",'Dvd Calendar'!$T$954))</f>
        <v/>
      </c>
      <c r="BG97" s="106">
        <f>IF(GI97="","",IF(ISNUMBER('Dvd Calendar'!$U$954)=FALSE,"",'Dvd Calendar'!$U$954))</f>
        <v/>
      </c>
      <c r="BH97" s="106">
        <f>IF(GJ97="","",IF(ISNUMBER('Dvd Calendar'!$V$954)=FALSE,"",'Dvd Calendar'!$V$954))</f>
        <v/>
      </c>
      <c r="BI97" s="106">
        <f>IF(GK97="","",IF(ISNUMBER('Dvd Calendar'!$W$954)=FALSE,"",'Dvd Calendar'!$W$954))</f>
        <v/>
      </c>
      <c r="BJ97" s="106">
        <f>IF(GL97="","",IF(ISNUMBER('Dvd Calendar'!$X$954)=FALSE,"",'Dvd Calendar'!$X$954))</f>
        <v/>
      </c>
      <c r="BK97" s="106">
        <f>IF(GM97="","",IF(ISNUMBER('Dvd Calendar'!$Y$954)=FALSE,"",'Dvd Calendar'!$Y$954))</f>
        <v/>
      </c>
      <c r="BL97" s="106">
        <f>IF(GN97="","",IF(ISNUMBER('Dvd Calendar'!$Z$954)=FALSE,"",'Dvd Calendar'!$Z$954))</f>
        <v/>
      </c>
      <c r="BM97" s="106">
        <f>IF(GO97="","",IF(ISNUMBER('Dvd Calendar'!$AA$954)=FALSE,"",'Dvd Calendar'!$AA$954))</f>
        <v/>
      </c>
      <c r="BN97" s="106">
        <f>IF(GP97="","",IF(ISNUMBER('Dvd Calendar'!$AB$954)=FALSE,"",'Dvd Calendar'!$AB$954))</f>
        <v/>
      </c>
      <c r="BO97" s="106">
        <f>IF(GQ97="","",IF(ISNUMBER('Dvd Calendar'!$AC$954)=FALSE,"",'Dvd Calendar'!$AC$954))</f>
        <v/>
      </c>
      <c r="BQ97" s="106">
        <f>IF(C97="","",IFERROR(C97*HSI!$B$92*HSI!$G$92/HSI!$B$3,""))</f>
        <v/>
      </c>
      <c r="BR97" s="106">
        <f>IF(D97="","",IFERROR(D97*HSI!$B$92*HSI!$G$92/HSI!$B$3,""))</f>
        <v/>
      </c>
      <c r="BS97" s="106">
        <f>IF(E97="","",IFERROR(E97*HSI!$B$92*HSI!$G$92/HSI!$B$3,""))</f>
        <v/>
      </c>
      <c r="BT97" s="106">
        <f>IF(F97="","",IFERROR(F97*HSI!$B$92*HSI!$G$92/HSI!$B$3,""))</f>
        <v/>
      </c>
      <c r="BU97" s="106">
        <f>IF(G97="","",IFERROR(G97*HSI!$B$92*HSI!$G$92/HSI!$B$3,""))</f>
        <v/>
      </c>
      <c r="BV97" s="106">
        <f>IF(H97="","",IFERROR(H97*HSI!$B$92*HSI!$G$92/HSI!$B$3,""))</f>
        <v/>
      </c>
      <c r="BW97" s="106">
        <f>IF(I97="","",IFERROR(I97*HSI!$B$92*HSI!$G$92/HSI!$B$3,""))</f>
        <v/>
      </c>
      <c r="BX97" s="106">
        <f>IF(J97="","",IFERROR(J97*HSI!$B$92*HSI!$G$92/HSI!$B$3,""))</f>
        <v/>
      </c>
      <c r="BY97" s="106">
        <f>IF(K97="","",IFERROR(K97*HSI!$B$92*HSI!$G$92/HSI!$B$3,""))</f>
        <v/>
      </c>
      <c r="BZ97" s="106">
        <f>IF(L97="","",IFERROR(L97*HSI!$B$92*HSI!$G$92/HSI!$B$3,""))</f>
        <v/>
      </c>
      <c r="CA97" s="106">
        <f>IF(M97="","",IFERROR(M97*HSI!$B$92*HSI!$G$92/HSI!$B$3,""))</f>
        <v/>
      </c>
      <c r="CB97" s="106">
        <f>IF(N97="","",IFERROR(N97*HSI!$B$92*HSI!$G$92/HSI!$B$3,""))</f>
        <v/>
      </c>
      <c r="CC97" s="106">
        <f>IF(O97="","",IFERROR(O97*HSI!$B$92*HSI!$G$92/HSI!$B$3,""))</f>
        <v/>
      </c>
      <c r="CD97" s="106">
        <f>IF(P97="","",IFERROR(P97*HSI!$B$92*HSI!$G$92/HSI!$B$3,""))</f>
        <v/>
      </c>
      <c r="CE97" s="106">
        <f>IF(Q97="","",IFERROR(Q97*HSI!$B$92*HSI!$G$92/HSI!$B$3,""))</f>
        <v/>
      </c>
      <c r="CF97" s="106">
        <f>IF(R97="","",IFERROR(R97*HSI!$B$92*HSI!$G$92/HSI!$B$3,""))</f>
        <v/>
      </c>
      <c r="CG97" s="106">
        <f>IF(S97="","",IFERROR(S97*HSI!$B$92*HSI!$G$92/HSI!$B$3,""))</f>
        <v/>
      </c>
      <c r="CH97" s="106">
        <f>IF(T97="","",IFERROR(T97*HSI!$B$92*HSI!$G$92/HSI!$B$3,""))</f>
        <v/>
      </c>
      <c r="CI97" s="106">
        <f>IF(U97="","",IFERROR(U97*HSI!$B$92*HSI!$G$92/HSI!$B$3,""))</f>
        <v/>
      </c>
      <c r="CJ97" s="106">
        <f>IF(V97="","",IFERROR(V97*HSI!$B$92*HSI!$G$92/HSI!$B$3,""))</f>
        <v/>
      </c>
      <c r="CK97" s="106">
        <f>IF(W97="","",IFERROR(W97*HSI!$B$92*HSI!$G$92/HSI!$B$3,""))</f>
        <v/>
      </c>
      <c r="CL97" s="106">
        <f>IF(X97="","",IFERROR(X97*HSI!$B$92*HSI!$G$92/HSI!$B$3,""))</f>
        <v/>
      </c>
      <c r="CM97" s="106">
        <f>IF(Y97="","",IFERROR(Y97*HSI!$B$92*HSI!$G$92/HSI!$B$3,""))</f>
        <v/>
      </c>
      <c r="CN97" s="106">
        <f>IF(Z97="","",IFERROR(Z97*HSI!$B$92*HSI!$G$92/HSI!$B$3,""))</f>
        <v/>
      </c>
      <c r="CO97" s="106">
        <f>IF(AA97="","",IFERROR(AA97*HSI!$B$92*HSI!$G$92/HSI!$B$3,""))</f>
        <v/>
      </c>
      <c r="CP97" s="106">
        <f>IF(AB97="","",IFERROR(AB97*HSI!$B$92*HSI!$G$92/HSI!$B$3,""))</f>
        <v/>
      </c>
      <c r="CQ97" s="106">
        <f>IF(AC97="","",IFERROR(AC97*HSI!$B$92*HSI!$G$92/HSI!$B$3,""))</f>
        <v/>
      </c>
      <c r="CR97" s="106">
        <f>IF(AD97="","",IFERROR(AD97*HSI!$B$92*HSI!$G$92/HSI!$B$3,""))</f>
        <v/>
      </c>
      <c r="CS97" s="106">
        <f>IF(AE97="","",IFERROR(AE97*HSI!$B$92*HSI!$G$92/HSI!$B$3,""))</f>
        <v/>
      </c>
      <c r="CT97" s="106">
        <f>IF(AF97="","",IFERROR(AF97*HSI!$B$92*HSI!$G$92/HSI!$B$3,""))</f>
        <v/>
      </c>
      <c r="CU97" s="106">
        <f>IF(AG97="","",IFERROR(AG97*HSI!$B$92*HSI!$G$92/HSI!$B$3,""))</f>
        <v/>
      </c>
      <c r="CV97" s="106">
        <f>IF(AH97="","",IFERROR(AH97*HSI!$B$92*HSI!$G$92/HSI!$B$3,""))</f>
        <v/>
      </c>
      <c r="CW97" s="106">
        <f>IF(AI97="","",IFERROR(AI97*HSI!$B$92*HSI!$G$92/HSI!$B$3,""))</f>
        <v/>
      </c>
      <c r="CX97" s="106">
        <f>IF(AJ97="","",IFERROR(AJ97*HSI!$B$92*HSI!$G$92/HSI!$B$3,""))</f>
        <v/>
      </c>
      <c r="CY97" s="106">
        <f>IF(AK97="","",IFERROR(AK97*HSI!$B$92*HSI!$G$92/HSI!$B$3,""))</f>
        <v/>
      </c>
      <c r="CZ97" s="106">
        <f>IF(AL97="","",IFERROR(AL97*HSI!$B$92*HSI!$G$92/HSI!$B$3,""))</f>
        <v/>
      </c>
      <c r="DA97" s="106">
        <f>IF(AM97="","",IFERROR(AM97*HSI!$B$92*HSI!$G$92/HSI!$B$3,""))</f>
        <v/>
      </c>
      <c r="DB97" s="106">
        <f>IF(AN97="","",IFERROR(AN97*HSI!$B$92*HSI!$G$92/HSI!$B$3,""))</f>
        <v/>
      </c>
      <c r="DC97" s="106">
        <f>IF(AO97="","",IFERROR(AO97*HSI!$B$92*HSI!$G$92/HSI!$B$3,""))</f>
        <v/>
      </c>
      <c r="DD97" s="106">
        <f>IF(AP97="","",IFERROR(AP97*HSI!$B$92*HSI!$G$92/HSI!$B$3,""))</f>
        <v/>
      </c>
      <c r="DE97" s="106">
        <f>IF(AQ97="","",IFERROR(AQ97*HSI!$B$92*HSI!$G$92/HSI!$B$3,""))</f>
        <v/>
      </c>
      <c r="DF97" s="106">
        <f>IF(AR97="","",IFERROR(AR97*HSI!$B$92*HSI!$G$92/HSI!$B$3,""))</f>
        <v/>
      </c>
      <c r="DG97" s="106">
        <f>IF(AS97="","",IFERROR(AS97*HSI!$B$92*HSI!$G$92/HSI!$B$3,""))</f>
        <v/>
      </c>
      <c r="DH97" s="106">
        <f>IF(AT97="","",IFERROR(AT97*HSI!$B$92*HSI!$G$92/HSI!$B$3,""))</f>
        <v/>
      </c>
      <c r="DI97" s="106">
        <f>IF(AU97="","",IFERROR(AU97*HSI!$B$92*HSI!$G$92/HSI!$B$3,""))</f>
        <v/>
      </c>
      <c r="DJ97" s="106">
        <f>IF(AV97="","",IFERROR(AV97*HSI!$B$92*HSI!$G$92/HSI!$B$3,""))</f>
        <v/>
      </c>
      <c r="DK97" s="106">
        <f>IF(AW97="","",IFERROR(AW97*HSI!$B$92*HSI!$G$92/HSI!$B$3,""))</f>
        <v/>
      </c>
      <c r="DL97" s="106">
        <f>IF(AX97="","",IFERROR(AX97*HSI!$B$92*HSI!$G$92/HSI!$B$3,""))</f>
        <v/>
      </c>
      <c r="DM97" s="106">
        <f>IF(AY97="","",IFERROR(AY97*HSI!$B$92*HSI!$G$92/HSI!$B$3,""))</f>
        <v/>
      </c>
      <c r="DN97" s="106">
        <f>IF(AZ97="","",IFERROR(AZ97*HSI!$B$92*HSI!$G$92/HSI!$B$3,""))</f>
        <v/>
      </c>
      <c r="DO97" s="106">
        <f>IF(BA97="","",IFERROR(BA97*HSI!$B$92*HSI!$G$92/HSI!$B$3,""))</f>
        <v/>
      </c>
      <c r="DP97" s="106">
        <f>IF(BB97="","",IFERROR(BB97*HSI!$B$92*HSI!$G$92/HSI!$B$3,""))</f>
        <v/>
      </c>
      <c r="DQ97" s="106">
        <f>IF(BC97="","",IFERROR(BC97*HSI!$B$92*HSI!$G$92/HSI!$B$3,""))</f>
        <v/>
      </c>
      <c r="DR97" s="106">
        <f>IF(BD97="","",IFERROR(BD97*HSI!$B$92*HSI!$G$92/HSI!$B$3,""))</f>
        <v/>
      </c>
      <c r="DS97" s="106">
        <f>IF(BE97="","",IFERROR(BE97*HSI!$B$92*HSI!$G$92/HSI!$B$3,""))</f>
        <v/>
      </c>
      <c r="DT97" s="106">
        <f>IF(BF97="","",IFERROR(BF97*HSI!$B$92*HSI!$G$92/HSI!$B$3,""))</f>
        <v/>
      </c>
      <c r="DU97" s="106">
        <f>IF(BG97="","",IFERROR(BG97*HSI!$B$92*HSI!$G$92/HSI!$B$3,""))</f>
        <v/>
      </c>
      <c r="DV97" s="106">
        <f>IF(BH97="","",IFERROR(BH97*HSI!$B$92*HSI!$G$92/HSI!$B$3,""))</f>
        <v/>
      </c>
      <c r="DW97" s="106">
        <f>IF(BI97="","",IFERROR(BI97*HSI!$B$92*HSI!$G$92/HSI!$B$3,""))</f>
        <v/>
      </c>
      <c r="DX97" s="106">
        <f>IF(BJ97="","",IFERROR(BJ97*HSI!$B$92*HSI!$G$92/HSI!$B$3,""))</f>
        <v/>
      </c>
      <c r="DY97" s="106">
        <f>IF(BK97="","",IFERROR(BK97*HSI!$B$92*HSI!$G$92/HSI!$B$3,""))</f>
        <v/>
      </c>
      <c r="DZ97" s="106">
        <f>IF(BL97="","",IFERROR(BL97*HSI!$B$92*HSI!$G$92/HSI!$B$3,""))</f>
        <v/>
      </c>
      <c r="EA97" s="106">
        <f>IF(BM97="","",IFERROR(BM97*HSI!$B$92*HSI!$G$92/HSI!$B$3,""))</f>
        <v/>
      </c>
      <c r="EB97" s="106">
        <f>IF(BN97="","",IFERROR(BN97*HSI!$B$92*HSI!$G$92/HSI!$B$3,""))</f>
        <v/>
      </c>
      <c r="EC97" s="106">
        <f>IF(BO97="","",IFERROR(BO97*HSI!$B$92*HSI!$G$92/HSI!$B$3,""))</f>
        <v/>
      </c>
      <c r="EE97" s="35">
        <f>IF(N('Dvd Calendar'!$E$946)=0,"",IF(('Dvd Calendar'!$E$946&gt;=GRID_FROM)*('Dvd Calendar'!$E$946&lt;=GRID_TO)*('Dvd Calendar'!$E$946&lt;=VAL_DATE)=0,"",'Dvd Calendar'!$E$946*1000000000+ISNUMBER('Dvd Calendar'!$E$949)*100000000+('Dvd Calendar'!$E$951=SPECIAL_LBL)*10000000+0*1000000+86*1000+1))</f>
        <v/>
      </c>
      <c r="EF97" s="35">
        <f>IF(N('Dvd Calendar'!$F$946)=0,"",IF(('Dvd Calendar'!$F$946&gt;=GRID_FROM)*('Dvd Calendar'!$F$946&lt;=GRID_TO)*('Dvd Calendar'!$F$946&lt;=VAL_DATE)=0,"",'Dvd Calendar'!$F$946*1000000000+ISNUMBER('Dvd Calendar'!$F$949)*100000000+('Dvd Calendar'!$F$951=SPECIAL_LBL)*10000000+0*1000000+86*1000+2))</f>
        <v/>
      </c>
      <c r="EG97" s="35">
        <f>IF(N('Dvd Calendar'!$G$946)=0,"",IF(('Dvd Calendar'!$G$946&gt;=GRID_FROM)*('Dvd Calendar'!$G$946&lt;=GRID_TO)*('Dvd Calendar'!$G$946&lt;=VAL_DATE)=0,"",'Dvd Calendar'!$G$946*1000000000+ISNUMBER('Dvd Calendar'!$G$949)*100000000+('Dvd Calendar'!$G$951=SPECIAL_LBL)*10000000+0*1000000+86*1000+3))</f>
        <v/>
      </c>
      <c r="EH97" s="35">
        <f>IF(N('Dvd Calendar'!$H$946)=0,"",IF(('Dvd Calendar'!$H$946&gt;=GRID_FROM)*('Dvd Calendar'!$H$946&lt;=GRID_TO)*('Dvd Calendar'!$H$946&lt;=VAL_DATE)=0,"",'Dvd Calendar'!$H$946*1000000000+ISNUMBER('Dvd Calendar'!$H$949)*100000000+('Dvd Calendar'!$H$951=SPECIAL_LBL)*10000000+0*1000000+86*1000+4))</f>
        <v/>
      </c>
      <c r="EI97" s="35">
        <f>IF(N('Dvd Calendar'!$I$946)=0,"",IF(('Dvd Calendar'!$I$946&gt;=GRID_FROM)*('Dvd Calendar'!$I$946&lt;=GRID_TO)*('Dvd Calendar'!$I$946&lt;=VAL_DATE)=0,"",'Dvd Calendar'!$I$946*1000000000+ISNUMBER('Dvd Calendar'!$I$949)*100000000+('Dvd Calendar'!$I$951=SPECIAL_LBL)*10000000+0*1000000+86*1000+5))</f>
        <v/>
      </c>
      <c r="EJ97" s="35">
        <f>IF(N('Dvd Calendar'!$J$946)=0,"",IF(('Dvd Calendar'!$J$946&gt;=GRID_FROM)*('Dvd Calendar'!$J$946&lt;=GRID_TO)*('Dvd Calendar'!$J$946&lt;=VAL_DATE)=0,"",'Dvd Calendar'!$J$946*1000000000+ISNUMBER('Dvd Calendar'!$J$949)*100000000+('Dvd Calendar'!$J$951=SPECIAL_LBL)*10000000+0*1000000+86*1000+6))</f>
        <v/>
      </c>
      <c r="EK97" s="35">
        <f>IF(N('Dvd Calendar'!$K$946)=0,"",IF(('Dvd Calendar'!$K$946&gt;=GRID_FROM)*('Dvd Calendar'!$K$946&lt;=GRID_TO)*('Dvd Calendar'!$K$946&lt;=VAL_DATE)=0,"",'Dvd Calendar'!$K$946*1000000000+ISNUMBER('Dvd Calendar'!$K$949)*100000000+('Dvd Calendar'!$K$951=SPECIAL_LBL)*10000000+0*1000000+86*1000+7))</f>
        <v/>
      </c>
      <c r="EL97" s="35">
        <f>IF(N('Dvd Calendar'!$L$946)=0,"",IF(('Dvd Calendar'!$L$946&gt;=GRID_FROM)*('Dvd Calendar'!$L$946&lt;=GRID_TO)*('Dvd Calendar'!$L$946&lt;=VAL_DATE)=0,"",'Dvd Calendar'!$L$946*1000000000+ISNUMBER('Dvd Calendar'!$L$949)*100000000+('Dvd Calendar'!$L$951=SPECIAL_LBL)*10000000+0*1000000+86*1000+8))</f>
        <v/>
      </c>
      <c r="EM97" s="35">
        <f>IF(N('Dvd Calendar'!$M$946)=0,"",IF(('Dvd Calendar'!$M$946&gt;=GRID_FROM)*('Dvd Calendar'!$M$946&lt;=GRID_TO)*('Dvd Calendar'!$M$946&lt;=VAL_DATE)=0,"",'Dvd Calendar'!$M$946*1000000000+ISNUMBER('Dvd Calendar'!$M$949)*100000000+('Dvd Calendar'!$M$951=SPECIAL_LBL)*10000000+0*1000000+86*1000+9))</f>
        <v/>
      </c>
      <c r="EN97" s="35">
        <f>IF(N('Dvd Calendar'!$N$946)=0,"",IF(('Dvd Calendar'!$N$946&gt;=GRID_FROM)*('Dvd Calendar'!$N$946&lt;=GRID_TO)*('Dvd Calendar'!$N$946&lt;=VAL_DATE)=0,"",'Dvd Calendar'!$N$946*1000000000+ISNUMBER('Dvd Calendar'!$N$949)*100000000+('Dvd Calendar'!$N$951=SPECIAL_LBL)*10000000+0*1000000+86*1000+10))</f>
        <v/>
      </c>
      <c r="EO97" s="35">
        <f>IF(N('Dvd Calendar'!$O$946)=0,"",IF(('Dvd Calendar'!$O$946&gt;=GRID_FROM)*('Dvd Calendar'!$O$946&lt;=GRID_TO)*('Dvd Calendar'!$O$946&lt;=VAL_DATE)=0,"",'Dvd Calendar'!$O$946*1000000000+ISNUMBER('Dvd Calendar'!$O$949)*100000000+('Dvd Calendar'!$O$951=SPECIAL_LBL)*10000000+0*1000000+86*1000+11))</f>
        <v/>
      </c>
      <c r="EP97" s="35">
        <f>IF(N('Dvd Calendar'!$P$946)=0,"",IF(('Dvd Calendar'!$P$946&gt;=GRID_FROM)*('Dvd Calendar'!$P$946&lt;=GRID_TO)*('Dvd Calendar'!$P$946&lt;=VAL_DATE)=0,"",'Dvd Calendar'!$P$946*1000000000+ISNUMBER('Dvd Calendar'!$P$949)*100000000+('Dvd Calendar'!$P$951=SPECIAL_LBL)*10000000+0*1000000+86*1000+12))</f>
        <v/>
      </c>
      <c r="EQ97" s="35">
        <f>IF(N('Dvd Calendar'!$Q$946)=0,"",IF(('Dvd Calendar'!$Q$946&gt;=GRID_FROM)*('Dvd Calendar'!$Q$946&lt;=GRID_TO)*('Dvd Calendar'!$Q$946&lt;=VAL_DATE)=0,"",'Dvd Calendar'!$Q$946*1000000000+ISNUMBER('Dvd Calendar'!$Q$949)*100000000+('Dvd Calendar'!$Q$951=SPECIAL_LBL)*10000000+0*1000000+86*1000+13))</f>
        <v/>
      </c>
      <c r="ER97" s="35">
        <f>IF(N('Dvd Calendar'!$R$946)=0,"",IF(('Dvd Calendar'!$R$946&gt;=GRID_FROM)*('Dvd Calendar'!$R$946&lt;=GRID_TO)*('Dvd Calendar'!$R$946&lt;=VAL_DATE)=0,"",'Dvd Calendar'!$R$946*1000000000+ISNUMBER('Dvd Calendar'!$R$949)*100000000+('Dvd Calendar'!$R$951=SPECIAL_LBL)*10000000+0*1000000+86*1000+14))</f>
        <v/>
      </c>
      <c r="ES97" s="35">
        <f>IF(N('Dvd Calendar'!$S$946)=0,"",IF(('Dvd Calendar'!$S$946&gt;=GRID_FROM)*('Dvd Calendar'!$S$946&lt;=GRID_TO)*('Dvd Calendar'!$S$946&lt;=VAL_DATE)=0,"",'Dvd Calendar'!$S$946*1000000000+ISNUMBER('Dvd Calendar'!$S$949)*100000000+('Dvd Calendar'!$S$951=SPECIAL_LBL)*10000000+0*1000000+86*1000+15))</f>
        <v/>
      </c>
      <c r="ET97" s="35">
        <f>IF(N('Dvd Calendar'!$T$946)=0,"",IF(('Dvd Calendar'!$T$946&gt;=GRID_FROM)*('Dvd Calendar'!$T$946&lt;=GRID_TO)*('Dvd Calendar'!$T$946&lt;=VAL_DATE)=0,"",'Dvd Calendar'!$T$946*1000000000+ISNUMBER('Dvd Calendar'!$T$949)*100000000+('Dvd Calendar'!$T$951=SPECIAL_LBL)*10000000+0*1000000+86*1000+16))</f>
        <v/>
      </c>
      <c r="EU97" s="35">
        <f>IF(N('Dvd Calendar'!$U$946)=0,"",IF(('Dvd Calendar'!$U$946&gt;=GRID_FROM)*('Dvd Calendar'!$U$946&lt;=GRID_TO)*('Dvd Calendar'!$U$946&lt;=VAL_DATE)=0,"",'Dvd Calendar'!$U$946*1000000000+ISNUMBER('Dvd Calendar'!$U$949)*100000000+('Dvd Calendar'!$U$951=SPECIAL_LBL)*10000000+0*1000000+86*1000+17))</f>
        <v/>
      </c>
      <c r="EV97" s="35">
        <f>IF(N('Dvd Calendar'!$V$946)=0,"",IF(('Dvd Calendar'!$V$946&gt;=GRID_FROM)*('Dvd Calendar'!$V$946&lt;=GRID_TO)*('Dvd Calendar'!$V$946&lt;=VAL_DATE)=0,"",'Dvd Calendar'!$V$946*1000000000+ISNUMBER('Dvd Calendar'!$V$949)*100000000+('Dvd Calendar'!$V$951=SPECIAL_LBL)*10000000+0*1000000+86*1000+18))</f>
        <v/>
      </c>
      <c r="EW97" s="35">
        <f>IF(N('Dvd Calendar'!$W$946)=0,"",IF(('Dvd Calendar'!$W$946&gt;=GRID_FROM)*('Dvd Calendar'!$W$946&lt;=GRID_TO)*('Dvd Calendar'!$W$946&lt;=VAL_DATE)=0,"",'Dvd Calendar'!$W$946*1000000000+ISNUMBER('Dvd Calendar'!$W$949)*100000000+('Dvd Calendar'!$W$951=SPECIAL_LBL)*10000000+0*1000000+86*1000+19))</f>
        <v/>
      </c>
      <c r="EX97" s="35">
        <f>IF(N('Dvd Calendar'!$X$946)=0,"",IF(('Dvd Calendar'!$X$946&gt;=GRID_FROM)*('Dvd Calendar'!$X$946&lt;=GRID_TO)*('Dvd Calendar'!$X$946&lt;=VAL_DATE)=0,"",'Dvd Calendar'!$X$946*1000000000+ISNUMBER('Dvd Calendar'!$X$949)*100000000+('Dvd Calendar'!$X$951=SPECIAL_LBL)*10000000+0*1000000+86*1000+20))</f>
        <v/>
      </c>
      <c r="EY97" s="35">
        <f>IF(N('Dvd Calendar'!$Y$946)=0,"",IF(('Dvd Calendar'!$Y$946&gt;=GRID_FROM)*('Dvd Calendar'!$Y$946&lt;=GRID_TO)*('Dvd Calendar'!$Y$946&lt;=VAL_DATE)=0,"",'Dvd Calendar'!$Y$946*1000000000+ISNUMBER('Dvd Calendar'!$Y$949)*100000000+('Dvd Calendar'!$Y$951=SPECIAL_LBL)*10000000+0*1000000+86*1000+21))</f>
        <v/>
      </c>
      <c r="EZ97" s="35">
        <f>IF(N('Dvd Calendar'!$Z$946)=0,"",IF(('Dvd Calendar'!$Z$946&gt;=GRID_FROM)*('Dvd Calendar'!$Z$946&lt;=GRID_TO)*('Dvd Calendar'!$Z$946&lt;=VAL_DATE)=0,"",'Dvd Calendar'!$Z$946*1000000000+ISNUMBER('Dvd Calendar'!$Z$949)*100000000+('Dvd Calendar'!$Z$951=SPECIAL_LBL)*10000000+0*1000000+86*1000+22))</f>
        <v/>
      </c>
      <c r="FA97" s="35">
        <f>IF(N('Dvd Calendar'!$AA$946)=0,"",IF(('Dvd Calendar'!$AA$946&gt;=GRID_FROM)*('Dvd Calendar'!$AA$946&lt;=GRID_TO)*('Dvd Calendar'!$AA$946&lt;=VAL_DATE)=0,"",'Dvd Calendar'!$AA$946*1000000000+ISNUMBER('Dvd Calendar'!$AA$949)*100000000+('Dvd Calendar'!$AA$951=SPECIAL_LBL)*10000000+0*1000000+86*1000+23))</f>
        <v/>
      </c>
      <c r="FB97" s="35">
        <f>IF(N('Dvd Calendar'!$AB$946)=0,"",IF(('Dvd Calendar'!$AB$946&gt;=GRID_FROM)*('Dvd Calendar'!$AB$946&lt;=GRID_TO)*('Dvd Calendar'!$AB$946&lt;=VAL_DATE)=0,"",'Dvd Calendar'!$AB$946*1000000000+ISNUMBER('Dvd Calendar'!$AB$949)*100000000+('Dvd Calendar'!$AB$951=SPECIAL_LBL)*10000000+0*1000000+86*1000+24))</f>
        <v/>
      </c>
      <c r="FC97" s="35">
        <f>IF(N('Dvd Calendar'!$AC$946)=0,"",IF(('Dvd Calendar'!$AC$946&gt;=GRID_FROM)*('Dvd Calendar'!$AC$946&lt;=GRID_TO)*('Dvd Calendar'!$AC$946&lt;=VAL_DATE)=0,"",'Dvd Calendar'!$AC$946*1000000000+ISNUMBER('Dvd Calendar'!$AC$949)*100000000+('Dvd Calendar'!$AC$951=SPECIAL_LBL)*10000000+0*1000000+86*1000+25))</f>
        <v/>
      </c>
      <c r="FD97" s="35">
        <f>IF(N('Dvd Calendar'!$AD$946)=0,"",IF(('Dvd Calendar'!$AD$946&gt;=GRID_FROM)*('Dvd Calendar'!$AD$946&lt;=GRID_TO)*('Dvd Calendar'!$AD$946&lt;=VAL_DATE)=0,"",'Dvd Calendar'!$AD$946*1000000000+ISNUMBER('Dvd Calendar'!$AD$949)*100000000+('Dvd Calendar'!$AD$951=SPECIAL_LBL)*10000000+0*1000000+86*1000+26))</f>
        <v/>
      </c>
      <c r="FE97" s="35">
        <f>IF(N('Dvd Calendar'!$AE$946)=0,"",IF(('Dvd Calendar'!$AE$946&gt;=GRID_FROM)*('Dvd Calendar'!$AE$946&lt;=GRID_TO)*('Dvd Calendar'!$AE$946&lt;=VAL_DATE)=0,"",'Dvd Calendar'!$AE$946*1000000000+ISNUMBER('Dvd Calendar'!$AE$949)*100000000+('Dvd Calendar'!$AE$951=SPECIAL_LBL)*10000000+0*1000000+86*1000+27))</f>
        <v/>
      </c>
      <c r="FF97" s="35">
        <f>IF(N('Dvd Calendar'!$AF$946)=0,"",IF(('Dvd Calendar'!$AF$946&gt;=GRID_FROM)*('Dvd Calendar'!$AF$946&lt;=GRID_TO)*('Dvd Calendar'!$AF$946&lt;=VAL_DATE)=0,"",'Dvd Calendar'!$AF$946*1000000000+ISNUMBER('Dvd Calendar'!$AF$949)*100000000+('Dvd Calendar'!$AF$951=SPECIAL_LBL)*10000000+0*1000000+86*1000+28))</f>
        <v/>
      </c>
      <c r="FG97" s="35">
        <f>IF(N('Dvd Calendar'!$AG$946)=0,"",IF(('Dvd Calendar'!$AG$946&gt;=GRID_FROM)*('Dvd Calendar'!$AG$946&lt;=GRID_TO)*('Dvd Calendar'!$AG$946&lt;=VAL_DATE)=0,"",'Dvd Calendar'!$AG$946*1000000000+ISNUMBER('Dvd Calendar'!$AG$949)*100000000+('Dvd Calendar'!$AG$951=SPECIAL_LBL)*10000000+0*1000000+86*1000+29))</f>
        <v/>
      </c>
      <c r="FH97" s="35">
        <f>IF(N('Dvd Calendar'!$AH$946)=0,"",IF(('Dvd Calendar'!$AH$946&gt;=GRID_FROM)*('Dvd Calendar'!$AH$946&lt;=GRID_TO)*('Dvd Calendar'!$AH$946&lt;=VAL_DATE)=0,"",'Dvd Calendar'!$AH$946*1000000000+ISNUMBER('Dvd Calendar'!$AH$949)*100000000+('Dvd Calendar'!$AH$951=SPECIAL_LBL)*10000000+0*1000000+86*1000+30))</f>
        <v/>
      </c>
      <c r="FI97" s="35">
        <f>IF(N('Dvd Calendar'!$AI$946)=0,"",IF(('Dvd Calendar'!$AI$946&gt;=GRID_FROM)*('Dvd Calendar'!$AI$946&lt;=GRID_TO)*('Dvd Calendar'!$AI$946&lt;=VAL_DATE)=0,"",'Dvd Calendar'!$AI$946*1000000000+ISNUMBER('Dvd Calendar'!$AI$949)*100000000+('Dvd Calendar'!$AI$951=SPECIAL_LBL)*10000000+0*1000000+86*1000+31))</f>
        <v/>
      </c>
      <c r="FJ97" s="35">
        <f>IF(N('Dvd Calendar'!$AJ$946)=0,"",IF(('Dvd Calendar'!$AJ$946&gt;=GRID_FROM)*('Dvd Calendar'!$AJ$946&lt;=GRID_TO)*('Dvd Calendar'!$AJ$946&lt;=VAL_DATE)=0,"",'Dvd Calendar'!$AJ$946*1000000000+ISNUMBER('Dvd Calendar'!$AJ$949)*100000000+('Dvd Calendar'!$AJ$951=SPECIAL_LBL)*10000000+0*1000000+86*1000+32))</f>
        <v/>
      </c>
      <c r="FK97" s="35">
        <f>IF(N('Dvd Calendar'!$AK$946)=0,"",IF(('Dvd Calendar'!$AK$946&gt;=GRID_FROM)*('Dvd Calendar'!$AK$946&lt;=GRID_TO)*('Dvd Calendar'!$AK$946&lt;=VAL_DATE)=0,"",'Dvd Calendar'!$AK$946*1000000000+ISNUMBER('Dvd Calendar'!$AK$949)*100000000+('Dvd Calendar'!$AK$951=SPECIAL_LBL)*10000000+0*1000000+86*1000+33))</f>
        <v/>
      </c>
      <c r="FL97" s="35">
        <f>IF(N('Dvd Calendar'!$AL$946)=0,"",IF(('Dvd Calendar'!$AL$946&gt;=GRID_FROM)*('Dvd Calendar'!$AL$946&lt;=GRID_TO)*('Dvd Calendar'!$AL$946&lt;=VAL_DATE)=0,"",'Dvd Calendar'!$AL$946*1000000000+ISNUMBER('Dvd Calendar'!$AL$949)*100000000+('Dvd Calendar'!$AL$951=SPECIAL_LBL)*10000000+0*1000000+86*1000+34))</f>
        <v/>
      </c>
      <c r="FM97" s="35">
        <f>IF(N('Dvd Calendar'!$AM$946)=0,"",IF(('Dvd Calendar'!$AM$946&gt;=GRID_FROM)*('Dvd Calendar'!$AM$946&lt;=GRID_TO)*('Dvd Calendar'!$AM$946&lt;=VAL_DATE)=0,"",'Dvd Calendar'!$AM$946*1000000000+ISNUMBER('Dvd Calendar'!$AM$949)*100000000+('Dvd Calendar'!$AM$951=SPECIAL_LBL)*10000000+0*1000000+86*1000+35))</f>
        <v/>
      </c>
      <c r="FN97" s="35">
        <f>IF(N('Dvd Calendar'!$AN$946)=0,"",IF(('Dvd Calendar'!$AN$946&gt;=GRID_FROM)*('Dvd Calendar'!$AN$946&lt;=GRID_TO)*('Dvd Calendar'!$AN$946&lt;=VAL_DATE)=0,"",'Dvd Calendar'!$AN$946*1000000000+ISNUMBER('Dvd Calendar'!$AN$949)*100000000+('Dvd Calendar'!$AN$951=SPECIAL_LBL)*10000000+0*1000000+86*1000+36))</f>
        <v/>
      </c>
      <c r="FO97" s="35">
        <f>IF(N('Dvd Calendar'!$AO$946)=0,"",IF(('Dvd Calendar'!$AO$946&gt;=GRID_FROM)*('Dvd Calendar'!$AO$946&lt;=GRID_TO)*('Dvd Calendar'!$AO$946&lt;=VAL_DATE)=0,"",'Dvd Calendar'!$AO$946*1000000000+ISNUMBER('Dvd Calendar'!$AO$949)*100000000+('Dvd Calendar'!$AO$951=SPECIAL_LBL)*10000000+0*1000000+86*1000+37))</f>
        <v/>
      </c>
      <c r="FP97" s="35">
        <f>IF(N('Dvd Calendar'!$AP$946)=0,"",IF(('Dvd Calendar'!$AP$946&gt;=GRID_FROM)*('Dvd Calendar'!$AP$946&lt;=GRID_TO)*('Dvd Calendar'!$AP$946&lt;=VAL_DATE)=0,"",'Dvd Calendar'!$AP$946*1000000000+ISNUMBER('Dvd Calendar'!$AP$949)*100000000+('Dvd Calendar'!$AP$951=SPECIAL_LBL)*10000000+0*1000000+86*1000+38))</f>
        <v/>
      </c>
      <c r="FQ97" s="35">
        <f>IF(N('Dvd Calendar'!$AQ$946)=0,"",IF(('Dvd Calendar'!$AQ$946&gt;=GRID_FROM)*('Dvd Calendar'!$AQ$946&lt;=GRID_TO)*('Dvd Calendar'!$AQ$946&lt;=VAL_DATE)=0,"",'Dvd Calendar'!$AQ$946*1000000000+ISNUMBER('Dvd Calendar'!$AQ$949)*100000000+('Dvd Calendar'!$AQ$951=SPECIAL_LBL)*10000000+0*1000000+86*1000+39))</f>
        <v/>
      </c>
      <c r="FR97" s="35">
        <f>IF(N('Dvd Calendar'!$AR$946)=0,"",IF(('Dvd Calendar'!$AR$946&gt;=GRID_FROM)*('Dvd Calendar'!$AR$946&lt;=GRID_TO)*('Dvd Calendar'!$AR$946&lt;=VAL_DATE)=0,"",'Dvd Calendar'!$AR$946*1000000000+ISNUMBER('Dvd Calendar'!$AR$949)*100000000+('Dvd Calendar'!$AR$951=SPECIAL_LBL)*10000000+0*1000000+86*1000+40))</f>
        <v/>
      </c>
      <c r="FS97" s="35">
        <f>IF(N('Dvd Calendar'!$E$953)=0,"",IF(('Dvd Calendar'!$E$953&gt;=GRID_FROM)*('Dvd Calendar'!$E$953&lt;=GRID_TO)*('Dvd Calendar'!$E$953&gt;VAL_DATE)=0,"",'Dvd Calendar'!$E$953*1000000000+ISNUMBER('Dvd Calendar'!$E$954)*100000000+0*10000000+(N('Dvd Calendar'!$E$952)&gt;0)*(N('Dvd Calendar'!$E$952)&lt;=VAL_SERIAL)*1000000+86*1000+41))</f>
        <v/>
      </c>
      <c r="FT97" s="35">
        <f>IF(N('Dvd Calendar'!$F$953)=0,"",IF(('Dvd Calendar'!$F$953&gt;=GRID_FROM)*('Dvd Calendar'!$F$953&lt;=GRID_TO)*('Dvd Calendar'!$F$953&gt;VAL_DATE)=0,"",'Dvd Calendar'!$F$953*1000000000+ISNUMBER('Dvd Calendar'!$F$954)*100000000+0*10000000+(N('Dvd Calendar'!$F$952)&gt;0)*(N('Dvd Calendar'!$F$952)&lt;=VAL_SERIAL)*1000000+86*1000+42))</f>
        <v/>
      </c>
      <c r="FU97" s="35">
        <f>IF(N('Dvd Calendar'!$G$953)=0,"",IF(('Dvd Calendar'!$G$953&gt;=GRID_FROM)*('Dvd Calendar'!$G$953&lt;=GRID_TO)*('Dvd Calendar'!$G$953&gt;VAL_DATE)=0,"",'Dvd Calendar'!$G$953*1000000000+ISNUMBER('Dvd Calendar'!$G$954)*100000000+0*10000000+(N('Dvd Calendar'!$G$952)&gt;0)*(N('Dvd Calendar'!$G$952)&lt;=VAL_SERIAL)*1000000+86*1000+43))</f>
        <v/>
      </c>
      <c r="FV97" s="35">
        <f>IF(N('Dvd Calendar'!$H$953)=0,"",IF(('Dvd Calendar'!$H$953&gt;=GRID_FROM)*('Dvd Calendar'!$H$953&lt;=GRID_TO)*('Dvd Calendar'!$H$953&gt;VAL_DATE)=0,"",'Dvd Calendar'!$H$953*1000000000+ISNUMBER('Dvd Calendar'!$H$954)*100000000+0*10000000+(N('Dvd Calendar'!$H$952)&gt;0)*(N('Dvd Calendar'!$H$952)&lt;=VAL_SERIAL)*1000000+86*1000+44))</f>
        <v/>
      </c>
      <c r="FW97" s="35">
        <f>IF(N('Dvd Calendar'!$I$953)=0,"",IF(('Dvd Calendar'!$I$953&gt;=GRID_FROM)*('Dvd Calendar'!$I$953&lt;=GRID_TO)*('Dvd Calendar'!$I$953&gt;VAL_DATE)=0,"",'Dvd Calendar'!$I$953*1000000000+ISNUMBER('Dvd Calendar'!$I$954)*100000000+0*10000000+(N('Dvd Calendar'!$I$952)&gt;0)*(N('Dvd Calendar'!$I$952)&lt;=VAL_SERIAL)*1000000+86*1000+45))</f>
        <v/>
      </c>
      <c r="FX97" s="35">
        <f>IF(N('Dvd Calendar'!$J$953)=0,"",IF(('Dvd Calendar'!$J$953&gt;=GRID_FROM)*('Dvd Calendar'!$J$953&lt;=GRID_TO)*('Dvd Calendar'!$J$953&gt;VAL_DATE)=0,"",'Dvd Calendar'!$J$953*1000000000+ISNUMBER('Dvd Calendar'!$J$954)*100000000+0*10000000+(N('Dvd Calendar'!$J$952)&gt;0)*(N('Dvd Calendar'!$J$952)&lt;=VAL_SERIAL)*1000000+86*1000+46))</f>
        <v/>
      </c>
      <c r="FY97" s="35">
        <f>IF(N('Dvd Calendar'!$K$953)=0,"",IF(('Dvd Calendar'!$K$953&gt;=GRID_FROM)*('Dvd Calendar'!$K$953&lt;=GRID_TO)*('Dvd Calendar'!$K$953&gt;VAL_DATE)=0,"",'Dvd Calendar'!$K$953*1000000000+ISNUMBER('Dvd Calendar'!$K$954)*100000000+0*10000000+(N('Dvd Calendar'!$K$952)&gt;0)*(N('Dvd Calendar'!$K$952)&lt;=VAL_SERIAL)*1000000+86*1000+47))</f>
        <v/>
      </c>
      <c r="FZ97" s="35">
        <f>IF(N('Dvd Calendar'!$L$953)=0,"",IF(('Dvd Calendar'!$L$953&gt;=GRID_FROM)*('Dvd Calendar'!$L$953&lt;=GRID_TO)*('Dvd Calendar'!$L$953&gt;VAL_DATE)=0,"",'Dvd Calendar'!$L$953*1000000000+ISNUMBER('Dvd Calendar'!$L$954)*100000000+0*10000000+(N('Dvd Calendar'!$L$952)&gt;0)*(N('Dvd Calendar'!$L$952)&lt;=VAL_SERIAL)*1000000+86*1000+48))</f>
        <v/>
      </c>
      <c r="GA97" s="35">
        <f>IF(N('Dvd Calendar'!$M$953)=0,"",IF(('Dvd Calendar'!$M$953&gt;=GRID_FROM)*('Dvd Calendar'!$M$953&lt;=GRID_TO)*('Dvd Calendar'!$M$953&gt;VAL_DATE)=0,"",'Dvd Calendar'!$M$953*1000000000+ISNUMBER('Dvd Calendar'!$M$954)*100000000+0*10000000+(N('Dvd Calendar'!$M$952)&gt;0)*(N('Dvd Calendar'!$M$952)&lt;=VAL_SERIAL)*1000000+86*1000+49))</f>
        <v/>
      </c>
      <c r="GB97" s="35">
        <f>IF(N('Dvd Calendar'!$N$953)=0,"",IF(('Dvd Calendar'!$N$953&gt;=GRID_FROM)*('Dvd Calendar'!$N$953&lt;=GRID_TO)*('Dvd Calendar'!$N$953&gt;VAL_DATE)=0,"",'Dvd Calendar'!$N$953*1000000000+ISNUMBER('Dvd Calendar'!$N$954)*100000000+0*10000000+(N('Dvd Calendar'!$N$952)&gt;0)*(N('Dvd Calendar'!$N$952)&lt;=VAL_SERIAL)*1000000+86*1000+50))</f>
        <v/>
      </c>
      <c r="GC97" s="35">
        <f>IF(N('Dvd Calendar'!$O$953)=0,"",IF(('Dvd Calendar'!$O$953&gt;=GRID_FROM)*('Dvd Calendar'!$O$953&lt;=GRID_TO)*('Dvd Calendar'!$O$953&gt;VAL_DATE)=0,"",'Dvd Calendar'!$O$953*1000000000+ISNUMBER('Dvd Calendar'!$O$954)*100000000+0*10000000+(N('Dvd Calendar'!$O$952)&gt;0)*(N('Dvd Calendar'!$O$952)&lt;=VAL_SERIAL)*1000000+86*1000+51))</f>
        <v/>
      </c>
      <c r="GD97" s="35">
        <f>IF(N('Dvd Calendar'!$P$953)=0,"",IF(('Dvd Calendar'!$P$953&gt;=GRID_FROM)*('Dvd Calendar'!$P$953&lt;=GRID_TO)*('Dvd Calendar'!$P$953&gt;VAL_DATE)=0,"",'Dvd Calendar'!$P$953*1000000000+ISNUMBER('Dvd Calendar'!$P$954)*100000000+0*10000000+(N('Dvd Calendar'!$P$952)&gt;0)*(N('Dvd Calendar'!$P$952)&lt;=VAL_SERIAL)*1000000+86*1000+52))</f>
        <v/>
      </c>
      <c r="GE97" s="35">
        <f>IF(N('Dvd Calendar'!$Q$953)=0,"",IF(('Dvd Calendar'!$Q$953&gt;=GRID_FROM)*('Dvd Calendar'!$Q$953&lt;=GRID_TO)*('Dvd Calendar'!$Q$953&gt;VAL_DATE)=0,"",'Dvd Calendar'!$Q$953*1000000000+ISNUMBER('Dvd Calendar'!$Q$954)*100000000+0*10000000+(N('Dvd Calendar'!$Q$952)&gt;0)*(N('Dvd Calendar'!$Q$952)&lt;=VAL_SERIAL)*1000000+86*1000+53))</f>
        <v/>
      </c>
      <c r="GF97" s="35">
        <f>IF(N('Dvd Calendar'!$R$953)=0,"",IF(('Dvd Calendar'!$R$953&gt;=GRID_FROM)*('Dvd Calendar'!$R$953&lt;=GRID_TO)*('Dvd Calendar'!$R$953&gt;VAL_DATE)=0,"",'Dvd Calendar'!$R$953*1000000000+ISNUMBER('Dvd Calendar'!$R$954)*100000000+0*10000000+(N('Dvd Calendar'!$R$952)&gt;0)*(N('Dvd Calendar'!$R$952)&lt;=VAL_SERIAL)*1000000+86*1000+54))</f>
        <v/>
      </c>
      <c r="GG97" s="35">
        <f>IF(N('Dvd Calendar'!$S$953)=0,"",IF(('Dvd Calendar'!$S$953&gt;=GRID_FROM)*('Dvd Calendar'!$S$953&lt;=GRID_TO)*('Dvd Calendar'!$S$953&gt;VAL_DATE)=0,"",'Dvd Calendar'!$S$953*1000000000+ISNUMBER('Dvd Calendar'!$S$954)*100000000+0*10000000+(N('Dvd Calendar'!$S$952)&gt;0)*(N('Dvd Calendar'!$S$952)&lt;=VAL_SERIAL)*1000000+86*1000+55))</f>
        <v/>
      </c>
      <c r="GH97" s="35">
        <f>IF(N('Dvd Calendar'!$T$953)=0,"",IF(('Dvd Calendar'!$T$953&gt;=GRID_FROM)*('Dvd Calendar'!$T$953&lt;=GRID_TO)*('Dvd Calendar'!$T$953&gt;VAL_DATE)=0,"",'Dvd Calendar'!$T$953*1000000000+ISNUMBER('Dvd Calendar'!$T$954)*100000000+0*10000000+(N('Dvd Calendar'!$T$952)&gt;0)*(N('Dvd Calendar'!$T$952)&lt;=VAL_SERIAL)*1000000+86*1000+56))</f>
        <v/>
      </c>
      <c r="GI97" s="35">
        <f>IF(N('Dvd Calendar'!$U$953)=0,"",IF(('Dvd Calendar'!$U$953&gt;=GRID_FROM)*('Dvd Calendar'!$U$953&lt;=GRID_TO)*('Dvd Calendar'!$U$953&gt;VAL_DATE)=0,"",'Dvd Calendar'!$U$953*1000000000+ISNUMBER('Dvd Calendar'!$U$954)*100000000+0*10000000+(N('Dvd Calendar'!$U$952)&gt;0)*(N('Dvd Calendar'!$U$952)&lt;=VAL_SERIAL)*1000000+86*1000+57))</f>
        <v/>
      </c>
      <c r="GJ97" s="35">
        <f>IF(N('Dvd Calendar'!$V$953)=0,"",IF(('Dvd Calendar'!$V$953&gt;=GRID_FROM)*('Dvd Calendar'!$V$953&lt;=GRID_TO)*('Dvd Calendar'!$V$953&gt;VAL_DATE)=0,"",'Dvd Calendar'!$V$953*1000000000+ISNUMBER('Dvd Calendar'!$V$954)*100000000+0*10000000+(N('Dvd Calendar'!$V$952)&gt;0)*(N('Dvd Calendar'!$V$952)&lt;=VAL_SERIAL)*1000000+86*1000+58))</f>
        <v/>
      </c>
      <c r="GK97" s="35">
        <f>IF(N('Dvd Calendar'!$W$953)=0,"",IF(('Dvd Calendar'!$W$953&gt;=GRID_FROM)*('Dvd Calendar'!$W$953&lt;=GRID_TO)*('Dvd Calendar'!$W$953&gt;VAL_DATE)=0,"",'Dvd Calendar'!$W$953*1000000000+ISNUMBER('Dvd Calendar'!$W$954)*100000000+0*10000000+(N('Dvd Calendar'!$W$952)&gt;0)*(N('Dvd Calendar'!$W$952)&lt;=VAL_SERIAL)*1000000+86*1000+59))</f>
        <v/>
      </c>
      <c r="GL97" s="35">
        <f>IF(N('Dvd Calendar'!$X$953)=0,"",IF(('Dvd Calendar'!$X$953&gt;=GRID_FROM)*('Dvd Calendar'!$X$953&lt;=GRID_TO)*('Dvd Calendar'!$X$953&gt;VAL_DATE)=0,"",'Dvd Calendar'!$X$953*1000000000+ISNUMBER('Dvd Calendar'!$X$954)*100000000+0*10000000+(N('Dvd Calendar'!$X$952)&gt;0)*(N('Dvd Calendar'!$X$952)&lt;=VAL_SERIAL)*1000000+86*1000+60))</f>
        <v/>
      </c>
      <c r="GM97" s="35">
        <f>IF(N('Dvd Calendar'!$Y$953)=0,"",IF(('Dvd Calendar'!$Y$953&gt;=GRID_FROM)*('Dvd Calendar'!$Y$953&lt;=GRID_TO)*('Dvd Calendar'!$Y$953&gt;VAL_DATE)=0,"",'Dvd Calendar'!$Y$953*1000000000+ISNUMBER('Dvd Calendar'!$Y$954)*100000000+0*10000000+(N('Dvd Calendar'!$Y$952)&gt;0)*(N('Dvd Calendar'!$Y$952)&lt;=VAL_SERIAL)*1000000+86*1000+61))</f>
        <v/>
      </c>
      <c r="GN97" s="35">
        <f>IF(N('Dvd Calendar'!$Z$953)=0,"",IF(('Dvd Calendar'!$Z$953&gt;=GRID_FROM)*('Dvd Calendar'!$Z$953&lt;=GRID_TO)*('Dvd Calendar'!$Z$953&gt;VAL_DATE)=0,"",'Dvd Calendar'!$Z$953*1000000000+ISNUMBER('Dvd Calendar'!$Z$954)*100000000+0*10000000+(N('Dvd Calendar'!$Z$952)&gt;0)*(N('Dvd Calendar'!$Z$952)&lt;=VAL_SERIAL)*1000000+86*1000+62))</f>
        <v/>
      </c>
      <c r="GO97" s="35">
        <f>IF(N('Dvd Calendar'!$AA$953)=0,"",IF(('Dvd Calendar'!$AA$953&gt;=GRID_FROM)*('Dvd Calendar'!$AA$953&lt;=GRID_TO)*('Dvd Calendar'!$AA$953&gt;VAL_DATE)=0,"",'Dvd Calendar'!$AA$953*1000000000+ISNUMBER('Dvd Calendar'!$AA$954)*100000000+0*10000000+(N('Dvd Calendar'!$AA$952)&gt;0)*(N('Dvd Calendar'!$AA$952)&lt;=VAL_SERIAL)*1000000+86*1000+63))</f>
        <v/>
      </c>
      <c r="GP97" s="35">
        <f>IF(N('Dvd Calendar'!$AB$953)=0,"",IF(('Dvd Calendar'!$AB$953&gt;=GRID_FROM)*('Dvd Calendar'!$AB$953&lt;=GRID_TO)*('Dvd Calendar'!$AB$953&gt;VAL_DATE)=0,"",'Dvd Calendar'!$AB$953*1000000000+ISNUMBER('Dvd Calendar'!$AB$954)*100000000+0*10000000+(N('Dvd Calendar'!$AB$952)&gt;0)*(N('Dvd Calendar'!$AB$952)&lt;=VAL_SERIAL)*1000000+86*1000+64))</f>
        <v/>
      </c>
      <c r="GQ97" s="35">
        <f>IF(N('Dvd Calendar'!$AC$953)=0,"",IF(('Dvd Calendar'!$AC$953&gt;=GRID_FROM)*('Dvd Calendar'!$AC$953&lt;=GRID_TO)*('Dvd Calendar'!$AC$953&gt;VAL_DATE)=0,"",'Dvd Calendar'!$AC$953*1000000000+ISNUMBER('Dvd Calendar'!$AC$954)*100000000+0*10000000+(N('Dvd Calendar'!$AC$952)&gt;0)*(N('Dvd Calendar'!$AC$952)&lt;=VAL_SERIAL)*1000000+86*1000+65))</f>
        <v/>
      </c>
    </row>
    <row r="98">
      <c r="B98" s="2">
        <f>IF(HSI!$C$93="","",HSI!$C$93)</f>
        <v/>
      </c>
      <c r="C98" s="106">
        <f>IF(EE98="","",IF(ISNUMBER('Dvd Calendar'!$E$960)=FALSE,"",IF((('Dvd Calendar'!$E$962=TYPE1)*(TYPE1&lt;&gt;"")+('Dvd Calendar'!$E$962=TYPE2)*(TYPE2&lt;&gt;"")+('Dvd Calendar'!$E$962=TYPE3)*(TYPE3&lt;&gt;"")+('Dvd Calendar'!$E$962=TYPE4)*(TYPE4&lt;&gt;"")+('Dvd Calendar'!$E$962=SPECIAL_LBL)*(INC_SPECIALS="Y"))=0,"",'Dvd Calendar'!$E$960)))</f>
        <v/>
      </c>
      <c r="D98" s="106">
        <f>IF(EF98="","",IF(ISNUMBER('Dvd Calendar'!$F$960)=FALSE,"",IF((('Dvd Calendar'!$F$962=TYPE1)*(TYPE1&lt;&gt;"")+('Dvd Calendar'!$F$962=TYPE2)*(TYPE2&lt;&gt;"")+('Dvd Calendar'!$F$962=TYPE3)*(TYPE3&lt;&gt;"")+('Dvd Calendar'!$F$962=TYPE4)*(TYPE4&lt;&gt;"")+('Dvd Calendar'!$F$962=SPECIAL_LBL)*(INC_SPECIALS="Y"))=0,"",'Dvd Calendar'!$F$960)))</f>
        <v/>
      </c>
      <c r="E98" s="106">
        <f>IF(EG98="","",IF(ISNUMBER('Dvd Calendar'!$G$960)=FALSE,"",IF((('Dvd Calendar'!$G$962=TYPE1)*(TYPE1&lt;&gt;"")+('Dvd Calendar'!$G$962=TYPE2)*(TYPE2&lt;&gt;"")+('Dvd Calendar'!$G$962=TYPE3)*(TYPE3&lt;&gt;"")+('Dvd Calendar'!$G$962=TYPE4)*(TYPE4&lt;&gt;"")+('Dvd Calendar'!$G$962=SPECIAL_LBL)*(INC_SPECIALS="Y"))=0,"",'Dvd Calendar'!$G$960)))</f>
        <v/>
      </c>
      <c r="F98" s="106">
        <f>IF(EH98="","",IF(ISNUMBER('Dvd Calendar'!$H$960)=FALSE,"",IF((('Dvd Calendar'!$H$962=TYPE1)*(TYPE1&lt;&gt;"")+('Dvd Calendar'!$H$962=TYPE2)*(TYPE2&lt;&gt;"")+('Dvd Calendar'!$H$962=TYPE3)*(TYPE3&lt;&gt;"")+('Dvd Calendar'!$H$962=TYPE4)*(TYPE4&lt;&gt;"")+('Dvd Calendar'!$H$962=SPECIAL_LBL)*(INC_SPECIALS="Y"))=0,"",'Dvd Calendar'!$H$960)))</f>
        <v/>
      </c>
      <c r="G98" s="106">
        <f>IF(EI98="","",IF(ISNUMBER('Dvd Calendar'!$I$960)=FALSE,"",IF((('Dvd Calendar'!$I$962=TYPE1)*(TYPE1&lt;&gt;"")+('Dvd Calendar'!$I$962=TYPE2)*(TYPE2&lt;&gt;"")+('Dvd Calendar'!$I$962=TYPE3)*(TYPE3&lt;&gt;"")+('Dvd Calendar'!$I$962=TYPE4)*(TYPE4&lt;&gt;"")+('Dvd Calendar'!$I$962=SPECIAL_LBL)*(INC_SPECIALS="Y"))=0,"",'Dvd Calendar'!$I$960)))</f>
        <v/>
      </c>
      <c r="H98" s="106">
        <f>IF(EJ98="","",IF(ISNUMBER('Dvd Calendar'!$J$960)=FALSE,"",IF((('Dvd Calendar'!$J$962=TYPE1)*(TYPE1&lt;&gt;"")+('Dvd Calendar'!$J$962=TYPE2)*(TYPE2&lt;&gt;"")+('Dvd Calendar'!$J$962=TYPE3)*(TYPE3&lt;&gt;"")+('Dvd Calendar'!$J$962=TYPE4)*(TYPE4&lt;&gt;"")+('Dvd Calendar'!$J$962=SPECIAL_LBL)*(INC_SPECIALS="Y"))=0,"",'Dvd Calendar'!$J$960)))</f>
        <v/>
      </c>
      <c r="I98" s="106">
        <f>IF(EK98="","",IF(ISNUMBER('Dvd Calendar'!$K$960)=FALSE,"",IF((('Dvd Calendar'!$K$962=TYPE1)*(TYPE1&lt;&gt;"")+('Dvd Calendar'!$K$962=TYPE2)*(TYPE2&lt;&gt;"")+('Dvd Calendar'!$K$962=TYPE3)*(TYPE3&lt;&gt;"")+('Dvd Calendar'!$K$962=TYPE4)*(TYPE4&lt;&gt;"")+('Dvd Calendar'!$K$962=SPECIAL_LBL)*(INC_SPECIALS="Y"))=0,"",'Dvd Calendar'!$K$960)))</f>
        <v/>
      </c>
      <c r="J98" s="106">
        <f>IF(EL98="","",IF(ISNUMBER('Dvd Calendar'!$L$960)=FALSE,"",IF((('Dvd Calendar'!$L$962=TYPE1)*(TYPE1&lt;&gt;"")+('Dvd Calendar'!$L$962=TYPE2)*(TYPE2&lt;&gt;"")+('Dvd Calendar'!$L$962=TYPE3)*(TYPE3&lt;&gt;"")+('Dvd Calendar'!$L$962=TYPE4)*(TYPE4&lt;&gt;"")+('Dvd Calendar'!$L$962=SPECIAL_LBL)*(INC_SPECIALS="Y"))=0,"",'Dvd Calendar'!$L$960)))</f>
        <v/>
      </c>
      <c r="K98" s="106">
        <f>IF(EM98="","",IF(ISNUMBER('Dvd Calendar'!$M$960)=FALSE,"",IF((('Dvd Calendar'!$M$962=TYPE1)*(TYPE1&lt;&gt;"")+('Dvd Calendar'!$M$962=TYPE2)*(TYPE2&lt;&gt;"")+('Dvd Calendar'!$M$962=TYPE3)*(TYPE3&lt;&gt;"")+('Dvd Calendar'!$M$962=TYPE4)*(TYPE4&lt;&gt;"")+('Dvd Calendar'!$M$962=SPECIAL_LBL)*(INC_SPECIALS="Y"))=0,"",'Dvd Calendar'!$M$960)))</f>
        <v/>
      </c>
      <c r="L98" s="106">
        <f>IF(EN98="","",IF(ISNUMBER('Dvd Calendar'!$N$960)=FALSE,"",IF((('Dvd Calendar'!$N$962=TYPE1)*(TYPE1&lt;&gt;"")+('Dvd Calendar'!$N$962=TYPE2)*(TYPE2&lt;&gt;"")+('Dvd Calendar'!$N$962=TYPE3)*(TYPE3&lt;&gt;"")+('Dvd Calendar'!$N$962=TYPE4)*(TYPE4&lt;&gt;"")+('Dvd Calendar'!$N$962=SPECIAL_LBL)*(INC_SPECIALS="Y"))=0,"",'Dvd Calendar'!$N$960)))</f>
        <v/>
      </c>
      <c r="M98" s="106">
        <f>IF(EO98="","",IF(ISNUMBER('Dvd Calendar'!$O$960)=FALSE,"",IF((('Dvd Calendar'!$O$962=TYPE1)*(TYPE1&lt;&gt;"")+('Dvd Calendar'!$O$962=TYPE2)*(TYPE2&lt;&gt;"")+('Dvd Calendar'!$O$962=TYPE3)*(TYPE3&lt;&gt;"")+('Dvd Calendar'!$O$962=TYPE4)*(TYPE4&lt;&gt;"")+('Dvd Calendar'!$O$962=SPECIAL_LBL)*(INC_SPECIALS="Y"))=0,"",'Dvd Calendar'!$O$960)))</f>
        <v/>
      </c>
      <c r="N98" s="106">
        <f>IF(EP98="","",IF(ISNUMBER('Dvd Calendar'!$P$960)=FALSE,"",IF((('Dvd Calendar'!$P$962=TYPE1)*(TYPE1&lt;&gt;"")+('Dvd Calendar'!$P$962=TYPE2)*(TYPE2&lt;&gt;"")+('Dvd Calendar'!$P$962=TYPE3)*(TYPE3&lt;&gt;"")+('Dvd Calendar'!$P$962=TYPE4)*(TYPE4&lt;&gt;"")+('Dvd Calendar'!$P$962=SPECIAL_LBL)*(INC_SPECIALS="Y"))=0,"",'Dvd Calendar'!$P$960)))</f>
        <v/>
      </c>
      <c r="O98" s="106">
        <f>IF(EQ98="","",IF(ISNUMBER('Dvd Calendar'!$Q$960)=FALSE,"",IF((('Dvd Calendar'!$Q$962=TYPE1)*(TYPE1&lt;&gt;"")+('Dvd Calendar'!$Q$962=TYPE2)*(TYPE2&lt;&gt;"")+('Dvd Calendar'!$Q$962=TYPE3)*(TYPE3&lt;&gt;"")+('Dvd Calendar'!$Q$962=TYPE4)*(TYPE4&lt;&gt;"")+('Dvd Calendar'!$Q$962=SPECIAL_LBL)*(INC_SPECIALS="Y"))=0,"",'Dvd Calendar'!$Q$960)))</f>
        <v/>
      </c>
      <c r="P98" s="106">
        <f>IF(ER98="","",IF(ISNUMBER('Dvd Calendar'!$R$960)=FALSE,"",IF((('Dvd Calendar'!$R$962=TYPE1)*(TYPE1&lt;&gt;"")+('Dvd Calendar'!$R$962=TYPE2)*(TYPE2&lt;&gt;"")+('Dvd Calendar'!$R$962=TYPE3)*(TYPE3&lt;&gt;"")+('Dvd Calendar'!$R$962=TYPE4)*(TYPE4&lt;&gt;"")+('Dvd Calendar'!$R$962=SPECIAL_LBL)*(INC_SPECIALS="Y"))=0,"",'Dvd Calendar'!$R$960)))</f>
        <v/>
      </c>
      <c r="Q98" s="106">
        <f>IF(ES98="","",IF(ISNUMBER('Dvd Calendar'!$S$960)=FALSE,"",IF((('Dvd Calendar'!$S$962=TYPE1)*(TYPE1&lt;&gt;"")+('Dvd Calendar'!$S$962=TYPE2)*(TYPE2&lt;&gt;"")+('Dvd Calendar'!$S$962=TYPE3)*(TYPE3&lt;&gt;"")+('Dvd Calendar'!$S$962=TYPE4)*(TYPE4&lt;&gt;"")+('Dvd Calendar'!$S$962=SPECIAL_LBL)*(INC_SPECIALS="Y"))=0,"",'Dvd Calendar'!$S$960)))</f>
        <v/>
      </c>
      <c r="R98" s="106">
        <f>IF(ET98="","",IF(ISNUMBER('Dvd Calendar'!$T$960)=FALSE,"",IF((('Dvd Calendar'!$T$962=TYPE1)*(TYPE1&lt;&gt;"")+('Dvd Calendar'!$T$962=TYPE2)*(TYPE2&lt;&gt;"")+('Dvd Calendar'!$T$962=TYPE3)*(TYPE3&lt;&gt;"")+('Dvd Calendar'!$T$962=TYPE4)*(TYPE4&lt;&gt;"")+('Dvd Calendar'!$T$962=SPECIAL_LBL)*(INC_SPECIALS="Y"))=0,"",'Dvd Calendar'!$T$960)))</f>
        <v/>
      </c>
      <c r="S98" s="106">
        <f>IF(EU98="","",IF(ISNUMBER('Dvd Calendar'!$U$960)=FALSE,"",IF((('Dvd Calendar'!$U$962=TYPE1)*(TYPE1&lt;&gt;"")+('Dvd Calendar'!$U$962=TYPE2)*(TYPE2&lt;&gt;"")+('Dvd Calendar'!$U$962=TYPE3)*(TYPE3&lt;&gt;"")+('Dvd Calendar'!$U$962=TYPE4)*(TYPE4&lt;&gt;"")+('Dvd Calendar'!$U$962=SPECIAL_LBL)*(INC_SPECIALS="Y"))=0,"",'Dvd Calendar'!$U$960)))</f>
        <v/>
      </c>
      <c r="T98" s="106">
        <f>IF(EV98="","",IF(ISNUMBER('Dvd Calendar'!$V$960)=FALSE,"",IF((('Dvd Calendar'!$V$962=TYPE1)*(TYPE1&lt;&gt;"")+('Dvd Calendar'!$V$962=TYPE2)*(TYPE2&lt;&gt;"")+('Dvd Calendar'!$V$962=TYPE3)*(TYPE3&lt;&gt;"")+('Dvd Calendar'!$V$962=TYPE4)*(TYPE4&lt;&gt;"")+('Dvd Calendar'!$V$962=SPECIAL_LBL)*(INC_SPECIALS="Y"))=0,"",'Dvd Calendar'!$V$960)))</f>
        <v/>
      </c>
      <c r="U98" s="106">
        <f>IF(EW98="","",IF(ISNUMBER('Dvd Calendar'!$W$960)=FALSE,"",IF((('Dvd Calendar'!$W$962=TYPE1)*(TYPE1&lt;&gt;"")+('Dvd Calendar'!$W$962=TYPE2)*(TYPE2&lt;&gt;"")+('Dvd Calendar'!$W$962=TYPE3)*(TYPE3&lt;&gt;"")+('Dvd Calendar'!$W$962=TYPE4)*(TYPE4&lt;&gt;"")+('Dvd Calendar'!$W$962=SPECIAL_LBL)*(INC_SPECIALS="Y"))=0,"",'Dvd Calendar'!$W$960)))</f>
        <v/>
      </c>
      <c r="V98" s="106">
        <f>IF(EX98="","",IF(ISNUMBER('Dvd Calendar'!$X$960)=FALSE,"",IF((('Dvd Calendar'!$X$962=TYPE1)*(TYPE1&lt;&gt;"")+('Dvd Calendar'!$X$962=TYPE2)*(TYPE2&lt;&gt;"")+('Dvd Calendar'!$X$962=TYPE3)*(TYPE3&lt;&gt;"")+('Dvd Calendar'!$X$962=TYPE4)*(TYPE4&lt;&gt;"")+('Dvd Calendar'!$X$962=SPECIAL_LBL)*(INC_SPECIALS="Y"))=0,"",'Dvd Calendar'!$X$960)))</f>
        <v/>
      </c>
      <c r="W98" s="106">
        <f>IF(EY98="","",IF(ISNUMBER('Dvd Calendar'!$Y$960)=FALSE,"",IF((('Dvd Calendar'!$Y$962=TYPE1)*(TYPE1&lt;&gt;"")+('Dvd Calendar'!$Y$962=TYPE2)*(TYPE2&lt;&gt;"")+('Dvd Calendar'!$Y$962=TYPE3)*(TYPE3&lt;&gt;"")+('Dvd Calendar'!$Y$962=TYPE4)*(TYPE4&lt;&gt;"")+('Dvd Calendar'!$Y$962=SPECIAL_LBL)*(INC_SPECIALS="Y"))=0,"",'Dvd Calendar'!$Y$960)))</f>
        <v/>
      </c>
      <c r="X98" s="106">
        <f>IF(EZ98="","",IF(ISNUMBER('Dvd Calendar'!$Z$960)=FALSE,"",IF((('Dvd Calendar'!$Z$962=TYPE1)*(TYPE1&lt;&gt;"")+('Dvd Calendar'!$Z$962=TYPE2)*(TYPE2&lt;&gt;"")+('Dvd Calendar'!$Z$962=TYPE3)*(TYPE3&lt;&gt;"")+('Dvd Calendar'!$Z$962=TYPE4)*(TYPE4&lt;&gt;"")+('Dvd Calendar'!$Z$962=SPECIAL_LBL)*(INC_SPECIALS="Y"))=0,"",'Dvd Calendar'!$Z$960)))</f>
        <v/>
      </c>
      <c r="Y98" s="106">
        <f>IF(FA98="","",IF(ISNUMBER('Dvd Calendar'!$AA$960)=FALSE,"",IF((('Dvd Calendar'!$AA$962=TYPE1)*(TYPE1&lt;&gt;"")+('Dvd Calendar'!$AA$962=TYPE2)*(TYPE2&lt;&gt;"")+('Dvd Calendar'!$AA$962=TYPE3)*(TYPE3&lt;&gt;"")+('Dvd Calendar'!$AA$962=TYPE4)*(TYPE4&lt;&gt;"")+('Dvd Calendar'!$AA$962=SPECIAL_LBL)*(INC_SPECIALS="Y"))=0,"",'Dvd Calendar'!$AA$960)))</f>
        <v/>
      </c>
      <c r="Z98" s="106">
        <f>IF(FB98="","",IF(ISNUMBER('Dvd Calendar'!$AB$960)=FALSE,"",IF((('Dvd Calendar'!$AB$962=TYPE1)*(TYPE1&lt;&gt;"")+('Dvd Calendar'!$AB$962=TYPE2)*(TYPE2&lt;&gt;"")+('Dvd Calendar'!$AB$962=TYPE3)*(TYPE3&lt;&gt;"")+('Dvd Calendar'!$AB$962=TYPE4)*(TYPE4&lt;&gt;"")+('Dvd Calendar'!$AB$962=SPECIAL_LBL)*(INC_SPECIALS="Y"))=0,"",'Dvd Calendar'!$AB$960)))</f>
        <v/>
      </c>
      <c r="AA98" s="106">
        <f>IF(FC98="","",IF(ISNUMBER('Dvd Calendar'!$AC$960)=FALSE,"",IF((('Dvd Calendar'!$AC$962=TYPE1)*(TYPE1&lt;&gt;"")+('Dvd Calendar'!$AC$962=TYPE2)*(TYPE2&lt;&gt;"")+('Dvd Calendar'!$AC$962=TYPE3)*(TYPE3&lt;&gt;"")+('Dvd Calendar'!$AC$962=TYPE4)*(TYPE4&lt;&gt;"")+('Dvd Calendar'!$AC$962=SPECIAL_LBL)*(INC_SPECIALS="Y"))=0,"",'Dvd Calendar'!$AC$960)))</f>
        <v/>
      </c>
      <c r="AB98" s="106">
        <f>IF(FD98="","",IF(ISNUMBER('Dvd Calendar'!$AD$960)=FALSE,"",IF((('Dvd Calendar'!$AD$962=TYPE1)*(TYPE1&lt;&gt;"")+('Dvd Calendar'!$AD$962=TYPE2)*(TYPE2&lt;&gt;"")+('Dvd Calendar'!$AD$962=TYPE3)*(TYPE3&lt;&gt;"")+('Dvd Calendar'!$AD$962=TYPE4)*(TYPE4&lt;&gt;"")+('Dvd Calendar'!$AD$962=SPECIAL_LBL)*(INC_SPECIALS="Y"))=0,"",'Dvd Calendar'!$AD$960)))</f>
        <v/>
      </c>
      <c r="AC98" s="106">
        <f>IF(FE98="","",IF(ISNUMBER('Dvd Calendar'!$AE$960)=FALSE,"",IF((('Dvd Calendar'!$AE$962=TYPE1)*(TYPE1&lt;&gt;"")+('Dvd Calendar'!$AE$962=TYPE2)*(TYPE2&lt;&gt;"")+('Dvd Calendar'!$AE$962=TYPE3)*(TYPE3&lt;&gt;"")+('Dvd Calendar'!$AE$962=TYPE4)*(TYPE4&lt;&gt;"")+('Dvd Calendar'!$AE$962=SPECIAL_LBL)*(INC_SPECIALS="Y"))=0,"",'Dvd Calendar'!$AE$960)))</f>
        <v/>
      </c>
      <c r="AD98" s="106">
        <f>IF(FF98="","",IF(ISNUMBER('Dvd Calendar'!$AF$960)=FALSE,"",IF((('Dvd Calendar'!$AF$962=TYPE1)*(TYPE1&lt;&gt;"")+('Dvd Calendar'!$AF$962=TYPE2)*(TYPE2&lt;&gt;"")+('Dvd Calendar'!$AF$962=TYPE3)*(TYPE3&lt;&gt;"")+('Dvd Calendar'!$AF$962=TYPE4)*(TYPE4&lt;&gt;"")+('Dvd Calendar'!$AF$962=SPECIAL_LBL)*(INC_SPECIALS="Y"))=0,"",'Dvd Calendar'!$AF$960)))</f>
        <v/>
      </c>
      <c r="AE98" s="106">
        <f>IF(FG98="","",IF(ISNUMBER('Dvd Calendar'!$AG$960)=FALSE,"",IF((('Dvd Calendar'!$AG$962=TYPE1)*(TYPE1&lt;&gt;"")+('Dvd Calendar'!$AG$962=TYPE2)*(TYPE2&lt;&gt;"")+('Dvd Calendar'!$AG$962=TYPE3)*(TYPE3&lt;&gt;"")+('Dvd Calendar'!$AG$962=TYPE4)*(TYPE4&lt;&gt;"")+('Dvd Calendar'!$AG$962=SPECIAL_LBL)*(INC_SPECIALS="Y"))=0,"",'Dvd Calendar'!$AG$960)))</f>
        <v/>
      </c>
      <c r="AF98" s="106">
        <f>IF(FH98="","",IF(ISNUMBER('Dvd Calendar'!$AH$960)=FALSE,"",IF((('Dvd Calendar'!$AH$962=TYPE1)*(TYPE1&lt;&gt;"")+('Dvd Calendar'!$AH$962=TYPE2)*(TYPE2&lt;&gt;"")+('Dvd Calendar'!$AH$962=TYPE3)*(TYPE3&lt;&gt;"")+('Dvd Calendar'!$AH$962=TYPE4)*(TYPE4&lt;&gt;"")+('Dvd Calendar'!$AH$962=SPECIAL_LBL)*(INC_SPECIALS="Y"))=0,"",'Dvd Calendar'!$AH$960)))</f>
        <v/>
      </c>
      <c r="AG98" s="106">
        <f>IF(FI98="","",IF(ISNUMBER('Dvd Calendar'!$AI$960)=FALSE,"",IF((('Dvd Calendar'!$AI$962=TYPE1)*(TYPE1&lt;&gt;"")+('Dvd Calendar'!$AI$962=TYPE2)*(TYPE2&lt;&gt;"")+('Dvd Calendar'!$AI$962=TYPE3)*(TYPE3&lt;&gt;"")+('Dvd Calendar'!$AI$962=TYPE4)*(TYPE4&lt;&gt;"")+('Dvd Calendar'!$AI$962=SPECIAL_LBL)*(INC_SPECIALS="Y"))=0,"",'Dvd Calendar'!$AI$960)))</f>
        <v/>
      </c>
      <c r="AH98" s="106">
        <f>IF(FJ98="","",IF(ISNUMBER('Dvd Calendar'!$AJ$960)=FALSE,"",IF((('Dvd Calendar'!$AJ$962=TYPE1)*(TYPE1&lt;&gt;"")+('Dvd Calendar'!$AJ$962=TYPE2)*(TYPE2&lt;&gt;"")+('Dvd Calendar'!$AJ$962=TYPE3)*(TYPE3&lt;&gt;"")+('Dvd Calendar'!$AJ$962=TYPE4)*(TYPE4&lt;&gt;"")+('Dvd Calendar'!$AJ$962=SPECIAL_LBL)*(INC_SPECIALS="Y"))=0,"",'Dvd Calendar'!$AJ$960)))</f>
        <v/>
      </c>
      <c r="AI98" s="106">
        <f>IF(FK98="","",IF(ISNUMBER('Dvd Calendar'!$AK$960)=FALSE,"",IF((('Dvd Calendar'!$AK$962=TYPE1)*(TYPE1&lt;&gt;"")+('Dvd Calendar'!$AK$962=TYPE2)*(TYPE2&lt;&gt;"")+('Dvd Calendar'!$AK$962=TYPE3)*(TYPE3&lt;&gt;"")+('Dvd Calendar'!$AK$962=TYPE4)*(TYPE4&lt;&gt;"")+('Dvd Calendar'!$AK$962=SPECIAL_LBL)*(INC_SPECIALS="Y"))=0,"",'Dvd Calendar'!$AK$960)))</f>
        <v/>
      </c>
      <c r="AJ98" s="106">
        <f>IF(FL98="","",IF(ISNUMBER('Dvd Calendar'!$AL$960)=FALSE,"",IF((('Dvd Calendar'!$AL$962=TYPE1)*(TYPE1&lt;&gt;"")+('Dvd Calendar'!$AL$962=TYPE2)*(TYPE2&lt;&gt;"")+('Dvd Calendar'!$AL$962=TYPE3)*(TYPE3&lt;&gt;"")+('Dvd Calendar'!$AL$962=TYPE4)*(TYPE4&lt;&gt;"")+('Dvd Calendar'!$AL$962=SPECIAL_LBL)*(INC_SPECIALS="Y"))=0,"",'Dvd Calendar'!$AL$960)))</f>
        <v/>
      </c>
      <c r="AK98" s="106">
        <f>IF(FM98="","",IF(ISNUMBER('Dvd Calendar'!$AM$960)=FALSE,"",IF((('Dvd Calendar'!$AM$962=TYPE1)*(TYPE1&lt;&gt;"")+('Dvd Calendar'!$AM$962=TYPE2)*(TYPE2&lt;&gt;"")+('Dvd Calendar'!$AM$962=TYPE3)*(TYPE3&lt;&gt;"")+('Dvd Calendar'!$AM$962=TYPE4)*(TYPE4&lt;&gt;"")+('Dvd Calendar'!$AM$962=SPECIAL_LBL)*(INC_SPECIALS="Y"))=0,"",'Dvd Calendar'!$AM$960)))</f>
        <v/>
      </c>
      <c r="AL98" s="106">
        <f>IF(FN98="","",IF(ISNUMBER('Dvd Calendar'!$AN$960)=FALSE,"",IF((('Dvd Calendar'!$AN$962=TYPE1)*(TYPE1&lt;&gt;"")+('Dvd Calendar'!$AN$962=TYPE2)*(TYPE2&lt;&gt;"")+('Dvd Calendar'!$AN$962=TYPE3)*(TYPE3&lt;&gt;"")+('Dvd Calendar'!$AN$962=TYPE4)*(TYPE4&lt;&gt;"")+('Dvd Calendar'!$AN$962=SPECIAL_LBL)*(INC_SPECIALS="Y"))=0,"",'Dvd Calendar'!$AN$960)))</f>
        <v/>
      </c>
      <c r="AM98" s="106">
        <f>IF(FO98="","",IF(ISNUMBER('Dvd Calendar'!$AO$960)=FALSE,"",IF((('Dvd Calendar'!$AO$962=TYPE1)*(TYPE1&lt;&gt;"")+('Dvd Calendar'!$AO$962=TYPE2)*(TYPE2&lt;&gt;"")+('Dvd Calendar'!$AO$962=TYPE3)*(TYPE3&lt;&gt;"")+('Dvd Calendar'!$AO$962=TYPE4)*(TYPE4&lt;&gt;"")+('Dvd Calendar'!$AO$962=SPECIAL_LBL)*(INC_SPECIALS="Y"))=0,"",'Dvd Calendar'!$AO$960)))</f>
        <v/>
      </c>
      <c r="AN98" s="106">
        <f>IF(FP98="","",IF(ISNUMBER('Dvd Calendar'!$AP$960)=FALSE,"",IF((('Dvd Calendar'!$AP$962=TYPE1)*(TYPE1&lt;&gt;"")+('Dvd Calendar'!$AP$962=TYPE2)*(TYPE2&lt;&gt;"")+('Dvd Calendar'!$AP$962=TYPE3)*(TYPE3&lt;&gt;"")+('Dvd Calendar'!$AP$962=TYPE4)*(TYPE4&lt;&gt;"")+('Dvd Calendar'!$AP$962=SPECIAL_LBL)*(INC_SPECIALS="Y"))=0,"",'Dvd Calendar'!$AP$960)))</f>
        <v/>
      </c>
      <c r="AO98" s="106">
        <f>IF(FQ98="","",IF(ISNUMBER('Dvd Calendar'!$AQ$960)=FALSE,"",IF((('Dvd Calendar'!$AQ$962=TYPE1)*(TYPE1&lt;&gt;"")+('Dvd Calendar'!$AQ$962=TYPE2)*(TYPE2&lt;&gt;"")+('Dvd Calendar'!$AQ$962=TYPE3)*(TYPE3&lt;&gt;"")+('Dvd Calendar'!$AQ$962=TYPE4)*(TYPE4&lt;&gt;"")+('Dvd Calendar'!$AQ$962=SPECIAL_LBL)*(INC_SPECIALS="Y"))=0,"",'Dvd Calendar'!$AQ$960)))</f>
        <v/>
      </c>
      <c r="AP98" s="106">
        <f>IF(FR98="","",IF(ISNUMBER('Dvd Calendar'!$AR$960)=FALSE,"",IF((('Dvd Calendar'!$AR$962=TYPE1)*(TYPE1&lt;&gt;"")+('Dvd Calendar'!$AR$962=TYPE2)*(TYPE2&lt;&gt;"")+('Dvd Calendar'!$AR$962=TYPE3)*(TYPE3&lt;&gt;"")+('Dvd Calendar'!$AR$962=TYPE4)*(TYPE4&lt;&gt;"")+('Dvd Calendar'!$AR$962=SPECIAL_LBL)*(INC_SPECIALS="Y"))=0,"",'Dvd Calendar'!$AR$960)))</f>
        <v/>
      </c>
      <c r="AQ98" s="106">
        <f>IF(FS98="","",IF(ISNUMBER('Dvd Calendar'!$E$965)=FALSE,"",'Dvd Calendar'!$E$965))</f>
        <v/>
      </c>
      <c r="AR98" s="106">
        <f>IF(FT98="","",IF(ISNUMBER('Dvd Calendar'!$F$965)=FALSE,"",'Dvd Calendar'!$F$965))</f>
        <v/>
      </c>
      <c r="AS98" s="106">
        <f>IF(FU98="","",IF(ISNUMBER('Dvd Calendar'!$G$965)=FALSE,"",'Dvd Calendar'!$G$965))</f>
        <v/>
      </c>
      <c r="AT98" s="106">
        <f>IF(FV98="","",IF(ISNUMBER('Dvd Calendar'!$H$965)=FALSE,"",'Dvd Calendar'!$H$965))</f>
        <v/>
      </c>
      <c r="AU98" s="106">
        <f>IF(FW98="","",IF(ISNUMBER('Dvd Calendar'!$I$965)=FALSE,"",'Dvd Calendar'!$I$965))</f>
        <v/>
      </c>
      <c r="AV98" s="106">
        <f>IF(FX98="","",IF(ISNUMBER('Dvd Calendar'!$J$965)=FALSE,"",'Dvd Calendar'!$J$965))</f>
        <v/>
      </c>
      <c r="AW98" s="106">
        <f>IF(FY98="","",IF(ISNUMBER('Dvd Calendar'!$K$965)=FALSE,"",'Dvd Calendar'!$K$965))</f>
        <v/>
      </c>
      <c r="AX98" s="106">
        <f>IF(FZ98="","",IF(ISNUMBER('Dvd Calendar'!$L$965)=FALSE,"",'Dvd Calendar'!$L$965))</f>
        <v/>
      </c>
      <c r="AY98" s="106">
        <f>IF(GA98="","",IF(ISNUMBER('Dvd Calendar'!$M$965)=FALSE,"",'Dvd Calendar'!$M$965))</f>
        <v/>
      </c>
      <c r="AZ98" s="106">
        <f>IF(GB98="","",IF(ISNUMBER('Dvd Calendar'!$N$965)=FALSE,"",'Dvd Calendar'!$N$965))</f>
        <v/>
      </c>
      <c r="BA98" s="106">
        <f>IF(GC98="","",IF(ISNUMBER('Dvd Calendar'!$O$965)=FALSE,"",'Dvd Calendar'!$O$965))</f>
        <v/>
      </c>
      <c r="BB98" s="106">
        <f>IF(GD98="","",IF(ISNUMBER('Dvd Calendar'!$P$965)=FALSE,"",'Dvd Calendar'!$P$965))</f>
        <v/>
      </c>
      <c r="BC98" s="106">
        <f>IF(GE98="","",IF(ISNUMBER('Dvd Calendar'!$Q$965)=FALSE,"",'Dvd Calendar'!$Q$965))</f>
        <v/>
      </c>
      <c r="BD98" s="106">
        <f>IF(GF98="","",IF(ISNUMBER('Dvd Calendar'!$R$965)=FALSE,"",'Dvd Calendar'!$R$965))</f>
        <v/>
      </c>
      <c r="BE98" s="106">
        <f>IF(GG98="","",IF(ISNUMBER('Dvd Calendar'!$S$965)=FALSE,"",'Dvd Calendar'!$S$965))</f>
        <v/>
      </c>
      <c r="BF98" s="106">
        <f>IF(GH98="","",IF(ISNUMBER('Dvd Calendar'!$T$965)=FALSE,"",'Dvd Calendar'!$T$965))</f>
        <v/>
      </c>
      <c r="BG98" s="106">
        <f>IF(GI98="","",IF(ISNUMBER('Dvd Calendar'!$U$965)=FALSE,"",'Dvd Calendar'!$U$965))</f>
        <v/>
      </c>
      <c r="BH98" s="106">
        <f>IF(GJ98="","",IF(ISNUMBER('Dvd Calendar'!$V$965)=FALSE,"",'Dvd Calendar'!$V$965))</f>
        <v/>
      </c>
      <c r="BI98" s="106">
        <f>IF(GK98="","",IF(ISNUMBER('Dvd Calendar'!$W$965)=FALSE,"",'Dvd Calendar'!$W$965))</f>
        <v/>
      </c>
      <c r="BJ98" s="106">
        <f>IF(GL98="","",IF(ISNUMBER('Dvd Calendar'!$X$965)=FALSE,"",'Dvd Calendar'!$X$965))</f>
        <v/>
      </c>
      <c r="BK98" s="106">
        <f>IF(GM98="","",IF(ISNUMBER('Dvd Calendar'!$Y$965)=FALSE,"",'Dvd Calendar'!$Y$965))</f>
        <v/>
      </c>
      <c r="BL98" s="106">
        <f>IF(GN98="","",IF(ISNUMBER('Dvd Calendar'!$Z$965)=FALSE,"",'Dvd Calendar'!$Z$965))</f>
        <v/>
      </c>
      <c r="BM98" s="106">
        <f>IF(GO98="","",IF(ISNUMBER('Dvd Calendar'!$AA$965)=FALSE,"",'Dvd Calendar'!$AA$965))</f>
        <v/>
      </c>
      <c r="BN98" s="106">
        <f>IF(GP98="","",IF(ISNUMBER('Dvd Calendar'!$AB$965)=FALSE,"",'Dvd Calendar'!$AB$965))</f>
        <v/>
      </c>
      <c r="BO98" s="106">
        <f>IF(GQ98="","",IF(ISNUMBER('Dvd Calendar'!$AC$965)=FALSE,"",'Dvd Calendar'!$AC$965))</f>
        <v/>
      </c>
      <c r="BQ98" s="106">
        <f>IF(C98="","",IFERROR(C98*HSI!$B$93*HSI!$G$93/HSI!$B$3,""))</f>
        <v/>
      </c>
      <c r="BR98" s="106">
        <f>IF(D98="","",IFERROR(D98*HSI!$B$93*HSI!$G$93/HSI!$B$3,""))</f>
        <v/>
      </c>
      <c r="BS98" s="106">
        <f>IF(E98="","",IFERROR(E98*HSI!$B$93*HSI!$G$93/HSI!$B$3,""))</f>
        <v/>
      </c>
      <c r="BT98" s="106">
        <f>IF(F98="","",IFERROR(F98*HSI!$B$93*HSI!$G$93/HSI!$B$3,""))</f>
        <v/>
      </c>
      <c r="BU98" s="106">
        <f>IF(G98="","",IFERROR(G98*HSI!$B$93*HSI!$G$93/HSI!$B$3,""))</f>
        <v/>
      </c>
      <c r="BV98" s="106">
        <f>IF(H98="","",IFERROR(H98*HSI!$B$93*HSI!$G$93/HSI!$B$3,""))</f>
        <v/>
      </c>
      <c r="BW98" s="106">
        <f>IF(I98="","",IFERROR(I98*HSI!$B$93*HSI!$G$93/HSI!$B$3,""))</f>
        <v/>
      </c>
      <c r="BX98" s="106">
        <f>IF(J98="","",IFERROR(J98*HSI!$B$93*HSI!$G$93/HSI!$B$3,""))</f>
        <v/>
      </c>
      <c r="BY98" s="106">
        <f>IF(K98="","",IFERROR(K98*HSI!$B$93*HSI!$G$93/HSI!$B$3,""))</f>
        <v/>
      </c>
      <c r="BZ98" s="106">
        <f>IF(L98="","",IFERROR(L98*HSI!$B$93*HSI!$G$93/HSI!$B$3,""))</f>
        <v/>
      </c>
      <c r="CA98" s="106">
        <f>IF(M98="","",IFERROR(M98*HSI!$B$93*HSI!$G$93/HSI!$B$3,""))</f>
        <v/>
      </c>
      <c r="CB98" s="106">
        <f>IF(N98="","",IFERROR(N98*HSI!$B$93*HSI!$G$93/HSI!$B$3,""))</f>
        <v/>
      </c>
      <c r="CC98" s="106">
        <f>IF(O98="","",IFERROR(O98*HSI!$B$93*HSI!$G$93/HSI!$B$3,""))</f>
        <v/>
      </c>
      <c r="CD98" s="106">
        <f>IF(P98="","",IFERROR(P98*HSI!$B$93*HSI!$G$93/HSI!$B$3,""))</f>
        <v/>
      </c>
      <c r="CE98" s="106">
        <f>IF(Q98="","",IFERROR(Q98*HSI!$B$93*HSI!$G$93/HSI!$B$3,""))</f>
        <v/>
      </c>
      <c r="CF98" s="106">
        <f>IF(R98="","",IFERROR(R98*HSI!$B$93*HSI!$G$93/HSI!$B$3,""))</f>
        <v/>
      </c>
      <c r="CG98" s="106">
        <f>IF(S98="","",IFERROR(S98*HSI!$B$93*HSI!$G$93/HSI!$B$3,""))</f>
        <v/>
      </c>
      <c r="CH98" s="106">
        <f>IF(T98="","",IFERROR(T98*HSI!$B$93*HSI!$G$93/HSI!$B$3,""))</f>
        <v/>
      </c>
      <c r="CI98" s="106">
        <f>IF(U98="","",IFERROR(U98*HSI!$B$93*HSI!$G$93/HSI!$B$3,""))</f>
        <v/>
      </c>
      <c r="CJ98" s="106">
        <f>IF(V98="","",IFERROR(V98*HSI!$B$93*HSI!$G$93/HSI!$B$3,""))</f>
        <v/>
      </c>
      <c r="CK98" s="106">
        <f>IF(W98="","",IFERROR(W98*HSI!$B$93*HSI!$G$93/HSI!$B$3,""))</f>
        <v/>
      </c>
      <c r="CL98" s="106">
        <f>IF(X98="","",IFERROR(X98*HSI!$B$93*HSI!$G$93/HSI!$B$3,""))</f>
        <v/>
      </c>
      <c r="CM98" s="106">
        <f>IF(Y98="","",IFERROR(Y98*HSI!$B$93*HSI!$G$93/HSI!$B$3,""))</f>
        <v/>
      </c>
      <c r="CN98" s="106">
        <f>IF(Z98="","",IFERROR(Z98*HSI!$B$93*HSI!$G$93/HSI!$B$3,""))</f>
        <v/>
      </c>
      <c r="CO98" s="106">
        <f>IF(AA98="","",IFERROR(AA98*HSI!$B$93*HSI!$G$93/HSI!$B$3,""))</f>
        <v/>
      </c>
      <c r="CP98" s="106">
        <f>IF(AB98="","",IFERROR(AB98*HSI!$B$93*HSI!$G$93/HSI!$B$3,""))</f>
        <v/>
      </c>
      <c r="CQ98" s="106">
        <f>IF(AC98="","",IFERROR(AC98*HSI!$B$93*HSI!$G$93/HSI!$B$3,""))</f>
        <v/>
      </c>
      <c r="CR98" s="106">
        <f>IF(AD98="","",IFERROR(AD98*HSI!$B$93*HSI!$G$93/HSI!$B$3,""))</f>
        <v/>
      </c>
      <c r="CS98" s="106">
        <f>IF(AE98="","",IFERROR(AE98*HSI!$B$93*HSI!$G$93/HSI!$B$3,""))</f>
        <v/>
      </c>
      <c r="CT98" s="106">
        <f>IF(AF98="","",IFERROR(AF98*HSI!$B$93*HSI!$G$93/HSI!$B$3,""))</f>
        <v/>
      </c>
      <c r="CU98" s="106">
        <f>IF(AG98="","",IFERROR(AG98*HSI!$B$93*HSI!$G$93/HSI!$B$3,""))</f>
        <v/>
      </c>
      <c r="CV98" s="106">
        <f>IF(AH98="","",IFERROR(AH98*HSI!$B$93*HSI!$G$93/HSI!$B$3,""))</f>
        <v/>
      </c>
      <c r="CW98" s="106">
        <f>IF(AI98="","",IFERROR(AI98*HSI!$B$93*HSI!$G$93/HSI!$B$3,""))</f>
        <v/>
      </c>
      <c r="CX98" s="106">
        <f>IF(AJ98="","",IFERROR(AJ98*HSI!$B$93*HSI!$G$93/HSI!$B$3,""))</f>
        <v/>
      </c>
      <c r="CY98" s="106">
        <f>IF(AK98="","",IFERROR(AK98*HSI!$B$93*HSI!$G$93/HSI!$B$3,""))</f>
        <v/>
      </c>
      <c r="CZ98" s="106">
        <f>IF(AL98="","",IFERROR(AL98*HSI!$B$93*HSI!$G$93/HSI!$B$3,""))</f>
        <v/>
      </c>
      <c r="DA98" s="106">
        <f>IF(AM98="","",IFERROR(AM98*HSI!$B$93*HSI!$G$93/HSI!$B$3,""))</f>
        <v/>
      </c>
      <c r="DB98" s="106">
        <f>IF(AN98="","",IFERROR(AN98*HSI!$B$93*HSI!$G$93/HSI!$B$3,""))</f>
        <v/>
      </c>
      <c r="DC98" s="106">
        <f>IF(AO98="","",IFERROR(AO98*HSI!$B$93*HSI!$G$93/HSI!$B$3,""))</f>
        <v/>
      </c>
      <c r="DD98" s="106">
        <f>IF(AP98="","",IFERROR(AP98*HSI!$B$93*HSI!$G$93/HSI!$B$3,""))</f>
        <v/>
      </c>
      <c r="DE98" s="106">
        <f>IF(AQ98="","",IFERROR(AQ98*HSI!$B$93*HSI!$G$93/HSI!$B$3,""))</f>
        <v/>
      </c>
      <c r="DF98" s="106">
        <f>IF(AR98="","",IFERROR(AR98*HSI!$B$93*HSI!$G$93/HSI!$B$3,""))</f>
        <v/>
      </c>
      <c r="DG98" s="106">
        <f>IF(AS98="","",IFERROR(AS98*HSI!$B$93*HSI!$G$93/HSI!$B$3,""))</f>
        <v/>
      </c>
      <c r="DH98" s="106">
        <f>IF(AT98="","",IFERROR(AT98*HSI!$B$93*HSI!$G$93/HSI!$B$3,""))</f>
        <v/>
      </c>
      <c r="DI98" s="106">
        <f>IF(AU98="","",IFERROR(AU98*HSI!$B$93*HSI!$G$93/HSI!$B$3,""))</f>
        <v/>
      </c>
      <c r="DJ98" s="106">
        <f>IF(AV98="","",IFERROR(AV98*HSI!$B$93*HSI!$G$93/HSI!$B$3,""))</f>
        <v/>
      </c>
      <c r="DK98" s="106">
        <f>IF(AW98="","",IFERROR(AW98*HSI!$B$93*HSI!$G$93/HSI!$B$3,""))</f>
        <v/>
      </c>
      <c r="DL98" s="106">
        <f>IF(AX98="","",IFERROR(AX98*HSI!$B$93*HSI!$G$93/HSI!$B$3,""))</f>
        <v/>
      </c>
      <c r="DM98" s="106">
        <f>IF(AY98="","",IFERROR(AY98*HSI!$B$93*HSI!$G$93/HSI!$B$3,""))</f>
        <v/>
      </c>
      <c r="DN98" s="106">
        <f>IF(AZ98="","",IFERROR(AZ98*HSI!$B$93*HSI!$G$93/HSI!$B$3,""))</f>
        <v/>
      </c>
      <c r="DO98" s="106">
        <f>IF(BA98="","",IFERROR(BA98*HSI!$B$93*HSI!$G$93/HSI!$B$3,""))</f>
        <v/>
      </c>
      <c r="DP98" s="106">
        <f>IF(BB98="","",IFERROR(BB98*HSI!$B$93*HSI!$G$93/HSI!$B$3,""))</f>
        <v/>
      </c>
      <c r="DQ98" s="106">
        <f>IF(BC98="","",IFERROR(BC98*HSI!$B$93*HSI!$G$93/HSI!$B$3,""))</f>
        <v/>
      </c>
      <c r="DR98" s="106">
        <f>IF(BD98="","",IFERROR(BD98*HSI!$B$93*HSI!$G$93/HSI!$B$3,""))</f>
        <v/>
      </c>
      <c r="DS98" s="106">
        <f>IF(BE98="","",IFERROR(BE98*HSI!$B$93*HSI!$G$93/HSI!$B$3,""))</f>
        <v/>
      </c>
      <c r="DT98" s="106">
        <f>IF(BF98="","",IFERROR(BF98*HSI!$B$93*HSI!$G$93/HSI!$B$3,""))</f>
        <v/>
      </c>
      <c r="DU98" s="106">
        <f>IF(BG98="","",IFERROR(BG98*HSI!$B$93*HSI!$G$93/HSI!$B$3,""))</f>
        <v/>
      </c>
      <c r="DV98" s="106">
        <f>IF(BH98="","",IFERROR(BH98*HSI!$B$93*HSI!$G$93/HSI!$B$3,""))</f>
        <v/>
      </c>
      <c r="DW98" s="106">
        <f>IF(BI98="","",IFERROR(BI98*HSI!$B$93*HSI!$G$93/HSI!$B$3,""))</f>
        <v/>
      </c>
      <c r="DX98" s="106">
        <f>IF(BJ98="","",IFERROR(BJ98*HSI!$B$93*HSI!$G$93/HSI!$B$3,""))</f>
        <v/>
      </c>
      <c r="DY98" s="106">
        <f>IF(BK98="","",IFERROR(BK98*HSI!$B$93*HSI!$G$93/HSI!$B$3,""))</f>
        <v/>
      </c>
      <c r="DZ98" s="106">
        <f>IF(BL98="","",IFERROR(BL98*HSI!$B$93*HSI!$G$93/HSI!$B$3,""))</f>
        <v/>
      </c>
      <c r="EA98" s="106">
        <f>IF(BM98="","",IFERROR(BM98*HSI!$B$93*HSI!$G$93/HSI!$B$3,""))</f>
        <v/>
      </c>
      <c r="EB98" s="106">
        <f>IF(BN98="","",IFERROR(BN98*HSI!$B$93*HSI!$G$93/HSI!$B$3,""))</f>
        <v/>
      </c>
      <c r="EC98" s="106">
        <f>IF(BO98="","",IFERROR(BO98*HSI!$B$93*HSI!$G$93/HSI!$B$3,""))</f>
        <v/>
      </c>
      <c r="EE98" s="35">
        <f>IF(N('Dvd Calendar'!$E$957)=0,"",IF(('Dvd Calendar'!$E$957&gt;=GRID_FROM)*('Dvd Calendar'!$E$957&lt;=GRID_TO)*('Dvd Calendar'!$E$957&lt;=VAL_DATE)=0,"",'Dvd Calendar'!$E$957*1000000000+ISNUMBER('Dvd Calendar'!$E$960)*100000000+('Dvd Calendar'!$E$962=SPECIAL_LBL)*10000000+0*1000000+87*1000+1))</f>
        <v/>
      </c>
      <c r="EF98" s="35">
        <f>IF(N('Dvd Calendar'!$F$957)=0,"",IF(('Dvd Calendar'!$F$957&gt;=GRID_FROM)*('Dvd Calendar'!$F$957&lt;=GRID_TO)*('Dvd Calendar'!$F$957&lt;=VAL_DATE)=0,"",'Dvd Calendar'!$F$957*1000000000+ISNUMBER('Dvd Calendar'!$F$960)*100000000+('Dvd Calendar'!$F$962=SPECIAL_LBL)*10000000+0*1000000+87*1000+2))</f>
        <v/>
      </c>
      <c r="EG98" s="35">
        <f>IF(N('Dvd Calendar'!$G$957)=0,"",IF(('Dvd Calendar'!$G$957&gt;=GRID_FROM)*('Dvd Calendar'!$G$957&lt;=GRID_TO)*('Dvd Calendar'!$G$957&lt;=VAL_DATE)=0,"",'Dvd Calendar'!$G$957*1000000000+ISNUMBER('Dvd Calendar'!$G$960)*100000000+('Dvd Calendar'!$G$962=SPECIAL_LBL)*10000000+0*1000000+87*1000+3))</f>
        <v/>
      </c>
      <c r="EH98" s="35">
        <f>IF(N('Dvd Calendar'!$H$957)=0,"",IF(('Dvd Calendar'!$H$957&gt;=GRID_FROM)*('Dvd Calendar'!$H$957&lt;=GRID_TO)*('Dvd Calendar'!$H$957&lt;=VAL_DATE)=0,"",'Dvd Calendar'!$H$957*1000000000+ISNUMBER('Dvd Calendar'!$H$960)*100000000+('Dvd Calendar'!$H$962=SPECIAL_LBL)*10000000+0*1000000+87*1000+4))</f>
        <v/>
      </c>
      <c r="EI98" s="35">
        <f>IF(N('Dvd Calendar'!$I$957)=0,"",IF(('Dvd Calendar'!$I$957&gt;=GRID_FROM)*('Dvd Calendar'!$I$957&lt;=GRID_TO)*('Dvd Calendar'!$I$957&lt;=VAL_DATE)=0,"",'Dvd Calendar'!$I$957*1000000000+ISNUMBER('Dvd Calendar'!$I$960)*100000000+('Dvd Calendar'!$I$962=SPECIAL_LBL)*10000000+0*1000000+87*1000+5))</f>
        <v/>
      </c>
      <c r="EJ98" s="35">
        <f>IF(N('Dvd Calendar'!$J$957)=0,"",IF(('Dvd Calendar'!$J$957&gt;=GRID_FROM)*('Dvd Calendar'!$J$957&lt;=GRID_TO)*('Dvd Calendar'!$J$957&lt;=VAL_DATE)=0,"",'Dvd Calendar'!$J$957*1000000000+ISNUMBER('Dvd Calendar'!$J$960)*100000000+('Dvd Calendar'!$J$962=SPECIAL_LBL)*10000000+0*1000000+87*1000+6))</f>
        <v/>
      </c>
      <c r="EK98" s="35">
        <f>IF(N('Dvd Calendar'!$K$957)=0,"",IF(('Dvd Calendar'!$K$957&gt;=GRID_FROM)*('Dvd Calendar'!$K$957&lt;=GRID_TO)*('Dvd Calendar'!$K$957&lt;=VAL_DATE)=0,"",'Dvd Calendar'!$K$957*1000000000+ISNUMBER('Dvd Calendar'!$K$960)*100000000+('Dvd Calendar'!$K$962=SPECIAL_LBL)*10000000+0*1000000+87*1000+7))</f>
        <v/>
      </c>
      <c r="EL98" s="35">
        <f>IF(N('Dvd Calendar'!$L$957)=0,"",IF(('Dvd Calendar'!$L$957&gt;=GRID_FROM)*('Dvd Calendar'!$L$957&lt;=GRID_TO)*('Dvd Calendar'!$L$957&lt;=VAL_DATE)=0,"",'Dvd Calendar'!$L$957*1000000000+ISNUMBER('Dvd Calendar'!$L$960)*100000000+('Dvd Calendar'!$L$962=SPECIAL_LBL)*10000000+0*1000000+87*1000+8))</f>
        <v/>
      </c>
      <c r="EM98" s="35">
        <f>IF(N('Dvd Calendar'!$M$957)=0,"",IF(('Dvd Calendar'!$M$957&gt;=GRID_FROM)*('Dvd Calendar'!$M$957&lt;=GRID_TO)*('Dvd Calendar'!$M$957&lt;=VAL_DATE)=0,"",'Dvd Calendar'!$M$957*1000000000+ISNUMBER('Dvd Calendar'!$M$960)*100000000+('Dvd Calendar'!$M$962=SPECIAL_LBL)*10000000+0*1000000+87*1000+9))</f>
        <v/>
      </c>
      <c r="EN98" s="35">
        <f>IF(N('Dvd Calendar'!$N$957)=0,"",IF(('Dvd Calendar'!$N$957&gt;=GRID_FROM)*('Dvd Calendar'!$N$957&lt;=GRID_TO)*('Dvd Calendar'!$N$957&lt;=VAL_DATE)=0,"",'Dvd Calendar'!$N$957*1000000000+ISNUMBER('Dvd Calendar'!$N$960)*100000000+('Dvd Calendar'!$N$962=SPECIAL_LBL)*10000000+0*1000000+87*1000+10))</f>
        <v/>
      </c>
      <c r="EO98" s="35">
        <f>IF(N('Dvd Calendar'!$O$957)=0,"",IF(('Dvd Calendar'!$O$957&gt;=GRID_FROM)*('Dvd Calendar'!$O$957&lt;=GRID_TO)*('Dvd Calendar'!$O$957&lt;=VAL_DATE)=0,"",'Dvd Calendar'!$O$957*1000000000+ISNUMBER('Dvd Calendar'!$O$960)*100000000+('Dvd Calendar'!$O$962=SPECIAL_LBL)*10000000+0*1000000+87*1000+11))</f>
        <v/>
      </c>
      <c r="EP98" s="35">
        <f>IF(N('Dvd Calendar'!$P$957)=0,"",IF(('Dvd Calendar'!$P$957&gt;=GRID_FROM)*('Dvd Calendar'!$P$957&lt;=GRID_TO)*('Dvd Calendar'!$P$957&lt;=VAL_DATE)=0,"",'Dvd Calendar'!$P$957*1000000000+ISNUMBER('Dvd Calendar'!$P$960)*100000000+('Dvd Calendar'!$P$962=SPECIAL_LBL)*10000000+0*1000000+87*1000+12))</f>
        <v/>
      </c>
      <c r="EQ98" s="35">
        <f>IF(N('Dvd Calendar'!$Q$957)=0,"",IF(('Dvd Calendar'!$Q$957&gt;=GRID_FROM)*('Dvd Calendar'!$Q$957&lt;=GRID_TO)*('Dvd Calendar'!$Q$957&lt;=VAL_DATE)=0,"",'Dvd Calendar'!$Q$957*1000000000+ISNUMBER('Dvd Calendar'!$Q$960)*100000000+('Dvd Calendar'!$Q$962=SPECIAL_LBL)*10000000+0*1000000+87*1000+13))</f>
        <v/>
      </c>
      <c r="ER98" s="35">
        <f>IF(N('Dvd Calendar'!$R$957)=0,"",IF(('Dvd Calendar'!$R$957&gt;=GRID_FROM)*('Dvd Calendar'!$R$957&lt;=GRID_TO)*('Dvd Calendar'!$R$957&lt;=VAL_DATE)=0,"",'Dvd Calendar'!$R$957*1000000000+ISNUMBER('Dvd Calendar'!$R$960)*100000000+('Dvd Calendar'!$R$962=SPECIAL_LBL)*10000000+0*1000000+87*1000+14))</f>
        <v/>
      </c>
      <c r="ES98" s="35">
        <f>IF(N('Dvd Calendar'!$S$957)=0,"",IF(('Dvd Calendar'!$S$957&gt;=GRID_FROM)*('Dvd Calendar'!$S$957&lt;=GRID_TO)*('Dvd Calendar'!$S$957&lt;=VAL_DATE)=0,"",'Dvd Calendar'!$S$957*1000000000+ISNUMBER('Dvd Calendar'!$S$960)*100000000+('Dvd Calendar'!$S$962=SPECIAL_LBL)*10000000+0*1000000+87*1000+15))</f>
        <v/>
      </c>
      <c r="ET98" s="35">
        <f>IF(N('Dvd Calendar'!$T$957)=0,"",IF(('Dvd Calendar'!$T$957&gt;=GRID_FROM)*('Dvd Calendar'!$T$957&lt;=GRID_TO)*('Dvd Calendar'!$T$957&lt;=VAL_DATE)=0,"",'Dvd Calendar'!$T$957*1000000000+ISNUMBER('Dvd Calendar'!$T$960)*100000000+('Dvd Calendar'!$T$962=SPECIAL_LBL)*10000000+0*1000000+87*1000+16))</f>
        <v/>
      </c>
      <c r="EU98" s="35">
        <f>IF(N('Dvd Calendar'!$U$957)=0,"",IF(('Dvd Calendar'!$U$957&gt;=GRID_FROM)*('Dvd Calendar'!$U$957&lt;=GRID_TO)*('Dvd Calendar'!$U$957&lt;=VAL_DATE)=0,"",'Dvd Calendar'!$U$957*1000000000+ISNUMBER('Dvd Calendar'!$U$960)*100000000+('Dvd Calendar'!$U$962=SPECIAL_LBL)*10000000+0*1000000+87*1000+17))</f>
        <v/>
      </c>
      <c r="EV98" s="35">
        <f>IF(N('Dvd Calendar'!$V$957)=0,"",IF(('Dvd Calendar'!$V$957&gt;=GRID_FROM)*('Dvd Calendar'!$V$957&lt;=GRID_TO)*('Dvd Calendar'!$V$957&lt;=VAL_DATE)=0,"",'Dvd Calendar'!$V$957*1000000000+ISNUMBER('Dvd Calendar'!$V$960)*100000000+('Dvd Calendar'!$V$962=SPECIAL_LBL)*10000000+0*1000000+87*1000+18))</f>
        <v/>
      </c>
      <c r="EW98" s="35">
        <f>IF(N('Dvd Calendar'!$W$957)=0,"",IF(('Dvd Calendar'!$W$957&gt;=GRID_FROM)*('Dvd Calendar'!$W$957&lt;=GRID_TO)*('Dvd Calendar'!$W$957&lt;=VAL_DATE)=0,"",'Dvd Calendar'!$W$957*1000000000+ISNUMBER('Dvd Calendar'!$W$960)*100000000+('Dvd Calendar'!$W$962=SPECIAL_LBL)*10000000+0*1000000+87*1000+19))</f>
        <v/>
      </c>
      <c r="EX98" s="35">
        <f>IF(N('Dvd Calendar'!$X$957)=0,"",IF(('Dvd Calendar'!$X$957&gt;=GRID_FROM)*('Dvd Calendar'!$X$957&lt;=GRID_TO)*('Dvd Calendar'!$X$957&lt;=VAL_DATE)=0,"",'Dvd Calendar'!$X$957*1000000000+ISNUMBER('Dvd Calendar'!$X$960)*100000000+('Dvd Calendar'!$X$962=SPECIAL_LBL)*10000000+0*1000000+87*1000+20))</f>
        <v/>
      </c>
      <c r="EY98" s="35">
        <f>IF(N('Dvd Calendar'!$Y$957)=0,"",IF(('Dvd Calendar'!$Y$957&gt;=GRID_FROM)*('Dvd Calendar'!$Y$957&lt;=GRID_TO)*('Dvd Calendar'!$Y$957&lt;=VAL_DATE)=0,"",'Dvd Calendar'!$Y$957*1000000000+ISNUMBER('Dvd Calendar'!$Y$960)*100000000+('Dvd Calendar'!$Y$962=SPECIAL_LBL)*10000000+0*1000000+87*1000+21))</f>
        <v/>
      </c>
      <c r="EZ98" s="35">
        <f>IF(N('Dvd Calendar'!$Z$957)=0,"",IF(('Dvd Calendar'!$Z$957&gt;=GRID_FROM)*('Dvd Calendar'!$Z$957&lt;=GRID_TO)*('Dvd Calendar'!$Z$957&lt;=VAL_DATE)=0,"",'Dvd Calendar'!$Z$957*1000000000+ISNUMBER('Dvd Calendar'!$Z$960)*100000000+('Dvd Calendar'!$Z$962=SPECIAL_LBL)*10000000+0*1000000+87*1000+22))</f>
        <v/>
      </c>
      <c r="FA98" s="35">
        <f>IF(N('Dvd Calendar'!$AA$957)=0,"",IF(('Dvd Calendar'!$AA$957&gt;=GRID_FROM)*('Dvd Calendar'!$AA$957&lt;=GRID_TO)*('Dvd Calendar'!$AA$957&lt;=VAL_DATE)=0,"",'Dvd Calendar'!$AA$957*1000000000+ISNUMBER('Dvd Calendar'!$AA$960)*100000000+('Dvd Calendar'!$AA$962=SPECIAL_LBL)*10000000+0*1000000+87*1000+23))</f>
        <v/>
      </c>
      <c r="FB98" s="35">
        <f>IF(N('Dvd Calendar'!$AB$957)=0,"",IF(('Dvd Calendar'!$AB$957&gt;=GRID_FROM)*('Dvd Calendar'!$AB$957&lt;=GRID_TO)*('Dvd Calendar'!$AB$957&lt;=VAL_DATE)=0,"",'Dvd Calendar'!$AB$957*1000000000+ISNUMBER('Dvd Calendar'!$AB$960)*100000000+('Dvd Calendar'!$AB$962=SPECIAL_LBL)*10000000+0*1000000+87*1000+24))</f>
        <v/>
      </c>
      <c r="FC98" s="35">
        <f>IF(N('Dvd Calendar'!$AC$957)=0,"",IF(('Dvd Calendar'!$AC$957&gt;=GRID_FROM)*('Dvd Calendar'!$AC$957&lt;=GRID_TO)*('Dvd Calendar'!$AC$957&lt;=VAL_DATE)=0,"",'Dvd Calendar'!$AC$957*1000000000+ISNUMBER('Dvd Calendar'!$AC$960)*100000000+('Dvd Calendar'!$AC$962=SPECIAL_LBL)*10000000+0*1000000+87*1000+25))</f>
        <v/>
      </c>
      <c r="FD98" s="35">
        <f>IF(N('Dvd Calendar'!$AD$957)=0,"",IF(('Dvd Calendar'!$AD$957&gt;=GRID_FROM)*('Dvd Calendar'!$AD$957&lt;=GRID_TO)*('Dvd Calendar'!$AD$957&lt;=VAL_DATE)=0,"",'Dvd Calendar'!$AD$957*1000000000+ISNUMBER('Dvd Calendar'!$AD$960)*100000000+('Dvd Calendar'!$AD$962=SPECIAL_LBL)*10000000+0*1000000+87*1000+26))</f>
        <v/>
      </c>
      <c r="FE98" s="35">
        <f>IF(N('Dvd Calendar'!$AE$957)=0,"",IF(('Dvd Calendar'!$AE$957&gt;=GRID_FROM)*('Dvd Calendar'!$AE$957&lt;=GRID_TO)*('Dvd Calendar'!$AE$957&lt;=VAL_DATE)=0,"",'Dvd Calendar'!$AE$957*1000000000+ISNUMBER('Dvd Calendar'!$AE$960)*100000000+('Dvd Calendar'!$AE$962=SPECIAL_LBL)*10000000+0*1000000+87*1000+27))</f>
        <v/>
      </c>
      <c r="FF98" s="35">
        <f>IF(N('Dvd Calendar'!$AF$957)=0,"",IF(('Dvd Calendar'!$AF$957&gt;=GRID_FROM)*('Dvd Calendar'!$AF$957&lt;=GRID_TO)*('Dvd Calendar'!$AF$957&lt;=VAL_DATE)=0,"",'Dvd Calendar'!$AF$957*1000000000+ISNUMBER('Dvd Calendar'!$AF$960)*100000000+('Dvd Calendar'!$AF$962=SPECIAL_LBL)*10000000+0*1000000+87*1000+28))</f>
        <v/>
      </c>
      <c r="FG98" s="35">
        <f>IF(N('Dvd Calendar'!$AG$957)=0,"",IF(('Dvd Calendar'!$AG$957&gt;=GRID_FROM)*('Dvd Calendar'!$AG$957&lt;=GRID_TO)*('Dvd Calendar'!$AG$957&lt;=VAL_DATE)=0,"",'Dvd Calendar'!$AG$957*1000000000+ISNUMBER('Dvd Calendar'!$AG$960)*100000000+('Dvd Calendar'!$AG$962=SPECIAL_LBL)*10000000+0*1000000+87*1000+29))</f>
        <v/>
      </c>
      <c r="FH98" s="35">
        <f>IF(N('Dvd Calendar'!$AH$957)=0,"",IF(('Dvd Calendar'!$AH$957&gt;=GRID_FROM)*('Dvd Calendar'!$AH$957&lt;=GRID_TO)*('Dvd Calendar'!$AH$957&lt;=VAL_DATE)=0,"",'Dvd Calendar'!$AH$957*1000000000+ISNUMBER('Dvd Calendar'!$AH$960)*100000000+('Dvd Calendar'!$AH$962=SPECIAL_LBL)*10000000+0*1000000+87*1000+30))</f>
        <v/>
      </c>
      <c r="FI98" s="35">
        <f>IF(N('Dvd Calendar'!$AI$957)=0,"",IF(('Dvd Calendar'!$AI$957&gt;=GRID_FROM)*('Dvd Calendar'!$AI$957&lt;=GRID_TO)*('Dvd Calendar'!$AI$957&lt;=VAL_DATE)=0,"",'Dvd Calendar'!$AI$957*1000000000+ISNUMBER('Dvd Calendar'!$AI$960)*100000000+('Dvd Calendar'!$AI$962=SPECIAL_LBL)*10000000+0*1000000+87*1000+31))</f>
        <v/>
      </c>
      <c r="FJ98" s="35">
        <f>IF(N('Dvd Calendar'!$AJ$957)=0,"",IF(('Dvd Calendar'!$AJ$957&gt;=GRID_FROM)*('Dvd Calendar'!$AJ$957&lt;=GRID_TO)*('Dvd Calendar'!$AJ$957&lt;=VAL_DATE)=0,"",'Dvd Calendar'!$AJ$957*1000000000+ISNUMBER('Dvd Calendar'!$AJ$960)*100000000+('Dvd Calendar'!$AJ$962=SPECIAL_LBL)*10000000+0*1000000+87*1000+32))</f>
        <v/>
      </c>
      <c r="FK98" s="35">
        <f>IF(N('Dvd Calendar'!$AK$957)=0,"",IF(('Dvd Calendar'!$AK$957&gt;=GRID_FROM)*('Dvd Calendar'!$AK$957&lt;=GRID_TO)*('Dvd Calendar'!$AK$957&lt;=VAL_DATE)=0,"",'Dvd Calendar'!$AK$957*1000000000+ISNUMBER('Dvd Calendar'!$AK$960)*100000000+('Dvd Calendar'!$AK$962=SPECIAL_LBL)*10000000+0*1000000+87*1000+33))</f>
        <v/>
      </c>
      <c r="FL98" s="35">
        <f>IF(N('Dvd Calendar'!$AL$957)=0,"",IF(('Dvd Calendar'!$AL$957&gt;=GRID_FROM)*('Dvd Calendar'!$AL$957&lt;=GRID_TO)*('Dvd Calendar'!$AL$957&lt;=VAL_DATE)=0,"",'Dvd Calendar'!$AL$957*1000000000+ISNUMBER('Dvd Calendar'!$AL$960)*100000000+('Dvd Calendar'!$AL$962=SPECIAL_LBL)*10000000+0*1000000+87*1000+34))</f>
        <v/>
      </c>
      <c r="FM98" s="35">
        <f>IF(N('Dvd Calendar'!$AM$957)=0,"",IF(('Dvd Calendar'!$AM$957&gt;=GRID_FROM)*('Dvd Calendar'!$AM$957&lt;=GRID_TO)*('Dvd Calendar'!$AM$957&lt;=VAL_DATE)=0,"",'Dvd Calendar'!$AM$957*1000000000+ISNUMBER('Dvd Calendar'!$AM$960)*100000000+('Dvd Calendar'!$AM$962=SPECIAL_LBL)*10000000+0*1000000+87*1000+35))</f>
        <v/>
      </c>
      <c r="FN98" s="35">
        <f>IF(N('Dvd Calendar'!$AN$957)=0,"",IF(('Dvd Calendar'!$AN$957&gt;=GRID_FROM)*('Dvd Calendar'!$AN$957&lt;=GRID_TO)*('Dvd Calendar'!$AN$957&lt;=VAL_DATE)=0,"",'Dvd Calendar'!$AN$957*1000000000+ISNUMBER('Dvd Calendar'!$AN$960)*100000000+('Dvd Calendar'!$AN$962=SPECIAL_LBL)*10000000+0*1000000+87*1000+36))</f>
        <v/>
      </c>
      <c r="FO98" s="35">
        <f>IF(N('Dvd Calendar'!$AO$957)=0,"",IF(('Dvd Calendar'!$AO$957&gt;=GRID_FROM)*('Dvd Calendar'!$AO$957&lt;=GRID_TO)*('Dvd Calendar'!$AO$957&lt;=VAL_DATE)=0,"",'Dvd Calendar'!$AO$957*1000000000+ISNUMBER('Dvd Calendar'!$AO$960)*100000000+('Dvd Calendar'!$AO$962=SPECIAL_LBL)*10000000+0*1000000+87*1000+37))</f>
        <v/>
      </c>
      <c r="FP98" s="35">
        <f>IF(N('Dvd Calendar'!$AP$957)=0,"",IF(('Dvd Calendar'!$AP$957&gt;=GRID_FROM)*('Dvd Calendar'!$AP$957&lt;=GRID_TO)*('Dvd Calendar'!$AP$957&lt;=VAL_DATE)=0,"",'Dvd Calendar'!$AP$957*1000000000+ISNUMBER('Dvd Calendar'!$AP$960)*100000000+('Dvd Calendar'!$AP$962=SPECIAL_LBL)*10000000+0*1000000+87*1000+38))</f>
        <v/>
      </c>
      <c r="FQ98" s="35">
        <f>IF(N('Dvd Calendar'!$AQ$957)=0,"",IF(('Dvd Calendar'!$AQ$957&gt;=GRID_FROM)*('Dvd Calendar'!$AQ$957&lt;=GRID_TO)*('Dvd Calendar'!$AQ$957&lt;=VAL_DATE)=0,"",'Dvd Calendar'!$AQ$957*1000000000+ISNUMBER('Dvd Calendar'!$AQ$960)*100000000+('Dvd Calendar'!$AQ$962=SPECIAL_LBL)*10000000+0*1000000+87*1000+39))</f>
        <v/>
      </c>
      <c r="FR98" s="35">
        <f>IF(N('Dvd Calendar'!$AR$957)=0,"",IF(('Dvd Calendar'!$AR$957&gt;=GRID_FROM)*('Dvd Calendar'!$AR$957&lt;=GRID_TO)*('Dvd Calendar'!$AR$957&lt;=VAL_DATE)=0,"",'Dvd Calendar'!$AR$957*1000000000+ISNUMBER('Dvd Calendar'!$AR$960)*100000000+('Dvd Calendar'!$AR$962=SPECIAL_LBL)*10000000+0*1000000+87*1000+40))</f>
        <v/>
      </c>
      <c r="FS98" s="35">
        <f>IF(N('Dvd Calendar'!$E$964)=0,"",IF(('Dvd Calendar'!$E$964&gt;=GRID_FROM)*('Dvd Calendar'!$E$964&lt;=GRID_TO)*('Dvd Calendar'!$E$964&gt;VAL_DATE)=0,"",'Dvd Calendar'!$E$964*1000000000+ISNUMBER('Dvd Calendar'!$E$965)*100000000+0*10000000+(N('Dvd Calendar'!$E$963)&gt;0)*(N('Dvd Calendar'!$E$963)&lt;=VAL_SERIAL)*1000000+87*1000+41))</f>
        <v/>
      </c>
      <c r="FT98" s="35">
        <f>IF(N('Dvd Calendar'!$F$964)=0,"",IF(('Dvd Calendar'!$F$964&gt;=GRID_FROM)*('Dvd Calendar'!$F$964&lt;=GRID_TO)*('Dvd Calendar'!$F$964&gt;VAL_DATE)=0,"",'Dvd Calendar'!$F$964*1000000000+ISNUMBER('Dvd Calendar'!$F$965)*100000000+0*10000000+(N('Dvd Calendar'!$F$963)&gt;0)*(N('Dvd Calendar'!$F$963)&lt;=VAL_SERIAL)*1000000+87*1000+42))</f>
        <v/>
      </c>
      <c r="FU98" s="35">
        <f>IF(N('Dvd Calendar'!$G$964)=0,"",IF(('Dvd Calendar'!$G$964&gt;=GRID_FROM)*('Dvd Calendar'!$G$964&lt;=GRID_TO)*('Dvd Calendar'!$G$964&gt;VAL_DATE)=0,"",'Dvd Calendar'!$G$964*1000000000+ISNUMBER('Dvd Calendar'!$G$965)*100000000+0*10000000+(N('Dvd Calendar'!$G$963)&gt;0)*(N('Dvd Calendar'!$G$963)&lt;=VAL_SERIAL)*1000000+87*1000+43))</f>
        <v/>
      </c>
      <c r="FV98" s="35">
        <f>IF(N('Dvd Calendar'!$H$964)=0,"",IF(('Dvd Calendar'!$H$964&gt;=GRID_FROM)*('Dvd Calendar'!$H$964&lt;=GRID_TO)*('Dvd Calendar'!$H$964&gt;VAL_DATE)=0,"",'Dvd Calendar'!$H$964*1000000000+ISNUMBER('Dvd Calendar'!$H$965)*100000000+0*10000000+(N('Dvd Calendar'!$H$963)&gt;0)*(N('Dvd Calendar'!$H$963)&lt;=VAL_SERIAL)*1000000+87*1000+44))</f>
        <v/>
      </c>
      <c r="FW98" s="35">
        <f>IF(N('Dvd Calendar'!$I$964)=0,"",IF(('Dvd Calendar'!$I$964&gt;=GRID_FROM)*('Dvd Calendar'!$I$964&lt;=GRID_TO)*('Dvd Calendar'!$I$964&gt;VAL_DATE)=0,"",'Dvd Calendar'!$I$964*1000000000+ISNUMBER('Dvd Calendar'!$I$965)*100000000+0*10000000+(N('Dvd Calendar'!$I$963)&gt;0)*(N('Dvd Calendar'!$I$963)&lt;=VAL_SERIAL)*1000000+87*1000+45))</f>
        <v/>
      </c>
      <c r="FX98" s="35">
        <f>IF(N('Dvd Calendar'!$J$964)=0,"",IF(('Dvd Calendar'!$J$964&gt;=GRID_FROM)*('Dvd Calendar'!$J$964&lt;=GRID_TO)*('Dvd Calendar'!$J$964&gt;VAL_DATE)=0,"",'Dvd Calendar'!$J$964*1000000000+ISNUMBER('Dvd Calendar'!$J$965)*100000000+0*10000000+(N('Dvd Calendar'!$J$963)&gt;0)*(N('Dvd Calendar'!$J$963)&lt;=VAL_SERIAL)*1000000+87*1000+46))</f>
        <v/>
      </c>
      <c r="FY98" s="35">
        <f>IF(N('Dvd Calendar'!$K$964)=0,"",IF(('Dvd Calendar'!$K$964&gt;=GRID_FROM)*('Dvd Calendar'!$K$964&lt;=GRID_TO)*('Dvd Calendar'!$K$964&gt;VAL_DATE)=0,"",'Dvd Calendar'!$K$964*1000000000+ISNUMBER('Dvd Calendar'!$K$965)*100000000+0*10000000+(N('Dvd Calendar'!$K$963)&gt;0)*(N('Dvd Calendar'!$K$963)&lt;=VAL_SERIAL)*1000000+87*1000+47))</f>
        <v/>
      </c>
      <c r="FZ98" s="35">
        <f>IF(N('Dvd Calendar'!$L$964)=0,"",IF(('Dvd Calendar'!$L$964&gt;=GRID_FROM)*('Dvd Calendar'!$L$964&lt;=GRID_TO)*('Dvd Calendar'!$L$964&gt;VAL_DATE)=0,"",'Dvd Calendar'!$L$964*1000000000+ISNUMBER('Dvd Calendar'!$L$965)*100000000+0*10000000+(N('Dvd Calendar'!$L$963)&gt;0)*(N('Dvd Calendar'!$L$963)&lt;=VAL_SERIAL)*1000000+87*1000+48))</f>
        <v/>
      </c>
      <c r="GA98" s="35">
        <f>IF(N('Dvd Calendar'!$M$964)=0,"",IF(('Dvd Calendar'!$M$964&gt;=GRID_FROM)*('Dvd Calendar'!$M$964&lt;=GRID_TO)*('Dvd Calendar'!$M$964&gt;VAL_DATE)=0,"",'Dvd Calendar'!$M$964*1000000000+ISNUMBER('Dvd Calendar'!$M$965)*100000000+0*10000000+(N('Dvd Calendar'!$M$963)&gt;0)*(N('Dvd Calendar'!$M$963)&lt;=VAL_SERIAL)*1000000+87*1000+49))</f>
        <v/>
      </c>
      <c r="GB98" s="35">
        <f>IF(N('Dvd Calendar'!$N$964)=0,"",IF(('Dvd Calendar'!$N$964&gt;=GRID_FROM)*('Dvd Calendar'!$N$964&lt;=GRID_TO)*('Dvd Calendar'!$N$964&gt;VAL_DATE)=0,"",'Dvd Calendar'!$N$964*1000000000+ISNUMBER('Dvd Calendar'!$N$965)*100000000+0*10000000+(N('Dvd Calendar'!$N$963)&gt;0)*(N('Dvd Calendar'!$N$963)&lt;=VAL_SERIAL)*1000000+87*1000+50))</f>
        <v/>
      </c>
      <c r="GC98" s="35">
        <f>IF(N('Dvd Calendar'!$O$964)=0,"",IF(('Dvd Calendar'!$O$964&gt;=GRID_FROM)*('Dvd Calendar'!$O$964&lt;=GRID_TO)*('Dvd Calendar'!$O$964&gt;VAL_DATE)=0,"",'Dvd Calendar'!$O$964*1000000000+ISNUMBER('Dvd Calendar'!$O$965)*100000000+0*10000000+(N('Dvd Calendar'!$O$963)&gt;0)*(N('Dvd Calendar'!$O$963)&lt;=VAL_SERIAL)*1000000+87*1000+51))</f>
        <v/>
      </c>
      <c r="GD98" s="35">
        <f>IF(N('Dvd Calendar'!$P$964)=0,"",IF(('Dvd Calendar'!$P$964&gt;=GRID_FROM)*('Dvd Calendar'!$P$964&lt;=GRID_TO)*('Dvd Calendar'!$P$964&gt;VAL_DATE)=0,"",'Dvd Calendar'!$P$964*1000000000+ISNUMBER('Dvd Calendar'!$P$965)*100000000+0*10000000+(N('Dvd Calendar'!$P$963)&gt;0)*(N('Dvd Calendar'!$P$963)&lt;=VAL_SERIAL)*1000000+87*1000+52))</f>
        <v/>
      </c>
      <c r="GE98" s="35">
        <f>IF(N('Dvd Calendar'!$Q$964)=0,"",IF(('Dvd Calendar'!$Q$964&gt;=GRID_FROM)*('Dvd Calendar'!$Q$964&lt;=GRID_TO)*('Dvd Calendar'!$Q$964&gt;VAL_DATE)=0,"",'Dvd Calendar'!$Q$964*1000000000+ISNUMBER('Dvd Calendar'!$Q$965)*100000000+0*10000000+(N('Dvd Calendar'!$Q$963)&gt;0)*(N('Dvd Calendar'!$Q$963)&lt;=VAL_SERIAL)*1000000+87*1000+53))</f>
        <v/>
      </c>
      <c r="GF98" s="35">
        <f>IF(N('Dvd Calendar'!$R$964)=0,"",IF(('Dvd Calendar'!$R$964&gt;=GRID_FROM)*('Dvd Calendar'!$R$964&lt;=GRID_TO)*('Dvd Calendar'!$R$964&gt;VAL_DATE)=0,"",'Dvd Calendar'!$R$964*1000000000+ISNUMBER('Dvd Calendar'!$R$965)*100000000+0*10000000+(N('Dvd Calendar'!$R$963)&gt;0)*(N('Dvd Calendar'!$R$963)&lt;=VAL_SERIAL)*1000000+87*1000+54))</f>
        <v/>
      </c>
      <c r="GG98" s="35">
        <f>IF(N('Dvd Calendar'!$S$964)=0,"",IF(('Dvd Calendar'!$S$964&gt;=GRID_FROM)*('Dvd Calendar'!$S$964&lt;=GRID_TO)*('Dvd Calendar'!$S$964&gt;VAL_DATE)=0,"",'Dvd Calendar'!$S$964*1000000000+ISNUMBER('Dvd Calendar'!$S$965)*100000000+0*10000000+(N('Dvd Calendar'!$S$963)&gt;0)*(N('Dvd Calendar'!$S$963)&lt;=VAL_SERIAL)*1000000+87*1000+55))</f>
        <v/>
      </c>
      <c r="GH98" s="35">
        <f>IF(N('Dvd Calendar'!$T$964)=0,"",IF(('Dvd Calendar'!$T$964&gt;=GRID_FROM)*('Dvd Calendar'!$T$964&lt;=GRID_TO)*('Dvd Calendar'!$T$964&gt;VAL_DATE)=0,"",'Dvd Calendar'!$T$964*1000000000+ISNUMBER('Dvd Calendar'!$T$965)*100000000+0*10000000+(N('Dvd Calendar'!$T$963)&gt;0)*(N('Dvd Calendar'!$T$963)&lt;=VAL_SERIAL)*1000000+87*1000+56))</f>
        <v/>
      </c>
      <c r="GI98" s="35">
        <f>IF(N('Dvd Calendar'!$U$964)=0,"",IF(('Dvd Calendar'!$U$964&gt;=GRID_FROM)*('Dvd Calendar'!$U$964&lt;=GRID_TO)*('Dvd Calendar'!$U$964&gt;VAL_DATE)=0,"",'Dvd Calendar'!$U$964*1000000000+ISNUMBER('Dvd Calendar'!$U$965)*100000000+0*10000000+(N('Dvd Calendar'!$U$963)&gt;0)*(N('Dvd Calendar'!$U$963)&lt;=VAL_SERIAL)*1000000+87*1000+57))</f>
        <v/>
      </c>
      <c r="GJ98" s="35">
        <f>IF(N('Dvd Calendar'!$V$964)=0,"",IF(('Dvd Calendar'!$V$964&gt;=GRID_FROM)*('Dvd Calendar'!$V$964&lt;=GRID_TO)*('Dvd Calendar'!$V$964&gt;VAL_DATE)=0,"",'Dvd Calendar'!$V$964*1000000000+ISNUMBER('Dvd Calendar'!$V$965)*100000000+0*10000000+(N('Dvd Calendar'!$V$963)&gt;0)*(N('Dvd Calendar'!$V$963)&lt;=VAL_SERIAL)*1000000+87*1000+58))</f>
        <v/>
      </c>
      <c r="GK98" s="35">
        <f>IF(N('Dvd Calendar'!$W$964)=0,"",IF(('Dvd Calendar'!$W$964&gt;=GRID_FROM)*('Dvd Calendar'!$W$964&lt;=GRID_TO)*('Dvd Calendar'!$W$964&gt;VAL_DATE)=0,"",'Dvd Calendar'!$W$964*1000000000+ISNUMBER('Dvd Calendar'!$W$965)*100000000+0*10000000+(N('Dvd Calendar'!$W$963)&gt;0)*(N('Dvd Calendar'!$W$963)&lt;=VAL_SERIAL)*1000000+87*1000+59))</f>
        <v/>
      </c>
      <c r="GL98" s="35">
        <f>IF(N('Dvd Calendar'!$X$964)=0,"",IF(('Dvd Calendar'!$X$964&gt;=GRID_FROM)*('Dvd Calendar'!$X$964&lt;=GRID_TO)*('Dvd Calendar'!$X$964&gt;VAL_DATE)=0,"",'Dvd Calendar'!$X$964*1000000000+ISNUMBER('Dvd Calendar'!$X$965)*100000000+0*10000000+(N('Dvd Calendar'!$X$963)&gt;0)*(N('Dvd Calendar'!$X$963)&lt;=VAL_SERIAL)*1000000+87*1000+60))</f>
        <v/>
      </c>
      <c r="GM98" s="35">
        <f>IF(N('Dvd Calendar'!$Y$964)=0,"",IF(('Dvd Calendar'!$Y$964&gt;=GRID_FROM)*('Dvd Calendar'!$Y$964&lt;=GRID_TO)*('Dvd Calendar'!$Y$964&gt;VAL_DATE)=0,"",'Dvd Calendar'!$Y$964*1000000000+ISNUMBER('Dvd Calendar'!$Y$965)*100000000+0*10000000+(N('Dvd Calendar'!$Y$963)&gt;0)*(N('Dvd Calendar'!$Y$963)&lt;=VAL_SERIAL)*1000000+87*1000+61))</f>
        <v/>
      </c>
      <c r="GN98" s="35">
        <f>IF(N('Dvd Calendar'!$Z$964)=0,"",IF(('Dvd Calendar'!$Z$964&gt;=GRID_FROM)*('Dvd Calendar'!$Z$964&lt;=GRID_TO)*('Dvd Calendar'!$Z$964&gt;VAL_DATE)=0,"",'Dvd Calendar'!$Z$964*1000000000+ISNUMBER('Dvd Calendar'!$Z$965)*100000000+0*10000000+(N('Dvd Calendar'!$Z$963)&gt;0)*(N('Dvd Calendar'!$Z$963)&lt;=VAL_SERIAL)*1000000+87*1000+62))</f>
        <v/>
      </c>
      <c r="GO98" s="35">
        <f>IF(N('Dvd Calendar'!$AA$964)=0,"",IF(('Dvd Calendar'!$AA$964&gt;=GRID_FROM)*('Dvd Calendar'!$AA$964&lt;=GRID_TO)*('Dvd Calendar'!$AA$964&gt;VAL_DATE)=0,"",'Dvd Calendar'!$AA$964*1000000000+ISNUMBER('Dvd Calendar'!$AA$965)*100000000+0*10000000+(N('Dvd Calendar'!$AA$963)&gt;0)*(N('Dvd Calendar'!$AA$963)&lt;=VAL_SERIAL)*1000000+87*1000+63))</f>
        <v/>
      </c>
      <c r="GP98" s="35">
        <f>IF(N('Dvd Calendar'!$AB$964)=0,"",IF(('Dvd Calendar'!$AB$964&gt;=GRID_FROM)*('Dvd Calendar'!$AB$964&lt;=GRID_TO)*('Dvd Calendar'!$AB$964&gt;VAL_DATE)=0,"",'Dvd Calendar'!$AB$964*1000000000+ISNUMBER('Dvd Calendar'!$AB$965)*100000000+0*10000000+(N('Dvd Calendar'!$AB$963)&gt;0)*(N('Dvd Calendar'!$AB$963)&lt;=VAL_SERIAL)*1000000+87*1000+64))</f>
        <v/>
      </c>
      <c r="GQ98" s="35">
        <f>IF(N('Dvd Calendar'!$AC$964)=0,"",IF(('Dvd Calendar'!$AC$964&gt;=GRID_FROM)*('Dvd Calendar'!$AC$964&lt;=GRID_TO)*('Dvd Calendar'!$AC$964&gt;VAL_DATE)=0,"",'Dvd Calendar'!$AC$964*1000000000+ISNUMBER('Dvd Calendar'!$AC$965)*100000000+0*10000000+(N('Dvd Calendar'!$AC$963)&gt;0)*(N('Dvd Calendar'!$AC$963)&lt;=VAL_SERIAL)*1000000+87*1000+65))</f>
        <v/>
      </c>
    </row>
    <row r="99">
      <c r="B99" s="2">
        <f>IF(HSI!$C$94="","",HSI!$C$94)</f>
        <v/>
      </c>
      <c r="C99" s="106">
        <f>IF(EE99="","",IF(ISNUMBER('Dvd Calendar'!$E$971)=FALSE,"",IF((('Dvd Calendar'!$E$973=TYPE1)*(TYPE1&lt;&gt;"")+('Dvd Calendar'!$E$973=TYPE2)*(TYPE2&lt;&gt;"")+('Dvd Calendar'!$E$973=TYPE3)*(TYPE3&lt;&gt;"")+('Dvd Calendar'!$E$973=TYPE4)*(TYPE4&lt;&gt;"")+('Dvd Calendar'!$E$973=SPECIAL_LBL)*(INC_SPECIALS="Y"))=0,"",'Dvd Calendar'!$E$971)))</f>
        <v/>
      </c>
      <c r="D99" s="106">
        <f>IF(EF99="","",IF(ISNUMBER('Dvd Calendar'!$F$971)=FALSE,"",IF((('Dvd Calendar'!$F$973=TYPE1)*(TYPE1&lt;&gt;"")+('Dvd Calendar'!$F$973=TYPE2)*(TYPE2&lt;&gt;"")+('Dvd Calendar'!$F$973=TYPE3)*(TYPE3&lt;&gt;"")+('Dvd Calendar'!$F$973=TYPE4)*(TYPE4&lt;&gt;"")+('Dvd Calendar'!$F$973=SPECIAL_LBL)*(INC_SPECIALS="Y"))=0,"",'Dvd Calendar'!$F$971)))</f>
        <v/>
      </c>
      <c r="E99" s="106">
        <f>IF(EG99="","",IF(ISNUMBER('Dvd Calendar'!$G$971)=FALSE,"",IF((('Dvd Calendar'!$G$973=TYPE1)*(TYPE1&lt;&gt;"")+('Dvd Calendar'!$G$973=TYPE2)*(TYPE2&lt;&gt;"")+('Dvd Calendar'!$G$973=TYPE3)*(TYPE3&lt;&gt;"")+('Dvd Calendar'!$G$973=TYPE4)*(TYPE4&lt;&gt;"")+('Dvd Calendar'!$G$973=SPECIAL_LBL)*(INC_SPECIALS="Y"))=0,"",'Dvd Calendar'!$G$971)))</f>
        <v/>
      </c>
      <c r="F99" s="106">
        <f>IF(EH99="","",IF(ISNUMBER('Dvd Calendar'!$H$971)=FALSE,"",IF((('Dvd Calendar'!$H$973=TYPE1)*(TYPE1&lt;&gt;"")+('Dvd Calendar'!$H$973=TYPE2)*(TYPE2&lt;&gt;"")+('Dvd Calendar'!$H$973=TYPE3)*(TYPE3&lt;&gt;"")+('Dvd Calendar'!$H$973=TYPE4)*(TYPE4&lt;&gt;"")+('Dvd Calendar'!$H$973=SPECIAL_LBL)*(INC_SPECIALS="Y"))=0,"",'Dvd Calendar'!$H$971)))</f>
        <v/>
      </c>
      <c r="G99" s="106">
        <f>IF(EI99="","",IF(ISNUMBER('Dvd Calendar'!$I$971)=FALSE,"",IF((('Dvd Calendar'!$I$973=TYPE1)*(TYPE1&lt;&gt;"")+('Dvd Calendar'!$I$973=TYPE2)*(TYPE2&lt;&gt;"")+('Dvd Calendar'!$I$973=TYPE3)*(TYPE3&lt;&gt;"")+('Dvd Calendar'!$I$973=TYPE4)*(TYPE4&lt;&gt;"")+('Dvd Calendar'!$I$973=SPECIAL_LBL)*(INC_SPECIALS="Y"))=0,"",'Dvd Calendar'!$I$971)))</f>
        <v/>
      </c>
      <c r="H99" s="106">
        <f>IF(EJ99="","",IF(ISNUMBER('Dvd Calendar'!$J$971)=FALSE,"",IF((('Dvd Calendar'!$J$973=TYPE1)*(TYPE1&lt;&gt;"")+('Dvd Calendar'!$J$973=TYPE2)*(TYPE2&lt;&gt;"")+('Dvd Calendar'!$J$973=TYPE3)*(TYPE3&lt;&gt;"")+('Dvd Calendar'!$J$973=TYPE4)*(TYPE4&lt;&gt;"")+('Dvd Calendar'!$J$973=SPECIAL_LBL)*(INC_SPECIALS="Y"))=0,"",'Dvd Calendar'!$J$971)))</f>
        <v/>
      </c>
      <c r="I99" s="106">
        <f>IF(EK99="","",IF(ISNUMBER('Dvd Calendar'!$K$971)=FALSE,"",IF((('Dvd Calendar'!$K$973=TYPE1)*(TYPE1&lt;&gt;"")+('Dvd Calendar'!$K$973=TYPE2)*(TYPE2&lt;&gt;"")+('Dvd Calendar'!$K$973=TYPE3)*(TYPE3&lt;&gt;"")+('Dvd Calendar'!$K$973=TYPE4)*(TYPE4&lt;&gt;"")+('Dvd Calendar'!$K$973=SPECIAL_LBL)*(INC_SPECIALS="Y"))=0,"",'Dvd Calendar'!$K$971)))</f>
        <v/>
      </c>
      <c r="J99" s="106">
        <f>IF(EL99="","",IF(ISNUMBER('Dvd Calendar'!$L$971)=FALSE,"",IF((('Dvd Calendar'!$L$973=TYPE1)*(TYPE1&lt;&gt;"")+('Dvd Calendar'!$L$973=TYPE2)*(TYPE2&lt;&gt;"")+('Dvd Calendar'!$L$973=TYPE3)*(TYPE3&lt;&gt;"")+('Dvd Calendar'!$L$973=TYPE4)*(TYPE4&lt;&gt;"")+('Dvd Calendar'!$L$973=SPECIAL_LBL)*(INC_SPECIALS="Y"))=0,"",'Dvd Calendar'!$L$971)))</f>
        <v/>
      </c>
      <c r="K99" s="106">
        <f>IF(EM99="","",IF(ISNUMBER('Dvd Calendar'!$M$971)=FALSE,"",IF((('Dvd Calendar'!$M$973=TYPE1)*(TYPE1&lt;&gt;"")+('Dvd Calendar'!$M$973=TYPE2)*(TYPE2&lt;&gt;"")+('Dvd Calendar'!$M$973=TYPE3)*(TYPE3&lt;&gt;"")+('Dvd Calendar'!$M$973=TYPE4)*(TYPE4&lt;&gt;"")+('Dvd Calendar'!$M$973=SPECIAL_LBL)*(INC_SPECIALS="Y"))=0,"",'Dvd Calendar'!$M$971)))</f>
        <v/>
      </c>
      <c r="L99" s="106">
        <f>IF(EN99="","",IF(ISNUMBER('Dvd Calendar'!$N$971)=FALSE,"",IF((('Dvd Calendar'!$N$973=TYPE1)*(TYPE1&lt;&gt;"")+('Dvd Calendar'!$N$973=TYPE2)*(TYPE2&lt;&gt;"")+('Dvd Calendar'!$N$973=TYPE3)*(TYPE3&lt;&gt;"")+('Dvd Calendar'!$N$973=TYPE4)*(TYPE4&lt;&gt;"")+('Dvd Calendar'!$N$973=SPECIAL_LBL)*(INC_SPECIALS="Y"))=0,"",'Dvd Calendar'!$N$971)))</f>
        <v/>
      </c>
      <c r="M99" s="106">
        <f>IF(EO99="","",IF(ISNUMBER('Dvd Calendar'!$O$971)=FALSE,"",IF((('Dvd Calendar'!$O$973=TYPE1)*(TYPE1&lt;&gt;"")+('Dvd Calendar'!$O$973=TYPE2)*(TYPE2&lt;&gt;"")+('Dvd Calendar'!$O$973=TYPE3)*(TYPE3&lt;&gt;"")+('Dvd Calendar'!$O$973=TYPE4)*(TYPE4&lt;&gt;"")+('Dvd Calendar'!$O$973=SPECIAL_LBL)*(INC_SPECIALS="Y"))=0,"",'Dvd Calendar'!$O$971)))</f>
        <v/>
      </c>
      <c r="N99" s="106">
        <f>IF(EP99="","",IF(ISNUMBER('Dvd Calendar'!$P$971)=FALSE,"",IF((('Dvd Calendar'!$P$973=TYPE1)*(TYPE1&lt;&gt;"")+('Dvd Calendar'!$P$973=TYPE2)*(TYPE2&lt;&gt;"")+('Dvd Calendar'!$P$973=TYPE3)*(TYPE3&lt;&gt;"")+('Dvd Calendar'!$P$973=TYPE4)*(TYPE4&lt;&gt;"")+('Dvd Calendar'!$P$973=SPECIAL_LBL)*(INC_SPECIALS="Y"))=0,"",'Dvd Calendar'!$P$971)))</f>
        <v/>
      </c>
      <c r="O99" s="106">
        <f>IF(EQ99="","",IF(ISNUMBER('Dvd Calendar'!$Q$971)=FALSE,"",IF((('Dvd Calendar'!$Q$973=TYPE1)*(TYPE1&lt;&gt;"")+('Dvd Calendar'!$Q$973=TYPE2)*(TYPE2&lt;&gt;"")+('Dvd Calendar'!$Q$973=TYPE3)*(TYPE3&lt;&gt;"")+('Dvd Calendar'!$Q$973=TYPE4)*(TYPE4&lt;&gt;"")+('Dvd Calendar'!$Q$973=SPECIAL_LBL)*(INC_SPECIALS="Y"))=0,"",'Dvd Calendar'!$Q$971)))</f>
        <v/>
      </c>
      <c r="P99" s="106">
        <f>IF(ER99="","",IF(ISNUMBER('Dvd Calendar'!$R$971)=FALSE,"",IF((('Dvd Calendar'!$R$973=TYPE1)*(TYPE1&lt;&gt;"")+('Dvd Calendar'!$R$973=TYPE2)*(TYPE2&lt;&gt;"")+('Dvd Calendar'!$R$973=TYPE3)*(TYPE3&lt;&gt;"")+('Dvd Calendar'!$R$973=TYPE4)*(TYPE4&lt;&gt;"")+('Dvd Calendar'!$R$973=SPECIAL_LBL)*(INC_SPECIALS="Y"))=0,"",'Dvd Calendar'!$R$971)))</f>
        <v/>
      </c>
      <c r="Q99" s="106">
        <f>IF(ES99="","",IF(ISNUMBER('Dvd Calendar'!$S$971)=FALSE,"",IF((('Dvd Calendar'!$S$973=TYPE1)*(TYPE1&lt;&gt;"")+('Dvd Calendar'!$S$973=TYPE2)*(TYPE2&lt;&gt;"")+('Dvd Calendar'!$S$973=TYPE3)*(TYPE3&lt;&gt;"")+('Dvd Calendar'!$S$973=TYPE4)*(TYPE4&lt;&gt;"")+('Dvd Calendar'!$S$973=SPECIAL_LBL)*(INC_SPECIALS="Y"))=0,"",'Dvd Calendar'!$S$971)))</f>
        <v/>
      </c>
      <c r="R99" s="106">
        <f>IF(ET99="","",IF(ISNUMBER('Dvd Calendar'!$T$971)=FALSE,"",IF((('Dvd Calendar'!$T$973=TYPE1)*(TYPE1&lt;&gt;"")+('Dvd Calendar'!$T$973=TYPE2)*(TYPE2&lt;&gt;"")+('Dvd Calendar'!$T$973=TYPE3)*(TYPE3&lt;&gt;"")+('Dvd Calendar'!$T$973=TYPE4)*(TYPE4&lt;&gt;"")+('Dvd Calendar'!$T$973=SPECIAL_LBL)*(INC_SPECIALS="Y"))=0,"",'Dvd Calendar'!$T$971)))</f>
        <v/>
      </c>
      <c r="S99" s="106">
        <f>IF(EU99="","",IF(ISNUMBER('Dvd Calendar'!$U$971)=FALSE,"",IF((('Dvd Calendar'!$U$973=TYPE1)*(TYPE1&lt;&gt;"")+('Dvd Calendar'!$U$973=TYPE2)*(TYPE2&lt;&gt;"")+('Dvd Calendar'!$U$973=TYPE3)*(TYPE3&lt;&gt;"")+('Dvd Calendar'!$U$973=TYPE4)*(TYPE4&lt;&gt;"")+('Dvd Calendar'!$U$973=SPECIAL_LBL)*(INC_SPECIALS="Y"))=0,"",'Dvd Calendar'!$U$971)))</f>
        <v/>
      </c>
      <c r="T99" s="106">
        <f>IF(EV99="","",IF(ISNUMBER('Dvd Calendar'!$V$971)=FALSE,"",IF((('Dvd Calendar'!$V$973=TYPE1)*(TYPE1&lt;&gt;"")+('Dvd Calendar'!$V$973=TYPE2)*(TYPE2&lt;&gt;"")+('Dvd Calendar'!$V$973=TYPE3)*(TYPE3&lt;&gt;"")+('Dvd Calendar'!$V$973=TYPE4)*(TYPE4&lt;&gt;"")+('Dvd Calendar'!$V$973=SPECIAL_LBL)*(INC_SPECIALS="Y"))=0,"",'Dvd Calendar'!$V$971)))</f>
        <v/>
      </c>
      <c r="U99" s="106">
        <f>IF(EW99="","",IF(ISNUMBER('Dvd Calendar'!$W$971)=FALSE,"",IF((('Dvd Calendar'!$W$973=TYPE1)*(TYPE1&lt;&gt;"")+('Dvd Calendar'!$W$973=TYPE2)*(TYPE2&lt;&gt;"")+('Dvd Calendar'!$W$973=TYPE3)*(TYPE3&lt;&gt;"")+('Dvd Calendar'!$W$973=TYPE4)*(TYPE4&lt;&gt;"")+('Dvd Calendar'!$W$973=SPECIAL_LBL)*(INC_SPECIALS="Y"))=0,"",'Dvd Calendar'!$W$971)))</f>
        <v/>
      </c>
      <c r="V99" s="106">
        <f>IF(EX99="","",IF(ISNUMBER('Dvd Calendar'!$X$971)=FALSE,"",IF((('Dvd Calendar'!$X$973=TYPE1)*(TYPE1&lt;&gt;"")+('Dvd Calendar'!$X$973=TYPE2)*(TYPE2&lt;&gt;"")+('Dvd Calendar'!$X$973=TYPE3)*(TYPE3&lt;&gt;"")+('Dvd Calendar'!$X$973=TYPE4)*(TYPE4&lt;&gt;"")+('Dvd Calendar'!$X$973=SPECIAL_LBL)*(INC_SPECIALS="Y"))=0,"",'Dvd Calendar'!$X$971)))</f>
        <v/>
      </c>
      <c r="W99" s="106">
        <f>IF(EY99="","",IF(ISNUMBER('Dvd Calendar'!$Y$971)=FALSE,"",IF((('Dvd Calendar'!$Y$973=TYPE1)*(TYPE1&lt;&gt;"")+('Dvd Calendar'!$Y$973=TYPE2)*(TYPE2&lt;&gt;"")+('Dvd Calendar'!$Y$973=TYPE3)*(TYPE3&lt;&gt;"")+('Dvd Calendar'!$Y$973=TYPE4)*(TYPE4&lt;&gt;"")+('Dvd Calendar'!$Y$973=SPECIAL_LBL)*(INC_SPECIALS="Y"))=0,"",'Dvd Calendar'!$Y$971)))</f>
        <v/>
      </c>
      <c r="X99" s="106">
        <f>IF(EZ99="","",IF(ISNUMBER('Dvd Calendar'!$Z$971)=FALSE,"",IF((('Dvd Calendar'!$Z$973=TYPE1)*(TYPE1&lt;&gt;"")+('Dvd Calendar'!$Z$973=TYPE2)*(TYPE2&lt;&gt;"")+('Dvd Calendar'!$Z$973=TYPE3)*(TYPE3&lt;&gt;"")+('Dvd Calendar'!$Z$973=TYPE4)*(TYPE4&lt;&gt;"")+('Dvd Calendar'!$Z$973=SPECIAL_LBL)*(INC_SPECIALS="Y"))=0,"",'Dvd Calendar'!$Z$971)))</f>
        <v/>
      </c>
      <c r="Y99" s="106">
        <f>IF(FA99="","",IF(ISNUMBER('Dvd Calendar'!$AA$971)=FALSE,"",IF((('Dvd Calendar'!$AA$973=TYPE1)*(TYPE1&lt;&gt;"")+('Dvd Calendar'!$AA$973=TYPE2)*(TYPE2&lt;&gt;"")+('Dvd Calendar'!$AA$973=TYPE3)*(TYPE3&lt;&gt;"")+('Dvd Calendar'!$AA$973=TYPE4)*(TYPE4&lt;&gt;"")+('Dvd Calendar'!$AA$973=SPECIAL_LBL)*(INC_SPECIALS="Y"))=0,"",'Dvd Calendar'!$AA$971)))</f>
        <v/>
      </c>
      <c r="Z99" s="106">
        <f>IF(FB99="","",IF(ISNUMBER('Dvd Calendar'!$AB$971)=FALSE,"",IF((('Dvd Calendar'!$AB$973=TYPE1)*(TYPE1&lt;&gt;"")+('Dvd Calendar'!$AB$973=TYPE2)*(TYPE2&lt;&gt;"")+('Dvd Calendar'!$AB$973=TYPE3)*(TYPE3&lt;&gt;"")+('Dvd Calendar'!$AB$973=TYPE4)*(TYPE4&lt;&gt;"")+('Dvd Calendar'!$AB$973=SPECIAL_LBL)*(INC_SPECIALS="Y"))=0,"",'Dvd Calendar'!$AB$971)))</f>
        <v/>
      </c>
      <c r="AA99" s="106">
        <f>IF(FC99="","",IF(ISNUMBER('Dvd Calendar'!$AC$971)=FALSE,"",IF((('Dvd Calendar'!$AC$973=TYPE1)*(TYPE1&lt;&gt;"")+('Dvd Calendar'!$AC$973=TYPE2)*(TYPE2&lt;&gt;"")+('Dvd Calendar'!$AC$973=TYPE3)*(TYPE3&lt;&gt;"")+('Dvd Calendar'!$AC$973=TYPE4)*(TYPE4&lt;&gt;"")+('Dvd Calendar'!$AC$973=SPECIAL_LBL)*(INC_SPECIALS="Y"))=0,"",'Dvd Calendar'!$AC$971)))</f>
        <v/>
      </c>
      <c r="AB99" s="106">
        <f>IF(FD99="","",IF(ISNUMBER('Dvd Calendar'!$AD$971)=FALSE,"",IF((('Dvd Calendar'!$AD$973=TYPE1)*(TYPE1&lt;&gt;"")+('Dvd Calendar'!$AD$973=TYPE2)*(TYPE2&lt;&gt;"")+('Dvd Calendar'!$AD$973=TYPE3)*(TYPE3&lt;&gt;"")+('Dvd Calendar'!$AD$973=TYPE4)*(TYPE4&lt;&gt;"")+('Dvd Calendar'!$AD$973=SPECIAL_LBL)*(INC_SPECIALS="Y"))=0,"",'Dvd Calendar'!$AD$971)))</f>
        <v/>
      </c>
      <c r="AC99" s="106">
        <f>IF(FE99="","",IF(ISNUMBER('Dvd Calendar'!$AE$971)=FALSE,"",IF((('Dvd Calendar'!$AE$973=TYPE1)*(TYPE1&lt;&gt;"")+('Dvd Calendar'!$AE$973=TYPE2)*(TYPE2&lt;&gt;"")+('Dvd Calendar'!$AE$973=TYPE3)*(TYPE3&lt;&gt;"")+('Dvd Calendar'!$AE$973=TYPE4)*(TYPE4&lt;&gt;"")+('Dvd Calendar'!$AE$973=SPECIAL_LBL)*(INC_SPECIALS="Y"))=0,"",'Dvd Calendar'!$AE$971)))</f>
        <v/>
      </c>
      <c r="AD99" s="106">
        <f>IF(FF99="","",IF(ISNUMBER('Dvd Calendar'!$AF$971)=FALSE,"",IF((('Dvd Calendar'!$AF$973=TYPE1)*(TYPE1&lt;&gt;"")+('Dvd Calendar'!$AF$973=TYPE2)*(TYPE2&lt;&gt;"")+('Dvd Calendar'!$AF$973=TYPE3)*(TYPE3&lt;&gt;"")+('Dvd Calendar'!$AF$973=TYPE4)*(TYPE4&lt;&gt;"")+('Dvd Calendar'!$AF$973=SPECIAL_LBL)*(INC_SPECIALS="Y"))=0,"",'Dvd Calendar'!$AF$971)))</f>
        <v/>
      </c>
      <c r="AE99" s="106">
        <f>IF(FG99="","",IF(ISNUMBER('Dvd Calendar'!$AG$971)=FALSE,"",IF((('Dvd Calendar'!$AG$973=TYPE1)*(TYPE1&lt;&gt;"")+('Dvd Calendar'!$AG$973=TYPE2)*(TYPE2&lt;&gt;"")+('Dvd Calendar'!$AG$973=TYPE3)*(TYPE3&lt;&gt;"")+('Dvd Calendar'!$AG$973=TYPE4)*(TYPE4&lt;&gt;"")+('Dvd Calendar'!$AG$973=SPECIAL_LBL)*(INC_SPECIALS="Y"))=0,"",'Dvd Calendar'!$AG$971)))</f>
        <v/>
      </c>
      <c r="AF99" s="106">
        <f>IF(FH99="","",IF(ISNUMBER('Dvd Calendar'!$AH$971)=FALSE,"",IF((('Dvd Calendar'!$AH$973=TYPE1)*(TYPE1&lt;&gt;"")+('Dvd Calendar'!$AH$973=TYPE2)*(TYPE2&lt;&gt;"")+('Dvd Calendar'!$AH$973=TYPE3)*(TYPE3&lt;&gt;"")+('Dvd Calendar'!$AH$973=TYPE4)*(TYPE4&lt;&gt;"")+('Dvd Calendar'!$AH$973=SPECIAL_LBL)*(INC_SPECIALS="Y"))=0,"",'Dvd Calendar'!$AH$971)))</f>
        <v/>
      </c>
      <c r="AG99" s="106">
        <f>IF(FI99="","",IF(ISNUMBER('Dvd Calendar'!$AI$971)=FALSE,"",IF((('Dvd Calendar'!$AI$973=TYPE1)*(TYPE1&lt;&gt;"")+('Dvd Calendar'!$AI$973=TYPE2)*(TYPE2&lt;&gt;"")+('Dvd Calendar'!$AI$973=TYPE3)*(TYPE3&lt;&gt;"")+('Dvd Calendar'!$AI$973=TYPE4)*(TYPE4&lt;&gt;"")+('Dvd Calendar'!$AI$973=SPECIAL_LBL)*(INC_SPECIALS="Y"))=0,"",'Dvd Calendar'!$AI$971)))</f>
        <v/>
      </c>
      <c r="AH99" s="106">
        <f>IF(FJ99="","",IF(ISNUMBER('Dvd Calendar'!$AJ$971)=FALSE,"",IF((('Dvd Calendar'!$AJ$973=TYPE1)*(TYPE1&lt;&gt;"")+('Dvd Calendar'!$AJ$973=TYPE2)*(TYPE2&lt;&gt;"")+('Dvd Calendar'!$AJ$973=TYPE3)*(TYPE3&lt;&gt;"")+('Dvd Calendar'!$AJ$973=TYPE4)*(TYPE4&lt;&gt;"")+('Dvd Calendar'!$AJ$973=SPECIAL_LBL)*(INC_SPECIALS="Y"))=0,"",'Dvd Calendar'!$AJ$971)))</f>
        <v/>
      </c>
      <c r="AI99" s="106">
        <f>IF(FK99="","",IF(ISNUMBER('Dvd Calendar'!$AK$971)=FALSE,"",IF((('Dvd Calendar'!$AK$973=TYPE1)*(TYPE1&lt;&gt;"")+('Dvd Calendar'!$AK$973=TYPE2)*(TYPE2&lt;&gt;"")+('Dvd Calendar'!$AK$973=TYPE3)*(TYPE3&lt;&gt;"")+('Dvd Calendar'!$AK$973=TYPE4)*(TYPE4&lt;&gt;"")+('Dvd Calendar'!$AK$973=SPECIAL_LBL)*(INC_SPECIALS="Y"))=0,"",'Dvd Calendar'!$AK$971)))</f>
        <v/>
      </c>
      <c r="AJ99" s="106">
        <f>IF(FL99="","",IF(ISNUMBER('Dvd Calendar'!$AL$971)=FALSE,"",IF((('Dvd Calendar'!$AL$973=TYPE1)*(TYPE1&lt;&gt;"")+('Dvd Calendar'!$AL$973=TYPE2)*(TYPE2&lt;&gt;"")+('Dvd Calendar'!$AL$973=TYPE3)*(TYPE3&lt;&gt;"")+('Dvd Calendar'!$AL$973=TYPE4)*(TYPE4&lt;&gt;"")+('Dvd Calendar'!$AL$973=SPECIAL_LBL)*(INC_SPECIALS="Y"))=0,"",'Dvd Calendar'!$AL$971)))</f>
        <v/>
      </c>
      <c r="AK99" s="106">
        <f>IF(FM99="","",IF(ISNUMBER('Dvd Calendar'!$AM$971)=FALSE,"",IF((('Dvd Calendar'!$AM$973=TYPE1)*(TYPE1&lt;&gt;"")+('Dvd Calendar'!$AM$973=TYPE2)*(TYPE2&lt;&gt;"")+('Dvd Calendar'!$AM$973=TYPE3)*(TYPE3&lt;&gt;"")+('Dvd Calendar'!$AM$973=TYPE4)*(TYPE4&lt;&gt;"")+('Dvd Calendar'!$AM$973=SPECIAL_LBL)*(INC_SPECIALS="Y"))=0,"",'Dvd Calendar'!$AM$971)))</f>
        <v/>
      </c>
      <c r="AL99" s="106">
        <f>IF(FN99="","",IF(ISNUMBER('Dvd Calendar'!$AN$971)=FALSE,"",IF((('Dvd Calendar'!$AN$973=TYPE1)*(TYPE1&lt;&gt;"")+('Dvd Calendar'!$AN$973=TYPE2)*(TYPE2&lt;&gt;"")+('Dvd Calendar'!$AN$973=TYPE3)*(TYPE3&lt;&gt;"")+('Dvd Calendar'!$AN$973=TYPE4)*(TYPE4&lt;&gt;"")+('Dvd Calendar'!$AN$973=SPECIAL_LBL)*(INC_SPECIALS="Y"))=0,"",'Dvd Calendar'!$AN$971)))</f>
        <v/>
      </c>
      <c r="AM99" s="106">
        <f>IF(FO99="","",IF(ISNUMBER('Dvd Calendar'!$AO$971)=FALSE,"",IF((('Dvd Calendar'!$AO$973=TYPE1)*(TYPE1&lt;&gt;"")+('Dvd Calendar'!$AO$973=TYPE2)*(TYPE2&lt;&gt;"")+('Dvd Calendar'!$AO$973=TYPE3)*(TYPE3&lt;&gt;"")+('Dvd Calendar'!$AO$973=TYPE4)*(TYPE4&lt;&gt;"")+('Dvd Calendar'!$AO$973=SPECIAL_LBL)*(INC_SPECIALS="Y"))=0,"",'Dvd Calendar'!$AO$971)))</f>
        <v/>
      </c>
      <c r="AN99" s="106">
        <f>IF(FP99="","",IF(ISNUMBER('Dvd Calendar'!$AP$971)=FALSE,"",IF((('Dvd Calendar'!$AP$973=TYPE1)*(TYPE1&lt;&gt;"")+('Dvd Calendar'!$AP$973=TYPE2)*(TYPE2&lt;&gt;"")+('Dvd Calendar'!$AP$973=TYPE3)*(TYPE3&lt;&gt;"")+('Dvd Calendar'!$AP$973=TYPE4)*(TYPE4&lt;&gt;"")+('Dvd Calendar'!$AP$973=SPECIAL_LBL)*(INC_SPECIALS="Y"))=0,"",'Dvd Calendar'!$AP$971)))</f>
        <v/>
      </c>
      <c r="AO99" s="106">
        <f>IF(FQ99="","",IF(ISNUMBER('Dvd Calendar'!$AQ$971)=FALSE,"",IF((('Dvd Calendar'!$AQ$973=TYPE1)*(TYPE1&lt;&gt;"")+('Dvd Calendar'!$AQ$973=TYPE2)*(TYPE2&lt;&gt;"")+('Dvd Calendar'!$AQ$973=TYPE3)*(TYPE3&lt;&gt;"")+('Dvd Calendar'!$AQ$973=TYPE4)*(TYPE4&lt;&gt;"")+('Dvd Calendar'!$AQ$973=SPECIAL_LBL)*(INC_SPECIALS="Y"))=0,"",'Dvd Calendar'!$AQ$971)))</f>
        <v/>
      </c>
      <c r="AP99" s="106">
        <f>IF(FR99="","",IF(ISNUMBER('Dvd Calendar'!$AR$971)=FALSE,"",IF((('Dvd Calendar'!$AR$973=TYPE1)*(TYPE1&lt;&gt;"")+('Dvd Calendar'!$AR$973=TYPE2)*(TYPE2&lt;&gt;"")+('Dvd Calendar'!$AR$973=TYPE3)*(TYPE3&lt;&gt;"")+('Dvd Calendar'!$AR$973=TYPE4)*(TYPE4&lt;&gt;"")+('Dvd Calendar'!$AR$973=SPECIAL_LBL)*(INC_SPECIALS="Y"))=0,"",'Dvd Calendar'!$AR$971)))</f>
        <v/>
      </c>
      <c r="AQ99" s="106">
        <f>IF(FS99="","",IF(ISNUMBER('Dvd Calendar'!$E$976)=FALSE,"",'Dvd Calendar'!$E$976))</f>
        <v/>
      </c>
      <c r="AR99" s="106">
        <f>IF(FT99="","",IF(ISNUMBER('Dvd Calendar'!$F$976)=FALSE,"",'Dvd Calendar'!$F$976))</f>
        <v/>
      </c>
      <c r="AS99" s="106">
        <f>IF(FU99="","",IF(ISNUMBER('Dvd Calendar'!$G$976)=FALSE,"",'Dvd Calendar'!$G$976))</f>
        <v/>
      </c>
      <c r="AT99" s="106">
        <f>IF(FV99="","",IF(ISNUMBER('Dvd Calendar'!$H$976)=FALSE,"",'Dvd Calendar'!$H$976))</f>
        <v/>
      </c>
      <c r="AU99" s="106">
        <f>IF(FW99="","",IF(ISNUMBER('Dvd Calendar'!$I$976)=FALSE,"",'Dvd Calendar'!$I$976))</f>
        <v/>
      </c>
      <c r="AV99" s="106">
        <f>IF(FX99="","",IF(ISNUMBER('Dvd Calendar'!$J$976)=FALSE,"",'Dvd Calendar'!$J$976))</f>
        <v/>
      </c>
      <c r="AW99" s="106">
        <f>IF(FY99="","",IF(ISNUMBER('Dvd Calendar'!$K$976)=FALSE,"",'Dvd Calendar'!$K$976))</f>
        <v/>
      </c>
      <c r="AX99" s="106">
        <f>IF(FZ99="","",IF(ISNUMBER('Dvd Calendar'!$L$976)=FALSE,"",'Dvd Calendar'!$L$976))</f>
        <v/>
      </c>
      <c r="AY99" s="106">
        <f>IF(GA99="","",IF(ISNUMBER('Dvd Calendar'!$M$976)=FALSE,"",'Dvd Calendar'!$M$976))</f>
        <v/>
      </c>
      <c r="AZ99" s="106">
        <f>IF(GB99="","",IF(ISNUMBER('Dvd Calendar'!$N$976)=FALSE,"",'Dvd Calendar'!$N$976))</f>
        <v/>
      </c>
      <c r="BA99" s="106">
        <f>IF(GC99="","",IF(ISNUMBER('Dvd Calendar'!$O$976)=FALSE,"",'Dvd Calendar'!$O$976))</f>
        <v/>
      </c>
      <c r="BB99" s="106">
        <f>IF(GD99="","",IF(ISNUMBER('Dvd Calendar'!$P$976)=FALSE,"",'Dvd Calendar'!$P$976))</f>
        <v/>
      </c>
      <c r="BC99" s="106">
        <f>IF(GE99="","",IF(ISNUMBER('Dvd Calendar'!$Q$976)=FALSE,"",'Dvd Calendar'!$Q$976))</f>
        <v/>
      </c>
      <c r="BD99" s="106">
        <f>IF(GF99="","",IF(ISNUMBER('Dvd Calendar'!$R$976)=FALSE,"",'Dvd Calendar'!$R$976))</f>
        <v/>
      </c>
      <c r="BE99" s="106">
        <f>IF(GG99="","",IF(ISNUMBER('Dvd Calendar'!$S$976)=FALSE,"",'Dvd Calendar'!$S$976))</f>
        <v/>
      </c>
      <c r="BF99" s="106">
        <f>IF(GH99="","",IF(ISNUMBER('Dvd Calendar'!$T$976)=FALSE,"",'Dvd Calendar'!$T$976))</f>
        <v/>
      </c>
      <c r="BG99" s="106">
        <f>IF(GI99="","",IF(ISNUMBER('Dvd Calendar'!$U$976)=FALSE,"",'Dvd Calendar'!$U$976))</f>
        <v/>
      </c>
      <c r="BH99" s="106">
        <f>IF(GJ99="","",IF(ISNUMBER('Dvd Calendar'!$V$976)=FALSE,"",'Dvd Calendar'!$V$976))</f>
        <v/>
      </c>
      <c r="BI99" s="106">
        <f>IF(GK99="","",IF(ISNUMBER('Dvd Calendar'!$W$976)=FALSE,"",'Dvd Calendar'!$W$976))</f>
        <v/>
      </c>
      <c r="BJ99" s="106">
        <f>IF(GL99="","",IF(ISNUMBER('Dvd Calendar'!$X$976)=FALSE,"",'Dvd Calendar'!$X$976))</f>
        <v/>
      </c>
      <c r="BK99" s="106">
        <f>IF(GM99="","",IF(ISNUMBER('Dvd Calendar'!$Y$976)=FALSE,"",'Dvd Calendar'!$Y$976))</f>
        <v/>
      </c>
      <c r="BL99" s="106">
        <f>IF(GN99="","",IF(ISNUMBER('Dvd Calendar'!$Z$976)=FALSE,"",'Dvd Calendar'!$Z$976))</f>
        <v/>
      </c>
      <c r="BM99" s="106">
        <f>IF(GO99="","",IF(ISNUMBER('Dvd Calendar'!$AA$976)=FALSE,"",'Dvd Calendar'!$AA$976))</f>
        <v/>
      </c>
      <c r="BN99" s="106">
        <f>IF(GP99="","",IF(ISNUMBER('Dvd Calendar'!$AB$976)=FALSE,"",'Dvd Calendar'!$AB$976))</f>
        <v/>
      </c>
      <c r="BO99" s="106">
        <f>IF(GQ99="","",IF(ISNUMBER('Dvd Calendar'!$AC$976)=FALSE,"",'Dvd Calendar'!$AC$976))</f>
        <v/>
      </c>
      <c r="BQ99" s="106">
        <f>IF(C99="","",IFERROR(C99*HSI!$B$94*HSI!$G$94/HSI!$B$3,""))</f>
        <v/>
      </c>
      <c r="BR99" s="106">
        <f>IF(D99="","",IFERROR(D99*HSI!$B$94*HSI!$G$94/HSI!$B$3,""))</f>
        <v/>
      </c>
      <c r="BS99" s="106">
        <f>IF(E99="","",IFERROR(E99*HSI!$B$94*HSI!$G$94/HSI!$B$3,""))</f>
        <v/>
      </c>
      <c r="BT99" s="106">
        <f>IF(F99="","",IFERROR(F99*HSI!$B$94*HSI!$G$94/HSI!$B$3,""))</f>
        <v/>
      </c>
      <c r="BU99" s="106">
        <f>IF(G99="","",IFERROR(G99*HSI!$B$94*HSI!$G$94/HSI!$B$3,""))</f>
        <v/>
      </c>
      <c r="BV99" s="106">
        <f>IF(H99="","",IFERROR(H99*HSI!$B$94*HSI!$G$94/HSI!$B$3,""))</f>
        <v/>
      </c>
      <c r="BW99" s="106">
        <f>IF(I99="","",IFERROR(I99*HSI!$B$94*HSI!$G$94/HSI!$B$3,""))</f>
        <v/>
      </c>
      <c r="BX99" s="106">
        <f>IF(J99="","",IFERROR(J99*HSI!$B$94*HSI!$G$94/HSI!$B$3,""))</f>
        <v/>
      </c>
      <c r="BY99" s="106">
        <f>IF(K99="","",IFERROR(K99*HSI!$B$94*HSI!$G$94/HSI!$B$3,""))</f>
        <v/>
      </c>
      <c r="BZ99" s="106">
        <f>IF(L99="","",IFERROR(L99*HSI!$B$94*HSI!$G$94/HSI!$B$3,""))</f>
        <v/>
      </c>
      <c r="CA99" s="106">
        <f>IF(M99="","",IFERROR(M99*HSI!$B$94*HSI!$G$94/HSI!$B$3,""))</f>
        <v/>
      </c>
      <c r="CB99" s="106">
        <f>IF(N99="","",IFERROR(N99*HSI!$B$94*HSI!$G$94/HSI!$B$3,""))</f>
        <v/>
      </c>
      <c r="CC99" s="106">
        <f>IF(O99="","",IFERROR(O99*HSI!$B$94*HSI!$G$94/HSI!$B$3,""))</f>
        <v/>
      </c>
      <c r="CD99" s="106">
        <f>IF(P99="","",IFERROR(P99*HSI!$B$94*HSI!$G$94/HSI!$B$3,""))</f>
        <v/>
      </c>
      <c r="CE99" s="106">
        <f>IF(Q99="","",IFERROR(Q99*HSI!$B$94*HSI!$G$94/HSI!$B$3,""))</f>
        <v/>
      </c>
      <c r="CF99" s="106">
        <f>IF(R99="","",IFERROR(R99*HSI!$B$94*HSI!$G$94/HSI!$B$3,""))</f>
        <v/>
      </c>
      <c r="CG99" s="106">
        <f>IF(S99="","",IFERROR(S99*HSI!$B$94*HSI!$G$94/HSI!$B$3,""))</f>
        <v/>
      </c>
      <c r="CH99" s="106">
        <f>IF(T99="","",IFERROR(T99*HSI!$B$94*HSI!$G$94/HSI!$B$3,""))</f>
        <v/>
      </c>
      <c r="CI99" s="106">
        <f>IF(U99="","",IFERROR(U99*HSI!$B$94*HSI!$G$94/HSI!$B$3,""))</f>
        <v/>
      </c>
      <c r="CJ99" s="106">
        <f>IF(V99="","",IFERROR(V99*HSI!$B$94*HSI!$G$94/HSI!$B$3,""))</f>
        <v/>
      </c>
      <c r="CK99" s="106">
        <f>IF(W99="","",IFERROR(W99*HSI!$B$94*HSI!$G$94/HSI!$B$3,""))</f>
        <v/>
      </c>
      <c r="CL99" s="106">
        <f>IF(X99="","",IFERROR(X99*HSI!$B$94*HSI!$G$94/HSI!$B$3,""))</f>
        <v/>
      </c>
      <c r="CM99" s="106">
        <f>IF(Y99="","",IFERROR(Y99*HSI!$B$94*HSI!$G$94/HSI!$B$3,""))</f>
        <v/>
      </c>
      <c r="CN99" s="106">
        <f>IF(Z99="","",IFERROR(Z99*HSI!$B$94*HSI!$G$94/HSI!$B$3,""))</f>
        <v/>
      </c>
      <c r="CO99" s="106">
        <f>IF(AA99="","",IFERROR(AA99*HSI!$B$94*HSI!$G$94/HSI!$B$3,""))</f>
        <v/>
      </c>
      <c r="CP99" s="106">
        <f>IF(AB99="","",IFERROR(AB99*HSI!$B$94*HSI!$G$94/HSI!$B$3,""))</f>
        <v/>
      </c>
      <c r="CQ99" s="106">
        <f>IF(AC99="","",IFERROR(AC99*HSI!$B$94*HSI!$G$94/HSI!$B$3,""))</f>
        <v/>
      </c>
      <c r="CR99" s="106">
        <f>IF(AD99="","",IFERROR(AD99*HSI!$B$94*HSI!$G$94/HSI!$B$3,""))</f>
        <v/>
      </c>
      <c r="CS99" s="106">
        <f>IF(AE99="","",IFERROR(AE99*HSI!$B$94*HSI!$G$94/HSI!$B$3,""))</f>
        <v/>
      </c>
      <c r="CT99" s="106">
        <f>IF(AF99="","",IFERROR(AF99*HSI!$B$94*HSI!$G$94/HSI!$B$3,""))</f>
        <v/>
      </c>
      <c r="CU99" s="106">
        <f>IF(AG99="","",IFERROR(AG99*HSI!$B$94*HSI!$G$94/HSI!$B$3,""))</f>
        <v/>
      </c>
      <c r="CV99" s="106">
        <f>IF(AH99="","",IFERROR(AH99*HSI!$B$94*HSI!$G$94/HSI!$B$3,""))</f>
        <v/>
      </c>
      <c r="CW99" s="106">
        <f>IF(AI99="","",IFERROR(AI99*HSI!$B$94*HSI!$G$94/HSI!$B$3,""))</f>
        <v/>
      </c>
      <c r="CX99" s="106">
        <f>IF(AJ99="","",IFERROR(AJ99*HSI!$B$94*HSI!$G$94/HSI!$B$3,""))</f>
        <v/>
      </c>
      <c r="CY99" s="106">
        <f>IF(AK99="","",IFERROR(AK99*HSI!$B$94*HSI!$G$94/HSI!$B$3,""))</f>
        <v/>
      </c>
      <c r="CZ99" s="106">
        <f>IF(AL99="","",IFERROR(AL99*HSI!$B$94*HSI!$G$94/HSI!$B$3,""))</f>
        <v/>
      </c>
      <c r="DA99" s="106">
        <f>IF(AM99="","",IFERROR(AM99*HSI!$B$94*HSI!$G$94/HSI!$B$3,""))</f>
        <v/>
      </c>
      <c r="DB99" s="106">
        <f>IF(AN99="","",IFERROR(AN99*HSI!$B$94*HSI!$G$94/HSI!$B$3,""))</f>
        <v/>
      </c>
      <c r="DC99" s="106">
        <f>IF(AO99="","",IFERROR(AO99*HSI!$B$94*HSI!$G$94/HSI!$B$3,""))</f>
        <v/>
      </c>
      <c r="DD99" s="106">
        <f>IF(AP99="","",IFERROR(AP99*HSI!$B$94*HSI!$G$94/HSI!$B$3,""))</f>
        <v/>
      </c>
      <c r="DE99" s="106">
        <f>IF(AQ99="","",IFERROR(AQ99*HSI!$B$94*HSI!$G$94/HSI!$B$3,""))</f>
        <v/>
      </c>
      <c r="DF99" s="106">
        <f>IF(AR99="","",IFERROR(AR99*HSI!$B$94*HSI!$G$94/HSI!$B$3,""))</f>
        <v/>
      </c>
      <c r="DG99" s="106">
        <f>IF(AS99="","",IFERROR(AS99*HSI!$B$94*HSI!$G$94/HSI!$B$3,""))</f>
        <v/>
      </c>
      <c r="DH99" s="106">
        <f>IF(AT99="","",IFERROR(AT99*HSI!$B$94*HSI!$G$94/HSI!$B$3,""))</f>
        <v/>
      </c>
      <c r="DI99" s="106">
        <f>IF(AU99="","",IFERROR(AU99*HSI!$B$94*HSI!$G$94/HSI!$B$3,""))</f>
        <v/>
      </c>
      <c r="DJ99" s="106">
        <f>IF(AV99="","",IFERROR(AV99*HSI!$B$94*HSI!$G$94/HSI!$B$3,""))</f>
        <v/>
      </c>
      <c r="DK99" s="106">
        <f>IF(AW99="","",IFERROR(AW99*HSI!$B$94*HSI!$G$94/HSI!$B$3,""))</f>
        <v/>
      </c>
      <c r="DL99" s="106">
        <f>IF(AX99="","",IFERROR(AX99*HSI!$B$94*HSI!$G$94/HSI!$B$3,""))</f>
        <v/>
      </c>
      <c r="DM99" s="106">
        <f>IF(AY99="","",IFERROR(AY99*HSI!$B$94*HSI!$G$94/HSI!$B$3,""))</f>
        <v/>
      </c>
      <c r="DN99" s="106">
        <f>IF(AZ99="","",IFERROR(AZ99*HSI!$B$94*HSI!$G$94/HSI!$B$3,""))</f>
        <v/>
      </c>
      <c r="DO99" s="106">
        <f>IF(BA99="","",IFERROR(BA99*HSI!$B$94*HSI!$G$94/HSI!$B$3,""))</f>
        <v/>
      </c>
      <c r="DP99" s="106">
        <f>IF(BB99="","",IFERROR(BB99*HSI!$B$94*HSI!$G$94/HSI!$B$3,""))</f>
        <v/>
      </c>
      <c r="DQ99" s="106">
        <f>IF(BC99="","",IFERROR(BC99*HSI!$B$94*HSI!$G$94/HSI!$B$3,""))</f>
        <v/>
      </c>
      <c r="DR99" s="106">
        <f>IF(BD99="","",IFERROR(BD99*HSI!$B$94*HSI!$G$94/HSI!$B$3,""))</f>
        <v/>
      </c>
      <c r="DS99" s="106">
        <f>IF(BE99="","",IFERROR(BE99*HSI!$B$94*HSI!$G$94/HSI!$B$3,""))</f>
        <v/>
      </c>
      <c r="DT99" s="106">
        <f>IF(BF99="","",IFERROR(BF99*HSI!$B$94*HSI!$G$94/HSI!$B$3,""))</f>
        <v/>
      </c>
      <c r="DU99" s="106">
        <f>IF(BG99="","",IFERROR(BG99*HSI!$B$94*HSI!$G$94/HSI!$B$3,""))</f>
        <v/>
      </c>
      <c r="DV99" s="106">
        <f>IF(BH99="","",IFERROR(BH99*HSI!$B$94*HSI!$G$94/HSI!$B$3,""))</f>
        <v/>
      </c>
      <c r="DW99" s="106">
        <f>IF(BI99="","",IFERROR(BI99*HSI!$B$94*HSI!$G$94/HSI!$B$3,""))</f>
        <v/>
      </c>
      <c r="DX99" s="106">
        <f>IF(BJ99="","",IFERROR(BJ99*HSI!$B$94*HSI!$G$94/HSI!$B$3,""))</f>
        <v/>
      </c>
      <c r="DY99" s="106">
        <f>IF(BK99="","",IFERROR(BK99*HSI!$B$94*HSI!$G$94/HSI!$B$3,""))</f>
        <v/>
      </c>
      <c r="DZ99" s="106">
        <f>IF(BL99="","",IFERROR(BL99*HSI!$B$94*HSI!$G$94/HSI!$B$3,""))</f>
        <v/>
      </c>
      <c r="EA99" s="106">
        <f>IF(BM99="","",IFERROR(BM99*HSI!$B$94*HSI!$G$94/HSI!$B$3,""))</f>
        <v/>
      </c>
      <c r="EB99" s="106">
        <f>IF(BN99="","",IFERROR(BN99*HSI!$B$94*HSI!$G$94/HSI!$B$3,""))</f>
        <v/>
      </c>
      <c r="EC99" s="106">
        <f>IF(BO99="","",IFERROR(BO99*HSI!$B$94*HSI!$G$94/HSI!$B$3,""))</f>
        <v/>
      </c>
      <c r="EE99" s="35">
        <f>IF(N('Dvd Calendar'!$E$968)=0,"",IF(('Dvd Calendar'!$E$968&gt;=GRID_FROM)*('Dvd Calendar'!$E$968&lt;=GRID_TO)*('Dvd Calendar'!$E$968&lt;=VAL_DATE)=0,"",'Dvd Calendar'!$E$968*1000000000+ISNUMBER('Dvd Calendar'!$E$971)*100000000+('Dvd Calendar'!$E$973=SPECIAL_LBL)*10000000+0*1000000+88*1000+1))</f>
        <v/>
      </c>
      <c r="EF99" s="35">
        <f>IF(N('Dvd Calendar'!$F$968)=0,"",IF(('Dvd Calendar'!$F$968&gt;=GRID_FROM)*('Dvd Calendar'!$F$968&lt;=GRID_TO)*('Dvd Calendar'!$F$968&lt;=VAL_DATE)=0,"",'Dvd Calendar'!$F$968*1000000000+ISNUMBER('Dvd Calendar'!$F$971)*100000000+('Dvd Calendar'!$F$973=SPECIAL_LBL)*10000000+0*1000000+88*1000+2))</f>
        <v/>
      </c>
      <c r="EG99" s="35">
        <f>IF(N('Dvd Calendar'!$G$968)=0,"",IF(('Dvd Calendar'!$G$968&gt;=GRID_FROM)*('Dvd Calendar'!$G$968&lt;=GRID_TO)*('Dvd Calendar'!$G$968&lt;=VAL_DATE)=0,"",'Dvd Calendar'!$G$968*1000000000+ISNUMBER('Dvd Calendar'!$G$971)*100000000+('Dvd Calendar'!$G$973=SPECIAL_LBL)*10000000+0*1000000+88*1000+3))</f>
        <v/>
      </c>
      <c r="EH99" s="35">
        <f>IF(N('Dvd Calendar'!$H$968)=0,"",IF(('Dvd Calendar'!$H$968&gt;=GRID_FROM)*('Dvd Calendar'!$H$968&lt;=GRID_TO)*('Dvd Calendar'!$H$968&lt;=VAL_DATE)=0,"",'Dvd Calendar'!$H$968*1000000000+ISNUMBER('Dvd Calendar'!$H$971)*100000000+('Dvd Calendar'!$H$973=SPECIAL_LBL)*10000000+0*1000000+88*1000+4))</f>
        <v/>
      </c>
      <c r="EI99" s="35">
        <f>IF(N('Dvd Calendar'!$I$968)=0,"",IF(('Dvd Calendar'!$I$968&gt;=GRID_FROM)*('Dvd Calendar'!$I$968&lt;=GRID_TO)*('Dvd Calendar'!$I$968&lt;=VAL_DATE)=0,"",'Dvd Calendar'!$I$968*1000000000+ISNUMBER('Dvd Calendar'!$I$971)*100000000+('Dvd Calendar'!$I$973=SPECIAL_LBL)*10000000+0*1000000+88*1000+5))</f>
        <v/>
      </c>
      <c r="EJ99" s="35">
        <f>IF(N('Dvd Calendar'!$J$968)=0,"",IF(('Dvd Calendar'!$J$968&gt;=GRID_FROM)*('Dvd Calendar'!$J$968&lt;=GRID_TO)*('Dvd Calendar'!$J$968&lt;=VAL_DATE)=0,"",'Dvd Calendar'!$J$968*1000000000+ISNUMBER('Dvd Calendar'!$J$971)*100000000+('Dvd Calendar'!$J$973=SPECIAL_LBL)*10000000+0*1000000+88*1000+6))</f>
        <v/>
      </c>
      <c r="EK99" s="35">
        <f>IF(N('Dvd Calendar'!$K$968)=0,"",IF(('Dvd Calendar'!$K$968&gt;=GRID_FROM)*('Dvd Calendar'!$K$968&lt;=GRID_TO)*('Dvd Calendar'!$K$968&lt;=VAL_DATE)=0,"",'Dvd Calendar'!$K$968*1000000000+ISNUMBER('Dvd Calendar'!$K$971)*100000000+('Dvd Calendar'!$K$973=SPECIAL_LBL)*10000000+0*1000000+88*1000+7))</f>
        <v/>
      </c>
      <c r="EL99" s="35">
        <f>IF(N('Dvd Calendar'!$L$968)=0,"",IF(('Dvd Calendar'!$L$968&gt;=GRID_FROM)*('Dvd Calendar'!$L$968&lt;=GRID_TO)*('Dvd Calendar'!$L$968&lt;=VAL_DATE)=0,"",'Dvd Calendar'!$L$968*1000000000+ISNUMBER('Dvd Calendar'!$L$971)*100000000+('Dvd Calendar'!$L$973=SPECIAL_LBL)*10000000+0*1000000+88*1000+8))</f>
        <v/>
      </c>
      <c r="EM99" s="35">
        <f>IF(N('Dvd Calendar'!$M$968)=0,"",IF(('Dvd Calendar'!$M$968&gt;=GRID_FROM)*('Dvd Calendar'!$M$968&lt;=GRID_TO)*('Dvd Calendar'!$M$968&lt;=VAL_DATE)=0,"",'Dvd Calendar'!$M$968*1000000000+ISNUMBER('Dvd Calendar'!$M$971)*100000000+('Dvd Calendar'!$M$973=SPECIAL_LBL)*10000000+0*1000000+88*1000+9))</f>
        <v/>
      </c>
      <c r="EN99" s="35">
        <f>IF(N('Dvd Calendar'!$N$968)=0,"",IF(('Dvd Calendar'!$N$968&gt;=GRID_FROM)*('Dvd Calendar'!$N$968&lt;=GRID_TO)*('Dvd Calendar'!$N$968&lt;=VAL_DATE)=0,"",'Dvd Calendar'!$N$968*1000000000+ISNUMBER('Dvd Calendar'!$N$971)*100000000+('Dvd Calendar'!$N$973=SPECIAL_LBL)*10000000+0*1000000+88*1000+10))</f>
        <v/>
      </c>
      <c r="EO99" s="35">
        <f>IF(N('Dvd Calendar'!$O$968)=0,"",IF(('Dvd Calendar'!$O$968&gt;=GRID_FROM)*('Dvd Calendar'!$O$968&lt;=GRID_TO)*('Dvd Calendar'!$O$968&lt;=VAL_DATE)=0,"",'Dvd Calendar'!$O$968*1000000000+ISNUMBER('Dvd Calendar'!$O$971)*100000000+('Dvd Calendar'!$O$973=SPECIAL_LBL)*10000000+0*1000000+88*1000+11))</f>
        <v/>
      </c>
      <c r="EP99" s="35">
        <f>IF(N('Dvd Calendar'!$P$968)=0,"",IF(('Dvd Calendar'!$P$968&gt;=GRID_FROM)*('Dvd Calendar'!$P$968&lt;=GRID_TO)*('Dvd Calendar'!$P$968&lt;=VAL_DATE)=0,"",'Dvd Calendar'!$P$968*1000000000+ISNUMBER('Dvd Calendar'!$P$971)*100000000+('Dvd Calendar'!$P$973=SPECIAL_LBL)*10000000+0*1000000+88*1000+12))</f>
        <v/>
      </c>
      <c r="EQ99" s="35">
        <f>IF(N('Dvd Calendar'!$Q$968)=0,"",IF(('Dvd Calendar'!$Q$968&gt;=GRID_FROM)*('Dvd Calendar'!$Q$968&lt;=GRID_TO)*('Dvd Calendar'!$Q$968&lt;=VAL_DATE)=0,"",'Dvd Calendar'!$Q$968*1000000000+ISNUMBER('Dvd Calendar'!$Q$971)*100000000+('Dvd Calendar'!$Q$973=SPECIAL_LBL)*10000000+0*1000000+88*1000+13))</f>
        <v/>
      </c>
      <c r="ER99" s="35">
        <f>IF(N('Dvd Calendar'!$R$968)=0,"",IF(('Dvd Calendar'!$R$968&gt;=GRID_FROM)*('Dvd Calendar'!$R$968&lt;=GRID_TO)*('Dvd Calendar'!$R$968&lt;=VAL_DATE)=0,"",'Dvd Calendar'!$R$968*1000000000+ISNUMBER('Dvd Calendar'!$R$971)*100000000+('Dvd Calendar'!$R$973=SPECIAL_LBL)*10000000+0*1000000+88*1000+14))</f>
        <v/>
      </c>
      <c r="ES99" s="35">
        <f>IF(N('Dvd Calendar'!$S$968)=0,"",IF(('Dvd Calendar'!$S$968&gt;=GRID_FROM)*('Dvd Calendar'!$S$968&lt;=GRID_TO)*('Dvd Calendar'!$S$968&lt;=VAL_DATE)=0,"",'Dvd Calendar'!$S$968*1000000000+ISNUMBER('Dvd Calendar'!$S$971)*100000000+('Dvd Calendar'!$S$973=SPECIAL_LBL)*10000000+0*1000000+88*1000+15))</f>
        <v/>
      </c>
      <c r="ET99" s="35">
        <f>IF(N('Dvd Calendar'!$T$968)=0,"",IF(('Dvd Calendar'!$T$968&gt;=GRID_FROM)*('Dvd Calendar'!$T$968&lt;=GRID_TO)*('Dvd Calendar'!$T$968&lt;=VAL_DATE)=0,"",'Dvd Calendar'!$T$968*1000000000+ISNUMBER('Dvd Calendar'!$T$971)*100000000+('Dvd Calendar'!$T$973=SPECIAL_LBL)*10000000+0*1000000+88*1000+16))</f>
        <v/>
      </c>
      <c r="EU99" s="35">
        <f>IF(N('Dvd Calendar'!$U$968)=0,"",IF(('Dvd Calendar'!$U$968&gt;=GRID_FROM)*('Dvd Calendar'!$U$968&lt;=GRID_TO)*('Dvd Calendar'!$U$968&lt;=VAL_DATE)=0,"",'Dvd Calendar'!$U$968*1000000000+ISNUMBER('Dvd Calendar'!$U$971)*100000000+('Dvd Calendar'!$U$973=SPECIAL_LBL)*10000000+0*1000000+88*1000+17))</f>
        <v/>
      </c>
      <c r="EV99" s="35">
        <f>IF(N('Dvd Calendar'!$V$968)=0,"",IF(('Dvd Calendar'!$V$968&gt;=GRID_FROM)*('Dvd Calendar'!$V$968&lt;=GRID_TO)*('Dvd Calendar'!$V$968&lt;=VAL_DATE)=0,"",'Dvd Calendar'!$V$968*1000000000+ISNUMBER('Dvd Calendar'!$V$971)*100000000+('Dvd Calendar'!$V$973=SPECIAL_LBL)*10000000+0*1000000+88*1000+18))</f>
        <v/>
      </c>
      <c r="EW99" s="35">
        <f>IF(N('Dvd Calendar'!$W$968)=0,"",IF(('Dvd Calendar'!$W$968&gt;=GRID_FROM)*('Dvd Calendar'!$W$968&lt;=GRID_TO)*('Dvd Calendar'!$W$968&lt;=VAL_DATE)=0,"",'Dvd Calendar'!$W$968*1000000000+ISNUMBER('Dvd Calendar'!$W$971)*100000000+('Dvd Calendar'!$W$973=SPECIAL_LBL)*10000000+0*1000000+88*1000+19))</f>
        <v/>
      </c>
      <c r="EX99" s="35">
        <f>IF(N('Dvd Calendar'!$X$968)=0,"",IF(('Dvd Calendar'!$X$968&gt;=GRID_FROM)*('Dvd Calendar'!$X$968&lt;=GRID_TO)*('Dvd Calendar'!$X$968&lt;=VAL_DATE)=0,"",'Dvd Calendar'!$X$968*1000000000+ISNUMBER('Dvd Calendar'!$X$971)*100000000+('Dvd Calendar'!$X$973=SPECIAL_LBL)*10000000+0*1000000+88*1000+20))</f>
        <v/>
      </c>
      <c r="EY99" s="35">
        <f>IF(N('Dvd Calendar'!$Y$968)=0,"",IF(('Dvd Calendar'!$Y$968&gt;=GRID_FROM)*('Dvd Calendar'!$Y$968&lt;=GRID_TO)*('Dvd Calendar'!$Y$968&lt;=VAL_DATE)=0,"",'Dvd Calendar'!$Y$968*1000000000+ISNUMBER('Dvd Calendar'!$Y$971)*100000000+('Dvd Calendar'!$Y$973=SPECIAL_LBL)*10000000+0*1000000+88*1000+21))</f>
        <v/>
      </c>
      <c r="EZ99" s="35">
        <f>IF(N('Dvd Calendar'!$Z$968)=0,"",IF(('Dvd Calendar'!$Z$968&gt;=GRID_FROM)*('Dvd Calendar'!$Z$968&lt;=GRID_TO)*('Dvd Calendar'!$Z$968&lt;=VAL_DATE)=0,"",'Dvd Calendar'!$Z$968*1000000000+ISNUMBER('Dvd Calendar'!$Z$971)*100000000+('Dvd Calendar'!$Z$973=SPECIAL_LBL)*10000000+0*1000000+88*1000+22))</f>
        <v/>
      </c>
      <c r="FA99" s="35">
        <f>IF(N('Dvd Calendar'!$AA$968)=0,"",IF(('Dvd Calendar'!$AA$968&gt;=GRID_FROM)*('Dvd Calendar'!$AA$968&lt;=GRID_TO)*('Dvd Calendar'!$AA$968&lt;=VAL_DATE)=0,"",'Dvd Calendar'!$AA$968*1000000000+ISNUMBER('Dvd Calendar'!$AA$971)*100000000+('Dvd Calendar'!$AA$973=SPECIAL_LBL)*10000000+0*1000000+88*1000+23))</f>
        <v/>
      </c>
      <c r="FB99" s="35">
        <f>IF(N('Dvd Calendar'!$AB$968)=0,"",IF(('Dvd Calendar'!$AB$968&gt;=GRID_FROM)*('Dvd Calendar'!$AB$968&lt;=GRID_TO)*('Dvd Calendar'!$AB$968&lt;=VAL_DATE)=0,"",'Dvd Calendar'!$AB$968*1000000000+ISNUMBER('Dvd Calendar'!$AB$971)*100000000+('Dvd Calendar'!$AB$973=SPECIAL_LBL)*10000000+0*1000000+88*1000+24))</f>
        <v/>
      </c>
      <c r="FC99" s="35">
        <f>IF(N('Dvd Calendar'!$AC$968)=0,"",IF(('Dvd Calendar'!$AC$968&gt;=GRID_FROM)*('Dvd Calendar'!$AC$968&lt;=GRID_TO)*('Dvd Calendar'!$AC$968&lt;=VAL_DATE)=0,"",'Dvd Calendar'!$AC$968*1000000000+ISNUMBER('Dvd Calendar'!$AC$971)*100000000+('Dvd Calendar'!$AC$973=SPECIAL_LBL)*10000000+0*1000000+88*1000+25))</f>
        <v/>
      </c>
      <c r="FD99" s="35">
        <f>IF(N('Dvd Calendar'!$AD$968)=0,"",IF(('Dvd Calendar'!$AD$968&gt;=GRID_FROM)*('Dvd Calendar'!$AD$968&lt;=GRID_TO)*('Dvd Calendar'!$AD$968&lt;=VAL_DATE)=0,"",'Dvd Calendar'!$AD$968*1000000000+ISNUMBER('Dvd Calendar'!$AD$971)*100000000+('Dvd Calendar'!$AD$973=SPECIAL_LBL)*10000000+0*1000000+88*1000+26))</f>
        <v/>
      </c>
      <c r="FE99" s="35">
        <f>IF(N('Dvd Calendar'!$AE$968)=0,"",IF(('Dvd Calendar'!$AE$968&gt;=GRID_FROM)*('Dvd Calendar'!$AE$968&lt;=GRID_TO)*('Dvd Calendar'!$AE$968&lt;=VAL_DATE)=0,"",'Dvd Calendar'!$AE$968*1000000000+ISNUMBER('Dvd Calendar'!$AE$971)*100000000+('Dvd Calendar'!$AE$973=SPECIAL_LBL)*10000000+0*1000000+88*1000+27))</f>
        <v/>
      </c>
      <c r="FF99" s="35">
        <f>IF(N('Dvd Calendar'!$AF$968)=0,"",IF(('Dvd Calendar'!$AF$968&gt;=GRID_FROM)*('Dvd Calendar'!$AF$968&lt;=GRID_TO)*('Dvd Calendar'!$AF$968&lt;=VAL_DATE)=0,"",'Dvd Calendar'!$AF$968*1000000000+ISNUMBER('Dvd Calendar'!$AF$971)*100000000+('Dvd Calendar'!$AF$973=SPECIAL_LBL)*10000000+0*1000000+88*1000+28))</f>
        <v/>
      </c>
      <c r="FG99" s="35">
        <f>IF(N('Dvd Calendar'!$AG$968)=0,"",IF(('Dvd Calendar'!$AG$968&gt;=GRID_FROM)*('Dvd Calendar'!$AG$968&lt;=GRID_TO)*('Dvd Calendar'!$AG$968&lt;=VAL_DATE)=0,"",'Dvd Calendar'!$AG$968*1000000000+ISNUMBER('Dvd Calendar'!$AG$971)*100000000+('Dvd Calendar'!$AG$973=SPECIAL_LBL)*10000000+0*1000000+88*1000+29))</f>
        <v/>
      </c>
      <c r="FH99" s="35">
        <f>IF(N('Dvd Calendar'!$AH$968)=0,"",IF(('Dvd Calendar'!$AH$968&gt;=GRID_FROM)*('Dvd Calendar'!$AH$968&lt;=GRID_TO)*('Dvd Calendar'!$AH$968&lt;=VAL_DATE)=0,"",'Dvd Calendar'!$AH$968*1000000000+ISNUMBER('Dvd Calendar'!$AH$971)*100000000+('Dvd Calendar'!$AH$973=SPECIAL_LBL)*10000000+0*1000000+88*1000+30))</f>
        <v/>
      </c>
      <c r="FI99" s="35">
        <f>IF(N('Dvd Calendar'!$AI$968)=0,"",IF(('Dvd Calendar'!$AI$968&gt;=GRID_FROM)*('Dvd Calendar'!$AI$968&lt;=GRID_TO)*('Dvd Calendar'!$AI$968&lt;=VAL_DATE)=0,"",'Dvd Calendar'!$AI$968*1000000000+ISNUMBER('Dvd Calendar'!$AI$971)*100000000+('Dvd Calendar'!$AI$973=SPECIAL_LBL)*10000000+0*1000000+88*1000+31))</f>
        <v/>
      </c>
      <c r="FJ99" s="35">
        <f>IF(N('Dvd Calendar'!$AJ$968)=0,"",IF(('Dvd Calendar'!$AJ$968&gt;=GRID_FROM)*('Dvd Calendar'!$AJ$968&lt;=GRID_TO)*('Dvd Calendar'!$AJ$968&lt;=VAL_DATE)=0,"",'Dvd Calendar'!$AJ$968*1000000000+ISNUMBER('Dvd Calendar'!$AJ$971)*100000000+('Dvd Calendar'!$AJ$973=SPECIAL_LBL)*10000000+0*1000000+88*1000+32))</f>
        <v/>
      </c>
      <c r="FK99" s="35">
        <f>IF(N('Dvd Calendar'!$AK$968)=0,"",IF(('Dvd Calendar'!$AK$968&gt;=GRID_FROM)*('Dvd Calendar'!$AK$968&lt;=GRID_TO)*('Dvd Calendar'!$AK$968&lt;=VAL_DATE)=0,"",'Dvd Calendar'!$AK$968*1000000000+ISNUMBER('Dvd Calendar'!$AK$971)*100000000+('Dvd Calendar'!$AK$973=SPECIAL_LBL)*10000000+0*1000000+88*1000+33))</f>
        <v/>
      </c>
      <c r="FL99" s="35">
        <f>IF(N('Dvd Calendar'!$AL$968)=0,"",IF(('Dvd Calendar'!$AL$968&gt;=GRID_FROM)*('Dvd Calendar'!$AL$968&lt;=GRID_TO)*('Dvd Calendar'!$AL$968&lt;=VAL_DATE)=0,"",'Dvd Calendar'!$AL$968*1000000000+ISNUMBER('Dvd Calendar'!$AL$971)*100000000+('Dvd Calendar'!$AL$973=SPECIAL_LBL)*10000000+0*1000000+88*1000+34))</f>
        <v/>
      </c>
      <c r="FM99" s="35">
        <f>IF(N('Dvd Calendar'!$AM$968)=0,"",IF(('Dvd Calendar'!$AM$968&gt;=GRID_FROM)*('Dvd Calendar'!$AM$968&lt;=GRID_TO)*('Dvd Calendar'!$AM$968&lt;=VAL_DATE)=0,"",'Dvd Calendar'!$AM$968*1000000000+ISNUMBER('Dvd Calendar'!$AM$971)*100000000+('Dvd Calendar'!$AM$973=SPECIAL_LBL)*10000000+0*1000000+88*1000+35))</f>
        <v/>
      </c>
      <c r="FN99" s="35">
        <f>IF(N('Dvd Calendar'!$AN$968)=0,"",IF(('Dvd Calendar'!$AN$968&gt;=GRID_FROM)*('Dvd Calendar'!$AN$968&lt;=GRID_TO)*('Dvd Calendar'!$AN$968&lt;=VAL_DATE)=0,"",'Dvd Calendar'!$AN$968*1000000000+ISNUMBER('Dvd Calendar'!$AN$971)*100000000+('Dvd Calendar'!$AN$973=SPECIAL_LBL)*10000000+0*1000000+88*1000+36))</f>
        <v/>
      </c>
      <c r="FO99" s="35">
        <f>IF(N('Dvd Calendar'!$AO$968)=0,"",IF(('Dvd Calendar'!$AO$968&gt;=GRID_FROM)*('Dvd Calendar'!$AO$968&lt;=GRID_TO)*('Dvd Calendar'!$AO$968&lt;=VAL_DATE)=0,"",'Dvd Calendar'!$AO$968*1000000000+ISNUMBER('Dvd Calendar'!$AO$971)*100000000+('Dvd Calendar'!$AO$973=SPECIAL_LBL)*10000000+0*1000000+88*1000+37))</f>
        <v/>
      </c>
      <c r="FP99" s="35">
        <f>IF(N('Dvd Calendar'!$AP$968)=0,"",IF(('Dvd Calendar'!$AP$968&gt;=GRID_FROM)*('Dvd Calendar'!$AP$968&lt;=GRID_TO)*('Dvd Calendar'!$AP$968&lt;=VAL_DATE)=0,"",'Dvd Calendar'!$AP$968*1000000000+ISNUMBER('Dvd Calendar'!$AP$971)*100000000+('Dvd Calendar'!$AP$973=SPECIAL_LBL)*10000000+0*1000000+88*1000+38))</f>
        <v/>
      </c>
      <c r="FQ99" s="35">
        <f>IF(N('Dvd Calendar'!$AQ$968)=0,"",IF(('Dvd Calendar'!$AQ$968&gt;=GRID_FROM)*('Dvd Calendar'!$AQ$968&lt;=GRID_TO)*('Dvd Calendar'!$AQ$968&lt;=VAL_DATE)=0,"",'Dvd Calendar'!$AQ$968*1000000000+ISNUMBER('Dvd Calendar'!$AQ$971)*100000000+('Dvd Calendar'!$AQ$973=SPECIAL_LBL)*10000000+0*1000000+88*1000+39))</f>
        <v/>
      </c>
      <c r="FR99" s="35">
        <f>IF(N('Dvd Calendar'!$AR$968)=0,"",IF(('Dvd Calendar'!$AR$968&gt;=GRID_FROM)*('Dvd Calendar'!$AR$968&lt;=GRID_TO)*('Dvd Calendar'!$AR$968&lt;=VAL_DATE)=0,"",'Dvd Calendar'!$AR$968*1000000000+ISNUMBER('Dvd Calendar'!$AR$971)*100000000+('Dvd Calendar'!$AR$973=SPECIAL_LBL)*10000000+0*1000000+88*1000+40))</f>
        <v/>
      </c>
      <c r="FS99" s="35">
        <f>IF(N('Dvd Calendar'!$E$975)=0,"",IF(('Dvd Calendar'!$E$975&gt;=GRID_FROM)*('Dvd Calendar'!$E$975&lt;=GRID_TO)*('Dvd Calendar'!$E$975&gt;VAL_DATE)=0,"",'Dvd Calendar'!$E$975*1000000000+ISNUMBER('Dvd Calendar'!$E$976)*100000000+0*10000000+(N('Dvd Calendar'!$E$974)&gt;0)*(N('Dvd Calendar'!$E$974)&lt;=VAL_SERIAL)*1000000+88*1000+41))</f>
        <v/>
      </c>
      <c r="FT99" s="35">
        <f>IF(N('Dvd Calendar'!$F$975)=0,"",IF(('Dvd Calendar'!$F$975&gt;=GRID_FROM)*('Dvd Calendar'!$F$975&lt;=GRID_TO)*('Dvd Calendar'!$F$975&gt;VAL_DATE)=0,"",'Dvd Calendar'!$F$975*1000000000+ISNUMBER('Dvd Calendar'!$F$976)*100000000+0*10000000+(N('Dvd Calendar'!$F$974)&gt;0)*(N('Dvd Calendar'!$F$974)&lt;=VAL_SERIAL)*1000000+88*1000+42))</f>
        <v/>
      </c>
      <c r="FU99" s="35">
        <f>IF(N('Dvd Calendar'!$G$975)=0,"",IF(('Dvd Calendar'!$G$975&gt;=GRID_FROM)*('Dvd Calendar'!$G$975&lt;=GRID_TO)*('Dvd Calendar'!$G$975&gt;VAL_DATE)=0,"",'Dvd Calendar'!$G$975*1000000000+ISNUMBER('Dvd Calendar'!$G$976)*100000000+0*10000000+(N('Dvd Calendar'!$G$974)&gt;0)*(N('Dvd Calendar'!$G$974)&lt;=VAL_SERIAL)*1000000+88*1000+43))</f>
        <v/>
      </c>
      <c r="FV99" s="35">
        <f>IF(N('Dvd Calendar'!$H$975)=0,"",IF(('Dvd Calendar'!$H$975&gt;=GRID_FROM)*('Dvd Calendar'!$H$975&lt;=GRID_TO)*('Dvd Calendar'!$H$975&gt;VAL_DATE)=0,"",'Dvd Calendar'!$H$975*1000000000+ISNUMBER('Dvd Calendar'!$H$976)*100000000+0*10000000+(N('Dvd Calendar'!$H$974)&gt;0)*(N('Dvd Calendar'!$H$974)&lt;=VAL_SERIAL)*1000000+88*1000+44))</f>
        <v/>
      </c>
      <c r="FW99" s="35">
        <f>IF(N('Dvd Calendar'!$I$975)=0,"",IF(('Dvd Calendar'!$I$975&gt;=GRID_FROM)*('Dvd Calendar'!$I$975&lt;=GRID_TO)*('Dvd Calendar'!$I$975&gt;VAL_DATE)=0,"",'Dvd Calendar'!$I$975*1000000000+ISNUMBER('Dvd Calendar'!$I$976)*100000000+0*10000000+(N('Dvd Calendar'!$I$974)&gt;0)*(N('Dvd Calendar'!$I$974)&lt;=VAL_SERIAL)*1000000+88*1000+45))</f>
        <v/>
      </c>
      <c r="FX99" s="35">
        <f>IF(N('Dvd Calendar'!$J$975)=0,"",IF(('Dvd Calendar'!$J$975&gt;=GRID_FROM)*('Dvd Calendar'!$J$975&lt;=GRID_TO)*('Dvd Calendar'!$J$975&gt;VAL_DATE)=0,"",'Dvd Calendar'!$J$975*1000000000+ISNUMBER('Dvd Calendar'!$J$976)*100000000+0*10000000+(N('Dvd Calendar'!$J$974)&gt;0)*(N('Dvd Calendar'!$J$974)&lt;=VAL_SERIAL)*1000000+88*1000+46))</f>
        <v/>
      </c>
      <c r="FY99" s="35">
        <f>IF(N('Dvd Calendar'!$K$975)=0,"",IF(('Dvd Calendar'!$K$975&gt;=GRID_FROM)*('Dvd Calendar'!$K$975&lt;=GRID_TO)*('Dvd Calendar'!$K$975&gt;VAL_DATE)=0,"",'Dvd Calendar'!$K$975*1000000000+ISNUMBER('Dvd Calendar'!$K$976)*100000000+0*10000000+(N('Dvd Calendar'!$K$974)&gt;0)*(N('Dvd Calendar'!$K$974)&lt;=VAL_SERIAL)*1000000+88*1000+47))</f>
        <v/>
      </c>
      <c r="FZ99" s="35">
        <f>IF(N('Dvd Calendar'!$L$975)=0,"",IF(('Dvd Calendar'!$L$975&gt;=GRID_FROM)*('Dvd Calendar'!$L$975&lt;=GRID_TO)*('Dvd Calendar'!$L$975&gt;VAL_DATE)=0,"",'Dvd Calendar'!$L$975*1000000000+ISNUMBER('Dvd Calendar'!$L$976)*100000000+0*10000000+(N('Dvd Calendar'!$L$974)&gt;0)*(N('Dvd Calendar'!$L$974)&lt;=VAL_SERIAL)*1000000+88*1000+48))</f>
        <v/>
      </c>
      <c r="GA99" s="35">
        <f>IF(N('Dvd Calendar'!$M$975)=0,"",IF(('Dvd Calendar'!$M$975&gt;=GRID_FROM)*('Dvd Calendar'!$M$975&lt;=GRID_TO)*('Dvd Calendar'!$M$975&gt;VAL_DATE)=0,"",'Dvd Calendar'!$M$975*1000000000+ISNUMBER('Dvd Calendar'!$M$976)*100000000+0*10000000+(N('Dvd Calendar'!$M$974)&gt;0)*(N('Dvd Calendar'!$M$974)&lt;=VAL_SERIAL)*1000000+88*1000+49))</f>
        <v/>
      </c>
      <c r="GB99" s="35">
        <f>IF(N('Dvd Calendar'!$N$975)=0,"",IF(('Dvd Calendar'!$N$975&gt;=GRID_FROM)*('Dvd Calendar'!$N$975&lt;=GRID_TO)*('Dvd Calendar'!$N$975&gt;VAL_DATE)=0,"",'Dvd Calendar'!$N$975*1000000000+ISNUMBER('Dvd Calendar'!$N$976)*100000000+0*10000000+(N('Dvd Calendar'!$N$974)&gt;0)*(N('Dvd Calendar'!$N$974)&lt;=VAL_SERIAL)*1000000+88*1000+50))</f>
        <v/>
      </c>
      <c r="GC99" s="35">
        <f>IF(N('Dvd Calendar'!$O$975)=0,"",IF(('Dvd Calendar'!$O$975&gt;=GRID_FROM)*('Dvd Calendar'!$O$975&lt;=GRID_TO)*('Dvd Calendar'!$O$975&gt;VAL_DATE)=0,"",'Dvd Calendar'!$O$975*1000000000+ISNUMBER('Dvd Calendar'!$O$976)*100000000+0*10000000+(N('Dvd Calendar'!$O$974)&gt;0)*(N('Dvd Calendar'!$O$974)&lt;=VAL_SERIAL)*1000000+88*1000+51))</f>
        <v/>
      </c>
      <c r="GD99" s="35">
        <f>IF(N('Dvd Calendar'!$P$975)=0,"",IF(('Dvd Calendar'!$P$975&gt;=GRID_FROM)*('Dvd Calendar'!$P$975&lt;=GRID_TO)*('Dvd Calendar'!$P$975&gt;VAL_DATE)=0,"",'Dvd Calendar'!$P$975*1000000000+ISNUMBER('Dvd Calendar'!$P$976)*100000000+0*10000000+(N('Dvd Calendar'!$P$974)&gt;0)*(N('Dvd Calendar'!$P$974)&lt;=VAL_SERIAL)*1000000+88*1000+52))</f>
        <v/>
      </c>
      <c r="GE99" s="35">
        <f>IF(N('Dvd Calendar'!$Q$975)=0,"",IF(('Dvd Calendar'!$Q$975&gt;=GRID_FROM)*('Dvd Calendar'!$Q$975&lt;=GRID_TO)*('Dvd Calendar'!$Q$975&gt;VAL_DATE)=0,"",'Dvd Calendar'!$Q$975*1000000000+ISNUMBER('Dvd Calendar'!$Q$976)*100000000+0*10000000+(N('Dvd Calendar'!$Q$974)&gt;0)*(N('Dvd Calendar'!$Q$974)&lt;=VAL_SERIAL)*1000000+88*1000+53))</f>
        <v/>
      </c>
      <c r="GF99" s="35">
        <f>IF(N('Dvd Calendar'!$R$975)=0,"",IF(('Dvd Calendar'!$R$975&gt;=GRID_FROM)*('Dvd Calendar'!$R$975&lt;=GRID_TO)*('Dvd Calendar'!$R$975&gt;VAL_DATE)=0,"",'Dvd Calendar'!$R$975*1000000000+ISNUMBER('Dvd Calendar'!$R$976)*100000000+0*10000000+(N('Dvd Calendar'!$R$974)&gt;0)*(N('Dvd Calendar'!$R$974)&lt;=VAL_SERIAL)*1000000+88*1000+54))</f>
        <v/>
      </c>
      <c r="GG99" s="35">
        <f>IF(N('Dvd Calendar'!$S$975)=0,"",IF(('Dvd Calendar'!$S$975&gt;=GRID_FROM)*('Dvd Calendar'!$S$975&lt;=GRID_TO)*('Dvd Calendar'!$S$975&gt;VAL_DATE)=0,"",'Dvd Calendar'!$S$975*1000000000+ISNUMBER('Dvd Calendar'!$S$976)*100000000+0*10000000+(N('Dvd Calendar'!$S$974)&gt;0)*(N('Dvd Calendar'!$S$974)&lt;=VAL_SERIAL)*1000000+88*1000+55))</f>
        <v/>
      </c>
      <c r="GH99" s="35">
        <f>IF(N('Dvd Calendar'!$T$975)=0,"",IF(('Dvd Calendar'!$T$975&gt;=GRID_FROM)*('Dvd Calendar'!$T$975&lt;=GRID_TO)*('Dvd Calendar'!$T$975&gt;VAL_DATE)=0,"",'Dvd Calendar'!$T$975*1000000000+ISNUMBER('Dvd Calendar'!$T$976)*100000000+0*10000000+(N('Dvd Calendar'!$T$974)&gt;0)*(N('Dvd Calendar'!$T$974)&lt;=VAL_SERIAL)*1000000+88*1000+56))</f>
        <v/>
      </c>
      <c r="GI99" s="35">
        <f>IF(N('Dvd Calendar'!$U$975)=0,"",IF(('Dvd Calendar'!$U$975&gt;=GRID_FROM)*('Dvd Calendar'!$U$975&lt;=GRID_TO)*('Dvd Calendar'!$U$975&gt;VAL_DATE)=0,"",'Dvd Calendar'!$U$975*1000000000+ISNUMBER('Dvd Calendar'!$U$976)*100000000+0*10000000+(N('Dvd Calendar'!$U$974)&gt;0)*(N('Dvd Calendar'!$U$974)&lt;=VAL_SERIAL)*1000000+88*1000+57))</f>
        <v/>
      </c>
      <c r="GJ99" s="35">
        <f>IF(N('Dvd Calendar'!$V$975)=0,"",IF(('Dvd Calendar'!$V$975&gt;=GRID_FROM)*('Dvd Calendar'!$V$975&lt;=GRID_TO)*('Dvd Calendar'!$V$975&gt;VAL_DATE)=0,"",'Dvd Calendar'!$V$975*1000000000+ISNUMBER('Dvd Calendar'!$V$976)*100000000+0*10000000+(N('Dvd Calendar'!$V$974)&gt;0)*(N('Dvd Calendar'!$V$974)&lt;=VAL_SERIAL)*1000000+88*1000+58))</f>
        <v/>
      </c>
      <c r="GK99" s="35">
        <f>IF(N('Dvd Calendar'!$W$975)=0,"",IF(('Dvd Calendar'!$W$975&gt;=GRID_FROM)*('Dvd Calendar'!$W$975&lt;=GRID_TO)*('Dvd Calendar'!$W$975&gt;VAL_DATE)=0,"",'Dvd Calendar'!$W$975*1000000000+ISNUMBER('Dvd Calendar'!$W$976)*100000000+0*10000000+(N('Dvd Calendar'!$W$974)&gt;0)*(N('Dvd Calendar'!$W$974)&lt;=VAL_SERIAL)*1000000+88*1000+59))</f>
        <v/>
      </c>
      <c r="GL99" s="35">
        <f>IF(N('Dvd Calendar'!$X$975)=0,"",IF(('Dvd Calendar'!$X$975&gt;=GRID_FROM)*('Dvd Calendar'!$X$975&lt;=GRID_TO)*('Dvd Calendar'!$X$975&gt;VAL_DATE)=0,"",'Dvd Calendar'!$X$975*1000000000+ISNUMBER('Dvd Calendar'!$X$976)*100000000+0*10000000+(N('Dvd Calendar'!$X$974)&gt;0)*(N('Dvd Calendar'!$X$974)&lt;=VAL_SERIAL)*1000000+88*1000+60))</f>
        <v/>
      </c>
      <c r="GM99" s="35">
        <f>IF(N('Dvd Calendar'!$Y$975)=0,"",IF(('Dvd Calendar'!$Y$975&gt;=GRID_FROM)*('Dvd Calendar'!$Y$975&lt;=GRID_TO)*('Dvd Calendar'!$Y$975&gt;VAL_DATE)=0,"",'Dvd Calendar'!$Y$975*1000000000+ISNUMBER('Dvd Calendar'!$Y$976)*100000000+0*10000000+(N('Dvd Calendar'!$Y$974)&gt;0)*(N('Dvd Calendar'!$Y$974)&lt;=VAL_SERIAL)*1000000+88*1000+61))</f>
        <v/>
      </c>
      <c r="GN99" s="35">
        <f>IF(N('Dvd Calendar'!$Z$975)=0,"",IF(('Dvd Calendar'!$Z$975&gt;=GRID_FROM)*('Dvd Calendar'!$Z$975&lt;=GRID_TO)*('Dvd Calendar'!$Z$975&gt;VAL_DATE)=0,"",'Dvd Calendar'!$Z$975*1000000000+ISNUMBER('Dvd Calendar'!$Z$976)*100000000+0*10000000+(N('Dvd Calendar'!$Z$974)&gt;0)*(N('Dvd Calendar'!$Z$974)&lt;=VAL_SERIAL)*1000000+88*1000+62))</f>
        <v/>
      </c>
      <c r="GO99" s="35">
        <f>IF(N('Dvd Calendar'!$AA$975)=0,"",IF(('Dvd Calendar'!$AA$975&gt;=GRID_FROM)*('Dvd Calendar'!$AA$975&lt;=GRID_TO)*('Dvd Calendar'!$AA$975&gt;VAL_DATE)=0,"",'Dvd Calendar'!$AA$975*1000000000+ISNUMBER('Dvd Calendar'!$AA$976)*100000000+0*10000000+(N('Dvd Calendar'!$AA$974)&gt;0)*(N('Dvd Calendar'!$AA$974)&lt;=VAL_SERIAL)*1000000+88*1000+63))</f>
        <v/>
      </c>
      <c r="GP99" s="35">
        <f>IF(N('Dvd Calendar'!$AB$975)=0,"",IF(('Dvd Calendar'!$AB$975&gt;=GRID_FROM)*('Dvd Calendar'!$AB$975&lt;=GRID_TO)*('Dvd Calendar'!$AB$975&gt;VAL_DATE)=0,"",'Dvd Calendar'!$AB$975*1000000000+ISNUMBER('Dvd Calendar'!$AB$976)*100000000+0*10000000+(N('Dvd Calendar'!$AB$974)&gt;0)*(N('Dvd Calendar'!$AB$974)&lt;=VAL_SERIAL)*1000000+88*1000+64))</f>
        <v/>
      </c>
      <c r="GQ99" s="35">
        <f>IF(N('Dvd Calendar'!$AC$975)=0,"",IF(('Dvd Calendar'!$AC$975&gt;=GRID_FROM)*('Dvd Calendar'!$AC$975&lt;=GRID_TO)*('Dvd Calendar'!$AC$975&gt;VAL_DATE)=0,"",'Dvd Calendar'!$AC$975*1000000000+ISNUMBER('Dvd Calendar'!$AC$976)*100000000+0*10000000+(N('Dvd Calendar'!$AC$974)&gt;0)*(N('Dvd Calendar'!$AC$974)&lt;=VAL_SERIAL)*1000000+88*1000+65))</f>
        <v/>
      </c>
    </row>
    <row r="100">
      <c r="B100" s="2">
        <f>IF(HSI!$C$95="","",HSI!$C$95)</f>
        <v/>
      </c>
      <c r="C100" s="106">
        <f>IF(EE100="","",IF(ISNUMBER('Dvd Calendar'!$E$982)=FALSE,"",IF((('Dvd Calendar'!$E$984=TYPE1)*(TYPE1&lt;&gt;"")+('Dvd Calendar'!$E$984=TYPE2)*(TYPE2&lt;&gt;"")+('Dvd Calendar'!$E$984=TYPE3)*(TYPE3&lt;&gt;"")+('Dvd Calendar'!$E$984=TYPE4)*(TYPE4&lt;&gt;"")+('Dvd Calendar'!$E$984=SPECIAL_LBL)*(INC_SPECIALS="Y"))=0,"",'Dvd Calendar'!$E$982)))</f>
        <v/>
      </c>
      <c r="D100" s="106">
        <f>IF(EF100="","",IF(ISNUMBER('Dvd Calendar'!$F$982)=FALSE,"",IF((('Dvd Calendar'!$F$984=TYPE1)*(TYPE1&lt;&gt;"")+('Dvd Calendar'!$F$984=TYPE2)*(TYPE2&lt;&gt;"")+('Dvd Calendar'!$F$984=TYPE3)*(TYPE3&lt;&gt;"")+('Dvd Calendar'!$F$984=TYPE4)*(TYPE4&lt;&gt;"")+('Dvd Calendar'!$F$984=SPECIAL_LBL)*(INC_SPECIALS="Y"))=0,"",'Dvd Calendar'!$F$982)))</f>
        <v/>
      </c>
      <c r="E100" s="106">
        <f>IF(EG100="","",IF(ISNUMBER('Dvd Calendar'!$G$982)=FALSE,"",IF((('Dvd Calendar'!$G$984=TYPE1)*(TYPE1&lt;&gt;"")+('Dvd Calendar'!$G$984=TYPE2)*(TYPE2&lt;&gt;"")+('Dvd Calendar'!$G$984=TYPE3)*(TYPE3&lt;&gt;"")+('Dvd Calendar'!$G$984=TYPE4)*(TYPE4&lt;&gt;"")+('Dvd Calendar'!$G$984=SPECIAL_LBL)*(INC_SPECIALS="Y"))=0,"",'Dvd Calendar'!$G$982)))</f>
        <v/>
      </c>
      <c r="F100" s="106">
        <f>IF(EH100="","",IF(ISNUMBER('Dvd Calendar'!$H$982)=FALSE,"",IF((('Dvd Calendar'!$H$984=TYPE1)*(TYPE1&lt;&gt;"")+('Dvd Calendar'!$H$984=TYPE2)*(TYPE2&lt;&gt;"")+('Dvd Calendar'!$H$984=TYPE3)*(TYPE3&lt;&gt;"")+('Dvd Calendar'!$H$984=TYPE4)*(TYPE4&lt;&gt;"")+('Dvd Calendar'!$H$984=SPECIAL_LBL)*(INC_SPECIALS="Y"))=0,"",'Dvd Calendar'!$H$982)))</f>
        <v/>
      </c>
      <c r="G100" s="106">
        <f>IF(EI100="","",IF(ISNUMBER('Dvd Calendar'!$I$982)=FALSE,"",IF((('Dvd Calendar'!$I$984=TYPE1)*(TYPE1&lt;&gt;"")+('Dvd Calendar'!$I$984=TYPE2)*(TYPE2&lt;&gt;"")+('Dvd Calendar'!$I$984=TYPE3)*(TYPE3&lt;&gt;"")+('Dvd Calendar'!$I$984=TYPE4)*(TYPE4&lt;&gt;"")+('Dvd Calendar'!$I$984=SPECIAL_LBL)*(INC_SPECIALS="Y"))=0,"",'Dvd Calendar'!$I$982)))</f>
        <v/>
      </c>
      <c r="H100" s="106">
        <f>IF(EJ100="","",IF(ISNUMBER('Dvd Calendar'!$J$982)=FALSE,"",IF((('Dvd Calendar'!$J$984=TYPE1)*(TYPE1&lt;&gt;"")+('Dvd Calendar'!$J$984=TYPE2)*(TYPE2&lt;&gt;"")+('Dvd Calendar'!$J$984=TYPE3)*(TYPE3&lt;&gt;"")+('Dvd Calendar'!$J$984=TYPE4)*(TYPE4&lt;&gt;"")+('Dvd Calendar'!$J$984=SPECIAL_LBL)*(INC_SPECIALS="Y"))=0,"",'Dvd Calendar'!$J$982)))</f>
        <v/>
      </c>
      <c r="I100" s="106">
        <f>IF(EK100="","",IF(ISNUMBER('Dvd Calendar'!$K$982)=FALSE,"",IF((('Dvd Calendar'!$K$984=TYPE1)*(TYPE1&lt;&gt;"")+('Dvd Calendar'!$K$984=TYPE2)*(TYPE2&lt;&gt;"")+('Dvd Calendar'!$K$984=TYPE3)*(TYPE3&lt;&gt;"")+('Dvd Calendar'!$K$984=TYPE4)*(TYPE4&lt;&gt;"")+('Dvd Calendar'!$K$984=SPECIAL_LBL)*(INC_SPECIALS="Y"))=0,"",'Dvd Calendar'!$K$982)))</f>
        <v/>
      </c>
      <c r="J100" s="106">
        <f>IF(EL100="","",IF(ISNUMBER('Dvd Calendar'!$L$982)=FALSE,"",IF((('Dvd Calendar'!$L$984=TYPE1)*(TYPE1&lt;&gt;"")+('Dvd Calendar'!$L$984=TYPE2)*(TYPE2&lt;&gt;"")+('Dvd Calendar'!$L$984=TYPE3)*(TYPE3&lt;&gt;"")+('Dvd Calendar'!$L$984=TYPE4)*(TYPE4&lt;&gt;"")+('Dvd Calendar'!$L$984=SPECIAL_LBL)*(INC_SPECIALS="Y"))=0,"",'Dvd Calendar'!$L$982)))</f>
        <v/>
      </c>
      <c r="K100" s="106">
        <f>IF(EM100="","",IF(ISNUMBER('Dvd Calendar'!$M$982)=FALSE,"",IF((('Dvd Calendar'!$M$984=TYPE1)*(TYPE1&lt;&gt;"")+('Dvd Calendar'!$M$984=TYPE2)*(TYPE2&lt;&gt;"")+('Dvd Calendar'!$M$984=TYPE3)*(TYPE3&lt;&gt;"")+('Dvd Calendar'!$M$984=TYPE4)*(TYPE4&lt;&gt;"")+('Dvd Calendar'!$M$984=SPECIAL_LBL)*(INC_SPECIALS="Y"))=0,"",'Dvd Calendar'!$M$982)))</f>
        <v/>
      </c>
      <c r="L100" s="106">
        <f>IF(EN100="","",IF(ISNUMBER('Dvd Calendar'!$N$982)=FALSE,"",IF((('Dvd Calendar'!$N$984=TYPE1)*(TYPE1&lt;&gt;"")+('Dvd Calendar'!$N$984=TYPE2)*(TYPE2&lt;&gt;"")+('Dvd Calendar'!$N$984=TYPE3)*(TYPE3&lt;&gt;"")+('Dvd Calendar'!$N$984=TYPE4)*(TYPE4&lt;&gt;"")+('Dvd Calendar'!$N$984=SPECIAL_LBL)*(INC_SPECIALS="Y"))=0,"",'Dvd Calendar'!$N$982)))</f>
        <v/>
      </c>
      <c r="M100" s="106">
        <f>IF(EO100="","",IF(ISNUMBER('Dvd Calendar'!$O$982)=FALSE,"",IF((('Dvd Calendar'!$O$984=TYPE1)*(TYPE1&lt;&gt;"")+('Dvd Calendar'!$O$984=TYPE2)*(TYPE2&lt;&gt;"")+('Dvd Calendar'!$O$984=TYPE3)*(TYPE3&lt;&gt;"")+('Dvd Calendar'!$O$984=TYPE4)*(TYPE4&lt;&gt;"")+('Dvd Calendar'!$O$984=SPECIAL_LBL)*(INC_SPECIALS="Y"))=0,"",'Dvd Calendar'!$O$982)))</f>
        <v/>
      </c>
      <c r="N100" s="106">
        <f>IF(EP100="","",IF(ISNUMBER('Dvd Calendar'!$P$982)=FALSE,"",IF((('Dvd Calendar'!$P$984=TYPE1)*(TYPE1&lt;&gt;"")+('Dvd Calendar'!$P$984=TYPE2)*(TYPE2&lt;&gt;"")+('Dvd Calendar'!$P$984=TYPE3)*(TYPE3&lt;&gt;"")+('Dvd Calendar'!$P$984=TYPE4)*(TYPE4&lt;&gt;"")+('Dvd Calendar'!$P$984=SPECIAL_LBL)*(INC_SPECIALS="Y"))=0,"",'Dvd Calendar'!$P$982)))</f>
        <v/>
      </c>
      <c r="O100" s="106">
        <f>IF(EQ100="","",IF(ISNUMBER('Dvd Calendar'!$Q$982)=FALSE,"",IF((('Dvd Calendar'!$Q$984=TYPE1)*(TYPE1&lt;&gt;"")+('Dvd Calendar'!$Q$984=TYPE2)*(TYPE2&lt;&gt;"")+('Dvd Calendar'!$Q$984=TYPE3)*(TYPE3&lt;&gt;"")+('Dvd Calendar'!$Q$984=TYPE4)*(TYPE4&lt;&gt;"")+('Dvd Calendar'!$Q$984=SPECIAL_LBL)*(INC_SPECIALS="Y"))=0,"",'Dvd Calendar'!$Q$982)))</f>
        <v/>
      </c>
      <c r="P100" s="106">
        <f>IF(ER100="","",IF(ISNUMBER('Dvd Calendar'!$R$982)=FALSE,"",IF((('Dvd Calendar'!$R$984=TYPE1)*(TYPE1&lt;&gt;"")+('Dvd Calendar'!$R$984=TYPE2)*(TYPE2&lt;&gt;"")+('Dvd Calendar'!$R$984=TYPE3)*(TYPE3&lt;&gt;"")+('Dvd Calendar'!$R$984=TYPE4)*(TYPE4&lt;&gt;"")+('Dvd Calendar'!$R$984=SPECIAL_LBL)*(INC_SPECIALS="Y"))=0,"",'Dvd Calendar'!$R$982)))</f>
        <v/>
      </c>
      <c r="Q100" s="106">
        <f>IF(ES100="","",IF(ISNUMBER('Dvd Calendar'!$S$982)=FALSE,"",IF((('Dvd Calendar'!$S$984=TYPE1)*(TYPE1&lt;&gt;"")+('Dvd Calendar'!$S$984=TYPE2)*(TYPE2&lt;&gt;"")+('Dvd Calendar'!$S$984=TYPE3)*(TYPE3&lt;&gt;"")+('Dvd Calendar'!$S$984=TYPE4)*(TYPE4&lt;&gt;"")+('Dvd Calendar'!$S$984=SPECIAL_LBL)*(INC_SPECIALS="Y"))=0,"",'Dvd Calendar'!$S$982)))</f>
        <v/>
      </c>
      <c r="R100" s="106">
        <f>IF(ET100="","",IF(ISNUMBER('Dvd Calendar'!$T$982)=FALSE,"",IF((('Dvd Calendar'!$T$984=TYPE1)*(TYPE1&lt;&gt;"")+('Dvd Calendar'!$T$984=TYPE2)*(TYPE2&lt;&gt;"")+('Dvd Calendar'!$T$984=TYPE3)*(TYPE3&lt;&gt;"")+('Dvd Calendar'!$T$984=TYPE4)*(TYPE4&lt;&gt;"")+('Dvd Calendar'!$T$984=SPECIAL_LBL)*(INC_SPECIALS="Y"))=0,"",'Dvd Calendar'!$T$982)))</f>
        <v/>
      </c>
      <c r="S100" s="106">
        <f>IF(EU100="","",IF(ISNUMBER('Dvd Calendar'!$U$982)=FALSE,"",IF((('Dvd Calendar'!$U$984=TYPE1)*(TYPE1&lt;&gt;"")+('Dvd Calendar'!$U$984=TYPE2)*(TYPE2&lt;&gt;"")+('Dvd Calendar'!$U$984=TYPE3)*(TYPE3&lt;&gt;"")+('Dvd Calendar'!$U$984=TYPE4)*(TYPE4&lt;&gt;"")+('Dvd Calendar'!$U$984=SPECIAL_LBL)*(INC_SPECIALS="Y"))=0,"",'Dvd Calendar'!$U$982)))</f>
        <v/>
      </c>
      <c r="T100" s="106">
        <f>IF(EV100="","",IF(ISNUMBER('Dvd Calendar'!$V$982)=FALSE,"",IF((('Dvd Calendar'!$V$984=TYPE1)*(TYPE1&lt;&gt;"")+('Dvd Calendar'!$V$984=TYPE2)*(TYPE2&lt;&gt;"")+('Dvd Calendar'!$V$984=TYPE3)*(TYPE3&lt;&gt;"")+('Dvd Calendar'!$V$984=TYPE4)*(TYPE4&lt;&gt;"")+('Dvd Calendar'!$V$984=SPECIAL_LBL)*(INC_SPECIALS="Y"))=0,"",'Dvd Calendar'!$V$982)))</f>
        <v/>
      </c>
      <c r="U100" s="106">
        <f>IF(EW100="","",IF(ISNUMBER('Dvd Calendar'!$W$982)=FALSE,"",IF((('Dvd Calendar'!$W$984=TYPE1)*(TYPE1&lt;&gt;"")+('Dvd Calendar'!$W$984=TYPE2)*(TYPE2&lt;&gt;"")+('Dvd Calendar'!$W$984=TYPE3)*(TYPE3&lt;&gt;"")+('Dvd Calendar'!$W$984=TYPE4)*(TYPE4&lt;&gt;"")+('Dvd Calendar'!$W$984=SPECIAL_LBL)*(INC_SPECIALS="Y"))=0,"",'Dvd Calendar'!$W$982)))</f>
        <v/>
      </c>
      <c r="V100" s="106">
        <f>IF(EX100="","",IF(ISNUMBER('Dvd Calendar'!$X$982)=FALSE,"",IF((('Dvd Calendar'!$X$984=TYPE1)*(TYPE1&lt;&gt;"")+('Dvd Calendar'!$X$984=TYPE2)*(TYPE2&lt;&gt;"")+('Dvd Calendar'!$X$984=TYPE3)*(TYPE3&lt;&gt;"")+('Dvd Calendar'!$X$984=TYPE4)*(TYPE4&lt;&gt;"")+('Dvd Calendar'!$X$984=SPECIAL_LBL)*(INC_SPECIALS="Y"))=0,"",'Dvd Calendar'!$X$982)))</f>
        <v/>
      </c>
      <c r="W100" s="106">
        <f>IF(EY100="","",IF(ISNUMBER('Dvd Calendar'!$Y$982)=FALSE,"",IF((('Dvd Calendar'!$Y$984=TYPE1)*(TYPE1&lt;&gt;"")+('Dvd Calendar'!$Y$984=TYPE2)*(TYPE2&lt;&gt;"")+('Dvd Calendar'!$Y$984=TYPE3)*(TYPE3&lt;&gt;"")+('Dvd Calendar'!$Y$984=TYPE4)*(TYPE4&lt;&gt;"")+('Dvd Calendar'!$Y$984=SPECIAL_LBL)*(INC_SPECIALS="Y"))=0,"",'Dvd Calendar'!$Y$982)))</f>
        <v/>
      </c>
      <c r="X100" s="106">
        <f>IF(EZ100="","",IF(ISNUMBER('Dvd Calendar'!$Z$982)=FALSE,"",IF((('Dvd Calendar'!$Z$984=TYPE1)*(TYPE1&lt;&gt;"")+('Dvd Calendar'!$Z$984=TYPE2)*(TYPE2&lt;&gt;"")+('Dvd Calendar'!$Z$984=TYPE3)*(TYPE3&lt;&gt;"")+('Dvd Calendar'!$Z$984=TYPE4)*(TYPE4&lt;&gt;"")+('Dvd Calendar'!$Z$984=SPECIAL_LBL)*(INC_SPECIALS="Y"))=0,"",'Dvd Calendar'!$Z$982)))</f>
        <v/>
      </c>
      <c r="Y100" s="106">
        <f>IF(FA100="","",IF(ISNUMBER('Dvd Calendar'!$AA$982)=FALSE,"",IF((('Dvd Calendar'!$AA$984=TYPE1)*(TYPE1&lt;&gt;"")+('Dvd Calendar'!$AA$984=TYPE2)*(TYPE2&lt;&gt;"")+('Dvd Calendar'!$AA$984=TYPE3)*(TYPE3&lt;&gt;"")+('Dvd Calendar'!$AA$984=TYPE4)*(TYPE4&lt;&gt;"")+('Dvd Calendar'!$AA$984=SPECIAL_LBL)*(INC_SPECIALS="Y"))=0,"",'Dvd Calendar'!$AA$982)))</f>
        <v/>
      </c>
      <c r="Z100" s="106">
        <f>IF(FB100="","",IF(ISNUMBER('Dvd Calendar'!$AB$982)=FALSE,"",IF((('Dvd Calendar'!$AB$984=TYPE1)*(TYPE1&lt;&gt;"")+('Dvd Calendar'!$AB$984=TYPE2)*(TYPE2&lt;&gt;"")+('Dvd Calendar'!$AB$984=TYPE3)*(TYPE3&lt;&gt;"")+('Dvd Calendar'!$AB$984=TYPE4)*(TYPE4&lt;&gt;"")+('Dvd Calendar'!$AB$984=SPECIAL_LBL)*(INC_SPECIALS="Y"))=0,"",'Dvd Calendar'!$AB$982)))</f>
        <v/>
      </c>
      <c r="AA100" s="106">
        <f>IF(FC100="","",IF(ISNUMBER('Dvd Calendar'!$AC$982)=FALSE,"",IF((('Dvd Calendar'!$AC$984=TYPE1)*(TYPE1&lt;&gt;"")+('Dvd Calendar'!$AC$984=TYPE2)*(TYPE2&lt;&gt;"")+('Dvd Calendar'!$AC$984=TYPE3)*(TYPE3&lt;&gt;"")+('Dvd Calendar'!$AC$984=TYPE4)*(TYPE4&lt;&gt;"")+('Dvd Calendar'!$AC$984=SPECIAL_LBL)*(INC_SPECIALS="Y"))=0,"",'Dvd Calendar'!$AC$982)))</f>
        <v/>
      </c>
      <c r="AB100" s="106">
        <f>IF(FD100="","",IF(ISNUMBER('Dvd Calendar'!$AD$982)=FALSE,"",IF((('Dvd Calendar'!$AD$984=TYPE1)*(TYPE1&lt;&gt;"")+('Dvd Calendar'!$AD$984=TYPE2)*(TYPE2&lt;&gt;"")+('Dvd Calendar'!$AD$984=TYPE3)*(TYPE3&lt;&gt;"")+('Dvd Calendar'!$AD$984=TYPE4)*(TYPE4&lt;&gt;"")+('Dvd Calendar'!$AD$984=SPECIAL_LBL)*(INC_SPECIALS="Y"))=0,"",'Dvd Calendar'!$AD$982)))</f>
        <v/>
      </c>
      <c r="AC100" s="106">
        <f>IF(FE100="","",IF(ISNUMBER('Dvd Calendar'!$AE$982)=FALSE,"",IF((('Dvd Calendar'!$AE$984=TYPE1)*(TYPE1&lt;&gt;"")+('Dvd Calendar'!$AE$984=TYPE2)*(TYPE2&lt;&gt;"")+('Dvd Calendar'!$AE$984=TYPE3)*(TYPE3&lt;&gt;"")+('Dvd Calendar'!$AE$984=TYPE4)*(TYPE4&lt;&gt;"")+('Dvd Calendar'!$AE$984=SPECIAL_LBL)*(INC_SPECIALS="Y"))=0,"",'Dvd Calendar'!$AE$982)))</f>
        <v/>
      </c>
      <c r="AD100" s="106">
        <f>IF(FF100="","",IF(ISNUMBER('Dvd Calendar'!$AF$982)=FALSE,"",IF((('Dvd Calendar'!$AF$984=TYPE1)*(TYPE1&lt;&gt;"")+('Dvd Calendar'!$AF$984=TYPE2)*(TYPE2&lt;&gt;"")+('Dvd Calendar'!$AF$984=TYPE3)*(TYPE3&lt;&gt;"")+('Dvd Calendar'!$AF$984=TYPE4)*(TYPE4&lt;&gt;"")+('Dvd Calendar'!$AF$984=SPECIAL_LBL)*(INC_SPECIALS="Y"))=0,"",'Dvd Calendar'!$AF$982)))</f>
        <v/>
      </c>
      <c r="AE100" s="106">
        <f>IF(FG100="","",IF(ISNUMBER('Dvd Calendar'!$AG$982)=FALSE,"",IF((('Dvd Calendar'!$AG$984=TYPE1)*(TYPE1&lt;&gt;"")+('Dvd Calendar'!$AG$984=TYPE2)*(TYPE2&lt;&gt;"")+('Dvd Calendar'!$AG$984=TYPE3)*(TYPE3&lt;&gt;"")+('Dvd Calendar'!$AG$984=TYPE4)*(TYPE4&lt;&gt;"")+('Dvd Calendar'!$AG$984=SPECIAL_LBL)*(INC_SPECIALS="Y"))=0,"",'Dvd Calendar'!$AG$982)))</f>
        <v/>
      </c>
      <c r="AF100" s="106">
        <f>IF(FH100="","",IF(ISNUMBER('Dvd Calendar'!$AH$982)=FALSE,"",IF((('Dvd Calendar'!$AH$984=TYPE1)*(TYPE1&lt;&gt;"")+('Dvd Calendar'!$AH$984=TYPE2)*(TYPE2&lt;&gt;"")+('Dvd Calendar'!$AH$984=TYPE3)*(TYPE3&lt;&gt;"")+('Dvd Calendar'!$AH$984=TYPE4)*(TYPE4&lt;&gt;"")+('Dvd Calendar'!$AH$984=SPECIAL_LBL)*(INC_SPECIALS="Y"))=0,"",'Dvd Calendar'!$AH$982)))</f>
        <v/>
      </c>
      <c r="AG100" s="106">
        <f>IF(FI100="","",IF(ISNUMBER('Dvd Calendar'!$AI$982)=FALSE,"",IF((('Dvd Calendar'!$AI$984=TYPE1)*(TYPE1&lt;&gt;"")+('Dvd Calendar'!$AI$984=TYPE2)*(TYPE2&lt;&gt;"")+('Dvd Calendar'!$AI$984=TYPE3)*(TYPE3&lt;&gt;"")+('Dvd Calendar'!$AI$984=TYPE4)*(TYPE4&lt;&gt;"")+('Dvd Calendar'!$AI$984=SPECIAL_LBL)*(INC_SPECIALS="Y"))=0,"",'Dvd Calendar'!$AI$982)))</f>
        <v/>
      </c>
      <c r="AH100" s="106">
        <f>IF(FJ100="","",IF(ISNUMBER('Dvd Calendar'!$AJ$982)=FALSE,"",IF((('Dvd Calendar'!$AJ$984=TYPE1)*(TYPE1&lt;&gt;"")+('Dvd Calendar'!$AJ$984=TYPE2)*(TYPE2&lt;&gt;"")+('Dvd Calendar'!$AJ$984=TYPE3)*(TYPE3&lt;&gt;"")+('Dvd Calendar'!$AJ$984=TYPE4)*(TYPE4&lt;&gt;"")+('Dvd Calendar'!$AJ$984=SPECIAL_LBL)*(INC_SPECIALS="Y"))=0,"",'Dvd Calendar'!$AJ$982)))</f>
        <v/>
      </c>
      <c r="AI100" s="106">
        <f>IF(FK100="","",IF(ISNUMBER('Dvd Calendar'!$AK$982)=FALSE,"",IF((('Dvd Calendar'!$AK$984=TYPE1)*(TYPE1&lt;&gt;"")+('Dvd Calendar'!$AK$984=TYPE2)*(TYPE2&lt;&gt;"")+('Dvd Calendar'!$AK$984=TYPE3)*(TYPE3&lt;&gt;"")+('Dvd Calendar'!$AK$984=TYPE4)*(TYPE4&lt;&gt;"")+('Dvd Calendar'!$AK$984=SPECIAL_LBL)*(INC_SPECIALS="Y"))=0,"",'Dvd Calendar'!$AK$982)))</f>
        <v/>
      </c>
      <c r="AJ100" s="106">
        <f>IF(FL100="","",IF(ISNUMBER('Dvd Calendar'!$AL$982)=FALSE,"",IF((('Dvd Calendar'!$AL$984=TYPE1)*(TYPE1&lt;&gt;"")+('Dvd Calendar'!$AL$984=TYPE2)*(TYPE2&lt;&gt;"")+('Dvd Calendar'!$AL$984=TYPE3)*(TYPE3&lt;&gt;"")+('Dvd Calendar'!$AL$984=TYPE4)*(TYPE4&lt;&gt;"")+('Dvd Calendar'!$AL$984=SPECIAL_LBL)*(INC_SPECIALS="Y"))=0,"",'Dvd Calendar'!$AL$982)))</f>
        <v/>
      </c>
      <c r="AK100" s="106">
        <f>IF(FM100="","",IF(ISNUMBER('Dvd Calendar'!$AM$982)=FALSE,"",IF((('Dvd Calendar'!$AM$984=TYPE1)*(TYPE1&lt;&gt;"")+('Dvd Calendar'!$AM$984=TYPE2)*(TYPE2&lt;&gt;"")+('Dvd Calendar'!$AM$984=TYPE3)*(TYPE3&lt;&gt;"")+('Dvd Calendar'!$AM$984=TYPE4)*(TYPE4&lt;&gt;"")+('Dvd Calendar'!$AM$984=SPECIAL_LBL)*(INC_SPECIALS="Y"))=0,"",'Dvd Calendar'!$AM$982)))</f>
        <v/>
      </c>
      <c r="AL100" s="106">
        <f>IF(FN100="","",IF(ISNUMBER('Dvd Calendar'!$AN$982)=FALSE,"",IF((('Dvd Calendar'!$AN$984=TYPE1)*(TYPE1&lt;&gt;"")+('Dvd Calendar'!$AN$984=TYPE2)*(TYPE2&lt;&gt;"")+('Dvd Calendar'!$AN$984=TYPE3)*(TYPE3&lt;&gt;"")+('Dvd Calendar'!$AN$984=TYPE4)*(TYPE4&lt;&gt;"")+('Dvd Calendar'!$AN$984=SPECIAL_LBL)*(INC_SPECIALS="Y"))=0,"",'Dvd Calendar'!$AN$982)))</f>
        <v/>
      </c>
      <c r="AM100" s="106">
        <f>IF(FO100="","",IF(ISNUMBER('Dvd Calendar'!$AO$982)=FALSE,"",IF((('Dvd Calendar'!$AO$984=TYPE1)*(TYPE1&lt;&gt;"")+('Dvd Calendar'!$AO$984=TYPE2)*(TYPE2&lt;&gt;"")+('Dvd Calendar'!$AO$984=TYPE3)*(TYPE3&lt;&gt;"")+('Dvd Calendar'!$AO$984=TYPE4)*(TYPE4&lt;&gt;"")+('Dvd Calendar'!$AO$984=SPECIAL_LBL)*(INC_SPECIALS="Y"))=0,"",'Dvd Calendar'!$AO$982)))</f>
        <v/>
      </c>
      <c r="AN100" s="106">
        <f>IF(FP100="","",IF(ISNUMBER('Dvd Calendar'!$AP$982)=FALSE,"",IF((('Dvd Calendar'!$AP$984=TYPE1)*(TYPE1&lt;&gt;"")+('Dvd Calendar'!$AP$984=TYPE2)*(TYPE2&lt;&gt;"")+('Dvd Calendar'!$AP$984=TYPE3)*(TYPE3&lt;&gt;"")+('Dvd Calendar'!$AP$984=TYPE4)*(TYPE4&lt;&gt;"")+('Dvd Calendar'!$AP$984=SPECIAL_LBL)*(INC_SPECIALS="Y"))=0,"",'Dvd Calendar'!$AP$982)))</f>
        <v/>
      </c>
      <c r="AO100" s="106">
        <f>IF(FQ100="","",IF(ISNUMBER('Dvd Calendar'!$AQ$982)=FALSE,"",IF((('Dvd Calendar'!$AQ$984=TYPE1)*(TYPE1&lt;&gt;"")+('Dvd Calendar'!$AQ$984=TYPE2)*(TYPE2&lt;&gt;"")+('Dvd Calendar'!$AQ$984=TYPE3)*(TYPE3&lt;&gt;"")+('Dvd Calendar'!$AQ$984=TYPE4)*(TYPE4&lt;&gt;"")+('Dvd Calendar'!$AQ$984=SPECIAL_LBL)*(INC_SPECIALS="Y"))=0,"",'Dvd Calendar'!$AQ$982)))</f>
        <v/>
      </c>
      <c r="AP100" s="106">
        <f>IF(FR100="","",IF(ISNUMBER('Dvd Calendar'!$AR$982)=FALSE,"",IF((('Dvd Calendar'!$AR$984=TYPE1)*(TYPE1&lt;&gt;"")+('Dvd Calendar'!$AR$984=TYPE2)*(TYPE2&lt;&gt;"")+('Dvd Calendar'!$AR$984=TYPE3)*(TYPE3&lt;&gt;"")+('Dvd Calendar'!$AR$984=TYPE4)*(TYPE4&lt;&gt;"")+('Dvd Calendar'!$AR$984=SPECIAL_LBL)*(INC_SPECIALS="Y"))=0,"",'Dvd Calendar'!$AR$982)))</f>
        <v/>
      </c>
      <c r="AQ100" s="106">
        <f>IF(FS100="","",IF(ISNUMBER('Dvd Calendar'!$E$987)=FALSE,"",'Dvd Calendar'!$E$987))</f>
        <v/>
      </c>
      <c r="AR100" s="106">
        <f>IF(FT100="","",IF(ISNUMBER('Dvd Calendar'!$F$987)=FALSE,"",'Dvd Calendar'!$F$987))</f>
        <v/>
      </c>
      <c r="AS100" s="106">
        <f>IF(FU100="","",IF(ISNUMBER('Dvd Calendar'!$G$987)=FALSE,"",'Dvd Calendar'!$G$987))</f>
        <v/>
      </c>
      <c r="AT100" s="106">
        <f>IF(FV100="","",IF(ISNUMBER('Dvd Calendar'!$H$987)=FALSE,"",'Dvd Calendar'!$H$987))</f>
        <v/>
      </c>
      <c r="AU100" s="106">
        <f>IF(FW100="","",IF(ISNUMBER('Dvd Calendar'!$I$987)=FALSE,"",'Dvd Calendar'!$I$987))</f>
        <v/>
      </c>
      <c r="AV100" s="106">
        <f>IF(FX100="","",IF(ISNUMBER('Dvd Calendar'!$J$987)=FALSE,"",'Dvd Calendar'!$J$987))</f>
        <v/>
      </c>
      <c r="AW100" s="106">
        <f>IF(FY100="","",IF(ISNUMBER('Dvd Calendar'!$K$987)=FALSE,"",'Dvd Calendar'!$K$987))</f>
        <v/>
      </c>
      <c r="AX100" s="106">
        <f>IF(FZ100="","",IF(ISNUMBER('Dvd Calendar'!$L$987)=FALSE,"",'Dvd Calendar'!$L$987))</f>
        <v/>
      </c>
      <c r="AY100" s="106">
        <f>IF(GA100="","",IF(ISNUMBER('Dvd Calendar'!$M$987)=FALSE,"",'Dvd Calendar'!$M$987))</f>
        <v/>
      </c>
      <c r="AZ100" s="106">
        <f>IF(GB100="","",IF(ISNUMBER('Dvd Calendar'!$N$987)=FALSE,"",'Dvd Calendar'!$N$987))</f>
        <v/>
      </c>
      <c r="BA100" s="106">
        <f>IF(GC100="","",IF(ISNUMBER('Dvd Calendar'!$O$987)=FALSE,"",'Dvd Calendar'!$O$987))</f>
        <v/>
      </c>
      <c r="BB100" s="106">
        <f>IF(GD100="","",IF(ISNUMBER('Dvd Calendar'!$P$987)=FALSE,"",'Dvd Calendar'!$P$987))</f>
        <v/>
      </c>
      <c r="BC100" s="106">
        <f>IF(GE100="","",IF(ISNUMBER('Dvd Calendar'!$Q$987)=FALSE,"",'Dvd Calendar'!$Q$987))</f>
        <v/>
      </c>
      <c r="BD100" s="106">
        <f>IF(GF100="","",IF(ISNUMBER('Dvd Calendar'!$R$987)=FALSE,"",'Dvd Calendar'!$R$987))</f>
        <v/>
      </c>
      <c r="BE100" s="106">
        <f>IF(GG100="","",IF(ISNUMBER('Dvd Calendar'!$S$987)=FALSE,"",'Dvd Calendar'!$S$987))</f>
        <v/>
      </c>
      <c r="BF100" s="106">
        <f>IF(GH100="","",IF(ISNUMBER('Dvd Calendar'!$T$987)=FALSE,"",'Dvd Calendar'!$T$987))</f>
        <v/>
      </c>
      <c r="BG100" s="106">
        <f>IF(GI100="","",IF(ISNUMBER('Dvd Calendar'!$U$987)=FALSE,"",'Dvd Calendar'!$U$987))</f>
        <v/>
      </c>
      <c r="BH100" s="106">
        <f>IF(GJ100="","",IF(ISNUMBER('Dvd Calendar'!$V$987)=FALSE,"",'Dvd Calendar'!$V$987))</f>
        <v/>
      </c>
      <c r="BI100" s="106">
        <f>IF(GK100="","",IF(ISNUMBER('Dvd Calendar'!$W$987)=FALSE,"",'Dvd Calendar'!$W$987))</f>
        <v/>
      </c>
      <c r="BJ100" s="106">
        <f>IF(GL100="","",IF(ISNUMBER('Dvd Calendar'!$X$987)=FALSE,"",'Dvd Calendar'!$X$987))</f>
        <v/>
      </c>
      <c r="BK100" s="106">
        <f>IF(GM100="","",IF(ISNUMBER('Dvd Calendar'!$Y$987)=FALSE,"",'Dvd Calendar'!$Y$987))</f>
        <v/>
      </c>
      <c r="BL100" s="106">
        <f>IF(GN100="","",IF(ISNUMBER('Dvd Calendar'!$Z$987)=FALSE,"",'Dvd Calendar'!$Z$987))</f>
        <v/>
      </c>
      <c r="BM100" s="106">
        <f>IF(GO100="","",IF(ISNUMBER('Dvd Calendar'!$AA$987)=FALSE,"",'Dvd Calendar'!$AA$987))</f>
        <v/>
      </c>
      <c r="BN100" s="106">
        <f>IF(GP100="","",IF(ISNUMBER('Dvd Calendar'!$AB$987)=FALSE,"",'Dvd Calendar'!$AB$987))</f>
        <v/>
      </c>
      <c r="BO100" s="106">
        <f>IF(GQ100="","",IF(ISNUMBER('Dvd Calendar'!$AC$987)=FALSE,"",'Dvd Calendar'!$AC$987))</f>
        <v/>
      </c>
      <c r="BQ100" s="106">
        <f>IF(C100="","",IFERROR(C100*HSI!$B$95*HSI!$G$95/HSI!$B$3,""))</f>
        <v/>
      </c>
      <c r="BR100" s="106">
        <f>IF(D100="","",IFERROR(D100*HSI!$B$95*HSI!$G$95/HSI!$B$3,""))</f>
        <v/>
      </c>
      <c r="BS100" s="106">
        <f>IF(E100="","",IFERROR(E100*HSI!$B$95*HSI!$G$95/HSI!$B$3,""))</f>
        <v/>
      </c>
      <c r="BT100" s="106">
        <f>IF(F100="","",IFERROR(F100*HSI!$B$95*HSI!$G$95/HSI!$B$3,""))</f>
        <v/>
      </c>
      <c r="BU100" s="106">
        <f>IF(G100="","",IFERROR(G100*HSI!$B$95*HSI!$G$95/HSI!$B$3,""))</f>
        <v/>
      </c>
      <c r="BV100" s="106">
        <f>IF(H100="","",IFERROR(H100*HSI!$B$95*HSI!$G$95/HSI!$B$3,""))</f>
        <v/>
      </c>
      <c r="BW100" s="106">
        <f>IF(I100="","",IFERROR(I100*HSI!$B$95*HSI!$G$95/HSI!$B$3,""))</f>
        <v/>
      </c>
      <c r="BX100" s="106">
        <f>IF(J100="","",IFERROR(J100*HSI!$B$95*HSI!$G$95/HSI!$B$3,""))</f>
        <v/>
      </c>
      <c r="BY100" s="106">
        <f>IF(K100="","",IFERROR(K100*HSI!$B$95*HSI!$G$95/HSI!$B$3,""))</f>
        <v/>
      </c>
      <c r="BZ100" s="106">
        <f>IF(L100="","",IFERROR(L100*HSI!$B$95*HSI!$G$95/HSI!$B$3,""))</f>
        <v/>
      </c>
      <c r="CA100" s="106">
        <f>IF(M100="","",IFERROR(M100*HSI!$B$95*HSI!$G$95/HSI!$B$3,""))</f>
        <v/>
      </c>
      <c r="CB100" s="106">
        <f>IF(N100="","",IFERROR(N100*HSI!$B$95*HSI!$G$95/HSI!$B$3,""))</f>
        <v/>
      </c>
      <c r="CC100" s="106">
        <f>IF(O100="","",IFERROR(O100*HSI!$B$95*HSI!$G$95/HSI!$B$3,""))</f>
        <v/>
      </c>
      <c r="CD100" s="106">
        <f>IF(P100="","",IFERROR(P100*HSI!$B$95*HSI!$G$95/HSI!$B$3,""))</f>
        <v/>
      </c>
      <c r="CE100" s="106">
        <f>IF(Q100="","",IFERROR(Q100*HSI!$B$95*HSI!$G$95/HSI!$B$3,""))</f>
        <v/>
      </c>
      <c r="CF100" s="106">
        <f>IF(R100="","",IFERROR(R100*HSI!$B$95*HSI!$G$95/HSI!$B$3,""))</f>
        <v/>
      </c>
      <c r="CG100" s="106">
        <f>IF(S100="","",IFERROR(S100*HSI!$B$95*HSI!$G$95/HSI!$B$3,""))</f>
        <v/>
      </c>
      <c r="CH100" s="106">
        <f>IF(T100="","",IFERROR(T100*HSI!$B$95*HSI!$G$95/HSI!$B$3,""))</f>
        <v/>
      </c>
      <c r="CI100" s="106">
        <f>IF(U100="","",IFERROR(U100*HSI!$B$95*HSI!$G$95/HSI!$B$3,""))</f>
        <v/>
      </c>
      <c r="CJ100" s="106">
        <f>IF(V100="","",IFERROR(V100*HSI!$B$95*HSI!$G$95/HSI!$B$3,""))</f>
        <v/>
      </c>
      <c r="CK100" s="106">
        <f>IF(W100="","",IFERROR(W100*HSI!$B$95*HSI!$G$95/HSI!$B$3,""))</f>
        <v/>
      </c>
      <c r="CL100" s="106">
        <f>IF(X100="","",IFERROR(X100*HSI!$B$95*HSI!$G$95/HSI!$B$3,""))</f>
        <v/>
      </c>
      <c r="CM100" s="106">
        <f>IF(Y100="","",IFERROR(Y100*HSI!$B$95*HSI!$G$95/HSI!$B$3,""))</f>
        <v/>
      </c>
      <c r="CN100" s="106">
        <f>IF(Z100="","",IFERROR(Z100*HSI!$B$95*HSI!$G$95/HSI!$B$3,""))</f>
        <v/>
      </c>
      <c r="CO100" s="106">
        <f>IF(AA100="","",IFERROR(AA100*HSI!$B$95*HSI!$G$95/HSI!$B$3,""))</f>
        <v/>
      </c>
      <c r="CP100" s="106">
        <f>IF(AB100="","",IFERROR(AB100*HSI!$B$95*HSI!$G$95/HSI!$B$3,""))</f>
        <v/>
      </c>
      <c r="CQ100" s="106">
        <f>IF(AC100="","",IFERROR(AC100*HSI!$B$95*HSI!$G$95/HSI!$B$3,""))</f>
        <v/>
      </c>
      <c r="CR100" s="106">
        <f>IF(AD100="","",IFERROR(AD100*HSI!$B$95*HSI!$G$95/HSI!$B$3,""))</f>
        <v/>
      </c>
      <c r="CS100" s="106">
        <f>IF(AE100="","",IFERROR(AE100*HSI!$B$95*HSI!$G$95/HSI!$B$3,""))</f>
        <v/>
      </c>
      <c r="CT100" s="106">
        <f>IF(AF100="","",IFERROR(AF100*HSI!$B$95*HSI!$G$95/HSI!$B$3,""))</f>
        <v/>
      </c>
      <c r="CU100" s="106">
        <f>IF(AG100="","",IFERROR(AG100*HSI!$B$95*HSI!$G$95/HSI!$B$3,""))</f>
        <v/>
      </c>
      <c r="CV100" s="106">
        <f>IF(AH100="","",IFERROR(AH100*HSI!$B$95*HSI!$G$95/HSI!$B$3,""))</f>
        <v/>
      </c>
      <c r="CW100" s="106">
        <f>IF(AI100="","",IFERROR(AI100*HSI!$B$95*HSI!$G$95/HSI!$B$3,""))</f>
        <v/>
      </c>
      <c r="CX100" s="106">
        <f>IF(AJ100="","",IFERROR(AJ100*HSI!$B$95*HSI!$G$95/HSI!$B$3,""))</f>
        <v/>
      </c>
      <c r="CY100" s="106">
        <f>IF(AK100="","",IFERROR(AK100*HSI!$B$95*HSI!$G$95/HSI!$B$3,""))</f>
        <v/>
      </c>
      <c r="CZ100" s="106">
        <f>IF(AL100="","",IFERROR(AL100*HSI!$B$95*HSI!$G$95/HSI!$B$3,""))</f>
        <v/>
      </c>
      <c r="DA100" s="106">
        <f>IF(AM100="","",IFERROR(AM100*HSI!$B$95*HSI!$G$95/HSI!$B$3,""))</f>
        <v/>
      </c>
      <c r="DB100" s="106">
        <f>IF(AN100="","",IFERROR(AN100*HSI!$B$95*HSI!$G$95/HSI!$B$3,""))</f>
        <v/>
      </c>
      <c r="DC100" s="106">
        <f>IF(AO100="","",IFERROR(AO100*HSI!$B$95*HSI!$G$95/HSI!$B$3,""))</f>
        <v/>
      </c>
      <c r="DD100" s="106">
        <f>IF(AP100="","",IFERROR(AP100*HSI!$B$95*HSI!$G$95/HSI!$B$3,""))</f>
        <v/>
      </c>
      <c r="DE100" s="106">
        <f>IF(AQ100="","",IFERROR(AQ100*HSI!$B$95*HSI!$G$95/HSI!$B$3,""))</f>
        <v/>
      </c>
      <c r="DF100" s="106">
        <f>IF(AR100="","",IFERROR(AR100*HSI!$B$95*HSI!$G$95/HSI!$B$3,""))</f>
        <v/>
      </c>
      <c r="DG100" s="106">
        <f>IF(AS100="","",IFERROR(AS100*HSI!$B$95*HSI!$G$95/HSI!$B$3,""))</f>
        <v/>
      </c>
      <c r="DH100" s="106">
        <f>IF(AT100="","",IFERROR(AT100*HSI!$B$95*HSI!$G$95/HSI!$B$3,""))</f>
        <v/>
      </c>
      <c r="DI100" s="106">
        <f>IF(AU100="","",IFERROR(AU100*HSI!$B$95*HSI!$G$95/HSI!$B$3,""))</f>
        <v/>
      </c>
      <c r="DJ100" s="106">
        <f>IF(AV100="","",IFERROR(AV100*HSI!$B$95*HSI!$G$95/HSI!$B$3,""))</f>
        <v/>
      </c>
      <c r="DK100" s="106">
        <f>IF(AW100="","",IFERROR(AW100*HSI!$B$95*HSI!$G$95/HSI!$B$3,""))</f>
        <v/>
      </c>
      <c r="DL100" s="106">
        <f>IF(AX100="","",IFERROR(AX100*HSI!$B$95*HSI!$G$95/HSI!$B$3,""))</f>
        <v/>
      </c>
      <c r="DM100" s="106">
        <f>IF(AY100="","",IFERROR(AY100*HSI!$B$95*HSI!$G$95/HSI!$B$3,""))</f>
        <v/>
      </c>
      <c r="DN100" s="106">
        <f>IF(AZ100="","",IFERROR(AZ100*HSI!$B$95*HSI!$G$95/HSI!$B$3,""))</f>
        <v/>
      </c>
      <c r="DO100" s="106">
        <f>IF(BA100="","",IFERROR(BA100*HSI!$B$95*HSI!$G$95/HSI!$B$3,""))</f>
        <v/>
      </c>
      <c r="DP100" s="106">
        <f>IF(BB100="","",IFERROR(BB100*HSI!$B$95*HSI!$G$95/HSI!$B$3,""))</f>
        <v/>
      </c>
      <c r="DQ100" s="106">
        <f>IF(BC100="","",IFERROR(BC100*HSI!$B$95*HSI!$G$95/HSI!$B$3,""))</f>
        <v/>
      </c>
      <c r="DR100" s="106">
        <f>IF(BD100="","",IFERROR(BD100*HSI!$B$95*HSI!$G$95/HSI!$B$3,""))</f>
        <v/>
      </c>
      <c r="DS100" s="106">
        <f>IF(BE100="","",IFERROR(BE100*HSI!$B$95*HSI!$G$95/HSI!$B$3,""))</f>
        <v/>
      </c>
      <c r="DT100" s="106">
        <f>IF(BF100="","",IFERROR(BF100*HSI!$B$95*HSI!$G$95/HSI!$B$3,""))</f>
        <v/>
      </c>
      <c r="DU100" s="106">
        <f>IF(BG100="","",IFERROR(BG100*HSI!$B$95*HSI!$G$95/HSI!$B$3,""))</f>
        <v/>
      </c>
      <c r="DV100" s="106">
        <f>IF(BH100="","",IFERROR(BH100*HSI!$B$95*HSI!$G$95/HSI!$B$3,""))</f>
        <v/>
      </c>
      <c r="DW100" s="106">
        <f>IF(BI100="","",IFERROR(BI100*HSI!$B$95*HSI!$G$95/HSI!$B$3,""))</f>
        <v/>
      </c>
      <c r="DX100" s="106">
        <f>IF(BJ100="","",IFERROR(BJ100*HSI!$B$95*HSI!$G$95/HSI!$B$3,""))</f>
        <v/>
      </c>
      <c r="DY100" s="106">
        <f>IF(BK100="","",IFERROR(BK100*HSI!$B$95*HSI!$G$95/HSI!$B$3,""))</f>
        <v/>
      </c>
      <c r="DZ100" s="106">
        <f>IF(BL100="","",IFERROR(BL100*HSI!$B$95*HSI!$G$95/HSI!$B$3,""))</f>
        <v/>
      </c>
      <c r="EA100" s="106">
        <f>IF(BM100="","",IFERROR(BM100*HSI!$B$95*HSI!$G$95/HSI!$B$3,""))</f>
        <v/>
      </c>
      <c r="EB100" s="106">
        <f>IF(BN100="","",IFERROR(BN100*HSI!$B$95*HSI!$G$95/HSI!$B$3,""))</f>
        <v/>
      </c>
      <c r="EC100" s="106">
        <f>IF(BO100="","",IFERROR(BO100*HSI!$B$95*HSI!$G$95/HSI!$B$3,""))</f>
        <v/>
      </c>
      <c r="EE100" s="35">
        <f>IF(N('Dvd Calendar'!$E$979)=0,"",IF(('Dvd Calendar'!$E$979&gt;=GRID_FROM)*('Dvd Calendar'!$E$979&lt;=GRID_TO)*('Dvd Calendar'!$E$979&lt;=VAL_DATE)=0,"",'Dvd Calendar'!$E$979*1000000000+ISNUMBER('Dvd Calendar'!$E$982)*100000000+('Dvd Calendar'!$E$984=SPECIAL_LBL)*10000000+0*1000000+89*1000+1))</f>
        <v/>
      </c>
      <c r="EF100" s="35">
        <f>IF(N('Dvd Calendar'!$F$979)=0,"",IF(('Dvd Calendar'!$F$979&gt;=GRID_FROM)*('Dvd Calendar'!$F$979&lt;=GRID_TO)*('Dvd Calendar'!$F$979&lt;=VAL_DATE)=0,"",'Dvd Calendar'!$F$979*1000000000+ISNUMBER('Dvd Calendar'!$F$982)*100000000+('Dvd Calendar'!$F$984=SPECIAL_LBL)*10000000+0*1000000+89*1000+2))</f>
        <v/>
      </c>
      <c r="EG100" s="35">
        <f>IF(N('Dvd Calendar'!$G$979)=0,"",IF(('Dvd Calendar'!$G$979&gt;=GRID_FROM)*('Dvd Calendar'!$G$979&lt;=GRID_TO)*('Dvd Calendar'!$G$979&lt;=VAL_DATE)=0,"",'Dvd Calendar'!$G$979*1000000000+ISNUMBER('Dvd Calendar'!$G$982)*100000000+('Dvd Calendar'!$G$984=SPECIAL_LBL)*10000000+0*1000000+89*1000+3))</f>
        <v/>
      </c>
      <c r="EH100" s="35">
        <f>IF(N('Dvd Calendar'!$H$979)=0,"",IF(('Dvd Calendar'!$H$979&gt;=GRID_FROM)*('Dvd Calendar'!$H$979&lt;=GRID_TO)*('Dvd Calendar'!$H$979&lt;=VAL_DATE)=0,"",'Dvd Calendar'!$H$979*1000000000+ISNUMBER('Dvd Calendar'!$H$982)*100000000+('Dvd Calendar'!$H$984=SPECIAL_LBL)*10000000+0*1000000+89*1000+4))</f>
        <v/>
      </c>
      <c r="EI100" s="35">
        <f>IF(N('Dvd Calendar'!$I$979)=0,"",IF(('Dvd Calendar'!$I$979&gt;=GRID_FROM)*('Dvd Calendar'!$I$979&lt;=GRID_TO)*('Dvd Calendar'!$I$979&lt;=VAL_DATE)=0,"",'Dvd Calendar'!$I$979*1000000000+ISNUMBER('Dvd Calendar'!$I$982)*100000000+('Dvd Calendar'!$I$984=SPECIAL_LBL)*10000000+0*1000000+89*1000+5))</f>
        <v/>
      </c>
      <c r="EJ100" s="35">
        <f>IF(N('Dvd Calendar'!$J$979)=0,"",IF(('Dvd Calendar'!$J$979&gt;=GRID_FROM)*('Dvd Calendar'!$J$979&lt;=GRID_TO)*('Dvd Calendar'!$J$979&lt;=VAL_DATE)=0,"",'Dvd Calendar'!$J$979*1000000000+ISNUMBER('Dvd Calendar'!$J$982)*100000000+('Dvd Calendar'!$J$984=SPECIAL_LBL)*10000000+0*1000000+89*1000+6))</f>
        <v/>
      </c>
      <c r="EK100" s="35">
        <f>IF(N('Dvd Calendar'!$K$979)=0,"",IF(('Dvd Calendar'!$K$979&gt;=GRID_FROM)*('Dvd Calendar'!$K$979&lt;=GRID_TO)*('Dvd Calendar'!$K$979&lt;=VAL_DATE)=0,"",'Dvd Calendar'!$K$979*1000000000+ISNUMBER('Dvd Calendar'!$K$982)*100000000+('Dvd Calendar'!$K$984=SPECIAL_LBL)*10000000+0*1000000+89*1000+7))</f>
        <v/>
      </c>
      <c r="EL100" s="35">
        <f>IF(N('Dvd Calendar'!$L$979)=0,"",IF(('Dvd Calendar'!$L$979&gt;=GRID_FROM)*('Dvd Calendar'!$L$979&lt;=GRID_TO)*('Dvd Calendar'!$L$979&lt;=VAL_DATE)=0,"",'Dvd Calendar'!$L$979*1000000000+ISNUMBER('Dvd Calendar'!$L$982)*100000000+('Dvd Calendar'!$L$984=SPECIAL_LBL)*10000000+0*1000000+89*1000+8))</f>
        <v/>
      </c>
      <c r="EM100" s="35">
        <f>IF(N('Dvd Calendar'!$M$979)=0,"",IF(('Dvd Calendar'!$M$979&gt;=GRID_FROM)*('Dvd Calendar'!$M$979&lt;=GRID_TO)*('Dvd Calendar'!$M$979&lt;=VAL_DATE)=0,"",'Dvd Calendar'!$M$979*1000000000+ISNUMBER('Dvd Calendar'!$M$982)*100000000+('Dvd Calendar'!$M$984=SPECIAL_LBL)*10000000+0*1000000+89*1000+9))</f>
        <v/>
      </c>
      <c r="EN100" s="35">
        <f>IF(N('Dvd Calendar'!$N$979)=0,"",IF(('Dvd Calendar'!$N$979&gt;=GRID_FROM)*('Dvd Calendar'!$N$979&lt;=GRID_TO)*('Dvd Calendar'!$N$979&lt;=VAL_DATE)=0,"",'Dvd Calendar'!$N$979*1000000000+ISNUMBER('Dvd Calendar'!$N$982)*100000000+('Dvd Calendar'!$N$984=SPECIAL_LBL)*10000000+0*1000000+89*1000+10))</f>
        <v/>
      </c>
      <c r="EO100" s="35">
        <f>IF(N('Dvd Calendar'!$O$979)=0,"",IF(('Dvd Calendar'!$O$979&gt;=GRID_FROM)*('Dvd Calendar'!$O$979&lt;=GRID_TO)*('Dvd Calendar'!$O$979&lt;=VAL_DATE)=0,"",'Dvd Calendar'!$O$979*1000000000+ISNUMBER('Dvd Calendar'!$O$982)*100000000+('Dvd Calendar'!$O$984=SPECIAL_LBL)*10000000+0*1000000+89*1000+11))</f>
        <v/>
      </c>
      <c r="EP100" s="35">
        <f>IF(N('Dvd Calendar'!$P$979)=0,"",IF(('Dvd Calendar'!$P$979&gt;=GRID_FROM)*('Dvd Calendar'!$P$979&lt;=GRID_TO)*('Dvd Calendar'!$P$979&lt;=VAL_DATE)=0,"",'Dvd Calendar'!$P$979*1000000000+ISNUMBER('Dvd Calendar'!$P$982)*100000000+('Dvd Calendar'!$P$984=SPECIAL_LBL)*10000000+0*1000000+89*1000+12))</f>
        <v/>
      </c>
      <c r="EQ100" s="35">
        <f>IF(N('Dvd Calendar'!$Q$979)=0,"",IF(('Dvd Calendar'!$Q$979&gt;=GRID_FROM)*('Dvd Calendar'!$Q$979&lt;=GRID_TO)*('Dvd Calendar'!$Q$979&lt;=VAL_DATE)=0,"",'Dvd Calendar'!$Q$979*1000000000+ISNUMBER('Dvd Calendar'!$Q$982)*100000000+('Dvd Calendar'!$Q$984=SPECIAL_LBL)*10000000+0*1000000+89*1000+13))</f>
        <v/>
      </c>
      <c r="ER100" s="35">
        <f>IF(N('Dvd Calendar'!$R$979)=0,"",IF(('Dvd Calendar'!$R$979&gt;=GRID_FROM)*('Dvd Calendar'!$R$979&lt;=GRID_TO)*('Dvd Calendar'!$R$979&lt;=VAL_DATE)=0,"",'Dvd Calendar'!$R$979*1000000000+ISNUMBER('Dvd Calendar'!$R$982)*100000000+('Dvd Calendar'!$R$984=SPECIAL_LBL)*10000000+0*1000000+89*1000+14))</f>
        <v/>
      </c>
      <c r="ES100" s="35">
        <f>IF(N('Dvd Calendar'!$S$979)=0,"",IF(('Dvd Calendar'!$S$979&gt;=GRID_FROM)*('Dvd Calendar'!$S$979&lt;=GRID_TO)*('Dvd Calendar'!$S$979&lt;=VAL_DATE)=0,"",'Dvd Calendar'!$S$979*1000000000+ISNUMBER('Dvd Calendar'!$S$982)*100000000+('Dvd Calendar'!$S$984=SPECIAL_LBL)*10000000+0*1000000+89*1000+15))</f>
        <v/>
      </c>
      <c r="ET100" s="35">
        <f>IF(N('Dvd Calendar'!$T$979)=0,"",IF(('Dvd Calendar'!$T$979&gt;=GRID_FROM)*('Dvd Calendar'!$T$979&lt;=GRID_TO)*('Dvd Calendar'!$T$979&lt;=VAL_DATE)=0,"",'Dvd Calendar'!$T$979*1000000000+ISNUMBER('Dvd Calendar'!$T$982)*100000000+('Dvd Calendar'!$T$984=SPECIAL_LBL)*10000000+0*1000000+89*1000+16))</f>
        <v/>
      </c>
      <c r="EU100" s="35">
        <f>IF(N('Dvd Calendar'!$U$979)=0,"",IF(('Dvd Calendar'!$U$979&gt;=GRID_FROM)*('Dvd Calendar'!$U$979&lt;=GRID_TO)*('Dvd Calendar'!$U$979&lt;=VAL_DATE)=0,"",'Dvd Calendar'!$U$979*1000000000+ISNUMBER('Dvd Calendar'!$U$982)*100000000+('Dvd Calendar'!$U$984=SPECIAL_LBL)*10000000+0*1000000+89*1000+17))</f>
        <v/>
      </c>
      <c r="EV100" s="35">
        <f>IF(N('Dvd Calendar'!$V$979)=0,"",IF(('Dvd Calendar'!$V$979&gt;=GRID_FROM)*('Dvd Calendar'!$V$979&lt;=GRID_TO)*('Dvd Calendar'!$V$979&lt;=VAL_DATE)=0,"",'Dvd Calendar'!$V$979*1000000000+ISNUMBER('Dvd Calendar'!$V$982)*100000000+('Dvd Calendar'!$V$984=SPECIAL_LBL)*10000000+0*1000000+89*1000+18))</f>
        <v/>
      </c>
      <c r="EW100" s="35">
        <f>IF(N('Dvd Calendar'!$W$979)=0,"",IF(('Dvd Calendar'!$W$979&gt;=GRID_FROM)*('Dvd Calendar'!$W$979&lt;=GRID_TO)*('Dvd Calendar'!$W$979&lt;=VAL_DATE)=0,"",'Dvd Calendar'!$W$979*1000000000+ISNUMBER('Dvd Calendar'!$W$982)*100000000+('Dvd Calendar'!$W$984=SPECIAL_LBL)*10000000+0*1000000+89*1000+19))</f>
        <v/>
      </c>
      <c r="EX100" s="35">
        <f>IF(N('Dvd Calendar'!$X$979)=0,"",IF(('Dvd Calendar'!$X$979&gt;=GRID_FROM)*('Dvd Calendar'!$X$979&lt;=GRID_TO)*('Dvd Calendar'!$X$979&lt;=VAL_DATE)=0,"",'Dvd Calendar'!$X$979*1000000000+ISNUMBER('Dvd Calendar'!$X$982)*100000000+('Dvd Calendar'!$X$984=SPECIAL_LBL)*10000000+0*1000000+89*1000+20))</f>
        <v/>
      </c>
      <c r="EY100" s="35">
        <f>IF(N('Dvd Calendar'!$Y$979)=0,"",IF(('Dvd Calendar'!$Y$979&gt;=GRID_FROM)*('Dvd Calendar'!$Y$979&lt;=GRID_TO)*('Dvd Calendar'!$Y$979&lt;=VAL_DATE)=0,"",'Dvd Calendar'!$Y$979*1000000000+ISNUMBER('Dvd Calendar'!$Y$982)*100000000+('Dvd Calendar'!$Y$984=SPECIAL_LBL)*10000000+0*1000000+89*1000+21))</f>
        <v/>
      </c>
      <c r="EZ100" s="35">
        <f>IF(N('Dvd Calendar'!$Z$979)=0,"",IF(('Dvd Calendar'!$Z$979&gt;=GRID_FROM)*('Dvd Calendar'!$Z$979&lt;=GRID_TO)*('Dvd Calendar'!$Z$979&lt;=VAL_DATE)=0,"",'Dvd Calendar'!$Z$979*1000000000+ISNUMBER('Dvd Calendar'!$Z$982)*100000000+('Dvd Calendar'!$Z$984=SPECIAL_LBL)*10000000+0*1000000+89*1000+22))</f>
        <v/>
      </c>
      <c r="FA100" s="35">
        <f>IF(N('Dvd Calendar'!$AA$979)=0,"",IF(('Dvd Calendar'!$AA$979&gt;=GRID_FROM)*('Dvd Calendar'!$AA$979&lt;=GRID_TO)*('Dvd Calendar'!$AA$979&lt;=VAL_DATE)=0,"",'Dvd Calendar'!$AA$979*1000000000+ISNUMBER('Dvd Calendar'!$AA$982)*100000000+('Dvd Calendar'!$AA$984=SPECIAL_LBL)*10000000+0*1000000+89*1000+23))</f>
        <v/>
      </c>
      <c r="FB100" s="35">
        <f>IF(N('Dvd Calendar'!$AB$979)=0,"",IF(('Dvd Calendar'!$AB$979&gt;=GRID_FROM)*('Dvd Calendar'!$AB$979&lt;=GRID_TO)*('Dvd Calendar'!$AB$979&lt;=VAL_DATE)=0,"",'Dvd Calendar'!$AB$979*1000000000+ISNUMBER('Dvd Calendar'!$AB$982)*100000000+('Dvd Calendar'!$AB$984=SPECIAL_LBL)*10000000+0*1000000+89*1000+24))</f>
        <v/>
      </c>
      <c r="FC100" s="35">
        <f>IF(N('Dvd Calendar'!$AC$979)=0,"",IF(('Dvd Calendar'!$AC$979&gt;=GRID_FROM)*('Dvd Calendar'!$AC$979&lt;=GRID_TO)*('Dvd Calendar'!$AC$979&lt;=VAL_DATE)=0,"",'Dvd Calendar'!$AC$979*1000000000+ISNUMBER('Dvd Calendar'!$AC$982)*100000000+('Dvd Calendar'!$AC$984=SPECIAL_LBL)*10000000+0*1000000+89*1000+25))</f>
        <v/>
      </c>
      <c r="FD100" s="35">
        <f>IF(N('Dvd Calendar'!$AD$979)=0,"",IF(('Dvd Calendar'!$AD$979&gt;=GRID_FROM)*('Dvd Calendar'!$AD$979&lt;=GRID_TO)*('Dvd Calendar'!$AD$979&lt;=VAL_DATE)=0,"",'Dvd Calendar'!$AD$979*1000000000+ISNUMBER('Dvd Calendar'!$AD$982)*100000000+('Dvd Calendar'!$AD$984=SPECIAL_LBL)*10000000+0*1000000+89*1000+26))</f>
        <v/>
      </c>
      <c r="FE100" s="35">
        <f>IF(N('Dvd Calendar'!$AE$979)=0,"",IF(('Dvd Calendar'!$AE$979&gt;=GRID_FROM)*('Dvd Calendar'!$AE$979&lt;=GRID_TO)*('Dvd Calendar'!$AE$979&lt;=VAL_DATE)=0,"",'Dvd Calendar'!$AE$979*1000000000+ISNUMBER('Dvd Calendar'!$AE$982)*100000000+('Dvd Calendar'!$AE$984=SPECIAL_LBL)*10000000+0*1000000+89*1000+27))</f>
        <v/>
      </c>
      <c r="FF100" s="35">
        <f>IF(N('Dvd Calendar'!$AF$979)=0,"",IF(('Dvd Calendar'!$AF$979&gt;=GRID_FROM)*('Dvd Calendar'!$AF$979&lt;=GRID_TO)*('Dvd Calendar'!$AF$979&lt;=VAL_DATE)=0,"",'Dvd Calendar'!$AF$979*1000000000+ISNUMBER('Dvd Calendar'!$AF$982)*100000000+('Dvd Calendar'!$AF$984=SPECIAL_LBL)*10000000+0*1000000+89*1000+28))</f>
        <v/>
      </c>
      <c r="FG100" s="35">
        <f>IF(N('Dvd Calendar'!$AG$979)=0,"",IF(('Dvd Calendar'!$AG$979&gt;=GRID_FROM)*('Dvd Calendar'!$AG$979&lt;=GRID_TO)*('Dvd Calendar'!$AG$979&lt;=VAL_DATE)=0,"",'Dvd Calendar'!$AG$979*1000000000+ISNUMBER('Dvd Calendar'!$AG$982)*100000000+('Dvd Calendar'!$AG$984=SPECIAL_LBL)*10000000+0*1000000+89*1000+29))</f>
        <v/>
      </c>
      <c r="FH100" s="35">
        <f>IF(N('Dvd Calendar'!$AH$979)=0,"",IF(('Dvd Calendar'!$AH$979&gt;=GRID_FROM)*('Dvd Calendar'!$AH$979&lt;=GRID_TO)*('Dvd Calendar'!$AH$979&lt;=VAL_DATE)=0,"",'Dvd Calendar'!$AH$979*1000000000+ISNUMBER('Dvd Calendar'!$AH$982)*100000000+('Dvd Calendar'!$AH$984=SPECIAL_LBL)*10000000+0*1000000+89*1000+30))</f>
        <v/>
      </c>
      <c r="FI100" s="35">
        <f>IF(N('Dvd Calendar'!$AI$979)=0,"",IF(('Dvd Calendar'!$AI$979&gt;=GRID_FROM)*('Dvd Calendar'!$AI$979&lt;=GRID_TO)*('Dvd Calendar'!$AI$979&lt;=VAL_DATE)=0,"",'Dvd Calendar'!$AI$979*1000000000+ISNUMBER('Dvd Calendar'!$AI$982)*100000000+('Dvd Calendar'!$AI$984=SPECIAL_LBL)*10000000+0*1000000+89*1000+31))</f>
        <v/>
      </c>
      <c r="FJ100" s="35">
        <f>IF(N('Dvd Calendar'!$AJ$979)=0,"",IF(('Dvd Calendar'!$AJ$979&gt;=GRID_FROM)*('Dvd Calendar'!$AJ$979&lt;=GRID_TO)*('Dvd Calendar'!$AJ$979&lt;=VAL_DATE)=0,"",'Dvd Calendar'!$AJ$979*1000000000+ISNUMBER('Dvd Calendar'!$AJ$982)*100000000+('Dvd Calendar'!$AJ$984=SPECIAL_LBL)*10000000+0*1000000+89*1000+32))</f>
        <v/>
      </c>
      <c r="FK100" s="35">
        <f>IF(N('Dvd Calendar'!$AK$979)=0,"",IF(('Dvd Calendar'!$AK$979&gt;=GRID_FROM)*('Dvd Calendar'!$AK$979&lt;=GRID_TO)*('Dvd Calendar'!$AK$979&lt;=VAL_DATE)=0,"",'Dvd Calendar'!$AK$979*1000000000+ISNUMBER('Dvd Calendar'!$AK$982)*100000000+('Dvd Calendar'!$AK$984=SPECIAL_LBL)*10000000+0*1000000+89*1000+33))</f>
        <v/>
      </c>
      <c r="FL100" s="35">
        <f>IF(N('Dvd Calendar'!$AL$979)=0,"",IF(('Dvd Calendar'!$AL$979&gt;=GRID_FROM)*('Dvd Calendar'!$AL$979&lt;=GRID_TO)*('Dvd Calendar'!$AL$979&lt;=VAL_DATE)=0,"",'Dvd Calendar'!$AL$979*1000000000+ISNUMBER('Dvd Calendar'!$AL$982)*100000000+('Dvd Calendar'!$AL$984=SPECIAL_LBL)*10000000+0*1000000+89*1000+34))</f>
        <v/>
      </c>
      <c r="FM100" s="35">
        <f>IF(N('Dvd Calendar'!$AM$979)=0,"",IF(('Dvd Calendar'!$AM$979&gt;=GRID_FROM)*('Dvd Calendar'!$AM$979&lt;=GRID_TO)*('Dvd Calendar'!$AM$979&lt;=VAL_DATE)=0,"",'Dvd Calendar'!$AM$979*1000000000+ISNUMBER('Dvd Calendar'!$AM$982)*100000000+('Dvd Calendar'!$AM$984=SPECIAL_LBL)*10000000+0*1000000+89*1000+35))</f>
        <v/>
      </c>
      <c r="FN100" s="35">
        <f>IF(N('Dvd Calendar'!$AN$979)=0,"",IF(('Dvd Calendar'!$AN$979&gt;=GRID_FROM)*('Dvd Calendar'!$AN$979&lt;=GRID_TO)*('Dvd Calendar'!$AN$979&lt;=VAL_DATE)=0,"",'Dvd Calendar'!$AN$979*1000000000+ISNUMBER('Dvd Calendar'!$AN$982)*100000000+('Dvd Calendar'!$AN$984=SPECIAL_LBL)*10000000+0*1000000+89*1000+36))</f>
        <v/>
      </c>
      <c r="FO100" s="35">
        <f>IF(N('Dvd Calendar'!$AO$979)=0,"",IF(('Dvd Calendar'!$AO$979&gt;=GRID_FROM)*('Dvd Calendar'!$AO$979&lt;=GRID_TO)*('Dvd Calendar'!$AO$979&lt;=VAL_DATE)=0,"",'Dvd Calendar'!$AO$979*1000000000+ISNUMBER('Dvd Calendar'!$AO$982)*100000000+('Dvd Calendar'!$AO$984=SPECIAL_LBL)*10000000+0*1000000+89*1000+37))</f>
        <v/>
      </c>
      <c r="FP100" s="35">
        <f>IF(N('Dvd Calendar'!$AP$979)=0,"",IF(('Dvd Calendar'!$AP$979&gt;=GRID_FROM)*('Dvd Calendar'!$AP$979&lt;=GRID_TO)*('Dvd Calendar'!$AP$979&lt;=VAL_DATE)=0,"",'Dvd Calendar'!$AP$979*1000000000+ISNUMBER('Dvd Calendar'!$AP$982)*100000000+('Dvd Calendar'!$AP$984=SPECIAL_LBL)*10000000+0*1000000+89*1000+38))</f>
        <v/>
      </c>
      <c r="FQ100" s="35">
        <f>IF(N('Dvd Calendar'!$AQ$979)=0,"",IF(('Dvd Calendar'!$AQ$979&gt;=GRID_FROM)*('Dvd Calendar'!$AQ$979&lt;=GRID_TO)*('Dvd Calendar'!$AQ$979&lt;=VAL_DATE)=0,"",'Dvd Calendar'!$AQ$979*1000000000+ISNUMBER('Dvd Calendar'!$AQ$982)*100000000+('Dvd Calendar'!$AQ$984=SPECIAL_LBL)*10000000+0*1000000+89*1000+39))</f>
        <v/>
      </c>
      <c r="FR100" s="35">
        <f>IF(N('Dvd Calendar'!$AR$979)=0,"",IF(('Dvd Calendar'!$AR$979&gt;=GRID_FROM)*('Dvd Calendar'!$AR$979&lt;=GRID_TO)*('Dvd Calendar'!$AR$979&lt;=VAL_DATE)=0,"",'Dvd Calendar'!$AR$979*1000000000+ISNUMBER('Dvd Calendar'!$AR$982)*100000000+('Dvd Calendar'!$AR$984=SPECIAL_LBL)*10000000+0*1000000+89*1000+40))</f>
        <v/>
      </c>
      <c r="FS100" s="35">
        <f>IF(N('Dvd Calendar'!$E$986)=0,"",IF(('Dvd Calendar'!$E$986&gt;=GRID_FROM)*('Dvd Calendar'!$E$986&lt;=GRID_TO)*('Dvd Calendar'!$E$986&gt;VAL_DATE)=0,"",'Dvd Calendar'!$E$986*1000000000+ISNUMBER('Dvd Calendar'!$E$987)*100000000+0*10000000+(N('Dvd Calendar'!$E$985)&gt;0)*(N('Dvd Calendar'!$E$985)&lt;=VAL_SERIAL)*1000000+89*1000+41))</f>
        <v/>
      </c>
      <c r="FT100" s="35">
        <f>IF(N('Dvd Calendar'!$F$986)=0,"",IF(('Dvd Calendar'!$F$986&gt;=GRID_FROM)*('Dvd Calendar'!$F$986&lt;=GRID_TO)*('Dvd Calendar'!$F$986&gt;VAL_DATE)=0,"",'Dvd Calendar'!$F$986*1000000000+ISNUMBER('Dvd Calendar'!$F$987)*100000000+0*10000000+(N('Dvd Calendar'!$F$985)&gt;0)*(N('Dvd Calendar'!$F$985)&lt;=VAL_SERIAL)*1000000+89*1000+42))</f>
        <v/>
      </c>
      <c r="FU100" s="35">
        <f>IF(N('Dvd Calendar'!$G$986)=0,"",IF(('Dvd Calendar'!$G$986&gt;=GRID_FROM)*('Dvd Calendar'!$G$986&lt;=GRID_TO)*('Dvd Calendar'!$G$986&gt;VAL_DATE)=0,"",'Dvd Calendar'!$G$986*1000000000+ISNUMBER('Dvd Calendar'!$G$987)*100000000+0*10000000+(N('Dvd Calendar'!$G$985)&gt;0)*(N('Dvd Calendar'!$G$985)&lt;=VAL_SERIAL)*1000000+89*1000+43))</f>
        <v/>
      </c>
      <c r="FV100" s="35">
        <f>IF(N('Dvd Calendar'!$H$986)=0,"",IF(('Dvd Calendar'!$H$986&gt;=GRID_FROM)*('Dvd Calendar'!$H$986&lt;=GRID_TO)*('Dvd Calendar'!$H$986&gt;VAL_DATE)=0,"",'Dvd Calendar'!$H$986*1000000000+ISNUMBER('Dvd Calendar'!$H$987)*100000000+0*10000000+(N('Dvd Calendar'!$H$985)&gt;0)*(N('Dvd Calendar'!$H$985)&lt;=VAL_SERIAL)*1000000+89*1000+44))</f>
        <v/>
      </c>
      <c r="FW100" s="35">
        <f>IF(N('Dvd Calendar'!$I$986)=0,"",IF(('Dvd Calendar'!$I$986&gt;=GRID_FROM)*('Dvd Calendar'!$I$986&lt;=GRID_TO)*('Dvd Calendar'!$I$986&gt;VAL_DATE)=0,"",'Dvd Calendar'!$I$986*1000000000+ISNUMBER('Dvd Calendar'!$I$987)*100000000+0*10000000+(N('Dvd Calendar'!$I$985)&gt;0)*(N('Dvd Calendar'!$I$985)&lt;=VAL_SERIAL)*1000000+89*1000+45))</f>
        <v/>
      </c>
      <c r="FX100" s="35">
        <f>IF(N('Dvd Calendar'!$J$986)=0,"",IF(('Dvd Calendar'!$J$986&gt;=GRID_FROM)*('Dvd Calendar'!$J$986&lt;=GRID_TO)*('Dvd Calendar'!$J$986&gt;VAL_DATE)=0,"",'Dvd Calendar'!$J$986*1000000000+ISNUMBER('Dvd Calendar'!$J$987)*100000000+0*10000000+(N('Dvd Calendar'!$J$985)&gt;0)*(N('Dvd Calendar'!$J$985)&lt;=VAL_SERIAL)*1000000+89*1000+46))</f>
        <v/>
      </c>
      <c r="FY100" s="35">
        <f>IF(N('Dvd Calendar'!$K$986)=0,"",IF(('Dvd Calendar'!$K$986&gt;=GRID_FROM)*('Dvd Calendar'!$K$986&lt;=GRID_TO)*('Dvd Calendar'!$K$986&gt;VAL_DATE)=0,"",'Dvd Calendar'!$K$986*1000000000+ISNUMBER('Dvd Calendar'!$K$987)*100000000+0*10000000+(N('Dvd Calendar'!$K$985)&gt;0)*(N('Dvd Calendar'!$K$985)&lt;=VAL_SERIAL)*1000000+89*1000+47))</f>
        <v/>
      </c>
      <c r="FZ100" s="35">
        <f>IF(N('Dvd Calendar'!$L$986)=0,"",IF(('Dvd Calendar'!$L$986&gt;=GRID_FROM)*('Dvd Calendar'!$L$986&lt;=GRID_TO)*('Dvd Calendar'!$L$986&gt;VAL_DATE)=0,"",'Dvd Calendar'!$L$986*1000000000+ISNUMBER('Dvd Calendar'!$L$987)*100000000+0*10000000+(N('Dvd Calendar'!$L$985)&gt;0)*(N('Dvd Calendar'!$L$985)&lt;=VAL_SERIAL)*1000000+89*1000+48))</f>
        <v/>
      </c>
      <c r="GA100" s="35">
        <f>IF(N('Dvd Calendar'!$M$986)=0,"",IF(('Dvd Calendar'!$M$986&gt;=GRID_FROM)*('Dvd Calendar'!$M$986&lt;=GRID_TO)*('Dvd Calendar'!$M$986&gt;VAL_DATE)=0,"",'Dvd Calendar'!$M$986*1000000000+ISNUMBER('Dvd Calendar'!$M$987)*100000000+0*10000000+(N('Dvd Calendar'!$M$985)&gt;0)*(N('Dvd Calendar'!$M$985)&lt;=VAL_SERIAL)*1000000+89*1000+49))</f>
        <v/>
      </c>
      <c r="GB100" s="35">
        <f>IF(N('Dvd Calendar'!$N$986)=0,"",IF(('Dvd Calendar'!$N$986&gt;=GRID_FROM)*('Dvd Calendar'!$N$986&lt;=GRID_TO)*('Dvd Calendar'!$N$986&gt;VAL_DATE)=0,"",'Dvd Calendar'!$N$986*1000000000+ISNUMBER('Dvd Calendar'!$N$987)*100000000+0*10000000+(N('Dvd Calendar'!$N$985)&gt;0)*(N('Dvd Calendar'!$N$985)&lt;=VAL_SERIAL)*1000000+89*1000+50))</f>
        <v/>
      </c>
      <c r="GC100" s="35">
        <f>IF(N('Dvd Calendar'!$O$986)=0,"",IF(('Dvd Calendar'!$O$986&gt;=GRID_FROM)*('Dvd Calendar'!$O$986&lt;=GRID_TO)*('Dvd Calendar'!$O$986&gt;VAL_DATE)=0,"",'Dvd Calendar'!$O$986*1000000000+ISNUMBER('Dvd Calendar'!$O$987)*100000000+0*10000000+(N('Dvd Calendar'!$O$985)&gt;0)*(N('Dvd Calendar'!$O$985)&lt;=VAL_SERIAL)*1000000+89*1000+51))</f>
        <v/>
      </c>
      <c r="GD100" s="35">
        <f>IF(N('Dvd Calendar'!$P$986)=0,"",IF(('Dvd Calendar'!$P$986&gt;=GRID_FROM)*('Dvd Calendar'!$P$986&lt;=GRID_TO)*('Dvd Calendar'!$P$986&gt;VAL_DATE)=0,"",'Dvd Calendar'!$P$986*1000000000+ISNUMBER('Dvd Calendar'!$P$987)*100000000+0*10000000+(N('Dvd Calendar'!$P$985)&gt;0)*(N('Dvd Calendar'!$P$985)&lt;=VAL_SERIAL)*1000000+89*1000+52))</f>
        <v/>
      </c>
      <c r="GE100" s="35">
        <f>IF(N('Dvd Calendar'!$Q$986)=0,"",IF(('Dvd Calendar'!$Q$986&gt;=GRID_FROM)*('Dvd Calendar'!$Q$986&lt;=GRID_TO)*('Dvd Calendar'!$Q$986&gt;VAL_DATE)=0,"",'Dvd Calendar'!$Q$986*1000000000+ISNUMBER('Dvd Calendar'!$Q$987)*100000000+0*10000000+(N('Dvd Calendar'!$Q$985)&gt;0)*(N('Dvd Calendar'!$Q$985)&lt;=VAL_SERIAL)*1000000+89*1000+53))</f>
        <v/>
      </c>
      <c r="GF100" s="35">
        <f>IF(N('Dvd Calendar'!$R$986)=0,"",IF(('Dvd Calendar'!$R$986&gt;=GRID_FROM)*('Dvd Calendar'!$R$986&lt;=GRID_TO)*('Dvd Calendar'!$R$986&gt;VAL_DATE)=0,"",'Dvd Calendar'!$R$986*1000000000+ISNUMBER('Dvd Calendar'!$R$987)*100000000+0*10000000+(N('Dvd Calendar'!$R$985)&gt;0)*(N('Dvd Calendar'!$R$985)&lt;=VAL_SERIAL)*1000000+89*1000+54))</f>
        <v/>
      </c>
      <c r="GG100" s="35">
        <f>IF(N('Dvd Calendar'!$S$986)=0,"",IF(('Dvd Calendar'!$S$986&gt;=GRID_FROM)*('Dvd Calendar'!$S$986&lt;=GRID_TO)*('Dvd Calendar'!$S$986&gt;VAL_DATE)=0,"",'Dvd Calendar'!$S$986*1000000000+ISNUMBER('Dvd Calendar'!$S$987)*100000000+0*10000000+(N('Dvd Calendar'!$S$985)&gt;0)*(N('Dvd Calendar'!$S$985)&lt;=VAL_SERIAL)*1000000+89*1000+55))</f>
        <v/>
      </c>
      <c r="GH100" s="35">
        <f>IF(N('Dvd Calendar'!$T$986)=0,"",IF(('Dvd Calendar'!$T$986&gt;=GRID_FROM)*('Dvd Calendar'!$T$986&lt;=GRID_TO)*('Dvd Calendar'!$T$986&gt;VAL_DATE)=0,"",'Dvd Calendar'!$T$986*1000000000+ISNUMBER('Dvd Calendar'!$T$987)*100000000+0*10000000+(N('Dvd Calendar'!$T$985)&gt;0)*(N('Dvd Calendar'!$T$985)&lt;=VAL_SERIAL)*1000000+89*1000+56))</f>
        <v/>
      </c>
      <c r="GI100" s="35">
        <f>IF(N('Dvd Calendar'!$U$986)=0,"",IF(('Dvd Calendar'!$U$986&gt;=GRID_FROM)*('Dvd Calendar'!$U$986&lt;=GRID_TO)*('Dvd Calendar'!$U$986&gt;VAL_DATE)=0,"",'Dvd Calendar'!$U$986*1000000000+ISNUMBER('Dvd Calendar'!$U$987)*100000000+0*10000000+(N('Dvd Calendar'!$U$985)&gt;0)*(N('Dvd Calendar'!$U$985)&lt;=VAL_SERIAL)*1000000+89*1000+57))</f>
        <v/>
      </c>
      <c r="GJ100" s="35">
        <f>IF(N('Dvd Calendar'!$V$986)=0,"",IF(('Dvd Calendar'!$V$986&gt;=GRID_FROM)*('Dvd Calendar'!$V$986&lt;=GRID_TO)*('Dvd Calendar'!$V$986&gt;VAL_DATE)=0,"",'Dvd Calendar'!$V$986*1000000000+ISNUMBER('Dvd Calendar'!$V$987)*100000000+0*10000000+(N('Dvd Calendar'!$V$985)&gt;0)*(N('Dvd Calendar'!$V$985)&lt;=VAL_SERIAL)*1000000+89*1000+58))</f>
        <v/>
      </c>
      <c r="GK100" s="35">
        <f>IF(N('Dvd Calendar'!$W$986)=0,"",IF(('Dvd Calendar'!$W$986&gt;=GRID_FROM)*('Dvd Calendar'!$W$986&lt;=GRID_TO)*('Dvd Calendar'!$W$986&gt;VAL_DATE)=0,"",'Dvd Calendar'!$W$986*1000000000+ISNUMBER('Dvd Calendar'!$W$987)*100000000+0*10000000+(N('Dvd Calendar'!$W$985)&gt;0)*(N('Dvd Calendar'!$W$985)&lt;=VAL_SERIAL)*1000000+89*1000+59))</f>
        <v/>
      </c>
      <c r="GL100" s="35">
        <f>IF(N('Dvd Calendar'!$X$986)=0,"",IF(('Dvd Calendar'!$X$986&gt;=GRID_FROM)*('Dvd Calendar'!$X$986&lt;=GRID_TO)*('Dvd Calendar'!$X$986&gt;VAL_DATE)=0,"",'Dvd Calendar'!$X$986*1000000000+ISNUMBER('Dvd Calendar'!$X$987)*100000000+0*10000000+(N('Dvd Calendar'!$X$985)&gt;0)*(N('Dvd Calendar'!$X$985)&lt;=VAL_SERIAL)*1000000+89*1000+60))</f>
        <v/>
      </c>
      <c r="GM100" s="35">
        <f>IF(N('Dvd Calendar'!$Y$986)=0,"",IF(('Dvd Calendar'!$Y$986&gt;=GRID_FROM)*('Dvd Calendar'!$Y$986&lt;=GRID_TO)*('Dvd Calendar'!$Y$986&gt;VAL_DATE)=0,"",'Dvd Calendar'!$Y$986*1000000000+ISNUMBER('Dvd Calendar'!$Y$987)*100000000+0*10000000+(N('Dvd Calendar'!$Y$985)&gt;0)*(N('Dvd Calendar'!$Y$985)&lt;=VAL_SERIAL)*1000000+89*1000+61))</f>
        <v/>
      </c>
      <c r="GN100" s="35">
        <f>IF(N('Dvd Calendar'!$Z$986)=0,"",IF(('Dvd Calendar'!$Z$986&gt;=GRID_FROM)*('Dvd Calendar'!$Z$986&lt;=GRID_TO)*('Dvd Calendar'!$Z$986&gt;VAL_DATE)=0,"",'Dvd Calendar'!$Z$986*1000000000+ISNUMBER('Dvd Calendar'!$Z$987)*100000000+0*10000000+(N('Dvd Calendar'!$Z$985)&gt;0)*(N('Dvd Calendar'!$Z$985)&lt;=VAL_SERIAL)*1000000+89*1000+62))</f>
        <v/>
      </c>
      <c r="GO100" s="35">
        <f>IF(N('Dvd Calendar'!$AA$986)=0,"",IF(('Dvd Calendar'!$AA$986&gt;=GRID_FROM)*('Dvd Calendar'!$AA$986&lt;=GRID_TO)*('Dvd Calendar'!$AA$986&gt;VAL_DATE)=0,"",'Dvd Calendar'!$AA$986*1000000000+ISNUMBER('Dvd Calendar'!$AA$987)*100000000+0*10000000+(N('Dvd Calendar'!$AA$985)&gt;0)*(N('Dvd Calendar'!$AA$985)&lt;=VAL_SERIAL)*1000000+89*1000+63))</f>
        <v/>
      </c>
      <c r="GP100" s="35">
        <f>IF(N('Dvd Calendar'!$AB$986)=0,"",IF(('Dvd Calendar'!$AB$986&gt;=GRID_FROM)*('Dvd Calendar'!$AB$986&lt;=GRID_TO)*('Dvd Calendar'!$AB$986&gt;VAL_DATE)=0,"",'Dvd Calendar'!$AB$986*1000000000+ISNUMBER('Dvd Calendar'!$AB$987)*100000000+0*10000000+(N('Dvd Calendar'!$AB$985)&gt;0)*(N('Dvd Calendar'!$AB$985)&lt;=VAL_SERIAL)*1000000+89*1000+64))</f>
        <v/>
      </c>
      <c r="GQ100" s="35">
        <f>IF(N('Dvd Calendar'!$AC$986)=0,"",IF(('Dvd Calendar'!$AC$986&gt;=GRID_FROM)*('Dvd Calendar'!$AC$986&lt;=GRID_TO)*('Dvd Calendar'!$AC$986&gt;VAL_DATE)=0,"",'Dvd Calendar'!$AC$986*1000000000+ISNUMBER('Dvd Calendar'!$AC$987)*100000000+0*10000000+(N('Dvd Calendar'!$AC$985)&gt;0)*(N('Dvd Calendar'!$AC$985)&lt;=VAL_SERIAL)*1000000+89*1000+65))</f>
        <v/>
      </c>
    </row>
    <row r="101">
      <c r="B101" s="2">
        <f>IF(HSI!$C$96="","",HSI!$C$96)</f>
        <v/>
      </c>
      <c r="C101" s="106">
        <f>IF(EE101="","",IF(ISNUMBER('Dvd Calendar'!$E$993)=FALSE,"",IF((('Dvd Calendar'!$E$995=TYPE1)*(TYPE1&lt;&gt;"")+('Dvd Calendar'!$E$995=TYPE2)*(TYPE2&lt;&gt;"")+('Dvd Calendar'!$E$995=TYPE3)*(TYPE3&lt;&gt;"")+('Dvd Calendar'!$E$995=TYPE4)*(TYPE4&lt;&gt;"")+('Dvd Calendar'!$E$995=SPECIAL_LBL)*(INC_SPECIALS="Y"))=0,"",'Dvd Calendar'!$E$993)))</f>
        <v/>
      </c>
      <c r="D101" s="106">
        <f>IF(EF101="","",IF(ISNUMBER('Dvd Calendar'!$F$993)=FALSE,"",IF((('Dvd Calendar'!$F$995=TYPE1)*(TYPE1&lt;&gt;"")+('Dvd Calendar'!$F$995=TYPE2)*(TYPE2&lt;&gt;"")+('Dvd Calendar'!$F$995=TYPE3)*(TYPE3&lt;&gt;"")+('Dvd Calendar'!$F$995=TYPE4)*(TYPE4&lt;&gt;"")+('Dvd Calendar'!$F$995=SPECIAL_LBL)*(INC_SPECIALS="Y"))=0,"",'Dvd Calendar'!$F$993)))</f>
        <v/>
      </c>
      <c r="E101" s="106">
        <f>IF(EG101="","",IF(ISNUMBER('Dvd Calendar'!$G$993)=FALSE,"",IF((('Dvd Calendar'!$G$995=TYPE1)*(TYPE1&lt;&gt;"")+('Dvd Calendar'!$G$995=TYPE2)*(TYPE2&lt;&gt;"")+('Dvd Calendar'!$G$995=TYPE3)*(TYPE3&lt;&gt;"")+('Dvd Calendar'!$G$995=TYPE4)*(TYPE4&lt;&gt;"")+('Dvd Calendar'!$G$995=SPECIAL_LBL)*(INC_SPECIALS="Y"))=0,"",'Dvd Calendar'!$G$993)))</f>
        <v/>
      </c>
      <c r="F101" s="106">
        <f>IF(EH101="","",IF(ISNUMBER('Dvd Calendar'!$H$993)=FALSE,"",IF((('Dvd Calendar'!$H$995=TYPE1)*(TYPE1&lt;&gt;"")+('Dvd Calendar'!$H$995=TYPE2)*(TYPE2&lt;&gt;"")+('Dvd Calendar'!$H$995=TYPE3)*(TYPE3&lt;&gt;"")+('Dvd Calendar'!$H$995=TYPE4)*(TYPE4&lt;&gt;"")+('Dvd Calendar'!$H$995=SPECIAL_LBL)*(INC_SPECIALS="Y"))=0,"",'Dvd Calendar'!$H$993)))</f>
        <v/>
      </c>
      <c r="G101" s="106">
        <f>IF(EI101="","",IF(ISNUMBER('Dvd Calendar'!$I$993)=FALSE,"",IF((('Dvd Calendar'!$I$995=TYPE1)*(TYPE1&lt;&gt;"")+('Dvd Calendar'!$I$995=TYPE2)*(TYPE2&lt;&gt;"")+('Dvd Calendar'!$I$995=TYPE3)*(TYPE3&lt;&gt;"")+('Dvd Calendar'!$I$995=TYPE4)*(TYPE4&lt;&gt;"")+('Dvd Calendar'!$I$995=SPECIAL_LBL)*(INC_SPECIALS="Y"))=0,"",'Dvd Calendar'!$I$993)))</f>
        <v/>
      </c>
      <c r="H101" s="106">
        <f>IF(EJ101="","",IF(ISNUMBER('Dvd Calendar'!$J$993)=FALSE,"",IF((('Dvd Calendar'!$J$995=TYPE1)*(TYPE1&lt;&gt;"")+('Dvd Calendar'!$J$995=TYPE2)*(TYPE2&lt;&gt;"")+('Dvd Calendar'!$J$995=TYPE3)*(TYPE3&lt;&gt;"")+('Dvd Calendar'!$J$995=TYPE4)*(TYPE4&lt;&gt;"")+('Dvd Calendar'!$J$995=SPECIAL_LBL)*(INC_SPECIALS="Y"))=0,"",'Dvd Calendar'!$J$993)))</f>
        <v/>
      </c>
      <c r="I101" s="106">
        <f>IF(EK101="","",IF(ISNUMBER('Dvd Calendar'!$K$993)=FALSE,"",IF((('Dvd Calendar'!$K$995=TYPE1)*(TYPE1&lt;&gt;"")+('Dvd Calendar'!$K$995=TYPE2)*(TYPE2&lt;&gt;"")+('Dvd Calendar'!$K$995=TYPE3)*(TYPE3&lt;&gt;"")+('Dvd Calendar'!$K$995=TYPE4)*(TYPE4&lt;&gt;"")+('Dvd Calendar'!$K$995=SPECIAL_LBL)*(INC_SPECIALS="Y"))=0,"",'Dvd Calendar'!$K$993)))</f>
        <v/>
      </c>
      <c r="J101" s="106">
        <f>IF(EL101="","",IF(ISNUMBER('Dvd Calendar'!$L$993)=FALSE,"",IF((('Dvd Calendar'!$L$995=TYPE1)*(TYPE1&lt;&gt;"")+('Dvd Calendar'!$L$995=TYPE2)*(TYPE2&lt;&gt;"")+('Dvd Calendar'!$L$995=TYPE3)*(TYPE3&lt;&gt;"")+('Dvd Calendar'!$L$995=TYPE4)*(TYPE4&lt;&gt;"")+('Dvd Calendar'!$L$995=SPECIAL_LBL)*(INC_SPECIALS="Y"))=0,"",'Dvd Calendar'!$L$993)))</f>
        <v/>
      </c>
      <c r="K101" s="106">
        <f>IF(EM101="","",IF(ISNUMBER('Dvd Calendar'!$M$993)=FALSE,"",IF((('Dvd Calendar'!$M$995=TYPE1)*(TYPE1&lt;&gt;"")+('Dvd Calendar'!$M$995=TYPE2)*(TYPE2&lt;&gt;"")+('Dvd Calendar'!$M$995=TYPE3)*(TYPE3&lt;&gt;"")+('Dvd Calendar'!$M$995=TYPE4)*(TYPE4&lt;&gt;"")+('Dvd Calendar'!$M$995=SPECIAL_LBL)*(INC_SPECIALS="Y"))=0,"",'Dvd Calendar'!$M$993)))</f>
        <v/>
      </c>
      <c r="L101" s="106">
        <f>IF(EN101="","",IF(ISNUMBER('Dvd Calendar'!$N$993)=FALSE,"",IF((('Dvd Calendar'!$N$995=TYPE1)*(TYPE1&lt;&gt;"")+('Dvd Calendar'!$N$995=TYPE2)*(TYPE2&lt;&gt;"")+('Dvd Calendar'!$N$995=TYPE3)*(TYPE3&lt;&gt;"")+('Dvd Calendar'!$N$995=TYPE4)*(TYPE4&lt;&gt;"")+('Dvd Calendar'!$N$995=SPECIAL_LBL)*(INC_SPECIALS="Y"))=0,"",'Dvd Calendar'!$N$993)))</f>
        <v/>
      </c>
      <c r="M101" s="106">
        <f>IF(EO101="","",IF(ISNUMBER('Dvd Calendar'!$O$993)=FALSE,"",IF((('Dvd Calendar'!$O$995=TYPE1)*(TYPE1&lt;&gt;"")+('Dvd Calendar'!$O$995=TYPE2)*(TYPE2&lt;&gt;"")+('Dvd Calendar'!$O$995=TYPE3)*(TYPE3&lt;&gt;"")+('Dvd Calendar'!$O$995=TYPE4)*(TYPE4&lt;&gt;"")+('Dvd Calendar'!$O$995=SPECIAL_LBL)*(INC_SPECIALS="Y"))=0,"",'Dvd Calendar'!$O$993)))</f>
        <v/>
      </c>
      <c r="N101" s="106">
        <f>IF(EP101="","",IF(ISNUMBER('Dvd Calendar'!$P$993)=FALSE,"",IF((('Dvd Calendar'!$P$995=TYPE1)*(TYPE1&lt;&gt;"")+('Dvd Calendar'!$P$995=TYPE2)*(TYPE2&lt;&gt;"")+('Dvd Calendar'!$P$995=TYPE3)*(TYPE3&lt;&gt;"")+('Dvd Calendar'!$P$995=TYPE4)*(TYPE4&lt;&gt;"")+('Dvd Calendar'!$P$995=SPECIAL_LBL)*(INC_SPECIALS="Y"))=0,"",'Dvd Calendar'!$P$993)))</f>
        <v/>
      </c>
      <c r="O101" s="106">
        <f>IF(EQ101="","",IF(ISNUMBER('Dvd Calendar'!$Q$993)=FALSE,"",IF((('Dvd Calendar'!$Q$995=TYPE1)*(TYPE1&lt;&gt;"")+('Dvd Calendar'!$Q$995=TYPE2)*(TYPE2&lt;&gt;"")+('Dvd Calendar'!$Q$995=TYPE3)*(TYPE3&lt;&gt;"")+('Dvd Calendar'!$Q$995=TYPE4)*(TYPE4&lt;&gt;"")+('Dvd Calendar'!$Q$995=SPECIAL_LBL)*(INC_SPECIALS="Y"))=0,"",'Dvd Calendar'!$Q$993)))</f>
        <v/>
      </c>
      <c r="P101" s="106">
        <f>IF(ER101="","",IF(ISNUMBER('Dvd Calendar'!$R$993)=FALSE,"",IF((('Dvd Calendar'!$R$995=TYPE1)*(TYPE1&lt;&gt;"")+('Dvd Calendar'!$R$995=TYPE2)*(TYPE2&lt;&gt;"")+('Dvd Calendar'!$R$995=TYPE3)*(TYPE3&lt;&gt;"")+('Dvd Calendar'!$R$995=TYPE4)*(TYPE4&lt;&gt;"")+('Dvd Calendar'!$R$995=SPECIAL_LBL)*(INC_SPECIALS="Y"))=0,"",'Dvd Calendar'!$R$993)))</f>
        <v/>
      </c>
      <c r="Q101" s="106">
        <f>IF(ES101="","",IF(ISNUMBER('Dvd Calendar'!$S$993)=FALSE,"",IF((('Dvd Calendar'!$S$995=TYPE1)*(TYPE1&lt;&gt;"")+('Dvd Calendar'!$S$995=TYPE2)*(TYPE2&lt;&gt;"")+('Dvd Calendar'!$S$995=TYPE3)*(TYPE3&lt;&gt;"")+('Dvd Calendar'!$S$995=TYPE4)*(TYPE4&lt;&gt;"")+('Dvd Calendar'!$S$995=SPECIAL_LBL)*(INC_SPECIALS="Y"))=0,"",'Dvd Calendar'!$S$993)))</f>
        <v/>
      </c>
      <c r="R101" s="106">
        <f>IF(ET101="","",IF(ISNUMBER('Dvd Calendar'!$T$993)=FALSE,"",IF((('Dvd Calendar'!$T$995=TYPE1)*(TYPE1&lt;&gt;"")+('Dvd Calendar'!$T$995=TYPE2)*(TYPE2&lt;&gt;"")+('Dvd Calendar'!$T$995=TYPE3)*(TYPE3&lt;&gt;"")+('Dvd Calendar'!$T$995=TYPE4)*(TYPE4&lt;&gt;"")+('Dvd Calendar'!$T$995=SPECIAL_LBL)*(INC_SPECIALS="Y"))=0,"",'Dvd Calendar'!$T$993)))</f>
        <v/>
      </c>
      <c r="S101" s="106">
        <f>IF(EU101="","",IF(ISNUMBER('Dvd Calendar'!$U$993)=FALSE,"",IF((('Dvd Calendar'!$U$995=TYPE1)*(TYPE1&lt;&gt;"")+('Dvd Calendar'!$U$995=TYPE2)*(TYPE2&lt;&gt;"")+('Dvd Calendar'!$U$995=TYPE3)*(TYPE3&lt;&gt;"")+('Dvd Calendar'!$U$995=TYPE4)*(TYPE4&lt;&gt;"")+('Dvd Calendar'!$U$995=SPECIAL_LBL)*(INC_SPECIALS="Y"))=0,"",'Dvd Calendar'!$U$993)))</f>
        <v/>
      </c>
      <c r="T101" s="106">
        <f>IF(EV101="","",IF(ISNUMBER('Dvd Calendar'!$V$993)=FALSE,"",IF((('Dvd Calendar'!$V$995=TYPE1)*(TYPE1&lt;&gt;"")+('Dvd Calendar'!$V$995=TYPE2)*(TYPE2&lt;&gt;"")+('Dvd Calendar'!$V$995=TYPE3)*(TYPE3&lt;&gt;"")+('Dvd Calendar'!$V$995=TYPE4)*(TYPE4&lt;&gt;"")+('Dvd Calendar'!$V$995=SPECIAL_LBL)*(INC_SPECIALS="Y"))=0,"",'Dvd Calendar'!$V$993)))</f>
        <v/>
      </c>
      <c r="U101" s="106">
        <f>IF(EW101="","",IF(ISNUMBER('Dvd Calendar'!$W$993)=FALSE,"",IF((('Dvd Calendar'!$W$995=TYPE1)*(TYPE1&lt;&gt;"")+('Dvd Calendar'!$W$995=TYPE2)*(TYPE2&lt;&gt;"")+('Dvd Calendar'!$W$995=TYPE3)*(TYPE3&lt;&gt;"")+('Dvd Calendar'!$W$995=TYPE4)*(TYPE4&lt;&gt;"")+('Dvd Calendar'!$W$995=SPECIAL_LBL)*(INC_SPECIALS="Y"))=0,"",'Dvd Calendar'!$W$993)))</f>
        <v/>
      </c>
      <c r="V101" s="106">
        <f>IF(EX101="","",IF(ISNUMBER('Dvd Calendar'!$X$993)=FALSE,"",IF((('Dvd Calendar'!$X$995=TYPE1)*(TYPE1&lt;&gt;"")+('Dvd Calendar'!$X$995=TYPE2)*(TYPE2&lt;&gt;"")+('Dvd Calendar'!$X$995=TYPE3)*(TYPE3&lt;&gt;"")+('Dvd Calendar'!$X$995=TYPE4)*(TYPE4&lt;&gt;"")+('Dvd Calendar'!$X$995=SPECIAL_LBL)*(INC_SPECIALS="Y"))=0,"",'Dvd Calendar'!$X$993)))</f>
        <v/>
      </c>
      <c r="W101" s="106">
        <f>IF(EY101="","",IF(ISNUMBER('Dvd Calendar'!$Y$993)=FALSE,"",IF((('Dvd Calendar'!$Y$995=TYPE1)*(TYPE1&lt;&gt;"")+('Dvd Calendar'!$Y$995=TYPE2)*(TYPE2&lt;&gt;"")+('Dvd Calendar'!$Y$995=TYPE3)*(TYPE3&lt;&gt;"")+('Dvd Calendar'!$Y$995=TYPE4)*(TYPE4&lt;&gt;"")+('Dvd Calendar'!$Y$995=SPECIAL_LBL)*(INC_SPECIALS="Y"))=0,"",'Dvd Calendar'!$Y$993)))</f>
        <v/>
      </c>
      <c r="X101" s="106">
        <f>IF(EZ101="","",IF(ISNUMBER('Dvd Calendar'!$Z$993)=FALSE,"",IF((('Dvd Calendar'!$Z$995=TYPE1)*(TYPE1&lt;&gt;"")+('Dvd Calendar'!$Z$995=TYPE2)*(TYPE2&lt;&gt;"")+('Dvd Calendar'!$Z$995=TYPE3)*(TYPE3&lt;&gt;"")+('Dvd Calendar'!$Z$995=TYPE4)*(TYPE4&lt;&gt;"")+('Dvd Calendar'!$Z$995=SPECIAL_LBL)*(INC_SPECIALS="Y"))=0,"",'Dvd Calendar'!$Z$993)))</f>
        <v/>
      </c>
      <c r="Y101" s="106">
        <f>IF(FA101="","",IF(ISNUMBER('Dvd Calendar'!$AA$993)=FALSE,"",IF((('Dvd Calendar'!$AA$995=TYPE1)*(TYPE1&lt;&gt;"")+('Dvd Calendar'!$AA$995=TYPE2)*(TYPE2&lt;&gt;"")+('Dvd Calendar'!$AA$995=TYPE3)*(TYPE3&lt;&gt;"")+('Dvd Calendar'!$AA$995=TYPE4)*(TYPE4&lt;&gt;"")+('Dvd Calendar'!$AA$995=SPECIAL_LBL)*(INC_SPECIALS="Y"))=0,"",'Dvd Calendar'!$AA$993)))</f>
        <v/>
      </c>
      <c r="Z101" s="106">
        <f>IF(FB101="","",IF(ISNUMBER('Dvd Calendar'!$AB$993)=FALSE,"",IF((('Dvd Calendar'!$AB$995=TYPE1)*(TYPE1&lt;&gt;"")+('Dvd Calendar'!$AB$995=TYPE2)*(TYPE2&lt;&gt;"")+('Dvd Calendar'!$AB$995=TYPE3)*(TYPE3&lt;&gt;"")+('Dvd Calendar'!$AB$995=TYPE4)*(TYPE4&lt;&gt;"")+('Dvd Calendar'!$AB$995=SPECIAL_LBL)*(INC_SPECIALS="Y"))=0,"",'Dvd Calendar'!$AB$993)))</f>
        <v/>
      </c>
      <c r="AA101" s="106">
        <f>IF(FC101="","",IF(ISNUMBER('Dvd Calendar'!$AC$993)=FALSE,"",IF((('Dvd Calendar'!$AC$995=TYPE1)*(TYPE1&lt;&gt;"")+('Dvd Calendar'!$AC$995=TYPE2)*(TYPE2&lt;&gt;"")+('Dvd Calendar'!$AC$995=TYPE3)*(TYPE3&lt;&gt;"")+('Dvd Calendar'!$AC$995=TYPE4)*(TYPE4&lt;&gt;"")+('Dvd Calendar'!$AC$995=SPECIAL_LBL)*(INC_SPECIALS="Y"))=0,"",'Dvd Calendar'!$AC$993)))</f>
        <v/>
      </c>
      <c r="AB101" s="106">
        <f>IF(FD101="","",IF(ISNUMBER('Dvd Calendar'!$AD$993)=FALSE,"",IF((('Dvd Calendar'!$AD$995=TYPE1)*(TYPE1&lt;&gt;"")+('Dvd Calendar'!$AD$995=TYPE2)*(TYPE2&lt;&gt;"")+('Dvd Calendar'!$AD$995=TYPE3)*(TYPE3&lt;&gt;"")+('Dvd Calendar'!$AD$995=TYPE4)*(TYPE4&lt;&gt;"")+('Dvd Calendar'!$AD$995=SPECIAL_LBL)*(INC_SPECIALS="Y"))=0,"",'Dvd Calendar'!$AD$993)))</f>
        <v/>
      </c>
      <c r="AC101" s="106">
        <f>IF(FE101="","",IF(ISNUMBER('Dvd Calendar'!$AE$993)=FALSE,"",IF((('Dvd Calendar'!$AE$995=TYPE1)*(TYPE1&lt;&gt;"")+('Dvd Calendar'!$AE$995=TYPE2)*(TYPE2&lt;&gt;"")+('Dvd Calendar'!$AE$995=TYPE3)*(TYPE3&lt;&gt;"")+('Dvd Calendar'!$AE$995=TYPE4)*(TYPE4&lt;&gt;"")+('Dvd Calendar'!$AE$995=SPECIAL_LBL)*(INC_SPECIALS="Y"))=0,"",'Dvd Calendar'!$AE$993)))</f>
        <v/>
      </c>
      <c r="AD101" s="106">
        <f>IF(FF101="","",IF(ISNUMBER('Dvd Calendar'!$AF$993)=FALSE,"",IF((('Dvd Calendar'!$AF$995=TYPE1)*(TYPE1&lt;&gt;"")+('Dvd Calendar'!$AF$995=TYPE2)*(TYPE2&lt;&gt;"")+('Dvd Calendar'!$AF$995=TYPE3)*(TYPE3&lt;&gt;"")+('Dvd Calendar'!$AF$995=TYPE4)*(TYPE4&lt;&gt;"")+('Dvd Calendar'!$AF$995=SPECIAL_LBL)*(INC_SPECIALS="Y"))=0,"",'Dvd Calendar'!$AF$993)))</f>
        <v/>
      </c>
      <c r="AE101" s="106">
        <f>IF(FG101="","",IF(ISNUMBER('Dvd Calendar'!$AG$993)=FALSE,"",IF((('Dvd Calendar'!$AG$995=TYPE1)*(TYPE1&lt;&gt;"")+('Dvd Calendar'!$AG$995=TYPE2)*(TYPE2&lt;&gt;"")+('Dvd Calendar'!$AG$995=TYPE3)*(TYPE3&lt;&gt;"")+('Dvd Calendar'!$AG$995=TYPE4)*(TYPE4&lt;&gt;"")+('Dvd Calendar'!$AG$995=SPECIAL_LBL)*(INC_SPECIALS="Y"))=0,"",'Dvd Calendar'!$AG$993)))</f>
        <v/>
      </c>
      <c r="AF101" s="106">
        <f>IF(FH101="","",IF(ISNUMBER('Dvd Calendar'!$AH$993)=FALSE,"",IF((('Dvd Calendar'!$AH$995=TYPE1)*(TYPE1&lt;&gt;"")+('Dvd Calendar'!$AH$995=TYPE2)*(TYPE2&lt;&gt;"")+('Dvd Calendar'!$AH$995=TYPE3)*(TYPE3&lt;&gt;"")+('Dvd Calendar'!$AH$995=TYPE4)*(TYPE4&lt;&gt;"")+('Dvd Calendar'!$AH$995=SPECIAL_LBL)*(INC_SPECIALS="Y"))=0,"",'Dvd Calendar'!$AH$993)))</f>
        <v/>
      </c>
      <c r="AG101" s="106">
        <f>IF(FI101="","",IF(ISNUMBER('Dvd Calendar'!$AI$993)=FALSE,"",IF((('Dvd Calendar'!$AI$995=TYPE1)*(TYPE1&lt;&gt;"")+('Dvd Calendar'!$AI$995=TYPE2)*(TYPE2&lt;&gt;"")+('Dvd Calendar'!$AI$995=TYPE3)*(TYPE3&lt;&gt;"")+('Dvd Calendar'!$AI$995=TYPE4)*(TYPE4&lt;&gt;"")+('Dvd Calendar'!$AI$995=SPECIAL_LBL)*(INC_SPECIALS="Y"))=0,"",'Dvd Calendar'!$AI$993)))</f>
        <v/>
      </c>
      <c r="AH101" s="106">
        <f>IF(FJ101="","",IF(ISNUMBER('Dvd Calendar'!$AJ$993)=FALSE,"",IF((('Dvd Calendar'!$AJ$995=TYPE1)*(TYPE1&lt;&gt;"")+('Dvd Calendar'!$AJ$995=TYPE2)*(TYPE2&lt;&gt;"")+('Dvd Calendar'!$AJ$995=TYPE3)*(TYPE3&lt;&gt;"")+('Dvd Calendar'!$AJ$995=TYPE4)*(TYPE4&lt;&gt;"")+('Dvd Calendar'!$AJ$995=SPECIAL_LBL)*(INC_SPECIALS="Y"))=0,"",'Dvd Calendar'!$AJ$993)))</f>
        <v/>
      </c>
      <c r="AI101" s="106">
        <f>IF(FK101="","",IF(ISNUMBER('Dvd Calendar'!$AK$993)=FALSE,"",IF((('Dvd Calendar'!$AK$995=TYPE1)*(TYPE1&lt;&gt;"")+('Dvd Calendar'!$AK$995=TYPE2)*(TYPE2&lt;&gt;"")+('Dvd Calendar'!$AK$995=TYPE3)*(TYPE3&lt;&gt;"")+('Dvd Calendar'!$AK$995=TYPE4)*(TYPE4&lt;&gt;"")+('Dvd Calendar'!$AK$995=SPECIAL_LBL)*(INC_SPECIALS="Y"))=0,"",'Dvd Calendar'!$AK$993)))</f>
        <v/>
      </c>
      <c r="AJ101" s="106">
        <f>IF(FL101="","",IF(ISNUMBER('Dvd Calendar'!$AL$993)=FALSE,"",IF((('Dvd Calendar'!$AL$995=TYPE1)*(TYPE1&lt;&gt;"")+('Dvd Calendar'!$AL$995=TYPE2)*(TYPE2&lt;&gt;"")+('Dvd Calendar'!$AL$995=TYPE3)*(TYPE3&lt;&gt;"")+('Dvd Calendar'!$AL$995=TYPE4)*(TYPE4&lt;&gt;"")+('Dvd Calendar'!$AL$995=SPECIAL_LBL)*(INC_SPECIALS="Y"))=0,"",'Dvd Calendar'!$AL$993)))</f>
        <v/>
      </c>
      <c r="AK101" s="106">
        <f>IF(FM101="","",IF(ISNUMBER('Dvd Calendar'!$AM$993)=FALSE,"",IF((('Dvd Calendar'!$AM$995=TYPE1)*(TYPE1&lt;&gt;"")+('Dvd Calendar'!$AM$995=TYPE2)*(TYPE2&lt;&gt;"")+('Dvd Calendar'!$AM$995=TYPE3)*(TYPE3&lt;&gt;"")+('Dvd Calendar'!$AM$995=TYPE4)*(TYPE4&lt;&gt;"")+('Dvd Calendar'!$AM$995=SPECIAL_LBL)*(INC_SPECIALS="Y"))=0,"",'Dvd Calendar'!$AM$993)))</f>
        <v/>
      </c>
      <c r="AL101" s="106">
        <f>IF(FN101="","",IF(ISNUMBER('Dvd Calendar'!$AN$993)=FALSE,"",IF((('Dvd Calendar'!$AN$995=TYPE1)*(TYPE1&lt;&gt;"")+('Dvd Calendar'!$AN$995=TYPE2)*(TYPE2&lt;&gt;"")+('Dvd Calendar'!$AN$995=TYPE3)*(TYPE3&lt;&gt;"")+('Dvd Calendar'!$AN$995=TYPE4)*(TYPE4&lt;&gt;"")+('Dvd Calendar'!$AN$995=SPECIAL_LBL)*(INC_SPECIALS="Y"))=0,"",'Dvd Calendar'!$AN$993)))</f>
        <v/>
      </c>
      <c r="AM101" s="106">
        <f>IF(FO101="","",IF(ISNUMBER('Dvd Calendar'!$AO$993)=FALSE,"",IF((('Dvd Calendar'!$AO$995=TYPE1)*(TYPE1&lt;&gt;"")+('Dvd Calendar'!$AO$995=TYPE2)*(TYPE2&lt;&gt;"")+('Dvd Calendar'!$AO$995=TYPE3)*(TYPE3&lt;&gt;"")+('Dvd Calendar'!$AO$995=TYPE4)*(TYPE4&lt;&gt;"")+('Dvd Calendar'!$AO$995=SPECIAL_LBL)*(INC_SPECIALS="Y"))=0,"",'Dvd Calendar'!$AO$993)))</f>
        <v/>
      </c>
      <c r="AN101" s="106">
        <f>IF(FP101="","",IF(ISNUMBER('Dvd Calendar'!$AP$993)=FALSE,"",IF((('Dvd Calendar'!$AP$995=TYPE1)*(TYPE1&lt;&gt;"")+('Dvd Calendar'!$AP$995=TYPE2)*(TYPE2&lt;&gt;"")+('Dvd Calendar'!$AP$995=TYPE3)*(TYPE3&lt;&gt;"")+('Dvd Calendar'!$AP$995=TYPE4)*(TYPE4&lt;&gt;"")+('Dvd Calendar'!$AP$995=SPECIAL_LBL)*(INC_SPECIALS="Y"))=0,"",'Dvd Calendar'!$AP$993)))</f>
        <v/>
      </c>
      <c r="AO101" s="106">
        <f>IF(FQ101="","",IF(ISNUMBER('Dvd Calendar'!$AQ$993)=FALSE,"",IF((('Dvd Calendar'!$AQ$995=TYPE1)*(TYPE1&lt;&gt;"")+('Dvd Calendar'!$AQ$995=TYPE2)*(TYPE2&lt;&gt;"")+('Dvd Calendar'!$AQ$995=TYPE3)*(TYPE3&lt;&gt;"")+('Dvd Calendar'!$AQ$995=TYPE4)*(TYPE4&lt;&gt;"")+('Dvd Calendar'!$AQ$995=SPECIAL_LBL)*(INC_SPECIALS="Y"))=0,"",'Dvd Calendar'!$AQ$993)))</f>
        <v/>
      </c>
      <c r="AP101" s="106">
        <f>IF(FR101="","",IF(ISNUMBER('Dvd Calendar'!$AR$993)=FALSE,"",IF((('Dvd Calendar'!$AR$995=TYPE1)*(TYPE1&lt;&gt;"")+('Dvd Calendar'!$AR$995=TYPE2)*(TYPE2&lt;&gt;"")+('Dvd Calendar'!$AR$995=TYPE3)*(TYPE3&lt;&gt;"")+('Dvd Calendar'!$AR$995=TYPE4)*(TYPE4&lt;&gt;"")+('Dvd Calendar'!$AR$995=SPECIAL_LBL)*(INC_SPECIALS="Y"))=0,"",'Dvd Calendar'!$AR$993)))</f>
        <v/>
      </c>
      <c r="AQ101" s="106">
        <f>IF(FS101="","",IF(ISNUMBER('Dvd Calendar'!$E$998)=FALSE,"",'Dvd Calendar'!$E$998))</f>
        <v/>
      </c>
      <c r="AR101" s="106">
        <f>IF(FT101="","",IF(ISNUMBER('Dvd Calendar'!$F$998)=FALSE,"",'Dvd Calendar'!$F$998))</f>
        <v/>
      </c>
      <c r="AS101" s="106">
        <f>IF(FU101="","",IF(ISNUMBER('Dvd Calendar'!$G$998)=FALSE,"",'Dvd Calendar'!$G$998))</f>
        <v/>
      </c>
      <c r="AT101" s="106">
        <f>IF(FV101="","",IF(ISNUMBER('Dvd Calendar'!$H$998)=FALSE,"",'Dvd Calendar'!$H$998))</f>
        <v/>
      </c>
      <c r="AU101" s="106">
        <f>IF(FW101="","",IF(ISNUMBER('Dvd Calendar'!$I$998)=FALSE,"",'Dvd Calendar'!$I$998))</f>
        <v/>
      </c>
      <c r="AV101" s="106">
        <f>IF(FX101="","",IF(ISNUMBER('Dvd Calendar'!$J$998)=FALSE,"",'Dvd Calendar'!$J$998))</f>
        <v/>
      </c>
      <c r="AW101" s="106">
        <f>IF(FY101="","",IF(ISNUMBER('Dvd Calendar'!$K$998)=FALSE,"",'Dvd Calendar'!$K$998))</f>
        <v/>
      </c>
      <c r="AX101" s="106">
        <f>IF(FZ101="","",IF(ISNUMBER('Dvd Calendar'!$L$998)=FALSE,"",'Dvd Calendar'!$L$998))</f>
        <v/>
      </c>
      <c r="AY101" s="106">
        <f>IF(GA101="","",IF(ISNUMBER('Dvd Calendar'!$M$998)=FALSE,"",'Dvd Calendar'!$M$998))</f>
        <v/>
      </c>
      <c r="AZ101" s="106">
        <f>IF(GB101="","",IF(ISNUMBER('Dvd Calendar'!$N$998)=FALSE,"",'Dvd Calendar'!$N$998))</f>
        <v/>
      </c>
      <c r="BA101" s="106">
        <f>IF(GC101="","",IF(ISNUMBER('Dvd Calendar'!$O$998)=FALSE,"",'Dvd Calendar'!$O$998))</f>
        <v/>
      </c>
      <c r="BB101" s="106">
        <f>IF(GD101="","",IF(ISNUMBER('Dvd Calendar'!$P$998)=FALSE,"",'Dvd Calendar'!$P$998))</f>
        <v/>
      </c>
      <c r="BC101" s="106">
        <f>IF(GE101="","",IF(ISNUMBER('Dvd Calendar'!$Q$998)=FALSE,"",'Dvd Calendar'!$Q$998))</f>
        <v/>
      </c>
      <c r="BD101" s="106">
        <f>IF(GF101="","",IF(ISNUMBER('Dvd Calendar'!$R$998)=FALSE,"",'Dvd Calendar'!$R$998))</f>
        <v/>
      </c>
      <c r="BE101" s="106">
        <f>IF(GG101="","",IF(ISNUMBER('Dvd Calendar'!$S$998)=FALSE,"",'Dvd Calendar'!$S$998))</f>
        <v/>
      </c>
      <c r="BF101" s="106">
        <f>IF(GH101="","",IF(ISNUMBER('Dvd Calendar'!$T$998)=FALSE,"",'Dvd Calendar'!$T$998))</f>
        <v/>
      </c>
      <c r="BG101" s="106">
        <f>IF(GI101="","",IF(ISNUMBER('Dvd Calendar'!$U$998)=FALSE,"",'Dvd Calendar'!$U$998))</f>
        <v/>
      </c>
      <c r="BH101" s="106">
        <f>IF(GJ101="","",IF(ISNUMBER('Dvd Calendar'!$V$998)=FALSE,"",'Dvd Calendar'!$V$998))</f>
        <v/>
      </c>
      <c r="BI101" s="106">
        <f>IF(GK101="","",IF(ISNUMBER('Dvd Calendar'!$W$998)=FALSE,"",'Dvd Calendar'!$W$998))</f>
        <v/>
      </c>
      <c r="BJ101" s="106">
        <f>IF(GL101="","",IF(ISNUMBER('Dvd Calendar'!$X$998)=FALSE,"",'Dvd Calendar'!$X$998))</f>
        <v/>
      </c>
      <c r="BK101" s="106">
        <f>IF(GM101="","",IF(ISNUMBER('Dvd Calendar'!$Y$998)=FALSE,"",'Dvd Calendar'!$Y$998))</f>
        <v/>
      </c>
      <c r="BL101" s="106">
        <f>IF(GN101="","",IF(ISNUMBER('Dvd Calendar'!$Z$998)=FALSE,"",'Dvd Calendar'!$Z$998))</f>
        <v/>
      </c>
      <c r="BM101" s="106">
        <f>IF(GO101="","",IF(ISNUMBER('Dvd Calendar'!$AA$998)=FALSE,"",'Dvd Calendar'!$AA$998))</f>
        <v/>
      </c>
      <c r="BN101" s="106">
        <f>IF(GP101="","",IF(ISNUMBER('Dvd Calendar'!$AB$998)=FALSE,"",'Dvd Calendar'!$AB$998))</f>
        <v/>
      </c>
      <c r="BO101" s="106">
        <f>IF(GQ101="","",IF(ISNUMBER('Dvd Calendar'!$AC$998)=FALSE,"",'Dvd Calendar'!$AC$998))</f>
        <v/>
      </c>
      <c r="BQ101" s="106">
        <f>IF(C101="","",IFERROR(C101*HSI!$B$96*HSI!$G$96/HSI!$B$3,""))</f>
        <v/>
      </c>
      <c r="BR101" s="106">
        <f>IF(D101="","",IFERROR(D101*HSI!$B$96*HSI!$G$96/HSI!$B$3,""))</f>
        <v/>
      </c>
      <c r="BS101" s="106">
        <f>IF(E101="","",IFERROR(E101*HSI!$B$96*HSI!$G$96/HSI!$B$3,""))</f>
        <v/>
      </c>
      <c r="BT101" s="106">
        <f>IF(F101="","",IFERROR(F101*HSI!$B$96*HSI!$G$96/HSI!$B$3,""))</f>
        <v/>
      </c>
      <c r="BU101" s="106">
        <f>IF(G101="","",IFERROR(G101*HSI!$B$96*HSI!$G$96/HSI!$B$3,""))</f>
        <v/>
      </c>
      <c r="BV101" s="106">
        <f>IF(H101="","",IFERROR(H101*HSI!$B$96*HSI!$G$96/HSI!$B$3,""))</f>
        <v/>
      </c>
      <c r="BW101" s="106">
        <f>IF(I101="","",IFERROR(I101*HSI!$B$96*HSI!$G$96/HSI!$B$3,""))</f>
        <v/>
      </c>
      <c r="BX101" s="106">
        <f>IF(J101="","",IFERROR(J101*HSI!$B$96*HSI!$G$96/HSI!$B$3,""))</f>
        <v/>
      </c>
      <c r="BY101" s="106">
        <f>IF(K101="","",IFERROR(K101*HSI!$B$96*HSI!$G$96/HSI!$B$3,""))</f>
        <v/>
      </c>
      <c r="BZ101" s="106">
        <f>IF(L101="","",IFERROR(L101*HSI!$B$96*HSI!$G$96/HSI!$B$3,""))</f>
        <v/>
      </c>
      <c r="CA101" s="106">
        <f>IF(M101="","",IFERROR(M101*HSI!$B$96*HSI!$G$96/HSI!$B$3,""))</f>
        <v/>
      </c>
      <c r="CB101" s="106">
        <f>IF(N101="","",IFERROR(N101*HSI!$B$96*HSI!$G$96/HSI!$B$3,""))</f>
        <v/>
      </c>
      <c r="CC101" s="106">
        <f>IF(O101="","",IFERROR(O101*HSI!$B$96*HSI!$G$96/HSI!$B$3,""))</f>
        <v/>
      </c>
      <c r="CD101" s="106">
        <f>IF(P101="","",IFERROR(P101*HSI!$B$96*HSI!$G$96/HSI!$B$3,""))</f>
        <v/>
      </c>
      <c r="CE101" s="106">
        <f>IF(Q101="","",IFERROR(Q101*HSI!$B$96*HSI!$G$96/HSI!$B$3,""))</f>
        <v/>
      </c>
      <c r="CF101" s="106">
        <f>IF(R101="","",IFERROR(R101*HSI!$B$96*HSI!$G$96/HSI!$B$3,""))</f>
        <v/>
      </c>
      <c r="CG101" s="106">
        <f>IF(S101="","",IFERROR(S101*HSI!$B$96*HSI!$G$96/HSI!$B$3,""))</f>
        <v/>
      </c>
      <c r="CH101" s="106">
        <f>IF(T101="","",IFERROR(T101*HSI!$B$96*HSI!$G$96/HSI!$B$3,""))</f>
        <v/>
      </c>
      <c r="CI101" s="106">
        <f>IF(U101="","",IFERROR(U101*HSI!$B$96*HSI!$G$96/HSI!$B$3,""))</f>
        <v/>
      </c>
      <c r="CJ101" s="106">
        <f>IF(V101="","",IFERROR(V101*HSI!$B$96*HSI!$G$96/HSI!$B$3,""))</f>
        <v/>
      </c>
      <c r="CK101" s="106">
        <f>IF(W101="","",IFERROR(W101*HSI!$B$96*HSI!$G$96/HSI!$B$3,""))</f>
        <v/>
      </c>
      <c r="CL101" s="106">
        <f>IF(X101="","",IFERROR(X101*HSI!$B$96*HSI!$G$96/HSI!$B$3,""))</f>
        <v/>
      </c>
      <c r="CM101" s="106">
        <f>IF(Y101="","",IFERROR(Y101*HSI!$B$96*HSI!$G$96/HSI!$B$3,""))</f>
        <v/>
      </c>
      <c r="CN101" s="106">
        <f>IF(Z101="","",IFERROR(Z101*HSI!$B$96*HSI!$G$96/HSI!$B$3,""))</f>
        <v/>
      </c>
      <c r="CO101" s="106">
        <f>IF(AA101="","",IFERROR(AA101*HSI!$B$96*HSI!$G$96/HSI!$B$3,""))</f>
        <v/>
      </c>
      <c r="CP101" s="106">
        <f>IF(AB101="","",IFERROR(AB101*HSI!$B$96*HSI!$G$96/HSI!$B$3,""))</f>
        <v/>
      </c>
      <c r="CQ101" s="106">
        <f>IF(AC101="","",IFERROR(AC101*HSI!$B$96*HSI!$G$96/HSI!$B$3,""))</f>
        <v/>
      </c>
      <c r="CR101" s="106">
        <f>IF(AD101="","",IFERROR(AD101*HSI!$B$96*HSI!$G$96/HSI!$B$3,""))</f>
        <v/>
      </c>
      <c r="CS101" s="106">
        <f>IF(AE101="","",IFERROR(AE101*HSI!$B$96*HSI!$G$96/HSI!$B$3,""))</f>
        <v/>
      </c>
      <c r="CT101" s="106">
        <f>IF(AF101="","",IFERROR(AF101*HSI!$B$96*HSI!$G$96/HSI!$B$3,""))</f>
        <v/>
      </c>
      <c r="CU101" s="106">
        <f>IF(AG101="","",IFERROR(AG101*HSI!$B$96*HSI!$G$96/HSI!$B$3,""))</f>
        <v/>
      </c>
      <c r="CV101" s="106">
        <f>IF(AH101="","",IFERROR(AH101*HSI!$B$96*HSI!$G$96/HSI!$B$3,""))</f>
        <v/>
      </c>
      <c r="CW101" s="106">
        <f>IF(AI101="","",IFERROR(AI101*HSI!$B$96*HSI!$G$96/HSI!$B$3,""))</f>
        <v/>
      </c>
      <c r="CX101" s="106">
        <f>IF(AJ101="","",IFERROR(AJ101*HSI!$B$96*HSI!$G$96/HSI!$B$3,""))</f>
        <v/>
      </c>
      <c r="CY101" s="106">
        <f>IF(AK101="","",IFERROR(AK101*HSI!$B$96*HSI!$G$96/HSI!$B$3,""))</f>
        <v/>
      </c>
      <c r="CZ101" s="106">
        <f>IF(AL101="","",IFERROR(AL101*HSI!$B$96*HSI!$G$96/HSI!$B$3,""))</f>
        <v/>
      </c>
      <c r="DA101" s="106">
        <f>IF(AM101="","",IFERROR(AM101*HSI!$B$96*HSI!$G$96/HSI!$B$3,""))</f>
        <v/>
      </c>
      <c r="DB101" s="106">
        <f>IF(AN101="","",IFERROR(AN101*HSI!$B$96*HSI!$G$96/HSI!$B$3,""))</f>
        <v/>
      </c>
      <c r="DC101" s="106">
        <f>IF(AO101="","",IFERROR(AO101*HSI!$B$96*HSI!$G$96/HSI!$B$3,""))</f>
        <v/>
      </c>
      <c r="DD101" s="106">
        <f>IF(AP101="","",IFERROR(AP101*HSI!$B$96*HSI!$G$96/HSI!$B$3,""))</f>
        <v/>
      </c>
      <c r="DE101" s="106">
        <f>IF(AQ101="","",IFERROR(AQ101*HSI!$B$96*HSI!$G$96/HSI!$B$3,""))</f>
        <v/>
      </c>
      <c r="DF101" s="106">
        <f>IF(AR101="","",IFERROR(AR101*HSI!$B$96*HSI!$G$96/HSI!$B$3,""))</f>
        <v/>
      </c>
      <c r="DG101" s="106">
        <f>IF(AS101="","",IFERROR(AS101*HSI!$B$96*HSI!$G$96/HSI!$B$3,""))</f>
        <v/>
      </c>
      <c r="DH101" s="106">
        <f>IF(AT101="","",IFERROR(AT101*HSI!$B$96*HSI!$G$96/HSI!$B$3,""))</f>
        <v/>
      </c>
      <c r="DI101" s="106">
        <f>IF(AU101="","",IFERROR(AU101*HSI!$B$96*HSI!$G$96/HSI!$B$3,""))</f>
        <v/>
      </c>
      <c r="DJ101" s="106">
        <f>IF(AV101="","",IFERROR(AV101*HSI!$B$96*HSI!$G$96/HSI!$B$3,""))</f>
        <v/>
      </c>
      <c r="DK101" s="106">
        <f>IF(AW101="","",IFERROR(AW101*HSI!$B$96*HSI!$G$96/HSI!$B$3,""))</f>
        <v/>
      </c>
      <c r="DL101" s="106">
        <f>IF(AX101="","",IFERROR(AX101*HSI!$B$96*HSI!$G$96/HSI!$B$3,""))</f>
        <v/>
      </c>
      <c r="DM101" s="106">
        <f>IF(AY101="","",IFERROR(AY101*HSI!$B$96*HSI!$G$96/HSI!$B$3,""))</f>
        <v/>
      </c>
      <c r="DN101" s="106">
        <f>IF(AZ101="","",IFERROR(AZ101*HSI!$B$96*HSI!$G$96/HSI!$B$3,""))</f>
        <v/>
      </c>
      <c r="DO101" s="106">
        <f>IF(BA101="","",IFERROR(BA101*HSI!$B$96*HSI!$G$96/HSI!$B$3,""))</f>
        <v/>
      </c>
      <c r="DP101" s="106">
        <f>IF(BB101="","",IFERROR(BB101*HSI!$B$96*HSI!$G$96/HSI!$B$3,""))</f>
        <v/>
      </c>
      <c r="DQ101" s="106">
        <f>IF(BC101="","",IFERROR(BC101*HSI!$B$96*HSI!$G$96/HSI!$B$3,""))</f>
        <v/>
      </c>
      <c r="DR101" s="106">
        <f>IF(BD101="","",IFERROR(BD101*HSI!$B$96*HSI!$G$96/HSI!$B$3,""))</f>
        <v/>
      </c>
      <c r="DS101" s="106">
        <f>IF(BE101="","",IFERROR(BE101*HSI!$B$96*HSI!$G$96/HSI!$B$3,""))</f>
        <v/>
      </c>
      <c r="DT101" s="106">
        <f>IF(BF101="","",IFERROR(BF101*HSI!$B$96*HSI!$G$96/HSI!$B$3,""))</f>
        <v/>
      </c>
      <c r="DU101" s="106">
        <f>IF(BG101="","",IFERROR(BG101*HSI!$B$96*HSI!$G$96/HSI!$B$3,""))</f>
        <v/>
      </c>
      <c r="DV101" s="106">
        <f>IF(BH101="","",IFERROR(BH101*HSI!$B$96*HSI!$G$96/HSI!$B$3,""))</f>
        <v/>
      </c>
      <c r="DW101" s="106">
        <f>IF(BI101="","",IFERROR(BI101*HSI!$B$96*HSI!$G$96/HSI!$B$3,""))</f>
        <v/>
      </c>
      <c r="DX101" s="106">
        <f>IF(BJ101="","",IFERROR(BJ101*HSI!$B$96*HSI!$G$96/HSI!$B$3,""))</f>
        <v/>
      </c>
      <c r="DY101" s="106">
        <f>IF(BK101="","",IFERROR(BK101*HSI!$B$96*HSI!$G$96/HSI!$B$3,""))</f>
        <v/>
      </c>
      <c r="DZ101" s="106">
        <f>IF(BL101="","",IFERROR(BL101*HSI!$B$96*HSI!$G$96/HSI!$B$3,""))</f>
        <v/>
      </c>
      <c r="EA101" s="106">
        <f>IF(BM101="","",IFERROR(BM101*HSI!$B$96*HSI!$G$96/HSI!$B$3,""))</f>
        <v/>
      </c>
      <c r="EB101" s="106">
        <f>IF(BN101="","",IFERROR(BN101*HSI!$B$96*HSI!$G$96/HSI!$B$3,""))</f>
        <v/>
      </c>
      <c r="EC101" s="106">
        <f>IF(BO101="","",IFERROR(BO101*HSI!$B$96*HSI!$G$96/HSI!$B$3,""))</f>
        <v/>
      </c>
      <c r="EE101" s="35">
        <f>IF(N('Dvd Calendar'!$E$990)=0,"",IF(('Dvd Calendar'!$E$990&gt;=GRID_FROM)*('Dvd Calendar'!$E$990&lt;=GRID_TO)*('Dvd Calendar'!$E$990&lt;=VAL_DATE)=0,"",'Dvd Calendar'!$E$990*1000000000+ISNUMBER('Dvd Calendar'!$E$993)*100000000+('Dvd Calendar'!$E$995=SPECIAL_LBL)*10000000+0*1000000+90*1000+1))</f>
        <v/>
      </c>
      <c r="EF101" s="35">
        <f>IF(N('Dvd Calendar'!$F$990)=0,"",IF(('Dvd Calendar'!$F$990&gt;=GRID_FROM)*('Dvd Calendar'!$F$990&lt;=GRID_TO)*('Dvd Calendar'!$F$990&lt;=VAL_DATE)=0,"",'Dvd Calendar'!$F$990*1000000000+ISNUMBER('Dvd Calendar'!$F$993)*100000000+('Dvd Calendar'!$F$995=SPECIAL_LBL)*10000000+0*1000000+90*1000+2))</f>
        <v/>
      </c>
      <c r="EG101" s="35">
        <f>IF(N('Dvd Calendar'!$G$990)=0,"",IF(('Dvd Calendar'!$G$990&gt;=GRID_FROM)*('Dvd Calendar'!$G$990&lt;=GRID_TO)*('Dvd Calendar'!$G$990&lt;=VAL_DATE)=0,"",'Dvd Calendar'!$G$990*1000000000+ISNUMBER('Dvd Calendar'!$G$993)*100000000+('Dvd Calendar'!$G$995=SPECIAL_LBL)*10000000+0*1000000+90*1000+3))</f>
        <v/>
      </c>
      <c r="EH101" s="35">
        <f>IF(N('Dvd Calendar'!$H$990)=0,"",IF(('Dvd Calendar'!$H$990&gt;=GRID_FROM)*('Dvd Calendar'!$H$990&lt;=GRID_TO)*('Dvd Calendar'!$H$990&lt;=VAL_DATE)=0,"",'Dvd Calendar'!$H$990*1000000000+ISNUMBER('Dvd Calendar'!$H$993)*100000000+('Dvd Calendar'!$H$995=SPECIAL_LBL)*10000000+0*1000000+90*1000+4))</f>
        <v/>
      </c>
      <c r="EI101" s="35">
        <f>IF(N('Dvd Calendar'!$I$990)=0,"",IF(('Dvd Calendar'!$I$990&gt;=GRID_FROM)*('Dvd Calendar'!$I$990&lt;=GRID_TO)*('Dvd Calendar'!$I$990&lt;=VAL_DATE)=0,"",'Dvd Calendar'!$I$990*1000000000+ISNUMBER('Dvd Calendar'!$I$993)*100000000+('Dvd Calendar'!$I$995=SPECIAL_LBL)*10000000+0*1000000+90*1000+5))</f>
        <v/>
      </c>
      <c r="EJ101" s="35">
        <f>IF(N('Dvd Calendar'!$J$990)=0,"",IF(('Dvd Calendar'!$J$990&gt;=GRID_FROM)*('Dvd Calendar'!$J$990&lt;=GRID_TO)*('Dvd Calendar'!$J$990&lt;=VAL_DATE)=0,"",'Dvd Calendar'!$J$990*1000000000+ISNUMBER('Dvd Calendar'!$J$993)*100000000+('Dvd Calendar'!$J$995=SPECIAL_LBL)*10000000+0*1000000+90*1000+6))</f>
        <v/>
      </c>
      <c r="EK101" s="35">
        <f>IF(N('Dvd Calendar'!$K$990)=0,"",IF(('Dvd Calendar'!$K$990&gt;=GRID_FROM)*('Dvd Calendar'!$K$990&lt;=GRID_TO)*('Dvd Calendar'!$K$990&lt;=VAL_DATE)=0,"",'Dvd Calendar'!$K$990*1000000000+ISNUMBER('Dvd Calendar'!$K$993)*100000000+('Dvd Calendar'!$K$995=SPECIAL_LBL)*10000000+0*1000000+90*1000+7))</f>
        <v/>
      </c>
      <c r="EL101" s="35">
        <f>IF(N('Dvd Calendar'!$L$990)=0,"",IF(('Dvd Calendar'!$L$990&gt;=GRID_FROM)*('Dvd Calendar'!$L$990&lt;=GRID_TO)*('Dvd Calendar'!$L$990&lt;=VAL_DATE)=0,"",'Dvd Calendar'!$L$990*1000000000+ISNUMBER('Dvd Calendar'!$L$993)*100000000+('Dvd Calendar'!$L$995=SPECIAL_LBL)*10000000+0*1000000+90*1000+8))</f>
        <v/>
      </c>
      <c r="EM101" s="35">
        <f>IF(N('Dvd Calendar'!$M$990)=0,"",IF(('Dvd Calendar'!$M$990&gt;=GRID_FROM)*('Dvd Calendar'!$M$990&lt;=GRID_TO)*('Dvd Calendar'!$M$990&lt;=VAL_DATE)=0,"",'Dvd Calendar'!$M$990*1000000000+ISNUMBER('Dvd Calendar'!$M$993)*100000000+('Dvd Calendar'!$M$995=SPECIAL_LBL)*10000000+0*1000000+90*1000+9))</f>
        <v/>
      </c>
      <c r="EN101" s="35">
        <f>IF(N('Dvd Calendar'!$N$990)=0,"",IF(('Dvd Calendar'!$N$990&gt;=GRID_FROM)*('Dvd Calendar'!$N$990&lt;=GRID_TO)*('Dvd Calendar'!$N$990&lt;=VAL_DATE)=0,"",'Dvd Calendar'!$N$990*1000000000+ISNUMBER('Dvd Calendar'!$N$993)*100000000+('Dvd Calendar'!$N$995=SPECIAL_LBL)*10000000+0*1000000+90*1000+10))</f>
        <v/>
      </c>
      <c r="EO101" s="35">
        <f>IF(N('Dvd Calendar'!$O$990)=0,"",IF(('Dvd Calendar'!$O$990&gt;=GRID_FROM)*('Dvd Calendar'!$O$990&lt;=GRID_TO)*('Dvd Calendar'!$O$990&lt;=VAL_DATE)=0,"",'Dvd Calendar'!$O$990*1000000000+ISNUMBER('Dvd Calendar'!$O$993)*100000000+('Dvd Calendar'!$O$995=SPECIAL_LBL)*10000000+0*1000000+90*1000+11))</f>
        <v/>
      </c>
      <c r="EP101" s="35">
        <f>IF(N('Dvd Calendar'!$P$990)=0,"",IF(('Dvd Calendar'!$P$990&gt;=GRID_FROM)*('Dvd Calendar'!$P$990&lt;=GRID_TO)*('Dvd Calendar'!$P$990&lt;=VAL_DATE)=0,"",'Dvd Calendar'!$P$990*1000000000+ISNUMBER('Dvd Calendar'!$P$993)*100000000+('Dvd Calendar'!$P$995=SPECIAL_LBL)*10000000+0*1000000+90*1000+12))</f>
        <v/>
      </c>
      <c r="EQ101" s="35">
        <f>IF(N('Dvd Calendar'!$Q$990)=0,"",IF(('Dvd Calendar'!$Q$990&gt;=GRID_FROM)*('Dvd Calendar'!$Q$990&lt;=GRID_TO)*('Dvd Calendar'!$Q$990&lt;=VAL_DATE)=0,"",'Dvd Calendar'!$Q$990*1000000000+ISNUMBER('Dvd Calendar'!$Q$993)*100000000+('Dvd Calendar'!$Q$995=SPECIAL_LBL)*10000000+0*1000000+90*1000+13))</f>
        <v/>
      </c>
      <c r="ER101" s="35">
        <f>IF(N('Dvd Calendar'!$R$990)=0,"",IF(('Dvd Calendar'!$R$990&gt;=GRID_FROM)*('Dvd Calendar'!$R$990&lt;=GRID_TO)*('Dvd Calendar'!$R$990&lt;=VAL_DATE)=0,"",'Dvd Calendar'!$R$990*1000000000+ISNUMBER('Dvd Calendar'!$R$993)*100000000+('Dvd Calendar'!$R$995=SPECIAL_LBL)*10000000+0*1000000+90*1000+14))</f>
        <v/>
      </c>
      <c r="ES101" s="35">
        <f>IF(N('Dvd Calendar'!$S$990)=0,"",IF(('Dvd Calendar'!$S$990&gt;=GRID_FROM)*('Dvd Calendar'!$S$990&lt;=GRID_TO)*('Dvd Calendar'!$S$990&lt;=VAL_DATE)=0,"",'Dvd Calendar'!$S$990*1000000000+ISNUMBER('Dvd Calendar'!$S$993)*100000000+('Dvd Calendar'!$S$995=SPECIAL_LBL)*10000000+0*1000000+90*1000+15))</f>
        <v/>
      </c>
      <c r="ET101" s="35">
        <f>IF(N('Dvd Calendar'!$T$990)=0,"",IF(('Dvd Calendar'!$T$990&gt;=GRID_FROM)*('Dvd Calendar'!$T$990&lt;=GRID_TO)*('Dvd Calendar'!$T$990&lt;=VAL_DATE)=0,"",'Dvd Calendar'!$T$990*1000000000+ISNUMBER('Dvd Calendar'!$T$993)*100000000+('Dvd Calendar'!$T$995=SPECIAL_LBL)*10000000+0*1000000+90*1000+16))</f>
        <v/>
      </c>
      <c r="EU101" s="35">
        <f>IF(N('Dvd Calendar'!$U$990)=0,"",IF(('Dvd Calendar'!$U$990&gt;=GRID_FROM)*('Dvd Calendar'!$U$990&lt;=GRID_TO)*('Dvd Calendar'!$U$990&lt;=VAL_DATE)=0,"",'Dvd Calendar'!$U$990*1000000000+ISNUMBER('Dvd Calendar'!$U$993)*100000000+('Dvd Calendar'!$U$995=SPECIAL_LBL)*10000000+0*1000000+90*1000+17))</f>
        <v/>
      </c>
      <c r="EV101" s="35">
        <f>IF(N('Dvd Calendar'!$V$990)=0,"",IF(('Dvd Calendar'!$V$990&gt;=GRID_FROM)*('Dvd Calendar'!$V$990&lt;=GRID_TO)*('Dvd Calendar'!$V$990&lt;=VAL_DATE)=0,"",'Dvd Calendar'!$V$990*1000000000+ISNUMBER('Dvd Calendar'!$V$993)*100000000+('Dvd Calendar'!$V$995=SPECIAL_LBL)*10000000+0*1000000+90*1000+18))</f>
        <v/>
      </c>
      <c r="EW101" s="35">
        <f>IF(N('Dvd Calendar'!$W$990)=0,"",IF(('Dvd Calendar'!$W$990&gt;=GRID_FROM)*('Dvd Calendar'!$W$990&lt;=GRID_TO)*('Dvd Calendar'!$W$990&lt;=VAL_DATE)=0,"",'Dvd Calendar'!$W$990*1000000000+ISNUMBER('Dvd Calendar'!$W$993)*100000000+('Dvd Calendar'!$W$995=SPECIAL_LBL)*10000000+0*1000000+90*1000+19))</f>
        <v/>
      </c>
      <c r="EX101" s="35">
        <f>IF(N('Dvd Calendar'!$X$990)=0,"",IF(('Dvd Calendar'!$X$990&gt;=GRID_FROM)*('Dvd Calendar'!$X$990&lt;=GRID_TO)*('Dvd Calendar'!$X$990&lt;=VAL_DATE)=0,"",'Dvd Calendar'!$X$990*1000000000+ISNUMBER('Dvd Calendar'!$X$993)*100000000+('Dvd Calendar'!$X$995=SPECIAL_LBL)*10000000+0*1000000+90*1000+20))</f>
        <v/>
      </c>
      <c r="EY101" s="35">
        <f>IF(N('Dvd Calendar'!$Y$990)=0,"",IF(('Dvd Calendar'!$Y$990&gt;=GRID_FROM)*('Dvd Calendar'!$Y$990&lt;=GRID_TO)*('Dvd Calendar'!$Y$990&lt;=VAL_DATE)=0,"",'Dvd Calendar'!$Y$990*1000000000+ISNUMBER('Dvd Calendar'!$Y$993)*100000000+('Dvd Calendar'!$Y$995=SPECIAL_LBL)*10000000+0*1000000+90*1000+21))</f>
        <v/>
      </c>
      <c r="EZ101" s="35">
        <f>IF(N('Dvd Calendar'!$Z$990)=0,"",IF(('Dvd Calendar'!$Z$990&gt;=GRID_FROM)*('Dvd Calendar'!$Z$990&lt;=GRID_TO)*('Dvd Calendar'!$Z$990&lt;=VAL_DATE)=0,"",'Dvd Calendar'!$Z$990*1000000000+ISNUMBER('Dvd Calendar'!$Z$993)*100000000+('Dvd Calendar'!$Z$995=SPECIAL_LBL)*10000000+0*1000000+90*1000+22))</f>
        <v/>
      </c>
      <c r="FA101" s="35">
        <f>IF(N('Dvd Calendar'!$AA$990)=0,"",IF(('Dvd Calendar'!$AA$990&gt;=GRID_FROM)*('Dvd Calendar'!$AA$990&lt;=GRID_TO)*('Dvd Calendar'!$AA$990&lt;=VAL_DATE)=0,"",'Dvd Calendar'!$AA$990*1000000000+ISNUMBER('Dvd Calendar'!$AA$993)*100000000+('Dvd Calendar'!$AA$995=SPECIAL_LBL)*10000000+0*1000000+90*1000+23))</f>
        <v/>
      </c>
      <c r="FB101" s="35">
        <f>IF(N('Dvd Calendar'!$AB$990)=0,"",IF(('Dvd Calendar'!$AB$990&gt;=GRID_FROM)*('Dvd Calendar'!$AB$990&lt;=GRID_TO)*('Dvd Calendar'!$AB$990&lt;=VAL_DATE)=0,"",'Dvd Calendar'!$AB$990*1000000000+ISNUMBER('Dvd Calendar'!$AB$993)*100000000+('Dvd Calendar'!$AB$995=SPECIAL_LBL)*10000000+0*1000000+90*1000+24))</f>
        <v/>
      </c>
      <c r="FC101" s="35">
        <f>IF(N('Dvd Calendar'!$AC$990)=0,"",IF(('Dvd Calendar'!$AC$990&gt;=GRID_FROM)*('Dvd Calendar'!$AC$990&lt;=GRID_TO)*('Dvd Calendar'!$AC$990&lt;=VAL_DATE)=0,"",'Dvd Calendar'!$AC$990*1000000000+ISNUMBER('Dvd Calendar'!$AC$993)*100000000+('Dvd Calendar'!$AC$995=SPECIAL_LBL)*10000000+0*1000000+90*1000+25))</f>
        <v/>
      </c>
      <c r="FD101" s="35">
        <f>IF(N('Dvd Calendar'!$AD$990)=0,"",IF(('Dvd Calendar'!$AD$990&gt;=GRID_FROM)*('Dvd Calendar'!$AD$990&lt;=GRID_TO)*('Dvd Calendar'!$AD$990&lt;=VAL_DATE)=0,"",'Dvd Calendar'!$AD$990*1000000000+ISNUMBER('Dvd Calendar'!$AD$993)*100000000+('Dvd Calendar'!$AD$995=SPECIAL_LBL)*10000000+0*1000000+90*1000+26))</f>
        <v/>
      </c>
      <c r="FE101" s="35">
        <f>IF(N('Dvd Calendar'!$AE$990)=0,"",IF(('Dvd Calendar'!$AE$990&gt;=GRID_FROM)*('Dvd Calendar'!$AE$990&lt;=GRID_TO)*('Dvd Calendar'!$AE$990&lt;=VAL_DATE)=0,"",'Dvd Calendar'!$AE$990*1000000000+ISNUMBER('Dvd Calendar'!$AE$993)*100000000+('Dvd Calendar'!$AE$995=SPECIAL_LBL)*10000000+0*1000000+90*1000+27))</f>
        <v/>
      </c>
      <c r="FF101" s="35">
        <f>IF(N('Dvd Calendar'!$AF$990)=0,"",IF(('Dvd Calendar'!$AF$990&gt;=GRID_FROM)*('Dvd Calendar'!$AF$990&lt;=GRID_TO)*('Dvd Calendar'!$AF$990&lt;=VAL_DATE)=0,"",'Dvd Calendar'!$AF$990*1000000000+ISNUMBER('Dvd Calendar'!$AF$993)*100000000+('Dvd Calendar'!$AF$995=SPECIAL_LBL)*10000000+0*1000000+90*1000+28))</f>
        <v/>
      </c>
      <c r="FG101" s="35">
        <f>IF(N('Dvd Calendar'!$AG$990)=0,"",IF(('Dvd Calendar'!$AG$990&gt;=GRID_FROM)*('Dvd Calendar'!$AG$990&lt;=GRID_TO)*('Dvd Calendar'!$AG$990&lt;=VAL_DATE)=0,"",'Dvd Calendar'!$AG$990*1000000000+ISNUMBER('Dvd Calendar'!$AG$993)*100000000+('Dvd Calendar'!$AG$995=SPECIAL_LBL)*10000000+0*1000000+90*1000+29))</f>
        <v/>
      </c>
      <c r="FH101" s="35">
        <f>IF(N('Dvd Calendar'!$AH$990)=0,"",IF(('Dvd Calendar'!$AH$990&gt;=GRID_FROM)*('Dvd Calendar'!$AH$990&lt;=GRID_TO)*('Dvd Calendar'!$AH$990&lt;=VAL_DATE)=0,"",'Dvd Calendar'!$AH$990*1000000000+ISNUMBER('Dvd Calendar'!$AH$993)*100000000+('Dvd Calendar'!$AH$995=SPECIAL_LBL)*10000000+0*1000000+90*1000+30))</f>
        <v/>
      </c>
      <c r="FI101" s="35">
        <f>IF(N('Dvd Calendar'!$AI$990)=0,"",IF(('Dvd Calendar'!$AI$990&gt;=GRID_FROM)*('Dvd Calendar'!$AI$990&lt;=GRID_TO)*('Dvd Calendar'!$AI$990&lt;=VAL_DATE)=0,"",'Dvd Calendar'!$AI$990*1000000000+ISNUMBER('Dvd Calendar'!$AI$993)*100000000+('Dvd Calendar'!$AI$995=SPECIAL_LBL)*10000000+0*1000000+90*1000+31))</f>
        <v/>
      </c>
      <c r="FJ101" s="35">
        <f>IF(N('Dvd Calendar'!$AJ$990)=0,"",IF(('Dvd Calendar'!$AJ$990&gt;=GRID_FROM)*('Dvd Calendar'!$AJ$990&lt;=GRID_TO)*('Dvd Calendar'!$AJ$990&lt;=VAL_DATE)=0,"",'Dvd Calendar'!$AJ$990*1000000000+ISNUMBER('Dvd Calendar'!$AJ$993)*100000000+('Dvd Calendar'!$AJ$995=SPECIAL_LBL)*10000000+0*1000000+90*1000+32))</f>
        <v/>
      </c>
      <c r="FK101" s="35">
        <f>IF(N('Dvd Calendar'!$AK$990)=0,"",IF(('Dvd Calendar'!$AK$990&gt;=GRID_FROM)*('Dvd Calendar'!$AK$990&lt;=GRID_TO)*('Dvd Calendar'!$AK$990&lt;=VAL_DATE)=0,"",'Dvd Calendar'!$AK$990*1000000000+ISNUMBER('Dvd Calendar'!$AK$993)*100000000+('Dvd Calendar'!$AK$995=SPECIAL_LBL)*10000000+0*1000000+90*1000+33))</f>
        <v/>
      </c>
      <c r="FL101" s="35">
        <f>IF(N('Dvd Calendar'!$AL$990)=0,"",IF(('Dvd Calendar'!$AL$990&gt;=GRID_FROM)*('Dvd Calendar'!$AL$990&lt;=GRID_TO)*('Dvd Calendar'!$AL$990&lt;=VAL_DATE)=0,"",'Dvd Calendar'!$AL$990*1000000000+ISNUMBER('Dvd Calendar'!$AL$993)*100000000+('Dvd Calendar'!$AL$995=SPECIAL_LBL)*10000000+0*1000000+90*1000+34))</f>
        <v/>
      </c>
      <c r="FM101" s="35">
        <f>IF(N('Dvd Calendar'!$AM$990)=0,"",IF(('Dvd Calendar'!$AM$990&gt;=GRID_FROM)*('Dvd Calendar'!$AM$990&lt;=GRID_TO)*('Dvd Calendar'!$AM$990&lt;=VAL_DATE)=0,"",'Dvd Calendar'!$AM$990*1000000000+ISNUMBER('Dvd Calendar'!$AM$993)*100000000+('Dvd Calendar'!$AM$995=SPECIAL_LBL)*10000000+0*1000000+90*1000+35))</f>
        <v/>
      </c>
      <c r="FN101" s="35">
        <f>IF(N('Dvd Calendar'!$AN$990)=0,"",IF(('Dvd Calendar'!$AN$990&gt;=GRID_FROM)*('Dvd Calendar'!$AN$990&lt;=GRID_TO)*('Dvd Calendar'!$AN$990&lt;=VAL_DATE)=0,"",'Dvd Calendar'!$AN$990*1000000000+ISNUMBER('Dvd Calendar'!$AN$993)*100000000+('Dvd Calendar'!$AN$995=SPECIAL_LBL)*10000000+0*1000000+90*1000+36))</f>
        <v/>
      </c>
      <c r="FO101" s="35">
        <f>IF(N('Dvd Calendar'!$AO$990)=0,"",IF(('Dvd Calendar'!$AO$990&gt;=GRID_FROM)*('Dvd Calendar'!$AO$990&lt;=GRID_TO)*('Dvd Calendar'!$AO$990&lt;=VAL_DATE)=0,"",'Dvd Calendar'!$AO$990*1000000000+ISNUMBER('Dvd Calendar'!$AO$993)*100000000+('Dvd Calendar'!$AO$995=SPECIAL_LBL)*10000000+0*1000000+90*1000+37))</f>
        <v/>
      </c>
      <c r="FP101" s="35">
        <f>IF(N('Dvd Calendar'!$AP$990)=0,"",IF(('Dvd Calendar'!$AP$990&gt;=GRID_FROM)*('Dvd Calendar'!$AP$990&lt;=GRID_TO)*('Dvd Calendar'!$AP$990&lt;=VAL_DATE)=0,"",'Dvd Calendar'!$AP$990*1000000000+ISNUMBER('Dvd Calendar'!$AP$993)*100000000+('Dvd Calendar'!$AP$995=SPECIAL_LBL)*10000000+0*1000000+90*1000+38))</f>
        <v/>
      </c>
      <c r="FQ101" s="35">
        <f>IF(N('Dvd Calendar'!$AQ$990)=0,"",IF(('Dvd Calendar'!$AQ$990&gt;=GRID_FROM)*('Dvd Calendar'!$AQ$990&lt;=GRID_TO)*('Dvd Calendar'!$AQ$990&lt;=VAL_DATE)=0,"",'Dvd Calendar'!$AQ$990*1000000000+ISNUMBER('Dvd Calendar'!$AQ$993)*100000000+('Dvd Calendar'!$AQ$995=SPECIAL_LBL)*10000000+0*1000000+90*1000+39))</f>
        <v/>
      </c>
      <c r="FR101" s="35">
        <f>IF(N('Dvd Calendar'!$AR$990)=0,"",IF(('Dvd Calendar'!$AR$990&gt;=GRID_FROM)*('Dvd Calendar'!$AR$990&lt;=GRID_TO)*('Dvd Calendar'!$AR$990&lt;=VAL_DATE)=0,"",'Dvd Calendar'!$AR$990*1000000000+ISNUMBER('Dvd Calendar'!$AR$993)*100000000+('Dvd Calendar'!$AR$995=SPECIAL_LBL)*10000000+0*1000000+90*1000+40))</f>
        <v/>
      </c>
      <c r="FS101" s="35">
        <f>IF(N('Dvd Calendar'!$E$997)=0,"",IF(('Dvd Calendar'!$E$997&gt;=GRID_FROM)*('Dvd Calendar'!$E$997&lt;=GRID_TO)*('Dvd Calendar'!$E$997&gt;VAL_DATE)=0,"",'Dvd Calendar'!$E$997*1000000000+ISNUMBER('Dvd Calendar'!$E$998)*100000000+0*10000000+(N('Dvd Calendar'!$E$996)&gt;0)*(N('Dvd Calendar'!$E$996)&lt;=VAL_SERIAL)*1000000+90*1000+41))</f>
        <v/>
      </c>
      <c r="FT101" s="35">
        <f>IF(N('Dvd Calendar'!$F$997)=0,"",IF(('Dvd Calendar'!$F$997&gt;=GRID_FROM)*('Dvd Calendar'!$F$997&lt;=GRID_TO)*('Dvd Calendar'!$F$997&gt;VAL_DATE)=0,"",'Dvd Calendar'!$F$997*1000000000+ISNUMBER('Dvd Calendar'!$F$998)*100000000+0*10000000+(N('Dvd Calendar'!$F$996)&gt;0)*(N('Dvd Calendar'!$F$996)&lt;=VAL_SERIAL)*1000000+90*1000+42))</f>
        <v/>
      </c>
      <c r="FU101" s="35">
        <f>IF(N('Dvd Calendar'!$G$997)=0,"",IF(('Dvd Calendar'!$G$997&gt;=GRID_FROM)*('Dvd Calendar'!$G$997&lt;=GRID_TO)*('Dvd Calendar'!$G$997&gt;VAL_DATE)=0,"",'Dvd Calendar'!$G$997*1000000000+ISNUMBER('Dvd Calendar'!$G$998)*100000000+0*10000000+(N('Dvd Calendar'!$G$996)&gt;0)*(N('Dvd Calendar'!$G$996)&lt;=VAL_SERIAL)*1000000+90*1000+43))</f>
        <v/>
      </c>
      <c r="FV101" s="35">
        <f>IF(N('Dvd Calendar'!$H$997)=0,"",IF(('Dvd Calendar'!$H$997&gt;=GRID_FROM)*('Dvd Calendar'!$H$997&lt;=GRID_TO)*('Dvd Calendar'!$H$997&gt;VAL_DATE)=0,"",'Dvd Calendar'!$H$997*1000000000+ISNUMBER('Dvd Calendar'!$H$998)*100000000+0*10000000+(N('Dvd Calendar'!$H$996)&gt;0)*(N('Dvd Calendar'!$H$996)&lt;=VAL_SERIAL)*1000000+90*1000+44))</f>
        <v/>
      </c>
      <c r="FW101" s="35">
        <f>IF(N('Dvd Calendar'!$I$997)=0,"",IF(('Dvd Calendar'!$I$997&gt;=GRID_FROM)*('Dvd Calendar'!$I$997&lt;=GRID_TO)*('Dvd Calendar'!$I$997&gt;VAL_DATE)=0,"",'Dvd Calendar'!$I$997*1000000000+ISNUMBER('Dvd Calendar'!$I$998)*100000000+0*10000000+(N('Dvd Calendar'!$I$996)&gt;0)*(N('Dvd Calendar'!$I$996)&lt;=VAL_SERIAL)*1000000+90*1000+45))</f>
        <v/>
      </c>
      <c r="FX101" s="35">
        <f>IF(N('Dvd Calendar'!$J$997)=0,"",IF(('Dvd Calendar'!$J$997&gt;=GRID_FROM)*('Dvd Calendar'!$J$997&lt;=GRID_TO)*('Dvd Calendar'!$J$997&gt;VAL_DATE)=0,"",'Dvd Calendar'!$J$997*1000000000+ISNUMBER('Dvd Calendar'!$J$998)*100000000+0*10000000+(N('Dvd Calendar'!$J$996)&gt;0)*(N('Dvd Calendar'!$J$996)&lt;=VAL_SERIAL)*1000000+90*1000+46))</f>
        <v/>
      </c>
      <c r="FY101" s="35">
        <f>IF(N('Dvd Calendar'!$K$997)=0,"",IF(('Dvd Calendar'!$K$997&gt;=GRID_FROM)*('Dvd Calendar'!$K$997&lt;=GRID_TO)*('Dvd Calendar'!$K$997&gt;VAL_DATE)=0,"",'Dvd Calendar'!$K$997*1000000000+ISNUMBER('Dvd Calendar'!$K$998)*100000000+0*10000000+(N('Dvd Calendar'!$K$996)&gt;0)*(N('Dvd Calendar'!$K$996)&lt;=VAL_SERIAL)*1000000+90*1000+47))</f>
        <v/>
      </c>
      <c r="FZ101" s="35">
        <f>IF(N('Dvd Calendar'!$L$997)=0,"",IF(('Dvd Calendar'!$L$997&gt;=GRID_FROM)*('Dvd Calendar'!$L$997&lt;=GRID_TO)*('Dvd Calendar'!$L$997&gt;VAL_DATE)=0,"",'Dvd Calendar'!$L$997*1000000000+ISNUMBER('Dvd Calendar'!$L$998)*100000000+0*10000000+(N('Dvd Calendar'!$L$996)&gt;0)*(N('Dvd Calendar'!$L$996)&lt;=VAL_SERIAL)*1000000+90*1000+48))</f>
        <v/>
      </c>
      <c r="GA101" s="35">
        <f>IF(N('Dvd Calendar'!$M$997)=0,"",IF(('Dvd Calendar'!$M$997&gt;=GRID_FROM)*('Dvd Calendar'!$M$997&lt;=GRID_TO)*('Dvd Calendar'!$M$997&gt;VAL_DATE)=0,"",'Dvd Calendar'!$M$997*1000000000+ISNUMBER('Dvd Calendar'!$M$998)*100000000+0*10000000+(N('Dvd Calendar'!$M$996)&gt;0)*(N('Dvd Calendar'!$M$996)&lt;=VAL_SERIAL)*1000000+90*1000+49))</f>
        <v/>
      </c>
      <c r="GB101" s="35">
        <f>IF(N('Dvd Calendar'!$N$997)=0,"",IF(('Dvd Calendar'!$N$997&gt;=GRID_FROM)*('Dvd Calendar'!$N$997&lt;=GRID_TO)*('Dvd Calendar'!$N$997&gt;VAL_DATE)=0,"",'Dvd Calendar'!$N$997*1000000000+ISNUMBER('Dvd Calendar'!$N$998)*100000000+0*10000000+(N('Dvd Calendar'!$N$996)&gt;0)*(N('Dvd Calendar'!$N$996)&lt;=VAL_SERIAL)*1000000+90*1000+50))</f>
        <v/>
      </c>
      <c r="GC101" s="35">
        <f>IF(N('Dvd Calendar'!$O$997)=0,"",IF(('Dvd Calendar'!$O$997&gt;=GRID_FROM)*('Dvd Calendar'!$O$997&lt;=GRID_TO)*('Dvd Calendar'!$O$997&gt;VAL_DATE)=0,"",'Dvd Calendar'!$O$997*1000000000+ISNUMBER('Dvd Calendar'!$O$998)*100000000+0*10000000+(N('Dvd Calendar'!$O$996)&gt;0)*(N('Dvd Calendar'!$O$996)&lt;=VAL_SERIAL)*1000000+90*1000+51))</f>
        <v/>
      </c>
      <c r="GD101" s="35">
        <f>IF(N('Dvd Calendar'!$P$997)=0,"",IF(('Dvd Calendar'!$P$997&gt;=GRID_FROM)*('Dvd Calendar'!$P$997&lt;=GRID_TO)*('Dvd Calendar'!$P$997&gt;VAL_DATE)=0,"",'Dvd Calendar'!$P$997*1000000000+ISNUMBER('Dvd Calendar'!$P$998)*100000000+0*10000000+(N('Dvd Calendar'!$P$996)&gt;0)*(N('Dvd Calendar'!$P$996)&lt;=VAL_SERIAL)*1000000+90*1000+52))</f>
        <v/>
      </c>
      <c r="GE101" s="35">
        <f>IF(N('Dvd Calendar'!$Q$997)=0,"",IF(('Dvd Calendar'!$Q$997&gt;=GRID_FROM)*('Dvd Calendar'!$Q$997&lt;=GRID_TO)*('Dvd Calendar'!$Q$997&gt;VAL_DATE)=0,"",'Dvd Calendar'!$Q$997*1000000000+ISNUMBER('Dvd Calendar'!$Q$998)*100000000+0*10000000+(N('Dvd Calendar'!$Q$996)&gt;0)*(N('Dvd Calendar'!$Q$996)&lt;=VAL_SERIAL)*1000000+90*1000+53))</f>
        <v/>
      </c>
      <c r="GF101" s="35">
        <f>IF(N('Dvd Calendar'!$R$997)=0,"",IF(('Dvd Calendar'!$R$997&gt;=GRID_FROM)*('Dvd Calendar'!$R$997&lt;=GRID_TO)*('Dvd Calendar'!$R$997&gt;VAL_DATE)=0,"",'Dvd Calendar'!$R$997*1000000000+ISNUMBER('Dvd Calendar'!$R$998)*100000000+0*10000000+(N('Dvd Calendar'!$R$996)&gt;0)*(N('Dvd Calendar'!$R$996)&lt;=VAL_SERIAL)*1000000+90*1000+54))</f>
        <v/>
      </c>
      <c r="GG101" s="35">
        <f>IF(N('Dvd Calendar'!$S$997)=0,"",IF(('Dvd Calendar'!$S$997&gt;=GRID_FROM)*('Dvd Calendar'!$S$997&lt;=GRID_TO)*('Dvd Calendar'!$S$997&gt;VAL_DATE)=0,"",'Dvd Calendar'!$S$997*1000000000+ISNUMBER('Dvd Calendar'!$S$998)*100000000+0*10000000+(N('Dvd Calendar'!$S$996)&gt;0)*(N('Dvd Calendar'!$S$996)&lt;=VAL_SERIAL)*1000000+90*1000+55))</f>
        <v/>
      </c>
      <c r="GH101" s="35">
        <f>IF(N('Dvd Calendar'!$T$997)=0,"",IF(('Dvd Calendar'!$T$997&gt;=GRID_FROM)*('Dvd Calendar'!$T$997&lt;=GRID_TO)*('Dvd Calendar'!$T$997&gt;VAL_DATE)=0,"",'Dvd Calendar'!$T$997*1000000000+ISNUMBER('Dvd Calendar'!$T$998)*100000000+0*10000000+(N('Dvd Calendar'!$T$996)&gt;0)*(N('Dvd Calendar'!$T$996)&lt;=VAL_SERIAL)*1000000+90*1000+56))</f>
        <v/>
      </c>
      <c r="GI101" s="35">
        <f>IF(N('Dvd Calendar'!$U$997)=0,"",IF(('Dvd Calendar'!$U$997&gt;=GRID_FROM)*('Dvd Calendar'!$U$997&lt;=GRID_TO)*('Dvd Calendar'!$U$997&gt;VAL_DATE)=0,"",'Dvd Calendar'!$U$997*1000000000+ISNUMBER('Dvd Calendar'!$U$998)*100000000+0*10000000+(N('Dvd Calendar'!$U$996)&gt;0)*(N('Dvd Calendar'!$U$996)&lt;=VAL_SERIAL)*1000000+90*1000+57))</f>
        <v/>
      </c>
      <c r="GJ101" s="35">
        <f>IF(N('Dvd Calendar'!$V$997)=0,"",IF(('Dvd Calendar'!$V$997&gt;=GRID_FROM)*('Dvd Calendar'!$V$997&lt;=GRID_TO)*('Dvd Calendar'!$V$997&gt;VAL_DATE)=0,"",'Dvd Calendar'!$V$997*1000000000+ISNUMBER('Dvd Calendar'!$V$998)*100000000+0*10000000+(N('Dvd Calendar'!$V$996)&gt;0)*(N('Dvd Calendar'!$V$996)&lt;=VAL_SERIAL)*1000000+90*1000+58))</f>
        <v/>
      </c>
      <c r="GK101" s="35">
        <f>IF(N('Dvd Calendar'!$W$997)=0,"",IF(('Dvd Calendar'!$W$997&gt;=GRID_FROM)*('Dvd Calendar'!$W$997&lt;=GRID_TO)*('Dvd Calendar'!$W$997&gt;VAL_DATE)=0,"",'Dvd Calendar'!$W$997*1000000000+ISNUMBER('Dvd Calendar'!$W$998)*100000000+0*10000000+(N('Dvd Calendar'!$W$996)&gt;0)*(N('Dvd Calendar'!$W$996)&lt;=VAL_SERIAL)*1000000+90*1000+59))</f>
        <v/>
      </c>
      <c r="GL101" s="35">
        <f>IF(N('Dvd Calendar'!$X$997)=0,"",IF(('Dvd Calendar'!$X$997&gt;=GRID_FROM)*('Dvd Calendar'!$X$997&lt;=GRID_TO)*('Dvd Calendar'!$X$997&gt;VAL_DATE)=0,"",'Dvd Calendar'!$X$997*1000000000+ISNUMBER('Dvd Calendar'!$X$998)*100000000+0*10000000+(N('Dvd Calendar'!$X$996)&gt;0)*(N('Dvd Calendar'!$X$996)&lt;=VAL_SERIAL)*1000000+90*1000+60))</f>
        <v/>
      </c>
      <c r="GM101" s="35">
        <f>IF(N('Dvd Calendar'!$Y$997)=0,"",IF(('Dvd Calendar'!$Y$997&gt;=GRID_FROM)*('Dvd Calendar'!$Y$997&lt;=GRID_TO)*('Dvd Calendar'!$Y$997&gt;VAL_DATE)=0,"",'Dvd Calendar'!$Y$997*1000000000+ISNUMBER('Dvd Calendar'!$Y$998)*100000000+0*10000000+(N('Dvd Calendar'!$Y$996)&gt;0)*(N('Dvd Calendar'!$Y$996)&lt;=VAL_SERIAL)*1000000+90*1000+61))</f>
        <v/>
      </c>
      <c r="GN101" s="35">
        <f>IF(N('Dvd Calendar'!$Z$997)=0,"",IF(('Dvd Calendar'!$Z$997&gt;=GRID_FROM)*('Dvd Calendar'!$Z$997&lt;=GRID_TO)*('Dvd Calendar'!$Z$997&gt;VAL_DATE)=0,"",'Dvd Calendar'!$Z$997*1000000000+ISNUMBER('Dvd Calendar'!$Z$998)*100000000+0*10000000+(N('Dvd Calendar'!$Z$996)&gt;0)*(N('Dvd Calendar'!$Z$996)&lt;=VAL_SERIAL)*1000000+90*1000+62))</f>
        <v/>
      </c>
      <c r="GO101" s="35">
        <f>IF(N('Dvd Calendar'!$AA$997)=0,"",IF(('Dvd Calendar'!$AA$997&gt;=GRID_FROM)*('Dvd Calendar'!$AA$997&lt;=GRID_TO)*('Dvd Calendar'!$AA$997&gt;VAL_DATE)=0,"",'Dvd Calendar'!$AA$997*1000000000+ISNUMBER('Dvd Calendar'!$AA$998)*100000000+0*10000000+(N('Dvd Calendar'!$AA$996)&gt;0)*(N('Dvd Calendar'!$AA$996)&lt;=VAL_SERIAL)*1000000+90*1000+63))</f>
        <v/>
      </c>
      <c r="GP101" s="35">
        <f>IF(N('Dvd Calendar'!$AB$997)=0,"",IF(('Dvd Calendar'!$AB$997&gt;=GRID_FROM)*('Dvd Calendar'!$AB$997&lt;=GRID_TO)*('Dvd Calendar'!$AB$997&gt;VAL_DATE)=0,"",'Dvd Calendar'!$AB$997*1000000000+ISNUMBER('Dvd Calendar'!$AB$998)*100000000+0*10000000+(N('Dvd Calendar'!$AB$996)&gt;0)*(N('Dvd Calendar'!$AB$996)&lt;=VAL_SERIAL)*1000000+90*1000+64))</f>
        <v/>
      </c>
      <c r="GQ101" s="35">
        <f>IF(N('Dvd Calendar'!$AC$997)=0,"",IF(('Dvd Calendar'!$AC$997&gt;=GRID_FROM)*('Dvd Calendar'!$AC$997&lt;=GRID_TO)*('Dvd Calendar'!$AC$997&gt;VAL_DATE)=0,"",'Dvd Calendar'!$AC$997*1000000000+ISNUMBER('Dvd Calendar'!$AC$998)*100000000+0*10000000+(N('Dvd Calendar'!$AC$996)&gt;0)*(N('Dvd Calendar'!$AC$996)&lt;=VAL_SERIAL)*1000000+90*1000+65))</f>
        <v/>
      </c>
    </row>
    <row r="102">
      <c r="B102" s="2">
        <f>IF(HSI!$C$97="","",HSI!$C$97)</f>
        <v/>
      </c>
      <c r="C102" s="106">
        <f>IF(EE102="","",IF(ISNUMBER('Dvd Calendar'!$E$1004)=FALSE,"",IF((('Dvd Calendar'!$E$1006=TYPE1)*(TYPE1&lt;&gt;"")+('Dvd Calendar'!$E$1006=TYPE2)*(TYPE2&lt;&gt;"")+('Dvd Calendar'!$E$1006=TYPE3)*(TYPE3&lt;&gt;"")+('Dvd Calendar'!$E$1006=TYPE4)*(TYPE4&lt;&gt;"")+('Dvd Calendar'!$E$1006=SPECIAL_LBL)*(INC_SPECIALS="Y"))=0,"",'Dvd Calendar'!$E$1004)))</f>
        <v/>
      </c>
      <c r="D102" s="106">
        <f>IF(EF102="","",IF(ISNUMBER('Dvd Calendar'!$F$1004)=FALSE,"",IF((('Dvd Calendar'!$F$1006=TYPE1)*(TYPE1&lt;&gt;"")+('Dvd Calendar'!$F$1006=TYPE2)*(TYPE2&lt;&gt;"")+('Dvd Calendar'!$F$1006=TYPE3)*(TYPE3&lt;&gt;"")+('Dvd Calendar'!$F$1006=TYPE4)*(TYPE4&lt;&gt;"")+('Dvd Calendar'!$F$1006=SPECIAL_LBL)*(INC_SPECIALS="Y"))=0,"",'Dvd Calendar'!$F$1004)))</f>
        <v/>
      </c>
      <c r="E102" s="106">
        <f>IF(EG102="","",IF(ISNUMBER('Dvd Calendar'!$G$1004)=FALSE,"",IF((('Dvd Calendar'!$G$1006=TYPE1)*(TYPE1&lt;&gt;"")+('Dvd Calendar'!$G$1006=TYPE2)*(TYPE2&lt;&gt;"")+('Dvd Calendar'!$G$1006=TYPE3)*(TYPE3&lt;&gt;"")+('Dvd Calendar'!$G$1006=TYPE4)*(TYPE4&lt;&gt;"")+('Dvd Calendar'!$G$1006=SPECIAL_LBL)*(INC_SPECIALS="Y"))=0,"",'Dvd Calendar'!$G$1004)))</f>
        <v/>
      </c>
      <c r="F102" s="106">
        <f>IF(EH102="","",IF(ISNUMBER('Dvd Calendar'!$H$1004)=FALSE,"",IF((('Dvd Calendar'!$H$1006=TYPE1)*(TYPE1&lt;&gt;"")+('Dvd Calendar'!$H$1006=TYPE2)*(TYPE2&lt;&gt;"")+('Dvd Calendar'!$H$1006=TYPE3)*(TYPE3&lt;&gt;"")+('Dvd Calendar'!$H$1006=TYPE4)*(TYPE4&lt;&gt;"")+('Dvd Calendar'!$H$1006=SPECIAL_LBL)*(INC_SPECIALS="Y"))=0,"",'Dvd Calendar'!$H$1004)))</f>
        <v/>
      </c>
      <c r="G102" s="106">
        <f>IF(EI102="","",IF(ISNUMBER('Dvd Calendar'!$I$1004)=FALSE,"",IF((('Dvd Calendar'!$I$1006=TYPE1)*(TYPE1&lt;&gt;"")+('Dvd Calendar'!$I$1006=TYPE2)*(TYPE2&lt;&gt;"")+('Dvd Calendar'!$I$1006=TYPE3)*(TYPE3&lt;&gt;"")+('Dvd Calendar'!$I$1006=TYPE4)*(TYPE4&lt;&gt;"")+('Dvd Calendar'!$I$1006=SPECIAL_LBL)*(INC_SPECIALS="Y"))=0,"",'Dvd Calendar'!$I$1004)))</f>
        <v/>
      </c>
      <c r="H102" s="106">
        <f>IF(EJ102="","",IF(ISNUMBER('Dvd Calendar'!$J$1004)=FALSE,"",IF((('Dvd Calendar'!$J$1006=TYPE1)*(TYPE1&lt;&gt;"")+('Dvd Calendar'!$J$1006=TYPE2)*(TYPE2&lt;&gt;"")+('Dvd Calendar'!$J$1006=TYPE3)*(TYPE3&lt;&gt;"")+('Dvd Calendar'!$J$1006=TYPE4)*(TYPE4&lt;&gt;"")+('Dvd Calendar'!$J$1006=SPECIAL_LBL)*(INC_SPECIALS="Y"))=0,"",'Dvd Calendar'!$J$1004)))</f>
        <v/>
      </c>
      <c r="I102" s="106">
        <f>IF(EK102="","",IF(ISNUMBER('Dvd Calendar'!$K$1004)=FALSE,"",IF((('Dvd Calendar'!$K$1006=TYPE1)*(TYPE1&lt;&gt;"")+('Dvd Calendar'!$K$1006=TYPE2)*(TYPE2&lt;&gt;"")+('Dvd Calendar'!$K$1006=TYPE3)*(TYPE3&lt;&gt;"")+('Dvd Calendar'!$K$1006=TYPE4)*(TYPE4&lt;&gt;"")+('Dvd Calendar'!$K$1006=SPECIAL_LBL)*(INC_SPECIALS="Y"))=0,"",'Dvd Calendar'!$K$1004)))</f>
        <v/>
      </c>
      <c r="J102" s="106">
        <f>IF(EL102="","",IF(ISNUMBER('Dvd Calendar'!$L$1004)=FALSE,"",IF((('Dvd Calendar'!$L$1006=TYPE1)*(TYPE1&lt;&gt;"")+('Dvd Calendar'!$L$1006=TYPE2)*(TYPE2&lt;&gt;"")+('Dvd Calendar'!$L$1006=TYPE3)*(TYPE3&lt;&gt;"")+('Dvd Calendar'!$L$1006=TYPE4)*(TYPE4&lt;&gt;"")+('Dvd Calendar'!$L$1006=SPECIAL_LBL)*(INC_SPECIALS="Y"))=0,"",'Dvd Calendar'!$L$1004)))</f>
        <v/>
      </c>
      <c r="K102" s="106">
        <f>IF(EM102="","",IF(ISNUMBER('Dvd Calendar'!$M$1004)=FALSE,"",IF((('Dvd Calendar'!$M$1006=TYPE1)*(TYPE1&lt;&gt;"")+('Dvd Calendar'!$M$1006=TYPE2)*(TYPE2&lt;&gt;"")+('Dvd Calendar'!$M$1006=TYPE3)*(TYPE3&lt;&gt;"")+('Dvd Calendar'!$M$1006=TYPE4)*(TYPE4&lt;&gt;"")+('Dvd Calendar'!$M$1006=SPECIAL_LBL)*(INC_SPECIALS="Y"))=0,"",'Dvd Calendar'!$M$1004)))</f>
        <v/>
      </c>
      <c r="L102" s="106">
        <f>IF(EN102="","",IF(ISNUMBER('Dvd Calendar'!$N$1004)=FALSE,"",IF((('Dvd Calendar'!$N$1006=TYPE1)*(TYPE1&lt;&gt;"")+('Dvd Calendar'!$N$1006=TYPE2)*(TYPE2&lt;&gt;"")+('Dvd Calendar'!$N$1006=TYPE3)*(TYPE3&lt;&gt;"")+('Dvd Calendar'!$N$1006=TYPE4)*(TYPE4&lt;&gt;"")+('Dvd Calendar'!$N$1006=SPECIAL_LBL)*(INC_SPECIALS="Y"))=0,"",'Dvd Calendar'!$N$1004)))</f>
        <v/>
      </c>
      <c r="M102" s="106">
        <f>IF(EO102="","",IF(ISNUMBER('Dvd Calendar'!$O$1004)=FALSE,"",IF((('Dvd Calendar'!$O$1006=TYPE1)*(TYPE1&lt;&gt;"")+('Dvd Calendar'!$O$1006=TYPE2)*(TYPE2&lt;&gt;"")+('Dvd Calendar'!$O$1006=TYPE3)*(TYPE3&lt;&gt;"")+('Dvd Calendar'!$O$1006=TYPE4)*(TYPE4&lt;&gt;"")+('Dvd Calendar'!$O$1006=SPECIAL_LBL)*(INC_SPECIALS="Y"))=0,"",'Dvd Calendar'!$O$1004)))</f>
        <v/>
      </c>
      <c r="N102" s="106">
        <f>IF(EP102="","",IF(ISNUMBER('Dvd Calendar'!$P$1004)=FALSE,"",IF((('Dvd Calendar'!$P$1006=TYPE1)*(TYPE1&lt;&gt;"")+('Dvd Calendar'!$P$1006=TYPE2)*(TYPE2&lt;&gt;"")+('Dvd Calendar'!$P$1006=TYPE3)*(TYPE3&lt;&gt;"")+('Dvd Calendar'!$P$1006=TYPE4)*(TYPE4&lt;&gt;"")+('Dvd Calendar'!$P$1006=SPECIAL_LBL)*(INC_SPECIALS="Y"))=0,"",'Dvd Calendar'!$P$1004)))</f>
        <v/>
      </c>
      <c r="O102" s="106">
        <f>IF(EQ102="","",IF(ISNUMBER('Dvd Calendar'!$Q$1004)=FALSE,"",IF((('Dvd Calendar'!$Q$1006=TYPE1)*(TYPE1&lt;&gt;"")+('Dvd Calendar'!$Q$1006=TYPE2)*(TYPE2&lt;&gt;"")+('Dvd Calendar'!$Q$1006=TYPE3)*(TYPE3&lt;&gt;"")+('Dvd Calendar'!$Q$1006=TYPE4)*(TYPE4&lt;&gt;"")+('Dvd Calendar'!$Q$1006=SPECIAL_LBL)*(INC_SPECIALS="Y"))=0,"",'Dvd Calendar'!$Q$1004)))</f>
        <v/>
      </c>
      <c r="P102" s="106">
        <f>IF(ER102="","",IF(ISNUMBER('Dvd Calendar'!$R$1004)=FALSE,"",IF((('Dvd Calendar'!$R$1006=TYPE1)*(TYPE1&lt;&gt;"")+('Dvd Calendar'!$R$1006=TYPE2)*(TYPE2&lt;&gt;"")+('Dvd Calendar'!$R$1006=TYPE3)*(TYPE3&lt;&gt;"")+('Dvd Calendar'!$R$1006=TYPE4)*(TYPE4&lt;&gt;"")+('Dvd Calendar'!$R$1006=SPECIAL_LBL)*(INC_SPECIALS="Y"))=0,"",'Dvd Calendar'!$R$1004)))</f>
        <v/>
      </c>
      <c r="Q102" s="106">
        <f>IF(ES102="","",IF(ISNUMBER('Dvd Calendar'!$S$1004)=FALSE,"",IF((('Dvd Calendar'!$S$1006=TYPE1)*(TYPE1&lt;&gt;"")+('Dvd Calendar'!$S$1006=TYPE2)*(TYPE2&lt;&gt;"")+('Dvd Calendar'!$S$1006=TYPE3)*(TYPE3&lt;&gt;"")+('Dvd Calendar'!$S$1006=TYPE4)*(TYPE4&lt;&gt;"")+('Dvd Calendar'!$S$1006=SPECIAL_LBL)*(INC_SPECIALS="Y"))=0,"",'Dvd Calendar'!$S$1004)))</f>
        <v/>
      </c>
      <c r="R102" s="106">
        <f>IF(ET102="","",IF(ISNUMBER('Dvd Calendar'!$T$1004)=FALSE,"",IF((('Dvd Calendar'!$T$1006=TYPE1)*(TYPE1&lt;&gt;"")+('Dvd Calendar'!$T$1006=TYPE2)*(TYPE2&lt;&gt;"")+('Dvd Calendar'!$T$1006=TYPE3)*(TYPE3&lt;&gt;"")+('Dvd Calendar'!$T$1006=TYPE4)*(TYPE4&lt;&gt;"")+('Dvd Calendar'!$T$1006=SPECIAL_LBL)*(INC_SPECIALS="Y"))=0,"",'Dvd Calendar'!$T$1004)))</f>
        <v/>
      </c>
      <c r="S102" s="106">
        <f>IF(EU102="","",IF(ISNUMBER('Dvd Calendar'!$U$1004)=FALSE,"",IF((('Dvd Calendar'!$U$1006=TYPE1)*(TYPE1&lt;&gt;"")+('Dvd Calendar'!$U$1006=TYPE2)*(TYPE2&lt;&gt;"")+('Dvd Calendar'!$U$1006=TYPE3)*(TYPE3&lt;&gt;"")+('Dvd Calendar'!$U$1006=TYPE4)*(TYPE4&lt;&gt;"")+('Dvd Calendar'!$U$1006=SPECIAL_LBL)*(INC_SPECIALS="Y"))=0,"",'Dvd Calendar'!$U$1004)))</f>
        <v/>
      </c>
      <c r="T102" s="106">
        <f>IF(EV102="","",IF(ISNUMBER('Dvd Calendar'!$V$1004)=FALSE,"",IF((('Dvd Calendar'!$V$1006=TYPE1)*(TYPE1&lt;&gt;"")+('Dvd Calendar'!$V$1006=TYPE2)*(TYPE2&lt;&gt;"")+('Dvd Calendar'!$V$1006=TYPE3)*(TYPE3&lt;&gt;"")+('Dvd Calendar'!$V$1006=TYPE4)*(TYPE4&lt;&gt;"")+('Dvd Calendar'!$V$1006=SPECIAL_LBL)*(INC_SPECIALS="Y"))=0,"",'Dvd Calendar'!$V$1004)))</f>
        <v/>
      </c>
      <c r="U102" s="106">
        <f>IF(EW102="","",IF(ISNUMBER('Dvd Calendar'!$W$1004)=FALSE,"",IF((('Dvd Calendar'!$W$1006=TYPE1)*(TYPE1&lt;&gt;"")+('Dvd Calendar'!$W$1006=TYPE2)*(TYPE2&lt;&gt;"")+('Dvd Calendar'!$W$1006=TYPE3)*(TYPE3&lt;&gt;"")+('Dvd Calendar'!$W$1006=TYPE4)*(TYPE4&lt;&gt;"")+('Dvd Calendar'!$W$1006=SPECIAL_LBL)*(INC_SPECIALS="Y"))=0,"",'Dvd Calendar'!$W$1004)))</f>
        <v/>
      </c>
      <c r="V102" s="106">
        <f>IF(EX102="","",IF(ISNUMBER('Dvd Calendar'!$X$1004)=FALSE,"",IF((('Dvd Calendar'!$X$1006=TYPE1)*(TYPE1&lt;&gt;"")+('Dvd Calendar'!$X$1006=TYPE2)*(TYPE2&lt;&gt;"")+('Dvd Calendar'!$X$1006=TYPE3)*(TYPE3&lt;&gt;"")+('Dvd Calendar'!$X$1006=TYPE4)*(TYPE4&lt;&gt;"")+('Dvd Calendar'!$X$1006=SPECIAL_LBL)*(INC_SPECIALS="Y"))=0,"",'Dvd Calendar'!$X$1004)))</f>
        <v/>
      </c>
      <c r="W102" s="106">
        <f>IF(EY102="","",IF(ISNUMBER('Dvd Calendar'!$Y$1004)=FALSE,"",IF((('Dvd Calendar'!$Y$1006=TYPE1)*(TYPE1&lt;&gt;"")+('Dvd Calendar'!$Y$1006=TYPE2)*(TYPE2&lt;&gt;"")+('Dvd Calendar'!$Y$1006=TYPE3)*(TYPE3&lt;&gt;"")+('Dvd Calendar'!$Y$1006=TYPE4)*(TYPE4&lt;&gt;"")+('Dvd Calendar'!$Y$1006=SPECIAL_LBL)*(INC_SPECIALS="Y"))=0,"",'Dvd Calendar'!$Y$1004)))</f>
        <v/>
      </c>
      <c r="X102" s="106">
        <f>IF(EZ102="","",IF(ISNUMBER('Dvd Calendar'!$Z$1004)=FALSE,"",IF((('Dvd Calendar'!$Z$1006=TYPE1)*(TYPE1&lt;&gt;"")+('Dvd Calendar'!$Z$1006=TYPE2)*(TYPE2&lt;&gt;"")+('Dvd Calendar'!$Z$1006=TYPE3)*(TYPE3&lt;&gt;"")+('Dvd Calendar'!$Z$1006=TYPE4)*(TYPE4&lt;&gt;"")+('Dvd Calendar'!$Z$1006=SPECIAL_LBL)*(INC_SPECIALS="Y"))=0,"",'Dvd Calendar'!$Z$1004)))</f>
        <v/>
      </c>
      <c r="Y102" s="106">
        <f>IF(FA102="","",IF(ISNUMBER('Dvd Calendar'!$AA$1004)=FALSE,"",IF((('Dvd Calendar'!$AA$1006=TYPE1)*(TYPE1&lt;&gt;"")+('Dvd Calendar'!$AA$1006=TYPE2)*(TYPE2&lt;&gt;"")+('Dvd Calendar'!$AA$1006=TYPE3)*(TYPE3&lt;&gt;"")+('Dvd Calendar'!$AA$1006=TYPE4)*(TYPE4&lt;&gt;"")+('Dvd Calendar'!$AA$1006=SPECIAL_LBL)*(INC_SPECIALS="Y"))=0,"",'Dvd Calendar'!$AA$1004)))</f>
        <v/>
      </c>
      <c r="Z102" s="106">
        <f>IF(FB102="","",IF(ISNUMBER('Dvd Calendar'!$AB$1004)=FALSE,"",IF((('Dvd Calendar'!$AB$1006=TYPE1)*(TYPE1&lt;&gt;"")+('Dvd Calendar'!$AB$1006=TYPE2)*(TYPE2&lt;&gt;"")+('Dvd Calendar'!$AB$1006=TYPE3)*(TYPE3&lt;&gt;"")+('Dvd Calendar'!$AB$1006=TYPE4)*(TYPE4&lt;&gt;"")+('Dvd Calendar'!$AB$1006=SPECIAL_LBL)*(INC_SPECIALS="Y"))=0,"",'Dvd Calendar'!$AB$1004)))</f>
        <v/>
      </c>
      <c r="AA102" s="106">
        <f>IF(FC102="","",IF(ISNUMBER('Dvd Calendar'!$AC$1004)=FALSE,"",IF((('Dvd Calendar'!$AC$1006=TYPE1)*(TYPE1&lt;&gt;"")+('Dvd Calendar'!$AC$1006=TYPE2)*(TYPE2&lt;&gt;"")+('Dvd Calendar'!$AC$1006=TYPE3)*(TYPE3&lt;&gt;"")+('Dvd Calendar'!$AC$1006=TYPE4)*(TYPE4&lt;&gt;"")+('Dvd Calendar'!$AC$1006=SPECIAL_LBL)*(INC_SPECIALS="Y"))=0,"",'Dvd Calendar'!$AC$1004)))</f>
        <v/>
      </c>
      <c r="AB102" s="106">
        <f>IF(FD102="","",IF(ISNUMBER('Dvd Calendar'!$AD$1004)=FALSE,"",IF((('Dvd Calendar'!$AD$1006=TYPE1)*(TYPE1&lt;&gt;"")+('Dvd Calendar'!$AD$1006=TYPE2)*(TYPE2&lt;&gt;"")+('Dvd Calendar'!$AD$1006=TYPE3)*(TYPE3&lt;&gt;"")+('Dvd Calendar'!$AD$1006=TYPE4)*(TYPE4&lt;&gt;"")+('Dvd Calendar'!$AD$1006=SPECIAL_LBL)*(INC_SPECIALS="Y"))=0,"",'Dvd Calendar'!$AD$1004)))</f>
        <v/>
      </c>
      <c r="AC102" s="106">
        <f>IF(FE102="","",IF(ISNUMBER('Dvd Calendar'!$AE$1004)=FALSE,"",IF((('Dvd Calendar'!$AE$1006=TYPE1)*(TYPE1&lt;&gt;"")+('Dvd Calendar'!$AE$1006=TYPE2)*(TYPE2&lt;&gt;"")+('Dvd Calendar'!$AE$1006=TYPE3)*(TYPE3&lt;&gt;"")+('Dvd Calendar'!$AE$1006=TYPE4)*(TYPE4&lt;&gt;"")+('Dvd Calendar'!$AE$1006=SPECIAL_LBL)*(INC_SPECIALS="Y"))=0,"",'Dvd Calendar'!$AE$1004)))</f>
        <v/>
      </c>
      <c r="AD102" s="106">
        <f>IF(FF102="","",IF(ISNUMBER('Dvd Calendar'!$AF$1004)=FALSE,"",IF((('Dvd Calendar'!$AF$1006=TYPE1)*(TYPE1&lt;&gt;"")+('Dvd Calendar'!$AF$1006=TYPE2)*(TYPE2&lt;&gt;"")+('Dvd Calendar'!$AF$1006=TYPE3)*(TYPE3&lt;&gt;"")+('Dvd Calendar'!$AF$1006=TYPE4)*(TYPE4&lt;&gt;"")+('Dvd Calendar'!$AF$1006=SPECIAL_LBL)*(INC_SPECIALS="Y"))=0,"",'Dvd Calendar'!$AF$1004)))</f>
        <v/>
      </c>
      <c r="AE102" s="106">
        <f>IF(FG102="","",IF(ISNUMBER('Dvd Calendar'!$AG$1004)=FALSE,"",IF((('Dvd Calendar'!$AG$1006=TYPE1)*(TYPE1&lt;&gt;"")+('Dvd Calendar'!$AG$1006=TYPE2)*(TYPE2&lt;&gt;"")+('Dvd Calendar'!$AG$1006=TYPE3)*(TYPE3&lt;&gt;"")+('Dvd Calendar'!$AG$1006=TYPE4)*(TYPE4&lt;&gt;"")+('Dvd Calendar'!$AG$1006=SPECIAL_LBL)*(INC_SPECIALS="Y"))=0,"",'Dvd Calendar'!$AG$1004)))</f>
        <v/>
      </c>
      <c r="AF102" s="106">
        <f>IF(FH102="","",IF(ISNUMBER('Dvd Calendar'!$AH$1004)=FALSE,"",IF((('Dvd Calendar'!$AH$1006=TYPE1)*(TYPE1&lt;&gt;"")+('Dvd Calendar'!$AH$1006=TYPE2)*(TYPE2&lt;&gt;"")+('Dvd Calendar'!$AH$1006=TYPE3)*(TYPE3&lt;&gt;"")+('Dvd Calendar'!$AH$1006=TYPE4)*(TYPE4&lt;&gt;"")+('Dvd Calendar'!$AH$1006=SPECIAL_LBL)*(INC_SPECIALS="Y"))=0,"",'Dvd Calendar'!$AH$1004)))</f>
        <v/>
      </c>
      <c r="AG102" s="106">
        <f>IF(FI102="","",IF(ISNUMBER('Dvd Calendar'!$AI$1004)=FALSE,"",IF((('Dvd Calendar'!$AI$1006=TYPE1)*(TYPE1&lt;&gt;"")+('Dvd Calendar'!$AI$1006=TYPE2)*(TYPE2&lt;&gt;"")+('Dvd Calendar'!$AI$1006=TYPE3)*(TYPE3&lt;&gt;"")+('Dvd Calendar'!$AI$1006=TYPE4)*(TYPE4&lt;&gt;"")+('Dvd Calendar'!$AI$1006=SPECIAL_LBL)*(INC_SPECIALS="Y"))=0,"",'Dvd Calendar'!$AI$1004)))</f>
        <v/>
      </c>
      <c r="AH102" s="106">
        <f>IF(FJ102="","",IF(ISNUMBER('Dvd Calendar'!$AJ$1004)=FALSE,"",IF((('Dvd Calendar'!$AJ$1006=TYPE1)*(TYPE1&lt;&gt;"")+('Dvd Calendar'!$AJ$1006=TYPE2)*(TYPE2&lt;&gt;"")+('Dvd Calendar'!$AJ$1006=TYPE3)*(TYPE3&lt;&gt;"")+('Dvd Calendar'!$AJ$1006=TYPE4)*(TYPE4&lt;&gt;"")+('Dvd Calendar'!$AJ$1006=SPECIAL_LBL)*(INC_SPECIALS="Y"))=0,"",'Dvd Calendar'!$AJ$1004)))</f>
        <v/>
      </c>
      <c r="AI102" s="106">
        <f>IF(FK102="","",IF(ISNUMBER('Dvd Calendar'!$AK$1004)=FALSE,"",IF((('Dvd Calendar'!$AK$1006=TYPE1)*(TYPE1&lt;&gt;"")+('Dvd Calendar'!$AK$1006=TYPE2)*(TYPE2&lt;&gt;"")+('Dvd Calendar'!$AK$1006=TYPE3)*(TYPE3&lt;&gt;"")+('Dvd Calendar'!$AK$1006=TYPE4)*(TYPE4&lt;&gt;"")+('Dvd Calendar'!$AK$1006=SPECIAL_LBL)*(INC_SPECIALS="Y"))=0,"",'Dvd Calendar'!$AK$1004)))</f>
        <v/>
      </c>
      <c r="AJ102" s="106">
        <f>IF(FL102="","",IF(ISNUMBER('Dvd Calendar'!$AL$1004)=FALSE,"",IF((('Dvd Calendar'!$AL$1006=TYPE1)*(TYPE1&lt;&gt;"")+('Dvd Calendar'!$AL$1006=TYPE2)*(TYPE2&lt;&gt;"")+('Dvd Calendar'!$AL$1006=TYPE3)*(TYPE3&lt;&gt;"")+('Dvd Calendar'!$AL$1006=TYPE4)*(TYPE4&lt;&gt;"")+('Dvd Calendar'!$AL$1006=SPECIAL_LBL)*(INC_SPECIALS="Y"))=0,"",'Dvd Calendar'!$AL$1004)))</f>
        <v/>
      </c>
      <c r="AK102" s="106">
        <f>IF(FM102="","",IF(ISNUMBER('Dvd Calendar'!$AM$1004)=FALSE,"",IF((('Dvd Calendar'!$AM$1006=TYPE1)*(TYPE1&lt;&gt;"")+('Dvd Calendar'!$AM$1006=TYPE2)*(TYPE2&lt;&gt;"")+('Dvd Calendar'!$AM$1006=TYPE3)*(TYPE3&lt;&gt;"")+('Dvd Calendar'!$AM$1006=TYPE4)*(TYPE4&lt;&gt;"")+('Dvd Calendar'!$AM$1006=SPECIAL_LBL)*(INC_SPECIALS="Y"))=0,"",'Dvd Calendar'!$AM$1004)))</f>
        <v/>
      </c>
      <c r="AL102" s="106">
        <f>IF(FN102="","",IF(ISNUMBER('Dvd Calendar'!$AN$1004)=FALSE,"",IF((('Dvd Calendar'!$AN$1006=TYPE1)*(TYPE1&lt;&gt;"")+('Dvd Calendar'!$AN$1006=TYPE2)*(TYPE2&lt;&gt;"")+('Dvd Calendar'!$AN$1006=TYPE3)*(TYPE3&lt;&gt;"")+('Dvd Calendar'!$AN$1006=TYPE4)*(TYPE4&lt;&gt;"")+('Dvd Calendar'!$AN$1006=SPECIAL_LBL)*(INC_SPECIALS="Y"))=0,"",'Dvd Calendar'!$AN$1004)))</f>
        <v/>
      </c>
      <c r="AM102" s="106">
        <f>IF(FO102="","",IF(ISNUMBER('Dvd Calendar'!$AO$1004)=FALSE,"",IF((('Dvd Calendar'!$AO$1006=TYPE1)*(TYPE1&lt;&gt;"")+('Dvd Calendar'!$AO$1006=TYPE2)*(TYPE2&lt;&gt;"")+('Dvd Calendar'!$AO$1006=TYPE3)*(TYPE3&lt;&gt;"")+('Dvd Calendar'!$AO$1006=TYPE4)*(TYPE4&lt;&gt;"")+('Dvd Calendar'!$AO$1006=SPECIAL_LBL)*(INC_SPECIALS="Y"))=0,"",'Dvd Calendar'!$AO$1004)))</f>
        <v/>
      </c>
      <c r="AN102" s="106">
        <f>IF(FP102="","",IF(ISNUMBER('Dvd Calendar'!$AP$1004)=FALSE,"",IF((('Dvd Calendar'!$AP$1006=TYPE1)*(TYPE1&lt;&gt;"")+('Dvd Calendar'!$AP$1006=TYPE2)*(TYPE2&lt;&gt;"")+('Dvd Calendar'!$AP$1006=TYPE3)*(TYPE3&lt;&gt;"")+('Dvd Calendar'!$AP$1006=TYPE4)*(TYPE4&lt;&gt;"")+('Dvd Calendar'!$AP$1006=SPECIAL_LBL)*(INC_SPECIALS="Y"))=0,"",'Dvd Calendar'!$AP$1004)))</f>
        <v/>
      </c>
      <c r="AO102" s="106">
        <f>IF(FQ102="","",IF(ISNUMBER('Dvd Calendar'!$AQ$1004)=FALSE,"",IF((('Dvd Calendar'!$AQ$1006=TYPE1)*(TYPE1&lt;&gt;"")+('Dvd Calendar'!$AQ$1006=TYPE2)*(TYPE2&lt;&gt;"")+('Dvd Calendar'!$AQ$1006=TYPE3)*(TYPE3&lt;&gt;"")+('Dvd Calendar'!$AQ$1006=TYPE4)*(TYPE4&lt;&gt;"")+('Dvd Calendar'!$AQ$1006=SPECIAL_LBL)*(INC_SPECIALS="Y"))=0,"",'Dvd Calendar'!$AQ$1004)))</f>
        <v/>
      </c>
      <c r="AP102" s="106">
        <f>IF(FR102="","",IF(ISNUMBER('Dvd Calendar'!$AR$1004)=FALSE,"",IF((('Dvd Calendar'!$AR$1006=TYPE1)*(TYPE1&lt;&gt;"")+('Dvd Calendar'!$AR$1006=TYPE2)*(TYPE2&lt;&gt;"")+('Dvd Calendar'!$AR$1006=TYPE3)*(TYPE3&lt;&gt;"")+('Dvd Calendar'!$AR$1006=TYPE4)*(TYPE4&lt;&gt;"")+('Dvd Calendar'!$AR$1006=SPECIAL_LBL)*(INC_SPECIALS="Y"))=0,"",'Dvd Calendar'!$AR$1004)))</f>
        <v/>
      </c>
      <c r="AQ102" s="106">
        <f>IF(FS102="","",IF(ISNUMBER('Dvd Calendar'!$E$1009)=FALSE,"",'Dvd Calendar'!$E$1009))</f>
        <v/>
      </c>
      <c r="AR102" s="106">
        <f>IF(FT102="","",IF(ISNUMBER('Dvd Calendar'!$F$1009)=FALSE,"",'Dvd Calendar'!$F$1009))</f>
        <v/>
      </c>
      <c r="AS102" s="106">
        <f>IF(FU102="","",IF(ISNUMBER('Dvd Calendar'!$G$1009)=FALSE,"",'Dvd Calendar'!$G$1009))</f>
        <v/>
      </c>
      <c r="AT102" s="106">
        <f>IF(FV102="","",IF(ISNUMBER('Dvd Calendar'!$H$1009)=FALSE,"",'Dvd Calendar'!$H$1009))</f>
        <v/>
      </c>
      <c r="AU102" s="106">
        <f>IF(FW102="","",IF(ISNUMBER('Dvd Calendar'!$I$1009)=FALSE,"",'Dvd Calendar'!$I$1009))</f>
        <v/>
      </c>
      <c r="AV102" s="106">
        <f>IF(FX102="","",IF(ISNUMBER('Dvd Calendar'!$J$1009)=FALSE,"",'Dvd Calendar'!$J$1009))</f>
        <v/>
      </c>
      <c r="AW102" s="106">
        <f>IF(FY102="","",IF(ISNUMBER('Dvd Calendar'!$K$1009)=FALSE,"",'Dvd Calendar'!$K$1009))</f>
        <v/>
      </c>
      <c r="AX102" s="106">
        <f>IF(FZ102="","",IF(ISNUMBER('Dvd Calendar'!$L$1009)=FALSE,"",'Dvd Calendar'!$L$1009))</f>
        <v/>
      </c>
      <c r="AY102" s="106">
        <f>IF(GA102="","",IF(ISNUMBER('Dvd Calendar'!$M$1009)=FALSE,"",'Dvd Calendar'!$M$1009))</f>
        <v/>
      </c>
      <c r="AZ102" s="106">
        <f>IF(GB102="","",IF(ISNUMBER('Dvd Calendar'!$N$1009)=FALSE,"",'Dvd Calendar'!$N$1009))</f>
        <v/>
      </c>
      <c r="BA102" s="106">
        <f>IF(GC102="","",IF(ISNUMBER('Dvd Calendar'!$O$1009)=FALSE,"",'Dvd Calendar'!$O$1009))</f>
        <v/>
      </c>
      <c r="BB102" s="106">
        <f>IF(GD102="","",IF(ISNUMBER('Dvd Calendar'!$P$1009)=FALSE,"",'Dvd Calendar'!$P$1009))</f>
        <v/>
      </c>
      <c r="BC102" s="106">
        <f>IF(GE102="","",IF(ISNUMBER('Dvd Calendar'!$Q$1009)=FALSE,"",'Dvd Calendar'!$Q$1009))</f>
        <v/>
      </c>
      <c r="BD102" s="106">
        <f>IF(GF102="","",IF(ISNUMBER('Dvd Calendar'!$R$1009)=FALSE,"",'Dvd Calendar'!$R$1009))</f>
        <v/>
      </c>
      <c r="BE102" s="106">
        <f>IF(GG102="","",IF(ISNUMBER('Dvd Calendar'!$S$1009)=FALSE,"",'Dvd Calendar'!$S$1009))</f>
        <v/>
      </c>
      <c r="BF102" s="106">
        <f>IF(GH102="","",IF(ISNUMBER('Dvd Calendar'!$T$1009)=FALSE,"",'Dvd Calendar'!$T$1009))</f>
        <v/>
      </c>
      <c r="BG102" s="106">
        <f>IF(GI102="","",IF(ISNUMBER('Dvd Calendar'!$U$1009)=FALSE,"",'Dvd Calendar'!$U$1009))</f>
        <v/>
      </c>
      <c r="BH102" s="106">
        <f>IF(GJ102="","",IF(ISNUMBER('Dvd Calendar'!$V$1009)=FALSE,"",'Dvd Calendar'!$V$1009))</f>
        <v/>
      </c>
      <c r="BI102" s="106">
        <f>IF(GK102="","",IF(ISNUMBER('Dvd Calendar'!$W$1009)=FALSE,"",'Dvd Calendar'!$W$1009))</f>
        <v/>
      </c>
      <c r="BJ102" s="106">
        <f>IF(GL102="","",IF(ISNUMBER('Dvd Calendar'!$X$1009)=FALSE,"",'Dvd Calendar'!$X$1009))</f>
        <v/>
      </c>
      <c r="BK102" s="106">
        <f>IF(GM102="","",IF(ISNUMBER('Dvd Calendar'!$Y$1009)=FALSE,"",'Dvd Calendar'!$Y$1009))</f>
        <v/>
      </c>
      <c r="BL102" s="106">
        <f>IF(GN102="","",IF(ISNUMBER('Dvd Calendar'!$Z$1009)=FALSE,"",'Dvd Calendar'!$Z$1009))</f>
        <v/>
      </c>
      <c r="BM102" s="106">
        <f>IF(GO102="","",IF(ISNUMBER('Dvd Calendar'!$AA$1009)=FALSE,"",'Dvd Calendar'!$AA$1009))</f>
        <v/>
      </c>
      <c r="BN102" s="106">
        <f>IF(GP102="","",IF(ISNUMBER('Dvd Calendar'!$AB$1009)=FALSE,"",'Dvd Calendar'!$AB$1009))</f>
        <v/>
      </c>
      <c r="BO102" s="106">
        <f>IF(GQ102="","",IF(ISNUMBER('Dvd Calendar'!$AC$1009)=FALSE,"",'Dvd Calendar'!$AC$1009))</f>
        <v/>
      </c>
      <c r="BQ102" s="106">
        <f>IF(C102="","",IFERROR(C102*HSI!$B$97*HSI!$G$97/HSI!$B$3,""))</f>
        <v/>
      </c>
      <c r="BR102" s="106">
        <f>IF(D102="","",IFERROR(D102*HSI!$B$97*HSI!$G$97/HSI!$B$3,""))</f>
        <v/>
      </c>
      <c r="BS102" s="106">
        <f>IF(E102="","",IFERROR(E102*HSI!$B$97*HSI!$G$97/HSI!$B$3,""))</f>
        <v/>
      </c>
      <c r="BT102" s="106">
        <f>IF(F102="","",IFERROR(F102*HSI!$B$97*HSI!$G$97/HSI!$B$3,""))</f>
        <v/>
      </c>
      <c r="BU102" s="106">
        <f>IF(G102="","",IFERROR(G102*HSI!$B$97*HSI!$G$97/HSI!$B$3,""))</f>
        <v/>
      </c>
      <c r="BV102" s="106">
        <f>IF(H102="","",IFERROR(H102*HSI!$B$97*HSI!$G$97/HSI!$B$3,""))</f>
        <v/>
      </c>
      <c r="BW102" s="106">
        <f>IF(I102="","",IFERROR(I102*HSI!$B$97*HSI!$G$97/HSI!$B$3,""))</f>
        <v/>
      </c>
      <c r="BX102" s="106">
        <f>IF(J102="","",IFERROR(J102*HSI!$B$97*HSI!$G$97/HSI!$B$3,""))</f>
        <v/>
      </c>
      <c r="BY102" s="106">
        <f>IF(K102="","",IFERROR(K102*HSI!$B$97*HSI!$G$97/HSI!$B$3,""))</f>
        <v/>
      </c>
      <c r="BZ102" s="106">
        <f>IF(L102="","",IFERROR(L102*HSI!$B$97*HSI!$G$97/HSI!$B$3,""))</f>
        <v/>
      </c>
      <c r="CA102" s="106">
        <f>IF(M102="","",IFERROR(M102*HSI!$B$97*HSI!$G$97/HSI!$B$3,""))</f>
        <v/>
      </c>
      <c r="CB102" s="106">
        <f>IF(N102="","",IFERROR(N102*HSI!$B$97*HSI!$G$97/HSI!$B$3,""))</f>
        <v/>
      </c>
      <c r="CC102" s="106">
        <f>IF(O102="","",IFERROR(O102*HSI!$B$97*HSI!$G$97/HSI!$B$3,""))</f>
        <v/>
      </c>
      <c r="CD102" s="106">
        <f>IF(P102="","",IFERROR(P102*HSI!$B$97*HSI!$G$97/HSI!$B$3,""))</f>
        <v/>
      </c>
      <c r="CE102" s="106">
        <f>IF(Q102="","",IFERROR(Q102*HSI!$B$97*HSI!$G$97/HSI!$B$3,""))</f>
        <v/>
      </c>
      <c r="CF102" s="106">
        <f>IF(R102="","",IFERROR(R102*HSI!$B$97*HSI!$G$97/HSI!$B$3,""))</f>
        <v/>
      </c>
      <c r="CG102" s="106">
        <f>IF(S102="","",IFERROR(S102*HSI!$B$97*HSI!$G$97/HSI!$B$3,""))</f>
        <v/>
      </c>
      <c r="CH102" s="106">
        <f>IF(T102="","",IFERROR(T102*HSI!$B$97*HSI!$G$97/HSI!$B$3,""))</f>
        <v/>
      </c>
      <c r="CI102" s="106">
        <f>IF(U102="","",IFERROR(U102*HSI!$B$97*HSI!$G$97/HSI!$B$3,""))</f>
        <v/>
      </c>
      <c r="CJ102" s="106">
        <f>IF(V102="","",IFERROR(V102*HSI!$B$97*HSI!$G$97/HSI!$B$3,""))</f>
        <v/>
      </c>
      <c r="CK102" s="106">
        <f>IF(W102="","",IFERROR(W102*HSI!$B$97*HSI!$G$97/HSI!$B$3,""))</f>
        <v/>
      </c>
      <c r="CL102" s="106">
        <f>IF(X102="","",IFERROR(X102*HSI!$B$97*HSI!$G$97/HSI!$B$3,""))</f>
        <v/>
      </c>
      <c r="CM102" s="106">
        <f>IF(Y102="","",IFERROR(Y102*HSI!$B$97*HSI!$G$97/HSI!$B$3,""))</f>
        <v/>
      </c>
      <c r="CN102" s="106">
        <f>IF(Z102="","",IFERROR(Z102*HSI!$B$97*HSI!$G$97/HSI!$B$3,""))</f>
        <v/>
      </c>
      <c r="CO102" s="106">
        <f>IF(AA102="","",IFERROR(AA102*HSI!$B$97*HSI!$G$97/HSI!$B$3,""))</f>
        <v/>
      </c>
      <c r="CP102" s="106">
        <f>IF(AB102="","",IFERROR(AB102*HSI!$B$97*HSI!$G$97/HSI!$B$3,""))</f>
        <v/>
      </c>
      <c r="CQ102" s="106">
        <f>IF(AC102="","",IFERROR(AC102*HSI!$B$97*HSI!$G$97/HSI!$B$3,""))</f>
        <v/>
      </c>
      <c r="CR102" s="106">
        <f>IF(AD102="","",IFERROR(AD102*HSI!$B$97*HSI!$G$97/HSI!$B$3,""))</f>
        <v/>
      </c>
      <c r="CS102" s="106">
        <f>IF(AE102="","",IFERROR(AE102*HSI!$B$97*HSI!$G$97/HSI!$B$3,""))</f>
        <v/>
      </c>
      <c r="CT102" s="106">
        <f>IF(AF102="","",IFERROR(AF102*HSI!$B$97*HSI!$G$97/HSI!$B$3,""))</f>
        <v/>
      </c>
      <c r="CU102" s="106">
        <f>IF(AG102="","",IFERROR(AG102*HSI!$B$97*HSI!$G$97/HSI!$B$3,""))</f>
        <v/>
      </c>
      <c r="CV102" s="106">
        <f>IF(AH102="","",IFERROR(AH102*HSI!$B$97*HSI!$G$97/HSI!$B$3,""))</f>
        <v/>
      </c>
      <c r="CW102" s="106">
        <f>IF(AI102="","",IFERROR(AI102*HSI!$B$97*HSI!$G$97/HSI!$B$3,""))</f>
        <v/>
      </c>
      <c r="CX102" s="106">
        <f>IF(AJ102="","",IFERROR(AJ102*HSI!$B$97*HSI!$G$97/HSI!$B$3,""))</f>
        <v/>
      </c>
      <c r="CY102" s="106">
        <f>IF(AK102="","",IFERROR(AK102*HSI!$B$97*HSI!$G$97/HSI!$B$3,""))</f>
        <v/>
      </c>
      <c r="CZ102" s="106">
        <f>IF(AL102="","",IFERROR(AL102*HSI!$B$97*HSI!$G$97/HSI!$B$3,""))</f>
        <v/>
      </c>
      <c r="DA102" s="106">
        <f>IF(AM102="","",IFERROR(AM102*HSI!$B$97*HSI!$G$97/HSI!$B$3,""))</f>
        <v/>
      </c>
      <c r="DB102" s="106">
        <f>IF(AN102="","",IFERROR(AN102*HSI!$B$97*HSI!$G$97/HSI!$B$3,""))</f>
        <v/>
      </c>
      <c r="DC102" s="106">
        <f>IF(AO102="","",IFERROR(AO102*HSI!$B$97*HSI!$G$97/HSI!$B$3,""))</f>
        <v/>
      </c>
      <c r="DD102" s="106">
        <f>IF(AP102="","",IFERROR(AP102*HSI!$B$97*HSI!$G$97/HSI!$B$3,""))</f>
        <v/>
      </c>
      <c r="DE102" s="106">
        <f>IF(AQ102="","",IFERROR(AQ102*HSI!$B$97*HSI!$G$97/HSI!$B$3,""))</f>
        <v/>
      </c>
      <c r="DF102" s="106">
        <f>IF(AR102="","",IFERROR(AR102*HSI!$B$97*HSI!$G$97/HSI!$B$3,""))</f>
        <v/>
      </c>
      <c r="DG102" s="106">
        <f>IF(AS102="","",IFERROR(AS102*HSI!$B$97*HSI!$G$97/HSI!$B$3,""))</f>
        <v/>
      </c>
      <c r="DH102" s="106">
        <f>IF(AT102="","",IFERROR(AT102*HSI!$B$97*HSI!$G$97/HSI!$B$3,""))</f>
        <v/>
      </c>
      <c r="DI102" s="106">
        <f>IF(AU102="","",IFERROR(AU102*HSI!$B$97*HSI!$G$97/HSI!$B$3,""))</f>
        <v/>
      </c>
      <c r="DJ102" s="106">
        <f>IF(AV102="","",IFERROR(AV102*HSI!$B$97*HSI!$G$97/HSI!$B$3,""))</f>
        <v/>
      </c>
      <c r="DK102" s="106">
        <f>IF(AW102="","",IFERROR(AW102*HSI!$B$97*HSI!$G$97/HSI!$B$3,""))</f>
        <v/>
      </c>
      <c r="DL102" s="106">
        <f>IF(AX102="","",IFERROR(AX102*HSI!$B$97*HSI!$G$97/HSI!$B$3,""))</f>
        <v/>
      </c>
      <c r="DM102" s="106">
        <f>IF(AY102="","",IFERROR(AY102*HSI!$B$97*HSI!$G$97/HSI!$B$3,""))</f>
        <v/>
      </c>
      <c r="DN102" s="106">
        <f>IF(AZ102="","",IFERROR(AZ102*HSI!$B$97*HSI!$G$97/HSI!$B$3,""))</f>
        <v/>
      </c>
      <c r="DO102" s="106">
        <f>IF(BA102="","",IFERROR(BA102*HSI!$B$97*HSI!$G$97/HSI!$B$3,""))</f>
        <v/>
      </c>
      <c r="DP102" s="106">
        <f>IF(BB102="","",IFERROR(BB102*HSI!$B$97*HSI!$G$97/HSI!$B$3,""))</f>
        <v/>
      </c>
      <c r="DQ102" s="106">
        <f>IF(BC102="","",IFERROR(BC102*HSI!$B$97*HSI!$G$97/HSI!$B$3,""))</f>
        <v/>
      </c>
      <c r="DR102" s="106">
        <f>IF(BD102="","",IFERROR(BD102*HSI!$B$97*HSI!$G$97/HSI!$B$3,""))</f>
        <v/>
      </c>
      <c r="DS102" s="106">
        <f>IF(BE102="","",IFERROR(BE102*HSI!$B$97*HSI!$G$97/HSI!$B$3,""))</f>
        <v/>
      </c>
      <c r="DT102" s="106">
        <f>IF(BF102="","",IFERROR(BF102*HSI!$B$97*HSI!$G$97/HSI!$B$3,""))</f>
        <v/>
      </c>
      <c r="DU102" s="106">
        <f>IF(BG102="","",IFERROR(BG102*HSI!$B$97*HSI!$G$97/HSI!$B$3,""))</f>
        <v/>
      </c>
      <c r="DV102" s="106">
        <f>IF(BH102="","",IFERROR(BH102*HSI!$B$97*HSI!$G$97/HSI!$B$3,""))</f>
        <v/>
      </c>
      <c r="DW102" s="106">
        <f>IF(BI102="","",IFERROR(BI102*HSI!$B$97*HSI!$G$97/HSI!$B$3,""))</f>
        <v/>
      </c>
      <c r="DX102" s="106">
        <f>IF(BJ102="","",IFERROR(BJ102*HSI!$B$97*HSI!$G$97/HSI!$B$3,""))</f>
        <v/>
      </c>
      <c r="DY102" s="106">
        <f>IF(BK102="","",IFERROR(BK102*HSI!$B$97*HSI!$G$97/HSI!$B$3,""))</f>
        <v/>
      </c>
      <c r="DZ102" s="106">
        <f>IF(BL102="","",IFERROR(BL102*HSI!$B$97*HSI!$G$97/HSI!$B$3,""))</f>
        <v/>
      </c>
      <c r="EA102" s="106">
        <f>IF(BM102="","",IFERROR(BM102*HSI!$B$97*HSI!$G$97/HSI!$B$3,""))</f>
        <v/>
      </c>
      <c r="EB102" s="106">
        <f>IF(BN102="","",IFERROR(BN102*HSI!$B$97*HSI!$G$97/HSI!$B$3,""))</f>
        <v/>
      </c>
      <c r="EC102" s="106">
        <f>IF(BO102="","",IFERROR(BO102*HSI!$B$97*HSI!$G$97/HSI!$B$3,""))</f>
        <v/>
      </c>
      <c r="EE102" s="35">
        <f>IF(N('Dvd Calendar'!$E$1001)=0,"",IF(('Dvd Calendar'!$E$1001&gt;=GRID_FROM)*('Dvd Calendar'!$E$1001&lt;=GRID_TO)*('Dvd Calendar'!$E$1001&lt;=VAL_DATE)=0,"",'Dvd Calendar'!$E$1001*1000000000+ISNUMBER('Dvd Calendar'!$E$1004)*100000000+('Dvd Calendar'!$E$1006=SPECIAL_LBL)*10000000+0*1000000+91*1000+1))</f>
        <v/>
      </c>
      <c r="EF102" s="35">
        <f>IF(N('Dvd Calendar'!$F$1001)=0,"",IF(('Dvd Calendar'!$F$1001&gt;=GRID_FROM)*('Dvd Calendar'!$F$1001&lt;=GRID_TO)*('Dvd Calendar'!$F$1001&lt;=VAL_DATE)=0,"",'Dvd Calendar'!$F$1001*1000000000+ISNUMBER('Dvd Calendar'!$F$1004)*100000000+('Dvd Calendar'!$F$1006=SPECIAL_LBL)*10000000+0*1000000+91*1000+2))</f>
        <v/>
      </c>
      <c r="EG102" s="35">
        <f>IF(N('Dvd Calendar'!$G$1001)=0,"",IF(('Dvd Calendar'!$G$1001&gt;=GRID_FROM)*('Dvd Calendar'!$G$1001&lt;=GRID_TO)*('Dvd Calendar'!$G$1001&lt;=VAL_DATE)=0,"",'Dvd Calendar'!$G$1001*1000000000+ISNUMBER('Dvd Calendar'!$G$1004)*100000000+('Dvd Calendar'!$G$1006=SPECIAL_LBL)*10000000+0*1000000+91*1000+3))</f>
        <v/>
      </c>
      <c r="EH102" s="35">
        <f>IF(N('Dvd Calendar'!$H$1001)=0,"",IF(('Dvd Calendar'!$H$1001&gt;=GRID_FROM)*('Dvd Calendar'!$H$1001&lt;=GRID_TO)*('Dvd Calendar'!$H$1001&lt;=VAL_DATE)=0,"",'Dvd Calendar'!$H$1001*1000000000+ISNUMBER('Dvd Calendar'!$H$1004)*100000000+('Dvd Calendar'!$H$1006=SPECIAL_LBL)*10000000+0*1000000+91*1000+4))</f>
        <v/>
      </c>
      <c r="EI102" s="35">
        <f>IF(N('Dvd Calendar'!$I$1001)=0,"",IF(('Dvd Calendar'!$I$1001&gt;=GRID_FROM)*('Dvd Calendar'!$I$1001&lt;=GRID_TO)*('Dvd Calendar'!$I$1001&lt;=VAL_DATE)=0,"",'Dvd Calendar'!$I$1001*1000000000+ISNUMBER('Dvd Calendar'!$I$1004)*100000000+('Dvd Calendar'!$I$1006=SPECIAL_LBL)*10000000+0*1000000+91*1000+5))</f>
        <v/>
      </c>
      <c r="EJ102" s="35">
        <f>IF(N('Dvd Calendar'!$J$1001)=0,"",IF(('Dvd Calendar'!$J$1001&gt;=GRID_FROM)*('Dvd Calendar'!$J$1001&lt;=GRID_TO)*('Dvd Calendar'!$J$1001&lt;=VAL_DATE)=0,"",'Dvd Calendar'!$J$1001*1000000000+ISNUMBER('Dvd Calendar'!$J$1004)*100000000+('Dvd Calendar'!$J$1006=SPECIAL_LBL)*10000000+0*1000000+91*1000+6))</f>
        <v/>
      </c>
      <c r="EK102" s="35">
        <f>IF(N('Dvd Calendar'!$K$1001)=0,"",IF(('Dvd Calendar'!$K$1001&gt;=GRID_FROM)*('Dvd Calendar'!$K$1001&lt;=GRID_TO)*('Dvd Calendar'!$K$1001&lt;=VAL_DATE)=0,"",'Dvd Calendar'!$K$1001*1000000000+ISNUMBER('Dvd Calendar'!$K$1004)*100000000+('Dvd Calendar'!$K$1006=SPECIAL_LBL)*10000000+0*1000000+91*1000+7))</f>
        <v/>
      </c>
      <c r="EL102" s="35">
        <f>IF(N('Dvd Calendar'!$L$1001)=0,"",IF(('Dvd Calendar'!$L$1001&gt;=GRID_FROM)*('Dvd Calendar'!$L$1001&lt;=GRID_TO)*('Dvd Calendar'!$L$1001&lt;=VAL_DATE)=0,"",'Dvd Calendar'!$L$1001*1000000000+ISNUMBER('Dvd Calendar'!$L$1004)*100000000+('Dvd Calendar'!$L$1006=SPECIAL_LBL)*10000000+0*1000000+91*1000+8))</f>
        <v/>
      </c>
      <c r="EM102" s="35">
        <f>IF(N('Dvd Calendar'!$M$1001)=0,"",IF(('Dvd Calendar'!$M$1001&gt;=GRID_FROM)*('Dvd Calendar'!$M$1001&lt;=GRID_TO)*('Dvd Calendar'!$M$1001&lt;=VAL_DATE)=0,"",'Dvd Calendar'!$M$1001*1000000000+ISNUMBER('Dvd Calendar'!$M$1004)*100000000+('Dvd Calendar'!$M$1006=SPECIAL_LBL)*10000000+0*1000000+91*1000+9))</f>
        <v/>
      </c>
      <c r="EN102" s="35">
        <f>IF(N('Dvd Calendar'!$N$1001)=0,"",IF(('Dvd Calendar'!$N$1001&gt;=GRID_FROM)*('Dvd Calendar'!$N$1001&lt;=GRID_TO)*('Dvd Calendar'!$N$1001&lt;=VAL_DATE)=0,"",'Dvd Calendar'!$N$1001*1000000000+ISNUMBER('Dvd Calendar'!$N$1004)*100000000+('Dvd Calendar'!$N$1006=SPECIAL_LBL)*10000000+0*1000000+91*1000+10))</f>
        <v/>
      </c>
      <c r="EO102" s="35">
        <f>IF(N('Dvd Calendar'!$O$1001)=0,"",IF(('Dvd Calendar'!$O$1001&gt;=GRID_FROM)*('Dvd Calendar'!$O$1001&lt;=GRID_TO)*('Dvd Calendar'!$O$1001&lt;=VAL_DATE)=0,"",'Dvd Calendar'!$O$1001*1000000000+ISNUMBER('Dvd Calendar'!$O$1004)*100000000+('Dvd Calendar'!$O$1006=SPECIAL_LBL)*10000000+0*1000000+91*1000+11))</f>
        <v/>
      </c>
      <c r="EP102" s="35">
        <f>IF(N('Dvd Calendar'!$P$1001)=0,"",IF(('Dvd Calendar'!$P$1001&gt;=GRID_FROM)*('Dvd Calendar'!$P$1001&lt;=GRID_TO)*('Dvd Calendar'!$P$1001&lt;=VAL_DATE)=0,"",'Dvd Calendar'!$P$1001*1000000000+ISNUMBER('Dvd Calendar'!$P$1004)*100000000+('Dvd Calendar'!$P$1006=SPECIAL_LBL)*10000000+0*1000000+91*1000+12))</f>
        <v/>
      </c>
      <c r="EQ102" s="35">
        <f>IF(N('Dvd Calendar'!$Q$1001)=0,"",IF(('Dvd Calendar'!$Q$1001&gt;=GRID_FROM)*('Dvd Calendar'!$Q$1001&lt;=GRID_TO)*('Dvd Calendar'!$Q$1001&lt;=VAL_DATE)=0,"",'Dvd Calendar'!$Q$1001*1000000000+ISNUMBER('Dvd Calendar'!$Q$1004)*100000000+('Dvd Calendar'!$Q$1006=SPECIAL_LBL)*10000000+0*1000000+91*1000+13))</f>
        <v/>
      </c>
      <c r="ER102" s="35">
        <f>IF(N('Dvd Calendar'!$R$1001)=0,"",IF(('Dvd Calendar'!$R$1001&gt;=GRID_FROM)*('Dvd Calendar'!$R$1001&lt;=GRID_TO)*('Dvd Calendar'!$R$1001&lt;=VAL_DATE)=0,"",'Dvd Calendar'!$R$1001*1000000000+ISNUMBER('Dvd Calendar'!$R$1004)*100000000+('Dvd Calendar'!$R$1006=SPECIAL_LBL)*10000000+0*1000000+91*1000+14))</f>
        <v/>
      </c>
      <c r="ES102" s="35">
        <f>IF(N('Dvd Calendar'!$S$1001)=0,"",IF(('Dvd Calendar'!$S$1001&gt;=GRID_FROM)*('Dvd Calendar'!$S$1001&lt;=GRID_TO)*('Dvd Calendar'!$S$1001&lt;=VAL_DATE)=0,"",'Dvd Calendar'!$S$1001*1000000000+ISNUMBER('Dvd Calendar'!$S$1004)*100000000+('Dvd Calendar'!$S$1006=SPECIAL_LBL)*10000000+0*1000000+91*1000+15))</f>
        <v/>
      </c>
      <c r="ET102" s="35">
        <f>IF(N('Dvd Calendar'!$T$1001)=0,"",IF(('Dvd Calendar'!$T$1001&gt;=GRID_FROM)*('Dvd Calendar'!$T$1001&lt;=GRID_TO)*('Dvd Calendar'!$T$1001&lt;=VAL_DATE)=0,"",'Dvd Calendar'!$T$1001*1000000000+ISNUMBER('Dvd Calendar'!$T$1004)*100000000+('Dvd Calendar'!$T$1006=SPECIAL_LBL)*10000000+0*1000000+91*1000+16))</f>
        <v/>
      </c>
      <c r="EU102" s="35">
        <f>IF(N('Dvd Calendar'!$U$1001)=0,"",IF(('Dvd Calendar'!$U$1001&gt;=GRID_FROM)*('Dvd Calendar'!$U$1001&lt;=GRID_TO)*('Dvd Calendar'!$U$1001&lt;=VAL_DATE)=0,"",'Dvd Calendar'!$U$1001*1000000000+ISNUMBER('Dvd Calendar'!$U$1004)*100000000+('Dvd Calendar'!$U$1006=SPECIAL_LBL)*10000000+0*1000000+91*1000+17))</f>
        <v/>
      </c>
      <c r="EV102" s="35">
        <f>IF(N('Dvd Calendar'!$V$1001)=0,"",IF(('Dvd Calendar'!$V$1001&gt;=GRID_FROM)*('Dvd Calendar'!$V$1001&lt;=GRID_TO)*('Dvd Calendar'!$V$1001&lt;=VAL_DATE)=0,"",'Dvd Calendar'!$V$1001*1000000000+ISNUMBER('Dvd Calendar'!$V$1004)*100000000+('Dvd Calendar'!$V$1006=SPECIAL_LBL)*10000000+0*1000000+91*1000+18))</f>
        <v/>
      </c>
      <c r="EW102" s="35">
        <f>IF(N('Dvd Calendar'!$W$1001)=0,"",IF(('Dvd Calendar'!$W$1001&gt;=GRID_FROM)*('Dvd Calendar'!$W$1001&lt;=GRID_TO)*('Dvd Calendar'!$W$1001&lt;=VAL_DATE)=0,"",'Dvd Calendar'!$W$1001*1000000000+ISNUMBER('Dvd Calendar'!$W$1004)*100000000+('Dvd Calendar'!$W$1006=SPECIAL_LBL)*10000000+0*1000000+91*1000+19))</f>
        <v/>
      </c>
      <c r="EX102" s="35">
        <f>IF(N('Dvd Calendar'!$X$1001)=0,"",IF(('Dvd Calendar'!$X$1001&gt;=GRID_FROM)*('Dvd Calendar'!$X$1001&lt;=GRID_TO)*('Dvd Calendar'!$X$1001&lt;=VAL_DATE)=0,"",'Dvd Calendar'!$X$1001*1000000000+ISNUMBER('Dvd Calendar'!$X$1004)*100000000+('Dvd Calendar'!$X$1006=SPECIAL_LBL)*10000000+0*1000000+91*1000+20))</f>
        <v/>
      </c>
      <c r="EY102" s="35">
        <f>IF(N('Dvd Calendar'!$Y$1001)=0,"",IF(('Dvd Calendar'!$Y$1001&gt;=GRID_FROM)*('Dvd Calendar'!$Y$1001&lt;=GRID_TO)*('Dvd Calendar'!$Y$1001&lt;=VAL_DATE)=0,"",'Dvd Calendar'!$Y$1001*1000000000+ISNUMBER('Dvd Calendar'!$Y$1004)*100000000+('Dvd Calendar'!$Y$1006=SPECIAL_LBL)*10000000+0*1000000+91*1000+21))</f>
        <v/>
      </c>
      <c r="EZ102" s="35">
        <f>IF(N('Dvd Calendar'!$Z$1001)=0,"",IF(('Dvd Calendar'!$Z$1001&gt;=GRID_FROM)*('Dvd Calendar'!$Z$1001&lt;=GRID_TO)*('Dvd Calendar'!$Z$1001&lt;=VAL_DATE)=0,"",'Dvd Calendar'!$Z$1001*1000000000+ISNUMBER('Dvd Calendar'!$Z$1004)*100000000+('Dvd Calendar'!$Z$1006=SPECIAL_LBL)*10000000+0*1000000+91*1000+22))</f>
        <v/>
      </c>
      <c r="FA102" s="35">
        <f>IF(N('Dvd Calendar'!$AA$1001)=0,"",IF(('Dvd Calendar'!$AA$1001&gt;=GRID_FROM)*('Dvd Calendar'!$AA$1001&lt;=GRID_TO)*('Dvd Calendar'!$AA$1001&lt;=VAL_DATE)=0,"",'Dvd Calendar'!$AA$1001*1000000000+ISNUMBER('Dvd Calendar'!$AA$1004)*100000000+('Dvd Calendar'!$AA$1006=SPECIAL_LBL)*10000000+0*1000000+91*1000+23))</f>
        <v/>
      </c>
      <c r="FB102" s="35">
        <f>IF(N('Dvd Calendar'!$AB$1001)=0,"",IF(('Dvd Calendar'!$AB$1001&gt;=GRID_FROM)*('Dvd Calendar'!$AB$1001&lt;=GRID_TO)*('Dvd Calendar'!$AB$1001&lt;=VAL_DATE)=0,"",'Dvd Calendar'!$AB$1001*1000000000+ISNUMBER('Dvd Calendar'!$AB$1004)*100000000+('Dvd Calendar'!$AB$1006=SPECIAL_LBL)*10000000+0*1000000+91*1000+24))</f>
        <v/>
      </c>
      <c r="FC102" s="35">
        <f>IF(N('Dvd Calendar'!$AC$1001)=0,"",IF(('Dvd Calendar'!$AC$1001&gt;=GRID_FROM)*('Dvd Calendar'!$AC$1001&lt;=GRID_TO)*('Dvd Calendar'!$AC$1001&lt;=VAL_DATE)=0,"",'Dvd Calendar'!$AC$1001*1000000000+ISNUMBER('Dvd Calendar'!$AC$1004)*100000000+('Dvd Calendar'!$AC$1006=SPECIAL_LBL)*10000000+0*1000000+91*1000+25))</f>
        <v/>
      </c>
      <c r="FD102" s="35">
        <f>IF(N('Dvd Calendar'!$AD$1001)=0,"",IF(('Dvd Calendar'!$AD$1001&gt;=GRID_FROM)*('Dvd Calendar'!$AD$1001&lt;=GRID_TO)*('Dvd Calendar'!$AD$1001&lt;=VAL_DATE)=0,"",'Dvd Calendar'!$AD$1001*1000000000+ISNUMBER('Dvd Calendar'!$AD$1004)*100000000+('Dvd Calendar'!$AD$1006=SPECIAL_LBL)*10000000+0*1000000+91*1000+26))</f>
        <v/>
      </c>
      <c r="FE102" s="35">
        <f>IF(N('Dvd Calendar'!$AE$1001)=0,"",IF(('Dvd Calendar'!$AE$1001&gt;=GRID_FROM)*('Dvd Calendar'!$AE$1001&lt;=GRID_TO)*('Dvd Calendar'!$AE$1001&lt;=VAL_DATE)=0,"",'Dvd Calendar'!$AE$1001*1000000000+ISNUMBER('Dvd Calendar'!$AE$1004)*100000000+('Dvd Calendar'!$AE$1006=SPECIAL_LBL)*10000000+0*1000000+91*1000+27))</f>
        <v/>
      </c>
      <c r="FF102" s="35">
        <f>IF(N('Dvd Calendar'!$AF$1001)=0,"",IF(('Dvd Calendar'!$AF$1001&gt;=GRID_FROM)*('Dvd Calendar'!$AF$1001&lt;=GRID_TO)*('Dvd Calendar'!$AF$1001&lt;=VAL_DATE)=0,"",'Dvd Calendar'!$AF$1001*1000000000+ISNUMBER('Dvd Calendar'!$AF$1004)*100000000+('Dvd Calendar'!$AF$1006=SPECIAL_LBL)*10000000+0*1000000+91*1000+28))</f>
        <v/>
      </c>
      <c r="FG102" s="35">
        <f>IF(N('Dvd Calendar'!$AG$1001)=0,"",IF(('Dvd Calendar'!$AG$1001&gt;=GRID_FROM)*('Dvd Calendar'!$AG$1001&lt;=GRID_TO)*('Dvd Calendar'!$AG$1001&lt;=VAL_DATE)=0,"",'Dvd Calendar'!$AG$1001*1000000000+ISNUMBER('Dvd Calendar'!$AG$1004)*100000000+('Dvd Calendar'!$AG$1006=SPECIAL_LBL)*10000000+0*1000000+91*1000+29))</f>
        <v/>
      </c>
      <c r="FH102" s="35">
        <f>IF(N('Dvd Calendar'!$AH$1001)=0,"",IF(('Dvd Calendar'!$AH$1001&gt;=GRID_FROM)*('Dvd Calendar'!$AH$1001&lt;=GRID_TO)*('Dvd Calendar'!$AH$1001&lt;=VAL_DATE)=0,"",'Dvd Calendar'!$AH$1001*1000000000+ISNUMBER('Dvd Calendar'!$AH$1004)*100000000+('Dvd Calendar'!$AH$1006=SPECIAL_LBL)*10000000+0*1000000+91*1000+30))</f>
        <v/>
      </c>
      <c r="FI102" s="35">
        <f>IF(N('Dvd Calendar'!$AI$1001)=0,"",IF(('Dvd Calendar'!$AI$1001&gt;=GRID_FROM)*('Dvd Calendar'!$AI$1001&lt;=GRID_TO)*('Dvd Calendar'!$AI$1001&lt;=VAL_DATE)=0,"",'Dvd Calendar'!$AI$1001*1000000000+ISNUMBER('Dvd Calendar'!$AI$1004)*100000000+('Dvd Calendar'!$AI$1006=SPECIAL_LBL)*10000000+0*1000000+91*1000+31))</f>
        <v/>
      </c>
      <c r="FJ102" s="35">
        <f>IF(N('Dvd Calendar'!$AJ$1001)=0,"",IF(('Dvd Calendar'!$AJ$1001&gt;=GRID_FROM)*('Dvd Calendar'!$AJ$1001&lt;=GRID_TO)*('Dvd Calendar'!$AJ$1001&lt;=VAL_DATE)=0,"",'Dvd Calendar'!$AJ$1001*1000000000+ISNUMBER('Dvd Calendar'!$AJ$1004)*100000000+('Dvd Calendar'!$AJ$1006=SPECIAL_LBL)*10000000+0*1000000+91*1000+32))</f>
        <v/>
      </c>
      <c r="FK102" s="35">
        <f>IF(N('Dvd Calendar'!$AK$1001)=0,"",IF(('Dvd Calendar'!$AK$1001&gt;=GRID_FROM)*('Dvd Calendar'!$AK$1001&lt;=GRID_TO)*('Dvd Calendar'!$AK$1001&lt;=VAL_DATE)=0,"",'Dvd Calendar'!$AK$1001*1000000000+ISNUMBER('Dvd Calendar'!$AK$1004)*100000000+('Dvd Calendar'!$AK$1006=SPECIAL_LBL)*10000000+0*1000000+91*1000+33))</f>
        <v/>
      </c>
      <c r="FL102" s="35">
        <f>IF(N('Dvd Calendar'!$AL$1001)=0,"",IF(('Dvd Calendar'!$AL$1001&gt;=GRID_FROM)*('Dvd Calendar'!$AL$1001&lt;=GRID_TO)*('Dvd Calendar'!$AL$1001&lt;=VAL_DATE)=0,"",'Dvd Calendar'!$AL$1001*1000000000+ISNUMBER('Dvd Calendar'!$AL$1004)*100000000+('Dvd Calendar'!$AL$1006=SPECIAL_LBL)*10000000+0*1000000+91*1000+34))</f>
        <v/>
      </c>
      <c r="FM102" s="35">
        <f>IF(N('Dvd Calendar'!$AM$1001)=0,"",IF(('Dvd Calendar'!$AM$1001&gt;=GRID_FROM)*('Dvd Calendar'!$AM$1001&lt;=GRID_TO)*('Dvd Calendar'!$AM$1001&lt;=VAL_DATE)=0,"",'Dvd Calendar'!$AM$1001*1000000000+ISNUMBER('Dvd Calendar'!$AM$1004)*100000000+('Dvd Calendar'!$AM$1006=SPECIAL_LBL)*10000000+0*1000000+91*1000+35))</f>
        <v/>
      </c>
      <c r="FN102" s="35">
        <f>IF(N('Dvd Calendar'!$AN$1001)=0,"",IF(('Dvd Calendar'!$AN$1001&gt;=GRID_FROM)*('Dvd Calendar'!$AN$1001&lt;=GRID_TO)*('Dvd Calendar'!$AN$1001&lt;=VAL_DATE)=0,"",'Dvd Calendar'!$AN$1001*1000000000+ISNUMBER('Dvd Calendar'!$AN$1004)*100000000+('Dvd Calendar'!$AN$1006=SPECIAL_LBL)*10000000+0*1000000+91*1000+36))</f>
        <v/>
      </c>
      <c r="FO102" s="35">
        <f>IF(N('Dvd Calendar'!$AO$1001)=0,"",IF(('Dvd Calendar'!$AO$1001&gt;=GRID_FROM)*('Dvd Calendar'!$AO$1001&lt;=GRID_TO)*('Dvd Calendar'!$AO$1001&lt;=VAL_DATE)=0,"",'Dvd Calendar'!$AO$1001*1000000000+ISNUMBER('Dvd Calendar'!$AO$1004)*100000000+('Dvd Calendar'!$AO$1006=SPECIAL_LBL)*10000000+0*1000000+91*1000+37))</f>
        <v/>
      </c>
      <c r="FP102" s="35">
        <f>IF(N('Dvd Calendar'!$AP$1001)=0,"",IF(('Dvd Calendar'!$AP$1001&gt;=GRID_FROM)*('Dvd Calendar'!$AP$1001&lt;=GRID_TO)*('Dvd Calendar'!$AP$1001&lt;=VAL_DATE)=0,"",'Dvd Calendar'!$AP$1001*1000000000+ISNUMBER('Dvd Calendar'!$AP$1004)*100000000+('Dvd Calendar'!$AP$1006=SPECIAL_LBL)*10000000+0*1000000+91*1000+38))</f>
        <v/>
      </c>
      <c r="FQ102" s="35">
        <f>IF(N('Dvd Calendar'!$AQ$1001)=0,"",IF(('Dvd Calendar'!$AQ$1001&gt;=GRID_FROM)*('Dvd Calendar'!$AQ$1001&lt;=GRID_TO)*('Dvd Calendar'!$AQ$1001&lt;=VAL_DATE)=0,"",'Dvd Calendar'!$AQ$1001*1000000000+ISNUMBER('Dvd Calendar'!$AQ$1004)*100000000+('Dvd Calendar'!$AQ$1006=SPECIAL_LBL)*10000000+0*1000000+91*1000+39))</f>
        <v/>
      </c>
      <c r="FR102" s="35">
        <f>IF(N('Dvd Calendar'!$AR$1001)=0,"",IF(('Dvd Calendar'!$AR$1001&gt;=GRID_FROM)*('Dvd Calendar'!$AR$1001&lt;=GRID_TO)*('Dvd Calendar'!$AR$1001&lt;=VAL_DATE)=0,"",'Dvd Calendar'!$AR$1001*1000000000+ISNUMBER('Dvd Calendar'!$AR$1004)*100000000+('Dvd Calendar'!$AR$1006=SPECIAL_LBL)*10000000+0*1000000+91*1000+40))</f>
        <v/>
      </c>
      <c r="FS102" s="35">
        <f>IF(N('Dvd Calendar'!$E$1008)=0,"",IF(('Dvd Calendar'!$E$1008&gt;=GRID_FROM)*('Dvd Calendar'!$E$1008&lt;=GRID_TO)*('Dvd Calendar'!$E$1008&gt;VAL_DATE)=0,"",'Dvd Calendar'!$E$1008*1000000000+ISNUMBER('Dvd Calendar'!$E$1009)*100000000+0*10000000+(N('Dvd Calendar'!$E$1007)&gt;0)*(N('Dvd Calendar'!$E$1007)&lt;=VAL_SERIAL)*1000000+91*1000+41))</f>
        <v/>
      </c>
      <c r="FT102" s="35">
        <f>IF(N('Dvd Calendar'!$F$1008)=0,"",IF(('Dvd Calendar'!$F$1008&gt;=GRID_FROM)*('Dvd Calendar'!$F$1008&lt;=GRID_TO)*('Dvd Calendar'!$F$1008&gt;VAL_DATE)=0,"",'Dvd Calendar'!$F$1008*1000000000+ISNUMBER('Dvd Calendar'!$F$1009)*100000000+0*10000000+(N('Dvd Calendar'!$F$1007)&gt;0)*(N('Dvd Calendar'!$F$1007)&lt;=VAL_SERIAL)*1000000+91*1000+42))</f>
        <v/>
      </c>
      <c r="FU102" s="35">
        <f>IF(N('Dvd Calendar'!$G$1008)=0,"",IF(('Dvd Calendar'!$G$1008&gt;=GRID_FROM)*('Dvd Calendar'!$G$1008&lt;=GRID_TO)*('Dvd Calendar'!$G$1008&gt;VAL_DATE)=0,"",'Dvd Calendar'!$G$1008*1000000000+ISNUMBER('Dvd Calendar'!$G$1009)*100000000+0*10000000+(N('Dvd Calendar'!$G$1007)&gt;0)*(N('Dvd Calendar'!$G$1007)&lt;=VAL_SERIAL)*1000000+91*1000+43))</f>
        <v/>
      </c>
      <c r="FV102" s="35">
        <f>IF(N('Dvd Calendar'!$H$1008)=0,"",IF(('Dvd Calendar'!$H$1008&gt;=GRID_FROM)*('Dvd Calendar'!$H$1008&lt;=GRID_TO)*('Dvd Calendar'!$H$1008&gt;VAL_DATE)=0,"",'Dvd Calendar'!$H$1008*1000000000+ISNUMBER('Dvd Calendar'!$H$1009)*100000000+0*10000000+(N('Dvd Calendar'!$H$1007)&gt;0)*(N('Dvd Calendar'!$H$1007)&lt;=VAL_SERIAL)*1000000+91*1000+44))</f>
        <v/>
      </c>
      <c r="FW102" s="35">
        <f>IF(N('Dvd Calendar'!$I$1008)=0,"",IF(('Dvd Calendar'!$I$1008&gt;=GRID_FROM)*('Dvd Calendar'!$I$1008&lt;=GRID_TO)*('Dvd Calendar'!$I$1008&gt;VAL_DATE)=0,"",'Dvd Calendar'!$I$1008*1000000000+ISNUMBER('Dvd Calendar'!$I$1009)*100000000+0*10000000+(N('Dvd Calendar'!$I$1007)&gt;0)*(N('Dvd Calendar'!$I$1007)&lt;=VAL_SERIAL)*1000000+91*1000+45))</f>
        <v/>
      </c>
      <c r="FX102" s="35">
        <f>IF(N('Dvd Calendar'!$J$1008)=0,"",IF(('Dvd Calendar'!$J$1008&gt;=GRID_FROM)*('Dvd Calendar'!$J$1008&lt;=GRID_TO)*('Dvd Calendar'!$J$1008&gt;VAL_DATE)=0,"",'Dvd Calendar'!$J$1008*1000000000+ISNUMBER('Dvd Calendar'!$J$1009)*100000000+0*10000000+(N('Dvd Calendar'!$J$1007)&gt;0)*(N('Dvd Calendar'!$J$1007)&lt;=VAL_SERIAL)*1000000+91*1000+46))</f>
        <v/>
      </c>
      <c r="FY102" s="35">
        <f>IF(N('Dvd Calendar'!$K$1008)=0,"",IF(('Dvd Calendar'!$K$1008&gt;=GRID_FROM)*('Dvd Calendar'!$K$1008&lt;=GRID_TO)*('Dvd Calendar'!$K$1008&gt;VAL_DATE)=0,"",'Dvd Calendar'!$K$1008*1000000000+ISNUMBER('Dvd Calendar'!$K$1009)*100000000+0*10000000+(N('Dvd Calendar'!$K$1007)&gt;0)*(N('Dvd Calendar'!$K$1007)&lt;=VAL_SERIAL)*1000000+91*1000+47))</f>
        <v/>
      </c>
      <c r="FZ102" s="35">
        <f>IF(N('Dvd Calendar'!$L$1008)=0,"",IF(('Dvd Calendar'!$L$1008&gt;=GRID_FROM)*('Dvd Calendar'!$L$1008&lt;=GRID_TO)*('Dvd Calendar'!$L$1008&gt;VAL_DATE)=0,"",'Dvd Calendar'!$L$1008*1000000000+ISNUMBER('Dvd Calendar'!$L$1009)*100000000+0*10000000+(N('Dvd Calendar'!$L$1007)&gt;0)*(N('Dvd Calendar'!$L$1007)&lt;=VAL_SERIAL)*1000000+91*1000+48))</f>
        <v/>
      </c>
      <c r="GA102" s="35">
        <f>IF(N('Dvd Calendar'!$M$1008)=0,"",IF(('Dvd Calendar'!$M$1008&gt;=GRID_FROM)*('Dvd Calendar'!$M$1008&lt;=GRID_TO)*('Dvd Calendar'!$M$1008&gt;VAL_DATE)=0,"",'Dvd Calendar'!$M$1008*1000000000+ISNUMBER('Dvd Calendar'!$M$1009)*100000000+0*10000000+(N('Dvd Calendar'!$M$1007)&gt;0)*(N('Dvd Calendar'!$M$1007)&lt;=VAL_SERIAL)*1000000+91*1000+49))</f>
        <v/>
      </c>
      <c r="GB102" s="35">
        <f>IF(N('Dvd Calendar'!$N$1008)=0,"",IF(('Dvd Calendar'!$N$1008&gt;=GRID_FROM)*('Dvd Calendar'!$N$1008&lt;=GRID_TO)*('Dvd Calendar'!$N$1008&gt;VAL_DATE)=0,"",'Dvd Calendar'!$N$1008*1000000000+ISNUMBER('Dvd Calendar'!$N$1009)*100000000+0*10000000+(N('Dvd Calendar'!$N$1007)&gt;0)*(N('Dvd Calendar'!$N$1007)&lt;=VAL_SERIAL)*1000000+91*1000+50))</f>
        <v/>
      </c>
      <c r="GC102" s="35">
        <f>IF(N('Dvd Calendar'!$O$1008)=0,"",IF(('Dvd Calendar'!$O$1008&gt;=GRID_FROM)*('Dvd Calendar'!$O$1008&lt;=GRID_TO)*('Dvd Calendar'!$O$1008&gt;VAL_DATE)=0,"",'Dvd Calendar'!$O$1008*1000000000+ISNUMBER('Dvd Calendar'!$O$1009)*100000000+0*10000000+(N('Dvd Calendar'!$O$1007)&gt;0)*(N('Dvd Calendar'!$O$1007)&lt;=VAL_SERIAL)*1000000+91*1000+51))</f>
        <v/>
      </c>
      <c r="GD102" s="35">
        <f>IF(N('Dvd Calendar'!$P$1008)=0,"",IF(('Dvd Calendar'!$P$1008&gt;=GRID_FROM)*('Dvd Calendar'!$P$1008&lt;=GRID_TO)*('Dvd Calendar'!$P$1008&gt;VAL_DATE)=0,"",'Dvd Calendar'!$P$1008*1000000000+ISNUMBER('Dvd Calendar'!$P$1009)*100000000+0*10000000+(N('Dvd Calendar'!$P$1007)&gt;0)*(N('Dvd Calendar'!$P$1007)&lt;=VAL_SERIAL)*1000000+91*1000+52))</f>
        <v/>
      </c>
      <c r="GE102" s="35">
        <f>IF(N('Dvd Calendar'!$Q$1008)=0,"",IF(('Dvd Calendar'!$Q$1008&gt;=GRID_FROM)*('Dvd Calendar'!$Q$1008&lt;=GRID_TO)*('Dvd Calendar'!$Q$1008&gt;VAL_DATE)=0,"",'Dvd Calendar'!$Q$1008*1000000000+ISNUMBER('Dvd Calendar'!$Q$1009)*100000000+0*10000000+(N('Dvd Calendar'!$Q$1007)&gt;0)*(N('Dvd Calendar'!$Q$1007)&lt;=VAL_SERIAL)*1000000+91*1000+53))</f>
        <v/>
      </c>
      <c r="GF102" s="35">
        <f>IF(N('Dvd Calendar'!$R$1008)=0,"",IF(('Dvd Calendar'!$R$1008&gt;=GRID_FROM)*('Dvd Calendar'!$R$1008&lt;=GRID_TO)*('Dvd Calendar'!$R$1008&gt;VAL_DATE)=0,"",'Dvd Calendar'!$R$1008*1000000000+ISNUMBER('Dvd Calendar'!$R$1009)*100000000+0*10000000+(N('Dvd Calendar'!$R$1007)&gt;0)*(N('Dvd Calendar'!$R$1007)&lt;=VAL_SERIAL)*1000000+91*1000+54))</f>
        <v/>
      </c>
      <c r="GG102" s="35">
        <f>IF(N('Dvd Calendar'!$S$1008)=0,"",IF(('Dvd Calendar'!$S$1008&gt;=GRID_FROM)*('Dvd Calendar'!$S$1008&lt;=GRID_TO)*('Dvd Calendar'!$S$1008&gt;VAL_DATE)=0,"",'Dvd Calendar'!$S$1008*1000000000+ISNUMBER('Dvd Calendar'!$S$1009)*100000000+0*10000000+(N('Dvd Calendar'!$S$1007)&gt;0)*(N('Dvd Calendar'!$S$1007)&lt;=VAL_SERIAL)*1000000+91*1000+55))</f>
        <v/>
      </c>
      <c r="GH102" s="35">
        <f>IF(N('Dvd Calendar'!$T$1008)=0,"",IF(('Dvd Calendar'!$T$1008&gt;=GRID_FROM)*('Dvd Calendar'!$T$1008&lt;=GRID_TO)*('Dvd Calendar'!$T$1008&gt;VAL_DATE)=0,"",'Dvd Calendar'!$T$1008*1000000000+ISNUMBER('Dvd Calendar'!$T$1009)*100000000+0*10000000+(N('Dvd Calendar'!$T$1007)&gt;0)*(N('Dvd Calendar'!$T$1007)&lt;=VAL_SERIAL)*1000000+91*1000+56))</f>
        <v/>
      </c>
      <c r="GI102" s="35">
        <f>IF(N('Dvd Calendar'!$U$1008)=0,"",IF(('Dvd Calendar'!$U$1008&gt;=GRID_FROM)*('Dvd Calendar'!$U$1008&lt;=GRID_TO)*('Dvd Calendar'!$U$1008&gt;VAL_DATE)=0,"",'Dvd Calendar'!$U$1008*1000000000+ISNUMBER('Dvd Calendar'!$U$1009)*100000000+0*10000000+(N('Dvd Calendar'!$U$1007)&gt;0)*(N('Dvd Calendar'!$U$1007)&lt;=VAL_SERIAL)*1000000+91*1000+57))</f>
        <v/>
      </c>
      <c r="GJ102" s="35">
        <f>IF(N('Dvd Calendar'!$V$1008)=0,"",IF(('Dvd Calendar'!$V$1008&gt;=GRID_FROM)*('Dvd Calendar'!$V$1008&lt;=GRID_TO)*('Dvd Calendar'!$V$1008&gt;VAL_DATE)=0,"",'Dvd Calendar'!$V$1008*1000000000+ISNUMBER('Dvd Calendar'!$V$1009)*100000000+0*10000000+(N('Dvd Calendar'!$V$1007)&gt;0)*(N('Dvd Calendar'!$V$1007)&lt;=VAL_SERIAL)*1000000+91*1000+58))</f>
        <v/>
      </c>
      <c r="GK102" s="35">
        <f>IF(N('Dvd Calendar'!$W$1008)=0,"",IF(('Dvd Calendar'!$W$1008&gt;=GRID_FROM)*('Dvd Calendar'!$W$1008&lt;=GRID_TO)*('Dvd Calendar'!$W$1008&gt;VAL_DATE)=0,"",'Dvd Calendar'!$W$1008*1000000000+ISNUMBER('Dvd Calendar'!$W$1009)*100000000+0*10000000+(N('Dvd Calendar'!$W$1007)&gt;0)*(N('Dvd Calendar'!$W$1007)&lt;=VAL_SERIAL)*1000000+91*1000+59))</f>
        <v/>
      </c>
      <c r="GL102" s="35">
        <f>IF(N('Dvd Calendar'!$X$1008)=0,"",IF(('Dvd Calendar'!$X$1008&gt;=GRID_FROM)*('Dvd Calendar'!$X$1008&lt;=GRID_TO)*('Dvd Calendar'!$X$1008&gt;VAL_DATE)=0,"",'Dvd Calendar'!$X$1008*1000000000+ISNUMBER('Dvd Calendar'!$X$1009)*100000000+0*10000000+(N('Dvd Calendar'!$X$1007)&gt;0)*(N('Dvd Calendar'!$X$1007)&lt;=VAL_SERIAL)*1000000+91*1000+60))</f>
        <v/>
      </c>
      <c r="GM102" s="35">
        <f>IF(N('Dvd Calendar'!$Y$1008)=0,"",IF(('Dvd Calendar'!$Y$1008&gt;=GRID_FROM)*('Dvd Calendar'!$Y$1008&lt;=GRID_TO)*('Dvd Calendar'!$Y$1008&gt;VAL_DATE)=0,"",'Dvd Calendar'!$Y$1008*1000000000+ISNUMBER('Dvd Calendar'!$Y$1009)*100000000+0*10000000+(N('Dvd Calendar'!$Y$1007)&gt;0)*(N('Dvd Calendar'!$Y$1007)&lt;=VAL_SERIAL)*1000000+91*1000+61))</f>
        <v/>
      </c>
      <c r="GN102" s="35">
        <f>IF(N('Dvd Calendar'!$Z$1008)=0,"",IF(('Dvd Calendar'!$Z$1008&gt;=GRID_FROM)*('Dvd Calendar'!$Z$1008&lt;=GRID_TO)*('Dvd Calendar'!$Z$1008&gt;VAL_DATE)=0,"",'Dvd Calendar'!$Z$1008*1000000000+ISNUMBER('Dvd Calendar'!$Z$1009)*100000000+0*10000000+(N('Dvd Calendar'!$Z$1007)&gt;0)*(N('Dvd Calendar'!$Z$1007)&lt;=VAL_SERIAL)*1000000+91*1000+62))</f>
        <v/>
      </c>
      <c r="GO102" s="35">
        <f>IF(N('Dvd Calendar'!$AA$1008)=0,"",IF(('Dvd Calendar'!$AA$1008&gt;=GRID_FROM)*('Dvd Calendar'!$AA$1008&lt;=GRID_TO)*('Dvd Calendar'!$AA$1008&gt;VAL_DATE)=0,"",'Dvd Calendar'!$AA$1008*1000000000+ISNUMBER('Dvd Calendar'!$AA$1009)*100000000+0*10000000+(N('Dvd Calendar'!$AA$1007)&gt;0)*(N('Dvd Calendar'!$AA$1007)&lt;=VAL_SERIAL)*1000000+91*1000+63))</f>
        <v/>
      </c>
      <c r="GP102" s="35">
        <f>IF(N('Dvd Calendar'!$AB$1008)=0,"",IF(('Dvd Calendar'!$AB$1008&gt;=GRID_FROM)*('Dvd Calendar'!$AB$1008&lt;=GRID_TO)*('Dvd Calendar'!$AB$1008&gt;VAL_DATE)=0,"",'Dvd Calendar'!$AB$1008*1000000000+ISNUMBER('Dvd Calendar'!$AB$1009)*100000000+0*10000000+(N('Dvd Calendar'!$AB$1007)&gt;0)*(N('Dvd Calendar'!$AB$1007)&lt;=VAL_SERIAL)*1000000+91*1000+64))</f>
        <v/>
      </c>
      <c r="GQ102" s="35">
        <f>IF(N('Dvd Calendar'!$AC$1008)=0,"",IF(('Dvd Calendar'!$AC$1008&gt;=GRID_FROM)*('Dvd Calendar'!$AC$1008&lt;=GRID_TO)*('Dvd Calendar'!$AC$1008&gt;VAL_DATE)=0,"",'Dvd Calendar'!$AC$1008*1000000000+ISNUMBER('Dvd Calendar'!$AC$1009)*100000000+0*10000000+(N('Dvd Calendar'!$AC$1007)&gt;0)*(N('Dvd Calendar'!$AC$1007)&lt;=VAL_SERIAL)*1000000+91*1000+65))</f>
        <v/>
      </c>
    </row>
    <row r="103">
      <c r="B103" s="2">
        <f>IF(HSI!$C$98="","",HSI!$C$98)</f>
        <v/>
      </c>
      <c r="C103" s="106">
        <f>IF(EE103="","",IF(ISNUMBER('Dvd Calendar'!$E$1015)=FALSE,"",IF((('Dvd Calendar'!$E$1017=TYPE1)*(TYPE1&lt;&gt;"")+('Dvd Calendar'!$E$1017=TYPE2)*(TYPE2&lt;&gt;"")+('Dvd Calendar'!$E$1017=TYPE3)*(TYPE3&lt;&gt;"")+('Dvd Calendar'!$E$1017=TYPE4)*(TYPE4&lt;&gt;"")+('Dvd Calendar'!$E$1017=SPECIAL_LBL)*(INC_SPECIALS="Y"))=0,"",'Dvd Calendar'!$E$1015)))</f>
        <v/>
      </c>
      <c r="D103" s="106">
        <f>IF(EF103="","",IF(ISNUMBER('Dvd Calendar'!$F$1015)=FALSE,"",IF((('Dvd Calendar'!$F$1017=TYPE1)*(TYPE1&lt;&gt;"")+('Dvd Calendar'!$F$1017=TYPE2)*(TYPE2&lt;&gt;"")+('Dvd Calendar'!$F$1017=TYPE3)*(TYPE3&lt;&gt;"")+('Dvd Calendar'!$F$1017=TYPE4)*(TYPE4&lt;&gt;"")+('Dvd Calendar'!$F$1017=SPECIAL_LBL)*(INC_SPECIALS="Y"))=0,"",'Dvd Calendar'!$F$1015)))</f>
        <v/>
      </c>
      <c r="E103" s="106">
        <f>IF(EG103="","",IF(ISNUMBER('Dvd Calendar'!$G$1015)=FALSE,"",IF((('Dvd Calendar'!$G$1017=TYPE1)*(TYPE1&lt;&gt;"")+('Dvd Calendar'!$G$1017=TYPE2)*(TYPE2&lt;&gt;"")+('Dvd Calendar'!$G$1017=TYPE3)*(TYPE3&lt;&gt;"")+('Dvd Calendar'!$G$1017=TYPE4)*(TYPE4&lt;&gt;"")+('Dvd Calendar'!$G$1017=SPECIAL_LBL)*(INC_SPECIALS="Y"))=0,"",'Dvd Calendar'!$G$1015)))</f>
        <v/>
      </c>
      <c r="F103" s="106">
        <f>IF(EH103="","",IF(ISNUMBER('Dvd Calendar'!$H$1015)=FALSE,"",IF((('Dvd Calendar'!$H$1017=TYPE1)*(TYPE1&lt;&gt;"")+('Dvd Calendar'!$H$1017=TYPE2)*(TYPE2&lt;&gt;"")+('Dvd Calendar'!$H$1017=TYPE3)*(TYPE3&lt;&gt;"")+('Dvd Calendar'!$H$1017=TYPE4)*(TYPE4&lt;&gt;"")+('Dvd Calendar'!$H$1017=SPECIAL_LBL)*(INC_SPECIALS="Y"))=0,"",'Dvd Calendar'!$H$1015)))</f>
        <v/>
      </c>
      <c r="G103" s="106">
        <f>IF(EI103="","",IF(ISNUMBER('Dvd Calendar'!$I$1015)=FALSE,"",IF((('Dvd Calendar'!$I$1017=TYPE1)*(TYPE1&lt;&gt;"")+('Dvd Calendar'!$I$1017=TYPE2)*(TYPE2&lt;&gt;"")+('Dvd Calendar'!$I$1017=TYPE3)*(TYPE3&lt;&gt;"")+('Dvd Calendar'!$I$1017=TYPE4)*(TYPE4&lt;&gt;"")+('Dvd Calendar'!$I$1017=SPECIAL_LBL)*(INC_SPECIALS="Y"))=0,"",'Dvd Calendar'!$I$1015)))</f>
        <v/>
      </c>
      <c r="H103" s="106">
        <f>IF(EJ103="","",IF(ISNUMBER('Dvd Calendar'!$J$1015)=FALSE,"",IF((('Dvd Calendar'!$J$1017=TYPE1)*(TYPE1&lt;&gt;"")+('Dvd Calendar'!$J$1017=TYPE2)*(TYPE2&lt;&gt;"")+('Dvd Calendar'!$J$1017=TYPE3)*(TYPE3&lt;&gt;"")+('Dvd Calendar'!$J$1017=TYPE4)*(TYPE4&lt;&gt;"")+('Dvd Calendar'!$J$1017=SPECIAL_LBL)*(INC_SPECIALS="Y"))=0,"",'Dvd Calendar'!$J$1015)))</f>
        <v/>
      </c>
      <c r="I103" s="106">
        <f>IF(EK103="","",IF(ISNUMBER('Dvd Calendar'!$K$1015)=FALSE,"",IF((('Dvd Calendar'!$K$1017=TYPE1)*(TYPE1&lt;&gt;"")+('Dvd Calendar'!$K$1017=TYPE2)*(TYPE2&lt;&gt;"")+('Dvd Calendar'!$K$1017=TYPE3)*(TYPE3&lt;&gt;"")+('Dvd Calendar'!$K$1017=TYPE4)*(TYPE4&lt;&gt;"")+('Dvd Calendar'!$K$1017=SPECIAL_LBL)*(INC_SPECIALS="Y"))=0,"",'Dvd Calendar'!$K$1015)))</f>
        <v/>
      </c>
      <c r="J103" s="106">
        <f>IF(EL103="","",IF(ISNUMBER('Dvd Calendar'!$L$1015)=FALSE,"",IF((('Dvd Calendar'!$L$1017=TYPE1)*(TYPE1&lt;&gt;"")+('Dvd Calendar'!$L$1017=TYPE2)*(TYPE2&lt;&gt;"")+('Dvd Calendar'!$L$1017=TYPE3)*(TYPE3&lt;&gt;"")+('Dvd Calendar'!$L$1017=TYPE4)*(TYPE4&lt;&gt;"")+('Dvd Calendar'!$L$1017=SPECIAL_LBL)*(INC_SPECIALS="Y"))=0,"",'Dvd Calendar'!$L$1015)))</f>
        <v/>
      </c>
      <c r="K103" s="106">
        <f>IF(EM103="","",IF(ISNUMBER('Dvd Calendar'!$M$1015)=FALSE,"",IF((('Dvd Calendar'!$M$1017=TYPE1)*(TYPE1&lt;&gt;"")+('Dvd Calendar'!$M$1017=TYPE2)*(TYPE2&lt;&gt;"")+('Dvd Calendar'!$M$1017=TYPE3)*(TYPE3&lt;&gt;"")+('Dvd Calendar'!$M$1017=TYPE4)*(TYPE4&lt;&gt;"")+('Dvd Calendar'!$M$1017=SPECIAL_LBL)*(INC_SPECIALS="Y"))=0,"",'Dvd Calendar'!$M$1015)))</f>
        <v/>
      </c>
      <c r="L103" s="106">
        <f>IF(EN103="","",IF(ISNUMBER('Dvd Calendar'!$N$1015)=FALSE,"",IF((('Dvd Calendar'!$N$1017=TYPE1)*(TYPE1&lt;&gt;"")+('Dvd Calendar'!$N$1017=TYPE2)*(TYPE2&lt;&gt;"")+('Dvd Calendar'!$N$1017=TYPE3)*(TYPE3&lt;&gt;"")+('Dvd Calendar'!$N$1017=TYPE4)*(TYPE4&lt;&gt;"")+('Dvd Calendar'!$N$1017=SPECIAL_LBL)*(INC_SPECIALS="Y"))=0,"",'Dvd Calendar'!$N$1015)))</f>
        <v/>
      </c>
      <c r="M103" s="106">
        <f>IF(EO103="","",IF(ISNUMBER('Dvd Calendar'!$O$1015)=FALSE,"",IF((('Dvd Calendar'!$O$1017=TYPE1)*(TYPE1&lt;&gt;"")+('Dvd Calendar'!$O$1017=TYPE2)*(TYPE2&lt;&gt;"")+('Dvd Calendar'!$O$1017=TYPE3)*(TYPE3&lt;&gt;"")+('Dvd Calendar'!$O$1017=TYPE4)*(TYPE4&lt;&gt;"")+('Dvd Calendar'!$O$1017=SPECIAL_LBL)*(INC_SPECIALS="Y"))=0,"",'Dvd Calendar'!$O$1015)))</f>
        <v/>
      </c>
      <c r="N103" s="106">
        <f>IF(EP103="","",IF(ISNUMBER('Dvd Calendar'!$P$1015)=FALSE,"",IF((('Dvd Calendar'!$P$1017=TYPE1)*(TYPE1&lt;&gt;"")+('Dvd Calendar'!$P$1017=TYPE2)*(TYPE2&lt;&gt;"")+('Dvd Calendar'!$P$1017=TYPE3)*(TYPE3&lt;&gt;"")+('Dvd Calendar'!$P$1017=TYPE4)*(TYPE4&lt;&gt;"")+('Dvd Calendar'!$P$1017=SPECIAL_LBL)*(INC_SPECIALS="Y"))=0,"",'Dvd Calendar'!$P$1015)))</f>
        <v/>
      </c>
      <c r="O103" s="106">
        <f>IF(EQ103="","",IF(ISNUMBER('Dvd Calendar'!$Q$1015)=FALSE,"",IF((('Dvd Calendar'!$Q$1017=TYPE1)*(TYPE1&lt;&gt;"")+('Dvd Calendar'!$Q$1017=TYPE2)*(TYPE2&lt;&gt;"")+('Dvd Calendar'!$Q$1017=TYPE3)*(TYPE3&lt;&gt;"")+('Dvd Calendar'!$Q$1017=TYPE4)*(TYPE4&lt;&gt;"")+('Dvd Calendar'!$Q$1017=SPECIAL_LBL)*(INC_SPECIALS="Y"))=0,"",'Dvd Calendar'!$Q$1015)))</f>
        <v/>
      </c>
      <c r="P103" s="106">
        <f>IF(ER103="","",IF(ISNUMBER('Dvd Calendar'!$R$1015)=FALSE,"",IF((('Dvd Calendar'!$R$1017=TYPE1)*(TYPE1&lt;&gt;"")+('Dvd Calendar'!$R$1017=TYPE2)*(TYPE2&lt;&gt;"")+('Dvd Calendar'!$R$1017=TYPE3)*(TYPE3&lt;&gt;"")+('Dvd Calendar'!$R$1017=TYPE4)*(TYPE4&lt;&gt;"")+('Dvd Calendar'!$R$1017=SPECIAL_LBL)*(INC_SPECIALS="Y"))=0,"",'Dvd Calendar'!$R$1015)))</f>
        <v/>
      </c>
      <c r="Q103" s="106">
        <f>IF(ES103="","",IF(ISNUMBER('Dvd Calendar'!$S$1015)=FALSE,"",IF((('Dvd Calendar'!$S$1017=TYPE1)*(TYPE1&lt;&gt;"")+('Dvd Calendar'!$S$1017=TYPE2)*(TYPE2&lt;&gt;"")+('Dvd Calendar'!$S$1017=TYPE3)*(TYPE3&lt;&gt;"")+('Dvd Calendar'!$S$1017=TYPE4)*(TYPE4&lt;&gt;"")+('Dvd Calendar'!$S$1017=SPECIAL_LBL)*(INC_SPECIALS="Y"))=0,"",'Dvd Calendar'!$S$1015)))</f>
        <v/>
      </c>
      <c r="R103" s="106">
        <f>IF(ET103="","",IF(ISNUMBER('Dvd Calendar'!$T$1015)=FALSE,"",IF((('Dvd Calendar'!$T$1017=TYPE1)*(TYPE1&lt;&gt;"")+('Dvd Calendar'!$T$1017=TYPE2)*(TYPE2&lt;&gt;"")+('Dvd Calendar'!$T$1017=TYPE3)*(TYPE3&lt;&gt;"")+('Dvd Calendar'!$T$1017=TYPE4)*(TYPE4&lt;&gt;"")+('Dvd Calendar'!$T$1017=SPECIAL_LBL)*(INC_SPECIALS="Y"))=0,"",'Dvd Calendar'!$T$1015)))</f>
        <v/>
      </c>
      <c r="S103" s="106">
        <f>IF(EU103="","",IF(ISNUMBER('Dvd Calendar'!$U$1015)=FALSE,"",IF((('Dvd Calendar'!$U$1017=TYPE1)*(TYPE1&lt;&gt;"")+('Dvd Calendar'!$U$1017=TYPE2)*(TYPE2&lt;&gt;"")+('Dvd Calendar'!$U$1017=TYPE3)*(TYPE3&lt;&gt;"")+('Dvd Calendar'!$U$1017=TYPE4)*(TYPE4&lt;&gt;"")+('Dvd Calendar'!$U$1017=SPECIAL_LBL)*(INC_SPECIALS="Y"))=0,"",'Dvd Calendar'!$U$1015)))</f>
        <v/>
      </c>
      <c r="T103" s="106">
        <f>IF(EV103="","",IF(ISNUMBER('Dvd Calendar'!$V$1015)=FALSE,"",IF((('Dvd Calendar'!$V$1017=TYPE1)*(TYPE1&lt;&gt;"")+('Dvd Calendar'!$V$1017=TYPE2)*(TYPE2&lt;&gt;"")+('Dvd Calendar'!$V$1017=TYPE3)*(TYPE3&lt;&gt;"")+('Dvd Calendar'!$V$1017=TYPE4)*(TYPE4&lt;&gt;"")+('Dvd Calendar'!$V$1017=SPECIAL_LBL)*(INC_SPECIALS="Y"))=0,"",'Dvd Calendar'!$V$1015)))</f>
        <v/>
      </c>
      <c r="U103" s="106">
        <f>IF(EW103="","",IF(ISNUMBER('Dvd Calendar'!$W$1015)=FALSE,"",IF((('Dvd Calendar'!$W$1017=TYPE1)*(TYPE1&lt;&gt;"")+('Dvd Calendar'!$W$1017=TYPE2)*(TYPE2&lt;&gt;"")+('Dvd Calendar'!$W$1017=TYPE3)*(TYPE3&lt;&gt;"")+('Dvd Calendar'!$W$1017=TYPE4)*(TYPE4&lt;&gt;"")+('Dvd Calendar'!$W$1017=SPECIAL_LBL)*(INC_SPECIALS="Y"))=0,"",'Dvd Calendar'!$W$1015)))</f>
        <v/>
      </c>
      <c r="V103" s="106">
        <f>IF(EX103="","",IF(ISNUMBER('Dvd Calendar'!$X$1015)=FALSE,"",IF((('Dvd Calendar'!$X$1017=TYPE1)*(TYPE1&lt;&gt;"")+('Dvd Calendar'!$X$1017=TYPE2)*(TYPE2&lt;&gt;"")+('Dvd Calendar'!$X$1017=TYPE3)*(TYPE3&lt;&gt;"")+('Dvd Calendar'!$X$1017=TYPE4)*(TYPE4&lt;&gt;"")+('Dvd Calendar'!$X$1017=SPECIAL_LBL)*(INC_SPECIALS="Y"))=0,"",'Dvd Calendar'!$X$1015)))</f>
        <v/>
      </c>
      <c r="W103" s="106">
        <f>IF(EY103="","",IF(ISNUMBER('Dvd Calendar'!$Y$1015)=FALSE,"",IF((('Dvd Calendar'!$Y$1017=TYPE1)*(TYPE1&lt;&gt;"")+('Dvd Calendar'!$Y$1017=TYPE2)*(TYPE2&lt;&gt;"")+('Dvd Calendar'!$Y$1017=TYPE3)*(TYPE3&lt;&gt;"")+('Dvd Calendar'!$Y$1017=TYPE4)*(TYPE4&lt;&gt;"")+('Dvd Calendar'!$Y$1017=SPECIAL_LBL)*(INC_SPECIALS="Y"))=0,"",'Dvd Calendar'!$Y$1015)))</f>
        <v/>
      </c>
      <c r="X103" s="106">
        <f>IF(EZ103="","",IF(ISNUMBER('Dvd Calendar'!$Z$1015)=FALSE,"",IF((('Dvd Calendar'!$Z$1017=TYPE1)*(TYPE1&lt;&gt;"")+('Dvd Calendar'!$Z$1017=TYPE2)*(TYPE2&lt;&gt;"")+('Dvd Calendar'!$Z$1017=TYPE3)*(TYPE3&lt;&gt;"")+('Dvd Calendar'!$Z$1017=TYPE4)*(TYPE4&lt;&gt;"")+('Dvd Calendar'!$Z$1017=SPECIAL_LBL)*(INC_SPECIALS="Y"))=0,"",'Dvd Calendar'!$Z$1015)))</f>
        <v/>
      </c>
      <c r="Y103" s="106">
        <f>IF(FA103="","",IF(ISNUMBER('Dvd Calendar'!$AA$1015)=FALSE,"",IF((('Dvd Calendar'!$AA$1017=TYPE1)*(TYPE1&lt;&gt;"")+('Dvd Calendar'!$AA$1017=TYPE2)*(TYPE2&lt;&gt;"")+('Dvd Calendar'!$AA$1017=TYPE3)*(TYPE3&lt;&gt;"")+('Dvd Calendar'!$AA$1017=TYPE4)*(TYPE4&lt;&gt;"")+('Dvd Calendar'!$AA$1017=SPECIAL_LBL)*(INC_SPECIALS="Y"))=0,"",'Dvd Calendar'!$AA$1015)))</f>
        <v/>
      </c>
      <c r="Z103" s="106">
        <f>IF(FB103="","",IF(ISNUMBER('Dvd Calendar'!$AB$1015)=FALSE,"",IF((('Dvd Calendar'!$AB$1017=TYPE1)*(TYPE1&lt;&gt;"")+('Dvd Calendar'!$AB$1017=TYPE2)*(TYPE2&lt;&gt;"")+('Dvd Calendar'!$AB$1017=TYPE3)*(TYPE3&lt;&gt;"")+('Dvd Calendar'!$AB$1017=TYPE4)*(TYPE4&lt;&gt;"")+('Dvd Calendar'!$AB$1017=SPECIAL_LBL)*(INC_SPECIALS="Y"))=0,"",'Dvd Calendar'!$AB$1015)))</f>
        <v/>
      </c>
      <c r="AA103" s="106">
        <f>IF(FC103="","",IF(ISNUMBER('Dvd Calendar'!$AC$1015)=FALSE,"",IF((('Dvd Calendar'!$AC$1017=TYPE1)*(TYPE1&lt;&gt;"")+('Dvd Calendar'!$AC$1017=TYPE2)*(TYPE2&lt;&gt;"")+('Dvd Calendar'!$AC$1017=TYPE3)*(TYPE3&lt;&gt;"")+('Dvd Calendar'!$AC$1017=TYPE4)*(TYPE4&lt;&gt;"")+('Dvd Calendar'!$AC$1017=SPECIAL_LBL)*(INC_SPECIALS="Y"))=0,"",'Dvd Calendar'!$AC$1015)))</f>
        <v/>
      </c>
      <c r="AB103" s="106">
        <f>IF(FD103="","",IF(ISNUMBER('Dvd Calendar'!$AD$1015)=FALSE,"",IF((('Dvd Calendar'!$AD$1017=TYPE1)*(TYPE1&lt;&gt;"")+('Dvd Calendar'!$AD$1017=TYPE2)*(TYPE2&lt;&gt;"")+('Dvd Calendar'!$AD$1017=TYPE3)*(TYPE3&lt;&gt;"")+('Dvd Calendar'!$AD$1017=TYPE4)*(TYPE4&lt;&gt;"")+('Dvd Calendar'!$AD$1017=SPECIAL_LBL)*(INC_SPECIALS="Y"))=0,"",'Dvd Calendar'!$AD$1015)))</f>
        <v/>
      </c>
      <c r="AC103" s="106">
        <f>IF(FE103="","",IF(ISNUMBER('Dvd Calendar'!$AE$1015)=FALSE,"",IF((('Dvd Calendar'!$AE$1017=TYPE1)*(TYPE1&lt;&gt;"")+('Dvd Calendar'!$AE$1017=TYPE2)*(TYPE2&lt;&gt;"")+('Dvd Calendar'!$AE$1017=TYPE3)*(TYPE3&lt;&gt;"")+('Dvd Calendar'!$AE$1017=TYPE4)*(TYPE4&lt;&gt;"")+('Dvd Calendar'!$AE$1017=SPECIAL_LBL)*(INC_SPECIALS="Y"))=0,"",'Dvd Calendar'!$AE$1015)))</f>
        <v/>
      </c>
      <c r="AD103" s="106">
        <f>IF(FF103="","",IF(ISNUMBER('Dvd Calendar'!$AF$1015)=FALSE,"",IF((('Dvd Calendar'!$AF$1017=TYPE1)*(TYPE1&lt;&gt;"")+('Dvd Calendar'!$AF$1017=TYPE2)*(TYPE2&lt;&gt;"")+('Dvd Calendar'!$AF$1017=TYPE3)*(TYPE3&lt;&gt;"")+('Dvd Calendar'!$AF$1017=TYPE4)*(TYPE4&lt;&gt;"")+('Dvd Calendar'!$AF$1017=SPECIAL_LBL)*(INC_SPECIALS="Y"))=0,"",'Dvd Calendar'!$AF$1015)))</f>
        <v/>
      </c>
      <c r="AE103" s="106">
        <f>IF(FG103="","",IF(ISNUMBER('Dvd Calendar'!$AG$1015)=FALSE,"",IF((('Dvd Calendar'!$AG$1017=TYPE1)*(TYPE1&lt;&gt;"")+('Dvd Calendar'!$AG$1017=TYPE2)*(TYPE2&lt;&gt;"")+('Dvd Calendar'!$AG$1017=TYPE3)*(TYPE3&lt;&gt;"")+('Dvd Calendar'!$AG$1017=TYPE4)*(TYPE4&lt;&gt;"")+('Dvd Calendar'!$AG$1017=SPECIAL_LBL)*(INC_SPECIALS="Y"))=0,"",'Dvd Calendar'!$AG$1015)))</f>
        <v/>
      </c>
      <c r="AF103" s="106">
        <f>IF(FH103="","",IF(ISNUMBER('Dvd Calendar'!$AH$1015)=FALSE,"",IF((('Dvd Calendar'!$AH$1017=TYPE1)*(TYPE1&lt;&gt;"")+('Dvd Calendar'!$AH$1017=TYPE2)*(TYPE2&lt;&gt;"")+('Dvd Calendar'!$AH$1017=TYPE3)*(TYPE3&lt;&gt;"")+('Dvd Calendar'!$AH$1017=TYPE4)*(TYPE4&lt;&gt;"")+('Dvd Calendar'!$AH$1017=SPECIAL_LBL)*(INC_SPECIALS="Y"))=0,"",'Dvd Calendar'!$AH$1015)))</f>
        <v/>
      </c>
      <c r="AG103" s="106">
        <f>IF(FI103="","",IF(ISNUMBER('Dvd Calendar'!$AI$1015)=FALSE,"",IF((('Dvd Calendar'!$AI$1017=TYPE1)*(TYPE1&lt;&gt;"")+('Dvd Calendar'!$AI$1017=TYPE2)*(TYPE2&lt;&gt;"")+('Dvd Calendar'!$AI$1017=TYPE3)*(TYPE3&lt;&gt;"")+('Dvd Calendar'!$AI$1017=TYPE4)*(TYPE4&lt;&gt;"")+('Dvd Calendar'!$AI$1017=SPECIAL_LBL)*(INC_SPECIALS="Y"))=0,"",'Dvd Calendar'!$AI$1015)))</f>
        <v/>
      </c>
      <c r="AH103" s="106">
        <f>IF(FJ103="","",IF(ISNUMBER('Dvd Calendar'!$AJ$1015)=FALSE,"",IF((('Dvd Calendar'!$AJ$1017=TYPE1)*(TYPE1&lt;&gt;"")+('Dvd Calendar'!$AJ$1017=TYPE2)*(TYPE2&lt;&gt;"")+('Dvd Calendar'!$AJ$1017=TYPE3)*(TYPE3&lt;&gt;"")+('Dvd Calendar'!$AJ$1017=TYPE4)*(TYPE4&lt;&gt;"")+('Dvd Calendar'!$AJ$1017=SPECIAL_LBL)*(INC_SPECIALS="Y"))=0,"",'Dvd Calendar'!$AJ$1015)))</f>
        <v/>
      </c>
      <c r="AI103" s="106">
        <f>IF(FK103="","",IF(ISNUMBER('Dvd Calendar'!$AK$1015)=FALSE,"",IF((('Dvd Calendar'!$AK$1017=TYPE1)*(TYPE1&lt;&gt;"")+('Dvd Calendar'!$AK$1017=TYPE2)*(TYPE2&lt;&gt;"")+('Dvd Calendar'!$AK$1017=TYPE3)*(TYPE3&lt;&gt;"")+('Dvd Calendar'!$AK$1017=TYPE4)*(TYPE4&lt;&gt;"")+('Dvd Calendar'!$AK$1017=SPECIAL_LBL)*(INC_SPECIALS="Y"))=0,"",'Dvd Calendar'!$AK$1015)))</f>
        <v/>
      </c>
      <c r="AJ103" s="106">
        <f>IF(FL103="","",IF(ISNUMBER('Dvd Calendar'!$AL$1015)=FALSE,"",IF((('Dvd Calendar'!$AL$1017=TYPE1)*(TYPE1&lt;&gt;"")+('Dvd Calendar'!$AL$1017=TYPE2)*(TYPE2&lt;&gt;"")+('Dvd Calendar'!$AL$1017=TYPE3)*(TYPE3&lt;&gt;"")+('Dvd Calendar'!$AL$1017=TYPE4)*(TYPE4&lt;&gt;"")+('Dvd Calendar'!$AL$1017=SPECIAL_LBL)*(INC_SPECIALS="Y"))=0,"",'Dvd Calendar'!$AL$1015)))</f>
        <v/>
      </c>
      <c r="AK103" s="106">
        <f>IF(FM103="","",IF(ISNUMBER('Dvd Calendar'!$AM$1015)=FALSE,"",IF((('Dvd Calendar'!$AM$1017=TYPE1)*(TYPE1&lt;&gt;"")+('Dvd Calendar'!$AM$1017=TYPE2)*(TYPE2&lt;&gt;"")+('Dvd Calendar'!$AM$1017=TYPE3)*(TYPE3&lt;&gt;"")+('Dvd Calendar'!$AM$1017=TYPE4)*(TYPE4&lt;&gt;"")+('Dvd Calendar'!$AM$1017=SPECIAL_LBL)*(INC_SPECIALS="Y"))=0,"",'Dvd Calendar'!$AM$1015)))</f>
        <v/>
      </c>
      <c r="AL103" s="106">
        <f>IF(FN103="","",IF(ISNUMBER('Dvd Calendar'!$AN$1015)=FALSE,"",IF((('Dvd Calendar'!$AN$1017=TYPE1)*(TYPE1&lt;&gt;"")+('Dvd Calendar'!$AN$1017=TYPE2)*(TYPE2&lt;&gt;"")+('Dvd Calendar'!$AN$1017=TYPE3)*(TYPE3&lt;&gt;"")+('Dvd Calendar'!$AN$1017=TYPE4)*(TYPE4&lt;&gt;"")+('Dvd Calendar'!$AN$1017=SPECIAL_LBL)*(INC_SPECIALS="Y"))=0,"",'Dvd Calendar'!$AN$1015)))</f>
        <v/>
      </c>
      <c r="AM103" s="106">
        <f>IF(FO103="","",IF(ISNUMBER('Dvd Calendar'!$AO$1015)=FALSE,"",IF((('Dvd Calendar'!$AO$1017=TYPE1)*(TYPE1&lt;&gt;"")+('Dvd Calendar'!$AO$1017=TYPE2)*(TYPE2&lt;&gt;"")+('Dvd Calendar'!$AO$1017=TYPE3)*(TYPE3&lt;&gt;"")+('Dvd Calendar'!$AO$1017=TYPE4)*(TYPE4&lt;&gt;"")+('Dvd Calendar'!$AO$1017=SPECIAL_LBL)*(INC_SPECIALS="Y"))=0,"",'Dvd Calendar'!$AO$1015)))</f>
        <v/>
      </c>
      <c r="AN103" s="106">
        <f>IF(FP103="","",IF(ISNUMBER('Dvd Calendar'!$AP$1015)=FALSE,"",IF((('Dvd Calendar'!$AP$1017=TYPE1)*(TYPE1&lt;&gt;"")+('Dvd Calendar'!$AP$1017=TYPE2)*(TYPE2&lt;&gt;"")+('Dvd Calendar'!$AP$1017=TYPE3)*(TYPE3&lt;&gt;"")+('Dvd Calendar'!$AP$1017=TYPE4)*(TYPE4&lt;&gt;"")+('Dvd Calendar'!$AP$1017=SPECIAL_LBL)*(INC_SPECIALS="Y"))=0,"",'Dvd Calendar'!$AP$1015)))</f>
        <v/>
      </c>
      <c r="AO103" s="106">
        <f>IF(FQ103="","",IF(ISNUMBER('Dvd Calendar'!$AQ$1015)=FALSE,"",IF((('Dvd Calendar'!$AQ$1017=TYPE1)*(TYPE1&lt;&gt;"")+('Dvd Calendar'!$AQ$1017=TYPE2)*(TYPE2&lt;&gt;"")+('Dvd Calendar'!$AQ$1017=TYPE3)*(TYPE3&lt;&gt;"")+('Dvd Calendar'!$AQ$1017=TYPE4)*(TYPE4&lt;&gt;"")+('Dvd Calendar'!$AQ$1017=SPECIAL_LBL)*(INC_SPECIALS="Y"))=0,"",'Dvd Calendar'!$AQ$1015)))</f>
        <v/>
      </c>
      <c r="AP103" s="106">
        <f>IF(FR103="","",IF(ISNUMBER('Dvd Calendar'!$AR$1015)=FALSE,"",IF((('Dvd Calendar'!$AR$1017=TYPE1)*(TYPE1&lt;&gt;"")+('Dvd Calendar'!$AR$1017=TYPE2)*(TYPE2&lt;&gt;"")+('Dvd Calendar'!$AR$1017=TYPE3)*(TYPE3&lt;&gt;"")+('Dvd Calendar'!$AR$1017=TYPE4)*(TYPE4&lt;&gt;"")+('Dvd Calendar'!$AR$1017=SPECIAL_LBL)*(INC_SPECIALS="Y"))=0,"",'Dvd Calendar'!$AR$1015)))</f>
        <v/>
      </c>
      <c r="AQ103" s="106">
        <f>IF(FS103="","",IF(ISNUMBER('Dvd Calendar'!$E$1020)=FALSE,"",'Dvd Calendar'!$E$1020))</f>
        <v/>
      </c>
      <c r="AR103" s="106">
        <f>IF(FT103="","",IF(ISNUMBER('Dvd Calendar'!$F$1020)=FALSE,"",'Dvd Calendar'!$F$1020))</f>
        <v/>
      </c>
      <c r="AS103" s="106">
        <f>IF(FU103="","",IF(ISNUMBER('Dvd Calendar'!$G$1020)=FALSE,"",'Dvd Calendar'!$G$1020))</f>
        <v/>
      </c>
      <c r="AT103" s="106">
        <f>IF(FV103="","",IF(ISNUMBER('Dvd Calendar'!$H$1020)=FALSE,"",'Dvd Calendar'!$H$1020))</f>
        <v/>
      </c>
      <c r="AU103" s="106">
        <f>IF(FW103="","",IF(ISNUMBER('Dvd Calendar'!$I$1020)=FALSE,"",'Dvd Calendar'!$I$1020))</f>
        <v/>
      </c>
      <c r="AV103" s="106">
        <f>IF(FX103="","",IF(ISNUMBER('Dvd Calendar'!$J$1020)=FALSE,"",'Dvd Calendar'!$J$1020))</f>
        <v/>
      </c>
      <c r="AW103" s="106">
        <f>IF(FY103="","",IF(ISNUMBER('Dvd Calendar'!$K$1020)=FALSE,"",'Dvd Calendar'!$K$1020))</f>
        <v/>
      </c>
      <c r="AX103" s="106">
        <f>IF(FZ103="","",IF(ISNUMBER('Dvd Calendar'!$L$1020)=FALSE,"",'Dvd Calendar'!$L$1020))</f>
        <v/>
      </c>
      <c r="AY103" s="106">
        <f>IF(GA103="","",IF(ISNUMBER('Dvd Calendar'!$M$1020)=FALSE,"",'Dvd Calendar'!$M$1020))</f>
        <v/>
      </c>
      <c r="AZ103" s="106">
        <f>IF(GB103="","",IF(ISNUMBER('Dvd Calendar'!$N$1020)=FALSE,"",'Dvd Calendar'!$N$1020))</f>
        <v/>
      </c>
      <c r="BA103" s="106">
        <f>IF(GC103="","",IF(ISNUMBER('Dvd Calendar'!$O$1020)=FALSE,"",'Dvd Calendar'!$O$1020))</f>
        <v/>
      </c>
      <c r="BB103" s="106">
        <f>IF(GD103="","",IF(ISNUMBER('Dvd Calendar'!$P$1020)=FALSE,"",'Dvd Calendar'!$P$1020))</f>
        <v/>
      </c>
      <c r="BC103" s="106">
        <f>IF(GE103="","",IF(ISNUMBER('Dvd Calendar'!$Q$1020)=FALSE,"",'Dvd Calendar'!$Q$1020))</f>
        <v/>
      </c>
      <c r="BD103" s="106">
        <f>IF(GF103="","",IF(ISNUMBER('Dvd Calendar'!$R$1020)=FALSE,"",'Dvd Calendar'!$R$1020))</f>
        <v/>
      </c>
      <c r="BE103" s="106">
        <f>IF(GG103="","",IF(ISNUMBER('Dvd Calendar'!$S$1020)=FALSE,"",'Dvd Calendar'!$S$1020))</f>
        <v/>
      </c>
      <c r="BF103" s="106">
        <f>IF(GH103="","",IF(ISNUMBER('Dvd Calendar'!$T$1020)=FALSE,"",'Dvd Calendar'!$T$1020))</f>
        <v/>
      </c>
      <c r="BG103" s="106">
        <f>IF(GI103="","",IF(ISNUMBER('Dvd Calendar'!$U$1020)=FALSE,"",'Dvd Calendar'!$U$1020))</f>
        <v/>
      </c>
      <c r="BH103" s="106">
        <f>IF(GJ103="","",IF(ISNUMBER('Dvd Calendar'!$V$1020)=FALSE,"",'Dvd Calendar'!$V$1020))</f>
        <v/>
      </c>
      <c r="BI103" s="106">
        <f>IF(GK103="","",IF(ISNUMBER('Dvd Calendar'!$W$1020)=FALSE,"",'Dvd Calendar'!$W$1020))</f>
        <v/>
      </c>
      <c r="BJ103" s="106">
        <f>IF(GL103="","",IF(ISNUMBER('Dvd Calendar'!$X$1020)=FALSE,"",'Dvd Calendar'!$X$1020))</f>
        <v/>
      </c>
      <c r="BK103" s="106">
        <f>IF(GM103="","",IF(ISNUMBER('Dvd Calendar'!$Y$1020)=FALSE,"",'Dvd Calendar'!$Y$1020))</f>
        <v/>
      </c>
      <c r="BL103" s="106">
        <f>IF(GN103="","",IF(ISNUMBER('Dvd Calendar'!$Z$1020)=FALSE,"",'Dvd Calendar'!$Z$1020))</f>
        <v/>
      </c>
      <c r="BM103" s="106">
        <f>IF(GO103="","",IF(ISNUMBER('Dvd Calendar'!$AA$1020)=FALSE,"",'Dvd Calendar'!$AA$1020))</f>
        <v/>
      </c>
      <c r="BN103" s="106">
        <f>IF(GP103="","",IF(ISNUMBER('Dvd Calendar'!$AB$1020)=FALSE,"",'Dvd Calendar'!$AB$1020))</f>
        <v/>
      </c>
      <c r="BO103" s="106">
        <f>IF(GQ103="","",IF(ISNUMBER('Dvd Calendar'!$AC$1020)=FALSE,"",'Dvd Calendar'!$AC$1020))</f>
        <v/>
      </c>
      <c r="BQ103" s="106">
        <f>IF(C103="","",IFERROR(C103*HSI!$B$98*HSI!$G$98/HSI!$B$3,""))</f>
        <v/>
      </c>
      <c r="BR103" s="106">
        <f>IF(D103="","",IFERROR(D103*HSI!$B$98*HSI!$G$98/HSI!$B$3,""))</f>
        <v/>
      </c>
      <c r="BS103" s="106">
        <f>IF(E103="","",IFERROR(E103*HSI!$B$98*HSI!$G$98/HSI!$B$3,""))</f>
        <v/>
      </c>
      <c r="BT103" s="106">
        <f>IF(F103="","",IFERROR(F103*HSI!$B$98*HSI!$G$98/HSI!$B$3,""))</f>
        <v/>
      </c>
      <c r="BU103" s="106">
        <f>IF(G103="","",IFERROR(G103*HSI!$B$98*HSI!$G$98/HSI!$B$3,""))</f>
        <v/>
      </c>
      <c r="BV103" s="106">
        <f>IF(H103="","",IFERROR(H103*HSI!$B$98*HSI!$G$98/HSI!$B$3,""))</f>
        <v/>
      </c>
      <c r="BW103" s="106">
        <f>IF(I103="","",IFERROR(I103*HSI!$B$98*HSI!$G$98/HSI!$B$3,""))</f>
        <v/>
      </c>
      <c r="BX103" s="106">
        <f>IF(J103="","",IFERROR(J103*HSI!$B$98*HSI!$G$98/HSI!$B$3,""))</f>
        <v/>
      </c>
      <c r="BY103" s="106">
        <f>IF(K103="","",IFERROR(K103*HSI!$B$98*HSI!$G$98/HSI!$B$3,""))</f>
        <v/>
      </c>
      <c r="BZ103" s="106">
        <f>IF(L103="","",IFERROR(L103*HSI!$B$98*HSI!$G$98/HSI!$B$3,""))</f>
        <v/>
      </c>
      <c r="CA103" s="106">
        <f>IF(M103="","",IFERROR(M103*HSI!$B$98*HSI!$G$98/HSI!$B$3,""))</f>
        <v/>
      </c>
      <c r="CB103" s="106">
        <f>IF(N103="","",IFERROR(N103*HSI!$B$98*HSI!$G$98/HSI!$B$3,""))</f>
        <v/>
      </c>
      <c r="CC103" s="106">
        <f>IF(O103="","",IFERROR(O103*HSI!$B$98*HSI!$G$98/HSI!$B$3,""))</f>
        <v/>
      </c>
      <c r="CD103" s="106">
        <f>IF(P103="","",IFERROR(P103*HSI!$B$98*HSI!$G$98/HSI!$B$3,""))</f>
        <v/>
      </c>
      <c r="CE103" s="106">
        <f>IF(Q103="","",IFERROR(Q103*HSI!$B$98*HSI!$G$98/HSI!$B$3,""))</f>
        <v/>
      </c>
      <c r="CF103" s="106">
        <f>IF(R103="","",IFERROR(R103*HSI!$B$98*HSI!$G$98/HSI!$B$3,""))</f>
        <v/>
      </c>
      <c r="CG103" s="106">
        <f>IF(S103="","",IFERROR(S103*HSI!$B$98*HSI!$G$98/HSI!$B$3,""))</f>
        <v/>
      </c>
      <c r="CH103" s="106">
        <f>IF(T103="","",IFERROR(T103*HSI!$B$98*HSI!$G$98/HSI!$B$3,""))</f>
        <v/>
      </c>
      <c r="CI103" s="106">
        <f>IF(U103="","",IFERROR(U103*HSI!$B$98*HSI!$G$98/HSI!$B$3,""))</f>
        <v/>
      </c>
      <c r="CJ103" s="106">
        <f>IF(V103="","",IFERROR(V103*HSI!$B$98*HSI!$G$98/HSI!$B$3,""))</f>
        <v/>
      </c>
      <c r="CK103" s="106">
        <f>IF(W103="","",IFERROR(W103*HSI!$B$98*HSI!$G$98/HSI!$B$3,""))</f>
        <v/>
      </c>
      <c r="CL103" s="106">
        <f>IF(X103="","",IFERROR(X103*HSI!$B$98*HSI!$G$98/HSI!$B$3,""))</f>
        <v/>
      </c>
      <c r="CM103" s="106">
        <f>IF(Y103="","",IFERROR(Y103*HSI!$B$98*HSI!$G$98/HSI!$B$3,""))</f>
        <v/>
      </c>
      <c r="CN103" s="106">
        <f>IF(Z103="","",IFERROR(Z103*HSI!$B$98*HSI!$G$98/HSI!$B$3,""))</f>
        <v/>
      </c>
      <c r="CO103" s="106">
        <f>IF(AA103="","",IFERROR(AA103*HSI!$B$98*HSI!$G$98/HSI!$B$3,""))</f>
        <v/>
      </c>
      <c r="CP103" s="106">
        <f>IF(AB103="","",IFERROR(AB103*HSI!$B$98*HSI!$G$98/HSI!$B$3,""))</f>
        <v/>
      </c>
      <c r="CQ103" s="106">
        <f>IF(AC103="","",IFERROR(AC103*HSI!$B$98*HSI!$G$98/HSI!$B$3,""))</f>
        <v/>
      </c>
      <c r="CR103" s="106">
        <f>IF(AD103="","",IFERROR(AD103*HSI!$B$98*HSI!$G$98/HSI!$B$3,""))</f>
        <v/>
      </c>
      <c r="CS103" s="106">
        <f>IF(AE103="","",IFERROR(AE103*HSI!$B$98*HSI!$G$98/HSI!$B$3,""))</f>
        <v/>
      </c>
      <c r="CT103" s="106">
        <f>IF(AF103="","",IFERROR(AF103*HSI!$B$98*HSI!$G$98/HSI!$B$3,""))</f>
        <v/>
      </c>
      <c r="CU103" s="106">
        <f>IF(AG103="","",IFERROR(AG103*HSI!$B$98*HSI!$G$98/HSI!$B$3,""))</f>
        <v/>
      </c>
      <c r="CV103" s="106">
        <f>IF(AH103="","",IFERROR(AH103*HSI!$B$98*HSI!$G$98/HSI!$B$3,""))</f>
        <v/>
      </c>
      <c r="CW103" s="106">
        <f>IF(AI103="","",IFERROR(AI103*HSI!$B$98*HSI!$G$98/HSI!$B$3,""))</f>
        <v/>
      </c>
      <c r="CX103" s="106">
        <f>IF(AJ103="","",IFERROR(AJ103*HSI!$B$98*HSI!$G$98/HSI!$B$3,""))</f>
        <v/>
      </c>
      <c r="CY103" s="106">
        <f>IF(AK103="","",IFERROR(AK103*HSI!$B$98*HSI!$G$98/HSI!$B$3,""))</f>
        <v/>
      </c>
      <c r="CZ103" s="106">
        <f>IF(AL103="","",IFERROR(AL103*HSI!$B$98*HSI!$G$98/HSI!$B$3,""))</f>
        <v/>
      </c>
      <c r="DA103" s="106">
        <f>IF(AM103="","",IFERROR(AM103*HSI!$B$98*HSI!$G$98/HSI!$B$3,""))</f>
        <v/>
      </c>
      <c r="DB103" s="106">
        <f>IF(AN103="","",IFERROR(AN103*HSI!$B$98*HSI!$G$98/HSI!$B$3,""))</f>
        <v/>
      </c>
      <c r="DC103" s="106">
        <f>IF(AO103="","",IFERROR(AO103*HSI!$B$98*HSI!$G$98/HSI!$B$3,""))</f>
        <v/>
      </c>
      <c r="DD103" s="106">
        <f>IF(AP103="","",IFERROR(AP103*HSI!$B$98*HSI!$G$98/HSI!$B$3,""))</f>
        <v/>
      </c>
      <c r="DE103" s="106">
        <f>IF(AQ103="","",IFERROR(AQ103*HSI!$B$98*HSI!$G$98/HSI!$B$3,""))</f>
        <v/>
      </c>
      <c r="DF103" s="106">
        <f>IF(AR103="","",IFERROR(AR103*HSI!$B$98*HSI!$G$98/HSI!$B$3,""))</f>
        <v/>
      </c>
      <c r="DG103" s="106">
        <f>IF(AS103="","",IFERROR(AS103*HSI!$B$98*HSI!$G$98/HSI!$B$3,""))</f>
        <v/>
      </c>
      <c r="DH103" s="106">
        <f>IF(AT103="","",IFERROR(AT103*HSI!$B$98*HSI!$G$98/HSI!$B$3,""))</f>
        <v/>
      </c>
      <c r="DI103" s="106">
        <f>IF(AU103="","",IFERROR(AU103*HSI!$B$98*HSI!$G$98/HSI!$B$3,""))</f>
        <v/>
      </c>
      <c r="DJ103" s="106">
        <f>IF(AV103="","",IFERROR(AV103*HSI!$B$98*HSI!$G$98/HSI!$B$3,""))</f>
        <v/>
      </c>
      <c r="DK103" s="106">
        <f>IF(AW103="","",IFERROR(AW103*HSI!$B$98*HSI!$G$98/HSI!$B$3,""))</f>
        <v/>
      </c>
      <c r="DL103" s="106">
        <f>IF(AX103="","",IFERROR(AX103*HSI!$B$98*HSI!$G$98/HSI!$B$3,""))</f>
        <v/>
      </c>
      <c r="DM103" s="106">
        <f>IF(AY103="","",IFERROR(AY103*HSI!$B$98*HSI!$G$98/HSI!$B$3,""))</f>
        <v/>
      </c>
      <c r="DN103" s="106">
        <f>IF(AZ103="","",IFERROR(AZ103*HSI!$B$98*HSI!$G$98/HSI!$B$3,""))</f>
        <v/>
      </c>
      <c r="DO103" s="106">
        <f>IF(BA103="","",IFERROR(BA103*HSI!$B$98*HSI!$G$98/HSI!$B$3,""))</f>
        <v/>
      </c>
      <c r="DP103" s="106">
        <f>IF(BB103="","",IFERROR(BB103*HSI!$B$98*HSI!$G$98/HSI!$B$3,""))</f>
        <v/>
      </c>
      <c r="DQ103" s="106">
        <f>IF(BC103="","",IFERROR(BC103*HSI!$B$98*HSI!$G$98/HSI!$B$3,""))</f>
        <v/>
      </c>
      <c r="DR103" s="106">
        <f>IF(BD103="","",IFERROR(BD103*HSI!$B$98*HSI!$G$98/HSI!$B$3,""))</f>
        <v/>
      </c>
      <c r="DS103" s="106">
        <f>IF(BE103="","",IFERROR(BE103*HSI!$B$98*HSI!$G$98/HSI!$B$3,""))</f>
        <v/>
      </c>
      <c r="DT103" s="106">
        <f>IF(BF103="","",IFERROR(BF103*HSI!$B$98*HSI!$G$98/HSI!$B$3,""))</f>
        <v/>
      </c>
      <c r="DU103" s="106">
        <f>IF(BG103="","",IFERROR(BG103*HSI!$B$98*HSI!$G$98/HSI!$B$3,""))</f>
        <v/>
      </c>
      <c r="DV103" s="106">
        <f>IF(BH103="","",IFERROR(BH103*HSI!$B$98*HSI!$G$98/HSI!$B$3,""))</f>
        <v/>
      </c>
      <c r="DW103" s="106">
        <f>IF(BI103="","",IFERROR(BI103*HSI!$B$98*HSI!$G$98/HSI!$B$3,""))</f>
        <v/>
      </c>
      <c r="DX103" s="106">
        <f>IF(BJ103="","",IFERROR(BJ103*HSI!$B$98*HSI!$G$98/HSI!$B$3,""))</f>
        <v/>
      </c>
      <c r="DY103" s="106">
        <f>IF(BK103="","",IFERROR(BK103*HSI!$B$98*HSI!$G$98/HSI!$B$3,""))</f>
        <v/>
      </c>
      <c r="DZ103" s="106">
        <f>IF(BL103="","",IFERROR(BL103*HSI!$B$98*HSI!$G$98/HSI!$B$3,""))</f>
        <v/>
      </c>
      <c r="EA103" s="106">
        <f>IF(BM103="","",IFERROR(BM103*HSI!$B$98*HSI!$G$98/HSI!$B$3,""))</f>
        <v/>
      </c>
      <c r="EB103" s="106">
        <f>IF(BN103="","",IFERROR(BN103*HSI!$B$98*HSI!$G$98/HSI!$B$3,""))</f>
        <v/>
      </c>
      <c r="EC103" s="106">
        <f>IF(BO103="","",IFERROR(BO103*HSI!$B$98*HSI!$G$98/HSI!$B$3,""))</f>
        <v/>
      </c>
      <c r="EE103" s="35">
        <f>IF(N('Dvd Calendar'!$E$1012)=0,"",IF(('Dvd Calendar'!$E$1012&gt;=GRID_FROM)*('Dvd Calendar'!$E$1012&lt;=GRID_TO)*('Dvd Calendar'!$E$1012&lt;=VAL_DATE)=0,"",'Dvd Calendar'!$E$1012*1000000000+ISNUMBER('Dvd Calendar'!$E$1015)*100000000+('Dvd Calendar'!$E$1017=SPECIAL_LBL)*10000000+0*1000000+92*1000+1))</f>
        <v/>
      </c>
      <c r="EF103" s="35">
        <f>IF(N('Dvd Calendar'!$F$1012)=0,"",IF(('Dvd Calendar'!$F$1012&gt;=GRID_FROM)*('Dvd Calendar'!$F$1012&lt;=GRID_TO)*('Dvd Calendar'!$F$1012&lt;=VAL_DATE)=0,"",'Dvd Calendar'!$F$1012*1000000000+ISNUMBER('Dvd Calendar'!$F$1015)*100000000+('Dvd Calendar'!$F$1017=SPECIAL_LBL)*10000000+0*1000000+92*1000+2))</f>
        <v/>
      </c>
      <c r="EG103" s="35">
        <f>IF(N('Dvd Calendar'!$G$1012)=0,"",IF(('Dvd Calendar'!$G$1012&gt;=GRID_FROM)*('Dvd Calendar'!$G$1012&lt;=GRID_TO)*('Dvd Calendar'!$G$1012&lt;=VAL_DATE)=0,"",'Dvd Calendar'!$G$1012*1000000000+ISNUMBER('Dvd Calendar'!$G$1015)*100000000+('Dvd Calendar'!$G$1017=SPECIAL_LBL)*10000000+0*1000000+92*1000+3))</f>
        <v/>
      </c>
      <c r="EH103" s="35">
        <f>IF(N('Dvd Calendar'!$H$1012)=0,"",IF(('Dvd Calendar'!$H$1012&gt;=GRID_FROM)*('Dvd Calendar'!$H$1012&lt;=GRID_TO)*('Dvd Calendar'!$H$1012&lt;=VAL_DATE)=0,"",'Dvd Calendar'!$H$1012*1000000000+ISNUMBER('Dvd Calendar'!$H$1015)*100000000+('Dvd Calendar'!$H$1017=SPECIAL_LBL)*10000000+0*1000000+92*1000+4))</f>
        <v/>
      </c>
      <c r="EI103" s="35">
        <f>IF(N('Dvd Calendar'!$I$1012)=0,"",IF(('Dvd Calendar'!$I$1012&gt;=GRID_FROM)*('Dvd Calendar'!$I$1012&lt;=GRID_TO)*('Dvd Calendar'!$I$1012&lt;=VAL_DATE)=0,"",'Dvd Calendar'!$I$1012*1000000000+ISNUMBER('Dvd Calendar'!$I$1015)*100000000+('Dvd Calendar'!$I$1017=SPECIAL_LBL)*10000000+0*1000000+92*1000+5))</f>
        <v/>
      </c>
      <c r="EJ103" s="35">
        <f>IF(N('Dvd Calendar'!$J$1012)=0,"",IF(('Dvd Calendar'!$J$1012&gt;=GRID_FROM)*('Dvd Calendar'!$J$1012&lt;=GRID_TO)*('Dvd Calendar'!$J$1012&lt;=VAL_DATE)=0,"",'Dvd Calendar'!$J$1012*1000000000+ISNUMBER('Dvd Calendar'!$J$1015)*100000000+('Dvd Calendar'!$J$1017=SPECIAL_LBL)*10000000+0*1000000+92*1000+6))</f>
        <v/>
      </c>
      <c r="EK103" s="35">
        <f>IF(N('Dvd Calendar'!$K$1012)=0,"",IF(('Dvd Calendar'!$K$1012&gt;=GRID_FROM)*('Dvd Calendar'!$K$1012&lt;=GRID_TO)*('Dvd Calendar'!$K$1012&lt;=VAL_DATE)=0,"",'Dvd Calendar'!$K$1012*1000000000+ISNUMBER('Dvd Calendar'!$K$1015)*100000000+('Dvd Calendar'!$K$1017=SPECIAL_LBL)*10000000+0*1000000+92*1000+7))</f>
        <v/>
      </c>
      <c r="EL103" s="35">
        <f>IF(N('Dvd Calendar'!$L$1012)=0,"",IF(('Dvd Calendar'!$L$1012&gt;=GRID_FROM)*('Dvd Calendar'!$L$1012&lt;=GRID_TO)*('Dvd Calendar'!$L$1012&lt;=VAL_DATE)=0,"",'Dvd Calendar'!$L$1012*1000000000+ISNUMBER('Dvd Calendar'!$L$1015)*100000000+('Dvd Calendar'!$L$1017=SPECIAL_LBL)*10000000+0*1000000+92*1000+8))</f>
        <v/>
      </c>
      <c r="EM103" s="35">
        <f>IF(N('Dvd Calendar'!$M$1012)=0,"",IF(('Dvd Calendar'!$M$1012&gt;=GRID_FROM)*('Dvd Calendar'!$M$1012&lt;=GRID_TO)*('Dvd Calendar'!$M$1012&lt;=VAL_DATE)=0,"",'Dvd Calendar'!$M$1012*1000000000+ISNUMBER('Dvd Calendar'!$M$1015)*100000000+('Dvd Calendar'!$M$1017=SPECIAL_LBL)*10000000+0*1000000+92*1000+9))</f>
        <v/>
      </c>
      <c r="EN103" s="35">
        <f>IF(N('Dvd Calendar'!$N$1012)=0,"",IF(('Dvd Calendar'!$N$1012&gt;=GRID_FROM)*('Dvd Calendar'!$N$1012&lt;=GRID_TO)*('Dvd Calendar'!$N$1012&lt;=VAL_DATE)=0,"",'Dvd Calendar'!$N$1012*1000000000+ISNUMBER('Dvd Calendar'!$N$1015)*100000000+('Dvd Calendar'!$N$1017=SPECIAL_LBL)*10000000+0*1000000+92*1000+10))</f>
        <v/>
      </c>
      <c r="EO103" s="35">
        <f>IF(N('Dvd Calendar'!$O$1012)=0,"",IF(('Dvd Calendar'!$O$1012&gt;=GRID_FROM)*('Dvd Calendar'!$O$1012&lt;=GRID_TO)*('Dvd Calendar'!$O$1012&lt;=VAL_DATE)=0,"",'Dvd Calendar'!$O$1012*1000000000+ISNUMBER('Dvd Calendar'!$O$1015)*100000000+('Dvd Calendar'!$O$1017=SPECIAL_LBL)*10000000+0*1000000+92*1000+11))</f>
        <v/>
      </c>
      <c r="EP103" s="35">
        <f>IF(N('Dvd Calendar'!$P$1012)=0,"",IF(('Dvd Calendar'!$P$1012&gt;=GRID_FROM)*('Dvd Calendar'!$P$1012&lt;=GRID_TO)*('Dvd Calendar'!$P$1012&lt;=VAL_DATE)=0,"",'Dvd Calendar'!$P$1012*1000000000+ISNUMBER('Dvd Calendar'!$P$1015)*100000000+('Dvd Calendar'!$P$1017=SPECIAL_LBL)*10000000+0*1000000+92*1000+12))</f>
        <v/>
      </c>
      <c r="EQ103" s="35">
        <f>IF(N('Dvd Calendar'!$Q$1012)=0,"",IF(('Dvd Calendar'!$Q$1012&gt;=GRID_FROM)*('Dvd Calendar'!$Q$1012&lt;=GRID_TO)*('Dvd Calendar'!$Q$1012&lt;=VAL_DATE)=0,"",'Dvd Calendar'!$Q$1012*1000000000+ISNUMBER('Dvd Calendar'!$Q$1015)*100000000+('Dvd Calendar'!$Q$1017=SPECIAL_LBL)*10000000+0*1000000+92*1000+13))</f>
        <v/>
      </c>
      <c r="ER103" s="35">
        <f>IF(N('Dvd Calendar'!$R$1012)=0,"",IF(('Dvd Calendar'!$R$1012&gt;=GRID_FROM)*('Dvd Calendar'!$R$1012&lt;=GRID_TO)*('Dvd Calendar'!$R$1012&lt;=VAL_DATE)=0,"",'Dvd Calendar'!$R$1012*1000000000+ISNUMBER('Dvd Calendar'!$R$1015)*100000000+('Dvd Calendar'!$R$1017=SPECIAL_LBL)*10000000+0*1000000+92*1000+14))</f>
        <v/>
      </c>
      <c r="ES103" s="35">
        <f>IF(N('Dvd Calendar'!$S$1012)=0,"",IF(('Dvd Calendar'!$S$1012&gt;=GRID_FROM)*('Dvd Calendar'!$S$1012&lt;=GRID_TO)*('Dvd Calendar'!$S$1012&lt;=VAL_DATE)=0,"",'Dvd Calendar'!$S$1012*1000000000+ISNUMBER('Dvd Calendar'!$S$1015)*100000000+('Dvd Calendar'!$S$1017=SPECIAL_LBL)*10000000+0*1000000+92*1000+15))</f>
        <v/>
      </c>
      <c r="ET103" s="35">
        <f>IF(N('Dvd Calendar'!$T$1012)=0,"",IF(('Dvd Calendar'!$T$1012&gt;=GRID_FROM)*('Dvd Calendar'!$T$1012&lt;=GRID_TO)*('Dvd Calendar'!$T$1012&lt;=VAL_DATE)=0,"",'Dvd Calendar'!$T$1012*1000000000+ISNUMBER('Dvd Calendar'!$T$1015)*100000000+('Dvd Calendar'!$T$1017=SPECIAL_LBL)*10000000+0*1000000+92*1000+16))</f>
        <v/>
      </c>
      <c r="EU103" s="35">
        <f>IF(N('Dvd Calendar'!$U$1012)=0,"",IF(('Dvd Calendar'!$U$1012&gt;=GRID_FROM)*('Dvd Calendar'!$U$1012&lt;=GRID_TO)*('Dvd Calendar'!$U$1012&lt;=VAL_DATE)=0,"",'Dvd Calendar'!$U$1012*1000000000+ISNUMBER('Dvd Calendar'!$U$1015)*100000000+('Dvd Calendar'!$U$1017=SPECIAL_LBL)*10000000+0*1000000+92*1000+17))</f>
        <v/>
      </c>
      <c r="EV103" s="35">
        <f>IF(N('Dvd Calendar'!$V$1012)=0,"",IF(('Dvd Calendar'!$V$1012&gt;=GRID_FROM)*('Dvd Calendar'!$V$1012&lt;=GRID_TO)*('Dvd Calendar'!$V$1012&lt;=VAL_DATE)=0,"",'Dvd Calendar'!$V$1012*1000000000+ISNUMBER('Dvd Calendar'!$V$1015)*100000000+('Dvd Calendar'!$V$1017=SPECIAL_LBL)*10000000+0*1000000+92*1000+18))</f>
        <v/>
      </c>
      <c r="EW103" s="35">
        <f>IF(N('Dvd Calendar'!$W$1012)=0,"",IF(('Dvd Calendar'!$W$1012&gt;=GRID_FROM)*('Dvd Calendar'!$W$1012&lt;=GRID_TO)*('Dvd Calendar'!$W$1012&lt;=VAL_DATE)=0,"",'Dvd Calendar'!$W$1012*1000000000+ISNUMBER('Dvd Calendar'!$W$1015)*100000000+('Dvd Calendar'!$W$1017=SPECIAL_LBL)*10000000+0*1000000+92*1000+19))</f>
        <v/>
      </c>
      <c r="EX103" s="35">
        <f>IF(N('Dvd Calendar'!$X$1012)=0,"",IF(('Dvd Calendar'!$X$1012&gt;=GRID_FROM)*('Dvd Calendar'!$X$1012&lt;=GRID_TO)*('Dvd Calendar'!$X$1012&lt;=VAL_DATE)=0,"",'Dvd Calendar'!$X$1012*1000000000+ISNUMBER('Dvd Calendar'!$X$1015)*100000000+('Dvd Calendar'!$X$1017=SPECIAL_LBL)*10000000+0*1000000+92*1000+20))</f>
        <v/>
      </c>
      <c r="EY103" s="35">
        <f>IF(N('Dvd Calendar'!$Y$1012)=0,"",IF(('Dvd Calendar'!$Y$1012&gt;=GRID_FROM)*('Dvd Calendar'!$Y$1012&lt;=GRID_TO)*('Dvd Calendar'!$Y$1012&lt;=VAL_DATE)=0,"",'Dvd Calendar'!$Y$1012*1000000000+ISNUMBER('Dvd Calendar'!$Y$1015)*100000000+('Dvd Calendar'!$Y$1017=SPECIAL_LBL)*10000000+0*1000000+92*1000+21))</f>
        <v/>
      </c>
      <c r="EZ103" s="35">
        <f>IF(N('Dvd Calendar'!$Z$1012)=0,"",IF(('Dvd Calendar'!$Z$1012&gt;=GRID_FROM)*('Dvd Calendar'!$Z$1012&lt;=GRID_TO)*('Dvd Calendar'!$Z$1012&lt;=VAL_DATE)=0,"",'Dvd Calendar'!$Z$1012*1000000000+ISNUMBER('Dvd Calendar'!$Z$1015)*100000000+('Dvd Calendar'!$Z$1017=SPECIAL_LBL)*10000000+0*1000000+92*1000+22))</f>
        <v/>
      </c>
      <c r="FA103" s="35">
        <f>IF(N('Dvd Calendar'!$AA$1012)=0,"",IF(('Dvd Calendar'!$AA$1012&gt;=GRID_FROM)*('Dvd Calendar'!$AA$1012&lt;=GRID_TO)*('Dvd Calendar'!$AA$1012&lt;=VAL_DATE)=0,"",'Dvd Calendar'!$AA$1012*1000000000+ISNUMBER('Dvd Calendar'!$AA$1015)*100000000+('Dvd Calendar'!$AA$1017=SPECIAL_LBL)*10000000+0*1000000+92*1000+23))</f>
        <v/>
      </c>
      <c r="FB103" s="35">
        <f>IF(N('Dvd Calendar'!$AB$1012)=0,"",IF(('Dvd Calendar'!$AB$1012&gt;=GRID_FROM)*('Dvd Calendar'!$AB$1012&lt;=GRID_TO)*('Dvd Calendar'!$AB$1012&lt;=VAL_DATE)=0,"",'Dvd Calendar'!$AB$1012*1000000000+ISNUMBER('Dvd Calendar'!$AB$1015)*100000000+('Dvd Calendar'!$AB$1017=SPECIAL_LBL)*10000000+0*1000000+92*1000+24))</f>
        <v/>
      </c>
      <c r="FC103" s="35">
        <f>IF(N('Dvd Calendar'!$AC$1012)=0,"",IF(('Dvd Calendar'!$AC$1012&gt;=GRID_FROM)*('Dvd Calendar'!$AC$1012&lt;=GRID_TO)*('Dvd Calendar'!$AC$1012&lt;=VAL_DATE)=0,"",'Dvd Calendar'!$AC$1012*1000000000+ISNUMBER('Dvd Calendar'!$AC$1015)*100000000+('Dvd Calendar'!$AC$1017=SPECIAL_LBL)*10000000+0*1000000+92*1000+25))</f>
        <v/>
      </c>
      <c r="FD103" s="35">
        <f>IF(N('Dvd Calendar'!$AD$1012)=0,"",IF(('Dvd Calendar'!$AD$1012&gt;=GRID_FROM)*('Dvd Calendar'!$AD$1012&lt;=GRID_TO)*('Dvd Calendar'!$AD$1012&lt;=VAL_DATE)=0,"",'Dvd Calendar'!$AD$1012*1000000000+ISNUMBER('Dvd Calendar'!$AD$1015)*100000000+('Dvd Calendar'!$AD$1017=SPECIAL_LBL)*10000000+0*1000000+92*1000+26))</f>
        <v/>
      </c>
      <c r="FE103" s="35">
        <f>IF(N('Dvd Calendar'!$AE$1012)=0,"",IF(('Dvd Calendar'!$AE$1012&gt;=GRID_FROM)*('Dvd Calendar'!$AE$1012&lt;=GRID_TO)*('Dvd Calendar'!$AE$1012&lt;=VAL_DATE)=0,"",'Dvd Calendar'!$AE$1012*1000000000+ISNUMBER('Dvd Calendar'!$AE$1015)*100000000+('Dvd Calendar'!$AE$1017=SPECIAL_LBL)*10000000+0*1000000+92*1000+27))</f>
        <v/>
      </c>
      <c r="FF103" s="35">
        <f>IF(N('Dvd Calendar'!$AF$1012)=0,"",IF(('Dvd Calendar'!$AF$1012&gt;=GRID_FROM)*('Dvd Calendar'!$AF$1012&lt;=GRID_TO)*('Dvd Calendar'!$AF$1012&lt;=VAL_DATE)=0,"",'Dvd Calendar'!$AF$1012*1000000000+ISNUMBER('Dvd Calendar'!$AF$1015)*100000000+('Dvd Calendar'!$AF$1017=SPECIAL_LBL)*10000000+0*1000000+92*1000+28))</f>
        <v/>
      </c>
      <c r="FG103" s="35">
        <f>IF(N('Dvd Calendar'!$AG$1012)=0,"",IF(('Dvd Calendar'!$AG$1012&gt;=GRID_FROM)*('Dvd Calendar'!$AG$1012&lt;=GRID_TO)*('Dvd Calendar'!$AG$1012&lt;=VAL_DATE)=0,"",'Dvd Calendar'!$AG$1012*1000000000+ISNUMBER('Dvd Calendar'!$AG$1015)*100000000+('Dvd Calendar'!$AG$1017=SPECIAL_LBL)*10000000+0*1000000+92*1000+29))</f>
        <v/>
      </c>
      <c r="FH103" s="35">
        <f>IF(N('Dvd Calendar'!$AH$1012)=0,"",IF(('Dvd Calendar'!$AH$1012&gt;=GRID_FROM)*('Dvd Calendar'!$AH$1012&lt;=GRID_TO)*('Dvd Calendar'!$AH$1012&lt;=VAL_DATE)=0,"",'Dvd Calendar'!$AH$1012*1000000000+ISNUMBER('Dvd Calendar'!$AH$1015)*100000000+('Dvd Calendar'!$AH$1017=SPECIAL_LBL)*10000000+0*1000000+92*1000+30))</f>
        <v/>
      </c>
      <c r="FI103" s="35">
        <f>IF(N('Dvd Calendar'!$AI$1012)=0,"",IF(('Dvd Calendar'!$AI$1012&gt;=GRID_FROM)*('Dvd Calendar'!$AI$1012&lt;=GRID_TO)*('Dvd Calendar'!$AI$1012&lt;=VAL_DATE)=0,"",'Dvd Calendar'!$AI$1012*1000000000+ISNUMBER('Dvd Calendar'!$AI$1015)*100000000+('Dvd Calendar'!$AI$1017=SPECIAL_LBL)*10000000+0*1000000+92*1000+31))</f>
        <v/>
      </c>
      <c r="FJ103" s="35">
        <f>IF(N('Dvd Calendar'!$AJ$1012)=0,"",IF(('Dvd Calendar'!$AJ$1012&gt;=GRID_FROM)*('Dvd Calendar'!$AJ$1012&lt;=GRID_TO)*('Dvd Calendar'!$AJ$1012&lt;=VAL_DATE)=0,"",'Dvd Calendar'!$AJ$1012*1000000000+ISNUMBER('Dvd Calendar'!$AJ$1015)*100000000+('Dvd Calendar'!$AJ$1017=SPECIAL_LBL)*10000000+0*1000000+92*1000+32))</f>
        <v/>
      </c>
      <c r="FK103" s="35">
        <f>IF(N('Dvd Calendar'!$AK$1012)=0,"",IF(('Dvd Calendar'!$AK$1012&gt;=GRID_FROM)*('Dvd Calendar'!$AK$1012&lt;=GRID_TO)*('Dvd Calendar'!$AK$1012&lt;=VAL_DATE)=0,"",'Dvd Calendar'!$AK$1012*1000000000+ISNUMBER('Dvd Calendar'!$AK$1015)*100000000+('Dvd Calendar'!$AK$1017=SPECIAL_LBL)*10000000+0*1000000+92*1000+33))</f>
        <v/>
      </c>
      <c r="FL103" s="35">
        <f>IF(N('Dvd Calendar'!$AL$1012)=0,"",IF(('Dvd Calendar'!$AL$1012&gt;=GRID_FROM)*('Dvd Calendar'!$AL$1012&lt;=GRID_TO)*('Dvd Calendar'!$AL$1012&lt;=VAL_DATE)=0,"",'Dvd Calendar'!$AL$1012*1000000000+ISNUMBER('Dvd Calendar'!$AL$1015)*100000000+('Dvd Calendar'!$AL$1017=SPECIAL_LBL)*10000000+0*1000000+92*1000+34))</f>
        <v/>
      </c>
      <c r="FM103" s="35">
        <f>IF(N('Dvd Calendar'!$AM$1012)=0,"",IF(('Dvd Calendar'!$AM$1012&gt;=GRID_FROM)*('Dvd Calendar'!$AM$1012&lt;=GRID_TO)*('Dvd Calendar'!$AM$1012&lt;=VAL_DATE)=0,"",'Dvd Calendar'!$AM$1012*1000000000+ISNUMBER('Dvd Calendar'!$AM$1015)*100000000+('Dvd Calendar'!$AM$1017=SPECIAL_LBL)*10000000+0*1000000+92*1000+35))</f>
        <v/>
      </c>
      <c r="FN103" s="35">
        <f>IF(N('Dvd Calendar'!$AN$1012)=0,"",IF(('Dvd Calendar'!$AN$1012&gt;=GRID_FROM)*('Dvd Calendar'!$AN$1012&lt;=GRID_TO)*('Dvd Calendar'!$AN$1012&lt;=VAL_DATE)=0,"",'Dvd Calendar'!$AN$1012*1000000000+ISNUMBER('Dvd Calendar'!$AN$1015)*100000000+('Dvd Calendar'!$AN$1017=SPECIAL_LBL)*10000000+0*1000000+92*1000+36))</f>
        <v/>
      </c>
      <c r="FO103" s="35">
        <f>IF(N('Dvd Calendar'!$AO$1012)=0,"",IF(('Dvd Calendar'!$AO$1012&gt;=GRID_FROM)*('Dvd Calendar'!$AO$1012&lt;=GRID_TO)*('Dvd Calendar'!$AO$1012&lt;=VAL_DATE)=0,"",'Dvd Calendar'!$AO$1012*1000000000+ISNUMBER('Dvd Calendar'!$AO$1015)*100000000+('Dvd Calendar'!$AO$1017=SPECIAL_LBL)*10000000+0*1000000+92*1000+37))</f>
        <v/>
      </c>
      <c r="FP103" s="35">
        <f>IF(N('Dvd Calendar'!$AP$1012)=0,"",IF(('Dvd Calendar'!$AP$1012&gt;=GRID_FROM)*('Dvd Calendar'!$AP$1012&lt;=GRID_TO)*('Dvd Calendar'!$AP$1012&lt;=VAL_DATE)=0,"",'Dvd Calendar'!$AP$1012*1000000000+ISNUMBER('Dvd Calendar'!$AP$1015)*100000000+('Dvd Calendar'!$AP$1017=SPECIAL_LBL)*10000000+0*1000000+92*1000+38))</f>
        <v/>
      </c>
      <c r="FQ103" s="35">
        <f>IF(N('Dvd Calendar'!$AQ$1012)=0,"",IF(('Dvd Calendar'!$AQ$1012&gt;=GRID_FROM)*('Dvd Calendar'!$AQ$1012&lt;=GRID_TO)*('Dvd Calendar'!$AQ$1012&lt;=VAL_DATE)=0,"",'Dvd Calendar'!$AQ$1012*1000000000+ISNUMBER('Dvd Calendar'!$AQ$1015)*100000000+('Dvd Calendar'!$AQ$1017=SPECIAL_LBL)*10000000+0*1000000+92*1000+39))</f>
        <v/>
      </c>
      <c r="FR103" s="35">
        <f>IF(N('Dvd Calendar'!$AR$1012)=0,"",IF(('Dvd Calendar'!$AR$1012&gt;=GRID_FROM)*('Dvd Calendar'!$AR$1012&lt;=GRID_TO)*('Dvd Calendar'!$AR$1012&lt;=VAL_DATE)=0,"",'Dvd Calendar'!$AR$1012*1000000000+ISNUMBER('Dvd Calendar'!$AR$1015)*100000000+('Dvd Calendar'!$AR$1017=SPECIAL_LBL)*10000000+0*1000000+92*1000+40))</f>
        <v/>
      </c>
      <c r="FS103" s="35">
        <f>IF(N('Dvd Calendar'!$E$1019)=0,"",IF(('Dvd Calendar'!$E$1019&gt;=GRID_FROM)*('Dvd Calendar'!$E$1019&lt;=GRID_TO)*('Dvd Calendar'!$E$1019&gt;VAL_DATE)=0,"",'Dvd Calendar'!$E$1019*1000000000+ISNUMBER('Dvd Calendar'!$E$1020)*100000000+0*10000000+(N('Dvd Calendar'!$E$1018)&gt;0)*(N('Dvd Calendar'!$E$1018)&lt;=VAL_SERIAL)*1000000+92*1000+41))</f>
        <v/>
      </c>
      <c r="FT103" s="35">
        <f>IF(N('Dvd Calendar'!$F$1019)=0,"",IF(('Dvd Calendar'!$F$1019&gt;=GRID_FROM)*('Dvd Calendar'!$F$1019&lt;=GRID_TO)*('Dvd Calendar'!$F$1019&gt;VAL_DATE)=0,"",'Dvd Calendar'!$F$1019*1000000000+ISNUMBER('Dvd Calendar'!$F$1020)*100000000+0*10000000+(N('Dvd Calendar'!$F$1018)&gt;0)*(N('Dvd Calendar'!$F$1018)&lt;=VAL_SERIAL)*1000000+92*1000+42))</f>
        <v/>
      </c>
      <c r="FU103" s="35">
        <f>IF(N('Dvd Calendar'!$G$1019)=0,"",IF(('Dvd Calendar'!$G$1019&gt;=GRID_FROM)*('Dvd Calendar'!$G$1019&lt;=GRID_TO)*('Dvd Calendar'!$G$1019&gt;VAL_DATE)=0,"",'Dvd Calendar'!$G$1019*1000000000+ISNUMBER('Dvd Calendar'!$G$1020)*100000000+0*10000000+(N('Dvd Calendar'!$G$1018)&gt;0)*(N('Dvd Calendar'!$G$1018)&lt;=VAL_SERIAL)*1000000+92*1000+43))</f>
        <v/>
      </c>
      <c r="FV103" s="35">
        <f>IF(N('Dvd Calendar'!$H$1019)=0,"",IF(('Dvd Calendar'!$H$1019&gt;=GRID_FROM)*('Dvd Calendar'!$H$1019&lt;=GRID_TO)*('Dvd Calendar'!$H$1019&gt;VAL_DATE)=0,"",'Dvd Calendar'!$H$1019*1000000000+ISNUMBER('Dvd Calendar'!$H$1020)*100000000+0*10000000+(N('Dvd Calendar'!$H$1018)&gt;0)*(N('Dvd Calendar'!$H$1018)&lt;=VAL_SERIAL)*1000000+92*1000+44))</f>
        <v/>
      </c>
      <c r="FW103" s="35">
        <f>IF(N('Dvd Calendar'!$I$1019)=0,"",IF(('Dvd Calendar'!$I$1019&gt;=GRID_FROM)*('Dvd Calendar'!$I$1019&lt;=GRID_TO)*('Dvd Calendar'!$I$1019&gt;VAL_DATE)=0,"",'Dvd Calendar'!$I$1019*1000000000+ISNUMBER('Dvd Calendar'!$I$1020)*100000000+0*10000000+(N('Dvd Calendar'!$I$1018)&gt;0)*(N('Dvd Calendar'!$I$1018)&lt;=VAL_SERIAL)*1000000+92*1000+45))</f>
        <v/>
      </c>
      <c r="FX103" s="35">
        <f>IF(N('Dvd Calendar'!$J$1019)=0,"",IF(('Dvd Calendar'!$J$1019&gt;=GRID_FROM)*('Dvd Calendar'!$J$1019&lt;=GRID_TO)*('Dvd Calendar'!$J$1019&gt;VAL_DATE)=0,"",'Dvd Calendar'!$J$1019*1000000000+ISNUMBER('Dvd Calendar'!$J$1020)*100000000+0*10000000+(N('Dvd Calendar'!$J$1018)&gt;0)*(N('Dvd Calendar'!$J$1018)&lt;=VAL_SERIAL)*1000000+92*1000+46))</f>
        <v/>
      </c>
      <c r="FY103" s="35">
        <f>IF(N('Dvd Calendar'!$K$1019)=0,"",IF(('Dvd Calendar'!$K$1019&gt;=GRID_FROM)*('Dvd Calendar'!$K$1019&lt;=GRID_TO)*('Dvd Calendar'!$K$1019&gt;VAL_DATE)=0,"",'Dvd Calendar'!$K$1019*1000000000+ISNUMBER('Dvd Calendar'!$K$1020)*100000000+0*10000000+(N('Dvd Calendar'!$K$1018)&gt;0)*(N('Dvd Calendar'!$K$1018)&lt;=VAL_SERIAL)*1000000+92*1000+47))</f>
        <v/>
      </c>
      <c r="FZ103" s="35">
        <f>IF(N('Dvd Calendar'!$L$1019)=0,"",IF(('Dvd Calendar'!$L$1019&gt;=GRID_FROM)*('Dvd Calendar'!$L$1019&lt;=GRID_TO)*('Dvd Calendar'!$L$1019&gt;VAL_DATE)=0,"",'Dvd Calendar'!$L$1019*1000000000+ISNUMBER('Dvd Calendar'!$L$1020)*100000000+0*10000000+(N('Dvd Calendar'!$L$1018)&gt;0)*(N('Dvd Calendar'!$L$1018)&lt;=VAL_SERIAL)*1000000+92*1000+48))</f>
        <v/>
      </c>
      <c r="GA103" s="35">
        <f>IF(N('Dvd Calendar'!$M$1019)=0,"",IF(('Dvd Calendar'!$M$1019&gt;=GRID_FROM)*('Dvd Calendar'!$M$1019&lt;=GRID_TO)*('Dvd Calendar'!$M$1019&gt;VAL_DATE)=0,"",'Dvd Calendar'!$M$1019*1000000000+ISNUMBER('Dvd Calendar'!$M$1020)*100000000+0*10000000+(N('Dvd Calendar'!$M$1018)&gt;0)*(N('Dvd Calendar'!$M$1018)&lt;=VAL_SERIAL)*1000000+92*1000+49))</f>
        <v/>
      </c>
      <c r="GB103" s="35">
        <f>IF(N('Dvd Calendar'!$N$1019)=0,"",IF(('Dvd Calendar'!$N$1019&gt;=GRID_FROM)*('Dvd Calendar'!$N$1019&lt;=GRID_TO)*('Dvd Calendar'!$N$1019&gt;VAL_DATE)=0,"",'Dvd Calendar'!$N$1019*1000000000+ISNUMBER('Dvd Calendar'!$N$1020)*100000000+0*10000000+(N('Dvd Calendar'!$N$1018)&gt;0)*(N('Dvd Calendar'!$N$1018)&lt;=VAL_SERIAL)*1000000+92*1000+50))</f>
        <v/>
      </c>
      <c r="GC103" s="35">
        <f>IF(N('Dvd Calendar'!$O$1019)=0,"",IF(('Dvd Calendar'!$O$1019&gt;=GRID_FROM)*('Dvd Calendar'!$O$1019&lt;=GRID_TO)*('Dvd Calendar'!$O$1019&gt;VAL_DATE)=0,"",'Dvd Calendar'!$O$1019*1000000000+ISNUMBER('Dvd Calendar'!$O$1020)*100000000+0*10000000+(N('Dvd Calendar'!$O$1018)&gt;0)*(N('Dvd Calendar'!$O$1018)&lt;=VAL_SERIAL)*1000000+92*1000+51))</f>
        <v/>
      </c>
      <c r="GD103" s="35">
        <f>IF(N('Dvd Calendar'!$P$1019)=0,"",IF(('Dvd Calendar'!$P$1019&gt;=GRID_FROM)*('Dvd Calendar'!$P$1019&lt;=GRID_TO)*('Dvd Calendar'!$P$1019&gt;VAL_DATE)=0,"",'Dvd Calendar'!$P$1019*1000000000+ISNUMBER('Dvd Calendar'!$P$1020)*100000000+0*10000000+(N('Dvd Calendar'!$P$1018)&gt;0)*(N('Dvd Calendar'!$P$1018)&lt;=VAL_SERIAL)*1000000+92*1000+52))</f>
        <v/>
      </c>
      <c r="GE103" s="35">
        <f>IF(N('Dvd Calendar'!$Q$1019)=0,"",IF(('Dvd Calendar'!$Q$1019&gt;=GRID_FROM)*('Dvd Calendar'!$Q$1019&lt;=GRID_TO)*('Dvd Calendar'!$Q$1019&gt;VAL_DATE)=0,"",'Dvd Calendar'!$Q$1019*1000000000+ISNUMBER('Dvd Calendar'!$Q$1020)*100000000+0*10000000+(N('Dvd Calendar'!$Q$1018)&gt;0)*(N('Dvd Calendar'!$Q$1018)&lt;=VAL_SERIAL)*1000000+92*1000+53))</f>
        <v/>
      </c>
      <c r="GF103" s="35">
        <f>IF(N('Dvd Calendar'!$R$1019)=0,"",IF(('Dvd Calendar'!$R$1019&gt;=GRID_FROM)*('Dvd Calendar'!$R$1019&lt;=GRID_TO)*('Dvd Calendar'!$R$1019&gt;VAL_DATE)=0,"",'Dvd Calendar'!$R$1019*1000000000+ISNUMBER('Dvd Calendar'!$R$1020)*100000000+0*10000000+(N('Dvd Calendar'!$R$1018)&gt;0)*(N('Dvd Calendar'!$R$1018)&lt;=VAL_SERIAL)*1000000+92*1000+54))</f>
        <v/>
      </c>
      <c r="GG103" s="35">
        <f>IF(N('Dvd Calendar'!$S$1019)=0,"",IF(('Dvd Calendar'!$S$1019&gt;=GRID_FROM)*('Dvd Calendar'!$S$1019&lt;=GRID_TO)*('Dvd Calendar'!$S$1019&gt;VAL_DATE)=0,"",'Dvd Calendar'!$S$1019*1000000000+ISNUMBER('Dvd Calendar'!$S$1020)*100000000+0*10000000+(N('Dvd Calendar'!$S$1018)&gt;0)*(N('Dvd Calendar'!$S$1018)&lt;=VAL_SERIAL)*1000000+92*1000+55))</f>
        <v/>
      </c>
      <c r="GH103" s="35">
        <f>IF(N('Dvd Calendar'!$T$1019)=0,"",IF(('Dvd Calendar'!$T$1019&gt;=GRID_FROM)*('Dvd Calendar'!$T$1019&lt;=GRID_TO)*('Dvd Calendar'!$T$1019&gt;VAL_DATE)=0,"",'Dvd Calendar'!$T$1019*1000000000+ISNUMBER('Dvd Calendar'!$T$1020)*100000000+0*10000000+(N('Dvd Calendar'!$T$1018)&gt;0)*(N('Dvd Calendar'!$T$1018)&lt;=VAL_SERIAL)*1000000+92*1000+56))</f>
        <v/>
      </c>
      <c r="GI103" s="35">
        <f>IF(N('Dvd Calendar'!$U$1019)=0,"",IF(('Dvd Calendar'!$U$1019&gt;=GRID_FROM)*('Dvd Calendar'!$U$1019&lt;=GRID_TO)*('Dvd Calendar'!$U$1019&gt;VAL_DATE)=0,"",'Dvd Calendar'!$U$1019*1000000000+ISNUMBER('Dvd Calendar'!$U$1020)*100000000+0*10000000+(N('Dvd Calendar'!$U$1018)&gt;0)*(N('Dvd Calendar'!$U$1018)&lt;=VAL_SERIAL)*1000000+92*1000+57))</f>
        <v/>
      </c>
      <c r="GJ103" s="35">
        <f>IF(N('Dvd Calendar'!$V$1019)=0,"",IF(('Dvd Calendar'!$V$1019&gt;=GRID_FROM)*('Dvd Calendar'!$V$1019&lt;=GRID_TO)*('Dvd Calendar'!$V$1019&gt;VAL_DATE)=0,"",'Dvd Calendar'!$V$1019*1000000000+ISNUMBER('Dvd Calendar'!$V$1020)*100000000+0*10000000+(N('Dvd Calendar'!$V$1018)&gt;0)*(N('Dvd Calendar'!$V$1018)&lt;=VAL_SERIAL)*1000000+92*1000+58))</f>
        <v/>
      </c>
      <c r="GK103" s="35">
        <f>IF(N('Dvd Calendar'!$W$1019)=0,"",IF(('Dvd Calendar'!$W$1019&gt;=GRID_FROM)*('Dvd Calendar'!$W$1019&lt;=GRID_TO)*('Dvd Calendar'!$W$1019&gt;VAL_DATE)=0,"",'Dvd Calendar'!$W$1019*1000000000+ISNUMBER('Dvd Calendar'!$W$1020)*100000000+0*10000000+(N('Dvd Calendar'!$W$1018)&gt;0)*(N('Dvd Calendar'!$W$1018)&lt;=VAL_SERIAL)*1000000+92*1000+59))</f>
        <v/>
      </c>
      <c r="GL103" s="35">
        <f>IF(N('Dvd Calendar'!$X$1019)=0,"",IF(('Dvd Calendar'!$X$1019&gt;=GRID_FROM)*('Dvd Calendar'!$X$1019&lt;=GRID_TO)*('Dvd Calendar'!$X$1019&gt;VAL_DATE)=0,"",'Dvd Calendar'!$X$1019*1000000000+ISNUMBER('Dvd Calendar'!$X$1020)*100000000+0*10000000+(N('Dvd Calendar'!$X$1018)&gt;0)*(N('Dvd Calendar'!$X$1018)&lt;=VAL_SERIAL)*1000000+92*1000+60))</f>
        <v/>
      </c>
      <c r="GM103" s="35">
        <f>IF(N('Dvd Calendar'!$Y$1019)=0,"",IF(('Dvd Calendar'!$Y$1019&gt;=GRID_FROM)*('Dvd Calendar'!$Y$1019&lt;=GRID_TO)*('Dvd Calendar'!$Y$1019&gt;VAL_DATE)=0,"",'Dvd Calendar'!$Y$1019*1000000000+ISNUMBER('Dvd Calendar'!$Y$1020)*100000000+0*10000000+(N('Dvd Calendar'!$Y$1018)&gt;0)*(N('Dvd Calendar'!$Y$1018)&lt;=VAL_SERIAL)*1000000+92*1000+61))</f>
        <v/>
      </c>
      <c r="GN103" s="35">
        <f>IF(N('Dvd Calendar'!$Z$1019)=0,"",IF(('Dvd Calendar'!$Z$1019&gt;=GRID_FROM)*('Dvd Calendar'!$Z$1019&lt;=GRID_TO)*('Dvd Calendar'!$Z$1019&gt;VAL_DATE)=0,"",'Dvd Calendar'!$Z$1019*1000000000+ISNUMBER('Dvd Calendar'!$Z$1020)*100000000+0*10000000+(N('Dvd Calendar'!$Z$1018)&gt;0)*(N('Dvd Calendar'!$Z$1018)&lt;=VAL_SERIAL)*1000000+92*1000+62))</f>
        <v/>
      </c>
      <c r="GO103" s="35">
        <f>IF(N('Dvd Calendar'!$AA$1019)=0,"",IF(('Dvd Calendar'!$AA$1019&gt;=GRID_FROM)*('Dvd Calendar'!$AA$1019&lt;=GRID_TO)*('Dvd Calendar'!$AA$1019&gt;VAL_DATE)=0,"",'Dvd Calendar'!$AA$1019*1000000000+ISNUMBER('Dvd Calendar'!$AA$1020)*100000000+0*10000000+(N('Dvd Calendar'!$AA$1018)&gt;0)*(N('Dvd Calendar'!$AA$1018)&lt;=VAL_SERIAL)*1000000+92*1000+63))</f>
        <v/>
      </c>
      <c r="GP103" s="35">
        <f>IF(N('Dvd Calendar'!$AB$1019)=0,"",IF(('Dvd Calendar'!$AB$1019&gt;=GRID_FROM)*('Dvd Calendar'!$AB$1019&lt;=GRID_TO)*('Dvd Calendar'!$AB$1019&gt;VAL_DATE)=0,"",'Dvd Calendar'!$AB$1019*1000000000+ISNUMBER('Dvd Calendar'!$AB$1020)*100000000+0*10000000+(N('Dvd Calendar'!$AB$1018)&gt;0)*(N('Dvd Calendar'!$AB$1018)&lt;=VAL_SERIAL)*1000000+92*1000+64))</f>
        <v/>
      </c>
      <c r="GQ103" s="35">
        <f>IF(N('Dvd Calendar'!$AC$1019)=0,"",IF(('Dvd Calendar'!$AC$1019&gt;=GRID_FROM)*('Dvd Calendar'!$AC$1019&lt;=GRID_TO)*('Dvd Calendar'!$AC$1019&gt;VAL_DATE)=0,"",'Dvd Calendar'!$AC$1019*1000000000+ISNUMBER('Dvd Calendar'!$AC$1020)*100000000+0*10000000+(N('Dvd Calendar'!$AC$1018)&gt;0)*(N('Dvd Calendar'!$AC$1018)&lt;=VAL_SERIAL)*1000000+92*1000+65))</f>
        <v/>
      </c>
    </row>
    <row r="104">
      <c r="B104" s="2">
        <f>IF(HSI!$C$99="","",HSI!$C$99)</f>
        <v/>
      </c>
      <c r="C104" s="106">
        <f>IF(EE104="","",IF(ISNUMBER('Dvd Calendar'!$E$1026)=FALSE,"",IF((('Dvd Calendar'!$E$1028=TYPE1)*(TYPE1&lt;&gt;"")+('Dvd Calendar'!$E$1028=TYPE2)*(TYPE2&lt;&gt;"")+('Dvd Calendar'!$E$1028=TYPE3)*(TYPE3&lt;&gt;"")+('Dvd Calendar'!$E$1028=TYPE4)*(TYPE4&lt;&gt;"")+('Dvd Calendar'!$E$1028=SPECIAL_LBL)*(INC_SPECIALS="Y"))=0,"",'Dvd Calendar'!$E$1026)))</f>
        <v/>
      </c>
      <c r="D104" s="106">
        <f>IF(EF104="","",IF(ISNUMBER('Dvd Calendar'!$F$1026)=FALSE,"",IF((('Dvd Calendar'!$F$1028=TYPE1)*(TYPE1&lt;&gt;"")+('Dvd Calendar'!$F$1028=TYPE2)*(TYPE2&lt;&gt;"")+('Dvd Calendar'!$F$1028=TYPE3)*(TYPE3&lt;&gt;"")+('Dvd Calendar'!$F$1028=TYPE4)*(TYPE4&lt;&gt;"")+('Dvd Calendar'!$F$1028=SPECIAL_LBL)*(INC_SPECIALS="Y"))=0,"",'Dvd Calendar'!$F$1026)))</f>
        <v/>
      </c>
      <c r="E104" s="106">
        <f>IF(EG104="","",IF(ISNUMBER('Dvd Calendar'!$G$1026)=FALSE,"",IF((('Dvd Calendar'!$G$1028=TYPE1)*(TYPE1&lt;&gt;"")+('Dvd Calendar'!$G$1028=TYPE2)*(TYPE2&lt;&gt;"")+('Dvd Calendar'!$G$1028=TYPE3)*(TYPE3&lt;&gt;"")+('Dvd Calendar'!$G$1028=TYPE4)*(TYPE4&lt;&gt;"")+('Dvd Calendar'!$G$1028=SPECIAL_LBL)*(INC_SPECIALS="Y"))=0,"",'Dvd Calendar'!$G$1026)))</f>
        <v/>
      </c>
      <c r="F104" s="106">
        <f>IF(EH104="","",IF(ISNUMBER('Dvd Calendar'!$H$1026)=FALSE,"",IF((('Dvd Calendar'!$H$1028=TYPE1)*(TYPE1&lt;&gt;"")+('Dvd Calendar'!$H$1028=TYPE2)*(TYPE2&lt;&gt;"")+('Dvd Calendar'!$H$1028=TYPE3)*(TYPE3&lt;&gt;"")+('Dvd Calendar'!$H$1028=TYPE4)*(TYPE4&lt;&gt;"")+('Dvd Calendar'!$H$1028=SPECIAL_LBL)*(INC_SPECIALS="Y"))=0,"",'Dvd Calendar'!$H$1026)))</f>
        <v/>
      </c>
      <c r="G104" s="106">
        <f>IF(EI104="","",IF(ISNUMBER('Dvd Calendar'!$I$1026)=FALSE,"",IF((('Dvd Calendar'!$I$1028=TYPE1)*(TYPE1&lt;&gt;"")+('Dvd Calendar'!$I$1028=TYPE2)*(TYPE2&lt;&gt;"")+('Dvd Calendar'!$I$1028=TYPE3)*(TYPE3&lt;&gt;"")+('Dvd Calendar'!$I$1028=TYPE4)*(TYPE4&lt;&gt;"")+('Dvd Calendar'!$I$1028=SPECIAL_LBL)*(INC_SPECIALS="Y"))=0,"",'Dvd Calendar'!$I$1026)))</f>
        <v/>
      </c>
      <c r="H104" s="106">
        <f>IF(EJ104="","",IF(ISNUMBER('Dvd Calendar'!$J$1026)=FALSE,"",IF((('Dvd Calendar'!$J$1028=TYPE1)*(TYPE1&lt;&gt;"")+('Dvd Calendar'!$J$1028=TYPE2)*(TYPE2&lt;&gt;"")+('Dvd Calendar'!$J$1028=TYPE3)*(TYPE3&lt;&gt;"")+('Dvd Calendar'!$J$1028=TYPE4)*(TYPE4&lt;&gt;"")+('Dvd Calendar'!$J$1028=SPECIAL_LBL)*(INC_SPECIALS="Y"))=0,"",'Dvd Calendar'!$J$1026)))</f>
        <v/>
      </c>
      <c r="I104" s="106">
        <f>IF(EK104="","",IF(ISNUMBER('Dvd Calendar'!$K$1026)=FALSE,"",IF((('Dvd Calendar'!$K$1028=TYPE1)*(TYPE1&lt;&gt;"")+('Dvd Calendar'!$K$1028=TYPE2)*(TYPE2&lt;&gt;"")+('Dvd Calendar'!$K$1028=TYPE3)*(TYPE3&lt;&gt;"")+('Dvd Calendar'!$K$1028=TYPE4)*(TYPE4&lt;&gt;"")+('Dvd Calendar'!$K$1028=SPECIAL_LBL)*(INC_SPECIALS="Y"))=0,"",'Dvd Calendar'!$K$1026)))</f>
        <v/>
      </c>
      <c r="J104" s="106">
        <f>IF(EL104="","",IF(ISNUMBER('Dvd Calendar'!$L$1026)=FALSE,"",IF((('Dvd Calendar'!$L$1028=TYPE1)*(TYPE1&lt;&gt;"")+('Dvd Calendar'!$L$1028=TYPE2)*(TYPE2&lt;&gt;"")+('Dvd Calendar'!$L$1028=TYPE3)*(TYPE3&lt;&gt;"")+('Dvd Calendar'!$L$1028=TYPE4)*(TYPE4&lt;&gt;"")+('Dvd Calendar'!$L$1028=SPECIAL_LBL)*(INC_SPECIALS="Y"))=0,"",'Dvd Calendar'!$L$1026)))</f>
        <v/>
      </c>
      <c r="K104" s="106">
        <f>IF(EM104="","",IF(ISNUMBER('Dvd Calendar'!$M$1026)=FALSE,"",IF((('Dvd Calendar'!$M$1028=TYPE1)*(TYPE1&lt;&gt;"")+('Dvd Calendar'!$M$1028=TYPE2)*(TYPE2&lt;&gt;"")+('Dvd Calendar'!$M$1028=TYPE3)*(TYPE3&lt;&gt;"")+('Dvd Calendar'!$M$1028=TYPE4)*(TYPE4&lt;&gt;"")+('Dvd Calendar'!$M$1028=SPECIAL_LBL)*(INC_SPECIALS="Y"))=0,"",'Dvd Calendar'!$M$1026)))</f>
        <v/>
      </c>
      <c r="L104" s="106">
        <f>IF(EN104="","",IF(ISNUMBER('Dvd Calendar'!$N$1026)=FALSE,"",IF((('Dvd Calendar'!$N$1028=TYPE1)*(TYPE1&lt;&gt;"")+('Dvd Calendar'!$N$1028=TYPE2)*(TYPE2&lt;&gt;"")+('Dvd Calendar'!$N$1028=TYPE3)*(TYPE3&lt;&gt;"")+('Dvd Calendar'!$N$1028=TYPE4)*(TYPE4&lt;&gt;"")+('Dvd Calendar'!$N$1028=SPECIAL_LBL)*(INC_SPECIALS="Y"))=0,"",'Dvd Calendar'!$N$1026)))</f>
        <v/>
      </c>
      <c r="M104" s="106">
        <f>IF(EO104="","",IF(ISNUMBER('Dvd Calendar'!$O$1026)=FALSE,"",IF((('Dvd Calendar'!$O$1028=TYPE1)*(TYPE1&lt;&gt;"")+('Dvd Calendar'!$O$1028=TYPE2)*(TYPE2&lt;&gt;"")+('Dvd Calendar'!$O$1028=TYPE3)*(TYPE3&lt;&gt;"")+('Dvd Calendar'!$O$1028=TYPE4)*(TYPE4&lt;&gt;"")+('Dvd Calendar'!$O$1028=SPECIAL_LBL)*(INC_SPECIALS="Y"))=0,"",'Dvd Calendar'!$O$1026)))</f>
        <v/>
      </c>
      <c r="N104" s="106">
        <f>IF(EP104="","",IF(ISNUMBER('Dvd Calendar'!$P$1026)=FALSE,"",IF((('Dvd Calendar'!$P$1028=TYPE1)*(TYPE1&lt;&gt;"")+('Dvd Calendar'!$P$1028=TYPE2)*(TYPE2&lt;&gt;"")+('Dvd Calendar'!$P$1028=TYPE3)*(TYPE3&lt;&gt;"")+('Dvd Calendar'!$P$1028=TYPE4)*(TYPE4&lt;&gt;"")+('Dvd Calendar'!$P$1028=SPECIAL_LBL)*(INC_SPECIALS="Y"))=0,"",'Dvd Calendar'!$P$1026)))</f>
        <v/>
      </c>
      <c r="O104" s="106">
        <f>IF(EQ104="","",IF(ISNUMBER('Dvd Calendar'!$Q$1026)=FALSE,"",IF((('Dvd Calendar'!$Q$1028=TYPE1)*(TYPE1&lt;&gt;"")+('Dvd Calendar'!$Q$1028=TYPE2)*(TYPE2&lt;&gt;"")+('Dvd Calendar'!$Q$1028=TYPE3)*(TYPE3&lt;&gt;"")+('Dvd Calendar'!$Q$1028=TYPE4)*(TYPE4&lt;&gt;"")+('Dvd Calendar'!$Q$1028=SPECIAL_LBL)*(INC_SPECIALS="Y"))=0,"",'Dvd Calendar'!$Q$1026)))</f>
        <v/>
      </c>
      <c r="P104" s="106">
        <f>IF(ER104="","",IF(ISNUMBER('Dvd Calendar'!$R$1026)=FALSE,"",IF((('Dvd Calendar'!$R$1028=TYPE1)*(TYPE1&lt;&gt;"")+('Dvd Calendar'!$R$1028=TYPE2)*(TYPE2&lt;&gt;"")+('Dvd Calendar'!$R$1028=TYPE3)*(TYPE3&lt;&gt;"")+('Dvd Calendar'!$R$1028=TYPE4)*(TYPE4&lt;&gt;"")+('Dvd Calendar'!$R$1028=SPECIAL_LBL)*(INC_SPECIALS="Y"))=0,"",'Dvd Calendar'!$R$1026)))</f>
        <v/>
      </c>
      <c r="Q104" s="106">
        <f>IF(ES104="","",IF(ISNUMBER('Dvd Calendar'!$S$1026)=FALSE,"",IF((('Dvd Calendar'!$S$1028=TYPE1)*(TYPE1&lt;&gt;"")+('Dvd Calendar'!$S$1028=TYPE2)*(TYPE2&lt;&gt;"")+('Dvd Calendar'!$S$1028=TYPE3)*(TYPE3&lt;&gt;"")+('Dvd Calendar'!$S$1028=TYPE4)*(TYPE4&lt;&gt;"")+('Dvd Calendar'!$S$1028=SPECIAL_LBL)*(INC_SPECIALS="Y"))=0,"",'Dvd Calendar'!$S$1026)))</f>
        <v/>
      </c>
      <c r="R104" s="106">
        <f>IF(ET104="","",IF(ISNUMBER('Dvd Calendar'!$T$1026)=FALSE,"",IF((('Dvd Calendar'!$T$1028=TYPE1)*(TYPE1&lt;&gt;"")+('Dvd Calendar'!$T$1028=TYPE2)*(TYPE2&lt;&gt;"")+('Dvd Calendar'!$T$1028=TYPE3)*(TYPE3&lt;&gt;"")+('Dvd Calendar'!$T$1028=TYPE4)*(TYPE4&lt;&gt;"")+('Dvd Calendar'!$T$1028=SPECIAL_LBL)*(INC_SPECIALS="Y"))=0,"",'Dvd Calendar'!$T$1026)))</f>
        <v/>
      </c>
      <c r="S104" s="106">
        <f>IF(EU104="","",IF(ISNUMBER('Dvd Calendar'!$U$1026)=FALSE,"",IF((('Dvd Calendar'!$U$1028=TYPE1)*(TYPE1&lt;&gt;"")+('Dvd Calendar'!$U$1028=TYPE2)*(TYPE2&lt;&gt;"")+('Dvd Calendar'!$U$1028=TYPE3)*(TYPE3&lt;&gt;"")+('Dvd Calendar'!$U$1028=TYPE4)*(TYPE4&lt;&gt;"")+('Dvd Calendar'!$U$1028=SPECIAL_LBL)*(INC_SPECIALS="Y"))=0,"",'Dvd Calendar'!$U$1026)))</f>
        <v/>
      </c>
      <c r="T104" s="106">
        <f>IF(EV104="","",IF(ISNUMBER('Dvd Calendar'!$V$1026)=FALSE,"",IF((('Dvd Calendar'!$V$1028=TYPE1)*(TYPE1&lt;&gt;"")+('Dvd Calendar'!$V$1028=TYPE2)*(TYPE2&lt;&gt;"")+('Dvd Calendar'!$V$1028=TYPE3)*(TYPE3&lt;&gt;"")+('Dvd Calendar'!$V$1028=TYPE4)*(TYPE4&lt;&gt;"")+('Dvd Calendar'!$V$1028=SPECIAL_LBL)*(INC_SPECIALS="Y"))=0,"",'Dvd Calendar'!$V$1026)))</f>
        <v/>
      </c>
      <c r="U104" s="106">
        <f>IF(EW104="","",IF(ISNUMBER('Dvd Calendar'!$W$1026)=FALSE,"",IF((('Dvd Calendar'!$W$1028=TYPE1)*(TYPE1&lt;&gt;"")+('Dvd Calendar'!$W$1028=TYPE2)*(TYPE2&lt;&gt;"")+('Dvd Calendar'!$W$1028=TYPE3)*(TYPE3&lt;&gt;"")+('Dvd Calendar'!$W$1028=TYPE4)*(TYPE4&lt;&gt;"")+('Dvd Calendar'!$W$1028=SPECIAL_LBL)*(INC_SPECIALS="Y"))=0,"",'Dvd Calendar'!$W$1026)))</f>
        <v/>
      </c>
      <c r="V104" s="106">
        <f>IF(EX104="","",IF(ISNUMBER('Dvd Calendar'!$X$1026)=FALSE,"",IF((('Dvd Calendar'!$X$1028=TYPE1)*(TYPE1&lt;&gt;"")+('Dvd Calendar'!$X$1028=TYPE2)*(TYPE2&lt;&gt;"")+('Dvd Calendar'!$X$1028=TYPE3)*(TYPE3&lt;&gt;"")+('Dvd Calendar'!$X$1028=TYPE4)*(TYPE4&lt;&gt;"")+('Dvd Calendar'!$X$1028=SPECIAL_LBL)*(INC_SPECIALS="Y"))=0,"",'Dvd Calendar'!$X$1026)))</f>
        <v/>
      </c>
      <c r="W104" s="106">
        <f>IF(EY104="","",IF(ISNUMBER('Dvd Calendar'!$Y$1026)=FALSE,"",IF((('Dvd Calendar'!$Y$1028=TYPE1)*(TYPE1&lt;&gt;"")+('Dvd Calendar'!$Y$1028=TYPE2)*(TYPE2&lt;&gt;"")+('Dvd Calendar'!$Y$1028=TYPE3)*(TYPE3&lt;&gt;"")+('Dvd Calendar'!$Y$1028=TYPE4)*(TYPE4&lt;&gt;"")+('Dvd Calendar'!$Y$1028=SPECIAL_LBL)*(INC_SPECIALS="Y"))=0,"",'Dvd Calendar'!$Y$1026)))</f>
        <v/>
      </c>
      <c r="X104" s="106">
        <f>IF(EZ104="","",IF(ISNUMBER('Dvd Calendar'!$Z$1026)=FALSE,"",IF((('Dvd Calendar'!$Z$1028=TYPE1)*(TYPE1&lt;&gt;"")+('Dvd Calendar'!$Z$1028=TYPE2)*(TYPE2&lt;&gt;"")+('Dvd Calendar'!$Z$1028=TYPE3)*(TYPE3&lt;&gt;"")+('Dvd Calendar'!$Z$1028=TYPE4)*(TYPE4&lt;&gt;"")+('Dvd Calendar'!$Z$1028=SPECIAL_LBL)*(INC_SPECIALS="Y"))=0,"",'Dvd Calendar'!$Z$1026)))</f>
        <v/>
      </c>
      <c r="Y104" s="106">
        <f>IF(FA104="","",IF(ISNUMBER('Dvd Calendar'!$AA$1026)=FALSE,"",IF((('Dvd Calendar'!$AA$1028=TYPE1)*(TYPE1&lt;&gt;"")+('Dvd Calendar'!$AA$1028=TYPE2)*(TYPE2&lt;&gt;"")+('Dvd Calendar'!$AA$1028=TYPE3)*(TYPE3&lt;&gt;"")+('Dvd Calendar'!$AA$1028=TYPE4)*(TYPE4&lt;&gt;"")+('Dvd Calendar'!$AA$1028=SPECIAL_LBL)*(INC_SPECIALS="Y"))=0,"",'Dvd Calendar'!$AA$1026)))</f>
        <v/>
      </c>
      <c r="Z104" s="106">
        <f>IF(FB104="","",IF(ISNUMBER('Dvd Calendar'!$AB$1026)=FALSE,"",IF((('Dvd Calendar'!$AB$1028=TYPE1)*(TYPE1&lt;&gt;"")+('Dvd Calendar'!$AB$1028=TYPE2)*(TYPE2&lt;&gt;"")+('Dvd Calendar'!$AB$1028=TYPE3)*(TYPE3&lt;&gt;"")+('Dvd Calendar'!$AB$1028=TYPE4)*(TYPE4&lt;&gt;"")+('Dvd Calendar'!$AB$1028=SPECIAL_LBL)*(INC_SPECIALS="Y"))=0,"",'Dvd Calendar'!$AB$1026)))</f>
        <v/>
      </c>
      <c r="AA104" s="106">
        <f>IF(FC104="","",IF(ISNUMBER('Dvd Calendar'!$AC$1026)=FALSE,"",IF((('Dvd Calendar'!$AC$1028=TYPE1)*(TYPE1&lt;&gt;"")+('Dvd Calendar'!$AC$1028=TYPE2)*(TYPE2&lt;&gt;"")+('Dvd Calendar'!$AC$1028=TYPE3)*(TYPE3&lt;&gt;"")+('Dvd Calendar'!$AC$1028=TYPE4)*(TYPE4&lt;&gt;"")+('Dvd Calendar'!$AC$1028=SPECIAL_LBL)*(INC_SPECIALS="Y"))=0,"",'Dvd Calendar'!$AC$1026)))</f>
        <v/>
      </c>
      <c r="AB104" s="106">
        <f>IF(FD104="","",IF(ISNUMBER('Dvd Calendar'!$AD$1026)=FALSE,"",IF((('Dvd Calendar'!$AD$1028=TYPE1)*(TYPE1&lt;&gt;"")+('Dvd Calendar'!$AD$1028=TYPE2)*(TYPE2&lt;&gt;"")+('Dvd Calendar'!$AD$1028=TYPE3)*(TYPE3&lt;&gt;"")+('Dvd Calendar'!$AD$1028=TYPE4)*(TYPE4&lt;&gt;"")+('Dvd Calendar'!$AD$1028=SPECIAL_LBL)*(INC_SPECIALS="Y"))=0,"",'Dvd Calendar'!$AD$1026)))</f>
        <v/>
      </c>
      <c r="AC104" s="106">
        <f>IF(FE104="","",IF(ISNUMBER('Dvd Calendar'!$AE$1026)=FALSE,"",IF((('Dvd Calendar'!$AE$1028=TYPE1)*(TYPE1&lt;&gt;"")+('Dvd Calendar'!$AE$1028=TYPE2)*(TYPE2&lt;&gt;"")+('Dvd Calendar'!$AE$1028=TYPE3)*(TYPE3&lt;&gt;"")+('Dvd Calendar'!$AE$1028=TYPE4)*(TYPE4&lt;&gt;"")+('Dvd Calendar'!$AE$1028=SPECIAL_LBL)*(INC_SPECIALS="Y"))=0,"",'Dvd Calendar'!$AE$1026)))</f>
        <v/>
      </c>
      <c r="AD104" s="106">
        <f>IF(FF104="","",IF(ISNUMBER('Dvd Calendar'!$AF$1026)=FALSE,"",IF((('Dvd Calendar'!$AF$1028=TYPE1)*(TYPE1&lt;&gt;"")+('Dvd Calendar'!$AF$1028=TYPE2)*(TYPE2&lt;&gt;"")+('Dvd Calendar'!$AF$1028=TYPE3)*(TYPE3&lt;&gt;"")+('Dvd Calendar'!$AF$1028=TYPE4)*(TYPE4&lt;&gt;"")+('Dvd Calendar'!$AF$1028=SPECIAL_LBL)*(INC_SPECIALS="Y"))=0,"",'Dvd Calendar'!$AF$1026)))</f>
        <v/>
      </c>
      <c r="AE104" s="106">
        <f>IF(FG104="","",IF(ISNUMBER('Dvd Calendar'!$AG$1026)=FALSE,"",IF((('Dvd Calendar'!$AG$1028=TYPE1)*(TYPE1&lt;&gt;"")+('Dvd Calendar'!$AG$1028=TYPE2)*(TYPE2&lt;&gt;"")+('Dvd Calendar'!$AG$1028=TYPE3)*(TYPE3&lt;&gt;"")+('Dvd Calendar'!$AG$1028=TYPE4)*(TYPE4&lt;&gt;"")+('Dvd Calendar'!$AG$1028=SPECIAL_LBL)*(INC_SPECIALS="Y"))=0,"",'Dvd Calendar'!$AG$1026)))</f>
        <v/>
      </c>
      <c r="AF104" s="106">
        <f>IF(FH104="","",IF(ISNUMBER('Dvd Calendar'!$AH$1026)=FALSE,"",IF((('Dvd Calendar'!$AH$1028=TYPE1)*(TYPE1&lt;&gt;"")+('Dvd Calendar'!$AH$1028=TYPE2)*(TYPE2&lt;&gt;"")+('Dvd Calendar'!$AH$1028=TYPE3)*(TYPE3&lt;&gt;"")+('Dvd Calendar'!$AH$1028=TYPE4)*(TYPE4&lt;&gt;"")+('Dvd Calendar'!$AH$1028=SPECIAL_LBL)*(INC_SPECIALS="Y"))=0,"",'Dvd Calendar'!$AH$1026)))</f>
        <v/>
      </c>
      <c r="AG104" s="106">
        <f>IF(FI104="","",IF(ISNUMBER('Dvd Calendar'!$AI$1026)=FALSE,"",IF((('Dvd Calendar'!$AI$1028=TYPE1)*(TYPE1&lt;&gt;"")+('Dvd Calendar'!$AI$1028=TYPE2)*(TYPE2&lt;&gt;"")+('Dvd Calendar'!$AI$1028=TYPE3)*(TYPE3&lt;&gt;"")+('Dvd Calendar'!$AI$1028=TYPE4)*(TYPE4&lt;&gt;"")+('Dvd Calendar'!$AI$1028=SPECIAL_LBL)*(INC_SPECIALS="Y"))=0,"",'Dvd Calendar'!$AI$1026)))</f>
        <v/>
      </c>
      <c r="AH104" s="106">
        <f>IF(FJ104="","",IF(ISNUMBER('Dvd Calendar'!$AJ$1026)=FALSE,"",IF((('Dvd Calendar'!$AJ$1028=TYPE1)*(TYPE1&lt;&gt;"")+('Dvd Calendar'!$AJ$1028=TYPE2)*(TYPE2&lt;&gt;"")+('Dvd Calendar'!$AJ$1028=TYPE3)*(TYPE3&lt;&gt;"")+('Dvd Calendar'!$AJ$1028=TYPE4)*(TYPE4&lt;&gt;"")+('Dvd Calendar'!$AJ$1028=SPECIAL_LBL)*(INC_SPECIALS="Y"))=0,"",'Dvd Calendar'!$AJ$1026)))</f>
        <v/>
      </c>
      <c r="AI104" s="106">
        <f>IF(FK104="","",IF(ISNUMBER('Dvd Calendar'!$AK$1026)=FALSE,"",IF((('Dvd Calendar'!$AK$1028=TYPE1)*(TYPE1&lt;&gt;"")+('Dvd Calendar'!$AK$1028=TYPE2)*(TYPE2&lt;&gt;"")+('Dvd Calendar'!$AK$1028=TYPE3)*(TYPE3&lt;&gt;"")+('Dvd Calendar'!$AK$1028=TYPE4)*(TYPE4&lt;&gt;"")+('Dvd Calendar'!$AK$1028=SPECIAL_LBL)*(INC_SPECIALS="Y"))=0,"",'Dvd Calendar'!$AK$1026)))</f>
        <v/>
      </c>
      <c r="AJ104" s="106">
        <f>IF(FL104="","",IF(ISNUMBER('Dvd Calendar'!$AL$1026)=FALSE,"",IF((('Dvd Calendar'!$AL$1028=TYPE1)*(TYPE1&lt;&gt;"")+('Dvd Calendar'!$AL$1028=TYPE2)*(TYPE2&lt;&gt;"")+('Dvd Calendar'!$AL$1028=TYPE3)*(TYPE3&lt;&gt;"")+('Dvd Calendar'!$AL$1028=TYPE4)*(TYPE4&lt;&gt;"")+('Dvd Calendar'!$AL$1028=SPECIAL_LBL)*(INC_SPECIALS="Y"))=0,"",'Dvd Calendar'!$AL$1026)))</f>
        <v/>
      </c>
      <c r="AK104" s="106">
        <f>IF(FM104="","",IF(ISNUMBER('Dvd Calendar'!$AM$1026)=FALSE,"",IF((('Dvd Calendar'!$AM$1028=TYPE1)*(TYPE1&lt;&gt;"")+('Dvd Calendar'!$AM$1028=TYPE2)*(TYPE2&lt;&gt;"")+('Dvd Calendar'!$AM$1028=TYPE3)*(TYPE3&lt;&gt;"")+('Dvd Calendar'!$AM$1028=TYPE4)*(TYPE4&lt;&gt;"")+('Dvd Calendar'!$AM$1028=SPECIAL_LBL)*(INC_SPECIALS="Y"))=0,"",'Dvd Calendar'!$AM$1026)))</f>
        <v/>
      </c>
      <c r="AL104" s="106">
        <f>IF(FN104="","",IF(ISNUMBER('Dvd Calendar'!$AN$1026)=FALSE,"",IF((('Dvd Calendar'!$AN$1028=TYPE1)*(TYPE1&lt;&gt;"")+('Dvd Calendar'!$AN$1028=TYPE2)*(TYPE2&lt;&gt;"")+('Dvd Calendar'!$AN$1028=TYPE3)*(TYPE3&lt;&gt;"")+('Dvd Calendar'!$AN$1028=TYPE4)*(TYPE4&lt;&gt;"")+('Dvd Calendar'!$AN$1028=SPECIAL_LBL)*(INC_SPECIALS="Y"))=0,"",'Dvd Calendar'!$AN$1026)))</f>
        <v/>
      </c>
      <c r="AM104" s="106">
        <f>IF(FO104="","",IF(ISNUMBER('Dvd Calendar'!$AO$1026)=FALSE,"",IF((('Dvd Calendar'!$AO$1028=TYPE1)*(TYPE1&lt;&gt;"")+('Dvd Calendar'!$AO$1028=TYPE2)*(TYPE2&lt;&gt;"")+('Dvd Calendar'!$AO$1028=TYPE3)*(TYPE3&lt;&gt;"")+('Dvd Calendar'!$AO$1028=TYPE4)*(TYPE4&lt;&gt;"")+('Dvd Calendar'!$AO$1028=SPECIAL_LBL)*(INC_SPECIALS="Y"))=0,"",'Dvd Calendar'!$AO$1026)))</f>
        <v/>
      </c>
      <c r="AN104" s="106">
        <f>IF(FP104="","",IF(ISNUMBER('Dvd Calendar'!$AP$1026)=FALSE,"",IF((('Dvd Calendar'!$AP$1028=TYPE1)*(TYPE1&lt;&gt;"")+('Dvd Calendar'!$AP$1028=TYPE2)*(TYPE2&lt;&gt;"")+('Dvd Calendar'!$AP$1028=TYPE3)*(TYPE3&lt;&gt;"")+('Dvd Calendar'!$AP$1028=TYPE4)*(TYPE4&lt;&gt;"")+('Dvd Calendar'!$AP$1028=SPECIAL_LBL)*(INC_SPECIALS="Y"))=0,"",'Dvd Calendar'!$AP$1026)))</f>
        <v/>
      </c>
      <c r="AO104" s="106">
        <f>IF(FQ104="","",IF(ISNUMBER('Dvd Calendar'!$AQ$1026)=FALSE,"",IF((('Dvd Calendar'!$AQ$1028=TYPE1)*(TYPE1&lt;&gt;"")+('Dvd Calendar'!$AQ$1028=TYPE2)*(TYPE2&lt;&gt;"")+('Dvd Calendar'!$AQ$1028=TYPE3)*(TYPE3&lt;&gt;"")+('Dvd Calendar'!$AQ$1028=TYPE4)*(TYPE4&lt;&gt;"")+('Dvd Calendar'!$AQ$1028=SPECIAL_LBL)*(INC_SPECIALS="Y"))=0,"",'Dvd Calendar'!$AQ$1026)))</f>
        <v/>
      </c>
      <c r="AP104" s="106">
        <f>IF(FR104="","",IF(ISNUMBER('Dvd Calendar'!$AR$1026)=FALSE,"",IF((('Dvd Calendar'!$AR$1028=TYPE1)*(TYPE1&lt;&gt;"")+('Dvd Calendar'!$AR$1028=TYPE2)*(TYPE2&lt;&gt;"")+('Dvd Calendar'!$AR$1028=TYPE3)*(TYPE3&lt;&gt;"")+('Dvd Calendar'!$AR$1028=TYPE4)*(TYPE4&lt;&gt;"")+('Dvd Calendar'!$AR$1028=SPECIAL_LBL)*(INC_SPECIALS="Y"))=0,"",'Dvd Calendar'!$AR$1026)))</f>
        <v/>
      </c>
      <c r="AQ104" s="106">
        <f>IF(FS104="","",IF(ISNUMBER('Dvd Calendar'!$E$1031)=FALSE,"",'Dvd Calendar'!$E$1031))</f>
        <v/>
      </c>
      <c r="AR104" s="106">
        <f>IF(FT104="","",IF(ISNUMBER('Dvd Calendar'!$F$1031)=FALSE,"",'Dvd Calendar'!$F$1031))</f>
        <v/>
      </c>
      <c r="AS104" s="106">
        <f>IF(FU104="","",IF(ISNUMBER('Dvd Calendar'!$G$1031)=FALSE,"",'Dvd Calendar'!$G$1031))</f>
        <v/>
      </c>
      <c r="AT104" s="106">
        <f>IF(FV104="","",IF(ISNUMBER('Dvd Calendar'!$H$1031)=FALSE,"",'Dvd Calendar'!$H$1031))</f>
        <v/>
      </c>
      <c r="AU104" s="106">
        <f>IF(FW104="","",IF(ISNUMBER('Dvd Calendar'!$I$1031)=FALSE,"",'Dvd Calendar'!$I$1031))</f>
        <v/>
      </c>
      <c r="AV104" s="106">
        <f>IF(FX104="","",IF(ISNUMBER('Dvd Calendar'!$J$1031)=FALSE,"",'Dvd Calendar'!$J$1031))</f>
        <v/>
      </c>
      <c r="AW104" s="106">
        <f>IF(FY104="","",IF(ISNUMBER('Dvd Calendar'!$K$1031)=FALSE,"",'Dvd Calendar'!$K$1031))</f>
        <v/>
      </c>
      <c r="AX104" s="106">
        <f>IF(FZ104="","",IF(ISNUMBER('Dvd Calendar'!$L$1031)=FALSE,"",'Dvd Calendar'!$L$1031))</f>
        <v/>
      </c>
      <c r="AY104" s="106">
        <f>IF(GA104="","",IF(ISNUMBER('Dvd Calendar'!$M$1031)=FALSE,"",'Dvd Calendar'!$M$1031))</f>
        <v/>
      </c>
      <c r="AZ104" s="106">
        <f>IF(GB104="","",IF(ISNUMBER('Dvd Calendar'!$N$1031)=FALSE,"",'Dvd Calendar'!$N$1031))</f>
        <v/>
      </c>
      <c r="BA104" s="106">
        <f>IF(GC104="","",IF(ISNUMBER('Dvd Calendar'!$O$1031)=FALSE,"",'Dvd Calendar'!$O$1031))</f>
        <v/>
      </c>
      <c r="BB104" s="106">
        <f>IF(GD104="","",IF(ISNUMBER('Dvd Calendar'!$P$1031)=FALSE,"",'Dvd Calendar'!$P$1031))</f>
        <v/>
      </c>
      <c r="BC104" s="106">
        <f>IF(GE104="","",IF(ISNUMBER('Dvd Calendar'!$Q$1031)=FALSE,"",'Dvd Calendar'!$Q$1031))</f>
        <v/>
      </c>
      <c r="BD104" s="106">
        <f>IF(GF104="","",IF(ISNUMBER('Dvd Calendar'!$R$1031)=FALSE,"",'Dvd Calendar'!$R$1031))</f>
        <v/>
      </c>
      <c r="BE104" s="106">
        <f>IF(GG104="","",IF(ISNUMBER('Dvd Calendar'!$S$1031)=FALSE,"",'Dvd Calendar'!$S$1031))</f>
        <v/>
      </c>
      <c r="BF104" s="106">
        <f>IF(GH104="","",IF(ISNUMBER('Dvd Calendar'!$T$1031)=FALSE,"",'Dvd Calendar'!$T$1031))</f>
        <v/>
      </c>
      <c r="BG104" s="106">
        <f>IF(GI104="","",IF(ISNUMBER('Dvd Calendar'!$U$1031)=FALSE,"",'Dvd Calendar'!$U$1031))</f>
        <v/>
      </c>
      <c r="BH104" s="106">
        <f>IF(GJ104="","",IF(ISNUMBER('Dvd Calendar'!$V$1031)=FALSE,"",'Dvd Calendar'!$V$1031))</f>
        <v/>
      </c>
      <c r="BI104" s="106">
        <f>IF(GK104="","",IF(ISNUMBER('Dvd Calendar'!$W$1031)=FALSE,"",'Dvd Calendar'!$W$1031))</f>
        <v/>
      </c>
      <c r="BJ104" s="106">
        <f>IF(GL104="","",IF(ISNUMBER('Dvd Calendar'!$X$1031)=FALSE,"",'Dvd Calendar'!$X$1031))</f>
        <v/>
      </c>
      <c r="BK104" s="106">
        <f>IF(GM104="","",IF(ISNUMBER('Dvd Calendar'!$Y$1031)=FALSE,"",'Dvd Calendar'!$Y$1031))</f>
        <v/>
      </c>
      <c r="BL104" s="106">
        <f>IF(GN104="","",IF(ISNUMBER('Dvd Calendar'!$Z$1031)=FALSE,"",'Dvd Calendar'!$Z$1031))</f>
        <v/>
      </c>
      <c r="BM104" s="106">
        <f>IF(GO104="","",IF(ISNUMBER('Dvd Calendar'!$AA$1031)=FALSE,"",'Dvd Calendar'!$AA$1031))</f>
        <v/>
      </c>
      <c r="BN104" s="106">
        <f>IF(GP104="","",IF(ISNUMBER('Dvd Calendar'!$AB$1031)=FALSE,"",'Dvd Calendar'!$AB$1031))</f>
        <v/>
      </c>
      <c r="BO104" s="106">
        <f>IF(GQ104="","",IF(ISNUMBER('Dvd Calendar'!$AC$1031)=FALSE,"",'Dvd Calendar'!$AC$1031))</f>
        <v/>
      </c>
      <c r="BQ104" s="106">
        <f>IF(C104="","",IFERROR(C104*HSI!$B$99*HSI!$G$99/HSI!$B$3,""))</f>
        <v/>
      </c>
      <c r="BR104" s="106">
        <f>IF(D104="","",IFERROR(D104*HSI!$B$99*HSI!$G$99/HSI!$B$3,""))</f>
        <v/>
      </c>
      <c r="BS104" s="106">
        <f>IF(E104="","",IFERROR(E104*HSI!$B$99*HSI!$G$99/HSI!$B$3,""))</f>
        <v/>
      </c>
      <c r="BT104" s="106">
        <f>IF(F104="","",IFERROR(F104*HSI!$B$99*HSI!$G$99/HSI!$B$3,""))</f>
        <v/>
      </c>
      <c r="BU104" s="106">
        <f>IF(G104="","",IFERROR(G104*HSI!$B$99*HSI!$G$99/HSI!$B$3,""))</f>
        <v/>
      </c>
      <c r="BV104" s="106">
        <f>IF(H104="","",IFERROR(H104*HSI!$B$99*HSI!$G$99/HSI!$B$3,""))</f>
        <v/>
      </c>
      <c r="BW104" s="106">
        <f>IF(I104="","",IFERROR(I104*HSI!$B$99*HSI!$G$99/HSI!$B$3,""))</f>
        <v/>
      </c>
      <c r="BX104" s="106">
        <f>IF(J104="","",IFERROR(J104*HSI!$B$99*HSI!$G$99/HSI!$B$3,""))</f>
        <v/>
      </c>
      <c r="BY104" s="106">
        <f>IF(K104="","",IFERROR(K104*HSI!$B$99*HSI!$G$99/HSI!$B$3,""))</f>
        <v/>
      </c>
      <c r="BZ104" s="106">
        <f>IF(L104="","",IFERROR(L104*HSI!$B$99*HSI!$G$99/HSI!$B$3,""))</f>
        <v/>
      </c>
      <c r="CA104" s="106">
        <f>IF(M104="","",IFERROR(M104*HSI!$B$99*HSI!$G$99/HSI!$B$3,""))</f>
        <v/>
      </c>
      <c r="CB104" s="106">
        <f>IF(N104="","",IFERROR(N104*HSI!$B$99*HSI!$G$99/HSI!$B$3,""))</f>
        <v/>
      </c>
      <c r="CC104" s="106">
        <f>IF(O104="","",IFERROR(O104*HSI!$B$99*HSI!$G$99/HSI!$B$3,""))</f>
        <v/>
      </c>
      <c r="CD104" s="106">
        <f>IF(P104="","",IFERROR(P104*HSI!$B$99*HSI!$G$99/HSI!$B$3,""))</f>
        <v/>
      </c>
      <c r="CE104" s="106">
        <f>IF(Q104="","",IFERROR(Q104*HSI!$B$99*HSI!$G$99/HSI!$B$3,""))</f>
        <v/>
      </c>
      <c r="CF104" s="106">
        <f>IF(R104="","",IFERROR(R104*HSI!$B$99*HSI!$G$99/HSI!$B$3,""))</f>
        <v/>
      </c>
      <c r="CG104" s="106">
        <f>IF(S104="","",IFERROR(S104*HSI!$B$99*HSI!$G$99/HSI!$B$3,""))</f>
        <v/>
      </c>
      <c r="CH104" s="106">
        <f>IF(T104="","",IFERROR(T104*HSI!$B$99*HSI!$G$99/HSI!$B$3,""))</f>
        <v/>
      </c>
      <c r="CI104" s="106">
        <f>IF(U104="","",IFERROR(U104*HSI!$B$99*HSI!$G$99/HSI!$B$3,""))</f>
        <v/>
      </c>
      <c r="CJ104" s="106">
        <f>IF(V104="","",IFERROR(V104*HSI!$B$99*HSI!$G$99/HSI!$B$3,""))</f>
        <v/>
      </c>
      <c r="CK104" s="106">
        <f>IF(W104="","",IFERROR(W104*HSI!$B$99*HSI!$G$99/HSI!$B$3,""))</f>
        <v/>
      </c>
      <c r="CL104" s="106">
        <f>IF(X104="","",IFERROR(X104*HSI!$B$99*HSI!$G$99/HSI!$B$3,""))</f>
        <v/>
      </c>
      <c r="CM104" s="106">
        <f>IF(Y104="","",IFERROR(Y104*HSI!$B$99*HSI!$G$99/HSI!$B$3,""))</f>
        <v/>
      </c>
      <c r="CN104" s="106">
        <f>IF(Z104="","",IFERROR(Z104*HSI!$B$99*HSI!$G$99/HSI!$B$3,""))</f>
        <v/>
      </c>
      <c r="CO104" s="106">
        <f>IF(AA104="","",IFERROR(AA104*HSI!$B$99*HSI!$G$99/HSI!$B$3,""))</f>
        <v/>
      </c>
      <c r="CP104" s="106">
        <f>IF(AB104="","",IFERROR(AB104*HSI!$B$99*HSI!$G$99/HSI!$B$3,""))</f>
        <v/>
      </c>
      <c r="CQ104" s="106">
        <f>IF(AC104="","",IFERROR(AC104*HSI!$B$99*HSI!$G$99/HSI!$B$3,""))</f>
        <v/>
      </c>
      <c r="CR104" s="106">
        <f>IF(AD104="","",IFERROR(AD104*HSI!$B$99*HSI!$G$99/HSI!$B$3,""))</f>
        <v/>
      </c>
      <c r="CS104" s="106">
        <f>IF(AE104="","",IFERROR(AE104*HSI!$B$99*HSI!$G$99/HSI!$B$3,""))</f>
        <v/>
      </c>
      <c r="CT104" s="106">
        <f>IF(AF104="","",IFERROR(AF104*HSI!$B$99*HSI!$G$99/HSI!$B$3,""))</f>
        <v/>
      </c>
      <c r="CU104" s="106">
        <f>IF(AG104="","",IFERROR(AG104*HSI!$B$99*HSI!$G$99/HSI!$B$3,""))</f>
        <v/>
      </c>
      <c r="CV104" s="106">
        <f>IF(AH104="","",IFERROR(AH104*HSI!$B$99*HSI!$G$99/HSI!$B$3,""))</f>
        <v/>
      </c>
      <c r="CW104" s="106">
        <f>IF(AI104="","",IFERROR(AI104*HSI!$B$99*HSI!$G$99/HSI!$B$3,""))</f>
        <v/>
      </c>
      <c r="CX104" s="106">
        <f>IF(AJ104="","",IFERROR(AJ104*HSI!$B$99*HSI!$G$99/HSI!$B$3,""))</f>
        <v/>
      </c>
      <c r="CY104" s="106">
        <f>IF(AK104="","",IFERROR(AK104*HSI!$B$99*HSI!$G$99/HSI!$B$3,""))</f>
        <v/>
      </c>
      <c r="CZ104" s="106">
        <f>IF(AL104="","",IFERROR(AL104*HSI!$B$99*HSI!$G$99/HSI!$B$3,""))</f>
        <v/>
      </c>
      <c r="DA104" s="106">
        <f>IF(AM104="","",IFERROR(AM104*HSI!$B$99*HSI!$G$99/HSI!$B$3,""))</f>
        <v/>
      </c>
      <c r="DB104" s="106">
        <f>IF(AN104="","",IFERROR(AN104*HSI!$B$99*HSI!$G$99/HSI!$B$3,""))</f>
        <v/>
      </c>
      <c r="DC104" s="106">
        <f>IF(AO104="","",IFERROR(AO104*HSI!$B$99*HSI!$G$99/HSI!$B$3,""))</f>
        <v/>
      </c>
      <c r="DD104" s="106">
        <f>IF(AP104="","",IFERROR(AP104*HSI!$B$99*HSI!$G$99/HSI!$B$3,""))</f>
        <v/>
      </c>
      <c r="DE104" s="106">
        <f>IF(AQ104="","",IFERROR(AQ104*HSI!$B$99*HSI!$G$99/HSI!$B$3,""))</f>
        <v/>
      </c>
      <c r="DF104" s="106">
        <f>IF(AR104="","",IFERROR(AR104*HSI!$B$99*HSI!$G$99/HSI!$B$3,""))</f>
        <v/>
      </c>
      <c r="DG104" s="106">
        <f>IF(AS104="","",IFERROR(AS104*HSI!$B$99*HSI!$G$99/HSI!$B$3,""))</f>
        <v/>
      </c>
      <c r="DH104" s="106">
        <f>IF(AT104="","",IFERROR(AT104*HSI!$B$99*HSI!$G$99/HSI!$B$3,""))</f>
        <v/>
      </c>
      <c r="DI104" s="106">
        <f>IF(AU104="","",IFERROR(AU104*HSI!$B$99*HSI!$G$99/HSI!$B$3,""))</f>
        <v/>
      </c>
      <c r="DJ104" s="106">
        <f>IF(AV104="","",IFERROR(AV104*HSI!$B$99*HSI!$G$99/HSI!$B$3,""))</f>
        <v/>
      </c>
      <c r="DK104" s="106">
        <f>IF(AW104="","",IFERROR(AW104*HSI!$B$99*HSI!$G$99/HSI!$B$3,""))</f>
        <v/>
      </c>
      <c r="DL104" s="106">
        <f>IF(AX104="","",IFERROR(AX104*HSI!$B$99*HSI!$G$99/HSI!$B$3,""))</f>
        <v/>
      </c>
      <c r="DM104" s="106">
        <f>IF(AY104="","",IFERROR(AY104*HSI!$B$99*HSI!$G$99/HSI!$B$3,""))</f>
        <v/>
      </c>
      <c r="DN104" s="106">
        <f>IF(AZ104="","",IFERROR(AZ104*HSI!$B$99*HSI!$G$99/HSI!$B$3,""))</f>
        <v/>
      </c>
      <c r="DO104" s="106">
        <f>IF(BA104="","",IFERROR(BA104*HSI!$B$99*HSI!$G$99/HSI!$B$3,""))</f>
        <v/>
      </c>
      <c r="DP104" s="106">
        <f>IF(BB104="","",IFERROR(BB104*HSI!$B$99*HSI!$G$99/HSI!$B$3,""))</f>
        <v/>
      </c>
      <c r="DQ104" s="106">
        <f>IF(BC104="","",IFERROR(BC104*HSI!$B$99*HSI!$G$99/HSI!$B$3,""))</f>
        <v/>
      </c>
      <c r="DR104" s="106">
        <f>IF(BD104="","",IFERROR(BD104*HSI!$B$99*HSI!$G$99/HSI!$B$3,""))</f>
        <v/>
      </c>
      <c r="DS104" s="106">
        <f>IF(BE104="","",IFERROR(BE104*HSI!$B$99*HSI!$G$99/HSI!$B$3,""))</f>
        <v/>
      </c>
      <c r="DT104" s="106">
        <f>IF(BF104="","",IFERROR(BF104*HSI!$B$99*HSI!$G$99/HSI!$B$3,""))</f>
        <v/>
      </c>
      <c r="DU104" s="106">
        <f>IF(BG104="","",IFERROR(BG104*HSI!$B$99*HSI!$G$99/HSI!$B$3,""))</f>
        <v/>
      </c>
      <c r="DV104" s="106">
        <f>IF(BH104="","",IFERROR(BH104*HSI!$B$99*HSI!$G$99/HSI!$B$3,""))</f>
        <v/>
      </c>
      <c r="DW104" s="106">
        <f>IF(BI104="","",IFERROR(BI104*HSI!$B$99*HSI!$G$99/HSI!$B$3,""))</f>
        <v/>
      </c>
      <c r="DX104" s="106">
        <f>IF(BJ104="","",IFERROR(BJ104*HSI!$B$99*HSI!$G$99/HSI!$B$3,""))</f>
        <v/>
      </c>
      <c r="DY104" s="106">
        <f>IF(BK104="","",IFERROR(BK104*HSI!$B$99*HSI!$G$99/HSI!$B$3,""))</f>
        <v/>
      </c>
      <c r="DZ104" s="106">
        <f>IF(BL104="","",IFERROR(BL104*HSI!$B$99*HSI!$G$99/HSI!$B$3,""))</f>
        <v/>
      </c>
      <c r="EA104" s="106">
        <f>IF(BM104="","",IFERROR(BM104*HSI!$B$99*HSI!$G$99/HSI!$B$3,""))</f>
        <v/>
      </c>
      <c r="EB104" s="106">
        <f>IF(BN104="","",IFERROR(BN104*HSI!$B$99*HSI!$G$99/HSI!$B$3,""))</f>
        <v/>
      </c>
      <c r="EC104" s="106">
        <f>IF(BO104="","",IFERROR(BO104*HSI!$B$99*HSI!$G$99/HSI!$B$3,""))</f>
        <v/>
      </c>
      <c r="EE104" s="35">
        <f>IF(N('Dvd Calendar'!$E$1023)=0,"",IF(('Dvd Calendar'!$E$1023&gt;=GRID_FROM)*('Dvd Calendar'!$E$1023&lt;=GRID_TO)*('Dvd Calendar'!$E$1023&lt;=VAL_DATE)=0,"",'Dvd Calendar'!$E$1023*1000000000+ISNUMBER('Dvd Calendar'!$E$1026)*100000000+('Dvd Calendar'!$E$1028=SPECIAL_LBL)*10000000+0*1000000+93*1000+1))</f>
        <v/>
      </c>
      <c r="EF104" s="35">
        <f>IF(N('Dvd Calendar'!$F$1023)=0,"",IF(('Dvd Calendar'!$F$1023&gt;=GRID_FROM)*('Dvd Calendar'!$F$1023&lt;=GRID_TO)*('Dvd Calendar'!$F$1023&lt;=VAL_DATE)=0,"",'Dvd Calendar'!$F$1023*1000000000+ISNUMBER('Dvd Calendar'!$F$1026)*100000000+('Dvd Calendar'!$F$1028=SPECIAL_LBL)*10000000+0*1000000+93*1000+2))</f>
        <v/>
      </c>
      <c r="EG104" s="35">
        <f>IF(N('Dvd Calendar'!$G$1023)=0,"",IF(('Dvd Calendar'!$G$1023&gt;=GRID_FROM)*('Dvd Calendar'!$G$1023&lt;=GRID_TO)*('Dvd Calendar'!$G$1023&lt;=VAL_DATE)=0,"",'Dvd Calendar'!$G$1023*1000000000+ISNUMBER('Dvd Calendar'!$G$1026)*100000000+('Dvd Calendar'!$G$1028=SPECIAL_LBL)*10000000+0*1000000+93*1000+3))</f>
        <v/>
      </c>
      <c r="EH104" s="35">
        <f>IF(N('Dvd Calendar'!$H$1023)=0,"",IF(('Dvd Calendar'!$H$1023&gt;=GRID_FROM)*('Dvd Calendar'!$H$1023&lt;=GRID_TO)*('Dvd Calendar'!$H$1023&lt;=VAL_DATE)=0,"",'Dvd Calendar'!$H$1023*1000000000+ISNUMBER('Dvd Calendar'!$H$1026)*100000000+('Dvd Calendar'!$H$1028=SPECIAL_LBL)*10000000+0*1000000+93*1000+4))</f>
        <v/>
      </c>
      <c r="EI104" s="35">
        <f>IF(N('Dvd Calendar'!$I$1023)=0,"",IF(('Dvd Calendar'!$I$1023&gt;=GRID_FROM)*('Dvd Calendar'!$I$1023&lt;=GRID_TO)*('Dvd Calendar'!$I$1023&lt;=VAL_DATE)=0,"",'Dvd Calendar'!$I$1023*1000000000+ISNUMBER('Dvd Calendar'!$I$1026)*100000000+('Dvd Calendar'!$I$1028=SPECIAL_LBL)*10000000+0*1000000+93*1000+5))</f>
        <v/>
      </c>
      <c r="EJ104" s="35">
        <f>IF(N('Dvd Calendar'!$J$1023)=0,"",IF(('Dvd Calendar'!$J$1023&gt;=GRID_FROM)*('Dvd Calendar'!$J$1023&lt;=GRID_TO)*('Dvd Calendar'!$J$1023&lt;=VAL_DATE)=0,"",'Dvd Calendar'!$J$1023*1000000000+ISNUMBER('Dvd Calendar'!$J$1026)*100000000+('Dvd Calendar'!$J$1028=SPECIAL_LBL)*10000000+0*1000000+93*1000+6))</f>
        <v/>
      </c>
      <c r="EK104" s="35">
        <f>IF(N('Dvd Calendar'!$K$1023)=0,"",IF(('Dvd Calendar'!$K$1023&gt;=GRID_FROM)*('Dvd Calendar'!$K$1023&lt;=GRID_TO)*('Dvd Calendar'!$K$1023&lt;=VAL_DATE)=0,"",'Dvd Calendar'!$K$1023*1000000000+ISNUMBER('Dvd Calendar'!$K$1026)*100000000+('Dvd Calendar'!$K$1028=SPECIAL_LBL)*10000000+0*1000000+93*1000+7))</f>
        <v/>
      </c>
      <c r="EL104" s="35">
        <f>IF(N('Dvd Calendar'!$L$1023)=0,"",IF(('Dvd Calendar'!$L$1023&gt;=GRID_FROM)*('Dvd Calendar'!$L$1023&lt;=GRID_TO)*('Dvd Calendar'!$L$1023&lt;=VAL_DATE)=0,"",'Dvd Calendar'!$L$1023*1000000000+ISNUMBER('Dvd Calendar'!$L$1026)*100000000+('Dvd Calendar'!$L$1028=SPECIAL_LBL)*10000000+0*1000000+93*1000+8))</f>
        <v/>
      </c>
      <c r="EM104" s="35">
        <f>IF(N('Dvd Calendar'!$M$1023)=0,"",IF(('Dvd Calendar'!$M$1023&gt;=GRID_FROM)*('Dvd Calendar'!$M$1023&lt;=GRID_TO)*('Dvd Calendar'!$M$1023&lt;=VAL_DATE)=0,"",'Dvd Calendar'!$M$1023*1000000000+ISNUMBER('Dvd Calendar'!$M$1026)*100000000+('Dvd Calendar'!$M$1028=SPECIAL_LBL)*10000000+0*1000000+93*1000+9))</f>
        <v/>
      </c>
      <c r="EN104" s="35">
        <f>IF(N('Dvd Calendar'!$N$1023)=0,"",IF(('Dvd Calendar'!$N$1023&gt;=GRID_FROM)*('Dvd Calendar'!$N$1023&lt;=GRID_TO)*('Dvd Calendar'!$N$1023&lt;=VAL_DATE)=0,"",'Dvd Calendar'!$N$1023*1000000000+ISNUMBER('Dvd Calendar'!$N$1026)*100000000+('Dvd Calendar'!$N$1028=SPECIAL_LBL)*10000000+0*1000000+93*1000+10))</f>
        <v/>
      </c>
      <c r="EO104" s="35">
        <f>IF(N('Dvd Calendar'!$O$1023)=0,"",IF(('Dvd Calendar'!$O$1023&gt;=GRID_FROM)*('Dvd Calendar'!$O$1023&lt;=GRID_TO)*('Dvd Calendar'!$O$1023&lt;=VAL_DATE)=0,"",'Dvd Calendar'!$O$1023*1000000000+ISNUMBER('Dvd Calendar'!$O$1026)*100000000+('Dvd Calendar'!$O$1028=SPECIAL_LBL)*10000000+0*1000000+93*1000+11))</f>
        <v/>
      </c>
      <c r="EP104" s="35">
        <f>IF(N('Dvd Calendar'!$P$1023)=0,"",IF(('Dvd Calendar'!$P$1023&gt;=GRID_FROM)*('Dvd Calendar'!$P$1023&lt;=GRID_TO)*('Dvd Calendar'!$P$1023&lt;=VAL_DATE)=0,"",'Dvd Calendar'!$P$1023*1000000000+ISNUMBER('Dvd Calendar'!$P$1026)*100000000+('Dvd Calendar'!$P$1028=SPECIAL_LBL)*10000000+0*1000000+93*1000+12))</f>
        <v/>
      </c>
      <c r="EQ104" s="35">
        <f>IF(N('Dvd Calendar'!$Q$1023)=0,"",IF(('Dvd Calendar'!$Q$1023&gt;=GRID_FROM)*('Dvd Calendar'!$Q$1023&lt;=GRID_TO)*('Dvd Calendar'!$Q$1023&lt;=VAL_DATE)=0,"",'Dvd Calendar'!$Q$1023*1000000000+ISNUMBER('Dvd Calendar'!$Q$1026)*100000000+('Dvd Calendar'!$Q$1028=SPECIAL_LBL)*10000000+0*1000000+93*1000+13))</f>
        <v/>
      </c>
      <c r="ER104" s="35">
        <f>IF(N('Dvd Calendar'!$R$1023)=0,"",IF(('Dvd Calendar'!$R$1023&gt;=GRID_FROM)*('Dvd Calendar'!$R$1023&lt;=GRID_TO)*('Dvd Calendar'!$R$1023&lt;=VAL_DATE)=0,"",'Dvd Calendar'!$R$1023*1000000000+ISNUMBER('Dvd Calendar'!$R$1026)*100000000+('Dvd Calendar'!$R$1028=SPECIAL_LBL)*10000000+0*1000000+93*1000+14))</f>
        <v/>
      </c>
      <c r="ES104" s="35">
        <f>IF(N('Dvd Calendar'!$S$1023)=0,"",IF(('Dvd Calendar'!$S$1023&gt;=GRID_FROM)*('Dvd Calendar'!$S$1023&lt;=GRID_TO)*('Dvd Calendar'!$S$1023&lt;=VAL_DATE)=0,"",'Dvd Calendar'!$S$1023*1000000000+ISNUMBER('Dvd Calendar'!$S$1026)*100000000+('Dvd Calendar'!$S$1028=SPECIAL_LBL)*10000000+0*1000000+93*1000+15))</f>
        <v/>
      </c>
      <c r="ET104" s="35">
        <f>IF(N('Dvd Calendar'!$T$1023)=0,"",IF(('Dvd Calendar'!$T$1023&gt;=GRID_FROM)*('Dvd Calendar'!$T$1023&lt;=GRID_TO)*('Dvd Calendar'!$T$1023&lt;=VAL_DATE)=0,"",'Dvd Calendar'!$T$1023*1000000000+ISNUMBER('Dvd Calendar'!$T$1026)*100000000+('Dvd Calendar'!$T$1028=SPECIAL_LBL)*10000000+0*1000000+93*1000+16))</f>
        <v/>
      </c>
      <c r="EU104" s="35">
        <f>IF(N('Dvd Calendar'!$U$1023)=0,"",IF(('Dvd Calendar'!$U$1023&gt;=GRID_FROM)*('Dvd Calendar'!$U$1023&lt;=GRID_TO)*('Dvd Calendar'!$U$1023&lt;=VAL_DATE)=0,"",'Dvd Calendar'!$U$1023*1000000000+ISNUMBER('Dvd Calendar'!$U$1026)*100000000+('Dvd Calendar'!$U$1028=SPECIAL_LBL)*10000000+0*1000000+93*1000+17))</f>
        <v/>
      </c>
      <c r="EV104" s="35">
        <f>IF(N('Dvd Calendar'!$V$1023)=0,"",IF(('Dvd Calendar'!$V$1023&gt;=GRID_FROM)*('Dvd Calendar'!$V$1023&lt;=GRID_TO)*('Dvd Calendar'!$V$1023&lt;=VAL_DATE)=0,"",'Dvd Calendar'!$V$1023*1000000000+ISNUMBER('Dvd Calendar'!$V$1026)*100000000+('Dvd Calendar'!$V$1028=SPECIAL_LBL)*10000000+0*1000000+93*1000+18))</f>
        <v/>
      </c>
      <c r="EW104" s="35">
        <f>IF(N('Dvd Calendar'!$W$1023)=0,"",IF(('Dvd Calendar'!$W$1023&gt;=GRID_FROM)*('Dvd Calendar'!$W$1023&lt;=GRID_TO)*('Dvd Calendar'!$W$1023&lt;=VAL_DATE)=0,"",'Dvd Calendar'!$W$1023*1000000000+ISNUMBER('Dvd Calendar'!$W$1026)*100000000+('Dvd Calendar'!$W$1028=SPECIAL_LBL)*10000000+0*1000000+93*1000+19))</f>
        <v/>
      </c>
      <c r="EX104" s="35">
        <f>IF(N('Dvd Calendar'!$X$1023)=0,"",IF(('Dvd Calendar'!$X$1023&gt;=GRID_FROM)*('Dvd Calendar'!$X$1023&lt;=GRID_TO)*('Dvd Calendar'!$X$1023&lt;=VAL_DATE)=0,"",'Dvd Calendar'!$X$1023*1000000000+ISNUMBER('Dvd Calendar'!$X$1026)*100000000+('Dvd Calendar'!$X$1028=SPECIAL_LBL)*10000000+0*1000000+93*1000+20))</f>
        <v/>
      </c>
      <c r="EY104" s="35">
        <f>IF(N('Dvd Calendar'!$Y$1023)=0,"",IF(('Dvd Calendar'!$Y$1023&gt;=GRID_FROM)*('Dvd Calendar'!$Y$1023&lt;=GRID_TO)*('Dvd Calendar'!$Y$1023&lt;=VAL_DATE)=0,"",'Dvd Calendar'!$Y$1023*1000000000+ISNUMBER('Dvd Calendar'!$Y$1026)*100000000+('Dvd Calendar'!$Y$1028=SPECIAL_LBL)*10000000+0*1000000+93*1000+21))</f>
        <v/>
      </c>
      <c r="EZ104" s="35">
        <f>IF(N('Dvd Calendar'!$Z$1023)=0,"",IF(('Dvd Calendar'!$Z$1023&gt;=GRID_FROM)*('Dvd Calendar'!$Z$1023&lt;=GRID_TO)*('Dvd Calendar'!$Z$1023&lt;=VAL_DATE)=0,"",'Dvd Calendar'!$Z$1023*1000000000+ISNUMBER('Dvd Calendar'!$Z$1026)*100000000+('Dvd Calendar'!$Z$1028=SPECIAL_LBL)*10000000+0*1000000+93*1000+22))</f>
        <v/>
      </c>
      <c r="FA104" s="35">
        <f>IF(N('Dvd Calendar'!$AA$1023)=0,"",IF(('Dvd Calendar'!$AA$1023&gt;=GRID_FROM)*('Dvd Calendar'!$AA$1023&lt;=GRID_TO)*('Dvd Calendar'!$AA$1023&lt;=VAL_DATE)=0,"",'Dvd Calendar'!$AA$1023*1000000000+ISNUMBER('Dvd Calendar'!$AA$1026)*100000000+('Dvd Calendar'!$AA$1028=SPECIAL_LBL)*10000000+0*1000000+93*1000+23))</f>
        <v/>
      </c>
      <c r="FB104" s="35">
        <f>IF(N('Dvd Calendar'!$AB$1023)=0,"",IF(('Dvd Calendar'!$AB$1023&gt;=GRID_FROM)*('Dvd Calendar'!$AB$1023&lt;=GRID_TO)*('Dvd Calendar'!$AB$1023&lt;=VAL_DATE)=0,"",'Dvd Calendar'!$AB$1023*1000000000+ISNUMBER('Dvd Calendar'!$AB$1026)*100000000+('Dvd Calendar'!$AB$1028=SPECIAL_LBL)*10000000+0*1000000+93*1000+24))</f>
        <v/>
      </c>
      <c r="FC104" s="35">
        <f>IF(N('Dvd Calendar'!$AC$1023)=0,"",IF(('Dvd Calendar'!$AC$1023&gt;=GRID_FROM)*('Dvd Calendar'!$AC$1023&lt;=GRID_TO)*('Dvd Calendar'!$AC$1023&lt;=VAL_DATE)=0,"",'Dvd Calendar'!$AC$1023*1000000000+ISNUMBER('Dvd Calendar'!$AC$1026)*100000000+('Dvd Calendar'!$AC$1028=SPECIAL_LBL)*10000000+0*1000000+93*1000+25))</f>
        <v/>
      </c>
      <c r="FD104" s="35">
        <f>IF(N('Dvd Calendar'!$AD$1023)=0,"",IF(('Dvd Calendar'!$AD$1023&gt;=GRID_FROM)*('Dvd Calendar'!$AD$1023&lt;=GRID_TO)*('Dvd Calendar'!$AD$1023&lt;=VAL_DATE)=0,"",'Dvd Calendar'!$AD$1023*1000000000+ISNUMBER('Dvd Calendar'!$AD$1026)*100000000+('Dvd Calendar'!$AD$1028=SPECIAL_LBL)*10000000+0*1000000+93*1000+26))</f>
        <v/>
      </c>
      <c r="FE104" s="35">
        <f>IF(N('Dvd Calendar'!$AE$1023)=0,"",IF(('Dvd Calendar'!$AE$1023&gt;=GRID_FROM)*('Dvd Calendar'!$AE$1023&lt;=GRID_TO)*('Dvd Calendar'!$AE$1023&lt;=VAL_DATE)=0,"",'Dvd Calendar'!$AE$1023*1000000000+ISNUMBER('Dvd Calendar'!$AE$1026)*100000000+('Dvd Calendar'!$AE$1028=SPECIAL_LBL)*10000000+0*1000000+93*1000+27))</f>
        <v/>
      </c>
      <c r="FF104" s="35">
        <f>IF(N('Dvd Calendar'!$AF$1023)=0,"",IF(('Dvd Calendar'!$AF$1023&gt;=GRID_FROM)*('Dvd Calendar'!$AF$1023&lt;=GRID_TO)*('Dvd Calendar'!$AF$1023&lt;=VAL_DATE)=0,"",'Dvd Calendar'!$AF$1023*1000000000+ISNUMBER('Dvd Calendar'!$AF$1026)*100000000+('Dvd Calendar'!$AF$1028=SPECIAL_LBL)*10000000+0*1000000+93*1000+28))</f>
        <v/>
      </c>
      <c r="FG104" s="35">
        <f>IF(N('Dvd Calendar'!$AG$1023)=0,"",IF(('Dvd Calendar'!$AG$1023&gt;=GRID_FROM)*('Dvd Calendar'!$AG$1023&lt;=GRID_TO)*('Dvd Calendar'!$AG$1023&lt;=VAL_DATE)=0,"",'Dvd Calendar'!$AG$1023*1000000000+ISNUMBER('Dvd Calendar'!$AG$1026)*100000000+('Dvd Calendar'!$AG$1028=SPECIAL_LBL)*10000000+0*1000000+93*1000+29))</f>
        <v/>
      </c>
      <c r="FH104" s="35">
        <f>IF(N('Dvd Calendar'!$AH$1023)=0,"",IF(('Dvd Calendar'!$AH$1023&gt;=GRID_FROM)*('Dvd Calendar'!$AH$1023&lt;=GRID_TO)*('Dvd Calendar'!$AH$1023&lt;=VAL_DATE)=0,"",'Dvd Calendar'!$AH$1023*1000000000+ISNUMBER('Dvd Calendar'!$AH$1026)*100000000+('Dvd Calendar'!$AH$1028=SPECIAL_LBL)*10000000+0*1000000+93*1000+30))</f>
        <v/>
      </c>
      <c r="FI104" s="35">
        <f>IF(N('Dvd Calendar'!$AI$1023)=0,"",IF(('Dvd Calendar'!$AI$1023&gt;=GRID_FROM)*('Dvd Calendar'!$AI$1023&lt;=GRID_TO)*('Dvd Calendar'!$AI$1023&lt;=VAL_DATE)=0,"",'Dvd Calendar'!$AI$1023*1000000000+ISNUMBER('Dvd Calendar'!$AI$1026)*100000000+('Dvd Calendar'!$AI$1028=SPECIAL_LBL)*10000000+0*1000000+93*1000+31))</f>
        <v/>
      </c>
      <c r="FJ104" s="35">
        <f>IF(N('Dvd Calendar'!$AJ$1023)=0,"",IF(('Dvd Calendar'!$AJ$1023&gt;=GRID_FROM)*('Dvd Calendar'!$AJ$1023&lt;=GRID_TO)*('Dvd Calendar'!$AJ$1023&lt;=VAL_DATE)=0,"",'Dvd Calendar'!$AJ$1023*1000000000+ISNUMBER('Dvd Calendar'!$AJ$1026)*100000000+('Dvd Calendar'!$AJ$1028=SPECIAL_LBL)*10000000+0*1000000+93*1000+32))</f>
        <v/>
      </c>
      <c r="FK104" s="35">
        <f>IF(N('Dvd Calendar'!$AK$1023)=0,"",IF(('Dvd Calendar'!$AK$1023&gt;=GRID_FROM)*('Dvd Calendar'!$AK$1023&lt;=GRID_TO)*('Dvd Calendar'!$AK$1023&lt;=VAL_DATE)=0,"",'Dvd Calendar'!$AK$1023*1000000000+ISNUMBER('Dvd Calendar'!$AK$1026)*100000000+('Dvd Calendar'!$AK$1028=SPECIAL_LBL)*10000000+0*1000000+93*1000+33))</f>
        <v/>
      </c>
      <c r="FL104" s="35">
        <f>IF(N('Dvd Calendar'!$AL$1023)=0,"",IF(('Dvd Calendar'!$AL$1023&gt;=GRID_FROM)*('Dvd Calendar'!$AL$1023&lt;=GRID_TO)*('Dvd Calendar'!$AL$1023&lt;=VAL_DATE)=0,"",'Dvd Calendar'!$AL$1023*1000000000+ISNUMBER('Dvd Calendar'!$AL$1026)*100000000+('Dvd Calendar'!$AL$1028=SPECIAL_LBL)*10000000+0*1000000+93*1000+34))</f>
        <v/>
      </c>
      <c r="FM104" s="35">
        <f>IF(N('Dvd Calendar'!$AM$1023)=0,"",IF(('Dvd Calendar'!$AM$1023&gt;=GRID_FROM)*('Dvd Calendar'!$AM$1023&lt;=GRID_TO)*('Dvd Calendar'!$AM$1023&lt;=VAL_DATE)=0,"",'Dvd Calendar'!$AM$1023*1000000000+ISNUMBER('Dvd Calendar'!$AM$1026)*100000000+('Dvd Calendar'!$AM$1028=SPECIAL_LBL)*10000000+0*1000000+93*1000+35))</f>
        <v/>
      </c>
      <c r="FN104" s="35">
        <f>IF(N('Dvd Calendar'!$AN$1023)=0,"",IF(('Dvd Calendar'!$AN$1023&gt;=GRID_FROM)*('Dvd Calendar'!$AN$1023&lt;=GRID_TO)*('Dvd Calendar'!$AN$1023&lt;=VAL_DATE)=0,"",'Dvd Calendar'!$AN$1023*1000000000+ISNUMBER('Dvd Calendar'!$AN$1026)*100000000+('Dvd Calendar'!$AN$1028=SPECIAL_LBL)*10000000+0*1000000+93*1000+36))</f>
        <v/>
      </c>
      <c r="FO104" s="35">
        <f>IF(N('Dvd Calendar'!$AO$1023)=0,"",IF(('Dvd Calendar'!$AO$1023&gt;=GRID_FROM)*('Dvd Calendar'!$AO$1023&lt;=GRID_TO)*('Dvd Calendar'!$AO$1023&lt;=VAL_DATE)=0,"",'Dvd Calendar'!$AO$1023*1000000000+ISNUMBER('Dvd Calendar'!$AO$1026)*100000000+('Dvd Calendar'!$AO$1028=SPECIAL_LBL)*10000000+0*1000000+93*1000+37))</f>
        <v/>
      </c>
      <c r="FP104" s="35">
        <f>IF(N('Dvd Calendar'!$AP$1023)=0,"",IF(('Dvd Calendar'!$AP$1023&gt;=GRID_FROM)*('Dvd Calendar'!$AP$1023&lt;=GRID_TO)*('Dvd Calendar'!$AP$1023&lt;=VAL_DATE)=0,"",'Dvd Calendar'!$AP$1023*1000000000+ISNUMBER('Dvd Calendar'!$AP$1026)*100000000+('Dvd Calendar'!$AP$1028=SPECIAL_LBL)*10000000+0*1000000+93*1000+38))</f>
        <v/>
      </c>
      <c r="FQ104" s="35">
        <f>IF(N('Dvd Calendar'!$AQ$1023)=0,"",IF(('Dvd Calendar'!$AQ$1023&gt;=GRID_FROM)*('Dvd Calendar'!$AQ$1023&lt;=GRID_TO)*('Dvd Calendar'!$AQ$1023&lt;=VAL_DATE)=0,"",'Dvd Calendar'!$AQ$1023*1000000000+ISNUMBER('Dvd Calendar'!$AQ$1026)*100000000+('Dvd Calendar'!$AQ$1028=SPECIAL_LBL)*10000000+0*1000000+93*1000+39))</f>
        <v/>
      </c>
      <c r="FR104" s="35">
        <f>IF(N('Dvd Calendar'!$AR$1023)=0,"",IF(('Dvd Calendar'!$AR$1023&gt;=GRID_FROM)*('Dvd Calendar'!$AR$1023&lt;=GRID_TO)*('Dvd Calendar'!$AR$1023&lt;=VAL_DATE)=0,"",'Dvd Calendar'!$AR$1023*1000000000+ISNUMBER('Dvd Calendar'!$AR$1026)*100000000+('Dvd Calendar'!$AR$1028=SPECIAL_LBL)*10000000+0*1000000+93*1000+40))</f>
        <v/>
      </c>
      <c r="FS104" s="35">
        <f>IF(N('Dvd Calendar'!$E$1030)=0,"",IF(('Dvd Calendar'!$E$1030&gt;=GRID_FROM)*('Dvd Calendar'!$E$1030&lt;=GRID_TO)*('Dvd Calendar'!$E$1030&gt;VAL_DATE)=0,"",'Dvd Calendar'!$E$1030*1000000000+ISNUMBER('Dvd Calendar'!$E$1031)*100000000+0*10000000+(N('Dvd Calendar'!$E$1029)&gt;0)*(N('Dvd Calendar'!$E$1029)&lt;=VAL_SERIAL)*1000000+93*1000+41))</f>
        <v/>
      </c>
      <c r="FT104" s="35">
        <f>IF(N('Dvd Calendar'!$F$1030)=0,"",IF(('Dvd Calendar'!$F$1030&gt;=GRID_FROM)*('Dvd Calendar'!$F$1030&lt;=GRID_TO)*('Dvd Calendar'!$F$1030&gt;VAL_DATE)=0,"",'Dvd Calendar'!$F$1030*1000000000+ISNUMBER('Dvd Calendar'!$F$1031)*100000000+0*10000000+(N('Dvd Calendar'!$F$1029)&gt;0)*(N('Dvd Calendar'!$F$1029)&lt;=VAL_SERIAL)*1000000+93*1000+42))</f>
        <v/>
      </c>
      <c r="FU104" s="35">
        <f>IF(N('Dvd Calendar'!$G$1030)=0,"",IF(('Dvd Calendar'!$G$1030&gt;=GRID_FROM)*('Dvd Calendar'!$G$1030&lt;=GRID_TO)*('Dvd Calendar'!$G$1030&gt;VAL_DATE)=0,"",'Dvd Calendar'!$G$1030*1000000000+ISNUMBER('Dvd Calendar'!$G$1031)*100000000+0*10000000+(N('Dvd Calendar'!$G$1029)&gt;0)*(N('Dvd Calendar'!$G$1029)&lt;=VAL_SERIAL)*1000000+93*1000+43))</f>
        <v/>
      </c>
      <c r="FV104" s="35">
        <f>IF(N('Dvd Calendar'!$H$1030)=0,"",IF(('Dvd Calendar'!$H$1030&gt;=GRID_FROM)*('Dvd Calendar'!$H$1030&lt;=GRID_TO)*('Dvd Calendar'!$H$1030&gt;VAL_DATE)=0,"",'Dvd Calendar'!$H$1030*1000000000+ISNUMBER('Dvd Calendar'!$H$1031)*100000000+0*10000000+(N('Dvd Calendar'!$H$1029)&gt;0)*(N('Dvd Calendar'!$H$1029)&lt;=VAL_SERIAL)*1000000+93*1000+44))</f>
        <v/>
      </c>
      <c r="FW104" s="35">
        <f>IF(N('Dvd Calendar'!$I$1030)=0,"",IF(('Dvd Calendar'!$I$1030&gt;=GRID_FROM)*('Dvd Calendar'!$I$1030&lt;=GRID_TO)*('Dvd Calendar'!$I$1030&gt;VAL_DATE)=0,"",'Dvd Calendar'!$I$1030*1000000000+ISNUMBER('Dvd Calendar'!$I$1031)*100000000+0*10000000+(N('Dvd Calendar'!$I$1029)&gt;0)*(N('Dvd Calendar'!$I$1029)&lt;=VAL_SERIAL)*1000000+93*1000+45))</f>
        <v/>
      </c>
      <c r="FX104" s="35">
        <f>IF(N('Dvd Calendar'!$J$1030)=0,"",IF(('Dvd Calendar'!$J$1030&gt;=GRID_FROM)*('Dvd Calendar'!$J$1030&lt;=GRID_TO)*('Dvd Calendar'!$J$1030&gt;VAL_DATE)=0,"",'Dvd Calendar'!$J$1030*1000000000+ISNUMBER('Dvd Calendar'!$J$1031)*100000000+0*10000000+(N('Dvd Calendar'!$J$1029)&gt;0)*(N('Dvd Calendar'!$J$1029)&lt;=VAL_SERIAL)*1000000+93*1000+46))</f>
        <v/>
      </c>
      <c r="FY104" s="35">
        <f>IF(N('Dvd Calendar'!$K$1030)=0,"",IF(('Dvd Calendar'!$K$1030&gt;=GRID_FROM)*('Dvd Calendar'!$K$1030&lt;=GRID_TO)*('Dvd Calendar'!$K$1030&gt;VAL_DATE)=0,"",'Dvd Calendar'!$K$1030*1000000000+ISNUMBER('Dvd Calendar'!$K$1031)*100000000+0*10000000+(N('Dvd Calendar'!$K$1029)&gt;0)*(N('Dvd Calendar'!$K$1029)&lt;=VAL_SERIAL)*1000000+93*1000+47))</f>
        <v/>
      </c>
      <c r="FZ104" s="35">
        <f>IF(N('Dvd Calendar'!$L$1030)=0,"",IF(('Dvd Calendar'!$L$1030&gt;=GRID_FROM)*('Dvd Calendar'!$L$1030&lt;=GRID_TO)*('Dvd Calendar'!$L$1030&gt;VAL_DATE)=0,"",'Dvd Calendar'!$L$1030*1000000000+ISNUMBER('Dvd Calendar'!$L$1031)*100000000+0*10000000+(N('Dvd Calendar'!$L$1029)&gt;0)*(N('Dvd Calendar'!$L$1029)&lt;=VAL_SERIAL)*1000000+93*1000+48))</f>
        <v/>
      </c>
      <c r="GA104" s="35">
        <f>IF(N('Dvd Calendar'!$M$1030)=0,"",IF(('Dvd Calendar'!$M$1030&gt;=GRID_FROM)*('Dvd Calendar'!$M$1030&lt;=GRID_TO)*('Dvd Calendar'!$M$1030&gt;VAL_DATE)=0,"",'Dvd Calendar'!$M$1030*1000000000+ISNUMBER('Dvd Calendar'!$M$1031)*100000000+0*10000000+(N('Dvd Calendar'!$M$1029)&gt;0)*(N('Dvd Calendar'!$M$1029)&lt;=VAL_SERIAL)*1000000+93*1000+49))</f>
        <v/>
      </c>
      <c r="GB104" s="35">
        <f>IF(N('Dvd Calendar'!$N$1030)=0,"",IF(('Dvd Calendar'!$N$1030&gt;=GRID_FROM)*('Dvd Calendar'!$N$1030&lt;=GRID_TO)*('Dvd Calendar'!$N$1030&gt;VAL_DATE)=0,"",'Dvd Calendar'!$N$1030*1000000000+ISNUMBER('Dvd Calendar'!$N$1031)*100000000+0*10000000+(N('Dvd Calendar'!$N$1029)&gt;0)*(N('Dvd Calendar'!$N$1029)&lt;=VAL_SERIAL)*1000000+93*1000+50))</f>
        <v/>
      </c>
      <c r="GC104" s="35">
        <f>IF(N('Dvd Calendar'!$O$1030)=0,"",IF(('Dvd Calendar'!$O$1030&gt;=GRID_FROM)*('Dvd Calendar'!$O$1030&lt;=GRID_TO)*('Dvd Calendar'!$O$1030&gt;VAL_DATE)=0,"",'Dvd Calendar'!$O$1030*1000000000+ISNUMBER('Dvd Calendar'!$O$1031)*100000000+0*10000000+(N('Dvd Calendar'!$O$1029)&gt;0)*(N('Dvd Calendar'!$O$1029)&lt;=VAL_SERIAL)*1000000+93*1000+51))</f>
        <v/>
      </c>
      <c r="GD104" s="35">
        <f>IF(N('Dvd Calendar'!$P$1030)=0,"",IF(('Dvd Calendar'!$P$1030&gt;=GRID_FROM)*('Dvd Calendar'!$P$1030&lt;=GRID_TO)*('Dvd Calendar'!$P$1030&gt;VAL_DATE)=0,"",'Dvd Calendar'!$P$1030*1000000000+ISNUMBER('Dvd Calendar'!$P$1031)*100000000+0*10000000+(N('Dvd Calendar'!$P$1029)&gt;0)*(N('Dvd Calendar'!$P$1029)&lt;=VAL_SERIAL)*1000000+93*1000+52))</f>
        <v/>
      </c>
      <c r="GE104" s="35">
        <f>IF(N('Dvd Calendar'!$Q$1030)=0,"",IF(('Dvd Calendar'!$Q$1030&gt;=GRID_FROM)*('Dvd Calendar'!$Q$1030&lt;=GRID_TO)*('Dvd Calendar'!$Q$1030&gt;VAL_DATE)=0,"",'Dvd Calendar'!$Q$1030*1000000000+ISNUMBER('Dvd Calendar'!$Q$1031)*100000000+0*10000000+(N('Dvd Calendar'!$Q$1029)&gt;0)*(N('Dvd Calendar'!$Q$1029)&lt;=VAL_SERIAL)*1000000+93*1000+53))</f>
        <v/>
      </c>
      <c r="GF104" s="35">
        <f>IF(N('Dvd Calendar'!$R$1030)=0,"",IF(('Dvd Calendar'!$R$1030&gt;=GRID_FROM)*('Dvd Calendar'!$R$1030&lt;=GRID_TO)*('Dvd Calendar'!$R$1030&gt;VAL_DATE)=0,"",'Dvd Calendar'!$R$1030*1000000000+ISNUMBER('Dvd Calendar'!$R$1031)*100000000+0*10000000+(N('Dvd Calendar'!$R$1029)&gt;0)*(N('Dvd Calendar'!$R$1029)&lt;=VAL_SERIAL)*1000000+93*1000+54))</f>
        <v/>
      </c>
      <c r="GG104" s="35">
        <f>IF(N('Dvd Calendar'!$S$1030)=0,"",IF(('Dvd Calendar'!$S$1030&gt;=GRID_FROM)*('Dvd Calendar'!$S$1030&lt;=GRID_TO)*('Dvd Calendar'!$S$1030&gt;VAL_DATE)=0,"",'Dvd Calendar'!$S$1030*1000000000+ISNUMBER('Dvd Calendar'!$S$1031)*100000000+0*10000000+(N('Dvd Calendar'!$S$1029)&gt;0)*(N('Dvd Calendar'!$S$1029)&lt;=VAL_SERIAL)*1000000+93*1000+55))</f>
        <v/>
      </c>
      <c r="GH104" s="35">
        <f>IF(N('Dvd Calendar'!$T$1030)=0,"",IF(('Dvd Calendar'!$T$1030&gt;=GRID_FROM)*('Dvd Calendar'!$T$1030&lt;=GRID_TO)*('Dvd Calendar'!$T$1030&gt;VAL_DATE)=0,"",'Dvd Calendar'!$T$1030*1000000000+ISNUMBER('Dvd Calendar'!$T$1031)*100000000+0*10000000+(N('Dvd Calendar'!$T$1029)&gt;0)*(N('Dvd Calendar'!$T$1029)&lt;=VAL_SERIAL)*1000000+93*1000+56))</f>
        <v/>
      </c>
      <c r="GI104" s="35">
        <f>IF(N('Dvd Calendar'!$U$1030)=0,"",IF(('Dvd Calendar'!$U$1030&gt;=GRID_FROM)*('Dvd Calendar'!$U$1030&lt;=GRID_TO)*('Dvd Calendar'!$U$1030&gt;VAL_DATE)=0,"",'Dvd Calendar'!$U$1030*1000000000+ISNUMBER('Dvd Calendar'!$U$1031)*100000000+0*10000000+(N('Dvd Calendar'!$U$1029)&gt;0)*(N('Dvd Calendar'!$U$1029)&lt;=VAL_SERIAL)*1000000+93*1000+57))</f>
        <v/>
      </c>
      <c r="GJ104" s="35">
        <f>IF(N('Dvd Calendar'!$V$1030)=0,"",IF(('Dvd Calendar'!$V$1030&gt;=GRID_FROM)*('Dvd Calendar'!$V$1030&lt;=GRID_TO)*('Dvd Calendar'!$V$1030&gt;VAL_DATE)=0,"",'Dvd Calendar'!$V$1030*1000000000+ISNUMBER('Dvd Calendar'!$V$1031)*100000000+0*10000000+(N('Dvd Calendar'!$V$1029)&gt;0)*(N('Dvd Calendar'!$V$1029)&lt;=VAL_SERIAL)*1000000+93*1000+58))</f>
        <v/>
      </c>
      <c r="GK104" s="35">
        <f>IF(N('Dvd Calendar'!$W$1030)=0,"",IF(('Dvd Calendar'!$W$1030&gt;=GRID_FROM)*('Dvd Calendar'!$W$1030&lt;=GRID_TO)*('Dvd Calendar'!$W$1030&gt;VAL_DATE)=0,"",'Dvd Calendar'!$W$1030*1000000000+ISNUMBER('Dvd Calendar'!$W$1031)*100000000+0*10000000+(N('Dvd Calendar'!$W$1029)&gt;0)*(N('Dvd Calendar'!$W$1029)&lt;=VAL_SERIAL)*1000000+93*1000+59))</f>
        <v/>
      </c>
      <c r="GL104" s="35">
        <f>IF(N('Dvd Calendar'!$X$1030)=0,"",IF(('Dvd Calendar'!$X$1030&gt;=GRID_FROM)*('Dvd Calendar'!$X$1030&lt;=GRID_TO)*('Dvd Calendar'!$X$1030&gt;VAL_DATE)=0,"",'Dvd Calendar'!$X$1030*1000000000+ISNUMBER('Dvd Calendar'!$X$1031)*100000000+0*10000000+(N('Dvd Calendar'!$X$1029)&gt;0)*(N('Dvd Calendar'!$X$1029)&lt;=VAL_SERIAL)*1000000+93*1000+60))</f>
        <v/>
      </c>
      <c r="GM104" s="35">
        <f>IF(N('Dvd Calendar'!$Y$1030)=0,"",IF(('Dvd Calendar'!$Y$1030&gt;=GRID_FROM)*('Dvd Calendar'!$Y$1030&lt;=GRID_TO)*('Dvd Calendar'!$Y$1030&gt;VAL_DATE)=0,"",'Dvd Calendar'!$Y$1030*1000000000+ISNUMBER('Dvd Calendar'!$Y$1031)*100000000+0*10000000+(N('Dvd Calendar'!$Y$1029)&gt;0)*(N('Dvd Calendar'!$Y$1029)&lt;=VAL_SERIAL)*1000000+93*1000+61))</f>
        <v/>
      </c>
      <c r="GN104" s="35">
        <f>IF(N('Dvd Calendar'!$Z$1030)=0,"",IF(('Dvd Calendar'!$Z$1030&gt;=GRID_FROM)*('Dvd Calendar'!$Z$1030&lt;=GRID_TO)*('Dvd Calendar'!$Z$1030&gt;VAL_DATE)=0,"",'Dvd Calendar'!$Z$1030*1000000000+ISNUMBER('Dvd Calendar'!$Z$1031)*100000000+0*10000000+(N('Dvd Calendar'!$Z$1029)&gt;0)*(N('Dvd Calendar'!$Z$1029)&lt;=VAL_SERIAL)*1000000+93*1000+62))</f>
        <v/>
      </c>
      <c r="GO104" s="35">
        <f>IF(N('Dvd Calendar'!$AA$1030)=0,"",IF(('Dvd Calendar'!$AA$1030&gt;=GRID_FROM)*('Dvd Calendar'!$AA$1030&lt;=GRID_TO)*('Dvd Calendar'!$AA$1030&gt;VAL_DATE)=0,"",'Dvd Calendar'!$AA$1030*1000000000+ISNUMBER('Dvd Calendar'!$AA$1031)*100000000+0*10000000+(N('Dvd Calendar'!$AA$1029)&gt;0)*(N('Dvd Calendar'!$AA$1029)&lt;=VAL_SERIAL)*1000000+93*1000+63))</f>
        <v/>
      </c>
      <c r="GP104" s="35">
        <f>IF(N('Dvd Calendar'!$AB$1030)=0,"",IF(('Dvd Calendar'!$AB$1030&gt;=GRID_FROM)*('Dvd Calendar'!$AB$1030&lt;=GRID_TO)*('Dvd Calendar'!$AB$1030&gt;VAL_DATE)=0,"",'Dvd Calendar'!$AB$1030*1000000000+ISNUMBER('Dvd Calendar'!$AB$1031)*100000000+0*10000000+(N('Dvd Calendar'!$AB$1029)&gt;0)*(N('Dvd Calendar'!$AB$1029)&lt;=VAL_SERIAL)*1000000+93*1000+64))</f>
        <v/>
      </c>
      <c r="GQ104" s="35">
        <f>IF(N('Dvd Calendar'!$AC$1030)=0,"",IF(('Dvd Calendar'!$AC$1030&gt;=GRID_FROM)*('Dvd Calendar'!$AC$1030&lt;=GRID_TO)*('Dvd Calendar'!$AC$1030&gt;VAL_DATE)=0,"",'Dvd Calendar'!$AC$1030*1000000000+ISNUMBER('Dvd Calendar'!$AC$1031)*100000000+0*10000000+(N('Dvd Calendar'!$AC$1029)&gt;0)*(N('Dvd Calendar'!$AC$1029)&lt;=VAL_SERIAL)*1000000+93*1000+65))</f>
        <v/>
      </c>
    </row>
    <row r="105">
      <c r="B105" s="2">
        <f>IF(HSI!$C$100="","",HSI!$C$100)</f>
        <v/>
      </c>
      <c r="C105" s="106">
        <f>IF(EE105="","",IF(ISNUMBER('Dvd Calendar'!$E$1037)=FALSE,"",IF((('Dvd Calendar'!$E$1039=TYPE1)*(TYPE1&lt;&gt;"")+('Dvd Calendar'!$E$1039=TYPE2)*(TYPE2&lt;&gt;"")+('Dvd Calendar'!$E$1039=TYPE3)*(TYPE3&lt;&gt;"")+('Dvd Calendar'!$E$1039=TYPE4)*(TYPE4&lt;&gt;"")+('Dvd Calendar'!$E$1039=SPECIAL_LBL)*(INC_SPECIALS="Y"))=0,"",'Dvd Calendar'!$E$1037)))</f>
        <v/>
      </c>
      <c r="D105" s="106">
        <f>IF(EF105="","",IF(ISNUMBER('Dvd Calendar'!$F$1037)=FALSE,"",IF((('Dvd Calendar'!$F$1039=TYPE1)*(TYPE1&lt;&gt;"")+('Dvd Calendar'!$F$1039=TYPE2)*(TYPE2&lt;&gt;"")+('Dvd Calendar'!$F$1039=TYPE3)*(TYPE3&lt;&gt;"")+('Dvd Calendar'!$F$1039=TYPE4)*(TYPE4&lt;&gt;"")+('Dvd Calendar'!$F$1039=SPECIAL_LBL)*(INC_SPECIALS="Y"))=0,"",'Dvd Calendar'!$F$1037)))</f>
        <v/>
      </c>
      <c r="E105" s="106">
        <f>IF(EG105="","",IF(ISNUMBER('Dvd Calendar'!$G$1037)=FALSE,"",IF((('Dvd Calendar'!$G$1039=TYPE1)*(TYPE1&lt;&gt;"")+('Dvd Calendar'!$G$1039=TYPE2)*(TYPE2&lt;&gt;"")+('Dvd Calendar'!$G$1039=TYPE3)*(TYPE3&lt;&gt;"")+('Dvd Calendar'!$G$1039=TYPE4)*(TYPE4&lt;&gt;"")+('Dvd Calendar'!$G$1039=SPECIAL_LBL)*(INC_SPECIALS="Y"))=0,"",'Dvd Calendar'!$G$1037)))</f>
        <v/>
      </c>
      <c r="F105" s="106">
        <f>IF(EH105="","",IF(ISNUMBER('Dvd Calendar'!$H$1037)=FALSE,"",IF((('Dvd Calendar'!$H$1039=TYPE1)*(TYPE1&lt;&gt;"")+('Dvd Calendar'!$H$1039=TYPE2)*(TYPE2&lt;&gt;"")+('Dvd Calendar'!$H$1039=TYPE3)*(TYPE3&lt;&gt;"")+('Dvd Calendar'!$H$1039=TYPE4)*(TYPE4&lt;&gt;"")+('Dvd Calendar'!$H$1039=SPECIAL_LBL)*(INC_SPECIALS="Y"))=0,"",'Dvd Calendar'!$H$1037)))</f>
        <v/>
      </c>
      <c r="G105" s="106">
        <f>IF(EI105="","",IF(ISNUMBER('Dvd Calendar'!$I$1037)=FALSE,"",IF((('Dvd Calendar'!$I$1039=TYPE1)*(TYPE1&lt;&gt;"")+('Dvd Calendar'!$I$1039=TYPE2)*(TYPE2&lt;&gt;"")+('Dvd Calendar'!$I$1039=TYPE3)*(TYPE3&lt;&gt;"")+('Dvd Calendar'!$I$1039=TYPE4)*(TYPE4&lt;&gt;"")+('Dvd Calendar'!$I$1039=SPECIAL_LBL)*(INC_SPECIALS="Y"))=0,"",'Dvd Calendar'!$I$1037)))</f>
        <v/>
      </c>
      <c r="H105" s="106">
        <f>IF(EJ105="","",IF(ISNUMBER('Dvd Calendar'!$J$1037)=FALSE,"",IF((('Dvd Calendar'!$J$1039=TYPE1)*(TYPE1&lt;&gt;"")+('Dvd Calendar'!$J$1039=TYPE2)*(TYPE2&lt;&gt;"")+('Dvd Calendar'!$J$1039=TYPE3)*(TYPE3&lt;&gt;"")+('Dvd Calendar'!$J$1039=TYPE4)*(TYPE4&lt;&gt;"")+('Dvd Calendar'!$J$1039=SPECIAL_LBL)*(INC_SPECIALS="Y"))=0,"",'Dvd Calendar'!$J$1037)))</f>
        <v/>
      </c>
      <c r="I105" s="106">
        <f>IF(EK105="","",IF(ISNUMBER('Dvd Calendar'!$K$1037)=FALSE,"",IF((('Dvd Calendar'!$K$1039=TYPE1)*(TYPE1&lt;&gt;"")+('Dvd Calendar'!$K$1039=TYPE2)*(TYPE2&lt;&gt;"")+('Dvd Calendar'!$K$1039=TYPE3)*(TYPE3&lt;&gt;"")+('Dvd Calendar'!$K$1039=TYPE4)*(TYPE4&lt;&gt;"")+('Dvd Calendar'!$K$1039=SPECIAL_LBL)*(INC_SPECIALS="Y"))=0,"",'Dvd Calendar'!$K$1037)))</f>
        <v/>
      </c>
      <c r="J105" s="106">
        <f>IF(EL105="","",IF(ISNUMBER('Dvd Calendar'!$L$1037)=FALSE,"",IF((('Dvd Calendar'!$L$1039=TYPE1)*(TYPE1&lt;&gt;"")+('Dvd Calendar'!$L$1039=TYPE2)*(TYPE2&lt;&gt;"")+('Dvd Calendar'!$L$1039=TYPE3)*(TYPE3&lt;&gt;"")+('Dvd Calendar'!$L$1039=TYPE4)*(TYPE4&lt;&gt;"")+('Dvd Calendar'!$L$1039=SPECIAL_LBL)*(INC_SPECIALS="Y"))=0,"",'Dvd Calendar'!$L$1037)))</f>
        <v/>
      </c>
      <c r="K105" s="106">
        <f>IF(EM105="","",IF(ISNUMBER('Dvd Calendar'!$M$1037)=FALSE,"",IF((('Dvd Calendar'!$M$1039=TYPE1)*(TYPE1&lt;&gt;"")+('Dvd Calendar'!$M$1039=TYPE2)*(TYPE2&lt;&gt;"")+('Dvd Calendar'!$M$1039=TYPE3)*(TYPE3&lt;&gt;"")+('Dvd Calendar'!$M$1039=TYPE4)*(TYPE4&lt;&gt;"")+('Dvd Calendar'!$M$1039=SPECIAL_LBL)*(INC_SPECIALS="Y"))=0,"",'Dvd Calendar'!$M$1037)))</f>
        <v/>
      </c>
      <c r="L105" s="106">
        <f>IF(EN105="","",IF(ISNUMBER('Dvd Calendar'!$N$1037)=FALSE,"",IF((('Dvd Calendar'!$N$1039=TYPE1)*(TYPE1&lt;&gt;"")+('Dvd Calendar'!$N$1039=TYPE2)*(TYPE2&lt;&gt;"")+('Dvd Calendar'!$N$1039=TYPE3)*(TYPE3&lt;&gt;"")+('Dvd Calendar'!$N$1039=TYPE4)*(TYPE4&lt;&gt;"")+('Dvd Calendar'!$N$1039=SPECIAL_LBL)*(INC_SPECIALS="Y"))=0,"",'Dvd Calendar'!$N$1037)))</f>
        <v/>
      </c>
      <c r="M105" s="106">
        <f>IF(EO105="","",IF(ISNUMBER('Dvd Calendar'!$O$1037)=FALSE,"",IF((('Dvd Calendar'!$O$1039=TYPE1)*(TYPE1&lt;&gt;"")+('Dvd Calendar'!$O$1039=TYPE2)*(TYPE2&lt;&gt;"")+('Dvd Calendar'!$O$1039=TYPE3)*(TYPE3&lt;&gt;"")+('Dvd Calendar'!$O$1039=TYPE4)*(TYPE4&lt;&gt;"")+('Dvd Calendar'!$O$1039=SPECIAL_LBL)*(INC_SPECIALS="Y"))=0,"",'Dvd Calendar'!$O$1037)))</f>
        <v/>
      </c>
      <c r="N105" s="106">
        <f>IF(EP105="","",IF(ISNUMBER('Dvd Calendar'!$P$1037)=FALSE,"",IF((('Dvd Calendar'!$P$1039=TYPE1)*(TYPE1&lt;&gt;"")+('Dvd Calendar'!$P$1039=TYPE2)*(TYPE2&lt;&gt;"")+('Dvd Calendar'!$P$1039=TYPE3)*(TYPE3&lt;&gt;"")+('Dvd Calendar'!$P$1039=TYPE4)*(TYPE4&lt;&gt;"")+('Dvd Calendar'!$P$1039=SPECIAL_LBL)*(INC_SPECIALS="Y"))=0,"",'Dvd Calendar'!$P$1037)))</f>
        <v/>
      </c>
      <c r="O105" s="106">
        <f>IF(EQ105="","",IF(ISNUMBER('Dvd Calendar'!$Q$1037)=FALSE,"",IF((('Dvd Calendar'!$Q$1039=TYPE1)*(TYPE1&lt;&gt;"")+('Dvd Calendar'!$Q$1039=TYPE2)*(TYPE2&lt;&gt;"")+('Dvd Calendar'!$Q$1039=TYPE3)*(TYPE3&lt;&gt;"")+('Dvd Calendar'!$Q$1039=TYPE4)*(TYPE4&lt;&gt;"")+('Dvd Calendar'!$Q$1039=SPECIAL_LBL)*(INC_SPECIALS="Y"))=0,"",'Dvd Calendar'!$Q$1037)))</f>
        <v/>
      </c>
      <c r="P105" s="106">
        <f>IF(ER105="","",IF(ISNUMBER('Dvd Calendar'!$R$1037)=FALSE,"",IF((('Dvd Calendar'!$R$1039=TYPE1)*(TYPE1&lt;&gt;"")+('Dvd Calendar'!$R$1039=TYPE2)*(TYPE2&lt;&gt;"")+('Dvd Calendar'!$R$1039=TYPE3)*(TYPE3&lt;&gt;"")+('Dvd Calendar'!$R$1039=TYPE4)*(TYPE4&lt;&gt;"")+('Dvd Calendar'!$R$1039=SPECIAL_LBL)*(INC_SPECIALS="Y"))=0,"",'Dvd Calendar'!$R$1037)))</f>
        <v/>
      </c>
      <c r="Q105" s="106">
        <f>IF(ES105="","",IF(ISNUMBER('Dvd Calendar'!$S$1037)=FALSE,"",IF((('Dvd Calendar'!$S$1039=TYPE1)*(TYPE1&lt;&gt;"")+('Dvd Calendar'!$S$1039=TYPE2)*(TYPE2&lt;&gt;"")+('Dvd Calendar'!$S$1039=TYPE3)*(TYPE3&lt;&gt;"")+('Dvd Calendar'!$S$1039=TYPE4)*(TYPE4&lt;&gt;"")+('Dvd Calendar'!$S$1039=SPECIAL_LBL)*(INC_SPECIALS="Y"))=0,"",'Dvd Calendar'!$S$1037)))</f>
        <v/>
      </c>
      <c r="R105" s="106">
        <f>IF(ET105="","",IF(ISNUMBER('Dvd Calendar'!$T$1037)=FALSE,"",IF((('Dvd Calendar'!$T$1039=TYPE1)*(TYPE1&lt;&gt;"")+('Dvd Calendar'!$T$1039=TYPE2)*(TYPE2&lt;&gt;"")+('Dvd Calendar'!$T$1039=TYPE3)*(TYPE3&lt;&gt;"")+('Dvd Calendar'!$T$1039=TYPE4)*(TYPE4&lt;&gt;"")+('Dvd Calendar'!$T$1039=SPECIAL_LBL)*(INC_SPECIALS="Y"))=0,"",'Dvd Calendar'!$T$1037)))</f>
        <v/>
      </c>
      <c r="S105" s="106">
        <f>IF(EU105="","",IF(ISNUMBER('Dvd Calendar'!$U$1037)=FALSE,"",IF((('Dvd Calendar'!$U$1039=TYPE1)*(TYPE1&lt;&gt;"")+('Dvd Calendar'!$U$1039=TYPE2)*(TYPE2&lt;&gt;"")+('Dvd Calendar'!$U$1039=TYPE3)*(TYPE3&lt;&gt;"")+('Dvd Calendar'!$U$1039=TYPE4)*(TYPE4&lt;&gt;"")+('Dvd Calendar'!$U$1039=SPECIAL_LBL)*(INC_SPECIALS="Y"))=0,"",'Dvd Calendar'!$U$1037)))</f>
        <v/>
      </c>
      <c r="T105" s="106">
        <f>IF(EV105="","",IF(ISNUMBER('Dvd Calendar'!$V$1037)=FALSE,"",IF((('Dvd Calendar'!$V$1039=TYPE1)*(TYPE1&lt;&gt;"")+('Dvd Calendar'!$V$1039=TYPE2)*(TYPE2&lt;&gt;"")+('Dvd Calendar'!$V$1039=TYPE3)*(TYPE3&lt;&gt;"")+('Dvd Calendar'!$V$1039=TYPE4)*(TYPE4&lt;&gt;"")+('Dvd Calendar'!$V$1039=SPECIAL_LBL)*(INC_SPECIALS="Y"))=0,"",'Dvd Calendar'!$V$1037)))</f>
        <v/>
      </c>
      <c r="U105" s="106">
        <f>IF(EW105="","",IF(ISNUMBER('Dvd Calendar'!$W$1037)=FALSE,"",IF((('Dvd Calendar'!$W$1039=TYPE1)*(TYPE1&lt;&gt;"")+('Dvd Calendar'!$W$1039=TYPE2)*(TYPE2&lt;&gt;"")+('Dvd Calendar'!$W$1039=TYPE3)*(TYPE3&lt;&gt;"")+('Dvd Calendar'!$W$1039=TYPE4)*(TYPE4&lt;&gt;"")+('Dvd Calendar'!$W$1039=SPECIAL_LBL)*(INC_SPECIALS="Y"))=0,"",'Dvd Calendar'!$W$1037)))</f>
        <v/>
      </c>
      <c r="V105" s="106">
        <f>IF(EX105="","",IF(ISNUMBER('Dvd Calendar'!$X$1037)=FALSE,"",IF((('Dvd Calendar'!$X$1039=TYPE1)*(TYPE1&lt;&gt;"")+('Dvd Calendar'!$X$1039=TYPE2)*(TYPE2&lt;&gt;"")+('Dvd Calendar'!$X$1039=TYPE3)*(TYPE3&lt;&gt;"")+('Dvd Calendar'!$X$1039=TYPE4)*(TYPE4&lt;&gt;"")+('Dvd Calendar'!$X$1039=SPECIAL_LBL)*(INC_SPECIALS="Y"))=0,"",'Dvd Calendar'!$X$1037)))</f>
        <v/>
      </c>
      <c r="W105" s="106">
        <f>IF(EY105="","",IF(ISNUMBER('Dvd Calendar'!$Y$1037)=FALSE,"",IF((('Dvd Calendar'!$Y$1039=TYPE1)*(TYPE1&lt;&gt;"")+('Dvd Calendar'!$Y$1039=TYPE2)*(TYPE2&lt;&gt;"")+('Dvd Calendar'!$Y$1039=TYPE3)*(TYPE3&lt;&gt;"")+('Dvd Calendar'!$Y$1039=TYPE4)*(TYPE4&lt;&gt;"")+('Dvd Calendar'!$Y$1039=SPECIAL_LBL)*(INC_SPECIALS="Y"))=0,"",'Dvd Calendar'!$Y$1037)))</f>
        <v/>
      </c>
      <c r="X105" s="106">
        <f>IF(EZ105="","",IF(ISNUMBER('Dvd Calendar'!$Z$1037)=FALSE,"",IF((('Dvd Calendar'!$Z$1039=TYPE1)*(TYPE1&lt;&gt;"")+('Dvd Calendar'!$Z$1039=TYPE2)*(TYPE2&lt;&gt;"")+('Dvd Calendar'!$Z$1039=TYPE3)*(TYPE3&lt;&gt;"")+('Dvd Calendar'!$Z$1039=TYPE4)*(TYPE4&lt;&gt;"")+('Dvd Calendar'!$Z$1039=SPECIAL_LBL)*(INC_SPECIALS="Y"))=0,"",'Dvd Calendar'!$Z$1037)))</f>
        <v/>
      </c>
      <c r="Y105" s="106">
        <f>IF(FA105="","",IF(ISNUMBER('Dvd Calendar'!$AA$1037)=FALSE,"",IF((('Dvd Calendar'!$AA$1039=TYPE1)*(TYPE1&lt;&gt;"")+('Dvd Calendar'!$AA$1039=TYPE2)*(TYPE2&lt;&gt;"")+('Dvd Calendar'!$AA$1039=TYPE3)*(TYPE3&lt;&gt;"")+('Dvd Calendar'!$AA$1039=TYPE4)*(TYPE4&lt;&gt;"")+('Dvd Calendar'!$AA$1039=SPECIAL_LBL)*(INC_SPECIALS="Y"))=0,"",'Dvd Calendar'!$AA$1037)))</f>
        <v/>
      </c>
      <c r="Z105" s="106">
        <f>IF(FB105="","",IF(ISNUMBER('Dvd Calendar'!$AB$1037)=FALSE,"",IF((('Dvd Calendar'!$AB$1039=TYPE1)*(TYPE1&lt;&gt;"")+('Dvd Calendar'!$AB$1039=TYPE2)*(TYPE2&lt;&gt;"")+('Dvd Calendar'!$AB$1039=TYPE3)*(TYPE3&lt;&gt;"")+('Dvd Calendar'!$AB$1039=TYPE4)*(TYPE4&lt;&gt;"")+('Dvd Calendar'!$AB$1039=SPECIAL_LBL)*(INC_SPECIALS="Y"))=0,"",'Dvd Calendar'!$AB$1037)))</f>
        <v/>
      </c>
      <c r="AA105" s="106">
        <f>IF(FC105="","",IF(ISNUMBER('Dvd Calendar'!$AC$1037)=FALSE,"",IF((('Dvd Calendar'!$AC$1039=TYPE1)*(TYPE1&lt;&gt;"")+('Dvd Calendar'!$AC$1039=TYPE2)*(TYPE2&lt;&gt;"")+('Dvd Calendar'!$AC$1039=TYPE3)*(TYPE3&lt;&gt;"")+('Dvd Calendar'!$AC$1039=TYPE4)*(TYPE4&lt;&gt;"")+('Dvd Calendar'!$AC$1039=SPECIAL_LBL)*(INC_SPECIALS="Y"))=0,"",'Dvd Calendar'!$AC$1037)))</f>
        <v/>
      </c>
      <c r="AB105" s="106">
        <f>IF(FD105="","",IF(ISNUMBER('Dvd Calendar'!$AD$1037)=FALSE,"",IF((('Dvd Calendar'!$AD$1039=TYPE1)*(TYPE1&lt;&gt;"")+('Dvd Calendar'!$AD$1039=TYPE2)*(TYPE2&lt;&gt;"")+('Dvd Calendar'!$AD$1039=TYPE3)*(TYPE3&lt;&gt;"")+('Dvd Calendar'!$AD$1039=TYPE4)*(TYPE4&lt;&gt;"")+('Dvd Calendar'!$AD$1039=SPECIAL_LBL)*(INC_SPECIALS="Y"))=0,"",'Dvd Calendar'!$AD$1037)))</f>
        <v/>
      </c>
      <c r="AC105" s="106">
        <f>IF(FE105="","",IF(ISNUMBER('Dvd Calendar'!$AE$1037)=FALSE,"",IF((('Dvd Calendar'!$AE$1039=TYPE1)*(TYPE1&lt;&gt;"")+('Dvd Calendar'!$AE$1039=TYPE2)*(TYPE2&lt;&gt;"")+('Dvd Calendar'!$AE$1039=TYPE3)*(TYPE3&lt;&gt;"")+('Dvd Calendar'!$AE$1039=TYPE4)*(TYPE4&lt;&gt;"")+('Dvd Calendar'!$AE$1039=SPECIAL_LBL)*(INC_SPECIALS="Y"))=0,"",'Dvd Calendar'!$AE$1037)))</f>
        <v/>
      </c>
      <c r="AD105" s="106">
        <f>IF(FF105="","",IF(ISNUMBER('Dvd Calendar'!$AF$1037)=FALSE,"",IF((('Dvd Calendar'!$AF$1039=TYPE1)*(TYPE1&lt;&gt;"")+('Dvd Calendar'!$AF$1039=TYPE2)*(TYPE2&lt;&gt;"")+('Dvd Calendar'!$AF$1039=TYPE3)*(TYPE3&lt;&gt;"")+('Dvd Calendar'!$AF$1039=TYPE4)*(TYPE4&lt;&gt;"")+('Dvd Calendar'!$AF$1039=SPECIAL_LBL)*(INC_SPECIALS="Y"))=0,"",'Dvd Calendar'!$AF$1037)))</f>
        <v/>
      </c>
      <c r="AE105" s="106">
        <f>IF(FG105="","",IF(ISNUMBER('Dvd Calendar'!$AG$1037)=FALSE,"",IF((('Dvd Calendar'!$AG$1039=TYPE1)*(TYPE1&lt;&gt;"")+('Dvd Calendar'!$AG$1039=TYPE2)*(TYPE2&lt;&gt;"")+('Dvd Calendar'!$AG$1039=TYPE3)*(TYPE3&lt;&gt;"")+('Dvd Calendar'!$AG$1039=TYPE4)*(TYPE4&lt;&gt;"")+('Dvd Calendar'!$AG$1039=SPECIAL_LBL)*(INC_SPECIALS="Y"))=0,"",'Dvd Calendar'!$AG$1037)))</f>
        <v/>
      </c>
      <c r="AF105" s="106">
        <f>IF(FH105="","",IF(ISNUMBER('Dvd Calendar'!$AH$1037)=FALSE,"",IF((('Dvd Calendar'!$AH$1039=TYPE1)*(TYPE1&lt;&gt;"")+('Dvd Calendar'!$AH$1039=TYPE2)*(TYPE2&lt;&gt;"")+('Dvd Calendar'!$AH$1039=TYPE3)*(TYPE3&lt;&gt;"")+('Dvd Calendar'!$AH$1039=TYPE4)*(TYPE4&lt;&gt;"")+('Dvd Calendar'!$AH$1039=SPECIAL_LBL)*(INC_SPECIALS="Y"))=0,"",'Dvd Calendar'!$AH$1037)))</f>
        <v/>
      </c>
      <c r="AG105" s="106">
        <f>IF(FI105="","",IF(ISNUMBER('Dvd Calendar'!$AI$1037)=FALSE,"",IF((('Dvd Calendar'!$AI$1039=TYPE1)*(TYPE1&lt;&gt;"")+('Dvd Calendar'!$AI$1039=TYPE2)*(TYPE2&lt;&gt;"")+('Dvd Calendar'!$AI$1039=TYPE3)*(TYPE3&lt;&gt;"")+('Dvd Calendar'!$AI$1039=TYPE4)*(TYPE4&lt;&gt;"")+('Dvd Calendar'!$AI$1039=SPECIAL_LBL)*(INC_SPECIALS="Y"))=0,"",'Dvd Calendar'!$AI$1037)))</f>
        <v/>
      </c>
      <c r="AH105" s="106">
        <f>IF(FJ105="","",IF(ISNUMBER('Dvd Calendar'!$AJ$1037)=FALSE,"",IF((('Dvd Calendar'!$AJ$1039=TYPE1)*(TYPE1&lt;&gt;"")+('Dvd Calendar'!$AJ$1039=TYPE2)*(TYPE2&lt;&gt;"")+('Dvd Calendar'!$AJ$1039=TYPE3)*(TYPE3&lt;&gt;"")+('Dvd Calendar'!$AJ$1039=TYPE4)*(TYPE4&lt;&gt;"")+('Dvd Calendar'!$AJ$1039=SPECIAL_LBL)*(INC_SPECIALS="Y"))=0,"",'Dvd Calendar'!$AJ$1037)))</f>
        <v/>
      </c>
      <c r="AI105" s="106">
        <f>IF(FK105="","",IF(ISNUMBER('Dvd Calendar'!$AK$1037)=FALSE,"",IF((('Dvd Calendar'!$AK$1039=TYPE1)*(TYPE1&lt;&gt;"")+('Dvd Calendar'!$AK$1039=TYPE2)*(TYPE2&lt;&gt;"")+('Dvd Calendar'!$AK$1039=TYPE3)*(TYPE3&lt;&gt;"")+('Dvd Calendar'!$AK$1039=TYPE4)*(TYPE4&lt;&gt;"")+('Dvd Calendar'!$AK$1039=SPECIAL_LBL)*(INC_SPECIALS="Y"))=0,"",'Dvd Calendar'!$AK$1037)))</f>
        <v/>
      </c>
      <c r="AJ105" s="106">
        <f>IF(FL105="","",IF(ISNUMBER('Dvd Calendar'!$AL$1037)=FALSE,"",IF((('Dvd Calendar'!$AL$1039=TYPE1)*(TYPE1&lt;&gt;"")+('Dvd Calendar'!$AL$1039=TYPE2)*(TYPE2&lt;&gt;"")+('Dvd Calendar'!$AL$1039=TYPE3)*(TYPE3&lt;&gt;"")+('Dvd Calendar'!$AL$1039=TYPE4)*(TYPE4&lt;&gt;"")+('Dvd Calendar'!$AL$1039=SPECIAL_LBL)*(INC_SPECIALS="Y"))=0,"",'Dvd Calendar'!$AL$1037)))</f>
        <v/>
      </c>
      <c r="AK105" s="106">
        <f>IF(FM105="","",IF(ISNUMBER('Dvd Calendar'!$AM$1037)=FALSE,"",IF((('Dvd Calendar'!$AM$1039=TYPE1)*(TYPE1&lt;&gt;"")+('Dvd Calendar'!$AM$1039=TYPE2)*(TYPE2&lt;&gt;"")+('Dvd Calendar'!$AM$1039=TYPE3)*(TYPE3&lt;&gt;"")+('Dvd Calendar'!$AM$1039=TYPE4)*(TYPE4&lt;&gt;"")+('Dvd Calendar'!$AM$1039=SPECIAL_LBL)*(INC_SPECIALS="Y"))=0,"",'Dvd Calendar'!$AM$1037)))</f>
        <v/>
      </c>
      <c r="AL105" s="106">
        <f>IF(FN105="","",IF(ISNUMBER('Dvd Calendar'!$AN$1037)=FALSE,"",IF((('Dvd Calendar'!$AN$1039=TYPE1)*(TYPE1&lt;&gt;"")+('Dvd Calendar'!$AN$1039=TYPE2)*(TYPE2&lt;&gt;"")+('Dvd Calendar'!$AN$1039=TYPE3)*(TYPE3&lt;&gt;"")+('Dvd Calendar'!$AN$1039=TYPE4)*(TYPE4&lt;&gt;"")+('Dvd Calendar'!$AN$1039=SPECIAL_LBL)*(INC_SPECIALS="Y"))=0,"",'Dvd Calendar'!$AN$1037)))</f>
        <v/>
      </c>
      <c r="AM105" s="106">
        <f>IF(FO105="","",IF(ISNUMBER('Dvd Calendar'!$AO$1037)=FALSE,"",IF((('Dvd Calendar'!$AO$1039=TYPE1)*(TYPE1&lt;&gt;"")+('Dvd Calendar'!$AO$1039=TYPE2)*(TYPE2&lt;&gt;"")+('Dvd Calendar'!$AO$1039=TYPE3)*(TYPE3&lt;&gt;"")+('Dvd Calendar'!$AO$1039=TYPE4)*(TYPE4&lt;&gt;"")+('Dvd Calendar'!$AO$1039=SPECIAL_LBL)*(INC_SPECIALS="Y"))=0,"",'Dvd Calendar'!$AO$1037)))</f>
        <v/>
      </c>
      <c r="AN105" s="106">
        <f>IF(FP105="","",IF(ISNUMBER('Dvd Calendar'!$AP$1037)=FALSE,"",IF((('Dvd Calendar'!$AP$1039=TYPE1)*(TYPE1&lt;&gt;"")+('Dvd Calendar'!$AP$1039=TYPE2)*(TYPE2&lt;&gt;"")+('Dvd Calendar'!$AP$1039=TYPE3)*(TYPE3&lt;&gt;"")+('Dvd Calendar'!$AP$1039=TYPE4)*(TYPE4&lt;&gt;"")+('Dvd Calendar'!$AP$1039=SPECIAL_LBL)*(INC_SPECIALS="Y"))=0,"",'Dvd Calendar'!$AP$1037)))</f>
        <v/>
      </c>
      <c r="AO105" s="106">
        <f>IF(FQ105="","",IF(ISNUMBER('Dvd Calendar'!$AQ$1037)=FALSE,"",IF((('Dvd Calendar'!$AQ$1039=TYPE1)*(TYPE1&lt;&gt;"")+('Dvd Calendar'!$AQ$1039=TYPE2)*(TYPE2&lt;&gt;"")+('Dvd Calendar'!$AQ$1039=TYPE3)*(TYPE3&lt;&gt;"")+('Dvd Calendar'!$AQ$1039=TYPE4)*(TYPE4&lt;&gt;"")+('Dvd Calendar'!$AQ$1039=SPECIAL_LBL)*(INC_SPECIALS="Y"))=0,"",'Dvd Calendar'!$AQ$1037)))</f>
        <v/>
      </c>
      <c r="AP105" s="106">
        <f>IF(FR105="","",IF(ISNUMBER('Dvd Calendar'!$AR$1037)=FALSE,"",IF((('Dvd Calendar'!$AR$1039=TYPE1)*(TYPE1&lt;&gt;"")+('Dvd Calendar'!$AR$1039=TYPE2)*(TYPE2&lt;&gt;"")+('Dvd Calendar'!$AR$1039=TYPE3)*(TYPE3&lt;&gt;"")+('Dvd Calendar'!$AR$1039=TYPE4)*(TYPE4&lt;&gt;"")+('Dvd Calendar'!$AR$1039=SPECIAL_LBL)*(INC_SPECIALS="Y"))=0,"",'Dvd Calendar'!$AR$1037)))</f>
        <v/>
      </c>
      <c r="AQ105" s="106">
        <f>IF(FS105="","",IF(ISNUMBER('Dvd Calendar'!$E$1042)=FALSE,"",'Dvd Calendar'!$E$1042))</f>
        <v/>
      </c>
      <c r="AR105" s="106">
        <f>IF(FT105="","",IF(ISNUMBER('Dvd Calendar'!$F$1042)=FALSE,"",'Dvd Calendar'!$F$1042))</f>
        <v/>
      </c>
      <c r="AS105" s="106">
        <f>IF(FU105="","",IF(ISNUMBER('Dvd Calendar'!$G$1042)=FALSE,"",'Dvd Calendar'!$G$1042))</f>
        <v/>
      </c>
      <c r="AT105" s="106">
        <f>IF(FV105="","",IF(ISNUMBER('Dvd Calendar'!$H$1042)=FALSE,"",'Dvd Calendar'!$H$1042))</f>
        <v/>
      </c>
      <c r="AU105" s="106">
        <f>IF(FW105="","",IF(ISNUMBER('Dvd Calendar'!$I$1042)=FALSE,"",'Dvd Calendar'!$I$1042))</f>
        <v/>
      </c>
      <c r="AV105" s="106">
        <f>IF(FX105="","",IF(ISNUMBER('Dvd Calendar'!$J$1042)=FALSE,"",'Dvd Calendar'!$J$1042))</f>
        <v/>
      </c>
      <c r="AW105" s="106">
        <f>IF(FY105="","",IF(ISNUMBER('Dvd Calendar'!$K$1042)=FALSE,"",'Dvd Calendar'!$K$1042))</f>
        <v/>
      </c>
      <c r="AX105" s="106">
        <f>IF(FZ105="","",IF(ISNUMBER('Dvd Calendar'!$L$1042)=FALSE,"",'Dvd Calendar'!$L$1042))</f>
        <v/>
      </c>
      <c r="AY105" s="106">
        <f>IF(GA105="","",IF(ISNUMBER('Dvd Calendar'!$M$1042)=FALSE,"",'Dvd Calendar'!$M$1042))</f>
        <v/>
      </c>
      <c r="AZ105" s="106">
        <f>IF(GB105="","",IF(ISNUMBER('Dvd Calendar'!$N$1042)=FALSE,"",'Dvd Calendar'!$N$1042))</f>
        <v/>
      </c>
      <c r="BA105" s="106">
        <f>IF(GC105="","",IF(ISNUMBER('Dvd Calendar'!$O$1042)=FALSE,"",'Dvd Calendar'!$O$1042))</f>
        <v/>
      </c>
      <c r="BB105" s="106">
        <f>IF(GD105="","",IF(ISNUMBER('Dvd Calendar'!$P$1042)=FALSE,"",'Dvd Calendar'!$P$1042))</f>
        <v/>
      </c>
      <c r="BC105" s="106">
        <f>IF(GE105="","",IF(ISNUMBER('Dvd Calendar'!$Q$1042)=FALSE,"",'Dvd Calendar'!$Q$1042))</f>
        <v/>
      </c>
      <c r="BD105" s="106">
        <f>IF(GF105="","",IF(ISNUMBER('Dvd Calendar'!$R$1042)=FALSE,"",'Dvd Calendar'!$R$1042))</f>
        <v/>
      </c>
      <c r="BE105" s="106">
        <f>IF(GG105="","",IF(ISNUMBER('Dvd Calendar'!$S$1042)=FALSE,"",'Dvd Calendar'!$S$1042))</f>
        <v/>
      </c>
      <c r="BF105" s="106">
        <f>IF(GH105="","",IF(ISNUMBER('Dvd Calendar'!$T$1042)=FALSE,"",'Dvd Calendar'!$T$1042))</f>
        <v/>
      </c>
      <c r="BG105" s="106">
        <f>IF(GI105="","",IF(ISNUMBER('Dvd Calendar'!$U$1042)=FALSE,"",'Dvd Calendar'!$U$1042))</f>
        <v/>
      </c>
      <c r="BH105" s="106">
        <f>IF(GJ105="","",IF(ISNUMBER('Dvd Calendar'!$V$1042)=FALSE,"",'Dvd Calendar'!$V$1042))</f>
        <v/>
      </c>
      <c r="BI105" s="106">
        <f>IF(GK105="","",IF(ISNUMBER('Dvd Calendar'!$W$1042)=FALSE,"",'Dvd Calendar'!$W$1042))</f>
        <v/>
      </c>
      <c r="BJ105" s="106">
        <f>IF(GL105="","",IF(ISNUMBER('Dvd Calendar'!$X$1042)=FALSE,"",'Dvd Calendar'!$X$1042))</f>
        <v/>
      </c>
      <c r="BK105" s="106">
        <f>IF(GM105="","",IF(ISNUMBER('Dvd Calendar'!$Y$1042)=FALSE,"",'Dvd Calendar'!$Y$1042))</f>
        <v/>
      </c>
      <c r="BL105" s="106">
        <f>IF(GN105="","",IF(ISNUMBER('Dvd Calendar'!$Z$1042)=FALSE,"",'Dvd Calendar'!$Z$1042))</f>
        <v/>
      </c>
      <c r="BM105" s="106">
        <f>IF(GO105="","",IF(ISNUMBER('Dvd Calendar'!$AA$1042)=FALSE,"",'Dvd Calendar'!$AA$1042))</f>
        <v/>
      </c>
      <c r="BN105" s="106">
        <f>IF(GP105="","",IF(ISNUMBER('Dvd Calendar'!$AB$1042)=FALSE,"",'Dvd Calendar'!$AB$1042))</f>
        <v/>
      </c>
      <c r="BO105" s="106">
        <f>IF(GQ105="","",IF(ISNUMBER('Dvd Calendar'!$AC$1042)=FALSE,"",'Dvd Calendar'!$AC$1042))</f>
        <v/>
      </c>
      <c r="BQ105" s="106">
        <f>IF(C105="","",IFERROR(C105*HSI!$B$100*HSI!$G$100/HSI!$B$3,""))</f>
        <v/>
      </c>
      <c r="BR105" s="106">
        <f>IF(D105="","",IFERROR(D105*HSI!$B$100*HSI!$G$100/HSI!$B$3,""))</f>
        <v/>
      </c>
      <c r="BS105" s="106">
        <f>IF(E105="","",IFERROR(E105*HSI!$B$100*HSI!$G$100/HSI!$B$3,""))</f>
        <v/>
      </c>
      <c r="BT105" s="106">
        <f>IF(F105="","",IFERROR(F105*HSI!$B$100*HSI!$G$100/HSI!$B$3,""))</f>
        <v/>
      </c>
      <c r="BU105" s="106">
        <f>IF(G105="","",IFERROR(G105*HSI!$B$100*HSI!$G$100/HSI!$B$3,""))</f>
        <v/>
      </c>
      <c r="BV105" s="106">
        <f>IF(H105="","",IFERROR(H105*HSI!$B$100*HSI!$G$100/HSI!$B$3,""))</f>
        <v/>
      </c>
      <c r="BW105" s="106">
        <f>IF(I105="","",IFERROR(I105*HSI!$B$100*HSI!$G$100/HSI!$B$3,""))</f>
        <v/>
      </c>
      <c r="BX105" s="106">
        <f>IF(J105="","",IFERROR(J105*HSI!$B$100*HSI!$G$100/HSI!$B$3,""))</f>
        <v/>
      </c>
      <c r="BY105" s="106">
        <f>IF(K105="","",IFERROR(K105*HSI!$B$100*HSI!$G$100/HSI!$B$3,""))</f>
        <v/>
      </c>
      <c r="BZ105" s="106">
        <f>IF(L105="","",IFERROR(L105*HSI!$B$100*HSI!$G$100/HSI!$B$3,""))</f>
        <v/>
      </c>
      <c r="CA105" s="106">
        <f>IF(M105="","",IFERROR(M105*HSI!$B$100*HSI!$G$100/HSI!$B$3,""))</f>
        <v/>
      </c>
      <c r="CB105" s="106">
        <f>IF(N105="","",IFERROR(N105*HSI!$B$100*HSI!$G$100/HSI!$B$3,""))</f>
        <v/>
      </c>
      <c r="CC105" s="106">
        <f>IF(O105="","",IFERROR(O105*HSI!$B$100*HSI!$G$100/HSI!$B$3,""))</f>
        <v/>
      </c>
      <c r="CD105" s="106">
        <f>IF(P105="","",IFERROR(P105*HSI!$B$100*HSI!$G$100/HSI!$B$3,""))</f>
        <v/>
      </c>
      <c r="CE105" s="106">
        <f>IF(Q105="","",IFERROR(Q105*HSI!$B$100*HSI!$G$100/HSI!$B$3,""))</f>
        <v/>
      </c>
      <c r="CF105" s="106">
        <f>IF(R105="","",IFERROR(R105*HSI!$B$100*HSI!$G$100/HSI!$B$3,""))</f>
        <v/>
      </c>
      <c r="CG105" s="106">
        <f>IF(S105="","",IFERROR(S105*HSI!$B$100*HSI!$G$100/HSI!$B$3,""))</f>
        <v/>
      </c>
      <c r="CH105" s="106">
        <f>IF(T105="","",IFERROR(T105*HSI!$B$100*HSI!$G$100/HSI!$B$3,""))</f>
        <v/>
      </c>
      <c r="CI105" s="106">
        <f>IF(U105="","",IFERROR(U105*HSI!$B$100*HSI!$G$100/HSI!$B$3,""))</f>
        <v/>
      </c>
      <c r="CJ105" s="106">
        <f>IF(V105="","",IFERROR(V105*HSI!$B$100*HSI!$G$100/HSI!$B$3,""))</f>
        <v/>
      </c>
      <c r="CK105" s="106">
        <f>IF(W105="","",IFERROR(W105*HSI!$B$100*HSI!$G$100/HSI!$B$3,""))</f>
        <v/>
      </c>
      <c r="CL105" s="106">
        <f>IF(X105="","",IFERROR(X105*HSI!$B$100*HSI!$G$100/HSI!$B$3,""))</f>
        <v/>
      </c>
      <c r="CM105" s="106">
        <f>IF(Y105="","",IFERROR(Y105*HSI!$B$100*HSI!$G$100/HSI!$B$3,""))</f>
        <v/>
      </c>
      <c r="CN105" s="106">
        <f>IF(Z105="","",IFERROR(Z105*HSI!$B$100*HSI!$G$100/HSI!$B$3,""))</f>
        <v/>
      </c>
      <c r="CO105" s="106">
        <f>IF(AA105="","",IFERROR(AA105*HSI!$B$100*HSI!$G$100/HSI!$B$3,""))</f>
        <v/>
      </c>
      <c r="CP105" s="106">
        <f>IF(AB105="","",IFERROR(AB105*HSI!$B$100*HSI!$G$100/HSI!$B$3,""))</f>
        <v/>
      </c>
      <c r="CQ105" s="106">
        <f>IF(AC105="","",IFERROR(AC105*HSI!$B$100*HSI!$G$100/HSI!$B$3,""))</f>
        <v/>
      </c>
      <c r="CR105" s="106">
        <f>IF(AD105="","",IFERROR(AD105*HSI!$B$100*HSI!$G$100/HSI!$B$3,""))</f>
        <v/>
      </c>
      <c r="CS105" s="106">
        <f>IF(AE105="","",IFERROR(AE105*HSI!$B$100*HSI!$G$100/HSI!$B$3,""))</f>
        <v/>
      </c>
      <c r="CT105" s="106">
        <f>IF(AF105="","",IFERROR(AF105*HSI!$B$100*HSI!$G$100/HSI!$B$3,""))</f>
        <v/>
      </c>
      <c r="CU105" s="106">
        <f>IF(AG105="","",IFERROR(AG105*HSI!$B$100*HSI!$G$100/HSI!$B$3,""))</f>
        <v/>
      </c>
      <c r="CV105" s="106">
        <f>IF(AH105="","",IFERROR(AH105*HSI!$B$100*HSI!$G$100/HSI!$B$3,""))</f>
        <v/>
      </c>
      <c r="CW105" s="106">
        <f>IF(AI105="","",IFERROR(AI105*HSI!$B$100*HSI!$G$100/HSI!$B$3,""))</f>
        <v/>
      </c>
      <c r="CX105" s="106">
        <f>IF(AJ105="","",IFERROR(AJ105*HSI!$B$100*HSI!$G$100/HSI!$B$3,""))</f>
        <v/>
      </c>
      <c r="CY105" s="106">
        <f>IF(AK105="","",IFERROR(AK105*HSI!$B$100*HSI!$G$100/HSI!$B$3,""))</f>
        <v/>
      </c>
      <c r="CZ105" s="106">
        <f>IF(AL105="","",IFERROR(AL105*HSI!$B$100*HSI!$G$100/HSI!$B$3,""))</f>
        <v/>
      </c>
      <c r="DA105" s="106">
        <f>IF(AM105="","",IFERROR(AM105*HSI!$B$100*HSI!$G$100/HSI!$B$3,""))</f>
        <v/>
      </c>
      <c r="DB105" s="106">
        <f>IF(AN105="","",IFERROR(AN105*HSI!$B$100*HSI!$G$100/HSI!$B$3,""))</f>
        <v/>
      </c>
      <c r="DC105" s="106">
        <f>IF(AO105="","",IFERROR(AO105*HSI!$B$100*HSI!$G$100/HSI!$B$3,""))</f>
        <v/>
      </c>
      <c r="DD105" s="106">
        <f>IF(AP105="","",IFERROR(AP105*HSI!$B$100*HSI!$G$100/HSI!$B$3,""))</f>
        <v/>
      </c>
      <c r="DE105" s="106">
        <f>IF(AQ105="","",IFERROR(AQ105*HSI!$B$100*HSI!$G$100/HSI!$B$3,""))</f>
        <v/>
      </c>
      <c r="DF105" s="106">
        <f>IF(AR105="","",IFERROR(AR105*HSI!$B$100*HSI!$G$100/HSI!$B$3,""))</f>
        <v/>
      </c>
      <c r="DG105" s="106">
        <f>IF(AS105="","",IFERROR(AS105*HSI!$B$100*HSI!$G$100/HSI!$B$3,""))</f>
        <v/>
      </c>
      <c r="DH105" s="106">
        <f>IF(AT105="","",IFERROR(AT105*HSI!$B$100*HSI!$G$100/HSI!$B$3,""))</f>
        <v/>
      </c>
      <c r="DI105" s="106">
        <f>IF(AU105="","",IFERROR(AU105*HSI!$B$100*HSI!$G$100/HSI!$B$3,""))</f>
        <v/>
      </c>
      <c r="DJ105" s="106">
        <f>IF(AV105="","",IFERROR(AV105*HSI!$B$100*HSI!$G$100/HSI!$B$3,""))</f>
        <v/>
      </c>
      <c r="DK105" s="106">
        <f>IF(AW105="","",IFERROR(AW105*HSI!$B$100*HSI!$G$100/HSI!$B$3,""))</f>
        <v/>
      </c>
      <c r="DL105" s="106">
        <f>IF(AX105="","",IFERROR(AX105*HSI!$B$100*HSI!$G$100/HSI!$B$3,""))</f>
        <v/>
      </c>
      <c r="DM105" s="106">
        <f>IF(AY105="","",IFERROR(AY105*HSI!$B$100*HSI!$G$100/HSI!$B$3,""))</f>
        <v/>
      </c>
      <c r="DN105" s="106">
        <f>IF(AZ105="","",IFERROR(AZ105*HSI!$B$100*HSI!$G$100/HSI!$B$3,""))</f>
        <v/>
      </c>
      <c r="DO105" s="106">
        <f>IF(BA105="","",IFERROR(BA105*HSI!$B$100*HSI!$G$100/HSI!$B$3,""))</f>
        <v/>
      </c>
      <c r="DP105" s="106">
        <f>IF(BB105="","",IFERROR(BB105*HSI!$B$100*HSI!$G$100/HSI!$B$3,""))</f>
        <v/>
      </c>
      <c r="DQ105" s="106">
        <f>IF(BC105="","",IFERROR(BC105*HSI!$B$100*HSI!$G$100/HSI!$B$3,""))</f>
        <v/>
      </c>
      <c r="DR105" s="106">
        <f>IF(BD105="","",IFERROR(BD105*HSI!$B$100*HSI!$G$100/HSI!$B$3,""))</f>
        <v/>
      </c>
      <c r="DS105" s="106">
        <f>IF(BE105="","",IFERROR(BE105*HSI!$B$100*HSI!$G$100/HSI!$B$3,""))</f>
        <v/>
      </c>
      <c r="DT105" s="106">
        <f>IF(BF105="","",IFERROR(BF105*HSI!$B$100*HSI!$G$100/HSI!$B$3,""))</f>
        <v/>
      </c>
      <c r="DU105" s="106">
        <f>IF(BG105="","",IFERROR(BG105*HSI!$B$100*HSI!$G$100/HSI!$B$3,""))</f>
        <v/>
      </c>
      <c r="DV105" s="106">
        <f>IF(BH105="","",IFERROR(BH105*HSI!$B$100*HSI!$G$100/HSI!$B$3,""))</f>
        <v/>
      </c>
      <c r="DW105" s="106">
        <f>IF(BI105="","",IFERROR(BI105*HSI!$B$100*HSI!$G$100/HSI!$B$3,""))</f>
        <v/>
      </c>
      <c r="DX105" s="106">
        <f>IF(BJ105="","",IFERROR(BJ105*HSI!$B$100*HSI!$G$100/HSI!$B$3,""))</f>
        <v/>
      </c>
      <c r="DY105" s="106">
        <f>IF(BK105="","",IFERROR(BK105*HSI!$B$100*HSI!$G$100/HSI!$B$3,""))</f>
        <v/>
      </c>
      <c r="DZ105" s="106">
        <f>IF(BL105="","",IFERROR(BL105*HSI!$B$100*HSI!$G$100/HSI!$B$3,""))</f>
        <v/>
      </c>
      <c r="EA105" s="106">
        <f>IF(BM105="","",IFERROR(BM105*HSI!$B$100*HSI!$G$100/HSI!$B$3,""))</f>
        <v/>
      </c>
      <c r="EB105" s="106">
        <f>IF(BN105="","",IFERROR(BN105*HSI!$B$100*HSI!$G$100/HSI!$B$3,""))</f>
        <v/>
      </c>
      <c r="EC105" s="106">
        <f>IF(BO105="","",IFERROR(BO105*HSI!$B$100*HSI!$G$100/HSI!$B$3,""))</f>
        <v/>
      </c>
      <c r="EE105" s="35">
        <f>IF(N('Dvd Calendar'!$E$1034)=0,"",IF(('Dvd Calendar'!$E$1034&gt;=GRID_FROM)*('Dvd Calendar'!$E$1034&lt;=GRID_TO)*('Dvd Calendar'!$E$1034&lt;=VAL_DATE)=0,"",'Dvd Calendar'!$E$1034*1000000000+ISNUMBER('Dvd Calendar'!$E$1037)*100000000+('Dvd Calendar'!$E$1039=SPECIAL_LBL)*10000000+0*1000000+94*1000+1))</f>
        <v/>
      </c>
      <c r="EF105" s="35">
        <f>IF(N('Dvd Calendar'!$F$1034)=0,"",IF(('Dvd Calendar'!$F$1034&gt;=GRID_FROM)*('Dvd Calendar'!$F$1034&lt;=GRID_TO)*('Dvd Calendar'!$F$1034&lt;=VAL_DATE)=0,"",'Dvd Calendar'!$F$1034*1000000000+ISNUMBER('Dvd Calendar'!$F$1037)*100000000+('Dvd Calendar'!$F$1039=SPECIAL_LBL)*10000000+0*1000000+94*1000+2))</f>
        <v/>
      </c>
      <c r="EG105" s="35">
        <f>IF(N('Dvd Calendar'!$G$1034)=0,"",IF(('Dvd Calendar'!$G$1034&gt;=GRID_FROM)*('Dvd Calendar'!$G$1034&lt;=GRID_TO)*('Dvd Calendar'!$G$1034&lt;=VAL_DATE)=0,"",'Dvd Calendar'!$G$1034*1000000000+ISNUMBER('Dvd Calendar'!$G$1037)*100000000+('Dvd Calendar'!$G$1039=SPECIAL_LBL)*10000000+0*1000000+94*1000+3))</f>
        <v/>
      </c>
      <c r="EH105" s="35">
        <f>IF(N('Dvd Calendar'!$H$1034)=0,"",IF(('Dvd Calendar'!$H$1034&gt;=GRID_FROM)*('Dvd Calendar'!$H$1034&lt;=GRID_TO)*('Dvd Calendar'!$H$1034&lt;=VAL_DATE)=0,"",'Dvd Calendar'!$H$1034*1000000000+ISNUMBER('Dvd Calendar'!$H$1037)*100000000+('Dvd Calendar'!$H$1039=SPECIAL_LBL)*10000000+0*1000000+94*1000+4))</f>
        <v/>
      </c>
      <c r="EI105" s="35">
        <f>IF(N('Dvd Calendar'!$I$1034)=0,"",IF(('Dvd Calendar'!$I$1034&gt;=GRID_FROM)*('Dvd Calendar'!$I$1034&lt;=GRID_TO)*('Dvd Calendar'!$I$1034&lt;=VAL_DATE)=0,"",'Dvd Calendar'!$I$1034*1000000000+ISNUMBER('Dvd Calendar'!$I$1037)*100000000+('Dvd Calendar'!$I$1039=SPECIAL_LBL)*10000000+0*1000000+94*1000+5))</f>
        <v/>
      </c>
      <c r="EJ105" s="35">
        <f>IF(N('Dvd Calendar'!$J$1034)=0,"",IF(('Dvd Calendar'!$J$1034&gt;=GRID_FROM)*('Dvd Calendar'!$J$1034&lt;=GRID_TO)*('Dvd Calendar'!$J$1034&lt;=VAL_DATE)=0,"",'Dvd Calendar'!$J$1034*1000000000+ISNUMBER('Dvd Calendar'!$J$1037)*100000000+('Dvd Calendar'!$J$1039=SPECIAL_LBL)*10000000+0*1000000+94*1000+6))</f>
        <v/>
      </c>
      <c r="EK105" s="35">
        <f>IF(N('Dvd Calendar'!$K$1034)=0,"",IF(('Dvd Calendar'!$K$1034&gt;=GRID_FROM)*('Dvd Calendar'!$K$1034&lt;=GRID_TO)*('Dvd Calendar'!$K$1034&lt;=VAL_DATE)=0,"",'Dvd Calendar'!$K$1034*1000000000+ISNUMBER('Dvd Calendar'!$K$1037)*100000000+('Dvd Calendar'!$K$1039=SPECIAL_LBL)*10000000+0*1000000+94*1000+7))</f>
        <v/>
      </c>
      <c r="EL105" s="35">
        <f>IF(N('Dvd Calendar'!$L$1034)=0,"",IF(('Dvd Calendar'!$L$1034&gt;=GRID_FROM)*('Dvd Calendar'!$L$1034&lt;=GRID_TO)*('Dvd Calendar'!$L$1034&lt;=VAL_DATE)=0,"",'Dvd Calendar'!$L$1034*1000000000+ISNUMBER('Dvd Calendar'!$L$1037)*100000000+('Dvd Calendar'!$L$1039=SPECIAL_LBL)*10000000+0*1000000+94*1000+8))</f>
        <v/>
      </c>
      <c r="EM105" s="35">
        <f>IF(N('Dvd Calendar'!$M$1034)=0,"",IF(('Dvd Calendar'!$M$1034&gt;=GRID_FROM)*('Dvd Calendar'!$M$1034&lt;=GRID_TO)*('Dvd Calendar'!$M$1034&lt;=VAL_DATE)=0,"",'Dvd Calendar'!$M$1034*1000000000+ISNUMBER('Dvd Calendar'!$M$1037)*100000000+('Dvd Calendar'!$M$1039=SPECIAL_LBL)*10000000+0*1000000+94*1000+9))</f>
        <v/>
      </c>
      <c r="EN105" s="35">
        <f>IF(N('Dvd Calendar'!$N$1034)=0,"",IF(('Dvd Calendar'!$N$1034&gt;=GRID_FROM)*('Dvd Calendar'!$N$1034&lt;=GRID_TO)*('Dvd Calendar'!$N$1034&lt;=VAL_DATE)=0,"",'Dvd Calendar'!$N$1034*1000000000+ISNUMBER('Dvd Calendar'!$N$1037)*100000000+('Dvd Calendar'!$N$1039=SPECIAL_LBL)*10000000+0*1000000+94*1000+10))</f>
        <v/>
      </c>
      <c r="EO105" s="35">
        <f>IF(N('Dvd Calendar'!$O$1034)=0,"",IF(('Dvd Calendar'!$O$1034&gt;=GRID_FROM)*('Dvd Calendar'!$O$1034&lt;=GRID_TO)*('Dvd Calendar'!$O$1034&lt;=VAL_DATE)=0,"",'Dvd Calendar'!$O$1034*1000000000+ISNUMBER('Dvd Calendar'!$O$1037)*100000000+('Dvd Calendar'!$O$1039=SPECIAL_LBL)*10000000+0*1000000+94*1000+11))</f>
        <v/>
      </c>
      <c r="EP105" s="35">
        <f>IF(N('Dvd Calendar'!$P$1034)=0,"",IF(('Dvd Calendar'!$P$1034&gt;=GRID_FROM)*('Dvd Calendar'!$P$1034&lt;=GRID_TO)*('Dvd Calendar'!$P$1034&lt;=VAL_DATE)=0,"",'Dvd Calendar'!$P$1034*1000000000+ISNUMBER('Dvd Calendar'!$P$1037)*100000000+('Dvd Calendar'!$P$1039=SPECIAL_LBL)*10000000+0*1000000+94*1000+12))</f>
        <v/>
      </c>
      <c r="EQ105" s="35">
        <f>IF(N('Dvd Calendar'!$Q$1034)=0,"",IF(('Dvd Calendar'!$Q$1034&gt;=GRID_FROM)*('Dvd Calendar'!$Q$1034&lt;=GRID_TO)*('Dvd Calendar'!$Q$1034&lt;=VAL_DATE)=0,"",'Dvd Calendar'!$Q$1034*1000000000+ISNUMBER('Dvd Calendar'!$Q$1037)*100000000+('Dvd Calendar'!$Q$1039=SPECIAL_LBL)*10000000+0*1000000+94*1000+13))</f>
        <v/>
      </c>
      <c r="ER105" s="35">
        <f>IF(N('Dvd Calendar'!$R$1034)=0,"",IF(('Dvd Calendar'!$R$1034&gt;=GRID_FROM)*('Dvd Calendar'!$R$1034&lt;=GRID_TO)*('Dvd Calendar'!$R$1034&lt;=VAL_DATE)=0,"",'Dvd Calendar'!$R$1034*1000000000+ISNUMBER('Dvd Calendar'!$R$1037)*100000000+('Dvd Calendar'!$R$1039=SPECIAL_LBL)*10000000+0*1000000+94*1000+14))</f>
        <v/>
      </c>
      <c r="ES105" s="35">
        <f>IF(N('Dvd Calendar'!$S$1034)=0,"",IF(('Dvd Calendar'!$S$1034&gt;=GRID_FROM)*('Dvd Calendar'!$S$1034&lt;=GRID_TO)*('Dvd Calendar'!$S$1034&lt;=VAL_DATE)=0,"",'Dvd Calendar'!$S$1034*1000000000+ISNUMBER('Dvd Calendar'!$S$1037)*100000000+('Dvd Calendar'!$S$1039=SPECIAL_LBL)*10000000+0*1000000+94*1000+15))</f>
        <v/>
      </c>
      <c r="ET105" s="35">
        <f>IF(N('Dvd Calendar'!$T$1034)=0,"",IF(('Dvd Calendar'!$T$1034&gt;=GRID_FROM)*('Dvd Calendar'!$T$1034&lt;=GRID_TO)*('Dvd Calendar'!$T$1034&lt;=VAL_DATE)=0,"",'Dvd Calendar'!$T$1034*1000000000+ISNUMBER('Dvd Calendar'!$T$1037)*100000000+('Dvd Calendar'!$T$1039=SPECIAL_LBL)*10000000+0*1000000+94*1000+16))</f>
        <v/>
      </c>
      <c r="EU105" s="35">
        <f>IF(N('Dvd Calendar'!$U$1034)=0,"",IF(('Dvd Calendar'!$U$1034&gt;=GRID_FROM)*('Dvd Calendar'!$U$1034&lt;=GRID_TO)*('Dvd Calendar'!$U$1034&lt;=VAL_DATE)=0,"",'Dvd Calendar'!$U$1034*1000000000+ISNUMBER('Dvd Calendar'!$U$1037)*100000000+('Dvd Calendar'!$U$1039=SPECIAL_LBL)*10000000+0*1000000+94*1000+17))</f>
        <v/>
      </c>
      <c r="EV105" s="35">
        <f>IF(N('Dvd Calendar'!$V$1034)=0,"",IF(('Dvd Calendar'!$V$1034&gt;=GRID_FROM)*('Dvd Calendar'!$V$1034&lt;=GRID_TO)*('Dvd Calendar'!$V$1034&lt;=VAL_DATE)=0,"",'Dvd Calendar'!$V$1034*1000000000+ISNUMBER('Dvd Calendar'!$V$1037)*100000000+('Dvd Calendar'!$V$1039=SPECIAL_LBL)*10000000+0*1000000+94*1000+18))</f>
        <v/>
      </c>
      <c r="EW105" s="35">
        <f>IF(N('Dvd Calendar'!$W$1034)=0,"",IF(('Dvd Calendar'!$W$1034&gt;=GRID_FROM)*('Dvd Calendar'!$W$1034&lt;=GRID_TO)*('Dvd Calendar'!$W$1034&lt;=VAL_DATE)=0,"",'Dvd Calendar'!$W$1034*1000000000+ISNUMBER('Dvd Calendar'!$W$1037)*100000000+('Dvd Calendar'!$W$1039=SPECIAL_LBL)*10000000+0*1000000+94*1000+19))</f>
        <v/>
      </c>
      <c r="EX105" s="35">
        <f>IF(N('Dvd Calendar'!$X$1034)=0,"",IF(('Dvd Calendar'!$X$1034&gt;=GRID_FROM)*('Dvd Calendar'!$X$1034&lt;=GRID_TO)*('Dvd Calendar'!$X$1034&lt;=VAL_DATE)=0,"",'Dvd Calendar'!$X$1034*1000000000+ISNUMBER('Dvd Calendar'!$X$1037)*100000000+('Dvd Calendar'!$X$1039=SPECIAL_LBL)*10000000+0*1000000+94*1000+20))</f>
        <v/>
      </c>
      <c r="EY105" s="35">
        <f>IF(N('Dvd Calendar'!$Y$1034)=0,"",IF(('Dvd Calendar'!$Y$1034&gt;=GRID_FROM)*('Dvd Calendar'!$Y$1034&lt;=GRID_TO)*('Dvd Calendar'!$Y$1034&lt;=VAL_DATE)=0,"",'Dvd Calendar'!$Y$1034*1000000000+ISNUMBER('Dvd Calendar'!$Y$1037)*100000000+('Dvd Calendar'!$Y$1039=SPECIAL_LBL)*10000000+0*1000000+94*1000+21))</f>
        <v/>
      </c>
      <c r="EZ105" s="35">
        <f>IF(N('Dvd Calendar'!$Z$1034)=0,"",IF(('Dvd Calendar'!$Z$1034&gt;=GRID_FROM)*('Dvd Calendar'!$Z$1034&lt;=GRID_TO)*('Dvd Calendar'!$Z$1034&lt;=VAL_DATE)=0,"",'Dvd Calendar'!$Z$1034*1000000000+ISNUMBER('Dvd Calendar'!$Z$1037)*100000000+('Dvd Calendar'!$Z$1039=SPECIAL_LBL)*10000000+0*1000000+94*1000+22))</f>
        <v/>
      </c>
      <c r="FA105" s="35">
        <f>IF(N('Dvd Calendar'!$AA$1034)=0,"",IF(('Dvd Calendar'!$AA$1034&gt;=GRID_FROM)*('Dvd Calendar'!$AA$1034&lt;=GRID_TO)*('Dvd Calendar'!$AA$1034&lt;=VAL_DATE)=0,"",'Dvd Calendar'!$AA$1034*1000000000+ISNUMBER('Dvd Calendar'!$AA$1037)*100000000+('Dvd Calendar'!$AA$1039=SPECIAL_LBL)*10000000+0*1000000+94*1000+23))</f>
        <v/>
      </c>
      <c r="FB105" s="35">
        <f>IF(N('Dvd Calendar'!$AB$1034)=0,"",IF(('Dvd Calendar'!$AB$1034&gt;=GRID_FROM)*('Dvd Calendar'!$AB$1034&lt;=GRID_TO)*('Dvd Calendar'!$AB$1034&lt;=VAL_DATE)=0,"",'Dvd Calendar'!$AB$1034*1000000000+ISNUMBER('Dvd Calendar'!$AB$1037)*100000000+('Dvd Calendar'!$AB$1039=SPECIAL_LBL)*10000000+0*1000000+94*1000+24))</f>
        <v/>
      </c>
      <c r="FC105" s="35">
        <f>IF(N('Dvd Calendar'!$AC$1034)=0,"",IF(('Dvd Calendar'!$AC$1034&gt;=GRID_FROM)*('Dvd Calendar'!$AC$1034&lt;=GRID_TO)*('Dvd Calendar'!$AC$1034&lt;=VAL_DATE)=0,"",'Dvd Calendar'!$AC$1034*1000000000+ISNUMBER('Dvd Calendar'!$AC$1037)*100000000+('Dvd Calendar'!$AC$1039=SPECIAL_LBL)*10000000+0*1000000+94*1000+25))</f>
        <v/>
      </c>
      <c r="FD105" s="35">
        <f>IF(N('Dvd Calendar'!$AD$1034)=0,"",IF(('Dvd Calendar'!$AD$1034&gt;=GRID_FROM)*('Dvd Calendar'!$AD$1034&lt;=GRID_TO)*('Dvd Calendar'!$AD$1034&lt;=VAL_DATE)=0,"",'Dvd Calendar'!$AD$1034*1000000000+ISNUMBER('Dvd Calendar'!$AD$1037)*100000000+('Dvd Calendar'!$AD$1039=SPECIAL_LBL)*10000000+0*1000000+94*1000+26))</f>
        <v/>
      </c>
      <c r="FE105" s="35">
        <f>IF(N('Dvd Calendar'!$AE$1034)=0,"",IF(('Dvd Calendar'!$AE$1034&gt;=GRID_FROM)*('Dvd Calendar'!$AE$1034&lt;=GRID_TO)*('Dvd Calendar'!$AE$1034&lt;=VAL_DATE)=0,"",'Dvd Calendar'!$AE$1034*1000000000+ISNUMBER('Dvd Calendar'!$AE$1037)*100000000+('Dvd Calendar'!$AE$1039=SPECIAL_LBL)*10000000+0*1000000+94*1000+27))</f>
        <v/>
      </c>
      <c r="FF105" s="35">
        <f>IF(N('Dvd Calendar'!$AF$1034)=0,"",IF(('Dvd Calendar'!$AF$1034&gt;=GRID_FROM)*('Dvd Calendar'!$AF$1034&lt;=GRID_TO)*('Dvd Calendar'!$AF$1034&lt;=VAL_DATE)=0,"",'Dvd Calendar'!$AF$1034*1000000000+ISNUMBER('Dvd Calendar'!$AF$1037)*100000000+('Dvd Calendar'!$AF$1039=SPECIAL_LBL)*10000000+0*1000000+94*1000+28))</f>
        <v/>
      </c>
      <c r="FG105" s="35">
        <f>IF(N('Dvd Calendar'!$AG$1034)=0,"",IF(('Dvd Calendar'!$AG$1034&gt;=GRID_FROM)*('Dvd Calendar'!$AG$1034&lt;=GRID_TO)*('Dvd Calendar'!$AG$1034&lt;=VAL_DATE)=0,"",'Dvd Calendar'!$AG$1034*1000000000+ISNUMBER('Dvd Calendar'!$AG$1037)*100000000+('Dvd Calendar'!$AG$1039=SPECIAL_LBL)*10000000+0*1000000+94*1000+29))</f>
        <v/>
      </c>
      <c r="FH105" s="35">
        <f>IF(N('Dvd Calendar'!$AH$1034)=0,"",IF(('Dvd Calendar'!$AH$1034&gt;=GRID_FROM)*('Dvd Calendar'!$AH$1034&lt;=GRID_TO)*('Dvd Calendar'!$AH$1034&lt;=VAL_DATE)=0,"",'Dvd Calendar'!$AH$1034*1000000000+ISNUMBER('Dvd Calendar'!$AH$1037)*100000000+('Dvd Calendar'!$AH$1039=SPECIAL_LBL)*10000000+0*1000000+94*1000+30))</f>
        <v/>
      </c>
      <c r="FI105" s="35">
        <f>IF(N('Dvd Calendar'!$AI$1034)=0,"",IF(('Dvd Calendar'!$AI$1034&gt;=GRID_FROM)*('Dvd Calendar'!$AI$1034&lt;=GRID_TO)*('Dvd Calendar'!$AI$1034&lt;=VAL_DATE)=0,"",'Dvd Calendar'!$AI$1034*1000000000+ISNUMBER('Dvd Calendar'!$AI$1037)*100000000+('Dvd Calendar'!$AI$1039=SPECIAL_LBL)*10000000+0*1000000+94*1000+31))</f>
        <v/>
      </c>
      <c r="FJ105" s="35">
        <f>IF(N('Dvd Calendar'!$AJ$1034)=0,"",IF(('Dvd Calendar'!$AJ$1034&gt;=GRID_FROM)*('Dvd Calendar'!$AJ$1034&lt;=GRID_TO)*('Dvd Calendar'!$AJ$1034&lt;=VAL_DATE)=0,"",'Dvd Calendar'!$AJ$1034*1000000000+ISNUMBER('Dvd Calendar'!$AJ$1037)*100000000+('Dvd Calendar'!$AJ$1039=SPECIAL_LBL)*10000000+0*1000000+94*1000+32))</f>
        <v/>
      </c>
      <c r="FK105" s="35">
        <f>IF(N('Dvd Calendar'!$AK$1034)=0,"",IF(('Dvd Calendar'!$AK$1034&gt;=GRID_FROM)*('Dvd Calendar'!$AK$1034&lt;=GRID_TO)*('Dvd Calendar'!$AK$1034&lt;=VAL_DATE)=0,"",'Dvd Calendar'!$AK$1034*1000000000+ISNUMBER('Dvd Calendar'!$AK$1037)*100000000+('Dvd Calendar'!$AK$1039=SPECIAL_LBL)*10000000+0*1000000+94*1000+33))</f>
        <v/>
      </c>
      <c r="FL105" s="35">
        <f>IF(N('Dvd Calendar'!$AL$1034)=0,"",IF(('Dvd Calendar'!$AL$1034&gt;=GRID_FROM)*('Dvd Calendar'!$AL$1034&lt;=GRID_TO)*('Dvd Calendar'!$AL$1034&lt;=VAL_DATE)=0,"",'Dvd Calendar'!$AL$1034*1000000000+ISNUMBER('Dvd Calendar'!$AL$1037)*100000000+('Dvd Calendar'!$AL$1039=SPECIAL_LBL)*10000000+0*1000000+94*1000+34))</f>
        <v/>
      </c>
      <c r="FM105" s="35">
        <f>IF(N('Dvd Calendar'!$AM$1034)=0,"",IF(('Dvd Calendar'!$AM$1034&gt;=GRID_FROM)*('Dvd Calendar'!$AM$1034&lt;=GRID_TO)*('Dvd Calendar'!$AM$1034&lt;=VAL_DATE)=0,"",'Dvd Calendar'!$AM$1034*1000000000+ISNUMBER('Dvd Calendar'!$AM$1037)*100000000+('Dvd Calendar'!$AM$1039=SPECIAL_LBL)*10000000+0*1000000+94*1000+35))</f>
        <v/>
      </c>
      <c r="FN105" s="35">
        <f>IF(N('Dvd Calendar'!$AN$1034)=0,"",IF(('Dvd Calendar'!$AN$1034&gt;=GRID_FROM)*('Dvd Calendar'!$AN$1034&lt;=GRID_TO)*('Dvd Calendar'!$AN$1034&lt;=VAL_DATE)=0,"",'Dvd Calendar'!$AN$1034*1000000000+ISNUMBER('Dvd Calendar'!$AN$1037)*100000000+('Dvd Calendar'!$AN$1039=SPECIAL_LBL)*10000000+0*1000000+94*1000+36))</f>
        <v/>
      </c>
      <c r="FO105" s="35">
        <f>IF(N('Dvd Calendar'!$AO$1034)=0,"",IF(('Dvd Calendar'!$AO$1034&gt;=GRID_FROM)*('Dvd Calendar'!$AO$1034&lt;=GRID_TO)*('Dvd Calendar'!$AO$1034&lt;=VAL_DATE)=0,"",'Dvd Calendar'!$AO$1034*1000000000+ISNUMBER('Dvd Calendar'!$AO$1037)*100000000+('Dvd Calendar'!$AO$1039=SPECIAL_LBL)*10000000+0*1000000+94*1000+37))</f>
        <v/>
      </c>
      <c r="FP105" s="35">
        <f>IF(N('Dvd Calendar'!$AP$1034)=0,"",IF(('Dvd Calendar'!$AP$1034&gt;=GRID_FROM)*('Dvd Calendar'!$AP$1034&lt;=GRID_TO)*('Dvd Calendar'!$AP$1034&lt;=VAL_DATE)=0,"",'Dvd Calendar'!$AP$1034*1000000000+ISNUMBER('Dvd Calendar'!$AP$1037)*100000000+('Dvd Calendar'!$AP$1039=SPECIAL_LBL)*10000000+0*1000000+94*1000+38))</f>
        <v/>
      </c>
      <c r="FQ105" s="35">
        <f>IF(N('Dvd Calendar'!$AQ$1034)=0,"",IF(('Dvd Calendar'!$AQ$1034&gt;=GRID_FROM)*('Dvd Calendar'!$AQ$1034&lt;=GRID_TO)*('Dvd Calendar'!$AQ$1034&lt;=VAL_DATE)=0,"",'Dvd Calendar'!$AQ$1034*1000000000+ISNUMBER('Dvd Calendar'!$AQ$1037)*100000000+('Dvd Calendar'!$AQ$1039=SPECIAL_LBL)*10000000+0*1000000+94*1000+39))</f>
        <v/>
      </c>
      <c r="FR105" s="35">
        <f>IF(N('Dvd Calendar'!$AR$1034)=0,"",IF(('Dvd Calendar'!$AR$1034&gt;=GRID_FROM)*('Dvd Calendar'!$AR$1034&lt;=GRID_TO)*('Dvd Calendar'!$AR$1034&lt;=VAL_DATE)=0,"",'Dvd Calendar'!$AR$1034*1000000000+ISNUMBER('Dvd Calendar'!$AR$1037)*100000000+('Dvd Calendar'!$AR$1039=SPECIAL_LBL)*10000000+0*1000000+94*1000+40))</f>
        <v/>
      </c>
      <c r="FS105" s="35">
        <f>IF(N('Dvd Calendar'!$E$1041)=0,"",IF(('Dvd Calendar'!$E$1041&gt;=GRID_FROM)*('Dvd Calendar'!$E$1041&lt;=GRID_TO)*('Dvd Calendar'!$E$1041&gt;VAL_DATE)=0,"",'Dvd Calendar'!$E$1041*1000000000+ISNUMBER('Dvd Calendar'!$E$1042)*100000000+0*10000000+(N('Dvd Calendar'!$E$1040)&gt;0)*(N('Dvd Calendar'!$E$1040)&lt;=VAL_SERIAL)*1000000+94*1000+41))</f>
        <v/>
      </c>
      <c r="FT105" s="35">
        <f>IF(N('Dvd Calendar'!$F$1041)=0,"",IF(('Dvd Calendar'!$F$1041&gt;=GRID_FROM)*('Dvd Calendar'!$F$1041&lt;=GRID_TO)*('Dvd Calendar'!$F$1041&gt;VAL_DATE)=0,"",'Dvd Calendar'!$F$1041*1000000000+ISNUMBER('Dvd Calendar'!$F$1042)*100000000+0*10000000+(N('Dvd Calendar'!$F$1040)&gt;0)*(N('Dvd Calendar'!$F$1040)&lt;=VAL_SERIAL)*1000000+94*1000+42))</f>
        <v/>
      </c>
      <c r="FU105" s="35">
        <f>IF(N('Dvd Calendar'!$G$1041)=0,"",IF(('Dvd Calendar'!$G$1041&gt;=GRID_FROM)*('Dvd Calendar'!$G$1041&lt;=GRID_TO)*('Dvd Calendar'!$G$1041&gt;VAL_DATE)=0,"",'Dvd Calendar'!$G$1041*1000000000+ISNUMBER('Dvd Calendar'!$G$1042)*100000000+0*10000000+(N('Dvd Calendar'!$G$1040)&gt;0)*(N('Dvd Calendar'!$G$1040)&lt;=VAL_SERIAL)*1000000+94*1000+43))</f>
        <v/>
      </c>
      <c r="FV105" s="35">
        <f>IF(N('Dvd Calendar'!$H$1041)=0,"",IF(('Dvd Calendar'!$H$1041&gt;=GRID_FROM)*('Dvd Calendar'!$H$1041&lt;=GRID_TO)*('Dvd Calendar'!$H$1041&gt;VAL_DATE)=0,"",'Dvd Calendar'!$H$1041*1000000000+ISNUMBER('Dvd Calendar'!$H$1042)*100000000+0*10000000+(N('Dvd Calendar'!$H$1040)&gt;0)*(N('Dvd Calendar'!$H$1040)&lt;=VAL_SERIAL)*1000000+94*1000+44))</f>
        <v/>
      </c>
      <c r="FW105" s="35">
        <f>IF(N('Dvd Calendar'!$I$1041)=0,"",IF(('Dvd Calendar'!$I$1041&gt;=GRID_FROM)*('Dvd Calendar'!$I$1041&lt;=GRID_TO)*('Dvd Calendar'!$I$1041&gt;VAL_DATE)=0,"",'Dvd Calendar'!$I$1041*1000000000+ISNUMBER('Dvd Calendar'!$I$1042)*100000000+0*10000000+(N('Dvd Calendar'!$I$1040)&gt;0)*(N('Dvd Calendar'!$I$1040)&lt;=VAL_SERIAL)*1000000+94*1000+45))</f>
        <v/>
      </c>
      <c r="FX105" s="35">
        <f>IF(N('Dvd Calendar'!$J$1041)=0,"",IF(('Dvd Calendar'!$J$1041&gt;=GRID_FROM)*('Dvd Calendar'!$J$1041&lt;=GRID_TO)*('Dvd Calendar'!$J$1041&gt;VAL_DATE)=0,"",'Dvd Calendar'!$J$1041*1000000000+ISNUMBER('Dvd Calendar'!$J$1042)*100000000+0*10000000+(N('Dvd Calendar'!$J$1040)&gt;0)*(N('Dvd Calendar'!$J$1040)&lt;=VAL_SERIAL)*1000000+94*1000+46))</f>
        <v/>
      </c>
      <c r="FY105" s="35">
        <f>IF(N('Dvd Calendar'!$K$1041)=0,"",IF(('Dvd Calendar'!$K$1041&gt;=GRID_FROM)*('Dvd Calendar'!$K$1041&lt;=GRID_TO)*('Dvd Calendar'!$K$1041&gt;VAL_DATE)=0,"",'Dvd Calendar'!$K$1041*1000000000+ISNUMBER('Dvd Calendar'!$K$1042)*100000000+0*10000000+(N('Dvd Calendar'!$K$1040)&gt;0)*(N('Dvd Calendar'!$K$1040)&lt;=VAL_SERIAL)*1000000+94*1000+47))</f>
        <v/>
      </c>
      <c r="FZ105" s="35">
        <f>IF(N('Dvd Calendar'!$L$1041)=0,"",IF(('Dvd Calendar'!$L$1041&gt;=GRID_FROM)*('Dvd Calendar'!$L$1041&lt;=GRID_TO)*('Dvd Calendar'!$L$1041&gt;VAL_DATE)=0,"",'Dvd Calendar'!$L$1041*1000000000+ISNUMBER('Dvd Calendar'!$L$1042)*100000000+0*10000000+(N('Dvd Calendar'!$L$1040)&gt;0)*(N('Dvd Calendar'!$L$1040)&lt;=VAL_SERIAL)*1000000+94*1000+48))</f>
        <v/>
      </c>
      <c r="GA105" s="35">
        <f>IF(N('Dvd Calendar'!$M$1041)=0,"",IF(('Dvd Calendar'!$M$1041&gt;=GRID_FROM)*('Dvd Calendar'!$M$1041&lt;=GRID_TO)*('Dvd Calendar'!$M$1041&gt;VAL_DATE)=0,"",'Dvd Calendar'!$M$1041*1000000000+ISNUMBER('Dvd Calendar'!$M$1042)*100000000+0*10000000+(N('Dvd Calendar'!$M$1040)&gt;0)*(N('Dvd Calendar'!$M$1040)&lt;=VAL_SERIAL)*1000000+94*1000+49))</f>
        <v/>
      </c>
      <c r="GB105" s="35">
        <f>IF(N('Dvd Calendar'!$N$1041)=0,"",IF(('Dvd Calendar'!$N$1041&gt;=GRID_FROM)*('Dvd Calendar'!$N$1041&lt;=GRID_TO)*('Dvd Calendar'!$N$1041&gt;VAL_DATE)=0,"",'Dvd Calendar'!$N$1041*1000000000+ISNUMBER('Dvd Calendar'!$N$1042)*100000000+0*10000000+(N('Dvd Calendar'!$N$1040)&gt;0)*(N('Dvd Calendar'!$N$1040)&lt;=VAL_SERIAL)*1000000+94*1000+50))</f>
        <v/>
      </c>
      <c r="GC105" s="35">
        <f>IF(N('Dvd Calendar'!$O$1041)=0,"",IF(('Dvd Calendar'!$O$1041&gt;=GRID_FROM)*('Dvd Calendar'!$O$1041&lt;=GRID_TO)*('Dvd Calendar'!$O$1041&gt;VAL_DATE)=0,"",'Dvd Calendar'!$O$1041*1000000000+ISNUMBER('Dvd Calendar'!$O$1042)*100000000+0*10000000+(N('Dvd Calendar'!$O$1040)&gt;0)*(N('Dvd Calendar'!$O$1040)&lt;=VAL_SERIAL)*1000000+94*1000+51))</f>
        <v/>
      </c>
      <c r="GD105" s="35">
        <f>IF(N('Dvd Calendar'!$P$1041)=0,"",IF(('Dvd Calendar'!$P$1041&gt;=GRID_FROM)*('Dvd Calendar'!$P$1041&lt;=GRID_TO)*('Dvd Calendar'!$P$1041&gt;VAL_DATE)=0,"",'Dvd Calendar'!$P$1041*1000000000+ISNUMBER('Dvd Calendar'!$P$1042)*100000000+0*10000000+(N('Dvd Calendar'!$P$1040)&gt;0)*(N('Dvd Calendar'!$P$1040)&lt;=VAL_SERIAL)*1000000+94*1000+52))</f>
        <v/>
      </c>
      <c r="GE105" s="35">
        <f>IF(N('Dvd Calendar'!$Q$1041)=0,"",IF(('Dvd Calendar'!$Q$1041&gt;=GRID_FROM)*('Dvd Calendar'!$Q$1041&lt;=GRID_TO)*('Dvd Calendar'!$Q$1041&gt;VAL_DATE)=0,"",'Dvd Calendar'!$Q$1041*1000000000+ISNUMBER('Dvd Calendar'!$Q$1042)*100000000+0*10000000+(N('Dvd Calendar'!$Q$1040)&gt;0)*(N('Dvd Calendar'!$Q$1040)&lt;=VAL_SERIAL)*1000000+94*1000+53))</f>
        <v/>
      </c>
      <c r="GF105" s="35">
        <f>IF(N('Dvd Calendar'!$R$1041)=0,"",IF(('Dvd Calendar'!$R$1041&gt;=GRID_FROM)*('Dvd Calendar'!$R$1041&lt;=GRID_TO)*('Dvd Calendar'!$R$1041&gt;VAL_DATE)=0,"",'Dvd Calendar'!$R$1041*1000000000+ISNUMBER('Dvd Calendar'!$R$1042)*100000000+0*10000000+(N('Dvd Calendar'!$R$1040)&gt;0)*(N('Dvd Calendar'!$R$1040)&lt;=VAL_SERIAL)*1000000+94*1000+54))</f>
        <v/>
      </c>
      <c r="GG105" s="35">
        <f>IF(N('Dvd Calendar'!$S$1041)=0,"",IF(('Dvd Calendar'!$S$1041&gt;=GRID_FROM)*('Dvd Calendar'!$S$1041&lt;=GRID_TO)*('Dvd Calendar'!$S$1041&gt;VAL_DATE)=0,"",'Dvd Calendar'!$S$1041*1000000000+ISNUMBER('Dvd Calendar'!$S$1042)*100000000+0*10000000+(N('Dvd Calendar'!$S$1040)&gt;0)*(N('Dvd Calendar'!$S$1040)&lt;=VAL_SERIAL)*1000000+94*1000+55))</f>
        <v/>
      </c>
      <c r="GH105" s="35">
        <f>IF(N('Dvd Calendar'!$T$1041)=0,"",IF(('Dvd Calendar'!$T$1041&gt;=GRID_FROM)*('Dvd Calendar'!$T$1041&lt;=GRID_TO)*('Dvd Calendar'!$T$1041&gt;VAL_DATE)=0,"",'Dvd Calendar'!$T$1041*1000000000+ISNUMBER('Dvd Calendar'!$T$1042)*100000000+0*10000000+(N('Dvd Calendar'!$T$1040)&gt;0)*(N('Dvd Calendar'!$T$1040)&lt;=VAL_SERIAL)*1000000+94*1000+56))</f>
        <v/>
      </c>
      <c r="GI105" s="35">
        <f>IF(N('Dvd Calendar'!$U$1041)=0,"",IF(('Dvd Calendar'!$U$1041&gt;=GRID_FROM)*('Dvd Calendar'!$U$1041&lt;=GRID_TO)*('Dvd Calendar'!$U$1041&gt;VAL_DATE)=0,"",'Dvd Calendar'!$U$1041*1000000000+ISNUMBER('Dvd Calendar'!$U$1042)*100000000+0*10000000+(N('Dvd Calendar'!$U$1040)&gt;0)*(N('Dvd Calendar'!$U$1040)&lt;=VAL_SERIAL)*1000000+94*1000+57))</f>
        <v/>
      </c>
      <c r="GJ105" s="35">
        <f>IF(N('Dvd Calendar'!$V$1041)=0,"",IF(('Dvd Calendar'!$V$1041&gt;=GRID_FROM)*('Dvd Calendar'!$V$1041&lt;=GRID_TO)*('Dvd Calendar'!$V$1041&gt;VAL_DATE)=0,"",'Dvd Calendar'!$V$1041*1000000000+ISNUMBER('Dvd Calendar'!$V$1042)*100000000+0*10000000+(N('Dvd Calendar'!$V$1040)&gt;0)*(N('Dvd Calendar'!$V$1040)&lt;=VAL_SERIAL)*1000000+94*1000+58))</f>
        <v/>
      </c>
      <c r="GK105" s="35">
        <f>IF(N('Dvd Calendar'!$W$1041)=0,"",IF(('Dvd Calendar'!$W$1041&gt;=GRID_FROM)*('Dvd Calendar'!$W$1041&lt;=GRID_TO)*('Dvd Calendar'!$W$1041&gt;VAL_DATE)=0,"",'Dvd Calendar'!$W$1041*1000000000+ISNUMBER('Dvd Calendar'!$W$1042)*100000000+0*10000000+(N('Dvd Calendar'!$W$1040)&gt;0)*(N('Dvd Calendar'!$W$1040)&lt;=VAL_SERIAL)*1000000+94*1000+59))</f>
        <v/>
      </c>
      <c r="GL105" s="35">
        <f>IF(N('Dvd Calendar'!$X$1041)=0,"",IF(('Dvd Calendar'!$X$1041&gt;=GRID_FROM)*('Dvd Calendar'!$X$1041&lt;=GRID_TO)*('Dvd Calendar'!$X$1041&gt;VAL_DATE)=0,"",'Dvd Calendar'!$X$1041*1000000000+ISNUMBER('Dvd Calendar'!$X$1042)*100000000+0*10000000+(N('Dvd Calendar'!$X$1040)&gt;0)*(N('Dvd Calendar'!$X$1040)&lt;=VAL_SERIAL)*1000000+94*1000+60))</f>
        <v/>
      </c>
      <c r="GM105" s="35">
        <f>IF(N('Dvd Calendar'!$Y$1041)=0,"",IF(('Dvd Calendar'!$Y$1041&gt;=GRID_FROM)*('Dvd Calendar'!$Y$1041&lt;=GRID_TO)*('Dvd Calendar'!$Y$1041&gt;VAL_DATE)=0,"",'Dvd Calendar'!$Y$1041*1000000000+ISNUMBER('Dvd Calendar'!$Y$1042)*100000000+0*10000000+(N('Dvd Calendar'!$Y$1040)&gt;0)*(N('Dvd Calendar'!$Y$1040)&lt;=VAL_SERIAL)*1000000+94*1000+61))</f>
        <v/>
      </c>
      <c r="GN105" s="35">
        <f>IF(N('Dvd Calendar'!$Z$1041)=0,"",IF(('Dvd Calendar'!$Z$1041&gt;=GRID_FROM)*('Dvd Calendar'!$Z$1041&lt;=GRID_TO)*('Dvd Calendar'!$Z$1041&gt;VAL_DATE)=0,"",'Dvd Calendar'!$Z$1041*1000000000+ISNUMBER('Dvd Calendar'!$Z$1042)*100000000+0*10000000+(N('Dvd Calendar'!$Z$1040)&gt;0)*(N('Dvd Calendar'!$Z$1040)&lt;=VAL_SERIAL)*1000000+94*1000+62))</f>
        <v/>
      </c>
      <c r="GO105" s="35">
        <f>IF(N('Dvd Calendar'!$AA$1041)=0,"",IF(('Dvd Calendar'!$AA$1041&gt;=GRID_FROM)*('Dvd Calendar'!$AA$1041&lt;=GRID_TO)*('Dvd Calendar'!$AA$1041&gt;VAL_DATE)=0,"",'Dvd Calendar'!$AA$1041*1000000000+ISNUMBER('Dvd Calendar'!$AA$1042)*100000000+0*10000000+(N('Dvd Calendar'!$AA$1040)&gt;0)*(N('Dvd Calendar'!$AA$1040)&lt;=VAL_SERIAL)*1000000+94*1000+63))</f>
        <v/>
      </c>
      <c r="GP105" s="35">
        <f>IF(N('Dvd Calendar'!$AB$1041)=0,"",IF(('Dvd Calendar'!$AB$1041&gt;=GRID_FROM)*('Dvd Calendar'!$AB$1041&lt;=GRID_TO)*('Dvd Calendar'!$AB$1041&gt;VAL_DATE)=0,"",'Dvd Calendar'!$AB$1041*1000000000+ISNUMBER('Dvd Calendar'!$AB$1042)*100000000+0*10000000+(N('Dvd Calendar'!$AB$1040)&gt;0)*(N('Dvd Calendar'!$AB$1040)&lt;=VAL_SERIAL)*1000000+94*1000+64))</f>
        <v/>
      </c>
      <c r="GQ105" s="35">
        <f>IF(N('Dvd Calendar'!$AC$1041)=0,"",IF(('Dvd Calendar'!$AC$1041&gt;=GRID_FROM)*('Dvd Calendar'!$AC$1041&lt;=GRID_TO)*('Dvd Calendar'!$AC$1041&gt;VAL_DATE)=0,"",'Dvd Calendar'!$AC$1041*1000000000+ISNUMBER('Dvd Calendar'!$AC$1042)*100000000+0*10000000+(N('Dvd Calendar'!$AC$1040)&gt;0)*(N('Dvd Calendar'!$AC$1040)&lt;=VAL_SERIAL)*1000000+94*1000+65))</f>
        <v/>
      </c>
    </row>
    <row r="106">
      <c r="B106" s="2">
        <f>IF(HSI!$C$101="","",HSI!$C$101)</f>
        <v/>
      </c>
      <c r="C106" s="106">
        <f>IF(EE106="","",IF(ISNUMBER('Dvd Calendar'!$E$1048)=FALSE,"",IF((('Dvd Calendar'!$E$1050=TYPE1)*(TYPE1&lt;&gt;"")+('Dvd Calendar'!$E$1050=TYPE2)*(TYPE2&lt;&gt;"")+('Dvd Calendar'!$E$1050=TYPE3)*(TYPE3&lt;&gt;"")+('Dvd Calendar'!$E$1050=TYPE4)*(TYPE4&lt;&gt;"")+('Dvd Calendar'!$E$1050=SPECIAL_LBL)*(INC_SPECIALS="Y"))=0,"",'Dvd Calendar'!$E$1048)))</f>
        <v/>
      </c>
      <c r="D106" s="106">
        <f>IF(EF106="","",IF(ISNUMBER('Dvd Calendar'!$F$1048)=FALSE,"",IF((('Dvd Calendar'!$F$1050=TYPE1)*(TYPE1&lt;&gt;"")+('Dvd Calendar'!$F$1050=TYPE2)*(TYPE2&lt;&gt;"")+('Dvd Calendar'!$F$1050=TYPE3)*(TYPE3&lt;&gt;"")+('Dvd Calendar'!$F$1050=TYPE4)*(TYPE4&lt;&gt;"")+('Dvd Calendar'!$F$1050=SPECIAL_LBL)*(INC_SPECIALS="Y"))=0,"",'Dvd Calendar'!$F$1048)))</f>
        <v/>
      </c>
      <c r="E106" s="106">
        <f>IF(EG106="","",IF(ISNUMBER('Dvd Calendar'!$G$1048)=FALSE,"",IF((('Dvd Calendar'!$G$1050=TYPE1)*(TYPE1&lt;&gt;"")+('Dvd Calendar'!$G$1050=TYPE2)*(TYPE2&lt;&gt;"")+('Dvd Calendar'!$G$1050=TYPE3)*(TYPE3&lt;&gt;"")+('Dvd Calendar'!$G$1050=TYPE4)*(TYPE4&lt;&gt;"")+('Dvd Calendar'!$G$1050=SPECIAL_LBL)*(INC_SPECIALS="Y"))=0,"",'Dvd Calendar'!$G$1048)))</f>
        <v/>
      </c>
      <c r="F106" s="106">
        <f>IF(EH106="","",IF(ISNUMBER('Dvd Calendar'!$H$1048)=FALSE,"",IF((('Dvd Calendar'!$H$1050=TYPE1)*(TYPE1&lt;&gt;"")+('Dvd Calendar'!$H$1050=TYPE2)*(TYPE2&lt;&gt;"")+('Dvd Calendar'!$H$1050=TYPE3)*(TYPE3&lt;&gt;"")+('Dvd Calendar'!$H$1050=TYPE4)*(TYPE4&lt;&gt;"")+('Dvd Calendar'!$H$1050=SPECIAL_LBL)*(INC_SPECIALS="Y"))=0,"",'Dvd Calendar'!$H$1048)))</f>
        <v/>
      </c>
      <c r="G106" s="106">
        <f>IF(EI106="","",IF(ISNUMBER('Dvd Calendar'!$I$1048)=FALSE,"",IF((('Dvd Calendar'!$I$1050=TYPE1)*(TYPE1&lt;&gt;"")+('Dvd Calendar'!$I$1050=TYPE2)*(TYPE2&lt;&gt;"")+('Dvd Calendar'!$I$1050=TYPE3)*(TYPE3&lt;&gt;"")+('Dvd Calendar'!$I$1050=TYPE4)*(TYPE4&lt;&gt;"")+('Dvd Calendar'!$I$1050=SPECIAL_LBL)*(INC_SPECIALS="Y"))=0,"",'Dvd Calendar'!$I$1048)))</f>
        <v/>
      </c>
      <c r="H106" s="106">
        <f>IF(EJ106="","",IF(ISNUMBER('Dvd Calendar'!$J$1048)=FALSE,"",IF((('Dvd Calendar'!$J$1050=TYPE1)*(TYPE1&lt;&gt;"")+('Dvd Calendar'!$J$1050=TYPE2)*(TYPE2&lt;&gt;"")+('Dvd Calendar'!$J$1050=TYPE3)*(TYPE3&lt;&gt;"")+('Dvd Calendar'!$J$1050=TYPE4)*(TYPE4&lt;&gt;"")+('Dvd Calendar'!$J$1050=SPECIAL_LBL)*(INC_SPECIALS="Y"))=0,"",'Dvd Calendar'!$J$1048)))</f>
        <v/>
      </c>
      <c r="I106" s="106">
        <f>IF(EK106="","",IF(ISNUMBER('Dvd Calendar'!$K$1048)=FALSE,"",IF((('Dvd Calendar'!$K$1050=TYPE1)*(TYPE1&lt;&gt;"")+('Dvd Calendar'!$K$1050=TYPE2)*(TYPE2&lt;&gt;"")+('Dvd Calendar'!$K$1050=TYPE3)*(TYPE3&lt;&gt;"")+('Dvd Calendar'!$K$1050=TYPE4)*(TYPE4&lt;&gt;"")+('Dvd Calendar'!$K$1050=SPECIAL_LBL)*(INC_SPECIALS="Y"))=0,"",'Dvd Calendar'!$K$1048)))</f>
        <v/>
      </c>
      <c r="J106" s="106">
        <f>IF(EL106="","",IF(ISNUMBER('Dvd Calendar'!$L$1048)=FALSE,"",IF((('Dvd Calendar'!$L$1050=TYPE1)*(TYPE1&lt;&gt;"")+('Dvd Calendar'!$L$1050=TYPE2)*(TYPE2&lt;&gt;"")+('Dvd Calendar'!$L$1050=TYPE3)*(TYPE3&lt;&gt;"")+('Dvd Calendar'!$L$1050=TYPE4)*(TYPE4&lt;&gt;"")+('Dvd Calendar'!$L$1050=SPECIAL_LBL)*(INC_SPECIALS="Y"))=0,"",'Dvd Calendar'!$L$1048)))</f>
        <v/>
      </c>
      <c r="K106" s="106">
        <f>IF(EM106="","",IF(ISNUMBER('Dvd Calendar'!$M$1048)=FALSE,"",IF((('Dvd Calendar'!$M$1050=TYPE1)*(TYPE1&lt;&gt;"")+('Dvd Calendar'!$M$1050=TYPE2)*(TYPE2&lt;&gt;"")+('Dvd Calendar'!$M$1050=TYPE3)*(TYPE3&lt;&gt;"")+('Dvd Calendar'!$M$1050=TYPE4)*(TYPE4&lt;&gt;"")+('Dvd Calendar'!$M$1050=SPECIAL_LBL)*(INC_SPECIALS="Y"))=0,"",'Dvd Calendar'!$M$1048)))</f>
        <v/>
      </c>
      <c r="L106" s="106">
        <f>IF(EN106="","",IF(ISNUMBER('Dvd Calendar'!$N$1048)=FALSE,"",IF((('Dvd Calendar'!$N$1050=TYPE1)*(TYPE1&lt;&gt;"")+('Dvd Calendar'!$N$1050=TYPE2)*(TYPE2&lt;&gt;"")+('Dvd Calendar'!$N$1050=TYPE3)*(TYPE3&lt;&gt;"")+('Dvd Calendar'!$N$1050=TYPE4)*(TYPE4&lt;&gt;"")+('Dvd Calendar'!$N$1050=SPECIAL_LBL)*(INC_SPECIALS="Y"))=0,"",'Dvd Calendar'!$N$1048)))</f>
        <v/>
      </c>
      <c r="M106" s="106">
        <f>IF(EO106="","",IF(ISNUMBER('Dvd Calendar'!$O$1048)=FALSE,"",IF((('Dvd Calendar'!$O$1050=TYPE1)*(TYPE1&lt;&gt;"")+('Dvd Calendar'!$O$1050=TYPE2)*(TYPE2&lt;&gt;"")+('Dvd Calendar'!$O$1050=TYPE3)*(TYPE3&lt;&gt;"")+('Dvd Calendar'!$O$1050=TYPE4)*(TYPE4&lt;&gt;"")+('Dvd Calendar'!$O$1050=SPECIAL_LBL)*(INC_SPECIALS="Y"))=0,"",'Dvd Calendar'!$O$1048)))</f>
        <v/>
      </c>
      <c r="N106" s="106">
        <f>IF(EP106="","",IF(ISNUMBER('Dvd Calendar'!$P$1048)=FALSE,"",IF((('Dvd Calendar'!$P$1050=TYPE1)*(TYPE1&lt;&gt;"")+('Dvd Calendar'!$P$1050=TYPE2)*(TYPE2&lt;&gt;"")+('Dvd Calendar'!$P$1050=TYPE3)*(TYPE3&lt;&gt;"")+('Dvd Calendar'!$P$1050=TYPE4)*(TYPE4&lt;&gt;"")+('Dvd Calendar'!$P$1050=SPECIAL_LBL)*(INC_SPECIALS="Y"))=0,"",'Dvd Calendar'!$P$1048)))</f>
        <v/>
      </c>
      <c r="O106" s="106">
        <f>IF(EQ106="","",IF(ISNUMBER('Dvd Calendar'!$Q$1048)=FALSE,"",IF((('Dvd Calendar'!$Q$1050=TYPE1)*(TYPE1&lt;&gt;"")+('Dvd Calendar'!$Q$1050=TYPE2)*(TYPE2&lt;&gt;"")+('Dvd Calendar'!$Q$1050=TYPE3)*(TYPE3&lt;&gt;"")+('Dvd Calendar'!$Q$1050=TYPE4)*(TYPE4&lt;&gt;"")+('Dvd Calendar'!$Q$1050=SPECIAL_LBL)*(INC_SPECIALS="Y"))=0,"",'Dvd Calendar'!$Q$1048)))</f>
        <v/>
      </c>
      <c r="P106" s="106">
        <f>IF(ER106="","",IF(ISNUMBER('Dvd Calendar'!$R$1048)=FALSE,"",IF((('Dvd Calendar'!$R$1050=TYPE1)*(TYPE1&lt;&gt;"")+('Dvd Calendar'!$R$1050=TYPE2)*(TYPE2&lt;&gt;"")+('Dvd Calendar'!$R$1050=TYPE3)*(TYPE3&lt;&gt;"")+('Dvd Calendar'!$R$1050=TYPE4)*(TYPE4&lt;&gt;"")+('Dvd Calendar'!$R$1050=SPECIAL_LBL)*(INC_SPECIALS="Y"))=0,"",'Dvd Calendar'!$R$1048)))</f>
        <v/>
      </c>
      <c r="Q106" s="106">
        <f>IF(ES106="","",IF(ISNUMBER('Dvd Calendar'!$S$1048)=FALSE,"",IF((('Dvd Calendar'!$S$1050=TYPE1)*(TYPE1&lt;&gt;"")+('Dvd Calendar'!$S$1050=TYPE2)*(TYPE2&lt;&gt;"")+('Dvd Calendar'!$S$1050=TYPE3)*(TYPE3&lt;&gt;"")+('Dvd Calendar'!$S$1050=TYPE4)*(TYPE4&lt;&gt;"")+('Dvd Calendar'!$S$1050=SPECIAL_LBL)*(INC_SPECIALS="Y"))=0,"",'Dvd Calendar'!$S$1048)))</f>
        <v/>
      </c>
      <c r="R106" s="106">
        <f>IF(ET106="","",IF(ISNUMBER('Dvd Calendar'!$T$1048)=FALSE,"",IF((('Dvd Calendar'!$T$1050=TYPE1)*(TYPE1&lt;&gt;"")+('Dvd Calendar'!$T$1050=TYPE2)*(TYPE2&lt;&gt;"")+('Dvd Calendar'!$T$1050=TYPE3)*(TYPE3&lt;&gt;"")+('Dvd Calendar'!$T$1050=TYPE4)*(TYPE4&lt;&gt;"")+('Dvd Calendar'!$T$1050=SPECIAL_LBL)*(INC_SPECIALS="Y"))=0,"",'Dvd Calendar'!$T$1048)))</f>
        <v/>
      </c>
      <c r="S106" s="106">
        <f>IF(EU106="","",IF(ISNUMBER('Dvd Calendar'!$U$1048)=FALSE,"",IF((('Dvd Calendar'!$U$1050=TYPE1)*(TYPE1&lt;&gt;"")+('Dvd Calendar'!$U$1050=TYPE2)*(TYPE2&lt;&gt;"")+('Dvd Calendar'!$U$1050=TYPE3)*(TYPE3&lt;&gt;"")+('Dvd Calendar'!$U$1050=TYPE4)*(TYPE4&lt;&gt;"")+('Dvd Calendar'!$U$1050=SPECIAL_LBL)*(INC_SPECIALS="Y"))=0,"",'Dvd Calendar'!$U$1048)))</f>
        <v/>
      </c>
      <c r="T106" s="106">
        <f>IF(EV106="","",IF(ISNUMBER('Dvd Calendar'!$V$1048)=FALSE,"",IF((('Dvd Calendar'!$V$1050=TYPE1)*(TYPE1&lt;&gt;"")+('Dvd Calendar'!$V$1050=TYPE2)*(TYPE2&lt;&gt;"")+('Dvd Calendar'!$V$1050=TYPE3)*(TYPE3&lt;&gt;"")+('Dvd Calendar'!$V$1050=TYPE4)*(TYPE4&lt;&gt;"")+('Dvd Calendar'!$V$1050=SPECIAL_LBL)*(INC_SPECIALS="Y"))=0,"",'Dvd Calendar'!$V$1048)))</f>
        <v/>
      </c>
      <c r="U106" s="106">
        <f>IF(EW106="","",IF(ISNUMBER('Dvd Calendar'!$W$1048)=FALSE,"",IF((('Dvd Calendar'!$W$1050=TYPE1)*(TYPE1&lt;&gt;"")+('Dvd Calendar'!$W$1050=TYPE2)*(TYPE2&lt;&gt;"")+('Dvd Calendar'!$W$1050=TYPE3)*(TYPE3&lt;&gt;"")+('Dvd Calendar'!$W$1050=TYPE4)*(TYPE4&lt;&gt;"")+('Dvd Calendar'!$W$1050=SPECIAL_LBL)*(INC_SPECIALS="Y"))=0,"",'Dvd Calendar'!$W$1048)))</f>
        <v/>
      </c>
      <c r="V106" s="106">
        <f>IF(EX106="","",IF(ISNUMBER('Dvd Calendar'!$X$1048)=FALSE,"",IF((('Dvd Calendar'!$X$1050=TYPE1)*(TYPE1&lt;&gt;"")+('Dvd Calendar'!$X$1050=TYPE2)*(TYPE2&lt;&gt;"")+('Dvd Calendar'!$X$1050=TYPE3)*(TYPE3&lt;&gt;"")+('Dvd Calendar'!$X$1050=TYPE4)*(TYPE4&lt;&gt;"")+('Dvd Calendar'!$X$1050=SPECIAL_LBL)*(INC_SPECIALS="Y"))=0,"",'Dvd Calendar'!$X$1048)))</f>
        <v/>
      </c>
      <c r="W106" s="106">
        <f>IF(EY106="","",IF(ISNUMBER('Dvd Calendar'!$Y$1048)=FALSE,"",IF((('Dvd Calendar'!$Y$1050=TYPE1)*(TYPE1&lt;&gt;"")+('Dvd Calendar'!$Y$1050=TYPE2)*(TYPE2&lt;&gt;"")+('Dvd Calendar'!$Y$1050=TYPE3)*(TYPE3&lt;&gt;"")+('Dvd Calendar'!$Y$1050=TYPE4)*(TYPE4&lt;&gt;"")+('Dvd Calendar'!$Y$1050=SPECIAL_LBL)*(INC_SPECIALS="Y"))=0,"",'Dvd Calendar'!$Y$1048)))</f>
        <v/>
      </c>
      <c r="X106" s="106">
        <f>IF(EZ106="","",IF(ISNUMBER('Dvd Calendar'!$Z$1048)=FALSE,"",IF((('Dvd Calendar'!$Z$1050=TYPE1)*(TYPE1&lt;&gt;"")+('Dvd Calendar'!$Z$1050=TYPE2)*(TYPE2&lt;&gt;"")+('Dvd Calendar'!$Z$1050=TYPE3)*(TYPE3&lt;&gt;"")+('Dvd Calendar'!$Z$1050=TYPE4)*(TYPE4&lt;&gt;"")+('Dvd Calendar'!$Z$1050=SPECIAL_LBL)*(INC_SPECIALS="Y"))=0,"",'Dvd Calendar'!$Z$1048)))</f>
        <v/>
      </c>
      <c r="Y106" s="106">
        <f>IF(FA106="","",IF(ISNUMBER('Dvd Calendar'!$AA$1048)=FALSE,"",IF((('Dvd Calendar'!$AA$1050=TYPE1)*(TYPE1&lt;&gt;"")+('Dvd Calendar'!$AA$1050=TYPE2)*(TYPE2&lt;&gt;"")+('Dvd Calendar'!$AA$1050=TYPE3)*(TYPE3&lt;&gt;"")+('Dvd Calendar'!$AA$1050=TYPE4)*(TYPE4&lt;&gt;"")+('Dvd Calendar'!$AA$1050=SPECIAL_LBL)*(INC_SPECIALS="Y"))=0,"",'Dvd Calendar'!$AA$1048)))</f>
        <v/>
      </c>
      <c r="Z106" s="106">
        <f>IF(FB106="","",IF(ISNUMBER('Dvd Calendar'!$AB$1048)=FALSE,"",IF((('Dvd Calendar'!$AB$1050=TYPE1)*(TYPE1&lt;&gt;"")+('Dvd Calendar'!$AB$1050=TYPE2)*(TYPE2&lt;&gt;"")+('Dvd Calendar'!$AB$1050=TYPE3)*(TYPE3&lt;&gt;"")+('Dvd Calendar'!$AB$1050=TYPE4)*(TYPE4&lt;&gt;"")+('Dvd Calendar'!$AB$1050=SPECIAL_LBL)*(INC_SPECIALS="Y"))=0,"",'Dvd Calendar'!$AB$1048)))</f>
        <v/>
      </c>
      <c r="AA106" s="106">
        <f>IF(FC106="","",IF(ISNUMBER('Dvd Calendar'!$AC$1048)=FALSE,"",IF((('Dvd Calendar'!$AC$1050=TYPE1)*(TYPE1&lt;&gt;"")+('Dvd Calendar'!$AC$1050=TYPE2)*(TYPE2&lt;&gt;"")+('Dvd Calendar'!$AC$1050=TYPE3)*(TYPE3&lt;&gt;"")+('Dvd Calendar'!$AC$1050=TYPE4)*(TYPE4&lt;&gt;"")+('Dvd Calendar'!$AC$1050=SPECIAL_LBL)*(INC_SPECIALS="Y"))=0,"",'Dvd Calendar'!$AC$1048)))</f>
        <v/>
      </c>
      <c r="AB106" s="106">
        <f>IF(FD106="","",IF(ISNUMBER('Dvd Calendar'!$AD$1048)=FALSE,"",IF((('Dvd Calendar'!$AD$1050=TYPE1)*(TYPE1&lt;&gt;"")+('Dvd Calendar'!$AD$1050=TYPE2)*(TYPE2&lt;&gt;"")+('Dvd Calendar'!$AD$1050=TYPE3)*(TYPE3&lt;&gt;"")+('Dvd Calendar'!$AD$1050=TYPE4)*(TYPE4&lt;&gt;"")+('Dvd Calendar'!$AD$1050=SPECIAL_LBL)*(INC_SPECIALS="Y"))=0,"",'Dvd Calendar'!$AD$1048)))</f>
        <v/>
      </c>
      <c r="AC106" s="106">
        <f>IF(FE106="","",IF(ISNUMBER('Dvd Calendar'!$AE$1048)=FALSE,"",IF((('Dvd Calendar'!$AE$1050=TYPE1)*(TYPE1&lt;&gt;"")+('Dvd Calendar'!$AE$1050=TYPE2)*(TYPE2&lt;&gt;"")+('Dvd Calendar'!$AE$1050=TYPE3)*(TYPE3&lt;&gt;"")+('Dvd Calendar'!$AE$1050=TYPE4)*(TYPE4&lt;&gt;"")+('Dvd Calendar'!$AE$1050=SPECIAL_LBL)*(INC_SPECIALS="Y"))=0,"",'Dvd Calendar'!$AE$1048)))</f>
        <v/>
      </c>
      <c r="AD106" s="106">
        <f>IF(FF106="","",IF(ISNUMBER('Dvd Calendar'!$AF$1048)=FALSE,"",IF((('Dvd Calendar'!$AF$1050=TYPE1)*(TYPE1&lt;&gt;"")+('Dvd Calendar'!$AF$1050=TYPE2)*(TYPE2&lt;&gt;"")+('Dvd Calendar'!$AF$1050=TYPE3)*(TYPE3&lt;&gt;"")+('Dvd Calendar'!$AF$1050=TYPE4)*(TYPE4&lt;&gt;"")+('Dvd Calendar'!$AF$1050=SPECIAL_LBL)*(INC_SPECIALS="Y"))=0,"",'Dvd Calendar'!$AF$1048)))</f>
        <v/>
      </c>
      <c r="AE106" s="106">
        <f>IF(FG106="","",IF(ISNUMBER('Dvd Calendar'!$AG$1048)=FALSE,"",IF((('Dvd Calendar'!$AG$1050=TYPE1)*(TYPE1&lt;&gt;"")+('Dvd Calendar'!$AG$1050=TYPE2)*(TYPE2&lt;&gt;"")+('Dvd Calendar'!$AG$1050=TYPE3)*(TYPE3&lt;&gt;"")+('Dvd Calendar'!$AG$1050=TYPE4)*(TYPE4&lt;&gt;"")+('Dvd Calendar'!$AG$1050=SPECIAL_LBL)*(INC_SPECIALS="Y"))=0,"",'Dvd Calendar'!$AG$1048)))</f>
        <v/>
      </c>
      <c r="AF106" s="106">
        <f>IF(FH106="","",IF(ISNUMBER('Dvd Calendar'!$AH$1048)=FALSE,"",IF((('Dvd Calendar'!$AH$1050=TYPE1)*(TYPE1&lt;&gt;"")+('Dvd Calendar'!$AH$1050=TYPE2)*(TYPE2&lt;&gt;"")+('Dvd Calendar'!$AH$1050=TYPE3)*(TYPE3&lt;&gt;"")+('Dvd Calendar'!$AH$1050=TYPE4)*(TYPE4&lt;&gt;"")+('Dvd Calendar'!$AH$1050=SPECIAL_LBL)*(INC_SPECIALS="Y"))=0,"",'Dvd Calendar'!$AH$1048)))</f>
        <v/>
      </c>
      <c r="AG106" s="106">
        <f>IF(FI106="","",IF(ISNUMBER('Dvd Calendar'!$AI$1048)=FALSE,"",IF((('Dvd Calendar'!$AI$1050=TYPE1)*(TYPE1&lt;&gt;"")+('Dvd Calendar'!$AI$1050=TYPE2)*(TYPE2&lt;&gt;"")+('Dvd Calendar'!$AI$1050=TYPE3)*(TYPE3&lt;&gt;"")+('Dvd Calendar'!$AI$1050=TYPE4)*(TYPE4&lt;&gt;"")+('Dvd Calendar'!$AI$1050=SPECIAL_LBL)*(INC_SPECIALS="Y"))=0,"",'Dvd Calendar'!$AI$1048)))</f>
        <v/>
      </c>
      <c r="AH106" s="106">
        <f>IF(FJ106="","",IF(ISNUMBER('Dvd Calendar'!$AJ$1048)=FALSE,"",IF((('Dvd Calendar'!$AJ$1050=TYPE1)*(TYPE1&lt;&gt;"")+('Dvd Calendar'!$AJ$1050=TYPE2)*(TYPE2&lt;&gt;"")+('Dvd Calendar'!$AJ$1050=TYPE3)*(TYPE3&lt;&gt;"")+('Dvd Calendar'!$AJ$1050=TYPE4)*(TYPE4&lt;&gt;"")+('Dvd Calendar'!$AJ$1050=SPECIAL_LBL)*(INC_SPECIALS="Y"))=0,"",'Dvd Calendar'!$AJ$1048)))</f>
        <v/>
      </c>
      <c r="AI106" s="106">
        <f>IF(FK106="","",IF(ISNUMBER('Dvd Calendar'!$AK$1048)=FALSE,"",IF((('Dvd Calendar'!$AK$1050=TYPE1)*(TYPE1&lt;&gt;"")+('Dvd Calendar'!$AK$1050=TYPE2)*(TYPE2&lt;&gt;"")+('Dvd Calendar'!$AK$1050=TYPE3)*(TYPE3&lt;&gt;"")+('Dvd Calendar'!$AK$1050=TYPE4)*(TYPE4&lt;&gt;"")+('Dvd Calendar'!$AK$1050=SPECIAL_LBL)*(INC_SPECIALS="Y"))=0,"",'Dvd Calendar'!$AK$1048)))</f>
        <v/>
      </c>
      <c r="AJ106" s="106">
        <f>IF(FL106="","",IF(ISNUMBER('Dvd Calendar'!$AL$1048)=FALSE,"",IF((('Dvd Calendar'!$AL$1050=TYPE1)*(TYPE1&lt;&gt;"")+('Dvd Calendar'!$AL$1050=TYPE2)*(TYPE2&lt;&gt;"")+('Dvd Calendar'!$AL$1050=TYPE3)*(TYPE3&lt;&gt;"")+('Dvd Calendar'!$AL$1050=TYPE4)*(TYPE4&lt;&gt;"")+('Dvd Calendar'!$AL$1050=SPECIAL_LBL)*(INC_SPECIALS="Y"))=0,"",'Dvd Calendar'!$AL$1048)))</f>
        <v/>
      </c>
      <c r="AK106" s="106">
        <f>IF(FM106="","",IF(ISNUMBER('Dvd Calendar'!$AM$1048)=FALSE,"",IF((('Dvd Calendar'!$AM$1050=TYPE1)*(TYPE1&lt;&gt;"")+('Dvd Calendar'!$AM$1050=TYPE2)*(TYPE2&lt;&gt;"")+('Dvd Calendar'!$AM$1050=TYPE3)*(TYPE3&lt;&gt;"")+('Dvd Calendar'!$AM$1050=TYPE4)*(TYPE4&lt;&gt;"")+('Dvd Calendar'!$AM$1050=SPECIAL_LBL)*(INC_SPECIALS="Y"))=0,"",'Dvd Calendar'!$AM$1048)))</f>
        <v/>
      </c>
      <c r="AL106" s="106">
        <f>IF(FN106="","",IF(ISNUMBER('Dvd Calendar'!$AN$1048)=FALSE,"",IF((('Dvd Calendar'!$AN$1050=TYPE1)*(TYPE1&lt;&gt;"")+('Dvd Calendar'!$AN$1050=TYPE2)*(TYPE2&lt;&gt;"")+('Dvd Calendar'!$AN$1050=TYPE3)*(TYPE3&lt;&gt;"")+('Dvd Calendar'!$AN$1050=TYPE4)*(TYPE4&lt;&gt;"")+('Dvd Calendar'!$AN$1050=SPECIAL_LBL)*(INC_SPECIALS="Y"))=0,"",'Dvd Calendar'!$AN$1048)))</f>
        <v/>
      </c>
      <c r="AM106" s="106">
        <f>IF(FO106="","",IF(ISNUMBER('Dvd Calendar'!$AO$1048)=FALSE,"",IF((('Dvd Calendar'!$AO$1050=TYPE1)*(TYPE1&lt;&gt;"")+('Dvd Calendar'!$AO$1050=TYPE2)*(TYPE2&lt;&gt;"")+('Dvd Calendar'!$AO$1050=TYPE3)*(TYPE3&lt;&gt;"")+('Dvd Calendar'!$AO$1050=TYPE4)*(TYPE4&lt;&gt;"")+('Dvd Calendar'!$AO$1050=SPECIAL_LBL)*(INC_SPECIALS="Y"))=0,"",'Dvd Calendar'!$AO$1048)))</f>
        <v/>
      </c>
      <c r="AN106" s="106">
        <f>IF(FP106="","",IF(ISNUMBER('Dvd Calendar'!$AP$1048)=FALSE,"",IF((('Dvd Calendar'!$AP$1050=TYPE1)*(TYPE1&lt;&gt;"")+('Dvd Calendar'!$AP$1050=TYPE2)*(TYPE2&lt;&gt;"")+('Dvd Calendar'!$AP$1050=TYPE3)*(TYPE3&lt;&gt;"")+('Dvd Calendar'!$AP$1050=TYPE4)*(TYPE4&lt;&gt;"")+('Dvd Calendar'!$AP$1050=SPECIAL_LBL)*(INC_SPECIALS="Y"))=0,"",'Dvd Calendar'!$AP$1048)))</f>
        <v/>
      </c>
      <c r="AO106" s="106">
        <f>IF(FQ106="","",IF(ISNUMBER('Dvd Calendar'!$AQ$1048)=FALSE,"",IF((('Dvd Calendar'!$AQ$1050=TYPE1)*(TYPE1&lt;&gt;"")+('Dvd Calendar'!$AQ$1050=TYPE2)*(TYPE2&lt;&gt;"")+('Dvd Calendar'!$AQ$1050=TYPE3)*(TYPE3&lt;&gt;"")+('Dvd Calendar'!$AQ$1050=TYPE4)*(TYPE4&lt;&gt;"")+('Dvd Calendar'!$AQ$1050=SPECIAL_LBL)*(INC_SPECIALS="Y"))=0,"",'Dvd Calendar'!$AQ$1048)))</f>
        <v/>
      </c>
      <c r="AP106" s="106">
        <f>IF(FR106="","",IF(ISNUMBER('Dvd Calendar'!$AR$1048)=FALSE,"",IF((('Dvd Calendar'!$AR$1050=TYPE1)*(TYPE1&lt;&gt;"")+('Dvd Calendar'!$AR$1050=TYPE2)*(TYPE2&lt;&gt;"")+('Dvd Calendar'!$AR$1050=TYPE3)*(TYPE3&lt;&gt;"")+('Dvd Calendar'!$AR$1050=TYPE4)*(TYPE4&lt;&gt;"")+('Dvd Calendar'!$AR$1050=SPECIAL_LBL)*(INC_SPECIALS="Y"))=0,"",'Dvd Calendar'!$AR$1048)))</f>
        <v/>
      </c>
      <c r="AQ106" s="106">
        <f>IF(FS106="","",IF(ISNUMBER('Dvd Calendar'!$E$1053)=FALSE,"",'Dvd Calendar'!$E$1053))</f>
        <v/>
      </c>
      <c r="AR106" s="106">
        <f>IF(FT106="","",IF(ISNUMBER('Dvd Calendar'!$F$1053)=FALSE,"",'Dvd Calendar'!$F$1053))</f>
        <v/>
      </c>
      <c r="AS106" s="106">
        <f>IF(FU106="","",IF(ISNUMBER('Dvd Calendar'!$G$1053)=FALSE,"",'Dvd Calendar'!$G$1053))</f>
        <v/>
      </c>
      <c r="AT106" s="106">
        <f>IF(FV106="","",IF(ISNUMBER('Dvd Calendar'!$H$1053)=FALSE,"",'Dvd Calendar'!$H$1053))</f>
        <v/>
      </c>
      <c r="AU106" s="106">
        <f>IF(FW106="","",IF(ISNUMBER('Dvd Calendar'!$I$1053)=FALSE,"",'Dvd Calendar'!$I$1053))</f>
        <v/>
      </c>
      <c r="AV106" s="106">
        <f>IF(FX106="","",IF(ISNUMBER('Dvd Calendar'!$J$1053)=FALSE,"",'Dvd Calendar'!$J$1053))</f>
        <v/>
      </c>
      <c r="AW106" s="106">
        <f>IF(FY106="","",IF(ISNUMBER('Dvd Calendar'!$K$1053)=FALSE,"",'Dvd Calendar'!$K$1053))</f>
        <v/>
      </c>
      <c r="AX106" s="106">
        <f>IF(FZ106="","",IF(ISNUMBER('Dvd Calendar'!$L$1053)=FALSE,"",'Dvd Calendar'!$L$1053))</f>
        <v/>
      </c>
      <c r="AY106" s="106">
        <f>IF(GA106="","",IF(ISNUMBER('Dvd Calendar'!$M$1053)=FALSE,"",'Dvd Calendar'!$M$1053))</f>
        <v/>
      </c>
      <c r="AZ106" s="106">
        <f>IF(GB106="","",IF(ISNUMBER('Dvd Calendar'!$N$1053)=FALSE,"",'Dvd Calendar'!$N$1053))</f>
        <v/>
      </c>
      <c r="BA106" s="106">
        <f>IF(GC106="","",IF(ISNUMBER('Dvd Calendar'!$O$1053)=FALSE,"",'Dvd Calendar'!$O$1053))</f>
        <v/>
      </c>
      <c r="BB106" s="106">
        <f>IF(GD106="","",IF(ISNUMBER('Dvd Calendar'!$P$1053)=FALSE,"",'Dvd Calendar'!$P$1053))</f>
        <v/>
      </c>
      <c r="BC106" s="106">
        <f>IF(GE106="","",IF(ISNUMBER('Dvd Calendar'!$Q$1053)=FALSE,"",'Dvd Calendar'!$Q$1053))</f>
        <v/>
      </c>
      <c r="BD106" s="106">
        <f>IF(GF106="","",IF(ISNUMBER('Dvd Calendar'!$R$1053)=FALSE,"",'Dvd Calendar'!$R$1053))</f>
        <v/>
      </c>
      <c r="BE106" s="106">
        <f>IF(GG106="","",IF(ISNUMBER('Dvd Calendar'!$S$1053)=FALSE,"",'Dvd Calendar'!$S$1053))</f>
        <v/>
      </c>
      <c r="BF106" s="106">
        <f>IF(GH106="","",IF(ISNUMBER('Dvd Calendar'!$T$1053)=FALSE,"",'Dvd Calendar'!$T$1053))</f>
        <v/>
      </c>
      <c r="BG106" s="106">
        <f>IF(GI106="","",IF(ISNUMBER('Dvd Calendar'!$U$1053)=FALSE,"",'Dvd Calendar'!$U$1053))</f>
        <v/>
      </c>
      <c r="BH106" s="106">
        <f>IF(GJ106="","",IF(ISNUMBER('Dvd Calendar'!$V$1053)=FALSE,"",'Dvd Calendar'!$V$1053))</f>
        <v/>
      </c>
      <c r="BI106" s="106">
        <f>IF(GK106="","",IF(ISNUMBER('Dvd Calendar'!$W$1053)=FALSE,"",'Dvd Calendar'!$W$1053))</f>
        <v/>
      </c>
      <c r="BJ106" s="106">
        <f>IF(GL106="","",IF(ISNUMBER('Dvd Calendar'!$X$1053)=FALSE,"",'Dvd Calendar'!$X$1053))</f>
        <v/>
      </c>
      <c r="BK106" s="106">
        <f>IF(GM106="","",IF(ISNUMBER('Dvd Calendar'!$Y$1053)=FALSE,"",'Dvd Calendar'!$Y$1053))</f>
        <v/>
      </c>
      <c r="BL106" s="106">
        <f>IF(GN106="","",IF(ISNUMBER('Dvd Calendar'!$Z$1053)=FALSE,"",'Dvd Calendar'!$Z$1053))</f>
        <v/>
      </c>
      <c r="BM106" s="106">
        <f>IF(GO106="","",IF(ISNUMBER('Dvd Calendar'!$AA$1053)=FALSE,"",'Dvd Calendar'!$AA$1053))</f>
        <v/>
      </c>
      <c r="BN106" s="106">
        <f>IF(GP106="","",IF(ISNUMBER('Dvd Calendar'!$AB$1053)=FALSE,"",'Dvd Calendar'!$AB$1053))</f>
        <v/>
      </c>
      <c r="BO106" s="106">
        <f>IF(GQ106="","",IF(ISNUMBER('Dvd Calendar'!$AC$1053)=FALSE,"",'Dvd Calendar'!$AC$1053))</f>
        <v/>
      </c>
      <c r="BQ106" s="106">
        <f>IF(C106="","",IFERROR(C106*HSI!$B$101*HSI!$G$101/HSI!$B$3,""))</f>
        <v/>
      </c>
      <c r="BR106" s="106">
        <f>IF(D106="","",IFERROR(D106*HSI!$B$101*HSI!$G$101/HSI!$B$3,""))</f>
        <v/>
      </c>
      <c r="BS106" s="106">
        <f>IF(E106="","",IFERROR(E106*HSI!$B$101*HSI!$G$101/HSI!$B$3,""))</f>
        <v/>
      </c>
      <c r="BT106" s="106">
        <f>IF(F106="","",IFERROR(F106*HSI!$B$101*HSI!$G$101/HSI!$B$3,""))</f>
        <v/>
      </c>
      <c r="BU106" s="106">
        <f>IF(G106="","",IFERROR(G106*HSI!$B$101*HSI!$G$101/HSI!$B$3,""))</f>
        <v/>
      </c>
      <c r="BV106" s="106">
        <f>IF(H106="","",IFERROR(H106*HSI!$B$101*HSI!$G$101/HSI!$B$3,""))</f>
        <v/>
      </c>
      <c r="BW106" s="106">
        <f>IF(I106="","",IFERROR(I106*HSI!$B$101*HSI!$G$101/HSI!$B$3,""))</f>
        <v/>
      </c>
      <c r="BX106" s="106">
        <f>IF(J106="","",IFERROR(J106*HSI!$B$101*HSI!$G$101/HSI!$B$3,""))</f>
        <v/>
      </c>
      <c r="BY106" s="106">
        <f>IF(K106="","",IFERROR(K106*HSI!$B$101*HSI!$G$101/HSI!$B$3,""))</f>
        <v/>
      </c>
      <c r="BZ106" s="106">
        <f>IF(L106="","",IFERROR(L106*HSI!$B$101*HSI!$G$101/HSI!$B$3,""))</f>
        <v/>
      </c>
      <c r="CA106" s="106">
        <f>IF(M106="","",IFERROR(M106*HSI!$B$101*HSI!$G$101/HSI!$B$3,""))</f>
        <v/>
      </c>
      <c r="CB106" s="106">
        <f>IF(N106="","",IFERROR(N106*HSI!$B$101*HSI!$G$101/HSI!$B$3,""))</f>
        <v/>
      </c>
      <c r="CC106" s="106">
        <f>IF(O106="","",IFERROR(O106*HSI!$B$101*HSI!$G$101/HSI!$B$3,""))</f>
        <v/>
      </c>
      <c r="CD106" s="106">
        <f>IF(P106="","",IFERROR(P106*HSI!$B$101*HSI!$G$101/HSI!$B$3,""))</f>
        <v/>
      </c>
      <c r="CE106" s="106">
        <f>IF(Q106="","",IFERROR(Q106*HSI!$B$101*HSI!$G$101/HSI!$B$3,""))</f>
        <v/>
      </c>
      <c r="CF106" s="106">
        <f>IF(R106="","",IFERROR(R106*HSI!$B$101*HSI!$G$101/HSI!$B$3,""))</f>
        <v/>
      </c>
      <c r="CG106" s="106">
        <f>IF(S106="","",IFERROR(S106*HSI!$B$101*HSI!$G$101/HSI!$B$3,""))</f>
        <v/>
      </c>
      <c r="CH106" s="106">
        <f>IF(T106="","",IFERROR(T106*HSI!$B$101*HSI!$G$101/HSI!$B$3,""))</f>
        <v/>
      </c>
      <c r="CI106" s="106">
        <f>IF(U106="","",IFERROR(U106*HSI!$B$101*HSI!$G$101/HSI!$B$3,""))</f>
        <v/>
      </c>
      <c r="CJ106" s="106">
        <f>IF(V106="","",IFERROR(V106*HSI!$B$101*HSI!$G$101/HSI!$B$3,""))</f>
        <v/>
      </c>
      <c r="CK106" s="106">
        <f>IF(W106="","",IFERROR(W106*HSI!$B$101*HSI!$G$101/HSI!$B$3,""))</f>
        <v/>
      </c>
      <c r="CL106" s="106">
        <f>IF(X106="","",IFERROR(X106*HSI!$B$101*HSI!$G$101/HSI!$B$3,""))</f>
        <v/>
      </c>
      <c r="CM106" s="106">
        <f>IF(Y106="","",IFERROR(Y106*HSI!$B$101*HSI!$G$101/HSI!$B$3,""))</f>
        <v/>
      </c>
      <c r="CN106" s="106">
        <f>IF(Z106="","",IFERROR(Z106*HSI!$B$101*HSI!$G$101/HSI!$B$3,""))</f>
        <v/>
      </c>
      <c r="CO106" s="106">
        <f>IF(AA106="","",IFERROR(AA106*HSI!$B$101*HSI!$G$101/HSI!$B$3,""))</f>
        <v/>
      </c>
      <c r="CP106" s="106">
        <f>IF(AB106="","",IFERROR(AB106*HSI!$B$101*HSI!$G$101/HSI!$B$3,""))</f>
        <v/>
      </c>
      <c r="CQ106" s="106">
        <f>IF(AC106="","",IFERROR(AC106*HSI!$B$101*HSI!$G$101/HSI!$B$3,""))</f>
        <v/>
      </c>
      <c r="CR106" s="106">
        <f>IF(AD106="","",IFERROR(AD106*HSI!$B$101*HSI!$G$101/HSI!$B$3,""))</f>
        <v/>
      </c>
      <c r="CS106" s="106">
        <f>IF(AE106="","",IFERROR(AE106*HSI!$B$101*HSI!$G$101/HSI!$B$3,""))</f>
        <v/>
      </c>
      <c r="CT106" s="106">
        <f>IF(AF106="","",IFERROR(AF106*HSI!$B$101*HSI!$G$101/HSI!$B$3,""))</f>
        <v/>
      </c>
      <c r="CU106" s="106">
        <f>IF(AG106="","",IFERROR(AG106*HSI!$B$101*HSI!$G$101/HSI!$B$3,""))</f>
        <v/>
      </c>
      <c r="CV106" s="106">
        <f>IF(AH106="","",IFERROR(AH106*HSI!$B$101*HSI!$G$101/HSI!$B$3,""))</f>
        <v/>
      </c>
      <c r="CW106" s="106">
        <f>IF(AI106="","",IFERROR(AI106*HSI!$B$101*HSI!$G$101/HSI!$B$3,""))</f>
        <v/>
      </c>
      <c r="CX106" s="106">
        <f>IF(AJ106="","",IFERROR(AJ106*HSI!$B$101*HSI!$G$101/HSI!$B$3,""))</f>
        <v/>
      </c>
      <c r="CY106" s="106">
        <f>IF(AK106="","",IFERROR(AK106*HSI!$B$101*HSI!$G$101/HSI!$B$3,""))</f>
        <v/>
      </c>
      <c r="CZ106" s="106">
        <f>IF(AL106="","",IFERROR(AL106*HSI!$B$101*HSI!$G$101/HSI!$B$3,""))</f>
        <v/>
      </c>
      <c r="DA106" s="106">
        <f>IF(AM106="","",IFERROR(AM106*HSI!$B$101*HSI!$G$101/HSI!$B$3,""))</f>
        <v/>
      </c>
      <c r="DB106" s="106">
        <f>IF(AN106="","",IFERROR(AN106*HSI!$B$101*HSI!$G$101/HSI!$B$3,""))</f>
        <v/>
      </c>
      <c r="DC106" s="106">
        <f>IF(AO106="","",IFERROR(AO106*HSI!$B$101*HSI!$G$101/HSI!$B$3,""))</f>
        <v/>
      </c>
      <c r="DD106" s="106">
        <f>IF(AP106="","",IFERROR(AP106*HSI!$B$101*HSI!$G$101/HSI!$B$3,""))</f>
        <v/>
      </c>
      <c r="DE106" s="106">
        <f>IF(AQ106="","",IFERROR(AQ106*HSI!$B$101*HSI!$G$101/HSI!$B$3,""))</f>
        <v/>
      </c>
      <c r="DF106" s="106">
        <f>IF(AR106="","",IFERROR(AR106*HSI!$B$101*HSI!$G$101/HSI!$B$3,""))</f>
        <v/>
      </c>
      <c r="DG106" s="106">
        <f>IF(AS106="","",IFERROR(AS106*HSI!$B$101*HSI!$G$101/HSI!$B$3,""))</f>
        <v/>
      </c>
      <c r="DH106" s="106">
        <f>IF(AT106="","",IFERROR(AT106*HSI!$B$101*HSI!$G$101/HSI!$B$3,""))</f>
        <v/>
      </c>
      <c r="DI106" s="106">
        <f>IF(AU106="","",IFERROR(AU106*HSI!$B$101*HSI!$G$101/HSI!$B$3,""))</f>
        <v/>
      </c>
      <c r="DJ106" s="106">
        <f>IF(AV106="","",IFERROR(AV106*HSI!$B$101*HSI!$G$101/HSI!$B$3,""))</f>
        <v/>
      </c>
      <c r="DK106" s="106">
        <f>IF(AW106="","",IFERROR(AW106*HSI!$B$101*HSI!$G$101/HSI!$B$3,""))</f>
        <v/>
      </c>
      <c r="DL106" s="106">
        <f>IF(AX106="","",IFERROR(AX106*HSI!$B$101*HSI!$G$101/HSI!$B$3,""))</f>
        <v/>
      </c>
      <c r="DM106" s="106">
        <f>IF(AY106="","",IFERROR(AY106*HSI!$B$101*HSI!$G$101/HSI!$B$3,""))</f>
        <v/>
      </c>
      <c r="DN106" s="106">
        <f>IF(AZ106="","",IFERROR(AZ106*HSI!$B$101*HSI!$G$101/HSI!$B$3,""))</f>
        <v/>
      </c>
      <c r="DO106" s="106">
        <f>IF(BA106="","",IFERROR(BA106*HSI!$B$101*HSI!$G$101/HSI!$B$3,""))</f>
        <v/>
      </c>
      <c r="DP106" s="106">
        <f>IF(BB106="","",IFERROR(BB106*HSI!$B$101*HSI!$G$101/HSI!$B$3,""))</f>
        <v/>
      </c>
      <c r="DQ106" s="106">
        <f>IF(BC106="","",IFERROR(BC106*HSI!$B$101*HSI!$G$101/HSI!$B$3,""))</f>
        <v/>
      </c>
      <c r="DR106" s="106">
        <f>IF(BD106="","",IFERROR(BD106*HSI!$B$101*HSI!$G$101/HSI!$B$3,""))</f>
        <v/>
      </c>
      <c r="DS106" s="106">
        <f>IF(BE106="","",IFERROR(BE106*HSI!$B$101*HSI!$G$101/HSI!$B$3,""))</f>
        <v/>
      </c>
      <c r="DT106" s="106">
        <f>IF(BF106="","",IFERROR(BF106*HSI!$B$101*HSI!$G$101/HSI!$B$3,""))</f>
        <v/>
      </c>
      <c r="DU106" s="106">
        <f>IF(BG106="","",IFERROR(BG106*HSI!$B$101*HSI!$G$101/HSI!$B$3,""))</f>
        <v/>
      </c>
      <c r="DV106" s="106">
        <f>IF(BH106="","",IFERROR(BH106*HSI!$B$101*HSI!$G$101/HSI!$B$3,""))</f>
        <v/>
      </c>
      <c r="DW106" s="106">
        <f>IF(BI106="","",IFERROR(BI106*HSI!$B$101*HSI!$G$101/HSI!$B$3,""))</f>
        <v/>
      </c>
      <c r="DX106" s="106">
        <f>IF(BJ106="","",IFERROR(BJ106*HSI!$B$101*HSI!$G$101/HSI!$B$3,""))</f>
        <v/>
      </c>
      <c r="DY106" s="106">
        <f>IF(BK106="","",IFERROR(BK106*HSI!$B$101*HSI!$G$101/HSI!$B$3,""))</f>
        <v/>
      </c>
      <c r="DZ106" s="106">
        <f>IF(BL106="","",IFERROR(BL106*HSI!$B$101*HSI!$G$101/HSI!$B$3,""))</f>
        <v/>
      </c>
      <c r="EA106" s="106">
        <f>IF(BM106="","",IFERROR(BM106*HSI!$B$101*HSI!$G$101/HSI!$B$3,""))</f>
        <v/>
      </c>
      <c r="EB106" s="106">
        <f>IF(BN106="","",IFERROR(BN106*HSI!$B$101*HSI!$G$101/HSI!$B$3,""))</f>
        <v/>
      </c>
      <c r="EC106" s="106">
        <f>IF(BO106="","",IFERROR(BO106*HSI!$B$101*HSI!$G$101/HSI!$B$3,""))</f>
        <v/>
      </c>
      <c r="EE106" s="35">
        <f>IF(N('Dvd Calendar'!$E$1045)=0,"",IF(('Dvd Calendar'!$E$1045&gt;=GRID_FROM)*('Dvd Calendar'!$E$1045&lt;=GRID_TO)*('Dvd Calendar'!$E$1045&lt;=VAL_DATE)=0,"",'Dvd Calendar'!$E$1045*1000000000+ISNUMBER('Dvd Calendar'!$E$1048)*100000000+('Dvd Calendar'!$E$1050=SPECIAL_LBL)*10000000+0*1000000+95*1000+1))</f>
        <v/>
      </c>
      <c r="EF106" s="35">
        <f>IF(N('Dvd Calendar'!$F$1045)=0,"",IF(('Dvd Calendar'!$F$1045&gt;=GRID_FROM)*('Dvd Calendar'!$F$1045&lt;=GRID_TO)*('Dvd Calendar'!$F$1045&lt;=VAL_DATE)=0,"",'Dvd Calendar'!$F$1045*1000000000+ISNUMBER('Dvd Calendar'!$F$1048)*100000000+('Dvd Calendar'!$F$1050=SPECIAL_LBL)*10000000+0*1000000+95*1000+2))</f>
        <v/>
      </c>
      <c r="EG106" s="35">
        <f>IF(N('Dvd Calendar'!$G$1045)=0,"",IF(('Dvd Calendar'!$G$1045&gt;=GRID_FROM)*('Dvd Calendar'!$G$1045&lt;=GRID_TO)*('Dvd Calendar'!$G$1045&lt;=VAL_DATE)=0,"",'Dvd Calendar'!$G$1045*1000000000+ISNUMBER('Dvd Calendar'!$G$1048)*100000000+('Dvd Calendar'!$G$1050=SPECIAL_LBL)*10000000+0*1000000+95*1000+3))</f>
        <v/>
      </c>
      <c r="EH106" s="35">
        <f>IF(N('Dvd Calendar'!$H$1045)=0,"",IF(('Dvd Calendar'!$H$1045&gt;=GRID_FROM)*('Dvd Calendar'!$H$1045&lt;=GRID_TO)*('Dvd Calendar'!$H$1045&lt;=VAL_DATE)=0,"",'Dvd Calendar'!$H$1045*1000000000+ISNUMBER('Dvd Calendar'!$H$1048)*100000000+('Dvd Calendar'!$H$1050=SPECIAL_LBL)*10000000+0*1000000+95*1000+4))</f>
        <v/>
      </c>
      <c r="EI106" s="35">
        <f>IF(N('Dvd Calendar'!$I$1045)=0,"",IF(('Dvd Calendar'!$I$1045&gt;=GRID_FROM)*('Dvd Calendar'!$I$1045&lt;=GRID_TO)*('Dvd Calendar'!$I$1045&lt;=VAL_DATE)=0,"",'Dvd Calendar'!$I$1045*1000000000+ISNUMBER('Dvd Calendar'!$I$1048)*100000000+('Dvd Calendar'!$I$1050=SPECIAL_LBL)*10000000+0*1000000+95*1000+5))</f>
        <v/>
      </c>
      <c r="EJ106" s="35">
        <f>IF(N('Dvd Calendar'!$J$1045)=0,"",IF(('Dvd Calendar'!$J$1045&gt;=GRID_FROM)*('Dvd Calendar'!$J$1045&lt;=GRID_TO)*('Dvd Calendar'!$J$1045&lt;=VAL_DATE)=0,"",'Dvd Calendar'!$J$1045*1000000000+ISNUMBER('Dvd Calendar'!$J$1048)*100000000+('Dvd Calendar'!$J$1050=SPECIAL_LBL)*10000000+0*1000000+95*1000+6))</f>
        <v/>
      </c>
      <c r="EK106" s="35">
        <f>IF(N('Dvd Calendar'!$K$1045)=0,"",IF(('Dvd Calendar'!$K$1045&gt;=GRID_FROM)*('Dvd Calendar'!$K$1045&lt;=GRID_TO)*('Dvd Calendar'!$K$1045&lt;=VAL_DATE)=0,"",'Dvd Calendar'!$K$1045*1000000000+ISNUMBER('Dvd Calendar'!$K$1048)*100000000+('Dvd Calendar'!$K$1050=SPECIAL_LBL)*10000000+0*1000000+95*1000+7))</f>
        <v/>
      </c>
      <c r="EL106" s="35">
        <f>IF(N('Dvd Calendar'!$L$1045)=0,"",IF(('Dvd Calendar'!$L$1045&gt;=GRID_FROM)*('Dvd Calendar'!$L$1045&lt;=GRID_TO)*('Dvd Calendar'!$L$1045&lt;=VAL_DATE)=0,"",'Dvd Calendar'!$L$1045*1000000000+ISNUMBER('Dvd Calendar'!$L$1048)*100000000+('Dvd Calendar'!$L$1050=SPECIAL_LBL)*10000000+0*1000000+95*1000+8))</f>
        <v/>
      </c>
      <c r="EM106" s="35">
        <f>IF(N('Dvd Calendar'!$M$1045)=0,"",IF(('Dvd Calendar'!$M$1045&gt;=GRID_FROM)*('Dvd Calendar'!$M$1045&lt;=GRID_TO)*('Dvd Calendar'!$M$1045&lt;=VAL_DATE)=0,"",'Dvd Calendar'!$M$1045*1000000000+ISNUMBER('Dvd Calendar'!$M$1048)*100000000+('Dvd Calendar'!$M$1050=SPECIAL_LBL)*10000000+0*1000000+95*1000+9))</f>
        <v/>
      </c>
      <c r="EN106" s="35">
        <f>IF(N('Dvd Calendar'!$N$1045)=0,"",IF(('Dvd Calendar'!$N$1045&gt;=GRID_FROM)*('Dvd Calendar'!$N$1045&lt;=GRID_TO)*('Dvd Calendar'!$N$1045&lt;=VAL_DATE)=0,"",'Dvd Calendar'!$N$1045*1000000000+ISNUMBER('Dvd Calendar'!$N$1048)*100000000+('Dvd Calendar'!$N$1050=SPECIAL_LBL)*10000000+0*1000000+95*1000+10))</f>
        <v/>
      </c>
      <c r="EO106" s="35">
        <f>IF(N('Dvd Calendar'!$O$1045)=0,"",IF(('Dvd Calendar'!$O$1045&gt;=GRID_FROM)*('Dvd Calendar'!$O$1045&lt;=GRID_TO)*('Dvd Calendar'!$O$1045&lt;=VAL_DATE)=0,"",'Dvd Calendar'!$O$1045*1000000000+ISNUMBER('Dvd Calendar'!$O$1048)*100000000+('Dvd Calendar'!$O$1050=SPECIAL_LBL)*10000000+0*1000000+95*1000+11))</f>
        <v/>
      </c>
      <c r="EP106" s="35">
        <f>IF(N('Dvd Calendar'!$P$1045)=0,"",IF(('Dvd Calendar'!$P$1045&gt;=GRID_FROM)*('Dvd Calendar'!$P$1045&lt;=GRID_TO)*('Dvd Calendar'!$P$1045&lt;=VAL_DATE)=0,"",'Dvd Calendar'!$P$1045*1000000000+ISNUMBER('Dvd Calendar'!$P$1048)*100000000+('Dvd Calendar'!$P$1050=SPECIAL_LBL)*10000000+0*1000000+95*1000+12))</f>
        <v/>
      </c>
      <c r="EQ106" s="35">
        <f>IF(N('Dvd Calendar'!$Q$1045)=0,"",IF(('Dvd Calendar'!$Q$1045&gt;=GRID_FROM)*('Dvd Calendar'!$Q$1045&lt;=GRID_TO)*('Dvd Calendar'!$Q$1045&lt;=VAL_DATE)=0,"",'Dvd Calendar'!$Q$1045*1000000000+ISNUMBER('Dvd Calendar'!$Q$1048)*100000000+('Dvd Calendar'!$Q$1050=SPECIAL_LBL)*10000000+0*1000000+95*1000+13))</f>
        <v/>
      </c>
      <c r="ER106" s="35">
        <f>IF(N('Dvd Calendar'!$R$1045)=0,"",IF(('Dvd Calendar'!$R$1045&gt;=GRID_FROM)*('Dvd Calendar'!$R$1045&lt;=GRID_TO)*('Dvd Calendar'!$R$1045&lt;=VAL_DATE)=0,"",'Dvd Calendar'!$R$1045*1000000000+ISNUMBER('Dvd Calendar'!$R$1048)*100000000+('Dvd Calendar'!$R$1050=SPECIAL_LBL)*10000000+0*1000000+95*1000+14))</f>
        <v/>
      </c>
      <c r="ES106" s="35">
        <f>IF(N('Dvd Calendar'!$S$1045)=0,"",IF(('Dvd Calendar'!$S$1045&gt;=GRID_FROM)*('Dvd Calendar'!$S$1045&lt;=GRID_TO)*('Dvd Calendar'!$S$1045&lt;=VAL_DATE)=0,"",'Dvd Calendar'!$S$1045*1000000000+ISNUMBER('Dvd Calendar'!$S$1048)*100000000+('Dvd Calendar'!$S$1050=SPECIAL_LBL)*10000000+0*1000000+95*1000+15))</f>
        <v/>
      </c>
      <c r="ET106" s="35">
        <f>IF(N('Dvd Calendar'!$T$1045)=0,"",IF(('Dvd Calendar'!$T$1045&gt;=GRID_FROM)*('Dvd Calendar'!$T$1045&lt;=GRID_TO)*('Dvd Calendar'!$T$1045&lt;=VAL_DATE)=0,"",'Dvd Calendar'!$T$1045*1000000000+ISNUMBER('Dvd Calendar'!$T$1048)*100000000+('Dvd Calendar'!$T$1050=SPECIAL_LBL)*10000000+0*1000000+95*1000+16))</f>
        <v/>
      </c>
      <c r="EU106" s="35">
        <f>IF(N('Dvd Calendar'!$U$1045)=0,"",IF(('Dvd Calendar'!$U$1045&gt;=GRID_FROM)*('Dvd Calendar'!$U$1045&lt;=GRID_TO)*('Dvd Calendar'!$U$1045&lt;=VAL_DATE)=0,"",'Dvd Calendar'!$U$1045*1000000000+ISNUMBER('Dvd Calendar'!$U$1048)*100000000+('Dvd Calendar'!$U$1050=SPECIAL_LBL)*10000000+0*1000000+95*1000+17))</f>
        <v/>
      </c>
      <c r="EV106" s="35">
        <f>IF(N('Dvd Calendar'!$V$1045)=0,"",IF(('Dvd Calendar'!$V$1045&gt;=GRID_FROM)*('Dvd Calendar'!$V$1045&lt;=GRID_TO)*('Dvd Calendar'!$V$1045&lt;=VAL_DATE)=0,"",'Dvd Calendar'!$V$1045*1000000000+ISNUMBER('Dvd Calendar'!$V$1048)*100000000+('Dvd Calendar'!$V$1050=SPECIAL_LBL)*10000000+0*1000000+95*1000+18))</f>
        <v/>
      </c>
      <c r="EW106" s="35">
        <f>IF(N('Dvd Calendar'!$W$1045)=0,"",IF(('Dvd Calendar'!$W$1045&gt;=GRID_FROM)*('Dvd Calendar'!$W$1045&lt;=GRID_TO)*('Dvd Calendar'!$W$1045&lt;=VAL_DATE)=0,"",'Dvd Calendar'!$W$1045*1000000000+ISNUMBER('Dvd Calendar'!$W$1048)*100000000+('Dvd Calendar'!$W$1050=SPECIAL_LBL)*10000000+0*1000000+95*1000+19))</f>
        <v/>
      </c>
      <c r="EX106" s="35">
        <f>IF(N('Dvd Calendar'!$X$1045)=0,"",IF(('Dvd Calendar'!$X$1045&gt;=GRID_FROM)*('Dvd Calendar'!$X$1045&lt;=GRID_TO)*('Dvd Calendar'!$X$1045&lt;=VAL_DATE)=0,"",'Dvd Calendar'!$X$1045*1000000000+ISNUMBER('Dvd Calendar'!$X$1048)*100000000+('Dvd Calendar'!$X$1050=SPECIAL_LBL)*10000000+0*1000000+95*1000+20))</f>
        <v/>
      </c>
      <c r="EY106" s="35">
        <f>IF(N('Dvd Calendar'!$Y$1045)=0,"",IF(('Dvd Calendar'!$Y$1045&gt;=GRID_FROM)*('Dvd Calendar'!$Y$1045&lt;=GRID_TO)*('Dvd Calendar'!$Y$1045&lt;=VAL_DATE)=0,"",'Dvd Calendar'!$Y$1045*1000000000+ISNUMBER('Dvd Calendar'!$Y$1048)*100000000+('Dvd Calendar'!$Y$1050=SPECIAL_LBL)*10000000+0*1000000+95*1000+21))</f>
        <v/>
      </c>
      <c r="EZ106" s="35">
        <f>IF(N('Dvd Calendar'!$Z$1045)=0,"",IF(('Dvd Calendar'!$Z$1045&gt;=GRID_FROM)*('Dvd Calendar'!$Z$1045&lt;=GRID_TO)*('Dvd Calendar'!$Z$1045&lt;=VAL_DATE)=0,"",'Dvd Calendar'!$Z$1045*1000000000+ISNUMBER('Dvd Calendar'!$Z$1048)*100000000+('Dvd Calendar'!$Z$1050=SPECIAL_LBL)*10000000+0*1000000+95*1000+22))</f>
        <v/>
      </c>
      <c r="FA106" s="35">
        <f>IF(N('Dvd Calendar'!$AA$1045)=0,"",IF(('Dvd Calendar'!$AA$1045&gt;=GRID_FROM)*('Dvd Calendar'!$AA$1045&lt;=GRID_TO)*('Dvd Calendar'!$AA$1045&lt;=VAL_DATE)=0,"",'Dvd Calendar'!$AA$1045*1000000000+ISNUMBER('Dvd Calendar'!$AA$1048)*100000000+('Dvd Calendar'!$AA$1050=SPECIAL_LBL)*10000000+0*1000000+95*1000+23))</f>
        <v/>
      </c>
      <c r="FB106" s="35">
        <f>IF(N('Dvd Calendar'!$AB$1045)=0,"",IF(('Dvd Calendar'!$AB$1045&gt;=GRID_FROM)*('Dvd Calendar'!$AB$1045&lt;=GRID_TO)*('Dvd Calendar'!$AB$1045&lt;=VAL_DATE)=0,"",'Dvd Calendar'!$AB$1045*1000000000+ISNUMBER('Dvd Calendar'!$AB$1048)*100000000+('Dvd Calendar'!$AB$1050=SPECIAL_LBL)*10000000+0*1000000+95*1000+24))</f>
        <v/>
      </c>
      <c r="FC106" s="35">
        <f>IF(N('Dvd Calendar'!$AC$1045)=0,"",IF(('Dvd Calendar'!$AC$1045&gt;=GRID_FROM)*('Dvd Calendar'!$AC$1045&lt;=GRID_TO)*('Dvd Calendar'!$AC$1045&lt;=VAL_DATE)=0,"",'Dvd Calendar'!$AC$1045*1000000000+ISNUMBER('Dvd Calendar'!$AC$1048)*100000000+('Dvd Calendar'!$AC$1050=SPECIAL_LBL)*10000000+0*1000000+95*1000+25))</f>
        <v/>
      </c>
      <c r="FD106" s="35">
        <f>IF(N('Dvd Calendar'!$AD$1045)=0,"",IF(('Dvd Calendar'!$AD$1045&gt;=GRID_FROM)*('Dvd Calendar'!$AD$1045&lt;=GRID_TO)*('Dvd Calendar'!$AD$1045&lt;=VAL_DATE)=0,"",'Dvd Calendar'!$AD$1045*1000000000+ISNUMBER('Dvd Calendar'!$AD$1048)*100000000+('Dvd Calendar'!$AD$1050=SPECIAL_LBL)*10000000+0*1000000+95*1000+26))</f>
        <v/>
      </c>
      <c r="FE106" s="35">
        <f>IF(N('Dvd Calendar'!$AE$1045)=0,"",IF(('Dvd Calendar'!$AE$1045&gt;=GRID_FROM)*('Dvd Calendar'!$AE$1045&lt;=GRID_TO)*('Dvd Calendar'!$AE$1045&lt;=VAL_DATE)=0,"",'Dvd Calendar'!$AE$1045*1000000000+ISNUMBER('Dvd Calendar'!$AE$1048)*100000000+('Dvd Calendar'!$AE$1050=SPECIAL_LBL)*10000000+0*1000000+95*1000+27))</f>
        <v/>
      </c>
      <c r="FF106" s="35">
        <f>IF(N('Dvd Calendar'!$AF$1045)=0,"",IF(('Dvd Calendar'!$AF$1045&gt;=GRID_FROM)*('Dvd Calendar'!$AF$1045&lt;=GRID_TO)*('Dvd Calendar'!$AF$1045&lt;=VAL_DATE)=0,"",'Dvd Calendar'!$AF$1045*1000000000+ISNUMBER('Dvd Calendar'!$AF$1048)*100000000+('Dvd Calendar'!$AF$1050=SPECIAL_LBL)*10000000+0*1000000+95*1000+28))</f>
        <v/>
      </c>
      <c r="FG106" s="35">
        <f>IF(N('Dvd Calendar'!$AG$1045)=0,"",IF(('Dvd Calendar'!$AG$1045&gt;=GRID_FROM)*('Dvd Calendar'!$AG$1045&lt;=GRID_TO)*('Dvd Calendar'!$AG$1045&lt;=VAL_DATE)=0,"",'Dvd Calendar'!$AG$1045*1000000000+ISNUMBER('Dvd Calendar'!$AG$1048)*100000000+('Dvd Calendar'!$AG$1050=SPECIAL_LBL)*10000000+0*1000000+95*1000+29))</f>
        <v/>
      </c>
      <c r="FH106" s="35">
        <f>IF(N('Dvd Calendar'!$AH$1045)=0,"",IF(('Dvd Calendar'!$AH$1045&gt;=GRID_FROM)*('Dvd Calendar'!$AH$1045&lt;=GRID_TO)*('Dvd Calendar'!$AH$1045&lt;=VAL_DATE)=0,"",'Dvd Calendar'!$AH$1045*1000000000+ISNUMBER('Dvd Calendar'!$AH$1048)*100000000+('Dvd Calendar'!$AH$1050=SPECIAL_LBL)*10000000+0*1000000+95*1000+30))</f>
        <v/>
      </c>
      <c r="FI106" s="35">
        <f>IF(N('Dvd Calendar'!$AI$1045)=0,"",IF(('Dvd Calendar'!$AI$1045&gt;=GRID_FROM)*('Dvd Calendar'!$AI$1045&lt;=GRID_TO)*('Dvd Calendar'!$AI$1045&lt;=VAL_DATE)=0,"",'Dvd Calendar'!$AI$1045*1000000000+ISNUMBER('Dvd Calendar'!$AI$1048)*100000000+('Dvd Calendar'!$AI$1050=SPECIAL_LBL)*10000000+0*1000000+95*1000+31))</f>
        <v/>
      </c>
      <c r="FJ106" s="35">
        <f>IF(N('Dvd Calendar'!$AJ$1045)=0,"",IF(('Dvd Calendar'!$AJ$1045&gt;=GRID_FROM)*('Dvd Calendar'!$AJ$1045&lt;=GRID_TO)*('Dvd Calendar'!$AJ$1045&lt;=VAL_DATE)=0,"",'Dvd Calendar'!$AJ$1045*1000000000+ISNUMBER('Dvd Calendar'!$AJ$1048)*100000000+('Dvd Calendar'!$AJ$1050=SPECIAL_LBL)*10000000+0*1000000+95*1000+32))</f>
        <v/>
      </c>
      <c r="FK106" s="35">
        <f>IF(N('Dvd Calendar'!$AK$1045)=0,"",IF(('Dvd Calendar'!$AK$1045&gt;=GRID_FROM)*('Dvd Calendar'!$AK$1045&lt;=GRID_TO)*('Dvd Calendar'!$AK$1045&lt;=VAL_DATE)=0,"",'Dvd Calendar'!$AK$1045*1000000000+ISNUMBER('Dvd Calendar'!$AK$1048)*100000000+('Dvd Calendar'!$AK$1050=SPECIAL_LBL)*10000000+0*1000000+95*1000+33))</f>
        <v/>
      </c>
      <c r="FL106" s="35">
        <f>IF(N('Dvd Calendar'!$AL$1045)=0,"",IF(('Dvd Calendar'!$AL$1045&gt;=GRID_FROM)*('Dvd Calendar'!$AL$1045&lt;=GRID_TO)*('Dvd Calendar'!$AL$1045&lt;=VAL_DATE)=0,"",'Dvd Calendar'!$AL$1045*1000000000+ISNUMBER('Dvd Calendar'!$AL$1048)*100000000+('Dvd Calendar'!$AL$1050=SPECIAL_LBL)*10000000+0*1000000+95*1000+34))</f>
        <v/>
      </c>
      <c r="FM106" s="35">
        <f>IF(N('Dvd Calendar'!$AM$1045)=0,"",IF(('Dvd Calendar'!$AM$1045&gt;=GRID_FROM)*('Dvd Calendar'!$AM$1045&lt;=GRID_TO)*('Dvd Calendar'!$AM$1045&lt;=VAL_DATE)=0,"",'Dvd Calendar'!$AM$1045*1000000000+ISNUMBER('Dvd Calendar'!$AM$1048)*100000000+('Dvd Calendar'!$AM$1050=SPECIAL_LBL)*10000000+0*1000000+95*1000+35))</f>
        <v/>
      </c>
      <c r="FN106" s="35">
        <f>IF(N('Dvd Calendar'!$AN$1045)=0,"",IF(('Dvd Calendar'!$AN$1045&gt;=GRID_FROM)*('Dvd Calendar'!$AN$1045&lt;=GRID_TO)*('Dvd Calendar'!$AN$1045&lt;=VAL_DATE)=0,"",'Dvd Calendar'!$AN$1045*1000000000+ISNUMBER('Dvd Calendar'!$AN$1048)*100000000+('Dvd Calendar'!$AN$1050=SPECIAL_LBL)*10000000+0*1000000+95*1000+36))</f>
        <v/>
      </c>
      <c r="FO106" s="35">
        <f>IF(N('Dvd Calendar'!$AO$1045)=0,"",IF(('Dvd Calendar'!$AO$1045&gt;=GRID_FROM)*('Dvd Calendar'!$AO$1045&lt;=GRID_TO)*('Dvd Calendar'!$AO$1045&lt;=VAL_DATE)=0,"",'Dvd Calendar'!$AO$1045*1000000000+ISNUMBER('Dvd Calendar'!$AO$1048)*100000000+('Dvd Calendar'!$AO$1050=SPECIAL_LBL)*10000000+0*1000000+95*1000+37))</f>
        <v/>
      </c>
      <c r="FP106" s="35">
        <f>IF(N('Dvd Calendar'!$AP$1045)=0,"",IF(('Dvd Calendar'!$AP$1045&gt;=GRID_FROM)*('Dvd Calendar'!$AP$1045&lt;=GRID_TO)*('Dvd Calendar'!$AP$1045&lt;=VAL_DATE)=0,"",'Dvd Calendar'!$AP$1045*1000000000+ISNUMBER('Dvd Calendar'!$AP$1048)*100000000+('Dvd Calendar'!$AP$1050=SPECIAL_LBL)*10000000+0*1000000+95*1000+38))</f>
        <v/>
      </c>
      <c r="FQ106" s="35">
        <f>IF(N('Dvd Calendar'!$AQ$1045)=0,"",IF(('Dvd Calendar'!$AQ$1045&gt;=GRID_FROM)*('Dvd Calendar'!$AQ$1045&lt;=GRID_TO)*('Dvd Calendar'!$AQ$1045&lt;=VAL_DATE)=0,"",'Dvd Calendar'!$AQ$1045*1000000000+ISNUMBER('Dvd Calendar'!$AQ$1048)*100000000+('Dvd Calendar'!$AQ$1050=SPECIAL_LBL)*10000000+0*1000000+95*1000+39))</f>
        <v/>
      </c>
      <c r="FR106" s="35">
        <f>IF(N('Dvd Calendar'!$AR$1045)=0,"",IF(('Dvd Calendar'!$AR$1045&gt;=GRID_FROM)*('Dvd Calendar'!$AR$1045&lt;=GRID_TO)*('Dvd Calendar'!$AR$1045&lt;=VAL_DATE)=0,"",'Dvd Calendar'!$AR$1045*1000000000+ISNUMBER('Dvd Calendar'!$AR$1048)*100000000+('Dvd Calendar'!$AR$1050=SPECIAL_LBL)*10000000+0*1000000+95*1000+40))</f>
        <v/>
      </c>
      <c r="FS106" s="35">
        <f>IF(N('Dvd Calendar'!$E$1052)=0,"",IF(('Dvd Calendar'!$E$1052&gt;=GRID_FROM)*('Dvd Calendar'!$E$1052&lt;=GRID_TO)*('Dvd Calendar'!$E$1052&gt;VAL_DATE)=0,"",'Dvd Calendar'!$E$1052*1000000000+ISNUMBER('Dvd Calendar'!$E$1053)*100000000+0*10000000+(N('Dvd Calendar'!$E$1051)&gt;0)*(N('Dvd Calendar'!$E$1051)&lt;=VAL_SERIAL)*1000000+95*1000+41))</f>
        <v/>
      </c>
      <c r="FT106" s="35">
        <f>IF(N('Dvd Calendar'!$F$1052)=0,"",IF(('Dvd Calendar'!$F$1052&gt;=GRID_FROM)*('Dvd Calendar'!$F$1052&lt;=GRID_TO)*('Dvd Calendar'!$F$1052&gt;VAL_DATE)=0,"",'Dvd Calendar'!$F$1052*1000000000+ISNUMBER('Dvd Calendar'!$F$1053)*100000000+0*10000000+(N('Dvd Calendar'!$F$1051)&gt;0)*(N('Dvd Calendar'!$F$1051)&lt;=VAL_SERIAL)*1000000+95*1000+42))</f>
        <v/>
      </c>
      <c r="FU106" s="35">
        <f>IF(N('Dvd Calendar'!$G$1052)=0,"",IF(('Dvd Calendar'!$G$1052&gt;=GRID_FROM)*('Dvd Calendar'!$G$1052&lt;=GRID_TO)*('Dvd Calendar'!$G$1052&gt;VAL_DATE)=0,"",'Dvd Calendar'!$G$1052*1000000000+ISNUMBER('Dvd Calendar'!$G$1053)*100000000+0*10000000+(N('Dvd Calendar'!$G$1051)&gt;0)*(N('Dvd Calendar'!$G$1051)&lt;=VAL_SERIAL)*1000000+95*1000+43))</f>
        <v/>
      </c>
      <c r="FV106" s="35">
        <f>IF(N('Dvd Calendar'!$H$1052)=0,"",IF(('Dvd Calendar'!$H$1052&gt;=GRID_FROM)*('Dvd Calendar'!$H$1052&lt;=GRID_TO)*('Dvd Calendar'!$H$1052&gt;VAL_DATE)=0,"",'Dvd Calendar'!$H$1052*1000000000+ISNUMBER('Dvd Calendar'!$H$1053)*100000000+0*10000000+(N('Dvd Calendar'!$H$1051)&gt;0)*(N('Dvd Calendar'!$H$1051)&lt;=VAL_SERIAL)*1000000+95*1000+44))</f>
        <v/>
      </c>
      <c r="FW106" s="35">
        <f>IF(N('Dvd Calendar'!$I$1052)=0,"",IF(('Dvd Calendar'!$I$1052&gt;=GRID_FROM)*('Dvd Calendar'!$I$1052&lt;=GRID_TO)*('Dvd Calendar'!$I$1052&gt;VAL_DATE)=0,"",'Dvd Calendar'!$I$1052*1000000000+ISNUMBER('Dvd Calendar'!$I$1053)*100000000+0*10000000+(N('Dvd Calendar'!$I$1051)&gt;0)*(N('Dvd Calendar'!$I$1051)&lt;=VAL_SERIAL)*1000000+95*1000+45))</f>
        <v/>
      </c>
      <c r="FX106" s="35">
        <f>IF(N('Dvd Calendar'!$J$1052)=0,"",IF(('Dvd Calendar'!$J$1052&gt;=GRID_FROM)*('Dvd Calendar'!$J$1052&lt;=GRID_TO)*('Dvd Calendar'!$J$1052&gt;VAL_DATE)=0,"",'Dvd Calendar'!$J$1052*1000000000+ISNUMBER('Dvd Calendar'!$J$1053)*100000000+0*10000000+(N('Dvd Calendar'!$J$1051)&gt;0)*(N('Dvd Calendar'!$J$1051)&lt;=VAL_SERIAL)*1000000+95*1000+46))</f>
        <v/>
      </c>
      <c r="FY106" s="35">
        <f>IF(N('Dvd Calendar'!$K$1052)=0,"",IF(('Dvd Calendar'!$K$1052&gt;=GRID_FROM)*('Dvd Calendar'!$K$1052&lt;=GRID_TO)*('Dvd Calendar'!$K$1052&gt;VAL_DATE)=0,"",'Dvd Calendar'!$K$1052*1000000000+ISNUMBER('Dvd Calendar'!$K$1053)*100000000+0*10000000+(N('Dvd Calendar'!$K$1051)&gt;0)*(N('Dvd Calendar'!$K$1051)&lt;=VAL_SERIAL)*1000000+95*1000+47))</f>
        <v/>
      </c>
      <c r="FZ106" s="35">
        <f>IF(N('Dvd Calendar'!$L$1052)=0,"",IF(('Dvd Calendar'!$L$1052&gt;=GRID_FROM)*('Dvd Calendar'!$L$1052&lt;=GRID_TO)*('Dvd Calendar'!$L$1052&gt;VAL_DATE)=0,"",'Dvd Calendar'!$L$1052*1000000000+ISNUMBER('Dvd Calendar'!$L$1053)*100000000+0*10000000+(N('Dvd Calendar'!$L$1051)&gt;0)*(N('Dvd Calendar'!$L$1051)&lt;=VAL_SERIAL)*1000000+95*1000+48))</f>
        <v/>
      </c>
      <c r="GA106" s="35">
        <f>IF(N('Dvd Calendar'!$M$1052)=0,"",IF(('Dvd Calendar'!$M$1052&gt;=GRID_FROM)*('Dvd Calendar'!$M$1052&lt;=GRID_TO)*('Dvd Calendar'!$M$1052&gt;VAL_DATE)=0,"",'Dvd Calendar'!$M$1052*1000000000+ISNUMBER('Dvd Calendar'!$M$1053)*100000000+0*10000000+(N('Dvd Calendar'!$M$1051)&gt;0)*(N('Dvd Calendar'!$M$1051)&lt;=VAL_SERIAL)*1000000+95*1000+49))</f>
        <v/>
      </c>
      <c r="GB106" s="35">
        <f>IF(N('Dvd Calendar'!$N$1052)=0,"",IF(('Dvd Calendar'!$N$1052&gt;=GRID_FROM)*('Dvd Calendar'!$N$1052&lt;=GRID_TO)*('Dvd Calendar'!$N$1052&gt;VAL_DATE)=0,"",'Dvd Calendar'!$N$1052*1000000000+ISNUMBER('Dvd Calendar'!$N$1053)*100000000+0*10000000+(N('Dvd Calendar'!$N$1051)&gt;0)*(N('Dvd Calendar'!$N$1051)&lt;=VAL_SERIAL)*1000000+95*1000+50))</f>
        <v/>
      </c>
      <c r="GC106" s="35">
        <f>IF(N('Dvd Calendar'!$O$1052)=0,"",IF(('Dvd Calendar'!$O$1052&gt;=GRID_FROM)*('Dvd Calendar'!$O$1052&lt;=GRID_TO)*('Dvd Calendar'!$O$1052&gt;VAL_DATE)=0,"",'Dvd Calendar'!$O$1052*1000000000+ISNUMBER('Dvd Calendar'!$O$1053)*100000000+0*10000000+(N('Dvd Calendar'!$O$1051)&gt;0)*(N('Dvd Calendar'!$O$1051)&lt;=VAL_SERIAL)*1000000+95*1000+51))</f>
        <v/>
      </c>
      <c r="GD106" s="35">
        <f>IF(N('Dvd Calendar'!$P$1052)=0,"",IF(('Dvd Calendar'!$P$1052&gt;=GRID_FROM)*('Dvd Calendar'!$P$1052&lt;=GRID_TO)*('Dvd Calendar'!$P$1052&gt;VAL_DATE)=0,"",'Dvd Calendar'!$P$1052*1000000000+ISNUMBER('Dvd Calendar'!$P$1053)*100000000+0*10000000+(N('Dvd Calendar'!$P$1051)&gt;0)*(N('Dvd Calendar'!$P$1051)&lt;=VAL_SERIAL)*1000000+95*1000+52))</f>
        <v/>
      </c>
      <c r="GE106" s="35">
        <f>IF(N('Dvd Calendar'!$Q$1052)=0,"",IF(('Dvd Calendar'!$Q$1052&gt;=GRID_FROM)*('Dvd Calendar'!$Q$1052&lt;=GRID_TO)*('Dvd Calendar'!$Q$1052&gt;VAL_DATE)=0,"",'Dvd Calendar'!$Q$1052*1000000000+ISNUMBER('Dvd Calendar'!$Q$1053)*100000000+0*10000000+(N('Dvd Calendar'!$Q$1051)&gt;0)*(N('Dvd Calendar'!$Q$1051)&lt;=VAL_SERIAL)*1000000+95*1000+53))</f>
        <v/>
      </c>
      <c r="GF106" s="35">
        <f>IF(N('Dvd Calendar'!$R$1052)=0,"",IF(('Dvd Calendar'!$R$1052&gt;=GRID_FROM)*('Dvd Calendar'!$R$1052&lt;=GRID_TO)*('Dvd Calendar'!$R$1052&gt;VAL_DATE)=0,"",'Dvd Calendar'!$R$1052*1000000000+ISNUMBER('Dvd Calendar'!$R$1053)*100000000+0*10000000+(N('Dvd Calendar'!$R$1051)&gt;0)*(N('Dvd Calendar'!$R$1051)&lt;=VAL_SERIAL)*1000000+95*1000+54))</f>
        <v/>
      </c>
      <c r="GG106" s="35">
        <f>IF(N('Dvd Calendar'!$S$1052)=0,"",IF(('Dvd Calendar'!$S$1052&gt;=GRID_FROM)*('Dvd Calendar'!$S$1052&lt;=GRID_TO)*('Dvd Calendar'!$S$1052&gt;VAL_DATE)=0,"",'Dvd Calendar'!$S$1052*1000000000+ISNUMBER('Dvd Calendar'!$S$1053)*100000000+0*10000000+(N('Dvd Calendar'!$S$1051)&gt;0)*(N('Dvd Calendar'!$S$1051)&lt;=VAL_SERIAL)*1000000+95*1000+55))</f>
        <v/>
      </c>
      <c r="GH106" s="35">
        <f>IF(N('Dvd Calendar'!$T$1052)=0,"",IF(('Dvd Calendar'!$T$1052&gt;=GRID_FROM)*('Dvd Calendar'!$T$1052&lt;=GRID_TO)*('Dvd Calendar'!$T$1052&gt;VAL_DATE)=0,"",'Dvd Calendar'!$T$1052*1000000000+ISNUMBER('Dvd Calendar'!$T$1053)*100000000+0*10000000+(N('Dvd Calendar'!$T$1051)&gt;0)*(N('Dvd Calendar'!$T$1051)&lt;=VAL_SERIAL)*1000000+95*1000+56))</f>
        <v/>
      </c>
      <c r="GI106" s="35">
        <f>IF(N('Dvd Calendar'!$U$1052)=0,"",IF(('Dvd Calendar'!$U$1052&gt;=GRID_FROM)*('Dvd Calendar'!$U$1052&lt;=GRID_TO)*('Dvd Calendar'!$U$1052&gt;VAL_DATE)=0,"",'Dvd Calendar'!$U$1052*1000000000+ISNUMBER('Dvd Calendar'!$U$1053)*100000000+0*10000000+(N('Dvd Calendar'!$U$1051)&gt;0)*(N('Dvd Calendar'!$U$1051)&lt;=VAL_SERIAL)*1000000+95*1000+57))</f>
        <v/>
      </c>
      <c r="GJ106" s="35">
        <f>IF(N('Dvd Calendar'!$V$1052)=0,"",IF(('Dvd Calendar'!$V$1052&gt;=GRID_FROM)*('Dvd Calendar'!$V$1052&lt;=GRID_TO)*('Dvd Calendar'!$V$1052&gt;VAL_DATE)=0,"",'Dvd Calendar'!$V$1052*1000000000+ISNUMBER('Dvd Calendar'!$V$1053)*100000000+0*10000000+(N('Dvd Calendar'!$V$1051)&gt;0)*(N('Dvd Calendar'!$V$1051)&lt;=VAL_SERIAL)*1000000+95*1000+58))</f>
        <v/>
      </c>
      <c r="GK106" s="35">
        <f>IF(N('Dvd Calendar'!$W$1052)=0,"",IF(('Dvd Calendar'!$W$1052&gt;=GRID_FROM)*('Dvd Calendar'!$W$1052&lt;=GRID_TO)*('Dvd Calendar'!$W$1052&gt;VAL_DATE)=0,"",'Dvd Calendar'!$W$1052*1000000000+ISNUMBER('Dvd Calendar'!$W$1053)*100000000+0*10000000+(N('Dvd Calendar'!$W$1051)&gt;0)*(N('Dvd Calendar'!$W$1051)&lt;=VAL_SERIAL)*1000000+95*1000+59))</f>
        <v/>
      </c>
      <c r="GL106" s="35">
        <f>IF(N('Dvd Calendar'!$X$1052)=0,"",IF(('Dvd Calendar'!$X$1052&gt;=GRID_FROM)*('Dvd Calendar'!$X$1052&lt;=GRID_TO)*('Dvd Calendar'!$X$1052&gt;VAL_DATE)=0,"",'Dvd Calendar'!$X$1052*1000000000+ISNUMBER('Dvd Calendar'!$X$1053)*100000000+0*10000000+(N('Dvd Calendar'!$X$1051)&gt;0)*(N('Dvd Calendar'!$X$1051)&lt;=VAL_SERIAL)*1000000+95*1000+60))</f>
        <v/>
      </c>
      <c r="GM106" s="35">
        <f>IF(N('Dvd Calendar'!$Y$1052)=0,"",IF(('Dvd Calendar'!$Y$1052&gt;=GRID_FROM)*('Dvd Calendar'!$Y$1052&lt;=GRID_TO)*('Dvd Calendar'!$Y$1052&gt;VAL_DATE)=0,"",'Dvd Calendar'!$Y$1052*1000000000+ISNUMBER('Dvd Calendar'!$Y$1053)*100000000+0*10000000+(N('Dvd Calendar'!$Y$1051)&gt;0)*(N('Dvd Calendar'!$Y$1051)&lt;=VAL_SERIAL)*1000000+95*1000+61))</f>
        <v/>
      </c>
      <c r="GN106" s="35">
        <f>IF(N('Dvd Calendar'!$Z$1052)=0,"",IF(('Dvd Calendar'!$Z$1052&gt;=GRID_FROM)*('Dvd Calendar'!$Z$1052&lt;=GRID_TO)*('Dvd Calendar'!$Z$1052&gt;VAL_DATE)=0,"",'Dvd Calendar'!$Z$1052*1000000000+ISNUMBER('Dvd Calendar'!$Z$1053)*100000000+0*10000000+(N('Dvd Calendar'!$Z$1051)&gt;0)*(N('Dvd Calendar'!$Z$1051)&lt;=VAL_SERIAL)*1000000+95*1000+62))</f>
        <v/>
      </c>
      <c r="GO106" s="35">
        <f>IF(N('Dvd Calendar'!$AA$1052)=0,"",IF(('Dvd Calendar'!$AA$1052&gt;=GRID_FROM)*('Dvd Calendar'!$AA$1052&lt;=GRID_TO)*('Dvd Calendar'!$AA$1052&gt;VAL_DATE)=0,"",'Dvd Calendar'!$AA$1052*1000000000+ISNUMBER('Dvd Calendar'!$AA$1053)*100000000+0*10000000+(N('Dvd Calendar'!$AA$1051)&gt;0)*(N('Dvd Calendar'!$AA$1051)&lt;=VAL_SERIAL)*1000000+95*1000+63))</f>
        <v/>
      </c>
      <c r="GP106" s="35">
        <f>IF(N('Dvd Calendar'!$AB$1052)=0,"",IF(('Dvd Calendar'!$AB$1052&gt;=GRID_FROM)*('Dvd Calendar'!$AB$1052&lt;=GRID_TO)*('Dvd Calendar'!$AB$1052&gt;VAL_DATE)=0,"",'Dvd Calendar'!$AB$1052*1000000000+ISNUMBER('Dvd Calendar'!$AB$1053)*100000000+0*10000000+(N('Dvd Calendar'!$AB$1051)&gt;0)*(N('Dvd Calendar'!$AB$1051)&lt;=VAL_SERIAL)*1000000+95*1000+64))</f>
        <v/>
      </c>
      <c r="GQ106" s="35">
        <f>IF(N('Dvd Calendar'!$AC$1052)=0,"",IF(('Dvd Calendar'!$AC$1052&gt;=GRID_FROM)*('Dvd Calendar'!$AC$1052&lt;=GRID_TO)*('Dvd Calendar'!$AC$1052&gt;VAL_DATE)=0,"",'Dvd Calendar'!$AC$1052*1000000000+ISNUMBER('Dvd Calendar'!$AC$1053)*100000000+0*10000000+(N('Dvd Calendar'!$AC$1051)&gt;0)*(N('Dvd Calendar'!$AC$1051)&lt;=VAL_SERIAL)*1000000+95*1000+65))</f>
        <v/>
      </c>
    </row>
    <row r="107">
      <c r="B107" s="2">
        <f>IF(HSI!$C$102="","",HSI!$C$102)</f>
        <v/>
      </c>
      <c r="C107" s="106">
        <f>IF(EE107="","",IF(ISNUMBER('Dvd Calendar'!$E$1059)=FALSE,"",IF((('Dvd Calendar'!$E$1061=TYPE1)*(TYPE1&lt;&gt;"")+('Dvd Calendar'!$E$1061=TYPE2)*(TYPE2&lt;&gt;"")+('Dvd Calendar'!$E$1061=TYPE3)*(TYPE3&lt;&gt;"")+('Dvd Calendar'!$E$1061=TYPE4)*(TYPE4&lt;&gt;"")+('Dvd Calendar'!$E$1061=SPECIAL_LBL)*(INC_SPECIALS="Y"))=0,"",'Dvd Calendar'!$E$1059)))</f>
        <v/>
      </c>
      <c r="D107" s="106">
        <f>IF(EF107="","",IF(ISNUMBER('Dvd Calendar'!$F$1059)=FALSE,"",IF((('Dvd Calendar'!$F$1061=TYPE1)*(TYPE1&lt;&gt;"")+('Dvd Calendar'!$F$1061=TYPE2)*(TYPE2&lt;&gt;"")+('Dvd Calendar'!$F$1061=TYPE3)*(TYPE3&lt;&gt;"")+('Dvd Calendar'!$F$1061=TYPE4)*(TYPE4&lt;&gt;"")+('Dvd Calendar'!$F$1061=SPECIAL_LBL)*(INC_SPECIALS="Y"))=0,"",'Dvd Calendar'!$F$1059)))</f>
        <v/>
      </c>
      <c r="E107" s="106">
        <f>IF(EG107="","",IF(ISNUMBER('Dvd Calendar'!$G$1059)=FALSE,"",IF((('Dvd Calendar'!$G$1061=TYPE1)*(TYPE1&lt;&gt;"")+('Dvd Calendar'!$G$1061=TYPE2)*(TYPE2&lt;&gt;"")+('Dvd Calendar'!$G$1061=TYPE3)*(TYPE3&lt;&gt;"")+('Dvd Calendar'!$G$1061=TYPE4)*(TYPE4&lt;&gt;"")+('Dvd Calendar'!$G$1061=SPECIAL_LBL)*(INC_SPECIALS="Y"))=0,"",'Dvd Calendar'!$G$1059)))</f>
        <v/>
      </c>
      <c r="F107" s="106">
        <f>IF(EH107="","",IF(ISNUMBER('Dvd Calendar'!$H$1059)=FALSE,"",IF((('Dvd Calendar'!$H$1061=TYPE1)*(TYPE1&lt;&gt;"")+('Dvd Calendar'!$H$1061=TYPE2)*(TYPE2&lt;&gt;"")+('Dvd Calendar'!$H$1061=TYPE3)*(TYPE3&lt;&gt;"")+('Dvd Calendar'!$H$1061=TYPE4)*(TYPE4&lt;&gt;"")+('Dvd Calendar'!$H$1061=SPECIAL_LBL)*(INC_SPECIALS="Y"))=0,"",'Dvd Calendar'!$H$1059)))</f>
        <v/>
      </c>
      <c r="G107" s="106">
        <f>IF(EI107="","",IF(ISNUMBER('Dvd Calendar'!$I$1059)=FALSE,"",IF((('Dvd Calendar'!$I$1061=TYPE1)*(TYPE1&lt;&gt;"")+('Dvd Calendar'!$I$1061=TYPE2)*(TYPE2&lt;&gt;"")+('Dvd Calendar'!$I$1061=TYPE3)*(TYPE3&lt;&gt;"")+('Dvd Calendar'!$I$1061=TYPE4)*(TYPE4&lt;&gt;"")+('Dvd Calendar'!$I$1061=SPECIAL_LBL)*(INC_SPECIALS="Y"))=0,"",'Dvd Calendar'!$I$1059)))</f>
        <v/>
      </c>
      <c r="H107" s="106">
        <f>IF(EJ107="","",IF(ISNUMBER('Dvd Calendar'!$J$1059)=FALSE,"",IF((('Dvd Calendar'!$J$1061=TYPE1)*(TYPE1&lt;&gt;"")+('Dvd Calendar'!$J$1061=TYPE2)*(TYPE2&lt;&gt;"")+('Dvd Calendar'!$J$1061=TYPE3)*(TYPE3&lt;&gt;"")+('Dvd Calendar'!$J$1061=TYPE4)*(TYPE4&lt;&gt;"")+('Dvd Calendar'!$J$1061=SPECIAL_LBL)*(INC_SPECIALS="Y"))=0,"",'Dvd Calendar'!$J$1059)))</f>
        <v/>
      </c>
      <c r="I107" s="106">
        <f>IF(EK107="","",IF(ISNUMBER('Dvd Calendar'!$K$1059)=FALSE,"",IF((('Dvd Calendar'!$K$1061=TYPE1)*(TYPE1&lt;&gt;"")+('Dvd Calendar'!$K$1061=TYPE2)*(TYPE2&lt;&gt;"")+('Dvd Calendar'!$K$1061=TYPE3)*(TYPE3&lt;&gt;"")+('Dvd Calendar'!$K$1061=TYPE4)*(TYPE4&lt;&gt;"")+('Dvd Calendar'!$K$1061=SPECIAL_LBL)*(INC_SPECIALS="Y"))=0,"",'Dvd Calendar'!$K$1059)))</f>
        <v/>
      </c>
      <c r="J107" s="106">
        <f>IF(EL107="","",IF(ISNUMBER('Dvd Calendar'!$L$1059)=FALSE,"",IF((('Dvd Calendar'!$L$1061=TYPE1)*(TYPE1&lt;&gt;"")+('Dvd Calendar'!$L$1061=TYPE2)*(TYPE2&lt;&gt;"")+('Dvd Calendar'!$L$1061=TYPE3)*(TYPE3&lt;&gt;"")+('Dvd Calendar'!$L$1061=TYPE4)*(TYPE4&lt;&gt;"")+('Dvd Calendar'!$L$1061=SPECIAL_LBL)*(INC_SPECIALS="Y"))=0,"",'Dvd Calendar'!$L$1059)))</f>
        <v/>
      </c>
      <c r="K107" s="106">
        <f>IF(EM107="","",IF(ISNUMBER('Dvd Calendar'!$M$1059)=FALSE,"",IF((('Dvd Calendar'!$M$1061=TYPE1)*(TYPE1&lt;&gt;"")+('Dvd Calendar'!$M$1061=TYPE2)*(TYPE2&lt;&gt;"")+('Dvd Calendar'!$M$1061=TYPE3)*(TYPE3&lt;&gt;"")+('Dvd Calendar'!$M$1061=TYPE4)*(TYPE4&lt;&gt;"")+('Dvd Calendar'!$M$1061=SPECIAL_LBL)*(INC_SPECIALS="Y"))=0,"",'Dvd Calendar'!$M$1059)))</f>
        <v/>
      </c>
      <c r="L107" s="106">
        <f>IF(EN107="","",IF(ISNUMBER('Dvd Calendar'!$N$1059)=FALSE,"",IF((('Dvd Calendar'!$N$1061=TYPE1)*(TYPE1&lt;&gt;"")+('Dvd Calendar'!$N$1061=TYPE2)*(TYPE2&lt;&gt;"")+('Dvd Calendar'!$N$1061=TYPE3)*(TYPE3&lt;&gt;"")+('Dvd Calendar'!$N$1061=TYPE4)*(TYPE4&lt;&gt;"")+('Dvd Calendar'!$N$1061=SPECIAL_LBL)*(INC_SPECIALS="Y"))=0,"",'Dvd Calendar'!$N$1059)))</f>
        <v/>
      </c>
      <c r="M107" s="106">
        <f>IF(EO107="","",IF(ISNUMBER('Dvd Calendar'!$O$1059)=FALSE,"",IF((('Dvd Calendar'!$O$1061=TYPE1)*(TYPE1&lt;&gt;"")+('Dvd Calendar'!$O$1061=TYPE2)*(TYPE2&lt;&gt;"")+('Dvd Calendar'!$O$1061=TYPE3)*(TYPE3&lt;&gt;"")+('Dvd Calendar'!$O$1061=TYPE4)*(TYPE4&lt;&gt;"")+('Dvd Calendar'!$O$1061=SPECIAL_LBL)*(INC_SPECIALS="Y"))=0,"",'Dvd Calendar'!$O$1059)))</f>
        <v/>
      </c>
      <c r="N107" s="106">
        <f>IF(EP107="","",IF(ISNUMBER('Dvd Calendar'!$P$1059)=FALSE,"",IF((('Dvd Calendar'!$P$1061=TYPE1)*(TYPE1&lt;&gt;"")+('Dvd Calendar'!$P$1061=TYPE2)*(TYPE2&lt;&gt;"")+('Dvd Calendar'!$P$1061=TYPE3)*(TYPE3&lt;&gt;"")+('Dvd Calendar'!$P$1061=TYPE4)*(TYPE4&lt;&gt;"")+('Dvd Calendar'!$P$1061=SPECIAL_LBL)*(INC_SPECIALS="Y"))=0,"",'Dvd Calendar'!$P$1059)))</f>
        <v/>
      </c>
      <c r="O107" s="106">
        <f>IF(EQ107="","",IF(ISNUMBER('Dvd Calendar'!$Q$1059)=FALSE,"",IF((('Dvd Calendar'!$Q$1061=TYPE1)*(TYPE1&lt;&gt;"")+('Dvd Calendar'!$Q$1061=TYPE2)*(TYPE2&lt;&gt;"")+('Dvd Calendar'!$Q$1061=TYPE3)*(TYPE3&lt;&gt;"")+('Dvd Calendar'!$Q$1061=TYPE4)*(TYPE4&lt;&gt;"")+('Dvd Calendar'!$Q$1061=SPECIAL_LBL)*(INC_SPECIALS="Y"))=0,"",'Dvd Calendar'!$Q$1059)))</f>
        <v/>
      </c>
      <c r="P107" s="106">
        <f>IF(ER107="","",IF(ISNUMBER('Dvd Calendar'!$R$1059)=FALSE,"",IF((('Dvd Calendar'!$R$1061=TYPE1)*(TYPE1&lt;&gt;"")+('Dvd Calendar'!$R$1061=TYPE2)*(TYPE2&lt;&gt;"")+('Dvd Calendar'!$R$1061=TYPE3)*(TYPE3&lt;&gt;"")+('Dvd Calendar'!$R$1061=TYPE4)*(TYPE4&lt;&gt;"")+('Dvd Calendar'!$R$1061=SPECIAL_LBL)*(INC_SPECIALS="Y"))=0,"",'Dvd Calendar'!$R$1059)))</f>
        <v/>
      </c>
      <c r="Q107" s="106">
        <f>IF(ES107="","",IF(ISNUMBER('Dvd Calendar'!$S$1059)=FALSE,"",IF((('Dvd Calendar'!$S$1061=TYPE1)*(TYPE1&lt;&gt;"")+('Dvd Calendar'!$S$1061=TYPE2)*(TYPE2&lt;&gt;"")+('Dvd Calendar'!$S$1061=TYPE3)*(TYPE3&lt;&gt;"")+('Dvd Calendar'!$S$1061=TYPE4)*(TYPE4&lt;&gt;"")+('Dvd Calendar'!$S$1061=SPECIAL_LBL)*(INC_SPECIALS="Y"))=0,"",'Dvd Calendar'!$S$1059)))</f>
        <v/>
      </c>
      <c r="R107" s="106">
        <f>IF(ET107="","",IF(ISNUMBER('Dvd Calendar'!$T$1059)=FALSE,"",IF((('Dvd Calendar'!$T$1061=TYPE1)*(TYPE1&lt;&gt;"")+('Dvd Calendar'!$T$1061=TYPE2)*(TYPE2&lt;&gt;"")+('Dvd Calendar'!$T$1061=TYPE3)*(TYPE3&lt;&gt;"")+('Dvd Calendar'!$T$1061=TYPE4)*(TYPE4&lt;&gt;"")+('Dvd Calendar'!$T$1061=SPECIAL_LBL)*(INC_SPECIALS="Y"))=0,"",'Dvd Calendar'!$T$1059)))</f>
        <v/>
      </c>
      <c r="S107" s="106">
        <f>IF(EU107="","",IF(ISNUMBER('Dvd Calendar'!$U$1059)=FALSE,"",IF((('Dvd Calendar'!$U$1061=TYPE1)*(TYPE1&lt;&gt;"")+('Dvd Calendar'!$U$1061=TYPE2)*(TYPE2&lt;&gt;"")+('Dvd Calendar'!$U$1061=TYPE3)*(TYPE3&lt;&gt;"")+('Dvd Calendar'!$U$1061=TYPE4)*(TYPE4&lt;&gt;"")+('Dvd Calendar'!$U$1061=SPECIAL_LBL)*(INC_SPECIALS="Y"))=0,"",'Dvd Calendar'!$U$1059)))</f>
        <v/>
      </c>
      <c r="T107" s="106">
        <f>IF(EV107="","",IF(ISNUMBER('Dvd Calendar'!$V$1059)=FALSE,"",IF((('Dvd Calendar'!$V$1061=TYPE1)*(TYPE1&lt;&gt;"")+('Dvd Calendar'!$V$1061=TYPE2)*(TYPE2&lt;&gt;"")+('Dvd Calendar'!$V$1061=TYPE3)*(TYPE3&lt;&gt;"")+('Dvd Calendar'!$V$1061=TYPE4)*(TYPE4&lt;&gt;"")+('Dvd Calendar'!$V$1061=SPECIAL_LBL)*(INC_SPECIALS="Y"))=0,"",'Dvd Calendar'!$V$1059)))</f>
        <v/>
      </c>
      <c r="U107" s="106">
        <f>IF(EW107="","",IF(ISNUMBER('Dvd Calendar'!$W$1059)=FALSE,"",IF((('Dvd Calendar'!$W$1061=TYPE1)*(TYPE1&lt;&gt;"")+('Dvd Calendar'!$W$1061=TYPE2)*(TYPE2&lt;&gt;"")+('Dvd Calendar'!$W$1061=TYPE3)*(TYPE3&lt;&gt;"")+('Dvd Calendar'!$W$1061=TYPE4)*(TYPE4&lt;&gt;"")+('Dvd Calendar'!$W$1061=SPECIAL_LBL)*(INC_SPECIALS="Y"))=0,"",'Dvd Calendar'!$W$1059)))</f>
        <v/>
      </c>
      <c r="V107" s="106">
        <f>IF(EX107="","",IF(ISNUMBER('Dvd Calendar'!$X$1059)=FALSE,"",IF((('Dvd Calendar'!$X$1061=TYPE1)*(TYPE1&lt;&gt;"")+('Dvd Calendar'!$X$1061=TYPE2)*(TYPE2&lt;&gt;"")+('Dvd Calendar'!$X$1061=TYPE3)*(TYPE3&lt;&gt;"")+('Dvd Calendar'!$X$1061=TYPE4)*(TYPE4&lt;&gt;"")+('Dvd Calendar'!$X$1061=SPECIAL_LBL)*(INC_SPECIALS="Y"))=0,"",'Dvd Calendar'!$X$1059)))</f>
        <v/>
      </c>
      <c r="W107" s="106">
        <f>IF(EY107="","",IF(ISNUMBER('Dvd Calendar'!$Y$1059)=FALSE,"",IF((('Dvd Calendar'!$Y$1061=TYPE1)*(TYPE1&lt;&gt;"")+('Dvd Calendar'!$Y$1061=TYPE2)*(TYPE2&lt;&gt;"")+('Dvd Calendar'!$Y$1061=TYPE3)*(TYPE3&lt;&gt;"")+('Dvd Calendar'!$Y$1061=TYPE4)*(TYPE4&lt;&gt;"")+('Dvd Calendar'!$Y$1061=SPECIAL_LBL)*(INC_SPECIALS="Y"))=0,"",'Dvd Calendar'!$Y$1059)))</f>
        <v/>
      </c>
      <c r="X107" s="106">
        <f>IF(EZ107="","",IF(ISNUMBER('Dvd Calendar'!$Z$1059)=FALSE,"",IF((('Dvd Calendar'!$Z$1061=TYPE1)*(TYPE1&lt;&gt;"")+('Dvd Calendar'!$Z$1061=TYPE2)*(TYPE2&lt;&gt;"")+('Dvd Calendar'!$Z$1061=TYPE3)*(TYPE3&lt;&gt;"")+('Dvd Calendar'!$Z$1061=TYPE4)*(TYPE4&lt;&gt;"")+('Dvd Calendar'!$Z$1061=SPECIAL_LBL)*(INC_SPECIALS="Y"))=0,"",'Dvd Calendar'!$Z$1059)))</f>
        <v/>
      </c>
      <c r="Y107" s="106">
        <f>IF(FA107="","",IF(ISNUMBER('Dvd Calendar'!$AA$1059)=FALSE,"",IF((('Dvd Calendar'!$AA$1061=TYPE1)*(TYPE1&lt;&gt;"")+('Dvd Calendar'!$AA$1061=TYPE2)*(TYPE2&lt;&gt;"")+('Dvd Calendar'!$AA$1061=TYPE3)*(TYPE3&lt;&gt;"")+('Dvd Calendar'!$AA$1061=TYPE4)*(TYPE4&lt;&gt;"")+('Dvd Calendar'!$AA$1061=SPECIAL_LBL)*(INC_SPECIALS="Y"))=0,"",'Dvd Calendar'!$AA$1059)))</f>
        <v/>
      </c>
      <c r="Z107" s="106">
        <f>IF(FB107="","",IF(ISNUMBER('Dvd Calendar'!$AB$1059)=FALSE,"",IF((('Dvd Calendar'!$AB$1061=TYPE1)*(TYPE1&lt;&gt;"")+('Dvd Calendar'!$AB$1061=TYPE2)*(TYPE2&lt;&gt;"")+('Dvd Calendar'!$AB$1061=TYPE3)*(TYPE3&lt;&gt;"")+('Dvd Calendar'!$AB$1061=TYPE4)*(TYPE4&lt;&gt;"")+('Dvd Calendar'!$AB$1061=SPECIAL_LBL)*(INC_SPECIALS="Y"))=0,"",'Dvd Calendar'!$AB$1059)))</f>
        <v/>
      </c>
      <c r="AA107" s="106">
        <f>IF(FC107="","",IF(ISNUMBER('Dvd Calendar'!$AC$1059)=FALSE,"",IF((('Dvd Calendar'!$AC$1061=TYPE1)*(TYPE1&lt;&gt;"")+('Dvd Calendar'!$AC$1061=TYPE2)*(TYPE2&lt;&gt;"")+('Dvd Calendar'!$AC$1061=TYPE3)*(TYPE3&lt;&gt;"")+('Dvd Calendar'!$AC$1061=TYPE4)*(TYPE4&lt;&gt;"")+('Dvd Calendar'!$AC$1061=SPECIAL_LBL)*(INC_SPECIALS="Y"))=0,"",'Dvd Calendar'!$AC$1059)))</f>
        <v/>
      </c>
      <c r="AB107" s="106">
        <f>IF(FD107="","",IF(ISNUMBER('Dvd Calendar'!$AD$1059)=FALSE,"",IF((('Dvd Calendar'!$AD$1061=TYPE1)*(TYPE1&lt;&gt;"")+('Dvd Calendar'!$AD$1061=TYPE2)*(TYPE2&lt;&gt;"")+('Dvd Calendar'!$AD$1061=TYPE3)*(TYPE3&lt;&gt;"")+('Dvd Calendar'!$AD$1061=TYPE4)*(TYPE4&lt;&gt;"")+('Dvd Calendar'!$AD$1061=SPECIAL_LBL)*(INC_SPECIALS="Y"))=0,"",'Dvd Calendar'!$AD$1059)))</f>
        <v/>
      </c>
      <c r="AC107" s="106">
        <f>IF(FE107="","",IF(ISNUMBER('Dvd Calendar'!$AE$1059)=FALSE,"",IF((('Dvd Calendar'!$AE$1061=TYPE1)*(TYPE1&lt;&gt;"")+('Dvd Calendar'!$AE$1061=TYPE2)*(TYPE2&lt;&gt;"")+('Dvd Calendar'!$AE$1061=TYPE3)*(TYPE3&lt;&gt;"")+('Dvd Calendar'!$AE$1061=TYPE4)*(TYPE4&lt;&gt;"")+('Dvd Calendar'!$AE$1061=SPECIAL_LBL)*(INC_SPECIALS="Y"))=0,"",'Dvd Calendar'!$AE$1059)))</f>
        <v/>
      </c>
      <c r="AD107" s="106">
        <f>IF(FF107="","",IF(ISNUMBER('Dvd Calendar'!$AF$1059)=FALSE,"",IF((('Dvd Calendar'!$AF$1061=TYPE1)*(TYPE1&lt;&gt;"")+('Dvd Calendar'!$AF$1061=TYPE2)*(TYPE2&lt;&gt;"")+('Dvd Calendar'!$AF$1061=TYPE3)*(TYPE3&lt;&gt;"")+('Dvd Calendar'!$AF$1061=TYPE4)*(TYPE4&lt;&gt;"")+('Dvd Calendar'!$AF$1061=SPECIAL_LBL)*(INC_SPECIALS="Y"))=0,"",'Dvd Calendar'!$AF$1059)))</f>
        <v/>
      </c>
      <c r="AE107" s="106">
        <f>IF(FG107="","",IF(ISNUMBER('Dvd Calendar'!$AG$1059)=FALSE,"",IF((('Dvd Calendar'!$AG$1061=TYPE1)*(TYPE1&lt;&gt;"")+('Dvd Calendar'!$AG$1061=TYPE2)*(TYPE2&lt;&gt;"")+('Dvd Calendar'!$AG$1061=TYPE3)*(TYPE3&lt;&gt;"")+('Dvd Calendar'!$AG$1061=TYPE4)*(TYPE4&lt;&gt;"")+('Dvd Calendar'!$AG$1061=SPECIAL_LBL)*(INC_SPECIALS="Y"))=0,"",'Dvd Calendar'!$AG$1059)))</f>
        <v/>
      </c>
      <c r="AF107" s="106">
        <f>IF(FH107="","",IF(ISNUMBER('Dvd Calendar'!$AH$1059)=FALSE,"",IF((('Dvd Calendar'!$AH$1061=TYPE1)*(TYPE1&lt;&gt;"")+('Dvd Calendar'!$AH$1061=TYPE2)*(TYPE2&lt;&gt;"")+('Dvd Calendar'!$AH$1061=TYPE3)*(TYPE3&lt;&gt;"")+('Dvd Calendar'!$AH$1061=TYPE4)*(TYPE4&lt;&gt;"")+('Dvd Calendar'!$AH$1061=SPECIAL_LBL)*(INC_SPECIALS="Y"))=0,"",'Dvd Calendar'!$AH$1059)))</f>
        <v/>
      </c>
      <c r="AG107" s="106">
        <f>IF(FI107="","",IF(ISNUMBER('Dvd Calendar'!$AI$1059)=FALSE,"",IF((('Dvd Calendar'!$AI$1061=TYPE1)*(TYPE1&lt;&gt;"")+('Dvd Calendar'!$AI$1061=TYPE2)*(TYPE2&lt;&gt;"")+('Dvd Calendar'!$AI$1061=TYPE3)*(TYPE3&lt;&gt;"")+('Dvd Calendar'!$AI$1061=TYPE4)*(TYPE4&lt;&gt;"")+('Dvd Calendar'!$AI$1061=SPECIAL_LBL)*(INC_SPECIALS="Y"))=0,"",'Dvd Calendar'!$AI$1059)))</f>
        <v/>
      </c>
      <c r="AH107" s="106">
        <f>IF(FJ107="","",IF(ISNUMBER('Dvd Calendar'!$AJ$1059)=FALSE,"",IF((('Dvd Calendar'!$AJ$1061=TYPE1)*(TYPE1&lt;&gt;"")+('Dvd Calendar'!$AJ$1061=TYPE2)*(TYPE2&lt;&gt;"")+('Dvd Calendar'!$AJ$1061=TYPE3)*(TYPE3&lt;&gt;"")+('Dvd Calendar'!$AJ$1061=TYPE4)*(TYPE4&lt;&gt;"")+('Dvd Calendar'!$AJ$1061=SPECIAL_LBL)*(INC_SPECIALS="Y"))=0,"",'Dvd Calendar'!$AJ$1059)))</f>
        <v/>
      </c>
      <c r="AI107" s="106">
        <f>IF(FK107="","",IF(ISNUMBER('Dvd Calendar'!$AK$1059)=FALSE,"",IF((('Dvd Calendar'!$AK$1061=TYPE1)*(TYPE1&lt;&gt;"")+('Dvd Calendar'!$AK$1061=TYPE2)*(TYPE2&lt;&gt;"")+('Dvd Calendar'!$AK$1061=TYPE3)*(TYPE3&lt;&gt;"")+('Dvd Calendar'!$AK$1061=TYPE4)*(TYPE4&lt;&gt;"")+('Dvd Calendar'!$AK$1061=SPECIAL_LBL)*(INC_SPECIALS="Y"))=0,"",'Dvd Calendar'!$AK$1059)))</f>
        <v/>
      </c>
      <c r="AJ107" s="106">
        <f>IF(FL107="","",IF(ISNUMBER('Dvd Calendar'!$AL$1059)=FALSE,"",IF((('Dvd Calendar'!$AL$1061=TYPE1)*(TYPE1&lt;&gt;"")+('Dvd Calendar'!$AL$1061=TYPE2)*(TYPE2&lt;&gt;"")+('Dvd Calendar'!$AL$1061=TYPE3)*(TYPE3&lt;&gt;"")+('Dvd Calendar'!$AL$1061=TYPE4)*(TYPE4&lt;&gt;"")+('Dvd Calendar'!$AL$1061=SPECIAL_LBL)*(INC_SPECIALS="Y"))=0,"",'Dvd Calendar'!$AL$1059)))</f>
        <v/>
      </c>
      <c r="AK107" s="106">
        <f>IF(FM107="","",IF(ISNUMBER('Dvd Calendar'!$AM$1059)=FALSE,"",IF((('Dvd Calendar'!$AM$1061=TYPE1)*(TYPE1&lt;&gt;"")+('Dvd Calendar'!$AM$1061=TYPE2)*(TYPE2&lt;&gt;"")+('Dvd Calendar'!$AM$1061=TYPE3)*(TYPE3&lt;&gt;"")+('Dvd Calendar'!$AM$1061=TYPE4)*(TYPE4&lt;&gt;"")+('Dvd Calendar'!$AM$1061=SPECIAL_LBL)*(INC_SPECIALS="Y"))=0,"",'Dvd Calendar'!$AM$1059)))</f>
        <v/>
      </c>
      <c r="AL107" s="106">
        <f>IF(FN107="","",IF(ISNUMBER('Dvd Calendar'!$AN$1059)=FALSE,"",IF((('Dvd Calendar'!$AN$1061=TYPE1)*(TYPE1&lt;&gt;"")+('Dvd Calendar'!$AN$1061=TYPE2)*(TYPE2&lt;&gt;"")+('Dvd Calendar'!$AN$1061=TYPE3)*(TYPE3&lt;&gt;"")+('Dvd Calendar'!$AN$1061=TYPE4)*(TYPE4&lt;&gt;"")+('Dvd Calendar'!$AN$1061=SPECIAL_LBL)*(INC_SPECIALS="Y"))=0,"",'Dvd Calendar'!$AN$1059)))</f>
        <v/>
      </c>
      <c r="AM107" s="106">
        <f>IF(FO107="","",IF(ISNUMBER('Dvd Calendar'!$AO$1059)=FALSE,"",IF((('Dvd Calendar'!$AO$1061=TYPE1)*(TYPE1&lt;&gt;"")+('Dvd Calendar'!$AO$1061=TYPE2)*(TYPE2&lt;&gt;"")+('Dvd Calendar'!$AO$1061=TYPE3)*(TYPE3&lt;&gt;"")+('Dvd Calendar'!$AO$1061=TYPE4)*(TYPE4&lt;&gt;"")+('Dvd Calendar'!$AO$1061=SPECIAL_LBL)*(INC_SPECIALS="Y"))=0,"",'Dvd Calendar'!$AO$1059)))</f>
        <v/>
      </c>
      <c r="AN107" s="106">
        <f>IF(FP107="","",IF(ISNUMBER('Dvd Calendar'!$AP$1059)=FALSE,"",IF((('Dvd Calendar'!$AP$1061=TYPE1)*(TYPE1&lt;&gt;"")+('Dvd Calendar'!$AP$1061=TYPE2)*(TYPE2&lt;&gt;"")+('Dvd Calendar'!$AP$1061=TYPE3)*(TYPE3&lt;&gt;"")+('Dvd Calendar'!$AP$1061=TYPE4)*(TYPE4&lt;&gt;"")+('Dvd Calendar'!$AP$1061=SPECIAL_LBL)*(INC_SPECIALS="Y"))=0,"",'Dvd Calendar'!$AP$1059)))</f>
        <v/>
      </c>
      <c r="AO107" s="106">
        <f>IF(FQ107="","",IF(ISNUMBER('Dvd Calendar'!$AQ$1059)=FALSE,"",IF((('Dvd Calendar'!$AQ$1061=TYPE1)*(TYPE1&lt;&gt;"")+('Dvd Calendar'!$AQ$1061=TYPE2)*(TYPE2&lt;&gt;"")+('Dvd Calendar'!$AQ$1061=TYPE3)*(TYPE3&lt;&gt;"")+('Dvd Calendar'!$AQ$1061=TYPE4)*(TYPE4&lt;&gt;"")+('Dvd Calendar'!$AQ$1061=SPECIAL_LBL)*(INC_SPECIALS="Y"))=0,"",'Dvd Calendar'!$AQ$1059)))</f>
        <v/>
      </c>
      <c r="AP107" s="106">
        <f>IF(FR107="","",IF(ISNUMBER('Dvd Calendar'!$AR$1059)=FALSE,"",IF((('Dvd Calendar'!$AR$1061=TYPE1)*(TYPE1&lt;&gt;"")+('Dvd Calendar'!$AR$1061=TYPE2)*(TYPE2&lt;&gt;"")+('Dvd Calendar'!$AR$1061=TYPE3)*(TYPE3&lt;&gt;"")+('Dvd Calendar'!$AR$1061=TYPE4)*(TYPE4&lt;&gt;"")+('Dvd Calendar'!$AR$1061=SPECIAL_LBL)*(INC_SPECIALS="Y"))=0,"",'Dvd Calendar'!$AR$1059)))</f>
        <v/>
      </c>
      <c r="AQ107" s="106">
        <f>IF(FS107="","",IF(ISNUMBER('Dvd Calendar'!$E$1064)=FALSE,"",'Dvd Calendar'!$E$1064))</f>
        <v/>
      </c>
      <c r="AR107" s="106">
        <f>IF(FT107="","",IF(ISNUMBER('Dvd Calendar'!$F$1064)=FALSE,"",'Dvd Calendar'!$F$1064))</f>
        <v/>
      </c>
      <c r="AS107" s="106">
        <f>IF(FU107="","",IF(ISNUMBER('Dvd Calendar'!$G$1064)=FALSE,"",'Dvd Calendar'!$G$1064))</f>
        <v/>
      </c>
      <c r="AT107" s="106">
        <f>IF(FV107="","",IF(ISNUMBER('Dvd Calendar'!$H$1064)=FALSE,"",'Dvd Calendar'!$H$1064))</f>
        <v/>
      </c>
      <c r="AU107" s="106">
        <f>IF(FW107="","",IF(ISNUMBER('Dvd Calendar'!$I$1064)=FALSE,"",'Dvd Calendar'!$I$1064))</f>
        <v/>
      </c>
      <c r="AV107" s="106">
        <f>IF(FX107="","",IF(ISNUMBER('Dvd Calendar'!$J$1064)=FALSE,"",'Dvd Calendar'!$J$1064))</f>
        <v/>
      </c>
      <c r="AW107" s="106">
        <f>IF(FY107="","",IF(ISNUMBER('Dvd Calendar'!$K$1064)=FALSE,"",'Dvd Calendar'!$K$1064))</f>
        <v/>
      </c>
      <c r="AX107" s="106">
        <f>IF(FZ107="","",IF(ISNUMBER('Dvd Calendar'!$L$1064)=FALSE,"",'Dvd Calendar'!$L$1064))</f>
        <v/>
      </c>
      <c r="AY107" s="106">
        <f>IF(GA107="","",IF(ISNUMBER('Dvd Calendar'!$M$1064)=FALSE,"",'Dvd Calendar'!$M$1064))</f>
        <v/>
      </c>
      <c r="AZ107" s="106">
        <f>IF(GB107="","",IF(ISNUMBER('Dvd Calendar'!$N$1064)=FALSE,"",'Dvd Calendar'!$N$1064))</f>
        <v/>
      </c>
      <c r="BA107" s="106">
        <f>IF(GC107="","",IF(ISNUMBER('Dvd Calendar'!$O$1064)=FALSE,"",'Dvd Calendar'!$O$1064))</f>
        <v/>
      </c>
      <c r="BB107" s="106">
        <f>IF(GD107="","",IF(ISNUMBER('Dvd Calendar'!$P$1064)=FALSE,"",'Dvd Calendar'!$P$1064))</f>
        <v/>
      </c>
      <c r="BC107" s="106">
        <f>IF(GE107="","",IF(ISNUMBER('Dvd Calendar'!$Q$1064)=FALSE,"",'Dvd Calendar'!$Q$1064))</f>
        <v/>
      </c>
      <c r="BD107" s="106">
        <f>IF(GF107="","",IF(ISNUMBER('Dvd Calendar'!$R$1064)=FALSE,"",'Dvd Calendar'!$R$1064))</f>
        <v/>
      </c>
      <c r="BE107" s="106">
        <f>IF(GG107="","",IF(ISNUMBER('Dvd Calendar'!$S$1064)=FALSE,"",'Dvd Calendar'!$S$1064))</f>
        <v/>
      </c>
      <c r="BF107" s="106">
        <f>IF(GH107="","",IF(ISNUMBER('Dvd Calendar'!$T$1064)=FALSE,"",'Dvd Calendar'!$T$1064))</f>
        <v/>
      </c>
      <c r="BG107" s="106">
        <f>IF(GI107="","",IF(ISNUMBER('Dvd Calendar'!$U$1064)=FALSE,"",'Dvd Calendar'!$U$1064))</f>
        <v/>
      </c>
      <c r="BH107" s="106">
        <f>IF(GJ107="","",IF(ISNUMBER('Dvd Calendar'!$V$1064)=FALSE,"",'Dvd Calendar'!$V$1064))</f>
        <v/>
      </c>
      <c r="BI107" s="106">
        <f>IF(GK107="","",IF(ISNUMBER('Dvd Calendar'!$W$1064)=FALSE,"",'Dvd Calendar'!$W$1064))</f>
        <v/>
      </c>
      <c r="BJ107" s="106">
        <f>IF(GL107="","",IF(ISNUMBER('Dvd Calendar'!$X$1064)=FALSE,"",'Dvd Calendar'!$X$1064))</f>
        <v/>
      </c>
      <c r="BK107" s="106">
        <f>IF(GM107="","",IF(ISNUMBER('Dvd Calendar'!$Y$1064)=FALSE,"",'Dvd Calendar'!$Y$1064))</f>
        <v/>
      </c>
      <c r="BL107" s="106">
        <f>IF(GN107="","",IF(ISNUMBER('Dvd Calendar'!$Z$1064)=FALSE,"",'Dvd Calendar'!$Z$1064))</f>
        <v/>
      </c>
      <c r="BM107" s="106">
        <f>IF(GO107="","",IF(ISNUMBER('Dvd Calendar'!$AA$1064)=FALSE,"",'Dvd Calendar'!$AA$1064))</f>
        <v/>
      </c>
      <c r="BN107" s="106">
        <f>IF(GP107="","",IF(ISNUMBER('Dvd Calendar'!$AB$1064)=FALSE,"",'Dvd Calendar'!$AB$1064))</f>
        <v/>
      </c>
      <c r="BO107" s="106">
        <f>IF(GQ107="","",IF(ISNUMBER('Dvd Calendar'!$AC$1064)=FALSE,"",'Dvd Calendar'!$AC$1064))</f>
        <v/>
      </c>
      <c r="BQ107" s="106">
        <f>IF(C107="","",IFERROR(C107*HSI!$B$102*HSI!$G$102/HSI!$B$3,""))</f>
        <v/>
      </c>
      <c r="BR107" s="106">
        <f>IF(D107="","",IFERROR(D107*HSI!$B$102*HSI!$G$102/HSI!$B$3,""))</f>
        <v/>
      </c>
      <c r="BS107" s="106">
        <f>IF(E107="","",IFERROR(E107*HSI!$B$102*HSI!$G$102/HSI!$B$3,""))</f>
        <v/>
      </c>
      <c r="BT107" s="106">
        <f>IF(F107="","",IFERROR(F107*HSI!$B$102*HSI!$G$102/HSI!$B$3,""))</f>
        <v/>
      </c>
      <c r="BU107" s="106">
        <f>IF(G107="","",IFERROR(G107*HSI!$B$102*HSI!$G$102/HSI!$B$3,""))</f>
        <v/>
      </c>
      <c r="BV107" s="106">
        <f>IF(H107="","",IFERROR(H107*HSI!$B$102*HSI!$G$102/HSI!$B$3,""))</f>
        <v/>
      </c>
      <c r="BW107" s="106">
        <f>IF(I107="","",IFERROR(I107*HSI!$B$102*HSI!$G$102/HSI!$B$3,""))</f>
        <v/>
      </c>
      <c r="BX107" s="106">
        <f>IF(J107="","",IFERROR(J107*HSI!$B$102*HSI!$G$102/HSI!$B$3,""))</f>
        <v/>
      </c>
      <c r="BY107" s="106">
        <f>IF(K107="","",IFERROR(K107*HSI!$B$102*HSI!$G$102/HSI!$B$3,""))</f>
        <v/>
      </c>
      <c r="BZ107" s="106">
        <f>IF(L107="","",IFERROR(L107*HSI!$B$102*HSI!$G$102/HSI!$B$3,""))</f>
        <v/>
      </c>
      <c r="CA107" s="106">
        <f>IF(M107="","",IFERROR(M107*HSI!$B$102*HSI!$G$102/HSI!$B$3,""))</f>
        <v/>
      </c>
      <c r="CB107" s="106">
        <f>IF(N107="","",IFERROR(N107*HSI!$B$102*HSI!$G$102/HSI!$B$3,""))</f>
        <v/>
      </c>
      <c r="CC107" s="106">
        <f>IF(O107="","",IFERROR(O107*HSI!$B$102*HSI!$G$102/HSI!$B$3,""))</f>
        <v/>
      </c>
      <c r="CD107" s="106">
        <f>IF(P107="","",IFERROR(P107*HSI!$B$102*HSI!$G$102/HSI!$B$3,""))</f>
        <v/>
      </c>
      <c r="CE107" s="106">
        <f>IF(Q107="","",IFERROR(Q107*HSI!$B$102*HSI!$G$102/HSI!$B$3,""))</f>
        <v/>
      </c>
      <c r="CF107" s="106">
        <f>IF(R107="","",IFERROR(R107*HSI!$B$102*HSI!$G$102/HSI!$B$3,""))</f>
        <v/>
      </c>
      <c r="CG107" s="106">
        <f>IF(S107="","",IFERROR(S107*HSI!$B$102*HSI!$G$102/HSI!$B$3,""))</f>
        <v/>
      </c>
      <c r="CH107" s="106">
        <f>IF(T107="","",IFERROR(T107*HSI!$B$102*HSI!$G$102/HSI!$B$3,""))</f>
        <v/>
      </c>
      <c r="CI107" s="106">
        <f>IF(U107="","",IFERROR(U107*HSI!$B$102*HSI!$G$102/HSI!$B$3,""))</f>
        <v/>
      </c>
      <c r="CJ107" s="106">
        <f>IF(V107="","",IFERROR(V107*HSI!$B$102*HSI!$G$102/HSI!$B$3,""))</f>
        <v/>
      </c>
      <c r="CK107" s="106">
        <f>IF(W107="","",IFERROR(W107*HSI!$B$102*HSI!$G$102/HSI!$B$3,""))</f>
        <v/>
      </c>
      <c r="CL107" s="106">
        <f>IF(X107="","",IFERROR(X107*HSI!$B$102*HSI!$G$102/HSI!$B$3,""))</f>
        <v/>
      </c>
      <c r="CM107" s="106">
        <f>IF(Y107="","",IFERROR(Y107*HSI!$B$102*HSI!$G$102/HSI!$B$3,""))</f>
        <v/>
      </c>
      <c r="CN107" s="106">
        <f>IF(Z107="","",IFERROR(Z107*HSI!$B$102*HSI!$G$102/HSI!$B$3,""))</f>
        <v/>
      </c>
      <c r="CO107" s="106">
        <f>IF(AA107="","",IFERROR(AA107*HSI!$B$102*HSI!$G$102/HSI!$B$3,""))</f>
        <v/>
      </c>
      <c r="CP107" s="106">
        <f>IF(AB107="","",IFERROR(AB107*HSI!$B$102*HSI!$G$102/HSI!$B$3,""))</f>
        <v/>
      </c>
      <c r="CQ107" s="106">
        <f>IF(AC107="","",IFERROR(AC107*HSI!$B$102*HSI!$G$102/HSI!$B$3,""))</f>
        <v/>
      </c>
      <c r="CR107" s="106">
        <f>IF(AD107="","",IFERROR(AD107*HSI!$B$102*HSI!$G$102/HSI!$B$3,""))</f>
        <v/>
      </c>
      <c r="CS107" s="106">
        <f>IF(AE107="","",IFERROR(AE107*HSI!$B$102*HSI!$G$102/HSI!$B$3,""))</f>
        <v/>
      </c>
      <c r="CT107" s="106">
        <f>IF(AF107="","",IFERROR(AF107*HSI!$B$102*HSI!$G$102/HSI!$B$3,""))</f>
        <v/>
      </c>
      <c r="CU107" s="106">
        <f>IF(AG107="","",IFERROR(AG107*HSI!$B$102*HSI!$G$102/HSI!$B$3,""))</f>
        <v/>
      </c>
      <c r="CV107" s="106">
        <f>IF(AH107="","",IFERROR(AH107*HSI!$B$102*HSI!$G$102/HSI!$B$3,""))</f>
        <v/>
      </c>
      <c r="CW107" s="106">
        <f>IF(AI107="","",IFERROR(AI107*HSI!$B$102*HSI!$G$102/HSI!$B$3,""))</f>
        <v/>
      </c>
      <c r="CX107" s="106">
        <f>IF(AJ107="","",IFERROR(AJ107*HSI!$B$102*HSI!$G$102/HSI!$B$3,""))</f>
        <v/>
      </c>
      <c r="CY107" s="106">
        <f>IF(AK107="","",IFERROR(AK107*HSI!$B$102*HSI!$G$102/HSI!$B$3,""))</f>
        <v/>
      </c>
      <c r="CZ107" s="106">
        <f>IF(AL107="","",IFERROR(AL107*HSI!$B$102*HSI!$G$102/HSI!$B$3,""))</f>
        <v/>
      </c>
      <c r="DA107" s="106">
        <f>IF(AM107="","",IFERROR(AM107*HSI!$B$102*HSI!$G$102/HSI!$B$3,""))</f>
        <v/>
      </c>
      <c r="DB107" s="106">
        <f>IF(AN107="","",IFERROR(AN107*HSI!$B$102*HSI!$G$102/HSI!$B$3,""))</f>
        <v/>
      </c>
      <c r="DC107" s="106">
        <f>IF(AO107="","",IFERROR(AO107*HSI!$B$102*HSI!$G$102/HSI!$B$3,""))</f>
        <v/>
      </c>
      <c r="DD107" s="106">
        <f>IF(AP107="","",IFERROR(AP107*HSI!$B$102*HSI!$G$102/HSI!$B$3,""))</f>
        <v/>
      </c>
      <c r="DE107" s="106">
        <f>IF(AQ107="","",IFERROR(AQ107*HSI!$B$102*HSI!$G$102/HSI!$B$3,""))</f>
        <v/>
      </c>
      <c r="DF107" s="106">
        <f>IF(AR107="","",IFERROR(AR107*HSI!$B$102*HSI!$G$102/HSI!$B$3,""))</f>
        <v/>
      </c>
      <c r="DG107" s="106">
        <f>IF(AS107="","",IFERROR(AS107*HSI!$B$102*HSI!$G$102/HSI!$B$3,""))</f>
        <v/>
      </c>
      <c r="DH107" s="106">
        <f>IF(AT107="","",IFERROR(AT107*HSI!$B$102*HSI!$G$102/HSI!$B$3,""))</f>
        <v/>
      </c>
      <c r="DI107" s="106">
        <f>IF(AU107="","",IFERROR(AU107*HSI!$B$102*HSI!$G$102/HSI!$B$3,""))</f>
        <v/>
      </c>
      <c r="DJ107" s="106">
        <f>IF(AV107="","",IFERROR(AV107*HSI!$B$102*HSI!$G$102/HSI!$B$3,""))</f>
        <v/>
      </c>
      <c r="DK107" s="106">
        <f>IF(AW107="","",IFERROR(AW107*HSI!$B$102*HSI!$G$102/HSI!$B$3,""))</f>
        <v/>
      </c>
      <c r="DL107" s="106">
        <f>IF(AX107="","",IFERROR(AX107*HSI!$B$102*HSI!$G$102/HSI!$B$3,""))</f>
        <v/>
      </c>
      <c r="DM107" s="106">
        <f>IF(AY107="","",IFERROR(AY107*HSI!$B$102*HSI!$G$102/HSI!$B$3,""))</f>
        <v/>
      </c>
      <c r="DN107" s="106">
        <f>IF(AZ107="","",IFERROR(AZ107*HSI!$B$102*HSI!$G$102/HSI!$B$3,""))</f>
        <v/>
      </c>
      <c r="DO107" s="106">
        <f>IF(BA107="","",IFERROR(BA107*HSI!$B$102*HSI!$G$102/HSI!$B$3,""))</f>
        <v/>
      </c>
      <c r="DP107" s="106">
        <f>IF(BB107="","",IFERROR(BB107*HSI!$B$102*HSI!$G$102/HSI!$B$3,""))</f>
        <v/>
      </c>
      <c r="DQ107" s="106">
        <f>IF(BC107="","",IFERROR(BC107*HSI!$B$102*HSI!$G$102/HSI!$B$3,""))</f>
        <v/>
      </c>
      <c r="DR107" s="106">
        <f>IF(BD107="","",IFERROR(BD107*HSI!$B$102*HSI!$G$102/HSI!$B$3,""))</f>
        <v/>
      </c>
      <c r="DS107" s="106">
        <f>IF(BE107="","",IFERROR(BE107*HSI!$B$102*HSI!$G$102/HSI!$B$3,""))</f>
        <v/>
      </c>
      <c r="DT107" s="106">
        <f>IF(BF107="","",IFERROR(BF107*HSI!$B$102*HSI!$G$102/HSI!$B$3,""))</f>
        <v/>
      </c>
      <c r="DU107" s="106">
        <f>IF(BG107="","",IFERROR(BG107*HSI!$B$102*HSI!$G$102/HSI!$B$3,""))</f>
        <v/>
      </c>
      <c r="DV107" s="106">
        <f>IF(BH107="","",IFERROR(BH107*HSI!$B$102*HSI!$G$102/HSI!$B$3,""))</f>
        <v/>
      </c>
      <c r="DW107" s="106">
        <f>IF(BI107="","",IFERROR(BI107*HSI!$B$102*HSI!$G$102/HSI!$B$3,""))</f>
        <v/>
      </c>
      <c r="DX107" s="106">
        <f>IF(BJ107="","",IFERROR(BJ107*HSI!$B$102*HSI!$G$102/HSI!$B$3,""))</f>
        <v/>
      </c>
      <c r="DY107" s="106">
        <f>IF(BK107="","",IFERROR(BK107*HSI!$B$102*HSI!$G$102/HSI!$B$3,""))</f>
        <v/>
      </c>
      <c r="DZ107" s="106">
        <f>IF(BL107="","",IFERROR(BL107*HSI!$B$102*HSI!$G$102/HSI!$B$3,""))</f>
        <v/>
      </c>
      <c r="EA107" s="106">
        <f>IF(BM107="","",IFERROR(BM107*HSI!$B$102*HSI!$G$102/HSI!$B$3,""))</f>
        <v/>
      </c>
      <c r="EB107" s="106">
        <f>IF(BN107="","",IFERROR(BN107*HSI!$B$102*HSI!$G$102/HSI!$B$3,""))</f>
        <v/>
      </c>
      <c r="EC107" s="106">
        <f>IF(BO107="","",IFERROR(BO107*HSI!$B$102*HSI!$G$102/HSI!$B$3,""))</f>
        <v/>
      </c>
      <c r="EE107" s="35">
        <f>IF(N('Dvd Calendar'!$E$1056)=0,"",IF(('Dvd Calendar'!$E$1056&gt;=GRID_FROM)*('Dvd Calendar'!$E$1056&lt;=GRID_TO)*('Dvd Calendar'!$E$1056&lt;=VAL_DATE)=0,"",'Dvd Calendar'!$E$1056*1000000000+ISNUMBER('Dvd Calendar'!$E$1059)*100000000+('Dvd Calendar'!$E$1061=SPECIAL_LBL)*10000000+0*1000000+96*1000+1))</f>
        <v/>
      </c>
      <c r="EF107" s="35">
        <f>IF(N('Dvd Calendar'!$F$1056)=0,"",IF(('Dvd Calendar'!$F$1056&gt;=GRID_FROM)*('Dvd Calendar'!$F$1056&lt;=GRID_TO)*('Dvd Calendar'!$F$1056&lt;=VAL_DATE)=0,"",'Dvd Calendar'!$F$1056*1000000000+ISNUMBER('Dvd Calendar'!$F$1059)*100000000+('Dvd Calendar'!$F$1061=SPECIAL_LBL)*10000000+0*1000000+96*1000+2))</f>
        <v/>
      </c>
      <c r="EG107" s="35">
        <f>IF(N('Dvd Calendar'!$G$1056)=0,"",IF(('Dvd Calendar'!$G$1056&gt;=GRID_FROM)*('Dvd Calendar'!$G$1056&lt;=GRID_TO)*('Dvd Calendar'!$G$1056&lt;=VAL_DATE)=0,"",'Dvd Calendar'!$G$1056*1000000000+ISNUMBER('Dvd Calendar'!$G$1059)*100000000+('Dvd Calendar'!$G$1061=SPECIAL_LBL)*10000000+0*1000000+96*1000+3))</f>
        <v/>
      </c>
      <c r="EH107" s="35">
        <f>IF(N('Dvd Calendar'!$H$1056)=0,"",IF(('Dvd Calendar'!$H$1056&gt;=GRID_FROM)*('Dvd Calendar'!$H$1056&lt;=GRID_TO)*('Dvd Calendar'!$H$1056&lt;=VAL_DATE)=0,"",'Dvd Calendar'!$H$1056*1000000000+ISNUMBER('Dvd Calendar'!$H$1059)*100000000+('Dvd Calendar'!$H$1061=SPECIAL_LBL)*10000000+0*1000000+96*1000+4))</f>
        <v/>
      </c>
      <c r="EI107" s="35">
        <f>IF(N('Dvd Calendar'!$I$1056)=0,"",IF(('Dvd Calendar'!$I$1056&gt;=GRID_FROM)*('Dvd Calendar'!$I$1056&lt;=GRID_TO)*('Dvd Calendar'!$I$1056&lt;=VAL_DATE)=0,"",'Dvd Calendar'!$I$1056*1000000000+ISNUMBER('Dvd Calendar'!$I$1059)*100000000+('Dvd Calendar'!$I$1061=SPECIAL_LBL)*10000000+0*1000000+96*1000+5))</f>
        <v/>
      </c>
      <c r="EJ107" s="35">
        <f>IF(N('Dvd Calendar'!$J$1056)=0,"",IF(('Dvd Calendar'!$J$1056&gt;=GRID_FROM)*('Dvd Calendar'!$J$1056&lt;=GRID_TO)*('Dvd Calendar'!$J$1056&lt;=VAL_DATE)=0,"",'Dvd Calendar'!$J$1056*1000000000+ISNUMBER('Dvd Calendar'!$J$1059)*100000000+('Dvd Calendar'!$J$1061=SPECIAL_LBL)*10000000+0*1000000+96*1000+6))</f>
        <v/>
      </c>
      <c r="EK107" s="35">
        <f>IF(N('Dvd Calendar'!$K$1056)=0,"",IF(('Dvd Calendar'!$K$1056&gt;=GRID_FROM)*('Dvd Calendar'!$K$1056&lt;=GRID_TO)*('Dvd Calendar'!$K$1056&lt;=VAL_DATE)=0,"",'Dvd Calendar'!$K$1056*1000000000+ISNUMBER('Dvd Calendar'!$K$1059)*100000000+('Dvd Calendar'!$K$1061=SPECIAL_LBL)*10000000+0*1000000+96*1000+7))</f>
        <v/>
      </c>
      <c r="EL107" s="35">
        <f>IF(N('Dvd Calendar'!$L$1056)=0,"",IF(('Dvd Calendar'!$L$1056&gt;=GRID_FROM)*('Dvd Calendar'!$L$1056&lt;=GRID_TO)*('Dvd Calendar'!$L$1056&lt;=VAL_DATE)=0,"",'Dvd Calendar'!$L$1056*1000000000+ISNUMBER('Dvd Calendar'!$L$1059)*100000000+('Dvd Calendar'!$L$1061=SPECIAL_LBL)*10000000+0*1000000+96*1000+8))</f>
        <v/>
      </c>
      <c r="EM107" s="35">
        <f>IF(N('Dvd Calendar'!$M$1056)=0,"",IF(('Dvd Calendar'!$M$1056&gt;=GRID_FROM)*('Dvd Calendar'!$M$1056&lt;=GRID_TO)*('Dvd Calendar'!$M$1056&lt;=VAL_DATE)=0,"",'Dvd Calendar'!$M$1056*1000000000+ISNUMBER('Dvd Calendar'!$M$1059)*100000000+('Dvd Calendar'!$M$1061=SPECIAL_LBL)*10000000+0*1000000+96*1000+9))</f>
        <v/>
      </c>
      <c r="EN107" s="35">
        <f>IF(N('Dvd Calendar'!$N$1056)=0,"",IF(('Dvd Calendar'!$N$1056&gt;=GRID_FROM)*('Dvd Calendar'!$N$1056&lt;=GRID_TO)*('Dvd Calendar'!$N$1056&lt;=VAL_DATE)=0,"",'Dvd Calendar'!$N$1056*1000000000+ISNUMBER('Dvd Calendar'!$N$1059)*100000000+('Dvd Calendar'!$N$1061=SPECIAL_LBL)*10000000+0*1000000+96*1000+10))</f>
        <v/>
      </c>
      <c r="EO107" s="35">
        <f>IF(N('Dvd Calendar'!$O$1056)=0,"",IF(('Dvd Calendar'!$O$1056&gt;=GRID_FROM)*('Dvd Calendar'!$O$1056&lt;=GRID_TO)*('Dvd Calendar'!$O$1056&lt;=VAL_DATE)=0,"",'Dvd Calendar'!$O$1056*1000000000+ISNUMBER('Dvd Calendar'!$O$1059)*100000000+('Dvd Calendar'!$O$1061=SPECIAL_LBL)*10000000+0*1000000+96*1000+11))</f>
        <v/>
      </c>
      <c r="EP107" s="35">
        <f>IF(N('Dvd Calendar'!$P$1056)=0,"",IF(('Dvd Calendar'!$P$1056&gt;=GRID_FROM)*('Dvd Calendar'!$P$1056&lt;=GRID_TO)*('Dvd Calendar'!$P$1056&lt;=VAL_DATE)=0,"",'Dvd Calendar'!$P$1056*1000000000+ISNUMBER('Dvd Calendar'!$P$1059)*100000000+('Dvd Calendar'!$P$1061=SPECIAL_LBL)*10000000+0*1000000+96*1000+12))</f>
        <v/>
      </c>
      <c r="EQ107" s="35">
        <f>IF(N('Dvd Calendar'!$Q$1056)=0,"",IF(('Dvd Calendar'!$Q$1056&gt;=GRID_FROM)*('Dvd Calendar'!$Q$1056&lt;=GRID_TO)*('Dvd Calendar'!$Q$1056&lt;=VAL_DATE)=0,"",'Dvd Calendar'!$Q$1056*1000000000+ISNUMBER('Dvd Calendar'!$Q$1059)*100000000+('Dvd Calendar'!$Q$1061=SPECIAL_LBL)*10000000+0*1000000+96*1000+13))</f>
        <v/>
      </c>
      <c r="ER107" s="35">
        <f>IF(N('Dvd Calendar'!$R$1056)=0,"",IF(('Dvd Calendar'!$R$1056&gt;=GRID_FROM)*('Dvd Calendar'!$R$1056&lt;=GRID_TO)*('Dvd Calendar'!$R$1056&lt;=VAL_DATE)=0,"",'Dvd Calendar'!$R$1056*1000000000+ISNUMBER('Dvd Calendar'!$R$1059)*100000000+('Dvd Calendar'!$R$1061=SPECIAL_LBL)*10000000+0*1000000+96*1000+14))</f>
        <v/>
      </c>
      <c r="ES107" s="35">
        <f>IF(N('Dvd Calendar'!$S$1056)=0,"",IF(('Dvd Calendar'!$S$1056&gt;=GRID_FROM)*('Dvd Calendar'!$S$1056&lt;=GRID_TO)*('Dvd Calendar'!$S$1056&lt;=VAL_DATE)=0,"",'Dvd Calendar'!$S$1056*1000000000+ISNUMBER('Dvd Calendar'!$S$1059)*100000000+('Dvd Calendar'!$S$1061=SPECIAL_LBL)*10000000+0*1000000+96*1000+15))</f>
        <v/>
      </c>
      <c r="ET107" s="35">
        <f>IF(N('Dvd Calendar'!$T$1056)=0,"",IF(('Dvd Calendar'!$T$1056&gt;=GRID_FROM)*('Dvd Calendar'!$T$1056&lt;=GRID_TO)*('Dvd Calendar'!$T$1056&lt;=VAL_DATE)=0,"",'Dvd Calendar'!$T$1056*1000000000+ISNUMBER('Dvd Calendar'!$T$1059)*100000000+('Dvd Calendar'!$T$1061=SPECIAL_LBL)*10000000+0*1000000+96*1000+16))</f>
        <v/>
      </c>
      <c r="EU107" s="35">
        <f>IF(N('Dvd Calendar'!$U$1056)=0,"",IF(('Dvd Calendar'!$U$1056&gt;=GRID_FROM)*('Dvd Calendar'!$U$1056&lt;=GRID_TO)*('Dvd Calendar'!$U$1056&lt;=VAL_DATE)=0,"",'Dvd Calendar'!$U$1056*1000000000+ISNUMBER('Dvd Calendar'!$U$1059)*100000000+('Dvd Calendar'!$U$1061=SPECIAL_LBL)*10000000+0*1000000+96*1000+17))</f>
        <v/>
      </c>
      <c r="EV107" s="35">
        <f>IF(N('Dvd Calendar'!$V$1056)=0,"",IF(('Dvd Calendar'!$V$1056&gt;=GRID_FROM)*('Dvd Calendar'!$V$1056&lt;=GRID_TO)*('Dvd Calendar'!$V$1056&lt;=VAL_DATE)=0,"",'Dvd Calendar'!$V$1056*1000000000+ISNUMBER('Dvd Calendar'!$V$1059)*100000000+('Dvd Calendar'!$V$1061=SPECIAL_LBL)*10000000+0*1000000+96*1000+18))</f>
        <v/>
      </c>
      <c r="EW107" s="35">
        <f>IF(N('Dvd Calendar'!$W$1056)=0,"",IF(('Dvd Calendar'!$W$1056&gt;=GRID_FROM)*('Dvd Calendar'!$W$1056&lt;=GRID_TO)*('Dvd Calendar'!$W$1056&lt;=VAL_DATE)=0,"",'Dvd Calendar'!$W$1056*1000000000+ISNUMBER('Dvd Calendar'!$W$1059)*100000000+('Dvd Calendar'!$W$1061=SPECIAL_LBL)*10000000+0*1000000+96*1000+19))</f>
        <v/>
      </c>
      <c r="EX107" s="35">
        <f>IF(N('Dvd Calendar'!$X$1056)=0,"",IF(('Dvd Calendar'!$X$1056&gt;=GRID_FROM)*('Dvd Calendar'!$X$1056&lt;=GRID_TO)*('Dvd Calendar'!$X$1056&lt;=VAL_DATE)=0,"",'Dvd Calendar'!$X$1056*1000000000+ISNUMBER('Dvd Calendar'!$X$1059)*100000000+('Dvd Calendar'!$X$1061=SPECIAL_LBL)*10000000+0*1000000+96*1000+20))</f>
        <v/>
      </c>
      <c r="EY107" s="35">
        <f>IF(N('Dvd Calendar'!$Y$1056)=0,"",IF(('Dvd Calendar'!$Y$1056&gt;=GRID_FROM)*('Dvd Calendar'!$Y$1056&lt;=GRID_TO)*('Dvd Calendar'!$Y$1056&lt;=VAL_DATE)=0,"",'Dvd Calendar'!$Y$1056*1000000000+ISNUMBER('Dvd Calendar'!$Y$1059)*100000000+('Dvd Calendar'!$Y$1061=SPECIAL_LBL)*10000000+0*1000000+96*1000+21))</f>
        <v/>
      </c>
      <c r="EZ107" s="35">
        <f>IF(N('Dvd Calendar'!$Z$1056)=0,"",IF(('Dvd Calendar'!$Z$1056&gt;=GRID_FROM)*('Dvd Calendar'!$Z$1056&lt;=GRID_TO)*('Dvd Calendar'!$Z$1056&lt;=VAL_DATE)=0,"",'Dvd Calendar'!$Z$1056*1000000000+ISNUMBER('Dvd Calendar'!$Z$1059)*100000000+('Dvd Calendar'!$Z$1061=SPECIAL_LBL)*10000000+0*1000000+96*1000+22))</f>
        <v/>
      </c>
      <c r="FA107" s="35">
        <f>IF(N('Dvd Calendar'!$AA$1056)=0,"",IF(('Dvd Calendar'!$AA$1056&gt;=GRID_FROM)*('Dvd Calendar'!$AA$1056&lt;=GRID_TO)*('Dvd Calendar'!$AA$1056&lt;=VAL_DATE)=0,"",'Dvd Calendar'!$AA$1056*1000000000+ISNUMBER('Dvd Calendar'!$AA$1059)*100000000+('Dvd Calendar'!$AA$1061=SPECIAL_LBL)*10000000+0*1000000+96*1000+23))</f>
        <v/>
      </c>
      <c r="FB107" s="35">
        <f>IF(N('Dvd Calendar'!$AB$1056)=0,"",IF(('Dvd Calendar'!$AB$1056&gt;=GRID_FROM)*('Dvd Calendar'!$AB$1056&lt;=GRID_TO)*('Dvd Calendar'!$AB$1056&lt;=VAL_DATE)=0,"",'Dvd Calendar'!$AB$1056*1000000000+ISNUMBER('Dvd Calendar'!$AB$1059)*100000000+('Dvd Calendar'!$AB$1061=SPECIAL_LBL)*10000000+0*1000000+96*1000+24))</f>
        <v/>
      </c>
      <c r="FC107" s="35">
        <f>IF(N('Dvd Calendar'!$AC$1056)=0,"",IF(('Dvd Calendar'!$AC$1056&gt;=GRID_FROM)*('Dvd Calendar'!$AC$1056&lt;=GRID_TO)*('Dvd Calendar'!$AC$1056&lt;=VAL_DATE)=0,"",'Dvd Calendar'!$AC$1056*1000000000+ISNUMBER('Dvd Calendar'!$AC$1059)*100000000+('Dvd Calendar'!$AC$1061=SPECIAL_LBL)*10000000+0*1000000+96*1000+25))</f>
        <v/>
      </c>
      <c r="FD107" s="35">
        <f>IF(N('Dvd Calendar'!$AD$1056)=0,"",IF(('Dvd Calendar'!$AD$1056&gt;=GRID_FROM)*('Dvd Calendar'!$AD$1056&lt;=GRID_TO)*('Dvd Calendar'!$AD$1056&lt;=VAL_DATE)=0,"",'Dvd Calendar'!$AD$1056*1000000000+ISNUMBER('Dvd Calendar'!$AD$1059)*100000000+('Dvd Calendar'!$AD$1061=SPECIAL_LBL)*10000000+0*1000000+96*1000+26))</f>
        <v/>
      </c>
      <c r="FE107" s="35">
        <f>IF(N('Dvd Calendar'!$AE$1056)=0,"",IF(('Dvd Calendar'!$AE$1056&gt;=GRID_FROM)*('Dvd Calendar'!$AE$1056&lt;=GRID_TO)*('Dvd Calendar'!$AE$1056&lt;=VAL_DATE)=0,"",'Dvd Calendar'!$AE$1056*1000000000+ISNUMBER('Dvd Calendar'!$AE$1059)*100000000+('Dvd Calendar'!$AE$1061=SPECIAL_LBL)*10000000+0*1000000+96*1000+27))</f>
        <v/>
      </c>
      <c r="FF107" s="35">
        <f>IF(N('Dvd Calendar'!$AF$1056)=0,"",IF(('Dvd Calendar'!$AF$1056&gt;=GRID_FROM)*('Dvd Calendar'!$AF$1056&lt;=GRID_TO)*('Dvd Calendar'!$AF$1056&lt;=VAL_DATE)=0,"",'Dvd Calendar'!$AF$1056*1000000000+ISNUMBER('Dvd Calendar'!$AF$1059)*100000000+('Dvd Calendar'!$AF$1061=SPECIAL_LBL)*10000000+0*1000000+96*1000+28))</f>
        <v/>
      </c>
      <c r="FG107" s="35">
        <f>IF(N('Dvd Calendar'!$AG$1056)=0,"",IF(('Dvd Calendar'!$AG$1056&gt;=GRID_FROM)*('Dvd Calendar'!$AG$1056&lt;=GRID_TO)*('Dvd Calendar'!$AG$1056&lt;=VAL_DATE)=0,"",'Dvd Calendar'!$AG$1056*1000000000+ISNUMBER('Dvd Calendar'!$AG$1059)*100000000+('Dvd Calendar'!$AG$1061=SPECIAL_LBL)*10000000+0*1000000+96*1000+29))</f>
        <v/>
      </c>
      <c r="FH107" s="35">
        <f>IF(N('Dvd Calendar'!$AH$1056)=0,"",IF(('Dvd Calendar'!$AH$1056&gt;=GRID_FROM)*('Dvd Calendar'!$AH$1056&lt;=GRID_TO)*('Dvd Calendar'!$AH$1056&lt;=VAL_DATE)=0,"",'Dvd Calendar'!$AH$1056*1000000000+ISNUMBER('Dvd Calendar'!$AH$1059)*100000000+('Dvd Calendar'!$AH$1061=SPECIAL_LBL)*10000000+0*1000000+96*1000+30))</f>
        <v/>
      </c>
      <c r="FI107" s="35">
        <f>IF(N('Dvd Calendar'!$AI$1056)=0,"",IF(('Dvd Calendar'!$AI$1056&gt;=GRID_FROM)*('Dvd Calendar'!$AI$1056&lt;=GRID_TO)*('Dvd Calendar'!$AI$1056&lt;=VAL_DATE)=0,"",'Dvd Calendar'!$AI$1056*1000000000+ISNUMBER('Dvd Calendar'!$AI$1059)*100000000+('Dvd Calendar'!$AI$1061=SPECIAL_LBL)*10000000+0*1000000+96*1000+31))</f>
        <v/>
      </c>
      <c r="FJ107" s="35">
        <f>IF(N('Dvd Calendar'!$AJ$1056)=0,"",IF(('Dvd Calendar'!$AJ$1056&gt;=GRID_FROM)*('Dvd Calendar'!$AJ$1056&lt;=GRID_TO)*('Dvd Calendar'!$AJ$1056&lt;=VAL_DATE)=0,"",'Dvd Calendar'!$AJ$1056*1000000000+ISNUMBER('Dvd Calendar'!$AJ$1059)*100000000+('Dvd Calendar'!$AJ$1061=SPECIAL_LBL)*10000000+0*1000000+96*1000+32))</f>
        <v/>
      </c>
      <c r="FK107" s="35">
        <f>IF(N('Dvd Calendar'!$AK$1056)=0,"",IF(('Dvd Calendar'!$AK$1056&gt;=GRID_FROM)*('Dvd Calendar'!$AK$1056&lt;=GRID_TO)*('Dvd Calendar'!$AK$1056&lt;=VAL_DATE)=0,"",'Dvd Calendar'!$AK$1056*1000000000+ISNUMBER('Dvd Calendar'!$AK$1059)*100000000+('Dvd Calendar'!$AK$1061=SPECIAL_LBL)*10000000+0*1000000+96*1000+33))</f>
        <v/>
      </c>
      <c r="FL107" s="35">
        <f>IF(N('Dvd Calendar'!$AL$1056)=0,"",IF(('Dvd Calendar'!$AL$1056&gt;=GRID_FROM)*('Dvd Calendar'!$AL$1056&lt;=GRID_TO)*('Dvd Calendar'!$AL$1056&lt;=VAL_DATE)=0,"",'Dvd Calendar'!$AL$1056*1000000000+ISNUMBER('Dvd Calendar'!$AL$1059)*100000000+('Dvd Calendar'!$AL$1061=SPECIAL_LBL)*10000000+0*1000000+96*1000+34))</f>
        <v/>
      </c>
      <c r="FM107" s="35">
        <f>IF(N('Dvd Calendar'!$AM$1056)=0,"",IF(('Dvd Calendar'!$AM$1056&gt;=GRID_FROM)*('Dvd Calendar'!$AM$1056&lt;=GRID_TO)*('Dvd Calendar'!$AM$1056&lt;=VAL_DATE)=0,"",'Dvd Calendar'!$AM$1056*1000000000+ISNUMBER('Dvd Calendar'!$AM$1059)*100000000+('Dvd Calendar'!$AM$1061=SPECIAL_LBL)*10000000+0*1000000+96*1000+35))</f>
        <v/>
      </c>
      <c r="FN107" s="35">
        <f>IF(N('Dvd Calendar'!$AN$1056)=0,"",IF(('Dvd Calendar'!$AN$1056&gt;=GRID_FROM)*('Dvd Calendar'!$AN$1056&lt;=GRID_TO)*('Dvd Calendar'!$AN$1056&lt;=VAL_DATE)=0,"",'Dvd Calendar'!$AN$1056*1000000000+ISNUMBER('Dvd Calendar'!$AN$1059)*100000000+('Dvd Calendar'!$AN$1061=SPECIAL_LBL)*10000000+0*1000000+96*1000+36))</f>
        <v/>
      </c>
      <c r="FO107" s="35">
        <f>IF(N('Dvd Calendar'!$AO$1056)=0,"",IF(('Dvd Calendar'!$AO$1056&gt;=GRID_FROM)*('Dvd Calendar'!$AO$1056&lt;=GRID_TO)*('Dvd Calendar'!$AO$1056&lt;=VAL_DATE)=0,"",'Dvd Calendar'!$AO$1056*1000000000+ISNUMBER('Dvd Calendar'!$AO$1059)*100000000+('Dvd Calendar'!$AO$1061=SPECIAL_LBL)*10000000+0*1000000+96*1000+37))</f>
        <v/>
      </c>
      <c r="FP107" s="35">
        <f>IF(N('Dvd Calendar'!$AP$1056)=0,"",IF(('Dvd Calendar'!$AP$1056&gt;=GRID_FROM)*('Dvd Calendar'!$AP$1056&lt;=GRID_TO)*('Dvd Calendar'!$AP$1056&lt;=VAL_DATE)=0,"",'Dvd Calendar'!$AP$1056*1000000000+ISNUMBER('Dvd Calendar'!$AP$1059)*100000000+('Dvd Calendar'!$AP$1061=SPECIAL_LBL)*10000000+0*1000000+96*1000+38))</f>
        <v/>
      </c>
      <c r="FQ107" s="35">
        <f>IF(N('Dvd Calendar'!$AQ$1056)=0,"",IF(('Dvd Calendar'!$AQ$1056&gt;=GRID_FROM)*('Dvd Calendar'!$AQ$1056&lt;=GRID_TO)*('Dvd Calendar'!$AQ$1056&lt;=VAL_DATE)=0,"",'Dvd Calendar'!$AQ$1056*1000000000+ISNUMBER('Dvd Calendar'!$AQ$1059)*100000000+('Dvd Calendar'!$AQ$1061=SPECIAL_LBL)*10000000+0*1000000+96*1000+39))</f>
        <v/>
      </c>
      <c r="FR107" s="35">
        <f>IF(N('Dvd Calendar'!$AR$1056)=0,"",IF(('Dvd Calendar'!$AR$1056&gt;=GRID_FROM)*('Dvd Calendar'!$AR$1056&lt;=GRID_TO)*('Dvd Calendar'!$AR$1056&lt;=VAL_DATE)=0,"",'Dvd Calendar'!$AR$1056*1000000000+ISNUMBER('Dvd Calendar'!$AR$1059)*100000000+('Dvd Calendar'!$AR$1061=SPECIAL_LBL)*10000000+0*1000000+96*1000+40))</f>
        <v/>
      </c>
      <c r="FS107" s="35">
        <f>IF(N('Dvd Calendar'!$E$1063)=0,"",IF(('Dvd Calendar'!$E$1063&gt;=GRID_FROM)*('Dvd Calendar'!$E$1063&lt;=GRID_TO)*('Dvd Calendar'!$E$1063&gt;VAL_DATE)=0,"",'Dvd Calendar'!$E$1063*1000000000+ISNUMBER('Dvd Calendar'!$E$1064)*100000000+0*10000000+(N('Dvd Calendar'!$E$1062)&gt;0)*(N('Dvd Calendar'!$E$1062)&lt;=VAL_SERIAL)*1000000+96*1000+41))</f>
        <v/>
      </c>
      <c r="FT107" s="35">
        <f>IF(N('Dvd Calendar'!$F$1063)=0,"",IF(('Dvd Calendar'!$F$1063&gt;=GRID_FROM)*('Dvd Calendar'!$F$1063&lt;=GRID_TO)*('Dvd Calendar'!$F$1063&gt;VAL_DATE)=0,"",'Dvd Calendar'!$F$1063*1000000000+ISNUMBER('Dvd Calendar'!$F$1064)*100000000+0*10000000+(N('Dvd Calendar'!$F$1062)&gt;0)*(N('Dvd Calendar'!$F$1062)&lt;=VAL_SERIAL)*1000000+96*1000+42))</f>
        <v/>
      </c>
      <c r="FU107" s="35">
        <f>IF(N('Dvd Calendar'!$G$1063)=0,"",IF(('Dvd Calendar'!$G$1063&gt;=GRID_FROM)*('Dvd Calendar'!$G$1063&lt;=GRID_TO)*('Dvd Calendar'!$G$1063&gt;VAL_DATE)=0,"",'Dvd Calendar'!$G$1063*1000000000+ISNUMBER('Dvd Calendar'!$G$1064)*100000000+0*10000000+(N('Dvd Calendar'!$G$1062)&gt;0)*(N('Dvd Calendar'!$G$1062)&lt;=VAL_SERIAL)*1000000+96*1000+43))</f>
        <v/>
      </c>
      <c r="FV107" s="35">
        <f>IF(N('Dvd Calendar'!$H$1063)=0,"",IF(('Dvd Calendar'!$H$1063&gt;=GRID_FROM)*('Dvd Calendar'!$H$1063&lt;=GRID_TO)*('Dvd Calendar'!$H$1063&gt;VAL_DATE)=0,"",'Dvd Calendar'!$H$1063*1000000000+ISNUMBER('Dvd Calendar'!$H$1064)*100000000+0*10000000+(N('Dvd Calendar'!$H$1062)&gt;0)*(N('Dvd Calendar'!$H$1062)&lt;=VAL_SERIAL)*1000000+96*1000+44))</f>
        <v/>
      </c>
      <c r="FW107" s="35">
        <f>IF(N('Dvd Calendar'!$I$1063)=0,"",IF(('Dvd Calendar'!$I$1063&gt;=GRID_FROM)*('Dvd Calendar'!$I$1063&lt;=GRID_TO)*('Dvd Calendar'!$I$1063&gt;VAL_DATE)=0,"",'Dvd Calendar'!$I$1063*1000000000+ISNUMBER('Dvd Calendar'!$I$1064)*100000000+0*10000000+(N('Dvd Calendar'!$I$1062)&gt;0)*(N('Dvd Calendar'!$I$1062)&lt;=VAL_SERIAL)*1000000+96*1000+45))</f>
        <v/>
      </c>
      <c r="FX107" s="35">
        <f>IF(N('Dvd Calendar'!$J$1063)=0,"",IF(('Dvd Calendar'!$J$1063&gt;=GRID_FROM)*('Dvd Calendar'!$J$1063&lt;=GRID_TO)*('Dvd Calendar'!$J$1063&gt;VAL_DATE)=0,"",'Dvd Calendar'!$J$1063*1000000000+ISNUMBER('Dvd Calendar'!$J$1064)*100000000+0*10000000+(N('Dvd Calendar'!$J$1062)&gt;0)*(N('Dvd Calendar'!$J$1062)&lt;=VAL_SERIAL)*1000000+96*1000+46))</f>
        <v/>
      </c>
      <c r="FY107" s="35">
        <f>IF(N('Dvd Calendar'!$K$1063)=0,"",IF(('Dvd Calendar'!$K$1063&gt;=GRID_FROM)*('Dvd Calendar'!$K$1063&lt;=GRID_TO)*('Dvd Calendar'!$K$1063&gt;VAL_DATE)=0,"",'Dvd Calendar'!$K$1063*1000000000+ISNUMBER('Dvd Calendar'!$K$1064)*100000000+0*10000000+(N('Dvd Calendar'!$K$1062)&gt;0)*(N('Dvd Calendar'!$K$1062)&lt;=VAL_SERIAL)*1000000+96*1000+47))</f>
        <v/>
      </c>
      <c r="FZ107" s="35">
        <f>IF(N('Dvd Calendar'!$L$1063)=0,"",IF(('Dvd Calendar'!$L$1063&gt;=GRID_FROM)*('Dvd Calendar'!$L$1063&lt;=GRID_TO)*('Dvd Calendar'!$L$1063&gt;VAL_DATE)=0,"",'Dvd Calendar'!$L$1063*1000000000+ISNUMBER('Dvd Calendar'!$L$1064)*100000000+0*10000000+(N('Dvd Calendar'!$L$1062)&gt;0)*(N('Dvd Calendar'!$L$1062)&lt;=VAL_SERIAL)*1000000+96*1000+48))</f>
        <v/>
      </c>
      <c r="GA107" s="35">
        <f>IF(N('Dvd Calendar'!$M$1063)=0,"",IF(('Dvd Calendar'!$M$1063&gt;=GRID_FROM)*('Dvd Calendar'!$M$1063&lt;=GRID_TO)*('Dvd Calendar'!$M$1063&gt;VAL_DATE)=0,"",'Dvd Calendar'!$M$1063*1000000000+ISNUMBER('Dvd Calendar'!$M$1064)*100000000+0*10000000+(N('Dvd Calendar'!$M$1062)&gt;0)*(N('Dvd Calendar'!$M$1062)&lt;=VAL_SERIAL)*1000000+96*1000+49))</f>
        <v/>
      </c>
      <c r="GB107" s="35">
        <f>IF(N('Dvd Calendar'!$N$1063)=0,"",IF(('Dvd Calendar'!$N$1063&gt;=GRID_FROM)*('Dvd Calendar'!$N$1063&lt;=GRID_TO)*('Dvd Calendar'!$N$1063&gt;VAL_DATE)=0,"",'Dvd Calendar'!$N$1063*1000000000+ISNUMBER('Dvd Calendar'!$N$1064)*100000000+0*10000000+(N('Dvd Calendar'!$N$1062)&gt;0)*(N('Dvd Calendar'!$N$1062)&lt;=VAL_SERIAL)*1000000+96*1000+50))</f>
        <v/>
      </c>
      <c r="GC107" s="35">
        <f>IF(N('Dvd Calendar'!$O$1063)=0,"",IF(('Dvd Calendar'!$O$1063&gt;=GRID_FROM)*('Dvd Calendar'!$O$1063&lt;=GRID_TO)*('Dvd Calendar'!$O$1063&gt;VAL_DATE)=0,"",'Dvd Calendar'!$O$1063*1000000000+ISNUMBER('Dvd Calendar'!$O$1064)*100000000+0*10000000+(N('Dvd Calendar'!$O$1062)&gt;0)*(N('Dvd Calendar'!$O$1062)&lt;=VAL_SERIAL)*1000000+96*1000+51))</f>
        <v/>
      </c>
      <c r="GD107" s="35">
        <f>IF(N('Dvd Calendar'!$P$1063)=0,"",IF(('Dvd Calendar'!$P$1063&gt;=GRID_FROM)*('Dvd Calendar'!$P$1063&lt;=GRID_TO)*('Dvd Calendar'!$P$1063&gt;VAL_DATE)=0,"",'Dvd Calendar'!$P$1063*1000000000+ISNUMBER('Dvd Calendar'!$P$1064)*100000000+0*10000000+(N('Dvd Calendar'!$P$1062)&gt;0)*(N('Dvd Calendar'!$P$1062)&lt;=VAL_SERIAL)*1000000+96*1000+52))</f>
        <v/>
      </c>
      <c r="GE107" s="35">
        <f>IF(N('Dvd Calendar'!$Q$1063)=0,"",IF(('Dvd Calendar'!$Q$1063&gt;=GRID_FROM)*('Dvd Calendar'!$Q$1063&lt;=GRID_TO)*('Dvd Calendar'!$Q$1063&gt;VAL_DATE)=0,"",'Dvd Calendar'!$Q$1063*1000000000+ISNUMBER('Dvd Calendar'!$Q$1064)*100000000+0*10000000+(N('Dvd Calendar'!$Q$1062)&gt;0)*(N('Dvd Calendar'!$Q$1062)&lt;=VAL_SERIAL)*1000000+96*1000+53))</f>
        <v/>
      </c>
      <c r="GF107" s="35">
        <f>IF(N('Dvd Calendar'!$R$1063)=0,"",IF(('Dvd Calendar'!$R$1063&gt;=GRID_FROM)*('Dvd Calendar'!$R$1063&lt;=GRID_TO)*('Dvd Calendar'!$R$1063&gt;VAL_DATE)=0,"",'Dvd Calendar'!$R$1063*1000000000+ISNUMBER('Dvd Calendar'!$R$1064)*100000000+0*10000000+(N('Dvd Calendar'!$R$1062)&gt;0)*(N('Dvd Calendar'!$R$1062)&lt;=VAL_SERIAL)*1000000+96*1000+54))</f>
        <v/>
      </c>
      <c r="GG107" s="35">
        <f>IF(N('Dvd Calendar'!$S$1063)=0,"",IF(('Dvd Calendar'!$S$1063&gt;=GRID_FROM)*('Dvd Calendar'!$S$1063&lt;=GRID_TO)*('Dvd Calendar'!$S$1063&gt;VAL_DATE)=0,"",'Dvd Calendar'!$S$1063*1000000000+ISNUMBER('Dvd Calendar'!$S$1064)*100000000+0*10000000+(N('Dvd Calendar'!$S$1062)&gt;0)*(N('Dvd Calendar'!$S$1062)&lt;=VAL_SERIAL)*1000000+96*1000+55))</f>
        <v/>
      </c>
      <c r="GH107" s="35">
        <f>IF(N('Dvd Calendar'!$T$1063)=0,"",IF(('Dvd Calendar'!$T$1063&gt;=GRID_FROM)*('Dvd Calendar'!$T$1063&lt;=GRID_TO)*('Dvd Calendar'!$T$1063&gt;VAL_DATE)=0,"",'Dvd Calendar'!$T$1063*1000000000+ISNUMBER('Dvd Calendar'!$T$1064)*100000000+0*10000000+(N('Dvd Calendar'!$T$1062)&gt;0)*(N('Dvd Calendar'!$T$1062)&lt;=VAL_SERIAL)*1000000+96*1000+56))</f>
        <v/>
      </c>
      <c r="GI107" s="35">
        <f>IF(N('Dvd Calendar'!$U$1063)=0,"",IF(('Dvd Calendar'!$U$1063&gt;=GRID_FROM)*('Dvd Calendar'!$U$1063&lt;=GRID_TO)*('Dvd Calendar'!$U$1063&gt;VAL_DATE)=0,"",'Dvd Calendar'!$U$1063*1000000000+ISNUMBER('Dvd Calendar'!$U$1064)*100000000+0*10000000+(N('Dvd Calendar'!$U$1062)&gt;0)*(N('Dvd Calendar'!$U$1062)&lt;=VAL_SERIAL)*1000000+96*1000+57))</f>
        <v/>
      </c>
      <c r="GJ107" s="35">
        <f>IF(N('Dvd Calendar'!$V$1063)=0,"",IF(('Dvd Calendar'!$V$1063&gt;=GRID_FROM)*('Dvd Calendar'!$V$1063&lt;=GRID_TO)*('Dvd Calendar'!$V$1063&gt;VAL_DATE)=0,"",'Dvd Calendar'!$V$1063*1000000000+ISNUMBER('Dvd Calendar'!$V$1064)*100000000+0*10000000+(N('Dvd Calendar'!$V$1062)&gt;0)*(N('Dvd Calendar'!$V$1062)&lt;=VAL_SERIAL)*1000000+96*1000+58))</f>
        <v/>
      </c>
      <c r="GK107" s="35">
        <f>IF(N('Dvd Calendar'!$W$1063)=0,"",IF(('Dvd Calendar'!$W$1063&gt;=GRID_FROM)*('Dvd Calendar'!$W$1063&lt;=GRID_TO)*('Dvd Calendar'!$W$1063&gt;VAL_DATE)=0,"",'Dvd Calendar'!$W$1063*1000000000+ISNUMBER('Dvd Calendar'!$W$1064)*100000000+0*10000000+(N('Dvd Calendar'!$W$1062)&gt;0)*(N('Dvd Calendar'!$W$1062)&lt;=VAL_SERIAL)*1000000+96*1000+59))</f>
        <v/>
      </c>
      <c r="GL107" s="35">
        <f>IF(N('Dvd Calendar'!$X$1063)=0,"",IF(('Dvd Calendar'!$X$1063&gt;=GRID_FROM)*('Dvd Calendar'!$X$1063&lt;=GRID_TO)*('Dvd Calendar'!$X$1063&gt;VAL_DATE)=0,"",'Dvd Calendar'!$X$1063*1000000000+ISNUMBER('Dvd Calendar'!$X$1064)*100000000+0*10000000+(N('Dvd Calendar'!$X$1062)&gt;0)*(N('Dvd Calendar'!$X$1062)&lt;=VAL_SERIAL)*1000000+96*1000+60))</f>
        <v/>
      </c>
      <c r="GM107" s="35">
        <f>IF(N('Dvd Calendar'!$Y$1063)=0,"",IF(('Dvd Calendar'!$Y$1063&gt;=GRID_FROM)*('Dvd Calendar'!$Y$1063&lt;=GRID_TO)*('Dvd Calendar'!$Y$1063&gt;VAL_DATE)=0,"",'Dvd Calendar'!$Y$1063*1000000000+ISNUMBER('Dvd Calendar'!$Y$1064)*100000000+0*10000000+(N('Dvd Calendar'!$Y$1062)&gt;0)*(N('Dvd Calendar'!$Y$1062)&lt;=VAL_SERIAL)*1000000+96*1000+61))</f>
        <v/>
      </c>
      <c r="GN107" s="35">
        <f>IF(N('Dvd Calendar'!$Z$1063)=0,"",IF(('Dvd Calendar'!$Z$1063&gt;=GRID_FROM)*('Dvd Calendar'!$Z$1063&lt;=GRID_TO)*('Dvd Calendar'!$Z$1063&gt;VAL_DATE)=0,"",'Dvd Calendar'!$Z$1063*1000000000+ISNUMBER('Dvd Calendar'!$Z$1064)*100000000+0*10000000+(N('Dvd Calendar'!$Z$1062)&gt;0)*(N('Dvd Calendar'!$Z$1062)&lt;=VAL_SERIAL)*1000000+96*1000+62))</f>
        <v/>
      </c>
      <c r="GO107" s="35">
        <f>IF(N('Dvd Calendar'!$AA$1063)=0,"",IF(('Dvd Calendar'!$AA$1063&gt;=GRID_FROM)*('Dvd Calendar'!$AA$1063&lt;=GRID_TO)*('Dvd Calendar'!$AA$1063&gt;VAL_DATE)=0,"",'Dvd Calendar'!$AA$1063*1000000000+ISNUMBER('Dvd Calendar'!$AA$1064)*100000000+0*10000000+(N('Dvd Calendar'!$AA$1062)&gt;0)*(N('Dvd Calendar'!$AA$1062)&lt;=VAL_SERIAL)*1000000+96*1000+63))</f>
        <v/>
      </c>
      <c r="GP107" s="35">
        <f>IF(N('Dvd Calendar'!$AB$1063)=0,"",IF(('Dvd Calendar'!$AB$1063&gt;=GRID_FROM)*('Dvd Calendar'!$AB$1063&lt;=GRID_TO)*('Dvd Calendar'!$AB$1063&gt;VAL_DATE)=0,"",'Dvd Calendar'!$AB$1063*1000000000+ISNUMBER('Dvd Calendar'!$AB$1064)*100000000+0*10000000+(N('Dvd Calendar'!$AB$1062)&gt;0)*(N('Dvd Calendar'!$AB$1062)&lt;=VAL_SERIAL)*1000000+96*1000+64))</f>
        <v/>
      </c>
      <c r="GQ107" s="35">
        <f>IF(N('Dvd Calendar'!$AC$1063)=0,"",IF(('Dvd Calendar'!$AC$1063&gt;=GRID_FROM)*('Dvd Calendar'!$AC$1063&lt;=GRID_TO)*('Dvd Calendar'!$AC$1063&gt;VAL_DATE)=0,"",'Dvd Calendar'!$AC$1063*1000000000+ISNUMBER('Dvd Calendar'!$AC$1064)*100000000+0*10000000+(N('Dvd Calendar'!$AC$1062)&gt;0)*(N('Dvd Calendar'!$AC$1062)&lt;=VAL_SERIAL)*1000000+96*1000+65))</f>
        <v/>
      </c>
    </row>
    <row r="108">
      <c r="B108" s="2">
        <f>IF(HSI!$C$103="","",HSI!$C$103)</f>
        <v/>
      </c>
      <c r="C108" s="106">
        <f>IF(EE108="","",IF(ISNUMBER('Dvd Calendar'!$E$1070)=FALSE,"",IF((('Dvd Calendar'!$E$1072=TYPE1)*(TYPE1&lt;&gt;"")+('Dvd Calendar'!$E$1072=TYPE2)*(TYPE2&lt;&gt;"")+('Dvd Calendar'!$E$1072=TYPE3)*(TYPE3&lt;&gt;"")+('Dvd Calendar'!$E$1072=TYPE4)*(TYPE4&lt;&gt;"")+('Dvd Calendar'!$E$1072=SPECIAL_LBL)*(INC_SPECIALS="Y"))=0,"",'Dvd Calendar'!$E$1070)))</f>
        <v/>
      </c>
      <c r="D108" s="106">
        <f>IF(EF108="","",IF(ISNUMBER('Dvd Calendar'!$F$1070)=FALSE,"",IF((('Dvd Calendar'!$F$1072=TYPE1)*(TYPE1&lt;&gt;"")+('Dvd Calendar'!$F$1072=TYPE2)*(TYPE2&lt;&gt;"")+('Dvd Calendar'!$F$1072=TYPE3)*(TYPE3&lt;&gt;"")+('Dvd Calendar'!$F$1072=TYPE4)*(TYPE4&lt;&gt;"")+('Dvd Calendar'!$F$1072=SPECIAL_LBL)*(INC_SPECIALS="Y"))=0,"",'Dvd Calendar'!$F$1070)))</f>
        <v/>
      </c>
      <c r="E108" s="106">
        <f>IF(EG108="","",IF(ISNUMBER('Dvd Calendar'!$G$1070)=FALSE,"",IF((('Dvd Calendar'!$G$1072=TYPE1)*(TYPE1&lt;&gt;"")+('Dvd Calendar'!$G$1072=TYPE2)*(TYPE2&lt;&gt;"")+('Dvd Calendar'!$G$1072=TYPE3)*(TYPE3&lt;&gt;"")+('Dvd Calendar'!$G$1072=TYPE4)*(TYPE4&lt;&gt;"")+('Dvd Calendar'!$G$1072=SPECIAL_LBL)*(INC_SPECIALS="Y"))=0,"",'Dvd Calendar'!$G$1070)))</f>
        <v/>
      </c>
      <c r="F108" s="106">
        <f>IF(EH108="","",IF(ISNUMBER('Dvd Calendar'!$H$1070)=FALSE,"",IF((('Dvd Calendar'!$H$1072=TYPE1)*(TYPE1&lt;&gt;"")+('Dvd Calendar'!$H$1072=TYPE2)*(TYPE2&lt;&gt;"")+('Dvd Calendar'!$H$1072=TYPE3)*(TYPE3&lt;&gt;"")+('Dvd Calendar'!$H$1072=TYPE4)*(TYPE4&lt;&gt;"")+('Dvd Calendar'!$H$1072=SPECIAL_LBL)*(INC_SPECIALS="Y"))=0,"",'Dvd Calendar'!$H$1070)))</f>
        <v/>
      </c>
      <c r="G108" s="106">
        <f>IF(EI108="","",IF(ISNUMBER('Dvd Calendar'!$I$1070)=FALSE,"",IF((('Dvd Calendar'!$I$1072=TYPE1)*(TYPE1&lt;&gt;"")+('Dvd Calendar'!$I$1072=TYPE2)*(TYPE2&lt;&gt;"")+('Dvd Calendar'!$I$1072=TYPE3)*(TYPE3&lt;&gt;"")+('Dvd Calendar'!$I$1072=TYPE4)*(TYPE4&lt;&gt;"")+('Dvd Calendar'!$I$1072=SPECIAL_LBL)*(INC_SPECIALS="Y"))=0,"",'Dvd Calendar'!$I$1070)))</f>
        <v/>
      </c>
      <c r="H108" s="106">
        <f>IF(EJ108="","",IF(ISNUMBER('Dvd Calendar'!$J$1070)=FALSE,"",IF((('Dvd Calendar'!$J$1072=TYPE1)*(TYPE1&lt;&gt;"")+('Dvd Calendar'!$J$1072=TYPE2)*(TYPE2&lt;&gt;"")+('Dvd Calendar'!$J$1072=TYPE3)*(TYPE3&lt;&gt;"")+('Dvd Calendar'!$J$1072=TYPE4)*(TYPE4&lt;&gt;"")+('Dvd Calendar'!$J$1072=SPECIAL_LBL)*(INC_SPECIALS="Y"))=0,"",'Dvd Calendar'!$J$1070)))</f>
        <v/>
      </c>
      <c r="I108" s="106">
        <f>IF(EK108="","",IF(ISNUMBER('Dvd Calendar'!$K$1070)=FALSE,"",IF((('Dvd Calendar'!$K$1072=TYPE1)*(TYPE1&lt;&gt;"")+('Dvd Calendar'!$K$1072=TYPE2)*(TYPE2&lt;&gt;"")+('Dvd Calendar'!$K$1072=TYPE3)*(TYPE3&lt;&gt;"")+('Dvd Calendar'!$K$1072=TYPE4)*(TYPE4&lt;&gt;"")+('Dvd Calendar'!$K$1072=SPECIAL_LBL)*(INC_SPECIALS="Y"))=0,"",'Dvd Calendar'!$K$1070)))</f>
        <v/>
      </c>
      <c r="J108" s="106">
        <f>IF(EL108="","",IF(ISNUMBER('Dvd Calendar'!$L$1070)=FALSE,"",IF((('Dvd Calendar'!$L$1072=TYPE1)*(TYPE1&lt;&gt;"")+('Dvd Calendar'!$L$1072=TYPE2)*(TYPE2&lt;&gt;"")+('Dvd Calendar'!$L$1072=TYPE3)*(TYPE3&lt;&gt;"")+('Dvd Calendar'!$L$1072=TYPE4)*(TYPE4&lt;&gt;"")+('Dvd Calendar'!$L$1072=SPECIAL_LBL)*(INC_SPECIALS="Y"))=0,"",'Dvd Calendar'!$L$1070)))</f>
        <v/>
      </c>
      <c r="K108" s="106">
        <f>IF(EM108="","",IF(ISNUMBER('Dvd Calendar'!$M$1070)=FALSE,"",IF((('Dvd Calendar'!$M$1072=TYPE1)*(TYPE1&lt;&gt;"")+('Dvd Calendar'!$M$1072=TYPE2)*(TYPE2&lt;&gt;"")+('Dvd Calendar'!$M$1072=TYPE3)*(TYPE3&lt;&gt;"")+('Dvd Calendar'!$M$1072=TYPE4)*(TYPE4&lt;&gt;"")+('Dvd Calendar'!$M$1072=SPECIAL_LBL)*(INC_SPECIALS="Y"))=0,"",'Dvd Calendar'!$M$1070)))</f>
        <v/>
      </c>
      <c r="L108" s="106">
        <f>IF(EN108="","",IF(ISNUMBER('Dvd Calendar'!$N$1070)=FALSE,"",IF((('Dvd Calendar'!$N$1072=TYPE1)*(TYPE1&lt;&gt;"")+('Dvd Calendar'!$N$1072=TYPE2)*(TYPE2&lt;&gt;"")+('Dvd Calendar'!$N$1072=TYPE3)*(TYPE3&lt;&gt;"")+('Dvd Calendar'!$N$1072=TYPE4)*(TYPE4&lt;&gt;"")+('Dvd Calendar'!$N$1072=SPECIAL_LBL)*(INC_SPECIALS="Y"))=0,"",'Dvd Calendar'!$N$1070)))</f>
        <v/>
      </c>
      <c r="M108" s="106">
        <f>IF(EO108="","",IF(ISNUMBER('Dvd Calendar'!$O$1070)=FALSE,"",IF((('Dvd Calendar'!$O$1072=TYPE1)*(TYPE1&lt;&gt;"")+('Dvd Calendar'!$O$1072=TYPE2)*(TYPE2&lt;&gt;"")+('Dvd Calendar'!$O$1072=TYPE3)*(TYPE3&lt;&gt;"")+('Dvd Calendar'!$O$1072=TYPE4)*(TYPE4&lt;&gt;"")+('Dvd Calendar'!$O$1072=SPECIAL_LBL)*(INC_SPECIALS="Y"))=0,"",'Dvd Calendar'!$O$1070)))</f>
        <v/>
      </c>
      <c r="N108" s="106">
        <f>IF(EP108="","",IF(ISNUMBER('Dvd Calendar'!$P$1070)=FALSE,"",IF((('Dvd Calendar'!$P$1072=TYPE1)*(TYPE1&lt;&gt;"")+('Dvd Calendar'!$P$1072=TYPE2)*(TYPE2&lt;&gt;"")+('Dvd Calendar'!$P$1072=TYPE3)*(TYPE3&lt;&gt;"")+('Dvd Calendar'!$P$1072=TYPE4)*(TYPE4&lt;&gt;"")+('Dvd Calendar'!$P$1072=SPECIAL_LBL)*(INC_SPECIALS="Y"))=0,"",'Dvd Calendar'!$P$1070)))</f>
        <v/>
      </c>
      <c r="O108" s="106">
        <f>IF(EQ108="","",IF(ISNUMBER('Dvd Calendar'!$Q$1070)=FALSE,"",IF((('Dvd Calendar'!$Q$1072=TYPE1)*(TYPE1&lt;&gt;"")+('Dvd Calendar'!$Q$1072=TYPE2)*(TYPE2&lt;&gt;"")+('Dvd Calendar'!$Q$1072=TYPE3)*(TYPE3&lt;&gt;"")+('Dvd Calendar'!$Q$1072=TYPE4)*(TYPE4&lt;&gt;"")+('Dvd Calendar'!$Q$1072=SPECIAL_LBL)*(INC_SPECIALS="Y"))=0,"",'Dvd Calendar'!$Q$1070)))</f>
        <v/>
      </c>
      <c r="P108" s="106">
        <f>IF(ER108="","",IF(ISNUMBER('Dvd Calendar'!$R$1070)=FALSE,"",IF((('Dvd Calendar'!$R$1072=TYPE1)*(TYPE1&lt;&gt;"")+('Dvd Calendar'!$R$1072=TYPE2)*(TYPE2&lt;&gt;"")+('Dvd Calendar'!$R$1072=TYPE3)*(TYPE3&lt;&gt;"")+('Dvd Calendar'!$R$1072=TYPE4)*(TYPE4&lt;&gt;"")+('Dvd Calendar'!$R$1072=SPECIAL_LBL)*(INC_SPECIALS="Y"))=0,"",'Dvd Calendar'!$R$1070)))</f>
        <v/>
      </c>
      <c r="Q108" s="106">
        <f>IF(ES108="","",IF(ISNUMBER('Dvd Calendar'!$S$1070)=FALSE,"",IF((('Dvd Calendar'!$S$1072=TYPE1)*(TYPE1&lt;&gt;"")+('Dvd Calendar'!$S$1072=TYPE2)*(TYPE2&lt;&gt;"")+('Dvd Calendar'!$S$1072=TYPE3)*(TYPE3&lt;&gt;"")+('Dvd Calendar'!$S$1072=TYPE4)*(TYPE4&lt;&gt;"")+('Dvd Calendar'!$S$1072=SPECIAL_LBL)*(INC_SPECIALS="Y"))=0,"",'Dvd Calendar'!$S$1070)))</f>
        <v/>
      </c>
      <c r="R108" s="106">
        <f>IF(ET108="","",IF(ISNUMBER('Dvd Calendar'!$T$1070)=FALSE,"",IF((('Dvd Calendar'!$T$1072=TYPE1)*(TYPE1&lt;&gt;"")+('Dvd Calendar'!$T$1072=TYPE2)*(TYPE2&lt;&gt;"")+('Dvd Calendar'!$T$1072=TYPE3)*(TYPE3&lt;&gt;"")+('Dvd Calendar'!$T$1072=TYPE4)*(TYPE4&lt;&gt;"")+('Dvd Calendar'!$T$1072=SPECIAL_LBL)*(INC_SPECIALS="Y"))=0,"",'Dvd Calendar'!$T$1070)))</f>
        <v/>
      </c>
      <c r="S108" s="106">
        <f>IF(EU108="","",IF(ISNUMBER('Dvd Calendar'!$U$1070)=FALSE,"",IF((('Dvd Calendar'!$U$1072=TYPE1)*(TYPE1&lt;&gt;"")+('Dvd Calendar'!$U$1072=TYPE2)*(TYPE2&lt;&gt;"")+('Dvd Calendar'!$U$1072=TYPE3)*(TYPE3&lt;&gt;"")+('Dvd Calendar'!$U$1072=TYPE4)*(TYPE4&lt;&gt;"")+('Dvd Calendar'!$U$1072=SPECIAL_LBL)*(INC_SPECIALS="Y"))=0,"",'Dvd Calendar'!$U$1070)))</f>
        <v/>
      </c>
      <c r="T108" s="106">
        <f>IF(EV108="","",IF(ISNUMBER('Dvd Calendar'!$V$1070)=FALSE,"",IF((('Dvd Calendar'!$V$1072=TYPE1)*(TYPE1&lt;&gt;"")+('Dvd Calendar'!$V$1072=TYPE2)*(TYPE2&lt;&gt;"")+('Dvd Calendar'!$V$1072=TYPE3)*(TYPE3&lt;&gt;"")+('Dvd Calendar'!$V$1072=TYPE4)*(TYPE4&lt;&gt;"")+('Dvd Calendar'!$V$1072=SPECIAL_LBL)*(INC_SPECIALS="Y"))=0,"",'Dvd Calendar'!$V$1070)))</f>
        <v/>
      </c>
      <c r="U108" s="106">
        <f>IF(EW108="","",IF(ISNUMBER('Dvd Calendar'!$W$1070)=FALSE,"",IF((('Dvd Calendar'!$W$1072=TYPE1)*(TYPE1&lt;&gt;"")+('Dvd Calendar'!$W$1072=TYPE2)*(TYPE2&lt;&gt;"")+('Dvd Calendar'!$W$1072=TYPE3)*(TYPE3&lt;&gt;"")+('Dvd Calendar'!$W$1072=TYPE4)*(TYPE4&lt;&gt;"")+('Dvd Calendar'!$W$1072=SPECIAL_LBL)*(INC_SPECIALS="Y"))=0,"",'Dvd Calendar'!$W$1070)))</f>
        <v/>
      </c>
      <c r="V108" s="106">
        <f>IF(EX108="","",IF(ISNUMBER('Dvd Calendar'!$X$1070)=FALSE,"",IF((('Dvd Calendar'!$X$1072=TYPE1)*(TYPE1&lt;&gt;"")+('Dvd Calendar'!$X$1072=TYPE2)*(TYPE2&lt;&gt;"")+('Dvd Calendar'!$X$1072=TYPE3)*(TYPE3&lt;&gt;"")+('Dvd Calendar'!$X$1072=TYPE4)*(TYPE4&lt;&gt;"")+('Dvd Calendar'!$X$1072=SPECIAL_LBL)*(INC_SPECIALS="Y"))=0,"",'Dvd Calendar'!$X$1070)))</f>
        <v/>
      </c>
      <c r="W108" s="106">
        <f>IF(EY108="","",IF(ISNUMBER('Dvd Calendar'!$Y$1070)=FALSE,"",IF((('Dvd Calendar'!$Y$1072=TYPE1)*(TYPE1&lt;&gt;"")+('Dvd Calendar'!$Y$1072=TYPE2)*(TYPE2&lt;&gt;"")+('Dvd Calendar'!$Y$1072=TYPE3)*(TYPE3&lt;&gt;"")+('Dvd Calendar'!$Y$1072=TYPE4)*(TYPE4&lt;&gt;"")+('Dvd Calendar'!$Y$1072=SPECIAL_LBL)*(INC_SPECIALS="Y"))=0,"",'Dvd Calendar'!$Y$1070)))</f>
        <v/>
      </c>
      <c r="X108" s="106">
        <f>IF(EZ108="","",IF(ISNUMBER('Dvd Calendar'!$Z$1070)=FALSE,"",IF((('Dvd Calendar'!$Z$1072=TYPE1)*(TYPE1&lt;&gt;"")+('Dvd Calendar'!$Z$1072=TYPE2)*(TYPE2&lt;&gt;"")+('Dvd Calendar'!$Z$1072=TYPE3)*(TYPE3&lt;&gt;"")+('Dvd Calendar'!$Z$1072=TYPE4)*(TYPE4&lt;&gt;"")+('Dvd Calendar'!$Z$1072=SPECIAL_LBL)*(INC_SPECIALS="Y"))=0,"",'Dvd Calendar'!$Z$1070)))</f>
        <v/>
      </c>
      <c r="Y108" s="106">
        <f>IF(FA108="","",IF(ISNUMBER('Dvd Calendar'!$AA$1070)=FALSE,"",IF((('Dvd Calendar'!$AA$1072=TYPE1)*(TYPE1&lt;&gt;"")+('Dvd Calendar'!$AA$1072=TYPE2)*(TYPE2&lt;&gt;"")+('Dvd Calendar'!$AA$1072=TYPE3)*(TYPE3&lt;&gt;"")+('Dvd Calendar'!$AA$1072=TYPE4)*(TYPE4&lt;&gt;"")+('Dvd Calendar'!$AA$1072=SPECIAL_LBL)*(INC_SPECIALS="Y"))=0,"",'Dvd Calendar'!$AA$1070)))</f>
        <v/>
      </c>
      <c r="Z108" s="106">
        <f>IF(FB108="","",IF(ISNUMBER('Dvd Calendar'!$AB$1070)=FALSE,"",IF((('Dvd Calendar'!$AB$1072=TYPE1)*(TYPE1&lt;&gt;"")+('Dvd Calendar'!$AB$1072=TYPE2)*(TYPE2&lt;&gt;"")+('Dvd Calendar'!$AB$1072=TYPE3)*(TYPE3&lt;&gt;"")+('Dvd Calendar'!$AB$1072=TYPE4)*(TYPE4&lt;&gt;"")+('Dvd Calendar'!$AB$1072=SPECIAL_LBL)*(INC_SPECIALS="Y"))=0,"",'Dvd Calendar'!$AB$1070)))</f>
        <v/>
      </c>
      <c r="AA108" s="106">
        <f>IF(FC108="","",IF(ISNUMBER('Dvd Calendar'!$AC$1070)=FALSE,"",IF((('Dvd Calendar'!$AC$1072=TYPE1)*(TYPE1&lt;&gt;"")+('Dvd Calendar'!$AC$1072=TYPE2)*(TYPE2&lt;&gt;"")+('Dvd Calendar'!$AC$1072=TYPE3)*(TYPE3&lt;&gt;"")+('Dvd Calendar'!$AC$1072=TYPE4)*(TYPE4&lt;&gt;"")+('Dvd Calendar'!$AC$1072=SPECIAL_LBL)*(INC_SPECIALS="Y"))=0,"",'Dvd Calendar'!$AC$1070)))</f>
        <v/>
      </c>
      <c r="AB108" s="106">
        <f>IF(FD108="","",IF(ISNUMBER('Dvd Calendar'!$AD$1070)=FALSE,"",IF((('Dvd Calendar'!$AD$1072=TYPE1)*(TYPE1&lt;&gt;"")+('Dvd Calendar'!$AD$1072=TYPE2)*(TYPE2&lt;&gt;"")+('Dvd Calendar'!$AD$1072=TYPE3)*(TYPE3&lt;&gt;"")+('Dvd Calendar'!$AD$1072=TYPE4)*(TYPE4&lt;&gt;"")+('Dvd Calendar'!$AD$1072=SPECIAL_LBL)*(INC_SPECIALS="Y"))=0,"",'Dvd Calendar'!$AD$1070)))</f>
        <v/>
      </c>
      <c r="AC108" s="106">
        <f>IF(FE108="","",IF(ISNUMBER('Dvd Calendar'!$AE$1070)=FALSE,"",IF((('Dvd Calendar'!$AE$1072=TYPE1)*(TYPE1&lt;&gt;"")+('Dvd Calendar'!$AE$1072=TYPE2)*(TYPE2&lt;&gt;"")+('Dvd Calendar'!$AE$1072=TYPE3)*(TYPE3&lt;&gt;"")+('Dvd Calendar'!$AE$1072=TYPE4)*(TYPE4&lt;&gt;"")+('Dvd Calendar'!$AE$1072=SPECIAL_LBL)*(INC_SPECIALS="Y"))=0,"",'Dvd Calendar'!$AE$1070)))</f>
        <v/>
      </c>
      <c r="AD108" s="106">
        <f>IF(FF108="","",IF(ISNUMBER('Dvd Calendar'!$AF$1070)=FALSE,"",IF((('Dvd Calendar'!$AF$1072=TYPE1)*(TYPE1&lt;&gt;"")+('Dvd Calendar'!$AF$1072=TYPE2)*(TYPE2&lt;&gt;"")+('Dvd Calendar'!$AF$1072=TYPE3)*(TYPE3&lt;&gt;"")+('Dvd Calendar'!$AF$1072=TYPE4)*(TYPE4&lt;&gt;"")+('Dvd Calendar'!$AF$1072=SPECIAL_LBL)*(INC_SPECIALS="Y"))=0,"",'Dvd Calendar'!$AF$1070)))</f>
        <v/>
      </c>
      <c r="AE108" s="106">
        <f>IF(FG108="","",IF(ISNUMBER('Dvd Calendar'!$AG$1070)=FALSE,"",IF((('Dvd Calendar'!$AG$1072=TYPE1)*(TYPE1&lt;&gt;"")+('Dvd Calendar'!$AG$1072=TYPE2)*(TYPE2&lt;&gt;"")+('Dvd Calendar'!$AG$1072=TYPE3)*(TYPE3&lt;&gt;"")+('Dvd Calendar'!$AG$1072=TYPE4)*(TYPE4&lt;&gt;"")+('Dvd Calendar'!$AG$1072=SPECIAL_LBL)*(INC_SPECIALS="Y"))=0,"",'Dvd Calendar'!$AG$1070)))</f>
        <v/>
      </c>
      <c r="AF108" s="106">
        <f>IF(FH108="","",IF(ISNUMBER('Dvd Calendar'!$AH$1070)=FALSE,"",IF((('Dvd Calendar'!$AH$1072=TYPE1)*(TYPE1&lt;&gt;"")+('Dvd Calendar'!$AH$1072=TYPE2)*(TYPE2&lt;&gt;"")+('Dvd Calendar'!$AH$1072=TYPE3)*(TYPE3&lt;&gt;"")+('Dvd Calendar'!$AH$1072=TYPE4)*(TYPE4&lt;&gt;"")+('Dvd Calendar'!$AH$1072=SPECIAL_LBL)*(INC_SPECIALS="Y"))=0,"",'Dvd Calendar'!$AH$1070)))</f>
        <v/>
      </c>
      <c r="AG108" s="106">
        <f>IF(FI108="","",IF(ISNUMBER('Dvd Calendar'!$AI$1070)=FALSE,"",IF((('Dvd Calendar'!$AI$1072=TYPE1)*(TYPE1&lt;&gt;"")+('Dvd Calendar'!$AI$1072=TYPE2)*(TYPE2&lt;&gt;"")+('Dvd Calendar'!$AI$1072=TYPE3)*(TYPE3&lt;&gt;"")+('Dvd Calendar'!$AI$1072=TYPE4)*(TYPE4&lt;&gt;"")+('Dvd Calendar'!$AI$1072=SPECIAL_LBL)*(INC_SPECIALS="Y"))=0,"",'Dvd Calendar'!$AI$1070)))</f>
        <v/>
      </c>
      <c r="AH108" s="106">
        <f>IF(FJ108="","",IF(ISNUMBER('Dvd Calendar'!$AJ$1070)=FALSE,"",IF((('Dvd Calendar'!$AJ$1072=TYPE1)*(TYPE1&lt;&gt;"")+('Dvd Calendar'!$AJ$1072=TYPE2)*(TYPE2&lt;&gt;"")+('Dvd Calendar'!$AJ$1072=TYPE3)*(TYPE3&lt;&gt;"")+('Dvd Calendar'!$AJ$1072=TYPE4)*(TYPE4&lt;&gt;"")+('Dvd Calendar'!$AJ$1072=SPECIAL_LBL)*(INC_SPECIALS="Y"))=0,"",'Dvd Calendar'!$AJ$1070)))</f>
        <v/>
      </c>
      <c r="AI108" s="106">
        <f>IF(FK108="","",IF(ISNUMBER('Dvd Calendar'!$AK$1070)=FALSE,"",IF((('Dvd Calendar'!$AK$1072=TYPE1)*(TYPE1&lt;&gt;"")+('Dvd Calendar'!$AK$1072=TYPE2)*(TYPE2&lt;&gt;"")+('Dvd Calendar'!$AK$1072=TYPE3)*(TYPE3&lt;&gt;"")+('Dvd Calendar'!$AK$1072=TYPE4)*(TYPE4&lt;&gt;"")+('Dvd Calendar'!$AK$1072=SPECIAL_LBL)*(INC_SPECIALS="Y"))=0,"",'Dvd Calendar'!$AK$1070)))</f>
        <v/>
      </c>
      <c r="AJ108" s="106">
        <f>IF(FL108="","",IF(ISNUMBER('Dvd Calendar'!$AL$1070)=FALSE,"",IF((('Dvd Calendar'!$AL$1072=TYPE1)*(TYPE1&lt;&gt;"")+('Dvd Calendar'!$AL$1072=TYPE2)*(TYPE2&lt;&gt;"")+('Dvd Calendar'!$AL$1072=TYPE3)*(TYPE3&lt;&gt;"")+('Dvd Calendar'!$AL$1072=TYPE4)*(TYPE4&lt;&gt;"")+('Dvd Calendar'!$AL$1072=SPECIAL_LBL)*(INC_SPECIALS="Y"))=0,"",'Dvd Calendar'!$AL$1070)))</f>
        <v/>
      </c>
      <c r="AK108" s="106">
        <f>IF(FM108="","",IF(ISNUMBER('Dvd Calendar'!$AM$1070)=FALSE,"",IF((('Dvd Calendar'!$AM$1072=TYPE1)*(TYPE1&lt;&gt;"")+('Dvd Calendar'!$AM$1072=TYPE2)*(TYPE2&lt;&gt;"")+('Dvd Calendar'!$AM$1072=TYPE3)*(TYPE3&lt;&gt;"")+('Dvd Calendar'!$AM$1072=TYPE4)*(TYPE4&lt;&gt;"")+('Dvd Calendar'!$AM$1072=SPECIAL_LBL)*(INC_SPECIALS="Y"))=0,"",'Dvd Calendar'!$AM$1070)))</f>
        <v/>
      </c>
      <c r="AL108" s="106">
        <f>IF(FN108="","",IF(ISNUMBER('Dvd Calendar'!$AN$1070)=FALSE,"",IF((('Dvd Calendar'!$AN$1072=TYPE1)*(TYPE1&lt;&gt;"")+('Dvd Calendar'!$AN$1072=TYPE2)*(TYPE2&lt;&gt;"")+('Dvd Calendar'!$AN$1072=TYPE3)*(TYPE3&lt;&gt;"")+('Dvd Calendar'!$AN$1072=TYPE4)*(TYPE4&lt;&gt;"")+('Dvd Calendar'!$AN$1072=SPECIAL_LBL)*(INC_SPECIALS="Y"))=0,"",'Dvd Calendar'!$AN$1070)))</f>
        <v/>
      </c>
      <c r="AM108" s="106">
        <f>IF(FO108="","",IF(ISNUMBER('Dvd Calendar'!$AO$1070)=FALSE,"",IF((('Dvd Calendar'!$AO$1072=TYPE1)*(TYPE1&lt;&gt;"")+('Dvd Calendar'!$AO$1072=TYPE2)*(TYPE2&lt;&gt;"")+('Dvd Calendar'!$AO$1072=TYPE3)*(TYPE3&lt;&gt;"")+('Dvd Calendar'!$AO$1072=TYPE4)*(TYPE4&lt;&gt;"")+('Dvd Calendar'!$AO$1072=SPECIAL_LBL)*(INC_SPECIALS="Y"))=0,"",'Dvd Calendar'!$AO$1070)))</f>
        <v/>
      </c>
      <c r="AN108" s="106">
        <f>IF(FP108="","",IF(ISNUMBER('Dvd Calendar'!$AP$1070)=FALSE,"",IF((('Dvd Calendar'!$AP$1072=TYPE1)*(TYPE1&lt;&gt;"")+('Dvd Calendar'!$AP$1072=TYPE2)*(TYPE2&lt;&gt;"")+('Dvd Calendar'!$AP$1072=TYPE3)*(TYPE3&lt;&gt;"")+('Dvd Calendar'!$AP$1072=TYPE4)*(TYPE4&lt;&gt;"")+('Dvd Calendar'!$AP$1072=SPECIAL_LBL)*(INC_SPECIALS="Y"))=0,"",'Dvd Calendar'!$AP$1070)))</f>
        <v/>
      </c>
      <c r="AO108" s="106">
        <f>IF(FQ108="","",IF(ISNUMBER('Dvd Calendar'!$AQ$1070)=FALSE,"",IF((('Dvd Calendar'!$AQ$1072=TYPE1)*(TYPE1&lt;&gt;"")+('Dvd Calendar'!$AQ$1072=TYPE2)*(TYPE2&lt;&gt;"")+('Dvd Calendar'!$AQ$1072=TYPE3)*(TYPE3&lt;&gt;"")+('Dvd Calendar'!$AQ$1072=TYPE4)*(TYPE4&lt;&gt;"")+('Dvd Calendar'!$AQ$1072=SPECIAL_LBL)*(INC_SPECIALS="Y"))=0,"",'Dvd Calendar'!$AQ$1070)))</f>
        <v/>
      </c>
      <c r="AP108" s="106">
        <f>IF(FR108="","",IF(ISNUMBER('Dvd Calendar'!$AR$1070)=FALSE,"",IF((('Dvd Calendar'!$AR$1072=TYPE1)*(TYPE1&lt;&gt;"")+('Dvd Calendar'!$AR$1072=TYPE2)*(TYPE2&lt;&gt;"")+('Dvd Calendar'!$AR$1072=TYPE3)*(TYPE3&lt;&gt;"")+('Dvd Calendar'!$AR$1072=TYPE4)*(TYPE4&lt;&gt;"")+('Dvd Calendar'!$AR$1072=SPECIAL_LBL)*(INC_SPECIALS="Y"))=0,"",'Dvd Calendar'!$AR$1070)))</f>
        <v/>
      </c>
      <c r="AQ108" s="106">
        <f>IF(FS108="","",IF(ISNUMBER('Dvd Calendar'!$E$1075)=FALSE,"",'Dvd Calendar'!$E$1075))</f>
        <v/>
      </c>
      <c r="AR108" s="106">
        <f>IF(FT108="","",IF(ISNUMBER('Dvd Calendar'!$F$1075)=FALSE,"",'Dvd Calendar'!$F$1075))</f>
        <v/>
      </c>
      <c r="AS108" s="106">
        <f>IF(FU108="","",IF(ISNUMBER('Dvd Calendar'!$G$1075)=FALSE,"",'Dvd Calendar'!$G$1075))</f>
        <v/>
      </c>
      <c r="AT108" s="106">
        <f>IF(FV108="","",IF(ISNUMBER('Dvd Calendar'!$H$1075)=FALSE,"",'Dvd Calendar'!$H$1075))</f>
        <v/>
      </c>
      <c r="AU108" s="106">
        <f>IF(FW108="","",IF(ISNUMBER('Dvd Calendar'!$I$1075)=FALSE,"",'Dvd Calendar'!$I$1075))</f>
        <v/>
      </c>
      <c r="AV108" s="106">
        <f>IF(FX108="","",IF(ISNUMBER('Dvd Calendar'!$J$1075)=FALSE,"",'Dvd Calendar'!$J$1075))</f>
        <v/>
      </c>
      <c r="AW108" s="106">
        <f>IF(FY108="","",IF(ISNUMBER('Dvd Calendar'!$K$1075)=FALSE,"",'Dvd Calendar'!$K$1075))</f>
        <v/>
      </c>
      <c r="AX108" s="106">
        <f>IF(FZ108="","",IF(ISNUMBER('Dvd Calendar'!$L$1075)=FALSE,"",'Dvd Calendar'!$L$1075))</f>
        <v/>
      </c>
      <c r="AY108" s="106">
        <f>IF(GA108="","",IF(ISNUMBER('Dvd Calendar'!$M$1075)=FALSE,"",'Dvd Calendar'!$M$1075))</f>
        <v/>
      </c>
      <c r="AZ108" s="106">
        <f>IF(GB108="","",IF(ISNUMBER('Dvd Calendar'!$N$1075)=FALSE,"",'Dvd Calendar'!$N$1075))</f>
        <v/>
      </c>
      <c r="BA108" s="106">
        <f>IF(GC108="","",IF(ISNUMBER('Dvd Calendar'!$O$1075)=FALSE,"",'Dvd Calendar'!$O$1075))</f>
        <v/>
      </c>
      <c r="BB108" s="106">
        <f>IF(GD108="","",IF(ISNUMBER('Dvd Calendar'!$P$1075)=FALSE,"",'Dvd Calendar'!$P$1075))</f>
        <v/>
      </c>
      <c r="BC108" s="106">
        <f>IF(GE108="","",IF(ISNUMBER('Dvd Calendar'!$Q$1075)=FALSE,"",'Dvd Calendar'!$Q$1075))</f>
        <v/>
      </c>
      <c r="BD108" s="106">
        <f>IF(GF108="","",IF(ISNUMBER('Dvd Calendar'!$R$1075)=FALSE,"",'Dvd Calendar'!$R$1075))</f>
        <v/>
      </c>
      <c r="BE108" s="106">
        <f>IF(GG108="","",IF(ISNUMBER('Dvd Calendar'!$S$1075)=FALSE,"",'Dvd Calendar'!$S$1075))</f>
        <v/>
      </c>
      <c r="BF108" s="106">
        <f>IF(GH108="","",IF(ISNUMBER('Dvd Calendar'!$T$1075)=FALSE,"",'Dvd Calendar'!$T$1075))</f>
        <v/>
      </c>
      <c r="BG108" s="106">
        <f>IF(GI108="","",IF(ISNUMBER('Dvd Calendar'!$U$1075)=FALSE,"",'Dvd Calendar'!$U$1075))</f>
        <v/>
      </c>
      <c r="BH108" s="106">
        <f>IF(GJ108="","",IF(ISNUMBER('Dvd Calendar'!$V$1075)=FALSE,"",'Dvd Calendar'!$V$1075))</f>
        <v/>
      </c>
      <c r="BI108" s="106">
        <f>IF(GK108="","",IF(ISNUMBER('Dvd Calendar'!$W$1075)=FALSE,"",'Dvd Calendar'!$W$1075))</f>
        <v/>
      </c>
      <c r="BJ108" s="106">
        <f>IF(GL108="","",IF(ISNUMBER('Dvd Calendar'!$X$1075)=FALSE,"",'Dvd Calendar'!$X$1075))</f>
        <v/>
      </c>
      <c r="BK108" s="106">
        <f>IF(GM108="","",IF(ISNUMBER('Dvd Calendar'!$Y$1075)=FALSE,"",'Dvd Calendar'!$Y$1075))</f>
        <v/>
      </c>
      <c r="BL108" s="106">
        <f>IF(GN108="","",IF(ISNUMBER('Dvd Calendar'!$Z$1075)=FALSE,"",'Dvd Calendar'!$Z$1075))</f>
        <v/>
      </c>
      <c r="BM108" s="106">
        <f>IF(GO108="","",IF(ISNUMBER('Dvd Calendar'!$AA$1075)=FALSE,"",'Dvd Calendar'!$AA$1075))</f>
        <v/>
      </c>
      <c r="BN108" s="106">
        <f>IF(GP108="","",IF(ISNUMBER('Dvd Calendar'!$AB$1075)=FALSE,"",'Dvd Calendar'!$AB$1075))</f>
        <v/>
      </c>
      <c r="BO108" s="106">
        <f>IF(GQ108="","",IF(ISNUMBER('Dvd Calendar'!$AC$1075)=FALSE,"",'Dvd Calendar'!$AC$1075))</f>
        <v/>
      </c>
      <c r="BQ108" s="106">
        <f>IF(C108="","",IFERROR(C108*HSI!$B$103*HSI!$G$103/HSI!$B$3,""))</f>
        <v/>
      </c>
      <c r="BR108" s="106">
        <f>IF(D108="","",IFERROR(D108*HSI!$B$103*HSI!$G$103/HSI!$B$3,""))</f>
        <v/>
      </c>
      <c r="BS108" s="106">
        <f>IF(E108="","",IFERROR(E108*HSI!$B$103*HSI!$G$103/HSI!$B$3,""))</f>
        <v/>
      </c>
      <c r="BT108" s="106">
        <f>IF(F108="","",IFERROR(F108*HSI!$B$103*HSI!$G$103/HSI!$B$3,""))</f>
        <v/>
      </c>
      <c r="BU108" s="106">
        <f>IF(G108="","",IFERROR(G108*HSI!$B$103*HSI!$G$103/HSI!$B$3,""))</f>
        <v/>
      </c>
      <c r="BV108" s="106">
        <f>IF(H108="","",IFERROR(H108*HSI!$B$103*HSI!$G$103/HSI!$B$3,""))</f>
        <v/>
      </c>
      <c r="BW108" s="106">
        <f>IF(I108="","",IFERROR(I108*HSI!$B$103*HSI!$G$103/HSI!$B$3,""))</f>
        <v/>
      </c>
      <c r="BX108" s="106">
        <f>IF(J108="","",IFERROR(J108*HSI!$B$103*HSI!$G$103/HSI!$B$3,""))</f>
        <v/>
      </c>
      <c r="BY108" s="106">
        <f>IF(K108="","",IFERROR(K108*HSI!$B$103*HSI!$G$103/HSI!$B$3,""))</f>
        <v/>
      </c>
      <c r="BZ108" s="106">
        <f>IF(L108="","",IFERROR(L108*HSI!$B$103*HSI!$G$103/HSI!$B$3,""))</f>
        <v/>
      </c>
      <c r="CA108" s="106">
        <f>IF(M108="","",IFERROR(M108*HSI!$B$103*HSI!$G$103/HSI!$B$3,""))</f>
        <v/>
      </c>
      <c r="CB108" s="106">
        <f>IF(N108="","",IFERROR(N108*HSI!$B$103*HSI!$G$103/HSI!$B$3,""))</f>
        <v/>
      </c>
      <c r="CC108" s="106">
        <f>IF(O108="","",IFERROR(O108*HSI!$B$103*HSI!$G$103/HSI!$B$3,""))</f>
        <v/>
      </c>
      <c r="CD108" s="106">
        <f>IF(P108="","",IFERROR(P108*HSI!$B$103*HSI!$G$103/HSI!$B$3,""))</f>
        <v/>
      </c>
      <c r="CE108" s="106">
        <f>IF(Q108="","",IFERROR(Q108*HSI!$B$103*HSI!$G$103/HSI!$B$3,""))</f>
        <v/>
      </c>
      <c r="CF108" s="106">
        <f>IF(R108="","",IFERROR(R108*HSI!$B$103*HSI!$G$103/HSI!$B$3,""))</f>
        <v/>
      </c>
      <c r="CG108" s="106">
        <f>IF(S108="","",IFERROR(S108*HSI!$B$103*HSI!$G$103/HSI!$B$3,""))</f>
        <v/>
      </c>
      <c r="CH108" s="106">
        <f>IF(T108="","",IFERROR(T108*HSI!$B$103*HSI!$G$103/HSI!$B$3,""))</f>
        <v/>
      </c>
      <c r="CI108" s="106">
        <f>IF(U108="","",IFERROR(U108*HSI!$B$103*HSI!$G$103/HSI!$B$3,""))</f>
        <v/>
      </c>
      <c r="CJ108" s="106">
        <f>IF(V108="","",IFERROR(V108*HSI!$B$103*HSI!$G$103/HSI!$B$3,""))</f>
        <v/>
      </c>
      <c r="CK108" s="106">
        <f>IF(W108="","",IFERROR(W108*HSI!$B$103*HSI!$G$103/HSI!$B$3,""))</f>
        <v/>
      </c>
      <c r="CL108" s="106">
        <f>IF(X108="","",IFERROR(X108*HSI!$B$103*HSI!$G$103/HSI!$B$3,""))</f>
        <v/>
      </c>
      <c r="CM108" s="106">
        <f>IF(Y108="","",IFERROR(Y108*HSI!$B$103*HSI!$G$103/HSI!$B$3,""))</f>
        <v/>
      </c>
      <c r="CN108" s="106">
        <f>IF(Z108="","",IFERROR(Z108*HSI!$B$103*HSI!$G$103/HSI!$B$3,""))</f>
        <v/>
      </c>
      <c r="CO108" s="106">
        <f>IF(AA108="","",IFERROR(AA108*HSI!$B$103*HSI!$G$103/HSI!$B$3,""))</f>
        <v/>
      </c>
      <c r="CP108" s="106">
        <f>IF(AB108="","",IFERROR(AB108*HSI!$B$103*HSI!$G$103/HSI!$B$3,""))</f>
        <v/>
      </c>
      <c r="CQ108" s="106">
        <f>IF(AC108="","",IFERROR(AC108*HSI!$B$103*HSI!$G$103/HSI!$B$3,""))</f>
        <v/>
      </c>
      <c r="CR108" s="106">
        <f>IF(AD108="","",IFERROR(AD108*HSI!$B$103*HSI!$G$103/HSI!$B$3,""))</f>
        <v/>
      </c>
      <c r="CS108" s="106">
        <f>IF(AE108="","",IFERROR(AE108*HSI!$B$103*HSI!$G$103/HSI!$B$3,""))</f>
        <v/>
      </c>
      <c r="CT108" s="106">
        <f>IF(AF108="","",IFERROR(AF108*HSI!$B$103*HSI!$G$103/HSI!$B$3,""))</f>
        <v/>
      </c>
      <c r="CU108" s="106">
        <f>IF(AG108="","",IFERROR(AG108*HSI!$B$103*HSI!$G$103/HSI!$B$3,""))</f>
        <v/>
      </c>
      <c r="CV108" s="106">
        <f>IF(AH108="","",IFERROR(AH108*HSI!$B$103*HSI!$G$103/HSI!$B$3,""))</f>
        <v/>
      </c>
      <c r="CW108" s="106">
        <f>IF(AI108="","",IFERROR(AI108*HSI!$B$103*HSI!$G$103/HSI!$B$3,""))</f>
        <v/>
      </c>
      <c r="CX108" s="106">
        <f>IF(AJ108="","",IFERROR(AJ108*HSI!$B$103*HSI!$G$103/HSI!$B$3,""))</f>
        <v/>
      </c>
      <c r="CY108" s="106">
        <f>IF(AK108="","",IFERROR(AK108*HSI!$B$103*HSI!$G$103/HSI!$B$3,""))</f>
        <v/>
      </c>
      <c r="CZ108" s="106">
        <f>IF(AL108="","",IFERROR(AL108*HSI!$B$103*HSI!$G$103/HSI!$B$3,""))</f>
        <v/>
      </c>
      <c r="DA108" s="106">
        <f>IF(AM108="","",IFERROR(AM108*HSI!$B$103*HSI!$G$103/HSI!$B$3,""))</f>
        <v/>
      </c>
      <c r="DB108" s="106">
        <f>IF(AN108="","",IFERROR(AN108*HSI!$B$103*HSI!$G$103/HSI!$B$3,""))</f>
        <v/>
      </c>
      <c r="DC108" s="106">
        <f>IF(AO108="","",IFERROR(AO108*HSI!$B$103*HSI!$G$103/HSI!$B$3,""))</f>
        <v/>
      </c>
      <c r="DD108" s="106">
        <f>IF(AP108="","",IFERROR(AP108*HSI!$B$103*HSI!$G$103/HSI!$B$3,""))</f>
        <v/>
      </c>
      <c r="DE108" s="106">
        <f>IF(AQ108="","",IFERROR(AQ108*HSI!$B$103*HSI!$G$103/HSI!$B$3,""))</f>
        <v/>
      </c>
      <c r="DF108" s="106">
        <f>IF(AR108="","",IFERROR(AR108*HSI!$B$103*HSI!$G$103/HSI!$B$3,""))</f>
        <v/>
      </c>
      <c r="DG108" s="106">
        <f>IF(AS108="","",IFERROR(AS108*HSI!$B$103*HSI!$G$103/HSI!$B$3,""))</f>
        <v/>
      </c>
      <c r="DH108" s="106">
        <f>IF(AT108="","",IFERROR(AT108*HSI!$B$103*HSI!$G$103/HSI!$B$3,""))</f>
        <v/>
      </c>
      <c r="DI108" s="106">
        <f>IF(AU108="","",IFERROR(AU108*HSI!$B$103*HSI!$G$103/HSI!$B$3,""))</f>
        <v/>
      </c>
      <c r="DJ108" s="106">
        <f>IF(AV108="","",IFERROR(AV108*HSI!$B$103*HSI!$G$103/HSI!$B$3,""))</f>
        <v/>
      </c>
      <c r="DK108" s="106">
        <f>IF(AW108="","",IFERROR(AW108*HSI!$B$103*HSI!$G$103/HSI!$B$3,""))</f>
        <v/>
      </c>
      <c r="DL108" s="106">
        <f>IF(AX108="","",IFERROR(AX108*HSI!$B$103*HSI!$G$103/HSI!$B$3,""))</f>
        <v/>
      </c>
      <c r="DM108" s="106">
        <f>IF(AY108="","",IFERROR(AY108*HSI!$B$103*HSI!$G$103/HSI!$B$3,""))</f>
        <v/>
      </c>
      <c r="DN108" s="106">
        <f>IF(AZ108="","",IFERROR(AZ108*HSI!$B$103*HSI!$G$103/HSI!$B$3,""))</f>
        <v/>
      </c>
      <c r="DO108" s="106">
        <f>IF(BA108="","",IFERROR(BA108*HSI!$B$103*HSI!$G$103/HSI!$B$3,""))</f>
        <v/>
      </c>
      <c r="DP108" s="106">
        <f>IF(BB108="","",IFERROR(BB108*HSI!$B$103*HSI!$G$103/HSI!$B$3,""))</f>
        <v/>
      </c>
      <c r="DQ108" s="106">
        <f>IF(BC108="","",IFERROR(BC108*HSI!$B$103*HSI!$G$103/HSI!$B$3,""))</f>
        <v/>
      </c>
      <c r="DR108" s="106">
        <f>IF(BD108="","",IFERROR(BD108*HSI!$B$103*HSI!$G$103/HSI!$B$3,""))</f>
        <v/>
      </c>
      <c r="DS108" s="106">
        <f>IF(BE108="","",IFERROR(BE108*HSI!$B$103*HSI!$G$103/HSI!$B$3,""))</f>
        <v/>
      </c>
      <c r="DT108" s="106">
        <f>IF(BF108="","",IFERROR(BF108*HSI!$B$103*HSI!$G$103/HSI!$B$3,""))</f>
        <v/>
      </c>
      <c r="DU108" s="106">
        <f>IF(BG108="","",IFERROR(BG108*HSI!$B$103*HSI!$G$103/HSI!$B$3,""))</f>
        <v/>
      </c>
      <c r="DV108" s="106">
        <f>IF(BH108="","",IFERROR(BH108*HSI!$B$103*HSI!$G$103/HSI!$B$3,""))</f>
        <v/>
      </c>
      <c r="DW108" s="106">
        <f>IF(BI108="","",IFERROR(BI108*HSI!$B$103*HSI!$G$103/HSI!$B$3,""))</f>
        <v/>
      </c>
      <c r="DX108" s="106">
        <f>IF(BJ108="","",IFERROR(BJ108*HSI!$B$103*HSI!$G$103/HSI!$B$3,""))</f>
        <v/>
      </c>
      <c r="DY108" s="106">
        <f>IF(BK108="","",IFERROR(BK108*HSI!$B$103*HSI!$G$103/HSI!$B$3,""))</f>
        <v/>
      </c>
      <c r="DZ108" s="106">
        <f>IF(BL108="","",IFERROR(BL108*HSI!$B$103*HSI!$G$103/HSI!$B$3,""))</f>
        <v/>
      </c>
      <c r="EA108" s="106">
        <f>IF(BM108="","",IFERROR(BM108*HSI!$B$103*HSI!$G$103/HSI!$B$3,""))</f>
        <v/>
      </c>
      <c r="EB108" s="106">
        <f>IF(BN108="","",IFERROR(BN108*HSI!$B$103*HSI!$G$103/HSI!$B$3,""))</f>
        <v/>
      </c>
      <c r="EC108" s="106">
        <f>IF(BO108="","",IFERROR(BO108*HSI!$B$103*HSI!$G$103/HSI!$B$3,""))</f>
        <v/>
      </c>
      <c r="EE108" s="35">
        <f>IF(N('Dvd Calendar'!$E$1067)=0,"",IF(('Dvd Calendar'!$E$1067&gt;=GRID_FROM)*('Dvd Calendar'!$E$1067&lt;=GRID_TO)*('Dvd Calendar'!$E$1067&lt;=VAL_DATE)=0,"",'Dvd Calendar'!$E$1067*1000000000+ISNUMBER('Dvd Calendar'!$E$1070)*100000000+('Dvd Calendar'!$E$1072=SPECIAL_LBL)*10000000+0*1000000+97*1000+1))</f>
        <v/>
      </c>
      <c r="EF108" s="35">
        <f>IF(N('Dvd Calendar'!$F$1067)=0,"",IF(('Dvd Calendar'!$F$1067&gt;=GRID_FROM)*('Dvd Calendar'!$F$1067&lt;=GRID_TO)*('Dvd Calendar'!$F$1067&lt;=VAL_DATE)=0,"",'Dvd Calendar'!$F$1067*1000000000+ISNUMBER('Dvd Calendar'!$F$1070)*100000000+('Dvd Calendar'!$F$1072=SPECIAL_LBL)*10000000+0*1000000+97*1000+2))</f>
        <v/>
      </c>
      <c r="EG108" s="35">
        <f>IF(N('Dvd Calendar'!$G$1067)=0,"",IF(('Dvd Calendar'!$G$1067&gt;=GRID_FROM)*('Dvd Calendar'!$G$1067&lt;=GRID_TO)*('Dvd Calendar'!$G$1067&lt;=VAL_DATE)=0,"",'Dvd Calendar'!$G$1067*1000000000+ISNUMBER('Dvd Calendar'!$G$1070)*100000000+('Dvd Calendar'!$G$1072=SPECIAL_LBL)*10000000+0*1000000+97*1000+3))</f>
        <v/>
      </c>
      <c r="EH108" s="35">
        <f>IF(N('Dvd Calendar'!$H$1067)=0,"",IF(('Dvd Calendar'!$H$1067&gt;=GRID_FROM)*('Dvd Calendar'!$H$1067&lt;=GRID_TO)*('Dvd Calendar'!$H$1067&lt;=VAL_DATE)=0,"",'Dvd Calendar'!$H$1067*1000000000+ISNUMBER('Dvd Calendar'!$H$1070)*100000000+('Dvd Calendar'!$H$1072=SPECIAL_LBL)*10000000+0*1000000+97*1000+4))</f>
        <v/>
      </c>
      <c r="EI108" s="35">
        <f>IF(N('Dvd Calendar'!$I$1067)=0,"",IF(('Dvd Calendar'!$I$1067&gt;=GRID_FROM)*('Dvd Calendar'!$I$1067&lt;=GRID_TO)*('Dvd Calendar'!$I$1067&lt;=VAL_DATE)=0,"",'Dvd Calendar'!$I$1067*1000000000+ISNUMBER('Dvd Calendar'!$I$1070)*100000000+('Dvd Calendar'!$I$1072=SPECIAL_LBL)*10000000+0*1000000+97*1000+5))</f>
        <v/>
      </c>
      <c r="EJ108" s="35">
        <f>IF(N('Dvd Calendar'!$J$1067)=0,"",IF(('Dvd Calendar'!$J$1067&gt;=GRID_FROM)*('Dvd Calendar'!$J$1067&lt;=GRID_TO)*('Dvd Calendar'!$J$1067&lt;=VAL_DATE)=0,"",'Dvd Calendar'!$J$1067*1000000000+ISNUMBER('Dvd Calendar'!$J$1070)*100000000+('Dvd Calendar'!$J$1072=SPECIAL_LBL)*10000000+0*1000000+97*1000+6))</f>
        <v/>
      </c>
      <c r="EK108" s="35">
        <f>IF(N('Dvd Calendar'!$K$1067)=0,"",IF(('Dvd Calendar'!$K$1067&gt;=GRID_FROM)*('Dvd Calendar'!$K$1067&lt;=GRID_TO)*('Dvd Calendar'!$K$1067&lt;=VAL_DATE)=0,"",'Dvd Calendar'!$K$1067*1000000000+ISNUMBER('Dvd Calendar'!$K$1070)*100000000+('Dvd Calendar'!$K$1072=SPECIAL_LBL)*10000000+0*1000000+97*1000+7))</f>
        <v/>
      </c>
      <c r="EL108" s="35">
        <f>IF(N('Dvd Calendar'!$L$1067)=0,"",IF(('Dvd Calendar'!$L$1067&gt;=GRID_FROM)*('Dvd Calendar'!$L$1067&lt;=GRID_TO)*('Dvd Calendar'!$L$1067&lt;=VAL_DATE)=0,"",'Dvd Calendar'!$L$1067*1000000000+ISNUMBER('Dvd Calendar'!$L$1070)*100000000+('Dvd Calendar'!$L$1072=SPECIAL_LBL)*10000000+0*1000000+97*1000+8))</f>
        <v/>
      </c>
      <c r="EM108" s="35">
        <f>IF(N('Dvd Calendar'!$M$1067)=0,"",IF(('Dvd Calendar'!$M$1067&gt;=GRID_FROM)*('Dvd Calendar'!$M$1067&lt;=GRID_TO)*('Dvd Calendar'!$M$1067&lt;=VAL_DATE)=0,"",'Dvd Calendar'!$M$1067*1000000000+ISNUMBER('Dvd Calendar'!$M$1070)*100000000+('Dvd Calendar'!$M$1072=SPECIAL_LBL)*10000000+0*1000000+97*1000+9))</f>
        <v/>
      </c>
      <c r="EN108" s="35">
        <f>IF(N('Dvd Calendar'!$N$1067)=0,"",IF(('Dvd Calendar'!$N$1067&gt;=GRID_FROM)*('Dvd Calendar'!$N$1067&lt;=GRID_TO)*('Dvd Calendar'!$N$1067&lt;=VAL_DATE)=0,"",'Dvd Calendar'!$N$1067*1000000000+ISNUMBER('Dvd Calendar'!$N$1070)*100000000+('Dvd Calendar'!$N$1072=SPECIAL_LBL)*10000000+0*1000000+97*1000+10))</f>
        <v/>
      </c>
      <c r="EO108" s="35">
        <f>IF(N('Dvd Calendar'!$O$1067)=0,"",IF(('Dvd Calendar'!$O$1067&gt;=GRID_FROM)*('Dvd Calendar'!$O$1067&lt;=GRID_TO)*('Dvd Calendar'!$O$1067&lt;=VAL_DATE)=0,"",'Dvd Calendar'!$O$1067*1000000000+ISNUMBER('Dvd Calendar'!$O$1070)*100000000+('Dvd Calendar'!$O$1072=SPECIAL_LBL)*10000000+0*1000000+97*1000+11))</f>
        <v/>
      </c>
      <c r="EP108" s="35">
        <f>IF(N('Dvd Calendar'!$P$1067)=0,"",IF(('Dvd Calendar'!$P$1067&gt;=GRID_FROM)*('Dvd Calendar'!$P$1067&lt;=GRID_TO)*('Dvd Calendar'!$P$1067&lt;=VAL_DATE)=0,"",'Dvd Calendar'!$P$1067*1000000000+ISNUMBER('Dvd Calendar'!$P$1070)*100000000+('Dvd Calendar'!$P$1072=SPECIAL_LBL)*10000000+0*1000000+97*1000+12))</f>
        <v/>
      </c>
      <c r="EQ108" s="35">
        <f>IF(N('Dvd Calendar'!$Q$1067)=0,"",IF(('Dvd Calendar'!$Q$1067&gt;=GRID_FROM)*('Dvd Calendar'!$Q$1067&lt;=GRID_TO)*('Dvd Calendar'!$Q$1067&lt;=VAL_DATE)=0,"",'Dvd Calendar'!$Q$1067*1000000000+ISNUMBER('Dvd Calendar'!$Q$1070)*100000000+('Dvd Calendar'!$Q$1072=SPECIAL_LBL)*10000000+0*1000000+97*1000+13))</f>
        <v/>
      </c>
      <c r="ER108" s="35">
        <f>IF(N('Dvd Calendar'!$R$1067)=0,"",IF(('Dvd Calendar'!$R$1067&gt;=GRID_FROM)*('Dvd Calendar'!$R$1067&lt;=GRID_TO)*('Dvd Calendar'!$R$1067&lt;=VAL_DATE)=0,"",'Dvd Calendar'!$R$1067*1000000000+ISNUMBER('Dvd Calendar'!$R$1070)*100000000+('Dvd Calendar'!$R$1072=SPECIAL_LBL)*10000000+0*1000000+97*1000+14))</f>
        <v/>
      </c>
      <c r="ES108" s="35">
        <f>IF(N('Dvd Calendar'!$S$1067)=0,"",IF(('Dvd Calendar'!$S$1067&gt;=GRID_FROM)*('Dvd Calendar'!$S$1067&lt;=GRID_TO)*('Dvd Calendar'!$S$1067&lt;=VAL_DATE)=0,"",'Dvd Calendar'!$S$1067*1000000000+ISNUMBER('Dvd Calendar'!$S$1070)*100000000+('Dvd Calendar'!$S$1072=SPECIAL_LBL)*10000000+0*1000000+97*1000+15))</f>
        <v/>
      </c>
      <c r="ET108" s="35">
        <f>IF(N('Dvd Calendar'!$T$1067)=0,"",IF(('Dvd Calendar'!$T$1067&gt;=GRID_FROM)*('Dvd Calendar'!$T$1067&lt;=GRID_TO)*('Dvd Calendar'!$T$1067&lt;=VAL_DATE)=0,"",'Dvd Calendar'!$T$1067*1000000000+ISNUMBER('Dvd Calendar'!$T$1070)*100000000+('Dvd Calendar'!$T$1072=SPECIAL_LBL)*10000000+0*1000000+97*1000+16))</f>
        <v/>
      </c>
      <c r="EU108" s="35">
        <f>IF(N('Dvd Calendar'!$U$1067)=0,"",IF(('Dvd Calendar'!$U$1067&gt;=GRID_FROM)*('Dvd Calendar'!$U$1067&lt;=GRID_TO)*('Dvd Calendar'!$U$1067&lt;=VAL_DATE)=0,"",'Dvd Calendar'!$U$1067*1000000000+ISNUMBER('Dvd Calendar'!$U$1070)*100000000+('Dvd Calendar'!$U$1072=SPECIAL_LBL)*10000000+0*1000000+97*1000+17))</f>
        <v/>
      </c>
      <c r="EV108" s="35">
        <f>IF(N('Dvd Calendar'!$V$1067)=0,"",IF(('Dvd Calendar'!$V$1067&gt;=GRID_FROM)*('Dvd Calendar'!$V$1067&lt;=GRID_TO)*('Dvd Calendar'!$V$1067&lt;=VAL_DATE)=0,"",'Dvd Calendar'!$V$1067*1000000000+ISNUMBER('Dvd Calendar'!$V$1070)*100000000+('Dvd Calendar'!$V$1072=SPECIAL_LBL)*10000000+0*1000000+97*1000+18))</f>
        <v/>
      </c>
      <c r="EW108" s="35">
        <f>IF(N('Dvd Calendar'!$W$1067)=0,"",IF(('Dvd Calendar'!$W$1067&gt;=GRID_FROM)*('Dvd Calendar'!$W$1067&lt;=GRID_TO)*('Dvd Calendar'!$W$1067&lt;=VAL_DATE)=0,"",'Dvd Calendar'!$W$1067*1000000000+ISNUMBER('Dvd Calendar'!$W$1070)*100000000+('Dvd Calendar'!$W$1072=SPECIAL_LBL)*10000000+0*1000000+97*1000+19))</f>
        <v/>
      </c>
      <c r="EX108" s="35">
        <f>IF(N('Dvd Calendar'!$X$1067)=0,"",IF(('Dvd Calendar'!$X$1067&gt;=GRID_FROM)*('Dvd Calendar'!$X$1067&lt;=GRID_TO)*('Dvd Calendar'!$X$1067&lt;=VAL_DATE)=0,"",'Dvd Calendar'!$X$1067*1000000000+ISNUMBER('Dvd Calendar'!$X$1070)*100000000+('Dvd Calendar'!$X$1072=SPECIAL_LBL)*10000000+0*1000000+97*1000+20))</f>
        <v/>
      </c>
      <c r="EY108" s="35">
        <f>IF(N('Dvd Calendar'!$Y$1067)=0,"",IF(('Dvd Calendar'!$Y$1067&gt;=GRID_FROM)*('Dvd Calendar'!$Y$1067&lt;=GRID_TO)*('Dvd Calendar'!$Y$1067&lt;=VAL_DATE)=0,"",'Dvd Calendar'!$Y$1067*1000000000+ISNUMBER('Dvd Calendar'!$Y$1070)*100000000+('Dvd Calendar'!$Y$1072=SPECIAL_LBL)*10000000+0*1000000+97*1000+21))</f>
        <v/>
      </c>
      <c r="EZ108" s="35">
        <f>IF(N('Dvd Calendar'!$Z$1067)=0,"",IF(('Dvd Calendar'!$Z$1067&gt;=GRID_FROM)*('Dvd Calendar'!$Z$1067&lt;=GRID_TO)*('Dvd Calendar'!$Z$1067&lt;=VAL_DATE)=0,"",'Dvd Calendar'!$Z$1067*1000000000+ISNUMBER('Dvd Calendar'!$Z$1070)*100000000+('Dvd Calendar'!$Z$1072=SPECIAL_LBL)*10000000+0*1000000+97*1000+22))</f>
        <v/>
      </c>
      <c r="FA108" s="35">
        <f>IF(N('Dvd Calendar'!$AA$1067)=0,"",IF(('Dvd Calendar'!$AA$1067&gt;=GRID_FROM)*('Dvd Calendar'!$AA$1067&lt;=GRID_TO)*('Dvd Calendar'!$AA$1067&lt;=VAL_DATE)=0,"",'Dvd Calendar'!$AA$1067*1000000000+ISNUMBER('Dvd Calendar'!$AA$1070)*100000000+('Dvd Calendar'!$AA$1072=SPECIAL_LBL)*10000000+0*1000000+97*1000+23))</f>
        <v/>
      </c>
      <c r="FB108" s="35">
        <f>IF(N('Dvd Calendar'!$AB$1067)=0,"",IF(('Dvd Calendar'!$AB$1067&gt;=GRID_FROM)*('Dvd Calendar'!$AB$1067&lt;=GRID_TO)*('Dvd Calendar'!$AB$1067&lt;=VAL_DATE)=0,"",'Dvd Calendar'!$AB$1067*1000000000+ISNUMBER('Dvd Calendar'!$AB$1070)*100000000+('Dvd Calendar'!$AB$1072=SPECIAL_LBL)*10000000+0*1000000+97*1000+24))</f>
        <v/>
      </c>
      <c r="FC108" s="35">
        <f>IF(N('Dvd Calendar'!$AC$1067)=0,"",IF(('Dvd Calendar'!$AC$1067&gt;=GRID_FROM)*('Dvd Calendar'!$AC$1067&lt;=GRID_TO)*('Dvd Calendar'!$AC$1067&lt;=VAL_DATE)=0,"",'Dvd Calendar'!$AC$1067*1000000000+ISNUMBER('Dvd Calendar'!$AC$1070)*100000000+('Dvd Calendar'!$AC$1072=SPECIAL_LBL)*10000000+0*1000000+97*1000+25))</f>
        <v/>
      </c>
      <c r="FD108" s="35">
        <f>IF(N('Dvd Calendar'!$AD$1067)=0,"",IF(('Dvd Calendar'!$AD$1067&gt;=GRID_FROM)*('Dvd Calendar'!$AD$1067&lt;=GRID_TO)*('Dvd Calendar'!$AD$1067&lt;=VAL_DATE)=0,"",'Dvd Calendar'!$AD$1067*1000000000+ISNUMBER('Dvd Calendar'!$AD$1070)*100000000+('Dvd Calendar'!$AD$1072=SPECIAL_LBL)*10000000+0*1000000+97*1000+26))</f>
        <v/>
      </c>
      <c r="FE108" s="35">
        <f>IF(N('Dvd Calendar'!$AE$1067)=0,"",IF(('Dvd Calendar'!$AE$1067&gt;=GRID_FROM)*('Dvd Calendar'!$AE$1067&lt;=GRID_TO)*('Dvd Calendar'!$AE$1067&lt;=VAL_DATE)=0,"",'Dvd Calendar'!$AE$1067*1000000000+ISNUMBER('Dvd Calendar'!$AE$1070)*100000000+('Dvd Calendar'!$AE$1072=SPECIAL_LBL)*10000000+0*1000000+97*1000+27))</f>
        <v/>
      </c>
      <c r="FF108" s="35">
        <f>IF(N('Dvd Calendar'!$AF$1067)=0,"",IF(('Dvd Calendar'!$AF$1067&gt;=GRID_FROM)*('Dvd Calendar'!$AF$1067&lt;=GRID_TO)*('Dvd Calendar'!$AF$1067&lt;=VAL_DATE)=0,"",'Dvd Calendar'!$AF$1067*1000000000+ISNUMBER('Dvd Calendar'!$AF$1070)*100000000+('Dvd Calendar'!$AF$1072=SPECIAL_LBL)*10000000+0*1000000+97*1000+28))</f>
        <v/>
      </c>
      <c r="FG108" s="35">
        <f>IF(N('Dvd Calendar'!$AG$1067)=0,"",IF(('Dvd Calendar'!$AG$1067&gt;=GRID_FROM)*('Dvd Calendar'!$AG$1067&lt;=GRID_TO)*('Dvd Calendar'!$AG$1067&lt;=VAL_DATE)=0,"",'Dvd Calendar'!$AG$1067*1000000000+ISNUMBER('Dvd Calendar'!$AG$1070)*100000000+('Dvd Calendar'!$AG$1072=SPECIAL_LBL)*10000000+0*1000000+97*1000+29))</f>
        <v/>
      </c>
      <c r="FH108" s="35">
        <f>IF(N('Dvd Calendar'!$AH$1067)=0,"",IF(('Dvd Calendar'!$AH$1067&gt;=GRID_FROM)*('Dvd Calendar'!$AH$1067&lt;=GRID_TO)*('Dvd Calendar'!$AH$1067&lt;=VAL_DATE)=0,"",'Dvd Calendar'!$AH$1067*1000000000+ISNUMBER('Dvd Calendar'!$AH$1070)*100000000+('Dvd Calendar'!$AH$1072=SPECIAL_LBL)*10000000+0*1000000+97*1000+30))</f>
        <v/>
      </c>
      <c r="FI108" s="35">
        <f>IF(N('Dvd Calendar'!$AI$1067)=0,"",IF(('Dvd Calendar'!$AI$1067&gt;=GRID_FROM)*('Dvd Calendar'!$AI$1067&lt;=GRID_TO)*('Dvd Calendar'!$AI$1067&lt;=VAL_DATE)=0,"",'Dvd Calendar'!$AI$1067*1000000000+ISNUMBER('Dvd Calendar'!$AI$1070)*100000000+('Dvd Calendar'!$AI$1072=SPECIAL_LBL)*10000000+0*1000000+97*1000+31))</f>
        <v/>
      </c>
      <c r="FJ108" s="35">
        <f>IF(N('Dvd Calendar'!$AJ$1067)=0,"",IF(('Dvd Calendar'!$AJ$1067&gt;=GRID_FROM)*('Dvd Calendar'!$AJ$1067&lt;=GRID_TO)*('Dvd Calendar'!$AJ$1067&lt;=VAL_DATE)=0,"",'Dvd Calendar'!$AJ$1067*1000000000+ISNUMBER('Dvd Calendar'!$AJ$1070)*100000000+('Dvd Calendar'!$AJ$1072=SPECIAL_LBL)*10000000+0*1000000+97*1000+32))</f>
        <v/>
      </c>
      <c r="FK108" s="35">
        <f>IF(N('Dvd Calendar'!$AK$1067)=0,"",IF(('Dvd Calendar'!$AK$1067&gt;=GRID_FROM)*('Dvd Calendar'!$AK$1067&lt;=GRID_TO)*('Dvd Calendar'!$AK$1067&lt;=VAL_DATE)=0,"",'Dvd Calendar'!$AK$1067*1000000000+ISNUMBER('Dvd Calendar'!$AK$1070)*100000000+('Dvd Calendar'!$AK$1072=SPECIAL_LBL)*10000000+0*1000000+97*1000+33))</f>
        <v/>
      </c>
      <c r="FL108" s="35">
        <f>IF(N('Dvd Calendar'!$AL$1067)=0,"",IF(('Dvd Calendar'!$AL$1067&gt;=GRID_FROM)*('Dvd Calendar'!$AL$1067&lt;=GRID_TO)*('Dvd Calendar'!$AL$1067&lt;=VAL_DATE)=0,"",'Dvd Calendar'!$AL$1067*1000000000+ISNUMBER('Dvd Calendar'!$AL$1070)*100000000+('Dvd Calendar'!$AL$1072=SPECIAL_LBL)*10000000+0*1000000+97*1000+34))</f>
        <v/>
      </c>
      <c r="FM108" s="35">
        <f>IF(N('Dvd Calendar'!$AM$1067)=0,"",IF(('Dvd Calendar'!$AM$1067&gt;=GRID_FROM)*('Dvd Calendar'!$AM$1067&lt;=GRID_TO)*('Dvd Calendar'!$AM$1067&lt;=VAL_DATE)=0,"",'Dvd Calendar'!$AM$1067*1000000000+ISNUMBER('Dvd Calendar'!$AM$1070)*100000000+('Dvd Calendar'!$AM$1072=SPECIAL_LBL)*10000000+0*1000000+97*1000+35))</f>
        <v/>
      </c>
      <c r="FN108" s="35">
        <f>IF(N('Dvd Calendar'!$AN$1067)=0,"",IF(('Dvd Calendar'!$AN$1067&gt;=GRID_FROM)*('Dvd Calendar'!$AN$1067&lt;=GRID_TO)*('Dvd Calendar'!$AN$1067&lt;=VAL_DATE)=0,"",'Dvd Calendar'!$AN$1067*1000000000+ISNUMBER('Dvd Calendar'!$AN$1070)*100000000+('Dvd Calendar'!$AN$1072=SPECIAL_LBL)*10000000+0*1000000+97*1000+36))</f>
        <v/>
      </c>
      <c r="FO108" s="35">
        <f>IF(N('Dvd Calendar'!$AO$1067)=0,"",IF(('Dvd Calendar'!$AO$1067&gt;=GRID_FROM)*('Dvd Calendar'!$AO$1067&lt;=GRID_TO)*('Dvd Calendar'!$AO$1067&lt;=VAL_DATE)=0,"",'Dvd Calendar'!$AO$1067*1000000000+ISNUMBER('Dvd Calendar'!$AO$1070)*100000000+('Dvd Calendar'!$AO$1072=SPECIAL_LBL)*10000000+0*1000000+97*1000+37))</f>
        <v/>
      </c>
      <c r="FP108" s="35">
        <f>IF(N('Dvd Calendar'!$AP$1067)=0,"",IF(('Dvd Calendar'!$AP$1067&gt;=GRID_FROM)*('Dvd Calendar'!$AP$1067&lt;=GRID_TO)*('Dvd Calendar'!$AP$1067&lt;=VAL_DATE)=0,"",'Dvd Calendar'!$AP$1067*1000000000+ISNUMBER('Dvd Calendar'!$AP$1070)*100000000+('Dvd Calendar'!$AP$1072=SPECIAL_LBL)*10000000+0*1000000+97*1000+38))</f>
        <v/>
      </c>
      <c r="FQ108" s="35">
        <f>IF(N('Dvd Calendar'!$AQ$1067)=0,"",IF(('Dvd Calendar'!$AQ$1067&gt;=GRID_FROM)*('Dvd Calendar'!$AQ$1067&lt;=GRID_TO)*('Dvd Calendar'!$AQ$1067&lt;=VAL_DATE)=0,"",'Dvd Calendar'!$AQ$1067*1000000000+ISNUMBER('Dvd Calendar'!$AQ$1070)*100000000+('Dvd Calendar'!$AQ$1072=SPECIAL_LBL)*10000000+0*1000000+97*1000+39))</f>
        <v/>
      </c>
      <c r="FR108" s="35">
        <f>IF(N('Dvd Calendar'!$AR$1067)=0,"",IF(('Dvd Calendar'!$AR$1067&gt;=GRID_FROM)*('Dvd Calendar'!$AR$1067&lt;=GRID_TO)*('Dvd Calendar'!$AR$1067&lt;=VAL_DATE)=0,"",'Dvd Calendar'!$AR$1067*1000000000+ISNUMBER('Dvd Calendar'!$AR$1070)*100000000+('Dvd Calendar'!$AR$1072=SPECIAL_LBL)*10000000+0*1000000+97*1000+40))</f>
        <v/>
      </c>
      <c r="FS108" s="35">
        <f>IF(N('Dvd Calendar'!$E$1074)=0,"",IF(('Dvd Calendar'!$E$1074&gt;=GRID_FROM)*('Dvd Calendar'!$E$1074&lt;=GRID_TO)*('Dvd Calendar'!$E$1074&gt;VAL_DATE)=0,"",'Dvd Calendar'!$E$1074*1000000000+ISNUMBER('Dvd Calendar'!$E$1075)*100000000+0*10000000+(N('Dvd Calendar'!$E$1073)&gt;0)*(N('Dvd Calendar'!$E$1073)&lt;=VAL_SERIAL)*1000000+97*1000+41))</f>
        <v/>
      </c>
      <c r="FT108" s="35">
        <f>IF(N('Dvd Calendar'!$F$1074)=0,"",IF(('Dvd Calendar'!$F$1074&gt;=GRID_FROM)*('Dvd Calendar'!$F$1074&lt;=GRID_TO)*('Dvd Calendar'!$F$1074&gt;VAL_DATE)=0,"",'Dvd Calendar'!$F$1074*1000000000+ISNUMBER('Dvd Calendar'!$F$1075)*100000000+0*10000000+(N('Dvd Calendar'!$F$1073)&gt;0)*(N('Dvd Calendar'!$F$1073)&lt;=VAL_SERIAL)*1000000+97*1000+42))</f>
        <v/>
      </c>
      <c r="FU108" s="35">
        <f>IF(N('Dvd Calendar'!$G$1074)=0,"",IF(('Dvd Calendar'!$G$1074&gt;=GRID_FROM)*('Dvd Calendar'!$G$1074&lt;=GRID_TO)*('Dvd Calendar'!$G$1074&gt;VAL_DATE)=0,"",'Dvd Calendar'!$G$1074*1000000000+ISNUMBER('Dvd Calendar'!$G$1075)*100000000+0*10000000+(N('Dvd Calendar'!$G$1073)&gt;0)*(N('Dvd Calendar'!$G$1073)&lt;=VAL_SERIAL)*1000000+97*1000+43))</f>
        <v/>
      </c>
      <c r="FV108" s="35">
        <f>IF(N('Dvd Calendar'!$H$1074)=0,"",IF(('Dvd Calendar'!$H$1074&gt;=GRID_FROM)*('Dvd Calendar'!$H$1074&lt;=GRID_TO)*('Dvd Calendar'!$H$1074&gt;VAL_DATE)=0,"",'Dvd Calendar'!$H$1074*1000000000+ISNUMBER('Dvd Calendar'!$H$1075)*100000000+0*10000000+(N('Dvd Calendar'!$H$1073)&gt;0)*(N('Dvd Calendar'!$H$1073)&lt;=VAL_SERIAL)*1000000+97*1000+44))</f>
        <v/>
      </c>
      <c r="FW108" s="35">
        <f>IF(N('Dvd Calendar'!$I$1074)=0,"",IF(('Dvd Calendar'!$I$1074&gt;=GRID_FROM)*('Dvd Calendar'!$I$1074&lt;=GRID_TO)*('Dvd Calendar'!$I$1074&gt;VAL_DATE)=0,"",'Dvd Calendar'!$I$1074*1000000000+ISNUMBER('Dvd Calendar'!$I$1075)*100000000+0*10000000+(N('Dvd Calendar'!$I$1073)&gt;0)*(N('Dvd Calendar'!$I$1073)&lt;=VAL_SERIAL)*1000000+97*1000+45))</f>
        <v/>
      </c>
      <c r="FX108" s="35">
        <f>IF(N('Dvd Calendar'!$J$1074)=0,"",IF(('Dvd Calendar'!$J$1074&gt;=GRID_FROM)*('Dvd Calendar'!$J$1074&lt;=GRID_TO)*('Dvd Calendar'!$J$1074&gt;VAL_DATE)=0,"",'Dvd Calendar'!$J$1074*1000000000+ISNUMBER('Dvd Calendar'!$J$1075)*100000000+0*10000000+(N('Dvd Calendar'!$J$1073)&gt;0)*(N('Dvd Calendar'!$J$1073)&lt;=VAL_SERIAL)*1000000+97*1000+46))</f>
        <v/>
      </c>
      <c r="FY108" s="35">
        <f>IF(N('Dvd Calendar'!$K$1074)=0,"",IF(('Dvd Calendar'!$K$1074&gt;=GRID_FROM)*('Dvd Calendar'!$K$1074&lt;=GRID_TO)*('Dvd Calendar'!$K$1074&gt;VAL_DATE)=0,"",'Dvd Calendar'!$K$1074*1000000000+ISNUMBER('Dvd Calendar'!$K$1075)*100000000+0*10000000+(N('Dvd Calendar'!$K$1073)&gt;0)*(N('Dvd Calendar'!$K$1073)&lt;=VAL_SERIAL)*1000000+97*1000+47))</f>
        <v/>
      </c>
      <c r="FZ108" s="35">
        <f>IF(N('Dvd Calendar'!$L$1074)=0,"",IF(('Dvd Calendar'!$L$1074&gt;=GRID_FROM)*('Dvd Calendar'!$L$1074&lt;=GRID_TO)*('Dvd Calendar'!$L$1074&gt;VAL_DATE)=0,"",'Dvd Calendar'!$L$1074*1000000000+ISNUMBER('Dvd Calendar'!$L$1075)*100000000+0*10000000+(N('Dvd Calendar'!$L$1073)&gt;0)*(N('Dvd Calendar'!$L$1073)&lt;=VAL_SERIAL)*1000000+97*1000+48))</f>
        <v/>
      </c>
      <c r="GA108" s="35">
        <f>IF(N('Dvd Calendar'!$M$1074)=0,"",IF(('Dvd Calendar'!$M$1074&gt;=GRID_FROM)*('Dvd Calendar'!$M$1074&lt;=GRID_TO)*('Dvd Calendar'!$M$1074&gt;VAL_DATE)=0,"",'Dvd Calendar'!$M$1074*1000000000+ISNUMBER('Dvd Calendar'!$M$1075)*100000000+0*10000000+(N('Dvd Calendar'!$M$1073)&gt;0)*(N('Dvd Calendar'!$M$1073)&lt;=VAL_SERIAL)*1000000+97*1000+49))</f>
        <v/>
      </c>
      <c r="GB108" s="35">
        <f>IF(N('Dvd Calendar'!$N$1074)=0,"",IF(('Dvd Calendar'!$N$1074&gt;=GRID_FROM)*('Dvd Calendar'!$N$1074&lt;=GRID_TO)*('Dvd Calendar'!$N$1074&gt;VAL_DATE)=0,"",'Dvd Calendar'!$N$1074*1000000000+ISNUMBER('Dvd Calendar'!$N$1075)*100000000+0*10000000+(N('Dvd Calendar'!$N$1073)&gt;0)*(N('Dvd Calendar'!$N$1073)&lt;=VAL_SERIAL)*1000000+97*1000+50))</f>
        <v/>
      </c>
      <c r="GC108" s="35">
        <f>IF(N('Dvd Calendar'!$O$1074)=0,"",IF(('Dvd Calendar'!$O$1074&gt;=GRID_FROM)*('Dvd Calendar'!$O$1074&lt;=GRID_TO)*('Dvd Calendar'!$O$1074&gt;VAL_DATE)=0,"",'Dvd Calendar'!$O$1074*1000000000+ISNUMBER('Dvd Calendar'!$O$1075)*100000000+0*10000000+(N('Dvd Calendar'!$O$1073)&gt;0)*(N('Dvd Calendar'!$O$1073)&lt;=VAL_SERIAL)*1000000+97*1000+51))</f>
        <v/>
      </c>
      <c r="GD108" s="35">
        <f>IF(N('Dvd Calendar'!$P$1074)=0,"",IF(('Dvd Calendar'!$P$1074&gt;=GRID_FROM)*('Dvd Calendar'!$P$1074&lt;=GRID_TO)*('Dvd Calendar'!$P$1074&gt;VAL_DATE)=0,"",'Dvd Calendar'!$P$1074*1000000000+ISNUMBER('Dvd Calendar'!$P$1075)*100000000+0*10000000+(N('Dvd Calendar'!$P$1073)&gt;0)*(N('Dvd Calendar'!$P$1073)&lt;=VAL_SERIAL)*1000000+97*1000+52))</f>
        <v/>
      </c>
      <c r="GE108" s="35">
        <f>IF(N('Dvd Calendar'!$Q$1074)=0,"",IF(('Dvd Calendar'!$Q$1074&gt;=GRID_FROM)*('Dvd Calendar'!$Q$1074&lt;=GRID_TO)*('Dvd Calendar'!$Q$1074&gt;VAL_DATE)=0,"",'Dvd Calendar'!$Q$1074*1000000000+ISNUMBER('Dvd Calendar'!$Q$1075)*100000000+0*10000000+(N('Dvd Calendar'!$Q$1073)&gt;0)*(N('Dvd Calendar'!$Q$1073)&lt;=VAL_SERIAL)*1000000+97*1000+53))</f>
        <v/>
      </c>
      <c r="GF108" s="35">
        <f>IF(N('Dvd Calendar'!$R$1074)=0,"",IF(('Dvd Calendar'!$R$1074&gt;=GRID_FROM)*('Dvd Calendar'!$R$1074&lt;=GRID_TO)*('Dvd Calendar'!$R$1074&gt;VAL_DATE)=0,"",'Dvd Calendar'!$R$1074*1000000000+ISNUMBER('Dvd Calendar'!$R$1075)*100000000+0*10000000+(N('Dvd Calendar'!$R$1073)&gt;0)*(N('Dvd Calendar'!$R$1073)&lt;=VAL_SERIAL)*1000000+97*1000+54))</f>
        <v/>
      </c>
      <c r="GG108" s="35">
        <f>IF(N('Dvd Calendar'!$S$1074)=0,"",IF(('Dvd Calendar'!$S$1074&gt;=GRID_FROM)*('Dvd Calendar'!$S$1074&lt;=GRID_TO)*('Dvd Calendar'!$S$1074&gt;VAL_DATE)=0,"",'Dvd Calendar'!$S$1074*1000000000+ISNUMBER('Dvd Calendar'!$S$1075)*100000000+0*10000000+(N('Dvd Calendar'!$S$1073)&gt;0)*(N('Dvd Calendar'!$S$1073)&lt;=VAL_SERIAL)*1000000+97*1000+55))</f>
        <v/>
      </c>
      <c r="GH108" s="35">
        <f>IF(N('Dvd Calendar'!$T$1074)=0,"",IF(('Dvd Calendar'!$T$1074&gt;=GRID_FROM)*('Dvd Calendar'!$T$1074&lt;=GRID_TO)*('Dvd Calendar'!$T$1074&gt;VAL_DATE)=0,"",'Dvd Calendar'!$T$1074*1000000000+ISNUMBER('Dvd Calendar'!$T$1075)*100000000+0*10000000+(N('Dvd Calendar'!$T$1073)&gt;0)*(N('Dvd Calendar'!$T$1073)&lt;=VAL_SERIAL)*1000000+97*1000+56))</f>
        <v/>
      </c>
      <c r="GI108" s="35">
        <f>IF(N('Dvd Calendar'!$U$1074)=0,"",IF(('Dvd Calendar'!$U$1074&gt;=GRID_FROM)*('Dvd Calendar'!$U$1074&lt;=GRID_TO)*('Dvd Calendar'!$U$1074&gt;VAL_DATE)=0,"",'Dvd Calendar'!$U$1074*1000000000+ISNUMBER('Dvd Calendar'!$U$1075)*100000000+0*10000000+(N('Dvd Calendar'!$U$1073)&gt;0)*(N('Dvd Calendar'!$U$1073)&lt;=VAL_SERIAL)*1000000+97*1000+57))</f>
        <v/>
      </c>
      <c r="GJ108" s="35">
        <f>IF(N('Dvd Calendar'!$V$1074)=0,"",IF(('Dvd Calendar'!$V$1074&gt;=GRID_FROM)*('Dvd Calendar'!$V$1074&lt;=GRID_TO)*('Dvd Calendar'!$V$1074&gt;VAL_DATE)=0,"",'Dvd Calendar'!$V$1074*1000000000+ISNUMBER('Dvd Calendar'!$V$1075)*100000000+0*10000000+(N('Dvd Calendar'!$V$1073)&gt;0)*(N('Dvd Calendar'!$V$1073)&lt;=VAL_SERIAL)*1000000+97*1000+58))</f>
        <v/>
      </c>
      <c r="GK108" s="35">
        <f>IF(N('Dvd Calendar'!$W$1074)=0,"",IF(('Dvd Calendar'!$W$1074&gt;=GRID_FROM)*('Dvd Calendar'!$W$1074&lt;=GRID_TO)*('Dvd Calendar'!$W$1074&gt;VAL_DATE)=0,"",'Dvd Calendar'!$W$1074*1000000000+ISNUMBER('Dvd Calendar'!$W$1075)*100000000+0*10000000+(N('Dvd Calendar'!$W$1073)&gt;0)*(N('Dvd Calendar'!$W$1073)&lt;=VAL_SERIAL)*1000000+97*1000+59))</f>
        <v/>
      </c>
      <c r="GL108" s="35">
        <f>IF(N('Dvd Calendar'!$X$1074)=0,"",IF(('Dvd Calendar'!$X$1074&gt;=GRID_FROM)*('Dvd Calendar'!$X$1074&lt;=GRID_TO)*('Dvd Calendar'!$X$1074&gt;VAL_DATE)=0,"",'Dvd Calendar'!$X$1074*1000000000+ISNUMBER('Dvd Calendar'!$X$1075)*100000000+0*10000000+(N('Dvd Calendar'!$X$1073)&gt;0)*(N('Dvd Calendar'!$X$1073)&lt;=VAL_SERIAL)*1000000+97*1000+60))</f>
        <v/>
      </c>
      <c r="GM108" s="35">
        <f>IF(N('Dvd Calendar'!$Y$1074)=0,"",IF(('Dvd Calendar'!$Y$1074&gt;=GRID_FROM)*('Dvd Calendar'!$Y$1074&lt;=GRID_TO)*('Dvd Calendar'!$Y$1074&gt;VAL_DATE)=0,"",'Dvd Calendar'!$Y$1074*1000000000+ISNUMBER('Dvd Calendar'!$Y$1075)*100000000+0*10000000+(N('Dvd Calendar'!$Y$1073)&gt;0)*(N('Dvd Calendar'!$Y$1073)&lt;=VAL_SERIAL)*1000000+97*1000+61))</f>
        <v/>
      </c>
      <c r="GN108" s="35">
        <f>IF(N('Dvd Calendar'!$Z$1074)=0,"",IF(('Dvd Calendar'!$Z$1074&gt;=GRID_FROM)*('Dvd Calendar'!$Z$1074&lt;=GRID_TO)*('Dvd Calendar'!$Z$1074&gt;VAL_DATE)=0,"",'Dvd Calendar'!$Z$1074*1000000000+ISNUMBER('Dvd Calendar'!$Z$1075)*100000000+0*10000000+(N('Dvd Calendar'!$Z$1073)&gt;0)*(N('Dvd Calendar'!$Z$1073)&lt;=VAL_SERIAL)*1000000+97*1000+62))</f>
        <v/>
      </c>
      <c r="GO108" s="35">
        <f>IF(N('Dvd Calendar'!$AA$1074)=0,"",IF(('Dvd Calendar'!$AA$1074&gt;=GRID_FROM)*('Dvd Calendar'!$AA$1074&lt;=GRID_TO)*('Dvd Calendar'!$AA$1074&gt;VAL_DATE)=0,"",'Dvd Calendar'!$AA$1074*1000000000+ISNUMBER('Dvd Calendar'!$AA$1075)*100000000+0*10000000+(N('Dvd Calendar'!$AA$1073)&gt;0)*(N('Dvd Calendar'!$AA$1073)&lt;=VAL_SERIAL)*1000000+97*1000+63))</f>
        <v/>
      </c>
      <c r="GP108" s="35">
        <f>IF(N('Dvd Calendar'!$AB$1074)=0,"",IF(('Dvd Calendar'!$AB$1074&gt;=GRID_FROM)*('Dvd Calendar'!$AB$1074&lt;=GRID_TO)*('Dvd Calendar'!$AB$1074&gt;VAL_DATE)=0,"",'Dvd Calendar'!$AB$1074*1000000000+ISNUMBER('Dvd Calendar'!$AB$1075)*100000000+0*10000000+(N('Dvd Calendar'!$AB$1073)&gt;0)*(N('Dvd Calendar'!$AB$1073)&lt;=VAL_SERIAL)*1000000+97*1000+64))</f>
        <v/>
      </c>
      <c r="GQ108" s="35">
        <f>IF(N('Dvd Calendar'!$AC$1074)=0,"",IF(('Dvd Calendar'!$AC$1074&gt;=GRID_FROM)*('Dvd Calendar'!$AC$1074&lt;=GRID_TO)*('Dvd Calendar'!$AC$1074&gt;VAL_DATE)=0,"",'Dvd Calendar'!$AC$1074*1000000000+ISNUMBER('Dvd Calendar'!$AC$1075)*100000000+0*10000000+(N('Dvd Calendar'!$AC$1073)&gt;0)*(N('Dvd Calendar'!$AC$1073)&lt;=VAL_SERIAL)*1000000+97*1000+65))</f>
        <v/>
      </c>
    </row>
    <row r="109">
      <c r="B109" s="2">
        <f>IF(HSI!$C$104="","",HSI!$C$104)</f>
        <v/>
      </c>
      <c r="C109" s="106">
        <f>IF(EE109="","",IF(ISNUMBER('Dvd Calendar'!$E$1081)=FALSE,"",IF((('Dvd Calendar'!$E$1083=TYPE1)*(TYPE1&lt;&gt;"")+('Dvd Calendar'!$E$1083=TYPE2)*(TYPE2&lt;&gt;"")+('Dvd Calendar'!$E$1083=TYPE3)*(TYPE3&lt;&gt;"")+('Dvd Calendar'!$E$1083=TYPE4)*(TYPE4&lt;&gt;"")+('Dvd Calendar'!$E$1083=SPECIAL_LBL)*(INC_SPECIALS="Y"))=0,"",'Dvd Calendar'!$E$1081)))</f>
        <v/>
      </c>
      <c r="D109" s="106">
        <f>IF(EF109="","",IF(ISNUMBER('Dvd Calendar'!$F$1081)=FALSE,"",IF((('Dvd Calendar'!$F$1083=TYPE1)*(TYPE1&lt;&gt;"")+('Dvd Calendar'!$F$1083=TYPE2)*(TYPE2&lt;&gt;"")+('Dvd Calendar'!$F$1083=TYPE3)*(TYPE3&lt;&gt;"")+('Dvd Calendar'!$F$1083=TYPE4)*(TYPE4&lt;&gt;"")+('Dvd Calendar'!$F$1083=SPECIAL_LBL)*(INC_SPECIALS="Y"))=0,"",'Dvd Calendar'!$F$1081)))</f>
        <v/>
      </c>
      <c r="E109" s="106">
        <f>IF(EG109="","",IF(ISNUMBER('Dvd Calendar'!$G$1081)=FALSE,"",IF((('Dvd Calendar'!$G$1083=TYPE1)*(TYPE1&lt;&gt;"")+('Dvd Calendar'!$G$1083=TYPE2)*(TYPE2&lt;&gt;"")+('Dvd Calendar'!$G$1083=TYPE3)*(TYPE3&lt;&gt;"")+('Dvd Calendar'!$G$1083=TYPE4)*(TYPE4&lt;&gt;"")+('Dvd Calendar'!$G$1083=SPECIAL_LBL)*(INC_SPECIALS="Y"))=0,"",'Dvd Calendar'!$G$1081)))</f>
        <v/>
      </c>
      <c r="F109" s="106">
        <f>IF(EH109="","",IF(ISNUMBER('Dvd Calendar'!$H$1081)=FALSE,"",IF((('Dvd Calendar'!$H$1083=TYPE1)*(TYPE1&lt;&gt;"")+('Dvd Calendar'!$H$1083=TYPE2)*(TYPE2&lt;&gt;"")+('Dvd Calendar'!$H$1083=TYPE3)*(TYPE3&lt;&gt;"")+('Dvd Calendar'!$H$1083=TYPE4)*(TYPE4&lt;&gt;"")+('Dvd Calendar'!$H$1083=SPECIAL_LBL)*(INC_SPECIALS="Y"))=0,"",'Dvd Calendar'!$H$1081)))</f>
        <v/>
      </c>
      <c r="G109" s="106">
        <f>IF(EI109="","",IF(ISNUMBER('Dvd Calendar'!$I$1081)=FALSE,"",IF((('Dvd Calendar'!$I$1083=TYPE1)*(TYPE1&lt;&gt;"")+('Dvd Calendar'!$I$1083=TYPE2)*(TYPE2&lt;&gt;"")+('Dvd Calendar'!$I$1083=TYPE3)*(TYPE3&lt;&gt;"")+('Dvd Calendar'!$I$1083=TYPE4)*(TYPE4&lt;&gt;"")+('Dvd Calendar'!$I$1083=SPECIAL_LBL)*(INC_SPECIALS="Y"))=0,"",'Dvd Calendar'!$I$1081)))</f>
        <v/>
      </c>
      <c r="H109" s="106">
        <f>IF(EJ109="","",IF(ISNUMBER('Dvd Calendar'!$J$1081)=FALSE,"",IF((('Dvd Calendar'!$J$1083=TYPE1)*(TYPE1&lt;&gt;"")+('Dvd Calendar'!$J$1083=TYPE2)*(TYPE2&lt;&gt;"")+('Dvd Calendar'!$J$1083=TYPE3)*(TYPE3&lt;&gt;"")+('Dvd Calendar'!$J$1083=TYPE4)*(TYPE4&lt;&gt;"")+('Dvd Calendar'!$J$1083=SPECIAL_LBL)*(INC_SPECIALS="Y"))=0,"",'Dvd Calendar'!$J$1081)))</f>
        <v/>
      </c>
      <c r="I109" s="106">
        <f>IF(EK109="","",IF(ISNUMBER('Dvd Calendar'!$K$1081)=FALSE,"",IF((('Dvd Calendar'!$K$1083=TYPE1)*(TYPE1&lt;&gt;"")+('Dvd Calendar'!$K$1083=TYPE2)*(TYPE2&lt;&gt;"")+('Dvd Calendar'!$K$1083=TYPE3)*(TYPE3&lt;&gt;"")+('Dvd Calendar'!$K$1083=TYPE4)*(TYPE4&lt;&gt;"")+('Dvd Calendar'!$K$1083=SPECIAL_LBL)*(INC_SPECIALS="Y"))=0,"",'Dvd Calendar'!$K$1081)))</f>
        <v/>
      </c>
      <c r="J109" s="106">
        <f>IF(EL109="","",IF(ISNUMBER('Dvd Calendar'!$L$1081)=FALSE,"",IF((('Dvd Calendar'!$L$1083=TYPE1)*(TYPE1&lt;&gt;"")+('Dvd Calendar'!$L$1083=TYPE2)*(TYPE2&lt;&gt;"")+('Dvd Calendar'!$L$1083=TYPE3)*(TYPE3&lt;&gt;"")+('Dvd Calendar'!$L$1083=TYPE4)*(TYPE4&lt;&gt;"")+('Dvd Calendar'!$L$1083=SPECIAL_LBL)*(INC_SPECIALS="Y"))=0,"",'Dvd Calendar'!$L$1081)))</f>
        <v/>
      </c>
      <c r="K109" s="106">
        <f>IF(EM109="","",IF(ISNUMBER('Dvd Calendar'!$M$1081)=FALSE,"",IF((('Dvd Calendar'!$M$1083=TYPE1)*(TYPE1&lt;&gt;"")+('Dvd Calendar'!$M$1083=TYPE2)*(TYPE2&lt;&gt;"")+('Dvd Calendar'!$M$1083=TYPE3)*(TYPE3&lt;&gt;"")+('Dvd Calendar'!$M$1083=TYPE4)*(TYPE4&lt;&gt;"")+('Dvd Calendar'!$M$1083=SPECIAL_LBL)*(INC_SPECIALS="Y"))=0,"",'Dvd Calendar'!$M$1081)))</f>
        <v/>
      </c>
      <c r="L109" s="106">
        <f>IF(EN109="","",IF(ISNUMBER('Dvd Calendar'!$N$1081)=FALSE,"",IF((('Dvd Calendar'!$N$1083=TYPE1)*(TYPE1&lt;&gt;"")+('Dvd Calendar'!$N$1083=TYPE2)*(TYPE2&lt;&gt;"")+('Dvd Calendar'!$N$1083=TYPE3)*(TYPE3&lt;&gt;"")+('Dvd Calendar'!$N$1083=TYPE4)*(TYPE4&lt;&gt;"")+('Dvd Calendar'!$N$1083=SPECIAL_LBL)*(INC_SPECIALS="Y"))=0,"",'Dvd Calendar'!$N$1081)))</f>
        <v/>
      </c>
      <c r="M109" s="106">
        <f>IF(EO109="","",IF(ISNUMBER('Dvd Calendar'!$O$1081)=FALSE,"",IF((('Dvd Calendar'!$O$1083=TYPE1)*(TYPE1&lt;&gt;"")+('Dvd Calendar'!$O$1083=TYPE2)*(TYPE2&lt;&gt;"")+('Dvd Calendar'!$O$1083=TYPE3)*(TYPE3&lt;&gt;"")+('Dvd Calendar'!$O$1083=TYPE4)*(TYPE4&lt;&gt;"")+('Dvd Calendar'!$O$1083=SPECIAL_LBL)*(INC_SPECIALS="Y"))=0,"",'Dvd Calendar'!$O$1081)))</f>
        <v/>
      </c>
      <c r="N109" s="106">
        <f>IF(EP109="","",IF(ISNUMBER('Dvd Calendar'!$P$1081)=FALSE,"",IF((('Dvd Calendar'!$P$1083=TYPE1)*(TYPE1&lt;&gt;"")+('Dvd Calendar'!$P$1083=TYPE2)*(TYPE2&lt;&gt;"")+('Dvd Calendar'!$P$1083=TYPE3)*(TYPE3&lt;&gt;"")+('Dvd Calendar'!$P$1083=TYPE4)*(TYPE4&lt;&gt;"")+('Dvd Calendar'!$P$1083=SPECIAL_LBL)*(INC_SPECIALS="Y"))=0,"",'Dvd Calendar'!$P$1081)))</f>
        <v/>
      </c>
      <c r="O109" s="106">
        <f>IF(EQ109="","",IF(ISNUMBER('Dvd Calendar'!$Q$1081)=FALSE,"",IF((('Dvd Calendar'!$Q$1083=TYPE1)*(TYPE1&lt;&gt;"")+('Dvd Calendar'!$Q$1083=TYPE2)*(TYPE2&lt;&gt;"")+('Dvd Calendar'!$Q$1083=TYPE3)*(TYPE3&lt;&gt;"")+('Dvd Calendar'!$Q$1083=TYPE4)*(TYPE4&lt;&gt;"")+('Dvd Calendar'!$Q$1083=SPECIAL_LBL)*(INC_SPECIALS="Y"))=0,"",'Dvd Calendar'!$Q$1081)))</f>
        <v/>
      </c>
      <c r="P109" s="106">
        <f>IF(ER109="","",IF(ISNUMBER('Dvd Calendar'!$R$1081)=FALSE,"",IF((('Dvd Calendar'!$R$1083=TYPE1)*(TYPE1&lt;&gt;"")+('Dvd Calendar'!$R$1083=TYPE2)*(TYPE2&lt;&gt;"")+('Dvd Calendar'!$R$1083=TYPE3)*(TYPE3&lt;&gt;"")+('Dvd Calendar'!$R$1083=TYPE4)*(TYPE4&lt;&gt;"")+('Dvd Calendar'!$R$1083=SPECIAL_LBL)*(INC_SPECIALS="Y"))=0,"",'Dvd Calendar'!$R$1081)))</f>
        <v/>
      </c>
      <c r="Q109" s="106">
        <f>IF(ES109="","",IF(ISNUMBER('Dvd Calendar'!$S$1081)=FALSE,"",IF((('Dvd Calendar'!$S$1083=TYPE1)*(TYPE1&lt;&gt;"")+('Dvd Calendar'!$S$1083=TYPE2)*(TYPE2&lt;&gt;"")+('Dvd Calendar'!$S$1083=TYPE3)*(TYPE3&lt;&gt;"")+('Dvd Calendar'!$S$1083=TYPE4)*(TYPE4&lt;&gt;"")+('Dvd Calendar'!$S$1083=SPECIAL_LBL)*(INC_SPECIALS="Y"))=0,"",'Dvd Calendar'!$S$1081)))</f>
        <v/>
      </c>
      <c r="R109" s="106">
        <f>IF(ET109="","",IF(ISNUMBER('Dvd Calendar'!$T$1081)=FALSE,"",IF((('Dvd Calendar'!$T$1083=TYPE1)*(TYPE1&lt;&gt;"")+('Dvd Calendar'!$T$1083=TYPE2)*(TYPE2&lt;&gt;"")+('Dvd Calendar'!$T$1083=TYPE3)*(TYPE3&lt;&gt;"")+('Dvd Calendar'!$T$1083=TYPE4)*(TYPE4&lt;&gt;"")+('Dvd Calendar'!$T$1083=SPECIAL_LBL)*(INC_SPECIALS="Y"))=0,"",'Dvd Calendar'!$T$1081)))</f>
        <v/>
      </c>
      <c r="S109" s="106">
        <f>IF(EU109="","",IF(ISNUMBER('Dvd Calendar'!$U$1081)=FALSE,"",IF((('Dvd Calendar'!$U$1083=TYPE1)*(TYPE1&lt;&gt;"")+('Dvd Calendar'!$U$1083=TYPE2)*(TYPE2&lt;&gt;"")+('Dvd Calendar'!$U$1083=TYPE3)*(TYPE3&lt;&gt;"")+('Dvd Calendar'!$U$1083=TYPE4)*(TYPE4&lt;&gt;"")+('Dvd Calendar'!$U$1083=SPECIAL_LBL)*(INC_SPECIALS="Y"))=0,"",'Dvd Calendar'!$U$1081)))</f>
        <v/>
      </c>
      <c r="T109" s="106">
        <f>IF(EV109="","",IF(ISNUMBER('Dvd Calendar'!$V$1081)=FALSE,"",IF((('Dvd Calendar'!$V$1083=TYPE1)*(TYPE1&lt;&gt;"")+('Dvd Calendar'!$V$1083=TYPE2)*(TYPE2&lt;&gt;"")+('Dvd Calendar'!$V$1083=TYPE3)*(TYPE3&lt;&gt;"")+('Dvd Calendar'!$V$1083=TYPE4)*(TYPE4&lt;&gt;"")+('Dvd Calendar'!$V$1083=SPECIAL_LBL)*(INC_SPECIALS="Y"))=0,"",'Dvd Calendar'!$V$1081)))</f>
        <v/>
      </c>
      <c r="U109" s="106">
        <f>IF(EW109="","",IF(ISNUMBER('Dvd Calendar'!$W$1081)=FALSE,"",IF((('Dvd Calendar'!$W$1083=TYPE1)*(TYPE1&lt;&gt;"")+('Dvd Calendar'!$W$1083=TYPE2)*(TYPE2&lt;&gt;"")+('Dvd Calendar'!$W$1083=TYPE3)*(TYPE3&lt;&gt;"")+('Dvd Calendar'!$W$1083=TYPE4)*(TYPE4&lt;&gt;"")+('Dvd Calendar'!$W$1083=SPECIAL_LBL)*(INC_SPECIALS="Y"))=0,"",'Dvd Calendar'!$W$1081)))</f>
        <v/>
      </c>
      <c r="V109" s="106">
        <f>IF(EX109="","",IF(ISNUMBER('Dvd Calendar'!$X$1081)=FALSE,"",IF((('Dvd Calendar'!$X$1083=TYPE1)*(TYPE1&lt;&gt;"")+('Dvd Calendar'!$X$1083=TYPE2)*(TYPE2&lt;&gt;"")+('Dvd Calendar'!$X$1083=TYPE3)*(TYPE3&lt;&gt;"")+('Dvd Calendar'!$X$1083=TYPE4)*(TYPE4&lt;&gt;"")+('Dvd Calendar'!$X$1083=SPECIAL_LBL)*(INC_SPECIALS="Y"))=0,"",'Dvd Calendar'!$X$1081)))</f>
        <v/>
      </c>
      <c r="W109" s="106">
        <f>IF(EY109="","",IF(ISNUMBER('Dvd Calendar'!$Y$1081)=FALSE,"",IF((('Dvd Calendar'!$Y$1083=TYPE1)*(TYPE1&lt;&gt;"")+('Dvd Calendar'!$Y$1083=TYPE2)*(TYPE2&lt;&gt;"")+('Dvd Calendar'!$Y$1083=TYPE3)*(TYPE3&lt;&gt;"")+('Dvd Calendar'!$Y$1083=TYPE4)*(TYPE4&lt;&gt;"")+('Dvd Calendar'!$Y$1083=SPECIAL_LBL)*(INC_SPECIALS="Y"))=0,"",'Dvd Calendar'!$Y$1081)))</f>
        <v/>
      </c>
      <c r="X109" s="106">
        <f>IF(EZ109="","",IF(ISNUMBER('Dvd Calendar'!$Z$1081)=FALSE,"",IF((('Dvd Calendar'!$Z$1083=TYPE1)*(TYPE1&lt;&gt;"")+('Dvd Calendar'!$Z$1083=TYPE2)*(TYPE2&lt;&gt;"")+('Dvd Calendar'!$Z$1083=TYPE3)*(TYPE3&lt;&gt;"")+('Dvd Calendar'!$Z$1083=TYPE4)*(TYPE4&lt;&gt;"")+('Dvd Calendar'!$Z$1083=SPECIAL_LBL)*(INC_SPECIALS="Y"))=0,"",'Dvd Calendar'!$Z$1081)))</f>
        <v/>
      </c>
      <c r="Y109" s="106">
        <f>IF(FA109="","",IF(ISNUMBER('Dvd Calendar'!$AA$1081)=FALSE,"",IF((('Dvd Calendar'!$AA$1083=TYPE1)*(TYPE1&lt;&gt;"")+('Dvd Calendar'!$AA$1083=TYPE2)*(TYPE2&lt;&gt;"")+('Dvd Calendar'!$AA$1083=TYPE3)*(TYPE3&lt;&gt;"")+('Dvd Calendar'!$AA$1083=TYPE4)*(TYPE4&lt;&gt;"")+('Dvd Calendar'!$AA$1083=SPECIAL_LBL)*(INC_SPECIALS="Y"))=0,"",'Dvd Calendar'!$AA$1081)))</f>
        <v/>
      </c>
      <c r="Z109" s="106">
        <f>IF(FB109="","",IF(ISNUMBER('Dvd Calendar'!$AB$1081)=FALSE,"",IF((('Dvd Calendar'!$AB$1083=TYPE1)*(TYPE1&lt;&gt;"")+('Dvd Calendar'!$AB$1083=TYPE2)*(TYPE2&lt;&gt;"")+('Dvd Calendar'!$AB$1083=TYPE3)*(TYPE3&lt;&gt;"")+('Dvd Calendar'!$AB$1083=TYPE4)*(TYPE4&lt;&gt;"")+('Dvd Calendar'!$AB$1083=SPECIAL_LBL)*(INC_SPECIALS="Y"))=0,"",'Dvd Calendar'!$AB$1081)))</f>
        <v/>
      </c>
      <c r="AA109" s="106">
        <f>IF(FC109="","",IF(ISNUMBER('Dvd Calendar'!$AC$1081)=FALSE,"",IF((('Dvd Calendar'!$AC$1083=TYPE1)*(TYPE1&lt;&gt;"")+('Dvd Calendar'!$AC$1083=TYPE2)*(TYPE2&lt;&gt;"")+('Dvd Calendar'!$AC$1083=TYPE3)*(TYPE3&lt;&gt;"")+('Dvd Calendar'!$AC$1083=TYPE4)*(TYPE4&lt;&gt;"")+('Dvd Calendar'!$AC$1083=SPECIAL_LBL)*(INC_SPECIALS="Y"))=0,"",'Dvd Calendar'!$AC$1081)))</f>
        <v/>
      </c>
      <c r="AB109" s="106">
        <f>IF(FD109="","",IF(ISNUMBER('Dvd Calendar'!$AD$1081)=FALSE,"",IF((('Dvd Calendar'!$AD$1083=TYPE1)*(TYPE1&lt;&gt;"")+('Dvd Calendar'!$AD$1083=TYPE2)*(TYPE2&lt;&gt;"")+('Dvd Calendar'!$AD$1083=TYPE3)*(TYPE3&lt;&gt;"")+('Dvd Calendar'!$AD$1083=TYPE4)*(TYPE4&lt;&gt;"")+('Dvd Calendar'!$AD$1083=SPECIAL_LBL)*(INC_SPECIALS="Y"))=0,"",'Dvd Calendar'!$AD$1081)))</f>
        <v/>
      </c>
      <c r="AC109" s="106">
        <f>IF(FE109="","",IF(ISNUMBER('Dvd Calendar'!$AE$1081)=FALSE,"",IF((('Dvd Calendar'!$AE$1083=TYPE1)*(TYPE1&lt;&gt;"")+('Dvd Calendar'!$AE$1083=TYPE2)*(TYPE2&lt;&gt;"")+('Dvd Calendar'!$AE$1083=TYPE3)*(TYPE3&lt;&gt;"")+('Dvd Calendar'!$AE$1083=TYPE4)*(TYPE4&lt;&gt;"")+('Dvd Calendar'!$AE$1083=SPECIAL_LBL)*(INC_SPECIALS="Y"))=0,"",'Dvd Calendar'!$AE$1081)))</f>
        <v/>
      </c>
      <c r="AD109" s="106">
        <f>IF(FF109="","",IF(ISNUMBER('Dvd Calendar'!$AF$1081)=FALSE,"",IF((('Dvd Calendar'!$AF$1083=TYPE1)*(TYPE1&lt;&gt;"")+('Dvd Calendar'!$AF$1083=TYPE2)*(TYPE2&lt;&gt;"")+('Dvd Calendar'!$AF$1083=TYPE3)*(TYPE3&lt;&gt;"")+('Dvd Calendar'!$AF$1083=TYPE4)*(TYPE4&lt;&gt;"")+('Dvd Calendar'!$AF$1083=SPECIAL_LBL)*(INC_SPECIALS="Y"))=0,"",'Dvd Calendar'!$AF$1081)))</f>
        <v/>
      </c>
      <c r="AE109" s="106">
        <f>IF(FG109="","",IF(ISNUMBER('Dvd Calendar'!$AG$1081)=FALSE,"",IF((('Dvd Calendar'!$AG$1083=TYPE1)*(TYPE1&lt;&gt;"")+('Dvd Calendar'!$AG$1083=TYPE2)*(TYPE2&lt;&gt;"")+('Dvd Calendar'!$AG$1083=TYPE3)*(TYPE3&lt;&gt;"")+('Dvd Calendar'!$AG$1083=TYPE4)*(TYPE4&lt;&gt;"")+('Dvd Calendar'!$AG$1083=SPECIAL_LBL)*(INC_SPECIALS="Y"))=0,"",'Dvd Calendar'!$AG$1081)))</f>
        <v/>
      </c>
      <c r="AF109" s="106">
        <f>IF(FH109="","",IF(ISNUMBER('Dvd Calendar'!$AH$1081)=FALSE,"",IF((('Dvd Calendar'!$AH$1083=TYPE1)*(TYPE1&lt;&gt;"")+('Dvd Calendar'!$AH$1083=TYPE2)*(TYPE2&lt;&gt;"")+('Dvd Calendar'!$AH$1083=TYPE3)*(TYPE3&lt;&gt;"")+('Dvd Calendar'!$AH$1083=TYPE4)*(TYPE4&lt;&gt;"")+('Dvd Calendar'!$AH$1083=SPECIAL_LBL)*(INC_SPECIALS="Y"))=0,"",'Dvd Calendar'!$AH$1081)))</f>
        <v/>
      </c>
      <c r="AG109" s="106">
        <f>IF(FI109="","",IF(ISNUMBER('Dvd Calendar'!$AI$1081)=FALSE,"",IF((('Dvd Calendar'!$AI$1083=TYPE1)*(TYPE1&lt;&gt;"")+('Dvd Calendar'!$AI$1083=TYPE2)*(TYPE2&lt;&gt;"")+('Dvd Calendar'!$AI$1083=TYPE3)*(TYPE3&lt;&gt;"")+('Dvd Calendar'!$AI$1083=TYPE4)*(TYPE4&lt;&gt;"")+('Dvd Calendar'!$AI$1083=SPECIAL_LBL)*(INC_SPECIALS="Y"))=0,"",'Dvd Calendar'!$AI$1081)))</f>
        <v/>
      </c>
      <c r="AH109" s="106">
        <f>IF(FJ109="","",IF(ISNUMBER('Dvd Calendar'!$AJ$1081)=FALSE,"",IF((('Dvd Calendar'!$AJ$1083=TYPE1)*(TYPE1&lt;&gt;"")+('Dvd Calendar'!$AJ$1083=TYPE2)*(TYPE2&lt;&gt;"")+('Dvd Calendar'!$AJ$1083=TYPE3)*(TYPE3&lt;&gt;"")+('Dvd Calendar'!$AJ$1083=TYPE4)*(TYPE4&lt;&gt;"")+('Dvd Calendar'!$AJ$1083=SPECIAL_LBL)*(INC_SPECIALS="Y"))=0,"",'Dvd Calendar'!$AJ$1081)))</f>
        <v/>
      </c>
      <c r="AI109" s="106">
        <f>IF(FK109="","",IF(ISNUMBER('Dvd Calendar'!$AK$1081)=FALSE,"",IF((('Dvd Calendar'!$AK$1083=TYPE1)*(TYPE1&lt;&gt;"")+('Dvd Calendar'!$AK$1083=TYPE2)*(TYPE2&lt;&gt;"")+('Dvd Calendar'!$AK$1083=TYPE3)*(TYPE3&lt;&gt;"")+('Dvd Calendar'!$AK$1083=TYPE4)*(TYPE4&lt;&gt;"")+('Dvd Calendar'!$AK$1083=SPECIAL_LBL)*(INC_SPECIALS="Y"))=0,"",'Dvd Calendar'!$AK$1081)))</f>
        <v/>
      </c>
      <c r="AJ109" s="106">
        <f>IF(FL109="","",IF(ISNUMBER('Dvd Calendar'!$AL$1081)=FALSE,"",IF((('Dvd Calendar'!$AL$1083=TYPE1)*(TYPE1&lt;&gt;"")+('Dvd Calendar'!$AL$1083=TYPE2)*(TYPE2&lt;&gt;"")+('Dvd Calendar'!$AL$1083=TYPE3)*(TYPE3&lt;&gt;"")+('Dvd Calendar'!$AL$1083=TYPE4)*(TYPE4&lt;&gt;"")+('Dvd Calendar'!$AL$1083=SPECIAL_LBL)*(INC_SPECIALS="Y"))=0,"",'Dvd Calendar'!$AL$1081)))</f>
        <v/>
      </c>
      <c r="AK109" s="106">
        <f>IF(FM109="","",IF(ISNUMBER('Dvd Calendar'!$AM$1081)=FALSE,"",IF((('Dvd Calendar'!$AM$1083=TYPE1)*(TYPE1&lt;&gt;"")+('Dvd Calendar'!$AM$1083=TYPE2)*(TYPE2&lt;&gt;"")+('Dvd Calendar'!$AM$1083=TYPE3)*(TYPE3&lt;&gt;"")+('Dvd Calendar'!$AM$1083=TYPE4)*(TYPE4&lt;&gt;"")+('Dvd Calendar'!$AM$1083=SPECIAL_LBL)*(INC_SPECIALS="Y"))=0,"",'Dvd Calendar'!$AM$1081)))</f>
        <v/>
      </c>
      <c r="AL109" s="106">
        <f>IF(FN109="","",IF(ISNUMBER('Dvd Calendar'!$AN$1081)=FALSE,"",IF((('Dvd Calendar'!$AN$1083=TYPE1)*(TYPE1&lt;&gt;"")+('Dvd Calendar'!$AN$1083=TYPE2)*(TYPE2&lt;&gt;"")+('Dvd Calendar'!$AN$1083=TYPE3)*(TYPE3&lt;&gt;"")+('Dvd Calendar'!$AN$1083=TYPE4)*(TYPE4&lt;&gt;"")+('Dvd Calendar'!$AN$1083=SPECIAL_LBL)*(INC_SPECIALS="Y"))=0,"",'Dvd Calendar'!$AN$1081)))</f>
        <v/>
      </c>
      <c r="AM109" s="106">
        <f>IF(FO109="","",IF(ISNUMBER('Dvd Calendar'!$AO$1081)=FALSE,"",IF((('Dvd Calendar'!$AO$1083=TYPE1)*(TYPE1&lt;&gt;"")+('Dvd Calendar'!$AO$1083=TYPE2)*(TYPE2&lt;&gt;"")+('Dvd Calendar'!$AO$1083=TYPE3)*(TYPE3&lt;&gt;"")+('Dvd Calendar'!$AO$1083=TYPE4)*(TYPE4&lt;&gt;"")+('Dvd Calendar'!$AO$1083=SPECIAL_LBL)*(INC_SPECIALS="Y"))=0,"",'Dvd Calendar'!$AO$1081)))</f>
        <v/>
      </c>
      <c r="AN109" s="106">
        <f>IF(FP109="","",IF(ISNUMBER('Dvd Calendar'!$AP$1081)=FALSE,"",IF((('Dvd Calendar'!$AP$1083=TYPE1)*(TYPE1&lt;&gt;"")+('Dvd Calendar'!$AP$1083=TYPE2)*(TYPE2&lt;&gt;"")+('Dvd Calendar'!$AP$1083=TYPE3)*(TYPE3&lt;&gt;"")+('Dvd Calendar'!$AP$1083=TYPE4)*(TYPE4&lt;&gt;"")+('Dvd Calendar'!$AP$1083=SPECIAL_LBL)*(INC_SPECIALS="Y"))=0,"",'Dvd Calendar'!$AP$1081)))</f>
        <v/>
      </c>
      <c r="AO109" s="106">
        <f>IF(FQ109="","",IF(ISNUMBER('Dvd Calendar'!$AQ$1081)=FALSE,"",IF((('Dvd Calendar'!$AQ$1083=TYPE1)*(TYPE1&lt;&gt;"")+('Dvd Calendar'!$AQ$1083=TYPE2)*(TYPE2&lt;&gt;"")+('Dvd Calendar'!$AQ$1083=TYPE3)*(TYPE3&lt;&gt;"")+('Dvd Calendar'!$AQ$1083=TYPE4)*(TYPE4&lt;&gt;"")+('Dvd Calendar'!$AQ$1083=SPECIAL_LBL)*(INC_SPECIALS="Y"))=0,"",'Dvd Calendar'!$AQ$1081)))</f>
        <v/>
      </c>
      <c r="AP109" s="106">
        <f>IF(FR109="","",IF(ISNUMBER('Dvd Calendar'!$AR$1081)=FALSE,"",IF((('Dvd Calendar'!$AR$1083=TYPE1)*(TYPE1&lt;&gt;"")+('Dvd Calendar'!$AR$1083=TYPE2)*(TYPE2&lt;&gt;"")+('Dvd Calendar'!$AR$1083=TYPE3)*(TYPE3&lt;&gt;"")+('Dvd Calendar'!$AR$1083=TYPE4)*(TYPE4&lt;&gt;"")+('Dvd Calendar'!$AR$1083=SPECIAL_LBL)*(INC_SPECIALS="Y"))=0,"",'Dvd Calendar'!$AR$1081)))</f>
        <v/>
      </c>
      <c r="AQ109" s="106">
        <f>IF(FS109="","",IF(ISNUMBER('Dvd Calendar'!$E$1086)=FALSE,"",'Dvd Calendar'!$E$1086))</f>
        <v/>
      </c>
      <c r="AR109" s="106">
        <f>IF(FT109="","",IF(ISNUMBER('Dvd Calendar'!$F$1086)=FALSE,"",'Dvd Calendar'!$F$1086))</f>
        <v/>
      </c>
      <c r="AS109" s="106">
        <f>IF(FU109="","",IF(ISNUMBER('Dvd Calendar'!$G$1086)=FALSE,"",'Dvd Calendar'!$G$1086))</f>
        <v/>
      </c>
      <c r="AT109" s="106">
        <f>IF(FV109="","",IF(ISNUMBER('Dvd Calendar'!$H$1086)=FALSE,"",'Dvd Calendar'!$H$1086))</f>
        <v/>
      </c>
      <c r="AU109" s="106">
        <f>IF(FW109="","",IF(ISNUMBER('Dvd Calendar'!$I$1086)=FALSE,"",'Dvd Calendar'!$I$1086))</f>
        <v/>
      </c>
      <c r="AV109" s="106">
        <f>IF(FX109="","",IF(ISNUMBER('Dvd Calendar'!$J$1086)=FALSE,"",'Dvd Calendar'!$J$1086))</f>
        <v/>
      </c>
      <c r="AW109" s="106">
        <f>IF(FY109="","",IF(ISNUMBER('Dvd Calendar'!$K$1086)=FALSE,"",'Dvd Calendar'!$K$1086))</f>
        <v/>
      </c>
      <c r="AX109" s="106">
        <f>IF(FZ109="","",IF(ISNUMBER('Dvd Calendar'!$L$1086)=FALSE,"",'Dvd Calendar'!$L$1086))</f>
        <v/>
      </c>
      <c r="AY109" s="106">
        <f>IF(GA109="","",IF(ISNUMBER('Dvd Calendar'!$M$1086)=FALSE,"",'Dvd Calendar'!$M$1086))</f>
        <v/>
      </c>
      <c r="AZ109" s="106">
        <f>IF(GB109="","",IF(ISNUMBER('Dvd Calendar'!$N$1086)=FALSE,"",'Dvd Calendar'!$N$1086))</f>
        <v/>
      </c>
      <c r="BA109" s="106">
        <f>IF(GC109="","",IF(ISNUMBER('Dvd Calendar'!$O$1086)=FALSE,"",'Dvd Calendar'!$O$1086))</f>
        <v/>
      </c>
      <c r="BB109" s="106">
        <f>IF(GD109="","",IF(ISNUMBER('Dvd Calendar'!$P$1086)=FALSE,"",'Dvd Calendar'!$P$1086))</f>
        <v/>
      </c>
      <c r="BC109" s="106">
        <f>IF(GE109="","",IF(ISNUMBER('Dvd Calendar'!$Q$1086)=FALSE,"",'Dvd Calendar'!$Q$1086))</f>
        <v/>
      </c>
      <c r="BD109" s="106">
        <f>IF(GF109="","",IF(ISNUMBER('Dvd Calendar'!$R$1086)=FALSE,"",'Dvd Calendar'!$R$1086))</f>
        <v/>
      </c>
      <c r="BE109" s="106">
        <f>IF(GG109="","",IF(ISNUMBER('Dvd Calendar'!$S$1086)=FALSE,"",'Dvd Calendar'!$S$1086))</f>
        <v/>
      </c>
      <c r="BF109" s="106">
        <f>IF(GH109="","",IF(ISNUMBER('Dvd Calendar'!$T$1086)=FALSE,"",'Dvd Calendar'!$T$1086))</f>
        <v/>
      </c>
      <c r="BG109" s="106">
        <f>IF(GI109="","",IF(ISNUMBER('Dvd Calendar'!$U$1086)=FALSE,"",'Dvd Calendar'!$U$1086))</f>
        <v/>
      </c>
      <c r="BH109" s="106">
        <f>IF(GJ109="","",IF(ISNUMBER('Dvd Calendar'!$V$1086)=FALSE,"",'Dvd Calendar'!$V$1086))</f>
        <v/>
      </c>
      <c r="BI109" s="106">
        <f>IF(GK109="","",IF(ISNUMBER('Dvd Calendar'!$W$1086)=FALSE,"",'Dvd Calendar'!$W$1086))</f>
        <v/>
      </c>
      <c r="BJ109" s="106">
        <f>IF(GL109="","",IF(ISNUMBER('Dvd Calendar'!$X$1086)=FALSE,"",'Dvd Calendar'!$X$1086))</f>
        <v/>
      </c>
      <c r="BK109" s="106">
        <f>IF(GM109="","",IF(ISNUMBER('Dvd Calendar'!$Y$1086)=FALSE,"",'Dvd Calendar'!$Y$1086))</f>
        <v/>
      </c>
      <c r="BL109" s="106">
        <f>IF(GN109="","",IF(ISNUMBER('Dvd Calendar'!$Z$1086)=FALSE,"",'Dvd Calendar'!$Z$1086))</f>
        <v/>
      </c>
      <c r="BM109" s="106">
        <f>IF(GO109="","",IF(ISNUMBER('Dvd Calendar'!$AA$1086)=FALSE,"",'Dvd Calendar'!$AA$1086))</f>
        <v/>
      </c>
      <c r="BN109" s="106">
        <f>IF(GP109="","",IF(ISNUMBER('Dvd Calendar'!$AB$1086)=FALSE,"",'Dvd Calendar'!$AB$1086))</f>
        <v/>
      </c>
      <c r="BO109" s="106">
        <f>IF(GQ109="","",IF(ISNUMBER('Dvd Calendar'!$AC$1086)=FALSE,"",'Dvd Calendar'!$AC$1086))</f>
        <v/>
      </c>
      <c r="BQ109" s="106">
        <f>IF(C109="","",IFERROR(C109*HSI!$B$104*HSI!$G$104/HSI!$B$3,""))</f>
        <v/>
      </c>
      <c r="BR109" s="106">
        <f>IF(D109="","",IFERROR(D109*HSI!$B$104*HSI!$G$104/HSI!$B$3,""))</f>
        <v/>
      </c>
      <c r="BS109" s="106">
        <f>IF(E109="","",IFERROR(E109*HSI!$B$104*HSI!$G$104/HSI!$B$3,""))</f>
        <v/>
      </c>
      <c r="BT109" s="106">
        <f>IF(F109="","",IFERROR(F109*HSI!$B$104*HSI!$G$104/HSI!$B$3,""))</f>
        <v/>
      </c>
      <c r="BU109" s="106">
        <f>IF(G109="","",IFERROR(G109*HSI!$B$104*HSI!$G$104/HSI!$B$3,""))</f>
        <v/>
      </c>
      <c r="BV109" s="106">
        <f>IF(H109="","",IFERROR(H109*HSI!$B$104*HSI!$G$104/HSI!$B$3,""))</f>
        <v/>
      </c>
      <c r="BW109" s="106">
        <f>IF(I109="","",IFERROR(I109*HSI!$B$104*HSI!$G$104/HSI!$B$3,""))</f>
        <v/>
      </c>
      <c r="BX109" s="106">
        <f>IF(J109="","",IFERROR(J109*HSI!$B$104*HSI!$G$104/HSI!$B$3,""))</f>
        <v/>
      </c>
      <c r="BY109" s="106">
        <f>IF(K109="","",IFERROR(K109*HSI!$B$104*HSI!$G$104/HSI!$B$3,""))</f>
        <v/>
      </c>
      <c r="BZ109" s="106">
        <f>IF(L109="","",IFERROR(L109*HSI!$B$104*HSI!$G$104/HSI!$B$3,""))</f>
        <v/>
      </c>
      <c r="CA109" s="106">
        <f>IF(M109="","",IFERROR(M109*HSI!$B$104*HSI!$G$104/HSI!$B$3,""))</f>
        <v/>
      </c>
      <c r="CB109" s="106">
        <f>IF(N109="","",IFERROR(N109*HSI!$B$104*HSI!$G$104/HSI!$B$3,""))</f>
        <v/>
      </c>
      <c r="CC109" s="106">
        <f>IF(O109="","",IFERROR(O109*HSI!$B$104*HSI!$G$104/HSI!$B$3,""))</f>
        <v/>
      </c>
      <c r="CD109" s="106">
        <f>IF(P109="","",IFERROR(P109*HSI!$B$104*HSI!$G$104/HSI!$B$3,""))</f>
        <v/>
      </c>
      <c r="CE109" s="106">
        <f>IF(Q109="","",IFERROR(Q109*HSI!$B$104*HSI!$G$104/HSI!$B$3,""))</f>
        <v/>
      </c>
      <c r="CF109" s="106">
        <f>IF(R109="","",IFERROR(R109*HSI!$B$104*HSI!$G$104/HSI!$B$3,""))</f>
        <v/>
      </c>
      <c r="CG109" s="106">
        <f>IF(S109="","",IFERROR(S109*HSI!$B$104*HSI!$G$104/HSI!$B$3,""))</f>
        <v/>
      </c>
      <c r="CH109" s="106">
        <f>IF(T109="","",IFERROR(T109*HSI!$B$104*HSI!$G$104/HSI!$B$3,""))</f>
        <v/>
      </c>
      <c r="CI109" s="106">
        <f>IF(U109="","",IFERROR(U109*HSI!$B$104*HSI!$G$104/HSI!$B$3,""))</f>
        <v/>
      </c>
      <c r="CJ109" s="106">
        <f>IF(V109="","",IFERROR(V109*HSI!$B$104*HSI!$G$104/HSI!$B$3,""))</f>
        <v/>
      </c>
      <c r="CK109" s="106">
        <f>IF(W109="","",IFERROR(W109*HSI!$B$104*HSI!$G$104/HSI!$B$3,""))</f>
        <v/>
      </c>
      <c r="CL109" s="106">
        <f>IF(X109="","",IFERROR(X109*HSI!$B$104*HSI!$G$104/HSI!$B$3,""))</f>
        <v/>
      </c>
      <c r="CM109" s="106">
        <f>IF(Y109="","",IFERROR(Y109*HSI!$B$104*HSI!$G$104/HSI!$B$3,""))</f>
        <v/>
      </c>
      <c r="CN109" s="106">
        <f>IF(Z109="","",IFERROR(Z109*HSI!$B$104*HSI!$G$104/HSI!$B$3,""))</f>
        <v/>
      </c>
      <c r="CO109" s="106">
        <f>IF(AA109="","",IFERROR(AA109*HSI!$B$104*HSI!$G$104/HSI!$B$3,""))</f>
        <v/>
      </c>
      <c r="CP109" s="106">
        <f>IF(AB109="","",IFERROR(AB109*HSI!$B$104*HSI!$G$104/HSI!$B$3,""))</f>
        <v/>
      </c>
      <c r="CQ109" s="106">
        <f>IF(AC109="","",IFERROR(AC109*HSI!$B$104*HSI!$G$104/HSI!$B$3,""))</f>
        <v/>
      </c>
      <c r="CR109" s="106">
        <f>IF(AD109="","",IFERROR(AD109*HSI!$B$104*HSI!$G$104/HSI!$B$3,""))</f>
        <v/>
      </c>
      <c r="CS109" s="106">
        <f>IF(AE109="","",IFERROR(AE109*HSI!$B$104*HSI!$G$104/HSI!$B$3,""))</f>
        <v/>
      </c>
      <c r="CT109" s="106">
        <f>IF(AF109="","",IFERROR(AF109*HSI!$B$104*HSI!$G$104/HSI!$B$3,""))</f>
        <v/>
      </c>
      <c r="CU109" s="106">
        <f>IF(AG109="","",IFERROR(AG109*HSI!$B$104*HSI!$G$104/HSI!$B$3,""))</f>
        <v/>
      </c>
      <c r="CV109" s="106">
        <f>IF(AH109="","",IFERROR(AH109*HSI!$B$104*HSI!$G$104/HSI!$B$3,""))</f>
        <v/>
      </c>
      <c r="CW109" s="106">
        <f>IF(AI109="","",IFERROR(AI109*HSI!$B$104*HSI!$G$104/HSI!$B$3,""))</f>
        <v/>
      </c>
      <c r="CX109" s="106">
        <f>IF(AJ109="","",IFERROR(AJ109*HSI!$B$104*HSI!$G$104/HSI!$B$3,""))</f>
        <v/>
      </c>
      <c r="CY109" s="106">
        <f>IF(AK109="","",IFERROR(AK109*HSI!$B$104*HSI!$G$104/HSI!$B$3,""))</f>
        <v/>
      </c>
      <c r="CZ109" s="106">
        <f>IF(AL109="","",IFERROR(AL109*HSI!$B$104*HSI!$G$104/HSI!$B$3,""))</f>
        <v/>
      </c>
      <c r="DA109" s="106">
        <f>IF(AM109="","",IFERROR(AM109*HSI!$B$104*HSI!$G$104/HSI!$B$3,""))</f>
        <v/>
      </c>
      <c r="DB109" s="106">
        <f>IF(AN109="","",IFERROR(AN109*HSI!$B$104*HSI!$G$104/HSI!$B$3,""))</f>
        <v/>
      </c>
      <c r="DC109" s="106">
        <f>IF(AO109="","",IFERROR(AO109*HSI!$B$104*HSI!$G$104/HSI!$B$3,""))</f>
        <v/>
      </c>
      <c r="DD109" s="106">
        <f>IF(AP109="","",IFERROR(AP109*HSI!$B$104*HSI!$G$104/HSI!$B$3,""))</f>
        <v/>
      </c>
      <c r="DE109" s="106">
        <f>IF(AQ109="","",IFERROR(AQ109*HSI!$B$104*HSI!$G$104/HSI!$B$3,""))</f>
        <v/>
      </c>
      <c r="DF109" s="106">
        <f>IF(AR109="","",IFERROR(AR109*HSI!$B$104*HSI!$G$104/HSI!$B$3,""))</f>
        <v/>
      </c>
      <c r="DG109" s="106">
        <f>IF(AS109="","",IFERROR(AS109*HSI!$B$104*HSI!$G$104/HSI!$B$3,""))</f>
        <v/>
      </c>
      <c r="DH109" s="106">
        <f>IF(AT109="","",IFERROR(AT109*HSI!$B$104*HSI!$G$104/HSI!$B$3,""))</f>
        <v/>
      </c>
      <c r="DI109" s="106">
        <f>IF(AU109="","",IFERROR(AU109*HSI!$B$104*HSI!$G$104/HSI!$B$3,""))</f>
        <v/>
      </c>
      <c r="DJ109" s="106">
        <f>IF(AV109="","",IFERROR(AV109*HSI!$B$104*HSI!$G$104/HSI!$B$3,""))</f>
        <v/>
      </c>
      <c r="DK109" s="106">
        <f>IF(AW109="","",IFERROR(AW109*HSI!$B$104*HSI!$G$104/HSI!$B$3,""))</f>
        <v/>
      </c>
      <c r="DL109" s="106">
        <f>IF(AX109="","",IFERROR(AX109*HSI!$B$104*HSI!$G$104/HSI!$B$3,""))</f>
        <v/>
      </c>
      <c r="DM109" s="106">
        <f>IF(AY109="","",IFERROR(AY109*HSI!$B$104*HSI!$G$104/HSI!$B$3,""))</f>
        <v/>
      </c>
      <c r="DN109" s="106">
        <f>IF(AZ109="","",IFERROR(AZ109*HSI!$B$104*HSI!$G$104/HSI!$B$3,""))</f>
        <v/>
      </c>
      <c r="DO109" s="106">
        <f>IF(BA109="","",IFERROR(BA109*HSI!$B$104*HSI!$G$104/HSI!$B$3,""))</f>
        <v/>
      </c>
      <c r="DP109" s="106">
        <f>IF(BB109="","",IFERROR(BB109*HSI!$B$104*HSI!$G$104/HSI!$B$3,""))</f>
        <v/>
      </c>
      <c r="DQ109" s="106">
        <f>IF(BC109="","",IFERROR(BC109*HSI!$B$104*HSI!$G$104/HSI!$B$3,""))</f>
        <v/>
      </c>
      <c r="DR109" s="106">
        <f>IF(BD109="","",IFERROR(BD109*HSI!$B$104*HSI!$G$104/HSI!$B$3,""))</f>
        <v/>
      </c>
      <c r="DS109" s="106">
        <f>IF(BE109="","",IFERROR(BE109*HSI!$B$104*HSI!$G$104/HSI!$B$3,""))</f>
        <v/>
      </c>
      <c r="DT109" s="106">
        <f>IF(BF109="","",IFERROR(BF109*HSI!$B$104*HSI!$G$104/HSI!$B$3,""))</f>
        <v/>
      </c>
      <c r="DU109" s="106">
        <f>IF(BG109="","",IFERROR(BG109*HSI!$B$104*HSI!$G$104/HSI!$B$3,""))</f>
        <v/>
      </c>
      <c r="DV109" s="106">
        <f>IF(BH109="","",IFERROR(BH109*HSI!$B$104*HSI!$G$104/HSI!$B$3,""))</f>
        <v/>
      </c>
      <c r="DW109" s="106">
        <f>IF(BI109="","",IFERROR(BI109*HSI!$B$104*HSI!$G$104/HSI!$B$3,""))</f>
        <v/>
      </c>
      <c r="DX109" s="106">
        <f>IF(BJ109="","",IFERROR(BJ109*HSI!$B$104*HSI!$G$104/HSI!$B$3,""))</f>
        <v/>
      </c>
      <c r="DY109" s="106">
        <f>IF(BK109="","",IFERROR(BK109*HSI!$B$104*HSI!$G$104/HSI!$B$3,""))</f>
        <v/>
      </c>
      <c r="DZ109" s="106">
        <f>IF(BL109="","",IFERROR(BL109*HSI!$B$104*HSI!$G$104/HSI!$B$3,""))</f>
        <v/>
      </c>
      <c r="EA109" s="106">
        <f>IF(BM109="","",IFERROR(BM109*HSI!$B$104*HSI!$G$104/HSI!$B$3,""))</f>
        <v/>
      </c>
      <c r="EB109" s="106">
        <f>IF(BN109="","",IFERROR(BN109*HSI!$B$104*HSI!$G$104/HSI!$B$3,""))</f>
        <v/>
      </c>
      <c r="EC109" s="106">
        <f>IF(BO109="","",IFERROR(BO109*HSI!$B$104*HSI!$G$104/HSI!$B$3,""))</f>
        <v/>
      </c>
      <c r="EE109" s="35">
        <f>IF(N('Dvd Calendar'!$E$1078)=0,"",IF(('Dvd Calendar'!$E$1078&gt;=GRID_FROM)*('Dvd Calendar'!$E$1078&lt;=GRID_TO)*('Dvd Calendar'!$E$1078&lt;=VAL_DATE)=0,"",'Dvd Calendar'!$E$1078*1000000000+ISNUMBER('Dvd Calendar'!$E$1081)*100000000+('Dvd Calendar'!$E$1083=SPECIAL_LBL)*10000000+0*1000000+98*1000+1))</f>
        <v/>
      </c>
      <c r="EF109" s="35">
        <f>IF(N('Dvd Calendar'!$F$1078)=0,"",IF(('Dvd Calendar'!$F$1078&gt;=GRID_FROM)*('Dvd Calendar'!$F$1078&lt;=GRID_TO)*('Dvd Calendar'!$F$1078&lt;=VAL_DATE)=0,"",'Dvd Calendar'!$F$1078*1000000000+ISNUMBER('Dvd Calendar'!$F$1081)*100000000+('Dvd Calendar'!$F$1083=SPECIAL_LBL)*10000000+0*1000000+98*1000+2))</f>
        <v/>
      </c>
      <c r="EG109" s="35">
        <f>IF(N('Dvd Calendar'!$G$1078)=0,"",IF(('Dvd Calendar'!$G$1078&gt;=GRID_FROM)*('Dvd Calendar'!$G$1078&lt;=GRID_TO)*('Dvd Calendar'!$G$1078&lt;=VAL_DATE)=0,"",'Dvd Calendar'!$G$1078*1000000000+ISNUMBER('Dvd Calendar'!$G$1081)*100000000+('Dvd Calendar'!$G$1083=SPECIAL_LBL)*10000000+0*1000000+98*1000+3))</f>
        <v/>
      </c>
      <c r="EH109" s="35">
        <f>IF(N('Dvd Calendar'!$H$1078)=0,"",IF(('Dvd Calendar'!$H$1078&gt;=GRID_FROM)*('Dvd Calendar'!$H$1078&lt;=GRID_TO)*('Dvd Calendar'!$H$1078&lt;=VAL_DATE)=0,"",'Dvd Calendar'!$H$1078*1000000000+ISNUMBER('Dvd Calendar'!$H$1081)*100000000+('Dvd Calendar'!$H$1083=SPECIAL_LBL)*10000000+0*1000000+98*1000+4))</f>
        <v/>
      </c>
      <c r="EI109" s="35">
        <f>IF(N('Dvd Calendar'!$I$1078)=0,"",IF(('Dvd Calendar'!$I$1078&gt;=GRID_FROM)*('Dvd Calendar'!$I$1078&lt;=GRID_TO)*('Dvd Calendar'!$I$1078&lt;=VAL_DATE)=0,"",'Dvd Calendar'!$I$1078*1000000000+ISNUMBER('Dvd Calendar'!$I$1081)*100000000+('Dvd Calendar'!$I$1083=SPECIAL_LBL)*10000000+0*1000000+98*1000+5))</f>
        <v/>
      </c>
      <c r="EJ109" s="35">
        <f>IF(N('Dvd Calendar'!$J$1078)=0,"",IF(('Dvd Calendar'!$J$1078&gt;=GRID_FROM)*('Dvd Calendar'!$J$1078&lt;=GRID_TO)*('Dvd Calendar'!$J$1078&lt;=VAL_DATE)=0,"",'Dvd Calendar'!$J$1078*1000000000+ISNUMBER('Dvd Calendar'!$J$1081)*100000000+('Dvd Calendar'!$J$1083=SPECIAL_LBL)*10000000+0*1000000+98*1000+6))</f>
        <v/>
      </c>
      <c r="EK109" s="35">
        <f>IF(N('Dvd Calendar'!$K$1078)=0,"",IF(('Dvd Calendar'!$K$1078&gt;=GRID_FROM)*('Dvd Calendar'!$K$1078&lt;=GRID_TO)*('Dvd Calendar'!$K$1078&lt;=VAL_DATE)=0,"",'Dvd Calendar'!$K$1078*1000000000+ISNUMBER('Dvd Calendar'!$K$1081)*100000000+('Dvd Calendar'!$K$1083=SPECIAL_LBL)*10000000+0*1000000+98*1000+7))</f>
        <v/>
      </c>
      <c r="EL109" s="35">
        <f>IF(N('Dvd Calendar'!$L$1078)=0,"",IF(('Dvd Calendar'!$L$1078&gt;=GRID_FROM)*('Dvd Calendar'!$L$1078&lt;=GRID_TO)*('Dvd Calendar'!$L$1078&lt;=VAL_DATE)=0,"",'Dvd Calendar'!$L$1078*1000000000+ISNUMBER('Dvd Calendar'!$L$1081)*100000000+('Dvd Calendar'!$L$1083=SPECIAL_LBL)*10000000+0*1000000+98*1000+8))</f>
        <v/>
      </c>
      <c r="EM109" s="35">
        <f>IF(N('Dvd Calendar'!$M$1078)=0,"",IF(('Dvd Calendar'!$M$1078&gt;=GRID_FROM)*('Dvd Calendar'!$M$1078&lt;=GRID_TO)*('Dvd Calendar'!$M$1078&lt;=VAL_DATE)=0,"",'Dvd Calendar'!$M$1078*1000000000+ISNUMBER('Dvd Calendar'!$M$1081)*100000000+('Dvd Calendar'!$M$1083=SPECIAL_LBL)*10000000+0*1000000+98*1000+9))</f>
        <v/>
      </c>
      <c r="EN109" s="35">
        <f>IF(N('Dvd Calendar'!$N$1078)=0,"",IF(('Dvd Calendar'!$N$1078&gt;=GRID_FROM)*('Dvd Calendar'!$N$1078&lt;=GRID_TO)*('Dvd Calendar'!$N$1078&lt;=VAL_DATE)=0,"",'Dvd Calendar'!$N$1078*1000000000+ISNUMBER('Dvd Calendar'!$N$1081)*100000000+('Dvd Calendar'!$N$1083=SPECIAL_LBL)*10000000+0*1000000+98*1000+10))</f>
        <v/>
      </c>
      <c r="EO109" s="35">
        <f>IF(N('Dvd Calendar'!$O$1078)=0,"",IF(('Dvd Calendar'!$O$1078&gt;=GRID_FROM)*('Dvd Calendar'!$O$1078&lt;=GRID_TO)*('Dvd Calendar'!$O$1078&lt;=VAL_DATE)=0,"",'Dvd Calendar'!$O$1078*1000000000+ISNUMBER('Dvd Calendar'!$O$1081)*100000000+('Dvd Calendar'!$O$1083=SPECIAL_LBL)*10000000+0*1000000+98*1000+11))</f>
        <v/>
      </c>
      <c r="EP109" s="35">
        <f>IF(N('Dvd Calendar'!$P$1078)=0,"",IF(('Dvd Calendar'!$P$1078&gt;=GRID_FROM)*('Dvd Calendar'!$P$1078&lt;=GRID_TO)*('Dvd Calendar'!$P$1078&lt;=VAL_DATE)=0,"",'Dvd Calendar'!$P$1078*1000000000+ISNUMBER('Dvd Calendar'!$P$1081)*100000000+('Dvd Calendar'!$P$1083=SPECIAL_LBL)*10000000+0*1000000+98*1000+12))</f>
        <v/>
      </c>
      <c r="EQ109" s="35">
        <f>IF(N('Dvd Calendar'!$Q$1078)=0,"",IF(('Dvd Calendar'!$Q$1078&gt;=GRID_FROM)*('Dvd Calendar'!$Q$1078&lt;=GRID_TO)*('Dvd Calendar'!$Q$1078&lt;=VAL_DATE)=0,"",'Dvd Calendar'!$Q$1078*1000000000+ISNUMBER('Dvd Calendar'!$Q$1081)*100000000+('Dvd Calendar'!$Q$1083=SPECIAL_LBL)*10000000+0*1000000+98*1000+13))</f>
        <v/>
      </c>
      <c r="ER109" s="35">
        <f>IF(N('Dvd Calendar'!$R$1078)=0,"",IF(('Dvd Calendar'!$R$1078&gt;=GRID_FROM)*('Dvd Calendar'!$R$1078&lt;=GRID_TO)*('Dvd Calendar'!$R$1078&lt;=VAL_DATE)=0,"",'Dvd Calendar'!$R$1078*1000000000+ISNUMBER('Dvd Calendar'!$R$1081)*100000000+('Dvd Calendar'!$R$1083=SPECIAL_LBL)*10000000+0*1000000+98*1000+14))</f>
        <v/>
      </c>
      <c r="ES109" s="35">
        <f>IF(N('Dvd Calendar'!$S$1078)=0,"",IF(('Dvd Calendar'!$S$1078&gt;=GRID_FROM)*('Dvd Calendar'!$S$1078&lt;=GRID_TO)*('Dvd Calendar'!$S$1078&lt;=VAL_DATE)=0,"",'Dvd Calendar'!$S$1078*1000000000+ISNUMBER('Dvd Calendar'!$S$1081)*100000000+('Dvd Calendar'!$S$1083=SPECIAL_LBL)*10000000+0*1000000+98*1000+15))</f>
        <v/>
      </c>
      <c r="ET109" s="35">
        <f>IF(N('Dvd Calendar'!$T$1078)=0,"",IF(('Dvd Calendar'!$T$1078&gt;=GRID_FROM)*('Dvd Calendar'!$T$1078&lt;=GRID_TO)*('Dvd Calendar'!$T$1078&lt;=VAL_DATE)=0,"",'Dvd Calendar'!$T$1078*1000000000+ISNUMBER('Dvd Calendar'!$T$1081)*100000000+('Dvd Calendar'!$T$1083=SPECIAL_LBL)*10000000+0*1000000+98*1000+16))</f>
        <v/>
      </c>
      <c r="EU109" s="35">
        <f>IF(N('Dvd Calendar'!$U$1078)=0,"",IF(('Dvd Calendar'!$U$1078&gt;=GRID_FROM)*('Dvd Calendar'!$U$1078&lt;=GRID_TO)*('Dvd Calendar'!$U$1078&lt;=VAL_DATE)=0,"",'Dvd Calendar'!$U$1078*1000000000+ISNUMBER('Dvd Calendar'!$U$1081)*100000000+('Dvd Calendar'!$U$1083=SPECIAL_LBL)*10000000+0*1000000+98*1000+17))</f>
        <v/>
      </c>
      <c r="EV109" s="35">
        <f>IF(N('Dvd Calendar'!$V$1078)=0,"",IF(('Dvd Calendar'!$V$1078&gt;=GRID_FROM)*('Dvd Calendar'!$V$1078&lt;=GRID_TO)*('Dvd Calendar'!$V$1078&lt;=VAL_DATE)=0,"",'Dvd Calendar'!$V$1078*1000000000+ISNUMBER('Dvd Calendar'!$V$1081)*100000000+('Dvd Calendar'!$V$1083=SPECIAL_LBL)*10000000+0*1000000+98*1000+18))</f>
        <v/>
      </c>
      <c r="EW109" s="35">
        <f>IF(N('Dvd Calendar'!$W$1078)=0,"",IF(('Dvd Calendar'!$W$1078&gt;=GRID_FROM)*('Dvd Calendar'!$W$1078&lt;=GRID_TO)*('Dvd Calendar'!$W$1078&lt;=VAL_DATE)=0,"",'Dvd Calendar'!$W$1078*1000000000+ISNUMBER('Dvd Calendar'!$W$1081)*100000000+('Dvd Calendar'!$W$1083=SPECIAL_LBL)*10000000+0*1000000+98*1000+19))</f>
        <v/>
      </c>
      <c r="EX109" s="35">
        <f>IF(N('Dvd Calendar'!$X$1078)=0,"",IF(('Dvd Calendar'!$X$1078&gt;=GRID_FROM)*('Dvd Calendar'!$X$1078&lt;=GRID_TO)*('Dvd Calendar'!$X$1078&lt;=VAL_DATE)=0,"",'Dvd Calendar'!$X$1078*1000000000+ISNUMBER('Dvd Calendar'!$X$1081)*100000000+('Dvd Calendar'!$X$1083=SPECIAL_LBL)*10000000+0*1000000+98*1000+20))</f>
        <v/>
      </c>
      <c r="EY109" s="35">
        <f>IF(N('Dvd Calendar'!$Y$1078)=0,"",IF(('Dvd Calendar'!$Y$1078&gt;=GRID_FROM)*('Dvd Calendar'!$Y$1078&lt;=GRID_TO)*('Dvd Calendar'!$Y$1078&lt;=VAL_DATE)=0,"",'Dvd Calendar'!$Y$1078*1000000000+ISNUMBER('Dvd Calendar'!$Y$1081)*100000000+('Dvd Calendar'!$Y$1083=SPECIAL_LBL)*10000000+0*1000000+98*1000+21))</f>
        <v/>
      </c>
      <c r="EZ109" s="35">
        <f>IF(N('Dvd Calendar'!$Z$1078)=0,"",IF(('Dvd Calendar'!$Z$1078&gt;=GRID_FROM)*('Dvd Calendar'!$Z$1078&lt;=GRID_TO)*('Dvd Calendar'!$Z$1078&lt;=VAL_DATE)=0,"",'Dvd Calendar'!$Z$1078*1000000000+ISNUMBER('Dvd Calendar'!$Z$1081)*100000000+('Dvd Calendar'!$Z$1083=SPECIAL_LBL)*10000000+0*1000000+98*1000+22))</f>
        <v/>
      </c>
      <c r="FA109" s="35">
        <f>IF(N('Dvd Calendar'!$AA$1078)=0,"",IF(('Dvd Calendar'!$AA$1078&gt;=GRID_FROM)*('Dvd Calendar'!$AA$1078&lt;=GRID_TO)*('Dvd Calendar'!$AA$1078&lt;=VAL_DATE)=0,"",'Dvd Calendar'!$AA$1078*1000000000+ISNUMBER('Dvd Calendar'!$AA$1081)*100000000+('Dvd Calendar'!$AA$1083=SPECIAL_LBL)*10000000+0*1000000+98*1000+23))</f>
        <v/>
      </c>
      <c r="FB109" s="35">
        <f>IF(N('Dvd Calendar'!$AB$1078)=0,"",IF(('Dvd Calendar'!$AB$1078&gt;=GRID_FROM)*('Dvd Calendar'!$AB$1078&lt;=GRID_TO)*('Dvd Calendar'!$AB$1078&lt;=VAL_DATE)=0,"",'Dvd Calendar'!$AB$1078*1000000000+ISNUMBER('Dvd Calendar'!$AB$1081)*100000000+('Dvd Calendar'!$AB$1083=SPECIAL_LBL)*10000000+0*1000000+98*1000+24))</f>
        <v/>
      </c>
      <c r="FC109" s="35">
        <f>IF(N('Dvd Calendar'!$AC$1078)=0,"",IF(('Dvd Calendar'!$AC$1078&gt;=GRID_FROM)*('Dvd Calendar'!$AC$1078&lt;=GRID_TO)*('Dvd Calendar'!$AC$1078&lt;=VAL_DATE)=0,"",'Dvd Calendar'!$AC$1078*1000000000+ISNUMBER('Dvd Calendar'!$AC$1081)*100000000+('Dvd Calendar'!$AC$1083=SPECIAL_LBL)*10000000+0*1000000+98*1000+25))</f>
        <v/>
      </c>
      <c r="FD109" s="35">
        <f>IF(N('Dvd Calendar'!$AD$1078)=0,"",IF(('Dvd Calendar'!$AD$1078&gt;=GRID_FROM)*('Dvd Calendar'!$AD$1078&lt;=GRID_TO)*('Dvd Calendar'!$AD$1078&lt;=VAL_DATE)=0,"",'Dvd Calendar'!$AD$1078*1000000000+ISNUMBER('Dvd Calendar'!$AD$1081)*100000000+('Dvd Calendar'!$AD$1083=SPECIAL_LBL)*10000000+0*1000000+98*1000+26))</f>
        <v/>
      </c>
      <c r="FE109" s="35">
        <f>IF(N('Dvd Calendar'!$AE$1078)=0,"",IF(('Dvd Calendar'!$AE$1078&gt;=GRID_FROM)*('Dvd Calendar'!$AE$1078&lt;=GRID_TO)*('Dvd Calendar'!$AE$1078&lt;=VAL_DATE)=0,"",'Dvd Calendar'!$AE$1078*1000000000+ISNUMBER('Dvd Calendar'!$AE$1081)*100000000+('Dvd Calendar'!$AE$1083=SPECIAL_LBL)*10000000+0*1000000+98*1000+27))</f>
        <v/>
      </c>
      <c r="FF109" s="35">
        <f>IF(N('Dvd Calendar'!$AF$1078)=0,"",IF(('Dvd Calendar'!$AF$1078&gt;=GRID_FROM)*('Dvd Calendar'!$AF$1078&lt;=GRID_TO)*('Dvd Calendar'!$AF$1078&lt;=VAL_DATE)=0,"",'Dvd Calendar'!$AF$1078*1000000000+ISNUMBER('Dvd Calendar'!$AF$1081)*100000000+('Dvd Calendar'!$AF$1083=SPECIAL_LBL)*10000000+0*1000000+98*1000+28))</f>
        <v/>
      </c>
      <c r="FG109" s="35">
        <f>IF(N('Dvd Calendar'!$AG$1078)=0,"",IF(('Dvd Calendar'!$AG$1078&gt;=GRID_FROM)*('Dvd Calendar'!$AG$1078&lt;=GRID_TO)*('Dvd Calendar'!$AG$1078&lt;=VAL_DATE)=0,"",'Dvd Calendar'!$AG$1078*1000000000+ISNUMBER('Dvd Calendar'!$AG$1081)*100000000+('Dvd Calendar'!$AG$1083=SPECIAL_LBL)*10000000+0*1000000+98*1000+29))</f>
        <v/>
      </c>
      <c r="FH109" s="35">
        <f>IF(N('Dvd Calendar'!$AH$1078)=0,"",IF(('Dvd Calendar'!$AH$1078&gt;=GRID_FROM)*('Dvd Calendar'!$AH$1078&lt;=GRID_TO)*('Dvd Calendar'!$AH$1078&lt;=VAL_DATE)=0,"",'Dvd Calendar'!$AH$1078*1000000000+ISNUMBER('Dvd Calendar'!$AH$1081)*100000000+('Dvd Calendar'!$AH$1083=SPECIAL_LBL)*10000000+0*1000000+98*1000+30))</f>
        <v/>
      </c>
      <c r="FI109" s="35">
        <f>IF(N('Dvd Calendar'!$AI$1078)=0,"",IF(('Dvd Calendar'!$AI$1078&gt;=GRID_FROM)*('Dvd Calendar'!$AI$1078&lt;=GRID_TO)*('Dvd Calendar'!$AI$1078&lt;=VAL_DATE)=0,"",'Dvd Calendar'!$AI$1078*1000000000+ISNUMBER('Dvd Calendar'!$AI$1081)*100000000+('Dvd Calendar'!$AI$1083=SPECIAL_LBL)*10000000+0*1000000+98*1000+31))</f>
        <v/>
      </c>
      <c r="FJ109" s="35">
        <f>IF(N('Dvd Calendar'!$AJ$1078)=0,"",IF(('Dvd Calendar'!$AJ$1078&gt;=GRID_FROM)*('Dvd Calendar'!$AJ$1078&lt;=GRID_TO)*('Dvd Calendar'!$AJ$1078&lt;=VAL_DATE)=0,"",'Dvd Calendar'!$AJ$1078*1000000000+ISNUMBER('Dvd Calendar'!$AJ$1081)*100000000+('Dvd Calendar'!$AJ$1083=SPECIAL_LBL)*10000000+0*1000000+98*1000+32))</f>
        <v/>
      </c>
      <c r="FK109" s="35">
        <f>IF(N('Dvd Calendar'!$AK$1078)=0,"",IF(('Dvd Calendar'!$AK$1078&gt;=GRID_FROM)*('Dvd Calendar'!$AK$1078&lt;=GRID_TO)*('Dvd Calendar'!$AK$1078&lt;=VAL_DATE)=0,"",'Dvd Calendar'!$AK$1078*1000000000+ISNUMBER('Dvd Calendar'!$AK$1081)*100000000+('Dvd Calendar'!$AK$1083=SPECIAL_LBL)*10000000+0*1000000+98*1000+33))</f>
        <v/>
      </c>
      <c r="FL109" s="35">
        <f>IF(N('Dvd Calendar'!$AL$1078)=0,"",IF(('Dvd Calendar'!$AL$1078&gt;=GRID_FROM)*('Dvd Calendar'!$AL$1078&lt;=GRID_TO)*('Dvd Calendar'!$AL$1078&lt;=VAL_DATE)=0,"",'Dvd Calendar'!$AL$1078*1000000000+ISNUMBER('Dvd Calendar'!$AL$1081)*100000000+('Dvd Calendar'!$AL$1083=SPECIAL_LBL)*10000000+0*1000000+98*1000+34))</f>
        <v/>
      </c>
      <c r="FM109" s="35">
        <f>IF(N('Dvd Calendar'!$AM$1078)=0,"",IF(('Dvd Calendar'!$AM$1078&gt;=GRID_FROM)*('Dvd Calendar'!$AM$1078&lt;=GRID_TO)*('Dvd Calendar'!$AM$1078&lt;=VAL_DATE)=0,"",'Dvd Calendar'!$AM$1078*1000000000+ISNUMBER('Dvd Calendar'!$AM$1081)*100000000+('Dvd Calendar'!$AM$1083=SPECIAL_LBL)*10000000+0*1000000+98*1000+35))</f>
        <v/>
      </c>
      <c r="FN109" s="35">
        <f>IF(N('Dvd Calendar'!$AN$1078)=0,"",IF(('Dvd Calendar'!$AN$1078&gt;=GRID_FROM)*('Dvd Calendar'!$AN$1078&lt;=GRID_TO)*('Dvd Calendar'!$AN$1078&lt;=VAL_DATE)=0,"",'Dvd Calendar'!$AN$1078*1000000000+ISNUMBER('Dvd Calendar'!$AN$1081)*100000000+('Dvd Calendar'!$AN$1083=SPECIAL_LBL)*10000000+0*1000000+98*1000+36))</f>
        <v/>
      </c>
      <c r="FO109" s="35">
        <f>IF(N('Dvd Calendar'!$AO$1078)=0,"",IF(('Dvd Calendar'!$AO$1078&gt;=GRID_FROM)*('Dvd Calendar'!$AO$1078&lt;=GRID_TO)*('Dvd Calendar'!$AO$1078&lt;=VAL_DATE)=0,"",'Dvd Calendar'!$AO$1078*1000000000+ISNUMBER('Dvd Calendar'!$AO$1081)*100000000+('Dvd Calendar'!$AO$1083=SPECIAL_LBL)*10000000+0*1000000+98*1000+37))</f>
        <v/>
      </c>
      <c r="FP109" s="35">
        <f>IF(N('Dvd Calendar'!$AP$1078)=0,"",IF(('Dvd Calendar'!$AP$1078&gt;=GRID_FROM)*('Dvd Calendar'!$AP$1078&lt;=GRID_TO)*('Dvd Calendar'!$AP$1078&lt;=VAL_DATE)=0,"",'Dvd Calendar'!$AP$1078*1000000000+ISNUMBER('Dvd Calendar'!$AP$1081)*100000000+('Dvd Calendar'!$AP$1083=SPECIAL_LBL)*10000000+0*1000000+98*1000+38))</f>
        <v/>
      </c>
      <c r="FQ109" s="35">
        <f>IF(N('Dvd Calendar'!$AQ$1078)=0,"",IF(('Dvd Calendar'!$AQ$1078&gt;=GRID_FROM)*('Dvd Calendar'!$AQ$1078&lt;=GRID_TO)*('Dvd Calendar'!$AQ$1078&lt;=VAL_DATE)=0,"",'Dvd Calendar'!$AQ$1078*1000000000+ISNUMBER('Dvd Calendar'!$AQ$1081)*100000000+('Dvd Calendar'!$AQ$1083=SPECIAL_LBL)*10000000+0*1000000+98*1000+39))</f>
        <v/>
      </c>
      <c r="FR109" s="35">
        <f>IF(N('Dvd Calendar'!$AR$1078)=0,"",IF(('Dvd Calendar'!$AR$1078&gt;=GRID_FROM)*('Dvd Calendar'!$AR$1078&lt;=GRID_TO)*('Dvd Calendar'!$AR$1078&lt;=VAL_DATE)=0,"",'Dvd Calendar'!$AR$1078*1000000000+ISNUMBER('Dvd Calendar'!$AR$1081)*100000000+('Dvd Calendar'!$AR$1083=SPECIAL_LBL)*10000000+0*1000000+98*1000+40))</f>
        <v/>
      </c>
      <c r="FS109" s="35">
        <f>IF(N('Dvd Calendar'!$E$1085)=0,"",IF(('Dvd Calendar'!$E$1085&gt;=GRID_FROM)*('Dvd Calendar'!$E$1085&lt;=GRID_TO)*('Dvd Calendar'!$E$1085&gt;VAL_DATE)=0,"",'Dvd Calendar'!$E$1085*1000000000+ISNUMBER('Dvd Calendar'!$E$1086)*100000000+0*10000000+(N('Dvd Calendar'!$E$1084)&gt;0)*(N('Dvd Calendar'!$E$1084)&lt;=VAL_SERIAL)*1000000+98*1000+41))</f>
        <v/>
      </c>
      <c r="FT109" s="35">
        <f>IF(N('Dvd Calendar'!$F$1085)=0,"",IF(('Dvd Calendar'!$F$1085&gt;=GRID_FROM)*('Dvd Calendar'!$F$1085&lt;=GRID_TO)*('Dvd Calendar'!$F$1085&gt;VAL_DATE)=0,"",'Dvd Calendar'!$F$1085*1000000000+ISNUMBER('Dvd Calendar'!$F$1086)*100000000+0*10000000+(N('Dvd Calendar'!$F$1084)&gt;0)*(N('Dvd Calendar'!$F$1084)&lt;=VAL_SERIAL)*1000000+98*1000+42))</f>
        <v/>
      </c>
      <c r="FU109" s="35">
        <f>IF(N('Dvd Calendar'!$G$1085)=0,"",IF(('Dvd Calendar'!$G$1085&gt;=GRID_FROM)*('Dvd Calendar'!$G$1085&lt;=GRID_TO)*('Dvd Calendar'!$G$1085&gt;VAL_DATE)=0,"",'Dvd Calendar'!$G$1085*1000000000+ISNUMBER('Dvd Calendar'!$G$1086)*100000000+0*10000000+(N('Dvd Calendar'!$G$1084)&gt;0)*(N('Dvd Calendar'!$G$1084)&lt;=VAL_SERIAL)*1000000+98*1000+43))</f>
        <v/>
      </c>
      <c r="FV109" s="35">
        <f>IF(N('Dvd Calendar'!$H$1085)=0,"",IF(('Dvd Calendar'!$H$1085&gt;=GRID_FROM)*('Dvd Calendar'!$H$1085&lt;=GRID_TO)*('Dvd Calendar'!$H$1085&gt;VAL_DATE)=0,"",'Dvd Calendar'!$H$1085*1000000000+ISNUMBER('Dvd Calendar'!$H$1086)*100000000+0*10000000+(N('Dvd Calendar'!$H$1084)&gt;0)*(N('Dvd Calendar'!$H$1084)&lt;=VAL_SERIAL)*1000000+98*1000+44))</f>
        <v/>
      </c>
      <c r="FW109" s="35">
        <f>IF(N('Dvd Calendar'!$I$1085)=0,"",IF(('Dvd Calendar'!$I$1085&gt;=GRID_FROM)*('Dvd Calendar'!$I$1085&lt;=GRID_TO)*('Dvd Calendar'!$I$1085&gt;VAL_DATE)=0,"",'Dvd Calendar'!$I$1085*1000000000+ISNUMBER('Dvd Calendar'!$I$1086)*100000000+0*10000000+(N('Dvd Calendar'!$I$1084)&gt;0)*(N('Dvd Calendar'!$I$1084)&lt;=VAL_SERIAL)*1000000+98*1000+45))</f>
        <v/>
      </c>
      <c r="FX109" s="35">
        <f>IF(N('Dvd Calendar'!$J$1085)=0,"",IF(('Dvd Calendar'!$J$1085&gt;=GRID_FROM)*('Dvd Calendar'!$J$1085&lt;=GRID_TO)*('Dvd Calendar'!$J$1085&gt;VAL_DATE)=0,"",'Dvd Calendar'!$J$1085*1000000000+ISNUMBER('Dvd Calendar'!$J$1086)*100000000+0*10000000+(N('Dvd Calendar'!$J$1084)&gt;0)*(N('Dvd Calendar'!$J$1084)&lt;=VAL_SERIAL)*1000000+98*1000+46))</f>
        <v/>
      </c>
      <c r="FY109" s="35">
        <f>IF(N('Dvd Calendar'!$K$1085)=0,"",IF(('Dvd Calendar'!$K$1085&gt;=GRID_FROM)*('Dvd Calendar'!$K$1085&lt;=GRID_TO)*('Dvd Calendar'!$K$1085&gt;VAL_DATE)=0,"",'Dvd Calendar'!$K$1085*1000000000+ISNUMBER('Dvd Calendar'!$K$1086)*100000000+0*10000000+(N('Dvd Calendar'!$K$1084)&gt;0)*(N('Dvd Calendar'!$K$1084)&lt;=VAL_SERIAL)*1000000+98*1000+47))</f>
        <v/>
      </c>
      <c r="FZ109" s="35">
        <f>IF(N('Dvd Calendar'!$L$1085)=0,"",IF(('Dvd Calendar'!$L$1085&gt;=GRID_FROM)*('Dvd Calendar'!$L$1085&lt;=GRID_TO)*('Dvd Calendar'!$L$1085&gt;VAL_DATE)=0,"",'Dvd Calendar'!$L$1085*1000000000+ISNUMBER('Dvd Calendar'!$L$1086)*100000000+0*10000000+(N('Dvd Calendar'!$L$1084)&gt;0)*(N('Dvd Calendar'!$L$1084)&lt;=VAL_SERIAL)*1000000+98*1000+48))</f>
        <v/>
      </c>
      <c r="GA109" s="35">
        <f>IF(N('Dvd Calendar'!$M$1085)=0,"",IF(('Dvd Calendar'!$M$1085&gt;=GRID_FROM)*('Dvd Calendar'!$M$1085&lt;=GRID_TO)*('Dvd Calendar'!$M$1085&gt;VAL_DATE)=0,"",'Dvd Calendar'!$M$1085*1000000000+ISNUMBER('Dvd Calendar'!$M$1086)*100000000+0*10000000+(N('Dvd Calendar'!$M$1084)&gt;0)*(N('Dvd Calendar'!$M$1084)&lt;=VAL_SERIAL)*1000000+98*1000+49))</f>
        <v/>
      </c>
      <c r="GB109" s="35">
        <f>IF(N('Dvd Calendar'!$N$1085)=0,"",IF(('Dvd Calendar'!$N$1085&gt;=GRID_FROM)*('Dvd Calendar'!$N$1085&lt;=GRID_TO)*('Dvd Calendar'!$N$1085&gt;VAL_DATE)=0,"",'Dvd Calendar'!$N$1085*1000000000+ISNUMBER('Dvd Calendar'!$N$1086)*100000000+0*10000000+(N('Dvd Calendar'!$N$1084)&gt;0)*(N('Dvd Calendar'!$N$1084)&lt;=VAL_SERIAL)*1000000+98*1000+50))</f>
        <v/>
      </c>
      <c r="GC109" s="35">
        <f>IF(N('Dvd Calendar'!$O$1085)=0,"",IF(('Dvd Calendar'!$O$1085&gt;=GRID_FROM)*('Dvd Calendar'!$O$1085&lt;=GRID_TO)*('Dvd Calendar'!$O$1085&gt;VAL_DATE)=0,"",'Dvd Calendar'!$O$1085*1000000000+ISNUMBER('Dvd Calendar'!$O$1086)*100000000+0*10000000+(N('Dvd Calendar'!$O$1084)&gt;0)*(N('Dvd Calendar'!$O$1084)&lt;=VAL_SERIAL)*1000000+98*1000+51))</f>
        <v/>
      </c>
      <c r="GD109" s="35">
        <f>IF(N('Dvd Calendar'!$P$1085)=0,"",IF(('Dvd Calendar'!$P$1085&gt;=GRID_FROM)*('Dvd Calendar'!$P$1085&lt;=GRID_TO)*('Dvd Calendar'!$P$1085&gt;VAL_DATE)=0,"",'Dvd Calendar'!$P$1085*1000000000+ISNUMBER('Dvd Calendar'!$P$1086)*100000000+0*10000000+(N('Dvd Calendar'!$P$1084)&gt;0)*(N('Dvd Calendar'!$P$1084)&lt;=VAL_SERIAL)*1000000+98*1000+52))</f>
        <v/>
      </c>
      <c r="GE109" s="35">
        <f>IF(N('Dvd Calendar'!$Q$1085)=0,"",IF(('Dvd Calendar'!$Q$1085&gt;=GRID_FROM)*('Dvd Calendar'!$Q$1085&lt;=GRID_TO)*('Dvd Calendar'!$Q$1085&gt;VAL_DATE)=0,"",'Dvd Calendar'!$Q$1085*1000000000+ISNUMBER('Dvd Calendar'!$Q$1086)*100000000+0*10000000+(N('Dvd Calendar'!$Q$1084)&gt;0)*(N('Dvd Calendar'!$Q$1084)&lt;=VAL_SERIAL)*1000000+98*1000+53))</f>
        <v/>
      </c>
      <c r="GF109" s="35">
        <f>IF(N('Dvd Calendar'!$R$1085)=0,"",IF(('Dvd Calendar'!$R$1085&gt;=GRID_FROM)*('Dvd Calendar'!$R$1085&lt;=GRID_TO)*('Dvd Calendar'!$R$1085&gt;VAL_DATE)=0,"",'Dvd Calendar'!$R$1085*1000000000+ISNUMBER('Dvd Calendar'!$R$1086)*100000000+0*10000000+(N('Dvd Calendar'!$R$1084)&gt;0)*(N('Dvd Calendar'!$R$1084)&lt;=VAL_SERIAL)*1000000+98*1000+54))</f>
        <v/>
      </c>
      <c r="GG109" s="35">
        <f>IF(N('Dvd Calendar'!$S$1085)=0,"",IF(('Dvd Calendar'!$S$1085&gt;=GRID_FROM)*('Dvd Calendar'!$S$1085&lt;=GRID_TO)*('Dvd Calendar'!$S$1085&gt;VAL_DATE)=0,"",'Dvd Calendar'!$S$1085*1000000000+ISNUMBER('Dvd Calendar'!$S$1086)*100000000+0*10000000+(N('Dvd Calendar'!$S$1084)&gt;0)*(N('Dvd Calendar'!$S$1084)&lt;=VAL_SERIAL)*1000000+98*1000+55))</f>
        <v/>
      </c>
      <c r="GH109" s="35">
        <f>IF(N('Dvd Calendar'!$T$1085)=0,"",IF(('Dvd Calendar'!$T$1085&gt;=GRID_FROM)*('Dvd Calendar'!$T$1085&lt;=GRID_TO)*('Dvd Calendar'!$T$1085&gt;VAL_DATE)=0,"",'Dvd Calendar'!$T$1085*1000000000+ISNUMBER('Dvd Calendar'!$T$1086)*100000000+0*10000000+(N('Dvd Calendar'!$T$1084)&gt;0)*(N('Dvd Calendar'!$T$1084)&lt;=VAL_SERIAL)*1000000+98*1000+56))</f>
        <v/>
      </c>
      <c r="GI109" s="35">
        <f>IF(N('Dvd Calendar'!$U$1085)=0,"",IF(('Dvd Calendar'!$U$1085&gt;=GRID_FROM)*('Dvd Calendar'!$U$1085&lt;=GRID_TO)*('Dvd Calendar'!$U$1085&gt;VAL_DATE)=0,"",'Dvd Calendar'!$U$1085*1000000000+ISNUMBER('Dvd Calendar'!$U$1086)*100000000+0*10000000+(N('Dvd Calendar'!$U$1084)&gt;0)*(N('Dvd Calendar'!$U$1084)&lt;=VAL_SERIAL)*1000000+98*1000+57))</f>
        <v/>
      </c>
      <c r="GJ109" s="35">
        <f>IF(N('Dvd Calendar'!$V$1085)=0,"",IF(('Dvd Calendar'!$V$1085&gt;=GRID_FROM)*('Dvd Calendar'!$V$1085&lt;=GRID_TO)*('Dvd Calendar'!$V$1085&gt;VAL_DATE)=0,"",'Dvd Calendar'!$V$1085*1000000000+ISNUMBER('Dvd Calendar'!$V$1086)*100000000+0*10000000+(N('Dvd Calendar'!$V$1084)&gt;0)*(N('Dvd Calendar'!$V$1084)&lt;=VAL_SERIAL)*1000000+98*1000+58))</f>
        <v/>
      </c>
      <c r="GK109" s="35">
        <f>IF(N('Dvd Calendar'!$W$1085)=0,"",IF(('Dvd Calendar'!$W$1085&gt;=GRID_FROM)*('Dvd Calendar'!$W$1085&lt;=GRID_TO)*('Dvd Calendar'!$W$1085&gt;VAL_DATE)=0,"",'Dvd Calendar'!$W$1085*1000000000+ISNUMBER('Dvd Calendar'!$W$1086)*100000000+0*10000000+(N('Dvd Calendar'!$W$1084)&gt;0)*(N('Dvd Calendar'!$W$1084)&lt;=VAL_SERIAL)*1000000+98*1000+59))</f>
        <v/>
      </c>
      <c r="GL109" s="35">
        <f>IF(N('Dvd Calendar'!$X$1085)=0,"",IF(('Dvd Calendar'!$X$1085&gt;=GRID_FROM)*('Dvd Calendar'!$X$1085&lt;=GRID_TO)*('Dvd Calendar'!$X$1085&gt;VAL_DATE)=0,"",'Dvd Calendar'!$X$1085*1000000000+ISNUMBER('Dvd Calendar'!$X$1086)*100000000+0*10000000+(N('Dvd Calendar'!$X$1084)&gt;0)*(N('Dvd Calendar'!$X$1084)&lt;=VAL_SERIAL)*1000000+98*1000+60))</f>
        <v/>
      </c>
      <c r="GM109" s="35">
        <f>IF(N('Dvd Calendar'!$Y$1085)=0,"",IF(('Dvd Calendar'!$Y$1085&gt;=GRID_FROM)*('Dvd Calendar'!$Y$1085&lt;=GRID_TO)*('Dvd Calendar'!$Y$1085&gt;VAL_DATE)=0,"",'Dvd Calendar'!$Y$1085*1000000000+ISNUMBER('Dvd Calendar'!$Y$1086)*100000000+0*10000000+(N('Dvd Calendar'!$Y$1084)&gt;0)*(N('Dvd Calendar'!$Y$1084)&lt;=VAL_SERIAL)*1000000+98*1000+61))</f>
        <v/>
      </c>
      <c r="GN109" s="35">
        <f>IF(N('Dvd Calendar'!$Z$1085)=0,"",IF(('Dvd Calendar'!$Z$1085&gt;=GRID_FROM)*('Dvd Calendar'!$Z$1085&lt;=GRID_TO)*('Dvd Calendar'!$Z$1085&gt;VAL_DATE)=0,"",'Dvd Calendar'!$Z$1085*1000000000+ISNUMBER('Dvd Calendar'!$Z$1086)*100000000+0*10000000+(N('Dvd Calendar'!$Z$1084)&gt;0)*(N('Dvd Calendar'!$Z$1084)&lt;=VAL_SERIAL)*1000000+98*1000+62))</f>
        <v/>
      </c>
      <c r="GO109" s="35">
        <f>IF(N('Dvd Calendar'!$AA$1085)=0,"",IF(('Dvd Calendar'!$AA$1085&gt;=GRID_FROM)*('Dvd Calendar'!$AA$1085&lt;=GRID_TO)*('Dvd Calendar'!$AA$1085&gt;VAL_DATE)=0,"",'Dvd Calendar'!$AA$1085*1000000000+ISNUMBER('Dvd Calendar'!$AA$1086)*100000000+0*10000000+(N('Dvd Calendar'!$AA$1084)&gt;0)*(N('Dvd Calendar'!$AA$1084)&lt;=VAL_SERIAL)*1000000+98*1000+63))</f>
        <v/>
      </c>
      <c r="GP109" s="35">
        <f>IF(N('Dvd Calendar'!$AB$1085)=0,"",IF(('Dvd Calendar'!$AB$1085&gt;=GRID_FROM)*('Dvd Calendar'!$AB$1085&lt;=GRID_TO)*('Dvd Calendar'!$AB$1085&gt;VAL_DATE)=0,"",'Dvd Calendar'!$AB$1085*1000000000+ISNUMBER('Dvd Calendar'!$AB$1086)*100000000+0*10000000+(N('Dvd Calendar'!$AB$1084)&gt;0)*(N('Dvd Calendar'!$AB$1084)&lt;=VAL_SERIAL)*1000000+98*1000+64))</f>
        <v/>
      </c>
      <c r="GQ109" s="35">
        <f>IF(N('Dvd Calendar'!$AC$1085)=0,"",IF(('Dvd Calendar'!$AC$1085&gt;=GRID_FROM)*('Dvd Calendar'!$AC$1085&lt;=GRID_TO)*('Dvd Calendar'!$AC$1085&gt;VAL_DATE)=0,"",'Dvd Calendar'!$AC$1085*1000000000+ISNUMBER('Dvd Calendar'!$AC$1086)*100000000+0*10000000+(N('Dvd Calendar'!$AC$1084)&gt;0)*(N('Dvd Calendar'!$AC$1084)&lt;=VAL_SERIAL)*1000000+98*1000+65))</f>
        <v/>
      </c>
    </row>
    <row r="110">
      <c r="B110" s="2">
        <f>IF(HSI!$C$105="","",HSI!$C$105)</f>
        <v/>
      </c>
      <c r="C110" s="106">
        <f>IF(EE110="","",IF(ISNUMBER('Dvd Calendar'!$E$1092)=FALSE,"",IF((('Dvd Calendar'!$E$1094=TYPE1)*(TYPE1&lt;&gt;"")+('Dvd Calendar'!$E$1094=TYPE2)*(TYPE2&lt;&gt;"")+('Dvd Calendar'!$E$1094=TYPE3)*(TYPE3&lt;&gt;"")+('Dvd Calendar'!$E$1094=TYPE4)*(TYPE4&lt;&gt;"")+('Dvd Calendar'!$E$1094=SPECIAL_LBL)*(INC_SPECIALS="Y"))=0,"",'Dvd Calendar'!$E$1092)))</f>
        <v/>
      </c>
      <c r="D110" s="106">
        <f>IF(EF110="","",IF(ISNUMBER('Dvd Calendar'!$F$1092)=FALSE,"",IF((('Dvd Calendar'!$F$1094=TYPE1)*(TYPE1&lt;&gt;"")+('Dvd Calendar'!$F$1094=TYPE2)*(TYPE2&lt;&gt;"")+('Dvd Calendar'!$F$1094=TYPE3)*(TYPE3&lt;&gt;"")+('Dvd Calendar'!$F$1094=TYPE4)*(TYPE4&lt;&gt;"")+('Dvd Calendar'!$F$1094=SPECIAL_LBL)*(INC_SPECIALS="Y"))=0,"",'Dvd Calendar'!$F$1092)))</f>
        <v/>
      </c>
      <c r="E110" s="106">
        <f>IF(EG110="","",IF(ISNUMBER('Dvd Calendar'!$G$1092)=FALSE,"",IF((('Dvd Calendar'!$G$1094=TYPE1)*(TYPE1&lt;&gt;"")+('Dvd Calendar'!$G$1094=TYPE2)*(TYPE2&lt;&gt;"")+('Dvd Calendar'!$G$1094=TYPE3)*(TYPE3&lt;&gt;"")+('Dvd Calendar'!$G$1094=TYPE4)*(TYPE4&lt;&gt;"")+('Dvd Calendar'!$G$1094=SPECIAL_LBL)*(INC_SPECIALS="Y"))=0,"",'Dvd Calendar'!$G$1092)))</f>
        <v/>
      </c>
      <c r="F110" s="106">
        <f>IF(EH110="","",IF(ISNUMBER('Dvd Calendar'!$H$1092)=FALSE,"",IF((('Dvd Calendar'!$H$1094=TYPE1)*(TYPE1&lt;&gt;"")+('Dvd Calendar'!$H$1094=TYPE2)*(TYPE2&lt;&gt;"")+('Dvd Calendar'!$H$1094=TYPE3)*(TYPE3&lt;&gt;"")+('Dvd Calendar'!$H$1094=TYPE4)*(TYPE4&lt;&gt;"")+('Dvd Calendar'!$H$1094=SPECIAL_LBL)*(INC_SPECIALS="Y"))=0,"",'Dvd Calendar'!$H$1092)))</f>
        <v/>
      </c>
      <c r="G110" s="106">
        <f>IF(EI110="","",IF(ISNUMBER('Dvd Calendar'!$I$1092)=FALSE,"",IF((('Dvd Calendar'!$I$1094=TYPE1)*(TYPE1&lt;&gt;"")+('Dvd Calendar'!$I$1094=TYPE2)*(TYPE2&lt;&gt;"")+('Dvd Calendar'!$I$1094=TYPE3)*(TYPE3&lt;&gt;"")+('Dvd Calendar'!$I$1094=TYPE4)*(TYPE4&lt;&gt;"")+('Dvd Calendar'!$I$1094=SPECIAL_LBL)*(INC_SPECIALS="Y"))=0,"",'Dvd Calendar'!$I$1092)))</f>
        <v/>
      </c>
      <c r="H110" s="106">
        <f>IF(EJ110="","",IF(ISNUMBER('Dvd Calendar'!$J$1092)=FALSE,"",IF((('Dvd Calendar'!$J$1094=TYPE1)*(TYPE1&lt;&gt;"")+('Dvd Calendar'!$J$1094=TYPE2)*(TYPE2&lt;&gt;"")+('Dvd Calendar'!$J$1094=TYPE3)*(TYPE3&lt;&gt;"")+('Dvd Calendar'!$J$1094=TYPE4)*(TYPE4&lt;&gt;"")+('Dvd Calendar'!$J$1094=SPECIAL_LBL)*(INC_SPECIALS="Y"))=0,"",'Dvd Calendar'!$J$1092)))</f>
        <v/>
      </c>
      <c r="I110" s="106">
        <f>IF(EK110="","",IF(ISNUMBER('Dvd Calendar'!$K$1092)=FALSE,"",IF((('Dvd Calendar'!$K$1094=TYPE1)*(TYPE1&lt;&gt;"")+('Dvd Calendar'!$K$1094=TYPE2)*(TYPE2&lt;&gt;"")+('Dvd Calendar'!$K$1094=TYPE3)*(TYPE3&lt;&gt;"")+('Dvd Calendar'!$K$1094=TYPE4)*(TYPE4&lt;&gt;"")+('Dvd Calendar'!$K$1094=SPECIAL_LBL)*(INC_SPECIALS="Y"))=0,"",'Dvd Calendar'!$K$1092)))</f>
        <v/>
      </c>
      <c r="J110" s="106">
        <f>IF(EL110="","",IF(ISNUMBER('Dvd Calendar'!$L$1092)=FALSE,"",IF((('Dvd Calendar'!$L$1094=TYPE1)*(TYPE1&lt;&gt;"")+('Dvd Calendar'!$L$1094=TYPE2)*(TYPE2&lt;&gt;"")+('Dvd Calendar'!$L$1094=TYPE3)*(TYPE3&lt;&gt;"")+('Dvd Calendar'!$L$1094=TYPE4)*(TYPE4&lt;&gt;"")+('Dvd Calendar'!$L$1094=SPECIAL_LBL)*(INC_SPECIALS="Y"))=0,"",'Dvd Calendar'!$L$1092)))</f>
        <v/>
      </c>
      <c r="K110" s="106">
        <f>IF(EM110="","",IF(ISNUMBER('Dvd Calendar'!$M$1092)=FALSE,"",IF((('Dvd Calendar'!$M$1094=TYPE1)*(TYPE1&lt;&gt;"")+('Dvd Calendar'!$M$1094=TYPE2)*(TYPE2&lt;&gt;"")+('Dvd Calendar'!$M$1094=TYPE3)*(TYPE3&lt;&gt;"")+('Dvd Calendar'!$M$1094=TYPE4)*(TYPE4&lt;&gt;"")+('Dvd Calendar'!$M$1094=SPECIAL_LBL)*(INC_SPECIALS="Y"))=0,"",'Dvd Calendar'!$M$1092)))</f>
        <v/>
      </c>
      <c r="L110" s="106">
        <f>IF(EN110="","",IF(ISNUMBER('Dvd Calendar'!$N$1092)=FALSE,"",IF((('Dvd Calendar'!$N$1094=TYPE1)*(TYPE1&lt;&gt;"")+('Dvd Calendar'!$N$1094=TYPE2)*(TYPE2&lt;&gt;"")+('Dvd Calendar'!$N$1094=TYPE3)*(TYPE3&lt;&gt;"")+('Dvd Calendar'!$N$1094=TYPE4)*(TYPE4&lt;&gt;"")+('Dvd Calendar'!$N$1094=SPECIAL_LBL)*(INC_SPECIALS="Y"))=0,"",'Dvd Calendar'!$N$1092)))</f>
        <v/>
      </c>
      <c r="M110" s="106">
        <f>IF(EO110="","",IF(ISNUMBER('Dvd Calendar'!$O$1092)=FALSE,"",IF((('Dvd Calendar'!$O$1094=TYPE1)*(TYPE1&lt;&gt;"")+('Dvd Calendar'!$O$1094=TYPE2)*(TYPE2&lt;&gt;"")+('Dvd Calendar'!$O$1094=TYPE3)*(TYPE3&lt;&gt;"")+('Dvd Calendar'!$O$1094=TYPE4)*(TYPE4&lt;&gt;"")+('Dvd Calendar'!$O$1094=SPECIAL_LBL)*(INC_SPECIALS="Y"))=0,"",'Dvd Calendar'!$O$1092)))</f>
        <v/>
      </c>
      <c r="N110" s="106">
        <f>IF(EP110="","",IF(ISNUMBER('Dvd Calendar'!$P$1092)=FALSE,"",IF((('Dvd Calendar'!$P$1094=TYPE1)*(TYPE1&lt;&gt;"")+('Dvd Calendar'!$P$1094=TYPE2)*(TYPE2&lt;&gt;"")+('Dvd Calendar'!$P$1094=TYPE3)*(TYPE3&lt;&gt;"")+('Dvd Calendar'!$P$1094=TYPE4)*(TYPE4&lt;&gt;"")+('Dvd Calendar'!$P$1094=SPECIAL_LBL)*(INC_SPECIALS="Y"))=0,"",'Dvd Calendar'!$P$1092)))</f>
        <v/>
      </c>
      <c r="O110" s="106">
        <f>IF(EQ110="","",IF(ISNUMBER('Dvd Calendar'!$Q$1092)=FALSE,"",IF((('Dvd Calendar'!$Q$1094=TYPE1)*(TYPE1&lt;&gt;"")+('Dvd Calendar'!$Q$1094=TYPE2)*(TYPE2&lt;&gt;"")+('Dvd Calendar'!$Q$1094=TYPE3)*(TYPE3&lt;&gt;"")+('Dvd Calendar'!$Q$1094=TYPE4)*(TYPE4&lt;&gt;"")+('Dvd Calendar'!$Q$1094=SPECIAL_LBL)*(INC_SPECIALS="Y"))=0,"",'Dvd Calendar'!$Q$1092)))</f>
        <v/>
      </c>
      <c r="P110" s="106">
        <f>IF(ER110="","",IF(ISNUMBER('Dvd Calendar'!$R$1092)=FALSE,"",IF((('Dvd Calendar'!$R$1094=TYPE1)*(TYPE1&lt;&gt;"")+('Dvd Calendar'!$R$1094=TYPE2)*(TYPE2&lt;&gt;"")+('Dvd Calendar'!$R$1094=TYPE3)*(TYPE3&lt;&gt;"")+('Dvd Calendar'!$R$1094=TYPE4)*(TYPE4&lt;&gt;"")+('Dvd Calendar'!$R$1094=SPECIAL_LBL)*(INC_SPECIALS="Y"))=0,"",'Dvd Calendar'!$R$1092)))</f>
        <v/>
      </c>
      <c r="Q110" s="106">
        <f>IF(ES110="","",IF(ISNUMBER('Dvd Calendar'!$S$1092)=FALSE,"",IF((('Dvd Calendar'!$S$1094=TYPE1)*(TYPE1&lt;&gt;"")+('Dvd Calendar'!$S$1094=TYPE2)*(TYPE2&lt;&gt;"")+('Dvd Calendar'!$S$1094=TYPE3)*(TYPE3&lt;&gt;"")+('Dvd Calendar'!$S$1094=TYPE4)*(TYPE4&lt;&gt;"")+('Dvd Calendar'!$S$1094=SPECIAL_LBL)*(INC_SPECIALS="Y"))=0,"",'Dvd Calendar'!$S$1092)))</f>
        <v/>
      </c>
      <c r="R110" s="106">
        <f>IF(ET110="","",IF(ISNUMBER('Dvd Calendar'!$T$1092)=FALSE,"",IF((('Dvd Calendar'!$T$1094=TYPE1)*(TYPE1&lt;&gt;"")+('Dvd Calendar'!$T$1094=TYPE2)*(TYPE2&lt;&gt;"")+('Dvd Calendar'!$T$1094=TYPE3)*(TYPE3&lt;&gt;"")+('Dvd Calendar'!$T$1094=TYPE4)*(TYPE4&lt;&gt;"")+('Dvd Calendar'!$T$1094=SPECIAL_LBL)*(INC_SPECIALS="Y"))=0,"",'Dvd Calendar'!$T$1092)))</f>
        <v/>
      </c>
      <c r="S110" s="106">
        <f>IF(EU110="","",IF(ISNUMBER('Dvd Calendar'!$U$1092)=FALSE,"",IF((('Dvd Calendar'!$U$1094=TYPE1)*(TYPE1&lt;&gt;"")+('Dvd Calendar'!$U$1094=TYPE2)*(TYPE2&lt;&gt;"")+('Dvd Calendar'!$U$1094=TYPE3)*(TYPE3&lt;&gt;"")+('Dvd Calendar'!$U$1094=TYPE4)*(TYPE4&lt;&gt;"")+('Dvd Calendar'!$U$1094=SPECIAL_LBL)*(INC_SPECIALS="Y"))=0,"",'Dvd Calendar'!$U$1092)))</f>
        <v/>
      </c>
      <c r="T110" s="106">
        <f>IF(EV110="","",IF(ISNUMBER('Dvd Calendar'!$V$1092)=FALSE,"",IF((('Dvd Calendar'!$V$1094=TYPE1)*(TYPE1&lt;&gt;"")+('Dvd Calendar'!$V$1094=TYPE2)*(TYPE2&lt;&gt;"")+('Dvd Calendar'!$V$1094=TYPE3)*(TYPE3&lt;&gt;"")+('Dvd Calendar'!$V$1094=TYPE4)*(TYPE4&lt;&gt;"")+('Dvd Calendar'!$V$1094=SPECIAL_LBL)*(INC_SPECIALS="Y"))=0,"",'Dvd Calendar'!$V$1092)))</f>
        <v/>
      </c>
      <c r="U110" s="106">
        <f>IF(EW110="","",IF(ISNUMBER('Dvd Calendar'!$W$1092)=FALSE,"",IF((('Dvd Calendar'!$W$1094=TYPE1)*(TYPE1&lt;&gt;"")+('Dvd Calendar'!$W$1094=TYPE2)*(TYPE2&lt;&gt;"")+('Dvd Calendar'!$W$1094=TYPE3)*(TYPE3&lt;&gt;"")+('Dvd Calendar'!$W$1094=TYPE4)*(TYPE4&lt;&gt;"")+('Dvd Calendar'!$W$1094=SPECIAL_LBL)*(INC_SPECIALS="Y"))=0,"",'Dvd Calendar'!$W$1092)))</f>
        <v/>
      </c>
      <c r="V110" s="106">
        <f>IF(EX110="","",IF(ISNUMBER('Dvd Calendar'!$X$1092)=FALSE,"",IF((('Dvd Calendar'!$X$1094=TYPE1)*(TYPE1&lt;&gt;"")+('Dvd Calendar'!$X$1094=TYPE2)*(TYPE2&lt;&gt;"")+('Dvd Calendar'!$X$1094=TYPE3)*(TYPE3&lt;&gt;"")+('Dvd Calendar'!$X$1094=TYPE4)*(TYPE4&lt;&gt;"")+('Dvd Calendar'!$X$1094=SPECIAL_LBL)*(INC_SPECIALS="Y"))=0,"",'Dvd Calendar'!$X$1092)))</f>
        <v/>
      </c>
      <c r="W110" s="106">
        <f>IF(EY110="","",IF(ISNUMBER('Dvd Calendar'!$Y$1092)=FALSE,"",IF((('Dvd Calendar'!$Y$1094=TYPE1)*(TYPE1&lt;&gt;"")+('Dvd Calendar'!$Y$1094=TYPE2)*(TYPE2&lt;&gt;"")+('Dvd Calendar'!$Y$1094=TYPE3)*(TYPE3&lt;&gt;"")+('Dvd Calendar'!$Y$1094=TYPE4)*(TYPE4&lt;&gt;"")+('Dvd Calendar'!$Y$1094=SPECIAL_LBL)*(INC_SPECIALS="Y"))=0,"",'Dvd Calendar'!$Y$1092)))</f>
        <v/>
      </c>
      <c r="X110" s="106">
        <f>IF(EZ110="","",IF(ISNUMBER('Dvd Calendar'!$Z$1092)=FALSE,"",IF((('Dvd Calendar'!$Z$1094=TYPE1)*(TYPE1&lt;&gt;"")+('Dvd Calendar'!$Z$1094=TYPE2)*(TYPE2&lt;&gt;"")+('Dvd Calendar'!$Z$1094=TYPE3)*(TYPE3&lt;&gt;"")+('Dvd Calendar'!$Z$1094=TYPE4)*(TYPE4&lt;&gt;"")+('Dvd Calendar'!$Z$1094=SPECIAL_LBL)*(INC_SPECIALS="Y"))=0,"",'Dvd Calendar'!$Z$1092)))</f>
        <v/>
      </c>
      <c r="Y110" s="106">
        <f>IF(FA110="","",IF(ISNUMBER('Dvd Calendar'!$AA$1092)=FALSE,"",IF((('Dvd Calendar'!$AA$1094=TYPE1)*(TYPE1&lt;&gt;"")+('Dvd Calendar'!$AA$1094=TYPE2)*(TYPE2&lt;&gt;"")+('Dvd Calendar'!$AA$1094=TYPE3)*(TYPE3&lt;&gt;"")+('Dvd Calendar'!$AA$1094=TYPE4)*(TYPE4&lt;&gt;"")+('Dvd Calendar'!$AA$1094=SPECIAL_LBL)*(INC_SPECIALS="Y"))=0,"",'Dvd Calendar'!$AA$1092)))</f>
        <v/>
      </c>
      <c r="Z110" s="106">
        <f>IF(FB110="","",IF(ISNUMBER('Dvd Calendar'!$AB$1092)=FALSE,"",IF((('Dvd Calendar'!$AB$1094=TYPE1)*(TYPE1&lt;&gt;"")+('Dvd Calendar'!$AB$1094=TYPE2)*(TYPE2&lt;&gt;"")+('Dvd Calendar'!$AB$1094=TYPE3)*(TYPE3&lt;&gt;"")+('Dvd Calendar'!$AB$1094=TYPE4)*(TYPE4&lt;&gt;"")+('Dvd Calendar'!$AB$1094=SPECIAL_LBL)*(INC_SPECIALS="Y"))=0,"",'Dvd Calendar'!$AB$1092)))</f>
        <v/>
      </c>
      <c r="AA110" s="106">
        <f>IF(FC110="","",IF(ISNUMBER('Dvd Calendar'!$AC$1092)=FALSE,"",IF((('Dvd Calendar'!$AC$1094=TYPE1)*(TYPE1&lt;&gt;"")+('Dvd Calendar'!$AC$1094=TYPE2)*(TYPE2&lt;&gt;"")+('Dvd Calendar'!$AC$1094=TYPE3)*(TYPE3&lt;&gt;"")+('Dvd Calendar'!$AC$1094=TYPE4)*(TYPE4&lt;&gt;"")+('Dvd Calendar'!$AC$1094=SPECIAL_LBL)*(INC_SPECIALS="Y"))=0,"",'Dvd Calendar'!$AC$1092)))</f>
        <v/>
      </c>
      <c r="AB110" s="106">
        <f>IF(FD110="","",IF(ISNUMBER('Dvd Calendar'!$AD$1092)=FALSE,"",IF((('Dvd Calendar'!$AD$1094=TYPE1)*(TYPE1&lt;&gt;"")+('Dvd Calendar'!$AD$1094=TYPE2)*(TYPE2&lt;&gt;"")+('Dvd Calendar'!$AD$1094=TYPE3)*(TYPE3&lt;&gt;"")+('Dvd Calendar'!$AD$1094=TYPE4)*(TYPE4&lt;&gt;"")+('Dvd Calendar'!$AD$1094=SPECIAL_LBL)*(INC_SPECIALS="Y"))=0,"",'Dvd Calendar'!$AD$1092)))</f>
        <v/>
      </c>
      <c r="AC110" s="106">
        <f>IF(FE110="","",IF(ISNUMBER('Dvd Calendar'!$AE$1092)=FALSE,"",IF((('Dvd Calendar'!$AE$1094=TYPE1)*(TYPE1&lt;&gt;"")+('Dvd Calendar'!$AE$1094=TYPE2)*(TYPE2&lt;&gt;"")+('Dvd Calendar'!$AE$1094=TYPE3)*(TYPE3&lt;&gt;"")+('Dvd Calendar'!$AE$1094=TYPE4)*(TYPE4&lt;&gt;"")+('Dvd Calendar'!$AE$1094=SPECIAL_LBL)*(INC_SPECIALS="Y"))=0,"",'Dvd Calendar'!$AE$1092)))</f>
        <v/>
      </c>
      <c r="AD110" s="106">
        <f>IF(FF110="","",IF(ISNUMBER('Dvd Calendar'!$AF$1092)=FALSE,"",IF((('Dvd Calendar'!$AF$1094=TYPE1)*(TYPE1&lt;&gt;"")+('Dvd Calendar'!$AF$1094=TYPE2)*(TYPE2&lt;&gt;"")+('Dvd Calendar'!$AF$1094=TYPE3)*(TYPE3&lt;&gt;"")+('Dvd Calendar'!$AF$1094=TYPE4)*(TYPE4&lt;&gt;"")+('Dvd Calendar'!$AF$1094=SPECIAL_LBL)*(INC_SPECIALS="Y"))=0,"",'Dvd Calendar'!$AF$1092)))</f>
        <v/>
      </c>
      <c r="AE110" s="106">
        <f>IF(FG110="","",IF(ISNUMBER('Dvd Calendar'!$AG$1092)=FALSE,"",IF((('Dvd Calendar'!$AG$1094=TYPE1)*(TYPE1&lt;&gt;"")+('Dvd Calendar'!$AG$1094=TYPE2)*(TYPE2&lt;&gt;"")+('Dvd Calendar'!$AG$1094=TYPE3)*(TYPE3&lt;&gt;"")+('Dvd Calendar'!$AG$1094=TYPE4)*(TYPE4&lt;&gt;"")+('Dvd Calendar'!$AG$1094=SPECIAL_LBL)*(INC_SPECIALS="Y"))=0,"",'Dvd Calendar'!$AG$1092)))</f>
        <v/>
      </c>
      <c r="AF110" s="106">
        <f>IF(FH110="","",IF(ISNUMBER('Dvd Calendar'!$AH$1092)=FALSE,"",IF((('Dvd Calendar'!$AH$1094=TYPE1)*(TYPE1&lt;&gt;"")+('Dvd Calendar'!$AH$1094=TYPE2)*(TYPE2&lt;&gt;"")+('Dvd Calendar'!$AH$1094=TYPE3)*(TYPE3&lt;&gt;"")+('Dvd Calendar'!$AH$1094=TYPE4)*(TYPE4&lt;&gt;"")+('Dvd Calendar'!$AH$1094=SPECIAL_LBL)*(INC_SPECIALS="Y"))=0,"",'Dvd Calendar'!$AH$1092)))</f>
        <v/>
      </c>
      <c r="AG110" s="106">
        <f>IF(FI110="","",IF(ISNUMBER('Dvd Calendar'!$AI$1092)=FALSE,"",IF((('Dvd Calendar'!$AI$1094=TYPE1)*(TYPE1&lt;&gt;"")+('Dvd Calendar'!$AI$1094=TYPE2)*(TYPE2&lt;&gt;"")+('Dvd Calendar'!$AI$1094=TYPE3)*(TYPE3&lt;&gt;"")+('Dvd Calendar'!$AI$1094=TYPE4)*(TYPE4&lt;&gt;"")+('Dvd Calendar'!$AI$1094=SPECIAL_LBL)*(INC_SPECIALS="Y"))=0,"",'Dvd Calendar'!$AI$1092)))</f>
        <v/>
      </c>
      <c r="AH110" s="106">
        <f>IF(FJ110="","",IF(ISNUMBER('Dvd Calendar'!$AJ$1092)=FALSE,"",IF((('Dvd Calendar'!$AJ$1094=TYPE1)*(TYPE1&lt;&gt;"")+('Dvd Calendar'!$AJ$1094=TYPE2)*(TYPE2&lt;&gt;"")+('Dvd Calendar'!$AJ$1094=TYPE3)*(TYPE3&lt;&gt;"")+('Dvd Calendar'!$AJ$1094=TYPE4)*(TYPE4&lt;&gt;"")+('Dvd Calendar'!$AJ$1094=SPECIAL_LBL)*(INC_SPECIALS="Y"))=0,"",'Dvd Calendar'!$AJ$1092)))</f>
        <v/>
      </c>
      <c r="AI110" s="106">
        <f>IF(FK110="","",IF(ISNUMBER('Dvd Calendar'!$AK$1092)=FALSE,"",IF((('Dvd Calendar'!$AK$1094=TYPE1)*(TYPE1&lt;&gt;"")+('Dvd Calendar'!$AK$1094=TYPE2)*(TYPE2&lt;&gt;"")+('Dvd Calendar'!$AK$1094=TYPE3)*(TYPE3&lt;&gt;"")+('Dvd Calendar'!$AK$1094=TYPE4)*(TYPE4&lt;&gt;"")+('Dvd Calendar'!$AK$1094=SPECIAL_LBL)*(INC_SPECIALS="Y"))=0,"",'Dvd Calendar'!$AK$1092)))</f>
        <v/>
      </c>
      <c r="AJ110" s="106">
        <f>IF(FL110="","",IF(ISNUMBER('Dvd Calendar'!$AL$1092)=FALSE,"",IF((('Dvd Calendar'!$AL$1094=TYPE1)*(TYPE1&lt;&gt;"")+('Dvd Calendar'!$AL$1094=TYPE2)*(TYPE2&lt;&gt;"")+('Dvd Calendar'!$AL$1094=TYPE3)*(TYPE3&lt;&gt;"")+('Dvd Calendar'!$AL$1094=TYPE4)*(TYPE4&lt;&gt;"")+('Dvd Calendar'!$AL$1094=SPECIAL_LBL)*(INC_SPECIALS="Y"))=0,"",'Dvd Calendar'!$AL$1092)))</f>
        <v/>
      </c>
      <c r="AK110" s="106">
        <f>IF(FM110="","",IF(ISNUMBER('Dvd Calendar'!$AM$1092)=FALSE,"",IF((('Dvd Calendar'!$AM$1094=TYPE1)*(TYPE1&lt;&gt;"")+('Dvd Calendar'!$AM$1094=TYPE2)*(TYPE2&lt;&gt;"")+('Dvd Calendar'!$AM$1094=TYPE3)*(TYPE3&lt;&gt;"")+('Dvd Calendar'!$AM$1094=TYPE4)*(TYPE4&lt;&gt;"")+('Dvd Calendar'!$AM$1094=SPECIAL_LBL)*(INC_SPECIALS="Y"))=0,"",'Dvd Calendar'!$AM$1092)))</f>
        <v/>
      </c>
      <c r="AL110" s="106">
        <f>IF(FN110="","",IF(ISNUMBER('Dvd Calendar'!$AN$1092)=FALSE,"",IF((('Dvd Calendar'!$AN$1094=TYPE1)*(TYPE1&lt;&gt;"")+('Dvd Calendar'!$AN$1094=TYPE2)*(TYPE2&lt;&gt;"")+('Dvd Calendar'!$AN$1094=TYPE3)*(TYPE3&lt;&gt;"")+('Dvd Calendar'!$AN$1094=TYPE4)*(TYPE4&lt;&gt;"")+('Dvd Calendar'!$AN$1094=SPECIAL_LBL)*(INC_SPECIALS="Y"))=0,"",'Dvd Calendar'!$AN$1092)))</f>
        <v/>
      </c>
      <c r="AM110" s="106">
        <f>IF(FO110="","",IF(ISNUMBER('Dvd Calendar'!$AO$1092)=FALSE,"",IF((('Dvd Calendar'!$AO$1094=TYPE1)*(TYPE1&lt;&gt;"")+('Dvd Calendar'!$AO$1094=TYPE2)*(TYPE2&lt;&gt;"")+('Dvd Calendar'!$AO$1094=TYPE3)*(TYPE3&lt;&gt;"")+('Dvd Calendar'!$AO$1094=TYPE4)*(TYPE4&lt;&gt;"")+('Dvd Calendar'!$AO$1094=SPECIAL_LBL)*(INC_SPECIALS="Y"))=0,"",'Dvd Calendar'!$AO$1092)))</f>
        <v/>
      </c>
      <c r="AN110" s="106">
        <f>IF(FP110="","",IF(ISNUMBER('Dvd Calendar'!$AP$1092)=FALSE,"",IF((('Dvd Calendar'!$AP$1094=TYPE1)*(TYPE1&lt;&gt;"")+('Dvd Calendar'!$AP$1094=TYPE2)*(TYPE2&lt;&gt;"")+('Dvd Calendar'!$AP$1094=TYPE3)*(TYPE3&lt;&gt;"")+('Dvd Calendar'!$AP$1094=TYPE4)*(TYPE4&lt;&gt;"")+('Dvd Calendar'!$AP$1094=SPECIAL_LBL)*(INC_SPECIALS="Y"))=0,"",'Dvd Calendar'!$AP$1092)))</f>
        <v/>
      </c>
      <c r="AO110" s="106">
        <f>IF(FQ110="","",IF(ISNUMBER('Dvd Calendar'!$AQ$1092)=FALSE,"",IF((('Dvd Calendar'!$AQ$1094=TYPE1)*(TYPE1&lt;&gt;"")+('Dvd Calendar'!$AQ$1094=TYPE2)*(TYPE2&lt;&gt;"")+('Dvd Calendar'!$AQ$1094=TYPE3)*(TYPE3&lt;&gt;"")+('Dvd Calendar'!$AQ$1094=TYPE4)*(TYPE4&lt;&gt;"")+('Dvd Calendar'!$AQ$1094=SPECIAL_LBL)*(INC_SPECIALS="Y"))=0,"",'Dvd Calendar'!$AQ$1092)))</f>
        <v/>
      </c>
      <c r="AP110" s="106">
        <f>IF(FR110="","",IF(ISNUMBER('Dvd Calendar'!$AR$1092)=FALSE,"",IF((('Dvd Calendar'!$AR$1094=TYPE1)*(TYPE1&lt;&gt;"")+('Dvd Calendar'!$AR$1094=TYPE2)*(TYPE2&lt;&gt;"")+('Dvd Calendar'!$AR$1094=TYPE3)*(TYPE3&lt;&gt;"")+('Dvd Calendar'!$AR$1094=TYPE4)*(TYPE4&lt;&gt;"")+('Dvd Calendar'!$AR$1094=SPECIAL_LBL)*(INC_SPECIALS="Y"))=0,"",'Dvd Calendar'!$AR$1092)))</f>
        <v/>
      </c>
      <c r="AQ110" s="106">
        <f>IF(FS110="","",IF(ISNUMBER('Dvd Calendar'!$E$1097)=FALSE,"",'Dvd Calendar'!$E$1097))</f>
        <v/>
      </c>
      <c r="AR110" s="106">
        <f>IF(FT110="","",IF(ISNUMBER('Dvd Calendar'!$F$1097)=FALSE,"",'Dvd Calendar'!$F$1097))</f>
        <v/>
      </c>
      <c r="AS110" s="106">
        <f>IF(FU110="","",IF(ISNUMBER('Dvd Calendar'!$G$1097)=FALSE,"",'Dvd Calendar'!$G$1097))</f>
        <v/>
      </c>
      <c r="AT110" s="106">
        <f>IF(FV110="","",IF(ISNUMBER('Dvd Calendar'!$H$1097)=FALSE,"",'Dvd Calendar'!$H$1097))</f>
        <v/>
      </c>
      <c r="AU110" s="106">
        <f>IF(FW110="","",IF(ISNUMBER('Dvd Calendar'!$I$1097)=FALSE,"",'Dvd Calendar'!$I$1097))</f>
        <v/>
      </c>
      <c r="AV110" s="106">
        <f>IF(FX110="","",IF(ISNUMBER('Dvd Calendar'!$J$1097)=FALSE,"",'Dvd Calendar'!$J$1097))</f>
        <v/>
      </c>
      <c r="AW110" s="106">
        <f>IF(FY110="","",IF(ISNUMBER('Dvd Calendar'!$K$1097)=FALSE,"",'Dvd Calendar'!$K$1097))</f>
        <v/>
      </c>
      <c r="AX110" s="106">
        <f>IF(FZ110="","",IF(ISNUMBER('Dvd Calendar'!$L$1097)=FALSE,"",'Dvd Calendar'!$L$1097))</f>
        <v/>
      </c>
      <c r="AY110" s="106">
        <f>IF(GA110="","",IF(ISNUMBER('Dvd Calendar'!$M$1097)=FALSE,"",'Dvd Calendar'!$M$1097))</f>
        <v/>
      </c>
      <c r="AZ110" s="106">
        <f>IF(GB110="","",IF(ISNUMBER('Dvd Calendar'!$N$1097)=FALSE,"",'Dvd Calendar'!$N$1097))</f>
        <v/>
      </c>
      <c r="BA110" s="106">
        <f>IF(GC110="","",IF(ISNUMBER('Dvd Calendar'!$O$1097)=FALSE,"",'Dvd Calendar'!$O$1097))</f>
        <v/>
      </c>
      <c r="BB110" s="106">
        <f>IF(GD110="","",IF(ISNUMBER('Dvd Calendar'!$P$1097)=FALSE,"",'Dvd Calendar'!$P$1097))</f>
        <v/>
      </c>
      <c r="BC110" s="106">
        <f>IF(GE110="","",IF(ISNUMBER('Dvd Calendar'!$Q$1097)=FALSE,"",'Dvd Calendar'!$Q$1097))</f>
        <v/>
      </c>
      <c r="BD110" s="106">
        <f>IF(GF110="","",IF(ISNUMBER('Dvd Calendar'!$R$1097)=FALSE,"",'Dvd Calendar'!$R$1097))</f>
        <v/>
      </c>
      <c r="BE110" s="106">
        <f>IF(GG110="","",IF(ISNUMBER('Dvd Calendar'!$S$1097)=FALSE,"",'Dvd Calendar'!$S$1097))</f>
        <v/>
      </c>
      <c r="BF110" s="106">
        <f>IF(GH110="","",IF(ISNUMBER('Dvd Calendar'!$T$1097)=FALSE,"",'Dvd Calendar'!$T$1097))</f>
        <v/>
      </c>
      <c r="BG110" s="106">
        <f>IF(GI110="","",IF(ISNUMBER('Dvd Calendar'!$U$1097)=FALSE,"",'Dvd Calendar'!$U$1097))</f>
        <v/>
      </c>
      <c r="BH110" s="106">
        <f>IF(GJ110="","",IF(ISNUMBER('Dvd Calendar'!$V$1097)=FALSE,"",'Dvd Calendar'!$V$1097))</f>
        <v/>
      </c>
      <c r="BI110" s="106">
        <f>IF(GK110="","",IF(ISNUMBER('Dvd Calendar'!$W$1097)=FALSE,"",'Dvd Calendar'!$W$1097))</f>
        <v/>
      </c>
      <c r="BJ110" s="106">
        <f>IF(GL110="","",IF(ISNUMBER('Dvd Calendar'!$X$1097)=FALSE,"",'Dvd Calendar'!$X$1097))</f>
        <v/>
      </c>
      <c r="BK110" s="106">
        <f>IF(GM110="","",IF(ISNUMBER('Dvd Calendar'!$Y$1097)=FALSE,"",'Dvd Calendar'!$Y$1097))</f>
        <v/>
      </c>
      <c r="BL110" s="106">
        <f>IF(GN110="","",IF(ISNUMBER('Dvd Calendar'!$Z$1097)=FALSE,"",'Dvd Calendar'!$Z$1097))</f>
        <v/>
      </c>
      <c r="BM110" s="106">
        <f>IF(GO110="","",IF(ISNUMBER('Dvd Calendar'!$AA$1097)=FALSE,"",'Dvd Calendar'!$AA$1097))</f>
        <v/>
      </c>
      <c r="BN110" s="106">
        <f>IF(GP110="","",IF(ISNUMBER('Dvd Calendar'!$AB$1097)=FALSE,"",'Dvd Calendar'!$AB$1097))</f>
        <v/>
      </c>
      <c r="BO110" s="106">
        <f>IF(GQ110="","",IF(ISNUMBER('Dvd Calendar'!$AC$1097)=FALSE,"",'Dvd Calendar'!$AC$1097))</f>
        <v/>
      </c>
      <c r="BQ110" s="106">
        <f>IF(C110="","",IFERROR(C110*HSI!$B$105*HSI!$G$105/HSI!$B$3,""))</f>
        <v/>
      </c>
      <c r="BR110" s="106">
        <f>IF(D110="","",IFERROR(D110*HSI!$B$105*HSI!$G$105/HSI!$B$3,""))</f>
        <v/>
      </c>
      <c r="BS110" s="106">
        <f>IF(E110="","",IFERROR(E110*HSI!$B$105*HSI!$G$105/HSI!$B$3,""))</f>
        <v/>
      </c>
      <c r="BT110" s="106">
        <f>IF(F110="","",IFERROR(F110*HSI!$B$105*HSI!$G$105/HSI!$B$3,""))</f>
        <v/>
      </c>
      <c r="BU110" s="106">
        <f>IF(G110="","",IFERROR(G110*HSI!$B$105*HSI!$G$105/HSI!$B$3,""))</f>
        <v/>
      </c>
      <c r="BV110" s="106">
        <f>IF(H110="","",IFERROR(H110*HSI!$B$105*HSI!$G$105/HSI!$B$3,""))</f>
        <v/>
      </c>
      <c r="BW110" s="106">
        <f>IF(I110="","",IFERROR(I110*HSI!$B$105*HSI!$G$105/HSI!$B$3,""))</f>
        <v/>
      </c>
      <c r="BX110" s="106">
        <f>IF(J110="","",IFERROR(J110*HSI!$B$105*HSI!$G$105/HSI!$B$3,""))</f>
        <v/>
      </c>
      <c r="BY110" s="106">
        <f>IF(K110="","",IFERROR(K110*HSI!$B$105*HSI!$G$105/HSI!$B$3,""))</f>
        <v/>
      </c>
      <c r="BZ110" s="106">
        <f>IF(L110="","",IFERROR(L110*HSI!$B$105*HSI!$G$105/HSI!$B$3,""))</f>
        <v/>
      </c>
      <c r="CA110" s="106">
        <f>IF(M110="","",IFERROR(M110*HSI!$B$105*HSI!$G$105/HSI!$B$3,""))</f>
        <v/>
      </c>
      <c r="CB110" s="106">
        <f>IF(N110="","",IFERROR(N110*HSI!$B$105*HSI!$G$105/HSI!$B$3,""))</f>
        <v/>
      </c>
      <c r="CC110" s="106">
        <f>IF(O110="","",IFERROR(O110*HSI!$B$105*HSI!$G$105/HSI!$B$3,""))</f>
        <v/>
      </c>
      <c r="CD110" s="106">
        <f>IF(P110="","",IFERROR(P110*HSI!$B$105*HSI!$G$105/HSI!$B$3,""))</f>
        <v/>
      </c>
      <c r="CE110" s="106">
        <f>IF(Q110="","",IFERROR(Q110*HSI!$B$105*HSI!$G$105/HSI!$B$3,""))</f>
        <v/>
      </c>
      <c r="CF110" s="106">
        <f>IF(R110="","",IFERROR(R110*HSI!$B$105*HSI!$G$105/HSI!$B$3,""))</f>
        <v/>
      </c>
      <c r="CG110" s="106">
        <f>IF(S110="","",IFERROR(S110*HSI!$B$105*HSI!$G$105/HSI!$B$3,""))</f>
        <v/>
      </c>
      <c r="CH110" s="106">
        <f>IF(T110="","",IFERROR(T110*HSI!$B$105*HSI!$G$105/HSI!$B$3,""))</f>
        <v/>
      </c>
      <c r="CI110" s="106">
        <f>IF(U110="","",IFERROR(U110*HSI!$B$105*HSI!$G$105/HSI!$B$3,""))</f>
        <v/>
      </c>
      <c r="CJ110" s="106">
        <f>IF(V110="","",IFERROR(V110*HSI!$B$105*HSI!$G$105/HSI!$B$3,""))</f>
        <v/>
      </c>
      <c r="CK110" s="106">
        <f>IF(W110="","",IFERROR(W110*HSI!$B$105*HSI!$G$105/HSI!$B$3,""))</f>
        <v/>
      </c>
      <c r="CL110" s="106">
        <f>IF(X110="","",IFERROR(X110*HSI!$B$105*HSI!$G$105/HSI!$B$3,""))</f>
        <v/>
      </c>
      <c r="CM110" s="106">
        <f>IF(Y110="","",IFERROR(Y110*HSI!$B$105*HSI!$G$105/HSI!$B$3,""))</f>
        <v/>
      </c>
      <c r="CN110" s="106">
        <f>IF(Z110="","",IFERROR(Z110*HSI!$B$105*HSI!$G$105/HSI!$B$3,""))</f>
        <v/>
      </c>
      <c r="CO110" s="106">
        <f>IF(AA110="","",IFERROR(AA110*HSI!$B$105*HSI!$G$105/HSI!$B$3,""))</f>
        <v/>
      </c>
      <c r="CP110" s="106">
        <f>IF(AB110="","",IFERROR(AB110*HSI!$B$105*HSI!$G$105/HSI!$B$3,""))</f>
        <v/>
      </c>
      <c r="CQ110" s="106">
        <f>IF(AC110="","",IFERROR(AC110*HSI!$B$105*HSI!$G$105/HSI!$B$3,""))</f>
        <v/>
      </c>
      <c r="CR110" s="106">
        <f>IF(AD110="","",IFERROR(AD110*HSI!$B$105*HSI!$G$105/HSI!$B$3,""))</f>
        <v/>
      </c>
      <c r="CS110" s="106">
        <f>IF(AE110="","",IFERROR(AE110*HSI!$B$105*HSI!$G$105/HSI!$B$3,""))</f>
        <v/>
      </c>
      <c r="CT110" s="106">
        <f>IF(AF110="","",IFERROR(AF110*HSI!$B$105*HSI!$G$105/HSI!$B$3,""))</f>
        <v/>
      </c>
      <c r="CU110" s="106">
        <f>IF(AG110="","",IFERROR(AG110*HSI!$B$105*HSI!$G$105/HSI!$B$3,""))</f>
        <v/>
      </c>
      <c r="CV110" s="106">
        <f>IF(AH110="","",IFERROR(AH110*HSI!$B$105*HSI!$G$105/HSI!$B$3,""))</f>
        <v/>
      </c>
      <c r="CW110" s="106">
        <f>IF(AI110="","",IFERROR(AI110*HSI!$B$105*HSI!$G$105/HSI!$B$3,""))</f>
        <v/>
      </c>
      <c r="CX110" s="106">
        <f>IF(AJ110="","",IFERROR(AJ110*HSI!$B$105*HSI!$G$105/HSI!$B$3,""))</f>
        <v/>
      </c>
      <c r="CY110" s="106">
        <f>IF(AK110="","",IFERROR(AK110*HSI!$B$105*HSI!$G$105/HSI!$B$3,""))</f>
        <v/>
      </c>
      <c r="CZ110" s="106">
        <f>IF(AL110="","",IFERROR(AL110*HSI!$B$105*HSI!$G$105/HSI!$B$3,""))</f>
        <v/>
      </c>
      <c r="DA110" s="106">
        <f>IF(AM110="","",IFERROR(AM110*HSI!$B$105*HSI!$G$105/HSI!$B$3,""))</f>
        <v/>
      </c>
      <c r="DB110" s="106">
        <f>IF(AN110="","",IFERROR(AN110*HSI!$B$105*HSI!$G$105/HSI!$B$3,""))</f>
        <v/>
      </c>
      <c r="DC110" s="106">
        <f>IF(AO110="","",IFERROR(AO110*HSI!$B$105*HSI!$G$105/HSI!$B$3,""))</f>
        <v/>
      </c>
      <c r="DD110" s="106">
        <f>IF(AP110="","",IFERROR(AP110*HSI!$B$105*HSI!$G$105/HSI!$B$3,""))</f>
        <v/>
      </c>
      <c r="DE110" s="106">
        <f>IF(AQ110="","",IFERROR(AQ110*HSI!$B$105*HSI!$G$105/HSI!$B$3,""))</f>
        <v/>
      </c>
      <c r="DF110" s="106">
        <f>IF(AR110="","",IFERROR(AR110*HSI!$B$105*HSI!$G$105/HSI!$B$3,""))</f>
        <v/>
      </c>
      <c r="DG110" s="106">
        <f>IF(AS110="","",IFERROR(AS110*HSI!$B$105*HSI!$G$105/HSI!$B$3,""))</f>
        <v/>
      </c>
      <c r="DH110" s="106">
        <f>IF(AT110="","",IFERROR(AT110*HSI!$B$105*HSI!$G$105/HSI!$B$3,""))</f>
        <v/>
      </c>
      <c r="DI110" s="106">
        <f>IF(AU110="","",IFERROR(AU110*HSI!$B$105*HSI!$G$105/HSI!$B$3,""))</f>
        <v/>
      </c>
      <c r="DJ110" s="106">
        <f>IF(AV110="","",IFERROR(AV110*HSI!$B$105*HSI!$G$105/HSI!$B$3,""))</f>
        <v/>
      </c>
      <c r="DK110" s="106">
        <f>IF(AW110="","",IFERROR(AW110*HSI!$B$105*HSI!$G$105/HSI!$B$3,""))</f>
        <v/>
      </c>
      <c r="DL110" s="106">
        <f>IF(AX110="","",IFERROR(AX110*HSI!$B$105*HSI!$G$105/HSI!$B$3,""))</f>
        <v/>
      </c>
      <c r="DM110" s="106">
        <f>IF(AY110="","",IFERROR(AY110*HSI!$B$105*HSI!$G$105/HSI!$B$3,""))</f>
        <v/>
      </c>
      <c r="DN110" s="106">
        <f>IF(AZ110="","",IFERROR(AZ110*HSI!$B$105*HSI!$G$105/HSI!$B$3,""))</f>
        <v/>
      </c>
      <c r="DO110" s="106">
        <f>IF(BA110="","",IFERROR(BA110*HSI!$B$105*HSI!$G$105/HSI!$B$3,""))</f>
        <v/>
      </c>
      <c r="DP110" s="106">
        <f>IF(BB110="","",IFERROR(BB110*HSI!$B$105*HSI!$G$105/HSI!$B$3,""))</f>
        <v/>
      </c>
      <c r="DQ110" s="106">
        <f>IF(BC110="","",IFERROR(BC110*HSI!$B$105*HSI!$G$105/HSI!$B$3,""))</f>
        <v/>
      </c>
      <c r="DR110" s="106">
        <f>IF(BD110="","",IFERROR(BD110*HSI!$B$105*HSI!$G$105/HSI!$B$3,""))</f>
        <v/>
      </c>
      <c r="DS110" s="106">
        <f>IF(BE110="","",IFERROR(BE110*HSI!$B$105*HSI!$G$105/HSI!$B$3,""))</f>
        <v/>
      </c>
      <c r="DT110" s="106">
        <f>IF(BF110="","",IFERROR(BF110*HSI!$B$105*HSI!$G$105/HSI!$B$3,""))</f>
        <v/>
      </c>
      <c r="DU110" s="106">
        <f>IF(BG110="","",IFERROR(BG110*HSI!$B$105*HSI!$G$105/HSI!$B$3,""))</f>
        <v/>
      </c>
      <c r="DV110" s="106">
        <f>IF(BH110="","",IFERROR(BH110*HSI!$B$105*HSI!$G$105/HSI!$B$3,""))</f>
        <v/>
      </c>
      <c r="DW110" s="106">
        <f>IF(BI110="","",IFERROR(BI110*HSI!$B$105*HSI!$G$105/HSI!$B$3,""))</f>
        <v/>
      </c>
      <c r="DX110" s="106">
        <f>IF(BJ110="","",IFERROR(BJ110*HSI!$B$105*HSI!$G$105/HSI!$B$3,""))</f>
        <v/>
      </c>
      <c r="DY110" s="106">
        <f>IF(BK110="","",IFERROR(BK110*HSI!$B$105*HSI!$G$105/HSI!$B$3,""))</f>
        <v/>
      </c>
      <c r="DZ110" s="106">
        <f>IF(BL110="","",IFERROR(BL110*HSI!$B$105*HSI!$G$105/HSI!$B$3,""))</f>
        <v/>
      </c>
      <c r="EA110" s="106">
        <f>IF(BM110="","",IFERROR(BM110*HSI!$B$105*HSI!$G$105/HSI!$B$3,""))</f>
        <v/>
      </c>
      <c r="EB110" s="106">
        <f>IF(BN110="","",IFERROR(BN110*HSI!$B$105*HSI!$G$105/HSI!$B$3,""))</f>
        <v/>
      </c>
      <c r="EC110" s="106">
        <f>IF(BO110="","",IFERROR(BO110*HSI!$B$105*HSI!$G$105/HSI!$B$3,""))</f>
        <v/>
      </c>
      <c r="EE110" s="35">
        <f>IF(N('Dvd Calendar'!$E$1089)=0,"",IF(('Dvd Calendar'!$E$1089&gt;=GRID_FROM)*('Dvd Calendar'!$E$1089&lt;=GRID_TO)*('Dvd Calendar'!$E$1089&lt;=VAL_DATE)=0,"",'Dvd Calendar'!$E$1089*1000000000+ISNUMBER('Dvd Calendar'!$E$1092)*100000000+('Dvd Calendar'!$E$1094=SPECIAL_LBL)*10000000+0*1000000+99*1000+1))</f>
        <v/>
      </c>
      <c r="EF110" s="35">
        <f>IF(N('Dvd Calendar'!$F$1089)=0,"",IF(('Dvd Calendar'!$F$1089&gt;=GRID_FROM)*('Dvd Calendar'!$F$1089&lt;=GRID_TO)*('Dvd Calendar'!$F$1089&lt;=VAL_DATE)=0,"",'Dvd Calendar'!$F$1089*1000000000+ISNUMBER('Dvd Calendar'!$F$1092)*100000000+('Dvd Calendar'!$F$1094=SPECIAL_LBL)*10000000+0*1000000+99*1000+2))</f>
        <v/>
      </c>
      <c r="EG110" s="35">
        <f>IF(N('Dvd Calendar'!$G$1089)=0,"",IF(('Dvd Calendar'!$G$1089&gt;=GRID_FROM)*('Dvd Calendar'!$G$1089&lt;=GRID_TO)*('Dvd Calendar'!$G$1089&lt;=VAL_DATE)=0,"",'Dvd Calendar'!$G$1089*1000000000+ISNUMBER('Dvd Calendar'!$G$1092)*100000000+('Dvd Calendar'!$G$1094=SPECIAL_LBL)*10000000+0*1000000+99*1000+3))</f>
        <v/>
      </c>
      <c r="EH110" s="35">
        <f>IF(N('Dvd Calendar'!$H$1089)=0,"",IF(('Dvd Calendar'!$H$1089&gt;=GRID_FROM)*('Dvd Calendar'!$H$1089&lt;=GRID_TO)*('Dvd Calendar'!$H$1089&lt;=VAL_DATE)=0,"",'Dvd Calendar'!$H$1089*1000000000+ISNUMBER('Dvd Calendar'!$H$1092)*100000000+('Dvd Calendar'!$H$1094=SPECIAL_LBL)*10000000+0*1000000+99*1000+4))</f>
        <v/>
      </c>
      <c r="EI110" s="35">
        <f>IF(N('Dvd Calendar'!$I$1089)=0,"",IF(('Dvd Calendar'!$I$1089&gt;=GRID_FROM)*('Dvd Calendar'!$I$1089&lt;=GRID_TO)*('Dvd Calendar'!$I$1089&lt;=VAL_DATE)=0,"",'Dvd Calendar'!$I$1089*1000000000+ISNUMBER('Dvd Calendar'!$I$1092)*100000000+('Dvd Calendar'!$I$1094=SPECIAL_LBL)*10000000+0*1000000+99*1000+5))</f>
        <v/>
      </c>
      <c r="EJ110" s="35">
        <f>IF(N('Dvd Calendar'!$J$1089)=0,"",IF(('Dvd Calendar'!$J$1089&gt;=GRID_FROM)*('Dvd Calendar'!$J$1089&lt;=GRID_TO)*('Dvd Calendar'!$J$1089&lt;=VAL_DATE)=0,"",'Dvd Calendar'!$J$1089*1000000000+ISNUMBER('Dvd Calendar'!$J$1092)*100000000+('Dvd Calendar'!$J$1094=SPECIAL_LBL)*10000000+0*1000000+99*1000+6))</f>
        <v/>
      </c>
      <c r="EK110" s="35">
        <f>IF(N('Dvd Calendar'!$K$1089)=0,"",IF(('Dvd Calendar'!$K$1089&gt;=GRID_FROM)*('Dvd Calendar'!$K$1089&lt;=GRID_TO)*('Dvd Calendar'!$K$1089&lt;=VAL_DATE)=0,"",'Dvd Calendar'!$K$1089*1000000000+ISNUMBER('Dvd Calendar'!$K$1092)*100000000+('Dvd Calendar'!$K$1094=SPECIAL_LBL)*10000000+0*1000000+99*1000+7))</f>
        <v/>
      </c>
      <c r="EL110" s="35">
        <f>IF(N('Dvd Calendar'!$L$1089)=0,"",IF(('Dvd Calendar'!$L$1089&gt;=GRID_FROM)*('Dvd Calendar'!$L$1089&lt;=GRID_TO)*('Dvd Calendar'!$L$1089&lt;=VAL_DATE)=0,"",'Dvd Calendar'!$L$1089*1000000000+ISNUMBER('Dvd Calendar'!$L$1092)*100000000+('Dvd Calendar'!$L$1094=SPECIAL_LBL)*10000000+0*1000000+99*1000+8))</f>
        <v/>
      </c>
      <c r="EM110" s="35">
        <f>IF(N('Dvd Calendar'!$M$1089)=0,"",IF(('Dvd Calendar'!$M$1089&gt;=GRID_FROM)*('Dvd Calendar'!$M$1089&lt;=GRID_TO)*('Dvd Calendar'!$M$1089&lt;=VAL_DATE)=0,"",'Dvd Calendar'!$M$1089*1000000000+ISNUMBER('Dvd Calendar'!$M$1092)*100000000+('Dvd Calendar'!$M$1094=SPECIAL_LBL)*10000000+0*1000000+99*1000+9))</f>
        <v/>
      </c>
      <c r="EN110" s="35">
        <f>IF(N('Dvd Calendar'!$N$1089)=0,"",IF(('Dvd Calendar'!$N$1089&gt;=GRID_FROM)*('Dvd Calendar'!$N$1089&lt;=GRID_TO)*('Dvd Calendar'!$N$1089&lt;=VAL_DATE)=0,"",'Dvd Calendar'!$N$1089*1000000000+ISNUMBER('Dvd Calendar'!$N$1092)*100000000+('Dvd Calendar'!$N$1094=SPECIAL_LBL)*10000000+0*1000000+99*1000+10))</f>
        <v/>
      </c>
      <c r="EO110" s="35">
        <f>IF(N('Dvd Calendar'!$O$1089)=0,"",IF(('Dvd Calendar'!$O$1089&gt;=GRID_FROM)*('Dvd Calendar'!$O$1089&lt;=GRID_TO)*('Dvd Calendar'!$O$1089&lt;=VAL_DATE)=0,"",'Dvd Calendar'!$O$1089*1000000000+ISNUMBER('Dvd Calendar'!$O$1092)*100000000+('Dvd Calendar'!$O$1094=SPECIAL_LBL)*10000000+0*1000000+99*1000+11))</f>
        <v/>
      </c>
      <c r="EP110" s="35">
        <f>IF(N('Dvd Calendar'!$P$1089)=0,"",IF(('Dvd Calendar'!$P$1089&gt;=GRID_FROM)*('Dvd Calendar'!$P$1089&lt;=GRID_TO)*('Dvd Calendar'!$P$1089&lt;=VAL_DATE)=0,"",'Dvd Calendar'!$P$1089*1000000000+ISNUMBER('Dvd Calendar'!$P$1092)*100000000+('Dvd Calendar'!$P$1094=SPECIAL_LBL)*10000000+0*1000000+99*1000+12))</f>
        <v/>
      </c>
      <c r="EQ110" s="35">
        <f>IF(N('Dvd Calendar'!$Q$1089)=0,"",IF(('Dvd Calendar'!$Q$1089&gt;=GRID_FROM)*('Dvd Calendar'!$Q$1089&lt;=GRID_TO)*('Dvd Calendar'!$Q$1089&lt;=VAL_DATE)=0,"",'Dvd Calendar'!$Q$1089*1000000000+ISNUMBER('Dvd Calendar'!$Q$1092)*100000000+('Dvd Calendar'!$Q$1094=SPECIAL_LBL)*10000000+0*1000000+99*1000+13))</f>
        <v/>
      </c>
      <c r="ER110" s="35">
        <f>IF(N('Dvd Calendar'!$R$1089)=0,"",IF(('Dvd Calendar'!$R$1089&gt;=GRID_FROM)*('Dvd Calendar'!$R$1089&lt;=GRID_TO)*('Dvd Calendar'!$R$1089&lt;=VAL_DATE)=0,"",'Dvd Calendar'!$R$1089*1000000000+ISNUMBER('Dvd Calendar'!$R$1092)*100000000+('Dvd Calendar'!$R$1094=SPECIAL_LBL)*10000000+0*1000000+99*1000+14))</f>
        <v/>
      </c>
      <c r="ES110" s="35">
        <f>IF(N('Dvd Calendar'!$S$1089)=0,"",IF(('Dvd Calendar'!$S$1089&gt;=GRID_FROM)*('Dvd Calendar'!$S$1089&lt;=GRID_TO)*('Dvd Calendar'!$S$1089&lt;=VAL_DATE)=0,"",'Dvd Calendar'!$S$1089*1000000000+ISNUMBER('Dvd Calendar'!$S$1092)*100000000+('Dvd Calendar'!$S$1094=SPECIAL_LBL)*10000000+0*1000000+99*1000+15))</f>
        <v/>
      </c>
      <c r="ET110" s="35">
        <f>IF(N('Dvd Calendar'!$T$1089)=0,"",IF(('Dvd Calendar'!$T$1089&gt;=GRID_FROM)*('Dvd Calendar'!$T$1089&lt;=GRID_TO)*('Dvd Calendar'!$T$1089&lt;=VAL_DATE)=0,"",'Dvd Calendar'!$T$1089*1000000000+ISNUMBER('Dvd Calendar'!$T$1092)*100000000+('Dvd Calendar'!$T$1094=SPECIAL_LBL)*10000000+0*1000000+99*1000+16))</f>
        <v/>
      </c>
      <c r="EU110" s="35">
        <f>IF(N('Dvd Calendar'!$U$1089)=0,"",IF(('Dvd Calendar'!$U$1089&gt;=GRID_FROM)*('Dvd Calendar'!$U$1089&lt;=GRID_TO)*('Dvd Calendar'!$U$1089&lt;=VAL_DATE)=0,"",'Dvd Calendar'!$U$1089*1000000000+ISNUMBER('Dvd Calendar'!$U$1092)*100000000+('Dvd Calendar'!$U$1094=SPECIAL_LBL)*10000000+0*1000000+99*1000+17))</f>
        <v/>
      </c>
      <c r="EV110" s="35">
        <f>IF(N('Dvd Calendar'!$V$1089)=0,"",IF(('Dvd Calendar'!$V$1089&gt;=GRID_FROM)*('Dvd Calendar'!$V$1089&lt;=GRID_TO)*('Dvd Calendar'!$V$1089&lt;=VAL_DATE)=0,"",'Dvd Calendar'!$V$1089*1000000000+ISNUMBER('Dvd Calendar'!$V$1092)*100000000+('Dvd Calendar'!$V$1094=SPECIAL_LBL)*10000000+0*1000000+99*1000+18))</f>
        <v/>
      </c>
      <c r="EW110" s="35">
        <f>IF(N('Dvd Calendar'!$W$1089)=0,"",IF(('Dvd Calendar'!$W$1089&gt;=GRID_FROM)*('Dvd Calendar'!$W$1089&lt;=GRID_TO)*('Dvd Calendar'!$W$1089&lt;=VAL_DATE)=0,"",'Dvd Calendar'!$W$1089*1000000000+ISNUMBER('Dvd Calendar'!$W$1092)*100000000+('Dvd Calendar'!$W$1094=SPECIAL_LBL)*10000000+0*1000000+99*1000+19))</f>
        <v/>
      </c>
      <c r="EX110" s="35">
        <f>IF(N('Dvd Calendar'!$X$1089)=0,"",IF(('Dvd Calendar'!$X$1089&gt;=GRID_FROM)*('Dvd Calendar'!$X$1089&lt;=GRID_TO)*('Dvd Calendar'!$X$1089&lt;=VAL_DATE)=0,"",'Dvd Calendar'!$X$1089*1000000000+ISNUMBER('Dvd Calendar'!$X$1092)*100000000+('Dvd Calendar'!$X$1094=SPECIAL_LBL)*10000000+0*1000000+99*1000+20))</f>
        <v/>
      </c>
      <c r="EY110" s="35">
        <f>IF(N('Dvd Calendar'!$Y$1089)=0,"",IF(('Dvd Calendar'!$Y$1089&gt;=GRID_FROM)*('Dvd Calendar'!$Y$1089&lt;=GRID_TO)*('Dvd Calendar'!$Y$1089&lt;=VAL_DATE)=0,"",'Dvd Calendar'!$Y$1089*1000000000+ISNUMBER('Dvd Calendar'!$Y$1092)*100000000+('Dvd Calendar'!$Y$1094=SPECIAL_LBL)*10000000+0*1000000+99*1000+21))</f>
        <v/>
      </c>
      <c r="EZ110" s="35">
        <f>IF(N('Dvd Calendar'!$Z$1089)=0,"",IF(('Dvd Calendar'!$Z$1089&gt;=GRID_FROM)*('Dvd Calendar'!$Z$1089&lt;=GRID_TO)*('Dvd Calendar'!$Z$1089&lt;=VAL_DATE)=0,"",'Dvd Calendar'!$Z$1089*1000000000+ISNUMBER('Dvd Calendar'!$Z$1092)*100000000+('Dvd Calendar'!$Z$1094=SPECIAL_LBL)*10000000+0*1000000+99*1000+22))</f>
        <v/>
      </c>
      <c r="FA110" s="35">
        <f>IF(N('Dvd Calendar'!$AA$1089)=0,"",IF(('Dvd Calendar'!$AA$1089&gt;=GRID_FROM)*('Dvd Calendar'!$AA$1089&lt;=GRID_TO)*('Dvd Calendar'!$AA$1089&lt;=VAL_DATE)=0,"",'Dvd Calendar'!$AA$1089*1000000000+ISNUMBER('Dvd Calendar'!$AA$1092)*100000000+('Dvd Calendar'!$AA$1094=SPECIAL_LBL)*10000000+0*1000000+99*1000+23))</f>
        <v/>
      </c>
      <c r="FB110" s="35">
        <f>IF(N('Dvd Calendar'!$AB$1089)=0,"",IF(('Dvd Calendar'!$AB$1089&gt;=GRID_FROM)*('Dvd Calendar'!$AB$1089&lt;=GRID_TO)*('Dvd Calendar'!$AB$1089&lt;=VAL_DATE)=0,"",'Dvd Calendar'!$AB$1089*1000000000+ISNUMBER('Dvd Calendar'!$AB$1092)*100000000+('Dvd Calendar'!$AB$1094=SPECIAL_LBL)*10000000+0*1000000+99*1000+24))</f>
        <v/>
      </c>
      <c r="FC110" s="35">
        <f>IF(N('Dvd Calendar'!$AC$1089)=0,"",IF(('Dvd Calendar'!$AC$1089&gt;=GRID_FROM)*('Dvd Calendar'!$AC$1089&lt;=GRID_TO)*('Dvd Calendar'!$AC$1089&lt;=VAL_DATE)=0,"",'Dvd Calendar'!$AC$1089*1000000000+ISNUMBER('Dvd Calendar'!$AC$1092)*100000000+('Dvd Calendar'!$AC$1094=SPECIAL_LBL)*10000000+0*1000000+99*1000+25))</f>
        <v/>
      </c>
      <c r="FD110" s="35">
        <f>IF(N('Dvd Calendar'!$AD$1089)=0,"",IF(('Dvd Calendar'!$AD$1089&gt;=GRID_FROM)*('Dvd Calendar'!$AD$1089&lt;=GRID_TO)*('Dvd Calendar'!$AD$1089&lt;=VAL_DATE)=0,"",'Dvd Calendar'!$AD$1089*1000000000+ISNUMBER('Dvd Calendar'!$AD$1092)*100000000+('Dvd Calendar'!$AD$1094=SPECIAL_LBL)*10000000+0*1000000+99*1000+26))</f>
        <v/>
      </c>
      <c r="FE110" s="35">
        <f>IF(N('Dvd Calendar'!$AE$1089)=0,"",IF(('Dvd Calendar'!$AE$1089&gt;=GRID_FROM)*('Dvd Calendar'!$AE$1089&lt;=GRID_TO)*('Dvd Calendar'!$AE$1089&lt;=VAL_DATE)=0,"",'Dvd Calendar'!$AE$1089*1000000000+ISNUMBER('Dvd Calendar'!$AE$1092)*100000000+('Dvd Calendar'!$AE$1094=SPECIAL_LBL)*10000000+0*1000000+99*1000+27))</f>
        <v/>
      </c>
      <c r="FF110" s="35">
        <f>IF(N('Dvd Calendar'!$AF$1089)=0,"",IF(('Dvd Calendar'!$AF$1089&gt;=GRID_FROM)*('Dvd Calendar'!$AF$1089&lt;=GRID_TO)*('Dvd Calendar'!$AF$1089&lt;=VAL_DATE)=0,"",'Dvd Calendar'!$AF$1089*1000000000+ISNUMBER('Dvd Calendar'!$AF$1092)*100000000+('Dvd Calendar'!$AF$1094=SPECIAL_LBL)*10000000+0*1000000+99*1000+28))</f>
        <v/>
      </c>
      <c r="FG110" s="35">
        <f>IF(N('Dvd Calendar'!$AG$1089)=0,"",IF(('Dvd Calendar'!$AG$1089&gt;=GRID_FROM)*('Dvd Calendar'!$AG$1089&lt;=GRID_TO)*('Dvd Calendar'!$AG$1089&lt;=VAL_DATE)=0,"",'Dvd Calendar'!$AG$1089*1000000000+ISNUMBER('Dvd Calendar'!$AG$1092)*100000000+('Dvd Calendar'!$AG$1094=SPECIAL_LBL)*10000000+0*1000000+99*1000+29))</f>
        <v/>
      </c>
      <c r="FH110" s="35">
        <f>IF(N('Dvd Calendar'!$AH$1089)=0,"",IF(('Dvd Calendar'!$AH$1089&gt;=GRID_FROM)*('Dvd Calendar'!$AH$1089&lt;=GRID_TO)*('Dvd Calendar'!$AH$1089&lt;=VAL_DATE)=0,"",'Dvd Calendar'!$AH$1089*1000000000+ISNUMBER('Dvd Calendar'!$AH$1092)*100000000+('Dvd Calendar'!$AH$1094=SPECIAL_LBL)*10000000+0*1000000+99*1000+30))</f>
        <v/>
      </c>
      <c r="FI110" s="35">
        <f>IF(N('Dvd Calendar'!$AI$1089)=0,"",IF(('Dvd Calendar'!$AI$1089&gt;=GRID_FROM)*('Dvd Calendar'!$AI$1089&lt;=GRID_TO)*('Dvd Calendar'!$AI$1089&lt;=VAL_DATE)=0,"",'Dvd Calendar'!$AI$1089*1000000000+ISNUMBER('Dvd Calendar'!$AI$1092)*100000000+('Dvd Calendar'!$AI$1094=SPECIAL_LBL)*10000000+0*1000000+99*1000+31))</f>
        <v/>
      </c>
      <c r="FJ110" s="35">
        <f>IF(N('Dvd Calendar'!$AJ$1089)=0,"",IF(('Dvd Calendar'!$AJ$1089&gt;=GRID_FROM)*('Dvd Calendar'!$AJ$1089&lt;=GRID_TO)*('Dvd Calendar'!$AJ$1089&lt;=VAL_DATE)=0,"",'Dvd Calendar'!$AJ$1089*1000000000+ISNUMBER('Dvd Calendar'!$AJ$1092)*100000000+('Dvd Calendar'!$AJ$1094=SPECIAL_LBL)*10000000+0*1000000+99*1000+32))</f>
        <v/>
      </c>
      <c r="FK110" s="35">
        <f>IF(N('Dvd Calendar'!$AK$1089)=0,"",IF(('Dvd Calendar'!$AK$1089&gt;=GRID_FROM)*('Dvd Calendar'!$AK$1089&lt;=GRID_TO)*('Dvd Calendar'!$AK$1089&lt;=VAL_DATE)=0,"",'Dvd Calendar'!$AK$1089*1000000000+ISNUMBER('Dvd Calendar'!$AK$1092)*100000000+('Dvd Calendar'!$AK$1094=SPECIAL_LBL)*10000000+0*1000000+99*1000+33))</f>
        <v/>
      </c>
      <c r="FL110" s="35">
        <f>IF(N('Dvd Calendar'!$AL$1089)=0,"",IF(('Dvd Calendar'!$AL$1089&gt;=GRID_FROM)*('Dvd Calendar'!$AL$1089&lt;=GRID_TO)*('Dvd Calendar'!$AL$1089&lt;=VAL_DATE)=0,"",'Dvd Calendar'!$AL$1089*1000000000+ISNUMBER('Dvd Calendar'!$AL$1092)*100000000+('Dvd Calendar'!$AL$1094=SPECIAL_LBL)*10000000+0*1000000+99*1000+34))</f>
        <v/>
      </c>
      <c r="FM110" s="35">
        <f>IF(N('Dvd Calendar'!$AM$1089)=0,"",IF(('Dvd Calendar'!$AM$1089&gt;=GRID_FROM)*('Dvd Calendar'!$AM$1089&lt;=GRID_TO)*('Dvd Calendar'!$AM$1089&lt;=VAL_DATE)=0,"",'Dvd Calendar'!$AM$1089*1000000000+ISNUMBER('Dvd Calendar'!$AM$1092)*100000000+('Dvd Calendar'!$AM$1094=SPECIAL_LBL)*10000000+0*1000000+99*1000+35))</f>
        <v/>
      </c>
      <c r="FN110" s="35">
        <f>IF(N('Dvd Calendar'!$AN$1089)=0,"",IF(('Dvd Calendar'!$AN$1089&gt;=GRID_FROM)*('Dvd Calendar'!$AN$1089&lt;=GRID_TO)*('Dvd Calendar'!$AN$1089&lt;=VAL_DATE)=0,"",'Dvd Calendar'!$AN$1089*1000000000+ISNUMBER('Dvd Calendar'!$AN$1092)*100000000+('Dvd Calendar'!$AN$1094=SPECIAL_LBL)*10000000+0*1000000+99*1000+36))</f>
        <v/>
      </c>
      <c r="FO110" s="35">
        <f>IF(N('Dvd Calendar'!$AO$1089)=0,"",IF(('Dvd Calendar'!$AO$1089&gt;=GRID_FROM)*('Dvd Calendar'!$AO$1089&lt;=GRID_TO)*('Dvd Calendar'!$AO$1089&lt;=VAL_DATE)=0,"",'Dvd Calendar'!$AO$1089*1000000000+ISNUMBER('Dvd Calendar'!$AO$1092)*100000000+('Dvd Calendar'!$AO$1094=SPECIAL_LBL)*10000000+0*1000000+99*1000+37))</f>
        <v/>
      </c>
      <c r="FP110" s="35">
        <f>IF(N('Dvd Calendar'!$AP$1089)=0,"",IF(('Dvd Calendar'!$AP$1089&gt;=GRID_FROM)*('Dvd Calendar'!$AP$1089&lt;=GRID_TO)*('Dvd Calendar'!$AP$1089&lt;=VAL_DATE)=0,"",'Dvd Calendar'!$AP$1089*1000000000+ISNUMBER('Dvd Calendar'!$AP$1092)*100000000+('Dvd Calendar'!$AP$1094=SPECIAL_LBL)*10000000+0*1000000+99*1000+38))</f>
        <v/>
      </c>
      <c r="FQ110" s="35">
        <f>IF(N('Dvd Calendar'!$AQ$1089)=0,"",IF(('Dvd Calendar'!$AQ$1089&gt;=GRID_FROM)*('Dvd Calendar'!$AQ$1089&lt;=GRID_TO)*('Dvd Calendar'!$AQ$1089&lt;=VAL_DATE)=0,"",'Dvd Calendar'!$AQ$1089*1000000000+ISNUMBER('Dvd Calendar'!$AQ$1092)*100000000+('Dvd Calendar'!$AQ$1094=SPECIAL_LBL)*10000000+0*1000000+99*1000+39))</f>
        <v/>
      </c>
      <c r="FR110" s="35">
        <f>IF(N('Dvd Calendar'!$AR$1089)=0,"",IF(('Dvd Calendar'!$AR$1089&gt;=GRID_FROM)*('Dvd Calendar'!$AR$1089&lt;=GRID_TO)*('Dvd Calendar'!$AR$1089&lt;=VAL_DATE)=0,"",'Dvd Calendar'!$AR$1089*1000000000+ISNUMBER('Dvd Calendar'!$AR$1092)*100000000+('Dvd Calendar'!$AR$1094=SPECIAL_LBL)*10000000+0*1000000+99*1000+40))</f>
        <v/>
      </c>
      <c r="FS110" s="35">
        <f>IF(N('Dvd Calendar'!$E$1096)=0,"",IF(('Dvd Calendar'!$E$1096&gt;=GRID_FROM)*('Dvd Calendar'!$E$1096&lt;=GRID_TO)*('Dvd Calendar'!$E$1096&gt;VAL_DATE)=0,"",'Dvd Calendar'!$E$1096*1000000000+ISNUMBER('Dvd Calendar'!$E$1097)*100000000+0*10000000+(N('Dvd Calendar'!$E$1095)&gt;0)*(N('Dvd Calendar'!$E$1095)&lt;=VAL_SERIAL)*1000000+99*1000+41))</f>
        <v/>
      </c>
      <c r="FT110" s="35">
        <f>IF(N('Dvd Calendar'!$F$1096)=0,"",IF(('Dvd Calendar'!$F$1096&gt;=GRID_FROM)*('Dvd Calendar'!$F$1096&lt;=GRID_TO)*('Dvd Calendar'!$F$1096&gt;VAL_DATE)=0,"",'Dvd Calendar'!$F$1096*1000000000+ISNUMBER('Dvd Calendar'!$F$1097)*100000000+0*10000000+(N('Dvd Calendar'!$F$1095)&gt;0)*(N('Dvd Calendar'!$F$1095)&lt;=VAL_SERIAL)*1000000+99*1000+42))</f>
        <v/>
      </c>
      <c r="FU110" s="35">
        <f>IF(N('Dvd Calendar'!$G$1096)=0,"",IF(('Dvd Calendar'!$G$1096&gt;=GRID_FROM)*('Dvd Calendar'!$G$1096&lt;=GRID_TO)*('Dvd Calendar'!$G$1096&gt;VAL_DATE)=0,"",'Dvd Calendar'!$G$1096*1000000000+ISNUMBER('Dvd Calendar'!$G$1097)*100000000+0*10000000+(N('Dvd Calendar'!$G$1095)&gt;0)*(N('Dvd Calendar'!$G$1095)&lt;=VAL_SERIAL)*1000000+99*1000+43))</f>
        <v/>
      </c>
      <c r="FV110" s="35">
        <f>IF(N('Dvd Calendar'!$H$1096)=0,"",IF(('Dvd Calendar'!$H$1096&gt;=GRID_FROM)*('Dvd Calendar'!$H$1096&lt;=GRID_TO)*('Dvd Calendar'!$H$1096&gt;VAL_DATE)=0,"",'Dvd Calendar'!$H$1096*1000000000+ISNUMBER('Dvd Calendar'!$H$1097)*100000000+0*10000000+(N('Dvd Calendar'!$H$1095)&gt;0)*(N('Dvd Calendar'!$H$1095)&lt;=VAL_SERIAL)*1000000+99*1000+44))</f>
        <v/>
      </c>
      <c r="FW110" s="35">
        <f>IF(N('Dvd Calendar'!$I$1096)=0,"",IF(('Dvd Calendar'!$I$1096&gt;=GRID_FROM)*('Dvd Calendar'!$I$1096&lt;=GRID_TO)*('Dvd Calendar'!$I$1096&gt;VAL_DATE)=0,"",'Dvd Calendar'!$I$1096*1000000000+ISNUMBER('Dvd Calendar'!$I$1097)*100000000+0*10000000+(N('Dvd Calendar'!$I$1095)&gt;0)*(N('Dvd Calendar'!$I$1095)&lt;=VAL_SERIAL)*1000000+99*1000+45))</f>
        <v/>
      </c>
      <c r="FX110" s="35">
        <f>IF(N('Dvd Calendar'!$J$1096)=0,"",IF(('Dvd Calendar'!$J$1096&gt;=GRID_FROM)*('Dvd Calendar'!$J$1096&lt;=GRID_TO)*('Dvd Calendar'!$J$1096&gt;VAL_DATE)=0,"",'Dvd Calendar'!$J$1096*1000000000+ISNUMBER('Dvd Calendar'!$J$1097)*100000000+0*10000000+(N('Dvd Calendar'!$J$1095)&gt;0)*(N('Dvd Calendar'!$J$1095)&lt;=VAL_SERIAL)*1000000+99*1000+46))</f>
        <v/>
      </c>
      <c r="FY110" s="35">
        <f>IF(N('Dvd Calendar'!$K$1096)=0,"",IF(('Dvd Calendar'!$K$1096&gt;=GRID_FROM)*('Dvd Calendar'!$K$1096&lt;=GRID_TO)*('Dvd Calendar'!$K$1096&gt;VAL_DATE)=0,"",'Dvd Calendar'!$K$1096*1000000000+ISNUMBER('Dvd Calendar'!$K$1097)*100000000+0*10000000+(N('Dvd Calendar'!$K$1095)&gt;0)*(N('Dvd Calendar'!$K$1095)&lt;=VAL_SERIAL)*1000000+99*1000+47))</f>
        <v/>
      </c>
      <c r="FZ110" s="35">
        <f>IF(N('Dvd Calendar'!$L$1096)=0,"",IF(('Dvd Calendar'!$L$1096&gt;=GRID_FROM)*('Dvd Calendar'!$L$1096&lt;=GRID_TO)*('Dvd Calendar'!$L$1096&gt;VAL_DATE)=0,"",'Dvd Calendar'!$L$1096*1000000000+ISNUMBER('Dvd Calendar'!$L$1097)*100000000+0*10000000+(N('Dvd Calendar'!$L$1095)&gt;0)*(N('Dvd Calendar'!$L$1095)&lt;=VAL_SERIAL)*1000000+99*1000+48))</f>
        <v/>
      </c>
      <c r="GA110" s="35">
        <f>IF(N('Dvd Calendar'!$M$1096)=0,"",IF(('Dvd Calendar'!$M$1096&gt;=GRID_FROM)*('Dvd Calendar'!$M$1096&lt;=GRID_TO)*('Dvd Calendar'!$M$1096&gt;VAL_DATE)=0,"",'Dvd Calendar'!$M$1096*1000000000+ISNUMBER('Dvd Calendar'!$M$1097)*100000000+0*10000000+(N('Dvd Calendar'!$M$1095)&gt;0)*(N('Dvd Calendar'!$M$1095)&lt;=VAL_SERIAL)*1000000+99*1000+49))</f>
        <v/>
      </c>
      <c r="GB110" s="35">
        <f>IF(N('Dvd Calendar'!$N$1096)=0,"",IF(('Dvd Calendar'!$N$1096&gt;=GRID_FROM)*('Dvd Calendar'!$N$1096&lt;=GRID_TO)*('Dvd Calendar'!$N$1096&gt;VAL_DATE)=0,"",'Dvd Calendar'!$N$1096*1000000000+ISNUMBER('Dvd Calendar'!$N$1097)*100000000+0*10000000+(N('Dvd Calendar'!$N$1095)&gt;0)*(N('Dvd Calendar'!$N$1095)&lt;=VAL_SERIAL)*1000000+99*1000+50))</f>
        <v/>
      </c>
      <c r="GC110" s="35">
        <f>IF(N('Dvd Calendar'!$O$1096)=0,"",IF(('Dvd Calendar'!$O$1096&gt;=GRID_FROM)*('Dvd Calendar'!$O$1096&lt;=GRID_TO)*('Dvd Calendar'!$O$1096&gt;VAL_DATE)=0,"",'Dvd Calendar'!$O$1096*1000000000+ISNUMBER('Dvd Calendar'!$O$1097)*100000000+0*10000000+(N('Dvd Calendar'!$O$1095)&gt;0)*(N('Dvd Calendar'!$O$1095)&lt;=VAL_SERIAL)*1000000+99*1000+51))</f>
        <v/>
      </c>
      <c r="GD110" s="35">
        <f>IF(N('Dvd Calendar'!$P$1096)=0,"",IF(('Dvd Calendar'!$P$1096&gt;=GRID_FROM)*('Dvd Calendar'!$P$1096&lt;=GRID_TO)*('Dvd Calendar'!$P$1096&gt;VAL_DATE)=0,"",'Dvd Calendar'!$P$1096*1000000000+ISNUMBER('Dvd Calendar'!$P$1097)*100000000+0*10000000+(N('Dvd Calendar'!$P$1095)&gt;0)*(N('Dvd Calendar'!$P$1095)&lt;=VAL_SERIAL)*1000000+99*1000+52))</f>
        <v/>
      </c>
      <c r="GE110" s="35">
        <f>IF(N('Dvd Calendar'!$Q$1096)=0,"",IF(('Dvd Calendar'!$Q$1096&gt;=GRID_FROM)*('Dvd Calendar'!$Q$1096&lt;=GRID_TO)*('Dvd Calendar'!$Q$1096&gt;VAL_DATE)=0,"",'Dvd Calendar'!$Q$1096*1000000000+ISNUMBER('Dvd Calendar'!$Q$1097)*100000000+0*10000000+(N('Dvd Calendar'!$Q$1095)&gt;0)*(N('Dvd Calendar'!$Q$1095)&lt;=VAL_SERIAL)*1000000+99*1000+53))</f>
        <v/>
      </c>
      <c r="GF110" s="35">
        <f>IF(N('Dvd Calendar'!$R$1096)=0,"",IF(('Dvd Calendar'!$R$1096&gt;=GRID_FROM)*('Dvd Calendar'!$R$1096&lt;=GRID_TO)*('Dvd Calendar'!$R$1096&gt;VAL_DATE)=0,"",'Dvd Calendar'!$R$1096*1000000000+ISNUMBER('Dvd Calendar'!$R$1097)*100000000+0*10000000+(N('Dvd Calendar'!$R$1095)&gt;0)*(N('Dvd Calendar'!$R$1095)&lt;=VAL_SERIAL)*1000000+99*1000+54))</f>
        <v/>
      </c>
      <c r="GG110" s="35">
        <f>IF(N('Dvd Calendar'!$S$1096)=0,"",IF(('Dvd Calendar'!$S$1096&gt;=GRID_FROM)*('Dvd Calendar'!$S$1096&lt;=GRID_TO)*('Dvd Calendar'!$S$1096&gt;VAL_DATE)=0,"",'Dvd Calendar'!$S$1096*1000000000+ISNUMBER('Dvd Calendar'!$S$1097)*100000000+0*10000000+(N('Dvd Calendar'!$S$1095)&gt;0)*(N('Dvd Calendar'!$S$1095)&lt;=VAL_SERIAL)*1000000+99*1000+55))</f>
        <v/>
      </c>
      <c r="GH110" s="35">
        <f>IF(N('Dvd Calendar'!$T$1096)=0,"",IF(('Dvd Calendar'!$T$1096&gt;=GRID_FROM)*('Dvd Calendar'!$T$1096&lt;=GRID_TO)*('Dvd Calendar'!$T$1096&gt;VAL_DATE)=0,"",'Dvd Calendar'!$T$1096*1000000000+ISNUMBER('Dvd Calendar'!$T$1097)*100000000+0*10000000+(N('Dvd Calendar'!$T$1095)&gt;0)*(N('Dvd Calendar'!$T$1095)&lt;=VAL_SERIAL)*1000000+99*1000+56))</f>
        <v/>
      </c>
      <c r="GI110" s="35">
        <f>IF(N('Dvd Calendar'!$U$1096)=0,"",IF(('Dvd Calendar'!$U$1096&gt;=GRID_FROM)*('Dvd Calendar'!$U$1096&lt;=GRID_TO)*('Dvd Calendar'!$U$1096&gt;VAL_DATE)=0,"",'Dvd Calendar'!$U$1096*1000000000+ISNUMBER('Dvd Calendar'!$U$1097)*100000000+0*10000000+(N('Dvd Calendar'!$U$1095)&gt;0)*(N('Dvd Calendar'!$U$1095)&lt;=VAL_SERIAL)*1000000+99*1000+57))</f>
        <v/>
      </c>
      <c r="GJ110" s="35">
        <f>IF(N('Dvd Calendar'!$V$1096)=0,"",IF(('Dvd Calendar'!$V$1096&gt;=GRID_FROM)*('Dvd Calendar'!$V$1096&lt;=GRID_TO)*('Dvd Calendar'!$V$1096&gt;VAL_DATE)=0,"",'Dvd Calendar'!$V$1096*1000000000+ISNUMBER('Dvd Calendar'!$V$1097)*100000000+0*10000000+(N('Dvd Calendar'!$V$1095)&gt;0)*(N('Dvd Calendar'!$V$1095)&lt;=VAL_SERIAL)*1000000+99*1000+58))</f>
        <v/>
      </c>
      <c r="GK110" s="35">
        <f>IF(N('Dvd Calendar'!$W$1096)=0,"",IF(('Dvd Calendar'!$W$1096&gt;=GRID_FROM)*('Dvd Calendar'!$W$1096&lt;=GRID_TO)*('Dvd Calendar'!$W$1096&gt;VAL_DATE)=0,"",'Dvd Calendar'!$W$1096*1000000000+ISNUMBER('Dvd Calendar'!$W$1097)*100000000+0*10000000+(N('Dvd Calendar'!$W$1095)&gt;0)*(N('Dvd Calendar'!$W$1095)&lt;=VAL_SERIAL)*1000000+99*1000+59))</f>
        <v/>
      </c>
      <c r="GL110" s="35">
        <f>IF(N('Dvd Calendar'!$X$1096)=0,"",IF(('Dvd Calendar'!$X$1096&gt;=GRID_FROM)*('Dvd Calendar'!$X$1096&lt;=GRID_TO)*('Dvd Calendar'!$X$1096&gt;VAL_DATE)=0,"",'Dvd Calendar'!$X$1096*1000000000+ISNUMBER('Dvd Calendar'!$X$1097)*100000000+0*10000000+(N('Dvd Calendar'!$X$1095)&gt;0)*(N('Dvd Calendar'!$X$1095)&lt;=VAL_SERIAL)*1000000+99*1000+60))</f>
        <v/>
      </c>
      <c r="GM110" s="35">
        <f>IF(N('Dvd Calendar'!$Y$1096)=0,"",IF(('Dvd Calendar'!$Y$1096&gt;=GRID_FROM)*('Dvd Calendar'!$Y$1096&lt;=GRID_TO)*('Dvd Calendar'!$Y$1096&gt;VAL_DATE)=0,"",'Dvd Calendar'!$Y$1096*1000000000+ISNUMBER('Dvd Calendar'!$Y$1097)*100000000+0*10000000+(N('Dvd Calendar'!$Y$1095)&gt;0)*(N('Dvd Calendar'!$Y$1095)&lt;=VAL_SERIAL)*1000000+99*1000+61))</f>
        <v/>
      </c>
      <c r="GN110" s="35">
        <f>IF(N('Dvd Calendar'!$Z$1096)=0,"",IF(('Dvd Calendar'!$Z$1096&gt;=GRID_FROM)*('Dvd Calendar'!$Z$1096&lt;=GRID_TO)*('Dvd Calendar'!$Z$1096&gt;VAL_DATE)=0,"",'Dvd Calendar'!$Z$1096*1000000000+ISNUMBER('Dvd Calendar'!$Z$1097)*100000000+0*10000000+(N('Dvd Calendar'!$Z$1095)&gt;0)*(N('Dvd Calendar'!$Z$1095)&lt;=VAL_SERIAL)*1000000+99*1000+62))</f>
        <v/>
      </c>
      <c r="GO110" s="35">
        <f>IF(N('Dvd Calendar'!$AA$1096)=0,"",IF(('Dvd Calendar'!$AA$1096&gt;=GRID_FROM)*('Dvd Calendar'!$AA$1096&lt;=GRID_TO)*('Dvd Calendar'!$AA$1096&gt;VAL_DATE)=0,"",'Dvd Calendar'!$AA$1096*1000000000+ISNUMBER('Dvd Calendar'!$AA$1097)*100000000+0*10000000+(N('Dvd Calendar'!$AA$1095)&gt;0)*(N('Dvd Calendar'!$AA$1095)&lt;=VAL_SERIAL)*1000000+99*1000+63))</f>
        <v/>
      </c>
      <c r="GP110" s="35">
        <f>IF(N('Dvd Calendar'!$AB$1096)=0,"",IF(('Dvd Calendar'!$AB$1096&gt;=GRID_FROM)*('Dvd Calendar'!$AB$1096&lt;=GRID_TO)*('Dvd Calendar'!$AB$1096&gt;VAL_DATE)=0,"",'Dvd Calendar'!$AB$1096*1000000000+ISNUMBER('Dvd Calendar'!$AB$1097)*100000000+0*10000000+(N('Dvd Calendar'!$AB$1095)&gt;0)*(N('Dvd Calendar'!$AB$1095)&lt;=VAL_SERIAL)*1000000+99*1000+64))</f>
        <v/>
      </c>
      <c r="GQ110" s="35">
        <f>IF(N('Dvd Calendar'!$AC$1096)=0,"",IF(('Dvd Calendar'!$AC$1096&gt;=GRID_FROM)*('Dvd Calendar'!$AC$1096&lt;=GRID_TO)*('Dvd Calendar'!$AC$1096&gt;VAL_DATE)=0,"",'Dvd Calendar'!$AC$1096*1000000000+ISNUMBER('Dvd Calendar'!$AC$1097)*100000000+0*10000000+(N('Dvd Calendar'!$AC$1095)&gt;0)*(N('Dvd Calendar'!$AC$1095)&lt;=VAL_SERIAL)*1000000+99*1000+65))</f>
        <v/>
      </c>
    </row>
    <row r="111">
      <c r="B111" s="2">
        <f>IF(HSI!$C$106="","",HSI!$C$106)</f>
        <v/>
      </c>
      <c r="C111" s="106">
        <f>IF(EE111="","",IF(ISNUMBER('Dvd Calendar'!$E$1103)=FALSE,"",IF((('Dvd Calendar'!$E$1105=TYPE1)*(TYPE1&lt;&gt;"")+('Dvd Calendar'!$E$1105=TYPE2)*(TYPE2&lt;&gt;"")+('Dvd Calendar'!$E$1105=TYPE3)*(TYPE3&lt;&gt;"")+('Dvd Calendar'!$E$1105=TYPE4)*(TYPE4&lt;&gt;"")+('Dvd Calendar'!$E$1105=SPECIAL_LBL)*(INC_SPECIALS="Y"))=0,"",'Dvd Calendar'!$E$1103)))</f>
        <v/>
      </c>
      <c r="D111" s="106">
        <f>IF(EF111="","",IF(ISNUMBER('Dvd Calendar'!$F$1103)=FALSE,"",IF((('Dvd Calendar'!$F$1105=TYPE1)*(TYPE1&lt;&gt;"")+('Dvd Calendar'!$F$1105=TYPE2)*(TYPE2&lt;&gt;"")+('Dvd Calendar'!$F$1105=TYPE3)*(TYPE3&lt;&gt;"")+('Dvd Calendar'!$F$1105=TYPE4)*(TYPE4&lt;&gt;"")+('Dvd Calendar'!$F$1105=SPECIAL_LBL)*(INC_SPECIALS="Y"))=0,"",'Dvd Calendar'!$F$1103)))</f>
        <v/>
      </c>
      <c r="E111" s="106">
        <f>IF(EG111="","",IF(ISNUMBER('Dvd Calendar'!$G$1103)=FALSE,"",IF((('Dvd Calendar'!$G$1105=TYPE1)*(TYPE1&lt;&gt;"")+('Dvd Calendar'!$G$1105=TYPE2)*(TYPE2&lt;&gt;"")+('Dvd Calendar'!$G$1105=TYPE3)*(TYPE3&lt;&gt;"")+('Dvd Calendar'!$G$1105=TYPE4)*(TYPE4&lt;&gt;"")+('Dvd Calendar'!$G$1105=SPECIAL_LBL)*(INC_SPECIALS="Y"))=0,"",'Dvd Calendar'!$G$1103)))</f>
        <v/>
      </c>
      <c r="F111" s="106">
        <f>IF(EH111="","",IF(ISNUMBER('Dvd Calendar'!$H$1103)=FALSE,"",IF((('Dvd Calendar'!$H$1105=TYPE1)*(TYPE1&lt;&gt;"")+('Dvd Calendar'!$H$1105=TYPE2)*(TYPE2&lt;&gt;"")+('Dvd Calendar'!$H$1105=TYPE3)*(TYPE3&lt;&gt;"")+('Dvd Calendar'!$H$1105=TYPE4)*(TYPE4&lt;&gt;"")+('Dvd Calendar'!$H$1105=SPECIAL_LBL)*(INC_SPECIALS="Y"))=0,"",'Dvd Calendar'!$H$1103)))</f>
        <v/>
      </c>
      <c r="G111" s="106">
        <f>IF(EI111="","",IF(ISNUMBER('Dvd Calendar'!$I$1103)=FALSE,"",IF((('Dvd Calendar'!$I$1105=TYPE1)*(TYPE1&lt;&gt;"")+('Dvd Calendar'!$I$1105=TYPE2)*(TYPE2&lt;&gt;"")+('Dvd Calendar'!$I$1105=TYPE3)*(TYPE3&lt;&gt;"")+('Dvd Calendar'!$I$1105=TYPE4)*(TYPE4&lt;&gt;"")+('Dvd Calendar'!$I$1105=SPECIAL_LBL)*(INC_SPECIALS="Y"))=0,"",'Dvd Calendar'!$I$1103)))</f>
        <v/>
      </c>
      <c r="H111" s="106">
        <f>IF(EJ111="","",IF(ISNUMBER('Dvd Calendar'!$J$1103)=FALSE,"",IF((('Dvd Calendar'!$J$1105=TYPE1)*(TYPE1&lt;&gt;"")+('Dvd Calendar'!$J$1105=TYPE2)*(TYPE2&lt;&gt;"")+('Dvd Calendar'!$J$1105=TYPE3)*(TYPE3&lt;&gt;"")+('Dvd Calendar'!$J$1105=TYPE4)*(TYPE4&lt;&gt;"")+('Dvd Calendar'!$J$1105=SPECIAL_LBL)*(INC_SPECIALS="Y"))=0,"",'Dvd Calendar'!$J$1103)))</f>
        <v/>
      </c>
      <c r="I111" s="106">
        <f>IF(EK111="","",IF(ISNUMBER('Dvd Calendar'!$K$1103)=FALSE,"",IF((('Dvd Calendar'!$K$1105=TYPE1)*(TYPE1&lt;&gt;"")+('Dvd Calendar'!$K$1105=TYPE2)*(TYPE2&lt;&gt;"")+('Dvd Calendar'!$K$1105=TYPE3)*(TYPE3&lt;&gt;"")+('Dvd Calendar'!$K$1105=TYPE4)*(TYPE4&lt;&gt;"")+('Dvd Calendar'!$K$1105=SPECIAL_LBL)*(INC_SPECIALS="Y"))=0,"",'Dvd Calendar'!$K$1103)))</f>
        <v/>
      </c>
      <c r="J111" s="106">
        <f>IF(EL111="","",IF(ISNUMBER('Dvd Calendar'!$L$1103)=FALSE,"",IF((('Dvd Calendar'!$L$1105=TYPE1)*(TYPE1&lt;&gt;"")+('Dvd Calendar'!$L$1105=TYPE2)*(TYPE2&lt;&gt;"")+('Dvd Calendar'!$L$1105=TYPE3)*(TYPE3&lt;&gt;"")+('Dvd Calendar'!$L$1105=TYPE4)*(TYPE4&lt;&gt;"")+('Dvd Calendar'!$L$1105=SPECIAL_LBL)*(INC_SPECIALS="Y"))=0,"",'Dvd Calendar'!$L$1103)))</f>
        <v/>
      </c>
      <c r="K111" s="106">
        <f>IF(EM111="","",IF(ISNUMBER('Dvd Calendar'!$M$1103)=FALSE,"",IF((('Dvd Calendar'!$M$1105=TYPE1)*(TYPE1&lt;&gt;"")+('Dvd Calendar'!$M$1105=TYPE2)*(TYPE2&lt;&gt;"")+('Dvd Calendar'!$M$1105=TYPE3)*(TYPE3&lt;&gt;"")+('Dvd Calendar'!$M$1105=TYPE4)*(TYPE4&lt;&gt;"")+('Dvd Calendar'!$M$1105=SPECIAL_LBL)*(INC_SPECIALS="Y"))=0,"",'Dvd Calendar'!$M$1103)))</f>
        <v/>
      </c>
      <c r="L111" s="106">
        <f>IF(EN111="","",IF(ISNUMBER('Dvd Calendar'!$N$1103)=FALSE,"",IF((('Dvd Calendar'!$N$1105=TYPE1)*(TYPE1&lt;&gt;"")+('Dvd Calendar'!$N$1105=TYPE2)*(TYPE2&lt;&gt;"")+('Dvd Calendar'!$N$1105=TYPE3)*(TYPE3&lt;&gt;"")+('Dvd Calendar'!$N$1105=TYPE4)*(TYPE4&lt;&gt;"")+('Dvd Calendar'!$N$1105=SPECIAL_LBL)*(INC_SPECIALS="Y"))=0,"",'Dvd Calendar'!$N$1103)))</f>
        <v/>
      </c>
      <c r="M111" s="106">
        <f>IF(EO111="","",IF(ISNUMBER('Dvd Calendar'!$O$1103)=FALSE,"",IF((('Dvd Calendar'!$O$1105=TYPE1)*(TYPE1&lt;&gt;"")+('Dvd Calendar'!$O$1105=TYPE2)*(TYPE2&lt;&gt;"")+('Dvd Calendar'!$O$1105=TYPE3)*(TYPE3&lt;&gt;"")+('Dvd Calendar'!$O$1105=TYPE4)*(TYPE4&lt;&gt;"")+('Dvd Calendar'!$O$1105=SPECIAL_LBL)*(INC_SPECIALS="Y"))=0,"",'Dvd Calendar'!$O$1103)))</f>
        <v/>
      </c>
      <c r="N111" s="106">
        <f>IF(EP111="","",IF(ISNUMBER('Dvd Calendar'!$P$1103)=FALSE,"",IF((('Dvd Calendar'!$P$1105=TYPE1)*(TYPE1&lt;&gt;"")+('Dvd Calendar'!$P$1105=TYPE2)*(TYPE2&lt;&gt;"")+('Dvd Calendar'!$P$1105=TYPE3)*(TYPE3&lt;&gt;"")+('Dvd Calendar'!$P$1105=TYPE4)*(TYPE4&lt;&gt;"")+('Dvd Calendar'!$P$1105=SPECIAL_LBL)*(INC_SPECIALS="Y"))=0,"",'Dvd Calendar'!$P$1103)))</f>
        <v/>
      </c>
      <c r="O111" s="106">
        <f>IF(EQ111="","",IF(ISNUMBER('Dvd Calendar'!$Q$1103)=FALSE,"",IF((('Dvd Calendar'!$Q$1105=TYPE1)*(TYPE1&lt;&gt;"")+('Dvd Calendar'!$Q$1105=TYPE2)*(TYPE2&lt;&gt;"")+('Dvd Calendar'!$Q$1105=TYPE3)*(TYPE3&lt;&gt;"")+('Dvd Calendar'!$Q$1105=TYPE4)*(TYPE4&lt;&gt;"")+('Dvd Calendar'!$Q$1105=SPECIAL_LBL)*(INC_SPECIALS="Y"))=0,"",'Dvd Calendar'!$Q$1103)))</f>
        <v/>
      </c>
      <c r="P111" s="106">
        <f>IF(ER111="","",IF(ISNUMBER('Dvd Calendar'!$R$1103)=FALSE,"",IF((('Dvd Calendar'!$R$1105=TYPE1)*(TYPE1&lt;&gt;"")+('Dvd Calendar'!$R$1105=TYPE2)*(TYPE2&lt;&gt;"")+('Dvd Calendar'!$R$1105=TYPE3)*(TYPE3&lt;&gt;"")+('Dvd Calendar'!$R$1105=TYPE4)*(TYPE4&lt;&gt;"")+('Dvd Calendar'!$R$1105=SPECIAL_LBL)*(INC_SPECIALS="Y"))=0,"",'Dvd Calendar'!$R$1103)))</f>
        <v/>
      </c>
      <c r="Q111" s="106">
        <f>IF(ES111="","",IF(ISNUMBER('Dvd Calendar'!$S$1103)=FALSE,"",IF((('Dvd Calendar'!$S$1105=TYPE1)*(TYPE1&lt;&gt;"")+('Dvd Calendar'!$S$1105=TYPE2)*(TYPE2&lt;&gt;"")+('Dvd Calendar'!$S$1105=TYPE3)*(TYPE3&lt;&gt;"")+('Dvd Calendar'!$S$1105=TYPE4)*(TYPE4&lt;&gt;"")+('Dvd Calendar'!$S$1105=SPECIAL_LBL)*(INC_SPECIALS="Y"))=0,"",'Dvd Calendar'!$S$1103)))</f>
        <v/>
      </c>
      <c r="R111" s="106">
        <f>IF(ET111="","",IF(ISNUMBER('Dvd Calendar'!$T$1103)=FALSE,"",IF((('Dvd Calendar'!$T$1105=TYPE1)*(TYPE1&lt;&gt;"")+('Dvd Calendar'!$T$1105=TYPE2)*(TYPE2&lt;&gt;"")+('Dvd Calendar'!$T$1105=TYPE3)*(TYPE3&lt;&gt;"")+('Dvd Calendar'!$T$1105=TYPE4)*(TYPE4&lt;&gt;"")+('Dvd Calendar'!$T$1105=SPECIAL_LBL)*(INC_SPECIALS="Y"))=0,"",'Dvd Calendar'!$T$1103)))</f>
        <v/>
      </c>
      <c r="S111" s="106">
        <f>IF(EU111="","",IF(ISNUMBER('Dvd Calendar'!$U$1103)=FALSE,"",IF((('Dvd Calendar'!$U$1105=TYPE1)*(TYPE1&lt;&gt;"")+('Dvd Calendar'!$U$1105=TYPE2)*(TYPE2&lt;&gt;"")+('Dvd Calendar'!$U$1105=TYPE3)*(TYPE3&lt;&gt;"")+('Dvd Calendar'!$U$1105=TYPE4)*(TYPE4&lt;&gt;"")+('Dvd Calendar'!$U$1105=SPECIAL_LBL)*(INC_SPECIALS="Y"))=0,"",'Dvd Calendar'!$U$1103)))</f>
        <v/>
      </c>
      <c r="T111" s="106">
        <f>IF(EV111="","",IF(ISNUMBER('Dvd Calendar'!$V$1103)=FALSE,"",IF((('Dvd Calendar'!$V$1105=TYPE1)*(TYPE1&lt;&gt;"")+('Dvd Calendar'!$V$1105=TYPE2)*(TYPE2&lt;&gt;"")+('Dvd Calendar'!$V$1105=TYPE3)*(TYPE3&lt;&gt;"")+('Dvd Calendar'!$V$1105=TYPE4)*(TYPE4&lt;&gt;"")+('Dvd Calendar'!$V$1105=SPECIAL_LBL)*(INC_SPECIALS="Y"))=0,"",'Dvd Calendar'!$V$1103)))</f>
        <v/>
      </c>
      <c r="U111" s="106">
        <f>IF(EW111="","",IF(ISNUMBER('Dvd Calendar'!$W$1103)=FALSE,"",IF((('Dvd Calendar'!$W$1105=TYPE1)*(TYPE1&lt;&gt;"")+('Dvd Calendar'!$W$1105=TYPE2)*(TYPE2&lt;&gt;"")+('Dvd Calendar'!$W$1105=TYPE3)*(TYPE3&lt;&gt;"")+('Dvd Calendar'!$W$1105=TYPE4)*(TYPE4&lt;&gt;"")+('Dvd Calendar'!$W$1105=SPECIAL_LBL)*(INC_SPECIALS="Y"))=0,"",'Dvd Calendar'!$W$1103)))</f>
        <v/>
      </c>
      <c r="V111" s="106">
        <f>IF(EX111="","",IF(ISNUMBER('Dvd Calendar'!$X$1103)=FALSE,"",IF((('Dvd Calendar'!$X$1105=TYPE1)*(TYPE1&lt;&gt;"")+('Dvd Calendar'!$X$1105=TYPE2)*(TYPE2&lt;&gt;"")+('Dvd Calendar'!$X$1105=TYPE3)*(TYPE3&lt;&gt;"")+('Dvd Calendar'!$X$1105=TYPE4)*(TYPE4&lt;&gt;"")+('Dvd Calendar'!$X$1105=SPECIAL_LBL)*(INC_SPECIALS="Y"))=0,"",'Dvd Calendar'!$X$1103)))</f>
        <v/>
      </c>
      <c r="W111" s="106">
        <f>IF(EY111="","",IF(ISNUMBER('Dvd Calendar'!$Y$1103)=FALSE,"",IF((('Dvd Calendar'!$Y$1105=TYPE1)*(TYPE1&lt;&gt;"")+('Dvd Calendar'!$Y$1105=TYPE2)*(TYPE2&lt;&gt;"")+('Dvd Calendar'!$Y$1105=TYPE3)*(TYPE3&lt;&gt;"")+('Dvd Calendar'!$Y$1105=TYPE4)*(TYPE4&lt;&gt;"")+('Dvd Calendar'!$Y$1105=SPECIAL_LBL)*(INC_SPECIALS="Y"))=0,"",'Dvd Calendar'!$Y$1103)))</f>
        <v/>
      </c>
      <c r="X111" s="106">
        <f>IF(EZ111="","",IF(ISNUMBER('Dvd Calendar'!$Z$1103)=FALSE,"",IF((('Dvd Calendar'!$Z$1105=TYPE1)*(TYPE1&lt;&gt;"")+('Dvd Calendar'!$Z$1105=TYPE2)*(TYPE2&lt;&gt;"")+('Dvd Calendar'!$Z$1105=TYPE3)*(TYPE3&lt;&gt;"")+('Dvd Calendar'!$Z$1105=TYPE4)*(TYPE4&lt;&gt;"")+('Dvd Calendar'!$Z$1105=SPECIAL_LBL)*(INC_SPECIALS="Y"))=0,"",'Dvd Calendar'!$Z$1103)))</f>
        <v/>
      </c>
      <c r="Y111" s="106">
        <f>IF(FA111="","",IF(ISNUMBER('Dvd Calendar'!$AA$1103)=FALSE,"",IF((('Dvd Calendar'!$AA$1105=TYPE1)*(TYPE1&lt;&gt;"")+('Dvd Calendar'!$AA$1105=TYPE2)*(TYPE2&lt;&gt;"")+('Dvd Calendar'!$AA$1105=TYPE3)*(TYPE3&lt;&gt;"")+('Dvd Calendar'!$AA$1105=TYPE4)*(TYPE4&lt;&gt;"")+('Dvd Calendar'!$AA$1105=SPECIAL_LBL)*(INC_SPECIALS="Y"))=0,"",'Dvd Calendar'!$AA$1103)))</f>
        <v/>
      </c>
      <c r="Z111" s="106">
        <f>IF(FB111="","",IF(ISNUMBER('Dvd Calendar'!$AB$1103)=FALSE,"",IF((('Dvd Calendar'!$AB$1105=TYPE1)*(TYPE1&lt;&gt;"")+('Dvd Calendar'!$AB$1105=TYPE2)*(TYPE2&lt;&gt;"")+('Dvd Calendar'!$AB$1105=TYPE3)*(TYPE3&lt;&gt;"")+('Dvd Calendar'!$AB$1105=TYPE4)*(TYPE4&lt;&gt;"")+('Dvd Calendar'!$AB$1105=SPECIAL_LBL)*(INC_SPECIALS="Y"))=0,"",'Dvd Calendar'!$AB$1103)))</f>
        <v/>
      </c>
      <c r="AA111" s="106">
        <f>IF(FC111="","",IF(ISNUMBER('Dvd Calendar'!$AC$1103)=FALSE,"",IF((('Dvd Calendar'!$AC$1105=TYPE1)*(TYPE1&lt;&gt;"")+('Dvd Calendar'!$AC$1105=TYPE2)*(TYPE2&lt;&gt;"")+('Dvd Calendar'!$AC$1105=TYPE3)*(TYPE3&lt;&gt;"")+('Dvd Calendar'!$AC$1105=TYPE4)*(TYPE4&lt;&gt;"")+('Dvd Calendar'!$AC$1105=SPECIAL_LBL)*(INC_SPECIALS="Y"))=0,"",'Dvd Calendar'!$AC$1103)))</f>
        <v/>
      </c>
      <c r="AB111" s="106">
        <f>IF(FD111="","",IF(ISNUMBER('Dvd Calendar'!$AD$1103)=FALSE,"",IF((('Dvd Calendar'!$AD$1105=TYPE1)*(TYPE1&lt;&gt;"")+('Dvd Calendar'!$AD$1105=TYPE2)*(TYPE2&lt;&gt;"")+('Dvd Calendar'!$AD$1105=TYPE3)*(TYPE3&lt;&gt;"")+('Dvd Calendar'!$AD$1105=TYPE4)*(TYPE4&lt;&gt;"")+('Dvd Calendar'!$AD$1105=SPECIAL_LBL)*(INC_SPECIALS="Y"))=0,"",'Dvd Calendar'!$AD$1103)))</f>
        <v/>
      </c>
      <c r="AC111" s="106">
        <f>IF(FE111="","",IF(ISNUMBER('Dvd Calendar'!$AE$1103)=FALSE,"",IF((('Dvd Calendar'!$AE$1105=TYPE1)*(TYPE1&lt;&gt;"")+('Dvd Calendar'!$AE$1105=TYPE2)*(TYPE2&lt;&gt;"")+('Dvd Calendar'!$AE$1105=TYPE3)*(TYPE3&lt;&gt;"")+('Dvd Calendar'!$AE$1105=TYPE4)*(TYPE4&lt;&gt;"")+('Dvd Calendar'!$AE$1105=SPECIAL_LBL)*(INC_SPECIALS="Y"))=0,"",'Dvd Calendar'!$AE$1103)))</f>
        <v/>
      </c>
      <c r="AD111" s="106">
        <f>IF(FF111="","",IF(ISNUMBER('Dvd Calendar'!$AF$1103)=FALSE,"",IF((('Dvd Calendar'!$AF$1105=TYPE1)*(TYPE1&lt;&gt;"")+('Dvd Calendar'!$AF$1105=TYPE2)*(TYPE2&lt;&gt;"")+('Dvd Calendar'!$AF$1105=TYPE3)*(TYPE3&lt;&gt;"")+('Dvd Calendar'!$AF$1105=TYPE4)*(TYPE4&lt;&gt;"")+('Dvd Calendar'!$AF$1105=SPECIAL_LBL)*(INC_SPECIALS="Y"))=0,"",'Dvd Calendar'!$AF$1103)))</f>
        <v/>
      </c>
      <c r="AE111" s="106">
        <f>IF(FG111="","",IF(ISNUMBER('Dvd Calendar'!$AG$1103)=FALSE,"",IF((('Dvd Calendar'!$AG$1105=TYPE1)*(TYPE1&lt;&gt;"")+('Dvd Calendar'!$AG$1105=TYPE2)*(TYPE2&lt;&gt;"")+('Dvd Calendar'!$AG$1105=TYPE3)*(TYPE3&lt;&gt;"")+('Dvd Calendar'!$AG$1105=TYPE4)*(TYPE4&lt;&gt;"")+('Dvd Calendar'!$AG$1105=SPECIAL_LBL)*(INC_SPECIALS="Y"))=0,"",'Dvd Calendar'!$AG$1103)))</f>
        <v/>
      </c>
      <c r="AF111" s="106">
        <f>IF(FH111="","",IF(ISNUMBER('Dvd Calendar'!$AH$1103)=FALSE,"",IF((('Dvd Calendar'!$AH$1105=TYPE1)*(TYPE1&lt;&gt;"")+('Dvd Calendar'!$AH$1105=TYPE2)*(TYPE2&lt;&gt;"")+('Dvd Calendar'!$AH$1105=TYPE3)*(TYPE3&lt;&gt;"")+('Dvd Calendar'!$AH$1105=TYPE4)*(TYPE4&lt;&gt;"")+('Dvd Calendar'!$AH$1105=SPECIAL_LBL)*(INC_SPECIALS="Y"))=0,"",'Dvd Calendar'!$AH$1103)))</f>
        <v/>
      </c>
      <c r="AG111" s="106">
        <f>IF(FI111="","",IF(ISNUMBER('Dvd Calendar'!$AI$1103)=FALSE,"",IF((('Dvd Calendar'!$AI$1105=TYPE1)*(TYPE1&lt;&gt;"")+('Dvd Calendar'!$AI$1105=TYPE2)*(TYPE2&lt;&gt;"")+('Dvd Calendar'!$AI$1105=TYPE3)*(TYPE3&lt;&gt;"")+('Dvd Calendar'!$AI$1105=TYPE4)*(TYPE4&lt;&gt;"")+('Dvd Calendar'!$AI$1105=SPECIAL_LBL)*(INC_SPECIALS="Y"))=0,"",'Dvd Calendar'!$AI$1103)))</f>
        <v/>
      </c>
      <c r="AH111" s="106">
        <f>IF(FJ111="","",IF(ISNUMBER('Dvd Calendar'!$AJ$1103)=FALSE,"",IF((('Dvd Calendar'!$AJ$1105=TYPE1)*(TYPE1&lt;&gt;"")+('Dvd Calendar'!$AJ$1105=TYPE2)*(TYPE2&lt;&gt;"")+('Dvd Calendar'!$AJ$1105=TYPE3)*(TYPE3&lt;&gt;"")+('Dvd Calendar'!$AJ$1105=TYPE4)*(TYPE4&lt;&gt;"")+('Dvd Calendar'!$AJ$1105=SPECIAL_LBL)*(INC_SPECIALS="Y"))=0,"",'Dvd Calendar'!$AJ$1103)))</f>
        <v/>
      </c>
      <c r="AI111" s="106">
        <f>IF(FK111="","",IF(ISNUMBER('Dvd Calendar'!$AK$1103)=FALSE,"",IF((('Dvd Calendar'!$AK$1105=TYPE1)*(TYPE1&lt;&gt;"")+('Dvd Calendar'!$AK$1105=TYPE2)*(TYPE2&lt;&gt;"")+('Dvd Calendar'!$AK$1105=TYPE3)*(TYPE3&lt;&gt;"")+('Dvd Calendar'!$AK$1105=TYPE4)*(TYPE4&lt;&gt;"")+('Dvd Calendar'!$AK$1105=SPECIAL_LBL)*(INC_SPECIALS="Y"))=0,"",'Dvd Calendar'!$AK$1103)))</f>
        <v/>
      </c>
      <c r="AJ111" s="106">
        <f>IF(FL111="","",IF(ISNUMBER('Dvd Calendar'!$AL$1103)=FALSE,"",IF((('Dvd Calendar'!$AL$1105=TYPE1)*(TYPE1&lt;&gt;"")+('Dvd Calendar'!$AL$1105=TYPE2)*(TYPE2&lt;&gt;"")+('Dvd Calendar'!$AL$1105=TYPE3)*(TYPE3&lt;&gt;"")+('Dvd Calendar'!$AL$1105=TYPE4)*(TYPE4&lt;&gt;"")+('Dvd Calendar'!$AL$1105=SPECIAL_LBL)*(INC_SPECIALS="Y"))=0,"",'Dvd Calendar'!$AL$1103)))</f>
        <v/>
      </c>
      <c r="AK111" s="106">
        <f>IF(FM111="","",IF(ISNUMBER('Dvd Calendar'!$AM$1103)=FALSE,"",IF((('Dvd Calendar'!$AM$1105=TYPE1)*(TYPE1&lt;&gt;"")+('Dvd Calendar'!$AM$1105=TYPE2)*(TYPE2&lt;&gt;"")+('Dvd Calendar'!$AM$1105=TYPE3)*(TYPE3&lt;&gt;"")+('Dvd Calendar'!$AM$1105=TYPE4)*(TYPE4&lt;&gt;"")+('Dvd Calendar'!$AM$1105=SPECIAL_LBL)*(INC_SPECIALS="Y"))=0,"",'Dvd Calendar'!$AM$1103)))</f>
        <v/>
      </c>
      <c r="AL111" s="106">
        <f>IF(FN111="","",IF(ISNUMBER('Dvd Calendar'!$AN$1103)=FALSE,"",IF((('Dvd Calendar'!$AN$1105=TYPE1)*(TYPE1&lt;&gt;"")+('Dvd Calendar'!$AN$1105=TYPE2)*(TYPE2&lt;&gt;"")+('Dvd Calendar'!$AN$1105=TYPE3)*(TYPE3&lt;&gt;"")+('Dvd Calendar'!$AN$1105=TYPE4)*(TYPE4&lt;&gt;"")+('Dvd Calendar'!$AN$1105=SPECIAL_LBL)*(INC_SPECIALS="Y"))=0,"",'Dvd Calendar'!$AN$1103)))</f>
        <v/>
      </c>
      <c r="AM111" s="106">
        <f>IF(FO111="","",IF(ISNUMBER('Dvd Calendar'!$AO$1103)=FALSE,"",IF((('Dvd Calendar'!$AO$1105=TYPE1)*(TYPE1&lt;&gt;"")+('Dvd Calendar'!$AO$1105=TYPE2)*(TYPE2&lt;&gt;"")+('Dvd Calendar'!$AO$1105=TYPE3)*(TYPE3&lt;&gt;"")+('Dvd Calendar'!$AO$1105=TYPE4)*(TYPE4&lt;&gt;"")+('Dvd Calendar'!$AO$1105=SPECIAL_LBL)*(INC_SPECIALS="Y"))=0,"",'Dvd Calendar'!$AO$1103)))</f>
        <v/>
      </c>
      <c r="AN111" s="106">
        <f>IF(FP111="","",IF(ISNUMBER('Dvd Calendar'!$AP$1103)=FALSE,"",IF((('Dvd Calendar'!$AP$1105=TYPE1)*(TYPE1&lt;&gt;"")+('Dvd Calendar'!$AP$1105=TYPE2)*(TYPE2&lt;&gt;"")+('Dvd Calendar'!$AP$1105=TYPE3)*(TYPE3&lt;&gt;"")+('Dvd Calendar'!$AP$1105=TYPE4)*(TYPE4&lt;&gt;"")+('Dvd Calendar'!$AP$1105=SPECIAL_LBL)*(INC_SPECIALS="Y"))=0,"",'Dvd Calendar'!$AP$1103)))</f>
        <v/>
      </c>
      <c r="AO111" s="106">
        <f>IF(FQ111="","",IF(ISNUMBER('Dvd Calendar'!$AQ$1103)=FALSE,"",IF((('Dvd Calendar'!$AQ$1105=TYPE1)*(TYPE1&lt;&gt;"")+('Dvd Calendar'!$AQ$1105=TYPE2)*(TYPE2&lt;&gt;"")+('Dvd Calendar'!$AQ$1105=TYPE3)*(TYPE3&lt;&gt;"")+('Dvd Calendar'!$AQ$1105=TYPE4)*(TYPE4&lt;&gt;"")+('Dvd Calendar'!$AQ$1105=SPECIAL_LBL)*(INC_SPECIALS="Y"))=0,"",'Dvd Calendar'!$AQ$1103)))</f>
        <v/>
      </c>
      <c r="AP111" s="106">
        <f>IF(FR111="","",IF(ISNUMBER('Dvd Calendar'!$AR$1103)=FALSE,"",IF((('Dvd Calendar'!$AR$1105=TYPE1)*(TYPE1&lt;&gt;"")+('Dvd Calendar'!$AR$1105=TYPE2)*(TYPE2&lt;&gt;"")+('Dvd Calendar'!$AR$1105=TYPE3)*(TYPE3&lt;&gt;"")+('Dvd Calendar'!$AR$1105=TYPE4)*(TYPE4&lt;&gt;"")+('Dvd Calendar'!$AR$1105=SPECIAL_LBL)*(INC_SPECIALS="Y"))=0,"",'Dvd Calendar'!$AR$1103)))</f>
        <v/>
      </c>
      <c r="AQ111" s="106">
        <f>IF(FS111="","",IF(ISNUMBER('Dvd Calendar'!$E$1108)=FALSE,"",'Dvd Calendar'!$E$1108))</f>
        <v/>
      </c>
      <c r="AR111" s="106">
        <f>IF(FT111="","",IF(ISNUMBER('Dvd Calendar'!$F$1108)=FALSE,"",'Dvd Calendar'!$F$1108))</f>
        <v/>
      </c>
      <c r="AS111" s="106">
        <f>IF(FU111="","",IF(ISNUMBER('Dvd Calendar'!$G$1108)=FALSE,"",'Dvd Calendar'!$G$1108))</f>
        <v/>
      </c>
      <c r="AT111" s="106">
        <f>IF(FV111="","",IF(ISNUMBER('Dvd Calendar'!$H$1108)=FALSE,"",'Dvd Calendar'!$H$1108))</f>
        <v/>
      </c>
      <c r="AU111" s="106">
        <f>IF(FW111="","",IF(ISNUMBER('Dvd Calendar'!$I$1108)=FALSE,"",'Dvd Calendar'!$I$1108))</f>
        <v/>
      </c>
      <c r="AV111" s="106">
        <f>IF(FX111="","",IF(ISNUMBER('Dvd Calendar'!$J$1108)=FALSE,"",'Dvd Calendar'!$J$1108))</f>
        <v/>
      </c>
      <c r="AW111" s="106">
        <f>IF(FY111="","",IF(ISNUMBER('Dvd Calendar'!$K$1108)=FALSE,"",'Dvd Calendar'!$K$1108))</f>
        <v/>
      </c>
      <c r="AX111" s="106">
        <f>IF(FZ111="","",IF(ISNUMBER('Dvd Calendar'!$L$1108)=FALSE,"",'Dvd Calendar'!$L$1108))</f>
        <v/>
      </c>
      <c r="AY111" s="106">
        <f>IF(GA111="","",IF(ISNUMBER('Dvd Calendar'!$M$1108)=FALSE,"",'Dvd Calendar'!$M$1108))</f>
        <v/>
      </c>
      <c r="AZ111" s="106">
        <f>IF(GB111="","",IF(ISNUMBER('Dvd Calendar'!$N$1108)=FALSE,"",'Dvd Calendar'!$N$1108))</f>
        <v/>
      </c>
      <c r="BA111" s="106">
        <f>IF(GC111="","",IF(ISNUMBER('Dvd Calendar'!$O$1108)=FALSE,"",'Dvd Calendar'!$O$1108))</f>
        <v/>
      </c>
      <c r="BB111" s="106">
        <f>IF(GD111="","",IF(ISNUMBER('Dvd Calendar'!$P$1108)=FALSE,"",'Dvd Calendar'!$P$1108))</f>
        <v/>
      </c>
      <c r="BC111" s="106">
        <f>IF(GE111="","",IF(ISNUMBER('Dvd Calendar'!$Q$1108)=FALSE,"",'Dvd Calendar'!$Q$1108))</f>
        <v/>
      </c>
      <c r="BD111" s="106">
        <f>IF(GF111="","",IF(ISNUMBER('Dvd Calendar'!$R$1108)=FALSE,"",'Dvd Calendar'!$R$1108))</f>
        <v/>
      </c>
      <c r="BE111" s="106">
        <f>IF(GG111="","",IF(ISNUMBER('Dvd Calendar'!$S$1108)=FALSE,"",'Dvd Calendar'!$S$1108))</f>
        <v/>
      </c>
      <c r="BF111" s="106">
        <f>IF(GH111="","",IF(ISNUMBER('Dvd Calendar'!$T$1108)=FALSE,"",'Dvd Calendar'!$T$1108))</f>
        <v/>
      </c>
      <c r="BG111" s="106">
        <f>IF(GI111="","",IF(ISNUMBER('Dvd Calendar'!$U$1108)=FALSE,"",'Dvd Calendar'!$U$1108))</f>
        <v/>
      </c>
      <c r="BH111" s="106">
        <f>IF(GJ111="","",IF(ISNUMBER('Dvd Calendar'!$V$1108)=FALSE,"",'Dvd Calendar'!$V$1108))</f>
        <v/>
      </c>
      <c r="BI111" s="106">
        <f>IF(GK111="","",IF(ISNUMBER('Dvd Calendar'!$W$1108)=FALSE,"",'Dvd Calendar'!$W$1108))</f>
        <v/>
      </c>
      <c r="BJ111" s="106">
        <f>IF(GL111="","",IF(ISNUMBER('Dvd Calendar'!$X$1108)=FALSE,"",'Dvd Calendar'!$X$1108))</f>
        <v/>
      </c>
      <c r="BK111" s="106">
        <f>IF(GM111="","",IF(ISNUMBER('Dvd Calendar'!$Y$1108)=FALSE,"",'Dvd Calendar'!$Y$1108))</f>
        <v/>
      </c>
      <c r="BL111" s="106">
        <f>IF(GN111="","",IF(ISNUMBER('Dvd Calendar'!$Z$1108)=FALSE,"",'Dvd Calendar'!$Z$1108))</f>
        <v/>
      </c>
      <c r="BM111" s="106">
        <f>IF(GO111="","",IF(ISNUMBER('Dvd Calendar'!$AA$1108)=FALSE,"",'Dvd Calendar'!$AA$1108))</f>
        <v/>
      </c>
      <c r="BN111" s="106">
        <f>IF(GP111="","",IF(ISNUMBER('Dvd Calendar'!$AB$1108)=FALSE,"",'Dvd Calendar'!$AB$1108))</f>
        <v/>
      </c>
      <c r="BO111" s="106">
        <f>IF(GQ111="","",IF(ISNUMBER('Dvd Calendar'!$AC$1108)=FALSE,"",'Dvd Calendar'!$AC$1108))</f>
        <v/>
      </c>
      <c r="BQ111" s="106">
        <f>IF(C111="","",IFERROR(C111*HSI!$B$106*HSI!$G$106/HSI!$B$3,""))</f>
        <v/>
      </c>
      <c r="BR111" s="106">
        <f>IF(D111="","",IFERROR(D111*HSI!$B$106*HSI!$G$106/HSI!$B$3,""))</f>
        <v/>
      </c>
      <c r="BS111" s="106">
        <f>IF(E111="","",IFERROR(E111*HSI!$B$106*HSI!$G$106/HSI!$B$3,""))</f>
        <v/>
      </c>
      <c r="BT111" s="106">
        <f>IF(F111="","",IFERROR(F111*HSI!$B$106*HSI!$G$106/HSI!$B$3,""))</f>
        <v/>
      </c>
      <c r="BU111" s="106">
        <f>IF(G111="","",IFERROR(G111*HSI!$B$106*HSI!$G$106/HSI!$B$3,""))</f>
        <v/>
      </c>
      <c r="BV111" s="106">
        <f>IF(H111="","",IFERROR(H111*HSI!$B$106*HSI!$G$106/HSI!$B$3,""))</f>
        <v/>
      </c>
      <c r="BW111" s="106">
        <f>IF(I111="","",IFERROR(I111*HSI!$B$106*HSI!$G$106/HSI!$B$3,""))</f>
        <v/>
      </c>
      <c r="BX111" s="106">
        <f>IF(J111="","",IFERROR(J111*HSI!$B$106*HSI!$G$106/HSI!$B$3,""))</f>
        <v/>
      </c>
      <c r="BY111" s="106">
        <f>IF(K111="","",IFERROR(K111*HSI!$B$106*HSI!$G$106/HSI!$B$3,""))</f>
        <v/>
      </c>
      <c r="BZ111" s="106">
        <f>IF(L111="","",IFERROR(L111*HSI!$B$106*HSI!$G$106/HSI!$B$3,""))</f>
        <v/>
      </c>
      <c r="CA111" s="106">
        <f>IF(M111="","",IFERROR(M111*HSI!$B$106*HSI!$G$106/HSI!$B$3,""))</f>
        <v/>
      </c>
      <c r="CB111" s="106">
        <f>IF(N111="","",IFERROR(N111*HSI!$B$106*HSI!$G$106/HSI!$B$3,""))</f>
        <v/>
      </c>
      <c r="CC111" s="106">
        <f>IF(O111="","",IFERROR(O111*HSI!$B$106*HSI!$G$106/HSI!$B$3,""))</f>
        <v/>
      </c>
      <c r="CD111" s="106">
        <f>IF(P111="","",IFERROR(P111*HSI!$B$106*HSI!$G$106/HSI!$B$3,""))</f>
        <v/>
      </c>
      <c r="CE111" s="106">
        <f>IF(Q111="","",IFERROR(Q111*HSI!$B$106*HSI!$G$106/HSI!$B$3,""))</f>
        <v/>
      </c>
      <c r="CF111" s="106">
        <f>IF(R111="","",IFERROR(R111*HSI!$B$106*HSI!$G$106/HSI!$B$3,""))</f>
        <v/>
      </c>
      <c r="CG111" s="106">
        <f>IF(S111="","",IFERROR(S111*HSI!$B$106*HSI!$G$106/HSI!$B$3,""))</f>
        <v/>
      </c>
      <c r="CH111" s="106">
        <f>IF(T111="","",IFERROR(T111*HSI!$B$106*HSI!$G$106/HSI!$B$3,""))</f>
        <v/>
      </c>
      <c r="CI111" s="106">
        <f>IF(U111="","",IFERROR(U111*HSI!$B$106*HSI!$G$106/HSI!$B$3,""))</f>
        <v/>
      </c>
      <c r="CJ111" s="106">
        <f>IF(V111="","",IFERROR(V111*HSI!$B$106*HSI!$G$106/HSI!$B$3,""))</f>
        <v/>
      </c>
      <c r="CK111" s="106">
        <f>IF(W111="","",IFERROR(W111*HSI!$B$106*HSI!$G$106/HSI!$B$3,""))</f>
        <v/>
      </c>
      <c r="CL111" s="106">
        <f>IF(X111="","",IFERROR(X111*HSI!$B$106*HSI!$G$106/HSI!$B$3,""))</f>
        <v/>
      </c>
      <c r="CM111" s="106">
        <f>IF(Y111="","",IFERROR(Y111*HSI!$B$106*HSI!$G$106/HSI!$B$3,""))</f>
        <v/>
      </c>
      <c r="CN111" s="106">
        <f>IF(Z111="","",IFERROR(Z111*HSI!$B$106*HSI!$G$106/HSI!$B$3,""))</f>
        <v/>
      </c>
      <c r="CO111" s="106">
        <f>IF(AA111="","",IFERROR(AA111*HSI!$B$106*HSI!$G$106/HSI!$B$3,""))</f>
        <v/>
      </c>
      <c r="CP111" s="106">
        <f>IF(AB111="","",IFERROR(AB111*HSI!$B$106*HSI!$G$106/HSI!$B$3,""))</f>
        <v/>
      </c>
      <c r="CQ111" s="106">
        <f>IF(AC111="","",IFERROR(AC111*HSI!$B$106*HSI!$G$106/HSI!$B$3,""))</f>
        <v/>
      </c>
      <c r="CR111" s="106">
        <f>IF(AD111="","",IFERROR(AD111*HSI!$B$106*HSI!$G$106/HSI!$B$3,""))</f>
        <v/>
      </c>
      <c r="CS111" s="106">
        <f>IF(AE111="","",IFERROR(AE111*HSI!$B$106*HSI!$G$106/HSI!$B$3,""))</f>
        <v/>
      </c>
      <c r="CT111" s="106">
        <f>IF(AF111="","",IFERROR(AF111*HSI!$B$106*HSI!$G$106/HSI!$B$3,""))</f>
        <v/>
      </c>
      <c r="CU111" s="106">
        <f>IF(AG111="","",IFERROR(AG111*HSI!$B$106*HSI!$G$106/HSI!$B$3,""))</f>
        <v/>
      </c>
      <c r="CV111" s="106">
        <f>IF(AH111="","",IFERROR(AH111*HSI!$B$106*HSI!$G$106/HSI!$B$3,""))</f>
        <v/>
      </c>
      <c r="CW111" s="106">
        <f>IF(AI111="","",IFERROR(AI111*HSI!$B$106*HSI!$G$106/HSI!$B$3,""))</f>
        <v/>
      </c>
      <c r="CX111" s="106">
        <f>IF(AJ111="","",IFERROR(AJ111*HSI!$B$106*HSI!$G$106/HSI!$B$3,""))</f>
        <v/>
      </c>
      <c r="CY111" s="106">
        <f>IF(AK111="","",IFERROR(AK111*HSI!$B$106*HSI!$G$106/HSI!$B$3,""))</f>
        <v/>
      </c>
      <c r="CZ111" s="106">
        <f>IF(AL111="","",IFERROR(AL111*HSI!$B$106*HSI!$G$106/HSI!$B$3,""))</f>
        <v/>
      </c>
      <c r="DA111" s="106">
        <f>IF(AM111="","",IFERROR(AM111*HSI!$B$106*HSI!$G$106/HSI!$B$3,""))</f>
        <v/>
      </c>
      <c r="DB111" s="106">
        <f>IF(AN111="","",IFERROR(AN111*HSI!$B$106*HSI!$G$106/HSI!$B$3,""))</f>
        <v/>
      </c>
      <c r="DC111" s="106">
        <f>IF(AO111="","",IFERROR(AO111*HSI!$B$106*HSI!$G$106/HSI!$B$3,""))</f>
        <v/>
      </c>
      <c r="DD111" s="106">
        <f>IF(AP111="","",IFERROR(AP111*HSI!$B$106*HSI!$G$106/HSI!$B$3,""))</f>
        <v/>
      </c>
      <c r="DE111" s="106">
        <f>IF(AQ111="","",IFERROR(AQ111*HSI!$B$106*HSI!$G$106/HSI!$B$3,""))</f>
        <v/>
      </c>
      <c r="DF111" s="106">
        <f>IF(AR111="","",IFERROR(AR111*HSI!$B$106*HSI!$G$106/HSI!$B$3,""))</f>
        <v/>
      </c>
      <c r="DG111" s="106">
        <f>IF(AS111="","",IFERROR(AS111*HSI!$B$106*HSI!$G$106/HSI!$B$3,""))</f>
        <v/>
      </c>
      <c r="DH111" s="106">
        <f>IF(AT111="","",IFERROR(AT111*HSI!$B$106*HSI!$G$106/HSI!$B$3,""))</f>
        <v/>
      </c>
      <c r="DI111" s="106">
        <f>IF(AU111="","",IFERROR(AU111*HSI!$B$106*HSI!$G$106/HSI!$B$3,""))</f>
        <v/>
      </c>
      <c r="DJ111" s="106">
        <f>IF(AV111="","",IFERROR(AV111*HSI!$B$106*HSI!$G$106/HSI!$B$3,""))</f>
        <v/>
      </c>
      <c r="DK111" s="106">
        <f>IF(AW111="","",IFERROR(AW111*HSI!$B$106*HSI!$G$106/HSI!$B$3,""))</f>
        <v/>
      </c>
      <c r="DL111" s="106">
        <f>IF(AX111="","",IFERROR(AX111*HSI!$B$106*HSI!$G$106/HSI!$B$3,""))</f>
        <v/>
      </c>
      <c r="DM111" s="106">
        <f>IF(AY111="","",IFERROR(AY111*HSI!$B$106*HSI!$G$106/HSI!$B$3,""))</f>
        <v/>
      </c>
      <c r="DN111" s="106">
        <f>IF(AZ111="","",IFERROR(AZ111*HSI!$B$106*HSI!$G$106/HSI!$B$3,""))</f>
        <v/>
      </c>
      <c r="DO111" s="106">
        <f>IF(BA111="","",IFERROR(BA111*HSI!$B$106*HSI!$G$106/HSI!$B$3,""))</f>
        <v/>
      </c>
      <c r="DP111" s="106">
        <f>IF(BB111="","",IFERROR(BB111*HSI!$B$106*HSI!$G$106/HSI!$B$3,""))</f>
        <v/>
      </c>
      <c r="DQ111" s="106">
        <f>IF(BC111="","",IFERROR(BC111*HSI!$B$106*HSI!$G$106/HSI!$B$3,""))</f>
        <v/>
      </c>
      <c r="DR111" s="106">
        <f>IF(BD111="","",IFERROR(BD111*HSI!$B$106*HSI!$G$106/HSI!$B$3,""))</f>
        <v/>
      </c>
      <c r="DS111" s="106">
        <f>IF(BE111="","",IFERROR(BE111*HSI!$B$106*HSI!$G$106/HSI!$B$3,""))</f>
        <v/>
      </c>
      <c r="DT111" s="106">
        <f>IF(BF111="","",IFERROR(BF111*HSI!$B$106*HSI!$G$106/HSI!$B$3,""))</f>
        <v/>
      </c>
      <c r="DU111" s="106">
        <f>IF(BG111="","",IFERROR(BG111*HSI!$B$106*HSI!$G$106/HSI!$B$3,""))</f>
        <v/>
      </c>
      <c r="DV111" s="106">
        <f>IF(BH111="","",IFERROR(BH111*HSI!$B$106*HSI!$G$106/HSI!$B$3,""))</f>
        <v/>
      </c>
      <c r="DW111" s="106">
        <f>IF(BI111="","",IFERROR(BI111*HSI!$B$106*HSI!$G$106/HSI!$B$3,""))</f>
        <v/>
      </c>
      <c r="DX111" s="106">
        <f>IF(BJ111="","",IFERROR(BJ111*HSI!$B$106*HSI!$G$106/HSI!$B$3,""))</f>
        <v/>
      </c>
      <c r="DY111" s="106">
        <f>IF(BK111="","",IFERROR(BK111*HSI!$B$106*HSI!$G$106/HSI!$B$3,""))</f>
        <v/>
      </c>
      <c r="DZ111" s="106">
        <f>IF(BL111="","",IFERROR(BL111*HSI!$B$106*HSI!$G$106/HSI!$B$3,""))</f>
        <v/>
      </c>
      <c r="EA111" s="106">
        <f>IF(BM111="","",IFERROR(BM111*HSI!$B$106*HSI!$G$106/HSI!$B$3,""))</f>
        <v/>
      </c>
      <c r="EB111" s="106">
        <f>IF(BN111="","",IFERROR(BN111*HSI!$B$106*HSI!$G$106/HSI!$B$3,""))</f>
        <v/>
      </c>
      <c r="EC111" s="106">
        <f>IF(BO111="","",IFERROR(BO111*HSI!$B$106*HSI!$G$106/HSI!$B$3,""))</f>
        <v/>
      </c>
      <c r="EE111" s="35">
        <f>IF(N('Dvd Calendar'!$E$1100)=0,"",IF(('Dvd Calendar'!$E$1100&gt;=GRID_FROM)*('Dvd Calendar'!$E$1100&lt;=GRID_TO)*('Dvd Calendar'!$E$1100&lt;=VAL_DATE)=0,"",'Dvd Calendar'!$E$1100*1000000000+ISNUMBER('Dvd Calendar'!$E$1103)*100000000+('Dvd Calendar'!$E$1105=SPECIAL_LBL)*10000000+0*1000000+100*1000+1))</f>
        <v/>
      </c>
      <c r="EF111" s="35">
        <f>IF(N('Dvd Calendar'!$F$1100)=0,"",IF(('Dvd Calendar'!$F$1100&gt;=GRID_FROM)*('Dvd Calendar'!$F$1100&lt;=GRID_TO)*('Dvd Calendar'!$F$1100&lt;=VAL_DATE)=0,"",'Dvd Calendar'!$F$1100*1000000000+ISNUMBER('Dvd Calendar'!$F$1103)*100000000+('Dvd Calendar'!$F$1105=SPECIAL_LBL)*10000000+0*1000000+100*1000+2))</f>
        <v/>
      </c>
      <c r="EG111" s="35">
        <f>IF(N('Dvd Calendar'!$G$1100)=0,"",IF(('Dvd Calendar'!$G$1100&gt;=GRID_FROM)*('Dvd Calendar'!$G$1100&lt;=GRID_TO)*('Dvd Calendar'!$G$1100&lt;=VAL_DATE)=0,"",'Dvd Calendar'!$G$1100*1000000000+ISNUMBER('Dvd Calendar'!$G$1103)*100000000+('Dvd Calendar'!$G$1105=SPECIAL_LBL)*10000000+0*1000000+100*1000+3))</f>
        <v/>
      </c>
      <c r="EH111" s="35">
        <f>IF(N('Dvd Calendar'!$H$1100)=0,"",IF(('Dvd Calendar'!$H$1100&gt;=GRID_FROM)*('Dvd Calendar'!$H$1100&lt;=GRID_TO)*('Dvd Calendar'!$H$1100&lt;=VAL_DATE)=0,"",'Dvd Calendar'!$H$1100*1000000000+ISNUMBER('Dvd Calendar'!$H$1103)*100000000+('Dvd Calendar'!$H$1105=SPECIAL_LBL)*10000000+0*1000000+100*1000+4))</f>
        <v/>
      </c>
      <c r="EI111" s="35">
        <f>IF(N('Dvd Calendar'!$I$1100)=0,"",IF(('Dvd Calendar'!$I$1100&gt;=GRID_FROM)*('Dvd Calendar'!$I$1100&lt;=GRID_TO)*('Dvd Calendar'!$I$1100&lt;=VAL_DATE)=0,"",'Dvd Calendar'!$I$1100*1000000000+ISNUMBER('Dvd Calendar'!$I$1103)*100000000+('Dvd Calendar'!$I$1105=SPECIAL_LBL)*10000000+0*1000000+100*1000+5))</f>
        <v/>
      </c>
      <c r="EJ111" s="35">
        <f>IF(N('Dvd Calendar'!$J$1100)=0,"",IF(('Dvd Calendar'!$J$1100&gt;=GRID_FROM)*('Dvd Calendar'!$J$1100&lt;=GRID_TO)*('Dvd Calendar'!$J$1100&lt;=VAL_DATE)=0,"",'Dvd Calendar'!$J$1100*1000000000+ISNUMBER('Dvd Calendar'!$J$1103)*100000000+('Dvd Calendar'!$J$1105=SPECIAL_LBL)*10000000+0*1000000+100*1000+6))</f>
        <v/>
      </c>
      <c r="EK111" s="35">
        <f>IF(N('Dvd Calendar'!$K$1100)=0,"",IF(('Dvd Calendar'!$K$1100&gt;=GRID_FROM)*('Dvd Calendar'!$K$1100&lt;=GRID_TO)*('Dvd Calendar'!$K$1100&lt;=VAL_DATE)=0,"",'Dvd Calendar'!$K$1100*1000000000+ISNUMBER('Dvd Calendar'!$K$1103)*100000000+('Dvd Calendar'!$K$1105=SPECIAL_LBL)*10000000+0*1000000+100*1000+7))</f>
        <v/>
      </c>
      <c r="EL111" s="35">
        <f>IF(N('Dvd Calendar'!$L$1100)=0,"",IF(('Dvd Calendar'!$L$1100&gt;=GRID_FROM)*('Dvd Calendar'!$L$1100&lt;=GRID_TO)*('Dvd Calendar'!$L$1100&lt;=VAL_DATE)=0,"",'Dvd Calendar'!$L$1100*1000000000+ISNUMBER('Dvd Calendar'!$L$1103)*100000000+('Dvd Calendar'!$L$1105=SPECIAL_LBL)*10000000+0*1000000+100*1000+8))</f>
        <v/>
      </c>
      <c r="EM111" s="35">
        <f>IF(N('Dvd Calendar'!$M$1100)=0,"",IF(('Dvd Calendar'!$M$1100&gt;=GRID_FROM)*('Dvd Calendar'!$M$1100&lt;=GRID_TO)*('Dvd Calendar'!$M$1100&lt;=VAL_DATE)=0,"",'Dvd Calendar'!$M$1100*1000000000+ISNUMBER('Dvd Calendar'!$M$1103)*100000000+('Dvd Calendar'!$M$1105=SPECIAL_LBL)*10000000+0*1000000+100*1000+9))</f>
        <v/>
      </c>
      <c r="EN111" s="35">
        <f>IF(N('Dvd Calendar'!$N$1100)=0,"",IF(('Dvd Calendar'!$N$1100&gt;=GRID_FROM)*('Dvd Calendar'!$N$1100&lt;=GRID_TO)*('Dvd Calendar'!$N$1100&lt;=VAL_DATE)=0,"",'Dvd Calendar'!$N$1100*1000000000+ISNUMBER('Dvd Calendar'!$N$1103)*100000000+('Dvd Calendar'!$N$1105=SPECIAL_LBL)*10000000+0*1000000+100*1000+10))</f>
        <v/>
      </c>
      <c r="EO111" s="35">
        <f>IF(N('Dvd Calendar'!$O$1100)=0,"",IF(('Dvd Calendar'!$O$1100&gt;=GRID_FROM)*('Dvd Calendar'!$O$1100&lt;=GRID_TO)*('Dvd Calendar'!$O$1100&lt;=VAL_DATE)=0,"",'Dvd Calendar'!$O$1100*1000000000+ISNUMBER('Dvd Calendar'!$O$1103)*100000000+('Dvd Calendar'!$O$1105=SPECIAL_LBL)*10000000+0*1000000+100*1000+11))</f>
        <v/>
      </c>
      <c r="EP111" s="35">
        <f>IF(N('Dvd Calendar'!$P$1100)=0,"",IF(('Dvd Calendar'!$P$1100&gt;=GRID_FROM)*('Dvd Calendar'!$P$1100&lt;=GRID_TO)*('Dvd Calendar'!$P$1100&lt;=VAL_DATE)=0,"",'Dvd Calendar'!$P$1100*1000000000+ISNUMBER('Dvd Calendar'!$P$1103)*100000000+('Dvd Calendar'!$P$1105=SPECIAL_LBL)*10000000+0*1000000+100*1000+12))</f>
        <v/>
      </c>
      <c r="EQ111" s="35">
        <f>IF(N('Dvd Calendar'!$Q$1100)=0,"",IF(('Dvd Calendar'!$Q$1100&gt;=GRID_FROM)*('Dvd Calendar'!$Q$1100&lt;=GRID_TO)*('Dvd Calendar'!$Q$1100&lt;=VAL_DATE)=0,"",'Dvd Calendar'!$Q$1100*1000000000+ISNUMBER('Dvd Calendar'!$Q$1103)*100000000+('Dvd Calendar'!$Q$1105=SPECIAL_LBL)*10000000+0*1000000+100*1000+13))</f>
        <v/>
      </c>
      <c r="ER111" s="35">
        <f>IF(N('Dvd Calendar'!$R$1100)=0,"",IF(('Dvd Calendar'!$R$1100&gt;=GRID_FROM)*('Dvd Calendar'!$R$1100&lt;=GRID_TO)*('Dvd Calendar'!$R$1100&lt;=VAL_DATE)=0,"",'Dvd Calendar'!$R$1100*1000000000+ISNUMBER('Dvd Calendar'!$R$1103)*100000000+('Dvd Calendar'!$R$1105=SPECIAL_LBL)*10000000+0*1000000+100*1000+14))</f>
        <v/>
      </c>
      <c r="ES111" s="35">
        <f>IF(N('Dvd Calendar'!$S$1100)=0,"",IF(('Dvd Calendar'!$S$1100&gt;=GRID_FROM)*('Dvd Calendar'!$S$1100&lt;=GRID_TO)*('Dvd Calendar'!$S$1100&lt;=VAL_DATE)=0,"",'Dvd Calendar'!$S$1100*1000000000+ISNUMBER('Dvd Calendar'!$S$1103)*100000000+('Dvd Calendar'!$S$1105=SPECIAL_LBL)*10000000+0*1000000+100*1000+15))</f>
        <v/>
      </c>
      <c r="ET111" s="35">
        <f>IF(N('Dvd Calendar'!$T$1100)=0,"",IF(('Dvd Calendar'!$T$1100&gt;=GRID_FROM)*('Dvd Calendar'!$T$1100&lt;=GRID_TO)*('Dvd Calendar'!$T$1100&lt;=VAL_DATE)=0,"",'Dvd Calendar'!$T$1100*1000000000+ISNUMBER('Dvd Calendar'!$T$1103)*100000000+('Dvd Calendar'!$T$1105=SPECIAL_LBL)*10000000+0*1000000+100*1000+16))</f>
        <v/>
      </c>
      <c r="EU111" s="35">
        <f>IF(N('Dvd Calendar'!$U$1100)=0,"",IF(('Dvd Calendar'!$U$1100&gt;=GRID_FROM)*('Dvd Calendar'!$U$1100&lt;=GRID_TO)*('Dvd Calendar'!$U$1100&lt;=VAL_DATE)=0,"",'Dvd Calendar'!$U$1100*1000000000+ISNUMBER('Dvd Calendar'!$U$1103)*100000000+('Dvd Calendar'!$U$1105=SPECIAL_LBL)*10000000+0*1000000+100*1000+17))</f>
        <v/>
      </c>
      <c r="EV111" s="35">
        <f>IF(N('Dvd Calendar'!$V$1100)=0,"",IF(('Dvd Calendar'!$V$1100&gt;=GRID_FROM)*('Dvd Calendar'!$V$1100&lt;=GRID_TO)*('Dvd Calendar'!$V$1100&lt;=VAL_DATE)=0,"",'Dvd Calendar'!$V$1100*1000000000+ISNUMBER('Dvd Calendar'!$V$1103)*100000000+('Dvd Calendar'!$V$1105=SPECIAL_LBL)*10000000+0*1000000+100*1000+18))</f>
        <v/>
      </c>
      <c r="EW111" s="35">
        <f>IF(N('Dvd Calendar'!$W$1100)=0,"",IF(('Dvd Calendar'!$W$1100&gt;=GRID_FROM)*('Dvd Calendar'!$W$1100&lt;=GRID_TO)*('Dvd Calendar'!$W$1100&lt;=VAL_DATE)=0,"",'Dvd Calendar'!$W$1100*1000000000+ISNUMBER('Dvd Calendar'!$W$1103)*100000000+('Dvd Calendar'!$W$1105=SPECIAL_LBL)*10000000+0*1000000+100*1000+19))</f>
        <v/>
      </c>
      <c r="EX111" s="35">
        <f>IF(N('Dvd Calendar'!$X$1100)=0,"",IF(('Dvd Calendar'!$X$1100&gt;=GRID_FROM)*('Dvd Calendar'!$X$1100&lt;=GRID_TO)*('Dvd Calendar'!$X$1100&lt;=VAL_DATE)=0,"",'Dvd Calendar'!$X$1100*1000000000+ISNUMBER('Dvd Calendar'!$X$1103)*100000000+('Dvd Calendar'!$X$1105=SPECIAL_LBL)*10000000+0*1000000+100*1000+20))</f>
        <v/>
      </c>
      <c r="EY111" s="35">
        <f>IF(N('Dvd Calendar'!$Y$1100)=0,"",IF(('Dvd Calendar'!$Y$1100&gt;=GRID_FROM)*('Dvd Calendar'!$Y$1100&lt;=GRID_TO)*('Dvd Calendar'!$Y$1100&lt;=VAL_DATE)=0,"",'Dvd Calendar'!$Y$1100*1000000000+ISNUMBER('Dvd Calendar'!$Y$1103)*100000000+('Dvd Calendar'!$Y$1105=SPECIAL_LBL)*10000000+0*1000000+100*1000+21))</f>
        <v/>
      </c>
      <c r="EZ111" s="35">
        <f>IF(N('Dvd Calendar'!$Z$1100)=0,"",IF(('Dvd Calendar'!$Z$1100&gt;=GRID_FROM)*('Dvd Calendar'!$Z$1100&lt;=GRID_TO)*('Dvd Calendar'!$Z$1100&lt;=VAL_DATE)=0,"",'Dvd Calendar'!$Z$1100*1000000000+ISNUMBER('Dvd Calendar'!$Z$1103)*100000000+('Dvd Calendar'!$Z$1105=SPECIAL_LBL)*10000000+0*1000000+100*1000+22))</f>
        <v/>
      </c>
      <c r="FA111" s="35">
        <f>IF(N('Dvd Calendar'!$AA$1100)=0,"",IF(('Dvd Calendar'!$AA$1100&gt;=GRID_FROM)*('Dvd Calendar'!$AA$1100&lt;=GRID_TO)*('Dvd Calendar'!$AA$1100&lt;=VAL_DATE)=0,"",'Dvd Calendar'!$AA$1100*1000000000+ISNUMBER('Dvd Calendar'!$AA$1103)*100000000+('Dvd Calendar'!$AA$1105=SPECIAL_LBL)*10000000+0*1000000+100*1000+23))</f>
        <v/>
      </c>
      <c r="FB111" s="35">
        <f>IF(N('Dvd Calendar'!$AB$1100)=0,"",IF(('Dvd Calendar'!$AB$1100&gt;=GRID_FROM)*('Dvd Calendar'!$AB$1100&lt;=GRID_TO)*('Dvd Calendar'!$AB$1100&lt;=VAL_DATE)=0,"",'Dvd Calendar'!$AB$1100*1000000000+ISNUMBER('Dvd Calendar'!$AB$1103)*100000000+('Dvd Calendar'!$AB$1105=SPECIAL_LBL)*10000000+0*1000000+100*1000+24))</f>
        <v/>
      </c>
      <c r="FC111" s="35">
        <f>IF(N('Dvd Calendar'!$AC$1100)=0,"",IF(('Dvd Calendar'!$AC$1100&gt;=GRID_FROM)*('Dvd Calendar'!$AC$1100&lt;=GRID_TO)*('Dvd Calendar'!$AC$1100&lt;=VAL_DATE)=0,"",'Dvd Calendar'!$AC$1100*1000000000+ISNUMBER('Dvd Calendar'!$AC$1103)*100000000+('Dvd Calendar'!$AC$1105=SPECIAL_LBL)*10000000+0*1000000+100*1000+25))</f>
        <v/>
      </c>
      <c r="FD111" s="35">
        <f>IF(N('Dvd Calendar'!$AD$1100)=0,"",IF(('Dvd Calendar'!$AD$1100&gt;=GRID_FROM)*('Dvd Calendar'!$AD$1100&lt;=GRID_TO)*('Dvd Calendar'!$AD$1100&lt;=VAL_DATE)=0,"",'Dvd Calendar'!$AD$1100*1000000000+ISNUMBER('Dvd Calendar'!$AD$1103)*100000000+('Dvd Calendar'!$AD$1105=SPECIAL_LBL)*10000000+0*1000000+100*1000+26))</f>
        <v/>
      </c>
      <c r="FE111" s="35">
        <f>IF(N('Dvd Calendar'!$AE$1100)=0,"",IF(('Dvd Calendar'!$AE$1100&gt;=GRID_FROM)*('Dvd Calendar'!$AE$1100&lt;=GRID_TO)*('Dvd Calendar'!$AE$1100&lt;=VAL_DATE)=0,"",'Dvd Calendar'!$AE$1100*1000000000+ISNUMBER('Dvd Calendar'!$AE$1103)*100000000+('Dvd Calendar'!$AE$1105=SPECIAL_LBL)*10000000+0*1000000+100*1000+27))</f>
        <v/>
      </c>
      <c r="FF111" s="35">
        <f>IF(N('Dvd Calendar'!$AF$1100)=0,"",IF(('Dvd Calendar'!$AF$1100&gt;=GRID_FROM)*('Dvd Calendar'!$AF$1100&lt;=GRID_TO)*('Dvd Calendar'!$AF$1100&lt;=VAL_DATE)=0,"",'Dvd Calendar'!$AF$1100*1000000000+ISNUMBER('Dvd Calendar'!$AF$1103)*100000000+('Dvd Calendar'!$AF$1105=SPECIAL_LBL)*10000000+0*1000000+100*1000+28))</f>
        <v/>
      </c>
      <c r="FG111" s="35">
        <f>IF(N('Dvd Calendar'!$AG$1100)=0,"",IF(('Dvd Calendar'!$AG$1100&gt;=GRID_FROM)*('Dvd Calendar'!$AG$1100&lt;=GRID_TO)*('Dvd Calendar'!$AG$1100&lt;=VAL_DATE)=0,"",'Dvd Calendar'!$AG$1100*1000000000+ISNUMBER('Dvd Calendar'!$AG$1103)*100000000+('Dvd Calendar'!$AG$1105=SPECIAL_LBL)*10000000+0*1000000+100*1000+29))</f>
        <v/>
      </c>
      <c r="FH111" s="35">
        <f>IF(N('Dvd Calendar'!$AH$1100)=0,"",IF(('Dvd Calendar'!$AH$1100&gt;=GRID_FROM)*('Dvd Calendar'!$AH$1100&lt;=GRID_TO)*('Dvd Calendar'!$AH$1100&lt;=VAL_DATE)=0,"",'Dvd Calendar'!$AH$1100*1000000000+ISNUMBER('Dvd Calendar'!$AH$1103)*100000000+('Dvd Calendar'!$AH$1105=SPECIAL_LBL)*10000000+0*1000000+100*1000+30))</f>
        <v/>
      </c>
      <c r="FI111" s="35">
        <f>IF(N('Dvd Calendar'!$AI$1100)=0,"",IF(('Dvd Calendar'!$AI$1100&gt;=GRID_FROM)*('Dvd Calendar'!$AI$1100&lt;=GRID_TO)*('Dvd Calendar'!$AI$1100&lt;=VAL_DATE)=0,"",'Dvd Calendar'!$AI$1100*1000000000+ISNUMBER('Dvd Calendar'!$AI$1103)*100000000+('Dvd Calendar'!$AI$1105=SPECIAL_LBL)*10000000+0*1000000+100*1000+31))</f>
        <v/>
      </c>
      <c r="FJ111" s="35">
        <f>IF(N('Dvd Calendar'!$AJ$1100)=0,"",IF(('Dvd Calendar'!$AJ$1100&gt;=GRID_FROM)*('Dvd Calendar'!$AJ$1100&lt;=GRID_TO)*('Dvd Calendar'!$AJ$1100&lt;=VAL_DATE)=0,"",'Dvd Calendar'!$AJ$1100*1000000000+ISNUMBER('Dvd Calendar'!$AJ$1103)*100000000+('Dvd Calendar'!$AJ$1105=SPECIAL_LBL)*10000000+0*1000000+100*1000+32))</f>
        <v/>
      </c>
      <c r="FK111" s="35">
        <f>IF(N('Dvd Calendar'!$AK$1100)=0,"",IF(('Dvd Calendar'!$AK$1100&gt;=GRID_FROM)*('Dvd Calendar'!$AK$1100&lt;=GRID_TO)*('Dvd Calendar'!$AK$1100&lt;=VAL_DATE)=0,"",'Dvd Calendar'!$AK$1100*1000000000+ISNUMBER('Dvd Calendar'!$AK$1103)*100000000+('Dvd Calendar'!$AK$1105=SPECIAL_LBL)*10000000+0*1000000+100*1000+33))</f>
        <v/>
      </c>
      <c r="FL111" s="35">
        <f>IF(N('Dvd Calendar'!$AL$1100)=0,"",IF(('Dvd Calendar'!$AL$1100&gt;=GRID_FROM)*('Dvd Calendar'!$AL$1100&lt;=GRID_TO)*('Dvd Calendar'!$AL$1100&lt;=VAL_DATE)=0,"",'Dvd Calendar'!$AL$1100*1000000000+ISNUMBER('Dvd Calendar'!$AL$1103)*100000000+('Dvd Calendar'!$AL$1105=SPECIAL_LBL)*10000000+0*1000000+100*1000+34))</f>
        <v/>
      </c>
      <c r="FM111" s="35">
        <f>IF(N('Dvd Calendar'!$AM$1100)=0,"",IF(('Dvd Calendar'!$AM$1100&gt;=GRID_FROM)*('Dvd Calendar'!$AM$1100&lt;=GRID_TO)*('Dvd Calendar'!$AM$1100&lt;=VAL_DATE)=0,"",'Dvd Calendar'!$AM$1100*1000000000+ISNUMBER('Dvd Calendar'!$AM$1103)*100000000+('Dvd Calendar'!$AM$1105=SPECIAL_LBL)*10000000+0*1000000+100*1000+35))</f>
        <v/>
      </c>
      <c r="FN111" s="35">
        <f>IF(N('Dvd Calendar'!$AN$1100)=0,"",IF(('Dvd Calendar'!$AN$1100&gt;=GRID_FROM)*('Dvd Calendar'!$AN$1100&lt;=GRID_TO)*('Dvd Calendar'!$AN$1100&lt;=VAL_DATE)=0,"",'Dvd Calendar'!$AN$1100*1000000000+ISNUMBER('Dvd Calendar'!$AN$1103)*100000000+('Dvd Calendar'!$AN$1105=SPECIAL_LBL)*10000000+0*1000000+100*1000+36))</f>
        <v/>
      </c>
      <c r="FO111" s="35">
        <f>IF(N('Dvd Calendar'!$AO$1100)=0,"",IF(('Dvd Calendar'!$AO$1100&gt;=GRID_FROM)*('Dvd Calendar'!$AO$1100&lt;=GRID_TO)*('Dvd Calendar'!$AO$1100&lt;=VAL_DATE)=0,"",'Dvd Calendar'!$AO$1100*1000000000+ISNUMBER('Dvd Calendar'!$AO$1103)*100000000+('Dvd Calendar'!$AO$1105=SPECIAL_LBL)*10000000+0*1000000+100*1000+37))</f>
        <v/>
      </c>
      <c r="FP111" s="35">
        <f>IF(N('Dvd Calendar'!$AP$1100)=0,"",IF(('Dvd Calendar'!$AP$1100&gt;=GRID_FROM)*('Dvd Calendar'!$AP$1100&lt;=GRID_TO)*('Dvd Calendar'!$AP$1100&lt;=VAL_DATE)=0,"",'Dvd Calendar'!$AP$1100*1000000000+ISNUMBER('Dvd Calendar'!$AP$1103)*100000000+('Dvd Calendar'!$AP$1105=SPECIAL_LBL)*10000000+0*1000000+100*1000+38))</f>
        <v/>
      </c>
      <c r="FQ111" s="35">
        <f>IF(N('Dvd Calendar'!$AQ$1100)=0,"",IF(('Dvd Calendar'!$AQ$1100&gt;=GRID_FROM)*('Dvd Calendar'!$AQ$1100&lt;=GRID_TO)*('Dvd Calendar'!$AQ$1100&lt;=VAL_DATE)=0,"",'Dvd Calendar'!$AQ$1100*1000000000+ISNUMBER('Dvd Calendar'!$AQ$1103)*100000000+('Dvd Calendar'!$AQ$1105=SPECIAL_LBL)*10000000+0*1000000+100*1000+39))</f>
        <v/>
      </c>
      <c r="FR111" s="35">
        <f>IF(N('Dvd Calendar'!$AR$1100)=0,"",IF(('Dvd Calendar'!$AR$1100&gt;=GRID_FROM)*('Dvd Calendar'!$AR$1100&lt;=GRID_TO)*('Dvd Calendar'!$AR$1100&lt;=VAL_DATE)=0,"",'Dvd Calendar'!$AR$1100*1000000000+ISNUMBER('Dvd Calendar'!$AR$1103)*100000000+('Dvd Calendar'!$AR$1105=SPECIAL_LBL)*10000000+0*1000000+100*1000+40))</f>
        <v/>
      </c>
      <c r="FS111" s="35">
        <f>IF(N('Dvd Calendar'!$E$1107)=0,"",IF(('Dvd Calendar'!$E$1107&gt;=GRID_FROM)*('Dvd Calendar'!$E$1107&lt;=GRID_TO)*('Dvd Calendar'!$E$1107&gt;VAL_DATE)=0,"",'Dvd Calendar'!$E$1107*1000000000+ISNUMBER('Dvd Calendar'!$E$1108)*100000000+0*10000000+(N('Dvd Calendar'!$E$1106)&gt;0)*(N('Dvd Calendar'!$E$1106)&lt;=VAL_SERIAL)*1000000+100*1000+41))</f>
        <v/>
      </c>
      <c r="FT111" s="35">
        <f>IF(N('Dvd Calendar'!$F$1107)=0,"",IF(('Dvd Calendar'!$F$1107&gt;=GRID_FROM)*('Dvd Calendar'!$F$1107&lt;=GRID_TO)*('Dvd Calendar'!$F$1107&gt;VAL_DATE)=0,"",'Dvd Calendar'!$F$1107*1000000000+ISNUMBER('Dvd Calendar'!$F$1108)*100000000+0*10000000+(N('Dvd Calendar'!$F$1106)&gt;0)*(N('Dvd Calendar'!$F$1106)&lt;=VAL_SERIAL)*1000000+100*1000+42))</f>
        <v/>
      </c>
      <c r="FU111" s="35">
        <f>IF(N('Dvd Calendar'!$G$1107)=0,"",IF(('Dvd Calendar'!$G$1107&gt;=GRID_FROM)*('Dvd Calendar'!$G$1107&lt;=GRID_TO)*('Dvd Calendar'!$G$1107&gt;VAL_DATE)=0,"",'Dvd Calendar'!$G$1107*1000000000+ISNUMBER('Dvd Calendar'!$G$1108)*100000000+0*10000000+(N('Dvd Calendar'!$G$1106)&gt;0)*(N('Dvd Calendar'!$G$1106)&lt;=VAL_SERIAL)*1000000+100*1000+43))</f>
        <v/>
      </c>
      <c r="FV111" s="35">
        <f>IF(N('Dvd Calendar'!$H$1107)=0,"",IF(('Dvd Calendar'!$H$1107&gt;=GRID_FROM)*('Dvd Calendar'!$H$1107&lt;=GRID_TO)*('Dvd Calendar'!$H$1107&gt;VAL_DATE)=0,"",'Dvd Calendar'!$H$1107*1000000000+ISNUMBER('Dvd Calendar'!$H$1108)*100000000+0*10000000+(N('Dvd Calendar'!$H$1106)&gt;0)*(N('Dvd Calendar'!$H$1106)&lt;=VAL_SERIAL)*1000000+100*1000+44))</f>
        <v/>
      </c>
      <c r="FW111" s="35">
        <f>IF(N('Dvd Calendar'!$I$1107)=0,"",IF(('Dvd Calendar'!$I$1107&gt;=GRID_FROM)*('Dvd Calendar'!$I$1107&lt;=GRID_TO)*('Dvd Calendar'!$I$1107&gt;VAL_DATE)=0,"",'Dvd Calendar'!$I$1107*1000000000+ISNUMBER('Dvd Calendar'!$I$1108)*100000000+0*10000000+(N('Dvd Calendar'!$I$1106)&gt;0)*(N('Dvd Calendar'!$I$1106)&lt;=VAL_SERIAL)*1000000+100*1000+45))</f>
        <v/>
      </c>
      <c r="FX111" s="35">
        <f>IF(N('Dvd Calendar'!$J$1107)=0,"",IF(('Dvd Calendar'!$J$1107&gt;=GRID_FROM)*('Dvd Calendar'!$J$1107&lt;=GRID_TO)*('Dvd Calendar'!$J$1107&gt;VAL_DATE)=0,"",'Dvd Calendar'!$J$1107*1000000000+ISNUMBER('Dvd Calendar'!$J$1108)*100000000+0*10000000+(N('Dvd Calendar'!$J$1106)&gt;0)*(N('Dvd Calendar'!$J$1106)&lt;=VAL_SERIAL)*1000000+100*1000+46))</f>
        <v/>
      </c>
      <c r="FY111" s="35">
        <f>IF(N('Dvd Calendar'!$K$1107)=0,"",IF(('Dvd Calendar'!$K$1107&gt;=GRID_FROM)*('Dvd Calendar'!$K$1107&lt;=GRID_TO)*('Dvd Calendar'!$K$1107&gt;VAL_DATE)=0,"",'Dvd Calendar'!$K$1107*1000000000+ISNUMBER('Dvd Calendar'!$K$1108)*100000000+0*10000000+(N('Dvd Calendar'!$K$1106)&gt;0)*(N('Dvd Calendar'!$K$1106)&lt;=VAL_SERIAL)*1000000+100*1000+47))</f>
        <v/>
      </c>
      <c r="FZ111" s="35">
        <f>IF(N('Dvd Calendar'!$L$1107)=0,"",IF(('Dvd Calendar'!$L$1107&gt;=GRID_FROM)*('Dvd Calendar'!$L$1107&lt;=GRID_TO)*('Dvd Calendar'!$L$1107&gt;VAL_DATE)=0,"",'Dvd Calendar'!$L$1107*1000000000+ISNUMBER('Dvd Calendar'!$L$1108)*100000000+0*10000000+(N('Dvd Calendar'!$L$1106)&gt;0)*(N('Dvd Calendar'!$L$1106)&lt;=VAL_SERIAL)*1000000+100*1000+48))</f>
        <v/>
      </c>
      <c r="GA111" s="35">
        <f>IF(N('Dvd Calendar'!$M$1107)=0,"",IF(('Dvd Calendar'!$M$1107&gt;=GRID_FROM)*('Dvd Calendar'!$M$1107&lt;=GRID_TO)*('Dvd Calendar'!$M$1107&gt;VAL_DATE)=0,"",'Dvd Calendar'!$M$1107*1000000000+ISNUMBER('Dvd Calendar'!$M$1108)*100000000+0*10000000+(N('Dvd Calendar'!$M$1106)&gt;0)*(N('Dvd Calendar'!$M$1106)&lt;=VAL_SERIAL)*1000000+100*1000+49))</f>
        <v/>
      </c>
      <c r="GB111" s="35">
        <f>IF(N('Dvd Calendar'!$N$1107)=0,"",IF(('Dvd Calendar'!$N$1107&gt;=GRID_FROM)*('Dvd Calendar'!$N$1107&lt;=GRID_TO)*('Dvd Calendar'!$N$1107&gt;VAL_DATE)=0,"",'Dvd Calendar'!$N$1107*1000000000+ISNUMBER('Dvd Calendar'!$N$1108)*100000000+0*10000000+(N('Dvd Calendar'!$N$1106)&gt;0)*(N('Dvd Calendar'!$N$1106)&lt;=VAL_SERIAL)*1000000+100*1000+50))</f>
        <v/>
      </c>
      <c r="GC111" s="35">
        <f>IF(N('Dvd Calendar'!$O$1107)=0,"",IF(('Dvd Calendar'!$O$1107&gt;=GRID_FROM)*('Dvd Calendar'!$O$1107&lt;=GRID_TO)*('Dvd Calendar'!$O$1107&gt;VAL_DATE)=0,"",'Dvd Calendar'!$O$1107*1000000000+ISNUMBER('Dvd Calendar'!$O$1108)*100000000+0*10000000+(N('Dvd Calendar'!$O$1106)&gt;0)*(N('Dvd Calendar'!$O$1106)&lt;=VAL_SERIAL)*1000000+100*1000+51))</f>
        <v/>
      </c>
      <c r="GD111" s="35">
        <f>IF(N('Dvd Calendar'!$P$1107)=0,"",IF(('Dvd Calendar'!$P$1107&gt;=GRID_FROM)*('Dvd Calendar'!$P$1107&lt;=GRID_TO)*('Dvd Calendar'!$P$1107&gt;VAL_DATE)=0,"",'Dvd Calendar'!$P$1107*1000000000+ISNUMBER('Dvd Calendar'!$P$1108)*100000000+0*10000000+(N('Dvd Calendar'!$P$1106)&gt;0)*(N('Dvd Calendar'!$P$1106)&lt;=VAL_SERIAL)*1000000+100*1000+52))</f>
        <v/>
      </c>
      <c r="GE111" s="35">
        <f>IF(N('Dvd Calendar'!$Q$1107)=0,"",IF(('Dvd Calendar'!$Q$1107&gt;=GRID_FROM)*('Dvd Calendar'!$Q$1107&lt;=GRID_TO)*('Dvd Calendar'!$Q$1107&gt;VAL_DATE)=0,"",'Dvd Calendar'!$Q$1107*1000000000+ISNUMBER('Dvd Calendar'!$Q$1108)*100000000+0*10000000+(N('Dvd Calendar'!$Q$1106)&gt;0)*(N('Dvd Calendar'!$Q$1106)&lt;=VAL_SERIAL)*1000000+100*1000+53))</f>
        <v/>
      </c>
      <c r="GF111" s="35">
        <f>IF(N('Dvd Calendar'!$R$1107)=0,"",IF(('Dvd Calendar'!$R$1107&gt;=GRID_FROM)*('Dvd Calendar'!$R$1107&lt;=GRID_TO)*('Dvd Calendar'!$R$1107&gt;VAL_DATE)=0,"",'Dvd Calendar'!$R$1107*1000000000+ISNUMBER('Dvd Calendar'!$R$1108)*100000000+0*10000000+(N('Dvd Calendar'!$R$1106)&gt;0)*(N('Dvd Calendar'!$R$1106)&lt;=VAL_SERIAL)*1000000+100*1000+54))</f>
        <v/>
      </c>
      <c r="GG111" s="35">
        <f>IF(N('Dvd Calendar'!$S$1107)=0,"",IF(('Dvd Calendar'!$S$1107&gt;=GRID_FROM)*('Dvd Calendar'!$S$1107&lt;=GRID_TO)*('Dvd Calendar'!$S$1107&gt;VAL_DATE)=0,"",'Dvd Calendar'!$S$1107*1000000000+ISNUMBER('Dvd Calendar'!$S$1108)*100000000+0*10000000+(N('Dvd Calendar'!$S$1106)&gt;0)*(N('Dvd Calendar'!$S$1106)&lt;=VAL_SERIAL)*1000000+100*1000+55))</f>
        <v/>
      </c>
      <c r="GH111" s="35">
        <f>IF(N('Dvd Calendar'!$T$1107)=0,"",IF(('Dvd Calendar'!$T$1107&gt;=GRID_FROM)*('Dvd Calendar'!$T$1107&lt;=GRID_TO)*('Dvd Calendar'!$T$1107&gt;VAL_DATE)=0,"",'Dvd Calendar'!$T$1107*1000000000+ISNUMBER('Dvd Calendar'!$T$1108)*100000000+0*10000000+(N('Dvd Calendar'!$T$1106)&gt;0)*(N('Dvd Calendar'!$T$1106)&lt;=VAL_SERIAL)*1000000+100*1000+56))</f>
        <v/>
      </c>
      <c r="GI111" s="35">
        <f>IF(N('Dvd Calendar'!$U$1107)=0,"",IF(('Dvd Calendar'!$U$1107&gt;=GRID_FROM)*('Dvd Calendar'!$U$1107&lt;=GRID_TO)*('Dvd Calendar'!$U$1107&gt;VAL_DATE)=0,"",'Dvd Calendar'!$U$1107*1000000000+ISNUMBER('Dvd Calendar'!$U$1108)*100000000+0*10000000+(N('Dvd Calendar'!$U$1106)&gt;0)*(N('Dvd Calendar'!$U$1106)&lt;=VAL_SERIAL)*1000000+100*1000+57))</f>
        <v/>
      </c>
      <c r="GJ111" s="35">
        <f>IF(N('Dvd Calendar'!$V$1107)=0,"",IF(('Dvd Calendar'!$V$1107&gt;=GRID_FROM)*('Dvd Calendar'!$V$1107&lt;=GRID_TO)*('Dvd Calendar'!$V$1107&gt;VAL_DATE)=0,"",'Dvd Calendar'!$V$1107*1000000000+ISNUMBER('Dvd Calendar'!$V$1108)*100000000+0*10000000+(N('Dvd Calendar'!$V$1106)&gt;0)*(N('Dvd Calendar'!$V$1106)&lt;=VAL_SERIAL)*1000000+100*1000+58))</f>
        <v/>
      </c>
      <c r="GK111" s="35">
        <f>IF(N('Dvd Calendar'!$W$1107)=0,"",IF(('Dvd Calendar'!$W$1107&gt;=GRID_FROM)*('Dvd Calendar'!$W$1107&lt;=GRID_TO)*('Dvd Calendar'!$W$1107&gt;VAL_DATE)=0,"",'Dvd Calendar'!$W$1107*1000000000+ISNUMBER('Dvd Calendar'!$W$1108)*100000000+0*10000000+(N('Dvd Calendar'!$W$1106)&gt;0)*(N('Dvd Calendar'!$W$1106)&lt;=VAL_SERIAL)*1000000+100*1000+59))</f>
        <v/>
      </c>
      <c r="GL111" s="35">
        <f>IF(N('Dvd Calendar'!$X$1107)=0,"",IF(('Dvd Calendar'!$X$1107&gt;=GRID_FROM)*('Dvd Calendar'!$X$1107&lt;=GRID_TO)*('Dvd Calendar'!$X$1107&gt;VAL_DATE)=0,"",'Dvd Calendar'!$X$1107*1000000000+ISNUMBER('Dvd Calendar'!$X$1108)*100000000+0*10000000+(N('Dvd Calendar'!$X$1106)&gt;0)*(N('Dvd Calendar'!$X$1106)&lt;=VAL_SERIAL)*1000000+100*1000+60))</f>
        <v/>
      </c>
      <c r="GM111" s="35">
        <f>IF(N('Dvd Calendar'!$Y$1107)=0,"",IF(('Dvd Calendar'!$Y$1107&gt;=GRID_FROM)*('Dvd Calendar'!$Y$1107&lt;=GRID_TO)*('Dvd Calendar'!$Y$1107&gt;VAL_DATE)=0,"",'Dvd Calendar'!$Y$1107*1000000000+ISNUMBER('Dvd Calendar'!$Y$1108)*100000000+0*10000000+(N('Dvd Calendar'!$Y$1106)&gt;0)*(N('Dvd Calendar'!$Y$1106)&lt;=VAL_SERIAL)*1000000+100*1000+61))</f>
        <v/>
      </c>
      <c r="GN111" s="35">
        <f>IF(N('Dvd Calendar'!$Z$1107)=0,"",IF(('Dvd Calendar'!$Z$1107&gt;=GRID_FROM)*('Dvd Calendar'!$Z$1107&lt;=GRID_TO)*('Dvd Calendar'!$Z$1107&gt;VAL_DATE)=0,"",'Dvd Calendar'!$Z$1107*1000000000+ISNUMBER('Dvd Calendar'!$Z$1108)*100000000+0*10000000+(N('Dvd Calendar'!$Z$1106)&gt;0)*(N('Dvd Calendar'!$Z$1106)&lt;=VAL_SERIAL)*1000000+100*1000+62))</f>
        <v/>
      </c>
      <c r="GO111" s="35">
        <f>IF(N('Dvd Calendar'!$AA$1107)=0,"",IF(('Dvd Calendar'!$AA$1107&gt;=GRID_FROM)*('Dvd Calendar'!$AA$1107&lt;=GRID_TO)*('Dvd Calendar'!$AA$1107&gt;VAL_DATE)=0,"",'Dvd Calendar'!$AA$1107*1000000000+ISNUMBER('Dvd Calendar'!$AA$1108)*100000000+0*10000000+(N('Dvd Calendar'!$AA$1106)&gt;0)*(N('Dvd Calendar'!$AA$1106)&lt;=VAL_SERIAL)*1000000+100*1000+63))</f>
        <v/>
      </c>
      <c r="GP111" s="35">
        <f>IF(N('Dvd Calendar'!$AB$1107)=0,"",IF(('Dvd Calendar'!$AB$1107&gt;=GRID_FROM)*('Dvd Calendar'!$AB$1107&lt;=GRID_TO)*('Dvd Calendar'!$AB$1107&gt;VAL_DATE)=0,"",'Dvd Calendar'!$AB$1107*1000000000+ISNUMBER('Dvd Calendar'!$AB$1108)*100000000+0*10000000+(N('Dvd Calendar'!$AB$1106)&gt;0)*(N('Dvd Calendar'!$AB$1106)&lt;=VAL_SERIAL)*1000000+100*1000+64))</f>
        <v/>
      </c>
      <c r="GQ111" s="35">
        <f>IF(N('Dvd Calendar'!$AC$1107)=0,"",IF(('Dvd Calendar'!$AC$1107&gt;=GRID_FROM)*('Dvd Calendar'!$AC$1107&lt;=GRID_TO)*('Dvd Calendar'!$AC$1107&gt;VAL_DATE)=0,"",'Dvd Calendar'!$AC$1107*1000000000+ISNUMBER('Dvd Calendar'!$AC$1108)*100000000+0*10000000+(N('Dvd Calendar'!$AC$1106)&gt;0)*(N('Dvd Calendar'!$AC$1106)&lt;=VAL_SERIAL)*1000000+100*1000+65))</f>
        <v/>
      </c>
    </row>
    <row r="114">
      <c r="B114" s="3" t="inlineStr">
        <is>
          <t>Hang Seng TECH Index (HSTECH)  -  DPS per event  (slots 1-40 history, 41-65 projections)</t>
        </is>
      </c>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s="4" t="n"/>
      <c r="AM114" s="4" t="n"/>
      <c r="AN114" s="4" t="n"/>
      <c r="AO114" s="4" t="n"/>
      <c r="AP114" s="4" t="n"/>
      <c r="AQ114" s="4" t="n"/>
      <c r="AR114" s="4" t="n"/>
      <c r="AS114" s="4" t="n"/>
      <c r="AT114" s="4" t="n"/>
      <c r="AU114" s="4" t="n"/>
      <c r="AV114" s="4" t="n"/>
      <c r="AW114" s="4" t="n"/>
      <c r="AX114" s="4" t="n"/>
      <c r="AY114" s="4" t="n"/>
      <c r="AZ114" s="4" t="n"/>
      <c r="BA114" s="4" t="n"/>
      <c r="BB114" s="4" t="n"/>
      <c r="BC114" s="4" t="n"/>
      <c r="BD114" s="4" t="n"/>
      <c r="BE114" s="4" t="n"/>
      <c r="BF114" s="4" t="n"/>
      <c r="BG114" s="4" t="n"/>
      <c r="BH114" s="4" t="n"/>
      <c r="BI114" s="4" t="n"/>
      <c r="BJ114" s="4" t="n"/>
      <c r="BK114" s="4" t="n"/>
      <c r="BL114" s="4" t="n"/>
      <c r="BM114" s="4" t="n"/>
      <c r="BN114" s="4" t="n"/>
      <c r="BO114" s="4" t="n"/>
      <c r="BQ114" s="3" t="inlineStr">
        <is>
          <t>index points per event</t>
        </is>
      </c>
      <c r="BR114" s="4" t="n"/>
      <c r="BS114" s="4" t="n"/>
      <c r="BT114" s="4" t="n"/>
      <c r="BU114" s="4" t="n"/>
      <c r="BV114" s="4" t="n"/>
      <c r="BW114" s="4" t="n"/>
      <c r="BX114" s="4" t="n"/>
      <c r="BY114" s="4" t="n"/>
      <c r="BZ114" s="4" t="n"/>
      <c r="CA114" s="4" t="n"/>
      <c r="CB114" s="4" t="n"/>
      <c r="CC114" s="4" t="n"/>
      <c r="CD114" s="4" t="n"/>
      <c r="CE114" s="4" t="n"/>
      <c r="CF114" s="4" t="n"/>
      <c r="CG114" s="4" t="n"/>
      <c r="CH114" s="4" t="n"/>
      <c r="CI114" s="4" t="n"/>
      <c r="CJ114" s="4" t="n"/>
      <c r="CK114" s="4" t="n"/>
      <c r="CL114" s="4" t="n"/>
      <c r="CM114" s="4" t="n"/>
      <c r="CN114" s="4" t="n"/>
      <c r="CO114" s="4" t="n"/>
      <c r="CP114" s="4" t="n"/>
      <c r="CQ114" s="4" t="n"/>
      <c r="CR114" s="4" t="n"/>
      <c r="CS114" s="4" t="n"/>
      <c r="CT114" s="4" t="n"/>
      <c r="CU114" s="4" t="n"/>
      <c r="CV114" s="4" t="n"/>
      <c r="CW114" s="4" t="n"/>
      <c r="CX114" s="4" t="n"/>
      <c r="CY114" s="4" t="n"/>
      <c r="CZ114" s="4" t="n"/>
      <c r="DA114" s="4" t="n"/>
      <c r="DB114" s="4" t="n"/>
      <c r="DC114" s="4" t="n"/>
      <c r="DD114" s="4" t="n"/>
      <c r="DE114" s="4" t="n"/>
      <c r="DF114" s="4" t="n"/>
      <c r="DG114" s="4" t="n"/>
      <c r="DH114" s="4" t="n"/>
      <c r="DI114" s="4" t="n"/>
      <c r="DJ114" s="4" t="n"/>
      <c r="DK114" s="4" t="n"/>
      <c r="DL114" s="4" t="n"/>
      <c r="DM114" s="4" t="n"/>
      <c r="DN114" s="4" t="n"/>
      <c r="DO114" s="4" t="n"/>
      <c r="DP114" s="4" t="n"/>
      <c r="DQ114" s="4" t="n"/>
      <c r="DR114" s="4" t="n"/>
      <c r="DS114" s="4" t="n"/>
      <c r="DT114" s="4" t="n"/>
      <c r="DU114" s="4" t="n"/>
      <c r="DV114" s="4" t="n"/>
      <c r="DW114" s="4" t="n"/>
      <c r="DX114" s="4" t="n"/>
      <c r="DY114" s="4" t="n"/>
      <c r="DZ114" s="4" t="n"/>
      <c r="EA114" s="4" t="n"/>
      <c r="EB114" s="4" t="n"/>
      <c r="EC114" s="4" t="n"/>
      <c r="EE114" s="3" t="inlineStr">
        <is>
          <t>packed codes (blank on purpose - use the decoder)</t>
        </is>
      </c>
      <c r="EF114" s="4" t="n"/>
      <c r="EG114" s="4" t="n"/>
      <c r="EH114" s="4" t="n"/>
      <c r="EI114" s="4" t="n"/>
      <c r="EJ114" s="4" t="n"/>
      <c r="EK114" s="4" t="n"/>
      <c r="EL114" s="4" t="n"/>
      <c r="EM114" s="4" t="n"/>
      <c r="EN114" s="4" t="n"/>
      <c r="EO114" s="4" t="n"/>
      <c r="EP114" s="4" t="n"/>
      <c r="EQ114" s="4" t="n"/>
      <c r="ER114" s="4" t="n"/>
      <c r="ES114" s="4" t="n"/>
      <c r="ET114" s="4" t="n"/>
      <c r="EU114" s="4" t="n"/>
      <c r="EV114" s="4" t="n"/>
      <c r="EW114" s="4" t="n"/>
      <c r="EX114" s="4" t="n"/>
      <c r="EY114" s="4" t="n"/>
      <c r="EZ114" s="4" t="n"/>
      <c r="FA114" s="4" t="n"/>
      <c r="FB114" s="4" t="n"/>
      <c r="FC114" s="4" t="n"/>
      <c r="FD114" s="4" t="n"/>
      <c r="FE114" s="4" t="n"/>
      <c r="FF114" s="4" t="n"/>
      <c r="FG114" s="4" t="n"/>
      <c r="FH114" s="4" t="n"/>
      <c r="FI114" s="4" t="n"/>
      <c r="FJ114" s="4" t="n"/>
      <c r="FK114" s="4" t="n"/>
      <c r="FL114" s="4" t="n"/>
      <c r="FM114" s="4" t="n"/>
      <c r="FN114" s="4" t="n"/>
      <c r="FO114" s="4" t="n"/>
      <c r="FP114" s="4" t="n"/>
      <c r="FQ114" s="4" t="n"/>
      <c r="FR114" s="4" t="n"/>
      <c r="FS114" s="4" t="n"/>
      <c r="FT114" s="4" t="n"/>
      <c r="FU114" s="4" t="n"/>
      <c r="FV114" s="4" t="n"/>
      <c r="FW114" s="4" t="n"/>
      <c r="FX114" s="4" t="n"/>
      <c r="FY114" s="4" t="n"/>
      <c r="FZ114" s="4" t="n"/>
      <c r="GA114" s="4" t="n"/>
      <c r="GB114" s="4" t="n"/>
      <c r="GC114" s="4" t="n"/>
      <c r="GD114" s="4" t="n"/>
      <c r="GE114" s="4" t="n"/>
      <c r="GF114" s="4" t="n"/>
      <c r="GG114" s="4" t="n"/>
      <c r="GH114" s="4" t="n"/>
      <c r="GI114" s="4" t="n"/>
      <c r="GJ114" s="4" t="n"/>
      <c r="GK114" s="4" t="n"/>
      <c r="GL114" s="4" t="n"/>
      <c r="GM114" s="4" t="n"/>
      <c r="GN114" s="4" t="n"/>
      <c r="GO114" s="4" t="n"/>
      <c r="GP114" s="4" t="n"/>
      <c r="GQ114" s="4" t="n"/>
    </row>
    <row r="116">
      <c r="B116" s="2">
        <f>IF(HSTECH!$C$7="","",HSTECH!$C$7)</f>
        <v/>
      </c>
      <c r="C116" s="106">
        <f>IF(EE116="","",IF(ISNUMBER('Dvd Calendar'!$E$1119)=FALSE,"",IF((('Dvd Calendar'!$E$1121=TYPE1)*(TYPE1&lt;&gt;"")+('Dvd Calendar'!$E$1121=TYPE2)*(TYPE2&lt;&gt;"")+('Dvd Calendar'!$E$1121=TYPE3)*(TYPE3&lt;&gt;"")+('Dvd Calendar'!$E$1121=TYPE4)*(TYPE4&lt;&gt;"")+('Dvd Calendar'!$E$1121=SPECIAL_LBL)*(INC_SPECIALS="Y"))=0,"",'Dvd Calendar'!$E$1119)))</f>
        <v/>
      </c>
      <c r="D116" s="106">
        <f>IF(EF116="","",IF(ISNUMBER('Dvd Calendar'!$F$1119)=FALSE,"",IF((('Dvd Calendar'!$F$1121=TYPE1)*(TYPE1&lt;&gt;"")+('Dvd Calendar'!$F$1121=TYPE2)*(TYPE2&lt;&gt;"")+('Dvd Calendar'!$F$1121=TYPE3)*(TYPE3&lt;&gt;"")+('Dvd Calendar'!$F$1121=TYPE4)*(TYPE4&lt;&gt;"")+('Dvd Calendar'!$F$1121=SPECIAL_LBL)*(INC_SPECIALS="Y"))=0,"",'Dvd Calendar'!$F$1119)))</f>
        <v/>
      </c>
      <c r="E116" s="106">
        <f>IF(EG116="","",IF(ISNUMBER('Dvd Calendar'!$G$1119)=FALSE,"",IF((('Dvd Calendar'!$G$1121=TYPE1)*(TYPE1&lt;&gt;"")+('Dvd Calendar'!$G$1121=TYPE2)*(TYPE2&lt;&gt;"")+('Dvd Calendar'!$G$1121=TYPE3)*(TYPE3&lt;&gt;"")+('Dvd Calendar'!$G$1121=TYPE4)*(TYPE4&lt;&gt;"")+('Dvd Calendar'!$G$1121=SPECIAL_LBL)*(INC_SPECIALS="Y"))=0,"",'Dvd Calendar'!$G$1119)))</f>
        <v/>
      </c>
      <c r="F116" s="106">
        <f>IF(EH116="","",IF(ISNUMBER('Dvd Calendar'!$H$1119)=FALSE,"",IF((('Dvd Calendar'!$H$1121=TYPE1)*(TYPE1&lt;&gt;"")+('Dvd Calendar'!$H$1121=TYPE2)*(TYPE2&lt;&gt;"")+('Dvd Calendar'!$H$1121=TYPE3)*(TYPE3&lt;&gt;"")+('Dvd Calendar'!$H$1121=TYPE4)*(TYPE4&lt;&gt;"")+('Dvd Calendar'!$H$1121=SPECIAL_LBL)*(INC_SPECIALS="Y"))=0,"",'Dvd Calendar'!$H$1119)))</f>
        <v/>
      </c>
      <c r="G116" s="106">
        <f>IF(EI116="","",IF(ISNUMBER('Dvd Calendar'!$I$1119)=FALSE,"",IF((('Dvd Calendar'!$I$1121=TYPE1)*(TYPE1&lt;&gt;"")+('Dvd Calendar'!$I$1121=TYPE2)*(TYPE2&lt;&gt;"")+('Dvd Calendar'!$I$1121=TYPE3)*(TYPE3&lt;&gt;"")+('Dvd Calendar'!$I$1121=TYPE4)*(TYPE4&lt;&gt;"")+('Dvd Calendar'!$I$1121=SPECIAL_LBL)*(INC_SPECIALS="Y"))=0,"",'Dvd Calendar'!$I$1119)))</f>
        <v/>
      </c>
      <c r="H116" s="106">
        <f>IF(EJ116="","",IF(ISNUMBER('Dvd Calendar'!$J$1119)=FALSE,"",IF((('Dvd Calendar'!$J$1121=TYPE1)*(TYPE1&lt;&gt;"")+('Dvd Calendar'!$J$1121=TYPE2)*(TYPE2&lt;&gt;"")+('Dvd Calendar'!$J$1121=TYPE3)*(TYPE3&lt;&gt;"")+('Dvd Calendar'!$J$1121=TYPE4)*(TYPE4&lt;&gt;"")+('Dvd Calendar'!$J$1121=SPECIAL_LBL)*(INC_SPECIALS="Y"))=0,"",'Dvd Calendar'!$J$1119)))</f>
        <v/>
      </c>
      <c r="I116" s="106">
        <f>IF(EK116="","",IF(ISNUMBER('Dvd Calendar'!$K$1119)=FALSE,"",IF((('Dvd Calendar'!$K$1121=TYPE1)*(TYPE1&lt;&gt;"")+('Dvd Calendar'!$K$1121=TYPE2)*(TYPE2&lt;&gt;"")+('Dvd Calendar'!$K$1121=TYPE3)*(TYPE3&lt;&gt;"")+('Dvd Calendar'!$K$1121=TYPE4)*(TYPE4&lt;&gt;"")+('Dvd Calendar'!$K$1121=SPECIAL_LBL)*(INC_SPECIALS="Y"))=0,"",'Dvd Calendar'!$K$1119)))</f>
        <v/>
      </c>
      <c r="J116" s="106">
        <f>IF(EL116="","",IF(ISNUMBER('Dvd Calendar'!$L$1119)=FALSE,"",IF((('Dvd Calendar'!$L$1121=TYPE1)*(TYPE1&lt;&gt;"")+('Dvd Calendar'!$L$1121=TYPE2)*(TYPE2&lt;&gt;"")+('Dvd Calendar'!$L$1121=TYPE3)*(TYPE3&lt;&gt;"")+('Dvd Calendar'!$L$1121=TYPE4)*(TYPE4&lt;&gt;"")+('Dvd Calendar'!$L$1121=SPECIAL_LBL)*(INC_SPECIALS="Y"))=0,"",'Dvd Calendar'!$L$1119)))</f>
        <v/>
      </c>
      <c r="K116" s="106">
        <f>IF(EM116="","",IF(ISNUMBER('Dvd Calendar'!$M$1119)=FALSE,"",IF((('Dvd Calendar'!$M$1121=TYPE1)*(TYPE1&lt;&gt;"")+('Dvd Calendar'!$M$1121=TYPE2)*(TYPE2&lt;&gt;"")+('Dvd Calendar'!$M$1121=TYPE3)*(TYPE3&lt;&gt;"")+('Dvd Calendar'!$M$1121=TYPE4)*(TYPE4&lt;&gt;"")+('Dvd Calendar'!$M$1121=SPECIAL_LBL)*(INC_SPECIALS="Y"))=0,"",'Dvd Calendar'!$M$1119)))</f>
        <v/>
      </c>
      <c r="L116" s="106">
        <f>IF(EN116="","",IF(ISNUMBER('Dvd Calendar'!$N$1119)=FALSE,"",IF((('Dvd Calendar'!$N$1121=TYPE1)*(TYPE1&lt;&gt;"")+('Dvd Calendar'!$N$1121=TYPE2)*(TYPE2&lt;&gt;"")+('Dvd Calendar'!$N$1121=TYPE3)*(TYPE3&lt;&gt;"")+('Dvd Calendar'!$N$1121=TYPE4)*(TYPE4&lt;&gt;"")+('Dvd Calendar'!$N$1121=SPECIAL_LBL)*(INC_SPECIALS="Y"))=0,"",'Dvd Calendar'!$N$1119)))</f>
        <v/>
      </c>
      <c r="M116" s="106">
        <f>IF(EO116="","",IF(ISNUMBER('Dvd Calendar'!$O$1119)=FALSE,"",IF((('Dvd Calendar'!$O$1121=TYPE1)*(TYPE1&lt;&gt;"")+('Dvd Calendar'!$O$1121=TYPE2)*(TYPE2&lt;&gt;"")+('Dvd Calendar'!$O$1121=TYPE3)*(TYPE3&lt;&gt;"")+('Dvd Calendar'!$O$1121=TYPE4)*(TYPE4&lt;&gt;"")+('Dvd Calendar'!$O$1121=SPECIAL_LBL)*(INC_SPECIALS="Y"))=0,"",'Dvd Calendar'!$O$1119)))</f>
        <v/>
      </c>
      <c r="N116" s="106">
        <f>IF(EP116="","",IF(ISNUMBER('Dvd Calendar'!$P$1119)=FALSE,"",IF((('Dvd Calendar'!$P$1121=TYPE1)*(TYPE1&lt;&gt;"")+('Dvd Calendar'!$P$1121=TYPE2)*(TYPE2&lt;&gt;"")+('Dvd Calendar'!$P$1121=TYPE3)*(TYPE3&lt;&gt;"")+('Dvd Calendar'!$P$1121=TYPE4)*(TYPE4&lt;&gt;"")+('Dvd Calendar'!$P$1121=SPECIAL_LBL)*(INC_SPECIALS="Y"))=0,"",'Dvd Calendar'!$P$1119)))</f>
        <v/>
      </c>
      <c r="O116" s="106">
        <f>IF(EQ116="","",IF(ISNUMBER('Dvd Calendar'!$Q$1119)=FALSE,"",IF((('Dvd Calendar'!$Q$1121=TYPE1)*(TYPE1&lt;&gt;"")+('Dvd Calendar'!$Q$1121=TYPE2)*(TYPE2&lt;&gt;"")+('Dvd Calendar'!$Q$1121=TYPE3)*(TYPE3&lt;&gt;"")+('Dvd Calendar'!$Q$1121=TYPE4)*(TYPE4&lt;&gt;"")+('Dvd Calendar'!$Q$1121=SPECIAL_LBL)*(INC_SPECIALS="Y"))=0,"",'Dvd Calendar'!$Q$1119)))</f>
        <v/>
      </c>
      <c r="P116" s="106">
        <f>IF(ER116="","",IF(ISNUMBER('Dvd Calendar'!$R$1119)=FALSE,"",IF((('Dvd Calendar'!$R$1121=TYPE1)*(TYPE1&lt;&gt;"")+('Dvd Calendar'!$R$1121=TYPE2)*(TYPE2&lt;&gt;"")+('Dvd Calendar'!$R$1121=TYPE3)*(TYPE3&lt;&gt;"")+('Dvd Calendar'!$R$1121=TYPE4)*(TYPE4&lt;&gt;"")+('Dvd Calendar'!$R$1121=SPECIAL_LBL)*(INC_SPECIALS="Y"))=0,"",'Dvd Calendar'!$R$1119)))</f>
        <v/>
      </c>
      <c r="Q116" s="106">
        <f>IF(ES116="","",IF(ISNUMBER('Dvd Calendar'!$S$1119)=FALSE,"",IF((('Dvd Calendar'!$S$1121=TYPE1)*(TYPE1&lt;&gt;"")+('Dvd Calendar'!$S$1121=TYPE2)*(TYPE2&lt;&gt;"")+('Dvd Calendar'!$S$1121=TYPE3)*(TYPE3&lt;&gt;"")+('Dvd Calendar'!$S$1121=TYPE4)*(TYPE4&lt;&gt;"")+('Dvd Calendar'!$S$1121=SPECIAL_LBL)*(INC_SPECIALS="Y"))=0,"",'Dvd Calendar'!$S$1119)))</f>
        <v/>
      </c>
      <c r="R116" s="106">
        <f>IF(ET116="","",IF(ISNUMBER('Dvd Calendar'!$T$1119)=FALSE,"",IF((('Dvd Calendar'!$T$1121=TYPE1)*(TYPE1&lt;&gt;"")+('Dvd Calendar'!$T$1121=TYPE2)*(TYPE2&lt;&gt;"")+('Dvd Calendar'!$T$1121=TYPE3)*(TYPE3&lt;&gt;"")+('Dvd Calendar'!$T$1121=TYPE4)*(TYPE4&lt;&gt;"")+('Dvd Calendar'!$T$1121=SPECIAL_LBL)*(INC_SPECIALS="Y"))=0,"",'Dvd Calendar'!$T$1119)))</f>
        <v/>
      </c>
      <c r="S116" s="106">
        <f>IF(EU116="","",IF(ISNUMBER('Dvd Calendar'!$U$1119)=FALSE,"",IF((('Dvd Calendar'!$U$1121=TYPE1)*(TYPE1&lt;&gt;"")+('Dvd Calendar'!$U$1121=TYPE2)*(TYPE2&lt;&gt;"")+('Dvd Calendar'!$U$1121=TYPE3)*(TYPE3&lt;&gt;"")+('Dvd Calendar'!$U$1121=TYPE4)*(TYPE4&lt;&gt;"")+('Dvd Calendar'!$U$1121=SPECIAL_LBL)*(INC_SPECIALS="Y"))=0,"",'Dvd Calendar'!$U$1119)))</f>
        <v/>
      </c>
      <c r="T116" s="106">
        <f>IF(EV116="","",IF(ISNUMBER('Dvd Calendar'!$V$1119)=FALSE,"",IF((('Dvd Calendar'!$V$1121=TYPE1)*(TYPE1&lt;&gt;"")+('Dvd Calendar'!$V$1121=TYPE2)*(TYPE2&lt;&gt;"")+('Dvd Calendar'!$V$1121=TYPE3)*(TYPE3&lt;&gt;"")+('Dvd Calendar'!$V$1121=TYPE4)*(TYPE4&lt;&gt;"")+('Dvd Calendar'!$V$1121=SPECIAL_LBL)*(INC_SPECIALS="Y"))=0,"",'Dvd Calendar'!$V$1119)))</f>
        <v/>
      </c>
      <c r="U116" s="106">
        <f>IF(EW116="","",IF(ISNUMBER('Dvd Calendar'!$W$1119)=FALSE,"",IF((('Dvd Calendar'!$W$1121=TYPE1)*(TYPE1&lt;&gt;"")+('Dvd Calendar'!$W$1121=TYPE2)*(TYPE2&lt;&gt;"")+('Dvd Calendar'!$W$1121=TYPE3)*(TYPE3&lt;&gt;"")+('Dvd Calendar'!$W$1121=TYPE4)*(TYPE4&lt;&gt;"")+('Dvd Calendar'!$W$1121=SPECIAL_LBL)*(INC_SPECIALS="Y"))=0,"",'Dvd Calendar'!$W$1119)))</f>
        <v/>
      </c>
      <c r="V116" s="106">
        <f>IF(EX116="","",IF(ISNUMBER('Dvd Calendar'!$X$1119)=FALSE,"",IF((('Dvd Calendar'!$X$1121=TYPE1)*(TYPE1&lt;&gt;"")+('Dvd Calendar'!$X$1121=TYPE2)*(TYPE2&lt;&gt;"")+('Dvd Calendar'!$X$1121=TYPE3)*(TYPE3&lt;&gt;"")+('Dvd Calendar'!$X$1121=TYPE4)*(TYPE4&lt;&gt;"")+('Dvd Calendar'!$X$1121=SPECIAL_LBL)*(INC_SPECIALS="Y"))=0,"",'Dvd Calendar'!$X$1119)))</f>
        <v/>
      </c>
      <c r="W116" s="106">
        <f>IF(EY116="","",IF(ISNUMBER('Dvd Calendar'!$Y$1119)=FALSE,"",IF((('Dvd Calendar'!$Y$1121=TYPE1)*(TYPE1&lt;&gt;"")+('Dvd Calendar'!$Y$1121=TYPE2)*(TYPE2&lt;&gt;"")+('Dvd Calendar'!$Y$1121=TYPE3)*(TYPE3&lt;&gt;"")+('Dvd Calendar'!$Y$1121=TYPE4)*(TYPE4&lt;&gt;"")+('Dvd Calendar'!$Y$1121=SPECIAL_LBL)*(INC_SPECIALS="Y"))=0,"",'Dvd Calendar'!$Y$1119)))</f>
        <v/>
      </c>
      <c r="X116" s="106">
        <f>IF(EZ116="","",IF(ISNUMBER('Dvd Calendar'!$Z$1119)=FALSE,"",IF((('Dvd Calendar'!$Z$1121=TYPE1)*(TYPE1&lt;&gt;"")+('Dvd Calendar'!$Z$1121=TYPE2)*(TYPE2&lt;&gt;"")+('Dvd Calendar'!$Z$1121=TYPE3)*(TYPE3&lt;&gt;"")+('Dvd Calendar'!$Z$1121=TYPE4)*(TYPE4&lt;&gt;"")+('Dvd Calendar'!$Z$1121=SPECIAL_LBL)*(INC_SPECIALS="Y"))=0,"",'Dvd Calendar'!$Z$1119)))</f>
        <v/>
      </c>
      <c r="Y116" s="106">
        <f>IF(FA116="","",IF(ISNUMBER('Dvd Calendar'!$AA$1119)=FALSE,"",IF((('Dvd Calendar'!$AA$1121=TYPE1)*(TYPE1&lt;&gt;"")+('Dvd Calendar'!$AA$1121=TYPE2)*(TYPE2&lt;&gt;"")+('Dvd Calendar'!$AA$1121=TYPE3)*(TYPE3&lt;&gt;"")+('Dvd Calendar'!$AA$1121=TYPE4)*(TYPE4&lt;&gt;"")+('Dvd Calendar'!$AA$1121=SPECIAL_LBL)*(INC_SPECIALS="Y"))=0,"",'Dvd Calendar'!$AA$1119)))</f>
        <v/>
      </c>
      <c r="Z116" s="106">
        <f>IF(FB116="","",IF(ISNUMBER('Dvd Calendar'!$AB$1119)=FALSE,"",IF((('Dvd Calendar'!$AB$1121=TYPE1)*(TYPE1&lt;&gt;"")+('Dvd Calendar'!$AB$1121=TYPE2)*(TYPE2&lt;&gt;"")+('Dvd Calendar'!$AB$1121=TYPE3)*(TYPE3&lt;&gt;"")+('Dvd Calendar'!$AB$1121=TYPE4)*(TYPE4&lt;&gt;"")+('Dvd Calendar'!$AB$1121=SPECIAL_LBL)*(INC_SPECIALS="Y"))=0,"",'Dvd Calendar'!$AB$1119)))</f>
        <v/>
      </c>
      <c r="AA116" s="106">
        <f>IF(FC116="","",IF(ISNUMBER('Dvd Calendar'!$AC$1119)=FALSE,"",IF((('Dvd Calendar'!$AC$1121=TYPE1)*(TYPE1&lt;&gt;"")+('Dvd Calendar'!$AC$1121=TYPE2)*(TYPE2&lt;&gt;"")+('Dvd Calendar'!$AC$1121=TYPE3)*(TYPE3&lt;&gt;"")+('Dvd Calendar'!$AC$1121=TYPE4)*(TYPE4&lt;&gt;"")+('Dvd Calendar'!$AC$1121=SPECIAL_LBL)*(INC_SPECIALS="Y"))=0,"",'Dvd Calendar'!$AC$1119)))</f>
        <v/>
      </c>
      <c r="AB116" s="106">
        <f>IF(FD116="","",IF(ISNUMBER('Dvd Calendar'!$AD$1119)=FALSE,"",IF((('Dvd Calendar'!$AD$1121=TYPE1)*(TYPE1&lt;&gt;"")+('Dvd Calendar'!$AD$1121=TYPE2)*(TYPE2&lt;&gt;"")+('Dvd Calendar'!$AD$1121=TYPE3)*(TYPE3&lt;&gt;"")+('Dvd Calendar'!$AD$1121=TYPE4)*(TYPE4&lt;&gt;"")+('Dvd Calendar'!$AD$1121=SPECIAL_LBL)*(INC_SPECIALS="Y"))=0,"",'Dvd Calendar'!$AD$1119)))</f>
        <v/>
      </c>
      <c r="AC116" s="106">
        <f>IF(FE116="","",IF(ISNUMBER('Dvd Calendar'!$AE$1119)=FALSE,"",IF((('Dvd Calendar'!$AE$1121=TYPE1)*(TYPE1&lt;&gt;"")+('Dvd Calendar'!$AE$1121=TYPE2)*(TYPE2&lt;&gt;"")+('Dvd Calendar'!$AE$1121=TYPE3)*(TYPE3&lt;&gt;"")+('Dvd Calendar'!$AE$1121=TYPE4)*(TYPE4&lt;&gt;"")+('Dvd Calendar'!$AE$1121=SPECIAL_LBL)*(INC_SPECIALS="Y"))=0,"",'Dvd Calendar'!$AE$1119)))</f>
        <v/>
      </c>
      <c r="AD116" s="106">
        <f>IF(FF116="","",IF(ISNUMBER('Dvd Calendar'!$AF$1119)=FALSE,"",IF((('Dvd Calendar'!$AF$1121=TYPE1)*(TYPE1&lt;&gt;"")+('Dvd Calendar'!$AF$1121=TYPE2)*(TYPE2&lt;&gt;"")+('Dvd Calendar'!$AF$1121=TYPE3)*(TYPE3&lt;&gt;"")+('Dvd Calendar'!$AF$1121=TYPE4)*(TYPE4&lt;&gt;"")+('Dvd Calendar'!$AF$1121=SPECIAL_LBL)*(INC_SPECIALS="Y"))=0,"",'Dvd Calendar'!$AF$1119)))</f>
        <v/>
      </c>
      <c r="AE116" s="106">
        <f>IF(FG116="","",IF(ISNUMBER('Dvd Calendar'!$AG$1119)=FALSE,"",IF((('Dvd Calendar'!$AG$1121=TYPE1)*(TYPE1&lt;&gt;"")+('Dvd Calendar'!$AG$1121=TYPE2)*(TYPE2&lt;&gt;"")+('Dvd Calendar'!$AG$1121=TYPE3)*(TYPE3&lt;&gt;"")+('Dvd Calendar'!$AG$1121=TYPE4)*(TYPE4&lt;&gt;"")+('Dvd Calendar'!$AG$1121=SPECIAL_LBL)*(INC_SPECIALS="Y"))=0,"",'Dvd Calendar'!$AG$1119)))</f>
        <v/>
      </c>
      <c r="AF116" s="106">
        <f>IF(FH116="","",IF(ISNUMBER('Dvd Calendar'!$AH$1119)=FALSE,"",IF((('Dvd Calendar'!$AH$1121=TYPE1)*(TYPE1&lt;&gt;"")+('Dvd Calendar'!$AH$1121=TYPE2)*(TYPE2&lt;&gt;"")+('Dvd Calendar'!$AH$1121=TYPE3)*(TYPE3&lt;&gt;"")+('Dvd Calendar'!$AH$1121=TYPE4)*(TYPE4&lt;&gt;"")+('Dvd Calendar'!$AH$1121=SPECIAL_LBL)*(INC_SPECIALS="Y"))=0,"",'Dvd Calendar'!$AH$1119)))</f>
        <v/>
      </c>
      <c r="AG116" s="106">
        <f>IF(FI116="","",IF(ISNUMBER('Dvd Calendar'!$AI$1119)=FALSE,"",IF((('Dvd Calendar'!$AI$1121=TYPE1)*(TYPE1&lt;&gt;"")+('Dvd Calendar'!$AI$1121=TYPE2)*(TYPE2&lt;&gt;"")+('Dvd Calendar'!$AI$1121=TYPE3)*(TYPE3&lt;&gt;"")+('Dvd Calendar'!$AI$1121=TYPE4)*(TYPE4&lt;&gt;"")+('Dvd Calendar'!$AI$1121=SPECIAL_LBL)*(INC_SPECIALS="Y"))=0,"",'Dvd Calendar'!$AI$1119)))</f>
        <v/>
      </c>
      <c r="AH116" s="106">
        <f>IF(FJ116="","",IF(ISNUMBER('Dvd Calendar'!$AJ$1119)=FALSE,"",IF((('Dvd Calendar'!$AJ$1121=TYPE1)*(TYPE1&lt;&gt;"")+('Dvd Calendar'!$AJ$1121=TYPE2)*(TYPE2&lt;&gt;"")+('Dvd Calendar'!$AJ$1121=TYPE3)*(TYPE3&lt;&gt;"")+('Dvd Calendar'!$AJ$1121=TYPE4)*(TYPE4&lt;&gt;"")+('Dvd Calendar'!$AJ$1121=SPECIAL_LBL)*(INC_SPECIALS="Y"))=0,"",'Dvd Calendar'!$AJ$1119)))</f>
        <v/>
      </c>
      <c r="AI116" s="106">
        <f>IF(FK116="","",IF(ISNUMBER('Dvd Calendar'!$AK$1119)=FALSE,"",IF((('Dvd Calendar'!$AK$1121=TYPE1)*(TYPE1&lt;&gt;"")+('Dvd Calendar'!$AK$1121=TYPE2)*(TYPE2&lt;&gt;"")+('Dvd Calendar'!$AK$1121=TYPE3)*(TYPE3&lt;&gt;"")+('Dvd Calendar'!$AK$1121=TYPE4)*(TYPE4&lt;&gt;"")+('Dvd Calendar'!$AK$1121=SPECIAL_LBL)*(INC_SPECIALS="Y"))=0,"",'Dvd Calendar'!$AK$1119)))</f>
        <v/>
      </c>
      <c r="AJ116" s="106">
        <f>IF(FL116="","",IF(ISNUMBER('Dvd Calendar'!$AL$1119)=FALSE,"",IF((('Dvd Calendar'!$AL$1121=TYPE1)*(TYPE1&lt;&gt;"")+('Dvd Calendar'!$AL$1121=TYPE2)*(TYPE2&lt;&gt;"")+('Dvd Calendar'!$AL$1121=TYPE3)*(TYPE3&lt;&gt;"")+('Dvd Calendar'!$AL$1121=TYPE4)*(TYPE4&lt;&gt;"")+('Dvd Calendar'!$AL$1121=SPECIAL_LBL)*(INC_SPECIALS="Y"))=0,"",'Dvd Calendar'!$AL$1119)))</f>
        <v/>
      </c>
      <c r="AK116" s="106">
        <f>IF(FM116="","",IF(ISNUMBER('Dvd Calendar'!$AM$1119)=FALSE,"",IF((('Dvd Calendar'!$AM$1121=TYPE1)*(TYPE1&lt;&gt;"")+('Dvd Calendar'!$AM$1121=TYPE2)*(TYPE2&lt;&gt;"")+('Dvd Calendar'!$AM$1121=TYPE3)*(TYPE3&lt;&gt;"")+('Dvd Calendar'!$AM$1121=TYPE4)*(TYPE4&lt;&gt;"")+('Dvd Calendar'!$AM$1121=SPECIAL_LBL)*(INC_SPECIALS="Y"))=0,"",'Dvd Calendar'!$AM$1119)))</f>
        <v/>
      </c>
      <c r="AL116" s="106">
        <f>IF(FN116="","",IF(ISNUMBER('Dvd Calendar'!$AN$1119)=FALSE,"",IF((('Dvd Calendar'!$AN$1121=TYPE1)*(TYPE1&lt;&gt;"")+('Dvd Calendar'!$AN$1121=TYPE2)*(TYPE2&lt;&gt;"")+('Dvd Calendar'!$AN$1121=TYPE3)*(TYPE3&lt;&gt;"")+('Dvd Calendar'!$AN$1121=TYPE4)*(TYPE4&lt;&gt;"")+('Dvd Calendar'!$AN$1121=SPECIAL_LBL)*(INC_SPECIALS="Y"))=0,"",'Dvd Calendar'!$AN$1119)))</f>
        <v/>
      </c>
      <c r="AM116" s="106">
        <f>IF(FO116="","",IF(ISNUMBER('Dvd Calendar'!$AO$1119)=FALSE,"",IF((('Dvd Calendar'!$AO$1121=TYPE1)*(TYPE1&lt;&gt;"")+('Dvd Calendar'!$AO$1121=TYPE2)*(TYPE2&lt;&gt;"")+('Dvd Calendar'!$AO$1121=TYPE3)*(TYPE3&lt;&gt;"")+('Dvd Calendar'!$AO$1121=TYPE4)*(TYPE4&lt;&gt;"")+('Dvd Calendar'!$AO$1121=SPECIAL_LBL)*(INC_SPECIALS="Y"))=0,"",'Dvd Calendar'!$AO$1119)))</f>
        <v/>
      </c>
      <c r="AN116" s="106">
        <f>IF(FP116="","",IF(ISNUMBER('Dvd Calendar'!$AP$1119)=FALSE,"",IF((('Dvd Calendar'!$AP$1121=TYPE1)*(TYPE1&lt;&gt;"")+('Dvd Calendar'!$AP$1121=TYPE2)*(TYPE2&lt;&gt;"")+('Dvd Calendar'!$AP$1121=TYPE3)*(TYPE3&lt;&gt;"")+('Dvd Calendar'!$AP$1121=TYPE4)*(TYPE4&lt;&gt;"")+('Dvd Calendar'!$AP$1121=SPECIAL_LBL)*(INC_SPECIALS="Y"))=0,"",'Dvd Calendar'!$AP$1119)))</f>
        <v/>
      </c>
      <c r="AO116" s="106">
        <f>IF(FQ116="","",IF(ISNUMBER('Dvd Calendar'!$AQ$1119)=FALSE,"",IF((('Dvd Calendar'!$AQ$1121=TYPE1)*(TYPE1&lt;&gt;"")+('Dvd Calendar'!$AQ$1121=TYPE2)*(TYPE2&lt;&gt;"")+('Dvd Calendar'!$AQ$1121=TYPE3)*(TYPE3&lt;&gt;"")+('Dvd Calendar'!$AQ$1121=TYPE4)*(TYPE4&lt;&gt;"")+('Dvd Calendar'!$AQ$1121=SPECIAL_LBL)*(INC_SPECIALS="Y"))=0,"",'Dvd Calendar'!$AQ$1119)))</f>
        <v/>
      </c>
      <c r="AP116" s="106">
        <f>IF(FR116="","",IF(ISNUMBER('Dvd Calendar'!$AR$1119)=FALSE,"",IF((('Dvd Calendar'!$AR$1121=TYPE1)*(TYPE1&lt;&gt;"")+('Dvd Calendar'!$AR$1121=TYPE2)*(TYPE2&lt;&gt;"")+('Dvd Calendar'!$AR$1121=TYPE3)*(TYPE3&lt;&gt;"")+('Dvd Calendar'!$AR$1121=TYPE4)*(TYPE4&lt;&gt;"")+('Dvd Calendar'!$AR$1121=SPECIAL_LBL)*(INC_SPECIALS="Y"))=0,"",'Dvd Calendar'!$AR$1119)))</f>
        <v/>
      </c>
      <c r="AQ116" s="106">
        <f>IF(FS116="","",IF(ISNUMBER('Dvd Calendar'!$E$1124)=FALSE,"",'Dvd Calendar'!$E$1124))</f>
        <v/>
      </c>
      <c r="AR116" s="106">
        <f>IF(FT116="","",IF(ISNUMBER('Dvd Calendar'!$F$1124)=FALSE,"",'Dvd Calendar'!$F$1124))</f>
        <v/>
      </c>
      <c r="AS116" s="106">
        <f>IF(FU116="","",IF(ISNUMBER('Dvd Calendar'!$G$1124)=FALSE,"",'Dvd Calendar'!$G$1124))</f>
        <v/>
      </c>
      <c r="AT116" s="106">
        <f>IF(FV116="","",IF(ISNUMBER('Dvd Calendar'!$H$1124)=FALSE,"",'Dvd Calendar'!$H$1124))</f>
        <v/>
      </c>
      <c r="AU116" s="106">
        <f>IF(FW116="","",IF(ISNUMBER('Dvd Calendar'!$I$1124)=FALSE,"",'Dvd Calendar'!$I$1124))</f>
        <v/>
      </c>
      <c r="AV116" s="106">
        <f>IF(FX116="","",IF(ISNUMBER('Dvd Calendar'!$J$1124)=FALSE,"",'Dvd Calendar'!$J$1124))</f>
        <v/>
      </c>
      <c r="AW116" s="106">
        <f>IF(FY116="","",IF(ISNUMBER('Dvd Calendar'!$K$1124)=FALSE,"",'Dvd Calendar'!$K$1124))</f>
        <v/>
      </c>
      <c r="AX116" s="106">
        <f>IF(FZ116="","",IF(ISNUMBER('Dvd Calendar'!$L$1124)=FALSE,"",'Dvd Calendar'!$L$1124))</f>
        <v/>
      </c>
      <c r="AY116" s="106">
        <f>IF(GA116="","",IF(ISNUMBER('Dvd Calendar'!$M$1124)=FALSE,"",'Dvd Calendar'!$M$1124))</f>
        <v/>
      </c>
      <c r="AZ116" s="106">
        <f>IF(GB116="","",IF(ISNUMBER('Dvd Calendar'!$N$1124)=FALSE,"",'Dvd Calendar'!$N$1124))</f>
        <v/>
      </c>
      <c r="BA116" s="106">
        <f>IF(GC116="","",IF(ISNUMBER('Dvd Calendar'!$O$1124)=FALSE,"",'Dvd Calendar'!$O$1124))</f>
        <v/>
      </c>
      <c r="BB116" s="106">
        <f>IF(GD116="","",IF(ISNUMBER('Dvd Calendar'!$P$1124)=FALSE,"",'Dvd Calendar'!$P$1124))</f>
        <v/>
      </c>
      <c r="BC116" s="106">
        <f>IF(GE116="","",IF(ISNUMBER('Dvd Calendar'!$Q$1124)=FALSE,"",'Dvd Calendar'!$Q$1124))</f>
        <v/>
      </c>
      <c r="BD116" s="106">
        <f>IF(GF116="","",IF(ISNUMBER('Dvd Calendar'!$R$1124)=FALSE,"",'Dvd Calendar'!$R$1124))</f>
        <v/>
      </c>
      <c r="BE116" s="106">
        <f>IF(GG116="","",IF(ISNUMBER('Dvd Calendar'!$S$1124)=FALSE,"",'Dvd Calendar'!$S$1124))</f>
        <v/>
      </c>
      <c r="BF116" s="106">
        <f>IF(GH116="","",IF(ISNUMBER('Dvd Calendar'!$T$1124)=FALSE,"",'Dvd Calendar'!$T$1124))</f>
        <v/>
      </c>
      <c r="BG116" s="106">
        <f>IF(GI116="","",IF(ISNUMBER('Dvd Calendar'!$U$1124)=FALSE,"",'Dvd Calendar'!$U$1124))</f>
        <v/>
      </c>
      <c r="BH116" s="106">
        <f>IF(GJ116="","",IF(ISNUMBER('Dvd Calendar'!$V$1124)=FALSE,"",'Dvd Calendar'!$V$1124))</f>
        <v/>
      </c>
      <c r="BI116" s="106">
        <f>IF(GK116="","",IF(ISNUMBER('Dvd Calendar'!$W$1124)=FALSE,"",'Dvd Calendar'!$W$1124))</f>
        <v/>
      </c>
      <c r="BJ116" s="106">
        <f>IF(GL116="","",IF(ISNUMBER('Dvd Calendar'!$X$1124)=FALSE,"",'Dvd Calendar'!$X$1124))</f>
        <v/>
      </c>
      <c r="BK116" s="106">
        <f>IF(GM116="","",IF(ISNUMBER('Dvd Calendar'!$Y$1124)=FALSE,"",'Dvd Calendar'!$Y$1124))</f>
        <v/>
      </c>
      <c r="BL116" s="106">
        <f>IF(GN116="","",IF(ISNUMBER('Dvd Calendar'!$Z$1124)=FALSE,"",'Dvd Calendar'!$Z$1124))</f>
        <v/>
      </c>
      <c r="BM116" s="106">
        <f>IF(GO116="","",IF(ISNUMBER('Dvd Calendar'!$AA$1124)=FALSE,"",'Dvd Calendar'!$AA$1124))</f>
        <v/>
      </c>
      <c r="BN116" s="106">
        <f>IF(GP116="","",IF(ISNUMBER('Dvd Calendar'!$AB$1124)=FALSE,"",'Dvd Calendar'!$AB$1124))</f>
        <v/>
      </c>
      <c r="BO116" s="106">
        <f>IF(GQ116="","",IF(ISNUMBER('Dvd Calendar'!$AC$1124)=FALSE,"",'Dvd Calendar'!$AC$1124))</f>
        <v/>
      </c>
      <c r="BQ116" s="106">
        <f>IF(C116="","",IFERROR(C116*HSTECH!$B$7*HSTECH!$G$7/HSTECH!$B$3,""))</f>
        <v/>
      </c>
      <c r="BR116" s="106">
        <f>IF(D116="","",IFERROR(D116*HSTECH!$B$7*HSTECH!$G$7/HSTECH!$B$3,""))</f>
        <v/>
      </c>
      <c r="BS116" s="106">
        <f>IF(E116="","",IFERROR(E116*HSTECH!$B$7*HSTECH!$G$7/HSTECH!$B$3,""))</f>
        <v/>
      </c>
      <c r="BT116" s="106">
        <f>IF(F116="","",IFERROR(F116*HSTECH!$B$7*HSTECH!$G$7/HSTECH!$B$3,""))</f>
        <v/>
      </c>
      <c r="BU116" s="106">
        <f>IF(G116="","",IFERROR(G116*HSTECH!$B$7*HSTECH!$G$7/HSTECH!$B$3,""))</f>
        <v/>
      </c>
      <c r="BV116" s="106">
        <f>IF(H116="","",IFERROR(H116*HSTECH!$B$7*HSTECH!$G$7/HSTECH!$B$3,""))</f>
        <v/>
      </c>
      <c r="BW116" s="106">
        <f>IF(I116="","",IFERROR(I116*HSTECH!$B$7*HSTECH!$G$7/HSTECH!$B$3,""))</f>
        <v/>
      </c>
      <c r="BX116" s="106">
        <f>IF(J116="","",IFERROR(J116*HSTECH!$B$7*HSTECH!$G$7/HSTECH!$B$3,""))</f>
        <v/>
      </c>
      <c r="BY116" s="106">
        <f>IF(K116="","",IFERROR(K116*HSTECH!$B$7*HSTECH!$G$7/HSTECH!$B$3,""))</f>
        <v/>
      </c>
      <c r="BZ116" s="106">
        <f>IF(L116="","",IFERROR(L116*HSTECH!$B$7*HSTECH!$G$7/HSTECH!$B$3,""))</f>
        <v/>
      </c>
      <c r="CA116" s="106">
        <f>IF(M116="","",IFERROR(M116*HSTECH!$B$7*HSTECH!$G$7/HSTECH!$B$3,""))</f>
        <v/>
      </c>
      <c r="CB116" s="106">
        <f>IF(N116="","",IFERROR(N116*HSTECH!$B$7*HSTECH!$G$7/HSTECH!$B$3,""))</f>
        <v/>
      </c>
      <c r="CC116" s="106">
        <f>IF(O116="","",IFERROR(O116*HSTECH!$B$7*HSTECH!$G$7/HSTECH!$B$3,""))</f>
        <v/>
      </c>
      <c r="CD116" s="106">
        <f>IF(P116="","",IFERROR(P116*HSTECH!$B$7*HSTECH!$G$7/HSTECH!$B$3,""))</f>
        <v/>
      </c>
      <c r="CE116" s="106">
        <f>IF(Q116="","",IFERROR(Q116*HSTECH!$B$7*HSTECH!$G$7/HSTECH!$B$3,""))</f>
        <v/>
      </c>
      <c r="CF116" s="106">
        <f>IF(R116="","",IFERROR(R116*HSTECH!$B$7*HSTECH!$G$7/HSTECH!$B$3,""))</f>
        <v/>
      </c>
      <c r="CG116" s="106">
        <f>IF(S116="","",IFERROR(S116*HSTECH!$B$7*HSTECH!$G$7/HSTECH!$B$3,""))</f>
        <v/>
      </c>
      <c r="CH116" s="106">
        <f>IF(T116="","",IFERROR(T116*HSTECH!$B$7*HSTECH!$G$7/HSTECH!$B$3,""))</f>
        <v/>
      </c>
      <c r="CI116" s="106">
        <f>IF(U116="","",IFERROR(U116*HSTECH!$B$7*HSTECH!$G$7/HSTECH!$B$3,""))</f>
        <v/>
      </c>
      <c r="CJ116" s="106">
        <f>IF(V116="","",IFERROR(V116*HSTECH!$B$7*HSTECH!$G$7/HSTECH!$B$3,""))</f>
        <v/>
      </c>
      <c r="CK116" s="106">
        <f>IF(W116="","",IFERROR(W116*HSTECH!$B$7*HSTECH!$G$7/HSTECH!$B$3,""))</f>
        <v/>
      </c>
      <c r="CL116" s="106">
        <f>IF(X116="","",IFERROR(X116*HSTECH!$B$7*HSTECH!$G$7/HSTECH!$B$3,""))</f>
        <v/>
      </c>
      <c r="CM116" s="106">
        <f>IF(Y116="","",IFERROR(Y116*HSTECH!$B$7*HSTECH!$G$7/HSTECH!$B$3,""))</f>
        <v/>
      </c>
      <c r="CN116" s="106">
        <f>IF(Z116="","",IFERROR(Z116*HSTECH!$B$7*HSTECH!$G$7/HSTECH!$B$3,""))</f>
        <v/>
      </c>
      <c r="CO116" s="106">
        <f>IF(AA116="","",IFERROR(AA116*HSTECH!$B$7*HSTECH!$G$7/HSTECH!$B$3,""))</f>
        <v/>
      </c>
      <c r="CP116" s="106">
        <f>IF(AB116="","",IFERROR(AB116*HSTECH!$B$7*HSTECH!$G$7/HSTECH!$B$3,""))</f>
        <v/>
      </c>
      <c r="CQ116" s="106">
        <f>IF(AC116="","",IFERROR(AC116*HSTECH!$B$7*HSTECH!$G$7/HSTECH!$B$3,""))</f>
        <v/>
      </c>
      <c r="CR116" s="106">
        <f>IF(AD116="","",IFERROR(AD116*HSTECH!$B$7*HSTECH!$G$7/HSTECH!$B$3,""))</f>
        <v/>
      </c>
      <c r="CS116" s="106">
        <f>IF(AE116="","",IFERROR(AE116*HSTECH!$B$7*HSTECH!$G$7/HSTECH!$B$3,""))</f>
        <v/>
      </c>
      <c r="CT116" s="106">
        <f>IF(AF116="","",IFERROR(AF116*HSTECH!$B$7*HSTECH!$G$7/HSTECH!$B$3,""))</f>
        <v/>
      </c>
      <c r="CU116" s="106">
        <f>IF(AG116="","",IFERROR(AG116*HSTECH!$B$7*HSTECH!$G$7/HSTECH!$B$3,""))</f>
        <v/>
      </c>
      <c r="CV116" s="106">
        <f>IF(AH116="","",IFERROR(AH116*HSTECH!$B$7*HSTECH!$G$7/HSTECH!$B$3,""))</f>
        <v/>
      </c>
      <c r="CW116" s="106">
        <f>IF(AI116="","",IFERROR(AI116*HSTECH!$B$7*HSTECH!$G$7/HSTECH!$B$3,""))</f>
        <v/>
      </c>
      <c r="CX116" s="106">
        <f>IF(AJ116="","",IFERROR(AJ116*HSTECH!$B$7*HSTECH!$G$7/HSTECH!$B$3,""))</f>
        <v/>
      </c>
      <c r="CY116" s="106">
        <f>IF(AK116="","",IFERROR(AK116*HSTECH!$B$7*HSTECH!$G$7/HSTECH!$B$3,""))</f>
        <v/>
      </c>
      <c r="CZ116" s="106">
        <f>IF(AL116="","",IFERROR(AL116*HSTECH!$B$7*HSTECH!$G$7/HSTECH!$B$3,""))</f>
        <v/>
      </c>
      <c r="DA116" s="106">
        <f>IF(AM116="","",IFERROR(AM116*HSTECH!$B$7*HSTECH!$G$7/HSTECH!$B$3,""))</f>
        <v/>
      </c>
      <c r="DB116" s="106">
        <f>IF(AN116="","",IFERROR(AN116*HSTECH!$B$7*HSTECH!$G$7/HSTECH!$B$3,""))</f>
        <v/>
      </c>
      <c r="DC116" s="106">
        <f>IF(AO116="","",IFERROR(AO116*HSTECH!$B$7*HSTECH!$G$7/HSTECH!$B$3,""))</f>
        <v/>
      </c>
      <c r="DD116" s="106">
        <f>IF(AP116="","",IFERROR(AP116*HSTECH!$B$7*HSTECH!$G$7/HSTECH!$B$3,""))</f>
        <v/>
      </c>
      <c r="DE116" s="106">
        <f>IF(AQ116="","",IFERROR(AQ116*HSTECH!$B$7*HSTECH!$G$7/HSTECH!$B$3,""))</f>
        <v/>
      </c>
      <c r="DF116" s="106">
        <f>IF(AR116="","",IFERROR(AR116*HSTECH!$B$7*HSTECH!$G$7/HSTECH!$B$3,""))</f>
        <v/>
      </c>
      <c r="DG116" s="106">
        <f>IF(AS116="","",IFERROR(AS116*HSTECH!$B$7*HSTECH!$G$7/HSTECH!$B$3,""))</f>
        <v/>
      </c>
      <c r="DH116" s="106">
        <f>IF(AT116="","",IFERROR(AT116*HSTECH!$B$7*HSTECH!$G$7/HSTECH!$B$3,""))</f>
        <v/>
      </c>
      <c r="DI116" s="106">
        <f>IF(AU116="","",IFERROR(AU116*HSTECH!$B$7*HSTECH!$G$7/HSTECH!$B$3,""))</f>
        <v/>
      </c>
      <c r="DJ116" s="106">
        <f>IF(AV116="","",IFERROR(AV116*HSTECH!$B$7*HSTECH!$G$7/HSTECH!$B$3,""))</f>
        <v/>
      </c>
      <c r="DK116" s="106">
        <f>IF(AW116="","",IFERROR(AW116*HSTECH!$B$7*HSTECH!$G$7/HSTECH!$B$3,""))</f>
        <v/>
      </c>
      <c r="DL116" s="106">
        <f>IF(AX116="","",IFERROR(AX116*HSTECH!$B$7*HSTECH!$G$7/HSTECH!$B$3,""))</f>
        <v/>
      </c>
      <c r="DM116" s="106">
        <f>IF(AY116="","",IFERROR(AY116*HSTECH!$B$7*HSTECH!$G$7/HSTECH!$B$3,""))</f>
        <v/>
      </c>
      <c r="DN116" s="106">
        <f>IF(AZ116="","",IFERROR(AZ116*HSTECH!$B$7*HSTECH!$G$7/HSTECH!$B$3,""))</f>
        <v/>
      </c>
      <c r="DO116" s="106">
        <f>IF(BA116="","",IFERROR(BA116*HSTECH!$B$7*HSTECH!$G$7/HSTECH!$B$3,""))</f>
        <v/>
      </c>
      <c r="DP116" s="106">
        <f>IF(BB116="","",IFERROR(BB116*HSTECH!$B$7*HSTECH!$G$7/HSTECH!$B$3,""))</f>
        <v/>
      </c>
      <c r="DQ116" s="106">
        <f>IF(BC116="","",IFERROR(BC116*HSTECH!$B$7*HSTECH!$G$7/HSTECH!$B$3,""))</f>
        <v/>
      </c>
      <c r="DR116" s="106">
        <f>IF(BD116="","",IFERROR(BD116*HSTECH!$B$7*HSTECH!$G$7/HSTECH!$B$3,""))</f>
        <v/>
      </c>
      <c r="DS116" s="106">
        <f>IF(BE116="","",IFERROR(BE116*HSTECH!$B$7*HSTECH!$G$7/HSTECH!$B$3,""))</f>
        <v/>
      </c>
      <c r="DT116" s="106">
        <f>IF(BF116="","",IFERROR(BF116*HSTECH!$B$7*HSTECH!$G$7/HSTECH!$B$3,""))</f>
        <v/>
      </c>
      <c r="DU116" s="106">
        <f>IF(BG116="","",IFERROR(BG116*HSTECH!$B$7*HSTECH!$G$7/HSTECH!$B$3,""))</f>
        <v/>
      </c>
      <c r="DV116" s="106">
        <f>IF(BH116="","",IFERROR(BH116*HSTECH!$B$7*HSTECH!$G$7/HSTECH!$B$3,""))</f>
        <v/>
      </c>
      <c r="DW116" s="106">
        <f>IF(BI116="","",IFERROR(BI116*HSTECH!$B$7*HSTECH!$G$7/HSTECH!$B$3,""))</f>
        <v/>
      </c>
      <c r="DX116" s="106">
        <f>IF(BJ116="","",IFERROR(BJ116*HSTECH!$B$7*HSTECH!$G$7/HSTECH!$B$3,""))</f>
        <v/>
      </c>
      <c r="DY116" s="106">
        <f>IF(BK116="","",IFERROR(BK116*HSTECH!$B$7*HSTECH!$G$7/HSTECH!$B$3,""))</f>
        <v/>
      </c>
      <c r="DZ116" s="106">
        <f>IF(BL116="","",IFERROR(BL116*HSTECH!$B$7*HSTECH!$G$7/HSTECH!$B$3,""))</f>
        <v/>
      </c>
      <c r="EA116" s="106">
        <f>IF(BM116="","",IFERROR(BM116*HSTECH!$B$7*HSTECH!$G$7/HSTECH!$B$3,""))</f>
        <v/>
      </c>
      <c r="EB116" s="106">
        <f>IF(BN116="","",IFERROR(BN116*HSTECH!$B$7*HSTECH!$G$7/HSTECH!$B$3,""))</f>
        <v/>
      </c>
      <c r="EC116" s="106">
        <f>IF(BO116="","",IFERROR(BO116*HSTECH!$B$7*HSTECH!$G$7/HSTECH!$B$3,""))</f>
        <v/>
      </c>
      <c r="EE116" s="35">
        <f>IF(N('Dvd Calendar'!$E$1116)=0,"",IF(('Dvd Calendar'!$E$1116&gt;=GRID_FROM)*('Dvd Calendar'!$E$1116&lt;=GRID_TO)*('Dvd Calendar'!$E$1116&lt;=VAL_DATE)=0,"",'Dvd Calendar'!$E$1116*1000000000+ISNUMBER('Dvd Calendar'!$E$1119)*100000000+('Dvd Calendar'!$E$1121=SPECIAL_LBL)*10000000+0*1000000+1*1000+1))</f>
        <v/>
      </c>
      <c r="EF116" s="35">
        <f>IF(N('Dvd Calendar'!$F$1116)=0,"",IF(('Dvd Calendar'!$F$1116&gt;=GRID_FROM)*('Dvd Calendar'!$F$1116&lt;=GRID_TO)*('Dvd Calendar'!$F$1116&lt;=VAL_DATE)=0,"",'Dvd Calendar'!$F$1116*1000000000+ISNUMBER('Dvd Calendar'!$F$1119)*100000000+('Dvd Calendar'!$F$1121=SPECIAL_LBL)*10000000+0*1000000+1*1000+2))</f>
        <v/>
      </c>
      <c r="EG116" s="35">
        <f>IF(N('Dvd Calendar'!$G$1116)=0,"",IF(('Dvd Calendar'!$G$1116&gt;=GRID_FROM)*('Dvd Calendar'!$G$1116&lt;=GRID_TO)*('Dvd Calendar'!$G$1116&lt;=VAL_DATE)=0,"",'Dvd Calendar'!$G$1116*1000000000+ISNUMBER('Dvd Calendar'!$G$1119)*100000000+('Dvd Calendar'!$G$1121=SPECIAL_LBL)*10000000+0*1000000+1*1000+3))</f>
        <v/>
      </c>
      <c r="EH116" s="35">
        <f>IF(N('Dvd Calendar'!$H$1116)=0,"",IF(('Dvd Calendar'!$H$1116&gt;=GRID_FROM)*('Dvd Calendar'!$H$1116&lt;=GRID_TO)*('Dvd Calendar'!$H$1116&lt;=VAL_DATE)=0,"",'Dvd Calendar'!$H$1116*1000000000+ISNUMBER('Dvd Calendar'!$H$1119)*100000000+('Dvd Calendar'!$H$1121=SPECIAL_LBL)*10000000+0*1000000+1*1000+4))</f>
        <v/>
      </c>
      <c r="EI116" s="35">
        <f>IF(N('Dvd Calendar'!$I$1116)=0,"",IF(('Dvd Calendar'!$I$1116&gt;=GRID_FROM)*('Dvd Calendar'!$I$1116&lt;=GRID_TO)*('Dvd Calendar'!$I$1116&lt;=VAL_DATE)=0,"",'Dvd Calendar'!$I$1116*1000000000+ISNUMBER('Dvd Calendar'!$I$1119)*100000000+('Dvd Calendar'!$I$1121=SPECIAL_LBL)*10000000+0*1000000+1*1000+5))</f>
        <v/>
      </c>
      <c r="EJ116" s="35">
        <f>IF(N('Dvd Calendar'!$J$1116)=0,"",IF(('Dvd Calendar'!$J$1116&gt;=GRID_FROM)*('Dvd Calendar'!$J$1116&lt;=GRID_TO)*('Dvd Calendar'!$J$1116&lt;=VAL_DATE)=0,"",'Dvd Calendar'!$J$1116*1000000000+ISNUMBER('Dvd Calendar'!$J$1119)*100000000+('Dvd Calendar'!$J$1121=SPECIAL_LBL)*10000000+0*1000000+1*1000+6))</f>
        <v/>
      </c>
      <c r="EK116" s="35">
        <f>IF(N('Dvd Calendar'!$K$1116)=0,"",IF(('Dvd Calendar'!$K$1116&gt;=GRID_FROM)*('Dvd Calendar'!$K$1116&lt;=GRID_TO)*('Dvd Calendar'!$K$1116&lt;=VAL_DATE)=0,"",'Dvd Calendar'!$K$1116*1000000000+ISNUMBER('Dvd Calendar'!$K$1119)*100000000+('Dvd Calendar'!$K$1121=SPECIAL_LBL)*10000000+0*1000000+1*1000+7))</f>
        <v/>
      </c>
      <c r="EL116" s="35">
        <f>IF(N('Dvd Calendar'!$L$1116)=0,"",IF(('Dvd Calendar'!$L$1116&gt;=GRID_FROM)*('Dvd Calendar'!$L$1116&lt;=GRID_TO)*('Dvd Calendar'!$L$1116&lt;=VAL_DATE)=0,"",'Dvd Calendar'!$L$1116*1000000000+ISNUMBER('Dvd Calendar'!$L$1119)*100000000+('Dvd Calendar'!$L$1121=SPECIAL_LBL)*10000000+0*1000000+1*1000+8))</f>
        <v/>
      </c>
      <c r="EM116" s="35">
        <f>IF(N('Dvd Calendar'!$M$1116)=0,"",IF(('Dvd Calendar'!$M$1116&gt;=GRID_FROM)*('Dvd Calendar'!$M$1116&lt;=GRID_TO)*('Dvd Calendar'!$M$1116&lt;=VAL_DATE)=0,"",'Dvd Calendar'!$M$1116*1000000000+ISNUMBER('Dvd Calendar'!$M$1119)*100000000+('Dvd Calendar'!$M$1121=SPECIAL_LBL)*10000000+0*1000000+1*1000+9))</f>
        <v/>
      </c>
      <c r="EN116" s="35">
        <f>IF(N('Dvd Calendar'!$N$1116)=0,"",IF(('Dvd Calendar'!$N$1116&gt;=GRID_FROM)*('Dvd Calendar'!$N$1116&lt;=GRID_TO)*('Dvd Calendar'!$N$1116&lt;=VAL_DATE)=0,"",'Dvd Calendar'!$N$1116*1000000000+ISNUMBER('Dvd Calendar'!$N$1119)*100000000+('Dvd Calendar'!$N$1121=SPECIAL_LBL)*10000000+0*1000000+1*1000+10))</f>
        <v/>
      </c>
      <c r="EO116" s="35">
        <f>IF(N('Dvd Calendar'!$O$1116)=0,"",IF(('Dvd Calendar'!$O$1116&gt;=GRID_FROM)*('Dvd Calendar'!$O$1116&lt;=GRID_TO)*('Dvd Calendar'!$O$1116&lt;=VAL_DATE)=0,"",'Dvd Calendar'!$O$1116*1000000000+ISNUMBER('Dvd Calendar'!$O$1119)*100000000+('Dvd Calendar'!$O$1121=SPECIAL_LBL)*10000000+0*1000000+1*1000+11))</f>
        <v/>
      </c>
      <c r="EP116" s="35">
        <f>IF(N('Dvd Calendar'!$P$1116)=0,"",IF(('Dvd Calendar'!$P$1116&gt;=GRID_FROM)*('Dvd Calendar'!$P$1116&lt;=GRID_TO)*('Dvd Calendar'!$P$1116&lt;=VAL_DATE)=0,"",'Dvd Calendar'!$P$1116*1000000000+ISNUMBER('Dvd Calendar'!$P$1119)*100000000+('Dvd Calendar'!$P$1121=SPECIAL_LBL)*10000000+0*1000000+1*1000+12))</f>
        <v/>
      </c>
      <c r="EQ116" s="35">
        <f>IF(N('Dvd Calendar'!$Q$1116)=0,"",IF(('Dvd Calendar'!$Q$1116&gt;=GRID_FROM)*('Dvd Calendar'!$Q$1116&lt;=GRID_TO)*('Dvd Calendar'!$Q$1116&lt;=VAL_DATE)=0,"",'Dvd Calendar'!$Q$1116*1000000000+ISNUMBER('Dvd Calendar'!$Q$1119)*100000000+('Dvd Calendar'!$Q$1121=SPECIAL_LBL)*10000000+0*1000000+1*1000+13))</f>
        <v/>
      </c>
      <c r="ER116" s="35">
        <f>IF(N('Dvd Calendar'!$R$1116)=0,"",IF(('Dvd Calendar'!$R$1116&gt;=GRID_FROM)*('Dvd Calendar'!$R$1116&lt;=GRID_TO)*('Dvd Calendar'!$R$1116&lt;=VAL_DATE)=0,"",'Dvd Calendar'!$R$1116*1000000000+ISNUMBER('Dvd Calendar'!$R$1119)*100000000+('Dvd Calendar'!$R$1121=SPECIAL_LBL)*10000000+0*1000000+1*1000+14))</f>
        <v/>
      </c>
      <c r="ES116" s="35">
        <f>IF(N('Dvd Calendar'!$S$1116)=0,"",IF(('Dvd Calendar'!$S$1116&gt;=GRID_FROM)*('Dvd Calendar'!$S$1116&lt;=GRID_TO)*('Dvd Calendar'!$S$1116&lt;=VAL_DATE)=0,"",'Dvd Calendar'!$S$1116*1000000000+ISNUMBER('Dvd Calendar'!$S$1119)*100000000+('Dvd Calendar'!$S$1121=SPECIAL_LBL)*10000000+0*1000000+1*1000+15))</f>
        <v/>
      </c>
      <c r="ET116" s="35">
        <f>IF(N('Dvd Calendar'!$T$1116)=0,"",IF(('Dvd Calendar'!$T$1116&gt;=GRID_FROM)*('Dvd Calendar'!$T$1116&lt;=GRID_TO)*('Dvd Calendar'!$T$1116&lt;=VAL_DATE)=0,"",'Dvd Calendar'!$T$1116*1000000000+ISNUMBER('Dvd Calendar'!$T$1119)*100000000+('Dvd Calendar'!$T$1121=SPECIAL_LBL)*10000000+0*1000000+1*1000+16))</f>
        <v/>
      </c>
      <c r="EU116" s="35">
        <f>IF(N('Dvd Calendar'!$U$1116)=0,"",IF(('Dvd Calendar'!$U$1116&gt;=GRID_FROM)*('Dvd Calendar'!$U$1116&lt;=GRID_TO)*('Dvd Calendar'!$U$1116&lt;=VAL_DATE)=0,"",'Dvd Calendar'!$U$1116*1000000000+ISNUMBER('Dvd Calendar'!$U$1119)*100000000+('Dvd Calendar'!$U$1121=SPECIAL_LBL)*10000000+0*1000000+1*1000+17))</f>
        <v/>
      </c>
      <c r="EV116" s="35">
        <f>IF(N('Dvd Calendar'!$V$1116)=0,"",IF(('Dvd Calendar'!$V$1116&gt;=GRID_FROM)*('Dvd Calendar'!$V$1116&lt;=GRID_TO)*('Dvd Calendar'!$V$1116&lt;=VAL_DATE)=0,"",'Dvd Calendar'!$V$1116*1000000000+ISNUMBER('Dvd Calendar'!$V$1119)*100000000+('Dvd Calendar'!$V$1121=SPECIAL_LBL)*10000000+0*1000000+1*1000+18))</f>
        <v/>
      </c>
      <c r="EW116" s="35">
        <f>IF(N('Dvd Calendar'!$W$1116)=0,"",IF(('Dvd Calendar'!$W$1116&gt;=GRID_FROM)*('Dvd Calendar'!$W$1116&lt;=GRID_TO)*('Dvd Calendar'!$W$1116&lt;=VAL_DATE)=0,"",'Dvd Calendar'!$W$1116*1000000000+ISNUMBER('Dvd Calendar'!$W$1119)*100000000+('Dvd Calendar'!$W$1121=SPECIAL_LBL)*10000000+0*1000000+1*1000+19))</f>
        <v/>
      </c>
      <c r="EX116" s="35">
        <f>IF(N('Dvd Calendar'!$X$1116)=0,"",IF(('Dvd Calendar'!$X$1116&gt;=GRID_FROM)*('Dvd Calendar'!$X$1116&lt;=GRID_TO)*('Dvd Calendar'!$X$1116&lt;=VAL_DATE)=0,"",'Dvd Calendar'!$X$1116*1000000000+ISNUMBER('Dvd Calendar'!$X$1119)*100000000+('Dvd Calendar'!$X$1121=SPECIAL_LBL)*10000000+0*1000000+1*1000+20))</f>
        <v/>
      </c>
      <c r="EY116" s="35">
        <f>IF(N('Dvd Calendar'!$Y$1116)=0,"",IF(('Dvd Calendar'!$Y$1116&gt;=GRID_FROM)*('Dvd Calendar'!$Y$1116&lt;=GRID_TO)*('Dvd Calendar'!$Y$1116&lt;=VAL_DATE)=0,"",'Dvd Calendar'!$Y$1116*1000000000+ISNUMBER('Dvd Calendar'!$Y$1119)*100000000+('Dvd Calendar'!$Y$1121=SPECIAL_LBL)*10000000+0*1000000+1*1000+21))</f>
        <v/>
      </c>
      <c r="EZ116" s="35">
        <f>IF(N('Dvd Calendar'!$Z$1116)=0,"",IF(('Dvd Calendar'!$Z$1116&gt;=GRID_FROM)*('Dvd Calendar'!$Z$1116&lt;=GRID_TO)*('Dvd Calendar'!$Z$1116&lt;=VAL_DATE)=0,"",'Dvd Calendar'!$Z$1116*1000000000+ISNUMBER('Dvd Calendar'!$Z$1119)*100000000+('Dvd Calendar'!$Z$1121=SPECIAL_LBL)*10000000+0*1000000+1*1000+22))</f>
        <v/>
      </c>
      <c r="FA116" s="35">
        <f>IF(N('Dvd Calendar'!$AA$1116)=0,"",IF(('Dvd Calendar'!$AA$1116&gt;=GRID_FROM)*('Dvd Calendar'!$AA$1116&lt;=GRID_TO)*('Dvd Calendar'!$AA$1116&lt;=VAL_DATE)=0,"",'Dvd Calendar'!$AA$1116*1000000000+ISNUMBER('Dvd Calendar'!$AA$1119)*100000000+('Dvd Calendar'!$AA$1121=SPECIAL_LBL)*10000000+0*1000000+1*1000+23))</f>
        <v/>
      </c>
      <c r="FB116" s="35">
        <f>IF(N('Dvd Calendar'!$AB$1116)=0,"",IF(('Dvd Calendar'!$AB$1116&gt;=GRID_FROM)*('Dvd Calendar'!$AB$1116&lt;=GRID_TO)*('Dvd Calendar'!$AB$1116&lt;=VAL_DATE)=0,"",'Dvd Calendar'!$AB$1116*1000000000+ISNUMBER('Dvd Calendar'!$AB$1119)*100000000+('Dvd Calendar'!$AB$1121=SPECIAL_LBL)*10000000+0*1000000+1*1000+24))</f>
        <v/>
      </c>
      <c r="FC116" s="35">
        <f>IF(N('Dvd Calendar'!$AC$1116)=0,"",IF(('Dvd Calendar'!$AC$1116&gt;=GRID_FROM)*('Dvd Calendar'!$AC$1116&lt;=GRID_TO)*('Dvd Calendar'!$AC$1116&lt;=VAL_DATE)=0,"",'Dvd Calendar'!$AC$1116*1000000000+ISNUMBER('Dvd Calendar'!$AC$1119)*100000000+('Dvd Calendar'!$AC$1121=SPECIAL_LBL)*10000000+0*1000000+1*1000+25))</f>
        <v/>
      </c>
      <c r="FD116" s="35">
        <f>IF(N('Dvd Calendar'!$AD$1116)=0,"",IF(('Dvd Calendar'!$AD$1116&gt;=GRID_FROM)*('Dvd Calendar'!$AD$1116&lt;=GRID_TO)*('Dvd Calendar'!$AD$1116&lt;=VAL_DATE)=0,"",'Dvd Calendar'!$AD$1116*1000000000+ISNUMBER('Dvd Calendar'!$AD$1119)*100000000+('Dvd Calendar'!$AD$1121=SPECIAL_LBL)*10000000+0*1000000+1*1000+26))</f>
        <v/>
      </c>
      <c r="FE116" s="35">
        <f>IF(N('Dvd Calendar'!$AE$1116)=0,"",IF(('Dvd Calendar'!$AE$1116&gt;=GRID_FROM)*('Dvd Calendar'!$AE$1116&lt;=GRID_TO)*('Dvd Calendar'!$AE$1116&lt;=VAL_DATE)=0,"",'Dvd Calendar'!$AE$1116*1000000000+ISNUMBER('Dvd Calendar'!$AE$1119)*100000000+('Dvd Calendar'!$AE$1121=SPECIAL_LBL)*10000000+0*1000000+1*1000+27))</f>
        <v/>
      </c>
      <c r="FF116" s="35">
        <f>IF(N('Dvd Calendar'!$AF$1116)=0,"",IF(('Dvd Calendar'!$AF$1116&gt;=GRID_FROM)*('Dvd Calendar'!$AF$1116&lt;=GRID_TO)*('Dvd Calendar'!$AF$1116&lt;=VAL_DATE)=0,"",'Dvd Calendar'!$AF$1116*1000000000+ISNUMBER('Dvd Calendar'!$AF$1119)*100000000+('Dvd Calendar'!$AF$1121=SPECIAL_LBL)*10000000+0*1000000+1*1000+28))</f>
        <v/>
      </c>
      <c r="FG116" s="35">
        <f>IF(N('Dvd Calendar'!$AG$1116)=0,"",IF(('Dvd Calendar'!$AG$1116&gt;=GRID_FROM)*('Dvd Calendar'!$AG$1116&lt;=GRID_TO)*('Dvd Calendar'!$AG$1116&lt;=VAL_DATE)=0,"",'Dvd Calendar'!$AG$1116*1000000000+ISNUMBER('Dvd Calendar'!$AG$1119)*100000000+('Dvd Calendar'!$AG$1121=SPECIAL_LBL)*10000000+0*1000000+1*1000+29))</f>
        <v/>
      </c>
      <c r="FH116" s="35">
        <f>IF(N('Dvd Calendar'!$AH$1116)=0,"",IF(('Dvd Calendar'!$AH$1116&gt;=GRID_FROM)*('Dvd Calendar'!$AH$1116&lt;=GRID_TO)*('Dvd Calendar'!$AH$1116&lt;=VAL_DATE)=0,"",'Dvd Calendar'!$AH$1116*1000000000+ISNUMBER('Dvd Calendar'!$AH$1119)*100000000+('Dvd Calendar'!$AH$1121=SPECIAL_LBL)*10000000+0*1000000+1*1000+30))</f>
        <v/>
      </c>
      <c r="FI116" s="35">
        <f>IF(N('Dvd Calendar'!$AI$1116)=0,"",IF(('Dvd Calendar'!$AI$1116&gt;=GRID_FROM)*('Dvd Calendar'!$AI$1116&lt;=GRID_TO)*('Dvd Calendar'!$AI$1116&lt;=VAL_DATE)=0,"",'Dvd Calendar'!$AI$1116*1000000000+ISNUMBER('Dvd Calendar'!$AI$1119)*100000000+('Dvd Calendar'!$AI$1121=SPECIAL_LBL)*10000000+0*1000000+1*1000+31))</f>
        <v/>
      </c>
      <c r="FJ116" s="35">
        <f>IF(N('Dvd Calendar'!$AJ$1116)=0,"",IF(('Dvd Calendar'!$AJ$1116&gt;=GRID_FROM)*('Dvd Calendar'!$AJ$1116&lt;=GRID_TO)*('Dvd Calendar'!$AJ$1116&lt;=VAL_DATE)=0,"",'Dvd Calendar'!$AJ$1116*1000000000+ISNUMBER('Dvd Calendar'!$AJ$1119)*100000000+('Dvd Calendar'!$AJ$1121=SPECIAL_LBL)*10000000+0*1000000+1*1000+32))</f>
        <v/>
      </c>
      <c r="FK116" s="35">
        <f>IF(N('Dvd Calendar'!$AK$1116)=0,"",IF(('Dvd Calendar'!$AK$1116&gt;=GRID_FROM)*('Dvd Calendar'!$AK$1116&lt;=GRID_TO)*('Dvd Calendar'!$AK$1116&lt;=VAL_DATE)=0,"",'Dvd Calendar'!$AK$1116*1000000000+ISNUMBER('Dvd Calendar'!$AK$1119)*100000000+('Dvd Calendar'!$AK$1121=SPECIAL_LBL)*10000000+0*1000000+1*1000+33))</f>
        <v/>
      </c>
      <c r="FL116" s="35">
        <f>IF(N('Dvd Calendar'!$AL$1116)=0,"",IF(('Dvd Calendar'!$AL$1116&gt;=GRID_FROM)*('Dvd Calendar'!$AL$1116&lt;=GRID_TO)*('Dvd Calendar'!$AL$1116&lt;=VAL_DATE)=0,"",'Dvd Calendar'!$AL$1116*1000000000+ISNUMBER('Dvd Calendar'!$AL$1119)*100000000+('Dvd Calendar'!$AL$1121=SPECIAL_LBL)*10000000+0*1000000+1*1000+34))</f>
        <v/>
      </c>
      <c r="FM116" s="35">
        <f>IF(N('Dvd Calendar'!$AM$1116)=0,"",IF(('Dvd Calendar'!$AM$1116&gt;=GRID_FROM)*('Dvd Calendar'!$AM$1116&lt;=GRID_TO)*('Dvd Calendar'!$AM$1116&lt;=VAL_DATE)=0,"",'Dvd Calendar'!$AM$1116*1000000000+ISNUMBER('Dvd Calendar'!$AM$1119)*100000000+('Dvd Calendar'!$AM$1121=SPECIAL_LBL)*10000000+0*1000000+1*1000+35))</f>
        <v/>
      </c>
      <c r="FN116" s="35">
        <f>IF(N('Dvd Calendar'!$AN$1116)=0,"",IF(('Dvd Calendar'!$AN$1116&gt;=GRID_FROM)*('Dvd Calendar'!$AN$1116&lt;=GRID_TO)*('Dvd Calendar'!$AN$1116&lt;=VAL_DATE)=0,"",'Dvd Calendar'!$AN$1116*1000000000+ISNUMBER('Dvd Calendar'!$AN$1119)*100000000+('Dvd Calendar'!$AN$1121=SPECIAL_LBL)*10000000+0*1000000+1*1000+36))</f>
        <v/>
      </c>
      <c r="FO116" s="35">
        <f>IF(N('Dvd Calendar'!$AO$1116)=0,"",IF(('Dvd Calendar'!$AO$1116&gt;=GRID_FROM)*('Dvd Calendar'!$AO$1116&lt;=GRID_TO)*('Dvd Calendar'!$AO$1116&lt;=VAL_DATE)=0,"",'Dvd Calendar'!$AO$1116*1000000000+ISNUMBER('Dvd Calendar'!$AO$1119)*100000000+('Dvd Calendar'!$AO$1121=SPECIAL_LBL)*10000000+0*1000000+1*1000+37))</f>
        <v/>
      </c>
      <c r="FP116" s="35">
        <f>IF(N('Dvd Calendar'!$AP$1116)=0,"",IF(('Dvd Calendar'!$AP$1116&gt;=GRID_FROM)*('Dvd Calendar'!$AP$1116&lt;=GRID_TO)*('Dvd Calendar'!$AP$1116&lt;=VAL_DATE)=0,"",'Dvd Calendar'!$AP$1116*1000000000+ISNUMBER('Dvd Calendar'!$AP$1119)*100000000+('Dvd Calendar'!$AP$1121=SPECIAL_LBL)*10000000+0*1000000+1*1000+38))</f>
        <v/>
      </c>
      <c r="FQ116" s="35">
        <f>IF(N('Dvd Calendar'!$AQ$1116)=0,"",IF(('Dvd Calendar'!$AQ$1116&gt;=GRID_FROM)*('Dvd Calendar'!$AQ$1116&lt;=GRID_TO)*('Dvd Calendar'!$AQ$1116&lt;=VAL_DATE)=0,"",'Dvd Calendar'!$AQ$1116*1000000000+ISNUMBER('Dvd Calendar'!$AQ$1119)*100000000+('Dvd Calendar'!$AQ$1121=SPECIAL_LBL)*10000000+0*1000000+1*1000+39))</f>
        <v/>
      </c>
      <c r="FR116" s="35">
        <f>IF(N('Dvd Calendar'!$AR$1116)=0,"",IF(('Dvd Calendar'!$AR$1116&gt;=GRID_FROM)*('Dvd Calendar'!$AR$1116&lt;=GRID_TO)*('Dvd Calendar'!$AR$1116&lt;=VAL_DATE)=0,"",'Dvd Calendar'!$AR$1116*1000000000+ISNUMBER('Dvd Calendar'!$AR$1119)*100000000+('Dvd Calendar'!$AR$1121=SPECIAL_LBL)*10000000+0*1000000+1*1000+40))</f>
        <v/>
      </c>
      <c r="FS116" s="35">
        <f>IF(N('Dvd Calendar'!$E$1123)=0,"",IF(('Dvd Calendar'!$E$1123&gt;=GRID_FROM)*('Dvd Calendar'!$E$1123&lt;=GRID_TO)*('Dvd Calendar'!$E$1123&gt;VAL_DATE)=0,"",'Dvd Calendar'!$E$1123*1000000000+ISNUMBER('Dvd Calendar'!$E$1124)*100000000+0*10000000+(N('Dvd Calendar'!$E$1122)&gt;0)*(N('Dvd Calendar'!$E$1122)&lt;=VAL_SERIAL)*1000000+1*1000+41))</f>
        <v/>
      </c>
      <c r="FT116" s="35">
        <f>IF(N('Dvd Calendar'!$F$1123)=0,"",IF(('Dvd Calendar'!$F$1123&gt;=GRID_FROM)*('Dvd Calendar'!$F$1123&lt;=GRID_TO)*('Dvd Calendar'!$F$1123&gt;VAL_DATE)=0,"",'Dvd Calendar'!$F$1123*1000000000+ISNUMBER('Dvd Calendar'!$F$1124)*100000000+0*10000000+(N('Dvd Calendar'!$F$1122)&gt;0)*(N('Dvd Calendar'!$F$1122)&lt;=VAL_SERIAL)*1000000+1*1000+42))</f>
        <v/>
      </c>
      <c r="FU116" s="35">
        <f>IF(N('Dvd Calendar'!$G$1123)=0,"",IF(('Dvd Calendar'!$G$1123&gt;=GRID_FROM)*('Dvd Calendar'!$G$1123&lt;=GRID_TO)*('Dvd Calendar'!$G$1123&gt;VAL_DATE)=0,"",'Dvd Calendar'!$G$1123*1000000000+ISNUMBER('Dvd Calendar'!$G$1124)*100000000+0*10000000+(N('Dvd Calendar'!$G$1122)&gt;0)*(N('Dvd Calendar'!$G$1122)&lt;=VAL_SERIAL)*1000000+1*1000+43))</f>
        <v/>
      </c>
      <c r="FV116" s="35">
        <f>IF(N('Dvd Calendar'!$H$1123)=0,"",IF(('Dvd Calendar'!$H$1123&gt;=GRID_FROM)*('Dvd Calendar'!$H$1123&lt;=GRID_TO)*('Dvd Calendar'!$H$1123&gt;VAL_DATE)=0,"",'Dvd Calendar'!$H$1123*1000000000+ISNUMBER('Dvd Calendar'!$H$1124)*100000000+0*10000000+(N('Dvd Calendar'!$H$1122)&gt;0)*(N('Dvd Calendar'!$H$1122)&lt;=VAL_SERIAL)*1000000+1*1000+44))</f>
        <v/>
      </c>
      <c r="FW116" s="35">
        <f>IF(N('Dvd Calendar'!$I$1123)=0,"",IF(('Dvd Calendar'!$I$1123&gt;=GRID_FROM)*('Dvd Calendar'!$I$1123&lt;=GRID_TO)*('Dvd Calendar'!$I$1123&gt;VAL_DATE)=0,"",'Dvd Calendar'!$I$1123*1000000000+ISNUMBER('Dvd Calendar'!$I$1124)*100000000+0*10000000+(N('Dvd Calendar'!$I$1122)&gt;0)*(N('Dvd Calendar'!$I$1122)&lt;=VAL_SERIAL)*1000000+1*1000+45))</f>
        <v/>
      </c>
      <c r="FX116" s="35">
        <f>IF(N('Dvd Calendar'!$J$1123)=0,"",IF(('Dvd Calendar'!$J$1123&gt;=GRID_FROM)*('Dvd Calendar'!$J$1123&lt;=GRID_TO)*('Dvd Calendar'!$J$1123&gt;VAL_DATE)=0,"",'Dvd Calendar'!$J$1123*1000000000+ISNUMBER('Dvd Calendar'!$J$1124)*100000000+0*10000000+(N('Dvd Calendar'!$J$1122)&gt;0)*(N('Dvd Calendar'!$J$1122)&lt;=VAL_SERIAL)*1000000+1*1000+46))</f>
        <v/>
      </c>
      <c r="FY116" s="35">
        <f>IF(N('Dvd Calendar'!$K$1123)=0,"",IF(('Dvd Calendar'!$K$1123&gt;=GRID_FROM)*('Dvd Calendar'!$K$1123&lt;=GRID_TO)*('Dvd Calendar'!$K$1123&gt;VAL_DATE)=0,"",'Dvd Calendar'!$K$1123*1000000000+ISNUMBER('Dvd Calendar'!$K$1124)*100000000+0*10000000+(N('Dvd Calendar'!$K$1122)&gt;0)*(N('Dvd Calendar'!$K$1122)&lt;=VAL_SERIAL)*1000000+1*1000+47))</f>
        <v/>
      </c>
      <c r="FZ116" s="35">
        <f>IF(N('Dvd Calendar'!$L$1123)=0,"",IF(('Dvd Calendar'!$L$1123&gt;=GRID_FROM)*('Dvd Calendar'!$L$1123&lt;=GRID_TO)*('Dvd Calendar'!$L$1123&gt;VAL_DATE)=0,"",'Dvd Calendar'!$L$1123*1000000000+ISNUMBER('Dvd Calendar'!$L$1124)*100000000+0*10000000+(N('Dvd Calendar'!$L$1122)&gt;0)*(N('Dvd Calendar'!$L$1122)&lt;=VAL_SERIAL)*1000000+1*1000+48))</f>
        <v/>
      </c>
      <c r="GA116" s="35">
        <f>IF(N('Dvd Calendar'!$M$1123)=0,"",IF(('Dvd Calendar'!$M$1123&gt;=GRID_FROM)*('Dvd Calendar'!$M$1123&lt;=GRID_TO)*('Dvd Calendar'!$M$1123&gt;VAL_DATE)=0,"",'Dvd Calendar'!$M$1123*1000000000+ISNUMBER('Dvd Calendar'!$M$1124)*100000000+0*10000000+(N('Dvd Calendar'!$M$1122)&gt;0)*(N('Dvd Calendar'!$M$1122)&lt;=VAL_SERIAL)*1000000+1*1000+49))</f>
        <v/>
      </c>
      <c r="GB116" s="35">
        <f>IF(N('Dvd Calendar'!$N$1123)=0,"",IF(('Dvd Calendar'!$N$1123&gt;=GRID_FROM)*('Dvd Calendar'!$N$1123&lt;=GRID_TO)*('Dvd Calendar'!$N$1123&gt;VAL_DATE)=0,"",'Dvd Calendar'!$N$1123*1000000000+ISNUMBER('Dvd Calendar'!$N$1124)*100000000+0*10000000+(N('Dvd Calendar'!$N$1122)&gt;0)*(N('Dvd Calendar'!$N$1122)&lt;=VAL_SERIAL)*1000000+1*1000+50))</f>
        <v/>
      </c>
      <c r="GC116" s="35">
        <f>IF(N('Dvd Calendar'!$O$1123)=0,"",IF(('Dvd Calendar'!$O$1123&gt;=GRID_FROM)*('Dvd Calendar'!$O$1123&lt;=GRID_TO)*('Dvd Calendar'!$O$1123&gt;VAL_DATE)=0,"",'Dvd Calendar'!$O$1123*1000000000+ISNUMBER('Dvd Calendar'!$O$1124)*100000000+0*10000000+(N('Dvd Calendar'!$O$1122)&gt;0)*(N('Dvd Calendar'!$O$1122)&lt;=VAL_SERIAL)*1000000+1*1000+51))</f>
        <v/>
      </c>
      <c r="GD116" s="35">
        <f>IF(N('Dvd Calendar'!$P$1123)=0,"",IF(('Dvd Calendar'!$P$1123&gt;=GRID_FROM)*('Dvd Calendar'!$P$1123&lt;=GRID_TO)*('Dvd Calendar'!$P$1123&gt;VAL_DATE)=0,"",'Dvd Calendar'!$P$1123*1000000000+ISNUMBER('Dvd Calendar'!$P$1124)*100000000+0*10000000+(N('Dvd Calendar'!$P$1122)&gt;0)*(N('Dvd Calendar'!$P$1122)&lt;=VAL_SERIAL)*1000000+1*1000+52))</f>
        <v/>
      </c>
      <c r="GE116" s="35">
        <f>IF(N('Dvd Calendar'!$Q$1123)=0,"",IF(('Dvd Calendar'!$Q$1123&gt;=GRID_FROM)*('Dvd Calendar'!$Q$1123&lt;=GRID_TO)*('Dvd Calendar'!$Q$1123&gt;VAL_DATE)=0,"",'Dvd Calendar'!$Q$1123*1000000000+ISNUMBER('Dvd Calendar'!$Q$1124)*100000000+0*10000000+(N('Dvd Calendar'!$Q$1122)&gt;0)*(N('Dvd Calendar'!$Q$1122)&lt;=VAL_SERIAL)*1000000+1*1000+53))</f>
        <v/>
      </c>
      <c r="GF116" s="35">
        <f>IF(N('Dvd Calendar'!$R$1123)=0,"",IF(('Dvd Calendar'!$R$1123&gt;=GRID_FROM)*('Dvd Calendar'!$R$1123&lt;=GRID_TO)*('Dvd Calendar'!$R$1123&gt;VAL_DATE)=0,"",'Dvd Calendar'!$R$1123*1000000000+ISNUMBER('Dvd Calendar'!$R$1124)*100000000+0*10000000+(N('Dvd Calendar'!$R$1122)&gt;0)*(N('Dvd Calendar'!$R$1122)&lt;=VAL_SERIAL)*1000000+1*1000+54))</f>
        <v/>
      </c>
      <c r="GG116" s="35">
        <f>IF(N('Dvd Calendar'!$S$1123)=0,"",IF(('Dvd Calendar'!$S$1123&gt;=GRID_FROM)*('Dvd Calendar'!$S$1123&lt;=GRID_TO)*('Dvd Calendar'!$S$1123&gt;VAL_DATE)=0,"",'Dvd Calendar'!$S$1123*1000000000+ISNUMBER('Dvd Calendar'!$S$1124)*100000000+0*10000000+(N('Dvd Calendar'!$S$1122)&gt;0)*(N('Dvd Calendar'!$S$1122)&lt;=VAL_SERIAL)*1000000+1*1000+55))</f>
        <v/>
      </c>
      <c r="GH116" s="35">
        <f>IF(N('Dvd Calendar'!$T$1123)=0,"",IF(('Dvd Calendar'!$T$1123&gt;=GRID_FROM)*('Dvd Calendar'!$T$1123&lt;=GRID_TO)*('Dvd Calendar'!$T$1123&gt;VAL_DATE)=0,"",'Dvd Calendar'!$T$1123*1000000000+ISNUMBER('Dvd Calendar'!$T$1124)*100000000+0*10000000+(N('Dvd Calendar'!$T$1122)&gt;0)*(N('Dvd Calendar'!$T$1122)&lt;=VAL_SERIAL)*1000000+1*1000+56))</f>
        <v/>
      </c>
      <c r="GI116" s="35">
        <f>IF(N('Dvd Calendar'!$U$1123)=0,"",IF(('Dvd Calendar'!$U$1123&gt;=GRID_FROM)*('Dvd Calendar'!$U$1123&lt;=GRID_TO)*('Dvd Calendar'!$U$1123&gt;VAL_DATE)=0,"",'Dvd Calendar'!$U$1123*1000000000+ISNUMBER('Dvd Calendar'!$U$1124)*100000000+0*10000000+(N('Dvd Calendar'!$U$1122)&gt;0)*(N('Dvd Calendar'!$U$1122)&lt;=VAL_SERIAL)*1000000+1*1000+57))</f>
        <v/>
      </c>
      <c r="GJ116" s="35">
        <f>IF(N('Dvd Calendar'!$V$1123)=0,"",IF(('Dvd Calendar'!$V$1123&gt;=GRID_FROM)*('Dvd Calendar'!$V$1123&lt;=GRID_TO)*('Dvd Calendar'!$V$1123&gt;VAL_DATE)=0,"",'Dvd Calendar'!$V$1123*1000000000+ISNUMBER('Dvd Calendar'!$V$1124)*100000000+0*10000000+(N('Dvd Calendar'!$V$1122)&gt;0)*(N('Dvd Calendar'!$V$1122)&lt;=VAL_SERIAL)*1000000+1*1000+58))</f>
        <v/>
      </c>
      <c r="GK116" s="35">
        <f>IF(N('Dvd Calendar'!$W$1123)=0,"",IF(('Dvd Calendar'!$W$1123&gt;=GRID_FROM)*('Dvd Calendar'!$W$1123&lt;=GRID_TO)*('Dvd Calendar'!$W$1123&gt;VAL_DATE)=0,"",'Dvd Calendar'!$W$1123*1000000000+ISNUMBER('Dvd Calendar'!$W$1124)*100000000+0*10000000+(N('Dvd Calendar'!$W$1122)&gt;0)*(N('Dvd Calendar'!$W$1122)&lt;=VAL_SERIAL)*1000000+1*1000+59))</f>
        <v/>
      </c>
      <c r="GL116" s="35">
        <f>IF(N('Dvd Calendar'!$X$1123)=0,"",IF(('Dvd Calendar'!$X$1123&gt;=GRID_FROM)*('Dvd Calendar'!$X$1123&lt;=GRID_TO)*('Dvd Calendar'!$X$1123&gt;VAL_DATE)=0,"",'Dvd Calendar'!$X$1123*1000000000+ISNUMBER('Dvd Calendar'!$X$1124)*100000000+0*10000000+(N('Dvd Calendar'!$X$1122)&gt;0)*(N('Dvd Calendar'!$X$1122)&lt;=VAL_SERIAL)*1000000+1*1000+60))</f>
        <v/>
      </c>
      <c r="GM116" s="35">
        <f>IF(N('Dvd Calendar'!$Y$1123)=0,"",IF(('Dvd Calendar'!$Y$1123&gt;=GRID_FROM)*('Dvd Calendar'!$Y$1123&lt;=GRID_TO)*('Dvd Calendar'!$Y$1123&gt;VAL_DATE)=0,"",'Dvd Calendar'!$Y$1123*1000000000+ISNUMBER('Dvd Calendar'!$Y$1124)*100000000+0*10000000+(N('Dvd Calendar'!$Y$1122)&gt;0)*(N('Dvd Calendar'!$Y$1122)&lt;=VAL_SERIAL)*1000000+1*1000+61))</f>
        <v/>
      </c>
      <c r="GN116" s="35">
        <f>IF(N('Dvd Calendar'!$Z$1123)=0,"",IF(('Dvd Calendar'!$Z$1123&gt;=GRID_FROM)*('Dvd Calendar'!$Z$1123&lt;=GRID_TO)*('Dvd Calendar'!$Z$1123&gt;VAL_DATE)=0,"",'Dvd Calendar'!$Z$1123*1000000000+ISNUMBER('Dvd Calendar'!$Z$1124)*100000000+0*10000000+(N('Dvd Calendar'!$Z$1122)&gt;0)*(N('Dvd Calendar'!$Z$1122)&lt;=VAL_SERIAL)*1000000+1*1000+62))</f>
        <v/>
      </c>
      <c r="GO116" s="35">
        <f>IF(N('Dvd Calendar'!$AA$1123)=0,"",IF(('Dvd Calendar'!$AA$1123&gt;=GRID_FROM)*('Dvd Calendar'!$AA$1123&lt;=GRID_TO)*('Dvd Calendar'!$AA$1123&gt;VAL_DATE)=0,"",'Dvd Calendar'!$AA$1123*1000000000+ISNUMBER('Dvd Calendar'!$AA$1124)*100000000+0*10000000+(N('Dvd Calendar'!$AA$1122)&gt;0)*(N('Dvd Calendar'!$AA$1122)&lt;=VAL_SERIAL)*1000000+1*1000+63))</f>
        <v/>
      </c>
      <c r="GP116" s="35">
        <f>IF(N('Dvd Calendar'!$AB$1123)=0,"",IF(('Dvd Calendar'!$AB$1123&gt;=GRID_FROM)*('Dvd Calendar'!$AB$1123&lt;=GRID_TO)*('Dvd Calendar'!$AB$1123&gt;VAL_DATE)=0,"",'Dvd Calendar'!$AB$1123*1000000000+ISNUMBER('Dvd Calendar'!$AB$1124)*100000000+0*10000000+(N('Dvd Calendar'!$AB$1122)&gt;0)*(N('Dvd Calendar'!$AB$1122)&lt;=VAL_SERIAL)*1000000+1*1000+64))</f>
        <v/>
      </c>
      <c r="GQ116" s="35">
        <f>IF(N('Dvd Calendar'!$AC$1123)=0,"",IF(('Dvd Calendar'!$AC$1123&gt;=GRID_FROM)*('Dvd Calendar'!$AC$1123&lt;=GRID_TO)*('Dvd Calendar'!$AC$1123&gt;VAL_DATE)=0,"",'Dvd Calendar'!$AC$1123*1000000000+ISNUMBER('Dvd Calendar'!$AC$1124)*100000000+0*10000000+(N('Dvd Calendar'!$AC$1122)&gt;0)*(N('Dvd Calendar'!$AC$1122)&lt;=VAL_SERIAL)*1000000+1*1000+65))</f>
        <v/>
      </c>
    </row>
    <row r="117">
      <c r="B117" s="2">
        <f>IF(HSTECH!$C$8="","",HSTECH!$C$8)</f>
        <v/>
      </c>
      <c r="C117" s="106">
        <f>IF(EE117="","",IF(ISNUMBER('Dvd Calendar'!$E$1130)=FALSE,"",IF((('Dvd Calendar'!$E$1132=TYPE1)*(TYPE1&lt;&gt;"")+('Dvd Calendar'!$E$1132=TYPE2)*(TYPE2&lt;&gt;"")+('Dvd Calendar'!$E$1132=TYPE3)*(TYPE3&lt;&gt;"")+('Dvd Calendar'!$E$1132=TYPE4)*(TYPE4&lt;&gt;"")+('Dvd Calendar'!$E$1132=SPECIAL_LBL)*(INC_SPECIALS="Y"))=0,"",'Dvd Calendar'!$E$1130)))</f>
        <v/>
      </c>
      <c r="D117" s="106">
        <f>IF(EF117="","",IF(ISNUMBER('Dvd Calendar'!$F$1130)=FALSE,"",IF((('Dvd Calendar'!$F$1132=TYPE1)*(TYPE1&lt;&gt;"")+('Dvd Calendar'!$F$1132=TYPE2)*(TYPE2&lt;&gt;"")+('Dvd Calendar'!$F$1132=TYPE3)*(TYPE3&lt;&gt;"")+('Dvd Calendar'!$F$1132=TYPE4)*(TYPE4&lt;&gt;"")+('Dvd Calendar'!$F$1132=SPECIAL_LBL)*(INC_SPECIALS="Y"))=0,"",'Dvd Calendar'!$F$1130)))</f>
        <v/>
      </c>
      <c r="E117" s="106">
        <f>IF(EG117="","",IF(ISNUMBER('Dvd Calendar'!$G$1130)=FALSE,"",IF((('Dvd Calendar'!$G$1132=TYPE1)*(TYPE1&lt;&gt;"")+('Dvd Calendar'!$G$1132=TYPE2)*(TYPE2&lt;&gt;"")+('Dvd Calendar'!$G$1132=TYPE3)*(TYPE3&lt;&gt;"")+('Dvd Calendar'!$G$1132=TYPE4)*(TYPE4&lt;&gt;"")+('Dvd Calendar'!$G$1132=SPECIAL_LBL)*(INC_SPECIALS="Y"))=0,"",'Dvd Calendar'!$G$1130)))</f>
        <v/>
      </c>
      <c r="F117" s="106">
        <f>IF(EH117="","",IF(ISNUMBER('Dvd Calendar'!$H$1130)=FALSE,"",IF((('Dvd Calendar'!$H$1132=TYPE1)*(TYPE1&lt;&gt;"")+('Dvd Calendar'!$H$1132=TYPE2)*(TYPE2&lt;&gt;"")+('Dvd Calendar'!$H$1132=TYPE3)*(TYPE3&lt;&gt;"")+('Dvd Calendar'!$H$1132=TYPE4)*(TYPE4&lt;&gt;"")+('Dvd Calendar'!$H$1132=SPECIAL_LBL)*(INC_SPECIALS="Y"))=0,"",'Dvd Calendar'!$H$1130)))</f>
        <v/>
      </c>
      <c r="G117" s="106">
        <f>IF(EI117="","",IF(ISNUMBER('Dvd Calendar'!$I$1130)=FALSE,"",IF((('Dvd Calendar'!$I$1132=TYPE1)*(TYPE1&lt;&gt;"")+('Dvd Calendar'!$I$1132=TYPE2)*(TYPE2&lt;&gt;"")+('Dvd Calendar'!$I$1132=TYPE3)*(TYPE3&lt;&gt;"")+('Dvd Calendar'!$I$1132=TYPE4)*(TYPE4&lt;&gt;"")+('Dvd Calendar'!$I$1132=SPECIAL_LBL)*(INC_SPECIALS="Y"))=0,"",'Dvd Calendar'!$I$1130)))</f>
        <v/>
      </c>
      <c r="H117" s="106">
        <f>IF(EJ117="","",IF(ISNUMBER('Dvd Calendar'!$J$1130)=FALSE,"",IF((('Dvd Calendar'!$J$1132=TYPE1)*(TYPE1&lt;&gt;"")+('Dvd Calendar'!$J$1132=TYPE2)*(TYPE2&lt;&gt;"")+('Dvd Calendar'!$J$1132=TYPE3)*(TYPE3&lt;&gt;"")+('Dvd Calendar'!$J$1132=TYPE4)*(TYPE4&lt;&gt;"")+('Dvd Calendar'!$J$1132=SPECIAL_LBL)*(INC_SPECIALS="Y"))=0,"",'Dvd Calendar'!$J$1130)))</f>
        <v/>
      </c>
      <c r="I117" s="106">
        <f>IF(EK117="","",IF(ISNUMBER('Dvd Calendar'!$K$1130)=FALSE,"",IF((('Dvd Calendar'!$K$1132=TYPE1)*(TYPE1&lt;&gt;"")+('Dvd Calendar'!$K$1132=TYPE2)*(TYPE2&lt;&gt;"")+('Dvd Calendar'!$K$1132=TYPE3)*(TYPE3&lt;&gt;"")+('Dvd Calendar'!$K$1132=TYPE4)*(TYPE4&lt;&gt;"")+('Dvd Calendar'!$K$1132=SPECIAL_LBL)*(INC_SPECIALS="Y"))=0,"",'Dvd Calendar'!$K$1130)))</f>
        <v/>
      </c>
      <c r="J117" s="106">
        <f>IF(EL117="","",IF(ISNUMBER('Dvd Calendar'!$L$1130)=FALSE,"",IF((('Dvd Calendar'!$L$1132=TYPE1)*(TYPE1&lt;&gt;"")+('Dvd Calendar'!$L$1132=TYPE2)*(TYPE2&lt;&gt;"")+('Dvd Calendar'!$L$1132=TYPE3)*(TYPE3&lt;&gt;"")+('Dvd Calendar'!$L$1132=TYPE4)*(TYPE4&lt;&gt;"")+('Dvd Calendar'!$L$1132=SPECIAL_LBL)*(INC_SPECIALS="Y"))=0,"",'Dvd Calendar'!$L$1130)))</f>
        <v/>
      </c>
      <c r="K117" s="106">
        <f>IF(EM117="","",IF(ISNUMBER('Dvd Calendar'!$M$1130)=FALSE,"",IF((('Dvd Calendar'!$M$1132=TYPE1)*(TYPE1&lt;&gt;"")+('Dvd Calendar'!$M$1132=TYPE2)*(TYPE2&lt;&gt;"")+('Dvd Calendar'!$M$1132=TYPE3)*(TYPE3&lt;&gt;"")+('Dvd Calendar'!$M$1132=TYPE4)*(TYPE4&lt;&gt;"")+('Dvd Calendar'!$M$1132=SPECIAL_LBL)*(INC_SPECIALS="Y"))=0,"",'Dvd Calendar'!$M$1130)))</f>
        <v/>
      </c>
      <c r="L117" s="106">
        <f>IF(EN117="","",IF(ISNUMBER('Dvd Calendar'!$N$1130)=FALSE,"",IF((('Dvd Calendar'!$N$1132=TYPE1)*(TYPE1&lt;&gt;"")+('Dvd Calendar'!$N$1132=TYPE2)*(TYPE2&lt;&gt;"")+('Dvd Calendar'!$N$1132=TYPE3)*(TYPE3&lt;&gt;"")+('Dvd Calendar'!$N$1132=TYPE4)*(TYPE4&lt;&gt;"")+('Dvd Calendar'!$N$1132=SPECIAL_LBL)*(INC_SPECIALS="Y"))=0,"",'Dvd Calendar'!$N$1130)))</f>
        <v/>
      </c>
      <c r="M117" s="106">
        <f>IF(EO117="","",IF(ISNUMBER('Dvd Calendar'!$O$1130)=FALSE,"",IF((('Dvd Calendar'!$O$1132=TYPE1)*(TYPE1&lt;&gt;"")+('Dvd Calendar'!$O$1132=TYPE2)*(TYPE2&lt;&gt;"")+('Dvd Calendar'!$O$1132=TYPE3)*(TYPE3&lt;&gt;"")+('Dvd Calendar'!$O$1132=TYPE4)*(TYPE4&lt;&gt;"")+('Dvd Calendar'!$O$1132=SPECIAL_LBL)*(INC_SPECIALS="Y"))=0,"",'Dvd Calendar'!$O$1130)))</f>
        <v/>
      </c>
      <c r="N117" s="106">
        <f>IF(EP117="","",IF(ISNUMBER('Dvd Calendar'!$P$1130)=FALSE,"",IF((('Dvd Calendar'!$P$1132=TYPE1)*(TYPE1&lt;&gt;"")+('Dvd Calendar'!$P$1132=TYPE2)*(TYPE2&lt;&gt;"")+('Dvd Calendar'!$P$1132=TYPE3)*(TYPE3&lt;&gt;"")+('Dvd Calendar'!$P$1132=TYPE4)*(TYPE4&lt;&gt;"")+('Dvd Calendar'!$P$1132=SPECIAL_LBL)*(INC_SPECIALS="Y"))=0,"",'Dvd Calendar'!$P$1130)))</f>
        <v/>
      </c>
      <c r="O117" s="106">
        <f>IF(EQ117="","",IF(ISNUMBER('Dvd Calendar'!$Q$1130)=FALSE,"",IF((('Dvd Calendar'!$Q$1132=TYPE1)*(TYPE1&lt;&gt;"")+('Dvd Calendar'!$Q$1132=TYPE2)*(TYPE2&lt;&gt;"")+('Dvd Calendar'!$Q$1132=TYPE3)*(TYPE3&lt;&gt;"")+('Dvd Calendar'!$Q$1132=TYPE4)*(TYPE4&lt;&gt;"")+('Dvd Calendar'!$Q$1132=SPECIAL_LBL)*(INC_SPECIALS="Y"))=0,"",'Dvd Calendar'!$Q$1130)))</f>
        <v/>
      </c>
      <c r="P117" s="106">
        <f>IF(ER117="","",IF(ISNUMBER('Dvd Calendar'!$R$1130)=FALSE,"",IF((('Dvd Calendar'!$R$1132=TYPE1)*(TYPE1&lt;&gt;"")+('Dvd Calendar'!$R$1132=TYPE2)*(TYPE2&lt;&gt;"")+('Dvd Calendar'!$R$1132=TYPE3)*(TYPE3&lt;&gt;"")+('Dvd Calendar'!$R$1132=TYPE4)*(TYPE4&lt;&gt;"")+('Dvd Calendar'!$R$1132=SPECIAL_LBL)*(INC_SPECIALS="Y"))=0,"",'Dvd Calendar'!$R$1130)))</f>
        <v/>
      </c>
      <c r="Q117" s="106">
        <f>IF(ES117="","",IF(ISNUMBER('Dvd Calendar'!$S$1130)=FALSE,"",IF((('Dvd Calendar'!$S$1132=TYPE1)*(TYPE1&lt;&gt;"")+('Dvd Calendar'!$S$1132=TYPE2)*(TYPE2&lt;&gt;"")+('Dvd Calendar'!$S$1132=TYPE3)*(TYPE3&lt;&gt;"")+('Dvd Calendar'!$S$1132=TYPE4)*(TYPE4&lt;&gt;"")+('Dvd Calendar'!$S$1132=SPECIAL_LBL)*(INC_SPECIALS="Y"))=0,"",'Dvd Calendar'!$S$1130)))</f>
        <v/>
      </c>
      <c r="R117" s="106">
        <f>IF(ET117="","",IF(ISNUMBER('Dvd Calendar'!$T$1130)=FALSE,"",IF((('Dvd Calendar'!$T$1132=TYPE1)*(TYPE1&lt;&gt;"")+('Dvd Calendar'!$T$1132=TYPE2)*(TYPE2&lt;&gt;"")+('Dvd Calendar'!$T$1132=TYPE3)*(TYPE3&lt;&gt;"")+('Dvd Calendar'!$T$1132=TYPE4)*(TYPE4&lt;&gt;"")+('Dvd Calendar'!$T$1132=SPECIAL_LBL)*(INC_SPECIALS="Y"))=0,"",'Dvd Calendar'!$T$1130)))</f>
        <v/>
      </c>
      <c r="S117" s="106">
        <f>IF(EU117="","",IF(ISNUMBER('Dvd Calendar'!$U$1130)=FALSE,"",IF((('Dvd Calendar'!$U$1132=TYPE1)*(TYPE1&lt;&gt;"")+('Dvd Calendar'!$U$1132=TYPE2)*(TYPE2&lt;&gt;"")+('Dvd Calendar'!$U$1132=TYPE3)*(TYPE3&lt;&gt;"")+('Dvd Calendar'!$U$1132=TYPE4)*(TYPE4&lt;&gt;"")+('Dvd Calendar'!$U$1132=SPECIAL_LBL)*(INC_SPECIALS="Y"))=0,"",'Dvd Calendar'!$U$1130)))</f>
        <v/>
      </c>
      <c r="T117" s="106">
        <f>IF(EV117="","",IF(ISNUMBER('Dvd Calendar'!$V$1130)=FALSE,"",IF((('Dvd Calendar'!$V$1132=TYPE1)*(TYPE1&lt;&gt;"")+('Dvd Calendar'!$V$1132=TYPE2)*(TYPE2&lt;&gt;"")+('Dvd Calendar'!$V$1132=TYPE3)*(TYPE3&lt;&gt;"")+('Dvd Calendar'!$V$1132=TYPE4)*(TYPE4&lt;&gt;"")+('Dvd Calendar'!$V$1132=SPECIAL_LBL)*(INC_SPECIALS="Y"))=0,"",'Dvd Calendar'!$V$1130)))</f>
        <v/>
      </c>
      <c r="U117" s="106">
        <f>IF(EW117="","",IF(ISNUMBER('Dvd Calendar'!$W$1130)=FALSE,"",IF((('Dvd Calendar'!$W$1132=TYPE1)*(TYPE1&lt;&gt;"")+('Dvd Calendar'!$W$1132=TYPE2)*(TYPE2&lt;&gt;"")+('Dvd Calendar'!$W$1132=TYPE3)*(TYPE3&lt;&gt;"")+('Dvd Calendar'!$W$1132=TYPE4)*(TYPE4&lt;&gt;"")+('Dvd Calendar'!$W$1132=SPECIAL_LBL)*(INC_SPECIALS="Y"))=0,"",'Dvd Calendar'!$W$1130)))</f>
        <v/>
      </c>
      <c r="V117" s="106">
        <f>IF(EX117="","",IF(ISNUMBER('Dvd Calendar'!$X$1130)=FALSE,"",IF((('Dvd Calendar'!$X$1132=TYPE1)*(TYPE1&lt;&gt;"")+('Dvd Calendar'!$X$1132=TYPE2)*(TYPE2&lt;&gt;"")+('Dvd Calendar'!$X$1132=TYPE3)*(TYPE3&lt;&gt;"")+('Dvd Calendar'!$X$1132=TYPE4)*(TYPE4&lt;&gt;"")+('Dvd Calendar'!$X$1132=SPECIAL_LBL)*(INC_SPECIALS="Y"))=0,"",'Dvd Calendar'!$X$1130)))</f>
        <v/>
      </c>
      <c r="W117" s="106">
        <f>IF(EY117="","",IF(ISNUMBER('Dvd Calendar'!$Y$1130)=FALSE,"",IF((('Dvd Calendar'!$Y$1132=TYPE1)*(TYPE1&lt;&gt;"")+('Dvd Calendar'!$Y$1132=TYPE2)*(TYPE2&lt;&gt;"")+('Dvd Calendar'!$Y$1132=TYPE3)*(TYPE3&lt;&gt;"")+('Dvd Calendar'!$Y$1132=TYPE4)*(TYPE4&lt;&gt;"")+('Dvd Calendar'!$Y$1132=SPECIAL_LBL)*(INC_SPECIALS="Y"))=0,"",'Dvd Calendar'!$Y$1130)))</f>
        <v/>
      </c>
      <c r="X117" s="106">
        <f>IF(EZ117="","",IF(ISNUMBER('Dvd Calendar'!$Z$1130)=FALSE,"",IF((('Dvd Calendar'!$Z$1132=TYPE1)*(TYPE1&lt;&gt;"")+('Dvd Calendar'!$Z$1132=TYPE2)*(TYPE2&lt;&gt;"")+('Dvd Calendar'!$Z$1132=TYPE3)*(TYPE3&lt;&gt;"")+('Dvd Calendar'!$Z$1132=TYPE4)*(TYPE4&lt;&gt;"")+('Dvd Calendar'!$Z$1132=SPECIAL_LBL)*(INC_SPECIALS="Y"))=0,"",'Dvd Calendar'!$Z$1130)))</f>
        <v/>
      </c>
      <c r="Y117" s="106">
        <f>IF(FA117="","",IF(ISNUMBER('Dvd Calendar'!$AA$1130)=FALSE,"",IF((('Dvd Calendar'!$AA$1132=TYPE1)*(TYPE1&lt;&gt;"")+('Dvd Calendar'!$AA$1132=TYPE2)*(TYPE2&lt;&gt;"")+('Dvd Calendar'!$AA$1132=TYPE3)*(TYPE3&lt;&gt;"")+('Dvd Calendar'!$AA$1132=TYPE4)*(TYPE4&lt;&gt;"")+('Dvd Calendar'!$AA$1132=SPECIAL_LBL)*(INC_SPECIALS="Y"))=0,"",'Dvd Calendar'!$AA$1130)))</f>
        <v/>
      </c>
      <c r="Z117" s="106">
        <f>IF(FB117="","",IF(ISNUMBER('Dvd Calendar'!$AB$1130)=FALSE,"",IF((('Dvd Calendar'!$AB$1132=TYPE1)*(TYPE1&lt;&gt;"")+('Dvd Calendar'!$AB$1132=TYPE2)*(TYPE2&lt;&gt;"")+('Dvd Calendar'!$AB$1132=TYPE3)*(TYPE3&lt;&gt;"")+('Dvd Calendar'!$AB$1132=TYPE4)*(TYPE4&lt;&gt;"")+('Dvd Calendar'!$AB$1132=SPECIAL_LBL)*(INC_SPECIALS="Y"))=0,"",'Dvd Calendar'!$AB$1130)))</f>
        <v/>
      </c>
      <c r="AA117" s="106">
        <f>IF(FC117="","",IF(ISNUMBER('Dvd Calendar'!$AC$1130)=FALSE,"",IF((('Dvd Calendar'!$AC$1132=TYPE1)*(TYPE1&lt;&gt;"")+('Dvd Calendar'!$AC$1132=TYPE2)*(TYPE2&lt;&gt;"")+('Dvd Calendar'!$AC$1132=TYPE3)*(TYPE3&lt;&gt;"")+('Dvd Calendar'!$AC$1132=TYPE4)*(TYPE4&lt;&gt;"")+('Dvd Calendar'!$AC$1132=SPECIAL_LBL)*(INC_SPECIALS="Y"))=0,"",'Dvd Calendar'!$AC$1130)))</f>
        <v/>
      </c>
      <c r="AB117" s="106">
        <f>IF(FD117="","",IF(ISNUMBER('Dvd Calendar'!$AD$1130)=FALSE,"",IF((('Dvd Calendar'!$AD$1132=TYPE1)*(TYPE1&lt;&gt;"")+('Dvd Calendar'!$AD$1132=TYPE2)*(TYPE2&lt;&gt;"")+('Dvd Calendar'!$AD$1132=TYPE3)*(TYPE3&lt;&gt;"")+('Dvd Calendar'!$AD$1132=TYPE4)*(TYPE4&lt;&gt;"")+('Dvd Calendar'!$AD$1132=SPECIAL_LBL)*(INC_SPECIALS="Y"))=0,"",'Dvd Calendar'!$AD$1130)))</f>
        <v/>
      </c>
      <c r="AC117" s="106">
        <f>IF(FE117="","",IF(ISNUMBER('Dvd Calendar'!$AE$1130)=FALSE,"",IF((('Dvd Calendar'!$AE$1132=TYPE1)*(TYPE1&lt;&gt;"")+('Dvd Calendar'!$AE$1132=TYPE2)*(TYPE2&lt;&gt;"")+('Dvd Calendar'!$AE$1132=TYPE3)*(TYPE3&lt;&gt;"")+('Dvd Calendar'!$AE$1132=TYPE4)*(TYPE4&lt;&gt;"")+('Dvd Calendar'!$AE$1132=SPECIAL_LBL)*(INC_SPECIALS="Y"))=0,"",'Dvd Calendar'!$AE$1130)))</f>
        <v/>
      </c>
      <c r="AD117" s="106">
        <f>IF(FF117="","",IF(ISNUMBER('Dvd Calendar'!$AF$1130)=FALSE,"",IF((('Dvd Calendar'!$AF$1132=TYPE1)*(TYPE1&lt;&gt;"")+('Dvd Calendar'!$AF$1132=TYPE2)*(TYPE2&lt;&gt;"")+('Dvd Calendar'!$AF$1132=TYPE3)*(TYPE3&lt;&gt;"")+('Dvd Calendar'!$AF$1132=TYPE4)*(TYPE4&lt;&gt;"")+('Dvd Calendar'!$AF$1132=SPECIAL_LBL)*(INC_SPECIALS="Y"))=0,"",'Dvd Calendar'!$AF$1130)))</f>
        <v/>
      </c>
      <c r="AE117" s="106">
        <f>IF(FG117="","",IF(ISNUMBER('Dvd Calendar'!$AG$1130)=FALSE,"",IF((('Dvd Calendar'!$AG$1132=TYPE1)*(TYPE1&lt;&gt;"")+('Dvd Calendar'!$AG$1132=TYPE2)*(TYPE2&lt;&gt;"")+('Dvd Calendar'!$AG$1132=TYPE3)*(TYPE3&lt;&gt;"")+('Dvd Calendar'!$AG$1132=TYPE4)*(TYPE4&lt;&gt;"")+('Dvd Calendar'!$AG$1132=SPECIAL_LBL)*(INC_SPECIALS="Y"))=0,"",'Dvd Calendar'!$AG$1130)))</f>
        <v/>
      </c>
      <c r="AF117" s="106">
        <f>IF(FH117="","",IF(ISNUMBER('Dvd Calendar'!$AH$1130)=FALSE,"",IF((('Dvd Calendar'!$AH$1132=TYPE1)*(TYPE1&lt;&gt;"")+('Dvd Calendar'!$AH$1132=TYPE2)*(TYPE2&lt;&gt;"")+('Dvd Calendar'!$AH$1132=TYPE3)*(TYPE3&lt;&gt;"")+('Dvd Calendar'!$AH$1132=TYPE4)*(TYPE4&lt;&gt;"")+('Dvd Calendar'!$AH$1132=SPECIAL_LBL)*(INC_SPECIALS="Y"))=0,"",'Dvd Calendar'!$AH$1130)))</f>
        <v/>
      </c>
      <c r="AG117" s="106">
        <f>IF(FI117="","",IF(ISNUMBER('Dvd Calendar'!$AI$1130)=FALSE,"",IF((('Dvd Calendar'!$AI$1132=TYPE1)*(TYPE1&lt;&gt;"")+('Dvd Calendar'!$AI$1132=TYPE2)*(TYPE2&lt;&gt;"")+('Dvd Calendar'!$AI$1132=TYPE3)*(TYPE3&lt;&gt;"")+('Dvd Calendar'!$AI$1132=TYPE4)*(TYPE4&lt;&gt;"")+('Dvd Calendar'!$AI$1132=SPECIAL_LBL)*(INC_SPECIALS="Y"))=0,"",'Dvd Calendar'!$AI$1130)))</f>
        <v/>
      </c>
      <c r="AH117" s="106">
        <f>IF(FJ117="","",IF(ISNUMBER('Dvd Calendar'!$AJ$1130)=FALSE,"",IF((('Dvd Calendar'!$AJ$1132=TYPE1)*(TYPE1&lt;&gt;"")+('Dvd Calendar'!$AJ$1132=TYPE2)*(TYPE2&lt;&gt;"")+('Dvd Calendar'!$AJ$1132=TYPE3)*(TYPE3&lt;&gt;"")+('Dvd Calendar'!$AJ$1132=TYPE4)*(TYPE4&lt;&gt;"")+('Dvd Calendar'!$AJ$1132=SPECIAL_LBL)*(INC_SPECIALS="Y"))=0,"",'Dvd Calendar'!$AJ$1130)))</f>
        <v/>
      </c>
      <c r="AI117" s="106">
        <f>IF(FK117="","",IF(ISNUMBER('Dvd Calendar'!$AK$1130)=FALSE,"",IF((('Dvd Calendar'!$AK$1132=TYPE1)*(TYPE1&lt;&gt;"")+('Dvd Calendar'!$AK$1132=TYPE2)*(TYPE2&lt;&gt;"")+('Dvd Calendar'!$AK$1132=TYPE3)*(TYPE3&lt;&gt;"")+('Dvd Calendar'!$AK$1132=TYPE4)*(TYPE4&lt;&gt;"")+('Dvd Calendar'!$AK$1132=SPECIAL_LBL)*(INC_SPECIALS="Y"))=0,"",'Dvd Calendar'!$AK$1130)))</f>
        <v/>
      </c>
      <c r="AJ117" s="106">
        <f>IF(FL117="","",IF(ISNUMBER('Dvd Calendar'!$AL$1130)=FALSE,"",IF((('Dvd Calendar'!$AL$1132=TYPE1)*(TYPE1&lt;&gt;"")+('Dvd Calendar'!$AL$1132=TYPE2)*(TYPE2&lt;&gt;"")+('Dvd Calendar'!$AL$1132=TYPE3)*(TYPE3&lt;&gt;"")+('Dvd Calendar'!$AL$1132=TYPE4)*(TYPE4&lt;&gt;"")+('Dvd Calendar'!$AL$1132=SPECIAL_LBL)*(INC_SPECIALS="Y"))=0,"",'Dvd Calendar'!$AL$1130)))</f>
        <v/>
      </c>
      <c r="AK117" s="106">
        <f>IF(FM117="","",IF(ISNUMBER('Dvd Calendar'!$AM$1130)=FALSE,"",IF((('Dvd Calendar'!$AM$1132=TYPE1)*(TYPE1&lt;&gt;"")+('Dvd Calendar'!$AM$1132=TYPE2)*(TYPE2&lt;&gt;"")+('Dvd Calendar'!$AM$1132=TYPE3)*(TYPE3&lt;&gt;"")+('Dvd Calendar'!$AM$1132=TYPE4)*(TYPE4&lt;&gt;"")+('Dvd Calendar'!$AM$1132=SPECIAL_LBL)*(INC_SPECIALS="Y"))=0,"",'Dvd Calendar'!$AM$1130)))</f>
        <v/>
      </c>
      <c r="AL117" s="106">
        <f>IF(FN117="","",IF(ISNUMBER('Dvd Calendar'!$AN$1130)=FALSE,"",IF((('Dvd Calendar'!$AN$1132=TYPE1)*(TYPE1&lt;&gt;"")+('Dvd Calendar'!$AN$1132=TYPE2)*(TYPE2&lt;&gt;"")+('Dvd Calendar'!$AN$1132=TYPE3)*(TYPE3&lt;&gt;"")+('Dvd Calendar'!$AN$1132=TYPE4)*(TYPE4&lt;&gt;"")+('Dvd Calendar'!$AN$1132=SPECIAL_LBL)*(INC_SPECIALS="Y"))=0,"",'Dvd Calendar'!$AN$1130)))</f>
        <v/>
      </c>
      <c r="AM117" s="106">
        <f>IF(FO117="","",IF(ISNUMBER('Dvd Calendar'!$AO$1130)=FALSE,"",IF((('Dvd Calendar'!$AO$1132=TYPE1)*(TYPE1&lt;&gt;"")+('Dvd Calendar'!$AO$1132=TYPE2)*(TYPE2&lt;&gt;"")+('Dvd Calendar'!$AO$1132=TYPE3)*(TYPE3&lt;&gt;"")+('Dvd Calendar'!$AO$1132=TYPE4)*(TYPE4&lt;&gt;"")+('Dvd Calendar'!$AO$1132=SPECIAL_LBL)*(INC_SPECIALS="Y"))=0,"",'Dvd Calendar'!$AO$1130)))</f>
        <v/>
      </c>
      <c r="AN117" s="106">
        <f>IF(FP117="","",IF(ISNUMBER('Dvd Calendar'!$AP$1130)=FALSE,"",IF((('Dvd Calendar'!$AP$1132=TYPE1)*(TYPE1&lt;&gt;"")+('Dvd Calendar'!$AP$1132=TYPE2)*(TYPE2&lt;&gt;"")+('Dvd Calendar'!$AP$1132=TYPE3)*(TYPE3&lt;&gt;"")+('Dvd Calendar'!$AP$1132=TYPE4)*(TYPE4&lt;&gt;"")+('Dvd Calendar'!$AP$1132=SPECIAL_LBL)*(INC_SPECIALS="Y"))=0,"",'Dvd Calendar'!$AP$1130)))</f>
        <v/>
      </c>
      <c r="AO117" s="106">
        <f>IF(FQ117="","",IF(ISNUMBER('Dvd Calendar'!$AQ$1130)=FALSE,"",IF((('Dvd Calendar'!$AQ$1132=TYPE1)*(TYPE1&lt;&gt;"")+('Dvd Calendar'!$AQ$1132=TYPE2)*(TYPE2&lt;&gt;"")+('Dvd Calendar'!$AQ$1132=TYPE3)*(TYPE3&lt;&gt;"")+('Dvd Calendar'!$AQ$1132=TYPE4)*(TYPE4&lt;&gt;"")+('Dvd Calendar'!$AQ$1132=SPECIAL_LBL)*(INC_SPECIALS="Y"))=0,"",'Dvd Calendar'!$AQ$1130)))</f>
        <v/>
      </c>
      <c r="AP117" s="106">
        <f>IF(FR117="","",IF(ISNUMBER('Dvd Calendar'!$AR$1130)=FALSE,"",IF((('Dvd Calendar'!$AR$1132=TYPE1)*(TYPE1&lt;&gt;"")+('Dvd Calendar'!$AR$1132=TYPE2)*(TYPE2&lt;&gt;"")+('Dvd Calendar'!$AR$1132=TYPE3)*(TYPE3&lt;&gt;"")+('Dvd Calendar'!$AR$1132=TYPE4)*(TYPE4&lt;&gt;"")+('Dvd Calendar'!$AR$1132=SPECIAL_LBL)*(INC_SPECIALS="Y"))=0,"",'Dvd Calendar'!$AR$1130)))</f>
        <v/>
      </c>
      <c r="AQ117" s="106">
        <f>IF(FS117="","",IF(ISNUMBER('Dvd Calendar'!$E$1135)=FALSE,"",'Dvd Calendar'!$E$1135))</f>
        <v/>
      </c>
      <c r="AR117" s="106">
        <f>IF(FT117="","",IF(ISNUMBER('Dvd Calendar'!$F$1135)=FALSE,"",'Dvd Calendar'!$F$1135))</f>
        <v/>
      </c>
      <c r="AS117" s="106">
        <f>IF(FU117="","",IF(ISNUMBER('Dvd Calendar'!$G$1135)=FALSE,"",'Dvd Calendar'!$G$1135))</f>
        <v/>
      </c>
      <c r="AT117" s="106">
        <f>IF(FV117="","",IF(ISNUMBER('Dvd Calendar'!$H$1135)=FALSE,"",'Dvd Calendar'!$H$1135))</f>
        <v/>
      </c>
      <c r="AU117" s="106">
        <f>IF(FW117="","",IF(ISNUMBER('Dvd Calendar'!$I$1135)=FALSE,"",'Dvd Calendar'!$I$1135))</f>
        <v/>
      </c>
      <c r="AV117" s="106">
        <f>IF(FX117="","",IF(ISNUMBER('Dvd Calendar'!$J$1135)=FALSE,"",'Dvd Calendar'!$J$1135))</f>
        <v/>
      </c>
      <c r="AW117" s="106">
        <f>IF(FY117="","",IF(ISNUMBER('Dvd Calendar'!$K$1135)=FALSE,"",'Dvd Calendar'!$K$1135))</f>
        <v/>
      </c>
      <c r="AX117" s="106">
        <f>IF(FZ117="","",IF(ISNUMBER('Dvd Calendar'!$L$1135)=FALSE,"",'Dvd Calendar'!$L$1135))</f>
        <v/>
      </c>
      <c r="AY117" s="106">
        <f>IF(GA117="","",IF(ISNUMBER('Dvd Calendar'!$M$1135)=FALSE,"",'Dvd Calendar'!$M$1135))</f>
        <v/>
      </c>
      <c r="AZ117" s="106">
        <f>IF(GB117="","",IF(ISNUMBER('Dvd Calendar'!$N$1135)=FALSE,"",'Dvd Calendar'!$N$1135))</f>
        <v/>
      </c>
      <c r="BA117" s="106">
        <f>IF(GC117="","",IF(ISNUMBER('Dvd Calendar'!$O$1135)=FALSE,"",'Dvd Calendar'!$O$1135))</f>
        <v/>
      </c>
      <c r="BB117" s="106">
        <f>IF(GD117="","",IF(ISNUMBER('Dvd Calendar'!$P$1135)=FALSE,"",'Dvd Calendar'!$P$1135))</f>
        <v/>
      </c>
      <c r="BC117" s="106">
        <f>IF(GE117="","",IF(ISNUMBER('Dvd Calendar'!$Q$1135)=FALSE,"",'Dvd Calendar'!$Q$1135))</f>
        <v/>
      </c>
      <c r="BD117" s="106">
        <f>IF(GF117="","",IF(ISNUMBER('Dvd Calendar'!$R$1135)=FALSE,"",'Dvd Calendar'!$R$1135))</f>
        <v/>
      </c>
      <c r="BE117" s="106">
        <f>IF(GG117="","",IF(ISNUMBER('Dvd Calendar'!$S$1135)=FALSE,"",'Dvd Calendar'!$S$1135))</f>
        <v/>
      </c>
      <c r="BF117" s="106">
        <f>IF(GH117="","",IF(ISNUMBER('Dvd Calendar'!$T$1135)=FALSE,"",'Dvd Calendar'!$T$1135))</f>
        <v/>
      </c>
      <c r="BG117" s="106">
        <f>IF(GI117="","",IF(ISNUMBER('Dvd Calendar'!$U$1135)=FALSE,"",'Dvd Calendar'!$U$1135))</f>
        <v/>
      </c>
      <c r="BH117" s="106">
        <f>IF(GJ117="","",IF(ISNUMBER('Dvd Calendar'!$V$1135)=FALSE,"",'Dvd Calendar'!$V$1135))</f>
        <v/>
      </c>
      <c r="BI117" s="106">
        <f>IF(GK117="","",IF(ISNUMBER('Dvd Calendar'!$W$1135)=FALSE,"",'Dvd Calendar'!$W$1135))</f>
        <v/>
      </c>
      <c r="BJ117" s="106">
        <f>IF(GL117="","",IF(ISNUMBER('Dvd Calendar'!$X$1135)=FALSE,"",'Dvd Calendar'!$X$1135))</f>
        <v/>
      </c>
      <c r="BK117" s="106">
        <f>IF(GM117="","",IF(ISNUMBER('Dvd Calendar'!$Y$1135)=FALSE,"",'Dvd Calendar'!$Y$1135))</f>
        <v/>
      </c>
      <c r="BL117" s="106">
        <f>IF(GN117="","",IF(ISNUMBER('Dvd Calendar'!$Z$1135)=FALSE,"",'Dvd Calendar'!$Z$1135))</f>
        <v/>
      </c>
      <c r="BM117" s="106">
        <f>IF(GO117="","",IF(ISNUMBER('Dvd Calendar'!$AA$1135)=FALSE,"",'Dvd Calendar'!$AA$1135))</f>
        <v/>
      </c>
      <c r="BN117" s="106">
        <f>IF(GP117="","",IF(ISNUMBER('Dvd Calendar'!$AB$1135)=FALSE,"",'Dvd Calendar'!$AB$1135))</f>
        <v/>
      </c>
      <c r="BO117" s="106">
        <f>IF(GQ117="","",IF(ISNUMBER('Dvd Calendar'!$AC$1135)=FALSE,"",'Dvd Calendar'!$AC$1135))</f>
        <v/>
      </c>
      <c r="BQ117" s="106">
        <f>IF(C117="","",IFERROR(C117*HSTECH!$B$8*HSTECH!$G$8/HSTECH!$B$3,""))</f>
        <v/>
      </c>
      <c r="BR117" s="106">
        <f>IF(D117="","",IFERROR(D117*HSTECH!$B$8*HSTECH!$G$8/HSTECH!$B$3,""))</f>
        <v/>
      </c>
      <c r="BS117" s="106">
        <f>IF(E117="","",IFERROR(E117*HSTECH!$B$8*HSTECH!$G$8/HSTECH!$B$3,""))</f>
        <v/>
      </c>
      <c r="BT117" s="106">
        <f>IF(F117="","",IFERROR(F117*HSTECH!$B$8*HSTECH!$G$8/HSTECH!$B$3,""))</f>
        <v/>
      </c>
      <c r="BU117" s="106">
        <f>IF(G117="","",IFERROR(G117*HSTECH!$B$8*HSTECH!$G$8/HSTECH!$B$3,""))</f>
        <v/>
      </c>
      <c r="BV117" s="106">
        <f>IF(H117="","",IFERROR(H117*HSTECH!$B$8*HSTECH!$G$8/HSTECH!$B$3,""))</f>
        <v/>
      </c>
      <c r="BW117" s="106">
        <f>IF(I117="","",IFERROR(I117*HSTECH!$B$8*HSTECH!$G$8/HSTECH!$B$3,""))</f>
        <v/>
      </c>
      <c r="BX117" s="106">
        <f>IF(J117="","",IFERROR(J117*HSTECH!$B$8*HSTECH!$G$8/HSTECH!$B$3,""))</f>
        <v/>
      </c>
      <c r="BY117" s="106">
        <f>IF(K117="","",IFERROR(K117*HSTECH!$B$8*HSTECH!$G$8/HSTECH!$B$3,""))</f>
        <v/>
      </c>
      <c r="BZ117" s="106">
        <f>IF(L117="","",IFERROR(L117*HSTECH!$B$8*HSTECH!$G$8/HSTECH!$B$3,""))</f>
        <v/>
      </c>
      <c r="CA117" s="106">
        <f>IF(M117="","",IFERROR(M117*HSTECH!$B$8*HSTECH!$G$8/HSTECH!$B$3,""))</f>
        <v/>
      </c>
      <c r="CB117" s="106">
        <f>IF(N117="","",IFERROR(N117*HSTECH!$B$8*HSTECH!$G$8/HSTECH!$B$3,""))</f>
        <v/>
      </c>
      <c r="CC117" s="106">
        <f>IF(O117="","",IFERROR(O117*HSTECH!$B$8*HSTECH!$G$8/HSTECH!$B$3,""))</f>
        <v/>
      </c>
      <c r="CD117" s="106">
        <f>IF(P117="","",IFERROR(P117*HSTECH!$B$8*HSTECH!$G$8/HSTECH!$B$3,""))</f>
        <v/>
      </c>
      <c r="CE117" s="106">
        <f>IF(Q117="","",IFERROR(Q117*HSTECH!$B$8*HSTECH!$G$8/HSTECH!$B$3,""))</f>
        <v/>
      </c>
      <c r="CF117" s="106">
        <f>IF(R117="","",IFERROR(R117*HSTECH!$B$8*HSTECH!$G$8/HSTECH!$B$3,""))</f>
        <v/>
      </c>
      <c r="CG117" s="106">
        <f>IF(S117="","",IFERROR(S117*HSTECH!$B$8*HSTECH!$G$8/HSTECH!$B$3,""))</f>
        <v/>
      </c>
      <c r="CH117" s="106">
        <f>IF(T117="","",IFERROR(T117*HSTECH!$B$8*HSTECH!$G$8/HSTECH!$B$3,""))</f>
        <v/>
      </c>
      <c r="CI117" s="106">
        <f>IF(U117="","",IFERROR(U117*HSTECH!$B$8*HSTECH!$G$8/HSTECH!$B$3,""))</f>
        <v/>
      </c>
      <c r="CJ117" s="106">
        <f>IF(V117="","",IFERROR(V117*HSTECH!$B$8*HSTECH!$G$8/HSTECH!$B$3,""))</f>
        <v/>
      </c>
      <c r="CK117" s="106">
        <f>IF(W117="","",IFERROR(W117*HSTECH!$B$8*HSTECH!$G$8/HSTECH!$B$3,""))</f>
        <v/>
      </c>
      <c r="CL117" s="106">
        <f>IF(X117="","",IFERROR(X117*HSTECH!$B$8*HSTECH!$G$8/HSTECH!$B$3,""))</f>
        <v/>
      </c>
      <c r="CM117" s="106">
        <f>IF(Y117="","",IFERROR(Y117*HSTECH!$B$8*HSTECH!$G$8/HSTECH!$B$3,""))</f>
        <v/>
      </c>
      <c r="CN117" s="106">
        <f>IF(Z117="","",IFERROR(Z117*HSTECH!$B$8*HSTECH!$G$8/HSTECH!$B$3,""))</f>
        <v/>
      </c>
      <c r="CO117" s="106">
        <f>IF(AA117="","",IFERROR(AA117*HSTECH!$B$8*HSTECH!$G$8/HSTECH!$B$3,""))</f>
        <v/>
      </c>
      <c r="CP117" s="106">
        <f>IF(AB117="","",IFERROR(AB117*HSTECH!$B$8*HSTECH!$G$8/HSTECH!$B$3,""))</f>
        <v/>
      </c>
      <c r="CQ117" s="106">
        <f>IF(AC117="","",IFERROR(AC117*HSTECH!$B$8*HSTECH!$G$8/HSTECH!$B$3,""))</f>
        <v/>
      </c>
      <c r="CR117" s="106">
        <f>IF(AD117="","",IFERROR(AD117*HSTECH!$B$8*HSTECH!$G$8/HSTECH!$B$3,""))</f>
        <v/>
      </c>
      <c r="CS117" s="106">
        <f>IF(AE117="","",IFERROR(AE117*HSTECH!$B$8*HSTECH!$G$8/HSTECH!$B$3,""))</f>
        <v/>
      </c>
      <c r="CT117" s="106">
        <f>IF(AF117="","",IFERROR(AF117*HSTECH!$B$8*HSTECH!$G$8/HSTECH!$B$3,""))</f>
        <v/>
      </c>
      <c r="CU117" s="106">
        <f>IF(AG117="","",IFERROR(AG117*HSTECH!$B$8*HSTECH!$G$8/HSTECH!$B$3,""))</f>
        <v/>
      </c>
      <c r="CV117" s="106">
        <f>IF(AH117="","",IFERROR(AH117*HSTECH!$B$8*HSTECH!$G$8/HSTECH!$B$3,""))</f>
        <v/>
      </c>
      <c r="CW117" s="106">
        <f>IF(AI117="","",IFERROR(AI117*HSTECH!$B$8*HSTECH!$G$8/HSTECH!$B$3,""))</f>
        <v/>
      </c>
      <c r="CX117" s="106">
        <f>IF(AJ117="","",IFERROR(AJ117*HSTECH!$B$8*HSTECH!$G$8/HSTECH!$B$3,""))</f>
        <v/>
      </c>
      <c r="CY117" s="106">
        <f>IF(AK117="","",IFERROR(AK117*HSTECH!$B$8*HSTECH!$G$8/HSTECH!$B$3,""))</f>
        <v/>
      </c>
      <c r="CZ117" s="106">
        <f>IF(AL117="","",IFERROR(AL117*HSTECH!$B$8*HSTECH!$G$8/HSTECH!$B$3,""))</f>
        <v/>
      </c>
      <c r="DA117" s="106">
        <f>IF(AM117="","",IFERROR(AM117*HSTECH!$B$8*HSTECH!$G$8/HSTECH!$B$3,""))</f>
        <v/>
      </c>
      <c r="DB117" s="106">
        <f>IF(AN117="","",IFERROR(AN117*HSTECH!$B$8*HSTECH!$G$8/HSTECH!$B$3,""))</f>
        <v/>
      </c>
      <c r="DC117" s="106">
        <f>IF(AO117="","",IFERROR(AO117*HSTECH!$B$8*HSTECH!$G$8/HSTECH!$B$3,""))</f>
        <v/>
      </c>
      <c r="DD117" s="106">
        <f>IF(AP117="","",IFERROR(AP117*HSTECH!$B$8*HSTECH!$G$8/HSTECH!$B$3,""))</f>
        <v/>
      </c>
      <c r="DE117" s="106">
        <f>IF(AQ117="","",IFERROR(AQ117*HSTECH!$B$8*HSTECH!$G$8/HSTECH!$B$3,""))</f>
        <v/>
      </c>
      <c r="DF117" s="106">
        <f>IF(AR117="","",IFERROR(AR117*HSTECH!$B$8*HSTECH!$G$8/HSTECH!$B$3,""))</f>
        <v/>
      </c>
      <c r="DG117" s="106">
        <f>IF(AS117="","",IFERROR(AS117*HSTECH!$B$8*HSTECH!$G$8/HSTECH!$B$3,""))</f>
        <v/>
      </c>
      <c r="DH117" s="106">
        <f>IF(AT117="","",IFERROR(AT117*HSTECH!$B$8*HSTECH!$G$8/HSTECH!$B$3,""))</f>
        <v/>
      </c>
      <c r="DI117" s="106">
        <f>IF(AU117="","",IFERROR(AU117*HSTECH!$B$8*HSTECH!$G$8/HSTECH!$B$3,""))</f>
        <v/>
      </c>
      <c r="DJ117" s="106">
        <f>IF(AV117="","",IFERROR(AV117*HSTECH!$B$8*HSTECH!$G$8/HSTECH!$B$3,""))</f>
        <v/>
      </c>
      <c r="DK117" s="106">
        <f>IF(AW117="","",IFERROR(AW117*HSTECH!$B$8*HSTECH!$G$8/HSTECH!$B$3,""))</f>
        <v/>
      </c>
      <c r="DL117" s="106">
        <f>IF(AX117="","",IFERROR(AX117*HSTECH!$B$8*HSTECH!$G$8/HSTECH!$B$3,""))</f>
        <v/>
      </c>
      <c r="DM117" s="106">
        <f>IF(AY117="","",IFERROR(AY117*HSTECH!$B$8*HSTECH!$G$8/HSTECH!$B$3,""))</f>
        <v/>
      </c>
      <c r="DN117" s="106">
        <f>IF(AZ117="","",IFERROR(AZ117*HSTECH!$B$8*HSTECH!$G$8/HSTECH!$B$3,""))</f>
        <v/>
      </c>
      <c r="DO117" s="106">
        <f>IF(BA117="","",IFERROR(BA117*HSTECH!$B$8*HSTECH!$G$8/HSTECH!$B$3,""))</f>
        <v/>
      </c>
      <c r="DP117" s="106">
        <f>IF(BB117="","",IFERROR(BB117*HSTECH!$B$8*HSTECH!$G$8/HSTECH!$B$3,""))</f>
        <v/>
      </c>
      <c r="DQ117" s="106">
        <f>IF(BC117="","",IFERROR(BC117*HSTECH!$B$8*HSTECH!$G$8/HSTECH!$B$3,""))</f>
        <v/>
      </c>
      <c r="DR117" s="106">
        <f>IF(BD117="","",IFERROR(BD117*HSTECH!$B$8*HSTECH!$G$8/HSTECH!$B$3,""))</f>
        <v/>
      </c>
      <c r="DS117" s="106">
        <f>IF(BE117="","",IFERROR(BE117*HSTECH!$B$8*HSTECH!$G$8/HSTECH!$B$3,""))</f>
        <v/>
      </c>
      <c r="DT117" s="106">
        <f>IF(BF117="","",IFERROR(BF117*HSTECH!$B$8*HSTECH!$G$8/HSTECH!$B$3,""))</f>
        <v/>
      </c>
      <c r="DU117" s="106">
        <f>IF(BG117="","",IFERROR(BG117*HSTECH!$B$8*HSTECH!$G$8/HSTECH!$B$3,""))</f>
        <v/>
      </c>
      <c r="DV117" s="106">
        <f>IF(BH117="","",IFERROR(BH117*HSTECH!$B$8*HSTECH!$G$8/HSTECH!$B$3,""))</f>
        <v/>
      </c>
      <c r="DW117" s="106">
        <f>IF(BI117="","",IFERROR(BI117*HSTECH!$B$8*HSTECH!$G$8/HSTECH!$B$3,""))</f>
        <v/>
      </c>
      <c r="DX117" s="106">
        <f>IF(BJ117="","",IFERROR(BJ117*HSTECH!$B$8*HSTECH!$G$8/HSTECH!$B$3,""))</f>
        <v/>
      </c>
      <c r="DY117" s="106">
        <f>IF(BK117="","",IFERROR(BK117*HSTECH!$B$8*HSTECH!$G$8/HSTECH!$B$3,""))</f>
        <v/>
      </c>
      <c r="DZ117" s="106">
        <f>IF(BL117="","",IFERROR(BL117*HSTECH!$B$8*HSTECH!$G$8/HSTECH!$B$3,""))</f>
        <v/>
      </c>
      <c r="EA117" s="106">
        <f>IF(BM117="","",IFERROR(BM117*HSTECH!$B$8*HSTECH!$G$8/HSTECH!$B$3,""))</f>
        <v/>
      </c>
      <c r="EB117" s="106">
        <f>IF(BN117="","",IFERROR(BN117*HSTECH!$B$8*HSTECH!$G$8/HSTECH!$B$3,""))</f>
        <v/>
      </c>
      <c r="EC117" s="106">
        <f>IF(BO117="","",IFERROR(BO117*HSTECH!$B$8*HSTECH!$G$8/HSTECH!$B$3,""))</f>
        <v/>
      </c>
      <c r="EE117" s="35">
        <f>IF(N('Dvd Calendar'!$E$1127)=0,"",IF(('Dvd Calendar'!$E$1127&gt;=GRID_FROM)*('Dvd Calendar'!$E$1127&lt;=GRID_TO)*('Dvd Calendar'!$E$1127&lt;=VAL_DATE)=0,"",'Dvd Calendar'!$E$1127*1000000000+ISNUMBER('Dvd Calendar'!$E$1130)*100000000+('Dvd Calendar'!$E$1132=SPECIAL_LBL)*10000000+0*1000000+2*1000+1))</f>
        <v/>
      </c>
      <c r="EF117" s="35">
        <f>IF(N('Dvd Calendar'!$F$1127)=0,"",IF(('Dvd Calendar'!$F$1127&gt;=GRID_FROM)*('Dvd Calendar'!$F$1127&lt;=GRID_TO)*('Dvd Calendar'!$F$1127&lt;=VAL_DATE)=0,"",'Dvd Calendar'!$F$1127*1000000000+ISNUMBER('Dvd Calendar'!$F$1130)*100000000+('Dvd Calendar'!$F$1132=SPECIAL_LBL)*10000000+0*1000000+2*1000+2))</f>
        <v/>
      </c>
      <c r="EG117" s="35">
        <f>IF(N('Dvd Calendar'!$G$1127)=0,"",IF(('Dvd Calendar'!$G$1127&gt;=GRID_FROM)*('Dvd Calendar'!$G$1127&lt;=GRID_TO)*('Dvd Calendar'!$G$1127&lt;=VAL_DATE)=0,"",'Dvd Calendar'!$G$1127*1000000000+ISNUMBER('Dvd Calendar'!$G$1130)*100000000+('Dvd Calendar'!$G$1132=SPECIAL_LBL)*10000000+0*1000000+2*1000+3))</f>
        <v/>
      </c>
      <c r="EH117" s="35">
        <f>IF(N('Dvd Calendar'!$H$1127)=0,"",IF(('Dvd Calendar'!$H$1127&gt;=GRID_FROM)*('Dvd Calendar'!$H$1127&lt;=GRID_TO)*('Dvd Calendar'!$H$1127&lt;=VAL_DATE)=0,"",'Dvd Calendar'!$H$1127*1000000000+ISNUMBER('Dvd Calendar'!$H$1130)*100000000+('Dvd Calendar'!$H$1132=SPECIAL_LBL)*10000000+0*1000000+2*1000+4))</f>
        <v/>
      </c>
      <c r="EI117" s="35">
        <f>IF(N('Dvd Calendar'!$I$1127)=0,"",IF(('Dvd Calendar'!$I$1127&gt;=GRID_FROM)*('Dvd Calendar'!$I$1127&lt;=GRID_TO)*('Dvd Calendar'!$I$1127&lt;=VAL_DATE)=0,"",'Dvd Calendar'!$I$1127*1000000000+ISNUMBER('Dvd Calendar'!$I$1130)*100000000+('Dvd Calendar'!$I$1132=SPECIAL_LBL)*10000000+0*1000000+2*1000+5))</f>
        <v/>
      </c>
      <c r="EJ117" s="35">
        <f>IF(N('Dvd Calendar'!$J$1127)=0,"",IF(('Dvd Calendar'!$J$1127&gt;=GRID_FROM)*('Dvd Calendar'!$J$1127&lt;=GRID_TO)*('Dvd Calendar'!$J$1127&lt;=VAL_DATE)=0,"",'Dvd Calendar'!$J$1127*1000000000+ISNUMBER('Dvd Calendar'!$J$1130)*100000000+('Dvd Calendar'!$J$1132=SPECIAL_LBL)*10000000+0*1000000+2*1000+6))</f>
        <v/>
      </c>
      <c r="EK117" s="35">
        <f>IF(N('Dvd Calendar'!$K$1127)=0,"",IF(('Dvd Calendar'!$K$1127&gt;=GRID_FROM)*('Dvd Calendar'!$K$1127&lt;=GRID_TO)*('Dvd Calendar'!$K$1127&lt;=VAL_DATE)=0,"",'Dvd Calendar'!$K$1127*1000000000+ISNUMBER('Dvd Calendar'!$K$1130)*100000000+('Dvd Calendar'!$K$1132=SPECIAL_LBL)*10000000+0*1000000+2*1000+7))</f>
        <v/>
      </c>
      <c r="EL117" s="35">
        <f>IF(N('Dvd Calendar'!$L$1127)=0,"",IF(('Dvd Calendar'!$L$1127&gt;=GRID_FROM)*('Dvd Calendar'!$L$1127&lt;=GRID_TO)*('Dvd Calendar'!$L$1127&lt;=VAL_DATE)=0,"",'Dvd Calendar'!$L$1127*1000000000+ISNUMBER('Dvd Calendar'!$L$1130)*100000000+('Dvd Calendar'!$L$1132=SPECIAL_LBL)*10000000+0*1000000+2*1000+8))</f>
        <v/>
      </c>
      <c r="EM117" s="35">
        <f>IF(N('Dvd Calendar'!$M$1127)=0,"",IF(('Dvd Calendar'!$M$1127&gt;=GRID_FROM)*('Dvd Calendar'!$M$1127&lt;=GRID_TO)*('Dvd Calendar'!$M$1127&lt;=VAL_DATE)=0,"",'Dvd Calendar'!$M$1127*1000000000+ISNUMBER('Dvd Calendar'!$M$1130)*100000000+('Dvd Calendar'!$M$1132=SPECIAL_LBL)*10000000+0*1000000+2*1000+9))</f>
        <v/>
      </c>
      <c r="EN117" s="35">
        <f>IF(N('Dvd Calendar'!$N$1127)=0,"",IF(('Dvd Calendar'!$N$1127&gt;=GRID_FROM)*('Dvd Calendar'!$N$1127&lt;=GRID_TO)*('Dvd Calendar'!$N$1127&lt;=VAL_DATE)=0,"",'Dvd Calendar'!$N$1127*1000000000+ISNUMBER('Dvd Calendar'!$N$1130)*100000000+('Dvd Calendar'!$N$1132=SPECIAL_LBL)*10000000+0*1000000+2*1000+10))</f>
        <v/>
      </c>
      <c r="EO117" s="35">
        <f>IF(N('Dvd Calendar'!$O$1127)=0,"",IF(('Dvd Calendar'!$O$1127&gt;=GRID_FROM)*('Dvd Calendar'!$O$1127&lt;=GRID_TO)*('Dvd Calendar'!$O$1127&lt;=VAL_DATE)=0,"",'Dvd Calendar'!$O$1127*1000000000+ISNUMBER('Dvd Calendar'!$O$1130)*100000000+('Dvd Calendar'!$O$1132=SPECIAL_LBL)*10000000+0*1000000+2*1000+11))</f>
        <v/>
      </c>
      <c r="EP117" s="35">
        <f>IF(N('Dvd Calendar'!$P$1127)=0,"",IF(('Dvd Calendar'!$P$1127&gt;=GRID_FROM)*('Dvd Calendar'!$P$1127&lt;=GRID_TO)*('Dvd Calendar'!$P$1127&lt;=VAL_DATE)=0,"",'Dvd Calendar'!$P$1127*1000000000+ISNUMBER('Dvd Calendar'!$P$1130)*100000000+('Dvd Calendar'!$P$1132=SPECIAL_LBL)*10000000+0*1000000+2*1000+12))</f>
        <v/>
      </c>
      <c r="EQ117" s="35">
        <f>IF(N('Dvd Calendar'!$Q$1127)=0,"",IF(('Dvd Calendar'!$Q$1127&gt;=GRID_FROM)*('Dvd Calendar'!$Q$1127&lt;=GRID_TO)*('Dvd Calendar'!$Q$1127&lt;=VAL_DATE)=0,"",'Dvd Calendar'!$Q$1127*1000000000+ISNUMBER('Dvd Calendar'!$Q$1130)*100000000+('Dvd Calendar'!$Q$1132=SPECIAL_LBL)*10000000+0*1000000+2*1000+13))</f>
        <v/>
      </c>
      <c r="ER117" s="35">
        <f>IF(N('Dvd Calendar'!$R$1127)=0,"",IF(('Dvd Calendar'!$R$1127&gt;=GRID_FROM)*('Dvd Calendar'!$R$1127&lt;=GRID_TO)*('Dvd Calendar'!$R$1127&lt;=VAL_DATE)=0,"",'Dvd Calendar'!$R$1127*1000000000+ISNUMBER('Dvd Calendar'!$R$1130)*100000000+('Dvd Calendar'!$R$1132=SPECIAL_LBL)*10000000+0*1000000+2*1000+14))</f>
        <v/>
      </c>
      <c r="ES117" s="35">
        <f>IF(N('Dvd Calendar'!$S$1127)=0,"",IF(('Dvd Calendar'!$S$1127&gt;=GRID_FROM)*('Dvd Calendar'!$S$1127&lt;=GRID_TO)*('Dvd Calendar'!$S$1127&lt;=VAL_DATE)=0,"",'Dvd Calendar'!$S$1127*1000000000+ISNUMBER('Dvd Calendar'!$S$1130)*100000000+('Dvd Calendar'!$S$1132=SPECIAL_LBL)*10000000+0*1000000+2*1000+15))</f>
        <v/>
      </c>
      <c r="ET117" s="35">
        <f>IF(N('Dvd Calendar'!$T$1127)=0,"",IF(('Dvd Calendar'!$T$1127&gt;=GRID_FROM)*('Dvd Calendar'!$T$1127&lt;=GRID_TO)*('Dvd Calendar'!$T$1127&lt;=VAL_DATE)=0,"",'Dvd Calendar'!$T$1127*1000000000+ISNUMBER('Dvd Calendar'!$T$1130)*100000000+('Dvd Calendar'!$T$1132=SPECIAL_LBL)*10000000+0*1000000+2*1000+16))</f>
        <v/>
      </c>
      <c r="EU117" s="35">
        <f>IF(N('Dvd Calendar'!$U$1127)=0,"",IF(('Dvd Calendar'!$U$1127&gt;=GRID_FROM)*('Dvd Calendar'!$U$1127&lt;=GRID_TO)*('Dvd Calendar'!$U$1127&lt;=VAL_DATE)=0,"",'Dvd Calendar'!$U$1127*1000000000+ISNUMBER('Dvd Calendar'!$U$1130)*100000000+('Dvd Calendar'!$U$1132=SPECIAL_LBL)*10000000+0*1000000+2*1000+17))</f>
        <v/>
      </c>
      <c r="EV117" s="35">
        <f>IF(N('Dvd Calendar'!$V$1127)=0,"",IF(('Dvd Calendar'!$V$1127&gt;=GRID_FROM)*('Dvd Calendar'!$V$1127&lt;=GRID_TO)*('Dvd Calendar'!$V$1127&lt;=VAL_DATE)=0,"",'Dvd Calendar'!$V$1127*1000000000+ISNUMBER('Dvd Calendar'!$V$1130)*100000000+('Dvd Calendar'!$V$1132=SPECIAL_LBL)*10000000+0*1000000+2*1000+18))</f>
        <v/>
      </c>
      <c r="EW117" s="35">
        <f>IF(N('Dvd Calendar'!$W$1127)=0,"",IF(('Dvd Calendar'!$W$1127&gt;=GRID_FROM)*('Dvd Calendar'!$W$1127&lt;=GRID_TO)*('Dvd Calendar'!$W$1127&lt;=VAL_DATE)=0,"",'Dvd Calendar'!$W$1127*1000000000+ISNUMBER('Dvd Calendar'!$W$1130)*100000000+('Dvd Calendar'!$W$1132=SPECIAL_LBL)*10000000+0*1000000+2*1000+19))</f>
        <v/>
      </c>
      <c r="EX117" s="35">
        <f>IF(N('Dvd Calendar'!$X$1127)=0,"",IF(('Dvd Calendar'!$X$1127&gt;=GRID_FROM)*('Dvd Calendar'!$X$1127&lt;=GRID_TO)*('Dvd Calendar'!$X$1127&lt;=VAL_DATE)=0,"",'Dvd Calendar'!$X$1127*1000000000+ISNUMBER('Dvd Calendar'!$X$1130)*100000000+('Dvd Calendar'!$X$1132=SPECIAL_LBL)*10000000+0*1000000+2*1000+20))</f>
        <v/>
      </c>
      <c r="EY117" s="35">
        <f>IF(N('Dvd Calendar'!$Y$1127)=0,"",IF(('Dvd Calendar'!$Y$1127&gt;=GRID_FROM)*('Dvd Calendar'!$Y$1127&lt;=GRID_TO)*('Dvd Calendar'!$Y$1127&lt;=VAL_DATE)=0,"",'Dvd Calendar'!$Y$1127*1000000000+ISNUMBER('Dvd Calendar'!$Y$1130)*100000000+('Dvd Calendar'!$Y$1132=SPECIAL_LBL)*10000000+0*1000000+2*1000+21))</f>
        <v/>
      </c>
      <c r="EZ117" s="35">
        <f>IF(N('Dvd Calendar'!$Z$1127)=0,"",IF(('Dvd Calendar'!$Z$1127&gt;=GRID_FROM)*('Dvd Calendar'!$Z$1127&lt;=GRID_TO)*('Dvd Calendar'!$Z$1127&lt;=VAL_DATE)=0,"",'Dvd Calendar'!$Z$1127*1000000000+ISNUMBER('Dvd Calendar'!$Z$1130)*100000000+('Dvd Calendar'!$Z$1132=SPECIAL_LBL)*10000000+0*1000000+2*1000+22))</f>
        <v/>
      </c>
      <c r="FA117" s="35">
        <f>IF(N('Dvd Calendar'!$AA$1127)=0,"",IF(('Dvd Calendar'!$AA$1127&gt;=GRID_FROM)*('Dvd Calendar'!$AA$1127&lt;=GRID_TO)*('Dvd Calendar'!$AA$1127&lt;=VAL_DATE)=0,"",'Dvd Calendar'!$AA$1127*1000000000+ISNUMBER('Dvd Calendar'!$AA$1130)*100000000+('Dvd Calendar'!$AA$1132=SPECIAL_LBL)*10000000+0*1000000+2*1000+23))</f>
        <v/>
      </c>
      <c r="FB117" s="35">
        <f>IF(N('Dvd Calendar'!$AB$1127)=0,"",IF(('Dvd Calendar'!$AB$1127&gt;=GRID_FROM)*('Dvd Calendar'!$AB$1127&lt;=GRID_TO)*('Dvd Calendar'!$AB$1127&lt;=VAL_DATE)=0,"",'Dvd Calendar'!$AB$1127*1000000000+ISNUMBER('Dvd Calendar'!$AB$1130)*100000000+('Dvd Calendar'!$AB$1132=SPECIAL_LBL)*10000000+0*1000000+2*1000+24))</f>
        <v/>
      </c>
      <c r="FC117" s="35">
        <f>IF(N('Dvd Calendar'!$AC$1127)=0,"",IF(('Dvd Calendar'!$AC$1127&gt;=GRID_FROM)*('Dvd Calendar'!$AC$1127&lt;=GRID_TO)*('Dvd Calendar'!$AC$1127&lt;=VAL_DATE)=0,"",'Dvd Calendar'!$AC$1127*1000000000+ISNUMBER('Dvd Calendar'!$AC$1130)*100000000+('Dvd Calendar'!$AC$1132=SPECIAL_LBL)*10000000+0*1000000+2*1000+25))</f>
        <v/>
      </c>
      <c r="FD117" s="35">
        <f>IF(N('Dvd Calendar'!$AD$1127)=0,"",IF(('Dvd Calendar'!$AD$1127&gt;=GRID_FROM)*('Dvd Calendar'!$AD$1127&lt;=GRID_TO)*('Dvd Calendar'!$AD$1127&lt;=VAL_DATE)=0,"",'Dvd Calendar'!$AD$1127*1000000000+ISNUMBER('Dvd Calendar'!$AD$1130)*100000000+('Dvd Calendar'!$AD$1132=SPECIAL_LBL)*10000000+0*1000000+2*1000+26))</f>
        <v/>
      </c>
      <c r="FE117" s="35">
        <f>IF(N('Dvd Calendar'!$AE$1127)=0,"",IF(('Dvd Calendar'!$AE$1127&gt;=GRID_FROM)*('Dvd Calendar'!$AE$1127&lt;=GRID_TO)*('Dvd Calendar'!$AE$1127&lt;=VAL_DATE)=0,"",'Dvd Calendar'!$AE$1127*1000000000+ISNUMBER('Dvd Calendar'!$AE$1130)*100000000+('Dvd Calendar'!$AE$1132=SPECIAL_LBL)*10000000+0*1000000+2*1000+27))</f>
        <v/>
      </c>
      <c r="FF117" s="35">
        <f>IF(N('Dvd Calendar'!$AF$1127)=0,"",IF(('Dvd Calendar'!$AF$1127&gt;=GRID_FROM)*('Dvd Calendar'!$AF$1127&lt;=GRID_TO)*('Dvd Calendar'!$AF$1127&lt;=VAL_DATE)=0,"",'Dvd Calendar'!$AF$1127*1000000000+ISNUMBER('Dvd Calendar'!$AF$1130)*100000000+('Dvd Calendar'!$AF$1132=SPECIAL_LBL)*10000000+0*1000000+2*1000+28))</f>
        <v/>
      </c>
      <c r="FG117" s="35">
        <f>IF(N('Dvd Calendar'!$AG$1127)=0,"",IF(('Dvd Calendar'!$AG$1127&gt;=GRID_FROM)*('Dvd Calendar'!$AG$1127&lt;=GRID_TO)*('Dvd Calendar'!$AG$1127&lt;=VAL_DATE)=0,"",'Dvd Calendar'!$AG$1127*1000000000+ISNUMBER('Dvd Calendar'!$AG$1130)*100000000+('Dvd Calendar'!$AG$1132=SPECIAL_LBL)*10000000+0*1000000+2*1000+29))</f>
        <v/>
      </c>
      <c r="FH117" s="35">
        <f>IF(N('Dvd Calendar'!$AH$1127)=0,"",IF(('Dvd Calendar'!$AH$1127&gt;=GRID_FROM)*('Dvd Calendar'!$AH$1127&lt;=GRID_TO)*('Dvd Calendar'!$AH$1127&lt;=VAL_DATE)=0,"",'Dvd Calendar'!$AH$1127*1000000000+ISNUMBER('Dvd Calendar'!$AH$1130)*100000000+('Dvd Calendar'!$AH$1132=SPECIAL_LBL)*10000000+0*1000000+2*1000+30))</f>
        <v/>
      </c>
      <c r="FI117" s="35">
        <f>IF(N('Dvd Calendar'!$AI$1127)=0,"",IF(('Dvd Calendar'!$AI$1127&gt;=GRID_FROM)*('Dvd Calendar'!$AI$1127&lt;=GRID_TO)*('Dvd Calendar'!$AI$1127&lt;=VAL_DATE)=0,"",'Dvd Calendar'!$AI$1127*1000000000+ISNUMBER('Dvd Calendar'!$AI$1130)*100000000+('Dvd Calendar'!$AI$1132=SPECIAL_LBL)*10000000+0*1000000+2*1000+31))</f>
        <v/>
      </c>
      <c r="FJ117" s="35">
        <f>IF(N('Dvd Calendar'!$AJ$1127)=0,"",IF(('Dvd Calendar'!$AJ$1127&gt;=GRID_FROM)*('Dvd Calendar'!$AJ$1127&lt;=GRID_TO)*('Dvd Calendar'!$AJ$1127&lt;=VAL_DATE)=0,"",'Dvd Calendar'!$AJ$1127*1000000000+ISNUMBER('Dvd Calendar'!$AJ$1130)*100000000+('Dvd Calendar'!$AJ$1132=SPECIAL_LBL)*10000000+0*1000000+2*1000+32))</f>
        <v/>
      </c>
      <c r="FK117" s="35">
        <f>IF(N('Dvd Calendar'!$AK$1127)=0,"",IF(('Dvd Calendar'!$AK$1127&gt;=GRID_FROM)*('Dvd Calendar'!$AK$1127&lt;=GRID_TO)*('Dvd Calendar'!$AK$1127&lt;=VAL_DATE)=0,"",'Dvd Calendar'!$AK$1127*1000000000+ISNUMBER('Dvd Calendar'!$AK$1130)*100000000+('Dvd Calendar'!$AK$1132=SPECIAL_LBL)*10000000+0*1000000+2*1000+33))</f>
        <v/>
      </c>
      <c r="FL117" s="35">
        <f>IF(N('Dvd Calendar'!$AL$1127)=0,"",IF(('Dvd Calendar'!$AL$1127&gt;=GRID_FROM)*('Dvd Calendar'!$AL$1127&lt;=GRID_TO)*('Dvd Calendar'!$AL$1127&lt;=VAL_DATE)=0,"",'Dvd Calendar'!$AL$1127*1000000000+ISNUMBER('Dvd Calendar'!$AL$1130)*100000000+('Dvd Calendar'!$AL$1132=SPECIAL_LBL)*10000000+0*1000000+2*1000+34))</f>
        <v/>
      </c>
      <c r="FM117" s="35">
        <f>IF(N('Dvd Calendar'!$AM$1127)=0,"",IF(('Dvd Calendar'!$AM$1127&gt;=GRID_FROM)*('Dvd Calendar'!$AM$1127&lt;=GRID_TO)*('Dvd Calendar'!$AM$1127&lt;=VAL_DATE)=0,"",'Dvd Calendar'!$AM$1127*1000000000+ISNUMBER('Dvd Calendar'!$AM$1130)*100000000+('Dvd Calendar'!$AM$1132=SPECIAL_LBL)*10000000+0*1000000+2*1000+35))</f>
        <v/>
      </c>
      <c r="FN117" s="35">
        <f>IF(N('Dvd Calendar'!$AN$1127)=0,"",IF(('Dvd Calendar'!$AN$1127&gt;=GRID_FROM)*('Dvd Calendar'!$AN$1127&lt;=GRID_TO)*('Dvd Calendar'!$AN$1127&lt;=VAL_DATE)=0,"",'Dvd Calendar'!$AN$1127*1000000000+ISNUMBER('Dvd Calendar'!$AN$1130)*100000000+('Dvd Calendar'!$AN$1132=SPECIAL_LBL)*10000000+0*1000000+2*1000+36))</f>
        <v/>
      </c>
      <c r="FO117" s="35">
        <f>IF(N('Dvd Calendar'!$AO$1127)=0,"",IF(('Dvd Calendar'!$AO$1127&gt;=GRID_FROM)*('Dvd Calendar'!$AO$1127&lt;=GRID_TO)*('Dvd Calendar'!$AO$1127&lt;=VAL_DATE)=0,"",'Dvd Calendar'!$AO$1127*1000000000+ISNUMBER('Dvd Calendar'!$AO$1130)*100000000+('Dvd Calendar'!$AO$1132=SPECIAL_LBL)*10000000+0*1000000+2*1000+37))</f>
        <v/>
      </c>
      <c r="FP117" s="35">
        <f>IF(N('Dvd Calendar'!$AP$1127)=0,"",IF(('Dvd Calendar'!$AP$1127&gt;=GRID_FROM)*('Dvd Calendar'!$AP$1127&lt;=GRID_TO)*('Dvd Calendar'!$AP$1127&lt;=VAL_DATE)=0,"",'Dvd Calendar'!$AP$1127*1000000000+ISNUMBER('Dvd Calendar'!$AP$1130)*100000000+('Dvd Calendar'!$AP$1132=SPECIAL_LBL)*10000000+0*1000000+2*1000+38))</f>
        <v/>
      </c>
      <c r="FQ117" s="35">
        <f>IF(N('Dvd Calendar'!$AQ$1127)=0,"",IF(('Dvd Calendar'!$AQ$1127&gt;=GRID_FROM)*('Dvd Calendar'!$AQ$1127&lt;=GRID_TO)*('Dvd Calendar'!$AQ$1127&lt;=VAL_DATE)=0,"",'Dvd Calendar'!$AQ$1127*1000000000+ISNUMBER('Dvd Calendar'!$AQ$1130)*100000000+('Dvd Calendar'!$AQ$1132=SPECIAL_LBL)*10000000+0*1000000+2*1000+39))</f>
        <v/>
      </c>
      <c r="FR117" s="35">
        <f>IF(N('Dvd Calendar'!$AR$1127)=0,"",IF(('Dvd Calendar'!$AR$1127&gt;=GRID_FROM)*('Dvd Calendar'!$AR$1127&lt;=GRID_TO)*('Dvd Calendar'!$AR$1127&lt;=VAL_DATE)=0,"",'Dvd Calendar'!$AR$1127*1000000000+ISNUMBER('Dvd Calendar'!$AR$1130)*100000000+('Dvd Calendar'!$AR$1132=SPECIAL_LBL)*10000000+0*1000000+2*1000+40))</f>
        <v/>
      </c>
      <c r="FS117" s="35">
        <f>IF(N('Dvd Calendar'!$E$1134)=0,"",IF(('Dvd Calendar'!$E$1134&gt;=GRID_FROM)*('Dvd Calendar'!$E$1134&lt;=GRID_TO)*('Dvd Calendar'!$E$1134&gt;VAL_DATE)=0,"",'Dvd Calendar'!$E$1134*1000000000+ISNUMBER('Dvd Calendar'!$E$1135)*100000000+0*10000000+(N('Dvd Calendar'!$E$1133)&gt;0)*(N('Dvd Calendar'!$E$1133)&lt;=VAL_SERIAL)*1000000+2*1000+41))</f>
        <v/>
      </c>
      <c r="FT117" s="35">
        <f>IF(N('Dvd Calendar'!$F$1134)=0,"",IF(('Dvd Calendar'!$F$1134&gt;=GRID_FROM)*('Dvd Calendar'!$F$1134&lt;=GRID_TO)*('Dvd Calendar'!$F$1134&gt;VAL_DATE)=0,"",'Dvd Calendar'!$F$1134*1000000000+ISNUMBER('Dvd Calendar'!$F$1135)*100000000+0*10000000+(N('Dvd Calendar'!$F$1133)&gt;0)*(N('Dvd Calendar'!$F$1133)&lt;=VAL_SERIAL)*1000000+2*1000+42))</f>
        <v/>
      </c>
      <c r="FU117" s="35">
        <f>IF(N('Dvd Calendar'!$G$1134)=0,"",IF(('Dvd Calendar'!$G$1134&gt;=GRID_FROM)*('Dvd Calendar'!$G$1134&lt;=GRID_TO)*('Dvd Calendar'!$G$1134&gt;VAL_DATE)=0,"",'Dvd Calendar'!$G$1134*1000000000+ISNUMBER('Dvd Calendar'!$G$1135)*100000000+0*10000000+(N('Dvd Calendar'!$G$1133)&gt;0)*(N('Dvd Calendar'!$G$1133)&lt;=VAL_SERIAL)*1000000+2*1000+43))</f>
        <v/>
      </c>
      <c r="FV117" s="35">
        <f>IF(N('Dvd Calendar'!$H$1134)=0,"",IF(('Dvd Calendar'!$H$1134&gt;=GRID_FROM)*('Dvd Calendar'!$H$1134&lt;=GRID_TO)*('Dvd Calendar'!$H$1134&gt;VAL_DATE)=0,"",'Dvd Calendar'!$H$1134*1000000000+ISNUMBER('Dvd Calendar'!$H$1135)*100000000+0*10000000+(N('Dvd Calendar'!$H$1133)&gt;0)*(N('Dvd Calendar'!$H$1133)&lt;=VAL_SERIAL)*1000000+2*1000+44))</f>
        <v/>
      </c>
      <c r="FW117" s="35">
        <f>IF(N('Dvd Calendar'!$I$1134)=0,"",IF(('Dvd Calendar'!$I$1134&gt;=GRID_FROM)*('Dvd Calendar'!$I$1134&lt;=GRID_TO)*('Dvd Calendar'!$I$1134&gt;VAL_DATE)=0,"",'Dvd Calendar'!$I$1134*1000000000+ISNUMBER('Dvd Calendar'!$I$1135)*100000000+0*10000000+(N('Dvd Calendar'!$I$1133)&gt;0)*(N('Dvd Calendar'!$I$1133)&lt;=VAL_SERIAL)*1000000+2*1000+45))</f>
        <v/>
      </c>
      <c r="FX117" s="35">
        <f>IF(N('Dvd Calendar'!$J$1134)=0,"",IF(('Dvd Calendar'!$J$1134&gt;=GRID_FROM)*('Dvd Calendar'!$J$1134&lt;=GRID_TO)*('Dvd Calendar'!$J$1134&gt;VAL_DATE)=0,"",'Dvd Calendar'!$J$1134*1000000000+ISNUMBER('Dvd Calendar'!$J$1135)*100000000+0*10000000+(N('Dvd Calendar'!$J$1133)&gt;0)*(N('Dvd Calendar'!$J$1133)&lt;=VAL_SERIAL)*1000000+2*1000+46))</f>
        <v/>
      </c>
      <c r="FY117" s="35">
        <f>IF(N('Dvd Calendar'!$K$1134)=0,"",IF(('Dvd Calendar'!$K$1134&gt;=GRID_FROM)*('Dvd Calendar'!$K$1134&lt;=GRID_TO)*('Dvd Calendar'!$K$1134&gt;VAL_DATE)=0,"",'Dvd Calendar'!$K$1134*1000000000+ISNUMBER('Dvd Calendar'!$K$1135)*100000000+0*10000000+(N('Dvd Calendar'!$K$1133)&gt;0)*(N('Dvd Calendar'!$K$1133)&lt;=VAL_SERIAL)*1000000+2*1000+47))</f>
        <v/>
      </c>
      <c r="FZ117" s="35">
        <f>IF(N('Dvd Calendar'!$L$1134)=0,"",IF(('Dvd Calendar'!$L$1134&gt;=GRID_FROM)*('Dvd Calendar'!$L$1134&lt;=GRID_TO)*('Dvd Calendar'!$L$1134&gt;VAL_DATE)=0,"",'Dvd Calendar'!$L$1134*1000000000+ISNUMBER('Dvd Calendar'!$L$1135)*100000000+0*10000000+(N('Dvd Calendar'!$L$1133)&gt;0)*(N('Dvd Calendar'!$L$1133)&lt;=VAL_SERIAL)*1000000+2*1000+48))</f>
        <v/>
      </c>
      <c r="GA117" s="35">
        <f>IF(N('Dvd Calendar'!$M$1134)=0,"",IF(('Dvd Calendar'!$M$1134&gt;=GRID_FROM)*('Dvd Calendar'!$M$1134&lt;=GRID_TO)*('Dvd Calendar'!$M$1134&gt;VAL_DATE)=0,"",'Dvd Calendar'!$M$1134*1000000000+ISNUMBER('Dvd Calendar'!$M$1135)*100000000+0*10000000+(N('Dvd Calendar'!$M$1133)&gt;0)*(N('Dvd Calendar'!$M$1133)&lt;=VAL_SERIAL)*1000000+2*1000+49))</f>
        <v/>
      </c>
      <c r="GB117" s="35">
        <f>IF(N('Dvd Calendar'!$N$1134)=0,"",IF(('Dvd Calendar'!$N$1134&gt;=GRID_FROM)*('Dvd Calendar'!$N$1134&lt;=GRID_TO)*('Dvd Calendar'!$N$1134&gt;VAL_DATE)=0,"",'Dvd Calendar'!$N$1134*1000000000+ISNUMBER('Dvd Calendar'!$N$1135)*100000000+0*10000000+(N('Dvd Calendar'!$N$1133)&gt;0)*(N('Dvd Calendar'!$N$1133)&lt;=VAL_SERIAL)*1000000+2*1000+50))</f>
        <v/>
      </c>
      <c r="GC117" s="35">
        <f>IF(N('Dvd Calendar'!$O$1134)=0,"",IF(('Dvd Calendar'!$O$1134&gt;=GRID_FROM)*('Dvd Calendar'!$O$1134&lt;=GRID_TO)*('Dvd Calendar'!$O$1134&gt;VAL_DATE)=0,"",'Dvd Calendar'!$O$1134*1000000000+ISNUMBER('Dvd Calendar'!$O$1135)*100000000+0*10000000+(N('Dvd Calendar'!$O$1133)&gt;0)*(N('Dvd Calendar'!$O$1133)&lt;=VAL_SERIAL)*1000000+2*1000+51))</f>
        <v/>
      </c>
      <c r="GD117" s="35">
        <f>IF(N('Dvd Calendar'!$P$1134)=0,"",IF(('Dvd Calendar'!$P$1134&gt;=GRID_FROM)*('Dvd Calendar'!$P$1134&lt;=GRID_TO)*('Dvd Calendar'!$P$1134&gt;VAL_DATE)=0,"",'Dvd Calendar'!$P$1134*1000000000+ISNUMBER('Dvd Calendar'!$P$1135)*100000000+0*10000000+(N('Dvd Calendar'!$P$1133)&gt;0)*(N('Dvd Calendar'!$P$1133)&lt;=VAL_SERIAL)*1000000+2*1000+52))</f>
        <v/>
      </c>
      <c r="GE117" s="35">
        <f>IF(N('Dvd Calendar'!$Q$1134)=0,"",IF(('Dvd Calendar'!$Q$1134&gt;=GRID_FROM)*('Dvd Calendar'!$Q$1134&lt;=GRID_TO)*('Dvd Calendar'!$Q$1134&gt;VAL_DATE)=0,"",'Dvd Calendar'!$Q$1134*1000000000+ISNUMBER('Dvd Calendar'!$Q$1135)*100000000+0*10000000+(N('Dvd Calendar'!$Q$1133)&gt;0)*(N('Dvd Calendar'!$Q$1133)&lt;=VAL_SERIAL)*1000000+2*1000+53))</f>
        <v/>
      </c>
      <c r="GF117" s="35">
        <f>IF(N('Dvd Calendar'!$R$1134)=0,"",IF(('Dvd Calendar'!$R$1134&gt;=GRID_FROM)*('Dvd Calendar'!$R$1134&lt;=GRID_TO)*('Dvd Calendar'!$R$1134&gt;VAL_DATE)=0,"",'Dvd Calendar'!$R$1134*1000000000+ISNUMBER('Dvd Calendar'!$R$1135)*100000000+0*10000000+(N('Dvd Calendar'!$R$1133)&gt;0)*(N('Dvd Calendar'!$R$1133)&lt;=VAL_SERIAL)*1000000+2*1000+54))</f>
        <v/>
      </c>
      <c r="GG117" s="35">
        <f>IF(N('Dvd Calendar'!$S$1134)=0,"",IF(('Dvd Calendar'!$S$1134&gt;=GRID_FROM)*('Dvd Calendar'!$S$1134&lt;=GRID_TO)*('Dvd Calendar'!$S$1134&gt;VAL_DATE)=0,"",'Dvd Calendar'!$S$1134*1000000000+ISNUMBER('Dvd Calendar'!$S$1135)*100000000+0*10000000+(N('Dvd Calendar'!$S$1133)&gt;0)*(N('Dvd Calendar'!$S$1133)&lt;=VAL_SERIAL)*1000000+2*1000+55))</f>
        <v/>
      </c>
      <c r="GH117" s="35">
        <f>IF(N('Dvd Calendar'!$T$1134)=0,"",IF(('Dvd Calendar'!$T$1134&gt;=GRID_FROM)*('Dvd Calendar'!$T$1134&lt;=GRID_TO)*('Dvd Calendar'!$T$1134&gt;VAL_DATE)=0,"",'Dvd Calendar'!$T$1134*1000000000+ISNUMBER('Dvd Calendar'!$T$1135)*100000000+0*10000000+(N('Dvd Calendar'!$T$1133)&gt;0)*(N('Dvd Calendar'!$T$1133)&lt;=VAL_SERIAL)*1000000+2*1000+56))</f>
        <v/>
      </c>
      <c r="GI117" s="35">
        <f>IF(N('Dvd Calendar'!$U$1134)=0,"",IF(('Dvd Calendar'!$U$1134&gt;=GRID_FROM)*('Dvd Calendar'!$U$1134&lt;=GRID_TO)*('Dvd Calendar'!$U$1134&gt;VAL_DATE)=0,"",'Dvd Calendar'!$U$1134*1000000000+ISNUMBER('Dvd Calendar'!$U$1135)*100000000+0*10000000+(N('Dvd Calendar'!$U$1133)&gt;0)*(N('Dvd Calendar'!$U$1133)&lt;=VAL_SERIAL)*1000000+2*1000+57))</f>
        <v/>
      </c>
      <c r="GJ117" s="35">
        <f>IF(N('Dvd Calendar'!$V$1134)=0,"",IF(('Dvd Calendar'!$V$1134&gt;=GRID_FROM)*('Dvd Calendar'!$V$1134&lt;=GRID_TO)*('Dvd Calendar'!$V$1134&gt;VAL_DATE)=0,"",'Dvd Calendar'!$V$1134*1000000000+ISNUMBER('Dvd Calendar'!$V$1135)*100000000+0*10000000+(N('Dvd Calendar'!$V$1133)&gt;0)*(N('Dvd Calendar'!$V$1133)&lt;=VAL_SERIAL)*1000000+2*1000+58))</f>
        <v/>
      </c>
      <c r="GK117" s="35">
        <f>IF(N('Dvd Calendar'!$W$1134)=0,"",IF(('Dvd Calendar'!$W$1134&gt;=GRID_FROM)*('Dvd Calendar'!$W$1134&lt;=GRID_TO)*('Dvd Calendar'!$W$1134&gt;VAL_DATE)=0,"",'Dvd Calendar'!$W$1134*1000000000+ISNUMBER('Dvd Calendar'!$W$1135)*100000000+0*10000000+(N('Dvd Calendar'!$W$1133)&gt;0)*(N('Dvd Calendar'!$W$1133)&lt;=VAL_SERIAL)*1000000+2*1000+59))</f>
        <v/>
      </c>
      <c r="GL117" s="35">
        <f>IF(N('Dvd Calendar'!$X$1134)=0,"",IF(('Dvd Calendar'!$X$1134&gt;=GRID_FROM)*('Dvd Calendar'!$X$1134&lt;=GRID_TO)*('Dvd Calendar'!$X$1134&gt;VAL_DATE)=0,"",'Dvd Calendar'!$X$1134*1000000000+ISNUMBER('Dvd Calendar'!$X$1135)*100000000+0*10000000+(N('Dvd Calendar'!$X$1133)&gt;0)*(N('Dvd Calendar'!$X$1133)&lt;=VAL_SERIAL)*1000000+2*1000+60))</f>
        <v/>
      </c>
      <c r="GM117" s="35">
        <f>IF(N('Dvd Calendar'!$Y$1134)=0,"",IF(('Dvd Calendar'!$Y$1134&gt;=GRID_FROM)*('Dvd Calendar'!$Y$1134&lt;=GRID_TO)*('Dvd Calendar'!$Y$1134&gt;VAL_DATE)=0,"",'Dvd Calendar'!$Y$1134*1000000000+ISNUMBER('Dvd Calendar'!$Y$1135)*100000000+0*10000000+(N('Dvd Calendar'!$Y$1133)&gt;0)*(N('Dvd Calendar'!$Y$1133)&lt;=VAL_SERIAL)*1000000+2*1000+61))</f>
        <v/>
      </c>
      <c r="GN117" s="35">
        <f>IF(N('Dvd Calendar'!$Z$1134)=0,"",IF(('Dvd Calendar'!$Z$1134&gt;=GRID_FROM)*('Dvd Calendar'!$Z$1134&lt;=GRID_TO)*('Dvd Calendar'!$Z$1134&gt;VAL_DATE)=0,"",'Dvd Calendar'!$Z$1134*1000000000+ISNUMBER('Dvd Calendar'!$Z$1135)*100000000+0*10000000+(N('Dvd Calendar'!$Z$1133)&gt;0)*(N('Dvd Calendar'!$Z$1133)&lt;=VAL_SERIAL)*1000000+2*1000+62))</f>
        <v/>
      </c>
      <c r="GO117" s="35">
        <f>IF(N('Dvd Calendar'!$AA$1134)=0,"",IF(('Dvd Calendar'!$AA$1134&gt;=GRID_FROM)*('Dvd Calendar'!$AA$1134&lt;=GRID_TO)*('Dvd Calendar'!$AA$1134&gt;VAL_DATE)=0,"",'Dvd Calendar'!$AA$1134*1000000000+ISNUMBER('Dvd Calendar'!$AA$1135)*100000000+0*10000000+(N('Dvd Calendar'!$AA$1133)&gt;0)*(N('Dvd Calendar'!$AA$1133)&lt;=VAL_SERIAL)*1000000+2*1000+63))</f>
        <v/>
      </c>
      <c r="GP117" s="35">
        <f>IF(N('Dvd Calendar'!$AB$1134)=0,"",IF(('Dvd Calendar'!$AB$1134&gt;=GRID_FROM)*('Dvd Calendar'!$AB$1134&lt;=GRID_TO)*('Dvd Calendar'!$AB$1134&gt;VAL_DATE)=0,"",'Dvd Calendar'!$AB$1134*1000000000+ISNUMBER('Dvd Calendar'!$AB$1135)*100000000+0*10000000+(N('Dvd Calendar'!$AB$1133)&gt;0)*(N('Dvd Calendar'!$AB$1133)&lt;=VAL_SERIAL)*1000000+2*1000+64))</f>
        <v/>
      </c>
      <c r="GQ117" s="35">
        <f>IF(N('Dvd Calendar'!$AC$1134)=0,"",IF(('Dvd Calendar'!$AC$1134&gt;=GRID_FROM)*('Dvd Calendar'!$AC$1134&lt;=GRID_TO)*('Dvd Calendar'!$AC$1134&gt;VAL_DATE)=0,"",'Dvd Calendar'!$AC$1134*1000000000+ISNUMBER('Dvd Calendar'!$AC$1135)*100000000+0*10000000+(N('Dvd Calendar'!$AC$1133)&gt;0)*(N('Dvd Calendar'!$AC$1133)&lt;=VAL_SERIAL)*1000000+2*1000+65))</f>
        <v/>
      </c>
    </row>
    <row r="118">
      <c r="B118" s="2">
        <f>IF(HSTECH!$C$9="","",HSTECH!$C$9)</f>
        <v/>
      </c>
      <c r="C118" s="106">
        <f>IF(EE118="","",IF(ISNUMBER('Dvd Calendar'!$E$1141)=FALSE,"",IF((('Dvd Calendar'!$E$1143=TYPE1)*(TYPE1&lt;&gt;"")+('Dvd Calendar'!$E$1143=TYPE2)*(TYPE2&lt;&gt;"")+('Dvd Calendar'!$E$1143=TYPE3)*(TYPE3&lt;&gt;"")+('Dvd Calendar'!$E$1143=TYPE4)*(TYPE4&lt;&gt;"")+('Dvd Calendar'!$E$1143=SPECIAL_LBL)*(INC_SPECIALS="Y"))=0,"",'Dvd Calendar'!$E$1141)))</f>
        <v/>
      </c>
      <c r="D118" s="106">
        <f>IF(EF118="","",IF(ISNUMBER('Dvd Calendar'!$F$1141)=FALSE,"",IF((('Dvd Calendar'!$F$1143=TYPE1)*(TYPE1&lt;&gt;"")+('Dvd Calendar'!$F$1143=TYPE2)*(TYPE2&lt;&gt;"")+('Dvd Calendar'!$F$1143=TYPE3)*(TYPE3&lt;&gt;"")+('Dvd Calendar'!$F$1143=TYPE4)*(TYPE4&lt;&gt;"")+('Dvd Calendar'!$F$1143=SPECIAL_LBL)*(INC_SPECIALS="Y"))=0,"",'Dvd Calendar'!$F$1141)))</f>
        <v/>
      </c>
      <c r="E118" s="106">
        <f>IF(EG118="","",IF(ISNUMBER('Dvd Calendar'!$G$1141)=FALSE,"",IF((('Dvd Calendar'!$G$1143=TYPE1)*(TYPE1&lt;&gt;"")+('Dvd Calendar'!$G$1143=TYPE2)*(TYPE2&lt;&gt;"")+('Dvd Calendar'!$G$1143=TYPE3)*(TYPE3&lt;&gt;"")+('Dvd Calendar'!$G$1143=TYPE4)*(TYPE4&lt;&gt;"")+('Dvd Calendar'!$G$1143=SPECIAL_LBL)*(INC_SPECIALS="Y"))=0,"",'Dvd Calendar'!$G$1141)))</f>
        <v/>
      </c>
      <c r="F118" s="106">
        <f>IF(EH118="","",IF(ISNUMBER('Dvd Calendar'!$H$1141)=FALSE,"",IF((('Dvd Calendar'!$H$1143=TYPE1)*(TYPE1&lt;&gt;"")+('Dvd Calendar'!$H$1143=TYPE2)*(TYPE2&lt;&gt;"")+('Dvd Calendar'!$H$1143=TYPE3)*(TYPE3&lt;&gt;"")+('Dvd Calendar'!$H$1143=TYPE4)*(TYPE4&lt;&gt;"")+('Dvd Calendar'!$H$1143=SPECIAL_LBL)*(INC_SPECIALS="Y"))=0,"",'Dvd Calendar'!$H$1141)))</f>
        <v/>
      </c>
      <c r="G118" s="106">
        <f>IF(EI118="","",IF(ISNUMBER('Dvd Calendar'!$I$1141)=FALSE,"",IF((('Dvd Calendar'!$I$1143=TYPE1)*(TYPE1&lt;&gt;"")+('Dvd Calendar'!$I$1143=TYPE2)*(TYPE2&lt;&gt;"")+('Dvd Calendar'!$I$1143=TYPE3)*(TYPE3&lt;&gt;"")+('Dvd Calendar'!$I$1143=TYPE4)*(TYPE4&lt;&gt;"")+('Dvd Calendar'!$I$1143=SPECIAL_LBL)*(INC_SPECIALS="Y"))=0,"",'Dvd Calendar'!$I$1141)))</f>
        <v/>
      </c>
      <c r="H118" s="106">
        <f>IF(EJ118="","",IF(ISNUMBER('Dvd Calendar'!$J$1141)=FALSE,"",IF((('Dvd Calendar'!$J$1143=TYPE1)*(TYPE1&lt;&gt;"")+('Dvd Calendar'!$J$1143=TYPE2)*(TYPE2&lt;&gt;"")+('Dvd Calendar'!$J$1143=TYPE3)*(TYPE3&lt;&gt;"")+('Dvd Calendar'!$J$1143=TYPE4)*(TYPE4&lt;&gt;"")+('Dvd Calendar'!$J$1143=SPECIAL_LBL)*(INC_SPECIALS="Y"))=0,"",'Dvd Calendar'!$J$1141)))</f>
        <v/>
      </c>
      <c r="I118" s="106">
        <f>IF(EK118="","",IF(ISNUMBER('Dvd Calendar'!$K$1141)=FALSE,"",IF((('Dvd Calendar'!$K$1143=TYPE1)*(TYPE1&lt;&gt;"")+('Dvd Calendar'!$K$1143=TYPE2)*(TYPE2&lt;&gt;"")+('Dvd Calendar'!$K$1143=TYPE3)*(TYPE3&lt;&gt;"")+('Dvd Calendar'!$K$1143=TYPE4)*(TYPE4&lt;&gt;"")+('Dvd Calendar'!$K$1143=SPECIAL_LBL)*(INC_SPECIALS="Y"))=0,"",'Dvd Calendar'!$K$1141)))</f>
        <v/>
      </c>
      <c r="J118" s="106">
        <f>IF(EL118="","",IF(ISNUMBER('Dvd Calendar'!$L$1141)=FALSE,"",IF((('Dvd Calendar'!$L$1143=TYPE1)*(TYPE1&lt;&gt;"")+('Dvd Calendar'!$L$1143=TYPE2)*(TYPE2&lt;&gt;"")+('Dvd Calendar'!$L$1143=TYPE3)*(TYPE3&lt;&gt;"")+('Dvd Calendar'!$L$1143=TYPE4)*(TYPE4&lt;&gt;"")+('Dvd Calendar'!$L$1143=SPECIAL_LBL)*(INC_SPECIALS="Y"))=0,"",'Dvd Calendar'!$L$1141)))</f>
        <v/>
      </c>
      <c r="K118" s="106">
        <f>IF(EM118="","",IF(ISNUMBER('Dvd Calendar'!$M$1141)=FALSE,"",IF((('Dvd Calendar'!$M$1143=TYPE1)*(TYPE1&lt;&gt;"")+('Dvd Calendar'!$M$1143=TYPE2)*(TYPE2&lt;&gt;"")+('Dvd Calendar'!$M$1143=TYPE3)*(TYPE3&lt;&gt;"")+('Dvd Calendar'!$M$1143=TYPE4)*(TYPE4&lt;&gt;"")+('Dvd Calendar'!$M$1143=SPECIAL_LBL)*(INC_SPECIALS="Y"))=0,"",'Dvd Calendar'!$M$1141)))</f>
        <v/>
      </c>
      <c r="L118" s="106">
        <f>IF(EN118="","",IF(ISNUMBER('Dvd Calendar'!$N$1141)=FALSE,"",IF((('Dvd Calendar'!$N$1143=TYPE1)*(TYPE1&lt;&gt;"")+('Dvd Calendar'!$N$1143=TYPE2)*(TYPE2&lt;&gt;"")+('Dvd Calendar'!$N$1143=TYPE3)*(TYPE3&lt;&gt;"")+('Dvd Calendar'!$N$1143=TYPE4)*(TYPE4&lt;&gt;"")+('Dvd Calendar'!$N$1143=SPECIAL_LBL)*(INC_SPECIALS="Y"))=0,"",'Dvd Calendar'!$N$1141)))</f>
        <v/>
      </c>
      <c r="M118" s="106">
        <f>IF(EO118="","",IF(ISNUMBER('Dvd Calendar'!$O$1141)=FALSE,"",IF((('Dvd Calendar'!$O$1143=TYPE1)*(TYPE1&lt;&gt;"")+('Dvd Calendar'!$O$1143=TYPE2)*(TYPE2&lt;&gt;"")+('Dvd Calendar'!$O$1143=TYPE3)*(TYPE3&lt;&gt;"")+('Dvd Calendar'!$O$1143=TYPE4)*(TYPE4&lt;&gt;"")+('Dvd Calendar'!$O$1143=SPECIAL_LBL)*(INC_SPECIALS="Y"))=0,"",'Dvd Calendar'!$O$1141)))</f>
        <v/>
      </c>
      <c r="N118" s="106">
        <f>IF(EP118="","",IF(ISNUMBER('Dvd Calendar'!$P$1141)=FALSE,"",IF((('Dvd Calendar'!$P$1143=TYPE1)*(TYPE1&lt;&gt;"")+('Dvd Calendar'!$P$1143=TYPE2)*(TYPE2&lt;&gt;"")+('Dvd Calendar'!$P$1143=TYPE3)*(TYPE3&lt;&gt;"")+('Dvd Calendar'!$P$1143=TYPE4)*(TYPE4&lt;&gt;"")+('Dvd Calendar'!$P$1143=SPECIAL_LBL)*(INC_SPECIALS="Y"))=0,"",'Dvd Calendar'!$P$1141)))</f>
        <v/>
      </c>
      <c r="O118" s="106">
        <f>IF(EQ118="","",IF(ISNUMBER('Dvd Calendar'!$Q$1141)=FALSE,"",IF((('Dvd Calendar'!$Q$1143=TYPE1)*(TYPE1&lt;&gt;"")+('Dvd Calendar'!$Q$1143=TYPE2)*(TYPE2&lt;&gt;"")+('Dvd Calendar'!$Q$1143=TYPE3)*(TYPE3&lt;&gt;"")+('Dvd Calendar'!$Q$1143=TYPE4)*(TYPE4&lt;&gt;"")+('Dvd Calendar'!$Q$1143=SPECIAL_LBL)*(INC_SPECIALS="Y"))=0,"",'Dvd Calendar'!$Q$1141)))</f>
        <v/>
      </c>
      <c r="P118" s="106">
        <f>IF(ER118="","",IF(ISNUMBER('Dvd Calendar'!$R$1141)=FALSE,"",IF((('Dvd Calendar'!$R$1143=TYPE1)*(TYPE1&lt;&gt;"")+('Dvd Calendar'!$R$1143=TYPE2)*(TYPE2&lt;&gt;"")+('Dvd Calendar'!$R$1143=TYPE3)*(TYPE3&lt;&gt;"")+('Dvd Calendar'!$R$1143=TYPE4)*(TYPE4&lt;&gt;"")+('Dvd Calendar'!$R$1143=SPECIAL_LBL)*(INC_SPECIALS="Y"))=0,"",'Dvd Calendar'!$R$1141)))</f>
        <v/>
      </c>
      <c r="Q118" s="106">
        <f>IF(ES118="","",IF(ISNUMBER('Dvd Calendar'!$S$1141)=FALSE,"",IF((('Dvd Calendar'!$S$1143=TYPE1)*(TYPE1&lt;&gt;"")+('Dvd Calendar'!$S$1143=TYPE2)*(TYPE2&lt;&gt;"")+('Dvd Calendar'!$S$1143=TYPE3)*(TYPE3&lt;&gt;"")+('Dvd Calendar'!$S$1143=TYPE4)*(TYPE4&lt;&gt;"")+('Dvd Calendar'!$S$1143=SPECIAL_LBL)*(INC_SPECIALS="Y"))=0,"",'Dvd Calendar'!$S$1141)))</f>
        <v/>
      </c>
      <c r="R118" s="106">
        <f>IF(ET118="","",IF(ISNUMBER('Dvd Calendar'!$T$1141)=FALSE,"",IF((('Dvd Calendar'!$T$1143=TYPE1)*(TYPE1&lt;&gt;"")+('Dvd Calendar'!$T$1143=TYPE2)*(TYPE2&lt;&gt;"")+('Dvd Calendar'!$T$1143=TYPE3)*(TYPE3&lt;&gt;"")+('Dvd Calendar'!$T$1143=TYPE4)*(TYPE4&lt;&gt;"")+('Dvd Calendar'!$T$1143=SPECIAL_LBL)*(INC_SPECIALS="Y"))=0,"",'Dvd Calendar'!$T$1141)))</f>
        <v/>
      </c>
      <c r="S118" s="106">
        <f>IF(EU118="","",IF(ISNUMBER('Dvd Calendar'!$U$1141)=FALSE,"",IF((('Dvd Calendar'!$U$1143=TYPE1)*(TYPE1&lt;&gt;"")+('Dvd Calendar'!$U$1143=TYPE2)*(TYPE2&lt;&gt;"")+('Dvd Calendar'!$U$1143=TYPE3)*(TYPE3&lt;&gt;"")+('Dvd Calendar'!$U$1143=TYPE4)*(TYPE4&lt;&gt;"")+('Dvd Calendar'!$U$1143=SPECIAL_LBL)*(INC_SPECIALS="Y"))=0,"",'Dvd Calendar'!$U$1141)))</f>
        <v/>
      </c>
      <c r="T118" s="106">
        <f>IF(EV118="","",IF(ISNUMBER('Dvd Calendar'!$V$1141)=FALSE,"",IF((('Dvd Calendar'!$V$1143=TYPE1)*(TYPE1&lt;&gt;"")+('Dvd Calendar'!$V$1143=TYPE2)*(TYPE2&lt;&gt;"")+('Dvd Calendar'!$V$1143=TYPE3)*(TYPE3&lt;&gt;"")+('Dvd Calendar'!$V$1143=TYPE4)*(TYPE4&lt;&gt;"")+('Dvd Calendar'!$V$1143=SPECIAL_LBL)*(INC_SPECIALS="Y"))=0,"",'Dvd Calendar'!$V$1141)))</f>
        <v/>
      </c>
      <c r="U118" s="106">
        <f>IF(EW118="","",IF(ISNUMBER('Dvd Calendar'!$W$1141)=FALSE,"",IF((('Dvd Calendar'!$W$1143=TYPE1)*(TYPE1&lt;&gt;"")+('Dvd Calendar'!$W$1143=TYPE2)*(TYPE2&lt;&gt;"")+('Dvd Calendar'!$W$1143=TYPE3)*(TYPE3&lt;&gt;"")+('Dvd Calendar'!$W$1143=TYPE4)*(TYPE4&lt;&gt;"")+('Dvd Calendar'!$W$1143=SPECIAL_LBL)*(INC_SPECIALS="Y"))=0,"",'Dvd Calendar'!$W$1141)))</f>
        <v/>
      </c>
      <c r="V118" s="106">
        <f>IF(EX118="","",IF(ISNUMBER('Dvd Calendar'!$X$1141)=FALSE,"",IF((('Dvd Calendar'!$X$1143=TYPE1)*(TYPE1&lt;&gt;"")+('Dvd Calendar'!$X$1143=TYPE2)*(TYPE2&lt;&gt;"")+('Dvd Calendar'!$X$1143=TYPE3)*(TYPE3&lt;&gt;"")+('Dvd Calendar'!$X$1143=TYPE4)*(TYPE4&lt;&gt;"")+('Dvd Calendar'!$X$1143=SPECIAL_LBL)*(INC_SPECIALS="Y"))=0,"",'Dvd Calendar'!$X$1141)))</f>
        <v/>
      </c>
      <c r="W118" s="106">
        <f>IF(EY118="","",IF(ISNUMBER('Dvd Calendar'!$Y$1141)=FALSE,"",IF((('Dvd Calendar'!$Y$1143=TYPE1)*(TYPE1&lt;&gt;"")+('Dvd Calendar'!$Y$1143=TYPE2)*(TYPE2&lt;&gt;"")+('Dvd Calendar'!$Y$1143=TYPE3)*(TYPE3&lt;&gt;"")+('Dvd Calendar'!$Y$1143=TYPE4)*(TYPE4&lt;&gt;"")+('Dvd Calendar'!$Y$1143=SPECIAL_LBL)*(INC_SPECIALS="Y"))=0,"",'Dvd Calendar'!$Y$1141)))</f>
        <v/>
      </c>
      <c r="X118" s="106">
        <f>IF(EZ118="","",IF(ISNUMBER('Dvd Calendar'!$Z$1141)=FALSE,"",IF((('Dvd Calendar'!$Z$1143=TYPE1)*(TYPE1&lt;&gt;"")+('Dvd Calendar'!$Z$1143=TYPE2)*(TYPE2&lt;&gt;"")+('Dvd Calendar'!$Z$1143=TYPE3)*(TYPE3&lt;&gt;"")+('Dvd Calendar'!$Z$1143=TYPE4)*(TYPE4&lt;&gt;"")+('Dvd Calendar'!$Z$1143=SPECIAL_LBL)*(INC_SPECIALS="Y"))=0,"",'Dvd Calendar'!$Z$1141)))</f>
        <v/>
      </c>
      <c r="Y118" s="106">
        <f>IF(FA118="","",IF(ISNUMBER('Dvd Calendar'!$AA$1141)=FALSE,"",IF((('Dvd Calendar'!$AA$1143=TYPE1)*(TYPE1&lt;&gt;"")+('Dvd Calendar'!$AA$1143=TYPE2)*(TYPE2&lt;&gt;"")+('Dvd Calendar'!$AA$1143=TYPE3)*(TYPE3&lt;&gt;"")+('Dvd Calendar'!$AA$1143=TYPE4)*(TYPE4&lt;&gt;"")+('Dvd Calendar'!$AA$1143=SPECIAL_LBL)*(INC_SPECIALS="Y"))=0,"",'Dvd Calendar'!$AA$1141)))</f>
        <v/>
      </c>
      <c r="Z118" s="106">
        <f>IF(FB118="","",IF(ISNUMBER('Dvd Calendar'!$AB$1141)=FALSE,"",IF((('Dvd Calendar'!$AB$1143=TYPE1)*(TYPE1&lt;&gt;"")+('Dvd Calendar'!$AB$1143=TYPE2)*(TYPE2&lt;&gt;"")+('Dvd Calendar'!$AB$1143=TYPE3)*(TYPE3&lt;&gt;"")+('Dvd Calendar'!$AB$1143=TYPE4)*(TYPE4&lt;&gt;"")+('Dvd Calendar'!$AB$1143=SPECIAL_LBL)*(INC_SPECIALS="Y"))=0,"",'Dvd Calendar'!$AB$1141)))</f>
        <v/>
      </c>
      <c r="AA118" s="106">
        <f>IF(FC118="","",IF(ISNUMBER('Dvd Calendar'!$AC$1141)=FALSE,"",IF((('Dvd Calendar'!$AC$1143=TYPE1)*(TYPE1&lt;&gt;"")+('Dvd Calendar'!$AC$1143=TYPE2)*(TYPE2&lt;&gt;"")+('Dvd Calendar'!$AC$1143=TYPE3)*(TYPE3&lt;&gt;"")+('Dvd Calendar'!$AC$1143=TYPE4)*(TYPE4&lt;&gt;"")+('Dvd Calendar'!$AC$1143=SPECIAL_LBL)*(INC_SPECIALS="Y"))=0,"",'Dvd Calendar'!$AC$1141)))</f>
        <v/>
      </c>
      <c r="AB118" s="106">
        <f>IF(FD118="","",IF(ISNUMBER('Dvd Calendar'!$AD$1141)=FALSE,"",IF((('Dvd Calendar'!$AD$1143=TYPE1)*(TYPE1&lt;&gt;"")+('Dvd Calendar'!$AD$1143=TYPE2)*(TYPE2&lt;&gt;"")+('Dvd Calendar'!$AD$1143=TYPE3)*(TYPE3&lt;&gt;"")+('Dvd Calendar'!$AD$1143=TYPE4)*(TYPE4&lt;&gt;"")+('Dvd Calendar'!$AD$1143=SPECIAL_LBL)*(INC_SPECIALS="Y"))=0,"",'Dvd Calendar'!$AD$1141)))</f>
        <v/>
      </c>
      <c r="AC118" s="106">
        <f>IF(FE118="","",IF(ISNUMBER('Dvd Calendar'!$AE$1141)=FALSE,"",IF((('Dvd Calendar'!$AE$1143=TYPE1)*(TYPE1&lt;&gt;"")+('Dvd Calendar'!$AE$1143=TYPE2)*(TYPE2&lt;&gt;"")+('Dvd Calendar'!$AE$1143=TYPE3)*(TYPE3&lt;&gt;"")+('Dvd Calendar'!$AE$1143=TYPE4)*(TYPE4&lt;&gt;"")+('Dvd Calendar'!$AE$1143=SPECIAL_LBL)*(INC_SPECIALS="Y"))=0,"",'Dvd Calendar'!$AE$1141)))</f>
        <v/>
      </c>
      <c r="AD118" s="106">
        <f>IF(FF118="","",IF(ISNUMBER('Dvd Calendar'!$AF$1141)=FALSE,"",IF((('Dvd Calendar'!$AF$1143=TYPE1)*(TYPE1&lt;&gt;"")+('Dvd Calendar'!$AF$1143=TYPE2)*(TYPE2&lt;&gt;"")+('Dvd Calendar'!$AF$1143=TYPE3)*(TYPE3&lt;&gt;"")+('Dvd Calendar'!$AF$1143=TYPE4)*(TYPE4&lt;&gt;"")+('Dvd Calendar'!$AF$1143=SPECIAL_LBL)*(INC_SPECIALS="Y"))=0,"",'Dvd Calendar'!$AF$1141)))</f>
        <v/>
      </c>
      <c r="AE118" s="106">
        <f>IF(FG118="","",IF(ISNUMBER('Dvd Calendar'!$AG$1141)=FALSE,"",IF((('Dvd Calendar'!$AG$1143=TYPE1)*(TYPE1&lt;&gt;"")+('Dvd Calendar'!$AG$1143=TYPE2)*(TYPE2&lt;&gt;"")+('Dvd Calendar'!$AG$1143=TYPE3)*(TYPE3&lt;&gt;"")+('Dvd Calendar'!$AG$1143=TYPE4)*(TYPE4&lt;&gt;"")+('Dvd Calendar'!$AG$1143=SPECIAL_LBL)*(INC_SPECIALS="Y"))=0,"",'Dvd Calendar'!$AG$1141)))</f>
        <v/>
      </c>
      <c r="AF118" s="106">
        <f>IF(FH118="","",IF(ISNUMBER('Dvd Calendar'!$AH$1141)=FALSE,"",IF((('Dvd Calendar'!$AH$1143=TYPE1)*(TYPE1&lt;&gt;"")+('Dvd Calendar'!$AH$1143=TYPE2)*(TYPE2&lt;&gt;"")+('Dvd Calendar'!$AH$1143=TYPE3)*(TYPE3&lt;&gt;"")+('Dvd Calendar'!$AH$1143=TYPE4)*(TYPE4&lt;&gt;"")+('Dvd Calendar'!$AH$1143=SPECIAL_LBL)*(INC_SPECIALS="Y"))=0,"",'Dvd Calendar'!$AH$1141)))</f>
        <v/>
      </c>
      <c r="AG118" s="106">
        <f>IF(FI118="","",IF(ISNUMBER('Dvd Calendar'!$AI$1141)=FALSE,"",IF((('Dvd Calendar'!$AI$1143=TYPE1)*(TYPE1&lt;&gt;"")+('Dvd Calendar'!$AI$1143=TYPE2)*(TYPE2&lt;&gt;"")+('Dvd Calendar'!$AI$1143=TYPE3)*(TYPE3&lt;&gt;"")+('Dvd Calendar'!$AI$1143=TYPE4)*(TYPE4&lt;&gt;"")+('Dvd Calendar'!$AI$1143=SPECIAL_LBL)*(INC_SPECIALS="Y"))=0,"",'Dvd Calendar'!$AI$1141)))</f>
        <v/>
      </c>
      <c r="AH118" s="106">
        <f>IF(FJ118="","",IF(ISNUMBER('Dvd Calendar'!$AJ$1141)=FALSE,"",IF((('Dvd Calendar'!$AJ$1143=TYPE1)*(TYPE1&lt;&gt;"")+('Dvd Calendar'!$AJ$1143=TYPE2)*(TYPE2&lt;&gt;"")+('Dvd Calendar'!$AJ$1143=TYPE3)*(TYPE3&lt;&gt;"")+('Dvd Calendar'!$AJ$1143=TYPE4)*(TYPE4&lt;&gt;"")+('Dvd Calendar'!$AJ$1143=SPECIAL_LBL)*(INC_SPECIALS="Y"))=0,"",'Dvd Calendar'!$AJ$1141)))</f>
        <v/>
      </c>
      <c r="AI118" s="106">
        <f>IF(FK118="","",IF(ISNUMBER('Dvd Calendar'!$AK$1141)=FALSE,"",IF((('Dvd Calendar'!$AK$1143=TYPE1)*(TYPE1&lt;&gt;"")+('Dvd Calendar'!$AK$1143=TYPE2)*(TYPE2&lt;&gt;"")+('Dvd Calendar'!$AK$1143=TYPE3)*(TYPE3&lt;&gt;"")+('Dvd Calendar'!$AK$1143=TYPE4)*(TYPE4&lt;&gt;"")+('Dvd Calendar'!$AK$1143=SPECIAL_LBL)*(INC_SPECIALS="Y"))=0,"",'Dvd Calendar'!$AK$1141)))</f>
        <v/>
      </c>
      <c r="AJ118" s="106">
        <f>IF(FL118="","",IF(ISNUMBER('Dvd Calendar'!$AL$1141)=FALSE,"",IF((('Dvd Calendar'!$AL$1143=TYPE1)*(TYPE1&lt;&gt;"")+('Dvd Calendar'!$AL$1143=TYPE2)*(TYPE2&lt;&gt;"")+('Dvd Calendar'!$AL$1143=TYPE3)*(TYPE3&lt;&gt;"")+('Dvd Calendar'!$AL$1143=TYPE4)*(TYPE4&lt;&gt;"")+('Dvd Calendar'!$AL$1143=SPECIAL_LBL)*(INC_SPECIALS="Y"))=0,"",'Dvd Calendar'!$AL$1141)))</f>
        <v/>
      </c>
      <c r="AK118" s="106">
        <f>IF(FM118="","",IF(ISNUMBER('Dvd Calendar'!$AM$1141)=FALSE,"",IF((('Dvd Calendar'!$AM$1143=TYPE1)*(TYPE1&lt;&gt;"")+('Dvd Calendar'!$AM$1143=TYPE2)*(TYPE2&lt;&gt;"")+('Dvd Calendar'!$AM$1143=TYPE3)*(TYPE3&lt;&gt;"")+('Dvd Calendar'!$AM$1143=TYPE4)*(TYPE4&lt;&gt;"")+('Dvd Calendar'!$AM$1143=SPECIAL_LBL)*(INC_SPECIALS="Y"))=0,"",'Dvd Calendar'!$AM$1141)))</f>
        <v/>
      </c>
      <c r="AL118" s="106">
        <f>IF(FN118="","",IF(ISNUMBER('Dvd Calendar'!$AN$1141)=FALSE,"",IF((('Dvd Calendar'!$AN$1143=TYPE1)*(TYPE1&lt;&gt;"")+('Dvd Calendar'!$AN$1143=TYPE2)*(TYPE2&lt;&gt;"")+('Dvd Calendar'!$AN$1143=TYPE3)*(TYPE3&lt;&gt;"")+('Dvd Calendar'!$AN$1143=TYPE4)*(TYPE4&lt;&gt;"")+('Dvd Calendar'!$AN$1143=SPECIAL_LBL)*(INC_SPECIALS="Y"))=0,"",'Dvd Calendar'!$AN$1141)))</f>
        <v/>
      </c>
      <c r="AM118" s="106">
        <f>IF(FO118="","",IF(ISNUMBER('Dvd Calendar'!$AO$1141)=FALSE,"",IF((('Dvd Calendar'!$AO$1143=TYPE1)*(TYPE1&lt;&gt;"")+('Dvd Calendar'!$AO$1143=TYPE2)*(TYPE2&lt;&gt;"")+('Dvd Calendar'!$AO$1143=TYPE3)*(TYPE3&lt;&gt;"")+('Dvd Calendar'!$AO$1143=TYPE4)*(TYPE4&lt;&gt;"")+('Dvd Calendar'!$AO$1143=SPECIAL_LBL)*(INC_SPECIALS="Y"))=0,"",'Dvd Calendar'!$AO$1141)))</f>
        <v/>
      </c>
      <c r="AN118" s="106">
        <f>IF(FP118="","",IF(ISNUMBER('Dvd Calendar'!$AP$1141)=FALSE,"",IF((('Dvd Calendar'!$AP$1143=TYPE1)*(TYPE1&lt;&gt;"")+('Dvd Calendar'!$AP$1143=TYPE2)*(TYPE2&lt;&gt;"")+('Dvd Calendar'!$AP$1143=TYPE3)*(TYPE3&lt;&gt;"")+('Dvd Calendar'!$AP$1143=TYPE4)*(TYPE4&lt;&gt;"")+('Dvd Calendar'!$AP$1143=SPECIAL_LBL)*(INC_SPECIALS="Y"))=0,"",'Dvd Calendar'!$AP$1141)))</f>
        <v/>
      </c>
      <c r="AO118" s="106">
        <f>IF(FQ118="","",IF(ISNUMBER('Dvd Calendar'!$AQ$1141)=FALSE,"",IF((('Dvd Calendar'!$AQ$1143=TYPE1)*(TYPE1&lt;&gt;"")+('Dvd Calendar'!$AQ$1143=TYPE2)*(TYPE2&lt;&gt;"")+('Dvd Calendar'!$AQ$1143=TYPE3)*(TYPE3&lt;&gt;"")+('Dvd Calendar'!$AQ$1143=TYPE4)*(TYPE4&lt;&gt;"")+('Dvd Calendar'!$AQ$1143=SPECIAL_LBL)*(INC_SPECIALS="Y"))=0,"",'Dvd Calendar'!$AQ$1141)))</f>
        <v/>
      </c>
      <c r="AP118" s="106">
        <f>IF(FR118="","",IF(ISNUMBER('Dvd Calendar'!$AR$1141)=FALSE,"",IF((('Dvd Calendar'!$AR$1143=TYPE1)*(TYPE1&lt;&gt;"")+('Dvd Calendar'!$AR$1143=TYPE2)*(TYPE2&lt;&gt;"")+('Dvd Calendar'!$AR$1143=TYPE3)*(TYPE3&lt;&gt;"")+('Dvd Calendar'!$AR$1143=TYPE4)*(TYPE4&lt;&gt;"")+('Dvd Calendar'!$AR$1143=SPECIAL_LBL)*(INC_SPECIALS="Y"))=0,"",'Dvd Calendar'!$AR$1141)))</f>
        <v/>
      </c>
      <c r="AQ118" s="106">
        <f>IF(FS118="","",IF(ISNUMBER('Dvd Calendar'!$E$1146)=FALSE,"",'Dvd Calendar'!$E$1146))</f>
        <v/>
      </c>
      <c r="AR118" s="106">
        <f>IF(FT118="","",IF(ISNUMBER('Dvd Calendar'!$F$1146)=FALSE,"",'Dvd Calendar'!$F$1146))</f>
        <v/>
      </c>
      <c r="AS118" s="106">
        <f>IF(FU118="","",IF(ISNUMBER('Dvd Calendar'!$G$1146)=FALSE,"",'Dvd Calendar'!$G$1146))</f>
        <v/>
      </c>
      <c r="AT118" s="106">
        <f>IF(FV118="","",IF(ISNUMBER('Dvd Calendar'!$H$1146)=FALSE,"",'Dvd Calendar'!$H$1146))</f>
        <v/>
      </c>
      <c r="AU118" s="106">
        <f>IF(FW118="","",IF(ISNUMBER('Dvd Calendar'!$I$1146)=FALSE,"",'Dvd Calendar'!$I$1146))</f>
        <v/>
      </c>
      <c r="AV118" s="106">
        <f>IF(FX118="","",IF(ISNUMBER('Dvd Calendar'!$J$1146)=FALSE,"",'Dvd Calendar'!$J$1146))</f>
        <v/>
      </c>
      <c r="AW118" s="106">
        <f>IF(FY118="","",IF(ISNUMBER('Dvd Calendar'!$K$1146)=FALSE,"",'Dvd Calendar'!$K$1146))</f>
        <v/>
      </c>
      <c r="AX118" s="106">
        <f>IF(FZ118="","",IF(ISNUMBER('Dvd Calendar'!$L$1146)=FALSE,"",'Dvd Calendar'!$L$1146))</f>
        <v/>
      </c>
      <c r="AY118" s="106">
        <f>IF(GA118="","",IF(ISNUMBER('Dvd Calendar'!$M$1146)=FALSE,"",'Dvd Calendar'!$M$1146))</f>
        <v/>
      </c>
      <c r="AZ118" s="106">
        <f>IF(GB118="","",IF(ISNUMBER('Dvd Calendar'!$N$1146)=FALSE,"",'Dvd Calendar'!$N$1146))</f>
        <v/>
      </c>
      <c r="BA118" s="106">
        <f>IF(GC118="","",IF(ISNUMBER('Dvd Calendar'!$O$1146)=FALSE,"",'Dvd Calendar'!$O$1146))</f>
        <v/>
      </c>
      <c r="BB118" s="106">
        <f>IF(GD118="","",IF(ISNUMBER('Dvd Calendar'!$P$1146)=FALSE,"",'Dvd Calendar'!$P$1146))</f>
        <v/>
      </c>
      <c r="BC118" s="106">
        <f>IF(GE118="","",IF(ISNUMBER('Dvd Calendar'!$Q$1146)=FALSE,"",'Dvd Calendar'!$Q$1146))</f>
        <v/>
      </c>
      <c r="BD118" s="106">
        <f>IF(GF118="","",IF(ISNUMBER('Dvd Calendar'!$R$1146)=FALSE,"",'Dvd Calendar'!$R$1146))</f>
        <v/>
      </c>
      <c r="BE118" s="106">
        <f>IF(GG118="","",IF(ISNUMBER('Dvd Calendar'!$S$1146)=FALSE,"",'Dvd Calendar'!$S$1146))</f>
        <v/>
      </c>
      <c r="BF118" s="106">
        <f>IF(GH118="","",IF(ISNUMBER('Dvd Calendar'!$T$1146)=FALSE,"",'Dvd Calendar'!$T$1146))</f>
        <v/>
      </c>
      <c r="BG118" s="106">
        <f>IF(GI118="","",IF(ISNUMBER('Dvd Calendar'!$U$1146)=FALSE,"",'Dvd Calendar'!$U$1146))</f>
        <v/>
      </c>
      <c r="BH118" s="106">
        <f>IF(GJ118="","",IF(ISNUMBER('Dvd Calendar'!$V$1146)=FALSE,"",'Dvd Calendar'!$V$1146))</f>
        <v/>
      </c>
      <c r="BI118" s="106">
        <f>IF(GK118="","",IF(ISNUMBER('Dvd Calendar'!$W$1146)=FALSE,"",'Dvd Calendar'!$W$1146))</f>
        <v/>
      </c>
      <c r="BJ118" s="106">
        <f>IF(GL118="","",IF(ISNUMBER('Dvd Calendar'!$X$1146)=FALSE,"",'Dvd Calendar'!$X$1146))</f>
        <v/>
      </c>
      <c r="BK118" s="106">
        <f>IF(GM118="","",IF(ISNUMBER('Dvd Calendar'!$Y$1146)=FALSE,"",'Dvd Calendar'!$Y$1146))</f>
        <v/>
      </c>
      <c r="BL118" s="106">
        <f>IF(GN118="","",IF(ISNUMBER('Dvd Calendar'!$Z$1146)=FALSE,"",'Dvd Calendar'!$Z$1146))</f>
        <v/>
      </c>
      <c r="BM118" s="106">
        <f>IF(GO118="","",IF(ISNUMBER('Dvd Calendar'!$AA$1146)=FALSE,"",'Dvd Calendar'!$AA$1146))</f>
        <v/>
      </c>
      <c r="BN118" s="106">
        <f>IF(GP118="","",IF(ISNUMBER('Dvd Calendar'!$AB$1146)=FALSE,"",'Dvd Calendar'!$AB$1146))</f>
        <v/>
      </c>
      <c r="BO118" s="106">
        <f>IF(GQ118="","",IF(ISNUMBER('Dvd Calendar'!$AC$1146)=FALSE,"",'Dvd Calendar'!$AC$1146))</f>
        <v/>
      </c>
      <c r="BQ118" s="106">
        <f>IF(C118="","",IFERROR(C118*HSTECH!$B$9*HSTECH!$G$9/HSTECH!$B$3,""))</f>
        <v/>
      </c>
      <c r="BR118" s="106">
        <f>IF(D118="","",IFERROR(D118*HSTECH!$B$9*HSTECH!$G$9/HSTECH!$B$3,""))</f>
        <v/>
      </c>
      <c r="BS118" s="106">
        <f>IF(E118="","",IFERROR(E118*HSTECH!$B$9*HSTECH!$G$9/HSTECH!$B$3,""))</f>
        <v/>
      </c>
      <c r="BT118" s="106">
        <f>IF(F118="","",IFERROR(F118*HSTECH!$B$9*HSTECH!$G$9/HSTECH!$B$3,""))</f>
        <v/>
      </c>
      <c r="BU118" s="106">
        <f>IF(G118="","",IFERROR(G118*HSTECH!$B$9*HSTECH!$G$9/HSTECH!$B$3,""))</f>
        <v/>
      </c>
      <c r="BV118" s="106">
        <f>IF(H118="","",IFERROR(H118*HSTECH!$B$9*HSTECH!$G$9/HSTECH!$B$3,""))</f>
        <v/>
      </c>
      <c r="BW118" s="106">
        <f>IF(I118="","",IFERROR(I118*HSTECH!$B$9*HSTECH!$G$9/HSTECH!$B$3,""))</f>
        <v/>
      </c>
      <c r="BX118" s="106">
        <f>IF(J118="","",IFERROR(J118*HSTECH!$B$9*HSTECH!$G$9/HSTECH!$B$3,""))</f>
        <v/>
      </c>
      <c r="BY118" s="106">
        <f>IF(K118="","",IFERROR(K118*HSTECH!$B$9*HSTECH!$G$9/HSTECH!$B$3,""))</f>
        <v/>
      </c>
      <c r="BZ118" s="106">
        <f>IF(L118="","",IFERROR(L118*HSTECH!$B$9*HSTECH!$G$9/HSTECH!$B$3,""))</f>
        <v/>
      </c>
      <c r="CA118" s="106">
        <f>IF(M118="","",IFERROR(M118*HSTECH!$B$9*HSTECH!$G$9/HSTECH!$B$3,""))</f>
        <v/>
      </c>
      <c r="CB118" s="106">
        <f>IF(N118="","",IFERROR(N118*HSTECH!$B$9*HSTECH!$G$9/HSTECH!$B$3,""))</f>
        <v/>
      </c>
      <c r="CC118" s="106">
        <f>IF(O118="","",IFERROR(O118*HSTECH!$B$9*HSTECH!$G$9/HSTECH!$B$3,""))</f>
        <v/>
      </c>
      <c r="CD118" s="106">
        <f>IF(P118="","",IFERROR(P118*HSTECH!$B$9*HSTECH!$G$9/HSTECH!$B$3,""))</f>
        <v/>
      </c>
      <c r="CE118" s="106">
        <f>IF(Q118="","",IFERROR(Q118*HSTECH!$B$9*HSTECH!$G$9/HSTECH!$B$3,""))</f>
        <v/>
      </c>
      <c r="CF118" s="106">
        <f>IF(R118="","",IFERROR(R118*HSTECH!$B$9*HSTECH!$G$9/HSTECH!$B$3,""))</f>
        <v/>
      </c>
      <c r="CG118" s="106">
        <f>IF(S118="","",IFERROR(S118*HSTECH!$B$9*HSTECH!$G$9/HSTECH!$B$3,""))</f>
        <v/>
      </c>
      <c r="CH118" s="106">
        <f>IF(T118="","",IFERROR(T118*HSTECH!$B$9*HSTECH!$G$9/HSTECH!$B$3,""))</f>
        <v/>
      </c>
      <c r="CI118" s="106">
        <f>IF(U118="","",IFERROR(U118*HSTECH!$B$9*HSTECH!$G$9/HSTECH!$B$3,""))</f>
        <v/>
      </c>
      <c r="CJ118" s="106">
        <f>IF(V118="","",IFERROR(V118*HSTECH!$B$9*HSTECH!$G$9/HSTECH!$B$3,""))</f>
        <v/>
      </c>
      <c r="CK118" s="106">
        <f>IF(W118="","",IFERROR(W118*HSTECH!$B$9*HSTECH!$G$9/HSTECH!$B$3,""))</f>
        <v/>
      </c>
      <c r="CL118" s="106">
        <f>IF(X118="","",IFERROR(X118*HSTECH!$B$9*HSTECH!$G$9/HSTECH!$B$3,""))</f>
        <v/>
      </c>
      <c r="CM118" s="106">
        <f>IF(Y118="","",IFERROR(Y118*HSTECH!$B$9*HSTECH!$G$9/HSTECH!$B$3,""))</f>
        <v/>
      </c>
      <c r="CN118" s="106">
        <f>IF(Z118="","",IFERROR(Z118*HSTECH!$B$9*HSTECH!$G$9/HSTECH!$B$3,""))</f>
        <v/>
      </c>
      <c r="CO118" s="106">
        <f>IF(AA118="","",IFERROR(AA118*HSTECH!$B$9*HSTECH!$G$9/HSTECH!$B$3,""))</f>
        <v/>
      </c>
      <c r="CP118" s="106">
        <f>IF(AB118="","",IFERROR(AB118*HSTECH!$B$9*HSTECH!$G$9/HSTECH!$B$3,""))</f>
        <v/>
      </c>
      <c r="CQ118" s="106">
        <f>IF(AC118="","",IFERROR(AC118*HSTECH!$B$9*HSTECH!$G$9/HSTECH!$B$3,""))</f>
        <v/>
      </c>
      <c r="CR118" s="106">
        <f>IF(AD118="","",IFERROR(AD118*HSTECH!$B$9*HSTECH!$G$9/HSTECH!$B$3,""))</f>
        <v/>
      </c>
      <c r="CS118" s="106">
        <f>IF(AE118="","",IFERROR(AE118*HSTECH!$B$9*HSTECH!$G$9/HSTECH!$B$3,""))</f>
        <v/>
      </c>
      <c r="CT118" s="106">
        <f>IF(AF118="","",IFERROR(AF118*HSTECH!$B$9*HSTECH!$G$9/HSTECH!$B$3,""))</f>
        <v/>
      </c>
      <c r="CU118" s="106">
        <f>IF(AG118="","",IFERROR(AG118*HSTECH!$B$9*HSTECH!$G$9/HSTECH!$B$3,""))</f>
        <v/>
      </c>
      <c r="CV118" s="106">
        <f>IF(AH118="","",IFERROR(AH118*HSTECH!$B$9*HSTECH!$G$9/HSTECH!$B$3,""))</f>
        <v/>
      </c>
      <c r="CW118" s="106">
        <f>IF(AI118="","",IFERROR(AI118*HSTECH!$B$9*HSTECH!$G$9/HSTECH!$B$3,""))</f>
        <v/>
      </c>
      <c r="CX118" s="106">
        <f>IF(AJ118="","",IFERROR(AJ118*HSTECH!$B$9*HSTECH!$G$9/HSTECH!$B$3,""))</f>
        <v/>
      </c>
      <c r="CY118" s="106">
        <f>IF(AK118="","",IFERROR(AK118*HSTECH!$B$9*HSTECH!$G$9/HSTECH!$B$3,""))</f>
        <v/>
      </c>
      <c r="CZ118" s="106">
        <f>IF(AL118="","",IFERROR(AL118*HSTECH!$B$9*HSTECH!$G$9/HSTECH!$B$3,""))</f>
        <v/>
      </c>
      <c r="DA118" s="106">
        <f>IF(AM118="","",IFERROR(AM118*HSTECH!$B$9*HSTECH!$G$9/HSTECH!$B$3,""))</f>
        <v/>
      </c>
      <c r="DB118" s="106">
        <f>IF(AN118="","",IFERROR(AN118*HSTECH!$B$9*HSTECH!$G$9/HSTECH!$B$3,""))</f>
        <v/>
      </c>
      <c r="DC118" s="106">
        <f>IF(AO118="","",IFERROR(AO118*HSTECH!$B$9*HSTECH!$G$9/HSTECH!$B$3,""))</f>
        <v/>
      </c>
      <c r="DD118" s="106">
        <f>IF(AP118="","",IFERROR(AP118*HSTECH!$B$9*HSTECH!$G$9/HSTECH!$B$3,""))</f>
        <v/>
      </c>
      <c r="DE118" s="106">
        <f>IF(AQ118="","",IFERROR(AQ118*HSTECH!$B$9*HSTECH!$G$9/HSTECH!$B$3,""))</f>
        <v/>
      </c>
      <c r="DF118" s="106">
        <f>IF(AR118="","",IFERROR(AR118*HSTECH!$B$9*HSTECH!$G$9/HSTECH!$B$3,""))</f>
        <v/>
      </c>
      <c r="DG118" s="106">
        <f>IF(AS118="","",IFERROR(AS118*HSTECH!$B$9*HSTECH!$G$9/HSTECH!$B$3,""))</f>
        <v/>
      </c>
      <c r="DH118" s="106">
        <f>IF(AT118="","",IFERROR(AT118*HSTECH!$B$9*HSTECH!$G$9/HSTECH!$B$3,""))</f>
        <v/>
      </c>
      <c r="DI118" s="106">
        <f>IF(AU118="","",IFERROR(AU118*HSTECH!$B$9*HSTECH!$G$9/HSTECH!$B$3,""))</f>
        <v/>
      </c>
      <c r="DJ118" s="106">
        <f>IF(AV118="","",IFERROR(AV118*HSTECH!$B$9*HSTECH!$G$9/HSTECH!$B$3,""))</f>
        <v/>
      </c>
      <c r="DK118" s="106">
        <f>IF(AW118="","",IFERROR(AW118*HSTECH!$B$9*HSTECH!$G$9/HSTECH!$B$3,""))</f>
        <v/>
      </c>
      <c r="DL118" s="106">
        <f>IF(AX118="","",IFERROR(AX118*HSTECH!$B$9*HSTECH!$G$9/HSTECH!$B$3,""))</f>
        <v/>
      </c>
      <c r="DM118" s="106">
        <f>IF(AY118="","",IFERROR(AY118*HSTECH!$B$9*HSTECH!$G$9/HSTECH!$B$3,""))</f>
        <v/>
      </c>
      <c r="DN118" s="106">
        <f>IF(AZ118="","",IFERROR(AZ118*HSTECH!$B$9*HSTECH!$G$9/HSTECH!$B$3,""))</f>
        <v/>
      </c>
      <c r="DO118" s="106">
        <f>IF(BA118="","",IFERROR(BA118*HSTECH!$B$9*HSTECH!$G$9/HSTECH!$B$3,""))</f>
        <v/>
      </c>
      <c r="DP118" s="106">
        <f>IF(BB118="","",IFERROR(BB118*HSTECH!$B$9*HSTECH!$G$9/HSTECH!$B$3,""))</f>
        <v/>
      </c>
      <c r="DQ118" s="106">
        <f>IF(BC118="","",IFERROR(BC118*HSTECH!$B$9*HSTECH!$G$9/HSTECH!$B$3,""))</f>
        <v/>
      </c>
      <c r="DR118" s="106">
        <f>IF(BD118="","",IFERROR(BD118*HSTECH!$B$9*HSTECH!$G$9/HSTECH!$B$3,""))</f>
        <v/>
      </c>
      <c r="DS118" s="106">
        <f>IF(BE118="","",IFERROR(BE118*HSTECH!$B$9*HSTECH!$G$9/HSTECH!$B$3,""))</f>
        <v/>
      </c>
      <c r="DT118" s="106">
        <f>IF(BF118="","",IFERROR(BF118*HSTECH!$B$9*HSTECH!$G$9/HSTECH!$B$3,""))</f>
        <v/>
      </c>
      <c r="DU118" s="106">
        <f>IF(BG118="","",IFERROR(BG118*HSTECH!$B$9*HSTECH!$G$9/HSTECH!$B$3,""))</f>
        <v/>
      </c>
      <c r="DV118" s="106">
        <f>IF(BH118="","",IFERROR(BH118*HSTECH!$B$9*HSTECH!$G$9/HSTECH!$B$3,""))</f>
        <v/>
      </c>
      <c r="DW118" s="106">
        <f>IF(BI118="","",IFERROR(BI118*HSTECH!$B$9*HSTECH!$G$9/HSTECH!$B$3,""))</f>
        <v/>
      </c>
      <c r="DX118" s="106">
        <f>IF(BJ118="","",IFERROR(BJ118*HSTECH!$B$9*HSTECH!$G$9/HSTECH!$B$3,""))</f>
        <v/>
      </c>
      <c r="DY118" s="106">
        <f>IF(BK118="","",IFERROR(BK118*HSTECH!$B$9*HSTECH!$G$9/HSTECH!$B$3,""))</f>
        <v/>
      </c>
      <c r="DZ118" s="106">
        <f>IF(BL118="","",IFERROR(BL118*HSTECH!$B$9*HSTECH!$G$9/HSTECH!$B$3,""))</f>
        <v/>
      </c>
      <c r="EA118" s="106">
        <f>IF(BM118="","",IFERROR(BM118*HSTECH!$B$9*HSTECH!$G$9/HSTECH!$B$3,""))</f>
        <v/>
      </c>
      <c r="EB118" s="106">
        <f>IF(BN118="","",IFERROR(BN118*HSTECH!$B$9*HSTECH!$G$9/HSTECH!$B$3,""))</f>
        <v/>
      </c>
      <c r="EC118" s="106">
        <f>IF(BO118="","",IFERROR(BO118*HSTECH!$B$9*HSTECH!$G$9/HSTECH!$B$3,""))</f>
        <v/>
      </c>
      <c r="EE118" s="35">
        <f>IF(N('Dvd Calendar'!$E$1138)=0,"",IF(('Dvd Calendar'!$E$1138&gt;=GRID_FROM)*('Dvd Calendar'!$E$1138&lt;=GRID_TO)*('Dvd Calendar'!$E$1138&lt;=VAL_DATE)=0,"",'Dvd Calendar'!$E$1138*1000000000+ISNUMBER('Dvd Calendar'!$E$1141)*100000000+('Dvd Calendar'!$E$1143=SPECIAL_LBL)*10000000+0*1000000+3*1000+1))</f>
        <v/>
      </c>
      <c r="EF118" s="35">
        <f>IF(N('Dvd Calendar'!$F$1138)=0,"",IF(('Dvd Calendar'!$F$1138&gt;=GRID_FROM)*('Dvd Calendar'!$F$1138&lt;=GRID_TO)*('Dvd Calendar'!$F$1138&lt;=VAL_DATE)=0,"",'Dvd Calendar'!$F$1138*1000000000+ISNUMBER('Dvd Calendar'!$F$1141)*100000000+('Dvd Calendar'!$F$1143=SPECIAL_LBL)*10000000+0*1000000+3*1000+2))</f>
        <v/>
      </c>
      <c r="EG118" s="35">
        <f>IF(N('Dvd Calendar'!$G$1138)=0,"",IF(('Dvd Calendar'!$G$1138&gt;=GRID_FROM)*('Dvd Calendar'!$G$1138&lt;=GRID_TO)*('Dvd Calendar'!$G$1138&lt;=VAL_DATE)=0,"",'Dvd Calendar'!$G$1138*1000000000+ISNUMBER('Dvd Calendar'!$G$1141)*100000000+('Dvd Calendar'!$G$1143=SPECIAL_LBL)*10000000+0*1000000+3*1000+3))</f>
        <v/>
      </c>
      <c r="EH118" s="35">
        <f>IF(N('Dvd Calendar'!$H$1138)=0,"",IF(('Dvd Calendar'!$H$1138&gt;=GRID_FROM)*('Dvd Calendar'!$H$1138&lt;=GRID_TO)*('Dvd Calendar'!$H$1138&lt;=VAL_DATE)=0,"",'Dvd Calendar'!$H$1138*1000000000+ISNUMBER('Dvd Calendar'!$H$1141)*100000000+('Dvd Calendar'!$H$1143=SPECIAL_LBL)*10000000+0*1000000+3*1000+4))</f>
        <v/>
      </c>
      <c r="EI118" s="35">
        <f>IF(N('Dvd Calendar'!$I$1138)=0,"",IF(('Dvd Calendar'!$I$1138&gt;=GRID_FROM)*('Dvd Calendar'!$I$1138&lt;=GRID_TO)*('Dvd Calendar'!$I$1138&lt;=VAL_DATE)=0,"",'Dvd Calendar'!$I$1138*1000000000+ISNUMBER('Dvd Calendar'!$I$1141)*100000000+('Dvd Calendar'!$I$1143=SPECIAL_LBL)*10000000+0*1000000+3*1000+5))</f>
        <v/>
      </c>
      <c r="EJ118" s="35">
        <f>IF(N('Dvd Calendar'!$J$1138)=0,"",IF(('Dvd Calendar'!$J$1138&gt;=GRID_FROM)*('Dvd Calendar'!$J$1138&lt;=GRID_TO)*('Dvd Calendar'!$J$1138&lt;=VAL_DATE)=0,"",'Dvd Calendar'!$J$1138*1000000000+ISNUMBER('Dvd Calendar'!$J$1141)*100000000+('Dvd Calendar'!$J$1143=SPECIAL_LBL)*10000000+0*1000000+3*1000+6))</f>
        <v/>
      </c>
      <c r="EK118" s="35">
        <f>IF(N('Dvd Calendar'!$K$1138)=0,"",IF(('Dvd Calendar'!$K$1138&gt;=GRID_FROM)*('Dvd Calendar'!$K$1138&lt;=GRID_TO)*('Dvd Calendar'!$K$1138&lt;=VAL_DATE)=0,"",'Dvd Calendar'!$K$1138*1000000000+ISNUMBER('Dvd Calendar'!$K$1141)*100000000+('Dvd Calendar'!$K$1143=SPECIAL_LBL)*10000000+0*1000000+3*1000+7))</f>
        <v/>
      </c>
      <c r="EL118" s="35">
        <f>IF(N('Dvd Calendar'!$L$1138)=0,"",IF(('Dvd Calendar'!$L$1138&gt;=GRID_FROM)*('Dvd Calendar'!$L$1138&lt;=GRID_TO)*('Dvd Calendar'!$L$1138&lt;=VAL_DATE)=0,"",'Dvd Calendar'!$L$1138*1000000000+ISNUMBER('Dvd Calendar'!$L$1141)*100000000+('Dvd Calendar'!$L$1143=SPECIAL_LBL)*10000000+0*1000000+3*1000+8))</f>
        <v/>
      </c>
      <c r="EM118" s="35">
        <f>IF(N('Dvd Calendar'!$M$1138)=0,"",IF(('Dvd Calendar'!$M$1138&gt;=GRID_FROM)*('Dvd Calendar'!$M$1138&lt;=GRID_TO)*('Dvd Calendar'!$M$1138&lt;=VAL_DATE)=0,"",'Dvd Calendar'!$M$1138*1000000000+ISNUMBER('Dvd Calendar'!$M$1141)*100000000+('Dvd Calendar'!$M$1143=SPECIAL_LBL)*10000000+0*1000000+3*1000+9))</f>
        <v/>
      </c>
      <c r="EN118" s="35">
        <f>IF(N('Dvd Calendar'!$N$1138)=0,"",IF(('Dvd Calendar'!$N$1138&gt;=GRID_FROM)*('Dvd Calendar'!$N$1138&lt;=GRID_TO)*('Dvd Calendar'!$N$1138&lt;=VAL_DATE)=0,"",'Dvd Calendar'!$N$1138*1000000000+ISNUMBER('Dvd Calendar'!$N$1141)*100000000+('Dvd Calendar'!$N$1143=SPECIAL_LBL)*10000000+0*1000000+3*1000+10))</f>
        <v/>
      </c>
      <c r="EO118" s="35">
        <f>IF(N('Dvd Calendar'!$O$1138)=0,"",IF(('Dvd Calendar'!$O$1138&gt;=GRID_FROM)*('Dvd Calendar'!$O$1138&lt;=GRID_TO)*('Dvd Calendar'!$O$1138&lt;=VAL_DATE)=0,"",'Dvd Calendar'!$O$1138*1000000000+ISNUMBER('Dvd Calendar'!$O$1141)*100000000+('Dvd Calendar'!$O$1143=SPECIAL_LBL)*10000000+0*1000000+3*1000+11))</f>
        <v/>
      </c>
      <c r="EP118" s="35">
        <f>IF(N('Dvd Calendar'!$P$1138)=0,"",IF(('Dvd Calendar'!$P$1138&gt;=GRID_FROM)*('Dvd Calendar'!$P$1138&lt;=GRID_TO)*('Dvd Calendar'!$P$1138&lt;=VAL_DATE)=0,"",'Dvd Calendar'!$P$1138*1000000000+ISNUMBER('Dvd Calendar'!$P$1141)*100000000+('Dvd Calendar'!$P$1143=SPECIAL_LBL)*10000000+0*1000000+3*1000+12))</f>
        <v/>
      </c>
      <c r="EQ118" s="35">
        <f>IF(N('Dvd Calendar'!$Q$1138)=0,"",IF(('Dvd Calendar'!$Q$1138&gt;=GRID_FROM)*('Dvd Calendar'!$Q$1138&lt;=GRID_TO)*('Dvd Calendar'!$Q$1138&lt;=VAL_DATE)=0,"",'Dvd Calendar'!$Q$1138*1000000000+ISNUMBER('Dvd Calendar'!$Q$1141)*100000000+('Dvd Calendar'!$Q$1143=SPECIAL_LBL)*10000000+0*1000000+3*1000+13))</f>
        <v/>
      </c>
      <c r="ER118" s="35">
        <f>IF(N('Dvd Calendar'!$R$1138)=0,"",IF(('Dvd Calendar'!$R$1138&gt;=GRID_FROM)*('Dvd Calendar'!$R$1138&lt;=GRID_TO)*('Dvd Calendar'!$R$1138&lt;=VAL_DATE)=0,"",'Dvd Calendar'!$R$1138*1000000000+ISNUMBER('Dvd Calendar'!$R$1141)*100000000+('Dvd Calendar'!$R$1143=SPECIAL_LBL)*10000000+0*1000000+3*1000+14))</f>
        <v/>
      </c>
      <c r="ES118" s="35">
        <f>IF(N('Dvd Calendar'!$S$1138)=0,"",IF(('Dvd Calendar'!$S$1138&gt;=GRID_FROM)*('Dvd Calendar'!$S$1138&lt;=GRID_TO)*('Dvd Calendar'!$S$1138&lt;=VAL_DATE)=0,"",'Dvd Calendar'!$S$1138*1000000000+ISNUMBER('Dvd Calendar'!$S$1141)*100000000+('Dvd Calendar'!$S$1143=SPECIAL_LBL)*10000000+0*1000000+3*1000+15))</f>
        <v/>
      </c>
      <c r="ET118" s="35">
        <f>IF(N('Dvd Calendar'!$T$1138)=0,"",IF(('Dvd Calendar'!$T$1138&gt;=GRID_FROM)*('Dvd Calendar'!$T$1138&lt;=GRID_TO)*('Dvd Calendar'!$T$1138&lt;=VAL_DATE)=0,"",'Dvd Calendar'!$T$1138*1000000000+ISNUMBER('Dvd Calendar'!$T$1141)*100000000+('Dvd Calendar'!$T$1143=SPECIAL_LBL)*10000000+0*1000000+3*1000+16))</f>
        <v/>
      </c>
      <c r="EU118" s="35">
        <f>IF(N('Dvd Calendar'!$U$1138)=0,"",IF(('Dvd Calendar'!$U$1138&gt;=GRID_FROM)*('Dvd Calendar'!$U$1138&lt;=GRID_TO)*('Dvd Calendar'!$U$1138&lt;=VAL_DATE)=0,"",'Dvd Calendar'!$U$1138*1000000000+ISNUMBER('Dvd Calendar'!$U$1141)*100000000+('Dvd Calendar'!$U$1143=SPECIAL_LBL)*10000000+0*1000000+3*1000+17))</f>
        <v/>
      </c>
      <c r="EV118" s="35">
        <f>IF(N('Dvd Calendar'!$V$1138)=0,"",IF(('Dvd Calendar'!$V$1138&gt;=GRID_FROM)*('Dvd Calendar'!$V$1138&lt;=GRID_TO)*('Dvd Calendar'!$V$1138&lt;=VAL_DATE)=0,"",'Dvd Calendar'!$V$1138*1000000000+ISNUMBER('Dvd Calendar'!$V$1141)*100000000+('Dvd Calendar'!$V$1143=SPECIAL_LBL)*10000000+0*1000000+3*1000+18))</f>
        <v/>
      </c>
      <c r="EW118" s="35">
        <f>IF(N('Dvd Calendar'!$W$1138)=0,"",IF(('Dvd Calendar'!$W$1138&gt;=GRID_FROM)*('Dvd Calendar'!$W$1138&lt;=GRID_TO)*('Dvd Calendar'!$W$1138&lt;=VAL_DATE)=0,"",'Dvd Calendar'!$W$1138*1000000000+ISNUMBER('Dvd Calendar'!$W$1141)*100000000+('Dvd Calendar'!$W$1143=SPECIAL_LBL)*10000000+0*1000000+3*1000+19))</f>
        <v/>
      </c>
      <c r="EX118" s="35">
        <f>IF(N('Dvd Calendar'!$X$1138)=0,"",IF(('Dvd Calendar'!$X$1138&gt;=GRID_FROM)*('Dvd Calendar'!$X$1138&lt;=GRID_TO)*('Dvd Calendar'!$X$1138&lt;=VAL_DATE)=0,"",'Dvd Calendar'!$X$1138*1000000000+ISNUMBER('Dvd Calendar'!$X$1141)*100000000+('Dvd Calendar'!$X$1143=SPECIAL_LBL)*10000000+0*1000000+3*1000+20))</f>
        <v/>
      </c>
      <c r="EY118" s="35">
        <f>IF(N('Dvd Calendar'!$Y$1138)=0,"",IF(('Dvd Calendar'!$Y$1138&gt;=GRID_FROM)*('Dvd Calendar'!$Y$1138&lt;=GRID_TO)*('Dvd Calendar'!$Y$1138&lt;=VAL_DATE)=0,"",'Dvd Calendar'!$Y$1138*1000000000+ISNUMBER('Dvd Calendar'!$Y$1141)*100000000+('Dvd Calendar'!$Y$1143=SPECIAL_LBL)*10000000+0*1000000+3*1000+21))</f>
        <v/>
      </c>
      <c r="EZ118" s="35">
        <f>IF(N('Dvd Calendar'!$Z$1138)=0,"",IF(('Dvd Calendar'!$Z$1138&gt;=GRID_FROM)*('Dvd Calendar'!$Z$1138&lt;=GRID_TO)*('Dvd Calendar'!$Z$1138&lt;=VAL_DATE)=0,"",'Dvd Calendar'!$Z$1138*1000000000+ISNUMBER('Dvd Calendar'!$Z$1141)*100000000+('Dvd Calendar'!$Z$1143=SPECIAL_LBL)*10000000+0*1000000+3*1000+22))</f>
        <v/>
      </c>
      <c r="FA118" s="35">
        <f>IF(N('Dvd Calendar'!$AA$1138)=0,"",IF(('Dvd Calendar'!$AA$1138&gt;=GRID_FROM)*('Dvd Calendar'!$AA$1138&lt;=GRID_TO)*('Dvd Calendar'!$AA$1138&lt;=VAL_DATE)=0,"",'Dvd Calendar'!$AA$1138*1000000000+ISNUMBER('Dvd Calendar'!$AA$1141)*100000000+('Dvd Calendar'!$AA$1143=SPECIAL_LBL)*10000000+0*1000000+3*1000+23))</f>
        <v/>
      </c>
      <c r="FB118" s="35">
        <f>IF(N('Dvd Calendar'!$AB$1138)=0,"",IF(('Dvd Calendar'!$AB$1138&gt;=GRID_FROM)*('Dvd Calendar'!$AB$1138&lt;=GRID_TO)*('Dvd Calendar'!$AB$1138&lt;=VAL_DATE)=0,"",'Dvd Calendar'!$AB$1138*1000000000+ISNUMBER('Dvd Calendar'!$AB$1141)*100000000+('Dvd Calendar'!$AB$1143=SPECIAL_LBL)*10000000+0*1000000+3*1000+24))</f>
        <v/>
      </c>
      <c r="FC118" s="35">
        <f>IF(N('Dvd Calendar'!$AC$1138)=0,"",IF(('Dvd Calendar'!$AC$1138&gt;=GRID_FROM)*('Dvd Calendar'!$AC$1138&lt;=GRID_TO)*('Dvd Calendar'!$AC$1138&lt;=VAL_DATE)=0,"",'Dvd Calendar'!$AC$1138*1000000000+ISNUMBER('Dvd Calendar'!$AC$1141)*100000000+('Dvd Calendar'!$AC$1143=SPECIAL_LBL)*10000000+0*1000000+3*1000+25))</f>
        <v/>
      </c>
      <c r="FD118" s="35">
        <f>IF(N('Dvd Calendar'!$AD$1138)=0,"",IF(('Dvd Calendar'!$AD$1138&gt;=GRID_FROM)*('Dvd Calendar'!$AD$1138&lt;=GRID_TO)*('Dvd Calendar'!$AD$1138&lt;=VAL_DATE)=0,"",'Dvd Calendar'!$AD$1138*1000000000+ISNUMBER('Dvd Calendar'!$AD$1141)*100000000+('Dvd Calendar'!$AD$1143=SPECIAL_LBL)*10000000+0*1000000+3*1000+26))</f>
        <v/>
      </c>
      <c r="FE118" s="35">
        <f>IF(N('Dvd Calendar'!$AE$1138)=0,"",IF(('Dvd Calendar'!$AE$1138&gt;=GRID_FROM)*('Dvd Calendar'!$AE$1138&lt;=GRID_TO)*('Dvd Calendar'!$AE$1138&lt;=VAL_DATE)=0,"",'Dvd Calendar'!$AE$1138*1000000000+ISNUMBER('Dvd Calendar'!$AE$1141)*100000000+('Dvd Calendar'!$AE$1143=SPECIAL_LBL)*10000000+0*1000000+3*1000+27))</f>
        <v/>
      </c>
      <c r="FF118" s="35">
        <f>IF(N('Dvd Calendar'!$AF$1138)=0,"",IF(('Dvd Calendar'!$AF$1138&gt;=GRID_FROM)*('Dvd Calendar'!$AF$1138&lt;=GRID_TO)*('Dvd Calendar'!$AF$1138&lt;=VAL_DATE)=0,"",'Dvd Calendar'!$AF$1138*1000000000+ISNUMBER('Dvd Calendar'!$AF$1141)*100000000+('Dvd Calendar'!$AF$1143=SPECIAL_LBL)*10000000+0*1000000+3*1000+28))</f>
        <v/>
      </c>
      <c r="FG118" s="35">
        <f>IF(N('Dvd Calendar'!$AG$1138)=0,"",IF(('Dvd Calendar'!$AG$1138&gt;=GRID_FROM)*('Dvd Calendar'!$AG$1138&lt;=GRID_TO)*('Dvd Calendar'!$AG$1138&lt;=VAL_DATE)=0,"",'Dvd Calendar'!$AG$1138*1000000000+ISNUMBER('Dvd Calendar'!$AG$1141)*100000000+('Dvd Calendar'!$AG$1143=SPECIAL_LBL)*10000000+0*1000000+3*1000+29))</f>
        <v/>
      </c>
      <c r="FH118" s="35">
        <f>IF(N('Dvd Calendar'!$AH$1138)=0,"",IF(('Dvd Calendar'!$AH$1138&gt;=GRID_FROM)*('Dvd Calendar'!$AH$1138&lt;=GRID_TO)*('Dvd Calendar'!$AH$1138&lt;=VAL_DATE)=0,"",'Dvd Calendar'!$AH$1138*1000000000+ISNUMBER('Dvd Calendar'!$AH$1141)*100000000+('Dvd Calendar'!$AH$1143=SPECIAL_LBL)*10000000+0*1000000+3*1000+30))</f>
        <v/>
      </c>
      <c r="FI118" s="35">
        <f>IF(N('Dvd Calendar'!$AI$1138)=0,"",IF(('Dvd Calendar'!$AI$1138&gt;=GRID_FROM)*('Dvd Calendar'!$AI$1138&lt;=GRID_TO)*('Dvd Calendar'!$AI$1138&lt;=VAL_DATE)=0,"",'Dvd Calendar'!$AI$1138*1000000000+ISNUMBER('Dvd Calendar'!$AI$1141)*100000000+('Dvd Calendar'!$AI$1143=SPECIAL_LBL)*10000000+0*1000000+3*1000+31))</f>
        <v/>
      </c>
      <c r="FJ118" s="35">
        <f>IF(N('Dvd Calendar'!$AJ$1138)=0,"",IF(('Dvd Calendar'!$AJ$1138&gt;=GRID_FROM)*('Dvd Calendar'!$AJ$1138&lt;=GRID_TO)*('Dvd Calendar'!$AJ$1138&lt;=VAL_DATE)=0,"",'Dvd Calendar'!$AJ$1138*1000000000+ISNUMBER('Dvd Calendar'!$AJ$1141)*100000000+('Dvd Calendar'!$AJ$1143=SPECIAL_LBL)*10000000+0*1000000+3*1000+32))</f>
        <v/>
      </c>
      <c r="FK118" s="35">
        <f>IF(N('Dvd Calendar'!$AK$1138)=0,"",IF(('Dvd Calendar'!$AK$1138&gt;=GRID_FROM)*('Dvd Calendar'!$AK$1138&lt;=GRID_TO)*('Dvd Calendar'!$AK$1138&lt;=VAL_DATE)=0,"",'Dvd Calendar'!$AK$1138*1000000000+ISNUMBER('Dvd Calendar'!$AK$1141)*100000000+('Dvd Calendar'!$AK$1143=SPECIAL_LBL)*10000000+0*1000000+3*1000+33))</f>
        <v/>
      </c>
      <c r="FL118" s="35">
        <f>IF(N('Dvd Calendar'!$AL$1138)=0,"",IF(('Dvd Calendar'!$AL$1138&gt;=GRID_FROM)*('Dvd Calendar'!$AL$1138&lt;=GRID_TO)*('Dvd Calendar'!$AL$1138&lt;=VAL_DATE)=0,"",'Dvd Calendar'!$AL$1138*1000000000+ISNUMBER('Dvd Calendar'!$AL$1141)*100000000+('Dvd Calendar'!$AL$1143=SPECIAL_LBL)*10000000+0*1000000+3*1000+34))</f>
        <v/>
      </c>
      <c r="FM118" s="35">
        <f>IF(N('Dvd Calendar'!$AM$1138)=0,"",IF(('Dvd Calendar'!$AM$1138&gt;=GRID_FROM)*('Dvd Calendar'!$AM$1138&lt;=GRID_TO)*('Dvd Calendar'!$AM$1138&lt;=VAL_DATE)=0,"",'Dvd Calendar'!$AM$1138*1000000000+ISNUMBER('Dvd Calendar'!$AM$1141)*100000000+('Dvd Calendar'!$AM$1143=SPECIAL_LBL)*10000000+0*1000000+3*1000+35))</f>
        <v/>
      </c>
      <c r="FN118" s="35">
        <f>IF(N('Dvd Calendar'!$AN$1138)=0,"",IF(('Dvd Calendar'!$AN$1138&gt;=GRID_FROM)*('Dvd Calendar'!$AN$1138&lt;=GRID_TO)*('Dvd Calendar'!$AN$1138&lt;=VAL_DATE)=0,"",'Dvd Calendar'!$AN$1138*1000000000+ISNUMBER('Dvd Calendar'!$AN$1141)*100000000+('Dvd Calendar'!$AN$1143=SPECIAL_LBL)*10000000+0*1000000+3*1000+36))</f>
        <v/>
      </c>
      <c r="FO118" s="35">
        <f>IF(N('Dvd Calendar'!$AO$1138)=0,"",IF(('Dvd Calendar'!$AO$1138&gt;=GRID_FROM)*('Dvd Calendar'!$AO$1138&lt;=GRID_TO)*('Dvd Calendar'!$AO$1138&lt;=VAL_DATE)=0,"",'Dvd Calendar'!$AO$1138*1000000000+ISNUMBER('Dvd Calendar'!$AO$1141)*100000000+('Dvd Calendar'!$AO$1143=SPECIAL_LBL)*10000000+0*1000000+3*1000+37))</f>
        <v/>
      </c>
      <c r="FP118" s="35">
        <f>IF(N('Dvd Calendar'!$AP$1138)=0,"",IF(('Dvd Calendar'!$AP$1138&gt;=GRID_FROM)*('Dvd Calendar'!$AP$1138&lt;=GRID_TO)*('Dvd Calendar'!$AP$1138&lt;=VAL_DATE)=0,"",'Dvd Calendar'!$AP$1138*1000000000+ISNUMBER('Dvd Calendar'!$AP$1141)*100000000+('Dvd Calendar'!$AP$1143=SPECIAL_LBL)*10000000+0*1000000+3*1000+38))</f>
        <v/>
      </c>
      <c r="FQ118" s="35">
        <f>IF(N('Dvd Calendar'!$AQ$1138)=0,"",IF(('Dvd Calendar'!$AQ$1138&gt;=GRID_FROM)*('Dvd Calendar'!$AQ$1138&lt;=GRID_TO)*('Dvd Calendar'!$AQ$1138&lt;=VAL_DATE)=0,"",'Dvd Calendar'!$AQ$1138*1000000000+ISNUMBER('Dvd Calendar'!$AQ$1141)*100000000+('Dvd Calendar'!$AQ$1143=SPECIAL_LBL)*10000000+0*1000000+3*1000+39))</f>
        <v/>
      </c>
      <c r="FR118" s="35">
        <f>IF(N('Dvd Calendar'!$AR$1138)=0,"",IF(('Dvd Calendar'!$AR$1138&gt;=GRID_FROM)*('Dvd Calendar'!$AR$1138&lt;=GRID_TO)*('Dvd Calendar'!$AR$1138&lt;=VAL_DATE)=0,"",'Dvd Calendar'!$AR$1138*1000000000+ISNUMBER('Dvd Calendar'!$AR$1141)*100000000+('Dvd Calendar'!$AR$1143=SPECIAL_LBL)*10000000+0*1000000+3*1000+40))</f>
        <v/>
      </c>
      <c r="FS118" s="35">
        <f>IF(N('Dvd Calendar'!$E$1145)=0,"",IF(('Dvd Calendar'!$E$1145&gt;=GRID_FROM)*('Dvd Calendar'!$E$1145&lt;=GRID_TO)*('Dvd Calendar'!$E$1145&gt;VAL_DATE)=0,"",'Dvd Calendar'!$E$1145*1000000000+ISNUMBER('Dvd Calendar'!$E$1146)*100000000+0*10000000+(N('Dvd Calendar'!$E$1144)&gt;0)*(N('Dvd Calendar'!$E$1144)&lt;=VAL_SERIAL)*1000000+3*1000+41))</f>
        <v/>
      </c>
      <c r="FT118" s="35">
        <f>IF(N('Dvd Calendar'!$F$1145)=0,"",IF(('Dvd Calendar'!$F$1145&gt;=GRID_FROM)*('Dvd Calendar'!$F$1145&lt;=GRID_TO)*('Dvd Calendar'!$F$1145&gt;VAL_DATE)=0,"",'Dvd Calendar'!$F$1145*1000000000+ISNUMBER('Dvd Calendar'!$F$1146)*100000000+0*10000000+(N('Dvd Calendar'!$F$1144)&gt;0)*(N('Dvd Calendar'!$F$1144)&lt;=VAL_SERIAL)*1000000+3*1000+42))</f>
        <v/>
      </c>
      <c r="FU118" s="35">
        <f>IF(N('Dvd Calendar'!$G$1145)=0,"",IF(('Dvd Calendar'!$G$1145&gt;=GRID_FROM)*('Dvd Calendar'!$G$1145&lt;=GRID_TO)*('Dvd Calendar'!$G$1145&gt;VAL_DATE)=0,"",'Dvd Calendar'!$G$1145*1000000000+ISNUMBER('Dvd Calendar'!$G$1146)*100000000+0*10000000+(N('Dvd Calendar'!$G$1144)&gt;0)*(N('Dvd Calendar'!$G$1144)&lt;=VAL_SERIAL)*1000000+3*1000+43))</f>
        <v/>
      </c>
      <c r="FV118" s="35">
        <f>IF(N('Dvd Calendar'!$H$1145)=0,"",IF(('Dvd Calendar'!$H$1145&gt;=GRID_FROM)*('Dvd Calendar'!$H$1145&lt;=GRID_TO)*('Dvd Calendar'!$H$1145&gt;VAL_DATE)=0,"",'Dvd Calendar'!$H$1145*1000000000+ISNUMBER('Dvd Calendar'!$H$1146)*100000000+0*10000000+(N('Dvd Calendar'!$H$1144)&gt;0)*(N('Dvd Calendar'!$H$1144)&lt;=VAL_SERIAL)*1000000+3*1000+44))</f>
        <v/>
      </c>
      <c r="FW118" s="35">
        <f>IF(N('Dvd Calendar'!$I$1145)=0,"",IF(('Dvd Calendar'!$I$1145&gt;=GRID_FROM)*('Dvd Calendar'!$I$1145&lt;=GRID_TO)*('Dvd Calendar'!$I$1145&gt;VAL_DATE)=0,"",'Dvd Calendar'!$I$1145*1000000000+ISNUMBER('Dvd Calendar'!$I$1146)*100000000+0*10000000+(N('Dvd Calendar'!$I$1144)&gt;0)*(N('Dvd Calendar'!$I$1144)&lt;=VAL_SERIAL)*1000000+3*1000+45))</f>
        <v/>
      </c>
      <c r="FX118" s="35">
        <f>IF(N('Dvd Calendar'!$J$1145)=0,"",IF(('Dvd Calendar'!$J$1145&gt;=GRID_FROM)*('Dvd Calendar'!$J$1145&lt;=GRID_TO)*('Dvd Calendar'!$J$1145&gt;VAL_DATE)=0,"",'Dvd Calendar'!$J$1145*1000000000+ISNUMBER('Dvd Calendar'!$J$1146)*100000000+0*10000000+(N('Dvd Calendar'!$J$1144)&gt;0)*(N('Dvd Calendar'!$J$1144)&lt;=VAL_SERIAL)*1000000+3*1000+46))</f>
        <v/>
      </c>
      <c r="FY118" s="35">
        <f>IF(N('Dvd Calendar'!$K$1145)=0,"",IF(('Dvd Calendar'!$K$1145&gt;=GRID_FROM)*('Dvd Calendar'!$K$1145&lt;=GRID_TO)*('Dvd Calendar'!$K$1145&gt;VAL_DATE)=0,"",'Dvd Calendar'!$K$1145*1000000000+ISNUMBER('Dvd Calendar'!$K$1146)*100000000+0*10000000+(N('Dvd Calendar'!$K$1144)&gt;0)*(N('Dvd Calendar'!$K$1144)&lt;=VAL_SERIAL)*1000000+3*1000+47))</f>
        <v/>
      </c>
      <c r="FZ118" s="35">
        <f>IF(N('Dvd Calendar'!$L$1145)=0,"",IF(('Dvd Calendar'!$L$1145&gt;=GRID_FROM)*('Dvd Calendar'!$L$1145&lt;=GRID_TO)*('Dvd Calendar'!$L$1145&gt;VAL_DATE)=0,"",'Dvd Calendar'!$L$1145*1000000000+ISNUMBER('Dvd Calendar'!$L$1146)*100000000+0*10000000+(N('Dvd Calendar'!$L$1144)&gt;0)*(N('Dvd Calendar'!$L$1144)&lt;=VAL_SERIAL)*1000000+3*1000+48))</f>
        <v/>
      </c>
      <c r="GA118" s="35">
        <f>IF(N('Dvd Calendar'!$M$1145)=0,"",IF(('Dvd Calendar'!$M$1145&gt;=GRID_FROM)*('Dvd Calendar'!$M$1145&lt;=GRID_TO)*('Dvd Calendar'!$M$1145&gt;VAL_DATE)=0,"",'Dvd Calendar'!$M$1145*1000000000+ISNUMBER('Dvd Calendar'!$M$1146)*100000000+0*10000000+(N('Dvd Calendar'!$M$1144)&gt;0)*(N('Dvd Calendar'!$M$1144)&lt;=VAL_SERIAL)*1000000+3*1000+49))</f>
        <v/>
      </c>
      <c r="GB118" s="35">
        <f>IF(N('Dvd Calendar'!$N$1145)=0,"",IF(('Dvd Calendar'!$N$1145&gt;=GRID_FROM)*('Dvd Calendar'!$N$1145&lt;=GRID_TO)*('Dvd Calendar'!$N$1145&gt;VAL_DATE)=0,"",'Dvd Calendar'!$N$1145*1000000000+ISNUMBER('Dvd Calendar'!$N$1146)*100000000+0*10000000+(N('Dvd Calendar'!$N$1144)&gt;0)*(N('Dvd Calendar'!$N$1144)&lt;=VAL_SERIAL)*1000000+3*1000+50))</f>
        <v/>
      </c>
      <c r="GC118" s="35">
        <f>IF(N('Dvd Calendar'!$O$1145)=0,"",IF(('Dvd Calendar'!$O$1145&gt;=GRID_FROM)*('Dvd Calendar'!$O$1145&lt;=GRID_TO)*('Dvd Calendar'!$O$1145&gt;VAL_DATE)=0,"",'Dvd Calendar'!$O$1145*1000000000+ISNUMBER('Dvd Calendar'!$O$1146)*100000000+0*10000000+(N('Dvd Calendar'!$O$1144)&gt;0)*(N('Dvd Calendar'!$O$1144)&lt;=VAL_SERIAL)*1000000+3*1000+51))</f>
        <v/>
      </c>
      <c r="GD118" s="35">
        <f>IF(N('Dvd Calendar'!$P$1145)=0,"",IF(('Dvd Calendar'!$P$1145&gt;=GRID_FROM)*('Dvd Calendar'!$P$1145&lt;=GRID_TO)*('Dvd Calendar'!$P$1145&gt;VAL_DATE)=0,"",'Dvd Calendar'!$P$1145*1000000000+ISNUMBER('Dvd Calendar'!$P$1146)*100000000+0*10000000+(N('Dvd Calendar'!$P$1144)&gt;0)*(N('Dvd Calendar'!$P$1144)&lt;=VAL_SERIAL)*1000000+3*1000+52))</f>
        <v/>
      </c>
      <c r="GE118" s="35">
        <f>IF(N('Dvd Calendar'!$Q$1145)=0,"",IF(('Dvd Calendar'!$Q$1145&gt;=GRID_FROM)*('Dvd Calendar'!$Q$1145&lt;=GRID_TO)*('Dvd Calendar'!$Q$1145&gt;VAL_DATE)=0,"",'Dvd Calendar'!$Q$1145*1000000000+ISNUMBER('Dvd Calendar'!$Q$1146)*100000000+0*10000000+(N('Dvd Calendar'!$Q$1144)&gt;0)*(N('Dvd Calendar'!$Q$1144)&lt;=VAL_SERIAL)*1000000+3*1000+53))</f>
        <v/>
      </c>
      <c r="GF118" s="35">
        <f>IF(N('Dvd Calendar'!$R$1145)=0,"",IF(('Dvd Calendar'!$R$1145&gt;=GRID_FROM)*('Dvd Calendar'!$R$1145&lt;=GRID_TO)*('Dvd Calendar'!$R$1145&gt;VAL_DATE)=0,"",'Dvd Calendar'!$R$1145*1000000000+ISNUMBER('Dvd Calendar'!$R$1146)*100000000+0*10000000+(N('Dvd Calendar'!$R$1144)&gt;0)*(N('Dvd Calendar'!$R$1144)&lt;=VAL_SERIAL)*1000000+3*1000+54))</f>
        <v/>
      </c>
      <c r="GG118" s="35">
        <f>IF(N('Dvd Calendar'!$S$1145)=0,"",IF(('Dvd Calendar'!$S$1145&gt;=GRID_FROM)*('Dvd Calendar'!$S$1145&lt;=GRID_TO)*('Dvd Calendar'!$S$1145&gt;VAL_DATE)=0,"",'Dvd Calendar'!$S$1145*1000000000+ISNUMBER('Dvd Calendar'!$S$1146)*100000000+0*10000000+(N('Dvd Calendar'!$S$1144)&gt;0)*(N('Dvd Calendar'!$S$1144)&lt;=VAL_SERIAL)*1000000+3*1000+55))</f>
        <v/>
      </c>
      <c r="GH118" s="35">
        <f>IF(N('Dvd Calendar'!$T$1145)=0,"",IF(('Dvd Calendar'!$T$1145&gt;=GRID_FROM)*('Dvd Calendar'!$T$1145&lt;=GRID_TO)*('Dvd Calendar'!$T$1145&gt;VAL_DATE)=0,"",'Dvd Calendar'!$T$1145*1000000000+ISNUMBER('Dvd Calendar'!$T$1146)*100000000+0*10000000+(N('Dvd Calendar'!$T$1144)&gt;0)*(N('Dvd Calendar'!$T$1144)&lt;=VAL_SERIAL)*1000000+3*1000+56))</f>
        <v/>
      </c>
      <c r="GI118" s="35">
        <f>IF(N('Dvd Calendar'!$U$1145)=0,"",IF(('Dvd Calendar'!$U$1145&gt;=GRID_FROM)*('Dvd Calendar'!$U$1145&lt;=GRID_TO)*('Dvd Calendar'!$U$1145&gt;VAL_DATE)=0,"",'Dvd Calendar'!$U$1145*1000000000+ISNUMBER('Dvd Calendar'!$U$1146)*100000000+0*10000000+(N('Dvd Calendar'!$U$1144)&gt;0)*(N('Dvd Calendar'!$U$1144)&lt;=VAL_SERIAL)*1000000+3*1000+57))</f>
        <v/>
      </c>
      <c r="GJ118" s="35">
        <f>IF(N('Dvd Calendar'!$V$1145)=0,"",IF(('Dvd Calendar'!$V$1145&gt;=GRID_FROM)*('Dvd Calendar'!$V$1145&lt;=GRID_TO)*('Dvd Calendar'!$V$1145&gt;VAL_DATE)=0,"",'Dvd Calendar'!$V$1145*1000000000+ISNUMBER('Dvd Calendar'!$V$1146)*100000000+0*10000000+(N('Dvd Calendar'!$V$1144)&gt;0)*(N('Dvd Calendar'!$V$1144)&lt;=VAL_SERIAL)*1000000+3*1000+58))</f>
        <v/>
      </c>
      <c r="GK118" s="35">
        <f>IF(N('Dvd Calendar'!$W$1145)=0,"",IF(('Dvd Calendar'!$W$1145&gt;=GRID_FROM)*('Dvd Calendar'!$W$1145&lt;=GRID_TO)*('Dvd Calendar'!$W$1145&gt;VAL_DATE)=0,"",'Dvd Calendar'!$W$1145*1000000000+ISNUMBER('Dvd Calendar'!$W$1146)*100000000+0*10000000+(N('Dvd Calendar'!$W$1144)&gt;0)*(N('Dvd Calendar'!$W$1144)&lt;=VAL_SERIAL)*1000000+3*1000+59))</f>
        <v/>
      </c>
      <c r="GL118" s="35">
        <f>IF(N('Dvd Calendar'!$X$1145)=0,"",IF(('Dvd Calendar'!$X$1145&gt;=GRID_FROM)*('Dvd Calendar'!$X$1145&lt;=GRID_TO)*('Dvd Calendar'!$X$1145&gt;VAL_DATE)=0,"",'Dvd Calendar'!$X$1145*1000000000+ISNUMBER('Dvd Calendar'!$X$1146)*100000000+0*10000000+(N('Dvd Calendar'!$X$1144)&gt;0)*(N('Dvd Calendar'!$X$1144)&lt;=VAL_SERIAL)*1000000+3*1000+60))</f>
        <v/>
      </c>
      <c r="GM118" s="35">
        <f>IF(N('Dvd Calendar'!$Y$1145)=0,"",IF(('Dvd Calendar'!$Y$1145&gt;=GRID_FROM)*('Dvd Calendar'!$Y$1145&lt;=GRID_TO)*('Dvd Calendar'!$Y$1145&gt;VAL_DATE)=0,"",'Dvd Calendar'!$Y$1145*1000000000+ISNUMBER('Dvd Calendar'!$Y$1146)*100000000+0*10000000+(N('Dvd Calendar'!$Y$1144)&gt;0)*(N('Dvd Calendar'!$Y$1144)&lt;=VAL_SERIAL)*1000000+3*1000+61))</f>
        <v/>
      </c>
      <c r="GN118" s="35">
        <f>IF(N('Dvd Calendar'!$Z$1145)=0,"",IF(('Dvd Calendar'!$Z$1145&gt;=GRID_FROM)*('Dvd Calendar'!$Z$1145&lt;=GRID_TO)*('Dvd Calendar'!$Z$1145&gt;VAL_DATE)=0,"",'Dvd Calendar'!$Z$1145*1000000000+ISNUMBER('Dvd Calendar'!$Z$1146)*100000000+0*10000000+(N('Dvd Calendar'!$Z$1144)&gt;0)*(N('Dvd Calendar'!$Z$1144)&lt;=VAL_SERIAL)*1000000+3*1000+62))</f>
        <v/>
      </c>
      <c r="GO118" s="35">
        <f>IF(N('Dvd Calendar'!$AA$1145)=0,"",IF(('Dvd Calendar'!$AA$1145&gt;=GRID_FROM)*('Dvd Calendar'!$AA$1145&lt;=GRID_TO)*('Dvd Calendar'!$AA$1145&gt;VAL_DATE)=0,"",'Dvd Calendar'!$AA$1145*1000000000+ISNUMBER('Dvd Calendar'!$AA$1146)*100000000+0*10000000+(N('Dvd Calendar'!$AA$1144)&gt;0)*(N('Dvd Calendar'!$AA$1144)&lt;=VAL_SERIAL)*1000000+3*1000+63))</f>
        <v/>
      </c>
      <c r="GP118" s="35">
        <f>IF(N('Dvd Calendar'!$AB$1145)=0,"",IF(('Dvd Calendar'!$AB$1145&gt;=GRID_FROM)*('Dvd Calendar'!$AB$1145&lt;=GRID_TO)*('Dvd Calendar'!$AB$1145&gt;VAL_DATE)=0,"",'Dvd Calendar'!$AB$1145*1000000000+ISNUMBER('Dvd Calendar'!$AB$1146)*100000000+0*10000000+(N('Dvd Calendar'!$AB$1144)&gt;0)*(N('Dvd Calendar'!$AB$1144)&lt;=VAL_SERIAL)*1000000+3*1000+64))</f>
        <v/>
      </c>
      <c r="GQ118" s="35">
        <f>IF(N('Dvd Calendar'!$AC$1145)=0,"",IF(('Dvd Calendar'!$AC$1145&gt;=GRID_FROM)*('Dvd Calendar'!$AC$1145&lt;=GRID_TO)*('Dvd Calendar'!$AC$1145&gt;VAL_DATE)=0,"",'Dvd Calendar'!$AC$1145*1000000000+ISNUMBER('Dvd Calendar'!$AC$1146)*100000000+0*10000000+(N('Dvd Calendar'!$AC$1144)&gt;0)*(N('Dvd Calendar'!$AC$1144)&lt;=VAL_SERIAL)*1000000+3*1000+65))</f>
        <v/>
      </c>
    </row>
    <row r="119">
      <c r="B119" s="2">
        <f>IF(HSTECH!$C$10="","",HSTECH!$C$10)</f>
        <v/>
      </c>
      <c r="C119" s="106">
        <f>IF(EE119="","",IF(ISNUMBER('Dvd Calendar'!$E$1152)=FALSE,"",IF((('Dvd Calendar'!$E$1154=TYPE1)*(TYPE1&lt;&gt;"")+('Dvd Calendar'!$E$1154=TYPE2)*(TYPE2&lt;&gt;"")+('Dvd Calendar'!$E$1154=TYPE3)*(TYPE3&lt;&gt;"")+('Dvd Calendar'!$E$1154=TYPE4)*(TYPE4&lt;&gt;"")+('Dvd Calendar'!$E$1154=SPECIAL_LBL)*(INC_SPECIALS="Y"))=0,"",'Dvd Calendar'!$E$1152)))</f>
        <v/>
      </c>
      <c r="D119" s="106">
        <f>IF(EF119="","",IF(ISNUMBER('Dvd Calendar'!$F$1152)=FALSE,"",IF((('Dvd Calendar'!$F$1154=TYPE1)*(TYPE1&lt;&gt;"")+('Dvd Calendar'!$F$1154=TYPE2)*(TYPE2&lt;&gt;"")+('Dvd Calendar'!$F$1154=TYPE3)*(TYPE3&lt;&gt;"")+('Dvd Calendar'!$F$1154=TYPE4)*(TYPE4&lt;&gt;"")+('Dvd Calendar'!$F$1154=SPECIAL_LBL)*(INC_SPECIALS="Y"))=0,"",'Dvd Calendar'!$F$1152)))</f>
        <v/>
      </c>
      <c r="E119" s="106">
        <f>IF(EG119="","",IF(ISNUMBER('Dvd Calendar'!$G$1152)=FALSE,"",IF((('Dvd Calendar'!$G$1154=TYPE1)*(TYPE1&lt;&gt;"")+('Dvd Calendar'!$G$1154=TYPE2)*(TYPE2&lt;&gt;"")+('Dvd Calendar'!$G$1154=TYPE3)*(TYPE3&lt;&gt;"")+('Dvd Calendar'!$G$1154=TYPE4)*(TYPE4&lt;&gt;"")+('Dvd Calendar'!$G$1154=SPECIAL_LBL)*(INC_SPECIALS="Y"))=0,"",'Dvd Calendar'!$G$1152)))</f>
        <v/>
      </c>
      <c r="F119" s="106">
        <f>IF(EH119="","",IF(ISNUMBER('Dvd Calendar'!$H$1152)=FALSE,"",IF((('Dvd Calendar'!$H$1154=TYPE1)*(TYPE1&lt;&gt;"")+('Dvd Calendar'!$H$1154=TYPE2)*(TYPE2&lt;&gt;"")+('Dvd Calendar'!$H$1154=TYPE3)*(TYPE3&lt;&gt;"")+('Dvd Calendar'!$H$1154=TYPE4)*(TYPE4&lt;&gt;"")+('Dvd Calendar'!$H$1154=SPECIAL_LBL)*(INC_SPECIALS="Y"))=0,"",'Dvd Calendar'!$H$1152)))</f>
        <v/>
      </c>
      <c r="G119" s="106">
        <f>IF(EI119="","",IF(ISNUMBER('Dvd Calendar'!$I$1152)=FALSE,"",IF((('Dvd Calendar'!$I$1154=TYPE1)*(TYPE1&lt;&gt;"")+('Dvd Calendar'!$I$1154=TYPE2)*(TYPE2&lt;&gt;"")+('Dvd Calendar'!$I$1154=TYPE3)*(TYPE3&lt;&gt;"")+('Dvd Calendar'!$I$1154=TYPE4)*(TYPE4&lt;&gt;"")+('Dvd Calendar'!$I$1154=SPECIAL_LBL)*(INC_SPECIALS="Y"))=0,"",'Dvd Calendar'!$I$1152)))</f>
        <v/>
      </c>
      <c r="H119" s="106">
        <f>IF(EJ119="","",IF(ISNUMBER('Dvd Calendar'!$J$1152)=FALSE,"",IF((('Dvd Calendar'!$J$1154=TYPE1)*(TYPE1&lt;&gt;"")+('Dvd Calendar'!$J$1154=TYPE2)*(TYPE2&lt;&gt;"")+('Dvd Calendar'!$J$1154=TYPE3)*(TYPE3&lt;&gt;"")+('Dvd Calendar'!$J$1154=TYPE4)*(TYPE4&lt;&gt;"")+('Dvd Calendar'!$J$1154=SPECIAL_LBL)*(INC_SPECIALS="Y"))=0,"",'Dvd Calendar'!$J$1152)))</f>
        <v/>
      </c>
      <c r="I119" s="106">
        <f>IF(EK119="","",IF(ISNUMBER('Dvd Calendar'!$K$1152)=FALSE,"",IF((('Dvd Calendar'!$K$1154=TYPE1)*(TYPE1&lt;&gt;"")+('Dvd Calendar'!$K$1154=TYPE2)*(TYPE2&lt;&gt;"")+('Dvd Calendar'!$K$1154=TYPE3)*(TYPE3&lt;&gt;"")+('Dvd Calendar'!$K$1154=TYPE4)*(TYPE4&lt;&gt;"")+('Dvd Calendar'!$K$1154=SPECIAL_LBL)*(INC_SPECIALS="Y"))=0,"",'Dvd Calendar'!$K$1152)))</f>
        <v/>
      </c>
      <c r="J119" s="106">
        <f>IF(EL119="","",IF(ISNUMBER('Dvd Calendar'!$L$1152)=FALSE,"",IF((('Dvd Calendar'!$L$1154=TYPE1)*(TYPE1&lt;&gt;"")+('Dvd Calendar'!$L$1154=TYPE2)*(TYPE2&lt;&gt;"")+('Dvd Calendar'!$L$1154=TYPE3)*(TYPE3&lt;&gt;"")+('Dvd Calendar'!$L$1154=TYPE4)*(TYPE4&lt;&gt;"")+('Dvd Calendar'!$L$1154=SPECIAL_LBL)*(INC_SPECIALS="Y"))=0,"",'Dvd Calendar'!$L$1152)))</f>
        <v/>
      </c>
      <c r="K119" s="106">
        <f>IF(EM119="","",IF(ISNUMBER('Dvd Calendar'!$M$1152)=FALSE,"",IF((('Dvd Calendar'!$M$1154=TYPE1)*(TYPE1&lt;&gt;"")+('Dvd Calendar'!$M$1154=TYPE2)*(TYPE2&lt;&gt;"")+('Dvd Calendar'!$M$1154=TYPE3)*(TYPE3&lt;&gt;"")+('Dvd Calendar'!$M$1154=TYPE4)*(TYPE4&lt;&gt;"")+('Dvd Calendar'!$M$1154=SPECIAL_LBL)*(INC_SPECIALS="Y"))=0,"",'Dvd Calendar'!$M$1152)))</f>
        <v/>
      </c>
      <c r="L119" s="106">
        <f>IF(EN119="","",IF(ISNUMBER('Dvd Calendar'!$N$1152)=FALSE,"",IF((('Dvd Calendar'!$N$1154=TYPE1)*(TYPE1&lt;&gt;"")+('Dvd Calendar'!$N$1154=TYPE2)*(TYPE2&lt;&gt;"")+('Dvd Calendar'!$N$1154=TYPE3)*(TYPE3&lt;&gt;"")+('Dvd Calendar'!$N$1154=TYPE4)*(TYPE4&lt;&gt;"")+('Dvd Calendar'!$N$1154=SPECIAL_LBL)*(INC_SPECIALS="Y"))=0,"",'Dvd Calendar'!$N$1152)))</f>
        <v/>
      </c>
      <c r="M119" s="106">
        <f>IF(EO119="","",IF(ISNUMBER('Dvd Calendar'!$O$1152)=FALSE,"",IF((('Dvd Calendar'!$O$1154=TYPE1)*(TYPE1&lt;&gt;"")+('Dvd Calendar'!$O$1154=TYPE2)*(TYPE2&lt;&gt;"")+('Dvd Calendar'!$O$1154=TYPE3)*(TYPE3&lt;&gt;"")+('Dvd Calendar'!$O$1154=TYPE4)*(TYPE4&lt;&gt;"")+('Dvd Calendar'!$O$1154=SPECIAL_LBL)*(INC_SPECIALS="Y"))=0,"",'Dvd Calendar'!$O$1152)))</f>
        <v/>
      </c>
      <c r="N119" s="106">
        <f>IF(EP119="","",IF(ISNUMBER('Dvd Calendar'!$P$1152)=FALSE,"",IF((('Dvd Calendar'!$P$1154=TYPE1)*(TYPE1&lt;&gt;"")+('Dvd Calendar'!$P$1154=TYPE2)*(TYPE2&lt;&gt;"")+('Dvd Calendar'!$P$1154=TYPE3)*(TYPE3&lt;&gt;"")+('Dvd Calendar'!$P$1154=TYPE4)*(TYPE4&lt;&gt;"")+('Dvd Calendar'!$P$1154=SPECIAL_LBL)*(INC_SPECIALS="Y"))=0,"",'Dvd Calendar'!$P$1152)))</f>
        <v/>
      </c>
      <c r="O119" s="106">
        <f>IF(EQ119="","",IF(ISNUMBER('Dvd Calendar'!$Q$1152)=FALSE,"",IF((('Dvd Calendar'!$Q$1154=TYPE1)*(TYPE1&lt;&gt;"")+('Dvd Calendar'!$Q$1154=TYPE2)*(TYPE2&lt;&gt;"")+('Dvd Calendar'!$Q$1154=TYPE3)*(TYPE3&lt;&gt;"")+('Dvd Calendar'!$Q$1154=TYPE4)*(TYPE4&lt;&gt;"")+('Dvd Calendar'!$Q$1154=SPECIAL_LBL)*(INC_SPECIALS="Y"))=0,"",'Dvd Calendar'!$Q$1152)))</f>
        <v/>
      </c>
      <c r="P119" s="106">
        <f>IF(ER119="","",IF(ISNUMBER('Dvd Calendar'!$R$1152)=FALSE,"",IF((('Dvd Calendar'!$R$1154=TYPE1)*(TYPE1&lt;&gt;"")+('Dvd Calendar'!$R$1154=TYPE2)*(TYPE2&lt;&gt;"")+('Dvd Calendar'!$R$1154=TYPE3)*(TYPE3&lt;&gt;"")+('Dvd Calendar'!$R$1154=TYPE4)*(TYPE4&lt;&gt;"")+('Dvd Calendar'!$R$1154=SPECIAL_LBL)*(INC_SPECIALS="Y"))=0,"",'Dvd Calendar'!$R$1152)))</f>
        <v/>
      </c>
      <c r="Q119" s="106">
        <f>IF(ES119="","",IF(ISNUMBER('Dvd Calendar'!$S$1152)=FALSE,"",IF((('Dvd Calendar'!$S$1154=TYPE1)*(TYPE1&lt;&gt;"")+('Dvd Calendar'!$S$1154=TYPE2)*(TYPE2&lt;&gt;"")+('Dvd Calendar'!$S$1154=TYPE3)*(TYPE3&lt;&gt;"")+('Dvd Calendar'!$S$1154=TYPE4)*(TYPE4&lt;&gt;"")+('Dvd Calendar'!$S$1154=SPECIAL_LBL)*(INC_SPECIALS="Y"))=0,"",'Dvd Calendar'!$S$1152)))</f>
        <v/>
      </c>
      <c r="R119" s="106">
        <f>IF(ET119="","",IF(ISNUMBER('Dvd Calendar'!$T$1152)=FALSE,"",IF((('Dvd Calendar'!$T$1154=TYPE1)*(TYPE1&lt;&gt;"")+('Dvd Calendar'!$T$1154=TYPE2)*(TYPE2&lt;&gt;"")+('Dvd Calendar'!$T$1154=TYPE3)*(TYPE3&lt;&gt;"")+('Dvd Calendar'!$T$1154=TYPE4)*(TYPE4&lt;&gt;"")+('Dvd Calendar'!$T$1154=SPECIAL_LBL)*(INC_SPECIALS="Y"))=0,"",'Dvd Calendar'!$T$1152)))</f>
        <v/>
      </c>
      <c r="S119" s="106">
        <f>IF(EU119="","",IF(ISNUMBER('Dvd Calendar'!$U$1152)=FALSE,"",IF((('Dvd Calendar'!$U$1154=TYPE1)*(TYPE1&lt;&gt;"")+('Dvd Calendar'!$U$1154=TYPE2)*(TYPE2&lt;&gt;"")+('Dvd Calendar'!$U$1154=TYPE3)*(TYPE3&lt;&gt;"")+('Dvd Calendar'!$U$1154=TYPE4)*(TYPE4&lt;&gt;"")+('Dvd Calendar'!$U$1154=SPECIAL_LBL)*(INC_SPECIALS="Y"))=0,"",'Dvd Calendar'!$U$1152)))</f>
        <v/>
      </c>
      <c r="T119" s="106">
        <f>IF(EV119="","",IF(ISNUMBER('Dvd Calendar'!$V$1152)=FALSE,"",IF((('Dvd Calendar'!$V$1154=TYPE1)*(TYPE1&lt;&gt;"")+('Dvd Calendar'!$V$1154=TYPE2)*(TYPE2&lt;&gt;"")+('Dvd Calendar'!$V$1154=TYPE3)*(TYPE3&lt;&gt;"")+('Dvd Calendar'!$V$1154=TYPE4)*(TYPE4&lt;&gt;"")+('Dvd Calendar'!$V$1154=SPECIAL_LBL)*(INC_SPECIALS="Y"))=0,"",'Dvd Calendar'!$V$1152)))</f>
        <v/>
      </c>
      <c r="U119" s="106">
        <f>IF(EW119="","",IF(ISNUMBER('Dvd Calendar'!$W$1152)=FALSE,"",IF((('Dvd Calendar'!$W$1154=TYPE1)*(TYPE1&lt;&gt;"")+('Dvd Calendar'!$W$1154=TYPE2)*(TYPE2&lt;&gt;"")+('Dvd Calendar'!$W$1154=TYPE3)*(TYPE3&lt;&gt;"")+('Dvd Calendar'!$W$1154=TYPE4)*(TYPE4&lt;&gt;"")+('Dvd Calendar'!$W$1154=SPECIAL_LBL)*(INC_SPECIALS="Y"))=0,"",'Dvd Calendar'!$W$1152)))</f>
        <v/>
      </c>
      <c r="V119" s="106">
        <f>IF(EX119="","",IF(ISNUMBER('Dvd Calendar'!$X$1152)=FALSE,"",IF((('Dvd Calendar'!$X$1154=TYPE1)*(TYPE1&lt;&gt;"")+('Dvd Calendar'!$X$1154=TYPE2)*(TYPE2&lt;&gt;"")+('Dvd Calendar'!$X$1154=TYPE3)*(TYPE3&lt;&gt;"")+('Dvd Calendar'!$X$1154=TYPE4)*(TYPE4&lt;&gt;"")+('Dvd Calendar'!$X$1154=SPECIAL_LBL)*(INC_SPECIALS="Y"))=0,"",'Dvd Calendar'!$X$1152)))</f>
        <v/>
      </c>
      <c r="W119" s="106">
        <f>IF(EY119="","",IF(ISNUMBER('Dvd Calendar'!$Y$1152)=FALSE,"",IF((('Dvd Calendar'!$Y$1154=TYPE1)*(TYPE1&lt;&gt;"")+('Dvd Calendar'!$Y$1154=TYPE2)*(TYPE2&lt;&gt;"")+('Dvd Calendar'!$Y$1154=TYPE3)*(TYPE3&lt;&gt;"")+('Dvd Calendar'!$Y$1154=TYPE4)*(TYPE4&lt;&gt;"")+('Dvd Calendar'!$Y$1154=SPECIAL_LBL)*(INC_SPECIALS="Y"))=0,"",'Dvd Calendar'!$Y$1152)))</f>
        <v/>
      </c>
      <c r="X119" s="106">
        <f>IF(EZ119="","",IF(ISNUMBER('Dvd Calendar'!$Z$1152)=FALSE,"",IF((('Dvd Calendar'!$Z$1154=TYPE1)*(TYPE1&lt;&gt;"")+('Dvd Calendar'!$Z$1154=TYPE2)*(TYPE2&lt;&gt;"")+('Dvd Calendar'!$Z$1154=TYPE3)*(TYPE3&lt;&gt;"")+('Dvd Calendar'!$Z$1154=TYPE4)*(TYPE4&lt;&gt;"")+('Dvd Calendar'!$Z$1154=SPECIAL_LBL)*(INC_SPECIALS="Y"))=0,"",'Dvd Calendar'!$Z$1152)))</f>
        <v/>
      </c>
      <c r="Y119" s="106">
        <f>IF(FA119="","",IF(ISNUMBER('Dvd Calendar'!$AA$1152)=FALSE,"",IF((('Dvd Calendar'!$AA$1154=TYPE1)*(TYPE1&lt;&gt;"")+('Dvd Calendar'!$AA$1154=TYPE2)*(TYPE2&lt;&gt;"")+('Dvd Calendar'!$AA$1154=TYPE3)*(TYPE3&lt;&gt;"")+('Dvd Calendar'!$AA$1154=TYPE4)*(TYPE4&lt;&gt;"")+('Dvd Calendar'!$AA$1154=SPECIAL_LBL)*(INC_SPECIALS="Y"))=0,"",'Dvd Calendar'!$AA$1152)))</f>
        <v/>
      </c>
      <c r="Z119" s="106">
        <f>IF(FB119="","",IF(ISNUMBER('Dvd Calendar'!$AB$1152)=FALSE,"",IF((('Dvd Calendar'!$AB$1154=TYPE1)*(TYPE1&lt;&gt;"")+('Dvd Calendar'!$AB$1154=TYPE2)*(TYPE2&lt;&gt;"")+('Dvd Calendar'!$AB$1154=TYPE3)*(TYPE3&lt;&gt;"")+('Dvd Calendar'!$AB$1154=TYPE4)*(TYPE4&lt;&gt;"")+('Dvd Calendar'!$AB$1154=SPECIAL_LBL)*(INC_SPECIALS="Y"))=0,"",'Dvd Calendar'!$AB$1152)))</f>
        <v/>
      </c>
      <c r="AA119" s="106">
        <f>IF(FC119="","",IF(ISNUMBER('Dvd Calendar'!$AC$1152)=FALSE,"",IF((('Dvd Calendar'!$AC$1154=TYPE1)*(TYPE1&lt;&gt;"")+('Dvd Calendar'!$AC$1154=TYPE2)*(TYPE2&lt;&gt;"")+('Dvd Calendar'!$AC$1154=TYPE3)*(TYPE3&lt;&gt;"")+('Dvd Calendar'!$AC$1154=TYPE4)*(TYPE4&lt;&gt;"")+('Dvd Calendar'!$AC$1154=SPECIAL_LBL)*(INC_SPECIALS="Y"))=0,"",'Dvd Calendar'!$AC$1152)))</f>
        <v/>
      </c>
      <c r="AB119" s="106">
        <f>IF(FD119="","",IF(ISNUMBER('Dvd Calendar'!$AD$1152)=FALSE,"",IF((('Dvd Calendar'!$AD$1154=TYPE1)*(TYPE1&lt;&gt;"")+('Dvd Calendar'!$AD$1154=TYPE2)*(TYPE2&lt;&gt;"")+('Dvd Calendar'!$AD$1154=TYPE3)*(TYPE3&lt;&gt;"")+('Dvd Calendar'!$AD$1154=TYPE4)*(TYPE4&lt;&gt;"")+('Dvd Calendar'!$AD$1154=SPECIAL_LBL)*(INC_SPECIALS="Y"))=0,"",'Dvd Calendar'!$AD$1152)))</f>
        <v/>
      </c>
      <c r="AC119" s="106">
        <f>IF(FE119="","",IF(ISNUMBER('Dvd Calendar'!$AE$1152)=FALSE,"",IF((('Dvd Calendar'!$AE$1154=TYPE1)*(TYPE1&lt;&gt;"")+('Dvd Calendar'!$AE$1154=TYPE2)*(TYPE2&lt;&gt;"")+('Dvd Calendar'!$AE$1154=TYPE3)*(TYPE3&lt;&gt;"")+('Dvd Calendar'!$AE$1154=TYPE4)*(TYPE4&lt;&gt;"")+('Dvd Calendar'!$AE$1154=SPECIAL_LBL)*(INC_SPECIALS="Y"))=0,"",'Dvd Calendar'!$AE$1152)))</f>
        <v/>
      </c>
      <c r="AD119" s="106">
        <f>IF(FF119="","",IF(ISNUMBER('Dvd Calendar'!$AF$1152)=FALSE,"",IF((('Dvd Calendar'!$AF$1154=TYPE1)*(TYPE1&lt;&gt;"")+('Dvd Calendar'!$AF$1154=TYPE2)*(TYPE2&lt;&gt;"")+('Dvd Calendar'!$AF$1154=TYPE3)*(TYPE3&lt;&gt;"")+('Dvd Calendar'!$AF$1154=TYPE4)*(TYPE4&lt;&gt;"")+('Dvd Calendar'!$AF$1154=SPECIAL_LBL)*(INC_SPECIALS="Y"))=0,"",'Dvd Calendar'!$AF$1152)))</f>
        <v/>
      </c>
      <c r="AE119" s="106">
        <f>IF(FG119="","",IF(ISNUMBER('Dvd Calendar'!$AG$1152)=FALSE,"",IF((('Dvd Calendar'!$AG$1154=TYPE1)*(TYPE1&lt;&gt;"")+('Dvd Calendar'!$AG$1154=TYPE2)*(TYPE2&lt;&gt;"")+('Dvd Calendar'!$AG$1154=TYPE3)*(TYPE3&lt;&gt;"")+('Dvd Calendar'!$AG$1154=TYPE4)*(TYPE4&lt;&gt;"")+('Dvd Calendar'!$AG$1154=SPECIAL_LBL)*(INC_SPECIALS="Y"))=0,"",'Dvd Calendar'!$AG$1152)))</f>
        <v/>
      </c>
      <c r="AF119" s="106">
        <f>IF(FH119="","",IF(ISNUMBER('Dvd Calendar'!$AH$1152)=FALSE,"",IF((('Dvd Calendar'!$AH$1154=TYPE1)*(TYPE1&lt;&gt;"")+('Dvd Calendar'!$AH$1154=TYPE2)*(TYPE2&lt;&gt;"")+('Dvd Calendar'!$AH$1154=TYPE3)*(TYPE3&lt;&gt;"")+('Dvd Calendar'!$AH$1154=TYPE4)*(TYPE4&lt;&gt;"")+('Dvd Calendar'!$AH$1154=SPECIAL_LBL)*(INC_SPECIALS="Y"))=0,"",'Dvd Calendar'!$AH$1152)))</f>
        <v/>
      </c>
      <c r="AG119" s="106">
        <f>IF(FI119="","",IF(ISNUMBER('Dvd Calendar'!$AI$1152)=FALSE,"",IF((('Dvd Calendar'!$AI$1154=TYPE1)*(TYPE1&lt;&gt;"")+('Dvd Calendar'!$AI$1154=TYPE2)*(TYPE2&lt;&gt;"")+('Dvd Calendar'!$AI$1154=TYPE3)*(TYPE3&lt;&gt;"")+('Dvd Calendar'!$AI$1154=TYPE4)*(TYPE4&lt;&gt;"")+('Dvd Calendar'!$AI$1154=SPECIAL_LBL)*(INC_SPECIALS="Y"))=0,"",'Dvd Calendar'!$AI$1152)))</f>
        <v/>
      </c>
      <c r="AH119" s="106">
        <f>IF(FJ119="","",IF(ISNUMBER('Dvd Calendar'!$AJ$1152)=FALSE,"",IF((('Dvd Calendar'!$AJ$1154=TYPE1)*(TYPE1&lt;&gt;"")+('Dvd Calendar'!$AJ$1154=TYPE2)*(TYPE2&lt;&gt;"")+('Dvd Calendar'!$AJ$1154=TYPE3)*(TYPE3&lt;&gt;"")+('Dvd Calendar'!$AJ$1154=TYPE4)*(TYPE4&lt;&gt;"")+('Dvd Calendar'!$AJ$1154=SPECIAL_LBL)*(INC_SPECIALS="Y"))=0,"",'Dvd Calendar'!$AJ$1152)))</f>
        <v/>
      </c>
      <c r="AI119" s="106">
        <f>IF(FK119="","",IF(ISNUMBER('Dvd Calendar'!$AK$1152)=FALSE,"",IF((('Dvd Calendar'!$AK$1154=TYPE1)*(TYPE1&lt;&gt;"")+('Dvd Calendar'!$AK$1154=TYPE2)*(TYPE2&lt;&gt;"")+('Dvd Calendar'!$AK$1154=TYPE3)*(TYPE3&lt;&gt;"")+('Dvd Calendar'!$AK$1154=TYPE4)*(TYPE4&lt;&gt;"")+('Dvd Calendar'!$AK$1154=SPECIAL_LBL)*(INC_SPECIALS="Y"))=0,"",'Dvd Calendar'!$AK$1152)))</f>
        <v/>
      </c>
      <c r="AJ119" s="106">
        <f>IF(FL119="","",IF(ISNUMBER('Dvd Calendar'!$AL$1152)=FALSE,"",IF((('Dvd Calendar'!$AL$1154=TYPE1)*(TYPE1&lt;&gt;"")+('Dvd Calendar'!$AL$1154=TYPE2)*(TYPE2&lt;&gt;"")+('Dvd Calendar'!$AL$1154=TYPE3)*(TYPE3&lt;&gt;"")+('Dvd Calendar'!$AL$1154=TYPE4)*(TYPE4&lt;&gt;"")+('Dvd Calendar'!$AL$1154=SPECIAL_LBL)*(INC_SPECIALS="Y"))=0,"",'Dvd Calendar'!$AL$1152)))</f>
        <v/>
      </c>
      <c r="AK119" s="106">
        <f>IF(FM119="","",IF(ISNUMBER('Dvd Calendar'!$AM$1152)=FALSE,"",IF((('Dvd Calendar'!$AM$1154=TYPE1)*(TYPE1&lt;&gt;"")+('Dvd Calendar'!$AM$1154=TYPE2)*(TYPE2&lt;&gt;"")+('Dvd Calendar'!$AM$1154=TYPE3)*(TYPE3&lt;&gt;"")+('Dvd Calendar'!$AM$1154=TYPE4)*(TYPE4&lt;&gt;"")+('Dvd Calendar'!$AM$1154=SPECIAL_LBL)*(INC_SPECIALS="Y"))=0,"",'Dvd Calendar'!$AM$1152)))</f>
        <v/>
      </c>
      <c r="AL119" s="106">
        <f>IF(FN119="","",IF(ISNUMBER('Dvd Calendar'!$AN$1152)=FALSE,"",IF((('Dvd Calendar'!$AN$1154=TYPE1)*(TYPE1&lt;&gt;"")+('Dvd Calendar'!$AN$1154=TYPE2)*(TYPE2&lt;&gt;"")+('Dvd Calendar'!$AN$1154=TYPE3)*(TYPE3&lt;&gt;"")+('Dvd Calendar'!$AN$1154=TYPE4)*(TYPE4&lt;&gt;"")+('Dvd Calendar'!$AN$1154=SPECIAL_LBL)*(INC_SPECIALS="Y"))=0,"",'Dvd Calendar'!$AN$1152)))</f>
        <v/>
      </c>
      <c r="AM119" s="106">
        <f>IF(FO119="","",IF(ISNUMBER('Dvd Calendar'!$AO$1152)=FALSE,"",IF((('Dvd Calendar'!$AO$1154=TYPE1)*(TYPE1&lt;&gt;"")+('Dvd Calendar'!$AO$1154=TYPE2)*(TYPE2&lt;&gt;"")+('Dvd Calendar'!$AO$1154=TYPE3)*(TYPE3&lt;&gt;"")+('Dvd Calendar'!$AO$1154=TYPE4)*(TYPE4&lt;&gt;"")+('Dvd Calendar'!$AO$1154=SPECIAL_LBL)*(INC_SPECIALS="Y"))=0,"",'Dvd Calendar'!$AO$1152)))</f>
        <v/>
      </c>
      <c r="AN119" s="106">
        <f>IF(FP119="","",IF(ISNUMBER('Dvd Calendar'!$AP$1152)=FALSE,"",IF((('Dvd Calendar'!$AP$1154=TYPE1)*(TYPE1&lt;&gt;"")+('Dvd Calendar'!$AP$1154=TYPE2)*(TYPE2&lt;&gt;"")+('Dvd Calendar'!$AP$1154=TYPE3)*(TYPE3&lt;&gt;"")+('Dvd Calendar'!$AP$1154=TYPE4)*(TYPE4&lt;&gt;"")+('Dvd Calendar'!$AP$1154=SPECIAL_LBL)*(INC_SPECIALS="Y"))=0,"",'Dvd Calendar'!$AP$1152)))</f>
        <v/>
      </c>
      <c r="AO119" s="106">
        <f>IF(FQ119="","",IF(ISNUMBER('Dvd Calendar'!$AQ$1152)=FALSE,"",IF((('Dvd Calendar'!$AQ$1154=TYPE1)*(TYPE1&lt;&gt;"")+('Dvd Calendar'!$AQ$1154=TYPE2)*(TYPE2&lt;&gt;"")+('Dvd Calendar'!$AQ$1154=TYPE3)*(TYPE3&lt;&gt;"")+('Dvd Calendar'!$AQ$1154=TYPE4)*(TYPE4&lt;&gt;"")+('Dvd Calendar'!$AQ$1154=SPECIAL_LBL)*(INC_SPECIALS="Y"))=0,"",'Dvd Calendar'!$AQ$1152)))</f>
        <v/>
      </c>
      <c r="AP119" s="106">
        <f>IF(FR119="","",IF(ISNUMBER('Dvd Calendar'!$AR$1152)=FALSE,"",IF((('Dvd Calendar'!$AR$1154=TYPE1)*(TYPE1&lt;&gt;"")+('Dvd Calendar'!$AR$1154=TYPE2)*(TYPE2&lt;&gt;"")+('Dvd Calendar'!$AR$1154=TYPE3)*(TYPE3&lt;&gt;"")+('Dvd Calendar'!$AR$1154=TYPE4)*(TYPE4&lt;&gt;"")+('Dvd Calendar'!$AR$1154=SPECIAL_LBL)*(INC_SPECIALS="Y"))=0,"",'Dvd Calendar'!$AR$1152)))</f>
        <v/>
      </c>
      <c r="AQ119" s="106">
        <f>IF(FS119="","",IF(ISNUMBER('Dvd Calendar'!$E$1157)=FALSE,"",'Dvd Calendar'!$E$1157))</f>
        <v/>
      </c>
      <c r="AR119" s="106">
        <f>IF(FT119="","",IF(ISNUMBER('Dvd Calendar'!$F$1157)=FALSE,"",'Dvd Calendar'!$F$1157))</f>
        <v/>
      </c>
      <c r="AS119" s="106">
        <f>IF(FU119="","",IF(ISNUMBER('Dvd Calendar'!$G$1157)=FALSE,"",'Dvd Calendar'!$G$1157))</f>
        <v/>
      </c>
      <c r="AT119" s="106">
        <f>IF(FV119="","",IF(ISNUMBER('Dvd Calendar'!$H$1157)=FALSE,"",'Dvd Calendar'!$H$1157))</f>
        <v/>
      </c>
      <c r="AU119" s="106">
        <f>IF(FW119="","",IF(ISNUMBER('Dvd Calendar'!$I$1157)=FALSE,"",'Dvd Calendar'!$I$1157))</f>
        <v/>
      </c>
      <c r="AV119" s="106">
        <f>IF(FX119="","",IF(ISNUMBER('Dvd Calendar'!$J$1157)=FALSE,"",'Dvd Calendar'!$J$1157))</f>
        <v/>
      </c>
      <c r="AW119" s="106">
        <f>IF(FY119="","",IF(ISNUMBER('Dvd Calendar'!$K$1157)=FALSE,"",'Dvd Calendar'!$K$1157))</f>
        <v/>
      </c>
      <c r="AX119" s="106">
        <f>IF(FZ119="","",IF(ISNUMBER('Dvd Calendar'!$L$1157)=FALSE,"",'Dvd Calendar'!$L$1157))</f>
        <v/>
      </c>
      <c r="AY119" s="106">
        <f>IF(GA119="","",IF(ISNUMBER('Dvd Calendar'!$M$1157)=FALSE,"",'Dvd Calendar'!$M$1157))</f>
        <v/>
      </c>
      <c r="AZ119" s="106">
        <f>IF(GB119="","",IF(ISNUMBER('Dvd Calendar'!$N$1157)=FALSE,"",'Dvd Calendar'!$N$1157))</f>
        <v/>
      </c>
      <c r="BA119" s="106">
        <f>IF(GC119="","",IF(ISNUMBER('Dvd Calendar'!$O$1157)=FALSE,"",'Dvd Calendar'!$O$1157))</f>
        <v/>
      </c>
      <c r="BB119" s="106">
        <f>IF(GD119="","",IF(ISNUMBER('Dvd Calendar'!$P$1157)=FALSE,"",'Dvd Calendar'!$P$1157))</f>
        <v/>
      </c>
      <c r="BC119" s="106">
        <f>IF(GE119="","",IF(ISNUMBER('Dvd Calendar'!$Q$1157)=FALSE,"",'Dvd Calendar'!$Q$1157))</f>
        <v/>
      </c>
      <c r="BD119" s="106">
        <f>IF(GF119="","",IF(ISNUMBER('Dvd Calendar'!$R$1157)=FALSE,"",'Dvd Calendar'!$R$1157))</f>
        <v/>
      </c>
      <c r="BE119" s="106">
        <f>IF(GG119="","",IF(ISNUMBER('Dvd Calendar'!$S$1157)=FALSE,"",'Dvd Calendar'!$S$1157))</f>
        <v/>
      </c>
      <c r="BF119" s="106">
        <f>IF(GH119="","",IF(ISNUMBER('Dvd Calendar'!$T$1157)=FALSE,"",'Dvd Calendar'!$T$1157))</f>
        <v/>
      </c>
      <c r="BG119" s="106">
        <f>IF(GI119="","",IF(ISNUMBER('Dvd Calendar'!$U$1157)=FALSE,"",'Dvd Calendar'!$U$1157))</f>
        <v/>
      </c>
      <c r="BH119" s="106">
        <f>IF(GJ119="","",IF(ISNUMBER('Dvd Calendar'!$V$1157)=FALSE,"",'Dvd Calendar'!$V$1157))</f>
        <v/>
      </c>
      <c r="BI119" s="106">
        <f>IF(GK119="","",IF(ISNUMBER('Dvd Calendar'!$W$1157)=FALSE,"",'Dvd Calendar'!$W$1157))</f>
        <v/>
      </c>
      <c r="BJ119" s="106">
        <f>IF(GL119="","",IF(ISNUMBER('Dvd Calendar'!$X$1157)=FALSE,"",'Dvd Calendar'!$X$1157))</f>
        <v/>
      </c>
      <c r="BK119" s="106">
        <f>IF(GM119="","",IF(ISNUMBER('Dvd Calendar'!$Y$1157)=FALSE,"",'Dvd Calendar'!$Y$1157))</f>
        <v/>
      </c>
      <c r="BL119" s="106">
        <f>IF(GN119="","",IF(ISNUMBER('Dvd Calendar'!$Z$1157)=FALSE,"",'Dvd Calendar'!$Z$1157))</f>
        <v/>
      </c>
      <c r="BM119" s="106">
        <f>IF(GO119="","",IF(ISNUMBER('Dvd Calendar'!$AA$1157)=FALSE,"",'Dvd Calendar'!$AA$1157))</f>
        <v/>
      </c>
      <c r="BN119" s="106">
        <f>IF(GP119="","",IF(ISNUMBER('Dvd Calendar'!$AB$1157)=FALSE,"",'Dvd Calendar'!$AB$1157))</f>
        <v/>
      </c>
      <c r="BO119" s="106">
        <f>IF(GQ119="","",IF(ISNUMBER('Dvd Calendar'!$AC$1157)=FALSE,"",'Dvd Calendar'!$AC$1157))</f>
        <v/>
      </c>
      <c r="BQ119" s="106">
        <f>IF(C119="","",IFERROR(C119*HSTECH!$B$10*HSTECH!$G$10/HSTECH!$B$3,""))</f>
        <v/>
      </c>
      <c r="BR119" s="106">
        <f>IF(D119="","",IFERROR(D119*HSTECH!$B$10*HSTECH!$G$10/HSTECH!$B$3,""))</f>
        <v/>
      </c>
      <c r="BS119" s="106">
        <f>IF(E119="","",IFERROR(E119*HSTECH!$B$10*HSTECH!$G$10/HSTECH!$B$3,""))</f>
        <v/>
      </c>
      <c r="BT119" s="106">
        <f>IF(F119="","",IFERROR(F119*HSTECH!$B$10*HSTECH!$G$10/HSTECH!$B$3,""))</f>
        <v/>
      </c>
      <c r="BU119" s="106">
        <f>IF(G119="","",IFERROR(G119*HSTECH!$B$10*HSTECH!$G$10/HSTECH!$B$3,""))</f>
        <v/>
      </c>
      <c r="BV119" s="106">
        <f>IF(H119="","",IFERROR(H119*HSTECH!$B$10*HSTECH!$G$10/HSTECH!$B$3,""))</f>
        <v/>
      </c>
      <c r="BW119" s="106">
        <f>IF(I119="","",IFERROR(I119*HSTECH!$B$10*HSTECH!$G$10/HSTECH!$B$3,""))</f>
        <v/>
      </c>
      <c r="BX119" s="106">
        <f>IF(J119="","",IFERROR(J119*HSTECH!$B$10*HSTECH!$G$10/HSTECH!$B$3,""))</f>
        <v/>
      </c>
      <c r="BY119" s="106">
        <f>IF(K119="","",IFERROR(K119*HSTECH!$B$10*HSTECH!$G$10/HSTECH!$B$3,""))</f>
        <v/>
      </c>
      <c r="BZ119" s="106">
        <f>IF(L119="","",IFERROR(L119*HSTECH!$B$10*HSTECH!$G$10/HSTECH!$B$3,""))</f>
        <v/>
      </c>
      <c r="CA119" s="106">
        <f>IF(M119="","",IFERROR(M119*HSTECH!$B$10*HSTECH!$G$10/HSTECH!$B$3,""))</f>
        <v/>
      </c>
      <c r="CB119" s="106">
        <f>IF(N119="","",IFERROR(N119*HSTECH!$B$10*HSTECH!$G$10/HSTECH!$B$3,""))</f>
        <v/>
      </c>
      <c r="CC119" s="106">
        <f>IF(O119="","",IFERROR(O119*HSTECH!$B$10*HSTECH!$G$10/HSTECH!$B$3,""))</f>
        <v/>
      </c>
      <c r="CD119" s="106">
        <f>IF(P119="","",IFERROR(P119*HSTECH!$B$10*HSTECH!$G$10/HSTECH!$B$3,""))</f>
        <v/>
      </c>
      <c r="CE119" s="106">
        <f>IF(Q119="","",IFERROR(Q119*HSTECH!$B$10*HSTECH!$G$10/HSTECH!$B$3,""))</f>
        <v/>
      </c>
      <c r="CF119" s="106">
        <f>IF(R119="","",IFERROR(R119*HSTECH!$B$10*HSTECH!$G$10/HSTECH!$B$3,""))</f>
        <v/>
      </c>
      <c r="CG119" s="106">
        <f>IF(S119="","",IFERROR(S119*HSTECH!$B$10*HSTECH!$G$10/HSTECH!$B$3,""))</f>
        <v/>
      </c>
      <c r="CH119" s="106">
        <f>IF(T119="","",IFERROR(T119*HSTECH!$B$10*HSTECH!$G$10/HSTECH!$B$3,""))</f>
        <v/>
      </c>
      <c r="CI119" s="106">
        <f>IF(U119="","",IFERROR(U119*HSTECH!$B$10*HSTECH!$G$10/HSTECH!$B$3,""))</f>
        <v/>
      </c>
      <c r="CJ119" s="106">
        <f>IF(V119="","",IFERROR(V119*HSTECH!$B$10*HSTECH!$G$10/HSTECH!$B$3,""))</f>
        <v/>
      </c>
      <c r="CK119" s="106">
        <f>IF(W119="","",IFERROR(W119*HSTECH!$B$10*HSTECH!$G$10/HSTECH!$B$3,""))</f>
        <v/>
      </c>
      <c r="CL119" s="106">
        <f>IF(X119="","",IFERROR(X119*HSTECH!$B$10*HSTECH!$G$10/HSTECH!$B$3,""))</f>
        <v/>
      </c>
      <c r="CM119" s="106">
        <f>IF(Y119="","",IFERROR(Y119*HSTECH!$B$10*HSTECH!$G$10/HSTECH!$B$3,""))</f>
        <v/>
      </c>
      <c r="CN119" s="106">
        <f>IF(Z119="","",IFERROR(Z119*HSTECH!$B$10*HSTECH!$G$10/HSTECH!$B$3,""))</f>
        <v/>
      </c>
      <c r="CO119" s="106">
        <f>IF(AA119="","",IFERROR(AA119*HSTECH!$B$10*HSTECH!$G$10/HSTECH!$B$3,""))</f>
        <v/>
      </c>
      <c r="CP119" s="106">
        <f>IF(AB119="","",IFERROR(AB119*HSTECH!$B$10*HSTECH!$G$10/HSTECH!$B$3,""))</f>
        <v/>
      </c>
      <c r="CQ119" s="106">
        <f>IF(AC119="","",IFERROR(AC119*HSTECH!$B$10*HSTECH!$G$10/HSTECH!$B$3,""))</f>
        <v/>
      </c>
      <c r="CR119" s="106">
        <f>IF(AD119="","",IFERROR(AD119*HSTECH!$B$10*HSTECH!$G$10/HSTECH!$B$3,""))</f>
        <v/>
      </c>
      <c r="CS119" s="106">
        <f>IF(AE119="","",IFERROR(AE119*HSTECH!$B$10*HSTECH!$G$10/HSTECH!$B$3,""))</f>
        <v/>
      </c>
      <c r="CT119" s="106">
        <f>IF(AF119="","",IFERROR(AF119*HSTECH!$B$10*HSTECH!$G$10/HSTECH!$B$3,""))</f>
        <v/>
      </c>
      <c r="CU119" s="106">
        <f>IF(AG119="","",IFERROR(AG119*HSTECH!$B$10*HSTECH!$G$10/HSTECH!$B$3,""))</f>
        <v/>
      </c>
      <c r="CV119" s="106">
        <f>IF(AH119="","",IFERROR(AH119*HSTECH!$B$10*HSTECH!$G$10/HSTECH!$B$3,""))</f>
        <v/>
      </c>
      <c r="CW119" s="106">
        <f>IF(AI119="","",IFERROR(AI119*HSTECH!$B$10*HSTECH!$G$10/HSTECH!$B$3,""))</f>
        <v/>
      </c>
      <c r="CX119" s="106">
        <f>IF(AJ119="","",IFERROR(AJ119*HSTECH!$B$10*HSTECH!$G$10/HSTECH!$B$3,""))</f>
        <v/>
      </c>
      <c r="CY119" s="106">
        <f>IF(AK119="","",IFERROR(AK119*HSTECH!$B$10*HSTECH!$G$10/HSTECH!$B$3,""))</f>
        <v/>
      </c>
      <c r="CZ119" s="106">
        <f>IF(AL119="","",IFERROR(AL119*HSTECH!$B$10*HSTECH!$G$10/HSTECH!$B$3,""))</f>
        <v/>
      </c>
      <c r="DA119" s="106">
        <f>IF(AM119="","",IFERROR(AM119*HSTECH!$B$10*HSTECH!$G$10/HSTECH!$B$3,""))</f>
        <v/>
      </c>
      <c r="DB119" s="106">
        <f>IF(AN119="","",IFERROR(AN119*HSTECH!$B$10*HSTECH!$G$10/HSTECH!$B$3,""))</f>
        <v/>
      </c>
      <c r="DC119" s="106">
        <f>IF(AO119="","",IFERROR(AO119*HSTECH!$B$10*HSTECH!$G$10/HSTECH!$B$3,""))</f>
        <v/>
      </c>
      <c r="DD119" s="106">
        <f>IF(AP119="","",IFERROR(AP119*HSTECH!$B$10*HSTECH!$G$10/HSTECH!$B$3,""))</f>
        <v/>
      </c>
      <c r="DE119" s="106">
        <f>IF(AQ119="","",IFERROR(AQ119*HSTECH!$B$10*HSTECH!$G$10/HSTECH!$B$3,""))</f>
        <v/>
      </c>
      <c r="DF119" s="106">
        <f>IF(AR119="","",IFERROR(AR119*HSTECH!$B$10*HSTECH!$G$10/HSTECH!$B$3,""))</f>
        <v/>
      </c>
      <c r="DG119" s="106">
        <f>IF(AS119="","",IFERROR(AS119*HSTECH!$B$10*HSTECH!$G$10/HSTECH!$B$3,""))</f>
        <v/>
      </c>
      <c r="DH119" s="106">
        <f>IF(AT119="","",IFERROR(AT119*HSTECH!$B$10*HSTECH!$G$10/HSTECH!$B$3,""))</f>
        <v/>
      </c>
      <c r="DI119" s="106">
        <f>IF(AU119="","",IFERROR(AU119*HSTECH!$B$10*HSTECH!$G$10/HSTECH!$B$3,""))</f>
        <v/>
      </c>
      <c r="DJ119" s="106">
        <f>IF(AV119="","",IFERROR(AV119*HSTECH!$B$10*HSTECH!$G$10/HSTECH!$B$3,""))</f>
        <v/>
      </c>
      <c r="DK119" s="106">
        <f>IF(AW119="","",IFERROR(AW119*HSTECH!$B$10*HSTECH!$G$10/HSTECH!$B$3,""))</f>
        <v/>
      </c>
      <c r="DL119" s="106">
        <f>IF(AX119="","",IFERROR(AX119*HSTECH!$B$10*HSTECH!$G$10/HSTECH!$B$3,""))</f>
        <v/>
      </c>
      <c r="DM119" s="106">
        <f>IF(AY119="","",IFERROR(AY119*HSTECH!$B$10*HSTECH!$G$10/HSTECH!$B$3,""))</f>
        <v/>
      </c>
      <c r="DN119" s="106">
        <f>IF(AZ119="","",IFERROR(AZ119*HSTECH!$B$10*HSTECH!$G$10/HSTECH!$B$3,""))</f>
        <v/>
      </c>
      <c r="DO119" s="106">
        <f>IF(BA119="","",IFERROR(BA119*HSTECH!$B$10*HSTECH!$G$10/HSTECH!$B$3,""))</f>
        <v/>
      </c>
      <c r="DP119" s="106">
        <f>IF(BB119="","",IFERROR(BB119*HSTECH!$B$10*HSTECH!$G$10/HSTECH!$B$3,""))</f>
        <v/>
      </c>
      <c r="DQ119" s="106">
        <f>IF(BC119="","",IFERROR(BC119*HSTECH!$B$10*HSTECH!$G$10/HSTECH!$B$3,""))</f>
        <v/>
      </c>
      <c r="DR119" s="106">
        <f>IF(BD119="","",IFERROR(BD119*HSTECH!$B$10*HSTECH!$G$10/HSTECH!$B$3,""))</f>
        <v/>
      </c>
      <c r="DS119" s="106">
        <f>IF(BE119="","",IFERROR(BE119*HSTECH!$B$10*HSTECH!$G$10/HSTECH!$B$3,""))</f>
        <v/>
      </c>
      <c r="DT119" s="106">
        <f>IF(BF119="","",IFERROR(BF119*HSTECH!$B$10*HSTECH!$G$10/HSTECH!$B$3,""))</f>
        <v/>
      </c>
      <c r="DU119" s="106">
        <f>IF(BG119="","",IFERROR(BG119*HSTECH!$B$10*HSTECH!$G$10/HSTECH!$B$3,""))</f>
        <v/>
      </c>
      <c r="DV119" s="106">
        <f>IF(BH119="","",IFERROR(BH119*HSTECH!$B$10*HSTECH!$G$10/HSTECH!$B$3,""))</f>
        <v/>
      </c>
      <c r="DW119" s="106">
        <f>IF(BI119="","",IFERROR(BI119*HSTECH!$B$10*HSTECH!$G$10/HSTECH!$B$3,""))</f>
        <v/>
      </c>
      <c r="DX119" s="106">
        <f>IF(BJ119="","",IFERROR(BJ119*HSTECH!$B$10*HSTECH!$G$10/HSTECH!$B$3,""))</f>
        <v/>
      </c>
      <c r="DY119" s="106">
        <f>IF(BK119="","",IFERROR(BK119*HSTECH!$B$10*HSTECH!$G$10/HSTECH!$B$3,""))</f>
        <v/>
      </c>
      <c r="DZ119" s="106">
        <f>IF(BL119="","",IFERROR(BL119*HSTECH!$B$10*HSTECH!$G$10/HSTECH!$B$3,""))</f>
        <v/>
      </c>
      <c r="EA119" s="106">
        <f>IF(BM119="","",IFERROR(BM119*HSTECH!$B$10*HSTECH!$G$10/HSTECH!$B$3,""))</f>
        <v/>
      </c>
      <c r="EB119" s="106">
        <f>IF(BN119="","",IFERROR(BN119*HSTECH!$B$10*HSTECH!$G$10/HSTECH!$B$3,""))</f>
        <v/>
      </c>
      <c r="EC119" s="106">
        <f>IF(BO119="","",IFERROR(BO119*HSTECH!$B$10*HSTECH!$G$10/HSTECH!$B$3,""))</f>
        <v/>
      </c>
      <c r="EE119" s="35">
        <f>IF(N('Dvd Calendar'!$E$1149)=0,"",IF(('Dvd Calendar'!$E$1149&gt;=GRID_FROM)*('Dvd Calendar'!$E$1149&lt;=GRID_TO)*('Dvd Calendar'!$E$1149&lt;=VAL_DATE)=0,"",'Dvd Calendar'!$E$1149*1000000000+ISNUMBER('Dvd Calendar'!$E$1152)*100000000+('Dvd Calendar'!$E$1154=SPECIAL_LBL)*10000000+0*1000000+4*1000+1))</f>
        <v/>
      </c>
      <c r="EF119" s="35">
        <f>IF(N('Dvd Calendar'!$F$1149)=0,"",IF(('Dvd Calendar'!$F$1149&gt;=GRID_FROM)*('Dvd Calendar'!$F$1149&lt;=GRID_TO)*('Dvd Calendar'!$F$1149&lt;=VAL_DATE)=0,"",'Dvd Calendar'!$F$1149*1000000000+ISNUMBER('Dvd Calendar'!$F$1152)*100000000+('Dvd Calendar'!$F$1154=SPECIAL_LBL)*10000000+0*1000000+4*1000+2))</f>
        <v/>
      </c>
      <c r="EG119" s="35">
        <f>IF(N('Dvd Calendar'!$G$1149)=0,"",IF(('Dvd Calendar'!$G$1149&gt;=GRID_FROM)*('Dvd Calendar'!$G$1149&lt;=GRID_TO)*('Dvd Calendar'!$G$1149&lt;=VAL_DATE)=0,"",'Dvd Calendar'!$G$1149*1000000000+ISNUMBER('Dvd Calendar'!$G$1152)*100000000+('Dvd Calendar'!$G$1154=SPECIAL_LBL)*10000000+0*1000000+4*1000+3))</f>
        <v/>
      </c>
      <c r="EH119" s="35">
        <f>IF(N('Dvd Calendar'!$H$1149)=0,"",IF(('Dvd Calendar'!$H$1149&gt;=GRID_FROM)*('Dvd Calendar'!$H$1149&lt;=GRID_TO)*('Dvd Calendar'!$H$1149&lt;=VAL_DATE)=0,"",'Dvd Calendar'!$H$1149*1000000000+ISNUMBER('Dvd Calendar'!$H$1152)*100000000+('Dvd Calendar'!$H$1154=SPECIAL_LBL)*10000000+0*1000000+4*1000+4))</f>
        <v/>
      </c>
      <c r="EI119" s="35">
        <f>IF(N('Dvd Calendar'!$I$1149)=0,"",IF(('Dvd Calendar'!$I$1149&gt;=GRID_FROM)*('Dvd Calendar'!$I$1149&lt;=GRID_TO)*('Dvd Calendar'!$I$1149&lt;=VAL_DATE)=0,"",'Dvd Calendar'!$I$1149*1000000000+ISNUMBER('Dvd Calendar'!$I$1152)*100000000+('Dvd Calendar'!$I$1154=SPECIAL_LBL)*10000000+0*1000000+4*1000+5))</f>
        <v/>
      </c>
      <c r="EJ119" s="35">
        <f>IF(N('Dvd Calendar'!$J$1149)=0,"",IF(('Dvd Calendar'!$J$1149&gt;=GRID_FROM)*('Dvd Calendar'!$J$1149&lt;=GRID_TO)*('Dvd Calendar'!$J$1149&lt;=VAL_DATE)=0,"",'Dvd Calendar'!$J$1149*1000000000+ISNUMBER('Dvd Calendar'!$J$1152)*100000000+('Dvd Calendar'!$J$1154=SPECIAL_LBL)*10000000+0*1000000+4*1000+6))</f>
        <v/>
      </c>
      <c r="EK119" s="35">
        <f>IF(N('Dvd Calendar'!$K$1149)=0,"",IF(('Dvd Calendar'!$K$1149&gt;=GRID_FROM)*('Dvd Calendar'!$K$1149&lt;=GRID_TO)*('Dvd Calendar'!$K$1149&lt;=VAL_DATE)=0,"",'Dvd Calendar'!$K$1149*1000000000+ISNUMBER('Dvd Calendar'!$K$1152)*100000000+('Dvd Calendar'!$K$1154=SPECIAL_LBL)*10000000+0*1000000+4*1000+7))</f>
        <v/>
      </c>
      <c r="EL119" s="35">
        <f>IF(N('Dvd Calendar'!$L$1149)=0,"",IF(('Dvd Calendar'!$L$1149&gt;=GRID_FROM)*('Dvd Calendar'!$L$1149&lt;=GRID_TO)*('Dvd Calendar'!$L$1149&lt;=VAL_DATE)=0,"",'Dvd Calendar'!$L$1149*1000000000+ISNUMBER('Dvd Calendar'!$L$1152)*100000000+('Dvd Calendar'!$L$1154=SPECIAL_LBL)*10000000+0*1000000+4*1000+8))</f>
        <v/>
      </c>
      <c r="EM119" s="35">
        <f>IF(N('Dvd Calendar'!$M$1149)=0,"",IF(('Dvd Calendar'!$M$1149&gt;=GRID_FROM)*('Dvd Calendar'!$M$1149&lt;=GRID_TO)*('Dvd Calendar'!$M$1149&lt;=VAL_DATE)=0,"",'Dvd Calendar'!$M$1149*1000000000+ISNUMBER('Dvd Calendar'!$M$1152)*100000000+('Dvd Calendar'!$M$1154=SPECIAL_LBL)*10000000+0*1000000+4*1000+9))</f>
        <v/>
      </c>
      <c r="EN119" s="35">
        <f>IF(N('Dvd Calendar'!$N$1149)=0,"",IF(('Dvd Calendar'!$N$1149&gt;=GRID_FROM)*('Dvd Calendar'!$N$1149&lt;=GRID_TO)*('Dvd Calendar'!$N$1149&lt;=VAL_DATE)=0,"",'Dvd Calendar'!$N$1149*1000000000+ISNUMBER('Dvd Calendar'!$N$1152)*100000000+('Dvd Calendar'!$N$1154=SPECIAL_LBL)*10000000+0*1000000+4*1000+10))</f>
        <v/>
      </c>
      <c r="EO119" s="35">
        <f>IF(N('Dvd Calendar'!$O$1149)=0,"",IF(('Dvd Calendar'!$O$1149&gt;=GRID_FROM)*('Dvd Calendar'!$O$1149&lt;=GRID_TO)*('Dvd Calendar'!$O$1149&lt;=VAL_DATE)=0,"",'Dvd Calendar'!$O$1149*1000000000+ISNUMBER('Dvd Calendar'!$O$1152)*100000000+('Dvd Calendar'!$O$1154=SPECIAL_LBL)*10000000+0*1000000+4*1000+11))</f>
        <v/>
      </c>
      <c r="EP119" s="35">
        <f>IF(N('Dvd Calendar'!$P$1149)=0,"",IF(('Dvd Calendar'!$P$1149&gt;=GRID_FROM)*('Dvd Calendar'!$P$1149&lt;=GRID_TO)*('Dvd Calendar'!$P$1149&lt;=VAL_DATE)=0,"",'Dvd Calendar'!$P$1149*1000000000+ISNUMBER('Dvd Calendar'!$P$1152)*100000000+('Dvd Calendar'!$P$1154=SPECIAL_LBL)*10000000+0*1000000+4*1000+12))</f>
        <v/>
      </c>
      <c r="EQ119" s="35">
        <f>IF(N('Dvd Calendar'!$Q$1149)=0,"",IF(('Dvd Calendar'!$Q$1149&gt;=GRID_FROM)*('Dvd Calendar'!$Q$1149&lt;=GRID_TO)*('Dvd Calendar'!$Q$1149&lt;=VAL_DATE)=0,"",'Dvd Calendar'!$Q$1149*1000000000+ISNUMBER('Dvd Calendar'!$Q$1152)*100000000+('Dvd Calendar'!$Q$1154=SPECIAL_LBL)*10000000+0*1000000+4*1000+13))</f>
        <v/>
      </c>
      <c r="ER119" s="35">
        <f>IF(N('Dvd Calendar'!$R$1149)=0,"",IF(('Dvd Calendar'!$R$1149&gt;=GRID_FROM)*('Dvd Calendar'!$R$1149&lt;=GRID_TO)*('Dvd Calendar'!$R$1149&lt;=VAL_DATE)=0,"",'Dvd Calendar'!$R$1149*1000000000+ISNUMBER('Dvd Calendar'!$R$1152)*100000000+('Dvd Calendar'!$R$1154=SPECIAL_LBL)*10000000+0*1000000+4*1000+14))</f>
        <v/>
      </c>
      <c r="ES119" s="35">
        <f>IF(N('Dvd Calendar'!$S$1149)=0,"",IF(('Dvd Calendar'!$S$1149&gt;=GRID_FROM)*('Dvd Calendar'!$S$1149&lt;=GRID_TO)*('Dvd Calendar'!$S$1149&lt;=VAL_DATE)=0,"",'Dvd Calendar'!$S$1149*1000000000+ISNUMBER('Dvd Calendar'!$S$1152)*100000000+('Dvd Calendar'!$S$1154=SPECIAL_LBL)*10000000+0*1000000+4*1000+15))</f>
        <v/>
      </c>
      <c r="ET119" s="35">
        <f>IF(N('Dvd Calendar'!$T$1149)=0,"",IF(('Dvd Calendar'!$T$1149&gt;=GRID_FROM)*('Dvd Calendar'!$T$1149&lt;=GRID_TO)*('Dvd Calendar'!$T$1149&lt;=VAL_DATE)=0,"",'Dvd Calendar'!$T$1149*1000000000+ISNUMBER('Dvd Calendar'!$T$1152)*100000000+('Dvd Calendar'!$T$1154=SPECIAL_LBL)*10000000+0*1000000+4*1000+16))</f>
        <v/>
      </c>
      <c r="EU119" s="35">
        <f>IF(N('Dvd Calendar'!$U$1149)=0,"",IF(('Dvd Calendar'!$U$1149&gt;=GRID_FROM)*('Dvd Calendar'!$U$1149&lt;=GRID_TO)*('Dvd Calendar'!$U$1149&lt;=VAL_DATE)=0,"",'Dvd Calendar'!$U$1149*1000000000+ISNUMBER('Dvd Calendar'!$U$1152)*100000000+('Dvd Calendar'!$U$1154=SPECIAL_LBL)*10000000+0*1000000+4*1000+17))</f>
        <v/>
      </c>
      <c r="EV119" s="35">
        <f>IF(N('Dvd Calendar'!$V$1149)=0,"",IF(('Dvd Calendar'!$V$1149&gt;=GRID_FROM)*('Dvd Calendar'!$V$1149&lt;=GRID_TO)*('Dvd Calendar'!$V$1149&lt;=VAL_DATE)=0,"",'Dvd Calendar'!$V$1149*1000000000+ISNUMBER('Dvd Calendar'!$V$1152)*100000000+('Dvd Calendar'!$V$1154=SPECIAL_LBL)*10000000+0*1000000+4*1000+18))</f>
        <v/>
      </c>
      <c r="EW119" s="35">
        <f>IF(N('Dvd Calendar'!$W$1149)=0,"",IF(('Dvd Calendar'!$W$1149&gt;=GRID_FROM)*('Dvd Calendar'!$W$1149&lt;=GRID_TO)*('Dvd Calendar'!$W$1149&lt;=VAL_DATE)=0,"",'Dvd Calendar'!$W$1149*1000000000+ISNUMBER('Dvd Calendar'!$W$1152)*100000000+('Dvd Calendar'!$W$1154=SPECIAL_LBL)*10000000+0*1000000+4*1000+19))</f>
        <v/>
      </c>
      <c r="EX119" s="35">
        <f>IF(N('Dvd Calendar'!$X$1149)=0,"",IF(('Dvd Calendar'!$X$1149&gt;=GRID_FROM)*('Dvd Calendar'!$X$1149&lt;=GRID_TO)*('Dvd Calendar'!$X$1149&lt;=VAL_DATE)=0,"",'Dvd Calendar'!$X$1149*1000000000+ISNUMBER('Dvd Calendar'!$X$1152)*100000000+('Dvd Calendar'!$X$1154=SPECIAL_LBL)*10000000+0*1000000+4*1000+20))</f>
        <v/>
      </c>
      <c r="EY119" s="35">
        <f>IF(N('Dvd Calendar'!$Y$1149)=0,"",IF(('Dvd Calendar'!$Y$1149&gt;=GRID_FROM)*('Dvd Calendar'!$Y$1149&lt;=GRID_TO)*('Dvd Calendar'!$Y$1149&lt;=VAL_DATE)=0,"",'Dvd Calendar'!$Y$1149*1000000000+ISNUMBER('Dvd Calendar'!$Y$1152)*100000000+('Dvd Calendar'!$Y$1154=SPECIAL_LBL)*10000000+0*1000000+4*1000+21))</f>
        <v/>
      </c>
      <c r="EZ119" s="35">
        <f>IF(N('Dvd Calendar'!$Z$1149)=0,"",IF(('Dvd Calendar'!$Z$1149&gt;=GRID_FROM)*('Dvd Calendar'!$Z$1149&lt;=GRID_TO)*('Dvd Calendar'!$Z$1149&lt;=VAL_DATE)=0,"",'Dvd Calendar'!$Z$1149*1000000000+ISNUMBER('Dvd Calendar'!$Z$1152)*100000000+('Dvd Calendar'!$Z$1154=SPECIAL_LBL)*10000000+0*1000000+4*1000+22))</f>
        <v/>
      </c>
      <c r="FA119" s="35">
        <f>IF(N('Dvd Calendar'!$AA$1149)=0,"",IF(('Dvd Calendar'!$AA$1149&gt;=GRID_FROM)*('Dvd Calendar'!$AA$1149&lt;=GRID_TO)*('Dvd Calendar'!$AA$1149&lt;=VAL_DATE)=0,"",'Dvd Calendar'!$AA$1149*1000000000+ISNUMBER('Dvd Calendar'!$AA$1152)*100000000+('Dvd Calendar'!$AA$1154=SPECIAL_LBL)*10000000+0*1000000+4*1000+23))</f>
        <v/>
      </c>
      <c r="FB119" s="35">
        <f>IF(N('Dvd Calendar'!$AB$1149)=0,"",IF(('Dvd Calendar'!$AB$1149&gt;=GRID_FROM)*('Dvd Calendar'!$AB$1149&lt;=GRID_TO)*('Dvd Calendar'!$AB$1149&lt;=VAL_DATE)=0,"",'Dvd Calendar'!$AB$1149*1000000000+ISNUMBER('Dvd Calendar'!$AB$1152)*100000000+('Dvd Calendar'!$AB$1154=SPECIAL_LBL)*10000000+0*1000000+4*1000+24))</f>
        <v/>
      </c>
      <c r="FC119" s="35">
        <f>IF(N('Dvd Calendar'!$AC$1149)=0,"",IF(('Dvd Calendar'!$AC$1149&gt;=GRID_FROM)*('Dvd Calendar'!$AC$1149&lt;=GRID_TO)*('Dvd Calendar'!$AC$1149&lt;=VAL_DATE)=0,"",'Dvd Calendar'!$AC$1149*1000000000+ISNUMBER('Dvd Calendar'!$AC$1152)*100000000+('Dvd Calendar'!$AC$1154=SPECIAL_LBL)*10000000+0*1000000+4*1000+25))</f>
        <v/>
      </c>
      <c r="FD119" s="35">
        <f>IF(N('Dvd Calendar'!$AD$1149)=0,"",IF(('Dvd Calendar'!$AD$1149&gt;=GRID_FROM)*('Dvd Calendar'!$AD$1149&lt;=GRID_TO)*('Dvd Calendar'!$AD$1149&lt;=VAL_DATE)=0,"",'Dvd Calendar'!$AD$1149*1000000000+ISNUMBER('Dvd Calendar'!$AD$1152)*100000000+('Dvd Calendar'!$AD$1154=SPECIAL_LBL)*10000000+0*1000000+4*1000+26))</f>
        <v/>
      </c>
      <c r="FE119" s="35">
        <f>IF(N('Dvd Calendar'!$AE$1149)=0,"",IF(('Dvd Calendar'!$AE$1149&gt;=GRID_FROM)*('Dvd Calendar'!$AE$1149&lt;=GRID_TO)*('Dvd Calendar'!$AE$1149&lt;=VAL_DATE)=0,"",'Dvd Calendar'!$AE$1149*1000000000+ISNUMBER('Dvd Calendar'!$AE$1152)*100000000+('Dvd Calendar'!$AE$1154=SPECIAL_LBL)*10000000+0*1000000+4*1000+27))</f>
        <v/>
      </c>
      <c r="FF119" s="35">
        <f>IF(N('Dvd Calendar'!$AF$1149)=0,"",IF(('Dvd Calendar'!$AF$1149&gt;=GRID_FROM)*('Dvd Calendar'!$AF$1149&lt;=GRID_TO)*('Dvd Calendar'!$AF$1149&lt;=VAL_DATE)=0,"",'Dvd Calendar'!$AF$1149*1000000000+ISNUMBER('Dvd Calendar'!$AF$1152)*100000000+('Dvd Calendar'!$AF$1154=SPECIAL_LBL)*10000000+0*1000000+4*1000+28))</f>
        <v/>
      </c>
      <c r="FG119" s="35">
        <f>IF(N('Dvd Calendar'!$AG$1149)=0,"",IF(('Dvd Calendar'!$AG$1149&gt;=GRID_FROM)*('Dvd Calendar'!$AG$1149&lt;=GRID_TO)*('Dvd Calendar'!$AG$1149&lt;=VAL_DATE)=0,"",'Dvd Calendar'!$AG$1149*1000000000+ISNUMBER('Dvd Calendar'!$AG$1152)*100000000+('Dvd Calendar'!$AG$1154=SPECIAL_LBL)*10000000+0*1000000+4*1000+29))</f>
        <v/>
      </c>
      <c r="FH119" s="35">
        <f>IF(N('Dvd Calendar'!$AH$1149)=0,"",IF(('Dvd Calendar'!$AH$1149&gt;=GRID_FROM)*('Dvd Calendar'!$AH$1149&lt;=GRID_TO)*('Dvd Calendar'!$AH$1149&lt;=VAL_DATE)=0,"",'Dvd Calendar'!$AH$1149*1000000000+ISNUMBER('Dvd Calendar'!$AH$1152)*100000000+('Dvd Calendar'!$AH$1154=SPECIAL_LBL)*10000000+0*1000000+4*1000+30))</f>
        <v/>
      </c>
      <c r="FI119" s="35">
        <f>IF(N('Dvd Calendar'!$AI$1149)=0,"",IF(('Dvd Calendar'!$AI$1149&gt;=GRID_FROM)*('Dvd Calendar'!$AI$1149&lt;=GRID_TO)*('Dvd Calendar'!$AI$1149&lt;=VAL_DATE)=0,"",'Dvd Calendar'!$AI$1149*1000000000+ISNUMBER('Dvd Calendar'!$AI$1152)*100000000+('Dvd Calendar'!$AI$1154=SPECIAL_LBL)*10000000+0*1000000+4*1000+31))</f>
        <v/>
      </c>
      <c r="FJ119" s="35">
        <f>IF(N('Dvd Calendar'!$AJ$1149)=0,"",IF(('Dvd Calendar'!$AJ$1149&gt;=GRID_FROM)*('Dvd Calendar'!$AJ$1149&lt;=GRID_TO)*('Dvd Calendar'!$AJ$1149&lt;=VAL_DATE)=0,"",'Dvd Calendar'!$AJ$1149*1000000000+ISNUMBER('Dvd Calendar'!$AJ$1152)*100000000+('Dvd Calendar'!$AJ$1154=SPECIAL_LBL)*10000000+0*1000000+4*1000+32))</f>
        <v/>
      </c>
      <c r="FK119" s="35">
        <f>IF(N('Dvd Calendar'!$AK$1149)=0,"",IF(('Dvd Calendar'!$AK$1149&gt;=GRID_FROM)*('Dvd Calendar'!$AK$1149&lt;=GRID_TO)*('Dvd Calendar'!$AK$1149&lt;=VAL_DATE)=0,"",'Dvd Calendar'!$AK$1149*1000000000+ISNUMBER('Dvd Calendar'!$AK$1152)*100000000+('Dvd Calendar'!$AK$1154=SPECIAL_LBL)*10000000+0*1000000+4*1000+33))</f>
        <v/>
      </c>
      <c r="FL119" s="35">
        <f>IF(N('Dvd Calendar'!$AL$1149)=0,"",IF(('Dvd Calendar'!$AL$1149&gt;=GRID_FROM)*('Dvd Calendar'!$AL$1149&lt;=GRID_TO)*('Dvd Calendar'!$AL$1149&lt;=VAL_DATE)=0,"",'Dvd Calendar'!$AL$1149*1000000000+ISNUMBER('Dvd Calendar'!$AL$1152)*100000000+('Dvd Calendar'!$AL$1154=SPECIAL_LBL)*10000000+0*1000000+4*1000+34))</f>
        <v/>
      </c>
      <c r="FM119" s="35">
        <f>IF(N('Dvd Calendar'!$AM$1149)=0,"",IF(('Dvd Calendar'!$AM$1149&gt;=GRID_FROM)*('Dvd Calendar'!$AM$1149&lt;=GRID_TO)*('Dvd Calendar'!$AM$1149&lt;=VAL_DATE)=0,"",'Dvd Calendar'!$AM$1149*1000000000+ISNUMBER('Dvd Calendar'!$AM$1152)*100000000+('Dvd Calendar'!$AM$1154=SPECIAL_LBL)*10000000+0*1000000+4*1000+35))</f>
        <v/>
      </c>
      <c r="FN119" s="35">
        <f>IF(N('Dvd Calendar'!$AN$1149)=0,"",IF(('Dvd Calendar'!$AN$1149&gt;=GRID_FROM)*('Dvd Calendar'!$AN$1149&lt;=GRID_TO)*('Dvd Calendar'!$AN$1149&lt;=VAL_DATE)=0,"",'Dvd Calendar'!$AN$1149*1000000000+ISNUMBER('Dvd Calendar'!$AN$1152)*100000000+('Dvd Calendar'!$AN$1154=SPECIAL_LBL)*10000000+0*1000000+4*1000+36))</f>
        <v/>
      </c>
      <c r="FO119" s="35">
        <f>IF(N('Dvd Calendar'!$AO$1149)=0,"",IF(('Dvd Calendar'!$AO$1149&gt;=GRID_FROM)*('Dvd Calendar'!$AO$1149&lt;=GRID_TO)*('Dvd Calendar'!$AO$1149&lt;=VAL_DATE)=0,"",'Dvd Calendar'!$AO$1149*1000000000+ISNUMBER('Dvd Calendar'!$AO$1152)*100000000+('Dvd Calendar'!$AO$1154=SPECIAL_LBL)*10000000+0*1000000+4*1000+37))</f>
        <v/>
      </c>
      <c r="FP119" s="35">
        <f>IF(N('Dvd Calendar'!$AP$1149)=0,"",IF(('Dvd Calendar'!$AP$1149&gt;=GRID_FROM)*('Dvd Calendar'!$AP$1149&lt;=GRID_TO)*('Dvd Calendar'!$AP$1149&lt;=VAL_DATE)=0,"",'Dvd Calendar'!$AP$1149*1000000000+ISNUMBER('Dvd Calendar'!$AP$1152)*100000000+('Dvd Calendar'!$AP$1154=SPECIAL_LBL)*10000000+0*1000000+4*1000+38))</f>
        <v/>
      </c>
      <c r="FQ119" s="35">
        <f>IF(N('Dvd Calendar'!$AQ$1149)=0,"",IF(('Dvd Calendar'!$AQ$1149&gt;=GRID_FROM)*('Dvd Calendar'!$AQ$1149&lt;=GRID_TO)*('Dvd Calendar'!$AQ$1149&lt;=VAL_DATE)=0,"",'Dvd Calendar'!$AQ$1149*1000000000+ISNUMBER('Dvd Calendar'!$AQ$1152)*100000000+('Dvd Calendar'!$AQ$1154=SPECIAL_LBL)*10000000+0*1000000+4*1000+39))</f>
        <v/>
      </c>
      <c r="FR119" s="35">
        <f>IF(N('Dvd Calendar'!$AR$1149)=0,"",IF(('Dvd Calendar'!$AR$1149&gt;=GRID_FROM)*('Dvd Calendar'!$AR$1149&lt;=GRID_TO)*('Dvd Calendar'!$AR$1149&lt;=VAL_DATE)=0,"",'Dvd Calendar'!$AR$1149*1000000000+ISNUMBER('Dvd Calendar'!$AR$1152)*100000000+('Dvd Calendar'!$AR$1154=SPECIAL_LBL)*10000000+0*1000000+4*1000+40))</f>
        <v/>
      </c>
      <c r="FS119" s="35">
        <f>IF(N('Dvd Calendar'!$E$1156)=0,"",IF(('Dvd Calendar'!$E$1156&gt;=GRID_FROM)*('Dvd Calendar'!$E$1156&lt;=GRID_TO)*('Dvd Calendar'!$E$1156&gt;VAL_DATE)=0,"",'Dvd Calendar'!$E$1156*1000000000+ISNUMBER('Dvd Calendar'!$E$1157)*100000000+0*10000000+(N('Dvd Calendar'!$E$1155)&gt;0)*(N('Dvd Calendar'!$E$1155)&lt;=VAL_SERIAL)*1000000+4*1000+41))</f>
        <v/>
      </c>
      <c r="FT119" s="35">
        <f>IF(N('Dvd Calendar'!$F$1156)=0,"",IF(('Dvd Calendar'!$F$1156&gt;=GRID_FROM)*('Dvd Calendar'!$F$1156&lt;=GRID_TO)*('Dvd Calendar'!$F$1156&gt;VAL_DATE)=0,"",'Dvd Calendar'!$F$1156*1000000000+ISNUMBER('Dvd Calendar'!$F$1157)*100000000+0*10000000+(N('Dvd Calendar'!$F$1155)&gt;0)*(N('Dvd Calendar'!$F$1155)&lt;=VAL_SERIAL)*1000000+4*1000+42))</f>
        <v/>
      </c>
      <c r="FU119" s="35">
        <f>IF(N('Dvd Calendar'!$G$1156)=0,"",IF(('Dvd Calendar'!$G$1156&gt;=GRID_FROM)*('Dvd Calendar'!$G$1156&lt;=GRID_TO)*('Dvd Calendar'!$G$1156&gt;VAL_DATE)=0,"",'Dvd Calendar'!$G$1156*1000000000+ISNUMBER('Dvd Calendar'!$G$1157)*100000000+0*10000000+(N('Dvd Calendar'!$G$1155)&gt;0)*(N('Dvd Calendar'!$G$1155)&lt;=VAL_SERIAL)*1000000+4*1000+43))</f>
        <v/>
      </c>
      <c r="FV119" s="35">
        <f>IF(N('Dvd Calendar'!$H$1156)=0,"",IF(('Dvd Calendar'!$H$1156&gt;=GRID_FROM)*('Dvd Calendar'!$H$1156&lt;=GRID_TO)*('Dvd Calendar'!$H$1156&gt;VAL_DATE)=0,"",'Dvd Calendar'!$H$1156*1000000000+ISNUMBER('Dvd Calendar'!$H$1157)*100000000+0*10000000+(N('Dvd Calendar'!$H$1155)&gt;0)*(N('Dvd Calendar'!$H$1155)&lt;=VAL_SERIAL)*1000000+4*1000+44))</f>
        <v/>
      </c>
      <c r="FW119" s="35">
        <f>IF(N('Dvd Calendar'!$I$1156)=0,"",IF(('Dvd Calendar'!$I$1156&gt;=GRID_FROM)*('Dvd Calendar'!$I$1156&lt;=GRID_TO)*('Dvd Calendar'!$I$1156&gt;VAL_DATE)=0,"",'Dvd Calendar'!$I$1156*1000000000+ISNUMBER('Dvd Calendar'!$I$1157)*100000000+0*10000000+(N('Dvd Calendar'!$I$1155)&gt;0)*(N('Dvd Calendar'!$I$1155)&lt;=VAL_SERIAL)*1000000+4*1000+45))</f>
        <v/>
      </c>
      <c r="FX119" s="35">
        <f>IF(N('Dvd Calendar'!$J$1156)=0,"",IF(('Dvd Calendar'!$J$1156&gt;=GRID_FROM)*('Dvd Calendar'!$J$1156&lt;=GRID_TO)*('Dvd Calendar'!$J$1156&gt;VAL_DATE)=0,"",'Dvd Calendar'!$J$1156*1000000000+ISNUMBER('Dvd Calendar'!$J$1157)*100000000+0*10000000+(N('Dvd Calendar'!$J$1155)&gt;0)*(N('Dvd Calendar'!$J$1155)&lt;=VAL_SERIAL)*1000000+4*1000+46))</f>
        <v/>
      </c>
      <c r="FY119" s="35">
        <f>IF(N('Dvd Calendar'!$K$1156)=0,"",IF(('Dvd Calendar'!$K$1156&gt;=GRID_FROM)*('Dvd Calendar'!$K$1156&lt;=GRID_TO)*('Dvd Calendar'!$K$1156&gt;VAL_DATE)=0,"",'Dvd Calendar'!$K$1156*1000000000+ISNUMBER('Dvd Calendar'!$K$1157)*100000000+0*10000000+(N('Dvd Calendar'!$K$1155)&gt;0)*(N('Dvd Calendar'!$K$1155)&lt;=VAL_SERIAL)*1000000+4*1000+47))</f>
        <v/>
      </c>
      <c r="FZ119" s="35">
        <f>IF(N('Dvd Calendar'!$L$1156)=0,"",IF(('Dvd Calendar'!$L$1156&gt;=GRID_FROM)*('Dvd Calendar'!$L$1156&lt;=GRID_TO)*('Dvd Calendar'!$L$1156&gt;VAL_DATE)=0,"",'Dvd Calendar'!$L$1156*1000000000+ISNUMBER('Dvd Calendar'!$L$1157)*100000000+0*10000000+(N('Dvd Calendar'!$L$1155)&gt;0)*(N('Dvd Calendar'!$L$1155)&lt;=VAL_SERIAL)*1000000+4*1000+48))</f>
        <v/>
      </c>
      <c r="GA119" s="35">
        <f>IF(N('Dvd Calendar'!$M$1156)=0,"",IF(('Dvd Calendar'!$M$1156&gt;=GRID_FROM)*('Dvd Calendar'!$M$1156&lt;=GRID_TO)*('Dvd Calendar'!$M$1156&gt;VAL_DATE)=0,"",'Dvd Calendar'!$M$1156*1000000000+ISNUMBER('Dvd Calendar'!$M$1157)*100000000+0*10000000+(N('Dvd Calendar'!$M$1155)&gt;0)*(N('Dvd Calendar'!$M$1155)&lt;=VAL_SERIAL)*1000000+4*1000+49))</f>
        <v/>
      </c>
      <c r="GB119" s="35">
        <f>IF(N('Dvd Calendar'!$N$1156)=0,"",IF(('Dvd Calendar'!$N$1156&gt;=GRID_FROM)*('Dvd Calendar'!$N$1156&lt;=GRID_TO)*('Dvd Calendar'!$N$1156&gt;VAL_DATE)=0,"",'Dvd Calendar'!$N$1156*1000000000+ISNUMBER('Dvd Calendar'!$N$1157)*100000000+0*10000000+(N('Dvd Calendar'!$N$1155)&gt;0)*(N('Dvd Calendar'!$N$1155)&lt;=VAL_SERIAL)*1000000+4*1000+50))</f>
        <v/>
      </c>
      <c r="GC119" s="35">
        <f>IF(N('Dvd Calendar'!$O$1156)=0,"",IF(('Dvd Calendar'!$O$1156&gt;=GRID_FROM)*('Dvd Calendar'!$O$1156&lt;=GRID_TO)*('Dvd Calendar'!$O$1156&gt;VAL_DATE)=0,"",'Dvd Calendar'!$O$1156*1000000000+ISNUMBER('Dvd Calendar'!$O$1157)*100000000+0*10000000+(N('Dvd Calendar'!$O$1155)&gt;0)*(N('Dvd Calendar'!$O$1155)&lt;=VAL_SERIAL)*1000000+4*1000+51))</f>
        <v/>
      </c>
      <c r="GD119" s="35">
        <f>IF(N('Dvd Calendar'!$P$1156)=0,"",IF(('Dvd Calendar'!$P$1156&gt;=GRID_FROM)*('Dvd Calendar'!$P$1156&lt;=GRID_TO)*('Dvd Calendar'!$P$1156&gt;VAL_DATE)=0,"",'Dvd Calendar'!$P$1156*1000000000+ISNUMBER('Dvd Calendar'!$P$1157)*100000000+0*10000000+(N('Dvd Calendar'!$P$1155)&gt;0)*(N('Dvd Calendar'!$P$1155)&lt;=VAL_SERIAL)*1000000+4*1000+52))</f>
        <v/>
      </c>
      <c r="GE119" s="35">
        <f>IF(N('Dvd Calendar'!$Q$1156)=0,"",IF(('Dvd Calendar'!$Q$1156&gt;=GRID_FROM)*('Dvd Calendar'!$Q$1156&lt;=GRID_TO)*('Dvd Calendar'!$Q$1156&gt;VAL_DATE)=0,"",'Dvd Calendar'!$Q$1156*1000000000+ISNUMBER('Dvd Calendar'!$Q$1157)*100000000+0*10000000+(N('Dvd Calendar'!$Q$1155)&gt;0)*(N('Dvd Calendar'!$Q$1155)&lt;=VAL_SERIAL)*1000000+4*1000+53))</f>
        <v/>
      </c>
      <c r="GF119" s="35">
        <f>IF(N('Dvd Calendar'!$R$1156)=0,"",IF(('Dvd Calendar'!$R$1156&gt;=GRID_FROM)*('Dvd Calendar'!$R$1156&lt;=GRID_TO)*('Dvd Calendar'!$R$1156&gt;VAL_DATE)=0,"",'Dvd Calendar'!$R$1156*1000000000+ISNUMBER('Dvd Calendar'!$R$1157)*100000000+0*10000000+(N('Dvd Calendar'!$R$1155)&gt;0)*(N('Dvd Calendar'!$R$1155)&lt;=VAL_SERIAL)*1000000+4*1000+54))</f>
        <v/>
      </c>
      <c r="GG119" s="35">
        <f>IF(N('Dvd Calendar'!$S$1156)=0,"",IF(('Dvd Calendar'!$S$1156&gt;=GRID_FROM)*('Dvd Calendar'!$S$1156&lt;=GRID_TO)*('Dvd Calendar'!$S$1156&gt;VAL_DATE)=0,"",'Dvd Calendar'!$S$1156*1000000000+ISNUMBER('Dvd Calendar'!$S$1157)*100000000+0*10000000+(N('Dvd Calendar'!$S$1155)&gt;0)*(N('Dvd Calendar'!$S$1155)&lt;=VAL_SERIAL)*1000000+4*1000+55))</f>
        <v/>
      </c>
      <c r="GH119" s="35">
        <f>IF(N('Dvd Calendar'!$T$1156)=0,"",IF(('Dvd Calendar'!$T$1156&gt;=GRID_FROM)*('Dvd Calendar'!$T$1156&lt;=GRID_TO)*('Dvd Calendar'!$T$1156&gt;VAL_DATE)=0,"",'Dvd Calendar'!$T$1156*1000000000+ISNUMBER('Dvd Calendar'!$T$1157)*100000000+0*10000000+(N('Dvd Calendar'!$T$1155)&gt;0)*(N('Dvd Calendar'!$T$1155)&lt;=VAL_SERIAL)*1000000+4*1000+56))</f>
        <v/>
      </c>
      <c r="GI119" s="35">
        <f>IF(N('Dvd Calendar'!$U$1156)=0,"",IF(('Dvd Calendar'!$U$1156&gt;=GRID_FROM)*('Dvd Calendar'!$U$1156&lt;=GRID_TO)*('Dvd Calendar'!$U$1156&gt;VAL_DATE)=0,"",'Dvd Calendar'!$U$1156*1000000000+ISNUMBER('Dvd Calendar'!$U$1157)*100000000+0*10000000+(N('Dvd Calendar'!$U$1155)&gt;0)*(N('Dvd Calendar'!$U$1155)&lt;=VAL_SERIAL)*1000000+4*1000+57))</f>
        <v/>
      </c>
      <c r="GJ119" s="35">
        <f>IF(N('Dvd Calendar'!$V$1156)=0,"",IF(('Dvd Calendar'!$V$1156&gt;=GRID_FROM)*('Dvd Calendar'!$V$1156&lt;=GRID_TO)*('Dvd Calendar'!$V$1156&gt;VAL_DATE)=0,"",'Dvd Calendar'!$V$1156*1000000000+ISNUMBER('Dvd Calendar'!$V$1157)*100000000+0*10000000+(N('Dvd Calendar'!$V$1155)&gt;0)*(N('Dvd Calendar'!$V$1155)&lt;=VAL_SERIAL)*1000000+4*1000+58))</f>
        <v/>
      </c>
      <c r="GK119" s="35">
        <f>IF(N('Dvd Calendar'!$W$1156)=0,"",IF(('Dvd Calendar'!$W$1156&gt;=GRID_FROM)*('Dvd Calendar'!$W$1156&lt;=GRID_TO)*('Dvd Calendar'!$W$1156&gt;VAL_DATE)=0,"",'Dvd Calendar'!$W$1156*1000000000+ISNUMBER('Dvd Calendar'!$W$1157)*100000000+0*10000000+(N('Dvd Calendar'!$W$1155)&gt;0)*(N('Dvd Calendar'!$W$1155)&lt;=VAL_SERIAL)*1000000+4*1000+59))</f>
        <v/>
      </c>
      <c r="GL119" s="35">
        <f>IF(N('Dvd Calendar'!$X$1156)=0,"",IF(('Dvd Calendar'!$X$1156&gt;=GRID_FROM)*('Dvd Calendar'!$X$1156&lt;=GRID_TO)*('Dvd Calendar'!$X$1156&gt;VAL_DATE)=0,"",'Dvd Calendar'!$X$1156*1000000000+ISNUMBER('Dvd Calendar'!$X$1157)*100000000+0*10000000+(N('Dvd Calendar'!$X$1155)&gt;0)*(N('Dvd Calendar'!$X$1155)&lt;=VAL_SERIAL)*1000000+4*1000+60))</f>
        <v/>
      </c>
      <c r="GM119" s="35">
        <f>IF(N('Dvd Calendar'!$Y$1156)=0,"",IF(('Dvd Calendar'!$Y$1156&gt;=GRID_FROM)*('Dvd Calendar'!$Y$1156&lt;=GRID_TO)*('Dvd Calendar'!$Y$1156&gt;VAL_DATE)=0,"",'Dvd Calendar'!$Y$1156*1000000000+ISNUMBER('Dvd Calendar'!$Y$1157)*100000000+0*10000000+(N('Dvd Calendar'!$Y$1155)&gt;0)*(N('Dvd Calendar'!$Y$1155)&lt;=VAL_SERIAL)*1000000+4*1000+61))</f>
        <v/>
      </c>
      <c r="GN119" s="35">
        <f>IF(N('Dvd Calendar'!$Z$1156)=0,"",IF(('Dvd Calendar'!$Z$1156&gt;=GRID_FROM)*('Dvd Calendar'!$Z$1156&lt;=GRID_TO)*('Dvd Calendar'!$Z$1156&gt;VAL_DATE)=0,"",'Dvd Calendar'!$Z$1156*1000000000+ISNUMBER('Dvd Calendar'!$Z$1157)*100000000+0*10000000+(N('Dvd Calendar'!$Z$1155)&gt;0)*(N('Dvd Calendar'!$Z$1155)&lt;=VAL_SERIAL)*1000000+4*1000+62))</f>
        <v/>
      </c>
      <c r="GO119" s="35">
        <f>IF(N('Dvd Calendar'!$AA$1156)=0,"",IF(('Dvd Calendar'!$AA$1156&gt;=GRID_FROM)*('Dvd Calendar'!$AA$1156&lt;=GRID_TO)*('Dvd Calendar'!$AA$1156&gt;VAL_DATE)=0,"",'Dvd Calendar'!$AA$1156*1000000000+ISNUMBER('Dvd Calendar'!$AA$1157)*100000000+0*10000000+(N('Dvd Calendar'!$AA$1155)&gt;0)*(N('Dvd Calendar'!$AA$1155)&lt;=VAL_SERIAL)*1000000+4*1000+63))</f>
        <v/>
      </c>
      <c r="GP119" s="35">
        <f>IF(N('Dvd Calendar'!$AB$1156)=0,"",IF(('Dvd Calendar'!$AB$1156&gt;=GRID_FROM)*('Dvd Calendar'!$AB$1156&lt;=GRID_TO)*('Dvd Calendar'!$AB$1156&gt;VAL_DATE)=0,"",'Dvd Calendar'!$AB$1156*1000000000+ISNUMBER('Dvd Calendar'!$AB$1157)*100000000+0*10000000+(N('Dvd Calendar'!$AB$1155)&gt;0)*(N('Dvd Calendar'!$AB$1155)&lt;=VAL_SERIAL)*1000000+4*1000+64))</f>
        <v/>
      </c>
      <c r="GQ119" s="35">
        <f>IF(N('Dvd Calendar'!$AC$1156)=0,"",IF(('Dvd Calendar'!$AC$1156&gt;=GRID_FROM)*('Dvd Calendar'!$AC$1156&lt;=GRID_TO)*('Dvd Calendar'!$AC$1156&gt;VAL_DATE)=0,"",'Dvd Calendar'!$AC$1156*1000000000+ISNUMBER('Dvd Calendar'!$AC$1157)*100000000+0*10000000+(N('Dvd Calendar'!$AC$1155)&gt;0)*(N('Dvd Calendar'!$AC$1155)&lt;=VAL_SERIAL)*1000000+4*1000+65))</f>
        <v/>
      </c>
    </row>
    <row r="120">
      <c r="B120" s="2">
        <f>IF(HSTECH!$C$11="","",HSTECH!$C$11)</f>
        <v/>
      </c>
      <c r="C120" s="106">
        <f>IF(EE120="","",IF(ISNUMBER('Dvd Calendar'!$E$1163)=FALSE,"",IF((('Dvd Calendar'!$E$1165=TYPE1)*(TYPE1&lt;&gt;"")+('Dvd Calendar'!$E$1165=TYPE2)*(TYPE2&lt;&gt;"")+('Dvd Calendar'!$E$1165=TYPE3)*(TYPE3&lt;&gt;"")+('Dvd Calendar'!$E$1165=TYPE4)*(TYPE4&lt;&gt;"")+('Dvd Calendar'!$E$1165=SPECIAL_LBL)*(INC_SPECIALS="Y"))=0,"",'Dvd Calendar'!$E$1163)))</f>
        <v/>
      </c>
      <c r="D120" s="106">
        <f>IF(EF120="","",IF(ISNUMBER('Dvd Calendar'!$F$1163)=FALSE,"",IF((('Dvd Calendar'!$F$1165=TYPE1)*(TYPE1&lt;&gt;"")+('Dvd Calendar'!$F$1165=TYPE2)*(TYPE2&lt;&gt;"")+('Dvd Calendar'!$F$1165=TYPE3)*(TYPE3&lt;&gt;"")+('Dvd Calendar'!$F$1165=TYPE4)*(TYPE4&lt;&gt;"")+('Dvd Calendar'!$F$1165=SPECIAL_LBL)*(INC_SPECIALS="Y"))=0,"",'Dvd Calendar'!$F$1163)))</f>
        <v/>
      </c>
      <c r="E120" s="106">
        <f>IF(EG120="","",IF(ISNUMBER('Dvd Calendar'!$G$1163)=FALSE,"",IF((('Dvd Calendar'!$G$1165=TYPE1)*(TYPE1&lt;&gt;"")+('Dvd Calendar'!$G$1165=TYPE2)*(TYPE2&lt;&gt;"")+('Dvd Calendar'!$G$1165=TYPE3)*(TYPE3&lt;&gt;"")+('Dvd Calendar'!$G$1165=TYPE4)*(TYPE4&lt;&gt;"")+('Dvd Calendar'!$G$1165=SPECIAL_LBL)*(INC_SPECIALS="Y"))=0,"",'Dvd Calendar'!$G$1163)))</f>
        <v/>
      </c>
      <c r="F120" s="106">
        <f>IF(EH120="","",IF(ISNUMBER('Dvd Calendar'!$H$1163)=FALSE,"",IF((('Dvd Calendar'!$H$1165=TYPE1)*(TYPE1&lt;&gt;"")+('Dvd Calendar'!$H$1165=TYPE2)*(TYPE2&lt;&gt;"")+('Dvd Calendar'!$H$1165=TYPE3)*(TYPE3&lt;&gt;"")+('Dvd Calendar'!$H$1165=TYPE4)*(TYPE4&lt;&gt;"")+('Dvd Calendar'!$H$1165=SPECIAL_LBL)*(INC_SPECIALS="Y"))=0,"",'Dvd Calendar'!$H$1163)))</f>
        <v/>
      </c>
      <c r="G120" s="106">
        <f>IF(EI120="","",IF(ISNUMBER('Dvd Calendar'!$I$1163)=FALSE,"",IF((('Dvd Calendar'!$I$1165=TYPE1)*(TYPE1&lt;&gt;"")+('Dvd Calendar'!$I$1165=TYPE2)*(TYPE2&lt;&gt;"")+('Dvd Calendar'!$I$1165=TYPE3)*(TYPE3&lt;&gt;"")+('Dvd Calendar'!$I$1165=TYPE4)*(TYPE4&lt;&gt;"")+('Dvd Calendar'!$I$1165=SPECIAL_LBL)*(INC_SPECIALS="Y"))=0,"",'Dvd Calendar'!$I$1163)))</f>
        <v/>
      </c>
      <c r="H120" s="106">
        <f>IF(EJ120="","",IF(ISNUMBER('Dvd Calendar'!$J$1163)=FALSE,"",IF((('Dvd Calendar'!$J$1165=TYPE1)*(TYPE1&lt;&gt;"")+('Dvd Calendar'!$J$1165=TYPE2)*(TYPE2&lt;&gt;"")+('Dvd Calendar'!$J$1165=TYPE3)*(TYPE3&lt;&gt;"")+('Dvd Calendar'!$J$1165=TYPE4)*(TYPE4&lt;&gt;"")+('Dvd Calendar'!$J$1165=SPECIAL_LBL)*(INC_SPECIALS="Y"))=0,"",'Dvd Calendar'!$J$1163)))</f>
        <v/>
      </c>
      <c r="I120" s="106">
        <f>IF(EK120="","",IF(ISNUMBER('Dvd Calendar'!$K$1163)=FALSE,"",IF((('Dvd Calendar'!$K$1165=TYPE1)*(TYPE1&lt;&gt;"")+('Dvd Calendar'!$K$1165=TYPE2)*(TYPE2&lt;&gt;"")+('Dvd Calendar'!$K$1165=TYPE3)*(TYPE3&lt;&gt;"")+('Dvd Calendar'!$K$1165=TYPE4)*(TYPE4&lt;&gt;"")+('Dvd Calendar'!$K$1165=SPECIAL_LBL)*(INC_SPECIALS="Y"))=0,"",'Dvd Calendar'!$K$1163)))</f>
        <v/>
      </c>
      <c r="J120" s="106">
        <f>IF(EL120="","",IF(ISNUMBER('Dvd Calendar'!$L$1163)=FALSE,"",IF((('Dvd Calendar'!$L$1165=TYPE1)*(TYPE1&lt;&gt;"")+('Dvd Calendar'!$L$1165=TYPE2)*(TYPE2&lt;&gt;"")+('Dvd Calendar'!$L$1165=TYPE3)*(TYPE3&lt;&gt;"")+('Dvd Calendar'!$L$1165=TYPE4)*(TYPE4&lt;&gt;"")+('Dvd Calendar'!$L$1165=SPECIAL_LBL)*(INC_SPECIALS="Y"))=0,"",'Dvd Calendar'!$L$1163)))</f>
        <v/>
      </c>
      <c r="K120" s="106">
        <f>IF(EM120="","",IF(ISNUMBER('Dvd Calendar'!$M$1163)=FALSE,"",IF((('Dvd Calendar'!$M$1165=TYPE1)*(TYPE1&lt;&gt;"")+('Dvd Calendar'!$M$1165=TYPE2)*(TYPE2&lt;&gt;"")+('Dvd Calendar'!$M$1165=TYPE3)*(TYPE3&lt;&gt;"")+('Dvd Calendar'!$M$1165=TYPE4)*(TYPE4&lt;&gt;"")+('Dvd Calendar'!$M$1165=SPECIAL_LBL)*(INC_SPECIALS="Y"))=0,"",'Dvd Calendar'!$M$1163)))</f>
        <v/>
      </c>
      <c r="L120" s="106">
        <f>IF(EN120="","",IF(ISNUMBER('Dvd Calendar'!$N$1163)=FALSE,"",IF((('Dvd Calendar'!$N$1165=TYPE1)*(TYPE1&lt;&gt;"")+('Dvd Calendar'!$N$1165=TYPE2)*(TYPE2&lt;&gt;"")+('Dvd Calendar'!$N$1165=TYPE3)*(TYPE3&lt;&gt;"")+('Dvd Calendar'!$N$1165=TYPE4)*(TYPE4&lt;&gt;"")+('Dvd Calendar'!$N$1165=SPECIAL_LBL)*(INC_SPECIALS="Y"))=0,"",'Dvd Calendar'!$N$1163)))</f>
        <v/>
      </c>
      <c r="M120" s="106">
        <f>IF(EO120="","",IF(ISNUMBER('Dvd Calendar'!$O$1163)=FALSE,"",IF((('Dvd Calendar'!$O$1165=TYPE1)*(TYPE1&lt;&gt;"")+('Dvd Calendar'!$O$1165=TYPE2)*(TYPE2&lt;&gt;"")+('Dvd Calendar'!$O$1165=TYPE3)*(TYPE3&lt;&gt;"")+('Dvd Calendar'!$O$1165=TYPE4)*(TYPE4&lt;&gt;"")+('Dvd Calendar'!$O$1165=SPECIAL_LBL)*(INC_SPECIALS="Y"))=0,"",'Dvd Calendar'!$O$1163)))</f>
        <v/>
      </c>
      <c r="N120" s="106">
        <f>IF(EP120="","",IF(ISNUMBER('Dvd Calendar'!$P$1163)=FALSE,"",IF((('Dvd Calendar'!$P$1165=TYPE1)*(TYPE1&lt;&gt;"")+('Dvd Calendar'!$P$1165=TYPE2)*(TYPE2&lt;&gt;"")+('Dvd Calendar'!$P$1165=TYPE3)*(TYPE3&lt;&gt;"")+('Dvd Calendar'!$P$1165=TYPE4)*(TYPE4&lt;&gt;"")+('Dvd Calendar'!$P$1165=SPECIAL_LBL)*(INC_SPECIALS="Y"))=0,"",'Dvd Calendar'!$P$1163)))</f>
        <v/>
      </c>
      <c r="O120" s="106">
        <f>IF(EQ120="","",IF(ISNUMBER('Dvd Calendar'!$Q$1163)=FALSE,"",IF((('Dvd Calendar'!$Q$1165=TYPE1)*(TYPE1&lt;&gt;"")+('Dvd Calendar'!$Q$1165=TYPE2)*(TYPE2&lt;&gt;"")+('Dvd Calendar'!$Q$1165=TYPE3)*(TYPE3&lt;&gt;"")+('Dvd Calendar'!$Q$1165=TYPE4)*(TYPE4&lt;&gt;"")+('Dvd Calendar'!$Q$1165=SPECIAL_LBL)*(INC_SPECIALS="Y"))=0,"",'Dvd Calendar'!$Q$1163)))</f>
        <v/>
      </c>
      <c r="P120" s="106">
        <f>IF(ER120="","",IF(ISNUMBER('Dvd Calendar'!$R$1163)=FALSE,"",IF((('Dvd Calendar'!$R$1165=TYPE1)*(TYPE1&lt;&gt;"")+('Dvd Calendar'!$R$1165=TYPE2)*(TYPE2&lt;&gt;"")+('Dvd Calendar'!$R$1165=TYPE3)*(TYPE3&lt;&gt;"")+('Dvd Calendar'!$R$1165=TYPE4)*(TYPE4&lt;&gt;"")+('Dvd Calendar'!$R$1165=SPECIAL_LBL)*(INC_SPECIALS="Y"))=0,"",'Dvd Calendar'!$R$1163)))</f>
        <v/>
      </c>
      <c r="Q120" s="106">
        <f>IF(ES120="","",IF(ISNUMBER('Dvd Calendar'!$S$1163)=FALSE,"",IF((('Dvd Calendar'!$S$1165=TYPE1)*(TYPE1&lt;&gt;"")+('Dvd Calendar'!$S$1165=TYPE2)*(TYPE2&lt;&gt;"")+('Dvd Calendar'!$S$1165=TYPE3)*(TYPE3&lt;&gt;"")+('Dvd Calendar'!$S$1165=TYPE4)*(TYPE4&lt;&gt;"")+('Dvd Calendar'!$S$1165=SPECIAL_LBL)*(INC_SPECIALS="Y"))=0,"",'Dvd Calendar'!$S$1163)))</f>
        <v/>
      </c>
      <c r="R120" s="106">
        <f>IF(ET120="","",IF(ISNUMBER('Dvd Calendar'!$T$1163)=FALSE,"",IF((('Dvd Calendar'!$T$1165=TYPE1)*(TYPE1&lt;&gt;"")+('Dvd Calendar'!$T$1165=TYPE2)*(TYPE2&lt;&gt;"")+('Dvd Calendar'!$T$1165=TYPE3)*(TYPE3&lt;&gt;"")+('Dvd Calendar'!$T$1165=TYPE4)*(TYPE4&lt;&gt;"")+('Dvd Calendar'!$T$1165=SPECIAL_LBL)*(INC_SPECIALS="Y"))=0,"",'Dvd Calendar'!$T$1163)))</f>
        <v/>
      </c>
      <c r="S120" s="106">
        <f>IF(EU120="","",IF(ISNUMBER('Dvd Calendar'!$U$1163)=FALSE,"",IF((('Dvd Calendar'!$U$1165=TYPE1)*(TYPE1&lt;&gt;"")+('Dvd Calendar'!$U$1165=TYPE2)*(TYPE2&lt;&gt;"")+('Dvd Calendar'!$U$1165=TYPE3)*(TYPE3&lt;&gt;"")+('Dvd Calendar'!$U$1165=TYPE4)*(TYPE4&lt;&gt;"")+('Dvd Calendar'!$U$1165=SPECIAL_LBL)*(INC_SPECIALS="Y"))=0,"",'Dvd Calendar'!$U$1163)))</f>
        <v/>
      </c>
      <c r="T120" s="106">
        <f>IF(EV120="","",IF(ISNUMBER('Dvd Calendar'!$V$1163)=FALSE,"",IF((('Dvd Calendar'!$V$1165=TYPE1)*(TYPE1&lt;&gt;"")+('Dvd Calendar'!$V$1165=TYPE2)*(TYPE2&lt;&gt;"")+('Dvd Calendar'!$V$1165=TYPE3)*(TYPE3&lt;&gt;"")+('Dvd Calendar'!$V$1165=TYPE4)*(TYPE4&lt;&gt;"")+('Dvd Calendar'!$V$1165=SPECIAL_LBL)*(INC_SPECIALS="Y"))=0,"",'Dvd Calendar'!$V$1163)))</f>
        <v/>
      </c>
      <c r="U120" s="106">
        <f>IF(EW120="","",IF(ISNUMBER('Dvd Calendar'!$W$1163)=FALSE,"",IF((('Dvd Calendar'!$W$1165=TYPE1)*(TYPE1&lt;&gt;"")+('Dvd Calendar'!$W$1165=TYPE2)*(TYPE2&lt;&gt;"")+('Dvd Calendar'!$W$1165=TYPE3)*(TYPE3&lt;&gt;"")+('Dvd Calendar'!$W$1165=TYPE4)*(TYPE4&lt;&gt;"")+('Dvd Calendar'!$W$1165=SPECIAL_LBL)*(INC_SPECIALS="Y"))=0,"",'Dvd Calendar'!$W$1163)))</f>
        <v/>
      </c>
      <c r="V120" s="106">
        <f>IF(EX120="","",IF(ISNUMBER('Dvd Calendar'!$X$1163)=FALSE,"",IF((('Dvd Calendar'!$X$1165=TYPE1)*(TYPE1&lt;&gt;"")+('Dvd Calendar'!$X$1165=TYPE2)*(TYPE2&lt;&gt;"")+('Dvd Calendar'!$X$1165=TYPE3)*(TYPE3&lt;&gt;"")+('Dvd Calendar'!$X$1165=TYPE4)*(TYPE4&lt;&gt;"")+('Dvd Calendar'!$X$1165=SPECIAL_LBL)*(INC_SPECIALS="Y"))=0,"",'Dvd Calendar'!$X$1163)))</f>
        <v/>
      </c>
      <c r="W120" s="106">
        <f>IF(EY120="","",IF(ISNUMBER('Dvd Calendar'!$Y$1163)=FALSE,"",IF((('Dvd Calendar'!$Y$1165=TYPE1)*(TYPE1&lt;&gt;"")+('Dvd Calendar'!$Y$1165=TYPE2)*(TYPE2&lt;&gt;"")+('Dvd Calendar'!$Y$1165=TYPE3)*(TYPE3&lt;&gt;"")+('Dvd Calendar'!$Y$1165=TYPE4)*(TYPE4&lt;&gt;"")+('Dvd Calendar'!$Y$1165=SPECIAL_LBL)*(INC_SPECIALS="Y"))=0,"",'Dvd Calendar'!$Y$1163)))</f>
        <v/>
      </c>
      <c r="X120" s="106">
        <f>IF(EZ120="","",IF(ISNUMBER('Dvd Calendar'!$Z$1163)=FALSE,"",IF((('Dvd Calendar'!$Z$1165=TYPE1)*(TYPE1&lt;&gt;"")+('Dvd Calendar'!$Z$1165=TYPE2)*(TYPE2&lt;&gt;"")+('Dvd Calendar'!$Z$1165=TYPE3)*(TYPE3&lt;&gt;"")+('Dvd Calendar'!$Z$1165=TYPE4)*(TYPE4&lt;&gt;"")+('Dvd Calendar'!$Z$1165=SPECIAL_LBL)*(INC_SPECIALS="Y"))=0,"",'Dvd Calendar'!$Z$1163)))</f>
        <v/>
      </c>
      <c r="Y120" s="106">
        <f>IF(FA120="","",IF(ISNUMBER('Dvd Calendar'!$AA$1163)=FALSE,"",IF((('Dvd Calendar'!$AA$1165=TYPE1)*(TYPE1&lt;&gt;"")+('Dvd Calendar'!$AA$1165=TYPE2)*(TYPE2&lt;&gt;"")+('Dvd Calendar'!$AA$1165=TYPE3)*(TYPE3&lt;&gt;"")+('Dvd Calendar'!$AA$1165=TYPE4)*(TYPE4&lt;&gt;"")+('Dvd Calendar'!$AA$1165=SPECIAL_LBL)*(INC_SPECIALS="Y"))=0,"",'Dvd Calendar'!$AA$1163)))</f>
        <v/>
      </c>
      <c r="Z120" s="106">
        <f>IF(FB120="","",IF(ISNUMBER('Dvd Calendar'!$AB$1163)=FALSE,"",IF((('Dvd Calendar'!$AB$1165=TYPE1)*(TYPE1&lt;&gt;"")+('Dvd Calendar'!$AB$1165=TYPE2)*(TYPE2&lt;&gt;"")+('Dvd Calendar'!$AB$1165=TYPE3)*(TYPE3&lt;&gt;"")+('Dvd Calendar'!$AB$1165=TYPE4)*(TYPE4&lt;&gt;"")+('Dvd Calendar'!$AB$1165=SPECIAL_LBL)*(INC_SPECIALS="Y"))=0,"",'Dvd Calendar'!$AB$1163)))</f>
        <v/>
      </c>
      <c r="AA120" s="106">
        <f>IF(FC120="","",IF(ISNUMBER('Dvd Calendar'!$AC$1163)=FALSE,"",IF((('Dvd Calendar'!$AC$1165=TYPE1)*(TYPE1&lt;&gt;"")+('Dvd Calendar'!$AC$1165=TYPE2)*(TYPE2&lt;&gt;"")+('Dvd Calendar'!$AC$1165=TYPE3)*(TYPE3&lt;&gt;"")+('Dvd Calendar'!$AC$1165=TYPE4)*(TYPE4&lt;&gt;"")+('Dvd Calendar'!$AC$1165=SPECIAL_LBL)*(INC_SPECIALS="Y"))=0,"",'Dvd Calendar'!$AC$1163)))</f>
        <v/>
      </c>
      <c r="AB120" s="106">
        <f>IF(FD120="","",IF(ISNUMBER('Dvd Calendar'!$AD$1163)=FALSE,"",IF((('Dvd Calendar'!$AD$1165=TYPE1)*(TYPE1&lt;&gt;"")+('Dvd Calendar'!$AD$1165=TYPE2)*(TYPE2&lt;&gt;"")+('Dvd Calendar'!$AD$1165=TYPE3)*(TYPE3&lt;&gt;"")+('Dvd Calendar'!$AD$1165=TYPE4)*(TYPE4&lt;&gt;"")+('Dvd Calendar'!$AD$1165=SPECIAL_LBL)*(INC_SPECIALS="Y"))=0,"",'Dvd Calendar'!$AD$1163)))</f>
        <v/>
      </c>
      <c r="AC120" s="106">
        <f>IF(FE120="","",IF(ISNUMBER('Dvd Calendar'!$AE$1163)=FALSE,"",IF((('Dvd Calendar'!$AE$1165=TYPE1)*(TYPE1&lt;&gt;"")+('Dvd Calendar'!$AE$1165=TYPE2)*(TYPE2&lt;&gt;"")+('Dvd Calendar'!$AE$1165=TYPE3)*(TYPE3&lt;&gt;"")+('Dvd Calendar'!$AE$1165=TYPE4)*(TYPE4&lt;&gt;"")+('Dvd Calendar'!$AE$1165=SPECIAL_LBL)*(INC_SPECIALS="Y"))=0,"",'Dvd Calendar'!$AE$1163)))</f>
        <v/>
      </c>
      <c r="AD120" s="106">
        <f>IF(FF120="","",IF(ISNUMBER('Dvd Calendar'!$AF$1163)=FALSE,"",IF((('Dvd Calendar'!$AF$1165=TYPE1)*(TYPE1&lt;&gt;"")+('Dvd Calendar'!$AF$1165=TYPE2)*(TYPE2&lt;&gt;"")+('Dvd Calendar'!$AF$1165=TYPE3)*(TYPE3&lt;&gt;"")+('Dvd Calendar'!$AF$1165=TYPE4)*(TYPE4&lt;&gt;"")+('Dvd Calendar'!$AF$1165=SPECIAL_LBL)*(INC_SPECIALS="Y"))=0,"",'Dvd Calendar'!$AF$1163)))</f>
        <v/>
      </c>
      <c r="AE120" s="106">
        <f>IF(FG120="","",IF(ISNUMBER('Dvd Calendar'!$AG$1163)=FALSE,"",IF((('Dvd Calendar'!$AG$1165=TYPE1)*(TYPE1&lt;&gt;"")+('Dvd Calendar'!$AG$1165=TYPE2)*(TYPE2&lt;&gt;"")+('Dvd Calendar'!$AG$1165=TYPE3)*(TYPE3&lt;&gt;"")+('Dvd Calendar'!$AG$1165=TYPE4)*(TYPE4&lt;&gt;"")+('Dvd Calendar'!$AG$1165=SPECIAL_LBL)*(INC_SPECIALS="Y"))=0,"",'Dvd Calendar'!$AG$1163)))</f>
        <v/>
      </c>
      <c r="AF120" s="106">
        <f>IF(FH120="","",IF(ISNUMBER('Dvd Calendar'!$AH$1163)=FALSE,"",IF((('Dvd Calendar'!$AH$1165=TYPE1)*(TYPE1&lt;&gt;"")+('Dvd Calendar'!$AH$1165=TYPE2)*(TYPE2&lt;&gt;"")+('Dvd Calendar'!$AH$1165=TYPE3)*(TYPE3&lt;&gt;"")+('Dvd Calendar'!$AH$1165=TYPE4)*(TYPE4&lt;&gt;"")+('Dvd Calendar'!$AH$1165=SPECIAL_LBL)*(INC_SPECIALS="Y"))=0,"",'Dvd Calendar'!$AH$1163)))</f>
        <v/>
      </c>
      <c r="AG120" s="106">
        <f>IF(FI120="","",IF(ISNUMBER('Dvd Calendar'!$AI$1163)=FALSE,"",IF((('Dvd Calendar'!$AI$1165=TYPE1)*(TYPE1&lt;&gt;"")+('Dvd Calendar'!$AI$1165=TYPE2)*(TYPE2&lt;&gt;"")+('Dvd Calendar'!$AI$1165=TYPE3)*(TYPE3&lt;&gt;"")+('Dvd Calendar'!$AI$1165=TYPE4)*(TYPE4&lt;&gt;"")+('Dvd Calendar'!$AI$1165=SPECIAL_LBL)*(INC_SPECIALS="Y"))=0,"",'Dvd Calendar'!$AI$1163)))</f>
        <v/>
      </c>
      <c r="AH120" s="106">
        <f>IF(FJ120="","",IF(ISNUMBER('Dvd Calendar'!$AJ$1163)=FALSE,"",IF((('Dvd Calendar'!$AJ$1165=TYPE1)*(TYPE1&lt;&gt;"")+('Dvd Calendar'!$AJ$1165=TYPE2)*(TYPE2&lt;&gt;"")+('Dvd Calendar'!$AJ$1165=TYPE3)*(TYPE3&lt;&gt;"")+('Dvd Calendar'!$AJ$1165=TYPE4)*(TYPE4&lt;&gt;"")+('Dvd Calendar'!$AJ$1165=SPECIAL_LBL)*(INC_SPECIALS="Y"))=0,"",'Dvd Calendar'!$AJ$1163)))</f>
        <v/>
      </c>
      <c r="AI120" s="106">
        <f>IF(FK120="","",IF(ISNUMBER('Dvd Calendar'!$AK$1163)=FALSE,"",IF((('Dvd Calendar'!$AK$1165=TYPE1)*(TYPE1&lt;&gt;"")+('Dvd Calendar'!$AK$1165=TYPE2)*(TYPE2&lt;&gt;"")+('Dvd Calendar'!$AK$1165=TYPE3)*(TYPE3&lt;&gt;"")+('Dvd Calendar'!$AK$1165=TYPE4)*(TYPE4&lt;&gt;"")+('Dvd Calendar'!$AK$1165=SPECIAL_LBL)*(INC_SPECIALS="Y"))=0,"",'Dvd Calendar'!$AK$1163)))</f>
        <v/>
      </c>
      <c r="AJ120" s="106">
        <f>IF(FL120="","",IF(ISNUMBER('Dvd Calendar'!$AL$1163)=FALSE,"",IF((('Dvd Calendar'!$AL$1165=TYPE1)*(TYPE1&lt;&gt;"")+('Dvd Calendar'!$AL$1165=TYPE2)*(TYPE2&lt;&gt;"")+('Dvd Calendar'!$AL$1165=TYPE3)*(TYPE3&lt;&gt;"")+('Dvd Calendar'!$AL$1165=TYPE4)*(TYPE4&lt;&gt;"")+('Dvd Calendar'!$AL$1165=SPECIAL_LBL)*(INC_SPECIALS="Y"))=0,"",'Dvd Calendar'!$AL$1163)))</f>
        <v/>
      </c>
      <c r="AK120" s="106">
        <f>IF(FM120="","",IF(ISNUMBER('Dvd Calendar'!$AM$1163)=FALSE,"",IF((('Dvd Calendar'!$AM$1165=TYPE1)*(TYPE1&lt;&gt;"")+('Dvd Calendar'!$AM$1165=TYPE2)*(TYPE2&lt;&gt;"")+('Dvd Calendar'!$AM$1165=TYPE3)*(TYPE3&lt;&gt;"")+('Dvd Calendar'!$AM$1165=TYPE4)*(TYPE4&lt;&gt;"")+('Dvd Calendar'!$AM$1165=SPECIAL_LBL)*(INC_SPECIALS="Y"))=0,"",'Dvd Calendar'!$AM$1163)))</f>
        <v/>
      </c>
      <c r="AL120" s="106">
        <f>IF(FN120="","",IF(ISNUMBER('Dvd Calendar'!$AN$1163)=FALSE,"",IF((('Dvd Calendar'!$AN$1165=TYPE1)*(TYPE1&lt;&gt;"")+('Dvd Calendar'!$AN$1165=TYPE2)*(TYPE2&lt;&gt;"")+('Dvd Calendar'!$AN$1165=TYPE3)*(TYPE3&lt;&gt;"")+('Dvd Calendar'!$AN$1165=TYPE4)*(TYPE4&lt;&gt;"")+('Dvd Calendar'!$AN$1165=SPECIAL_LBL)*(INC_SPECIALS="Y"))=0,"",'Dvd Calendar'!$AN$1163)))</f>
        <v/>
      </c>
      <c r="AM120" s="106">
        <f>IF(FO120="","",IF(ISNUMBER('Dvd Calendar'!$AO$1163)=FALSE,"",IF((('Dvd Calendar'!$AO$1165=TYPE1)*(TYPE1&lt;&gt;"")+('Dvd Calendar'!$AO$1165=TYPE2)*(TYPE2&lt;&gt;"")+('Dvd Calendar'!$AO$1165=TYPE3)*(TYPE3&lt;&gt;"")+('Dvd Calendar'!$AO$1165=TYPE4)*(TYPE4&lt;&gt;"")+('Dvd Calendar'!$AO$1165=SPECIAL_LBL)*(INC_SPECIALS="Y"))=0,"",'Dvd Calendar'!$AO$1163)))</f>
        <v/>
      </c>
      <c r="AN120" s="106">
        <f>IF(FP120="","",IF(ISNUMBER('Dvd Calendar'!$AP$1163)=FALSE,"",IF((('Dvd Calendar'!$AP$1165=TYPE1)*(TYPE1&lt;&gt;"")+('Dvd Calendar'!$AP$1165=TYPE2)*(TYPE2&lt;&gt;"")+('Dvd Calendar'!$AP$1165=TYPE3)*(TYPE3&lt;&gt;"")+('Dvd Calendar'!$AP$1165=TYPE4)*(TYPE4&lt;&gt;"")+('Dvd Calendar'!$AP$1165=SPECIAL_LBL)*(INC_SPECIALS="Y"))=0,"",'Dvd Calendar'!$AP$1163)))</f>
        <v/>
      </c>
      <c r="AO120" s="106">
        <f>IF(FQ120="","",IF(ISNUMBER('Dvd Calendar'!$AQ$1163)=FALSE,"",IF((('Dvd Calendar'!$AQ$1165=TYPE1)*(TYPE1&lt;&gt;"")+('Dvd Calendar'!$AQ$1165=TYPE2)*(TYPE2&lt;&gt;"")+('Dvd Calendar'!$AQ$1165=TYPE3)*(TYPE3&lt;&gt;"")+('Dvd Calendar'!$AQ$1165=TYPE4)*(TYPE4&lt;&gt;"")+('Dvd Calendar'!$AQ$1165=SPECIAL_LBL)*(INC_SPECIALS="Y"))=0,"",'Dvd Calendar'!$AQ$1163)))</f>
        <v/>
      </c>
      <c r="AP120" s="106">
        <f>IF(FR120="","",IF(ISNUMBER('Dvd Calendar'!$AR$1163)=FALSE,"",IF((('Dvd Calendar'!$AR$1165=TYPE1)*(TYPE1&lt;&gt;"")+('Dvd Calendar'!$AR$1165=TYPE2)*(TYPE2&lt;&gt;"")+('Dvd Calendar'!$AR$1165=TYPE3)*(TYPE3&lt;&gt;"")+('Dvd Calendar'!$AR$1165=TYPE4)*(TYPE4&lt;&gt;"")+('Dvd Calendar'!$AR$1165=SPECIAL_LBL)*(INC_SPECIALS="Y"))=0,"",'Dvd Calendar'!$AR$1163)))</f>
        <v/>
      </c>
      <c r="AQ120" s="106">
        <f>IF(FS120="","",IF(ISNUMBER('Dvd Calendar'!$E$1168)=FALSE,"",'Dvd Calendar'!$E$1168))</f>
        <v/>
      </c>
      <c r="AR120" s="106">
        <f>IF(FT120="","",IF(ISNUMBER('Dvd Calendar'!$F$1168)=FALSE,"",'Dvd Calendar'!$F$1168))</f>
        <v/>
      </c>
      <c r="AS120" s="106">
        <f>IF(FU120="","",IF(ISNUMBER('Dvd Calendar'!$G$1168)=FALSE,"",'Dvd Calendar'!$G$1168))</f>
        <v/>
      </c>
      <c r="AT120" s="106">
        <f>IF(FV120="","",IF(ISNUMBER('Dvd Calendar'!$H$1168)=FALSE,"",'Dvd Calendar'!$H$1168))</f>
        <v/>
      </c>
      <c r="AU120" s="106">
        <f>IF(FW120="","",IF(ISNUMBER('Dvd Calendar'!$I$1168)=FALSE,"",'Dvd Calendar'!$I$1168))</f>
        <v/>
      </c>
      <c r="AV120" s="106">
        <f>IF(FX120="","",IF(ISNUMBER('Dvd Calendar'!$J$1168)=FALSE,"",'Dvd Calendar'!$J$1168))</f>
        <v/>
      </c>
      <c r="AW120" s="106">
        <f>IF(FY120="","",IF(ISNUMBER('Dvd Calendar'!$K$1168)=FALSE,"",'Dvd Calendar'!$K$1168))</f>
        <v/>
      </c>
      <c r="AX120" s="106">
        <f>IF(FZ120="","",IF(ISNUMBER('Dvd Calendar'!$L$1168)=FALSE,"",'Dvd Calendar'!$L$1168))</f>
        <v/>
      </c>
      <c r="AY120" s="106">
        <f>IF(GA120="","",IF(ISNUMBER('Dvd Calendar'!$M$1168)=FALSE,"",'Dvd Calendar'!$M$1168))</f>
        <v/>
      </c>
      <c r="AZ120" s="106">
        <f>IF(GB120="","",IF(ISNUMBER('Dvd Calendar'!$N$1168)=FALSE,"",'Dvd Calendar'!$N$1168))</f>
        <v/>
      </c>
      <c r="BA120" s="106">
        <f>IF(GC120="","",IF(ISNUMBER('Dvd Calendar'!$O$1168)=FALSE,"",'Dvd Calendar'!$O$1168))</f>
        <v/>
      </c>
      <c r="BB120" s="106">
        <f>IF(GD120="","",IF(ISNUMBER('Dvd Calendar'!$P$1168)=FALSE,"",'Dvd Calendar'!$P$1168))</f>
        <v/>
      </c>
      <c r="BC120" s="106">
        <f>IF(GE120="","",IF(ISNUMBER('Dvd Calendar'!$Q$1168)=FALSE,"",'Dvd Calendar'!$Q$1168))</f>
        <v/>
      </c>
      <c r="BD120" s="106">
        <f>IF(GF120="","",IF(ISNUMBER('Dvd Calendar'!$R$1168)=FALSE,"",'Dvd Calendar'!$R$1168))</f>
        <v/>
      </c>
      <c r="BE120" s="106">
        <f>IF(GG120="","",IF(ISNUMBER('Dvd Calendar'!$S$1168)=FALSE,"",'Dvd Calendar'!$S$1168))</f>
        <v/>
      </c>
      <c r="BF120" s="106">
        <f>IF(GH120="","",IF(ISNUMBER('Dvd Calendar'!$T$1168)=FALSE,"",'Dvd Calendar'!$T$1168))</f>
        <v/>
      </c>
      <c r="BG120" s="106">
        <f>IF(GI120="","",IF(ISNUMBER('Dvd Calendar'!$U$1168)=FALSE,"",'Dvd Calendar'!$U$1168))</f>
        <v/>
      </c>
      <c r="BH120" s="106">
        <f>IF(GJ120="","",IF(ISNUMBER('Dvd Calendar'!$V$1168)=FALSE,"",'Dvd Calendar'!$V$1168))</f>
        <v/>
      </c>
      <c r="BI120" s="106">
        <f>IF(GK120="","",IF(ISNUMBER('Dvd Calendar'!$W$1168)=FALSE,"",'Dvd Calendar'!$W$1168))</f>
        <v/>
      </c>
      <c r="BJ120" s="106">
        <f>IF(GL120="","",IF(ISNUMBER('Dvd Calendar'!$X$1168)=FALSE,"",'Dvd Calendar'!$X$1168))</f>
        <v/>
      </c>
      <c r="BK120" s="106">
        <f>IF(GM120="","",IF(ISNUMBER('Dvd Calendar'!$Y$1168)=FALSE,"",'Dvd Calendar'!$Y$1168))</f>
        <v/>
      </c>
      <c r="BL120" s="106">
        <f>IF(GN120="","",IF(ISNUMBER('Dvd Calendar'!$Z$1168)=FALSE,"",'Dvd Calendar'!$Z$1168))</f>
        <v/>
      </c>
      <c r="BM120" s="106">
        <f>IF(GO120="","",IF(ISNUMBER('Dvd Calendar'!$AA$1168)=FALSE,"",'Dvd Calendar'!$AA$1168))</f>
        <v/>
      </c>
      <c r="BN120" s="106">
        <f>IF(GP120="","",IF(ISNUMBER('Dvd Calendar'!$AB$1168)=FALSE,"",'Dvd Calendar'!$AB$1168))</f>
        <v/>
      </c>
      <c r="BO120" s="106">
        <f>IF(GQ120="","",IF(ISNUMBER('Dvd Calendar'!$AC$1168)=FALSE,"",'Dvd Calendar'!$AC$1168))</f>
        <v/>
      </c>
      <c r="BQ120" s="106">
        <f>IF(C120="","",IFERROR(C120*HSTECH!$B$11*HSTECH!$G$11/HSTECH!$B$3,""))</f>
        <v/>
      </c>
      <c r="BR120" s="106">
        <f>IF(D120="","",IFERROR(D120*HSTECH!$B$11*HSTECH!$G$11/HSTECH!$B$3,""))</f>
        <v/>
      </c>
      <c r="BS120" s="106">
        <f>IF(E120="","",IFERROR(E120*HSTECH!$B$11*HSTECH!$G$11/HSTECH!$B$3,""))</f>
        <v/>
      </c>
      <c r="BT120" s="106">
        <f>IF(F120="","",IFERROR(F120*HSTECH!$B$11*HSTECH!$G$11/HSTECH!$B$3,""))</f>
        <v/>
      </c>
      <c r="BU120" s="106">
        <f>IF(G120="","",IFERROR(G120*HSTECH!$B$11*HSTECH!$G$11/HSTECH!$B$3,""))</f>
        <v/>
      </c>
      <c r="BV120" s="106">
        <f>IF(H120="","",IFERROR(H120*HSTECH!$B$11*HSTECH!$G$11/HSTECH!$B$3,""))</f>
        <v/>
      </c>
      <c r="BW120" s="106">
        <f>IF(I120="","",IFERROR(I120*HSTECH!$B$11*HSTECH!$G$11/HSTECH!$B$3,""))</f>
        <v/>
      </c>
      <c r="BX120" s="106">
        <f>IF(J120="","",IFERROR(J120*HSTECH!$B$11*HSTECH!$G$11/HSTECH!$B$3,""))</f>
        <v/>
      </c>
      <c r="BY120" s="106">
        <f>IF(K120="","",IFERROR(K120*HSTECH!$B$11*HSTECH!$G$11/HSTECH!$B$3,""))</f>
        <v/>
      </c>
      <c r="BZ120" s="106">
        <f>IF(L120="","",IFERROR(L120*HSTECH!$B$11*HSTECH!$G$11/HSTECH!$B$3,""))</f>
        <v/>
      </c>
      <c r="CA120" s="106">
        <f>IF(M120="","",IFERROR(M120*HSTECH!$B$11*HSTECH!$G$11/HSTECH!$B$3,""))</f>
        <v/>
      </c>
      <c r="CB120" s="106">
        <f>IF(N120="","",IFERROR(N120*HSTECH!$B$11*HSTECH!$G$11/HSTECH!$B$3,""))</f>
        <v/>
      </c>
      <c r="CC120" s="106">
        <f>IF(O120="","",IFERROR(O120*HSTECH!$B$11*HSTECH!$G$11/HSTECH!$B$3,""))</f>
        <v/>
      </c>
      <c r="CD120" s="106">
        <f>IF(P120="","",IFERROR(P120*HSTECH!$B$11*HSTECH!$G$11/HSTECH!$B$3,""))</f>
        <v/>
      </c>
      <c r="CE120" s="106">
        <f>IF(Q120="","",IFERROR(Q120*HSTECH!$B$11*HSTECH!$G$11/HSTECH!$B$3,""))</f>
        <v/>
      </c>
      <c r="CF120" s="106">
        <f>IF(R120="","",IFERROR(R120*HSTECH!$B$11*HSTECH!$G$11/HSTECH!$B$3,""))</f>
        <v/>
      </c>
      <c r="CG120" s="106">
        <f>IF(S120="","",IFERROR(S120*HSTECH!$B$11*HSTECH!$G$11/HSTECH!$B$3,""))</f>
        <v/>
      </c>
      <c r="CH120" s="106">
        <f>IF(T120="","",IFERROR(T120*HSTECH!$B$11*HSTECH!$G$11/HSTECH!$B$3,""))</f>
        <v/>
      </c>
      <c r="CI120" s="106">
        <f>IF(U120="","",IFERROR(U120*HSTECH!$B$11*HSTECH!$G$11/HSTECH!$B$3,""))</f>
        <v/>
      </c>
      <c r="CJ120" s="106">
        <f>IF(V120="","",IFERROR(V120*HSTECH!$B$11*HSTECH!$G$11/HSTECH!$B$3,""))</f>
        <v/>
      </c>
      <c r="CK120" s="106">
        <f>IF(W120="","",IFERROR(W120*HSTECH!$B$11*HSTECH!$G$11/HSTECH!$B$3,""))</f>
        <v/>
      </c>
      <c r="CL120" s="106">
        <f>IF(X120="","",IFERROR(X120*HSTECH!$B$11*HSTECH!$G$11/HSTECH!$B$3,""))</f>
        <v/>
      </c>
      <c r="CM120" s="106">
        <f>IF(Y120="","",IFERROR(Y120*HSTECH!$B$11*HSTECH!$G$11/HSTECH!$B$3,""))</f>
        <v/>
      </c>
      <c r="CN120" s="106">
        <f>IF(Z120="","",IFERROR(Z120*HSTECH!$B$11*HSTECH!$G$11/HSTECH!$B$3,""))</f>
        <v/>
      </c>
      <c r="CO120" s="106">
        <f>IF(AA120="","",IFERROR(AA120*HSTECH!$B$11*HSTECH!$G$11/HSTECH!$B$3,""))</f>
        <v/>
      </c>
      <c r="CP120" s="106">
        <f>IF(AB120="","",IFERROR(AB120*HSTECH!$B$11*HSTECH!$G$11/HSTECH!$B$3,""))</f>
        <v/>
      </c>
      <c r="CQ120" s="106">
        <f>IF(AC120="","",IFERROR(AC120*HSTECH!$B$11*HSTECH!$G$11/HSTECH!$B$3,""))</f>
        <v/>
      </c>
      <c r="CR120" s="106">
        <f>IF(AD120="","",IFERROR(AD120*HSTECH!$B$11*HSTECH!$G$11/HSTECH!$B$3,""))</f>
        <v/>
      </c>
      <c r="CS120" s="106">
        <f>IF(AE120="","",IFERROR(AE120*HSTECH!$B$11*HSTECH!$G$11/HSTECH!$B$3,""))</f>
        <v/>
      </c>
      <c r="CT120" s="106">
        <f>IF(AF120="","",IFERROR(AF120*HSTECH!$B$11*HSTECH!$G$11/HSTECH!$B$3,""))</f>
        <v/>
      </c>
      <c r="CU120" s="106">
        <f>IF(AG120="","",IFERROR(AG120*HSTECH!$B$11*HSTECH!$G$11/HSTECH!$B$3,""))</f>
        <v/>
      </c>
      <c r="CV120" s="106">
        <f>IF(AH120="","",IFERROR(AH120*HSTECH!$B$11*HSTECH!$G$11/HSTECH!$B$3,""))</f>
        <v/>
      </c>
      <c r="CW120" s="106">
        <f>IF(AI120="","",IFERROR(AI120*HSTECH!$B$11*HSTECH!$G$11/HSTECH!$B$3,""))</f>
        <v/>
      </c>
      <c r="CX120" s="106">
        <f>IF(AJ120="","",IFERROR(AJ120*HSTECH!$B$11*HSTECH!$G$11/HSTECH!$B$3,""))</f>
        <v/>
      </c>
      <c r="CY120" s="106">
        <f>IF(AK120="","",IFERROR(AK120*HSTECH!$B$11*HSTECH!$G$11/HSTECH!$B$3,""))</f>
        <v/>
      </c>
      <c r="CZ120" s="106">
        <f>IF(AL120="","",IFERROR(AL120*HSTECH!$B$11*HSTECH!$G$11/HSTECH!$B$3,""))</f>
        <v/>
      </c>
      <c r="DA120" s="106">
        <f>IF(AM120="","",IFERROR(AM120*HSTECH!$B$11*HSTECH!$G$11/HSTECH!$B$3,""))</f>
        <v/>
      </c>
      <c r="DB120" s="106">
        <f>IF(AN120="","",IFERROR(AN120*HSTECH!$B$11*HSTECH!$G$11/HSTECH!$B$3,""))</f>
        <v/>
      </c>
      <c r="DC120" s="106">
        <f>IF(AO120="","",IFERROR(AO120*HSTECH!$B$11*HSTECH!$G$11/HSTECH!$B$3,""))</f>
        <v/>
      </c>
      <c r="DD120" s="106">
        <f>IF(AP120="","",IFERROR(AP120*HSTECH!$B$11*HSTECH!$G$11/HSTECH!$B$3,""))</f>
        <v/>
      </c>
      <c r="DE120" s="106">
        <f>IF(AQ120="","",IFERROR(AQ120*HSTECH!$B$11*HSTECH!$G$11/HSTECH!$B$3,""))</f>
        <v/>
      </c>
      <c r="DF120" s="106">
        <f>IF(AR120="","",IFERROR(AR120*HSTECH!$B$11*HSTECH!$G$11/HSTECH!$B$3,""))</f>
        <v/>
      </c>
      <c r="DG120" s="106">
        <f>IF(AS120="","",IFERROR(AS120*HSTECH!$B$11*HSTECH!$G$11/HSTECH!$B$3,""))</f>
        <v/>
      </c>
      <c r="DH120" s="106">
        <f>IF(AT120="","",IFERROR(AT120*HSTECH!$B$11*HSTECH!$G$11/HSTECH!$B$3,""))</f>
        <v/>
      </c>
      <c r="DI120" s="106">
        <f>IF(AU120="","",IFERROR(AU120*HSTECH!$B$11*HSTECH!$G$11/HSTECH!$B$3,""))</f>
        <v/>
      </c>
      <c r="DJ120" s="106">
        <f>IF(AV120="","",IFERROR(AV120*HSTECH!$B$11*HSTECH!$G$11/HSTECH!$B$3,""))</f>
        <v/>
      </c>
      <c r="DK120" s="106">
        <f>IF(AW120="","",IFERROR(AW120*HSTECH!$B$11*HSTECH!$G$11/HSTECH!$B$3,""))</f>
        <v/>
      </c>
      <c r="DL120" s="106">
        <f>IF(AX120="","",IFERROR(AX120*HSTECH!$B$11*HSTECH!$G$11/HSTECH!$B$3,""))</f>
        <v/>
      </c>
      <c r="DM120" s="106">
        <f>IF(AY120="","",IFERROR(AY120*HSTECH!$B$11*HSTECH!$G$11/HSTECH!$B$3,""))</f>
        <v/>
      </c>
      <c r="DN120" s="106">
        <f>IF(AZ120="","",IFERROR(AZ120*HSTECH!$B$11*HSTECH!$G$11/HSTECH!$B$3,""))</f>
        <v/>
      </c>
      <c r="DO120" s="106">
        <f>IF(BA120="","",IFERROR(BA120*HSTECH!$B$11*HSTECH!$G$11/HSTECH!$B$3,""))</f>
        <v/>
      </c>
      <c r="DP120" s="106">
        <f>IF(BB120="","",IFERROR(BB120*HSTECH!$B$11*HSTECH!$G$11/HSTECH!$B$3,""))</f>
        <v/>
      </c>
      <c r="DQ120" s="106">
        <f>IF(BC120="","",IFERROR(BC120*HSTECH!$B$11*HSTECH!$G$11/HSTECH!$B$3,""))</f>
        <v/>
      </c>
      <c r="DR120" s="106">
        <f>IF(BD120="","",IFERROR(BD120*HSTECH!$B$11*HSTECH!$G$11/HSTECH!$B$3,""))</f>
        <v/>
      </c>
      <c r="DS120" s="106">
        <f>IF(BE120="","",IFERROR(BE120*HSTECH!$B$11*HSTECH!$G$11/HSTECH!$B$3,""))</f>
        <v/>
      </c>
      <c r="DT120" s="106">
        <f>IF(BF120="","",IFERROR(BF120*HSTECH!$B$11*HSTECH!$G$11/HSTECH!$B$3,""))</f>
        <v/>
      </c>
      <c r="DU120" s="106">
        <f>IF(BG120="","",IFERROR(BG120*HSTECH!$B$11*HSTECH!$G$11/HSTECH!$B$3,""))</f>
        <v/>
      </c>
      <c r="DV120" s="106">
        <f>IF(BH120="","",IFERROR(BH120*HSTECH!$B$11*HSTECH!$G$11/HSTECH!$B$3,""))</f>
        <v/>
      </c>
      <c r="DW120" s="106">
        <f>IF(BI120="","",IFERROR(BI120*HSTECH!$B$11*HSTECH!$G$11/HSTECH!$B$3,""))</f>
        <v/>
      </c>
      <c r="DX120" s="106">
        <f>IF(BJ120="","",IFERROR(BJ120*HSTECH!$B$11*HSTECH!$G$11/HSTECH!$B$3,""))</f>
        <v/>
      </c>
      <c r="DY120" s="106">
        <f>IF(BK120="","",IFERROR(BK120*HSTECH!$B$11*HSTECH!$G$11/HSTECH!$B$3,""))</f>
        <v/>
      </c>
      <c r="DZ120" s="106">
        <f>IF(BL120="","",IFERROR(BL120*HSTECH!$B$11*HSTECH!$G$11/HSTECH!$B$3,""))</f>
        <v/>
      </c>
      <c r="EA120" s="106">
        <f>IF(BM120="","",IFERROR(BM120*HSTECH!$B$11*HSTECH!$G$11/HSTECH!$B$3,""))</f>
        <v/>
      </c>
      <c r="EB120" s="106">
        <f>IF(BN120="","",IFERROR(BN120*HSTECH!$B$11*HSTECH!$G$11/HSTECH!$B$3,""))</f>
        <v/>
      </c>
      <c r="EC120" s="106">
        <f>IF(BO120="","",IFERROR(BO120*HSTECH!$B$11*HSTECH!$G$11/HSTECH!$B$3,""))</f>
        <v/>
      </c>
      <c r="EE120" s="35">
        <f>IF(N('Dvd Calendar'!$E$1160)=0,"",IF(('Dvd Calendar'!$E$1160&gt;=GRID_FROM)*('Dvd Calendar'!$E$1160&lt;=GRID_TO)*('Dvd Calendar'!$E$1160&lt;=VAL_DATE)=0,"",'Dvd Calendar'!$E$1160*1000000000+ISNUMBER('Dvd Calendar'!$E$1163)*100000000+('Dvd Calendar'!$E$1165=SPECIAL_LBL)*10000000+0*1000000+5*1000+1))</f>
        <v/>
      </c>
      <c r="EF120" s="35">
        <f>IF(N('Dvd Calendar'!$F$1160)=0,"",IF(('Dvd Calendar'!$F$1160&gt;=GRID_FROM)*('Dvd Calendar'!$F$1160&lt;=GRID_TO)*('Dvd Calendar'!$F$1160&lt;=VAL_DATE)=0,"",'Dvd Calendar'!$F$1160*1000000000+ISNUMBER('Dvd Calendar'!$F$1163)*100000000+('Dvd Calendar'!$F$1165=SPECIAL_LBL)*10000000+0*1000000+5*1000+2))</f>
        <v/>
      </c>
      <c r="EG120" s="35">
        <f>IF(N('Dvd Calendar'!$G$1160)=0,"",IF(('Dvd Calendar'!$G$1160&gt;=GRID_FROM)*('Dvd Calendar'!$G$1160&lt;=GRID_TO)*('Dvd Calendar'!$G$1160&lt;=VAL_DATE)=0,"",'Dvd Calendar'!$G$1160*1000000000+ISNUMBER('Dvd Calendar'!$G$1163)*100000000+('Dvd Calendar'!$G$1165=SPECIAL_LBL)*10000000+0*1000000+5*1000+3))</f>
        <v/>
      </c>
      <c r="EH120" s="35">
        <f>IF(N('Dvd Calendar'!$H$1160)=0,"",IF(('Dvd Calendar'!$H$1160&gt;=GRID_FROM)*('Dvd Calendar'!$H$1160&lt;=GRID_TO)*('Dvd Calendar'!$H$1160&lt;=VAL_DATE)=0,"",'Dvd Calendar'!$H$1160*1000000000+ISNUMBER('Dvd Calendar'!$H$1163)*100000000+('Dvd Calendar'!$H$1165=SPECIAL_LBL)*10000000+0*1000000+5*1000+4))</f>
        <v/>
      </c>
      <c r="EI120" s="35">
        <f>IF(N('Dvd Calendar'!$I$1160)=0,"",IF(('Dvd Calendar'!$I$1160&gt;=GRID_FROM)*('Dvd Calendar'!$I$1160&lt;=GRID_TO)*('Dvd Calendar'!$I$1160&lt;=VAL_DATE)=0,"",'Dvd Calendar'!$I$1160*1000000000+ISNUMBER('Dvd Calendar'!$I$1163)*100000000+('Dvd Calendar'!$I$1165=SPECIAL_LBL)*10000000+0*1000000+5*1000+5))</f>
        <v/>
      </c>
      <c r="EJ120" s="35">
        <f>IF(N('Dvd Calendar'!$J$1160)=0,"",IF(('Dvd Calendar'!$J$1160&gt;=GRID_FROM)*('Dvd Calendar'!$J$1160&lt;=GRID_TO)*('Dvd Calendar'!$J$1160&lt;=VAL_DATE)=0,"",'Dvd Calendar'!$J$1160*1000000000+ISNUMBER('Dvd Calendar'!$J$1163)*100000000+('Dvd Calendar'!$J$1165=SPECIAL_LBL)*10000000+0*1000000+5*1000+6))</f>
        <v/>
      </c>
      <c r="EK120" s="35">
        <f>IF(N('Dvd Calendar'!$K$1160)=0,"",IF(('Dvd Calendar'!$K$1160&gt;=GRID_FROM)*('Dvd Calendar'!$K$1160&lt;=GRID_TO)*('Dvd Calendar'!$K$1160&lt;=VAL_DATE)=0,"",'Dvd Calendar'!$K$1160*1000000000+ISNUMBER('Dvd Calendar'!$K$1163)*100000000+('Dvd Calendar'!$K$1165=SPECIAL_LBL)*10000000+0*1000000+5*1000+7))</f>
        <v/>
      </c>
      <c r="EL120" s="35">
        <f>IF(N('Dvd Calendar'!$L$1160)=0,"",IF(('Dvd Calendar'!$L$1160&gt;=GRID_FROM)*('Dvd Calendar'!$L$1160&lt;=GRID_TO)*('Dvd Calendar'!$L$1160&lt;=VAL_DATE)=0,"",'Dvd Calendar'!$L$1160*1000000000+ISNUMBER('Dvd Calendar'!$L$1163)*100000000+('Dvd Calendar'!$L$1165=SPECIAL_LBL)*10000000+0*1000000+5*1000+8))</f>
        <v/>
      </c>
      <c r="EM120" s="35">
        <f>IF(N('Dvd Calendar'!$M$1160)=0,"",IF(('Dvd Calendar'!$M$1160&gt;=GRID_FROM)*('Dvd Calendar'!$M$1160&lt;=GRID_TO)*('Dvd Calendar'!$M$1160&lt;=VAL_DATE)=0,"",'Dvd Calendar'!$M$1160*1000000000+ISNUMBER('Dvd Calendar'!$M$1163)*100000000+('Dvd Calendar'!$M$1165=SPECIAL_LBL)*10000000+0*1000000+5*1000+9))</f>
        <v/>
      </c>
      <c r="EN120" s="35">
        <f>IF(N('Dvd Calendar'!$N$1160)=0,"",IF(('Dvd Calendar'!$N$1160&gt;=GRID_FROM)*('Dvd Calendar'!$N$1160&lt;=GRID_TO)*('Dvd Calendar'!$N$1160&lt;=VAL_DATE)=0,"",'Dvd Calendar'!$N$1160*1000000000+ISNUMBER('Dvd Calendar'!$N$1163)*100000000+('Dvd Calendar'!$N$1165=SPECIAL_LBL)*10000000+0*1000000+5*1000+10))</f>
        <v/>
      </c>
      <c r="EO120" s="35">
        <f>IF(N('Dvd Calendar'!$O$1160)=0,"",IF(('Dvd Calendar'!$O$1160&gt;=GRID_FROM)*('Dvd Calendar'!$O$1160&lt;=GRID_TO)*('Dvd Calendar'!$O$1160&lt;=VAL_DATE)=0,"",'Dvd Calendar'!$O$1160*1000000000+ISNUMBER('Dvd Calendar'!$O$1163)*100000000+('Dvd Calendar'!$O$1165=SPECIAL_LBL)*10000000+0*1000000+5*1000+11))</f>
        <v/>
      </c>
      <c r="EP120" s="35">
        <f>IF(N('Dvd Calendar'!$P$1160)=0,"",IF(('Dvd Calendar'!$P$1160&gt;=GRID_FROM)*('Dvd Calendar'!$P$1160&lt;=GRID_TO)*('Dvd Calendar'!$P$1160&lt;=VAL_DATE)=0,"",'Dvd Calendar'!$P$1160*1000000000+ISNUMBER('Dvd Calendar'!$P$1163)*100000000+('Dvd Calendar'!$P$1165=SPECIAL_LBL)*10000000+0*1000000+5*1000+12))</f>
        <v/>
      </c>
      <c r="EQ120" s="35">
        <f>IF(N('Dvd Calendar'!$Q$1160)=0,"",IF(('Dvd Calendar'!$Q$1160&gt;=GRID_FROM)*('Dvd Calendar'!$Q$1160&lt;=GRID_TO)*('Dvd Calendar'!$Q$1160&lt;=VAL_DATE)=0,"",'Dvd Calendar'!$Q$1160*1000000000+ISNUMBER('Dvd Calendar'!$Q$1163)*100000000+('Dvd Calendar'!$Q$1165=SPECIAL_LBL)*10000000+0*1000000+5*1000+13))</f>
        <v/>
      </c>
      <c r="ER120" s="35">
        <f>IF(N('Dvd Calendar'!$R$1160)=0,"",IF(('Dvd Calendar'!$R$1160&gt;=GRID_FROM)*('Dvd Calendar'!$R$1160&lt;=GRID_TO)*('Dvd Calendar'!$R$1160&lt;=VAL_DATE)=0,"",'Dvd Calendar'!$R$1160*1000000000+ISNUMBER('Dvd Calendar'!$R$1163)*100000000+('Dvd Calendar'!$R$1165=SPECIAL_LBL)*10000000+0*1000000+5*1000+14))</f>
        <v/>
      </c>
      <c r="ES120" s="35">
        <f>IF(N('Dvd Calendar'!$S$1160)=0,"",IF(('Dvd Calendar'!$S$1160&gt;=GRID_FROM)*('Dvd Calendar'!$S$1160&lt;=GRID_TO)*('Dvd Calendar'!$S$1160&lt;=VAL_DATE)=0,"",'Dvd Calendar'!$S$1160*1000000000+ISNUMBER('Dvd Calendar'!$S$1163)*100000000+('Dvd Calendar'!$S$1165=SPECIAL_LBL)*10000000+0*1000000+5*1000+15))</f>
        <v/>
      </c>
      <c r="ET120" s="35">
        <f>IF(N('Dvd Calendar'!$T$1160)=0,"",IF(('Dvd Calendar'!$T$1160&gt;=GRID_FROM)*('Dvd Calendar'!$T$1160&lt;=GRID_TO)*('Dvd Calendar'!$T$1160&lt;=VAL_DATE)=0,"",'Dvd Calendar'!$T$1160*1000000000+ISNUMBER('Dvd Calendar'!$T$1163)*100000000+('Dvd Calendar'!$T$1165=SPECIAL_LBL)*10000000+0*1000000+5*1000+16))</f>
        <v/>
      </c>
      <c r="EU120" s="35">
        <f>IF(N('Dvd Calendar'!$U$1160)=0,"",IF(('Dvd Calendar'!$U$1160&gt;=GRID_FROM)*('Dvd Calendar'!$U$1160&lt;=GRID_TO)*('Dvd Calendar'!$U$1160&lt;=VAL_DATE)=0,"",'Dvd Calendar'!$U$1160*1000000000+ISNUMBER('Dvd Calendar'!$U$1163)*100000000+('Dvd Calendar'!$U$1165=SPECIAL_LBL)*10000000+0*1000000+5*1000+17))</f>
        <v/>
      </c>
      <c r="EV120" s="35">
        <f>IF(N('Dvd Calendar'!$V$1160)=0,"",IF(('Dvd Calendar'!$V$1160&gt;=GRID_FROM)*('Dvd Calendar'!$V$1160&lt;=GRID_TO)*('Dvd Calendar'!$V$1160&lt;=VAL_DATE)=0,"",'Dvd Calendar'!$V$1160*1000000000+ISNUMBER('Dvd Calendar'!$V$1163)*100000000+('Dvd Calendar'!$V$1165=SPECIAL_LBL)*10000000+0*1000000+5*1000+18))</f>
        <v/>
      </c>
      <c r="EW120" s="35">
        <f>IF(N('Dvd Calendar'!$W$1160)=0,"",IF(('Dvd Calendar'!$W$1160&gt;=GRID_FROM)*('Dvd Calendar'!$W$1160&lt;=GRID_TO)*('Dvd Calendar'!$W$1160&lt;=VAL_DATE)=0,"",'Dvd Calendar'!$W$1160*1000000000+ISNUMBER('Dvd Calendar'!$W$1163)*100000000+('Dvd Calendar'!$W$1165=SPECIAL_LBL)*10000000+0*1000000+5*1000+19))</f>
        <v/>
      </c>
      <c r="EX120" s="35">
        <f>IF(N('Dvd Calendar'!$X$1160)=0,"",IF(('Dvd Calendar'!$X$1160&gt;=GRID_FROM)*('Dvd Calendar'!$X$1160&lt;=GRID_TO)*('Dvd Calendar'!$X$1160&lt;=VAL_DATE)=0,"",'Dvd Calendar'!$X$1160*1000000000+ISNUMBER('Dvd Calendar'!$X$1163)*100000000+('Dvd Calendar'!$X$1165=SPECIAL_LBL)*10000000+0*1000000+5*1000+20))</f>
        <v/>
      </c>
      <c r="EY120" s="35">
        <f>IF(N('Dvd Calendar'!$Y$1160)=0,"",IF(('Dvd Calendar'!$Y$1160&gt;=GRID_FROM)*('Dvd Calendar'!$Y$1160&lt;=GRID_TO)*('Dvd Calendar'!$Y$1160&lt;=VAL_DATE)=0,"",'Dvd Calendar'!$Y$1160*1000000000+ISNUMBER('Dvd Calendar'!$Y$1163)*100000000+('Dvd Calendar'!$Y$1165=SPECIAL_LBL)*10000000+0*1000000+5*1000+21))</f>
        <v/>
      </c>
      <c r="EZ120" s="35">
        <f>IF(N('Dvd Calendar'!$Z$1160)=0,"",IF(('Dvd Calendar'!$Z$1160&gt;=GRID_FROM)*('Dvd Calendar'!$Z$1160&lt;=GRID_TO)*('Dvd Calendar'!$Z$1160&lt;=VAL_DATE)=0,"",'Dvd Calendar'!$Z$1160*1000000000+ISNUMBER('Dvd Calendar'!$Z$1163)*100000000+('Dvd Calendar'!$Z$1165=SPECIAL_LBL)*10000000+0*1000000+5*1000+22))</f>
        <v/>
      </c>
      <c r="FA120" s="35">
        <f>IF(N('Dvd Calendar'!$AA$1160)=0,"",IF(('Dvd Calendar'!$AA$1160&gt;=GRID_FROM)*('Dvd Calendar'!$AA$1160&lt;=GRID_TO)*('Dvd Calendar'!$AA$1160&lt;=VAL_DATE)=0,"",'Dvd Calendar'!$AA$1160*1000000000+ISNUMBER('Dvd Calendar'!$AA$1163)*100000000+('Dvd Calendar'!$AA$1165=SPECIAL_LBL)*10000000+0*1000000+5*1000+23))</f>
        <v/>
      </c>
      <c r="FB120" s="35">
        <f>IF(N('Dvd Calendar'!$AB$1160)=0,"",IF(('Dvd Calendar'!$AB$1160&gt;=GRID_FROM)*('Dvd Calendar'!$AB$1160&lt;=GRID_TO)*('Dvd Calendar'!$AB$1160&lt;=VAL_DATE)=0,"",'Dvd Calendar'!$AB$1160*1000000000+ISNUMBER('Dvd Calendar'!$AB$1163)*100000000+('Dvd Calendar'!$AB$1165=SPECIAL_LBL)*10000000+0*1000000+5*1000+24))</f>
        <v/>
      </c>
      <c r="FC120" s="35">
        <f>IF(N('Dvd Calendar'!$AC$1160)=0,"",IF(('Dvd Calendar'!$AC$1160&gt;=GRID_FROM)*('Dvd Calendar'!$AC$1160&lt;=GRID_TO)*('Dvd Calendar'!$AC$1160&lt;=VAL_DATE)=0,"",'Dvd Calendar'!$AC$1160*1000000000+ISNUMBER('Dvd Calendar'!$AC$1163)*100000000+('Dvd Calendar'!$AC$1165=SPECIAL_LBL)*10000000+0*1000000+5*1000+25))</f>
        <v/>
      </c>
      <c r="FD120" s="35">
        <f>IF(N('Dvd Calendar'!$AD$1160)=0,"",IF(('Dvd Calendar'!$AD$1160&gt;=GRID_FROM)*('Dvd Calendar'!$AD$1160&lt;=GRID_TO)*('Dvd Calendar'!$AD$1160&lt;=VAL_DATE)=0,"",'Dvd Calendar'!$AD$1160*1000000000+ISNUMBER('Dvd Calendar'!$AD$1163)*100000000+('Dvd Calendar'!$AD$1165=SPECIAL_LBL)*10000000+0*1000000+5*1000+26))</f>
        <v/>
      </c>
      <c r="FE120" s="35">
        <f>IF(N('Dvd Calendar'!$AE$1160)=0,"",IF(('Dvd Calendar'!$AE$1160&gt;=GRID_FROM)*('Dvd Calendar'!$AE$1160&lt;=GRID_TO)*('Dvd Calendar'!$AE$1160&lt;=VAL_DATE)=0,"",'Dvd Calendar'!$AE$1160*1000000000+ISNUMBER('Dvd Calendar'!$AE$1163)*100000000+('Dvd Calendar'!$AE$1165=SPECIAL_LBL)*10000000+0*1000000+5*1000+27))</f>
        <v/>
      </c>
      <c r="FF120" s="35">
        <f>IF(N('Dvd Calendar'!$AF$1160)=0,"",IF(('Dvd Calendar'!$AF$1160&gt;=GRID_FROM)*('Dvd Calendar'!$AF$1160&lt;=GRID_TO)*('Dvd Calendar'!$AF$1160&lt;=VAL_DATE)=0,"",'Dvd Calendar'!$AF$1160*1000000000+ISNUMBER('Dvd Calendar'!$AF$1163)*100000000+('Dvd Calendar'!$AF$1165=SPECIAL_LBL)*10000000+0*1000000+5*1000+28))</f>
        <v/>
      </c>
      <c r="FG120" s="35">
        <f>IF(N('Dvd Calendar'!$AG$1160)=0,"",IF(('Dvd Calendar'!$AG$1160&gt;=GRID_FROM)*('Dvd Calendar'!$AG$1160&lt;=GRID_TO)*('Dvd Calendar'!$AG$1160&lt;=VAL_DATE)=0,"",'Dvd Calendar'!$AG$1160*1000000000+ISNUMBER('Dvd Calendar'!$AG$1163)*100000000+('Dvd Calendar'!$AG$1165=SPECIAL_LBL)*10000000+0*1000000+5*1000+29))</f>
        <v/>
      </c>
      <c r="FH120" s="35">
        <f>IF(N('Dvd Calendar'!$AH$1160)=0,"",IF(('Dvd Calendar'!$AH$1160&gt;=GRID_FROM)*('Dvd Calendar'!$AH$1160&lt;=GRID_TO)*('Dvd Calendar'!$AH$1160&lt;=VAL_DATE)=0,"",'Dvd Calendar'!$AH$1160*1000000000+ISNUMBER('Dvd Calendar'!$AH$1163)*100000000+('Dvd Calendar'!$AH$1165=SPECIAL_LBL)*10000000+0*1000000+5*1000+30))</f>
        <v/>
      </c>
      <c r="FI120" s="35">
        <f>IF(N('Dvd Calendar'!$AI$1160)=0,"",IF(('Dvd Calendar'!$AI$1160&gt;=GRID_FROM)*('Dvd Calendar'!$AI$1160&lt;=GRID_TO)*('Dvd Calendar'!$AI$1160&lt;=VAL_DATE)=0,"",'Dvd Calendar'!$AI$1160*1000000000+ISNUMBER('Dvd Calendar'!$AI$1163)*100000000+('Dvd Calendar'!$AI$1165=SPECIAL_LBL)*10000000+0*1000000+5*1000+31))</f>
        <v/>
      </c>
      <c r="FJ120" s="35">
        <f>IF(N('Dvd Calendar'!$AJ$1160)=0,"",IF(('Dvd Calendar'!$AJ$1160&gt;=GRID_FROM)*('Dvd Calendar'!$AJ$1160&lt;=GRID_TO)*('Dvd Calendar'!$AJ$1160&lt;=VAL_DATE)=0,"",'Dvd Calendar'!$AJ$1160*1000000000+ISNUMBER('Dvd Calendar'!$AJ$1163)*100000000+('Dvd Calendar'!$AJ$1165=SPECIAL_LBL)*10000000+0*1000000+5*1000+32))</f>
        <v/>
      </c>
      <c r="FK120" s="35">
        <f>IF(N('Dvd Calendar'!$AK$1160)=0,"",IF(('Dvd Calendar'!$AK$1160&gt;=GRID_FROM)*('Dvd Calendar'!$AK$1160&lt;=GRID_TO)*('Dvd Calendar'!$AK$1160&lt;=VAL_DATE)=0,"",'Dvd Calendar'!$AK$1160*1000000000+ISNUMBER('Dvd Calendar'!$AK$1163)*100000000+('Dvd Calendar'!$AK$1165=SPECIAL_LBL)*10000000+0*1000000+5*1000+33))</f>
        <v/>
      </c>
      <c r="FL120" s="35">
        <f>IF(N('Dvd Calendar'!$AL$1160)=0,"",IF(('Dvd Calendar'!$AL$1160&gt;=GRID_FROM)*('Dvd Calendar'!$AL$1160&lt;=GRID_TO)*('Dvd Calendar'!$AL$1160&lt;=VAL_DATE)=0,"",'Dvd Calendar'!$AL$1160*1000000000+ISNUMBER('Dvd Calendar'!$AL$1163)*100000000+('Dvd Calendar'!$AL$1165=SPECIAL_LBL)*10000000+0*1000000+5*1000+34))</f>
        <v/>
      </c>
      <c r="FM120" s="35">
        <f>IF(N('Dvd Calendar'!$AM$1160)=0,"",IF(('Dvd Calendar'!$AM$1160&gt;=GRID_FROM)*('Dvd Calendar'!$AM$1160&lt;=GRID_TO)*('Dvd Calendar'!$AM$1160&lt;=VAL_DATE)=0,"",'Dvd Calendar'!$AM$1160*1000000000+ISNUMBER('Dvd Calendar'!$AM$1163)*100000000+('Dvd Calendar'!$AM$1165=SPECIAL_LBL)*10000000+0*1000000+5*1000+35))</f>
        <v/>
      </c>
      <c r="FN120" s="35">
        <f>IF(N('Dvd Calendar'!$AN$1160)=0,"",IF(('Dvd Calendar'!$AN$1160&gt;=GRID_FROM)*('Dvd Calendar'!$AN$1160&lt;=GRID_TO)*('Dvd Calendar'!$AN$1160&lt;=VAL_DATE)=0,"",'Dvd Calendar'!$AN$1160*1000000000+ISNUMBER('Dvd Calendar'!$AN$1163)*100000000+('Dvd Calendar'!$AN$1165=SPECIAL_LBL)*10000000+0*1000000+5*1000+36))</f>
        <v/>
      </c>
      <c r="FO120" s="35">
        <f>IF(N('Dvd Calendar'!$AO$1160)=0,"",IF(('Dvd Calendar'!$AO$1160&gt;=GRID_FROM)*('Dvd Calendar'!$AO$1160&lt;=GRID_TO)*('Dvd Calendar'!$AO$1160&lt;=VAL_DATE)=0,"",'Dvd Calendar'!$AO$1160*1000000000+ISNUMBER('Dvd Calendar'!$AO$1163)*100000000+('Dvd Calendar'!$AO$1165=SPECIAL_LBL)*10000000+0*1000000+5*1000+37))</f>
        <v/>
      </c>
      <c r="FP120" s="35">
        <f>IF(N('Dvd Calendar'!$AP$1160)=0,"",IF(('Dvd Calendar'!$AP$1160&gt;=GRID_FROM)*('Dvd Calendar'!$AP$1160&lt;=GRID_TO)*('Dvd Calendar'!$AP$1160&lt;=VAL_DATE)=0,"",'Dvd Calendar'!$AP$1160*1000000000+ISNUMBER('Dvd Calendar'!$AP$1163)*100000000+('Dvd Calendar'!$AP$1165=SPECIAL_LBL)*10000000+0*1000000+5*1000+38))</f>
        <v/>
      </c>
      <c r="FQ120" s="35">
        <f>IF(N('Dvd Calendar'!$AQ$1160)=0,"",IF(('Dvd Calendar'!$AQ$1160&gt;=GRID_FROM)*('Dvd Calendar'!$AQ$1160&lt;=GRID_TO)*('Dvd Calendar'!$AQ$1160&lt;=VAL_DATE)=0,"",'Dvd Calendar'!$AQ$1160*1000000000+ISNUMBER('Dvd Calendar'!$AQ$1163)*100000000+('Dvd Calendar'!$AQ$1165=SPECIAL_LBL)*10000000+0*1000000+5*1000+39))</f>
        <v/>
      </c>
      <c r="FR120" s="35">
        <f>IF(N('Dvd Calendar'!$AR$1160)=0,"",IF(('Dvd Calendar'!$AR$1160&gt;=GRID_FROM)*('Dvd Calendar'!$AR$1160&lt;=GRID_TO)*('Dvd Calendar'!$AR$1160&lt;=VAL_DATE)=0,"",'Dvd Calendar'!$AR$1160*1000000000+ISNUMBER('Dvd Calendar'!$AR$1163)*100000000+('Dvd Calendar'!$AR$1165=SPECIAL_LBL)*10000000+0*1000000+5*1000+40))</f>
        <v/>
      </c>
      <c r="FS120" s="35">
        <f>IF(N('Dvd Calendar'!$E$1167)=0,"",IF(('Dvd Calendar'!$E$1167&gt;=GRID_FROM)*('Dvd Calendar'!$E$1167&lt;=GRID_TO)*('Dvd Calendar'!$E$1167&gt;VAL_DATE)=0,"",'Dvd Calendar'!$E$1167*1000000000+ISNUMBER('Dvd Calendar'!$E$1168)*100000000+0*10000000+(N('Dvd Calendar'!$E$1166)&gt;0)*(N('Dvd Calendar'!$E$1166)&lt;=VAL_SERIAL)*1000000+5*1000+41))</f>
        <v/>
      </c>
      <c r="FT120" s="35">
        <f>IF(N('Dvd Calendar'!$F$1167)=0,"",IF(('Dvd Calendar'!$F$1167&gt;=GRID_FROM)*('Dvd Calendar'!$F$1167&lt;=GRID_TO)*('Dvd Calendar'!$F$1167&gt;VAL_DATE)=0,"",'Dvd Calendar'!$F$1167*1000000000+ISNUMBER('Dvd Calendar'!$F$1168)*100000000+0*10000000+(N('Dvd Calendar'!$F$1166)&gt;0)*(N('Dvd Calendar'!$F$1166)&lt;=VAL_SERIAL)*1000000+5*1000+42))</f>
        <v/>
      </c>
      <c r="FU120" s="35">
        <f>IF(N('Dvd Calendar'!$G$1167)=0,"",IF(('Dvd Calendar'!$G$1167&gt;=GRID_FROM)*('Dvd Calendar'!$G$1167&lt;=GRID_TO)*('Dvd Calendar'!$G$1167&gt;VAL_DATE)=0,"",'Dvd Calendar'!$G$1167*1000000000+ISNUMBER('Dvd Calendar'!$G$1168)*100000000+0*10000000+(N('Dvd Calendar'!$G$1166)&gt;0)*(N('Dvd Calendar'!$G$1166)&lt;=VAL_SERIAL)*1000000+5*1000+43))</f>
        <v/>
      </c>
      <c r="FV120" s="35">
        <f>IF(N('Dvd Calendar'!$H$1167)=0,"",IF(('Dvd Calendar'!$H$1167&gt;=GRID_FROM)*('Dvd Calendar'!$H$1167&lt;=GRID_TO)*('Dvd Calendar'!$H$1167&gt;VAL_DATE)=0,"",'Dvd Calendar'!$H$1167*1000000000+ISNUMBER('Dvd Calendar'!$H$1168)*100000000+0*10000000+(N('Dvd Calendar'!$H$1166)&gt;0)*(N('Dvd Calendar'!$H$1166)&lt;=VAL_SERIAL)*1000000+5*1000+44))</f>
        <v/>
      </c>
      <c r="FW120" s="35">
        <f>IF(N('Dvd Calendar'!$I$1167)=0,"",IF(('Dvd Calendar'!$I$1167&gt;=GRID_FROM)*('Dvd Calendar'!$I$1167&lt;=GRID_TO)*('Dvd Calendar'!$I$1167&gt;VAL_DATE)=0,"",'Dvd Calendar'!$I$1167*1000000000+ISNUMBER('Dvd Calendar'!$I$1168)*100000000+0*10000000+(N('Dvd Calendar'!$I$1166)&gt;0)*(N('Dvd Calendar'!$I$1166)&lt;=VAL_SERIAL)*1000000+5*1000+45))</f>
        <v/>
      </c>
      <c r="FX120" s="35">
        <f>IF(N('Dvd Calendar'!$J$1167)=0,"",IF(('Dvd Calendar'!$J$1167&gt;=GRID_FROM)*('Dvd Calendar'!$J$1167&lt;=GRID_TO)*('Dvd Calendar'!$J$1167&gt;VAL_DATE)=0,"",'Dvd Calendar'!$J$1167*1000000000+ISNUMBER('Dvd Calendar'!$J$1168)*100000000+0*10000000+(N('Dvd Calendar'!$J$1166)&gt;0)*(N('Dvd Calendar'!$J$1166)&lt;=VAL_SERIAL)*1000000+5*1000+46))</f>
        <v/>
      </c>
      <c r="FY120" s="35">
        <f>IF(N('Dvd Calendar'!$K$1167)=0,"",IF(('Dvd Calendar'!$K$1167&gt;=GRID_FROM)*('Dvd Calendar'!$K$1167&lt;=GRID_TO)*('Dvd Calendar'!$K$1167&gt;VAL_DATE)=0,"",'Dvd Calendar'!$K$1167*1000000000+ISNUMBER('Dvd Calendar'!$K$1168)*100000000+0*10000000+(N('Dvd Calendar'!$K$1166)&gt;0)*(N('Dvd Calendar'!$K$1166)&lt;=VAL_SERIAL)*1000000+5*1000+47))</f>
        <v/>
      </c>
      <c r="FZ120" s="35">
        <f>IF(N('Dvd Calendar'!$L$1167)=0,"",IF(('Dvd Calendar'!$L$1167&gt;=GRID_FROM)*('Dvd Calendar'!$L$1167&lt;=GRID_TO)*('Dvd Calendar'!$L$1167&gt;VAL_DATE)=0,"",'Dvd Calendar'!$L$1167*1000000000+ISNUMBER('Dvd Calendar'!$L$1168)*100000000+0*10000000+(N('Dvd Calendar'!$L$1166)&gt;0)*(N('Dvd Calendar'!$L$1166)&lt;=VAL_SERIAL)*1000000+5*1000+48))</f>
        <v/>
      </c>
      <c r="GA120" s="35">
        <f>IF(N('Dvd Calendar'!$M$1167)=0,"",IF(('Dvd Calendar'!$M$1167&gt;=GRID_FROM)*('Dvd Calendar'!$M$1167&lt;=GRID_TO)*('Dvd Calendar'!$M$1167&gt;VAL_DATE)=0,"",'Dvd Calendar'!$M$1167*1000000000+ISNUMBER('Dvd Calendar'!$M$1168)*100000000+0*10000000+(N('Dvd Calendar'!$M$1166)&gt;0)*(N('Dvd Calendar'!$M$1166)&lt;=VAL_SERIAL)*1000000+5*1000+49))</f>
        <v/>
      </c>
      <c r="GB120" s="35">
        <f>IF(N('Dvd Calendar'!$N$1167)=0,"",IF(('Dvd Calendar'!$N$1167&gt;=GRID_FROM)*('Dvd Calendar'!$N$1167&lt;=GRID_TO)*('Dvd Calendar'!$N$1167&gt;VAL_DATE)=0,"",'Dvd Calendar'!$N$1167*1000000000+ISNUMBER('Dvd Calendar'!$N$1168)*100000000+0*10000000+(N('Dvd Calendar'!$N$1166)&gt;0)*(N('Dvd Calendar'!$N$1166)&lt;=VAL_SERIAL)*1000000+5*1000+50))</f>
        <v/>
      </c>
      <c r="GC120" s="35">
        <f>IF(N('Dvd Calendar'!$O$1167)=0,"",IF(('Dvd Calendar'!$O$1167&gt;=GRID_FROM)*('Dvd Calendar'!$O$1167&lt;=GRID_TO)*('Dvd Calendar'!$O$1167&gt;VAL_DATE)=0,"",'Dvd Calendar'!$O$1167*1000000000+ISNUMBER('Dvd Calendar'!$O$1168)*100000000+0*10000000+(N('Dvd Calendar'!$O$1166)&gt;0)*(N('Dvd Calendar'!$O$1166)&lt;=VAL_SERIAL)*1000000+5*1000+51))</f>
        <v/>
      </c>
      <c r="GD120" s="35">
        <f>IF(N('Dvd Calendar'!$P$1167)=0,"",IF(('Dvd Calendar'!$P$1167&gt;=GRID_FROM)*('Dvd Calendar'!$P$1167&lt;=GRID_TO)*('Dvd Calendar'!$P$1167&gt;VAL_DATE)=0,"",'Dvd Calendar'!$P$1167*1000000000+ISNUMBER('Dvd Calendar'!$P$1168)*100000000+0*10000000+(N('Dvd Calendar'!$P$1166)&gt;0)*(N('Dvd Calendar'!$P$1166)&lt;=VAL_SERIAL)*1000000+5*1000+52))</f>
        <v/>
      </c>
      <c r="GE120" s="35">
        <f>IF(N('Dvd Calendar'!$Q$1167)=0,"",IF(('Dvd Calendar'!$Q$1167&gt;=GRID_FROM)*('Dvd Calendar'!$Q$1167&lt;=GRID_TO)*('Dvd Calendar'!$Q$1167&gt;VAL_DATE)=0,"",'Dvd Calendar'!$Q$1167*1000000000+ISNUMBER('Dvd Calendar'!$Q$1168)*100000000+0*10000000+(N('Dvd Calendar'!$Q$1166)&gt;0)*(N('Dvd Calendar'!$Q$1166)&lt;=VAL_SERIAL)*1000000+5*1000+53))</f>
        <v/>
      </c>
      <c r="GF120" s="35">
        <f>IF(N('Dvd Calendar'!$R$1167)=0,"",IF(('Dvd Calendar'!$R$1167&gt;=GRID_FROM)*('Dvd Calendar'!$R$1167&lt;=GRID_TO)*('Dvd Calendar'!$R$1167&gt;VAL_DATE)=0,"",'Dvd Calendar'!$R$1167*1000000000+ISNUMBER('Dvd Calendar'!$R$1168)*100000000+0*10000000+(N('Dvd Calendar'!$R$1166)&gt;0)*(N('Dvd Calendar'!$R$1166)&lt;=VAL_SERIAL)*1000000+5*1000+54))</f>
        <v/>
      </c>
      <c r="GG120" s="35">
        <f>IF(N('Dvd Calendar'!$S$1167)=0,"",IF(('Dvd Calendar'!$S$1167&gt;=GRID_FROM)*('Dvd Calendar'!$S$1167&lt;=GRID_TO)*('Dvd Calendar'!$S$1167&gt;VAL_DATE)=0,"",'Dvd Calendar'!$S$1167*1000000000+ISNUMBER('Dvd Calendar'!$S$1168)*100000000+0*10000000+(N('Dvd Calendar'!$S$1166)&gt;0)*(N('Dvd Calendar'!$S$1166)&lt;=VAL_SERIAL)*1000000+5*1000+55))</f>
        <v/>
      </c>
      <c r="GH120" s="35">
        <f>IF(N('Dvd Calendar'!$T$1167)=0,"",IF(('Dvd Calendar'!$T$1167&gt;=GRID_FROM)*('Dvd Calendar'!$T$1167&lt;=GRID_TO)*('Dvd Calendar'!$T$1167&gt;VAL_DATE)=0,"",'Dvd Calendar'!$T$1167*1000000000+ISNUMBER('Dvd Calendar'!$T$1168)*100000000+0*10000000+(N('Dvd Calendar'!$T$1166)&gt;0)*(N('Dvd Calendar'!$T$1166)&lt;=VAL_SERIAL)*1000000+5*1000+56))</f>
        <v/>
      </c>
      <c r="GI120" s="35">
        <f>IF(N('Dvd Calendar'!$U$1167)=0,"",IF(('Dvd Calendar'!$U$1167&gt;=GRID_FROM)*('Dvd Calendar'!$U$1167&lt;=GRID_TO)*('Dvd Calendar'!$U$1167&gt;VAL_DATE)=0,"",'Dvd Calendar'!$U$1167*1000000000+ISNUMBER('Dvd Calendar'!$U$1168)*100000000+0*10000000+(N('Dvd Calendar'!$U$1166)&gt;0)*(N('Dvd Calendar'!$U$1166)&lt;=VAL_SERIAL)*1000000+5*1000+57))</f>
        <v/>
      </c>
      <c r="GJ120" s="35">
        <f>IF(N('Dvd Calendar'!$V$1167)=0,"",IF(('Dvd Calendar'!$V$1167&gt;=GRID_FROM)*('Dvd Calendar'!$V$1167&lt;=GRID_TO)*('Dvd Calendar'!$V$1167&gt;VAL_DATE)=0,"",'Dvd Calendar'!$V$1167*1000000000+ISNUMBER('Dvd Calendar'!$V$1168)*100000000+0*10000000+(N('Dvd Calendar'!$V$1166)&gt;0)*(N('Dvd Calendar'!$V$1166)&lt;=VAL_SERIAL)*1000000+5*1000+58))</f>
        <v/>
      </c>
      <c r="GK120" s="35">
        <f>IF(N('Dvd Calendar'!$W$1167)=0,"",IF(('Dvd Calendar'!$W$1167&gt;=GRID_FROM)*('Dvd Calendar'!$W$1167&lt;=GRID_TO)*('Dvd Calendar'!$W$1167&gt;VAL_DATE)=0,"",'Dvd Calendar'!$W$1167*1000000000+ISNUMBER('Dvd Calendar'!$W$1168)*100000000+0*10000000+(N('Dvd Calendar'!$W$1166)&gt;0)*(N('Dvd Calendar'!$W$1166)&lt;=VAL_SERIAL)*1000000+5*1000+59))</f>
        <v/>
      </c>
      <c r="GL120" s="35">
        <f>IF(N('Dvd Calendar'!$X$1167)=0,"",IF(('Dvd Calendar'!$X$1167&gt;=GRID_FROM)*('Dvd Calendar'!$X$1167&lt;=GRID_TO)*('Dvd Calendar'!$X$1167&gt;VAL_DATE)=0,"",'Dvd Calendar'!$X$1167*1000000000+ISNUMBER('Dvd Calendar'!$X$1168)*100000000+0*10000000+(N('Dvd Calendar'!$X$1166)&gt;0)*(N('Dvd Calendar'!$X$1166)&lt;=VAL_SERIAL)*1000000+5*1000+60))</f>
        <v/>
      </c>
      <c r="GM120" s="35">
        <f>IF(N('Dvd Calendar'!$Y$1167)=0,"",IF(('Dvd Calendar'!$Y$1167&gt;=GRID_FROM)*('Dvd Calendar'!$Y$1167&lt;=GRID_TO)*('Dvd Calendar'!$Y$1167&gt;VAL_DATE)=0,"",'Dvd Calendar'!$Y$1167*1000000000+ISNUMBER('Dvd Calendar'!$Y$1168)*100000000+0*10000000+(N('Dvd Calendar'!$Y$1166)&gt;0)*(N('Dvd Calendar'!$Y$1166)&lt;=VAL_SERIAL)*1000000+5*1000+61))</f>
        <v/>
      </c>
      <c r="GN120" s="35">
        <f>IF(N('Dvd Calendar'!$Z$1167)=0,"",IF(('Dvd Calendar'!$Z$1167&gt;=GRID_FROM)*('Dvd Calendar'!$Z$1167&lt;=GRID_TO)*('Dvd Calendar'!$Z$1167&gt;VAL_DATE)=0,"",'Dvd Calendar'!$Z$1167*1000000000+ISNUMBER('Dvd Calendar'!$Z$1168)*100000000+0*10000000+(N('Dvd Calendar'!$Z$1166)&gt;0)*(N('Dvd Calendar'!$Z$1166)&lt;=VAL_SERIAL)*1000000+5*1000+62))</f>
        <v/>
      </c>
      <c r="GO120" s="35">
        <f>IF(N('Dvd Calendar'!$AA$1167)=0,"",IF(('Dvd Calendar'!$AA$1167&gt;=GRID_FROM)*('Dvd Calendar'!$AA$1167&lt;=GRID_TO)*('Dvd Calendar'!$AA$1167&gt;VAL_DATE)=0,"",'Dvd Calendar'!$AA$1167*1000000000+ISNUMBER('Dvd Calendar'!$AA$1168)*100000000+0*10000000+(N('Dvd Calendar'!$AA$1166)&gt;0)*(N('Dvd Calendar'!$AA$1166)&lt;=VAL_SERIAL)*1000000+5*1000+63))</f>
        <v/>
      </c>
      <c r="GP120" s="35">
        <f>IF(N('Dvd Calendar'!$AB$1167)=0,"",IF(('Dvd Calendar'!$AB$1167&gt;=GRID_FROM)*('Dvd Calendar'!$AB$1167&lt;=GRID_TO)*('Dvd Calendar'!$AB$1167&gt;VAL_DATE)=0,"",'Dvd Calendar'!$AB$1167*1000000000+ISNUMBER('Dvd Calendar'!$AB$1168)*100000000+0*10000000+(N('Dvd Calendar'!$AB$1166)&gt;0)*(N('Dvd Calendar'!$AB$1166)&lt;=VAL_SERIAL)*1000000+5*1000+64))</f>
        <v/>
      </c>
      <c r="GQ120" s="35">
        <f>IF(N('Dvd Calendar'!$AC$1167)=0,"",IF(('Dvd Calendar'!$AC$1167&gt;=GRID_FROM)*('Dvd Calendar'!$AC$1167&lt;=GRID_TO)*('Dvd Calendar'!$AC$1167&gt;VAL_DATE)=0,"",'Dvd Calendar'!$AC$1167*1000000000+ISNUMBER('Dvd Calendar'!$AC$1168)*100000000+0*10000000+(N('Dvd Calendar'!$AC$1166)&gt;0)*(N('Dvd Calendar'!$AC$1166)&lt;=VAL_SERIAL)*1000000+5*1000+65))</f>
        <v/>
      </c>
    </row>
    <row r="121">
      <c r="B121" s="2">
        <f>IF(HSTECH!$C$12="","",HSTECH!$C$12)</f>
        <v/>
      </c>
      <c r="C121" s="106">
        <f>IF(EE121="","",IF(ISNUMBER('Dvd Calendar'!$E$1174)=FALSE,"",IF((('Dvd Calendar'!$E$1176=TYPE1)*(TYPE1&lt;&gt;"")+('Dvd Calendar'!$E$1176=TYPE2)*(TYPE2&lt;&gt;"")+('Dvd Calendar'!$E$1176=TYPE3)*(TYPE3&lt;&gt;"")+('Dvd Calendar'!$E$1176=TYPE4)*(TYPE4&lt;&gt;"")+('Dvd Calendar'!$E$1176=SPECIAL_LBL)*(INC_SPECIALS="Y"))=0,"",'Dvd Calendar'!$E$1174)))</f>
        <v/>
      </c>
      <c r="D121" s="106">
        <f>IF(EF121="","",IF(ISNUMBER('Dvd Calendar'!$F$1174)=FALSE,"",IF((('Dvd Calendar'!$F$1176=TYPE1)*(TYPE1&lt;&gt;"")+('Dvd Calendar'!$F$1176=TYPE2)*(TYPE2&lt;&gt;"")+('Dvd Calendar'!$F$1176=TYPE3)*(TYPE3&lt;&gt;"")+('Dvd Calendar'!$F$1176=TYPE4)*(TYPE4&lt;&gt;"")+('Dvd Calendar'!$F$1176=SPECIAL_LBL)*(INC_SPECIALS="Y"))=0,"",'Dvd Calendar'!$F$1174)))</f>
        <v/>
      </c>
      <c r="E121" s="106">
        <f>IF(EG121="","",IF(ISNUMBER('Dvd Calendar'!$G$1174)=FALSE,"",IF((('Dvd Calendar'!$G$1176=TYPE1)*(TYPE1&lt;&gt;"")+('Dvd Calendar'!$G$1176=TYPE2)*(TYPE2&lt;&gt;"")+('Dvd Calendar'!$G$1176=TYPE3)*(TYPE3&lt;&gt;"")+('Dvd Calendar'!$G$1176=TYPE4)*(TYPE4&lt;&gt;"")+('Dvd Calendar'!$G$1176=SPECIAL_LBL)*(INC_SPECIALS="Y"))=0,"",'Dvd Calendar'!$G$1174)))</f>
        <v/>
      </c>
      <c r="F121" s="106">
        <f>IF(EH121="","",IF(ISNUMBER('Dvd Calendar'!$H$1174)=FALSE,"",IF((('Dvd Calendar'!$H$1176=TYPE1)*(TYPE1&lt;&gt;"")+('Dvd Calendar'!$H$1176=TYPE2)*(TYPE2&lt;&gt;"")+('Dvd Calendar'!$H$1176=TYPE3)*(TYPE3&lt;&gt;"")+('Dvd Calendar'!$H$1176=TYPE4)*(TYPE4&lt;&gt;"")+('Dvd Calendar'!$H$1176=SPECIAL_LBL)*(INC_SPECIALS="Y"))=0,"",'Dvd Calendar'!$H$1174)))</f>
        <v/>
      </c>
      <c r="G121" s="106">
        <f>IF(EI121="","",IF(ISNUMBER('Dvd Calendar'!$I$1174)=FALSE,"",IF((('Dvd Calendar'!$I$1176=TYPE1)*(TYPE1&lt;&gt;"")+('Dvd Calendar'!$I$1176=TYPE2)*(TYPE2&lt;&gt;"")+('Dvd Calendar'!$I$1176=TYPE3)*(TYPE3&lt;&gt;"")+('Dvd Calendar'!$I$1176=TYPE4)*(TYPE4&lt;&gt;"")+('Dvd Calendar'!$I$1176=SPECIAL_LBL)*(INC_SPECIALS="Y"))=0,"",'Dvd Calendar'!$I$1174)))</f>
        <v/>
      </c>
      <c r="H121" s="106">
        <f>IF(EJ121="","",IF(ISNUMBER('Dvd Calendar'!$J$1174)=FALSE,"",IF((('Dvd Calendar'!$J$1176=TYPE1)*(TYPE1&lt;&gt;"")+('Dvd Calendar'!$J$1176=TYPE2)*(TYPE2&lt;&gt;"")+('Dvd Calendar'!$J$1176=TYPE3)*(TYPE3&lt;&gt;"")+('Dvd Calendar'!$J$1176=TYPE4)*(TYPE4&lt;&gt;"")+('Dvd Calendar'!$J$1176=SPECIAL_LBL)*(INC_SPECIALS="Y"))=0,"",'Dvd Calendar'!$J$1174)))</f>
        <v/>
      </c>
      <c r="I121" s="106">
        <f>IF(EK121="","",IF(ISNUMBER('Dvd Calendar'!$K$1174)=FALSE,"",IF((('Dvd Calendar'!$K$1176=TYPE1)*(TYPE1&lt;&gt;"")+('Dvd Calendar'!$K$1176=TYPE2)*(TYPE2&lt;&gt;"")+('Dvd Calendar'!$K$1176=TYPE3)*(TYPE3&lt;&gt;"")+('Dvd Calendar'!$K$1176=TYPE4)*(TYPE4&lt;&gt;"")+('Dvd Calendar'!$K$1176=SPECIAL_LBL)*(INC_SPECIALS="Y"))=0,"",'Dvd Calendar'!$K$1174)))</f>
        <v/>
      </c>
      <c r="J121" s="106">
        <f>IF(EL121="","",IF(ISNUMBER('Dvd Calendar'!$L$1174)=FALSE,"",IF((('Dvd Calendar'!$L$1176=TYPE1)*(TYPE1&lt;&gt;"")+('Dvd Calendar'!$L$1176=TYPE2)*(TYPE2&lt;&gt;"")+('Dvd Calendar'!$L$1176=TYPE3)*(TYPE3&lt;&gt;"")+('Dvd Calendar'!$L$1176=TYPE4)*(TYPE4&lt;&gt;"")+('Dvd Calendar'!$L$1176=SPECIAL_LBL)*(INC_SPECIALS="Y"))=0,"",'Dvd Calendar'!$L$1174)))</f>
        <v/>
      </c>
      <c r="K121" s="106">
        <f>IF(EM121="","",IF(ISNUMBER('Dvd Calendar'!$M$1174)=FALSE,"",IF((('Dvd Calendar'!$M$1176=TYPE1)*(TYPE1&lt;&gt;"")+('Dvd Calendar'!$M$1176=TYPE2)*(TYPE2&lt;&gt;"")+('Dvd Calendar'!$M$1176=TYPE3)*(TYPE3&lt;&gt;"")+('Dvd Calendar'!$M$1176=TYPE4)*(TYPE4&lt;&gt;"")+('Dvd Calendar'!$M$1176=SPECIAL_LBL)*(INC_SPECIALS="Y"))=0,"",'Dvd Calendar'!$M$1174)))</f>
        <v/>
      </c>
      <c r="L121" s="106">
        <f>IF(EN121="","",IF(ISNUMBER('Dvd Calendar'!$N$1174)=FALSE,"",IF((('Dvd Calendar'!$N$1176=TYPE1)*(TYPE1&lt;&gt;"")+('Dvd Calendar'!$N$1176=TYPE2)*(TYPE2&lt;&gt;"")+('Dvd Calendar'!$N$1176=TYPE3)*(TYPE3&lt;&gt;"")+('Dvd Calendar'!$N$1176=TYPE4)*(TYPE4&lt;&gt;"")+('Dvd Calendar'!$N$1176=SPECIAL_LBL)*(INC_SPECIALS="Y"))=0,"",'Dvd Calendar'!$N$1174)))</f>
        <v/>
      </c>
      <c r="M121" s="106">
        <f>IF(EO121="","",IF(ISNUMBER('Dvd Calendar'!$O$1174)=FALSE,"",IF((('Dvd Calendar'!$O$1176=TYPE1)*(TYPE1&lt;&gt;"")+('Dvd Calendar'!$O$1176=TYPE2)*(TYPE2&lt;&gt;"")+('Dvd Calendar'!$O$1176=TYPE3)*(TYPE3&lt;&gt;"")+('Dvd Calendar'!$O$1176=TYPE4)*(TYPE4&lt;&gt;"")+('Dvd Calendar'!$O$1176=SPECIAL_LBL)*(INC_SPECIALS="Y"))=0,"",'Dvd Calendar'!$O$1174)))</f>
        <v/>
      </c>
      <c r="N121" s="106">
        <f>IF(EP121="","",IF(ISNUMBER('Dvd Calendar'!$P$1174)=FALSE,"",IF((('Dvd Calendar'!$P$1176=TYPE1)*(TYPE1&lt;&gt;"")+('Dvd Calendar'!$P$1176=TYPE2)*(TYPE2&lt;&gt;"")+('Dvd Calendar'!$P$1176=TYPE3)*(TYPE3&lt;&gt;"")+('Dvd Calendar'!$P$1176=TYPE4)*(TYPE4&lt;&gt;"")+('Dvd Calendar'!$P$1176=SPECIAL_LBL)*(INC_SPECIALS="Y"))=0,"",'Dvd Calendar'!$P$1174)))</f>
        <v/>
      </c>
      <c r="O121" s="106">
        <f>IF(EQ121="","",IF(ISNUMBER('Dvd Calendar'!$Q$1174)=FALSE,"",IF((('Dvd Calendar'!$Q$1176=TYPE1)*(TYPE1&lt;&gt;"")+('Dvd Calendar'!$Q$1176=TYPE2)*(TYPE2&lt;&gt;"")+('Dvd Calendar'!$Q$1176=TYPE3)*(TYPE3&lt;&gt;"")+('Dvd Calendar'!$Q$1176=TYPE4)*(TYPE4&lt;&gt;"")+('Dvd Calendar'!$Q$1176=SPECIAL_LBL)*(INC_SPECIALS="Y"))=0,"",'Dvd Calendar'!$Q$1174)))</f>
        <v/>
      </c>
      <c r="P121" s="106">
        <f>IF(ER121="","",IF(ISNUMBER('Dvd Calendar'!$R$1174)=FALSE,"",IF((('Dvd Calendar'!$R$1176=TYPE1)*(TYPE1&lt;&gt;"")+('Dvd Calendar'!$R$1176=TYPE2)*(TYPE2&lt;&gt;"")+('Dvd Calendar'!$R$1176=TYPE3)*(TYPE3&lt;&gt;"")+('Dvd Calendar'!$R$1176=TYPE4)*(TYPE4&lt;&gt;"")+('Dvd Calendar'!$R$1176=SPECIAL_LBL)*(INC_SPECIALS="Y"))=0,"",'Dvd Calendar'!$R$1174)))</f>
        <v/>
      </c>
      <c r="Q121" s="106">
        <f>IF(ES121="","",IF(ISNUMBER('Dvd Calendar'!$S$1174)=FALSE,"",IF((('Dvd Calendar'!$S$1176=TYPE1)*(TYPE1&lt;&gt;"")+('Dvd Calendar'!$S$1176=TYPE2)*(TYPE2&lt;&gt;"")+('Dvd Calendar'!$S$1176=TYPE3)*(TYPE3&lt;&gt;"")+('Dvd Calendar'!$S$1176=TYPE4)*(TYPE4&lt;&gt;"")+('Dvd Calendar'!$S$1176=SPECIAL_LBL)*(INC_SPECIALS="Y"))=0,"",'Dvd Calendar'!$S$1174)))</f>
        <v/>
      </c>
      <c r="R121" s="106">
        <f>IF(ET121="","",IF(ISNUMBER('Dvd Calendar'!$T$1174)=FALSE,"",IF((('Dvd Calendar'!$T$1176=TYPE1)*(TYPE1&lt;&gt;"")+('Dvd Calendar'!$T$1176=TYPE2)*(TYPE2&lt;&gt;"")+('Dvd Calendar'!$T$1176=TYPE3)*(TYPE3&lt;&gt;"")+('Dvd Calendar'!$T$1176=TYPE4)*(TYPE4&lt;&gt;"")+('Dvd Calendar'!$T$1176=SPECIAL_LBL)*(INC_SPECIALS="Y"))=0,"",'Dvd Calendar'!$T$1174)))</f>
        <v/>
      </c>
      <c r="S121" s="106">
        <f>IF(EU121="","",IF(ISNUMBER('Dvd Calendar'!$U$1174)=FALSE,"",IF((('Dvd Calendar'!$U$1176=TYPE1)*(TYPE1&lt;&gt;"")+('Dvd Calendar'!$U$1176=TYPE2)*(TYPE2&lt;&gt;"")+('Dvd Calendar'!$U$1176=TYPE3)*(TYPE3&lt;&gt;"")+('Dvd Calendar'!$U$1176=TYPE4)*(TYPE4&lt;&gt;"")+('Dvd Calendar'!$U$1176=SPECIAL_LBL)*(INC_SPECIALS="Y"))=0,"",'Dvd Calendar'!$U$1174)))</f>
        <v/>
      </c>
      <c r="T121" s="106">
        <f>IF(EV121="","",IF(ISNUMBER('Dvd Calendar'!$V$1174)=FALSE,"",IF((('Dvd Calendar'!$V$1176=TYPE1)*(TYPE1&lt;&gt;"")+('Dvd Calendar'!$V$1176=TYPE2)*(TYPE2&lt;&gt;"")+('Dvd Calendar'!$V$1176=TYPE3)*(TYPE3&lt;&gt;"")+('Dvd Calendar'!$V$1176=TYPE4)*(TYPE4&lt;&gt;"")+('Dvd Calendar'!$V$1176=SPECIAL_LBL)*(INC_SPECIALS="Y"))=0,"",'Dvd Calendar'!$V$1174)))</f>
        <v/>
      </c>
      <c r="U121" s="106">
        <f>IF(EW121="","",IF(ISNUMBER('Dvd Calendar'!$W$1174)=FALSE,"",IF((('Dvd Calendar'!$W$1176=TYPE1)*(TYPE1&lt;&gt;"")+('Dvd Calendar'!$W$1176=TYPE2)*(TYPE2&lt;&gt;"")+('Dvd Calendar'!$W$1176=TYPE3)*(TYPE3&lt;&gt;"")+('Dvd Calendar'!$W$1176=TYPE4)*(TYPE4&lt;&gt;"")+('Dvd Calendar'!$W$1176=SPECIAL_LBL)*(INC_SPECIALS="Y"))=0,"",'Dvd Calendar'!$W$1174)))</f>
        <v/>
      </c>
      <c r="V121" s="106">
        <f>IF(EX121="","",IF(ISNUMBER('Dvd Calendar'!$X$1174)=FALSE,"",IF((('Dvd Calendar'!$X$1176=TYPE1)*(TYPE1&lt;&gt;"")+('Dvd Calendar'!$X$1176=TYPE2)*(TYPE2&lt;&gt;"")+('Dvd Calendar'!$X$1176=TYPE3)*(TYPE3&lt;&gt;"")+('Dvd Calendar'!$X$1176=TYPE4)*(TYPE4&lt;&gt;"")+('Dvd Calendar'!$X$1176=SPECIAL_LBL)*(INC_SPECIALS="Y"))=0,"",'Dvd Calendar'!$X$1174)))</f>
        <v/>
      </c>
      <c r="W121" s="106">
        <f>IF(EY121="","",IF(ISNUMBER('Dvd Calendar'!$Y$1174)=FALSE,"",IF((('Dvd Calendar'!$Y$1176=TYPE1)*(TYPE1&lt;&gt;"")+('Dvd Calendar'!$Y$1176=TYPE2)*(TYPE2&lt;&gt;"")+('Dvd Calendar'!$Y$1176=TYPE3)*(TYPE3&lt;&gt;"")+('Dvd Calendar'!$Y$1176=TYPE4)*(TYPE4&lt;&gt;"")+('Dvd Calendar'!$Y$1176=SPECIAL_LBL)*(INC_SPECIALS="Y"))=0,"",'Dvd Calendar'!$Y$1174)))</f>
        <v/>
      </c>
      <c r="X121" s="106">
        <f>IF(EZ121="","",IF(ISNUMBER('Dvd Calendar'!$Z$1174)=FALSE,"",IF((('Dvd Calendar'!$Z$1176=TYPE1)*(TYPE1&lt;&gt;"")+('Dvd Calendar'!$Z$1176=TYPE2)*(TYPE2&lt;&gt;"")+('Dvd Calendar'!$Z$1176=TYPE3)*(TYPE3&lt;&gt;"")+('Dvd Calendar'!$Z$1176=TYPE4)*(TYPE4&lt;&gt;"")+('Dvd Calendar'!$Z$1176=SPECIAL_LBL)*(INC_SPECIALS="Y"))=0,"",'Dvd Calendar'!$Z$1174)))</f>
        <v/>
      </c>
      <c r="Y121" s="106">
        <f>IF(FA121="","",IF(ISNUMBER('Dvd Calendar'!$AA$1174)=FALSE,"",IF((('Dvd Calendar'!$AA$1176=TYPE1)*(TYPE1&lt;&gt;"")+('Dvd Calendar'!$AA$1176=TYPE2)*(TYPE2&lt;&gt;"")+('Dvd Calendar'!$AA$1176=TYPE3)*(TYPE3&lt;&gt;"")+('Dvd Calendar'!$AA$1176=TYPE4)*(TYPE4&lt;&gt;"")+('Dvd Calendar'!$AA$1176=SPECIAL_LBL)*(INC_SPECIALS="Y"))=0,"",'Dvd Calendar'!$AA$1174)))</f>
        <v/>
      </c>
      <c r="Z121" s="106">
        <f>IF(FB121="","",IF(ISNUMBER('Dvd Calendar'!$AB$1174)=FALSE,"",IF((('Dvd Calendar'!$AB$1176=TYPE1)*(TYPE1&lt;&gt;"")+('Dvd Calendar'!$AB$1176=TYPE2)*(TYPE2&lt;&gt;"")+('Dvd Calendar'!$AB$1176=TYPE3)*(TYPE3&lt;&gt;"")+('Dvd Calendar'!$AB$1176=TYPE4)*(TYPE4&lt;&gt;"")+('Dvd Calendar'!$AB$1176=SPECIAL_LBL)*(INC_SPECIALS="Y"))=0,"",'Dvd Calendar'!$AB$1174)))</f>
        <v/>
      </c>
      <c r="AA121" s="106">
        <f>IF(FC121="","",IF(ISNUMBER('Dvd Calendar'!$AC$1174)=FALSE,"",IF((('Dvd Calendar'!$AC$1176=TYPE1)*(TYPE1&lt;&gt;"")+('Dvd Calendar'!$AC$1176=TYPE2)*(TYPE2&lt;&gt;"")+('Dvd Calendar'!$AC$1176=TYPE3)*(TYPE3&lt;&gt;"")+('Dvd Calendar'!$AC$1176=TYPE4)*(TYPE4&lt;&gt;"")+('Dvd Calendar'!$AC$1176=SPECIAL_LBL)*(INC_SPECIALS="Y"))=0,"",'Dvd Calendar'!$AC$1174)))</f>
        <v/>
      </c>
      <c r="AB121" s="106">
        <f>IF(FD121="","",IF(ISNUMBER('Dvd Calendar'!$AD$1174)=FALSE,"",IF((('Dvd Calendar'!$AD$1176=TYPE1)*(TYPE1&lt;&gt;"")+('Dvd Calendar'!$AD$1176=TYPE2)*(TYPE2&lt;&gt;"")+('Dvd Calendar'!$AD$1176=TYPE3)*(TYPE3&lt;&gt;"")+('Dvd Calendar'!$AD$1176=TYPE4)*(TYPE4&lt;&gt;"")+('Dvd Calendar'!$AD$1176=SPECIAL_LBL)*(INC_SPECIALS="Y"))=0,"",'Dvd Calendar'!$AD$1174)))</f>
        <v/>
      </c>
      <c r="AC121" s="106">
        <f>IF(FE121="","",IF(ISNUMBER('Dvd Calendar'!$AE$1174)=FALSE,"",IF((('Dvd Calendar'!$AE$1176=TYPE1)*(TYPE1&lt;&gt;"")+('Dvd Calendar'!$AE$1176=TYPE2)*(TYPE2&lt;&gt;"")+('Dvd Calendar'!$AE$1176=TYPE3)*(TYPE3&lt;&gt;"")+('Dvd Calendar'!$AE$1176=TYPE4)*(TYPE4&lt;&gt;"")+('Dvd Calendar'!$AE$1176=SPECIAL_LBL)*(INC_SPECIALS="Y"))=0,"",'Dvd Calendar'!$AE$1174)))</f>
        <v/>
      </c>
      <c r="AD121" s="106">
        <f>IF(FF121="","",IF(ISNUMBER('Dvd Calendar'!$AF$1174)=FALSE,"",IF((('Dvd Calendar'!$AF$1176=TYPE1)*(TYPE1&lt;&gt;"")+('Dvd Calendar'!$AF$1176=TYPE2)*(TYPE2&lt;&gt;"")+('Dvd Calendar'!$AF$1176=TYPE3)*(TYPE3&lt;&gt;"")+('Dvd Calendar'!$AF$1176=TYPE4)*(TYPE4&lt;&gt;"")+('Dvd Calendar'!$AF$1176=SPECIAL_LBL)*(INC_SPECIALS="Y"))=0,"",'Dvd Calendar'!$AF$1174)))</f>
        <v/>
      </c>
      <c r="AE121" s="106">
        <f>IF(FG121="","",IF(ISNUMBER('Dvd Calendar'!$AG$1174)=FALSE,"",IF((('Dvd Calendar'!$AG$1176=TYPE1)*(TYPE1&lt;&gt;"")+('Dvd Calendar'!$AG$1176=TYPE2)*(TYPE2&lt;&gt;"")+('Dvd Calendar'!$AG$1176=TYPE3)*(TYPE3&lt;&gt;"")+('Dvd Calendar'!$AG$1176=TYPE4)*(TYPE4&lt;&gt;"")+('Dvd Calendar'!$AG$1176=SPECIAL_LBL)*(INC_SPECIALS="Y"))=0,"",'Dvd Calendar'!$AG$1174)))</f>
        <v/>
      </c>
      <c r="AF121" s="106">
        <f>IF(FH121="","",IF(ISNUMBER('Dvd Calendar'!$AH$1174)=FALSE,"",IF((('Dvd Calendar'!$AH$1176=TYPE1)*(TYPE1&lt;&gt;"")+('Dvd Calendar'!$AH$1176=TYPE2)*(TYPE2&lt;&gt;"")+('Dvd Calendar'!$AH$1176=TYPE3)*(TYPE3&lt;&gt;"")+('Dvd Calendar'!$AH$1176=TYPE4)*(TYPE4&lt;&gt;"")+('Dvd Calendar'!$AH$1176=SPECIAL_LBL)*(INC_SPECIALS="Y"))=0,"",'Dvd Calendar'!$AH$1174)))</f>
        <v/>
      </c>
      <c r="AG121" s="106">
        <f>IF(FI121="","",IF(ISNUMBER('Dvd Calendar'!$AI$1174)=FALSE,"",IF((('Dvd Calendar'!$AI$1176=TYPE1)*(TYPE1&lt;&gt;"")+('Dvd Calendar'!$AI$1176=TYPE2)*(TYPE2&lt;&gt;"")+('Dvd Calendar'!$AI$1176=TYPE3)*(TYPE3&lt;&gt;"")+('Dvd Calendar'!$AI$1176=TYPE4)*(TYPE4&lt;&gt;"")+('Dvd Calendar'!$AI$1176=SPECIAL_LBL)*(INC_SPECIALS="Y"))=0,"",'Dvd Calendar'!$AI$1174)))</f>
        <v/>
      </c>
      <c r="AH121" s="106">
        <f>IF(FJ121="","",IF(ISNUMBER('Dvd Calendar'!$AJ$1174)=FALSE,"",IF((('Dvd Calendar'!$AJ$1176=TYPE1)*(TYPE1&lt;&gt;"")+('Dvd Calendar'!$AJ$1176=TYPE2)*(TYPE2&lt;&gt;"")+('Dvd Calendar'!$AJ$1176=TYPE3)*(TYPE3&lt;&gt;"")+('Dvd Calendar'!$AJ$1176=TYPE4)*(TYPE4&lt;&gt;"")+('Dvd Calendar'!$AJ$1176=SPECIAL_LBL)*(INC_SPECIALS="Y"))=0,"",'Dvd Calendar'!$AJ$1174)))</f>
        <v/>
      </c>
      <c r="AI121" s="106">
        <f>IF(FK121="","",IF(ISNUMBER('Dvd Calendar'!$AK$1174)=FALSE,"",IF((('Dvd Calendar'!$AK$1176=TYPE1)*(TYPE1&lt;&gt;"")+('Dvd Calendar'!$AK$1176=TYPE2)*(TYPE2&lt;&gt;"")+('Dvd Calendar'!$AK$1176=TYPE3)*(TYPE3&lt;&gt;"")+('Dvd Calendar'!$AK$1176=TYPE4)*(TYPE4&lt;&gt;"")+('Dvd Calendar'!$AK$1176=SPECIAL_LBL)*(INC_SPECIALS="Y"))=0,"",'Dvd Calendar'!$AK$1174)))</f>
        <v/>
      </c>
      <c r="AJ121" s="106">
        <f>IF(FL121="","",IF(ISNUMBER('Dvd Calendar'!$AL$1174)=FALSE,"",IF((('Dvd Calendar'!$AL$1176=TYPE1)*(TYPE1&lt;&gt;"")+('Dvd Calendar'!$AL$1176=TYPE2)*(TYPE2&lt;&gt;"")+('Dvd Calendar'!$AL$1176=TYPE3)*(TYPE3&lt;&gt;"")+('Dvd Calendar'!$AL$1176=TYPE4)*(TYPE4&lt;&gt;"")+('Dvd Calendar'!$AL$1176=SPECIAL_LBL)*(INC_SPECIALS="Y"))=0,"",'Dvd Calendar'!$AL$1174)))</f>
        <v/>
      </c>
      <c r="AK121" s="106">
        <f>IF(FM121="","",IF(ISNUMBER('Dvd Calendar'!$AM$1174)=FALSE,"",IF((('Dvd Calendar'!$AM$1176=TYPE1)*(TYPE1&lt;&gt;"")+('Dvd Calendar'!$AM$1176=TYPE2)*(TYPE2&lt;&gt;"")+('Dvd Calendar'!$AM$1176=TYPE3)*(TYPE3&lt;&gt;"")+('Dvd Calendar'!$AM$1176=TYPE4)*(TYPE4&lt;&gt;"")+('Dvd Calendar'!$AM$1176=SPECIAL_LBL)*(INC_SPECIALS="Y"))=0,"",'Dvd Calendar'!$AM$1174)))</f>
        <v/>
      </c>
      <c r="AL121" s="106">
        <f>IF(FN121="","",IF(ISNUMBER('Dvd Calendar'!$AN$1174)=FALSE,"",IF((('Dvd Calendar'!$AN$1176=TYPE1)*(TYPE1&lt;&gt;"")+('Dvd Calendar'!$AN$1176=TYPE2)*(TYPE2&lt;&gt;"")+('Dvd Calendar'!$AN$1176=TYPE3)*(TYPE3&lt;&gt;"")+('Dvd Calendar'!$AN$1176=TYPE4)*(TYPE4&lt;&gt;"")+('Dvd Calendar'!$AN$1176=SPECIAL_LBL)*(INC_SPECIALS="Y"))=0,"",'Dvd Calendar'!$AN$1174)))</f>
        <v/>
      </c>
      <c r="AM121" s="106">
        <f>IF(FO121="","",IF(ISNUMBER('Dvd Calendar'!$AO$1174)=FALSE,"",IF((('Dvd Calendar'!$AO$1176=TYPE1)*(TYPE1&lt;&gt;"")+('Dvd Calendar'!$AO$1176=TYPE2)*(TYPE2&lt;&gt;"")+('Dvd Calendar'!$AO$1176=TYPE3)*(TYPE3&lt;&gt;"")+('Dvd Calendar'!$AO$1176=TYPE4)*(TYPE4&lt;&gt;"")+('Dvd Calendar'!$AO$1176=SPECIAL_LBL)*(INC_SPECIALS="Y"))=0,"",'Dvd Calendar'!$AO$1174)))</f>
        <v/>
      </c>
      <c r="AN121" s="106">
        <f>IF(FP121="","",IF(ISNUMBER('Dvd Calendar'!$AP$1174)=FALSE,"",IF((('Dvd Calendar'!$AP$1176=TYPE1)*(TYPE1&lt;&gt;"")+('Dvd Calendar'!$AP$1176=TYPE2)*(TYPE2&lt;&gt;"")+('Dvd Calendar'!$AP$1176=TYPE3)*(TYPE3&lt;&gt;"")+('Dvd Calendar'!$AP$1176=TYPE4)*(TYPE4&lt;&gt;"")+('Dvd Calendar'!$AP$1176=SPECIAL_LBL)*(INC_SPECIALS="Y"))=0,"",'Dvd Calendar'!$AP$1174)))</f>
        <v/>
      </c>
      <c r="AO121" s="106">
        <f>IF(FQ121="","",IF(ISNUMBER('Dvd Calendar'!$AQ$1174)=FALSE,"",IF((('Dvd Calendar'!$AQ$1176=TYPE1)*(TYPE1&lt;&gt;"")+('Dvd Calendar'!$AQ$1176=TYPE2)*(TYPE2&lt;&gt;"")+('Dvd Calendar'!$AQ$1176=TYPE3)*(TYPE3&lt;&gt;"")+('Dvd Calendar'!$AQ$1176=TYPE4)*(TYPE4&lt;&gt;"")+('Dvd Calendar'!$AQ$1176=SPECIAL_LBL)*(INC_SPECIALS="Y"))=0,"",'Dvd Calendar'!$AQ$1174)))</f>
        <v/>
      </c>
      <c r="AP121" s="106">
        <f>IF(FR121="","",IF(ISNUMBER('Dvd Calendar'!$AR$1174)=FALSE,"",IF((('Dvd Calendar'!$AR$1176=TYPE1)*(TYPE1&lt;&gt;"")+('Dvd Calendar'!$AR$1176=TYPE2)*(TYPE2&lt;&gt;"")+('Dvd Calendar'!$AR$1176=TYPE3)*(TYPE3&lt;&gt;"")+('Dvd Calendar'!$AR$1176=TYPE4)*(TYPE4&lt;&gt;"")+('Dvd Calendar'!$AR$1176=SPECIAL_LBL)*(INC_SPECIALS="Y"))=0,"",'Dvd Calendar'!$AR$1174)))</f>
        <v/>
      </c>
      <c r="AQ121" s="106">
        <f>IF(FS121="","",IF(ISNUMBER('Dvd Calendar'!$E$1179)=FALSE,"",'Dvd Calendar'!$E$1179))</f>
        <v/>
      </c>
      <c r="AR121" s="106">
        <f>IF(FT121="","",IF(ISNUMBER('Dvd Calendar'!$F$1179)=FALSE,"",'Dvd Calendar'!$F$1179))</f>
        <v/>
      </c>
      <c r="AS121" s="106">
        <f>IF(FU121="","",IF(ISNUMBER('Dvd Calendar'!$G$1179)=FALSE,"",'Dvd Calendar'!$G$1179))</f>
        <v/>
      </c>
      <c r="AT121" s="106">
        <f>IF(FV121="","",IF(ISNUMBER('Dvd Calendar'!$H$1179)=FALSE,"",'Dvd Calendar'!$H$1179))</f>
        <v/>
      </c>
      <c r="AU121" s="106">
        <f>IF(FW121="","",IF(ISNUMBER('Dvd Calendar'!$I$1179)=FALSE,"",'Dvd Calendar'!$I$1179))</f>
        <v/>
      </c>
      <c r="AV121" s="106">
        <f>IF(FX121="","",IF(ISNUMBER('Dvd Calendar'!$J$1179)=FALSE,"",'Dvd Calendar'!$J$1179))</f>
        <v/>
      </c>
      <c r="AW121" s="106">
        <f>IF(FY121="","",IF(ISNUMBER('Dvd Calendar'!$K$1179)=FALSE,"",'Dvd Calendar'!$K$1179))</f>
        <v/>
      </c>
      <c r="AX121" s="106">
        <f>IF(FZ121="","",IF(ISNUMBER('Dvd Calendar'!$L$1179)=FALSE,"",'Dvd Calendar'!$L$1179))</f>
        <v/>
      </c>
      <c r="AY121" s="106">
        <f>IF(GA121="","",IF(ISNUMBER('Dvd Calendar'!$M$1179)=FALSE,"",'Dvd Calendar'!$M$1179))</f>
        <v/>
      </c>
      <c r="AZ121" s="106">
        <f>IF(GB121="","",IF(ISNUMBER('Dvd Calendar'!$N$1179)=FALSE,"",'Dvd Calendar'!$N$1179))</f>
        <v/>
      </c>
      <c r="BA121" s="106">
        <f>IF(GC121="","",IF(ISNUMBER('Dvd Calendar'!$O$1179)=FALSE,"",'Dvd Calendar'!$O$1179))</f>
        <v/>
      </c>
      <c r="BB121" s="106">
        <f>IF(GD121="","",IF(ISNUMBER('Dvd Calendar'!$P$1179)=FALSE,"",'Dvd Calendar'!$P$1179))</f>
        <v/>
      </c>
      <c r="BC121" s="106">
        <f>IF(GE121="","",IF(ISNUMBER('Dvd Calendar'!$Q$1179)=FALSE,"",'Dvd Calendar'!$Q$1179))</f>
        <v/>
      </c>
      <c r="BD121" s="106">
        <f>IF(GF121="","",IF(ISNUMBER('Dvd Calendar'!$R$1179)=FALSE,"",'Dvd Calendar'!$R$1179))</f>
        <v/>
      </c>
      <c r="BE121" s="106">
        <f>IF(GG121="","",IF(ISNUMBER('Dvd Calendar'!$S$1179)=FALSE,"",'Dvd Calendar'!$S$1179))</f>
        <v/>
      </c>
      <c r="BF121" s="106">
        <f>IF(GH121="","",IF(ISNUMBER('Dvd Calendar'!$T$1179)=FALSE,"",'Dvd Calendar'!$T$1179))</f>
        <v/>
      </c>
      <c r="BG121" s="106">
        <f>IF(GI121="","",IF(ISNUMBER('Dvd Calendar'!$U$1179)=FALSE,"",'Dvd Calendar'!$U$1179))</f>
        <v/>
      </c>
      <c r="BH121" s="106">
        <f>IF(GJ121="","",IF(ISNUMBER('Dvd Calendar'!$V$1179)=FALSE,"",'Dvd Calendar'!$V$1179))</f>
        <v/>
      </c>
      <c r="BI121" s="106">
        <f>IF(GK121="","",IF(ISNUMBER('Dvd Calendar'!$W$1179)=FALSE,"",'Dvd Calendar'!$W$1179))</f>
        <v/>
      </c>
      <c r="BJ121" s="106">
        <f>IF(GL121="","",IF(ISNUMBER('Dvd Calendar'!$X$1179)=FALSE,"",'Dvd Calendar'!$X$1179))</f>
        <v/>
      </c>
      <c r="BK121" s="106">
        <f>IF(GM121="","",IF(ISNUMBER('Dvd Calendar'!$Y$1179)=FALSE,"",'Dvd Calendar'!$Y$1179))</f>
        <v/>
      </c>
      <c r="BL121" s="106">
        <f>IF(GN121="","",IF(ISNUMBER('Dvd Calendar'!$Z$1179)=FALSE,"",'Dvd Calendar'!$Z$1179))</f>
        <v/>
      </c>
      <c r="BM121" s="106">
        <f>IF(GO121="","",IF(ISNUMBER('Dvd Calendar'!$AA$1179)=FALSE,"",'Dvd Calendar'!$AA$1179))</f>
        <v/>
      </c>
      <c r="BN121" s="106">
        <f>IF(GP121="","",IF(ISNUMBER('Dvd Calendar'!$AB$1179)=FALSE,"",'Dvd Calendar'!$AB$1179))</f>
        <v/>
      </c>
      <c r="BO121" s="106">
        <f>IF(GQ121="","",IF(ISNUMBER('Dvd Calendar'!$AC$1179)=FALSE,"",'Dvd Calendar'!$AC$1179))</f>
        <v/>
      </c>
      <c r="BQ121" s="106">
        <f>IF(C121="","",IFERROR(C121*HSTECH!$B$12*HSTECH!$G$12/HSTECH!$B$3,""))</f>
        <v/>
      </c>
      <c r="BR121" s="106">
        <f>IF(D121="","",IFERROR(D121*HSTECH!$B$12*HSTECH!$G$12/HSTECH!$B$3,""))</f>
        <v/>
      </c>
      <c r="BS121" s="106">
        <f>IF(E121="","",IFERROR(E121*HSTECH!$B$12*HSTECH!$G$12/HSTECH!$B$3,""))</f>
        <v/>
      </c>
      <c r="BT121" s="106">
        <f>IF(F121="","",IFERROR(F121*HSTECH!$B$12*HSTECH!$G$12/HSTECH!$B$3,""))</f>
        <v/>
      </c>
      <c r="BU121" s="106">
        <f>IF(G121="","",IFERROR(G121*HSTECH!$B$12*HSTECH!$G$12/HSTECH!$B$3,""))</f>
        <v/>
      </c>
      <c r="BV121" s="106">
        <f>IF(H121="","",IFERROR(H121*HSTECH!$B$12*HSTECH!$G$12/HSTECH!$B$3,""))</f>
        <v/>
      </c>
      <c r="BW121" s="106">
        <f>IF(I121="","",IFERROR(I121*HSTECH!$B$12*HSTECH!$G$12/HSTECH!$B$3,""))</f>
        <v/>
      </c>
      <c r="BX121" s="106">
        <f>IF(J121="","",IFERROR(J121*HSTECH!$B$12*HSTECH!$G$12/HSTECH!$B$3,""))</f>
        <v/>
      </c>
      <c r="BY121" s="106">
        <f>IF(K121="","",IFERROR(K121*HSTECH!$B$12*HSTECH!$G$12/HSTECH!$B$3,""))</f>
        <v/>
      </c>
      <c r="BZ121" s="106">
        <f>IF(L121="","",IFERROR(L121*HSTECH!$B$12*HSTECH!$G$12/HSTECH!$B$3,""))</f>
        <v/>
      </c>
      <c r="CA121" s="106">
        <f>IF(M121="","",IFERROR(M121*HSTECH!$B$12*HSTECH!$G$12/HSTECH!$B$3,""))</f>
        <v/>
      </c>
      <c r="CB121" s="106">
        <f>IF(N121="","",IFERROR(N121*HSTECH!$B$12*HSTECH!$G$12/HSTECH!$B$3,""))</f>
        <v/>
      </c>
      <c r="CC121" s="106">
        <f>IF(O121="","",IFERROR(O121*HSTECH!$B$12*HSTECH!$G$12/HSTECH!$B$3,""))</f>
        <v/>
      </c>
      <c r="CD121" s="106">
        <f>IF(P121="","",IFERROR(P121*HSTECH!$B$12*HSTECH!$G$12/HSTECH!$B$3,""))</f>
        <v/>
      </c>
      <c r="CE121" s="106">
        <f>IF(Q121="","",IFERROR(Q121*HSTECH!$B$12*HSTECH!$G$12/HSTECH!$B$3,""))</f>
        <v/>
      </c>
      <c r="CF121" s="106">
        <f>IF(R121="","",IFERROR(R121*HSTECH!$B$12*HSTECH!$G$12/HSTECH!$B$3,""))</f>
        <v/>
      </c>
      <c r="CG121" s="106">
        <f>IF(S121="","",IFERROR(S121*HSTECH!$B$12*HSTECH!$G$12/HSTECH!$B$3,""))</f>
        <v/>
      </c>
      <c r="CH121" s="106">
        <f>IF(T121="","",IFERROR(T121*HSTECH!$B$12*HSTECH!$G$12/HSTECH!$B$3,""))</f>
        <v/>
      </c>
      <c r="CI121" s="106">
        <f>IF(U121="","",IFERROR(U121*HSTECH!$B$12*HSTECH!$G$12/HSTECH!$B$3,""))</f>
        <v/>
      </c>
      <c r="CJ121" s="106">
        <f>IF(V121="","",IFERROR(V121*HSTECH!$B$12*HSTECH!$G$12/HSTECH!$B$3,""))</f>
        <v/>
      </c>
      <c r="CK121" s="106">
        <f>IF(W121="","",IFERROR(W121*HSTECH!$B$12*HSTECH!$G$12/HSTECH!$B$3,""))</f>
        <v/>
      </c>
      <c r="CL121" s="106">
        <f>IF(X121="","",IFERROR(X121*HSTECH!$B$12*HSTECH!$G$12/HSTECH!$B$3,""))</f>
        <v/>
      </c>
      <c r="CM121" s="106">
        <f>IF(Y121="","",IFERROR(Y121*HSTECH!$B$12*HSTECH!$G$12/HSTECH!$B$3,""))</f>
        <v/>
      </c>
      <c r="CN121" s="106">
        <f>IF(Z121="","",IFERROR(Z121*HSTECH!$B$12*HSTECH!$G$12/HSTECH!$B$3,""))</f>
        <v/>
      </c>
      <c r="CO121" s="106">
        <f>IF(AA121="","",IFERROR(AA121*HSTECH!$B$12*HSTECH!$G$12/HSTECH!$B$3,""))</f>
        <v/>
      </c>
      <c r="CP121" s="106">
        <f>IF(AB121="","",IFERROR(AB121*HSTECH!$B$12*HSTECH!$G$12/HSTECH!$B$3,""))</f>
        <v/>
      </c>
      <c r="CQ121" s="106">
        <f>IF(AC121="","",IFERROR(AC121*HSTECH!$B$12*HSTECH!$G$12/HSTECH!$B$3,""))</f>
        <v/>
      </c>
      <c r="CR121" s="106">
        <f>IF(AD121="","",IFERROR(AD121*HSTECH!$B$12*HSTECH!$G$12/HSTECH!$B$3,""))</f>
        <v/>
      </c>
      <c r="CS121" s="106">
        <f>IF(AE121="","",IFERROR(AE121*HSTECH!$B$12*HSTECH!$G$12/HSTECH!$B$3,""))</f>
        <v/>
      </c>
      <c r="CT121" s="106">
        <f>IF(AF121="","",IFERROR(AF121*HSTECH!$B$12*HSTECH!$G$12/HSTECH!$B$3,""))</f>
        <v/>
      </c>
      <c r="CU121" s="106">
        <f>IF(AG121="","",IFERROR(AG121*HSTECH!$B$12*HSTECH!$G$12/HSTECH!$B$3,""))</f>
        <v/>
      </c>
      <c r="CV121" s="106">
        <f>IF(AH121="","",IFERROR(AH121*HSTECH!$B$12*HSTECH!$G$12/HSTECH!$B$3,""))</f>
        <v/>
      </c>
      <c r="CW121" s="106">
        <f>IF(AI121="","",IFERROR(AI121*HSTECH!$B$12*HSTECH!$G$12/HSTECH!$B$3,""))</f>
        <v/>
      </c>
      <c r="CX121" s="106">
        <f>IF(AJ121="","",IFERROR(AJ121*HSTECH!$B$12*HSTECH!$G$12/HSTECH!$B$3,""))</f>
        <v/>
      </c>
      <c r="CY121" s="106">
        <f>IF(AK121="","",IFERROR(AK121*HSTECH!$B$12*HSTECH!$G$12/HSTECH!$B$3,""))</f>
        <v/>
      </c>
      <c r="CZ121" s="106">
        <f>IF(AL121="","",IFERROR(AL121*HSTECH!$B$12*HSTECH!$G$12/HSTECH!$B$3,""))</f>
        <v/>
      </c>
      <c r="DA121" s="106">
        <f>IF(AM121="","",IFERROR(AM121*HSTECH!$B$12*HSTECH!$G$12/HSTECH!$B$3,""))</f>
        <v/>
      </c>
      <c r="DB121" s="106">
        <f>IF(AN121="","",IFERROR(AN121*HSTECH!$B$12*HSTECH!$G$12/HSTECH!$B$3,""))</f>
        <v/>
      </c>
      <c r="DC121" s="106">
        <f>IF(AO121="","",IFERROR(AO121*HSTECH!$B$12*HSTECH!$G$12/HSTECH!$B$3,""))</f>
        <v/>
      </c>
      <c r="DD121" s="106">
        <f>IF(AP121="","",IFERROR(AP121*HSTECH!$B$12*HSTECH!$G$12/HSTECH!$B$3,""))</f>
        <v/>
      </c>
      <c r="DE121" s="106">
        <f>IF(AQ121="","",IFERROR(AQ121*HSTECH!$B$12*HSTECH!$G$12/HSTECH!$B$3,""))</f>
        <v/>
      </c>
      <c r="DF121" s="106">
        <f>IF(AR121="","",IFERROR(AR121*HSTECH!$B$12*HSTECH!$G$12/HSTECH!$B$3,""))</f>
        <v/>
      </c>
      <c r="DG121" s="106">
        <f>IF(AS121="","",IFERROR(AS121*HSTECH!$B$12*HSTECH!$G$12/HSTECH!$B$3,""))</f>
        <v/>
      </c>
      <c r="DH121" s="106">
        <f>IF(AT121="","",IFERROR(AT121*HSTECH!$B$12*HSTECH!$G$12/HSTECH!$B$3,""))</f>
        <v/>
      </c>
      <c r="DI121" s="106">
        <f>IF(AU121="","",IFERROR(AU121*HSTECH!$B$12*HSTECH!$G$12/HSTECH!$B$3,""))</f>
        <v/>
      </c>
      <c r="DJ121" s="106">
        <f>IF(AV121="","",IFERROR(AV121*HSTECH!$B$12*HSTECH!$G$12/HSTECH!$B$3,""))</f>
        <v/>
      </c>
      <c r="DK121" s="106">
        <f>IF(AW121="","",IFERROR(AW121*HSTECH!$B$12*HSTECH!$G$12/HSTECH!$B$3,""))</f>
        <v/>
      </c>
      <c r="DL121" s="106">
        <f>IF(AX121="","",IFERROR(AX121*HSTECH!$B$12*HSTECH!$G$12/HSTECH!$B$3,""))</f>
        <v/>
      </c>
      <c r="DM121" s="106">
        <f>IF(AY121="","",IFERROR(AY121*HSTECH!$B$12*HSTECH!$G$12/HSTECH!$B$3,""))</f>
        <v/>
      </c>
      <c r="DN121" s="106">
        <f>IF(AZ121="","",IFERROR(AZ121*HSTECH!$B$12*HSTECH!$G$12/HSTECH!$B$3,""))</f>
        <v/>
      </c>
      <c r="DO121" s="106">
        <f>IF(BA121="","",IFERROR(BA121*HSTECH!$B$12*HSTECH!$G$12/HSTECH!$B$3,""))</f>
        <v/>
      </c>
      <c r="DP121" s="106">
        <f>IF(BB121="","",IFERROR(BB121*HSTECH!$B$12*HSTECH!$G$12/HSTECH!$B$3,""))</f>
        <v/>
      </c>
      <c r="DQ121" s="106">
        <f>IF(BC121="","",IFERROR(BC121*HSTECH!$B$12*HSTECH!$G$12/HSTECH!$B$3,""))</f>
        <v/>
      </c>
      <c r="DR121" s="106">
        <f>IF(BD121="","",IFERROR(BD121*HSTECH!$B$12*HSTECH!$G$12/HSTECH!$B$3,""))</f>
        <v/>
      </c>
      <c r="DS121" s="106">
        <f>IF(BE121="","",IFERROR(BE121*HSTECH!$B$12*HSTECH!$G$12/HSTECH!$B$3,""))</f>
        <v/>
      </c>
      <c r="DT121" s="106">
        <f>IF(BF121="","",IFERROR(BF121*HSTECH!$B$12*HSTECH!$G$12/HSTECH!$B$3,""))</f>
        <v/>
      </c>
      <c r="DU121" s="106">
        <f>IF(BG121="","",IFERROR(BG121*HSTECH!$B$12*HSTECH!$G$12/HSTECH!$B$3,""))</f>
        <v/>
      </c>
      <c r="DV121" s="106">
        <f>IF(BH121="","",IFERROR(BH121*HSTECH!$B$12*HSTECH!$G$12/HSTECH!$B$3,""))</f>
        <v/>
      </c>
      <c r="DW121" s="106">
        <f>IF(BI121="","",IFERROR(BI121*HSTECH!$B$12*HSTECH!$G$12/HSTECH!$B$3,""))</f>
        <v/>
      </c>
      <c r="DX121" s="106">
        <f>IF(BJ121="","",IFERROR(BJ121*HSTECH!$B$12*HSTECH!$G$12/HSTECH!$B$3,""))</f>
        <v/>
      </c>
      <c r="DY121" s="106">
        <f>IF(BK121="","",IFERROR(BK121*HSTECH!$B$12*HSTECH!$G$12/HSTECH!$B$3,""))</f>
        <v/>
      </c>
      <c r="DZ121" s="106">
        <f>IF(BL121="","",IFERROR(BL121*HSTECH!$B$12*HSTECH!$G$12/HSTECH!$B$3,""))</f>
        <v/>
      </c>
      <c r="EA121" s="106">
        <f>IF(BM121="","",IFERROR(BM121*HSTECH!$B$12*HSTECH!$G$12/HSTECH!$B$3,""))</f>
        <v/>
      </c>
      <c r="EB121" s="106">
        <f>IF(BN121="","",IFERROR(BN121*HSTECH!$B$12*HSTECH!$G$12/HSTECH!$B$3,""))</f>
        <v/>
      </c>
      <c r="EC121" s="106">
        <f>IF(BO121="","",IFERROR(BO121*HSTECH!$B$12*HSTECH!$G$12/HSTECH!$B$3,""))</f>
        <v/>
      </c>
      <c r="EE121" s="35">
        <f>IF(N('Dvd Calendar'!$E$1171)=0,"",IF(('Dvd Calendar'!$E$1171&gt;=GRID_FROM)*('Dvd Calendar'!$E$1171&lt;=GRID_TO)*('Dvd Calendar'!$E$1171&lt;=VAL_DATE)=0,"",'Dvd Calendar'!$E$1171*1000000000+ISNUMBER('Dvd Calendar'!$E$1174)*100000000+('Dvd Calendar'!$E$1176=SPECIAL_LBL)*10000000+0*1000000+6*1000+1))</f>
        <v/>
      </c>
      <c r="EF121" s="35">
        <f>IF(N('Dvd Calendar'!$F$1171)=0,"",IF(('Dvd Calendar'!$F$1171&gt;=GRID_FROM)*('Dvd Calendar'!$F$1171&lt;=GRID_TO)*('Dvd Calendar'!$F$1171&lt;=VAL_DATE)=0,"",'Dvd Calendar'!$F$1171*1000000000+ISNUMBER('Dvd Calendar'!$F$1174)*100000000+('Dvd Calendar'!$F$1176=SPECIAL_LBL)*10000000+0*1000000+6*1000+2))</f>
        <v/>
      </c>
      <c r="EG121" s="35">
        <f>IF(N('Dvd Calendar'!$G$1171)=0,"",IF(('Dvd Calendar'!$G$1171&gt;=GRID_FROM)*('Dvd Calendar'!$G$1171&lt;=GRID_TO)*('Dvd Calendar'!$G$1171&lt;=VAL_DATE)=0,"",'Dvd Calendar'!$G$1171*1000000000+ISNUMBER('Dvd Calendar'!$G$1174)*100000000+('Dvd Calendar'!$G$1176=SPECIAL_LBL)*10000000+0*1000000+6*1000+3))</f>
        <v/>
      </c>
      <c r="EH121" s="35">
        <f>IF(N('Dvd Calendar'!$H$1171)=0,"",IF(('Dvd Calendar'!$H$1171&gt;=GRID_FROM)*('Dvd Calendar'!$H$1171&lt;=GRID_TO)*('Dvd Calendar'!$H$1171&lt;=VAL_DATE)=0,"",'Dvd Calendar'!$H$1171*1000000000+ISNUMBER('Dvd Calendar'!$H$1174)*100000000+('Dvd Calendar'!$H$1176=SPECIAL_LBL)*10000000+0*1000000+6*1000+4))</f>
        <v/>
      </c>
      <c r="EI121" s="35">
        <f>IF(N('Dvd Calendar'!$I$1171)=0,"",IF(('Dvd Calendar'!$I$1171&gt;=GRID_FROM)*('Dvd Calendar'!$I$1171&lt;=GRID_TO)*('Dvd Calendar'!$I$1171&lt;=VAL_DATE)=0,"",'Dvd Calendar'!$I$1171*1000000000+ISNUMBER('Dvd Calendar'!$I$1174)*100000000+('Dvd Calendar'!$I$1176=SPECIAL_LBL)*10000000+0*1000000+6*1000+5))</f>
        <v/>
      </c>
      <c r="EJ121" s="35">
        <f>IF(N('Dvd Calendar'!$J$1171)=0,"",IF(('Dvd Calendar'!$J$1171&gt;=GRID_FROM)*('Dvd Calendar'!$J$1171&lt;=GRID_TO)*('Dvd Calendar'!$J$1171&lt;=VAL_DATE)=0,"",'Dvd Calendar'!$J$1171*1000000000+ISNUMBER('Dvd Calendar'!$J$1174)*100000000+('Dvd Calendar'!$J$1176=SPECIAL_LBL)*10000000+0*1000000+6*1000+6))</f>
        <v/>
      </c>
      <c r="EK121" s="35">
        <f>IF(N('Dvd Calendar'!$K$1171)=0,"",IF(('Dvd Calendar'!$K$1171&gt;=GRID_FROM)*('Dvd Calendar'!$K$1171&lt;=GRID_TO)*('Dvd Calendar'!$K$1171&lt;=VAL_DATE)=0,"",'Dvd Calendar'!$K$1171*1000000000+ISNUMBER('Dvd Calendar'!$K$1174)*100000000+('Dvd Calendar'!$K$1176=SPECIAL_LBL)*10000000+0*1000000+6*1000+7))</f>
        <v/>
      </c>
      <c r="EL121" s="35">
        <f>IF(N('Dvd Calendar'!$L$1171)=0,"",IF(('Dvd Calendar'!$L$1171&gt;=GRID_FROM)*('Dvd Calendar'!$L$1171&lt;=GRID_TO)*('Dvd Calendar'!$L$1171&lt;=VAL_DATE)=0,"",'Dvd Calendar'!$L$1171*1000000000+ISNUMBER('Dvd Calendar'!$L$1174)*100000000+('Dvd Calendar'!$L$1176=SPECIAL_LBL)*10000000+0*1000000+6*1000+8))</f>
        <v/>
      </c>
      <c r="EM121" s="35">
        <f>IF(N('Dvd Calendar'!$M$1171)=0,"",IF(('Dvd Calendar'!$M$1171&gt;=GRID_FROM)*('Dvd Calendar'!$M$1171&lt;=GRID_TO)*('Dvd Calendar'!$M$1171&lt;=VAL_DATE)=0,"",'Dvd Calendar'!$M$1171*1000000000+ISNUMBER('Dvd Calendar'!$M$1174)*100000000+('Dvd Calendar'!$M$1176=SPECIAL_LBL)*10000000+0*1000000+6*1000+9))</f>
        <v/>
      </c>
      <c r="EN121" s="35">
        <f>IF(N('Dvd Calendar'!$N$1171)=0,"",IF(('Dvd Calendar'!$N$1171&gt;=GRID_FROM)*('Dvd Calendar'!$N$1171&lt;=GRID_TO)*('Dvd Calendar'!$N$1171&lt;=VAL_DATE)=0,"",'Dvd Calendar'!$N$1171*1000000000+ISNUMBER('Dvd Calendar'!$N$1174)*100000000+('Dvd Calendar'!$N$1176=SPECIAL_LBL)*10000000+0*1000000+6*1000+10))</f>
        <v/>
      </c>
      <c r="EO121" s="35">
        <f>IF(N('Dvd Calendar'!$O$1171)=0,"",IF(('Dvd Calendar'!$O$1171&gt;=GRID_FROM)*('Dvd Calendar'!$O$1171&lt;=GRID_TO)*('Dvd Calendar'!$O$1171&lt;=VAL_DATE)=0,"",'Dvd Calendar'!$O$1171*1000000000+ISNUMBER('Dvd Calendar'!$O$1174)*100000000+('Dvd Calendar'!$O$1176=SPECIAL_LBL)*10000000+0*1000000+6*1000+11))</f>
        <v/>
      </c>
      <c r="EP121" s="35">
        <f>IF(N('Dvd Calendar'!$P$1171)=0,"",IF(('Dvd Calendar'!$P$1171&gt;=GRID_FROM)*('Dvd Calendar'!$P$1171&lt;=GRID_TO)*('Dvd Calendar'!$P$1171&lt;=VAL_DATE)=0,"",'Dvd Calendar'!$P$1171*1000000000+ISNUMBER('Dvd Calendar'!$P$1174)*100000000+('Dvd Calendar'!$P$1176=SPECIAL_LBL)*10000000+0*1000000+6*1000+12))</f>
        <v/>
      </c>
      <c r="EQ121" s="35">
        <f>IF(N('Dvd Calendar'!$Q$1171)=0,"",IF(('Dvd Calendar'!$Q$1171&gt;=GRID_FROM)*('Dvd Calendar'!$Q$1171&lt;=GRID_TO)*('Dvd Calendar'!$Q$1171&lt;=VAL_DATE)=0,"",'Dvd Calendar'!$Q$1171*1000000000+ISNUMBER('Dvd Calendar'!$Q$1174)*100000000+('Dvd Calendar'!$Q$1176=SPECIAL_LBL)*10000000+0*1000000+6*1000+13))</f>
        <v/>
      </c>
      <c r="ER121" s="35">
        <f>IF(N('Dvd Calendar'!$R$1171)=0,"",IF(('Dvd Calendar'!$R$1171&gt;=GRID_FROM)*('Dvd Calendar'!$R$1171&lt;=GRID_TO)*('Dvd Calendar'!$R$1171&lt;=VAL_DATE)=0,"",'Dvd Calendar'!$R$1171*1000000000+ISNUMBER('Dvd Calendar'!$R$1174)*100000000+('Dvd Calendar'!$R$1176=SPECIAL_LBL)*10000000+0*1000000+6*1000+14))</f>
        <v/>
      </c>
      <c r="ES121" s="35">
        <f>IF(N('Dvd Calendar'!$S$1171)=0,"",IF(('Dvd Calendar'!$S$1171&gt;=GRID_FROM)*('Dvd Calendar'!$S$1171&lt;=GRID_TO)*('Dvd Calendar'!$S$1171&lt;=VAL_DATE)=0,"",'Dvd Calendar'!$S$1171*1000000000+ISNUMBER('Dvd Calendar'!$S$1174)*100000000+('Dvd Calendar'!$S$1176=SPECIAL_LBL)*10000000+0*1000000+6*1000+15))</f>
        <v/>
      </c>
      <c r="ET121" s="35">
        <f>IF(N('Dvd Calendar'!$T$1171)=0,"",IF(('Dvd Calendar'!$T$1171&gt;=GRID_FROM)*('Dvd Calendar'!$T$1171&lt;=GRID_TO)*('Dvd Calendar'!$T$1171&lt;=VAL_DATE)=0,"",'Dvd Calendar'!$T$1171*1000000000+ISNUMBER('Dvd Calendar'!$T$1174)*100000000+('Dvd Calendar'!$T$1176=SPECIAL_LBL)*10000000+0*1000000+6*1000+16))</f>
        <v/>
      </c>
      <c r="EU121" s="35">
        <f>IF(N('Dvd Calendar'!$U$1171)=0,"",IF(('Dvd Calendar'!$U$1171&gt;=GRID_FROM)*('Dvd Calendar'!$U$1171&lt;=GRID_TO)*('Dvd Calendar'!$U$1171&lt;=VAL_DATE)=0,"",'Dvd Calendar'!$U$1171*1000000000+ISNUMBER('Dvd Calendar'!$U$1174)*100000000+('Dvd Calendar'!$U$1176=SPECIAL_LBL)*10000000+0*1000000+6*1000+17))</f>
        <v/>
      </c>
      <c r="EV121" s="35">
        <f>IF(N('Dvd Calendar'!$V$1171)=0,"",IF(('Dvd Calendar'!$V$1171&gt;=GRID_FROM)*('Dvd Calendar'!$V$1171&lt;=GRID_TO)*('Dvd Calendar'!$V$1171&lt;=VAL_DATE)=0,"",'Dvd Calendar'!$V$1171*1000000000+ISNUMBER('Dvd Calendar'!$V$1174)*100000000+('Dvd Calendar'!$V$1176=SPECIAL_LBL)*10000000+0*1000000+6*1000+18))</f>
        <v/>
      </c>
      <c r="EW121" s="35">
        <f>IF(N('Dvd Calendar'!$W$1171)=0,"",IF(('Dvd Calendar'!$W$1171&gt;=GRID_FROM)*('Dvd Calendar'!$W$1171&lt;=GRID_TO)*('Dvd Calendar'!$W$1171&lt;=VAL_DATE)=0,"",'Dvd Calendar'!$W$1171*1000000000+ISNUMBER('Dvd Calendar'!$W$1174)*100000000+('Dvd Calendar'!$W$1176=SPECIAL_LBL)*10000000+0*1000000+6*1000+19))</f>
        <v/>
      </c>
      <c r="EX121" s="35">
        <f>IF(N('Dvd Calendar'!$X$1171)=0,"",IF(('Dvd Calendar'!$X$1171&gt;=GRID_FROM)*('Dvd Calendar'!$X$1171&lt;=GRID_TO)*('Dvd Calendar'!$X$1171&lt;=VAL_DATE)=0,"",'Dvd Calendar'!$X$1171*1000000000+ISNUMBER('Dvd Calendar'!$X$1174)*100000000+('Dvd Calendar'!$X$1176=SPECIAL_LBL)*10000000+0*1000000+6*1000+20))</f>
        <v/>
      </c>
      <c r="EY121" s="35">
        <f>IF(N('Dvd Calendar'!$Y$1171)=0,"",IF(('Dvd Calendar'!$Y$1171&gt;=GRID_FROM)*('Dvd Calendar'!$Y$1171&lt;=GRID_TO)*('Dvd Calendar'!$Y$1171&lt;=VAL_DATE)=0,"",'Dvd Calendar'!$Y$1171*1000000000+ISNUMBER('Dvd Calendar'!$Y$1174)*100000000+('Dvd Calendar'!$Y$1176=SPECIAL_LBL)*10000000+0*1000000+6*1000+21))</f>
        <v/>
      </c>
      <c r="EZ121" s="35">
        <f>IF(N('Dvd Calendar'!$Z$1171)=0,"",IF(('Dvd Calendar'!$Z$1171&gt;=GRID_FROM)*('Dvd Calendar'!$Z$1171&lt;=GRID_TO)*('Dvd Calendar'!$Z$1171&lt;=VAL_DATE)=0,"",'Dvd Calendar'!$Z$1171*1000000000+ISNUMBER('Dvd Calendar'!$Z$1174)*100000000+('Dvd Calendar'!$Z$1176=SPECIAL_LBL)*10000000+0*1000000+6*1000+22))</f>
        <v/>
      </c>
      <c r="FA121" s="35">
        <f>IF(N('Dvd Calendar'!$AA$1171)=0,"",IF(('Dvd Calendar'!$AA$1171&gt;=GRID_FROM)*('Dvd Calendar'!$AA$1171&lt;=GRID_TO)*('Dvd Calendar'!$AA$1171&lt;=VAL_DATE)=0,"",'Dvd Calendar'!$AA$1171*1000000000+ISNUMBER('Dvd Calendar'!$AA$1174)*100000000+('Dvd Calendar'!$AA$1176=SPECIAL_LBL)*10000000+0*1000000+6*1000+23))</f>
        <v/>
      </c>
      <c r="FB121" s="35">
        <f>IF(N('Dvd Calendar'!$AB$1171)=0,"",IF(('Dvd Calendar'!$AB$1171&gt;=GRID_FROM)*('Dvd Calendar'!$AB$1171&lt;=GRID_TO)*('Dvd Calendar'!$AB$1171&lt;=VAL_DATE)=0,"",'Dvd Calendar'!$AB$1171*1000000000+ISNUMBER('Dvd Calendar'!$AB$1174)*100000000+('Dvd Calendar'!$AB$1176=SPECIAL_LBL)*10000000+0*1000000+6*1000+24))</f>
        <v/>
      </c>
      <c r="FC121" s="35">
        <f>IF(N('Dvd Calendar'!$AC$1171)=0,"",IF(('Dvd Calendar'!$AC$1171&gt;=GRID_FROM)*('Dvd Calendar'!$AC$1171&lt;=GRID_TO)*('Dvd Calendar'!$AC$1171&lt;=VAL_DATE)=0,"",'Dvd Calendar'!$AC$1171*1000000000+ISNUMBER('Dvd Calendar'!$AC$1174)*100000000+('Dvd Calendar'!$AC$1176=SPECIAL_LBL)*10000000+0*1000000+6*1000+25))</f>
        <v/>
      </c>
      <c r="FD121" s="35">
        <f>IF(N('Dvd Calendar'!$AD$1171)=0,"",IF(('Dvd Calendar'!$AD$1171&gt;=GRID_FROM)*('Dvd Calendar'!$AD$1171&lt;=GRID_TO)*('Dvd Calendar'!$AD$1171&lt;=VAL_DATE)=0,"",'Dvd Calendar'!$AD$1171*1000000000+ISNUMBER('Dvd Calendar'!$AD$1174)*100000000+('Dvd Calendar'!$AD$1176=SPECIAL_LBL)*10000000+0*1000000+6*1000+26))</f>
        <v/>
      </c>
      <c r="FE121" s="35">
        <f>IF(N('Dvd Calendar'!$AE$1171)=0,"",IF(('Dvd Calendar'!$AE$1171&gt;=GRID_FROM)*('Dvd Calendar'!$AE$1171&lt;=GRID_TO)*('Dvd Calendar'!$AE$1171&lt;=VAL_DATE)=0,"",'Dvd Calendar'!$AE$1171*1000000000+ISNUMBER('Dvd Calendar'!$AE$1174)*100000000+('Dvd Calendar'!$AE$1176=SPECIAL_LBL)*10000000+0*1000000+6*1000+27))</f>
        <v/>
      </c>
      <c r="FF121" s="35">
        <f>IF(N('Dvd Calendar'!$AF$1171)=0,"",IF(('Dvd Calendar'!$AF$1171&gt;=GRID_FROM)*('Dvd Calendar'!$AF$1171&lt;=GRID_TO)*('Dvd Calendar'!$AF$1171&lt;=VAL_DATE)=0,"",'Dvd Calendar'!$AF$1171*1000000000+ISNUMBER('Dvd Calendar'!$AF$1174)*100000000+('Dvd Calendar'!$AF$1176=SPECIAL_LBL)*10000000+0*1000000+6*1000+28))</f>
        <v/>
      </c>
      <c r="FG121" s="35">
        <f>IF(N('Dvd Calendar'!$AG$1171)=0,"",IF(('Dvd Calendar'!$AG$1171&gt;=GRID_FROM)*('Dvd Calendar'!$AG$1171&lt;=GRID_TO)*('Dvd Calendar'!$AG$1171&lt;=VAL_DATE)=0,"",'Dvd Calendar'!$AG$1171*1000000000+ISNUMBER('Dvd Calendar'!$AG$1174)*100000000+('Dvd Calendar'!$AG$1176=SPECIAL_LBL)*10000000+0*1000000+6*1000+29))</f>
        <v/>
      </c>
      <c r="FH121" s="35">
        <f>IF(N('Dvd Calendar'!$AH$1171)=0,"",IF(('Dvd Calendar'!$AH$1171&gt;=GRID_FROM)*('Dvd Calendar'!$AH$1171&lt;=GRID_TO)*('Dvd Calendar'!$AH$1171&lt;=VAL_DATE)=0,"",'Dvd Calendar'!$AH$1171*1000000000+ISNUMBER('Dvd Calendar'!$AH$1174)*100000000+('Dvd Calendar'!$AH$1176=SPECIAL_LBL)*10000000+0*1000000+6*1000+30))</f>
        <v/>
      </c>
      <c r="FI121" s="35">
        <f>IF(N('Dvd Calendar'!$AI$1171)=0,"",IF(('Dvd Calendar'!$AI$1171&gt;=GRID_FROM)*('Dvd Calendar'!$AI$1171&lt;=GRID_TO)*('Dvd Calendar'!$AI$1171&lt;=VAL_DATE)=0,"",'Dvd Calendar'!$AI$1171*1000000000+ISNUMBER('Dvd Calendar'!$AI$1174)*100000000+('Dvd Calendar'!$AI$1176=SPECIAL_LBL)*10000000+0*1000000+6*1000+31))</f>
        <v/>
      </c>
      <c r="FJ121" s="35">
        <f>IF(N('Dvd Calendar'!$AJ$1171)=0,"",IF(('Dvd Calendar'!$AJ$1171&gt;=GRID_FROM)*('Dvd Calendar'!$AJ$1171&lt;=GRID_TO)*('Dvd Calendar'!$AJ$1171&lt;=VAL_DATE)=0,"",'Dvd Calendar'!$AJ$1171*1000000000+ISNUMBER('Dvd Calendar'!$AJ$1174)*100000000+('Dvd Calendar'!$AJ$1176=SPECIAL_LBL)*10000000+0*1000000+6*1000+32))</f>
        <v/>
      </c>
      <c r="FK121" s="35">
        <f>IF(N('Dvd Calendar'!$AK$1171)=0,"",IF(('Dvd Calendar'!$AK$1171&gt;=GRID_FROM)*('Dvd Calendar'!$AK$1171&lt;=GRID_TO)*('Dvd Calendar'!$AK$1171&lt;=VAL_DATE)=0,"",'Dvd Calendar'!$AK$1171*1000000000+ISNUMBER('Dvd Calendar'!$AK$1174)*100000000+('Dvd Calendar'!$AK$1176=SPECIAL_LBL)*10000000+0*1000000+6*1000+33))</f>
        <v/>
      </c>
      <c r="FL121" s="35">
        <f>IF(N('Dvd Calendar'!$AL$1171)=0,"",IF(('Dvd Calendar'!$AL$1171&gt;=GRID_FROM)*('Dvd Calendar'!$AL$1171&lt;=GRID_TO)*('Dvd Calendar'!$AL$1171&lt;=VAL_DATE)=0,"",'Dvd Calendar'!$AL$1171*1000000000+ISNUMBER('Dvd Calendar'!$AL$1174)*100000000+('Dvd Calendar'!$AL$1176=SPECIAL_LBL)*10000000+0*1000000+6*1000+34))</f>
        <v/>
      </c>
      <c r="FM121" s="35">
        <f>IF(N('Dvd Calendar'!$AM$1171)=0,"",IF(('Dvd Calendar'!$AM$1171&gt;=GRID_FROM)*('Dvd Calendar'!$AM$1171&lt;=GRID_TO)*('Dvd Calendar'!$AM$1171&lt;=VAL_DATE)=0,"",'Dvd Calendar'!$AM$1171*1000000000+ISNUMBER('Dvd Calendar'!$AM$1174)*100000000+('Dvd Calendar'!$AM$1176=SPECIAL_LBL)*10000000+0*1000000+6*1000+35))</f>
        <v/>
      </c>
      <c r="FN121" s="35">
        <f>IF(N('Dvd Calendar'!$AN$1171)=0,"",IF(('Dvd Calendar'!$AN$1171&gt;=GRID_FROM)*('Dvd Calendar'!$AN$1171&lt;=GRID_TO)*('Dvd Calendar'!$AN$1171&lt;=VAL_DATE)=0,"",'Dvd Calendar'!$AN$1171*1000000000+ISNUMBER('Dvd Calendar'!$AN$1174)*100000000+('Dvd Calendar'!$AN$1176=SPECIAL_LBL)*10000000+0*1000000+6*1000+36))</f>
        <v/>
      </c>
      <c r="FO121" s="35">
        <f>IF(N('Dvd Calendar'!$AO$1171)=0,"",IF(('Dvd Calendar'!$AO$1171&gt;=GRID_FROM)*('Dvd Calendar'!$AO$1171&lt;=GRID_TO)*('Dvd Calendar'!$AO$1171&lt;=VAL_DATE)=0,"",'Dvd Calendar'!$AO$1171*1000000000+ISNUMBER('Dvd Calendar'!$AO$1174)*100000000+('Dvd Calendar'!$AO$1176=SPECIAL_LBL)*10000000+0*1000000+6*1000+37))</f>
        <v/>
      </c>
      <c r="FP121" s="35">
        <f>IF(N('Dvd Calendar'!$AP$1171)=0,"",IF(('Dvd Calendar'!$AP$1171&gt;=GRID_FROM)*('Dvd Calendar'!$AP$1171&lt;=GRID_TO)*('Dvd Calendar'!$AP$1171&lt;=VAL_DATE)=0,"",'Dvd Calendar'!$AP$1171*1000000000+ISNUMBER('Dvd Calendar'!$AP$1174)*100000000+('Dvd Calendar'!$AP$1176=SPECIAL_LBL)*10000000+0*1000000+6*1000+38))</f>
        <v/>
      </c>
      <c r="FQ121" s="35">
        <f>IF(N('Dvd Calendar'!$AQ$1171)=0,"",IF(('Dvd Calendar'!$AQ$1171&gt;=GRID_FROM)*('Dvd Calendar'!$AQ$1171&lt;=GRID_TO)*('Dvd Calendar'!$AQ$1171&lt;=VAL_DATE)=0,"",'Dvd Calendar'!$AQ$1171*1000000000+ISNUMBER('Dvd Calendar'!$AQ$1174)*100000000+('Dvd Calendar'!$AQ$1176=SPECIAL_LBL)*10000000+0*1000000+6*1000+39))</f>
        <v/>
      </c>
      <c r="FR121" s="35">
        <f>IF(N('Dvd Calendar'!$AR$1171)=0,"",IF(('Dvd Calendar'!$AR$1171&gt;=GRID_FROM)*('Dvd Calendar'!$AR$1171&lt;=GRID_TO)*('Dvd Calendar'!$AR$1171&lt;=VAL_DATE)=0,"",'Dvd Calendar'!$AR$1171*1000000000+ISNUMBER('Dvd Calendar'!$AR$1174)*100000000+('Dvd Calendar'!$AR$1176=SPECIAL_LBL)*10000000+0*1000000+6*1000+40))</f>
        <v/>
      </c>
      <c r="FS121" s="35">
        <f>IF(N('Dvd Calendar'!$E$1178)=0,"",IF(('Dvd Calendar'!$E$1178&gt;=GRID_FROM)*('Dvd Calendar'!$E$1178&lt;=GRID_TO)*('Dvd Calendar'!$E$1178&gt;VAL_DATE)=0,"",'Dvd Calendar'!$E$1178*1000000000+ISNUMBER('Dvd Calendar'!$E$1179)*100000000+0*10000000+(N('Dvd Calendar'!$E$1177)&gt;0)*(N('Dvd Calendar'!$E$1177)&lt;=VAL_SERIAL)*1000000+6*1000+41))</f>
        <v/>
      </c>
      <c r="FT121" s="35">
        <f>IF(N('Dvd Calendar'!$F$1178)=0,"",IF(('Dvd Calendar'!$F$1178&gt;=GRID_FROM)*('Dvd Calendar'!$F$1178&lt;=GRID_TO)*('Dvd Calendar'!$F$1178&gt;VAL_DATE)=0,"",'Dvd Calendar'!$F$1178*1000000000+ISNUMBER('Dvd Calendar'!$F$1179)*100000000+0*10000000+(N('Dvd Calendar'!$F$1177)&gt;0)*(N('Dvd Calendar'!$F$1177)&lt;=VAL_SERIAL)*1000000+6*1000+42))</f>
        <v/>
      </c>
      <c r="FU121" s="35">
        <f>IF(N('Dvd Calendar'!$G$1178)=0,"",IF(('Dvd Calendar'!$G$1178&gt;=GRID_FROM)*('Dvd Calendar'!$G$1178&lt;=GRID_TO)*('Dvd Calendar'!$G$1178&gt;VAL_DATE)=0,"",'Dvd Calendar'!$G$1178*1000000000+ISNUMBER('Dvd Calendar'!$G$1179)*100000000+0*10000000+(N('Dvd Calendar'!$G$1177)&gt;0)*(N('Dvd Calendar'!$G$1177)&lt;=VAL_SERIAL)*1000000+6*1000+43))</f>
        <v/>
      </c>
      <c r="FV121" s="35">
        <f>IF(N('Dvd Calendar'!$H$1178)=0,"",IF(('Dvd Calendar'!$H$1178&gt;=GRID_FROM)*('Dvd Calendar'!$H$1178&lt;=GRID_TO)*('Dvd Calendar'!$H$1178&gt;VAL_DATE)=0,"",'Dvd Calendar'!$H$1178*1000000000+ISNUMBER('Dvd Calendar'!$H$1179)*100000000+0*10000000+(N('Dvd Calendar'!$H$1177)&gt;0)*(N('Dvd Calendar'!$H$1177)&lt;=VAL_SERIAL)*1000000+6*1000+44))</f>
        <v/>
      </c>
      <c r="FW121" s="35">
        <f>IF(N('Dvd Calendar'!$I$1178)=0,"",IF(('Dvd Calendar'!$I$1178&gt;=GRID_FROM)*('Dvd Calendar'!$I$1178&lt;=GRID_TO)*('Dvd Calendar'!$I$1178&gt;VAL_DATE)=0,"",'Dvd Calendar'!$I$1178*1000000000+ISNUMBER('Dvd Calendar'!$I$1179)*100000000+0*10000000+(N('Dvd Calendar'!$I$1177)&gt;0)*(N('Dvd Calendar'!$I$1177)&lt;=VAL_SERIAL)*1000000+6*1000+45))</f>
        <v/>
      </c>
      <c r="FX121" s="35">
        <f>IF(N('Dvd Calendar'!$J$1178)=0,"",IF(('Dvd Calendar'!$J$1178&gt;=GRID_FROM)*('Dvd Calendar'!$J$1178&lt;=GRID_TO)*('Dvd Calendar'!$J$1178&gt;VAL_DATE)=0,"",'Dvd Calendar'!$J$1178*1000000000+ISNUMBER('Dvd Calendar'!$J$1179)*100000000+0*10000000+(N('Dvd Calendar'!$J$1177)&gt;0)*(N('Dvd Calendar'!$J$1177)&lt;=VAL_SERIAL)*1000000+6*1000+46))</f>
        <v/>
      </c>
      <c r="FY121" s="35">
        <f>IF(N('Dvd Calendar'!$K$1178)=0,"",IF(('Dvd Calendar'!$K$1178&gt;=GRID_FROM)*('Dvd Calendar'!$K$1178&lt;=GRID_TO)*('Dvd Calendar'!$K$1178&gt;VAL_DATE)=0,"",'Dvd Calendar'!$K$1178*1000000000+ISNUMBER('Dvd Calendar'!$K$1179)*100000000+0*10000000+(N('Dvd Calendar'!$K$1177)&gt;0)*(N('Dvd Calendar'!$K$1177)&lt;=VAL_SERIAL)*1000000+6*1000+47))</f>
        <v/>
      </c>
      <c r="FZ121" s="35">
        <f>IF(N('Dvd Calendar'!$L$1178)=0,"",IF(('Dvd Calendar'!$L$1178&gt;=GRID_FROM)*('Dvd Calendar'!$L$1178&lt;=GRID_TO)*('Dvd Calendar'!$L$1178&gt;VAL_DATE)=0,"",'Dvd Calendar'!$L$1178*1000000000+ISNUMBER('Dvd Calendar'!$L$1179)*100000000+0*10000000+(N('Dvd Calendar'!$L$1177)&gt;0)*(N('Dvd Calendar'!$L$1177)&lt;=VAL_SERIAL)*1000000+6*1000+48))</f>
        <v/>
      </c>
      <c r="GA121" s="35">
        <f>IF(N('Dvd Calendar'!$M$1178)=0,"",IF(('Dvd Calendar'!$M$1178&gt;=GRID_FROM)*('Dvd Calendar'!$M$1178&lt;=GRID_TO)*('Dvd Calendar'!$M$1178&gt;VAL_DATE)=0,"",'Dvd Calendar'!$M$1178*1000000000+ISNUMBER('Dvd Calendar'!$M$1179)*100000000+0*10000000+(N('Dvd Calendar'!$M$1177)&gt;0)*(N('Dvd Calendar'!$M$1177)&lt;=VAL_SERIAL)*1000000+6*1000+49))</f>
        <v/>
      </c>
      <c r="GB121" s="35">
        <f>IF(N('Dvd Calendar'!$N$1178)=0,"",IF(('Dvd Calendar'!$N$1178&gt;=GRID_FROM)*('Dvd Calendar'!$N$1178&lt;=GRID_TO)*('Dvd Calendar'!$N$1178&gt;VAL_DATE)=0,"",'Dvd Calendar'!$N$1178*1000000000+ISNUMBER('Dvd Calendar'!$N$1179)*100000000+0*10000000+(N('Dvd Calendar'!$N$1177)&gt;0)*(N('Dvd Calendar'!$N$1177)&lt;=VAL_SERIAL)*1000000+6*1000+50))</f>
        <v/>
      </c>
      <c r="GC121" s="35">
        <f>IF(N('Dvd Calendar'!$O$1178)=0,"",IF(('Dvd Calendar'!$O$1178&gt;=GRID_FROM)*('Dvd Calendar'!$O$1178&lt;=GRID_TO)*('Dvd Calendar'!$O$1178&gt;VAL_DATE)=0,"",'Dvd Calendar'!$O$1178*1000000000+ISNUMBER('Dvd Calendar'!$O$1179)*100000000+0*10000000+(N('Dvd Calendar'!$O$1177)&gt;0)*(N('Dvd Calendar'!$O$1177)&lt;=VAL_SERIAL)*1000000+6*1000+51))</f>
        <v/>
      </c>
      <c r="GD121" s="35">
        <f>IF(N('Dvd Calendar'!$P$1178)=0,"",IF(('Dvd Calendar'!$P$1178&gt;=GRID_FROM)*('Dvd Calendar'!$P$1178&lt;=GRID_TO)*('Dvd Calendar'!$P$1178&gt;VAL_DATE)=0,"",'Dvd Calendar'!$P$1178*1000000000+ISNUMBER('Dvd Calendar'!$P$1179)*100000000+0*10000000+(N('Dvd Calendar'!$P$1177)&gt;0)*(N('Dvd Calendar'!$P$1177)&lt;=VAL_SERIAL)*1000000+6*1000+52))</f>
        <v/>
      </c>
      <c r="GE121" s="35">
        <f>IF(N('Dvd Calendar'!$Q$1178)=0,"",IF(('Dvd Calendar'!$Q$1178&gt;=GRID_FROM)*('Dvd Calendar'!$Q$1178&lt;=GRID_TO)*('Dvd Calendar'!$Q$1178&gt;VAL_DATE)=0,"",'Dvd Calendar'!$Q$1178*1000000000+ISNUMBER('Dvd Calendar'!$Q$1179)*100000000+0*10000000+(N('Dvd Calendar'!$Q$1177)&gt;0)*(N('Dvd Calendar'!$Q$1177)&lt;=VAL_SERIAL)*1000000+6*1000+53))</f>
        <v/>
      </c>
      <c r="GF121" s="35">
        <f>IF(N('Dvd Calendar'!$R$1178)=0,"",IF(('Dvd Calendar'!$R$1178&gt;=GRID_FROM)*('Dvd Calendar'!$R$1178&lt;=GRID_TO)*('Dvd Calendar'!$R$1178&gt;VAL_DATE)=0,"",'Dvd Calendar'!$R$1178*1000000000+ISNUMBER('Dvd Calendar'!$R$1179)*100000000+0*10000000+(N('Dvd Calendar'!$R$1177)&gt;0)*(N('Dvd Calendar'!$R$1177)&lt;=VAL_SERIAL)*1000000+6*1000+54))</f>
        <v/>
      </c>
      <c r="GG121" s="35">
        <f>IF(N('Dvd Calendar'!$S$1178)=0,"",IF(('Dvd Calendar'!$S$1178&gt;=GRID_FROM)*('Dvd Calendar'!$S$1178&lt;=GRID_TO)*('Dvd Calendar'!$S$1178&gt;VAL_DATE)=0,"",'Dvd Calendar'!$S$1178*1000000000+ISNUMBER('Dvd Calendar'!$S$1179)*100000000+0*10000000+(N('Dvd Calendar'!$S$1177)&gt;0)*(N('Dvd Calendar'!$S$1177)&lt;=VAL_SERIAL)*1000000+6*1000+55))</f>
        <v/>
      </c>
      <c r="GH121" s="35">
        <f>IF(N('Dvd Calendar'!$T$1178)=0,"",IF(('Dvd Calendar'!$T$1178&gt;=GRID_FROM)*('Dvd Calendar'!$T$1178&lt;=GRID_TO)*('Dvd Calendar'!$T$1178&gt;VAL_DATE)=0,"",'Dvd Calendar'!$T$1178*1000000000+ISNUMBER('Dvd Calendar'!$T$1179)*100000000+0*10000000+(N('Dvd Calendar'!$T$1177)&gt;0)*(N('Dvd Calendar'!$T$1177)&lt;=VAL_SERIAL)*1000000+6*1000+56))</f>
        <v/>
      </c>
      <c r="GI121" s="35">
        <f>IF(N('Dvd Calendar'!$U$1178)=0,"",IF(('Dvd Calendar'!$U$1178&gt;=GRID_FROM)*('Dvd Calendar'!$U$1178&lt;=GRID_TO)*('Dvd Calendar'!$U$1178&gt;VAL_DATE)=0,"",'Dvd Calendar'!$U$1178*1000000000+ISNUMBER('Dvd Calendar'!$U$1179)*100000000+0*10000000+(N('Dvd Calendar'!$U$1177)&gt;0)*(N('Dvd Calendar'!$U$1177)&lt;=VAL_SERIAL)*1000000+6*1000+57))</f>
        <v/>
      </c>
      <c r="GJ121" s="35">
        <f>IF(N('Dvd Calendar'!$V$1178)=0,"",IF(('Dvd Calendar'!$V$1178&gt;=GRID_FROM)*('Dvd Calendar'!$V$1178&lt;=GRID_TO)*('Dvd Calendar'!$V$1178&gt;VAL_DATE)=0,"",'Dvd Calendar'!$V$1178*1000000000+ISNUMBER('Dvd Calendar'!$V$1179)*100000000+0*10000000+(N('Dvd Calendar'!$V$1177)&gt;0)*(N('Dvd Calendar'!$V$1177)&lt;=VAL_SERIAL)*1000000+6*1000+58))</f>
        <v/>
      </c>
      <c r="GK121" s="35">
        <f>IF(N('Dvd Calendar'!$W$1178)=0,"",IF(('Dvd Calendar'!$W$1178&gt;=GRID_FROM)*('Dvd Calendar'!$W$1178&lt;=GRID_TO)*('Dvd Calendar'!$W$1178&gt;VAL_DATE)=0,"",'Dvd Calendar'!$W$1178*1000000000+ISNUMBER('Dvd Calendar'!$W$1179)*100000000+0*10000000+(N('Dvd Calendar'!$W$1177)&gt;0)*(N('Dvd Calendar'!$W$1177)&lt;=VAL_SERIAL)*1000000+6*1000+59))</f>
        <v/>
      </c>
      <c r="GL121" s="35">
        <f>IF(N('Dvd Calendar'!$X$1178)=0,"",IF(('Dvd Calendar'!$X$1178&gt;=GRID_FROM)*('Dvd Calendar'!$X$1178&lt;=GRID_TO)*('Dvd Calendar'!$X$1178&gt;VAL_DATE)=0,"",'Dvd Calendar'!$X$1178*1000000000+ISNUMBER('Dvd Calendar'!$X$1179)*100000000+0*10000000+(N('Dvd Calendar'!$X$1177)&gt;0)*(N('Dvd Calendar'!$X$1177)&lt;=VAL_SERIAL)*1000000+6*1000+60))</f>
        <v/>
      </c>
      <c r="GM121" s="35">
        <f>IF(N('Dvd Calendar'!$Y$1178)=0,"",IF(('Dvd Calendar'!$Y$1178&gt;=GRID_FROM)*('Dvd Calendar'!$Y$1178&lt;=GRID_TO)*('Dvd Calendar'!$Y$1178&gt;VAL_DATE)=0,"",'Dvd Calendar'!$Y$1178*1000000000+ISNUMBER('Dvd Calendar'!$Y$1179)*100000000+0*10000000+(N('Dvd Calendar'!$Y$1177)&gt;0)*(N('Dvd Calendar'!$Y$1177)&lt;=VAL_SERIAL)*1000000+6*1000+61))</f>
        <v/>
      </c>
      <c r="GN121" s="35">
        <f>IF(N('Dvd Calendar'!$Z$1178)=0,"",IF(('Dvd Calendar'!$Z$1178&gt;=GRID_FROM)*('Dvd Calendar'!$Z$1178&lt;=GRID_TO)*('Dvd Calendar'!$Z$1178&gt;VAL_DATE)=0,"",'Dvd Calendar'!$Z$1178*1000000000+ISNUMBER('Dvd Calendar'!$Z$1179)*100000000+0*10000000+(N('Dvd Calendar'!$Z$1177)&gt;0)*(N('Dvd Calendar'!$Z$1177)&lt;=VAL_SERIAL)*1000000+6*1000+62))</f>
        <v/>
      </c>
      <c r="GO121" s="35">
        <f>IF(N('Dvd Calendar'!$AA$1178)=0,"",IF(('Dvd Calendar'!$AA$1178&gt;=GRID_FROM)*('Dvd Calendar'!$AA$1178&lt;=GRID_TO)*('Dvd Calendar'!$AA$1178&gt;VAL_DATE)=0,"",'Dvd Calendar'!$AA$1178*1000000000+ISNUMBER('Dvd Calendar'!$AA$1179)*100000000+0*10000000+(N('Dvd Calendar'!$AA$1177)&gt;0)*(N('Dvd Calendar'!$AA$1177)&lt;=VAL_SERIAL)*1000000+6*1000+63))</f>
        <v/>
      </c>
      <c r="GP121" s="35">
        <f>IF(N('Dvd Calendar'!$AB$1178)=0,"",IF(('Dvd Calendar'!$AB$1178&gt;=GRID_FROM)*('Dvd Calendar'!$AB$1178&lt;=GRID_TO)*('Dvd Calendar'!$AB$1178&gt;VAL_DATE)=0,"",'Dvd Calendar'!$AB$1178*1000000000+ISNUMBER('Dvd Calendar'!$AB$1179)*100000000+0*10000000+(N('Dvd Calendar'!$AB$1177)&gt;0)*(N('Dvd Calendar'!$AB$1177)&lt;=VAL_SERIAL)*1000000+6*1000+64))</f>
        <v/>
      </c>
      <c r="GQ121" s="35">
        <f>IF(N('Dvd Calendar'!$AC$1178)=0,"",IF(('Dvd Calendar'!$AC$1178&gt;=GRID_FROM)*('Dvd Calendar'!$AC$1178&lt;=GRID_TO)*('Dvd Calendar'!$AC$1178&gt;VAL_DATE)=0,"",'Dvd Calendar'!$AC$1178*1000000000+ISNUMBER('Dvd Calendar'!$AC$1179)*100000000+0*10000000+(N('Dvd Calendar'!$AC$1177)&gt;0)*(N('Dvd Calendar'!$AC$1177)&lt;=VAL_SERIAL)*1000000+6*1000+65))</f>
        <v/>
      </c>
    </row>
    <row r="122">
      <c r="B122" s="2">
        <f>IF(HSTECH!$C$13="","",HSTECH!$C$13)</f>
        <v/>
      </c>
      <c r="C122" s="106">
        <f>IF(EE122="","",IF(ISNUMBER('Dvd Calendar'!$E$1185)=FALSE,"",IF((('Dvd Calendar'!$E$1187=TYPE1)*(TYPE1&lt;&gt;"")+('Dvd Calendar'!$E$1187=TYPE2)*(TYPE2&lt;&gt;"")+('Dvd Calendar'!$E$1187=TYPE3)*(TYPE3&lt;&gt;"")+('Dvd Calendar'!$E$1187=TYPE4)*(TYPE4&lt;&gt;"")+('Dvd Calendar'!$E$1187=SPECIAL_LBL)*(INC_SPECIALS="Y"))=0,"",'Dvd Calendar'!$E$1185)))</f>
        <v/>
      </c>
      <c r="D122" s="106">
        <f>IF(EF122="","",IF(ISNUMBER('Dvd Calendar'!$F$1185)=FALSE,"",IF((('Dvd Calendar'!$F$1187=TYPE1)*(TYPE1&lt;&gt;"")+('Dvd Calendar'!$F$1187=TYPE2)*(TYPE2&lt;&gt;"")+('Dvd Calendar'!$F$1187=TYPE3)*(TYPE3&lt;&gt;"")+('Dvd Calendar'!$F$1187=TYPE4)*(TYPE4&lt;&gt;"")+('Dvd Calendar'!$F$1187=SPECIAL_LBL)*(INC_SPECIALS="Y"))=0,"",'Dvd Calendar'!$F$1185)))</f>
        <v/>
      </c>
      <c r="E122" s="106">
        <f>IF(EG122="","",IF(ISNUMBER('Dvd Calendar'!$G$1185)=FALSE,"",IF((('Dvd Calendar'!$G$1187=TYPE1)*(TYPE1&lt;&gt;"")+('Dvd Calendar'!$G$1187=TYPE2)*(TYPE2&lt;&gt;"")+('Dvd Calendar'!$G$1187=TYPE3)*(TYPE3&lt;&gt;"")+('Dvd Calendar'!$G$1187=TYPE4)*(TYPE4&lt;&gt;"")+('Dvd Calendar'!$G$1187=SPECIAL_LBL)*(INC_SPECIALS="Y"))=0,"",'Dvd Calendar'!$G$1185)))</f>
        <v/>
      </c>
      <c r="F122" s="106">
        <f>IF(EH122="","",IF(ISNUMBER('Dvd Calendar'!$H$1185)=FALSE,"",IF((('Dvd Calendar'!$H$1187=TYPE1)*(TYPE1&lt;&gt;"")+('Dvd Calendar'!$H$1187=TYPE2)*(TYPE2&lt;&gt;"")+('Dvd Calendar'!$H$1187=TYPE3)*(TYPE3&lt;&gt;"")+('Dvd Calendar'!$H$1187=TYPE4)*(TYPE4&lt;&gt;"")+('Dvd Calendar'!$H$1187=SPECIAL_LBL)*(INC_SPECIALS="Y"))=0,"",'Dvd Calendar'!$H$1185)))</f>
        <v/>
      </c>
      <c r="G122" s="106">
        <f>IF(EI122="","",IF(ISNUMBER('Dvd Calendar'!$I$1185)=FALSE,"",IF((('Dvd Calendar'!$I$1187=TYPE1)*(TYPE1&lt;&gt;"")+('Dvd Calendar'!$I$1187=TYPE2)*(TYPE2&lt;&gt;"")+('Dvd Calendar'!$I$1187=TYPE3)*(TYPE3&lt;&gt;"")+('Dvd Calendar'!$I$1187=TYPE4)*(TYPE4&lt;&gt;"")+('Dvd Calendar'!$I$1187=SPECIAL_LBL)*(INC_SPECIALS="Y"))=0,"",'Dvd Calendar'!$I$1185)))</f>
        <v/>
      </c>
      <c r="H122" s="106">
        <f>IF(EJ122="","",IF(ISNUMBER('Dvd Calendar'!$J$1185)=FALSE,"",IF((('Dvd Calendar'!$J$1187=TYPE1)*(TYPE1&lt;&gt;"")+('Dvd Calendar'!$J$1187=TYPE2)*(TYPE2&lt;&gt;"")+('Dvd Calendar'!$J$1187=TYPE3)*(TYPE3&lt;&gt;"")+('Dvd Calendar'!$J$1187=TYPE4)*(TYPE4&lt;&gt;"")+('Dvd Calendar'!$J$1187=SPECIAL_LBL)*(INC_SPECIALS="Y"))=0,"",'Dvd Calendar'!$J$1185)))</f>
        <v/>
      </c>
      <c r="I122" s="106">
        <f>IF(EK122="","",IF(ISNUMBER('Dvd Calendar'!$K$1185)=FALSE,"",IF((('Dvd Calendar'!$K$1187=TYPE1)*(TYPE1&lt;&gt;"")+('Dvd Calendar'!$K$1187=TYPE2)*(TYPE2&lt;&gt;"")+('Dvd Calendar'!$K$1187=TYPE3)*(TYPE3&lt;&gt;"")+('Dvd Calendar'!$K$1187=TYPE4)*(TYPE4&lt;&gt;"")+('Dvd Calendar'!$K$1187=SPECIAL_LBL)*(INC_SPECIALS="Y"))=0,"",'Dvd Calendar'!$K$1185)))</f>
        <v/>
      </c>
      <c r="J122" s="106">
        <f>IF(EL122="","",IF(ISNUMBER('Dvd Calendar'!$L$1185)=FALSE,"",IF((('Dvd Calendar'!$L$1187=TYPE1)*(TYPE1&lt;&gt;"")+('Dvd Calendar'!$L$1187=TYPE2)*(TYPE2&lt;&gt;"")+('Dvd Calendar'!$L$1187=TYPE3)*(TYPE3&lt;&gt;"")+('Dvd Calendar'!$L$1187=TYPE4)*(TYPE4&lt;&gt;"")+('Dvd Calendar'!$L$1187=SPECIAL_LBL)*(INC_SPECIALS="Y"))=0,"",'Dvd Calendar'!$L$1185)))</f>
        <v/>
      </c>
      <c r="K122" s="106">
        <f>IF(EM122="","",IF(ISNUMBER('Dvd Calendar'!$M$1185)=FALSE,"",IF((('Dvd Calendar'!$M$1187=TYPE1)*(TYPE1&lt;&gt;"")+('Dvd Calendar'!$M$1187=TYPE2)*(TYPE2&lt;&gt;"")+('Dvd Calendar'!$M$1187=TYPE3)*(TYPE3&lt;&gt;"")+('Dvd Calendar'!$M$1187=TYPE4)*(TYPE4&lt;&gt;"")+('Dvd Calendar'!$M$1187=SPECIAL_LBL)*(INC_SPECIALS="Y"))=0,"",'Dvd Calendar'!$M$1185)))</f>
        <v/>
      </c>
      <c r="L122" s="106">
        <f>IF(EN122="","",IF(ISNUMBER('Dvd Calendar'!$N$1185)=FALSE,"",IF((('Dvd Calendar'!$N$1187=TYPE1)*(TYPE1&lt;&gt;"")+('Dvd Calendar'!$N$1187=TYPE2)*(TYPE2&lt;&gt;"")+('Dvd Calendar'!$N$1187=TYPE3)*(TYPE3&lt;&gt;"")+('Dvd Calendar'!$N$1187=TYPE4)*(TYPE4&lt;&gt;"")+('Dvd Calendar'!$N$1187=SPECIAL_LBL)*(INC_SPECIALS="Y"))=0,"",'Dvd Calendar'!$N$1185)))</f>
        <v/>
      </c>
      <c r="M122" s="106">
        <f>IF(EO122="","",IF(ISNUMBER('Dvd Calendar'!$O$1185)=FALSE,"",IF((('Dvd Calendar'!$O$1187=TYPE1)*(TYPE1&lt;&gt;"")+('Dvd Calendar'!$O$1187=TYPE2)*(TYPE2&lt;&gt;"")+('Dvd Calendar'!$O$1187=TYPE3)*(TYPE3&lt;&gt;"")+('Dvd Calendar'!$O$1187=TYPE4)*(TYPE4&lt;&gt;"")+('Dvd Calendar'!$O$1187=SPECIAL_LBL)*(INC_SPECIALS="Y"))=0,"",'Dvd Calendar'!$O$1185)))</f>
        <v/>
      </c>
      <c r="N122" s="106">
        <f>IF(EP122="","",IF(ISNUMBER('Dvd Calendar'!$P$1185)=FALSE,"",IF((('Dvd Calendar'!$P$1187=TYPE1)*(TYPE1&lt;&gt;"")+('Dvd Calendar'!$P$1187=TYPE2)*(TYPE2&lt;&gt;"")+('Dvd Calendar'!$P$1187=TYPE3)*(TYPE3&lt;&gt;"")+('Dvd Calendar'!$P$1187=TYPE4)*(TYPE4&lt;&gt;"")+('Dvd Calendar'!$P$1187=SPECIAL_LBL)*(INC_SPECIALS="Y"))=0,"",'Dvd Calendar'!$P$1185)))</f>
        <v/>
      </c>
      <c r="O122" s="106">
        <f>IF(EQ122="","",IF(ISNUMBER('Dvd Calendar'!$Q$1185)=FALSE,"",IF((('Dvd Calendar'!$Q$1187=TYPE1)*(TYPE1&lt;&gt;"")+('Dvd Calendar'!$Q$1187=TYPE2)*(TYPE2&lt;&gt;"")+('Dvd Calendar'!$Q$1187=TYPE3)*(TYPE3&lt;&gt;"")+('Dvd Calendar'!$Q$1187=TYPE4)*(TYPE4&lt;&gt;"")+('Dvd Calendar'!$Q$1187=SPECIAL_LBL)*(INC_SPECIALS="Y"))=0,"",'Dvd Calendar'!$Q$1185)))</f>
        <v/>
      </c>
      <c r="P122" s="106">
        <f>IF(ER122="","",IF(ISNUMBER('Dvd Calendar'!$R$1185)=FALSE,"",IF((('Dvd Calendar'!$R$1187=TYPE1)*(TYPE1&lt;&gt;"")+('Dvd Calendar'!$R$1187=TYPE2)*(TYPE2&lt;&gt;"")+('Dvd Calendar'!$R$1187=TYPE3)*(TYPE3&lt;&gt;"")+('Dvd Calendar'!$R$1187=TYPE4)*(TYPE4&lt;&gt;"")+('Dvd Calendar'!$R$1187=SPECIAL_LBL)*(INC_SPECIALS="Y"))=0,"",'Dvd Calendar'!$R$1185)))</f>
        <v/>
      </c>
      <c r="Q122" s="106">
        <f>IF(ES122="","",IF(ISNUMBER('Dvd Calendar'!$S$1185)=FALSE,"",IF((('Dvd Calendar'!$S$1187=TYPE1)*(TYPE1&lt;&gt;"")+('Dvd Calendar'!$S$1187=TYPE2)*(TYPE2&lt;&gt;"")+('Dvd Calendar'!$S$1187=TYPE3)*(TYPE3&lt;&gt;"")+('Dvd Calendar'!$S$1187=TYPE4)*(TYPE4&lt;&gt;"")+('Dvd Calendar'!$S$1187=SPECIAL_LBL)*(INC_SPECIALS="Y"))=0,"",'Dvd Calendar'!$S$1185)))</f>
        <v/>
      </c>
      <c r="R122" s="106">
        <f>IF(ET122="","",IF(ISNUMBER('Dvd Calendar'!$T$1185)=FALSE,"",IF((('Dvd Calendar'!$T$1187=TYPE1)*(TYPE1&lt;&gt;"")+('Dvd Calendar'!$T$1187=TYPE2)*(TYPE2&lt;&gt;"")+('Dvd Calendar'!$T$1187=TYPE3)*(TYPE3&lt;&gt;"")+('Dvd Calendar'!$T$1187=TYPE4)*(TYPE4&lt;&gt;"")+('Dvd Calendar'!$T$1187=SPECIAL_LBL)*(INC_SPECIALS="Y"))=0,"",'Dvd Calendar'!$T$1185)))</f>
        <v/>
      </c>
      <c r="S122" s="106">
        <f>IF(EU122="","",IF(ISNUMBER('Dvd Calendar'!$U$1185)=FALSE,"",IF((('Dvd Calendar'!$U$1187=TYPE1)*(TYPE1&lt;&gt;"")+('Dvd Calendar'!$U$1187=TYPE2)*(TYPE2&lt;&gt;"")+('Dvd Calendar'!$U$1187=TYPE3)*(TYPE3&lt;&gt;"")+('Dvd Calendar'!$U$1187=TYPE4)*(TYPE4&lt;&gt;"")+('Dvd Calendar'!$U$1187=SPECIAL_LBL)*(INC_SPECIALS="Y"))=0,"",'Dvd Calendar'!$U$1185)))</f>
        <v/>
      </c>
      <c r="T122" s="106">
        <f>IF(EV122="","",IF(ISNUMBER('Dvd Calendar'!$V$1185)=FALSE,"",IF((('Dvd Calendar'!$V$1187=TYPE1)*(TYPE1&lt;&gt;"")+('Dvd Calendar'!$V$1187=TYPE2)*(TYPE2&lt;&gt;"")+('Dvd Calendar'!$V$1187=TYPE3)*(TYPE3&lt;&gt;"")+('Dvd Calendar'!$V$1187=TYPE4)*(TYPE4&lt;&gt;"")+('Dvd Calendar'!$V$1187=SPECIAL_LBL)*(INC_SPECIALS="Y"))=0,"",'Dvd Calendar'!$V$1185)))</f>
        <v/>
      </c>
      <c r="U122" s="106">
        <f>IF(EW122="","",IF(ISNUMBER('Dvd Calendar'!$W$1185)=FALSE,"",IF((('Dvd Calendar'!$W$1187=TYPE1)*(TYPE1&lt;&gt;"")+('Dvd Calendar'!$W$1187=TYPE2)*(TYPE2&lt;&gt;"")+('Dvd Calendar'!$W$1187=TYPE3)*(TYPE3&lt;&gt;"")+('Dvd Calendar'!$W$1187=TYPE4)*(TYPE4&lt;&gt;"")+('Dvd Calendar'!$W$1187=SPECIAL_LBL)*(INC_SPECIALS="Y"))=0,"",'Dvd Calendar'!$W$1185)))</f>
        <v/>
      </c>
      <c r="V122" s="106">
        <f>IF(EX122="","",IF(ISNUMBER('Dvd Calendar'!$X$1185)=FALSE,"",IF((('Dvd Calendar'!$X$1187=TYPE1)*(TYPE1&lt;&gt;"")+('Dvd Calendar'!$X$1187=TYPE2)*(TYPE2&lt;&gt;"")+('Dvd Calendar'!$X$1187=TYPE3)*(TYPE3&lt;&gt;"")+('Dvd Calendar'!$X$1187=TYPE4)*(TYPE4&lt;&gt;"")+('Dvd Calendar'!$X$1187=SPECIAL_LBL)*(INC_SPECIALS="Y"))=0,"",'Dvd Calendar'!$X$1185)))</f>
        <v/>
      </c>
      <c r="W122" s="106">
        <f>IF(EY122="","",IF(ISNUMBER('Dvd Calendar'!$Y$1185)=FALSE,"",IF((('Dvd Calendar'!$Y$1187=TYPE1)*(TYPE1&lt;&gt;"")+('Dvd Calendar'!$Y$1187=TYPE2)*(TYPE2&lt;&gt;"")+('Dvd Calendar'!$Y$1187=TYPE3)*(TYPE3&lt;&gt;"")+('Dvd Calendar'!$Y$1187=TYPE4)*(TYPE4&lt;&gt;"")+('Dvd Calendar'!$Y$1187=SPECIAL_LBL)*(INC_SPECIALS="Y"))=0,"",'Dvd Calendar'!$Y$1185)))</f>
        <v/>
      </c>
      <c r="X122" s="106">
        <f>IF(EZ122="","",IF(ISNUMBER('Dvd Calendar'!$Z$1185)=FALSE,"",IF((('Dvd Calendar'!$Z$1187=TYPE1)*(TYPE1&lt;&gt;"")+('Dvd Calendar'!$Z$1187=TYPE2)*(TYPE2&lt;&gt;"")+('Dvd Calendar'!$Z$1187=TYPE3)*(TYPE3&lt;&gt;"")+('Dvd Calendar'!$Z$1187=TYPE4)*(TYPE4&lt;&gt;"")+('Dvd Calendar'!$Z$1187=SPECIAL_LBL)*(INC_SPECIALS="Y"))=0,"",'Dvd Calendar'!$Z$1185)))</f>
        <v/>
      </c>
      <c r="Y122" s="106">
        <f>IF(FA122="","",IF(ISNUMBER('Dvd Calendar'!$AA$1185)=FALSE,"",IF((('Dvd Calendar'!$AA$1187=TYPE1)*(TYPE1&lt;&gt;"")+('Dvd Calendar'!$AA$1187=TYPE2)*(TYPE2&lt;&gt;"")+('Dvd Calendar'!$AA$1187=TYPE3)*(TYPE3&lt;&gt;"")+('Dvd Calendar'!$AA$1187=TYPE4)*(TYPE4&lt;&gt;"")+('Dvd Calendar'!$AA$1187=SPECIAL_LBL)*(INC_SPECIALS="Y"))=0,"",'Dvd Calendar'!$AA$1185)))</f>
        <v/>
      </c>
      <c r="Z122" s="106">
        <f>IF(FB122="","",IF(ISNUMBER('Dvd Calendar'!$AB$1185)=FALSE,"",IF((('Dvd Calendar'!$AB$1187=TYPE1)*(TYPE1&lt;&gt;"")+('Dvd Calendar'!$AB$1187=TYPE2)*(TYPE2&lt;&gt;"")+('Dvd Calendar'!$AB$1187=TYPE3)*(TYPE3&lt;&gt;"")+('Dvd Calendar'!$AB$1187=TYPE4)*(TYPE4&lt;&gt;"")+('Dvd Calendar'!$AB$1187=SPECIAL_LBL)*(INC_SPECIALS="Y"))=0,"",'Dvd Calendar'!$AB$1185)))</f>
        <v/>
      </c>
      <c r="AA122" s="106">
        <f>IF(FC122="","",IF(ISNUMBER('Dvd Calendar'!$AC$1185)=FALSE,"",IF((('Dvd Calendar'!$AC$1187=TYPE1)*(TYPE1&lt;&gt;"")+('Dvd Calendar'!$AC$1187=TYPE2)*(TYPE2&lt;&gt;"")+('Dvd Calendar'!$AC$1187=TYPE3)*(TYPE3&lt;&gt;"")+('Dvd Calendar'!$AC$1187=TYPE4)*(TYPE4&lt;&gt;"")+('Dvd Calendar'!$AC$1187=SPECIAL_LBL)*(INC_SPECIALS="Y"))=0,"",'Dvd Calendar'!$AC$1185)))</f>
        <v/>
      </c>
      <c r="AB122" s="106">
        <f>IF(FD122="","",IF(ISNUMBER('Dvd Calendar'!$AD$1185)=FALSE,"",IF((('Dvd Calendar'!$AD$1187=TYPE1)*(TYPE1&lt;&gt;"")+('Dvd Calendar'!$AD$1187=TYPE2)*(TYPE2&lt;&gt;"")+('Dvd Calendar'!$AD$1187=TYPE3)*(TYPE3&lt;&gt;"")+('Dvd Calendar'!$AD$1187=TYPE4)*(TYPE4&lt;&gt;"")+('Dvd Calendar'!$AD$1187=SPECIAL_LBL)*(INC_SPECIALS="Y"))=0,"",'Dvd Calendar'!$AD$1185)))</f>
        <v/>
      </c>
      <c r="AC122" s="106">
        <f>IF(FE122="","",IF(ISNUMBER('Dvd Calendar'!$AE$1185)=FALSE,"",IF((('Dvd Calendar'!$AE$1187=TYPE1)*(TYPE1&lt;&gt;"")+('Dvd Calendar'!$AE$1187=TYPE2)*(TYPE2&lt;&gt;"")+('Dvd Calendar'!$AE$1187=TYPE3)*(TYPE3&lt;&gt;"")+('Dvd Calendar'!$AE$1187=TYPE4)*(TYPE4&lt;&gt;"")+('Dvd Calendar'!$AE$1187=SPECIAL_LBL)*(INC_SPECIALS="Y"))=0,"",'Dvd Calendar'!$AE$1185)))</f>
        <v/>
      </c>
      <c r="AD122" s="106">
        <f>IF(FF122="","",IF(ISNUMBER('Dvd Calendar'!$AF$1185)=FALSE,"",IF((('Dvd Calendar'!$AF$1187=TYPE1)*(TYPE1&lt;&gt;"")+('Dvd Calendar'!$AF$1187=TYPE2)*(TYPE2&lt;&gt;"")+('Dvd Calendar'!$AF$1187=TYPE3)*(TYPE3&lt;&gt;"")+('Dvd Calendar'!$AF$1187=TYPE4)*(TYPE4&lt;&gt;"")+('Dvd Calendar'!$AF$1187=SPECIAL_LBL)*(INC_SPECIALS="Y"))=0,"",'Dvd Calendar'!$AF$1185)))</f>
        <v/>
      </c>
      <c r="AE122" s="106">
        <f>IF(FG122="","",IF(ISNUMBER('Dvd Calendar'!$AG$1185)=FALSE,"",IF((('Dvd Calendar'!$AG$1187=TYPE1)*(TYPE1&lt;&gt;"")+('Dvd Calendar'!$AG$1187=TYPE2)*(TYPE2&lt;&gt;"")+('Dvd Calendar'!$AG$1187=TYPE3)*(TYPE3&lt;&gt;"")+('Dvd Calendar'!$AG$1187=TYPE4)*(TYPE4&lt;&gt;"")+('Dvd Calendar'!$AG$1187=SPECIAL_LBL)*(INC_SPECIALS="Y"))=0,"",'Dvd Calendar'!$AG$1185)))</f>
        <v/>
      </c>
      <c r="AF122" s="106">
        <f>IF(FH122="","",IF(ISNUMBER('Dvd Calendar'!$AH$1185)=FALSE,"",IF((('Dvd Calendar'!$AH$1187=TYPE1)*(TYPE1&lt;&gt;"")+('Dvd Calendar'!$AH$1187=TYPE2)*(TYPE2&lt;&gt;"")+('Dvd Calendar'!$AH$1187=TYPE3)*(TYPE3&lt;&gt;"")+('Dvd Calendar'!$AH$1187=TYPE4)*(TYPE4&lt;&gt;"")+('Dvd Calendar'!$AH$1187=SPECIAL_LBL)*(INC_SPECIALS="Y"))=0,"",'Dvd Calendar'!$AH$1185)))</f>
        <v/>
      </c>
      <c r="AG122" s="106">
        <f>IF(FI122="","",IF(ISNUMBER('Dvd Calendar'!$AI$1185)=FALSE,"",IF((('Dvd Calendar'!$AI$1187=TYPE1)*(TYPE1&lt;&gt;"")+('Dvd Calendar'!$AI$1187=TYPE2)*(TYPE2&lt;&gt;"")+('Dvd Calendar'!$AI$1187=TYPE3)*(TYPE3&lt;&gt;"")+('Dvd Calendar'!$AI$1187=TYPE4)*(TYPE4&lt;&gt;"")+('Dvd Calendar'!$AI$1187=SPECIAL_LBL)*(INC_SPECIALS="Y"))=0,"",'Dvd Calendar'!$AI$1185)))</f>
        <v/>
      </c>
      <c r="AH122" s="106">
        <f>IF(FJ122="","",IF(ISNUMBER('Dvd Calendar'!$AJ$1185)=FALSE,"",IF((('Dvd Calendar'!$AJ$1187=TYPE1)*(TYPE1&lt;&gt;"")+('Dvd Calendar'!$AJ$1187=TYPE2)*(TYPE2&lt;&gt;"")+('Dvd Calendar'!$AJ$1187=TYPE3)*(TYPE3&lt;&gt;"")+('Dvd Calendar'!$AJ$1187=TYPE4)*(TYPE4&lt;&gt;"")+('Dvd Calendar'!$AJ$1187=SPECIAL_LBL)*(INC_SPECIALS="Y"))=0,"",'Dvd Calendar'!$AJ$1185)))</f>
        <v/>
      </c>
      <c r="AI122" s="106">
        <f>IF(FK122="","",IF(ISNUMBER('Dvd Calendar'!$AK$1185)=FALSE,"",IF((('Dvd Calendar'!$AK$1187=TYPE1)*(TYPE1&lt;&gt;"")+('Dvd Calendar'!$AK$1187=TYPE2)*(TYPE2&lt;&gt;"")+('Dvd Calendar'!$AK$1187=TYPE3)*(TYPE3&lt;&gt;"")+('Dvd Calendar'!$AK$1187=TYPE4)*(TYPE4&lt;&gt;"")+('Dvd Calendar'!$AK$1187=SPECIAL_LBL)*(INC_SPECIALS="Y"))=0,"",'Dvd Calendar'!$AK$1185)))</f>
        <v/>
      </c>
      <c r="AJ122" s="106">
        <f>IF(FL122="","",IF(ISNUMBER('Dvd Calendar'!$AL$1185)=FALSE,"",IF((('Dvd Calendar'!$AL$1187=TYPE1)*(TYPE1&lt;&gt;"")+('Dvd Calendar'!$AL$1187=TYPE2)*(TYPE2&lt;&gt;"")+('Dvd Calendar'!$AL$1187=TYPE3)*(TYPE3&lt;&gt;"")+('Dvd Calendar'!$AL$1187=TYPE4)*(TYPE4&lt;&gt;"")+('Dvd Calendar'!$AL$1187=SPECIAL_LBL)*(INC_SPECIALS="Y"))=0,"",'Dvd Calendar'!$AL$1185)))</f>
        <v/>
      </c>
      <c r="AK122" s="106">
        <f>IF(FM122="","",IF(ISNUMBER('Dvd Calendar'!$AM$1185)=FALSE,"",IF((('Dvd Calendar'!$AM$1187=TYPE1)*(TYPE1&lt;&gt;"")+('Dvd Calendar'!$AM$1187=TYPE2)*(TYPE2&lt;&gt;"")+('Dvd Calendar'!$AM$1187=TYPE3)*(TYPE3&lt;&gt;"")+('Dvd Calendar'!$AM$1187=TYPE4)*(TYPE4&lt;&gt;"")+('Dvd Calendar'!$AM$1187=SPECIAL_LBL)*(INC_SPECIALS="Y"))=0,"",'Dvd Calendar'!$AM$1185)))</f>
        <v/>
      </c>
      <c r="AL122" s="106">
        <f>IF(FN122="","",IF(ISNUMBER('Dvd Calendar'!$AN$1185)=FALSE,"",IF((('Dvd Calendar'!$AN$1187=TYPE1)*(TYPE1&lt;&gt;"")+('Dvd Calendar'!$AN$1187=TYPE2)*(TYPE2&lt;&gt;"")+('Dvd Calendar'!$AN$1187=TYPE3)*(TYPE3&lt;&gt;"")+('Dvd Calendar'!$AN$1187=TYPE4)*(TYPE4&lt;&gt;"")+('Dvd Calendar'!$AN$1187=SPECIAL_LBL)*(INC_SPECIALS="Y"))=0,"",'Dvd Calendar'!$AN$1185)))</f>
        <v/>
      </c>
      <c r="AM122" s="106">
        <f>IF(FO122="","",IF(ISNUMBER('Dvd Calendar'!$AO$1185)=FALSE,"",IF((('Dvd Calendar'!$AO$1187=TYPE1)*(TYPE1&lt;&gt;"")+('Dvd Calendar'!$AO$1187=TYPE2)*(TYPE2&lt;&gt;"")+('Dvd Calendar'!$AO$1187=TYPE3)*(TYPE3&lt;&gt;"")+('Dvd Calendar'!$AO$1187=TYPE4)*(TYPE4&lt;&gt;"")+('Dvd Calendar'!$AO$1187=SPECIAL_LBL)*(INC_SPECIALS="Y"))=0,"",'Dvd Calendar'!$AO$1185)))</f>
        <v/>
      </c>
      <c r="AN122" s="106">
        <f>IF(FP122="","",IF(ISNUMBER('Dvd Calendar'!$AP$1185)=FALSE,"",IF((('Dvd Calendar'!$AP$1187=TYPE1)*(TYPE1&lt;&gt;"")+('Dvd Calendar'!$AP$1187=TYPE2)*(TYPE2&lt;&gt;"")+('Dvd Calendar'!$AP$1187=TYPE3)*(TYPE3&lt;&gt;"")+('Dvd Calendar'!$AP$1187=TYPE4)*(TYPE4&lt;&gt;"")+('Dvd Calendar'!$AP$1187=SPECIAL_LBL)*(INC_SPECIALS="Y"))=0,"",'Dvd Calendar'!$AP$1185)))</f>
        <v/>
      </c>
      <c r="AO122" s="106">
        <f>IF(FQ122="","",IF(ISNUMBER('Dvd Calendar'!$AQ$1185)=FALSE,"",IF((('Dvd Calendar'!$AQ$1187=TYPE1)*(TYPE1&lt;&gt;"")+('Dvd Calendar'!$AQ$1187=TYPE2)*(TYPE2&lt;&gt;"")+('Dvd Calendar'!$AQ$1187=TYPE3)*(TYPE3&lt;&gt;"")+('Dvd Calendar'!$AQ$1187=TYPE4)*(TYPE4&lt;&gt;"")+('Dvd Calendar'!$AQ$1187=SPECIAL_LBL)*(INC_SPECIALS="Y"))=0,"",'Dvd Calendar'!$AQ$1185)))</f>
        <v/>
      </c>
      <c r="AP122" s="106">
        <f>IF(FR122="","",IF(ISNUMBER('Dvd Calendar'!$AR$1185)=FALSE,"",IF((('Dvd Calendar'!$AR$1187=TYPE1)*(TYPE1&lt;&gt;"")+('Dvd Calendar'!$AR$1187=TYPE2)*(TYPE2&lt;&gt;"")+('Dvd Calendar'!$AR$1187=TYPE3)*(TYPE3&lt;&gt;"")+('Dvd Calendar'!$AR$1187=TYPE4)*(TYPE4&lt;&gt;"")+('Dvd Calendar'!$AR$1187=SPECIAL_LBL)*(INC_SPECIALS="Y"))=0,"",'Dvd Calendar'!$AR$1185)))</f>
        <v/>
      </c>
      <c r="AQ122" s="106">
        <f>IF(FS122="","",IF(ISNUMBER('Dvd Calendar'!$E$1190)=FALSE,"",'Dvd Calendar'!$E$1190))</f>
        <v/>
      </c>
      <c r="AR122" s="106">
        <f>IF(FT122="","",IF(ISNUMBER('Dvd Calendar'!$F$1190)=FALSE,"",'Dvd Calendar'!$F$1190))</f>
        <v/>
      </c>
      <c r="AS122" s="106">
        <f>IF(FU122="","",IF(ISNUMBER('Dvd Calendar'!$G$1190)=FALSE,"",'Dvd Calendar'!$G$1190))</f>
        <v/>
      </c>
      <c r="AT122" s="106">
        <f>IF(FV122="","",IF(ISNUMBER('Dvd Calendar'!$H$1190)=FALSE,"",'Dvd Calendar'!$H$1190))</f>
        <v/>
      </c>
      <c r="AU122" s="106">
        <f>IF(FW122="","",IF(ISNUMBER('Dvd Calendar'!$I$1190)=FALSE,"",'Dvd Calendar'!$I$1190))</f>
        <v/>
      </c>
      <c r="AV122" s="106">
        <f>IF(FX122="","",IF(ISNUMBER('Dvd Calendar'!$J$1190)=FALSE,"",'Dvd Calendar'!$J$1190))</f>
        <v/>
      </c>
      <c r="AW122" s="106">
        <f>IF(FY122="","",IF(ISNUMBER('Dvd Calendar'!$K$1190)=FALSE,"",'Dvd Calendar'!$K$1190))</f>
        <v/>
      </c>
      <c r="AX122" s="106">
        <f>IF(FZ122="","",IF(ISNUMBER('Dvd Calendar'!$L$1190)=FALSE,"",'Dvd Calendar'!$L$1190))</f>
        <v/>
      </c>
      <c r="AY122" s="106">
        <f>IF(GA122="","",IF(ISNUMBER('Dvd Calendar'!$M$1190)=FALSE,"",'Dvd Calendar'!$M$1190))</f>
        <v/>
      </c>
      <c r="AZ122" s="106">
        <f>IF(GB122="","",IF(ISNUMBER('Dvd Calendar'!$N$1190)=FALSE,"",'Dvd Calendar'!$N$1190))</f>
        <v/>
      </c>
      <c r="BA122" s="106">
        <f>IF(GC122="","",IF(ISNUMBER('Dvd Calendar'!$O$1190)=FALSE,"",'Dvd Calendar'!$O$1190))</f>
        <v/>
      </c>
      <c r="BB122" s="106">
        <f>IF(GD122="","",IF(ISNUMBER('Dvd Calendar'!$P$1190)=FALSE,"",'Dvd Calendar'!$P$1190))</f>
        <v/>
      </c>
      <c r="BC122" s="106">
        <f>IF(GE122="","",IF(ISNUMBER('Dvd Calendar'!$Q$1190)=FALSE,"",'Dvd Calendar'!$Q$1190))</f>
        <v/>
      </c>
      <c r="BD122" s="106">
        <f>IF(GF122="","",IF(ISNUMBER('Dvd Calendar'!$R$1190)=FALSE,"",'Dvd Calendar'!$R$1190))</f>
        <v/>
      </c>
      <c r="BE122" s="106">
        <f>IF(GG122="","",IF(ISNUMBER('Dvd Calendar'!$S$1190)=FALSE,"",'Dvd Calendar'!$S$1190))</f>
        <v/>
      </c>
      <c r="BF122" s="106">
        <f>IF(GH122="","",IF(ISNUMBER('Dvd Calendar'!$T$1190)=FALSE,"",'Dvd Calendar'!$T$1190))</f>
        <v/>
      </c>
      <c r="BG122" s="106">
        <f>IF(GI122="","",IF(ISNUMBER('Dvd Calendar'!$U$1190)=FALSE,"",'Dvd Calendar'!$U$1190))</f>
        <v/>
      </c>
      <c r="BH122" s="106">
        <f>IF(GJ122="","",IF(ISNUMBER('Dvd Calendar'!$V$1190)=FALSE,"",'Dvd Calendar'!$V$1190))</f>
        <v/>
      </c>
      <c r="BI122" s="106">
        <f>IF(GK122="","",IF(ISNUMBER('Dvd Calendar'!$W$1190)=FALSE,"",'Dvd Calendar'!$W$1190))</f>
        <v/>
      </c>
      <c r="BJ122" s="106">
        <f>IF(GL122="","",IF(ISNUMBER('Dvd Calendar'!$X$1190)=FALSE,"",'Dvd Calendar'!$X$1190))</f>
        <v/>
      </c>
      <c r="BK122" s="106">
        <f>IF(GM122="","",IF(ISNUMBER('Dvd Calendar'!$Y$1190)=FALSE,"",'Dvd Calendar'!$Y$1190))</f>
        <v/>
      </c>
      <c r="BL122" s="106">
        <f>IF(GN122="","",IF(ISNUMBER('Dvd Calendar'!$Z$1190)=FALSE,"",'Dvd Calendar'!$Z$1190))</f>
        <v/>
      </c>
      <c r="BM122" s="106">
        <f>IF(GO122="","",IF(ISNUMBER('Dvd Calendar'!$AA$1190)=FALSE,"",'Dvd Calendar'!$AA$1190))</f>
        <v/>
      </c>
      <c r="BN122" s="106">
        <f>IF(GP122="","",IF(ISNUMBER('Dvd Calendar'!$AB$1190)=FALSE,"",'Dvd Calendar'!$AB$1190))</f>
        <v/>
      </c>
      <c r="BO122" s="106">
        <f>IF(GQ122="","",IF(ISNUMBER('Dvd Calendar'!$AC$1190)=FALSE,"",'Dvd Calendar'!$AC$1190))</f>
        <v/>
      </c>
      <c r="BQ122" s="106">
        <f>IF(C122="","",IFERROR(C122*HSTECH!$B$13*HSTECH!$G$13/HSTECH!$B$3,""))</f>
        <v/>
      </c>
      <c r="BR122" s="106">
        <f>IF(D122="","",IFERROR(D122*HSTECH!$B$13*HSTECH!$G$13/HSTECH!$B$3,""))</f>
        <v/>
      </c>
      <c r="BS122" s="106">
        <f>IF(E122="","",IFERROR(E122*HSTECH!$B$13*HSTECH!$G$13/HSTECH!$B$3,""))</f>
        <v/>
      </c>
      <c r="BT122" s="106">
        <f>IF(F122="","",IFERROR(F122*HSTECH!$B$13*HSTECH!$G$13/HSTECH!$B$3,""))</f>
        <v/>
      </c>
      <c r="BU122" s="106">
        <f>IF(G122="","",IFERROR(G122*HSTECH!$B$13*HSTECH!$G$13/HSTECH!$B$3,""))</f>
        <v/>
      </c>
      <c r="BV122" s="106">
        <f>IF(H122="","",IFERROR(H122*HSTECH!$B$13*HSTECH!$G$13/HSTECH!$B$3,""))</f>
        <v/>
      </c>
      <c r="BW122" s="106">
        <f>IF(I122="","",IFERROR(I122*HSTECH!$B$13*HSTECH!$G$13/HSTECH!$B$3,""))</f>
        <v/>
      </c>
      <c r="BX122" s="106">
        <f>IF(J122="","",IFERROR(J122*HSTECH!$B$13*HSTECH!$G$13/HSTECH!$B$3,""))</f>
        <v/>
      </c>
      <c r="BY122" s="106">
        <f>IF(K122="","",IFERROR(K122*HSTECH!$B$13*HSTECH!$G$13/HSTECH!$B$3,""))</f>
        <v/>
      </c>
      <c r="BZ122" s="106">
        <f>IF(L122="","",IFERROR(L122*HSTECH!$B$13*HSTECH!$G$13/HSTECH!$B$3,""))</f>
        <v/>
      </c>
      <c r="CA122" s="106">
        <f>IF(M122="","",IFERROR(M122*HSTECH!$B$13*HSTECH!$G$13/HSTECH!$B$3,""))</f>
        <v/>
      </c>
      <c r="CB122" s="106">
        <f>IF(N122="","",IFERROR(N122*HSTECH!$B$13*HSTECH!$G$13/HSTECH!$B$3,""))</f>
        <v/>
      </c>
      <c r="CC122" s="106">
        <f>IF(O122="","",IFERROR(O122*HSTECH!$B$13*HSTECH!$G$13/HSTECH!$B$3,""))</f>
        <v/>
      </c>
      <c r="CD122" s="106">
        <f>IF(P122="","",IFERROR(P122*HSTECH!$B$13*HSTECH!$G$13/HSTECH!$B$3,""))</f>
        <v/>
      </c>
      <c r="CE122" s="106">
        <f>IF(Q122="","",IFERROR(Q122*HSTECH!$B$13*HSTECH!$G$13/HSTECH!$B$3,""))</f>
        <v/>
      </c>
      <c r="CF122" s="106">
        <f>IF(R122="","",IFERROR(R122*HSTECH!$B$13*HSTECH!$G$13/HSTECH!$B$3,""))</f>
        <v/>
      </c>
      <c r="CG122" s="106">
        <f>IF(S122="","",IFERROR(S122*HSTECH!$B$13*HSTECH!$G$13/HSTECH!$B$3,""))</f>
        <v/>
      </c>
      <c r="CH122" s="106">
        <f>IF(T122="","",IFERROR(T122*HSTECH!$B$13*HSTECH!$G$13/HSTECH!$B$3,""))</f>
        <v/>
      </c>
      <c r="CI122" s="106">
        <f>IF(U122="","",IFERROR(U122*HSTECH!$B$13*HSTECH!$G$13/HSTECH!$B$3,""))</f>
        <v/>
      </c>
      <c r="CJ122" s="106">
        <f>IF(V122="","",IFERROR(V122*HSTECH!$B$13*HSTECH!$G$13/HSTECH!$B$3,""))</f>
        <v/>
      </c>
      <c r="CK122" s="106">
        <f>IF(W122="","",IFERROR(W122*HSTECH!$B$13*HSTECH!$G$13/HSTECH!$B$3,""))</f>
        <v/>
      </c>
      <c r="CL122" s="106">
        <f>IF(X122="","",IFERROR(X122*HSTECH!$B$13*HSTECH!$G$13/HSTECH!$B$3,""))</f>
        <v/>
      </c>
      <c r="CM122" s="106">
        <f>IF(Y122="","",IFERROR(Y122*HSTECH!$B$13*HSTECH!$G$13/HSTECH!$B$3,""))</f>
        <v/>
      </c>
      <c r="CN122" s="106">
        <f>IF(Z122="","",IFERROR(Z122*HSTECH!$B$13*HSTECH!$G$13/HSTECH!$B$3,""))</f>
        <v/>
      </c>
      <c r="CO122" s="106">
        <f>IF(AA122="","",IFERROR(AA122*HSTECH!$B$13*HSTECH!$G$13/HSTECH!$B$3,""))</f>
        <v/>
      </c>
      <c r="CP122" s="106">
        <f>IF(AB122="","",IFERROR(AB122*HSTECH!$B$13*HSTECH!$G$13/HSTECH!$B$3,""))</f>
        <v/>
      </c>
      <c r="CQ122" s="106">
        <f>IF(AC122="","",IFERROR(AC122*HSTECH!$B$13*HSTECH!$G$13/HSTECH!$B$3,""))</f>
        <v/>
      </c>
      <c r="CR122" s="106">
        <f>IF(AD122="","",IFERROR(AD122*HSTECH!$B$13*HSTECH!$G$13/HSTECH!$B$3,""))</f>
        <v/>
      </c>
      <c r="CS122" s="106">
        <f>IF(AE122="","",IFERROR(AE122*HSTECH!$B$13*HSTECH!$G$13/HSTECH!$B$3,""))</f>
        <v/>
      </c>
      <c r="CT122" s="106">
        <f>IF(AF122="","",IFERROR(AF122*HSTECH!$B$13*HSTECH!$G$13/HSTECH!$B$3,""))</f>
        <v/>
      </c>
      <c r="CU122" s="106">
        <f>IF(AG122="","",IFERROR(AG122*HSTECH!$B$13*HSTECH!$G$13/HSTECH!$B$3,""))</f>
        <v/>
      </c>
      <c r="CV122" s="106">
        <f>IF(AH122="","",IFERROR(AH122*HSTECH!$B$13*HSTECH!$G$13/HSTECH!$B$3,""))</f>
        <v/>
      </c>
      <c r="CW122" s="106">
        <f>IF(AI122="","",IFERROR(AI122*HSTECH!$B$13*HSTECH!$G$13/HSTECH!$B$3,""))</f>
        <v/>
      </c>
      <c r="CX122" s="106">
        <f>IF(AJ122="","",IFERROR(AJ122*HSTECH!$B$13*HSTECH!$G$13/HSTECH!$B$3,""))</f>
        <v/>
      </c>
      <c r="CY122" s="106">
        <f>IF(AK122="","",IFERROR(AK122*HSTECH!$B$13*HSTECH!$G$13/HSTECH!$B$3,""))</f>
        <v/>
      </c>
      <c r="CZ122" s="106">
        <f>IF(AL122="","",IFERROR(AL122*HSTECH!$B$13*HSTECH!$G$13/HSTECH!$B$3,""))</f>
        <v/>
      </c>
      <c r="DA122" s="106">
        <f>IF(AM122="","",IFERROR(AM122*HSTECH!$B$13*HSTECH!$G$13/HSTECH!$B$3,""))</f>
        <v/>
      </c>
      <c r="DB122" s="106">
        <f>IF(AN122="","",IFERROR(AN122*HSTECH!$B$13*HSTECH!$G$13/HSTECH!$B$3,""))</f>
        <v/>
      </c>
      <c r="DC122" s="106">
        <f>IF(AO122="","",IFERROR(AO122*HSTECH!$B$13*HSTECH!$G$13/HSTECH!$B$3,""))</f>
        <v/>
      </c>
      <c r="DD122" s="106">
        <f>IF(AP122="","",IFERROR(AP122*HSTECH!$B$13*HSTECH!$G$13/HSTECH!$B$3,""))</f>
        <v/>
      </c>
      <c r="DE122" s="106">
        <f>IF(AQ122="","",IFERROR(AQ122*HSTECH!$B$13*HSTECH!$G$13/HSTECH!$B$3,""))</f>
        <v/>
      </c>
      <c r="DF122" s="106">
        <f>IF(AR122="","",IFERROR(AR122*HSTECH!$B$13*HSTECH!$G$13/HSTECH!$B$3,""))</f>
        <v/>
      </c>
      <c r="DG122" s="106">
        <f>IF(AS122="","",IFERROR(AS122*HSTECH!$B$13*HSTECH!$G$13/HSTECH!$B$3,""))</f>
        <v/>
      </c>
      <c r="DH122" s="106">
        <f>IF(AT122="","",IFERROR(AT122*HSTECH!$B$13*HSTECH!$G$13/HSTECH!$B$3,""))</f>
        <v/>
      </c>
      <c r="DI122" s="106">
        <f>IF(AU122="","",IFERROR(AU122*HSTECH!$B$13*HSTECH!$G$13/HSTECH!$B$3,""))</f>
        <v/>
      </c>
      <c r="DJ122" s="106">
        <f>IF(AV122="","",IFERROR(AV122*HSTECH!$B$13*HSTECH!$G$13/HSTECH!$B$3,""))</f>
        <v/>
      </c>
      <c r="DK122" s="106">
        <f>IF(AW122="","",IFERROR(AW122*HSTECH!$B$13*HSTECH!$G$13/HSTECH!$B$3,""))</f>
        <v/>
      </c>
      <c r="DL122" s="106">
        <f>IF(AX122="","",IFERROR(AX122*HSTECH!$B$13*HSTECH!$G$13/HSTECH!$B$3,""))</f>
        <v/>
      </c>
      <c r="DM122" s="106">
        <f>IF(AY122="","",IFERROR(AY122*HSTECH!$B$13*HSTECH!$G$13/HSTECH!$B$3,""))</f>
        <v/>
      </c>
      <c r="DN122" s="106">
        <f>IF(AZ122="","",IFERROR(AZ122*HSTECH!$B$13*HSTECH!$G$13/HSTECH!$B$3,""))</f>
        <v/>
      </c>
      <c r="DO122" s="106">
        <f>IF(BA122="","",IFERROR(BA122*HSTECH!$B$13*HSTECH!$G$13/HSTECH!$B$3,""))</f>
        <v/>
      </c>
      <c r="DP122" s="106">
        <f>IF(BB122="","",IFERROR(BB122*HSTECH!$B$13*HSTECH!$G$13/HSTECH!$B$3,""))</f>
        <v/>
      </c>
      <c r="DQ122" s="106">
        <f>IF(BC122="","",IFERROR(BC122*HSTECH!$B$13*HSTECH!$G$13/HSTECH!$B$3,""))</f>
        <v/>
      </c>
      <c r="DR122" s="106">
        <f>IF(BD122="","",IFERROR(BD122*HSTECH!$B$13*HSTECH!$G$13/HSTECH!$B$3,""))</f>
        <v/>
      </c>
      <c r="DS122" s="106">
        <f>IF(BE122="","",IFERROR(BE122*HSTECH!$B$13*HSTECH!$G$13/HSTECH!$B$3,""))</f>
        <v/>
      </c>
      <c r="DT122" s="106">
        <f>IF(BF122="","",IFERROR(BF122*HSTECH!$B$13*HSTECH!$G$13/HSTECH!$B$3,""))</f>
        <v/>
      </c>
      <c r="DU122" s="106">
        <f>IF(BG122="","",IFERROR(BG122*HSTECH!$B$13*HSTECH!$G$13/HSTECH!$B$3,""))</f>
        <v/>
      </c>
      <c r="DV122" s="106">
        <f>IF(BH122="","",IFERROR(BH122*HSTECH!$B$13*HSTECH!$G$13/HSTECH!$B$3,""))</f>
        <v/>
      </c>
      <c r="DW122" s="106">
        <f>IF(BI122="","",IFERROR(BI122*HSTECH!$B$13*HSTECH!$G$13/HSTECH!$B$3,""))</f>
        <v/>
      </c>
      <c r="DX122" s="106">
        <f>IF(BJ122="","",IFERROR(BJ122*HSTECH!$B$13*HSTECH!$G$13/HSTECH!$B$3,""))</f>
        <v/>
      </c>
      <c r="DY122" s="106">
        <f>IF(BK122="","",IFERROR(BK122*HSTECH!$B$13*HSTECH!$G$13/HSTECH!$B$3,""))</f>
        <v/>
      </c>
      <c r="DZ122" s="106">
        <f>IF(BL122="","",IFERROR(BL122*HSTECH!$B$13*HSTECH!$G$13/HSTECH!$B$3,""))</f>
        <v/>
      </c>
      <c r="EA122" s="106">
        <f>IF(BM122="","",IFERROR(BM122*HSTECH!$B$13*HSTECH!$G$13/HSTECH!$B$3,""))</f>
        <v/>
      </c>
      <c r="EB122" s="106">
        <f>IF(BN122="","",IFERROR(BN122*HSTECH!$B$13*HSTECH!$G$13/HSTECH!$B$3,""))</f>
        <v/>
      </c>
      <c r="EC122" s="106">
        <f>IF(BO122="","",IFERROR(BO122*HSTECH!$B$13*HSTECH!$G$13/HSTECH!$B$3,""))</f>
        <v/>
      </c>
      <c r="EE122" s="35">
        <f>IF(N('Dvd Calendar'!$E$1182)=0,"",IF(('Dvd Calendar'!$E$1182&gt;=GRID_FROM)*('Dvd Calendar'!$E$1182&lt;=GRID_TO)*('Dvd Calendar'!$E$1182&lt;=VAL_DATE)=0,"",'Dvd Calendar'!$E$1182*1000000000+ISNUMBER('Dvd Calendar'!$E$1185)*100000000+('Dvd Calendar'!$E$1187=SPECIAL_LBL)*10000000+0*1000000+7*1000+1))</f>
        <v/>
      </c>
      <c r="EF122" s="35">
        <f>IF(N('Dvd Calendar'!$F$1182)=0,"",IF(('Dvd Calendar'!$F$1182&gt;=GRID_FROM)*('Dvd Calendar'!$F$1182&lt;=GRID_TO)*('Dvd Calendar'!$F$1182&lt;=VAL_DATE)=0,"",'Dvd Calendar'!$F$1182*1000000000+ISNUMBER('Dvd Calendar'!$F$1185)*100000000+('Dvd Calendar'!$F$1187=SPECIAL_LBL)*10000000+0*1000000+7*1000+2))</f>
        <v/>
      </c>
      <c r="EG122" s="35">
        <f>IF(N('Dvd Calendar'!$G$1182)=0,"",IF(('Dvd Calendar'!$G$1182&gt;=GRID_FROM)*('Dvd Calendar'!$G$1182&lt;=GRID_TO)*('Dvd Calendar'!$G$1182&lt;=VAL_DATE)=0,"",'Dvd Calendar'!$G$1182*1000000000+ISNUMBER('Dvd Calendar'!$G$1185)*100000000+('Dvd Calendar'!$G$1187=SPECIAL_LBL)*10000000+0*1000000+7*1000+3))</f>
        <v/>
      </c>
      <c r="EH122" s="35">
        <f>IF(N('Dvd Calendar'!$H$1182)=0,"",IF(('Dvd Calendar'!$H$1182&gt;=GRID_FROM)*('Dvd Calendar'!$H$1182&lt;=GRID_TO)*('Dvd Calendar'!$H$1182&lt;=VAL_DATE)=0,"",'Dvd Calendar'!$H$1182*1000000000+ISNUMBER('Dvd Calendar'!$H$1185)*100000000+('Dvd Calendar'!$H$1187=SPECIAL_LBL)*10000000+0*1000000+7*1000+4))</f>
        <v/>
      </c>
      <c r="EI122" s="35">
        <f>IF(N('Dvd Calendar'!$I$1182)=0,"",IF(('Dvd Calendar'!$I$1182&gt;=GRID_FROM)*('Dvd Calendar'!$I$1182&lt;=GRID_TO)*('Dvd Calendar'!$I$1182&lt;=VAL_DATE)=0,"",'Dvd Calendar'!$I$1182*1000000000+ISNUMBER('Dvd Calendar'!$I$1185)*100000000+('Dvd Calendar'!$I$1187=SPECIAL_LBL)*10000000+0*1000000+7*1000+5))</f>
        <v/>
      </c>
      <c r="EJ122" s="35">
        <f>IF(N('Dvd Calendar'!$J$1182)=0,"",IF(('Dvd Calendar'!$J$1182&gt;=GRID_FROM)*('Dvd Calendar'!$J$1182&lt;=GRID_TO)*('Dvd Calendar'!$J$1182&lt;=VAL_DATE)=0,"",'Dvd Calendar'!$J$1182*1000000000+ISNUMBER('Dvd Calendar'!$J$1185)*100000000+('Dvd Calendar'!$J$1187=SPECIAL_LBL)*10000000+0*1000000+7*1000+6))</f>
        <v/>
      </c>
      <c r="EK122" s="35">
        <f>IF(N('Dvd Calendar'!$K$1182)=0,"",IF(('Dvd Calendar'!$K$1182&gt;=GRID_FROM)*('Dvd Calendar'!$K$1182&lt;=GRID_TO)*('Dvd Calendar'!$K$1182&lt;=VAL_DATE)=0,"",'Dvd Calendar'!$K$1182*1000000000+ISNUMBER('Dvd Calendar'!$K$1185)*100000000+('Dvd Calendar'!$K$1187=SPECIAL_LBL)*10000000+0*1000000+7*1000+7))</f>
        <v/>
      </c>
      <c r="EL122" s="35">
        <f>IF(N('Dvd Calendar'!$L$1182)=0,"",IF(('Dvd Calendar'!$L$1182&gt;=GRID_FROM)*('Dvd Calendar'!$L$1182&lt;=GRID_TO)*('Dvd Calendar'!$L$1182&lt;=VAL_DATE)=0,"",'Dvd Calendar'!$L$1182*1000000000+ISNUMBER('Dvd Calendar'!$L$1185)*100000000+('Dvd Calendar'!$L$1187=SPECIAL_LBL)*10000000+0*1000000+7*1000+8))</f>
        <v/>
      </c>
      <c r="EM122" s="35">
        <f>IF(N('Dvd Calendar'!$M$1182)=0,"",IF(('Dvd Calendar'!$M$1182&gt;=GRID_FROM)*('Dvd Calendar'!$M$1182&lt;=GRID_TO)*('Dvd Calendar'!$M$1182&lt;=VAL_DATE)=0,"",'Dvd Calendar'!$M$1182*1000000000+ISNUMBER('Dvd Calendar'!$M$1185)*100000000+('Dvd Calendar'!$M$1187=SPECIAL_LBL)*10000000+0*1000000+7*1000+9))</f>
        <v/>
      </c>
      <c r="EN122" s="35">
        <f>IF(N('Dvd Calendar'!$N$1182)=0,"",IF(('Dvd Calendar'!$N$1182&gt;=GRID_FROM)*('Dvd Calendar'!$N$1182&lt;=GRID_TO)*('Dvd Calendar'!$N$1182&lt;=VAL_DATE)=0,"",'Dvd Calendar'!$N$1182*1000000000+ISNUMBER('Dvd Calendar'!$N$1185)*100000000+('Dvd Calendar'!$N$1187=SPECIAL_LBL)*10000000+0*1000000+7*1000+10))</f>
        <v/>
      </c>
      <c r="EO122" s="35">
        <f>IF(N('Dvd Calendar'!$O$1182)=0,"",IF(('Dvd Calendar'!$O$1182&gt;=GRID_FROM)*('Dvd Calendar'!$O$1182&lt;=GRID_TO)*('Dvd Calendar'!$O$1182&lt;=VAL_DATE)=0,"",'Dvd Calendar'!$O$1182*1000000000+ISNUMBER('Dvd Calendar'!$O$1185)*100000000+('Dvd Calendar'!$O$1187=SPECIAL_LBL)*10000000+0*1000000+7*1000+11))</f>
        <v/>
      </c>
      <c r="EP122" s="35">
        <f>IF(N('Dvd Calendar'!$P$1182)=0,"",IF(('Dvd Calendar'!$P$1182&gt;=GRID_FROM)*('Dvd Calendar'!$P$1182&lt;=GRID_TO)*('Dvd Calendar'!$P$1182&lt;=VAL_DATE)=0,"",'Dvd Calendar'!$P$1182*1000000000+ISNUMBER('Dvd Calendar'!$P$1185)*100000000+('Dvd Calendar'!$P$1187=SPECIAL_LBL)*10000000+0*1000000+7*1000+12))</f>
        <v/>
      </c>
      <c r="EQ122" s="35">
        <f>IF(N('Dvd Calendar'!$Q$1182)=0,"",IF(('Dvd Calendar'!$Q$1182&gt;=GRID_FROM)*('Dvd Calendar'!$Q$1182&lt;=GRID_TO)*('Dvd Calendar'!$Q$1182&lt;=VAL_DATE)=0,"",'Dvd Calendar'!$Q$1182*1000000000+ISNUMBER('Dvd Calendar'!$Q$1185)*100000000+('Dvd Calendar'!$Q$1187=SPECIAL_LBL)*10000000+0*1000000+7*1000+13))</f>
        <v/>
      </c>
      <c r="ER122" s="35">
        <f>IF(N('Dvd Calendar'!$R$1182)=0,"",IF(('Dvd Calendar'!$R$1182&gt;=GRID_FROM)*('Dvd Calendar'!$R$1182&lt;=GRID_TO)*('Dvd Calendar'!$R$1182&lt;=VAL_DATE)=0,"",'Dvd Calendar'!$R$1182*1000000000+ISNUMBER('Dvd Calendar'!$R$1185)*100000000+('Dvd Calendar'!$R$1187=SPECIAL_LBL)*10000000+0*1000000+7*1000+14))</f>
        <v/>
      </c>
      <c r="ES122" s="35">
        <f>IF(N('Dvd Calendar'!$S$1182)=0,"",IF(('Dvd Calendar'!$S$1182&gt;=GRID_FROM)*('Dvd Calendar'!$S$1182&lt;=GRID_TO)*('Dvd Calendar'!$S$1182&lt;=VAL_DATE)=0,"",'Dvd Calendar'!$S$1182*1000000000+ISNUMBER('Dvd Calendar'!$S$1185)*100000000+('Dvd Calendar'!$S$1187=SPECIAL_LBL)*10000000+0*1000000+7*1000+15))</f>
        <v/>
      </c>
      <c r="ET122" s="35">
        <f>IF(N('Dvd Calendar'!$T$1182)=0,"",IF(('Dvd Calendar'!$T$1182&gt;=GRID_FROM)*('Dvd Calendar'!$T$1182&lt;=GRID_TO)*('Dvd Calendar'!$T$1182&lt;=VAL_DATE)=0,"",'Dvd Calendar'!$T$1182*1000000000+ISNUMBER('Dvd Calendar'!$T$1185)*100000000+('Dvd Calendar'!$T$1187=SPECIAL_LBL)*10000000+0*1000000+7*1000+16))</f>
        <v/>
      </c>
      <c r="EU122" s="35">
        <f>IF(N('Dvd Calendar'!$U$1182)=0,"",IF(('Dvd Calendar'!$U$1182&gt;=GRID_FROM)*('Dvd Calendar'!$U$1182&lt;=GRID_TO)*('Dvd Calendar'!$U$1182&lt;=VAL_DATE)=0,"",'Dvd Calendar'!$U$1182*1000000000+ISNUMBER('Dvd Calendar'!$U$1185)*100000000+('Dvd Calendar'!$U$1187=SPECIAL_LBL)*10000000+0*1000000+7*1000+17))</f>
        <v/>
      </c>
      <c r="EV122" s="35">
        <f>IF(N('Dvd Calendar'!$V$1182)=0,"",IF(('Dvd Calendar'!$V$1182&gt;=GRID_FROM)*('Dvd Calendar'!$V$1182&lt;=GRID_TO)*('Dvd Calendar'!$V$1182&lt;=VAL_DATE)=0,"",'Dvd Calendar'!$V$1182*1000000000+ISNUMBER('Dvd Calendar'!$V$1185)*100000000+('Dvd Calendar'!$V$1187=SPECIAL_LBL)*10000000+0*1000000+7*1000+18))</f>
        <v/>
      </c>
      <c r="EW122" s="35">
        <f>IF(N('Dvd Calendar'!$W$1182)=0,"",IF(('Dvd Calendar'!$W$1182&gt;=GRID_FROM)*('Dvd Calendar'!$W$1182&lt;=GRID_TO)*('Dvd Calendar'!$W$1182&lt;=VAL_DATE)=0,"",'Dvd Calendar'!$W$1182*1000000000+ISNUMBER('Dvd Calendar'!$W$1185)*100000000+('Dvd Calendar'!$W$1187=SPECIAL_LBL)*10000000+0*1000000+7*1000+19))</f>
        <v/>
      </c>
      <c r="EX122" s="35">
        <f>IF(N('Dvd Calendar'!$X$1182)=0,"",IF(('Dvd Calendar'!$X$1182&gt;=GRID_FROM)*('Dvd Calendar'!$X$1182&lt;=GRID_TO)*('Dvd Calendar'!$X$1182&lt;=VAL_DATE)=0,"",'Dvd Calendar'!$X$1182*1000000000+ISNUMBER('Dvd Calendar'!$X$1185)*100000000+('Dvd Calendar'!$X$1187=SPECIAL_LBL)*10000000+0*1000000+7*1000+20))</f>
        <v/>
      </c>
      <c r="EY122" s="35">
        <f>IF(N('Dvd Calendar'!$Y$1182)=0,"",IF(('Dvd Calendar'!$Y$1182&gt;=GRID_FROM)*('Dvd Calendar'!$Y$1182&lt;=GRID_TO)*('Dvd Calendar'!$Y$1182&lt;=VAL_DATE)=0,"",'Dvd Calendar'!$Y$1182*1000000000+ISNUMBER('Dvd Calendar'!$Y$1185)*100000000+('Dvd Calendar'!$Y$1187=SPECIAL_LBL)*10000000+0*1000000+7*1000+21))</f>
        <v/>
      </c>
      <c r="EZ122" s="35">
        <f>IF(N('Dvd Calendar'!$Z$1182)=0,"",IF(('Dvd Calendar'!$Z$1182&gt;=GRID_FROM)*('Dvd Calendar'!$Z$1182&lt;=GRID_TO)*('Dvd Calendar'!$Z$1182&lt;=VAL_DATE)=0,"",'Dvd Calendar'!$Z$1182*1000000000+ISNUMBER('Dvd Calendar'!$Z$1185)*100000000+('Dvd Calendar'!$Z$1187=SPECIAL_LBL)*10000000+0*1000000+7*1000+22))</f>
        <v/>
      </c>
      <c r="FA122" s="35">
        <f>IF(N('Dvd Calendar'!$AA$1182)=0,"",IF(('Dvd Calendar'!$AA$1182&gt;=GRID_FROM)*('Dvd Calendar'!$AA$1182&lt;=GRID_TO)*('Dvd Calendar'!$AA$1182&lt;=VAL_DATE)=0,"",'Dvd Calendar'!$AA$1182*1000000000+ISNUMBER('Dvd Calendar'!$AA$1185)*100000000+('Dvd Calendar'!$AA$1187=SPECIAL_LBL)*10000000+0*1000000+7*1000+23))</f>
        <v/>
      </c>
      <c r="FB122" s="35">
        <f>IF(N('Dvd Calendar'!$AB$1182)=0,"",IF(('Dvd Calendar'!$AB$1182&gt;=GRID_FROM)*('Dvd Calendar'!$AB$1182&lt;=GRID_TO)*('Dvd Calendar'!$AB$1182&lt;=VAL_DATE)=0,"",'Dvd Calendar'!$AB$1182*1000000000+ISNUMBER('Dvd Calendar'!$AB$1185)*100000000+('Dvd Calendar'!$AB$1187=SPECIAL_LBL)*10000000+0*1000000+7*1000+24))</f>
        <v/>
      </c>
      <c r="FC122" s="35">
        <f>IF(N('Dvd Calendar'!$AC$1182)=0,"",IF(('Dvd Calendar'!$AC$1182&gt;=GRID_FROM)*('Dvd Calendar'!$AC$1182&lt;=GRID_TO)*('Dvd Calendar'!$AC$1182&lt;=VAL_DATE)=0,"",'Dvd Calendar'!$AC$1182*1000000000+ISNUMBER('Dvd Calendar'!$AC$1185)*100000000+('Dvd Calendar'!$AC$1187=SPECIAL_LBL)*10000000+0*1000000+7*1000+25))</f>
        <v/>
      </c>
      <c r="FD122" s="35">
        <f>IF(N('Dvd Calendar'!$AD$1182)=0,"",IF(('Dvd Calendar'!$AD$1182&gt;=GRID_FROM)*('Dvd Calendar'!$AD$1182&lt;=GRID_TO)*('Dvd Calendar'!$AD$1182&lt;=VAL_DATE)=0,"",'Dvd Calendar'!$AD$1182*1000000000+ISNUMBER('Dvd Calendar'!$AD$1185)*100000000+('Dvd Calendar'!$AD$1187=SPECIAL_LBL)*10000000+0*1000000+7*1000+26))</f>
        <v/>
      </c>
      <c r="FE122" s="35">
        <f>IF(N('Dvd Calendar'!$AE$1182)=0,"",IF(('Dvd Calendar'!$AE$1182&gt;=GRID_FROM)*('Dvd Calendar'!$AE$1182&lt;=GRID_TO)*('Dvd Calendar'!$AE$1182&lt;=VAL_DATE)=0,"",'Dvd Calendar'!$AE$1182*1000000000+ISNUMBER('Dvd Calendar'!$AE$1185)*100000000+('Dvd Calendar'!$AE$1187=SPECIAL_LBL)*10000000+0*1000000+7*1000+27))</f>
        <v/>
      </c>
      <c r="FF122" s="35">
        <f>IF(N('Dvd Calendar'!$AF$1182)=0,"",IF(('Dvd Calendar'!$AF$1182&gt;=GRID_FROM)*('Dvd Calendar'!$AF$1182&lt;=GRID_TO)*('Dvd Calendar'!$AF$1182&lt;=VAL_DATE)=0,"",'Dvd Calendar'!$AF$1182*1000000000+ISNUMBER('Dvd Calendar'!$AF$1185)*100000000+('Dvd Calendar'!$AF$1187=SPECIAL_LBL)*10000000+0*1000000+7*1000+28))</f>
        <v/>
      </c>
      <c r="FG122" s="35">
        <f>IF(N('Dvd Calendar'!$AG$1182)=0,"",IF(('Dvd Calendar'!$AG$1182&gt;=GRID_FROM)*('Dvd Calendar'!$AG$1182&lt;=GRID_TO)*('Dvd Calendar'!$AG$1182&lt;=VAL_DATE)=0,"",'Dvd Calendar'!$AG$1182*1000000000+ISNUMBER('Dvd Calendar'!$AG$1185)*100000000+('Dvd Calendar'!$AG$1187=SPECIAL_LBL)*10000000+0*1000000+7*1000+29))</f>
        <v/>
      </c>
      <c r="FH122" s="35">
        <f>IF(N('Dvd Calendar'!$AH$1182)=0,"",IF(('Dvd Calendar'!$AH$1182&gt;=GRID_FROM)*('Dvd Calendar'!$AH$1182&lt;=GRID_TO)*('Dvd Calendar'!$AH$1182&lt;=VAL_DATE)=0,"",'Dvd Calendar'!$AH$1182*1000000000+ISNUMBER('Dvd Calendar'!$AH$1185)*100000000+('Dvd Calendar'!$AH$1187=SPECIAL_LBL)*10000000+0*1000000+7*1000+30))</f>
        <v/>
      </c>
      <c r="FI122" s="35">
        <f>IF(N('Dvd Calendar'!$AI$1182)=0,"",IF(('Dvd Calendar'!$AI$1182&gt;=GRID_FROM)*('Dvd Calendar'!$AI$1182&lt;=GRID_TO)*('Dvd Calendar'!$AI$1182&lt;=VAL_DATE)=0,"",'Dvd Calendar'!$AI$1182*1000000000+ISNUMBER('Dvd Calendar'!$AI$1185)*100000000+('Dvd Calendar'!$AI$1187=SPECIAL_LBL)*10000000+0*1000000+7*1000+31))</f>
        <v/>
      </c>
      <c r="FJ122" s="35">
        <f>IF(N('Dvd Calendar'!$AJ$1182)=0,"",IF(('Dvd Calendar'!$AJ$1182&gt;=GRID_FROM)*('Dvd Calendar'!$AJ$1182&lt;=GRID_TO)*('Dvd Calendar'!$AJ$1182&lt;=VAL_DATE)=0,"",'Dvd Calendar'!$AJ$1182*1000000000+ISNUMBER('Dvd Calendar'!$AJ$1185)*100000000+('Dvd Calendar'!$AJ$1187=SPECIAL_LBL)*10000000+0*1000000+7*1000+32))</f>
        <v/>
      </c>
      <c r="FK122" s="35">
        <f>IF(N('Dvd Calendar'!$AK$1182)=0,"",IF(('Dvd Calendar'!$AK$1182&gt;=GRID_FROM)*('Dvd Calendar'!$AK$1182&lt;=GRID_TO)*('Dvd Calendar'!$AK$1182&lt;=VAL_DATE)=0,"",'Dvd Calendar'!$AK$1182*1000000000+ISNUMBER('Dvd Calendar'!$AK$1185)*100000000+('Dvd Calendar'!$AK$1187=SPECIAL_LBL)*10000000+0*1000000+7*1000+33))</f>
        <v/>
      </c>
      <c r="FL122" s="35">
        <f>IF(N('Dvd Calendar'!$AL$1182)=0,"",IF(('Dvd Calendar'!$AL$1182&gt;=GRID_FROM)*('Dvd Calendar'!$AL$1182&lt;=GRID_TO)*('Dvd Calendar'!$AL$1182&lt;=VAL_DATE)=0,"",'Dvd Calendar'!$AL$1182*1000000000+ISNUMBER('Dvd Calendar'!$AL$1185)*100000000+('Dvd Calendar'!$AL$1187=SPECIAL_LBL)*10000000+0*1000000+7*1000+34))</f>
        <v/>
      </c>
      <c r="FM122" s="35">
        <f>IF(N('Dvd Calendar'!$AM$1182)=0,"",IF(('Dvd Calendar'!$AM$1182&gt;=GRID_FROM)*('Dvd Calendar'!$AM$1182&lt;=GRID_TO)*('Dvd Calendar'!$AM$1182&lt;=VAL_DATE)=0,"",'Dvd Calendar'!$AM$1182*1000000000+ISNUMBER('Dvd Calendar'!$AM$1185)*100000000+('Dvd Calendar'!$AM$1187=SPECIAL_LBL)*10000000+0*1000000+7*1000+35))</f>
        <v/>
      </c>
      <c r="FN122" s="35">
        <f>IF(N('Dvd Calendar'!$AN$1182)=0,"",IF(('Dvd Calendar'!$AN$1182&gt;=GRID_FROM)*('Dvd Calendar'!$AN$1182&lt;=GRID_TO)*('Dvd Calendar'!$AN$1182&lt;=VAL_DATE)=0,"",'Dvd Calendar'!$AN$1182*1000000000+ISNUMBER('Dvd Calendar'!$AN$1185)*100000000+('Dvd Calendar'!$AN$1187=SPECIAL_LBL)*10000000+0*1000000+7*1000+36))</f>
        <v/>
      </c>
      <c r="FO122" s="35">
        <f>IF(N('Dvd Calendar'!$AO$1182)=0,"",IF(('Dvd Calendar'!$AO$1182&gt;=GRID_FROM)*('Dvd Calendar'!$AO$1182&lt;=GRID_TO)*('Dvd Calendar'!$AO$1182&lt;=VAL_DATE)=0,"",'Dvd Calendar'!$AO$1182*1000000000+ISNUMBER('Dvd Calendar'!$AO$1185)*100000000+('Dvd Calendar'!$AO$1187=SPECIAL_LBL)*10000000+0*1000000+7*1000+37))</f>
        <v/>
      </c>
      <c r="FP122" s="35">
        <f>IF(N('Dvd Calendar'!$AP$1182)=0,"",IF(('Dvd Calendar'!$AP$1182&gt;=GRID_FROM)*('Dvd Calendar'!$AP$1182&lt;=GRID_TO)*('Dvd Calendar'!$AP$1182&lt;=VAL_DATE)=0,"",'Dvd Calendar'!$AP$1182*1000000000+ISNUMBER('Dvd Calendar'!$AP$1185)*100000000+('Dvd Calendar'!$AP$1187=SPECIAL_LBL)*10000000+0*1000000+7*1000+38))</f>
        <v/>
      </c>
      <c r="FQ122" s="35">
        <f>IF(N('Dvd Calendar'!$AQ$1182)=0,"",IF(('Dvd Calendar'!$AQ$1182&gt;=GRID_FROM)*('Dvd Calendar'!$AQ$1182&lt;=GRID_TO)*('Dvd Calendar'!$AQ$1182&lt;=VAL_DATE)=0,"",'Dvd Calendar'!$AQ$1182*1000000000+ISNUMBER('Dvd Calendar'!$AQ$1185)*100000000+('Dvd Calendar'!$AQ$1187=SPECIAL_LBL)*10000000+0*1000000+7*1000+39))</f>
        <v/>
      </c>
      <c r="FR122" s="35">
        <f>IF(N('Dvd Calendar'!$AR$1182)=0,"",IF(('Dvd Calendar'!$AR$1182&gt;=GRID_FROM)*('Dvd Calendar'!$AR$1182&lt;=GRID_TO)*('Dvd Calendar'!$AR$1182&lt;=VAL_DATE)=0,"",'Dvd Calendar'!$AR$1182*1000000000+ISNUMBER('Dvd Calendar'!$AR$1185)*100000000+('Dvd Calendar'!$AR$1187=SPECIAL_LBL)*10000000+0*1000000+7*1000+40))</f>
        <v/>
      </c>
      <c r="FS122" s="35">
        <f>IF(N('Dvd Calendar'!$E$1189)=0,"",IF(('Dvd Calendar'!$E$1189&gt;=GRID_FROM)*('Dvd Calendar'!$E$1189&lt;=GRID_TO)*('Dvd Calendar'!$E$1189&gt;VAL_DATE)=0,"",'Dvd Calendar'!$E$1189*1000000000+ISNUMBER('Dvd Calendar'!$E$1190)*100000000+0*10000000+(N('Dvd Calendar'!$E$1188)&gt;0)*(N('Dvd Calendar'!$E$1188)&lt;=VAL_SERIAL)*1000000+7*1000+41))</f>
        <v/>
      </c>
      <c r="FT122" s="35">
        <f>IF(N('Dvd Calendar'!$F$1189)=0,"",IF(('Dvd Calendar'!$F$1189&gt;=GRID_FROM)*('Dvd Calendar'!$F$1189&lt;=GRID_TO)*('Dvd Calendar'!$F$1189&gt;VAL_DATE)=0,"",'Dvd Calendar'!$F$1189*1000000000+ISNUMBER('Dvd Calendar'!$F$1190)*100000000+0*10000000+(N('Dvd Calendar'!$F$1188)&gt;0)*(N('Dvd Calendar'!$F$1188)&lt;=VAL_SERIAL)*1000000+7*1000+42))</f>
        <v/>
      </c>
      <c r="FU122" s="35">
        <f>IF(N('Dvd Calendar'!$G$1189)=0,"",IF(('Dvd Calendar'!$G$1189&gt;=GRID_FROM)*('Dvd Calendar'!$G$1189&lt;=GRID_TO)*('Dvd Calendar'!$G$1189&gt;VAL_DATE)=0,"",'Dvd Calendar'!$G$1189*1000000000+ISNUMBER('Dvd Calendar'!$G$1190)*100000000+0*10000000+(N('Dvd Calendar'!$G$1188)&gt;0)*(N('Dvd Calendar'!$G$1188)&lt;=VAL_SERIAL)*1000000+7*1000+43))</f>
        <v/>
      </c>
      <c r="FV122" s="35">
        <f>IF(N('Dvd Calendar'!$H$1189)=0,"",IF(('Dvd Calendar'!$H$1189&gt;=GRID_FROM)*('Dvd Calendar'!$H$1189&lt;=GRID_TO)*('Dvd Calendar'!$H$1189&gt;VAL_DATE)=0,"",'Dvd Calendar'!$H$1189*1000000000+ISNUMBER('Dvd Calendar'!$H$1190)*100000000+0*10000000+(N('Dvd Calendar'!$H$1188)&gt;0)*(N('Dvd Calendar'!$H$1188)&lt;=VAL_SERIAL)*1000000+7*1000+44))</f>
        <v/>
      </c>
      <c r="FW122" s="35">
        <f>IF(N('Dvd Calendar'!$I$1189)=0,"",IF(('Dvd Calendar'!$I$1189&gt;=GRID_FROM)*('Dvd Calendar'!$I$1189&lt;=GRID_TO)*('Dvd Calendar'!$I$1189&gt;VAL_DATE)=0,"",'Dvd Calendar'!$I$1189*1000000000+ISNUMBER('Dvd Calendar'!$I$1190)*100000000+0*10000000+(N('Dvd Calendar'!$I$1188)&gt;0)*(N('Dvd Calendar'!$I$1188)&lt;=VAL_SERIAL)*1000000+7*1000+45))</f>
        <v/>
      </c>
      <c r="FX122" s="35">
        <f>IF(N('Dvd Calendar'!$J$1189)=0,"",IF(('Dvd Calendar'!$J$1189&gt;=GRID_FROM)*('Dvd Calendar'!$J$1189&lt;=GRID_TO)*('Dvd Calendar'!$J$1189&gt;VAL_DATE)=0,"",'Dvd Calendar'!$J$1189*1000000000+ISNUMBER('Dvd Calendar'!$J$1190)*100000000+0*10000000+(N('Dvd Calendar'!$J$1188)&gt;0)*(N('Dvd Calendar'!$J$1188)&lt;=VAL_SERIAL)*1000000+7*1000+46))</f>
        <v/>
      </c>
      <c r="FY122" s="35">
        <f>IF(N('Dvd Calendar'!$K$1189)=0,"",IF(('Dvd Calendar'!$K$1189&gt;=GRID_FROM)*('Dvd Calendar'!$K$1189&lt;=GRID_TO)*('Dvd Calendar'!$K$1189&gt;VAL_DATE)=0,"",'Dvd Calendar'!$K$1189*1000000000+ISNUMBER('Dvd Calendar'!$K$1190)*100000000+0*10000000+(N('Dvd Calendar'!$K$1188)&gt;0)*(N('Dvd Calendar'!$K$1188)&lt;=VAL_SERIAL)*1000000+7*1000+47))</f>
        <v/>
      </c>
      <c r="FZ122" s="35">
        <f>IF(N('Dvd Calendar'!$L$1189)=0,"",IF(('Dvd Calendar'!$L$1189&gt;=GRID_FROM)*('Dvd Calendar'!$L$1189&lt;=GRID_TO)*('Dvd Calendar'!$L$1189&gt;VAL_DATE)=0,"",'Dvd Calendar'!$L$1189*1000000000+ISNUMBER('Dvd Calendar'!$L$1190)*100000000+0*10000000+(N('Dvd Calendar'!$L$1188)&gt;0)*(N('Dvd Calendar'!$L$1188)&lt;=VAL_SERIAL)*1000000+7*1000+48))</f>
        <v/>
      </c>
      <c r="GA122" s="35">
        <f>IF(N('Dvd Calendar'!$M$1189)=0,"",IF(('Dvd Calendar'!$M$1189&gt;=GRID_FROM)*('Dvd Calendar'!$M$1189&lt;=GRID_TO)*('Dvd Calendar'!$M$1189&gt;VAL_DATE)=0,"",'Dvd Calendar'!$M$1189*1000000000+ISNUMBER('Dvd Calendar'!$M$1190)*100000000+0*10000000+(N('Dvd Calendar'!$M$1188)&gt;0)*(N('Dvd Calendar'!$M$1188)&lt;=VAL_SERIAL)*1000000+7*1000+49))</f>
        <v/>
      </c>
      <c r="GB122" s="35">
        <f>IF(N('Dvd Calendar'!$N$1189)=0,"",IF(('Dvd Calendar'!$N$1189&gt;=GRID_FROM)*('Dvd Calendar'!$N$1189&lt;=GRID_TO)*('Dvd Calendar'!$N$1189&gt;VAL_DATE)=0,"",'Dvd Calendar'!$N$1189*1000000000+ISNUMBER('Dvd Calendar'!$N$1190)*100000000+0*10000000+(N('Dvd Calendar'!$N$1188)&gt;0)*(N('Dvd Calendar'!$N$1188)&lt;=VAL_SERIAL)*1000000+7*1000+50))</f>
        <v/>
      </c>
      <c r="GC122" s="35">
        <f>IF(N('Dvd Calendar'!$O$1189)=0,"",IF(('Dvd Calendar'!$O$1189&gt;=GRID_FROM)*('Dvd Calendar'!$O$1189&lt;=GRID_TO)*('Dvd Calendar'!$O$1189&gt;VAL_DATE)=0,"",'Dvd Calendar'!$O$1189*1000000000+ISNUMBER('Dvd Calendar'!$O$1190)*100000000+0*10000000+(N('Dvd Calendar'!$O$1188)&gt;0)*(N('Dvd Calendar'!$O$1188)&lt;=VAL_SERIAL)*1000000+7*1000+51))</f>
        <v/>
      </c>
      <c r="GD122" s="35">
        <f>IF(N('Dvd Calendar'!$P$1189)=0,"",IF(('Dvd Calendar'!$P$1189&gt;=GRID_FROM)*('Dvd Calendar'!$P$1189&lt;=GRID_TO)*('Dvd Calendar'!$P$1189&gt;VAL_DATE)=0,"",'Dvd Calendar'!$P$1189*1000000000+ISNUMBER('Dvd Calendar'!$P$1190)*100000000+0*10000000+(N('Dvd Calendar'!$P$1188)&gt;0)*(N('Dvd Calendar'!$P$1188)&lt;=VAL_SERIAL)*1000000+7*1000+52))</f>
        <v/>
      </c>
      <c r="GE122" s="35">
        <f>IF(N('Dvd Calendar'!$Q$1189)=0,"",IF(('Dvd Calendar'!$Q$1189&gt;=GRID_FROM)*('Dvd Calendar'!$Q$1189&lt;=GRID_TO)*('Dvd Calendar'!$Q$1189&gt;VAL_DATE)=0,"",'Dvd Calendar'!$Q$1189*1000000000+ISNUMBER('Dvd Calendar'!$Q$1190)*100000000+0*10000000+(N('Dvd Calendar'!$Q$1188)&gt;0)*(N('Dvd Calendar'!$Q$1188)&lt;=VAL_SERIAL)*1000000+7*1000+53))</f>
        <v/>
      </c>
      <c r="GF122" s="35">
        <f>IF(N('Dvd Calendar'!$R$1189)=0,"",IF(('Dvd Calendar'!$R$1189&gt;=GRID_FROM)*('Dvd Calendar'!$R$1189&lt;=GRID_TO)*('Dvd Calendar'!$R$1189&gt;VAL_DATE)=0,"",'Dvd Calendar'!$R$1189*1000000000+ISNUMBER('Dvd Calendar'!$R$1190)*100000000+0*10000000+(N('Dvd Calendar'!$R$1188)&gt;0)*(N('Dvd Calendar'!$R$1188)&lt;=VAL_SERIAL)*1000000+7*1000+54))</f>
        <v/>
      </c>
      <c r="GG122" s="35">
        <f>IF(N('Dvd Calendar'!$S$1189)=0,"",IF(('Dvd Calendar'!$S$1189&gt;=GRID_FROM)*('Dvd Calendar'!$S$1189&lt;=GRID_TO)*('Dvd Calendar'!$S$1189&gt;VAL_DATE)=0,"",'Dvd Calendar'!$S$1189*1000000000+ISNUMBER('Dvd Calendar'!$S$1190)*100000000+0*10000000+(N('Dvd Calendar'!$S$1188)&gt;0)*(N('Dvd Calendar'!$S$1188)&lt;=VAL_SERIAL)*1000000+7*1000+55))</f>
        <v/>
      </c>
      <c r="GH122" s="35">
        <f>IF(N('Dvd Calendar'!$T$1189)=0,"",IF(('Dvd Calendar'!$T$1189&gt;=GRID_FROM)*('Dvd Calendar'!$T$1189&lt;=GRID_TO)*('Dvd Calendar'!$T$1189&gt;VAL_DATE)=0,"",'Dvd Calendar'!$T$1189*1000000000+ISNUMBER('Dvd Calendar'!$T$1190)*100000000+0*10000000+(N('Dvd Calendar'!$T$1188)&gt;0)*(N('Dvd Calendar'!$T$1188)&lt;=VAL_SERIAL)*1000000+7*1000+56))</f>
        <v/>
      </c>
      <c r="GI122" s="35">
        <f>IF(N('Dvd Calendar'!$U$1189)=0,"",IF(('Dvd Calendar'!$U$1189&gt;=GRID_FROM)*('Dvd Calendar'!$U$1189&lt;=GRID_TO)*('Dvd Calendar'!$U$1189&gt;VAL_DATE)=0,"",'Dvd Calendar'!$U$1189*1000000000+ISNUMBER('Dvd Calendar'!$U$1190)*100000000+0*10000000+(N('Dvd Calendar'!$U$1188)&gt;0)*(N('Dvd Calendar'!$U$1188)&lt;=VAL_SERIAL)*1000000+7*1000+57))</f>
        <v/>
      </c>
      <c r="GJ122" s="35">
        <f>IF(N('Dvd Calendar'!$V$1189)=0,"",IF(('Dvd Calendar'!$V$1189&gt;=GRID_FROM)*('Dvd Calendar'!$V$1189&lt;=GRID_TO)*('Dvd Calendar'!$V$1189&gt;VAL_DATE)=0,"",'Dvd Calendar'!$V$1189*1000000000+ISNUMBER('Dvd Calendar'!$V$1190)*100000000+0*10000000+(N('Dvd Calendar'!$V$1188)&gt;0)*(N('Dvd Calendar'!$V$1188)&lt;=VAL_SERIAL)*1000000+7*1000+58))</f>
        <v/>
      </c>
      <c r="GK122" s="35">
        <f>IF(N('Dvd Calendar'!$W$1189)=0,"",IF(('Dvd Calendar'!$W$1189&gt;=GRID_FROM)*('Dvd Calendar'!$W$1189&lt;=GRID_TO)*('Dvd Calendar'!$W$1189&gt;VAL_DATE)=0,"",'Dvd Calendar'!$W$1189*1000000000+ISNUMBER('Dvd Calendar'!$W$1190)*100000000+0*10000000+(N('Dvd Calendar'!$W$1188)&gt;0)*(N('Dvd Calendar'!$W$1188)&lt;=VAL_SERIAL)*1000000+7*1000+59))</f>
        <v/>
      </c>
      <c r="GL122" s="35">
        <f>IF(N('Dvd Calendar'!$X$1189)=0,"",IF(('Dvd Calendar'!$X$1189&gt;=GRID_FROM)*('Dvd Calendar'!$X$1189&lt;=GRID_TO)*('Dvd Calendar'!$X$1189&gt;VAL_DATE)=0,"",'Dvd Calendar'!$X$1189*1000000000+ISNUMBER('Dvd Calendar'!$X$1190)*100000000+0*10000000+(N('Dvd Calendar'!$X$1188)&gt;0)*(N('Dvd Calendar'!$X$1188)&lt;=VAL_SERIAL)*1000000+7*1000+60))</f>
        <v/>
      </c>
      <c r="GM122" s="35">
        <f>IF(N('Dvd Calendar'!$Y$1189)=0,"",IF(('Dvd Calendar'!$Y$1189&gt;=GRID_FROM)*('Dvd Calendar'!$Y$1189&lt;=GRID_TO)*('Dvd Calendar'!$Y$1189&gt;VAL_DATE)=0,"",'Dvd Calendar'!$Y$1189*1000000000+ISNUMBER('Dvd Calendar'!$Y$1190)*100000000+0*10000000+(N('Dvd Calendar'!$Y$1188)&gt;0)*(N('Dvd Calendar'!$Y$1188)&lt;=VAL_SERIAL)*1000000+7*1000+61))</f>
        <v/>
      </c>
      <c r="GN122" s="35">
        <f>IF(N('Dvd Calendar'!$Z$1189)=0,"",IF(('Dvd Calendar'!$Z$1189&gt;=GRID_FROM)*('Dvd Calendar'!$Z$1189&lt;=GRID_TO)*('Dvd Calendar'!$Z$1189&gt;VAL_DATE)=0,"",'Dvd Calendar'!$Z$1189*1000000000+ISNUMBER('Dvd Calendar'!$Z$1190)*100000000+0*10000000+(N('Dvd Calendar'!$Z$1188)&gt;0)*(N('Dvd Calendar'!$Z$1188)&lt;=VAL_SERIAL)*1000000+7*1000+62))</f>
        <v/>
      </c>
      <c r="GO122" s="35">
        <f>IF(N('Dvd Calendar'!$AA$1189)=0,"",IF(('Dvd Calendar'!$AA$1189&gt;=GRID_FROM)*('Dvd Calendar'!$AA$1189&lt;=GRID_TO)*('Dvd Calendar'!$AA$1189&gt;VAL_DATE)=0,"",'Dvd Calendar'!$AA$1189*1000000000+ISNUMBER('Dvd Calendar'!$AA$1190)*100000000+0*10000000+(N('Dvd Calendar'!$AA$1188)&gt;0)*(N('Dvd Calendar'!$AA$1188)&lt;=VAL_SERIAL)*1000000+7*1000+63))</f>
        <v/>
      </c>
      <c r="GP122" s="35">
        <f>IF(N('Dvd Calendar'!$AB$1189)=0,"",IF(('Dvd Calendar'!$AB$1189&gt;=GRID_FROM)*('Dvd Calendar'!$AB$1189&lt;=GRID_TO)*('Dvd Calendar'!$AB$1189&gt;VAL_DATE)=0,"",'Dvd Calendar'!$AB$1189*1000000000+ISNUMBER('Dvd Calendar'!$AB$1190)*100000000+0*10000000+(N('Dvd Calendar'!$AB$1188)&gt;0)*(N('Dvd Calendar'!$AB$1188)&lt;=VAL_SERIAL)*1000000+7*1000+64))</f>
        <v/>
      </c>
      <c r="GQ122" s="35">
        <f>IF(N('Dvd Calendar'!$AC$1189)=0,"",IF(('Dvd Calendar'!$AC$1189&gt;=GRID_FROM)*('Dvd Calendar'!$AC$1189&lt;=GRID_TO)*('Dvd Calendar'!$AC$1189&gt;VAL_DATE)=0,"",'Dvd Calendar'!$AC$1189*1000000000+ISNUMBER('Dvd Calendar'!$AC$1190)*100000000+0*10000000+(N('Dvd Calendar'!$AC$1188)&gt;0)*(N('Dvd Calendar'!$AC$1188)&lt;=VAL_SERIAL)*1000000+7*1000+65))</f>
        <v/>
      </c>
    </row>
    <row r="123">
      <c r="B123" s="2">
        <f>IF(HSTECH!$C$14="","",HSTECH!$C$14)</f>
        <v/>
      </c>
      <c r="C123" s="106">
        <f>IF(EE123="","",IF(ISNUMBER('Dvd Calendar'!$E$1196)=FALSE,"",IF((('Dvd Calendar'!$E$1198=TYPE1)*(TYPE1&lt;&gt;"")+('Dvd Calendar'!$E$1198=TYPE2)*(TYPE2&lt;&gt;"")+('Dvd Calendar'!$E$1198=TYPE3)*(TYPE3&lt;&gt;"")+('Dvd Calendar'!$E$1198=TYPE4)*(TYPE4&lt;&gt;"")+('Dvd Calendar'!$E$1198=SPECIAL_LBL)*(INC_SPECIALS="Y"))=0,"",'Dvd Calendar'!$E$1196)))</f>
        <v/>
      </c>
      <c r="D123" s="106">
        <f>IF(EF123="","",IF(ISNUMBER('Dvd Calendar'!$F$1196)=FALSE,"",IF((('Dvd Calendar'!$F$1198=TYPE1)*(TYPE1&lt;&gt;"")+('Dvd Calendar'!$F$1198=TYPE2)*(TYPE2&lt;&gt;"")+('Dvd Calendar'!$F$1198=TYPE3)*(TYPE3&lt;&gt;"")+('Dvd Calendar'!$F$1198=TYPE4)*(TYPE4&lt;&gt;"")+('Dvd Calendar'!$F$1198=SPECIAL_LBL)*(INC_SPECIALS="Y"))=0,"",'Dvd Calendar'!$F$1196)))</f>
        <v/>
      </c>
      <c r="E123" s="106">
        <f>IF(EG123="","",IF(ISNUMBER('Dvd Calendar'!$G$1196)=FALSE,"",IF((('Dvd Calendar'!$G$1198=TYPE1)*(TYPE1&lt;&gt;"")+('Dvd Calendar'!$G$1198=TYPE2)*(TYPE2&lt;&gt;"")+('Dvd Calendar'!$G$1198=TYPE3)*(TYPE3&lt;&gt;"")+('Dvd Calendar'!$G$1198=TYPE4)*(TYPE4&lt;&gt;"")+('Dvd Calendar'!$G$1198=SPECIAL_LBL)*(INC_SPECIALS="Y"))=0,"",'Dvd Calendar'!$G$1196)))</f>
        <v/>
      </c>
      <c r="F123" s="106">
        <f>IF(EH123="","",IF(ISNUMBER('Dvd Calendar'!$H$1196)=FALSE,"",IF((('Dvd Calendar'!$H$1198=TYPE1)*(TYPE1&lt;&gt;"")+('Dvd Calendar'!$H$1198=TYPE2)*(TYPE2&lt;&gt;"")+('Dvd Calendar'!$H$1198=TYPE3)*(TYPE3&lt;&gt;"")+('Dvd Calendar'!$H$1198=TYPE4)*(TYPE4&lt;&gt;"")+('Dvd Calendar'!$H$1198=SPECIAL_LBL)*(INC_SPECIALS="Y"))=0,"",'Dvd Calendar'!$H$1196)))</f>
        <v/>
      </c>
      <c r="G123" s="106">
        <f>IF(EI123="","",IF(ISNUMBER('Dvd Calendar'!$I$1196)=FALSE,"",IF((('Dvd Calendar'!$I$1198=TYPE1)*(TYPE1&lt;&gt;"")+('Dvd Calendar'!$I$1198=TYPE2)*(TYPE2&lt;&gt;"")+('Dvd Calendar'!$I$1198=TYPE3)*(TYPE3&lt;&gt;"")+('Dvd Calendar'!$I$1198=TYPE4)*(TYPE4&lt;&gt;"")+('Dvd Calendar'!$I$1198=SPECIAL_LBL)*(INC_SPECIALS="Y"))=0,"",'Dvd Calendar'!$I$1196)))</f>
        <v/>
      </c>
      <c r="H123" s="106">
        <f>IF(EJ123="","",IF(ISNUMBER('Dvd Calendar'!$J$1196)=FALSE,"",IF((('Dvd Calendar'!$J$1198=TYPE1)*(TYPE1&lt;&gt;"")+('Dvd Calendar'!$J$1198=TYPE2)*(TYPE2&lt;&gt;"")+('Dvd Calendar'!$J$1198=TYPE3)*(TYPE3&lt;&gt;"")+('Dvd Calendar'!$J$1198=TYPE4)*(TYPE4&lt;&gt;"")+('Dvd Calendar'!$J$1198=SPECIAL_LBL)*(INC_SPECIALS="Y"))=0,"",'Dvd Calendar'!$J$1196)))</f>
        <v/>
      </c>
      <c r="I123" s="106">
        <f>IF(EK123="","",IF(ISNUMBER('Dvd Calendar'!$K$1196)=FALSE,"",IF((('Dvd Calendar'!$K$1198=TYPE1)*(TYPE1&lt;&gt;"")+('Dvd Calendar'!$K$1198=TYPE2)*(TYPE2&lt;&gt;"")+('Dvd Calendar'!$K$1198=TYPE3)*(TYPE3&lt;&gt;"")+('Dvd Calendar'!$K$1198=TYPE4)*(TYPE4&lt;&gt;"")+('Dvd Calendar'!$K$1198=SPECIAL_LBL)*(INC_SPECIALS="Y"))=0,"",'Dvd Calendar'!$K$1196)))</f>
        <v/>
      </c>
      <c r="J123" s="106">
        <f>IF(EL123="","",IF(ISNUMBER('Dvd Calendar'!$L$1196)=FALSE,"",IF((('Dvd Calendar'!$L$1198=TYPE1)*(TYPE1&lt;&gt;"")+('Dvd Calendar'!$L$1198=TYPE2)*(TYPE2&lt;&gt;"")+('Dvd Calendar'!$L$1198=TYPE3)*(TYPE3&lt;&gt;"")+('Dvd Calendar'!$L$1198=TYPE4)*(TYPE4&lt;&gt;"")+('Dvd Calendar'!$L$1198=SPECIAL_LBL)*(INC_SPECIALS="Y"))=0,"",'Dvd Calendar'!$L$1196)))</f>
        <v/>
      </c>
      <c r="K123" s="106">
        <f>IF(EM123="","",IF(ISNUMBER('Dvd Calendar'!$M$1196)=FALSE,"",IF((('Dvd Calendar'!$M$1198=TYPE1)*(TYPE1&lt;&gt;"")+('Dvd Calendar'!$M$1198=TYPE2)*(TYPE2&lt;&gt;"")+('Dvd Calendar'!$M$1198=TYPE3)*(TYPE3&lt;&gt;"")+('Dvd Calendar'!$M$1198=TYPE4)*(TYPE4&lt;&gt;"")+('Dvd Calendar'!$M$1198=SPECIAL_LBL)*(INC_SPECIALS="Y"))=0,"",'Dvd Calendar'!$M$1196)))</f>
        <v/>
      </c>
      <c r="L123" s="106">
        <f>IF(EN123="","",IF(ISNUMBER('Dvd Calendar'!$N$1196)=FALSE,"",IF((('Dvd Calendar'!$N$1198=TYPE1)*(TYPE1&lt;&gt;"")+('Dvd Calendar'!$N$1198=TYPE2)*(TYPE2&lt;&gt;"")+('Dvd Calendar'!$N$1198=TYPE3)*(TYPE3&lt;&gt;"")+('Dvd Calendar'!$N$1198=TYPE4)*(TYPE4&lt;&gt;"")+('Dvd Calendar'!$N$1198=SPECIAL_LBL)*(INC_SPECIALS="Y"))=0,"",'Dvd Calendar'!$N$1196)))</f>
        <v/>
      </c>
      <c r="M123" s="106">
        <f>IF(EO123="","",IF(ISNUMBER('Dvd Calendar'!$O$1196)=FALSE,"",IF((('Dvd Calendar'!$O$1198=TYPE1)*(TYPE1&lt;&gt;"")+('Dvd Calendar'!$O$1198=TYPE2)*(TYPE2&lt;&gt;"")+('Dvd Calendar'!$O$1198=TYPE3)*(TYPE3&lt;&gt;"")+('Dvd Calendar'!$O$1198=TYPE4)*(TYPE4&lt;&gt;"")+('Dvd Calendar'!$O$1198=SPECIAL_LBL)*(INC_SPECIALS="Y"))=0,"",'Dvd Calendar'!$O$1196)))</f>
        <v/>
      </c>
      <c r="N123" s="106">
        <f>IF(EP123="","",IF(ISNUMBER('Dvd Calendar'!$P$1196)=FALSE,"",IF((('Dvd Calendar'!$P$1198=TYPE1)*(TYPE1&lt;&gt;"")+('Dvd Calendar'!$P$1198=TYPE2)*(TYPE2&lt;&gt;"")+('Dvd Calendar'!$P$1198=TYPE3)*(TYPE3&lt;&gt;"")+('Dvd Calendar'!$P$1198=TYPE4)*(TYPE4&lt;&gt;"")+('Dvd Calendar'!$P$1198=SPECIAL_LBL)*(INC_SPECIALS="Y"))=0,"",'Dvd Calendar'!$P$1196)))</f>
        <v/>
      </c>
      <c r="O123" s="106">
        <f>IF(EQ123="","",IF(ISNUMBER('Dvd Calendar'!$Q$1196)=FALSE,"",IF((('Dvd Calendar'!$Q$1198=TYPE1)*(TYPE1&lt;&gt;"")+('Dvd Calendar'!$Q$1198=TYPE2)*(TYPE2&lt;&gt;"")+('Dvd Calendar'!$Q$1198=TYPE3)*(TYPE3&lt;&gt;"")+('Dvd Calendar'!$Q$1198=TYPE4)*(TYPE4&lt;&gt;"")+('Dvd Calendar'!$Q$1198=SPECIAL_LBL)*(INC_SPECIALS="Y"))=0,"",'Dvd Calendar'!$Q$1196)))</f>
        <v/>
      </c>
      <c r="P123" s="106">
        <f>IF(ER123="","",IF(ISNUMBER('Dvd Calendar'!$R$1196)=FALSE,"",IF((('Dvd Calendar'!$R$1198=TYPE1)*(TYPE1&lt;&gt;"")+('Dvd Calendar'!$R$1198=TYPE2)*(TYPE2&lt;&gt;"")+('Dvd Calendar'!$R$1198=TYPE3)*(TYPE3&lt;&gt;"")+('Dvd Calendar'!$R$1198=TYPE4)*(TYPE4&lt;&gt;"")+('Dvd Calendar'!$R$1198=SPECIAL_LBL)*(INC_SPECIALS="Y"))=0,"",'Dvd Calendar'!$R$1196)))</f>
        <v/>
      </c>
      <c r="Q123" s="106">
        <f>IF(ES123="","",IF(ISNUMBER('Dvd Calendar'!$S$1196)=FALSE,"",IF((('Dvd Calendar'!$S$1198=TYPE1)*(TYPE1&lt;&gt;"")+('Dvd Calendar'!$S$1198=TYPE2)*(TYPE2&lt;&gt;"")+('Dvd Calendar'!$S$1198=TYPE3)*(TYPE3&lt;&gt;"")+('Dvd Calendar'!$S$1198=TYPE4)*(TYPE4&lt;&gt;"")+('Dvd Calendar'!$S$1198=SPECIAL_LBL)*(INC_SPECIALS="Y"))=0,"",'Dvd Calendar'!$S$1196)))</f>
        <v/>
      </c>
      <c r="R123" s="106">
        <f>IF(ET123="","",IF(ISNUMBER('Dvd Calendar'!$T$1196)=FALSE,"",IF((('Dvd Calendar'!$T$1198=TYPE1)*(TYPE1&lt;&gt;"")+('Dvd Calendar'!$T$1198=TYPE2)*(TYPE2&lt;&gt;"")+('Dvd Calendar'!$T$1198=TYPE3)*(TYPE3&lt;&gt;"")+('Dvd Calendar'!$T$1198=TYPE4)*(TYPE4&lt;&gt;"")+('Dvd Calendar'!$T$1198=SPECIAL_LBL)*(INC_SPECIALS="Y"))=0,"",'Dvd Calendar'!$T$1196)))</f>
        <v/>
      </c>
      <c r="S123" s="106">
        <f>IF(EU123="","",IF(ISNUMBER('Dvd Calendar'!$U$1196)=FALSE,"",IF((('Dvd Calendar'!$U$1198=TYPE1)*(TYPE1&lt;&gt;"")+('Dvd Calendar'!$U$1198=TYPE2)*(TYPE2&lt;&gt;"")+('Dvd Calendar'!$U$1198=TYPE3)*(TYPE3&lt;&gt;"")+('Dvd Calendar'!$U$1198=TYPE4)*(TYPE4&lt;&gt;"")+('Dvd Calendar'!$U$1198=SPECIAL_LBL)*(INC_SPECIALS="Y"))=0,"",'Dvd Calendar'!$U$1196)))</f>
        <v/>
      </c>
      <c r="T123" s="106">
        <f>IF(EV123="","",IF(ISNUMBER('Dvd Calendar'!$V$1196)=FALSE,"",IF((('Dvd Calendar'!$V$1198=TYPE1)*(TYPE1&lt;&gt;"")+('Dvd Calendar'!$V$1198=TYPE2)*(TYPE2&lt;&gt;"")+('Dvd Calendar'!$V$1198=TYPE3)*(TYPE3&lt;&gt;"")+('Dvd Calendar'!$V$1198=TYPE4)*(TYPE4&lt;&gt;"")+('Dvd Calendar'!$V$1198=SPECIAL_LBL)*(INC_SPECIALS="Y"))=0,"",'Dvd Calendar'!$V$1196)))</f>
        <v/>
      </c>
      <c r="U123" s="106">
        <f>IF(EW123="","",IF(ISNUMBER('Dvd Calendar'!$W$1196)=FALSE,"",IF((('Dvd Calendar'!$W$1198=TYPE1)*(TYPE1&lt;&gt;"")+('Dvd Calendar'!$W$1198=TYPE2)*(TYPE2&lt;&gt;"")+('Dvd Calendar'!$W$1198=TYPE3)*(TYPE3&lt;&gt;"")+('Dvd Calendar'!$W$1198=TYPE4)*(TYPE4&lt;&gt;"")+('Dvd Calendar'!$W$1198=SPECIAL_LBL)*(INC_SPECIALS="Y"))=0,"",'Dvd Calendar'!$W$1196)))</f>
        <v/>
      </c>
      <c r="V123" s="106">
        <f>IF(EX123="","",IF(ISNUMBER('Dvd Calendar'!$X$1196)=FALSE,"",IF((('Dvd Calendar'!$X$1198=TYPE1)*(TYPE1&lt;&gt;"")+('Dvd Calendar'!$X$1198=TYPE2)*(TYPE2&lt;&gt;"")+('Dvd Calendar'!$X$1198=TYPE3)*(TYPE3&lt;&gt;"")+('Dvd Calendar'!$X$1198=TYPE4)*(TYPE4&lt;&gt;"")+('Dvd Calendar'!$X$1198=SPECIAL_LBL)*(INC_SPECIALS="Y"))=0,"",'Dvd Calendar'!$X$1196)))</f>
        <v/>
      </c>
      <c r="W123" s="106">
        <f>IF(EY123="","",IF(ISNUMBER('Dvd Calendar'!$Y$1196)=FALSE,"",IF((('Dvd Calendar'!$Y$1198=TYPE1)*(TYPE1&lt;&gt;"")+('Dvd Calendar'!$Y$1198=TYPE2)*(TYPE2&lt;&gt;"")+('Dvd Calendar'!$Y$1198=TYPE3)*(TYPE3&lt;&gt;"")+('Dvd Calendar'!$Y$1198=TYPE4)*(TYPE4&lt;&gt;"")+('Dvd Calendar'!$Y$1198=SPECIAL_LBL)*(INC_SPECIALS="Y"))=0,"",'Dvd Calendar'!$Y$1196)))</f>
        <v/>
      </c>
      <c r="X123" s="106">
        <f>IF(EZ123="","",IF(ISNUMBER('Dvd Calendar'!$Z$1196)=FALSE,"",IF((('Dvd Calendar'!$Z$1198=TYPE1)*(TYPE1&lt;&gt;"")+('Dvd Calendar'!$Z$1198=TYPE2)*(TYPE2&lt;&gt;"")+('Dvd Calendar'!$Z$1198=TYPE3)*(TYPE3&lt;&gt;"")+('Dvd Calendar'!$Z$1198=TYPE4)*(TYPE4&lt;&gt;"")+('Dvd Calendar'!$Z$1198=SPECIAL_LBL)*(INC_SPECIALS="Y"))=0,"",'Dvd Calendar'!$Z$1196)))</f>
        <v/>
      </c>
      <c r="Y123" s="106">
        <f>IF(FA123="","",IF(ISNUMBER('Dvd Calendar'!$AA$1196)=FALSE,"",IF((('Dvd Calendar'!$AA$1198=TYPE1)*(TYPE1&lt;&gt;"")+('Dvd Calendar'!$AA$1198=TYPE2)*(TYPE2&lt;&gt;"")+('Dvd Calendar'!$AA$1198=TYPE3)*(TYPE3&lt;&gt;"")+('Dvd Calendar'!$AA$1198=TYPE4)*(TYPE4&lt;&gt;"")+('Dvd Calendar'!$AA$1198=SPECIAL_LBL)*(INC_SPECIALS="Y"))=0,"",'Dvd Calendar'!$AA$1196)))</f>
        <v/>
      </c>
      <c r="Z123" s="106">
        <f>IF(FB123="","",IF(ISNUMBER('Dvd Calendar'!$AB$1196)=FALSE,"",IF((('Dvd Calendar'!$AB$1198=TYPE1)*(TYPE1&lt;&gt;"")+('Dvd Calendar'!$AB$1198=TYPE2)*(TYPE2&lt;&gt;"")+('Dvd Calendar'!$AB$1198=TYPE3)*(TYPE3&lt;&gt;"")+('Dvd Calendar'!$AB$1198=TYPE4)*(TYPE4&lt;&gt;"")+('Dvd Calendar'!$AB$1198=SPECIAL_LBL)*(INC_SPECIALS="Y"))=0,"",'Dvd Calendar'!$AB$1196)))</f>
        <v/>
      </c>
      <c r="AA123" s="106">
        <f>IF(FC123="","",IF(ISNUMBER('Dvd Calendar'!$AC$1196)=FALSE,"",IF((('Dvd Calendar'!$AC$1198=TYPE1)*(TYPE1&lt;&gt;"")+('Dvd Calendar'!$AC$1198=TYPE2)*(TYPE2&lt;&gt;"")+('Dvd Calendar'!$AC$1198=TYPE3)*(TYPE3&lt;&gt;"")+('Dvd Calendar'!$AC$1198=TYPE4)*(TYPE4&lt;&gt;"")+('Dvd Calendar'!$AC$1198=SPECIAL_LBL)*(INC_SPECIALS="Y"))=0,"",'Dvd Calendar'!$AC$1196)))</f>
        <v/>
      </c>
      <c r="AB123" s="106">
        <f>IF(FD123="","",IF(ISNUMBER('Dvd Calendar'!$AD$1196)=FALSE,"",IF((('Dvd Calendar'!$AD$1198=TYPE1)*(TYPE1&lt;&gt;"")+('Dvd Calendar'!$AD$1198=TYPE2)*(TYPE2&lt;&gt;"")+('Dvd Calendar'!$AD$1198=TYPE3)*(TYPE3&lt;&gt;"")+('Dvd Calendar'!$AD$1198=TYPE4)*(TYPE4&lt;&gt;"")+('Dvd Calendar'!$AD$1198=SPECIAL_LBL)*(INC_SPECIALS="Y"))=0,"",'Dvd Calendar'!$AD$1196)))</f>
        <v/>
      </c>
      <c r="AC123" s="106">
        <f>IF(FE123="","",IF(ISNUMBER('Dvd Calendar'!$AE$1196)=FALSE,"",IF((('Dvd Calendar'!$AE$1198=TYPE1)*(TYPE1&lt;&gt;"")+('Dvd Calendar'!$AE$1198=TYPE2)*(TYPE2&lt;&gt;"")+('Dvd Calendar'!$AE$1198=TYPE3)*(TYPE3&lt;&gt;"")+('Dvd Calendar'!$AE$1198=TYPE4)*(TYPE4&lt;&gt;"")+('Dvd Calendar'!$AE$1198=SPECIAL_LBL)*(INC_SPECIALS="Y"))=0,"",'Dvd Calendar'!$AE$1196)))</f>
        <v/>
      </c>
      <c r="AD123" s="106">
        <f>IF(FF123="","",IF(ISNUMBER('Dvd Calendar'!$AF$1196)=FALSE,"",IF((('Dvd Calendar'!$AF$1198=TYPE1)*(TYPE1&lt;&gt;"")+('Dvd Calendar'!$AF$1198=TYPE2)*(TYPE2&lt;&gt;"")+('Dvd Calendar'!$AF$1198=TYPE3)*(TYPE3&lt;&gt;"")+('Dvd Calendar'!$AF$1198=TYPE4)*(TYPE4&lt;&gt;"")+('Dvd Calendar'!$AF$1198=SPECIAL_LBL)*(INC_SPECIALS="Y"))=0,"",'Dvd Calendar'!$AF$1196)))</f>
        <v/>
      </c>
      <c r="AE123" s="106">
        <f>IF(FG123="","",IF(ISNUMBER('Dvd Calendar'!$AG$1196)=FALSE,"",IF((('Dvd Calendar'!$AG$1198=TYPE1)*(TYPE1&lt;&gt;"")+('Dvd Calendar'!$AG$1198=TYPE2)*(TYPE2&lt;&gt;"")+('Dvd Calendar'!$AG$1198=TYPE3)*(TYPE3&lt;&gt;"")+('Dvd Calendar'!$AG$1198=TYPE4)*(TYPE4&lt;&gt;"")+('Dvd Calendar'!$AG$1198=SPECIAL_LBL)*(INC_SPECIALS="Y"))=0,"",'Dvd Calendar'!$AG$1196)))</f>
        <v/>
      </c>
      <c r="AF123" s="106">
        <f>IF(FH123="","",IF(ISNUMBER('Dvd Calendar'!$AH$1196)=FALSE,"",IF((('Dvd Calendar'!$AH$1198=TYPE1)*(TYPE1&lt;&gt;"")+('Dvd Calendar'!$AH$1198=TYPE2)*(TYPE2&lt;&gt;"")+('Dvd Calendar'!$AH$1198=TYPE3)*(TYPE3&lt;&gt;"")+('Dvd Calendar'!$AH$1198=TYPE4)*(TYPE4&lt;&gt;"")+('Dvd Calendar'!$AH$1198=SPECIAL_LBL)*(INC_SPECIALS="Y"))=0,"",'Dvd Calendar'!$AH$1196)))</f>
        <v/>
      </c>
      <c r="AG123" s="106">
        <f>IF(FI123="","",IF(ISNUMBER('Dvd Calendar'!$AI$1196)=FALSE,"",IF((('Dvd Calendar'!$AI$1198=TYPE1)*(TYPE1&lt;&gt;"")+('Dvd Calendar'!$AI$1198=TYPE2)*(TYPE2&lt;&gt;"")+('Dvd Calendar'!$AI$1198=TYPE3)*(TYPE3&lt;&gt;"")+('Dvd Calendar'!$AI$1198=TYPE4)*(TYPE4&lt;&gt;"")+('Dvd Calendar'!$AI$1198=SPECIAL_LBL)*(INC_SPECIALS="Y"))=0,"",'Dvd Calendar'!$AI$1196)))</f>
        <v/>
      </c>
      <c r="AH123" s="106">
        <f>IF(FJ123="","",IF(ISNUMBER('Dvd Calendar'!$AJ$1196)=FALSE,"",IF((('Dvd Calendar'!$AJ$1198=TYPE1)*(TYPE1&lt;&gt;"")+('Dvd Calendar'!$AJ$1198=TYPE2)*(TYPE2&lt;&gt;"")+('Dvd Calendar'!$AJ$1198=TYPE3)*(TYPE3&lt;&gt;"")+('Dvd Calendar'!$AJ$1198=TYPE4)*(TYPE4&lt;&gt;"")+('Dvd Calendar'!$AJ$1198=SPECIAL_LBL)*(INC_SPECIALS="Y"))=0,"",'Dvd Calendar'!$AJ$1196)))</f>
        <v/>
      </c>
      <c r="AI123" s="106">
        <f>IF(FK123="","",IF(ISNUMBER('Dvd Calendar'!$AK$1196)=FALSE,"",IF((('Dvd Calendar'!$AK$1198=TYPE1)*(TYPE1&lt;&gt;"")+('Dvd Calendar'!$AK$1198=TYPE2)*(TYPE2&lt;&gt;"")+('Dvd Calendar'!$AK$1198=TYPE3)*(TYPE3&lt;&gt;"")+('Dvd Calendar'!$AK$1198=TYPE4)*(TYPE4&lt;&gt;"")+('Dvd Calendar'!$AK$1198=SPECIAL_LBL)*(INC_SPECIALS="Y"))=0,"",'Dvd Calendar'!$AK$1196)))</f>
        <v/>
      </c>
      <c r="AJ123" s="106">
        <f>IF(FL123="","",IF(ISNUMBER('Dvd Calendar'!$AL$1196)=FALSE,"",IF((('Dvd Calendar'!$AL$1198=TYPE1)*(TYPE1&lt;&gt;"")+('Dvd Calendar'!$AL$1198=TYPE2)*(TYPE2&lt;&gt;"")+('Dvd Calendar'!$AL$1198=TYPE3)*(TYPE3&lt;&gt;"")+('Dvd Calendar'!$AL$1198=TYPE4)*(TYPE4&lt;&gt;"")+('Dvd Calendar'!$AL$1198=SPECIAL_LBL)*(INC_SPECIALS="Y"))=0,"",'Dvd Calendar'!$AL$1196)))</f>
        <v/>
      </c>
      <c r="AK123" s="106">
        <f>IF(FM123="","",IF(ISNUMBER('Dvd Calendar'!$AM$1196)=FALSE,"",IF((('Dvd Calendar'!$AM$1198=TYPE1)*(TYPE1&lt;&gt;"")+('Dvd Calendar'!$AM$1198=TYPE2)*(TYPE2&lt;&gt;"")+('Dvd Calendar'!$AM$1198=TYPE3)*(TYPE3&lt;&gt;"")+('Dvd Calendar'!$AM$1198=TYPE4)*(TYPE4&lt;&gt;"")+('Dvd Calendar'!$AM$1198=SPECIAL_LBL)*(INC_SPECIALS="Y"))=0,"",'Dvd Calendar'!$AM$1196)))</f>
        <v/>
      </c>
      <c r="AL123" s="106">
        <f>IF(FN123="","",IF(ISNUMBER('Dvd Calendar'!$AN$1196)=FALSE,"",IF((('Dvd Calendar'!$AN$1198=TYPE1)*(TYPE1&lt;&gt;"")+('Dvd Calendar'!$AN$1198=TYPE2)*(TYPE2&lt;&gt;"")+('Dvd Calendar'!$AN$1198=TYPE3)*(TYPE3&lt;&gt;"")+('Dvd Calendar'!$AN$1198=TYPE4)*(TYPE4&lt;&gt;"")+('Dvd Calendar'!$AN$1198=SPECIAL_LBL)*(INC_SPECIALS="Y"))=0,"",'Dvd Calendar'!$AN$1196)))</f>
        <v/>
      </c>
      <c r="AM123" s="106">
        <f>IF(FO123="","",IF(ISNUMBER('Dvd Calendar'!$AO$1196)=FALSE,"",IF((('Dvd Calendar'!$AO$1198=TYPE1)*(TYPE1&lt;&gt;"")+('Dvd Calendar'!$AO$1198=TYPE2)*(TYPE2&lt;&gt;"")+('Dvd Calendar'!$AO$1198=TYPE3)*(TYPE3&lt;&gt;"")+('Dvd Calendar'!$AO$1198=TYPE4)*(TYPE4&lt;&gt;"")+('Dvd Calendar'!$AO$1198=SPECIAL_LBL)*(INC_SPECIALS="Y"))=0,"",'Dvd Calendar'!$AO$1196)))</f>
        <v/>
      </c>
      <c r="AN123" s="106">
        <f>IF(FP123="","",IF(ISNUMBER('Dvd Calendar'!$AP$1196)=FALSE,"",IF((('Dvd Calendar'!$AP$1198=TYPE1)*(TYPE1&lt;&gt;"")+('Dvd Calendar'!$AP$1198=TYPE2)*(TYPE2&lt;&gt;"")+('Dvd Calendar'!$AP$1198=TYPE3)*(TYPE3&lt;&gt;"")+('Dvd Calendar'!$AP$1198=TYPE4)*(TYPE4&lt;&gt;"")+('Dvd Calendar'!$AP$1198=SPECIAL_LBL)*(INC_SPECIALS="Y"))=0,"",'Dvd Calendar'!$AP$1196)))</f>
        <v/>
      </c>
      <c r="AO123" s="106">
        <f>IF(FQ123="","",IF(ISNUMBER('Dvd Calendar'!$AQ$1196)=FALSE,"",IF((('Dvd Calendar'!$AQ$1198=TYPE1)*(TYPE1&lt;&gt;"")+('Dvd Calendar'!$AQ$1198=TYPE2)*(TYPE2&lt;&gt;"")+('Dvd Calendar'!$AQ$1198=TYPE3)*(TYPE3&lt;&gt;"")+('Dvd Calendar'!$AQ$1198=TYPE4)*(TYPE4&lt;&gt;"")+('Dvd Calendar'!$AQ$1198=SPECIAL_LBL)*(INC_SPECIALS="Y"))=0,"",'Dvd Calendar'!$AQ$1196)))</f>
        <v/>
      </c>
      <c r="AP123" s="106">
        <f>IF(FR123="","",IF(ISNUMBER('Dvd Calendar'!$AR$1196)=FALSE,"",IF((('Dvd Calendar'!$AR$1198=TYPE1)*(TYPE1&lt;&gt;"")+('Dvd Calendar'!$AR$1198=TYPE2)*(TYPE2&lt;&gt;"")+('Dvd Calendar'!$AR$1198=TYPE3)*(TYPE3&lt;&gt;"")+('Dvd Calendar'!$AR$1198=TYPE4)*(TYPE4&lt;&gt;"")+('Dvd Calendar'!$AR$1198=SPECIAL_LBL)*(INC_SPECIALS="Y"))=0,"",'Dvd Calendar'!$AR$1196)))</f>
        <v/>
      </c>
      <c r="AQ123" s="106">
        <f>IF(FS123="","",IF(ISNUMBER('Dvd Calendar'!$E$1201)=FALSE,"",'Dvd Calendar'!$E$1201))</f>
        <v/>
      </c>
      <c r="AR123" s="106">
        <f>IF(FT123="","",IF(ISNUMBER('Dvd Calendar'!$F$1201)=FALSE,"",'Dvd Calendar'!$F$1201))</f>
        <v/>
      </c>
      <c r="AS123" s="106">
        <f>IF(FU123="","",IF(ISNUMBER('Dvd Calendar'!$G$1201)=FALSE,"",'Dvd Calendar'!$G$1201))</f>
        <v/>
      </c>
      <c r="AT123" s="106">
        <f>IF(FV123="","",IF(ISNUMBER('Dvd Calendar'!$H$1201)=FALSE,"",'Dvd Calendar'!$H$1201))</f>
        <v/>
      </c>
      <c r="AU123" s="106">
        <f>IF(FW123="","",IF(ISNUMBER('Dvd Calendar'!$I$1201)=FALSE,"",'Dvd Calendar'!$I$1201))</f>
        <v/>
      </c>
      <c r="AV123" s="106">
        <f>IF(FX123="","",IF(ISNUMBER('Dvd Calendar'!$J$1201)=FALSE,"",'Dvd Calendar'!$J$1201))</f>
        <v/>
      </c>
      <c r="AW123" s="106">
        <f>IF(FY123="","",IF(ISNUMBER('Dvd Calendar'!$K$1201)=FALSE,"",'Dvd Calendar'!$K$1201))</f>
        <v/>
      </c>
      <c r="AX123" s="106">
        <f>IF(FZ123="","",IF(ISNUMBER('Dvd Calendar'!$L$1201)=FALSE,"",'Dvd Calendar'!$L$1201))</f>
        <v/>
      </c>
      <c r="AY123" s="106">
        <f>IF(GA123="","",IF(ISNUMBER('Dvd Calendar'!$M$1201)=FALSE,"",'Dvd Calendar'!$M$1201))</f>
        <v/>
      </c>
      <c r="AZ123" s="106">
        <f>IF(GB123="","",IF(ISNUMBER('Dvd Calendar'!$N$1201)=FALSE,"",'Dvd Calendar'!$N$1201))</f>
        <v/>
      </c>
      <c r="BA123" s="106">
        <f>IF(GC123="","",IF(ISNUMBER('Dvd Calendar'!$O$1201)=FALSE,"",'Dvd Calendar'!$O$1201))</f>
        <v/>
      </c>
      <c r="BB123" s="106">
        <f>IF(GD123="","",IF(ISNUMBER('Dvd Calendar'!$P$1201)=FALSE,"",'Dvd Calendar'!$P$1201))</f>
        <v/>
      </c>
      <c r="BC123" s="106">
        <f>IF(GE123="","",IF(ISNUMBER('Dvd Calendar'!$Q$1201)=FALSE,"",'Dvd Calendar'!$Q$1201))</f>
        <v/>
      </c>
      <c r="BD123" s="106">
        <f>IF(GF123="","",IF(ISNUMBER('Dvd Calendar'!$R$1201)=FALSE,"",'Dvd Calendar'!$R$1201))</f>
        <v/>
      </c>
      <c r="BE123" s="106">
        <f>IF(GG123="","",IF(ISNUMBER('Dvd Calendar'!$S$1201)=FALSE,"",'Dvd Calendar'!$S$1201))</f>
        <v/>
      </c>
      <c r="BF123" s="106">
        <f>IF(GH123="","",IF(ISNUMBER('Dvd Calendar'!$T$1201)=FALSE,"",'Dvd Calendar'!$T$1201))</f>
        <v/>
      </c>
      <c r="BG123" s="106">
        <f>IF(GI123="","",IF(ISNUMBER('Dvd Calendar'!$U$1201)=FALSE,"",'Dvd Calendar'!$U$1201))</f>
        <v/>
      </c>
      <c r="BH123" s="106">
        <f>IF(GJ123="","",IF(ISNUMBER('Dvd Calendar'!$V$1201)=FALSE,"",'Dvd Calendar'!$V$1201))</f>
        <v/>
      </c>
      <c r="BI123" s="106">
        <f>IF(GK123="","",IF(ISNUMBER('Dvd Calendar'!$W$1201)=FALSE,"",'Dvd Calendar'!$W$1201))</f>
        <v/>
      </c>
      <c r="BJ123" s="106">
        <f>IF(GL123="","",IF(ISNUMBER('Dvd Calendar'!$X$1201)=FALSE,"",'Dvd Calendar'!$X$1201))</f>
        <v/>
      </c>
      <c r="BK123" s="106">
        <f>IF(GM123="","",IF(ISNUMBER('Dvd Calendar'!$Y$1201)=FALSE,"",'Dvd Calendar'!$Y$1201))</f>
        <v/>
      </c>
      <c r="BL123" s="106">
        <f>IF(GN123="","",IF(ISNUMBER('Dvd Calendar'!$Z$1201)=FALSE,"",'Dvd Calendar'!$Z$1201))</f>
        <v/>
      </c>
      <c r="BM123" s="106">
        <f>IF(GO123="","",IF(ISNUMBER('Dvd Calendar'!$AA$1201)=FALSE,"",'Dvd Calendar'!$AA$1201))</f>
        <v/>
      </c>
      <c r="BN123" s="106">
        <f>IF(GP123="","",IF(ISNUMBER('Dvd Calendar'!$AB$1201)=FALSE,"",'Dvd Calendar'!$AB$1201))</f>
        <v/>
      </c>
      <c r="BO123" s="106">
        <f>IF(GQ123="","",IF(ISNUMBER('Dvd Calendar'!$AC$1201)=FALSE,"",'Dvd Calendar'!$AC$1201))</f>
        <v/>
      </c>
      <c r="BQ123" s="106">
        <f>IF(C123="","",IFERROR(C123*HSTECH!$B$14*HSTECH!$G$14/HSTECH!$B$3,""))</f>
        <v/>
      </c>
      <c r="BR123" s="106">
        <f>IF(D123="","",IFERROR(D123*HSTECH!$B$14*HSTECH!$G$14/HSTECH!$B$3,""))</f>
        <v/>
      </c>
      <c r="BS123" s="106">
        <f>IF(E123="","",IFERROR(E123*HSTECH!$B$14*HSTECH!$G$14/HSTECH!$B$3,""))</f>
        <v/>
      </c>
      <c r="BT123" s="106">
        <f>IF(F123="","",IFERROR(F123*HSTECH!$B$14*HSTECH!$G$14/HSTECH!$B$3,""))</f>
        <v/>
      </c>
      <c r="BU123" s="106">
        <f>IF(G123="","",IFERROR(G123*HSTECH!$B$14*HSTECH!$G$14/HSTECH!$B$3,""))</f>
        <v/>
      </c>
      <c r="BV123" s="106">
        <f>IF(H123="","",IFERROR(H123*HSTECH!$B$14*HSTECH!$G$14/HSTECH!$B$3,""))</f>
        <v/>
      </c>
      <c r="BW123" s="106">
        <f>IF(I123="","",IFERROR(I123*HSTECH!$B$14*HSTECH!$G$14/HSTECH!$B$3,""))</f>
        <v/>
      </c>
      <c r="BX123" s="106">
        <f>IF(J123="","",IFERROR(J123*HSTECH!$B$14*HSTECH!$G$14/HSTECH!$B$3,""))</f>
        <v/>
      </c>
      <c r="BY123" s="106">
        <f>IF(K123="","",IFERROR(K123*HSTECH!$B$14*HSTECH!$G$14/HSTECH!$B$3,""))</f>
        <v/>
      </c>
      <c r="BZ123" s="106">
        <f>IF(L123="","",IFERROR(L123*HSTECH!$B$14*HSTECH!$G$14/HSTECH!$B$3,""))</f>
        <v/>
      </c>
      <c r="CA123" s="106">
        <f>IF(M123="","",IFERROR(M123*HSTECH!$B$14*HSTECH!$G$14/HSTECH!$B$3,""))</f>
        <v/>
      </c>
      <c r="CB123" s="106">
        <f>IF(N123="","",IFERROR(N123*HSTECH!$B$14*HSTECH!$G$14/HSTECH!$B$3,""))</f>
        <v/>
      </c>
      <c r="CC123" s="106">
        <f>IF(O123="","",IFERROR(O123*HSTECH!$B$14*HSTECH!$G$14/HSTECH!$B$3,""))</f>
        <v/>
      </c>
      <c r="CD123" s="106">
        <f>IF(P123="","",IFERROR(P123*HSTECH!$B$14*HSTECH!$G$14/HSTECH!$B$3,""))</f>
        <v/>
      </c>
      <c r="CE123" s="106">
        <f>IF(Q123="","",IFERROR(Q123*HSTECH!$B$14*HSTECH!$G$14/HSTECH!$B$3,""))</f>
        <v/>
      </c>
      <c r="CF123" s="106">
        <f>IF(R123="","",IFERROR(R123*HSTECH!$B$14*HSTECH!$G$14/HSTECH!$B$3,""))</f>
        <v/>
      </c>
      <c r="CG123" s="106">
        <f>IF(S123="","",IFERROR(S123*HSTECH!$B$14*HSTECH!$G$14/HSTECH!$B$3,""))</f>
        <v/>
      </c>
      <c r="CH123" s="106">
        <f>IF(T123="","",IFERROR(T123*HSTECH!$B$14*HSTECH!$G$14/HSTECH!$B$3,""))</f>
        <v/>
      </c>
      <c r="CI123" s="106">
        <f>IF(U123="","",IFERROR(U123*HSTECH!$B$14*HSTECH!$G$14/HSTECH!$B$3,""))</f>
        <v/>
      </c>
      <c r="CJ123" s="106">
        <f>IF(V123="","",IFERROR(V123*HSTECH!$B$14*HSTECH!$G$14/HSTECH!$B$3,""))</f>
        <v/>
      </c>
      <c r="CK123" s="106">
        <f>IF(W123="","",IFERROR(W123*HSTECH!$B$14*HSTECH!$G$14/HSTECH!$B$3,""))</f>
        <v/>
      </c>
      <c r="CL123" s="106">
        <f>IF(X123="","",IFERROR(X123*HSTECH!$B$14*HSTECH!$G$14/HSTECH!$B$3,""))</f>
        <v/>
      </c>
      <c r="CM123" s="106">
        <f>IF(Y123="","",IFERROR(Y123*HSTECH!$B$14*HSTECH!$G$14/HSTECH!$B$3,""))</f>
        <v/>
      </c>
      <c r="CN123" s="106">
        <f>IF(Z123="","",IFERROR(Z123*HSTECH!$B$14*HSTECH!$G$14/HSTECH!$B$3,""))</f>
        <v/>
      </c>
      <c r="CO123" s="106">
        <f>IF(AA123="","",IFERROR(AA123*HSTECH!$B$14*HSTECH!$G$14/HSTECH!$B$3,""))</f>
        <v/>
      </c>
      <c r="CP123" s="106">
        <f>IF(AB123="","",IFERROR(AB123*HSTECH!$B$14*HSTECH!$G$14/HSTECH!$B$3,""))</f>
        <v/>
      </c>
      <c r="CQ123" s="106">
        <f>IF(AC123="","",IFERROR(AC123*HSTECH!$B$14*HSTECH!$G$14/HSTECH!$B$3,""))</f>
        <v/>
      </c>
      <c r="CR123" s="106">
        <f>IF(AD123="","",IFERROR(AD123*HSTECH!$B$14*HSTECH!$G$14/HSTECH!$B$3,""))</f>
        <v/>
      </c>
      <c r="CS123" s="106">
        <f>IF(AE123="","",IFERROR(AE123*HSTECH!$B$14*HSTECH!$G$14/HSTECH!$B$3,""))</f>
        <v/>
      </c>
      <c r="CT123" s="106">
        <f>IF(AF123="","",IFERROR(AF123*HSTECH!$B$14*HSTECH!$G$14/HSTECH!$B$3,""))</f>
        <v/>
      </c>
      <c r="CU123" s="106">
        <f>IF(AG123="","",IFERROR(AG123*HSTECH!$B$14*HSTECH!$G$14/HSTECH!$B$3,""))</f>
        <v/>
      </c>
      <c r="CV123" s="106">
        <f>IF(AH123="","",IFERROR(AH123*HSTECH!$B$14*HSTECH!$G$14/HSTECH!$B$3,""))</f>
        <v/>
      </c>
      <c r="CW123" s="106">
        <f>IF(AI123="","",IFERROR(AI123*HSTECH!$B$14*HSTECH!$G$14/HSTECH!$B$3,""))</f>
        <v/>
      </c>
      <c r="CX123" s="106">
        <f>IF(AJ123="","",IFERROR(AJ123*HSTECH!$B$14*HSTECH!$G$14/HSTECH!$B$3,""))</f>
        <v/>
      </c>
      <c r="CY123" s="106">
        <f>IF(AK123="","",IFERROR(AK123*HSTECH!$B$14*HSTECH!$G$14/HSTECH!$B$3,""))</f>
        <v/>
      </c>
      <c r="CZ123" s="106">
        <f>IF(AL123="","",IFERROR(AL123*HSTECH!$B$14*HSTECH!$G$14/HSTECH!$B$3,""))</f>
        <v/>
      </c>
      <c r="DA123" s="106">
        <f>IF(AM123="","",IFERROR(AM123*HSTECH!$B$14*HSTECH!$G$14/HSTECH!$B$3,""))</f>
        <v/>
      </c>
      <c r="DB123" s="106">
        <f>IF(AN123="","",IFERROR(AN123*HSTECH!$B$14*HSTECH!$G$14/HSTECH!$B$3,""))</f>
        <v/>
      </c>
      <c r="DC123" s="106">
        <f>IF(AO123="","",IFERROR(AO123*HSTECH!$B$14*HSTECH!$G$14/HSTECH!$B$3,""))</f>
        <v/>
      </c>
      <c r="DD123" s="106">
        <f>IF(AP123="","",IFERROR(AP123*HSTECH!$B$14*HSTECH!$G$14/HSTECH!$B$3,""))</f>
        <v/>
      </c>
      <c r="DE123" s="106">
        <f>IF(AQ123="","",IFERROR(AQ123*HSTECH!$B$14*HSTECH!$G$14/HSTECH!$B$3,""))</f>
        <v/>
      </c>
      <c r="DF123" s="106">
        <f>IF(AR123="","",IFERROR(AR123*HSTECH!$B$14*HSTECH!$G$14/HSTECH!$B$3,""))</f>
        <v/>
      </c>
      <c r="DG123" s="106">
        <f>IF(AS123="","",IFERROR(AS123*HSTECH!$B$14*HSTECH!$G$14/HSTECH!$B$3,""))</f>
        <v/>
      </c>
      <c r="DH123" s="106">
        <f>IF(AT123="","",IFERROR(AT123*HSTECH!$B$14*HSTECH!$G$14/HSTECH!$B$3,""))</f>
        <v/>
      </c>
      <c r="DI123" s="106">
        <f>IF(AU123="","",IFERROR(AU123*HSTECH!$B$14*HSTECH!$G$14/HSTECH!$B$3,""))</f>
        <v/>
      </c>
      <c r="DJ123" s="106">
        <f>IF(AV123="","",IFERROR(AV123*HSTECH!$B$14*HSTECH!$G$14/HSTECH!$B$3,""))</f>
        <v/>
      </c>
      <c r="DK123" s="106">
        <f>IF(AW123="","",IFERROR(AW123*HSTECH!$B$14*HSTECH!$G$14/HSTECH!$B$3,""))</f>
        <v/>
      </c>
      <c r="DL123" s="106">
        <f>IF(AX123="","",IFERROR(AX123*HSTECH!$B$14*HSTECH!$G$14/HSTECH!$B$3,""))</f>
        <v/>
      </c>
      <c r="DM123" s="106">
        <f>IF(AY123="","",IFERROR(AY123*HSTECH!$B$14*HSTECH!$G$14/HSTECH!$B$3,""))</f>
        <v/>
      </c>
      <c r="DN123" s="106">
        <f>IF(AZ123="","",IFERROR(AZ123*HSTECH!$B$14*HSTECH!$G$14/HSTECH!$B$3,""))</f>
        <v/>
      </c>
      <c r="DO123" s="106">
        <f>IF(BA123="","",IFERROR(BA123*HSTECH!$B$14*HSTECH!$G$14/HSTECH!$B$3,""))</f>
        <v/>
      </c>
      <c r="DP123" s="106">
        <f>IF(BB123="","",IFERROR(BB123*HSTECH!$B$14*HSTECH!$G$14/HSTECH!$B$3,""))</f>
        <v/>
      </c>
      <c r="DQ123" s="106">
        <f>IF(BC123="","",IFERROR(BC123*HSTECH!$B$14*HSTECH!$G$14/HSTECH!$B$3,""))</f>
        <v/>
      </c>
      <c r="DR123" s="106">
        <f>IF(BD123="","",IFERROR(BD123*HSTECH!$B$14*HSTECH!$G$14/HSTECH!$B$3,""))</f>
        <v/>
      </c>
      <c r="DS123" s="106">
        <f>IF(BE123="","",IFERROR(BE123*HSTECH!$B$14*HSTECH!$G$14/HSTECH!$B$3,""))</f>
        <v/>
      </c>
      <c r="DT123" s="106">
        <f>IF(BF123="","",IFERROR(BF123*HSTECH!$B$14*HSTECH!$G$14/HSTECH!$B$3,""))</f>
        <v/>
      </c>
      <c r="DU123" s="106">
        <f>IF(BG123="","",IFERROR(BG123*HSTECH!$B$14*HSTECH!$G$14/HSTECH!$B$3,""))</f>
        <v/>
      </c>
      <c r="DV123" s="106">
        <f>IF(BH123="","",IFERROR(BH123*HSTECH!$B$14*HSTECH!$G$14/HSTECH!$B$3,""))</f>
        <v/>
      </c>
      <c r="DW123" s="106">
        <f>IF(BI123="","",IFERROR(BI123*HSTECH!$B$14*HSTECH!$G$14/HSTECH!$B$3,""))</f>
        <v/>
      </c>
      <c r="DX123" s="106">
        <f>IF(BJ123="","",IFERROR(BJ123*HSTECH!$B$14*HSTECH!$G$14/HSTECH!$B$3,""))</f>
        <v/>
      </c>
      <c r="DY123" s="106">
        <f>IF(BK123="","",IFERROR(BK123*HSTECH!$B$14*HSTECH!$G$14/HSTECH!$B$3,""))</f>
        <v/>
      </c>
      <c r="DZ123" s="106">
        <f>IF(BL123="","",IFERROR(BL123*HSTECH!$B$14*HSTECH!$G$14/HSTECH!$B$3,""))</f>
        <v/>
      </c>
      <c r="EA123" s="106">
        <f>IF(BM123="","",IFERROR(BM123*HSTECH!$B$14*HSTECH!$G$14/HSTECH!$B$3,""))</f>
        <v/>
      </c>
      <c r="EB123" s="106">
        <f>IF(BN123="","",IFERROR(BN123*HSTECH!$B$14*HSTECH!$G$14/HSTECH!$B$3,""))</f>
        <v/>
      </c>
      <c r="EC123" s="106">
        <f>IF(BO123="","",IFERROR(BO123*HSTECH!$B$14*HSTECH!$G$14/HSTECH!$B$3,""))</f>
        <v/>
      </c>
      <c r="EE123" s="35">
        <f>IF(N('Dvd Calendar'!$E$1193)=0,"",IF(('Dvd Calendar'!$E$1193&gt;=GRID_FROM)*('Dvd Calendar'!$E$1193&lt;=GRID_TO)*('Dvd Calendar'!$E$1193&lt;=VAL_DATE)=0,"",'Dvd Calendar'!$E$1193*1000000000+ISNUMBER('Dvd Calendar'!$E$1196)*100000000+('Dvd Calendar'!$E$1198=SPECIAL_LBL)*10000000+0*1000000+8*1000+1))</f>
        <v/>
      </c>
      <c r="EF123" s="35">
        <f>IF(N('Dvd Calendar'!$F$1193)=0,"",IF(('Dvd Calendar'!$F$1193&gt;=GRID_FROM)*('Dvd Calendar'!$F$1193&lt;=GRID_TO)*('Dvd Calendar'!$F$1193&lt;=VAL_DATE)=0,"",'Dvd Calendar'!$F$1193*1000000000+ISNUMBER('Dvd Calendar'!$F$1196)*100000000+('Dvd Calendar'!$F$1198=SPECIAL_LBL)*10000000+0*1000000+8*1000+2))</f>
        <v/>
      </c>
      <c r="EG123" s="35">
        <f>IF(N('Dvd Calendar'!$G$1193)=0,"",IF(('Dvd Calendar'!$G$1193&gt;=GRID_FROM)*('Dvd Calendar'!$G$1193&lt;=GRID_TO)*('Dvd Calendar'!$G$1193&lt;=VAL_DATE)=0,"",'Dvd Calendar'!$G$1193*1000000000+ISNUMBER('Dvd Calendar'!$G$1196)*100000000+('Dvd Calendar'!$G$1198=SPECIAL_LBL)*10000000+0*1000000+8*1000+3))</f>
        <v/>
      </c>
      <c r="EH123" s="35">
        <f>IF(N('Dvd Calendar'!$H$1193)=0,"",IF(('Dvd Calendar'!$H$1193&gt;=GRID_FROM)*('Dvd Calendar'!$H$1193&lt;=GRID_TO)*('Dvd Calendar'!$H$1193&lt;=VAL_DATE)=0,"",'Dvd Calendar'!$H$1193*1000000000+ISNUMBER('Dvd Calendar'!$H$1196)*100000000+('Dvd Calendar'!$H$1198=SPECIAL_LBL)*10000000+0*1000000+8*1000+4))</f>
        <v/>
      </c>
      <c r="EI123" s="35">
        <f>IF(N('Dvd Calendar'!$I$1193)=0,"",IF(('Dvd Calendar'!$I$1193&gt;=GRID_FROM)*('Dvd Calendar'!$I$1193&lt;=GRID_TO)*('Dvd Calendar'!$I$1193&lt;=VAL_DATE)=0,"",'Dvd Calendar'!$I$1193*1000000000+ISNUMBER('Dvd Calendar'!$I$1196)*100000000+('Dvd Calendar'!$I$1198=SPECIAL_LBL)*10000000+0*1000000+8*1000+5))</f>
        <v/>
      </c>
      <c r="EJ123" s="35">
        <f>IF(N('Dvd Calendar'!$J$1193)=0,"",IF(('Dvd Calendar'!$J$1193&gt;=GRID_FROM)*('Dvd Calendar'!$J$1193&lt;=GRID_TO)*('Dvd Calendar'!$J$1193&lt;=VAL_DATE)=0,"",'Dvd Calendar'!$J$1193*1000000000+ISNUMBER('Dvd Calendar'!$J$1196)*100000000+('Dvd Calendar'!$J$1198=SPECIAL_LBL)*10000000+0*1000000+8*1000+6))</f>
        <v/>
      </c>
      <c r="EK123" s="35">
        <f>IF(N('Dvd Calendar'!$K$1193)=0,"",IF(('Dvd Calendar'!$K$1193&gt;=GRID_FROM)*('Dvd Calendar'!$K$1193&lt;=GRID_TO)*('Dvd Calendar'!$K$1193&lt;=VAL_DATE)=0,"",'Dvd Calendar'!$K$1193*1000000000+ISNUMBER('Dvd Calendar'!$K$1196)*100000000+('Dvd Calendar'!$K$1198=SPECIAL_LBL)*10000000+0*1000000+8*1000+7))</f>
        <v/>
      </c>
      <c r="EL123" s="35">
        <f>IF(N('Dvd Calendar'!$L$1193)=0,"",IF(('Dvd Calendar'!$L$1193&gt;=GRID_FROM)*('Dvd Calendar'!$L$1193&lt;=GRID_TO)*('Dvd Calendar'!$L$1193&lt;=VAL_DATE)=0,"",'Dvd Calendar'!$L$1193*1000000000+ISNUMBER('Dvd Calendar'!$L$1196)*100000000+('Dvd Calendar'!$L$1198=SPECIAL_LBL)*10000000+0*1000000+8*1000+8))</f>
        <v/>
      </c>
      <c r="EM123" s="35">
        <f>IF(N('Dvd Calendar'!$M$1193)=0,"",IF(('Dvd Calendar'!$M$1193&gt;=GRID_FROM)*('Dvd Calendar'!$M$1193&lt;=GRID_TO)*('Dvd Calendar'!$M$1193&lt;=VAL_DATE)=0,"",'Dvd Calendar'!$M$1193*1000000000+ISNUMBER('Dvd Calendar'!$M$1196)*100000000+('Dvd Calendar'!$M$1198=SPECIAL_LBL)*10000000+0*1000000+8*1000+9))</f>
        <v/>
      </c>
      <c r="EN123" s="35">
        <f>IF(N('Dvd Calendar'!$N$1193)=0,"",IF(('Dvd Calendar'!$N$1193&gt;=GRID_FROM)*('Dvd Calendar'!$N$1193&lt;=GRID_TO)*('Dvd Calendar'!$N$1193&lt;=VAL_DATE)=0,"",'Dvd Calendar'!$N$1193*1000000000+ISNUMBER('Dvd Calendar'!$N$1196)*100000000+('Dvd Calendar'!$N$1198=SPECIAL_LBL)*10000000+0*1000000+8*1000+10))</f>
        <v/>
      </c>
      <c r="EO123" s="35">
        <f>IF(N('Dvd Calendar'!$O$1193)=0,"",IF(('Dvd Calendar'!$O$1193&gt;=GRID_FROM)*('Dvd Calendar'!$O$1193&lt;=GRID_TO)*('Dvd Calendar'!$O$1193&lt;=VAL_DATE)=0,"",'Dvd Calendar'!$O$1193*1000000000+ISNUMBER('Dvd Calendar'!$O$1196)*100000000+('Dvd Calendar'!$O$1198=SPECIAL_LBL)*10000000+0*1000000+8*1000+11))</f>
        <v/>
      </c>
      <c r="EP123" s="35">
        <f>IF(N('Dvd Calendar'!$P$1193)=0,"",IF(('Dvd Calendar'!$P$1193&gt;=GRID_FROM)*('Dvd Calendar'!$P$1193&lt;=GRID_TO)*('Dvd Calendar'!$P$1193&lt;=VAL_DATE)=0,"",'Dvd Calendar'!$P$1193*1000000000+ISNUMBER('Dvd Calendar'!$P$1196)*100000000+('Dvd Calendar'!$P$1198=SPECIAL_LBL)*10000000+0*1000000+8*1000+12))</f>
        <v/>
      </c>
      <c r="EQ123" s="35">
        <f>IF(N('Dvd Calendar'!$Q$1193)=0,"",IF(('Dvd Calendar'!$Q$1193&gt;=GRID_FROM)*('Dvd Calendar'!$Q$1193&lt;=GRID_TO)*('Dvd Calendar'!$Q$1193&lt;=VAL_DATE)=0,"",'Dvd Calendar'!$Q$1193*1000000000+ISNUMBER('Dvd Calendar'!$Q$1196)*100000000+('Dvd Calendar'!$Q$1198=SPECIAL_LBL)*10000000+0*1000000+8*1000+13))</f>
        <v/>
      </c>
      <c r="ER123" s="35">
        <f>IF(N('Dvd Calendar'!$R$1193)=0,"",IF(('Dvd Calendar'!$R$1193&gt;=GRID_FROM)*('Dvd Calendar'!$R$1193&lt;=GRID_TO)*('Dvd Calendar'!$R$1193&lt;=VAL_DATE)=0,"",'Dvd Calendar'!$R$1193*1000000000+ISNUMBER('Dvd Calendar'!$R$1196)*100000000+('Dvd Calendar'!$R$1198=SPECIAL_LBL)*10000000+0*1000000+8*1000+14))</f>
        <v/>
      </c>
      <c r="ES123" s="35">
        <f>IF(N('Dvd Calendar'!$S$1193)=0,"",IF(('Dvd Calendar'!$S$1193&gt;=GRID_FROM)*('Dvd Calendar'!$S$1193&lt;=GRID_TO)*('Dvd Calendar'!$S$1193&lt;=VAL_DATE)=0,"",'Dvd Calendar'!$S$1193*1000000000+ISNUMBER('Dvd Calendar'!$S$1196)*100000000+('Dvd Calendar'!$S$1198=SPECIAL_LBL)*10000000+0*1000000+8*1000+15))</f>
        <v/>
      </c>
      <c r="ET123" s="35">
        <f>IF(N('Dvd Calendar'!$T$1193)=0,"",IF(('Dvd Calendar'!$T$1193&gt;=GRID_FROM)*('Dvd Calendar'!$T$1193&lt;=GRID_TO)*('Dvd Calendar'!$T$1193&lt;=VAL_DATE)=0,"",'Dvd Calendar'!$T$1193*1000000000+ISNUMBER('Dvd Calendar'!$T$1196)*100000000+('Dvd Calendar'!$T$1198=SPECIAL_LBL)*10000000+0*1000000+8*1000+16))</f>
        <v/>
      </c>
      <c r="EU123" s="35">
        <f>IF(N('Dvd Calendar'!$U$1193)=0,"",IF(('Dvd Calendar'!$U$1193&gt;=GRID_FROM)*('Dvd Calendar'!$U$1193&lt;=GRID_TO)*('Dvd Calendar'!$U$1193&lt;=VAL_DATE)=0,"",'Dvd Calendar'!$U$1193*1000000000+ISNUMBER('Dvd Calendar'!$U$1196)*100000000+('Dvd Calendar'!$U$1198=SPECIAL_LBL)*10000000+0*1000000+8*1000+17))</f>
        <v/>
      </c>
      <c r="EV123" s="35">
        <f>IF(N('Dvd Calendar'!$V$1193)=0,"",IF(('Dvd Calendar'!$V$1193&gt;=GRID_FROM)*('Dvd Calendar'!$V$1193&lt;=GRID_TO)*('Dvd Calendar'!$V$1193&lt;=VAL_DATE)=0,"",'Dvd Calendar'!$V$1193*1000000000+ISNUMBER('Dvd Calendar'!$V$1196)*100000000+('Dvd Calendar'!$V$1198=SPECIAL_LBL)*10000000+0*1000000+8*1000+18))</f>
        <v/>
      </c>
      <c r="EW123" s="35">
        <f>IF(N('Dvd Calendar'!$W$1193)=0,"",IF(('Dvd Calendar'!$W$1193&gt;=GRID_FROM)*('Dvd Calendar'!$W$1193&lt;=GRID_TO)*('Dvd Calendar'!$W$1193&lt;=VAL_DATE)=0,"",'Dvd Calendar'!$W$1193*1000000000+ISNUMBER('Dvd Calendar'!$W$1196)*100000000+('Dvd Calendar'!$W$1198=SPECIAL_LBL)*10000000+0*1000000+8*1000+19))</f>
        <v/>
      </c>
      <c r="EX123" s="35">
        <f>IF(N('Dvd Calendar'!$X$1193)=0,"",IF(('Dvd Calendar'!$X$1193&gt;=GRID_FROM)*('Dvd Calendar'!$X$1193&lt;=GRID_TO)*('Dvd Calendar'!$X$1193&lt;=VAL_DATE)=0,"",'Dvd Calendar'!$X$1193*1000000000+ISNUMBER('Dvd Calendar'!$X$1196)*100000000+('Dvd Calendar'!$X$1198=SPECIAL_LBL)*10000000+0*1000000+8*1000+20))</f>
        <v/>
      </c>
      <c r="EY123" s="35">
        <f>IF(N('Dvd Calendar'!$Y$1193)=0,"",IF(('Dvd Calendar'!$Y$1193&gt;=GRID_FROM)*('Dvd Calendar'!$Y$1193&lt;=GRID_TO)*('Dvd Calendar'!$Y$1193&lt;=VAL_DATE)=0,"",'Dvd Calendar'!$Y$1193*1000000000+ISNUMBER('Dvd Calendar'!$Y$1196)*100000000+('Dvd Calendar'!$Y$1198=SPECIAL_LBL)*10000000+0*1000000+8*1000+21))</f>
        <v/>
      </c>
      <c r="EZ123" s="35">
        <f>IF(N('Dvd Calendar'!$Z$1193)=0,"",IF(('Dvd Calendar'!$Z$1193&gt;=GRID_FROM)*('Dvd Calendar'!$Z$1193&lt;=GRID_TO)*('Dvd Calendar'!$Z$1193&lt;=VAL_DATE)=0,"",'Dvd Calendar'!$Z$1193*1000000000+ISNUMBER('Dvd Calendar'!$Z$1196)*100000000+('Dvd Calendar'!$Z$1198=SPECIAL_LBL)*10000000+0*1000000+8*1000+22))</f>
        <v/>
      </c>
      <c r="FA123" s="35">
        <f>IF(N('Dvd Calendar'!$AA$1193)=0,"",IF(('Dvd Calendar'!$AA$1193&gt;=GRID_FROM)*('Dvd Calendar'!$AA$1193&lt;=GRID_TO)*('Dvd Calendar'!$AA$1193&lt;=VAL_DATE)=0,"",'Dvd Calendar'!$AA$1193*1000000000+ISNUMBER('Dvd Calendar'!$AA$1196)*100000000+('Dvd Calendar'!$AA$1198=SPECIAL_LBL)*10000000+0*1000000+8*1000+23))</f>
        <v/>
      </c>
      <c r="FB123" s="35">
        <f>IF(N('Dvd Calendar'!$AB$1193)=0,"",IF(('Dvd Calendar'!$AB$1193&gt;=GRID_FROM)*('Dvd Calendar'!$AB$1193&lt;=GRID_TO)*('Dvd Calendar'!$AB$1193&lt;=VAL_DATE)=0,"",'Dvd Calendar'!$AB$1193*1000000000+ISNUMBER('Dvd Calendar'!$AB$1196)*100000000+('Dvd Calendar'!$AB$1198=SPECIAL_LBL)*10000000+0*1000000+8*1000+24))</f>
        <v/>
      </c>
      <c r="FC123" s="35">
        <f>IF(N('Dvd Calendar'!$AC$1193)=0,"",IF(('Dvd Calendar'!$AC$1193&gt;=GRID_FROM)*('Dvd Calendar'!$AC$1193&lt;=GRID_TO)*('Dvd Calendar'!$AC$1193&lt;=VAL_DATE)=0,"",'Dvd Calendar'!$AC$1193*1000000000+ISNUMBER('Dvd Calendar'!$AC$1196)*100000000+('Dvd Calendar'!$AC$1198=SPECIAL_LBL)*10000000+0*1000000+8*1000+25))</f>
        <v/>
      </c>
      <c r="FD123" s="35">
        <f>IF(N('Dvd Calendar'!$AD$1193)=0,"",IF(('Dvd Calendar'!$AD$1193&gt;=GRID_FROM)*('Dvd Calendar'!$AD$1193&lt;=GRID_TO)*('Dvd Calendar'!$AD$1193&lt;=VAL_DATE)=0,"",'Dvd Calendar'!$AD$1193*1000000000+ISNUMBER('Dvd Calendar'!$AD$1196)*100000000+('Dvd Calendar'!$AD$1198=SPECIAL_LBL)*10000000+0*1000000+8*1000+26))</f>
        <v/>
      </c>
      <c r="FE123" s="35">
        <f>IF(N('Dvd Calendar'!$AE$1193)=0,"",IF(('Dvd Calendar'!$AE$1193&gt;=GRID_FROM)*('Dvd Calendar'!$AE$1193&lt;=GRID_TO)*('Dvd Calendar'!$AE$1193&lt;=VAL_DATE)=0,"",'Dvd Calendar'!$AE$1193*1000000000+ISNUMBER('Dvd Calendar'!$AE$1196)*100000000+('Dvd Calendar'!$AE$1198=SPECIAL_LBL)*10000000+0*1000000+8*1000+27))</f>
        <v/>
      </c>
      <c r="FF123" s="35">
        <f>IF(N('Dvd Calendar'!$AF$1193)=0,"",IF(('Dvd Calendar'!$AF$1193&gt;=GRID_FROM)*('Dvd Calendar'!$AF$1193&lt;=GRID_TO)*('Dvd Calendar'!$AF$1193&lt;=VAL_DATE)=0,"",'Dvd Calendar'!$AF$1193*1000000000+ISNUMBER('Dvd Calendar'!$AF$1196)*100000000+('Dvd Calendar'!$AF$1198=SPECIAL_LBL)*10000000+0*1000000+8*1000+28))</f>
        <v/>
      </c>
      <c r="FG123" s="35">
        <f>IF(N('Dvd Calendar'!$AG$1193)=0,"",IF(('Dvd Calendar'!$AG$1193&gt;=GRID_FROM)*('Dvd Calendar'!$AG$1193&lt;=GRID_TO)*('Dvd Calendar'!$AG$1193&lt;=VAL_DATE)=0,"",'Dvd Calendar'!$AG$1193*1000000000+ISNUMBER('Dvd Calendar'!$AG$1196)*100000000+('Dvd Calendar'!$AG$1198=SPECIAL_LBL)*10000000+0*1000000+8*1000+29))</f>
        <v/>
      </c>
      <c r="FH123" s="35">
        <f>IF(N('Dvd Calendar'!$AH$1193)=0,"",IF(('Dvd Calendar'!$AH$1193&gt;=GRID_FROM)*('Dvd Calendar'!$AH$1193&lt;=GRID_TO)*('Dvd Calendar'!$AH$1193&lt;=VAL_DATE)=0,"",'Dvd Calendar'!$AH$1193*1000000000+ISNUMBER('Dvd Calendar'!$AH$1196)*100000000+('Dvd Calendar'!$AH$1198=SPECIAL_LBL)*10000000+0*1000000+8*1000+30))</f>
        <v/>
      </c>
      <c r="FI123" s="35">
        <f>IF(N('Dvd Calendar'!$AI$1193)=0,"",IF(('Dvd Calendar'!$AI$1193&gt;=GRID_FROM)*('Dvd Calendar'!$AI$1193&lt;=GRID_TO)*('Dvd Calendar'!$AI$1193&lt;=VAL_DATE)=0,"",'Dvd Calendar'!$AI$1193*1000000000+ISNUMBER('Dvd Calendar'!$AI$1196)*100000000+('Dvd Calendar'!$AI$1198=SPECIAL_LBL)*10000000+0*1000000+8*1000+31))</f>
        <v/>
      </c>
      <c r="FJ123" s="35">
        <f>IF(N('Dvd Calendar'!$AJ$1193)=0,"",IF(('Dvd Calendar'!$AJ$1193&gt;=GRID_FROM)*('Dvd Calendar'!$AJ$1193&lt;=GRID_TO)*('Dvd Calendar'!$AJ$1193&lt;=VAL_DATE)=0,"",'Dvd Calendar'!$AJ$1193*1000000000+ISNUMBER('Dvd Calendar'!$AJ$1196)*100000000+('Dvd Calendar'!$AJ$1198=SPECIAL_LBL)*10000000+0*1000000+8*1000+32))</f>
        <v/>
      </c>
      <c r="FK123" s="35">
        <f>IF(N('Dvd Calendar'!$AK$1193)=0,"",IF(('Dvd Calendar'!$AK$1193&gt;=GRID_FROM)*('Dvd Calendar'!$AK$1193&lt;=GRID_TO)*('Dvd Calendar'!$AK$1193&lt;=VAL_DATE)=0,"",'Dvd Calendar'!$AK$1193*1000000000+ISNUMBER('Dvd Calendar'!$AK$1196)*100000000+('Dvd Calendar'!$AK$1198=SPECIAL_LBL)*10000000+0*1000000+8*1000+33))</f>
        <v/>
      </c>
      <c r="FL123" s="35">
        <f>IF(N('Dvd Calendar'!$AL$1193)=0,"",IF(('Dvd Calendar'!$AL$1193&gt;=GRID_FROM)*('Dvd Calendar'!$AL$1193&lt;=GRID_TO)*('Dvd Calendar'!$AL$1193&lt;=VAL_DATE)=0,"",'Dvd Calendar'!$AL$1193*1000000000+ISNUMBER('Dvd Calendar'!$AL$1196)*100000000+('Dvd Calendar'!$AL$1198=SPECIAL_LBL)*10000000+0*1000000+8*1000+34))</f>
        <v/>
      </c>
      <c r="FM123" s="35">
        <f>IF(N('Dvd Calendar'!$AM$1193)=0,"",IF(('Dvd Calendar'!$AM$1193&gt;=GRID_FROM)*('Dvd Calendar'!$AM$1193&lt;=GRID_TO)*('Dvd Calendar'!$AM$1193&lt;=VAL_DATE)=0,"",'Dvd Calendar'!$AM$1193*1000000000+ISNUMBER('Dvd Calendar'!$AM$1196)*100000000+('Dvd Calendar'!$AM$1198=SPECIAL_LBL)*10000000+0*1000000+8*1000+35))</f>
        <v/>
      </c>
      <c r="FN123" s="35">
        <f>IF(N('Dvd Calendar'!$AN$1193)=0,"",IF(('Dvd Calendar'!$AN$1193&gt;=GRID_FROM)*('Dvd Calendar'!$AN$1193&lt;=GRID_TO)*('Dvd Calendar'!$AN$1193&lt;=VAL_DATE)=0,"",'Dvd Calendar'!$AN$1193*1000000000+ISNUMBER('Dvd Calendar'!$AN$1196)*100000000+('Dvd Calendar'!$AN$1198=SPECIAL_LBL)*10000000+0*1000000+8*1000+36))</f>
        <v/>
      </c>
      <c r="FO123" s="35">
        <f>IF(N('Dvd Calendar'!$AO$1193)=0,"",IF(('Dvd Calendar'!$AO$1193&gt;=GRID_FROM)*('Dvd Calendar'!$AO$1193&lt;=GRID_TO)*('Dvd Calendar'!$AO$1193&lt;=VAL_DATE)=0,"",'Dvd Calendar'!$AO$1193*1000000000+ISNUMBER('Dvd Calendar'!$AO$1196)*100000000+('Dvd Calendar'!$AO$1198=SPECIAL_LBL)*10000000+0*1000000+8*1000+37))</f>
        <v/>
      </c>
      <c r="FP123" s="35">
        <f>IF(N('Dvd Calendar'!$AP$1193)=0,"",IF(('Dvd Calendar'!$AP$1193&gt;=GRID_FROM)*('Dvd Calendar'!$AP$1193&lt;=GRID_TO)*('Dvd Calendar'!$AP$1193&lt;=VAL_DATE)=0,"",'Dvd Calendar'!$AP$1193*1000000000+ISNUMBER('Dvd Calendar'!$AP$1196)*100000000+('Dvd Calendar'!$AP$1198=SPECIAL_LBL)*10000000+0*1000000+8*1000+38))</f>
        <v/>
      </c>
      <c r="FQ123" s="35">
        <f>IF(N('Dvd Calendar'!$AQ$1193)=0,"",IF(('Dvd Calendar'!$AQ$1193&gt;=GRID_FROM)*('Dvd Calendar'!$AQ$1193&lt;=GRID_TO)*('Dvd Calendar'!$AQ$1193&lt;=VAL_DATE)=0,"",'Dvd Calendar'!$AQ$1193*1000000000+ISNUMBER('Dvd Calendar'!$AQ$1196)*100000000+('Dvd Calendar'!$AQ$1198=SPECIAL_LBL)*10000000+0*1000000+8*1000+39))</f>
        <v/>
      </c>
      <c r="FR123" s="35">
        <f>IF(N('Dvd Calendar'!$AR$1193)=0,"",IF(('Dvd Calendar'!$AR$1193&gt;=GRID_FROM)*('Dvd Calendar'!$AR$1193&lt;=GRID_TO)*('Dvd Calendar'!$AR$1193&lt;=VAL_DATE)=0,"",'Dvd Calendar'!$AR$1193*1000000000+ISNUMBER('Dvd Calendar'!$AR$1196)*100000000+('Dvd Calendar'!$AR$1198=SPECIAL_LBL)*10000000+0*1000000+8*1000+40))</f>
        <v/>
      </c>
      <c r="FS123" s="35">
        <f>IF(N('Dvd Calendar'!$E$1200)=0,"",IF(('Dvd Calendar'!$E$1200&gt;=GRID_FROM)*('Dvd Calendar'!$E$1200&lt;=GRID_TO)*('Dvd Calendar'!$E$1200&gt;VAL_DATE)=0,"",'Dvd Calendar'!$E$1200*1000000000+ISNUMBER('Dvd Calendar'!$E$1201)*100000000+0*10000000+(N('Dvd Calendar'!$E$1199)&gt;0)*(N('Dvd Calendar'!$E$1199)&lt;=VAL_SERIAL)*1000000+8*1000+41))</f>
        <v/>
      </c>
      <c r="FT123" s="35">
        <f>IF(N('Dvd Calendar'!$F$1200)=0,"",IF(('Dvd Calendar'!$F$1200&gt;=GRID_FROM)*('Dvd Calendar'!$F$1200&lt;=GRID_TO)*('Dvd Calendar'!$F$1200&gt;VAL_DATE)=0,"",'Dvd Calendar'!$F$1200*1000000000+ISNUMBER('Dvd Calendar'!$F$1201)*100000000+0*10000000+(N('Dvd Calendar'!$F$1199)&gt;0)*(N('Dvd Calendar'!$F$1199)&lt;=VAL_SERIAL)*1000000+8*1000+42))</f>
        <v/>
      </c>
      <c r="FU123" s="35">
        <f>IF(N('Dvd Calendar'!$G$1200)=0,"",IF(('Dvd Calendar'!$G$1200&gt;=GRID_FROM)*('Dvd Calendar'!$G$1200&lt;=GRID_TO)*('Dvd Calendar'!$G$1200&gt;VAL_DATE)=0,"",'Dvd Calendar'!$G$1200*1000000000+ISNUMBER('Dvd Calendar'!$G$1201)*100000000+0*10000000+(N('Dvd Calendar'!$G$1199)&gt;0)*(N('Dvd Calendar'!$G$1199)&lt;=VAL_SERIAL)*1000000+8*1000+43))</f>
        <v/>
      </c>
      <c r="FV123" s="35">
        <f>IF(N('Dvd Calendar'!$H$1200)=0,"",IF(('Dvd Calendar'!$H$1200&gt;=GRID_FROM)*('Dvd Calendar'!$H$1200&lt;=GRID_TO)*('Dvd Calendar'!$H$1200&gt;VAL_DATE)=0,"",'Dvd Calendar'!$H$1200*1000000000+ISNUMBER('Dvd Calendar'!$H$1201)*100000000+0*10000000+(N('Dvd Calendar'!$H$1199)&gt;0)*(N('Dvd Calendar'!$H$1199)&lt;=VAL_SERIAL)*1000000+8*1000+44))</f>
        <v/>
      </c>
      <c r="FW123" s="35">
        <f>IF(N('Dvd Calendar'!$I$1200)=0,"",IF(('Dvd Calendar'!$I$1200&gt;=GRID_FROM)*('Dvd Calendar'!$I$1200&lt;=GRID_TO)*('Dvd Calendar'!$I$1200&gt;VAL_DATE)=0,"",'Dvd Calendar'!$I$1200*1000000000+ISNUMBER('Dvd Calendar'!$I$1201)*100000000+0*10000000+(N('Dvd Calendar'!$I$1199)&gt;0)*(N('Dvd Calendar'!$I$1199)&lt;=VAL_SERIAL)*1000000+8*1000+45))</f>
        <v/>
      </c>
      <c r="FX123" s="35">
        <f>IF(N('Dvd Calendar'!$J$1200)=0,"",IF(('Dvd Calendar'!$J$1200&gt;=GRID_FROM)*('Dvd Calendar'!$J$1200&lt;=GRID_TO)*('Dvd Calendar'!$J$1200&gt;VAL_DATE)=0,"",'Dvd Calendar'!$J$1200*1000000000+ISNUMBER('Dvd Calendar'!$J$1201)*100000000+0*10000000+(N('Dvd Calendar'!$J$1199)&gt;0)*(N('Dvd Calendar'!$J$1199)&lt;=VAL_SERIAL)*1000000+8*1000+46))</f>
        <v/>
      </c>
      <c r="FY123" s="35">
        <f>IF(N('Dvd Calendar'!$K$1200)=0,"",IF(('Dvd Calendar'!$K$1200&gt;=GRID_FROM)*('Dvd Calendar'!$K$1200&lt;=GRID_TO)*('Dvd Calendar'!$K$1200&gt;VAL_DATE)=0,"",'Dvd Calendar'!$K$1200*1000000000+ISNUMBER('Dvd Calendar'!$K$1201)*100000000+0*10000000+(N('Dvd Calendar'!$K$1199)&gt;0)*(N('Dvd Calendar'!$K$1199)&lt;=VAL_SERIAL)*1000000+8*1000+47))</f>
        <v/>
      </c>
      <c r="FZ123" s="35">
        <f>IF(N('Dvd Calendar'!$L$1200)=0,"",IF(('Dvd Calendar'!$L$1200&gt;=GRID_FROM)*('Dvd Calendar'!$L$1200&lt;=GRID_TO)*('Dvd Calendar'!$L$1200&gt;VAL_DATE)=0,"",'Dvd Calendar'!$L$1200*1000000000+ISNUMBER('Dvd Calendar'!$L$1201)*100000000+0*10000000+(N('Dvd Calendar'!$L$1199)&gt;0)*(N('Dvd Calendar'!$L$1199)&lt;=VAL_SERIAL)*1000000+8*1000+48))</f>
        <v/>
      </c>
      <c r="GA123" s="35">
        <f>IF(N('Dvd Calendar'!$M$1200)=0,"",IF(('Dvd Calendar'!$M$1200&gt;=GRID_FROM)*('Dvd Calendar'!$M$1200&lt;=GRID_TO)*('Dvd Calendar'!$M$1200&gt;VAL_DATE)=0,"",'Dvd Calendar'!$M$1200*1000000000+ISNUMBER('Dvd Calendar'!$M$1201)*100000000+0*10000000+(N('Dvd Calendar'!$M$1199)&gt;0)*(N('Dvd Calendar'!$M$1199)&lt;=VAL_SERIAL)*1000000+8*1000+49))</f>
        <v/>
      </c>
      <c r="GB123" s="35">
        <f>IF(N('Dvd Calendar'!$N$1200)=0,"",IF(('Dvd Calendar'!$N$1200&gt;=GRID_FROM)*('Dvd Calendar'!$N$1200&lt;=GRID_TO)*('Dvd Calendar'!$N$1200&gt;VAL_DATE)=0,"",'Dvd Calendar'!$N$1200*1000000000+ISNUMBER('Dvd Calendar'!$N$1201)*100000000+0*10000000+(N('Dvd Calendar'!$N$1199)&gt;0)*(N('Dvd Calendar'!$N$1199)&lt;=VAL_SERIAL)*1000000+8*1000+50))</f>
        <v/>
      </c>
      <c r="GC123" s="35">
        <f>IF(N('Dvd Calendar'!$O$1200)=0,"",IF(('Dvd Calendar'!$O$1200&gt;=GRID_FROM)*('Dvd Calendar'!$O$1200&lt;=GRID_TO)*('Dvd Calendar'!$O$1200&gt;VAL_DATE)=0,"",'Dvd Calendar'!$O$1200*1000000000+ISNUMBER('Dvd Calendar'!$O$1201)*100000000+0*10000000+(N('Dvd Calendar'!$O$1199)&gt;0)*(N('Dvd Calendar'!$O$1199)&lt;=VAL_SERIAL)*1000000+8*1000+51))</f>
        <v/>
      </c>
      <c r="GD123" s="35">
        <f>IF(N('Dvd Calendar'!$P$1200)=0,"",IF(('Dvd Calendar'!$P$1200&gt;=GRID_FROM)*('Dvd Calendar'!$P$1200&lt;=GRID_TO)*('Dvd Calendar'!$P$1200&gt;VAL_DATE)=0,"",'Dvd Calendar'!$P$1200*1000000000+ISNUMBER('Dvd Calendar'!$P$1201)*100000000+0*10000000+(N('Dvd Calendar'!$P$1199)&gt;0)*(N('Dvd Calendar'!$P$1199)&lt;=VAL_SERIAL)*1000000+8*1000+52))</f>
        <v/>
      </c>
      <c r="GE123" s="35">
        <f>IF(N('Dvd Calendar'!$Q$1200)=0,"",IF(('Dvd Calendar'!$Q$1200&gt;=GRID_FROM)*('Dvd Calendar'!$Q$1200&lt;=GRID_TO)*('Dvd Calendar'!$Q$1200&gt;VAL_DATE)=0,"",'Dvd Calendar'!$Q$1200*1000000000+ISNUMBER('Dvd Calendar'!$Q$1201)*100000000+0*10000000+(N('Dvd Calendar'!$Q$1199)&gt;0)*(N('Dvd Calendar'!$Q$1199)&lt;=VAL_SERIAL)*1000000+8*1000+53))</f>
        <v/>
      </c>
      <c r="GF123" s="35">
        <f>IF(N('Dvd Calendar'!$R$1200)=0,"",IF(('Dvd Calendar'!$R$1200&gt;=GRID_FROM)*('Dvd Calendar'!$R$1200&lt;=GRID_TO)*('Dvd Calendar'!$R$1200&gt;VAL_DATE)=0,"",'Dvd Calendar'!$R$1200*1000000000+ISNUMBER('Dvd Calendar'!$R$1201)*100000000+0*10000000+(N('Dvd Calendar'!$R$1199)&gt;0)*(N('Dvd Calendar'!$R$1199)&lt;=VAL_SERIAL)*1000000+8*1000+54))</f>
        <v/>
      </c>
      <c r="GG123" s="35">
        <f>IF(N('Dvd Calendar'!$S$1200)=0,"",IF(('Dvd Calendar'!$S$1200&gt;=GRID_FROM)*('Dvd Calendar'!$S$1200&lt;=GRID_TO)*('Dvd Calendar'!$S$1200&gt;VAL_DATE)=0,"",'Dvd Calendar'!$S$1200*1000000000+ISNUMBER('Dvd Calendar'!$S$1201)*100000000+0*10000000+(N('Dvd Calendar'!$S$1199)&gt;0)*(N('Dvd Calendar'!$S$1199)&lt;=VAL_SERIAL)*1000000+8*1000+55))</f>
        <v/>
      </c>
      <c r="GH123" s="35">
        <f>IF(N('Dvd Calendar'!$T$1200)=0,"",IF(('Dvd Calendar'!$T$1200&gt;=GRID_FROM)*('Dvd Calendar'!$T$1200&lt;=GRID_TO)*('Dvd Calendar'!$T$1200&gt;VAL_DATE)=0,"",'Dvd Calendar'!$T$1200*1000000000+ISNUMBER('Dvd Calendar'!$T$1201)*100000000+0*10000000+(N('Dvd Calendar'!$T$1199)&gt;0)*(N('Dvd Calendar'!$T$1199)&lt;=VAL_SERIAL)*1000000+8*1000+56))</f>
        <v/>
      </c>
      <c r="GI123" s="35">
        <f>IF(N('Dvd Calendar'!$U$1200)=0,"",IF(('Dvd Calendar'!$U$1200&gt;=GRID_FROM)*('Dvd Calendar'!$U$1200&lt;=GRID_TO)*('Dvd Calendar'!$U$1200&gt;VAL_DATE)=0,"",'Dvd Calendar'!$U$1200*1000000000+ISNUMBER('Dvd Calendar'!$U$1201)*100000000+0*10000000+(N('Dvd Calendar'!$U$1199)&gt;0)*(N('Dvd Calendar'!$U$1199)&lt;=VAL_SERIAL)*1000000+8*1000+57))</f>
        <v/>
      </c>
      <c r="GJ123" s="35">
        <f>IF(N('Dvd Calendar'!$V$1200)=0,"",IF(('Dvd Calendar'!$V$1200&gt;=GRID_FROM)*('Dvd Calendar'!$V$1200&lt;=GRID_TO)*('Dvd Calendar'!$V$1200&gt;VAL_DATE)=0,"",'Dvd Calendar'!$V$1200*1000000000+ISNUMBER('Dvd Calendar'!$V$1201)*100000000+0*10000000+(N('Dvd Calendar'!$V$1199)&gt;0)*(N('Dvd Calendar'!$V$1199)&lt;=VAL_SERIAL)*1000000+8*1000+58))</f>
        <v/>
      </c>
      <c r="GK123" s="35">
        <f>IF(N('Dvd Calendar'!$W$1200)=0,"",IF(('Dvd Calendar'!$W$1200&gt;=GRID_FROM)*('Dvd Calendar'!$W$1200&lt;=GRID_TO)*('Dvd Calendar'!$W$1200&gt;VAL_DATE)=0,"",'Dvd Calendar'!$W$1200*1000000000+ISNUMBER('Dvd Calendar'!$W$1201)*100000000+0*10000000+(N('Dvd Calendar'!$W$1199)&gt;0)*(N('Dvd Calendar'!$W$1199)&lt;=VAL_SERIAL)*1000000+8*1000+59))</f>
        <v/>
      </c>
      <c r="GL123" s="35">
        <f>IF(N('Dvd Calendar'!$X$1200)=0,"",IF(('Dvd Calendar'!$X$1200&gt;=GRID_FROM)*('Dvd Calendar'!$X$1200&lt;=GRID_TO)*('Dvd Calendar'!$X$1200&gt;VAL_DATE)=0,"",'Dvd Calendar'!$X$1200*1000000000+ISNUMBER('Dvd Calendar'!$X$1201)*100000000+0*10000000+(N('Dvd Calendar'!$X$1199)&gt;0)*(N('Dvd Calendar'!$X$1199)&lt;=VAL_SERIAL)*1000000+8*1000+60))</f>
        <v/>
      </c>
      <c r="GM123" s="35">
        <f>IF(N('Dvd Calendar'!$Y$1200)=0,"",IF(('Dvd Calendar'!$Y$1200&gt;=GRID_FROM)*('Dvd Calendar'!$Y$1200&lt;=GRID_TO)*('Dvd Calendar'!$Y$1200&gt;VAL_DATE)=0,"",'Dvd Calendar'!$Y$1200*1000000000+ISNUMBER('Dvd Calendar'!$Y$1201)*100000000+0*10000000+(N('Dvd Calendar'!$Y$1199)&gt;0)*(N('Dvd Calendar'!$Y$1199)&lt;=VAL_SERIAL)*1000000+8*1000+61))</f>
        <v/>
      </c>
      <c r="GN123" s="35">
        <f>IF(N('Dvd Calendar'!$Z$1200)=0,"",IF(('Dvd Calendar'!$Z$1200&gt;=GRID_FROM)*('Dvd Calendar'!$Z$1200&lt;=GRID_TO)*('Dvd Calendar'!$Z$1200&gt;VAL_DATE)=0,"",'Dvd Calendar'!$Z$1200*1000000000+ISNUMBER('Dvd Calendar'!$Z$1201)*100000000+0*10000000+(N('Dvd Calendar'!$Z$1199)&gt;0)*(N('Dvd Calendar'!$Z$1199)&lt;=VAL_SERIAL)*1000000+8*1000+62))</f>
        <v/>
      </c>
      <c r="GO123" s="35">
        <f>IF(N('Dvd Calendar'!$AA$1200)=0,"",IF(('Dvd Calendar'!$AA$1200&gt;=GRID_FROM)*('Dvd Calendar'!$AA$1200&lt;=GRID_TO)*('Dvd Calendar'!$AA$1200&gt;VAL_DATE)=0,"",'Dvd Calendar'!$AA$1200*1000000000+ISNUMBER('Dvd Calendar'!$AA$1201)*100000000+0*10000000+(N('Dvd Calendar'!$AA$1199)&gt;0)*(N('Dvd Calendar'!$AA$1199)&lt;=VAL_SERIAL)*1000000+8*1000+63))</f>
        <v/>
      </c>
      <c r="GP123" s="35">
        <f>IF(N('Dvd Calendar'!$AB$1200)=0,"",IF(('Dvd Calendar'!$AB$1200&gt;=GRID_FROM)*('Dvd Calendar'!$AB$1200&lt;=GRID_TO)*('Dvd Calendar'!$AB$1200&gt;VAL_DATE)=0,"",'Dvd Calendar'!$AB$1200*1000000000+ISNUMBER('Dvd Calendar'!$AB$1201)*100000000+0*10000000+(N('Dvd Calendar'!$AB$1199)&gt;0)*(N('Dvd Calendar'!$AB$1199)&lt;=VAL_SERIAL)*1000000+8*1000+64))</f>
        <v/>
      </c>
      <c r="GQ123" s="35">
        <f>IF(N('Dvd Calendar'!$AC$1200)=0,"",IF(('Dvd Calendar'!$AC$1200&gt;=GRID_FROM)*('Dvd Calendar'!$AC$1200&lt;=GRID_TO)*('Dvd Calendar'!$AC$1200&gt;VAL_DATE)=0,"",'Dvd Calendar'!$AC$1200*1000000000+ISNUMBER('Dvd Calendar'!$AC$1201)*100000000+0*10000000+(N('Dvd Calendar'!$AC$1199)&gt;0)*(N('Dvd Calendar'!$AC$1199)&lt;=VAL_SERIAL)*1000000+8*1000+65))</f>
        <v/>
      </c>
    </row>
    <row r="124">
      <c r="B124" s="2">
        <f>IF(HSTECH!$C$15="","",HSTECH!$C$15)</f>
        <v/>
      </c>
      <c r="C124" s="106">
        <f>IF(EE124="","",IF(ISNUMBER('Dvd Calendar'!$E$1207)=FALSE,"",IF((('Dvd Calendar'!$E$1209=TYPE1)*(TYPE1&lt;&gt;"")+('Dvd Calendar'!$E$1209=TYPE2)*(TYPE2&lt;&gt;"")+('Dvd Calendar'!$E$1209=TYPE3)*(TYPE3&lt;&gt;"")+('Dvd Calendar'!$E$1209=TYPE4)*(TYPE4&lt;&gt;"")+('Dvd Calendar'!$E$1209=SPECIAL_LBL)*(INC_SPECIALS="Y"))=0,"",'Dvd Calendar'!$E$1207)))</f>
        <v/>
      </c>
      <c r="D124" s="106">
        <f>IF(EF124="","",IF(ISNUMBER('Dvd Calendar'!$F$1207)=FALSE,"",IF((('Dvd Calendar'!$F$1209=TYPE1)*(TYPE1&lt;&gt;"")+('Dvd Calendar'!$F$1209=TYPE2)*(TYPE2&lt;&gt;"")+('Dvd Calendar'!$F$1209=TYPE3)*(TYPE3&lt;&gt;"")+('Dvd Calendar'!$F$1209=TYPE4)*(TYPE4&lt;&gt;"")+('Dvd Calendar'!$F$1209=SPECIAL_LBL)*(INC_SPECIALS="Y"))=0,"",'Dvd Calendar'!$F$1207)))</f>
        <v/>
      </c>
      <c r="E124" s="106">
        <f>IF(EG124="","",IF(ISNUMBER('Dvd Calendar'!$G$1207)=FALSE,"",IF((('Dvd Calendar'!$G$1209=TYPE1)*(TYPE1&lt;&gt;"")+('Dvd Calendar'!$G$1209=TYPE2)*(TYPE2&lt;&gt;"")+('Dvd Calendar'!$G$1209=TYPE3)*(TYPE3&lt;&gt;"")+('Dvd Calendar'!$G$1209=TYPE4)*(TYPE4&lt;&gt;"")+('Dvd Calendar'!$G$1209=SPECIAL_LBL)*(INC_SPECIALS="Y"))=0,"",'Dvd Calendar'!$G$1207)))</f>
        <v/>
      </c>
      <c r="F124" s="106">
        <f>IF(EH124="","",IF(ISNUMBER('Dvd Calendar'!$H$1207)=FALSE,"",IF((('Dvd Calendar'!$H$1209=TYPE1)*(TYPE1&lt;&gt;"")+('Dvd Calendar'!$H$1209=TYPE2)*(TYPE2&lt;&gt;"")+('Dvd Calendar'!$H$1209=TYPE3)*(TYPE3&lt;&gt;"")+('Dvd Calendar'!$H$1209=TYPE4)*(TYPE4&lt;&gt;"")+('Dvd Calendar'!$H$1209=SPECIAL_LBL)*(INC_SPECIALS="Y"))=0,"",'Dvd Calendar'!$H$1207)))</f>
        <v/>
      </c>
      <c r="G124" s="106">
        <f>IF(EI124="","",IF(ISNUMBER('Dvd Calendar'!$I$1207)=FALSE,"",IF((('Dvd Calendar'!$I$1209=TYPE1)*(TYPE1&lt;&gt;"")+('Dvd Calendar'!$I$1209=TYPE2)*(TYPE2&lt;&gt;"")+('Dvd Calendar'!$I$1209=TYPE3)*(TYPE3&lt;&gt;"")+('Dvd Calendar'!$I$1209=TYPE4)*(TYPE4&lt;&gt;"")+('Dvd Calendar'!$I$1209=SPECIAL_LBL)*(INC_SPECIALS="Y"))=0,"",'Dvd Calendar'!$I$1207)))</f>
        <v/>
      </c>
      <c r="H124" s="106">
        <f>IF(EJ124="","",IF(ISNUMBER('Dvd Calendar'!$J$1207)=FALSE,"",IF((('Dvd Calendar'!$J$1209=TYPE1)*(TYPE1&lt;&gt;"")+('Dvd Calendar'!$J$1209=TYPE2)*(TYPE2&lt;&gt;"")+('Dvd Calendar'!$J$1209=TYPE3)*(TYPE3&lt;&gt;"")+('Dvd Calendar'!$J$1209=TYPE4)*(TYPE4&lt;&gt;"")+('Dvd Calendar'!$J$1209=SPECIAL_LBL)*(INC_SPECIALS="Y"))=0,"",'Dvd Calendar'!$J$1207)))</f>
        <v/>
      </c>
      <c r="I124" s="106">
        <f>IF(EK124="","",IF(ISNUMBER('Dvd Calendar'!$K$1207)=FALSE,"",IF((('Dvd Calendar'!$K$1209=TYPE1)*(TYPE1&lt;&gt;"")+('Dvd Calendar'!$K$1209=TYPE2)*(TYPE2&lt;&gt;"")+('Dvd Calendar'!$K$1209=TYPE3)*(TYPE3&lt;&gt;"")+('Dvd Calendar'!$K$1209=TYPE4)*(TYPE4&lt;&gt;"")+('Dvd Calendar'!$K$1209=SPECIAL_LBL)*(INC_SPECIALS="Y"))=0,"",'Dvd Calendar'!$K$1207)))</f>
        <v/>
      </c>
      <c r="J124" s="106">
        <f>IF(EL124="","",IF(ISNUMBER('Dvd Calendar'!$L$1207)=FALSE,"",IF((('Dvd Calendar'!$L$1209=TYPE1)*(TYPE1&lt;&gt;"")+('Dvd Calendar'!$L$1209=TYPE2)*(TYPE2&lt;&gt;"")+('Dvd Calendar'!$L$1209=TYPE3)*(TYPE3&lt;&gt;"")+('Dvd Calendar'!$L$1209=TYPE4)*(TYPE4&lt;&gt;"")+('Dvd Calendar'!$L$1209=SPECIAL_LBL)*(INC_SPECIALS="Y"))=0,"",'Dvd Calendar'!$L$1207)))</f>
        <v/>
      </c>
      <c r="K124" s="106">
        <f>IF(EM124="","",IF(ISNUMBER('Dvd Calendar'!$M$1207)=FALSE,"",IF((('Dvd Calendar'!$M$1209=TYPE1)*(TYPE1&lt;&gt;"")+('Dvd Calendar'!$M$1209=TYPE2)*(TYPE2&lt;&gt;"")+('Dvd Calendar'!$M$1209=TYPE3)*(TYPE3&lt;&gt;"")+('Dvd Calendar'!$M$1209=TYPE4)*(TYPE4&lt;&gt;"")+('Dvd Calendar'!$M$1209=SPECIAL_LBL)*(INC_SPECIALS="Y"))=0,"",'Dvd Calendar'!$M$1207)))</f>
        <v/>
      </c>
      <c r="L124" s="106">
        <f>IF(EN124="","",IF(ISNUMBER('Dvd Calendar'!$N$1207)=FALSE,"",IF((('Dvd Calendar'!$N$1209=TYPE1)*(TYPE1&lt;&gt;"")+('Dvd Calendar'!$N$1209=TYPE2)*(TYPE2&lt;&gt;"")+('Dvd Calendar'!$N$1209=TYPE3)*(TYPE3&lt;&gt;"")+('Dvd Calendar'!$N$1209=TYPE4)*(TYPE4&lt;&gt;"")+('Dvd Calendar'!$N$1209=SPECIAL_LBL)*(INC_SPECIALS="Y"))=0,"",'Dvd Calendar'!$N$1207)))</f>
        <v/>
      </c>
      <c r="M124" s="106">
        <f>IF(EO124="","",IF(ISNUMBER('Dvd Calendar'!$O$1207)=FALSE,"",IF((('Dvd Calendar'!$O$1209=TYPE1)*(TYPE1&lt;&gt;"")+('Dvd Calendar'!$O$1209=TYPE2)*(TYPE2&lt;&gt;"")+('Dvd Calendar'!$O$1209=TYPE3)*(TYPE3&lt;&gt;"")+('Dvd Calendar'!$O$1209=TYPE4)*(TYPE4&lt;&gt;"")+('Dvd Calendar'!$O$1209=SPECIAL_LBL)*(INC_SPECIALS="Y"))=0,"",'Dvd Calendar'!$O$1207)))</f>
        <v/>
      </c>
      <c r="N124" s="106">
        <f>IF(EP124="","",IF(ISNUMBER('Dvd Calendar'!$P$1207)=FALSE,"",IF((('Dvd Calendar'!$P$1209=TYPE1)*(TYPE1&lt;&gt;"")+('Dvd Calendar'!$P$1209=TYPE2)*(TYPE2&lt;&gt;"")+('Dvd Calendar'!$P$1209=TYPE3)*(TYPE3&lt;&gt;"")+('Dvd Calendar'!$P$1209=TYPE4)*(TYPE4&lt;&gt;"")+('Dvd Calendar'!$P$1209=SPECIAL_LBL)*(INC_SPECIALS="Y"))=0,"",'Dvd Calendar'!$P$1207)))</f>
        <v/>
      </c>
      <c r="O124" s="106">
        <f>IF(EQ124="","",IF(ISNUMBER('Dvd Calendar'!$Q$1207)=FALSE,"",IF((('Dvd Calendar'!$Q$1209=TYPE1)*(TYPE1&lt;&gt;"")+('Dvd Calendar'!$Q$1209=TYPE2)*(TYPE2&lt;&gt;"")+('Dvd Calendar'!$Q$1209=TYPE3)*(TYPE3&lt;&gt;"")+('Dvd Calendar'!$Q$1209=TYPE4)*(TYPE4&lt;&gt;"")+('Dvd Calendar'!$Q$1209=SPECIAL_LBL)*(INC_SPECIALS="Y"))=0,"",'Dvd Calendar'!$Q$1207)))</f>
        <v/>
      </c>
      <c r="P124" s="106">
        <f>IF(ER124="","",IF(ISNUMBER('Dvd Calendar'!$R$1207)=FALSE,"",IF((('Dvd Calendar'!$R$1209=TYPE1)*(TYPE1&lt;&gt;"")+('Dvd Calendar'!$R$1209=TYPE2)*(TYPE2&lt;&gt;"")+('Dvd Calendar'!$R$1209=TYPE3)*(TYPE3&lt;&gt;"")+('Dvd Calendar'!$R$1209=TYPE4)*(TYPE4&lt;&gt;"")+('Dvd Calendar'!$R$1209=SPECIAL_LBL)*(INC_SPECIALS="Y"))=0,"",'Dvd Calendar'!$R$1207)))</f>
        <v/>
      </c>
      <c r="Q124" s="106">
        <f>IF(ES124="","",IF(ISNUMBER('Dvd Calendar'!$S$1207)=FALSE,"",IF((('Dvd Calendar'!$S$1209=TYPE1)*(TYPE1&lt;&gt;"")+('Dvd Calendar'!$S$1209=TYPE2)*(TYPE2&lt;&gt;"")+('Dvd Calendar'!$S$1209=TYPE3)*(TYPE3&lt;&gt;"")+('Dvd Calendar'!$S$1209=TYPE4)*(TYPE4&lt;&gt;"")+('Dvd Calendar'!$S$1209=SPECIAL_LBL)*(INC_SPECIALS="Y"))=0,"",'Dvd Calendar'!$S$1207)))</f>
        <v/>
      </c>
      <c r="R124" s="106">
        <f>IF(ET124="","",IF(ISNUMBER('Dvd Calendar'!$T$1207)=FALSE,"",IF((('Dvd Calendar'!$T$1209=TYPE1)*(TYPE1&lt;&gt;"")+('Dvd Calendar'!$T$1209=TYPE2)*(TYPE2&lt;&gt;"")+('Dvd Calendar'!$T$1209=TYPE3)*(TYPE3&lt;&gt;"")+('Dvd Calendar'!$T$1209=TYPE4)*(TYPE4&lt;&gt;"")+('Dvd Calendar'!$T$1209=SPECIAL_LBL)*(INC_SPECIALS="Y"))=0,"",'Dvd Calendar'!$T$1207)))</f>
        <v/>
      </c>
      <c r="S124" s="106">
        <f>IF(EU124="","",IF(ISNUMBER('Dvd Calendar'!$U$1207)=FALSE,"",IF((('Dvd Calendar'!$U$1209=TYPE1)*(TYPE1&lt;&gt;"")+('Dvd Calendar'!$U$1209=TYPE2)*(TYPE2&lt;&gt;"")+('Dvd Calendar'!$U$1209=TYPE3)*(TYPE3&lt;&gt;"")+('Dvd Calendar'!$U$1209=TYPE4)*(TYPE4&lt;&gt;"")+('Dvd Calendar'!$U$1209=SPECIAL_LBL)*(INC_SPECIALS="Y"))=0,"",'Dvd Calendar'!$U$1207)))</f>
        <v/>
      </c>
      <c r="T124" s="106">
        <f>IF(EV124="","",IF(ISNUMBER('Dvd Calendar'!$V$1207)=FALSE,"",IF((('Dvd Calendar'!$V$1209=TYPE1)*(TYPE1&lt;&gt;"")+('Dvd Calendar'!$V$1209=TYPE2)*(TYPE2&lt;&gt;"")+('Dvd Calendar'!$V$1209=TYPE3)*(TYPE3&lt;&gt;"")+('Dvd Calendar'!$V$1209=TYPE4)*(TYPE4&lt;&gt;"")+('Dvd Calendar'!$V$1209=SPECIAL_LBL)*(INC_SPECIALS="Y"))=0,"",'Dvd Calendar'!$V$1207)))</f>
        <v/>
      </c>
      <c r="U124" s="106">
        <f>IF(EW124="","",IF(ISNUMBER('Dvd Calendar'!$W$1207)=FALSE,"",IF((('Dvd Calendar'!$W$1209=TYPE1)*(TYPE1&lt;&gt;"")+('Dvd Calendar'!$W$1209=TYPE2)*(TYPE2&lt;&gt;"")+('Dvd Calendar'!$W$1209=TYPE3)*(TYPE3&lt;&gt;"")+('Dvd Calendar'!$W$1209=TYPE4)*(TYPE4&lt;&gt;"")+('Dvd Calendar'!$W$1209=SPECIAL_LBL)*(INC_SPECIALS="Y"))=0,"",'Dvd Calendar'!$W$1207)))</f>
        <v/>
      </c>
      <c r="V124" s="106">
        <f>IF(EX124="","",IF(ISNUMBER('Dvd Calendar'!$X$1207)=FALSE,"",IF((('Dvd Calendar'!$X$1209=TYPE1)*(TYPE1&lt;&gt;"")+('Dvd Calendar'!$X$1209=TYPE2)*(TYPE2&lt;&gt;"")+('Dvd Calendar'!$X$1209=TYPE3)*(TYPE3&lt;&gt;"")+('Dvd Calendar'!$X$1209=TYPE4)*(TYPE4&lt;&gt;"")+('Dvd Calendar'!$X$1209=SPECIAL_LBL)*(INC_SPECIALS="Y"))=0,"",'Dvd Calendar'!$X$1207)))</f>
        <v/>
      </c>
      <c r="W124" s="106">
        <f>IF(EY124="","",IF(ISNUMBER('Dvd Calendar'!$Y$1207)=FALSE,"",IF((('Dvd Calendar'!$Y$1209=TYPE1)*(TYPE1&lt;&gt;"")+('Dvd Calendar'!$Y$1209=TYPE2)*(TYPE2&lt;&gt;"")+('Dvd Calendar'!$Y$1209=TYPE3)*(TYPE3&lt;&gt;"")+('Dvd Calendar'!$Y$1209=TYPE4)*(TYPE4&lt;&gt;"")+('Dvd Calendar'!$Y$1209=SPECIAL_LBL)*(INC_SPECIALS="Y"))=0,"",'Dvd Calendar'!$Y$1207)))</f>
        <v/>
      </c>
      <c r="X124" s="106">
        <f>IF(EZ124="","",IF(ISNUMBER('Dvd Calendar'!$Z$1207)=FALSE,"",IF((('Dvd Calendar'!$Z$1209=TYPE1)*(TYPE1&lt;&gt;"")+('Dvd Calendar'!$Z$1209=TYPE2)*(TYPE2&lt;&gt;"")+('Dvd Calendar'!$Z$1209=TYPE3)*(TYPE3&lt;&gt;"")+('Dvd Calendar'!$Z$1209=TYPE4)*(TYPE4&lt;&gt;"")+('Dvd Calendar'!$Z$1209=SPECIAL_LBL)*(INC_SPECIALS="Y"))=0,"",'Dvd Calendar'!$Z$1207)))</f>
        <v/>
      </c>
      <c r="Y124" s="106">
        <f>IF(FA124="","",IF(ISNUMBER('Dvd Calendar'!$AA$1207)=FALSE,"",IF((('Dvd Calendar'!$AA$1209=TYPE1)*(TYPE1&lt;&gt;"")+('Dvd Calendar'!$AA$1209=TYPE2)*(TYPE2&lt;&gt;"")+('Dvd Calendar'!$AA$1209=TYPE3)*(TYPE3&lt;&gt;"")+('Dvd Calendar'!$AA$1209=TYPE4)*(TYPE4&lt;&gt;"")+('Dvd Calendar'!$AA$1209=SPECIAL_LBL)*(INC_SPECIALS="Y"))=0,"",'Dvd Calendar'!$AA$1207)))</f>
        <v/>
      </c>
      <c r="Z124" s="106">
        <f>IF(FB124="","",IF(ISNUMBER('Dvd Calendar'!$AB$1207)=FALSE,"",IF((('Dvd Calendar'!$AB$1209=TYPE1)*(TYPE1&lt;&gt;"")+('Dvd Calendar'!$AB$1209=TYPE2)*(TYPE2&lt;&gt;"")+('Dvd Calendar'!$AB$1209=TYPE3)*(TYPE3&lt;&gt;"")+('Dvd Calendar'!$AB$1209=TYPE4)*(TYPE4&lt;&gt;"")+('Dvd Calendar'!$AB$1209=SPECIAL_LBL)*(INC_SPECIALS="Y"))=0,"",'Dvd Calendar'!$AB$1207)))</f>
        <v/>
      </c>
      <c r="AA124" s="106">
        <f>IF(FC124="","",IF(ISNUMBER('Dvd Calendar'!$AC$1207)=FALSE,"",IF((('Dvd Calendar'!$AC$1209=TYPE1)*(TYPE1&lt;&gt;"")+('Dvd Calendar'!$AC$1209=TYPE2)*(TYPE2&lt;&gt;"")+('Dvd Calendar'!$AC$1209=TYPE3)*(TYPE3&lt;&gt;"")+('Dvd Calendar'!$AC$1209=TYPE4)*(TYPE4&lt;&gt;"")+('Dvd Calendar'!$AC$1209=SPECIAL_LBL)*(INC_SPECIALS="Y"))=0,"",'Dvd Calendar'!$AC$1207)))</f>
        <v/>
      </c>
      <c r="AB124" s="106">
        <f>IF(FD124="","",IF(ISNUMBER('Dvd Calendar'!$AD$1207)=FALSE,"",IF((('Dvd Calendar'!$AD$1209=TYPE1)*(TYPE1&lt;&gt;"")+('Dvd Calendar'!$AD$1209=TYPE2)*(TYPE2&lt;&gt;"")+('Dvd Calendar'!$AD$1209=TYPE3)*(TYPE3&lt;&gt;"")+('Dvd Calendar'!$AD$1209=TYPE4)*(TYPE4&lt;&gt;"")+('Dvd Calendar'!$AD$1209=SPECIAL_LBL)*(INC_SPECIALS="Y"))=0,"",'Dvd Calendar'!$AD$1207)))</f>
        <v/>
      </c>
      <c r="AC124" s="106">
        <f>IF(FE124="","",IF(ISNUMBER('Dvd Calendar'!$AE$1207)=FALSE,"",IF((('Dvd Calendar'!$AE$1209=TYPE1)*(TYPE1&lt;&gt;"")+('Dvd Calendar'!$AE$1209=TYPE2)*(TYPE2&lt;&gt;"")+('Dvd Calendar'!$AE$1209=TYPE3)*(TYPE3&lt;&gt;"")+('Dvd Calendar'!$AE$1209=TYPE4)*(TYPE4&lt;&gt;"")+('Dvd Calendar'!$AE$1209=SPECIAL_LBL)*(INC_SPECIALS="Y"))=0,"",'Dvd Calendar'!$AE$1207)))</f>
        <v/>
      </c>
      <c r="AD124" s="106">
        <f>IF(FF124="","",IF(ISNUMBER('Dvd Calendar'!$AF$1207)=FALSE,"",IF((('Dvd Calendar'!$AF$1209=TYPE1)*(TYPE1&lt;&gt;"")+('Dvd Calendar'!$AF$1209=TYPE2)*(TYPE2&lt;&gt;"")+('Dvd Calendar'!$AF$1209=TYPE3)*(TYPE3&lt;&gt;"")+('Dvd Calendar'!$AF$1209=TYPE4)*(TYPE4&lt;&gt;"")+('Dvd Calendar'!$AF$1209=SPECIAL_LBL)*(INC_SPECIALS="Y"))=0,"",'Dvd Calendar'!$AF$1207)))</f>
        <v/>
      </c>
      <c r="AE124" s="106">
        <f>IF(FG124="","",IF(ISNUMBER('Dvd Calendar'!$AG$1207)=FALSE,"",IF((('Dvd Calendar'!$AG$1209=TYPE1)*(TYPE1&lt;&gt;"")+('Dvd Calendar'!$AG$1209=TYPE2)*(TYPE2&lt;&gt;"")+('Dvd Calendar'!$AG$1209=TYPE3)*(TYPE3&lt;&gt;"")+('Dvd Calendar'!$AG$1209=TYPE4)*(TYPE4&lt;&gt;"")+('Dvd Calendar'!$AG$1209=SPECIAL_LBL)*(INC_SPECIALS="Y"))=0,"",'Dvd Calendar'!$AG$1207)))</f>
        <v/>
      </c>
      <c r="AF124" s="106">
        <f>IF(FH124="","",IF(ISNUMBER('Dvd Calendar'!$AH$1207)=FALSE,"",IF((('Dvd Calendar'!$AH$1209=TYPE1)*(TYPE1&lt;&gt;"")+('Dvd Calendar'!$AH$1209=TYPE2)*(TYPE2&lt;&gt;"")+('Dvd Calendar'!$AH$1209=TYPE3)*(TYPE3&lt;&gt;"")+('Dvd Calendar'!$AH$1209=TYPE4)*(TYPE4&lt;&gt;"")+('Dvd Calendar'!$AH$1209=SPECIAL_LBL)*(INC_SPECIALS="Y"))=0,"",'Dvd Calendar'!$AH$1207)))</f>
        <v/>
      </c>
      <c r="AG124" s="106">
        <f>IF(FI124="","",IF(ISNUMBER('Dvd Calendar'!$AI$1207)=FALSE,"",IF((('Dvd Calendar'!$AI$1209=TYPE1)*(TYPE1&lt;&gt;"")+('Dvd Calendar'!$AI$1209=TYPE2)*(TYPE2&lt;&gt;"")+('Dvd Calendar'!$AI$1209=TYPE3)*(TYPE3&lt;&gt;"")+('Dvd Calendar'!$AI$1209=TYPE4)*(TYPE4&lt;&gt;"")+('Dvd Calendar'!$AI$1209=SPECIAL_LBL)*(INC_SPECIALS="Y"))=0,"",'Dvd Calendar'!$AI$1207)))</f>
        <v/>
      </c>
      <c r="AH124" s="106">
        <f>IF(FJ124="","",IF(ISNUMBER('Dvd Calendar'!$AJ$1207)=FALSE,"",IF((('Dvd Calendar'!$AJ$1209=TYPE1)*(TYPE1&lt;&gt;"")+('Dvd Calendar'!$AJ$1209=TYPE2)*(TYPE2&lt;&gt;"")+('Dvd Calendar'!$AJ$1209=TYPE3)*(TYPE3&lt;&gt;"")+('Dvd Calendar'!$AJ$1209=TYPE4)*(TYPE4&lt;&gt;"")+('Dvd Calendar'!$AJ$1209=SPECIAL_LBL)*(INC_SPECIALS="Y"))=0,"",'Dvd Calendar'!$AJ$1207)))</f>
        <v/>
      </c>
      <c r="AI124" s="106">
        <f>IF(FK124="","",IF(ISNUMBER('Dvd Calendar'!$AK$1207)=FALSE,"",IF((('Dvd Calendar'!$AK$1209=TYPE1)*(TYPE1&lt;&gt;"")+('Dvd Calendar'!$AK$1209=TYPE2)*(TYPE2&lt;&gt;"")+('Dvd Calendar'!$AK$1209=TYPE3)*(TYPE3&lt;&gt;"")+('Dvd Calendar'!$AK$1209=TYPE4)*(TYPE4&lt;&gt;"")+('Dvd Calendar'!$AK$1209=SPECIAL_LBL)*(INC_SPECIALS="Y"))=0,"",'Dvd Calendar'!$AK$1207)))</f>
        <v/>
      </c>
      <c r="AJ124" s="106">
        <f>IF(FL124="","",IF(ISNUMBER('Dvd Calendar'!$AL$1207)=FALSE,"",IF((('Dvd Calendar'!$AL$1209=TYPE1)*(TYPE1&lt;&gt;"")+('Dvd Calendar'!$AL$1209=TYPE2)*(TYPE2&lt;&gt;"")+('Dvd Calendar'!$AL$1209=TYPE3)*(TYPE3&lt;&gt;"")+('Dvd Calendar'!$AL$1209=TYPE4)*(TYPE4&lt;&gt;"")+('Dvd Calendar'!$AL$1209=SPECIAL_LBL)*(INC_SPECIALS="Y"))=0,"",'Dvd Calendar'!$AL$1207)))</f>
        <v/>
      </c>
      <c r="AK124" s="106">
        <f>IF(FM124="","",IF(ISNUMBER('Dvd Calendar'!$AM$1207)=FALSE,"",IF((('Dvd Calendar'!$AM$1209=TYPE1)*(TYPE1&lt;&gt;"")+('Dvd Calendar'!$AM$1209=TYPE2)*(TYPE2&lt;&gt;"")+('Dvd Calendar'!$AM$1209=TYPE3)*(TYPE3&lt;&gt;"")+('Dvd Calendar'!$AM$1209=TYPE4)*(TYPE4&lt;&gt;"")+('Dvd Calendar'!$AM$1209=SPECIAL_LBL)*(INC_SPECIALS="Y"))=0,"",'Dvd Calendar'!$AM$1207)))</f>
        <v/>
      </c>
      <c r="AL124" s="106">
        <f>IF(FN124="","",IF(ISNUMBER('Dvd Calendar'!$AN$1207)=FALSE,"",IF((('Dvd Calendar'!$AN$1209=TYPE1)*(TYPE1&lt;&gt;"")+('Dvd Calendar'!$AN$1209=TYPE2)*(TYPE2&lt;&gt;"")+('Dvd Calendar'!$AN$1209=TYPE3)*(TYPE3&lt;&gt;"")+('Dvd Calendar'!$AN$1209=TYPE4)*(TYPE4&lt;&gt;"")+('Dvd Calendar'!$AN$1209=SPECIAL_LBL)*(INC_SPECIALS="Y"))=0,"",'Dvd Calendar'!$AN$1207)))</f>
        <v/>
      </c>
      <c r="AM124" s="106">
        <f>IF(FO124="","",IF(ISNUMBER('Dvd Calendar'!$AO$1207)=FALSE,"",IF((('Dvd Calendar'!$AO$1209=TYPE1)*(TYPE1&lt;&gt;"")+('Dvd Calendar'!$AO$1209=TYPE2)*(TYPE2&lt;&gt;"")+('Dvd Calendar'!$AO$1209=TYPE3)*(TYPE3&lt;&gt;"")+('Dvd Calendar'!$AO$1209=TYPE4)*(TYPE4&lt;&gt;"")+('Dvd Calendar'!$AO$1209=SPECIAL_LBL)*(INC_SPECIALS="Y"))=0,"",'Dvd Calendar'!$AO$1207)))</f>
        <v/>
      </c>
      <c r="AN124" s="106">
        <f>IF(FP124="","",IF(ISNUMBER('Dvd Calendar'!$AP$1207)=FALSE,"",IF((('Dvd Calendar'!$AP$1209=TYPE1)*(TYPE1&lt;&gt;"")+('Dvd Calendar'!$AP$1209=TYPE2)*(TYPE2&lt;&gt;"")+('Dvd Calendar'!$AP$1209=TYPE3)*(TYPE3&lt;&gt;"")+('Dvd Calendar'!$AP$1209=TYPE4)*(TYPE4&lt;&gt;"")+('Dvd Calendar'!$AP$1209=SPECIAL_LBL)*(INC_SPECIALS="Y"))=0,"",'Dvd Calendar'!$AP$1207)))</f>
        <v/>
      </c>
      <c r="AO124" s="106">
        <f>IF(FQ124="","",IF(ISNUMBER('Dvd Calendar'!$AQ$1207)=FALSE,"",IF((('Dvd Calendar'!$AQ$1209=TYPE1)*(TYPE1&lt;&gt;"")+('Dvd Calendar'!$AQ$1209=TYPE2)*(TYPE2&lt;&gt;"")+('Dvd Calendar'!$AQ$1209=TYPE3)*(TYPE3&lt;&gt;"")+('Dvd Calendar'!$AQ$1209=TYPE4)*(TYPE4&lt;&gt;"")+('Dvd Calendar'!$AQ$1209=SPECIAL_LBL)*(INC_SPECIALS="Y"))=0,"",'Dvd Calendar'!$AQ$1207)))</f>
        <v/>
      </c>
      <c r="AP124" s="106">
        <f>IF(FR124="","",IF(ISNUMBER('Dvd Calendar'!$AR$1207)=FALSE,"",IF((('Dvd Calendar'!$AR$1209=TYPE1)*(TYPE1&lt;&gt;"")+('Dvd Calendar'!$AR$1209=TYPE2)*(TYPE2&lt;&gt;"")+('Dvd Calendar'!$AR$1209=TYPE3)*(TYPE3&lt;&gt;"")+('Dvd Calendar'!$AR$1209=TYPE4)*(TYPE4&lt;&gt;"")+('Dvd Calendar'!$AR$1209=SPECIAL_LBL)*(INC_SPECIALS="Y"))=0,"",'Dvd Calendar'!$AR$1207)))</f>
        <v/>
      </c>
      <c r="AQ124" s="106">
        <f>IF(FS124="","",IF(ISNUMBER('Dvd Calendar'!$E$1212)=FALSE,"",'Dvd Calendar'!$E$1212))</f>
        <v/>
      </c>
      <c r="AR124" s="106">
        <f>IF(FT124="","",IF(ISNUMBER('Dvd Calendar'!$F$1212)=FALSE,"",'Dvd Calendar'!$F$1212))</f>
        <v/>
      </c>
      <c r="AS124" s="106">
        <f>IF(FU124="","",IF(ISNUMBER('Dvd Calendar'!$G$1212)=FALSE,"",'Dvd Calendar'!$G$1212))</f>
        <v/>
      </c>
      <c r="AT124" s="106">
        <f>IF(FV124="","",IF(ISNUMBER('Dvd Calendar'!$H$1212)=FALSE,"",'Dvd Calendar'!$H$1212))</f>
        <v/>
      </c>
      <c r="AU124" s="106">
        <f>IF(FW124="","",IF(ISNUMBER('Dvd Calendar'!$I$1212)=FALSE,"",'Dvd Calendar'!$I$1212))</f>
        <v/>
      </c>
      <c r="AV124" s="106">
        <f>IF(FX124="","",IF(ISNUMBER('Dvd Calendar'!$J$1212)=FALSE,"",'Dvd Calendar'!$J$1212))</f>
        <v/>
      </c>
      <c r="AW124" s="106">
        <f>IF(FY124="","",IF(ISNUMBER('Dvd Calendar'!$K$1212)=FALSE,"",'Dvd Calendar'!$K$1212))</f>
        <v/>
      </c>
      <c r="AX124" s="106">
        <f>IF(FZ124="","",IF(ISNUMBER('Dvd Calendar'!$L$1212)=FALSE,"",'Dvd Calendar'!$L$1212))</f>
        <v/>
      </c>
      <c r="AY124" s="106">
        <f>IF(GA124="","",IF(ISNUMBER('Dvd Calendar'!$M$1212)=FALSE,"",'Dvd Calendar'!$M$1212))</f>
        <v/>
      </c>
      <c r="AZ124" s="106">
        <f>IF(GB124="","",IF(ISNUMBER('Dvd Calendar'!$N$1212)=FALSE,"",'Dvd Calendar'!$N$1212))</f>
        <v/>
      </c>
      <c r="BA124" s="106">
        <f>IF(GC124="","",IF(ISNUMBER('Dvd Calendar'!$O$1212)=FALSE,"",'Dvd Calendar'!$O$1212))</f>
        <v/>
      </c>
      <c r="BB124" s="106">
        <f>IF(GD124="","",IF(ISNUMBER('Dvd Calendar'!$P$1212)=FALSE,"",'Dvd Calendar'!$P$1212))</f>
        <v/>
      </c>
      <c r="BC124" s="106">
        <f>IF(GE124="","",IF(ISNUMBER('Dvd Calendar'!$Q$1212)=FALSE,"",'Dvd Calendar'!$Q$1212))</f>
        <v/>
      </c>
      <c r="BD124" s="106">
        <f>IF(GF124="","",IF(ISNUMBER('Dvd Calendar'!$R$1212)=FALSE,"",'Dvd Calendar'!$R$1212))</f>
        <v/>
      </c>
      <c r="BE124" s="106">
        <f>IF(GG124="","",IF(ISNUMBER('Dvd Calendar'!$S$1212)=FALSE,"",'Dvd Calendar'!$S$1212))</f>
        <v/>
      </c>
      <c r="BF124" s="106">
        <f>IF(GH124="","",IF(ISNUMBER('Dvd Calendar'!$T$1212)=FALSE,"",'Dvd Calendar'!$T$1212))</f>
        <v/>
      </c>
      <c r="BG124" s="106">
        <f>IF(GI124="","",IF(ISNUMBER('Dvd Calendar'!$U$1212)=FALSE,"",'Dvd Calendar'!$U$1212))</f>
        <v/>
      </c>
      <c r="BH124" s="106">
        <f>IF(GJ124="","",IF(ISNUMBER('Dvd Calendar'!$V$1212)=FALSE,"",'Dvd Calendar'!$V$1212))</f>
        <v/>
      </c>
      <c r="BI124" s="106">
        <f>IF(GK124="","",IF(ISNUMBER('Dvd Calendar'!$W$1212)=FALSE,"",'Dvd Calendar'!$W$1212))</f>
        <v/>
      </c>
      <c r="BJ124" s="106">
        <f>IF(GL124="","",IF(ISNUMBER('Dvd Calendar'!$X$1212)=FALSE,"",'Dvd Calendar'!$X$1212))</f>
        <v/>
      </c>
      <c r="BK124" s="106">
        <f>IF(GM124="","",IF(ISNUMBER('Dvd Calendar'!$Y$1212)=FALSE,"",'Dvd Calendar'!$Y$1212))</f>
        <v/>
      </c>
      <c r="BL124" s="106">
        <f>IF(GN124="","",IF(ISNUMBER('Dvd Calendar'!$Z$1212)=FALSE,"",'Dvd Calendar'!$Z$1212))</f>
        <v/>
      </c>
      <c r="BM124" s="106">
        <f>IF(GO124="","",IF(ISNUMBER('Dvd Calendar'!$AA$1212)=FALSE,"",'Dvd Calendar'!$AA$1212))</f>
        <v/>
      </c>
      <c r="BN124" s="106">
        <f>IF(GP124="","",IF(ISNUMBER('Dvd Calendar'!$AB$1212)=FALSE,"",'Dvd Calendar'!$AB$1212))</f>
        <v/>
      </c>
      <c r="BO124" s="106">
        <f>IF(GQ124="","",IF(ISNUMBER('Dvd Calendar'!$AC$1212)=FALSE,"",'Dvd Calendar'!$AC$1212))</f>
        <v/>
      </c>
      <c r="BQ124" s="106">
        <f>IF(C124="","",IFERROR(C124*HSTECH!$B$15*HSTECH!$G$15/HSTECH!$B$3,""))</f>
        <v/>
      </c>
      <c r="BR124" s="106">
        <f>IF(D124="","",IFERROR(D124*HSTECH!$B$15*HSTECH!$G$15/HSTECH!$B$3,""))</f>
        <v/>
      </c>
      <c r="BS124" s="106">
        <f>IF(E124="","",IFERROR(E124*HSTECH!$B$15*HSTECH!$G$15/HSTECH!$B$3,""))</f>
        <v/>
      </c>
      <c r="BT124" s="106">
        <f>IF(F124="","",IFERROR(F124*HSTECH!$B$15*HSTECH!$G$15/HSTECH!$B$3,""))</f>
        <v/>
      </c>
      <c r="BU124" s="106">
        <f>IF(G124="","",IFERROR(G124*HSTECH!$B$15*HSTECH!$G$15/HSTECH!$B$3,""))</f>
        <v/>
      </c>
      <c r="BV124" s="106">
        <f>IF(H124="","",IFERROR(H124*HSTECH!$B$15*HSTECH!$G$15/HSTECH!$B$3,""))</f>
        <v/>
      </c>
      <c r="BW124" s="106">
        <f>IF(I124="","",IFERROR(I124*HSTECH!$B$15*HSTECH!$G$15/HSTECH!$B$3,""))</f>
        <v/>
      </c>
      <c r="BX124" s="106">
        <f>IF(J124="","",IFERROR(J124*HSTECH!$B$15*HSTECH!$G$15/HSTECH!$B$3,""))</f>
        <v/>
      </c>
      <c r="BY124" s="106">
        <f>IF(K124="","",IFERROR(K124*HSTECH!$B$15*HSTECH!$G$15/HSTECH!$B$3,""))</f>
        <v/>
      </c>
      <c r="BZ124" s="106">
        <f>IF(L124="","",IFERROR(L124*HSTECH!$B$15*HSTECH!$G$15/HSTECH!$B$3,""))</f>
        <v/>
      </c>
      <c r="CA124" s="106">
        <f>IF(M124="","",IFERROR(M124*HSTECH!$B$15*HSTECH!$G$15/HSTECH!$B$3,""))</f>
        <v/>
      </c>
      <c r="CB124" s="106">
        <f>IF(N124="","",IFERROR(N124*HSTECH!$B$15*HSTECH!$G$15/HSTECH!$B$3,""))</f>
        <v/>
      </c>
      <c r="CC124" s="106">
        <f>IF(O124="","",IFERROR(O124*HSTECH!$B$15*HSTECH!$G$15/HSTECH!$B$3,""))</f>
        <v/>
      </c>
      <c r="CD124" s="106">
        <f>IF(P124="","",IFERROR(P124*HSTECH!$B$15*HSTECH!$G$15/HSTECH!$B$3,""))</f>
        <v/>
      </c>
      <c r="CE124" s="106">
        <f>IF(Q124="","",IFERROR(Q124*HSTECH!$B$15*HSTECH!$G$15/HSTECH!$B$3,""))</f>
        <v/>
      </c>
      <c r="CF124" s="106">
        <f>IF(R124="","",IFERROR(R124*HSTECH!$B$15*HSTECH!$G$15/HSTECH!$B$3,""))</f>
        <v/>
      </c>
      <c r="CG124" s="106">
        <f>IF(S124="","",IFERROR(S124*HSTECH!$B$15*HSTECH!$G$15/HSTECH!$B$3,""))</f>
        <v/>
      </c>
      <c r="CH124" s="106">
        <f>IF(T124="","",IFERROR(T124*HSTECH!$B$15*HSTECH!$G$15/HSTECH!$B$3,""))</f>
        <v/>
      </c>
      <c r="CI124" s="106">
        <f>IF(U124="","",IFERROR(U124*HSTECH!$B$15*HSTECH!$G$15/HSTECH!$B$3,""))</f>
        <v/>
      </c>
      <c r="CJ124" s="106">
        <f>IF(V124="","",IFERROR(V124*HSTECH!$B$15*HSTECH!$G$15/HSTECH!$B$3,""))</f>
        <v/>
      </c>
      <c r="CK124" s="106">
        <f>IF(W124="","",IFERROR(W124*HSTECH!$B$15*HSTECH!$G$15/HSTECH!$B$3,""))</f>
        <v/>
      </c>
      <c r="CL124" s="106">
        <f>IF(X124="","",IFERROR(X124*HSTECH!$B$15*HSTECH!$G$15/HSTECH!$B$3,""))</f>
        <v/>
      </c>
      <c r="CM124" s="106">
        <f>IF(Y124="","",IFERROR(Y124*HSTECH!$B$15*HSTECH!$G$15/HSTECH!$B$3,""))</f>
        <v/>
      </c>
      <c r="CN124" s="106">
        <f>IF(Z124="","",IFERROR(Z124*HSTECH!$B$15*HSTECH!$G$15/HSTECH!$B$3,""))</f>
        <v/>
      </c>
      <c r="CO124" s="106">
        <f>IF(AA124="","",IFERROR(AA124*HSTECH!$B$15*HSTECH!$G$15/HSTECH!$B$3,""))</f>
        <v/>
      </c>
      <c r="CP124" s="106">
        <f>IF(AB124="","",IFERROR(AB124*HSTECH!$B$15*HSTECH!$G$15/HSTECH!$B$3,""))</f>
        <v/>
      </c>
      <c r="CQ124" s="106">
        <f>IF(AC124="","",IFERROR(AC124*HSTECH!$B$15*HSTECH!$G$15/HSTECH!$B$3,""))</f>
        <v/>
      </c>
      <c r="CR124" s="106">
        <f>IF(AD124="","",IFERROR(AD124*HSTECH!$B$15*HSTECH!$G$15/HSTECH!$B$3,""))</f>
        <v/>
      </c>
      <c r="CS124" s="106">
        <f>IF(AE124="","",IFERROR(AE124*HSTECH!$B$15*HSTECH!$G$15/HSTECH!$B$3,""))</f>
        <v/>
      </c>
      <c r="CT124" s="106">
        <f>IF(AF124="","",IFERROR(AF124*HSTECH!$B$15*HSTECH!$G$15/HSTECH!$B$3,""))</f>
        <v/>
      </c>
      <c r="CU124" s="106">
        <f>IF(AG124="","",IFERROR(AG124*HSTECH!$B$15*HSTECH!$G$15/HSTECH!$B$3,""))</f>
        <v/>
      </c>
      <c r="CV124" s="106">
        <f>IF(AH124="","",IFERROR(AH124*HSTECH!$B$15*HSTECH!$G$15/HSTECH!$B$3,""))</f>
        <v/>
      </c>
      <c r="CW124" s="106">
        <f>IF(AI124="","",IFERROR(AI124*HSTECH!$B$15*HSTECH!$G$15/HSTECH!$B$3,""))</f>
        <v/>
      </c>
      <c r="CX124" s="106">
        <f>IF(AJ124="","",IFERROR(AJ124*HSTECH!$B$15*HSTECH!$G$15/HSTECH!$B$3,""))</f>
        <v/>
      </c>
      <c r="CY124" s="106">
        <f>IF(AK124="","",IFERROR(AK124*HSTECH!$B$15*HSTECH!$G$15/HSTECH!$B$3,""))</f>
        <v/>
      </c>
      <c r="CZ124" s="106">
        <f>IF(AL124="","",IFERROR(AL124*HSTECH!$B$15*HSTECH!$G$15/HSTECH!$B$3,""))</f>
        <v/>
      </c>
      <c r="DA124" s="106">
        <f>IF(AM124="","",IFERROR(AM124*HSTECH!$B$15*HSTECH!$G$15/HSTECH!$B$3,""))</f>
        <v/>
      </c>
      <c r="DB124" s="106">
        <f>IF(AN124="","",IFERROR(AN124*HSTECH!$B$15*HSTECH!$G$15/HSTECH!$B$3,""))</f>
        <v/>
      </c>
      <c r="DC124" s="106">
        <f>IF(AO124="","",IFERROR(AO124*HSTECH!$B$15*HSTECH!$G$15/HSTECH!$B$3,""))</f>
        <v/>
      </c>
      <c r="DD124" s="106">
        <f>IF(AP124="","",IFERROR(AP124*HSTECH!$B$15*HSTECH!$G$15/HSTECH!$B$3,""))</f>
        <v/>
      </c>
      <c r="DE124" s="106">
        <f>IF(AQ124="","",IFERROR(AQ124*HSTECH!$B$15*HSTECH!$G$15/HSTECH!$B$3,""))</f>
        <v/>
      </c>
      <c r="DF124" s="106">
        <f>IF(AR124="","",IFERROR(AR124*HSTECH!$B$15*HSTECH!$G$15/HSTECH!$B$3,""))</f>
        <v/>
      </c>
      <c r="DG124" s="106">
        <f>IF(AS124="","",IFERROR(AS124*HSTECH!$B$15*HSTECH!$G$15/HSTECH!$B$3,""))</f>
        <v/>
      </c>
      <c r="DH124" s="106">
        <f>IF(AT124="","",IFERROR(AT124*HSTECH!$B$15*HSTECH!$G$15/HSTECH!$B$3,""))</f>
        <v/>
      </c>
      <c r="DI124" s="106">
        <f>IF(AU124="","",IFERROR(AU124*HSTECH!$B$15*HSTECH!$G$15/HSTECH!$B$3,""))</f>
        <v/>
      </c>
      <c r="DJ124" s="106">
        <f>IF(AV124="","",IFERROR(AV124*HSTECH!$B$15*HSTECH!$G$15/HSTECH!$B$3,""))</f>
        <v/>
      </c>
      <c r="DK124" s="106">
        <f>IF(AW124="","",IFERROR(AW124*HSTECH!$B$15*HSTECH!$G$15/HSTECH!$B$3,""))</f>
        <v/>
      </c>
      <c r="DL124" s="106">
        <f>IF(AX124="","",IFERROR(AX124*HSTECH!$B$15*HSTECH!$G$15/HSTECH!$B$3,""))</f>
        <v/>
      </c>
      <c r="DM124" s="106">
        <f>IF(AY124="","",IFERROR(AY124*HSTECH!$B$15*HSTECH!$G$15/HSTECH!$B$3,""))</f>
        <v/>
      </c>
      <c r="DN124" s="106">
        <f>IF(AZ124="","",IFERROR(AZ124*HSTECH!$B$15*HSTECH!$G$15/HSTECH!$B$3,""))</f>
        <v/>
      </c>
      <c r="DO124" s="106">
        <f>IF(BA124="","",IFERROR(BA124*HSTECH!$B$15*HSTECH!$G$15/HSTECH!$B$3,""))</f>
        <v/>
      </c>
      <c r="DP124" s="106">
        <f>IF(BB124="","",IFERROR(BB124*HSTECH!$B$15*HSTECH!$G$15/HSTECH!$B$3,""))</f>
        <v/>
      </c>
      <c r="DQ124" s="106">
        <f>IF(BC124="","",IFERROR(BC124*HSTECH!$B$15*HSTECH!$G$15/HSTECH!$B$3,""))</f>
        <v/>
      </c>
      <c r="DR124" s="106">
        <f>IF(BD124="","",IFERROR(BD124*HSTECH!$B$15*HSTECH!$G$15/HSTECH!$B$3,""))</f>
        <v/>
      </c>
      <c r="DS124" s="106">
        <f>IF(BE124="","",IFERROR(BE124*HSTECH!$B$15*HSTECH!$G$15/HSTECH!$B$3,""))</f>
        <v/>
      </c>
      <c r="DT124" s="106">
        <f>IF(BF124="","",IFERROR(BF124*HSTECH!$B$15*HSTECH!$G$15/HSTECH!$B$3,""))</f>
        <v/>
      </c>
      <c r="DU124" s="106">
        <f>IF(BG124="","",IFERROR(BG124*HSTECH!$B$15*HSTECH!$G$15/HSTECH!$B$3,""))</f>
        <v/>
      </c>
      <c r="DV124" s="106">
        <f>IF(BH124="","",IFERROR(BH124*HSTECH!$B$15*HSTECH!$G$15/HSTECH!$B$3,""))</f>
        <v/>
      </c>
      <c r="DW124" s="106">
        <f>IF(BI124="","",IFERROR(BI124*HSTECH!$B$15*HSTECH!$G$15/HSTECH!$B$3,""))</f>
        <v/>
      </c>
      <c r="DX124" s="106">
        <f>IF(BJ124="","",IFERROR(BJ124*HSTECH!$B$15*HSTECH!$G$15/HSTECH!$B$3,""))</f>
        <v/>
      </c>
      <c r="DY124" s="106">
        <f>IF(BK124="","",IFERROR(BK124*HSTECH!$B$15*HSTECH!$G$15/HSTECH!$B$3,""))</f>
        <v/>
      </c>
      <c r="DZ124" s="106">
        <f>IF(BL124="","",IFERROR(BL124*HSTECH!$B$15*HSTECH!$G$15/HSTECH!$B$3,""))</f>
        <v/>
      </c>
      <c r="EA124" s="106">
        <f>IF(BM124="","",IFERROR(BM124*HSTECH!$B$15*HSTECH!$G$15/HSTECH!$B$3,""))</f>
        <v/>
      </c>
      <c r="EB124" s="106">
        <f>IF(BN124="","",IFERROR(BN124*HSTECH!$B$15*HSTECH!$G$15/HSTECH!$B$3,""))</f>
        <v/>
      </c>
      <c r="EC124" s="106">
        <f>IF(BO124="","",IFERROR(BO124*HSTECH!$B$15*HSTECH!$G$15/HSTECH!$B$3,""))</f>
        <v/>
      </c>
      <c r="EE124" s="35">
        <f>IF(N('Dvd Calendar'!$E$1204)=0,"",IF(('Dvd Calendar'!$E$1204&gt;=GRID_FROM)*('Dvd Calendar'!$E$1204&lt;=GRID_TO)*('Dvd Calendar'!$E$1204&lt;=VAL_DATE)=0,"",'Dvd Calendar'!$E$1204*1000000000+ISNUMBER('Dvd Calendar'!$E$1207)*100000000+('Dvd Calendar'!$E$1209=SPECIAL_LBL)*10000000+0*1000000+9*1000+1))</f>
        <v/>
      </c>
      <c r="EF124" s="35">
        <f>IF(N('Dvd Calendar'!$F$1204)=0,"",IF(('Dvd Calendar'!$F$1204&gt;=GRID_FROM)*('Dvd Calendar'!$F$1204&lt;=GRID_TO)*('Dvd Calendar'!$F$1204&lt;=VAL_DATE)=0,"",'Dvd Calendar'!$F$1204*1000000000+ISNUMBER('Dvd Calendar'!$F$1207)*100000000+('Dvd Calendar'!$F$1209=SPECIAL_LBL)*10000000+0*1000000+9*1000+2))</f>
        <v/>
      </c>
      <c r="EG124" s="35">
        <f>IF(N('Dvd Calendar'!$G$1204)=0,"",IF(('Dvd Calendar'!$G$1204&gt;=GRID_FROM)*('Dvd Calendar'!$G$1204&lt;=GRID_TO)*('Dvd Calendar'!$G$1204&lt;=VAL_DATE)=0,"",'Dvd Calendar'!$G$1204*1000000000+ISNUMBER('Dvd Calendar'!$G$1207)*100000000+('Dvd Calendar'!$G$1209=SPECIAL_LBL)*10000000+0*1000000+9*1000+3))</f>
        <v/>
      </c>
      <c r="EH124" s="35">
        <f>IF(N('Dvd Calendar'!$H$1204)=0,"",IF(('Dvd Calendar'!$H$1204&gt;=GRID_FROM)*('Dvd Calendar'!$H$1204&lt;=GRID_TO)*('Dvd Calendar'!$H$1204&lt;=VAL_DATE)=0,"",'Dvd Calendar'!$H$1204*1000000000+ISNUMBER('Dvd Calendar'!$H$1207)*100000000+('Dvd Calendar'!$H$1209=SPECIAL_LBL)*10000000+0*1000000+9*1000+4))</f>
        <v/>
      </c>
      <c r="EI124" s="35">
        <f>IF(N('Dvd Calendar'!$I$1204)=0,"",IF(('Dvd Calendar'!$I$1204&gt;=GRID_FROM)*('Dvd Calendar'!$I$1204&lt;=GRID_TO)*('Dvd Calendar'!$I$1204&lt;=VAL_DATE)=0,"",'Dvd Calendar'!$I$1204*1000000000+ISNUMBER('Dvd Calendar'!$I$1207)*100000000+('Dvd Calendar'!$I$1209=SPECIAL_LBL)*10000000+0*1000000+9*1000+5))</f>
        <v/>
      </c>
      <c r="EJ124" s="35">
        <f>IF(N('Dvd Calendar'!$J$1204)=0,"",IF(('Dvd Calendar'!$J$1204&gt;=GRID_FROM)*('Dvd Calendar'!$J$1204&lt;=GRID_TO)*('Dvd Calendar'!$J$1204&lt;=VAL_DATE)=0,"",'Dvd Calendar'!$J$1204*1000000000+ISNUMBER('Dvd Calendar'!$J$1207)*100000000+('Dvd Calendar'!$J$1209=SPECIAL_LBL)*10000000+0*1000000+9*1000+6))</f>
        <v/>
      </c>
      <c r="EK124" s="35">
        <f>IF(N('Dvd Calendar'!$K$1204)=0,"",IF(('Dvd Calendar'!$K$1204&gt;=GRID_FROM)*('Dvd Calendar'!$K$1204&lt;=GRID_TO)*('Dvd Calendar'!$K$1204&lt;=VAL_DATE)=0,"",'Dvd Calendar'!$K$1204*1000000000+ISNUMBER('Dvd Calendar'!$K$1207)*100000000+('Dvd Calendar'!$K$1209=SPECIAL_LBL)*10000000+0*1000000+9*1000+7))</f>
        <v/>
      </c>
      <c r="EL124" s="35">
        <f>IF(N('Dvd Calendar'!$L$1204)=0,"",IF(('Dvd Calendar'!$L$1204&gt;=GRID_FROM)*('Dvd Calendar'!$L$1204&lt;=GRID_TO)*('Dvd Calendar'!$L$1204&lt;=VAL_DATE)=0,"",'Dvd Calendar'!$L$1204*1000000000+ISNUMBER('Dvd Calendar'!$L$1207)*100000000+('Dvd Calendar'!$L$1209=SPECIAL_LBL)*10000000+0*1000000+9*1000+8))</f>
        <v/>
      </c>
      <c r="EM124" s="35">
        <f>IF(N('Dvd Calendar'!$M$1204)=0,"",IF(('Dvd Calendar'!$M$1204&gt;=GRID_FROM)*('Dvd Calendar'!$M$1204&lt;=GRID_TO)*('Dvd Calendar'!$M$1204&lt;=VAL_DATE)=0,"",'Dvd Calendar'!$M$1204*1000000000+ISNUMBER('Dvd Calendar'!$M$1207)*100000000+('Dvd Calendar'!$M$1209=SPECIAL_LBL)*10000000+0*1000000+9*1000+9))</f>
        <v/>
      </c>
      <c r="EN124" s="35">
        <f>IF(N('Dvd Calendar'!$N$1204)=0,"",IF(('Dvd Calendar'!$N$1204&gt;=GRID_FROM)*('Dvd Calendar'!$N$1204&lt;=GRID_TO)*('Dvd Calendar'!$N$1204&lt;=VAL_DATE)=0,"",'Dvd Calendar'!$N$1204*1000000000+ISNUMBER('Dvd Calendar'!$N$1207)*100000000+('Dvd Calendar'!$N$1209=SPECIAL_LBL)*10000000+0*1000000+9*1000+10))</f>
        <v/>
      </c>
      <c r="EO124" s="35">
        <f>IF(N('Dvd Calendar'!$O$1204)=0,"",IF(('Dvd Calendar'!$O$1204&gt;=GRID_FROM)*('Dvd Calendar'!$O$1204&lt;=GRID_TO)*('Dvd Calendar'!$O$1204&lt;=VAL_DATE)=0,"",'Dvd Calendar'!$O$1204*1000000000+ISNUMBER('Dvd Calendar'!$O$1207)*100000000+('Dvd Calendar'!$O$1209=SPECIAL_LBL)*10000000+0*1000000+9*1000+11))</f>
        <v/>
      </c>
      <c r="EP124" s="35">
        <f>IF(N('Dvd Calendar'!$P$1204)=0,"",IF(('Dvd Calendar'!$P$1204&gt;=GRID_FROM)*('Dvd Calendar'!$P$1204&lt;=GRID_TO)*('Dvd Calendar'!$P$1204&lt;=VAL_DATE)=0,"",'Dvd Calendar'!$P$1204*1000000000+ISNUMBER('Dvd Calendar'!$P$1207)*100000000+('Dvd Calendar'!$P$1209=SPECIAL_LBL)*10000000+0*1000000+9*1000+12))</f>
        <v/>
      </c>
      <c r="EQ124" s="35">
        <f>IF(N('Dvd Calendar'!$Q$1204)=0,"",IF(('Dvd Calendar'!$Q$1204&gt;=GRID_FROM)*('Dvd Calendar'!$Q$1204&lt;=GRID_TO)*('Dvd Calendar'!$Q$1204&lt;=VAL_DATE)=0,"",'Dvd Calendar'!$Q$1204*1000000000+ISNUMBER('Dvd Calendar'!$Q$1207)*100000000+('Dvd Calendar'!$Q$1209=SPECIAL_LBL)*10000000+0*1000000+9*1000+13))</f>
        <v/>
      </c>
      <c r="ER124" s="35">
        <f>IF(N('Dvd Calendar'!$R$1204)=0,"",IF(('Dvd Calendar'!$R$1204&gt;=GRID_FROM)*('Dvd Calendar'!$R$1204&lt;=GRID_TO)*('Dvd Calendar'!$R$1204&lt;=VAL_DATE)=0,"",'Dvd Calendar'!$R$1204*1000000000+ISNUMBER('Dvd Calendar'!$R$1207)*100000000+('Dvd Calendar'!$R$1209=SPECIAL_LBL)*10000000+0*1000000+9*1000+14))</f>
        <v/>
      </c>
      <c r="ES124" s="35">
        <f>IF(N('Dvd Calendar'!$S$1204)=0,"",IF(('Dvd Calendar'!$S$1204&gt;=GRID_FROM)*('Dvd Calendar'!$S$1204&lt;=GRID_TO)*('Dvd Calendar'!$S$1204&lt;=VAL_DATE)=0,"",'Dvd Calendar'!$S$1204*1000000000+ISNUMBER('Dvd Calendar'!$S$1207)*100000000+('Dvd Calendar'!$S$1209=SPECIAL_LBL)*10000000+0*1000000+9*1000+15))</f>
        <v/>
      </c>
      <c r="ET124" s="35">
        <f>IF(N('Dvd Calendar'!$T$1204)=0,"",IF(('Dvd Calendar'!$T$1204&gt;=GRID_FROM)*('Dvd Calendar'!$T$1204&lt;=GRID_TO)*('Dvd Calendar'!$T$1204&lt;=VAL_DATE)=0,"",'Dvd Calendar'!$T$1204*1000000000+ISNUMBER('Dvd Calendar'!$T$1207)*100000000+('Dvd Calendar'!$T$1209=SPECIAL_LBL)*10000000+0*1000000+9*1000+16))</f>
        <v/>
      </c>
      <c r="EU124" s="35">
        <f>IF(N('Dvd Calendar'!$U$1204)=0,"",IF(('Dvd Calendar'!$U$1204&gt;=GRID_FROM)*('Dvd Calendar'!$U$1204&lt;=GRID_TO)*('Dvd Calendar'!$U$1204&lt;=VAL_DATE)=0,"",'Dvd Calendar'!$U$1204*1000000000+ISNUMBER('Dvd Calendar'!$U$1207)*100000000+('Dvd Calendar'!$U$1209=SPECIAL_LBL)*10000000+0*1000000+9*1000+17))</f>
        <v/>
      </c>
      <c r="EV124" s="35">
        <f>IF(N('Dvd Calendar'!$V$1204)=0,"",IF(('Dvd Calendar'!$V$1204&gt;=GRID_FROM)*('Dvd Calendar'!$V$1204&lt;=GRID_TO)*('Dvd Calendar'!$V$1204&lt;=VAL_DATE)=0,"",'Dvd Calendar'!$V$1204*1000000000+ISNUMBER('Dvd Calendar'!$V$1207)*100000000+('Dvd Calendar'!$V$1209=SPECIAL_LBL)*10000000+0*1000000+9*1000+18))</f>
        <v/>
      </c>
      <c r="EW124" s="35">
        <f>IF(N('Dvd Calendar'!$W$1204)=0,"",IF(('Dvd Calendar'!$W$1204&gt;=GRID_FROM)*('Dvd Calendar'!$W$1204&lt;=GRID_TO)*('Dvd Calendar'!$W$1204&lt;=VAL_DATE)=0,"",'Dvd Calendar'!$W$1204*1000000000+ISNUMBER('Dvd Calendar'!$W$1207)*100000000+('Dvd Calendar'!$W$1209=SPECIAL_LBL)*10000000+0*1000000+9*1000+19))</f>
        <v/>
      </c>
      <c r="EX124" s="35">
        <f>IF(N('Dvd Calendar'!$X$1204)=0,"",IF(('Dvd Calendar'!$X$1204&gt;=GRID_FROM)*('Dvd Calendar'!$X$1204&lt;=GRID_TO)*('Dvd Calendar'!$X$1204&lt;=VAL_DATE)=0,"",'Dvd Calendar'!$X$1204*1000000000+ISNUMBER('Dvd Calendar'!$X$1207)*100000000+('Dvd Calendar'!$X$1209=SPECIAL_LBL)*10000000+0*1000000+9*1000+20))</f>
        <v/>
      </c>
      <c r="EY124" s="35">
        <f>IF(N('Dvd Calendar'!$Y$1204)=0,"",IF(('Dvd Calendar'!$Y$1204&gt;=GRID_FROM)*('Dvd Calendar'!$Y$1204&lt;=GRID_TO)*('Dvd Calendar'!$Y$1204&lt;=VAL_DATE)=0,"",'Dvd Calendar'!$Y$1204*1000000000+ISNUMBER('Dvd Calendar'!$Y$1207)*100000000+('Dvd Calendar'!$Y$1209=SPECIAL_LBL)*10000000+0*1000000+9*1000+21))</f>
        <v/>
      </c>
      <c r="EZ124" s="35">
        <f>IF(N('Dvd Calendar'!$Z$1204)=0,"",IF(('Dvd Calendar'!$Z$1204&gt;=GRID_FROM)*('Dvd Calendar'!$Z$1204&lt;=GRID_TO)*('Dvd Calendar'!$Z$1204&lt;=VAL_DATE)=0,"",'Dvd Calendar'!$Z$1204*1000000000+ISNUMBER('Dvd Calendar'!$Z$1207)*100000000+('Dvd Calendar'!$Z$1209=SPECIAL_LBL)*10000000+0*1000000+9*1000+22))</f>
        <v/>
      </c>
      <c r="FA124" s="35">
        <f>IF(N('Dvd Calendar'!$AA$1204)=0,"",IF(('Dvd Calendar'!$AA$1204&gt;=GRID_FROM)*('Dvd Calendar'!$AA$1204&lt;=GRID_TO)*('Dvd Calendar'!$AA$1204&lt;=VAL_DATE)=0,"",'Dvd Calendar'!$AA$1204*1000000000+ISNUMBER('Dvd Calendar'!$AA$1207)*100000000+('Dvd Calendar'!$AA$1209=SPECIAL_LBL)*10000000+0*1000000+9*1000+23))</f>
        <v/>
      </c>
      <c r="FB124" s="35">
        <f>IF(N('Dvd Calendar'!$AB$1204)=0,"",IF(('Dvd Calendar'!$AB$1204&gt;=GRID_FROM)*('Dvd Calendar'!$AB$1204&lt;=GRID_TO)*('Dvd Calendar'!$AB$1204&lt;=VAL_DATE)=0,"",'Dvd Calendar'!$AB$1204*1000000000+ISNUMBER('Dvd Calendar'!$AB$1207)*100000000+('Dvd Calendar'!$AB$1209=SPECIAL_LBL)*10000000+0*1000000+9*1000+24))</f>
        <v/>
      </c>
      <c r="FC124" s="35">
        <f>IF(N('Dvd Calendar'!$AC$1204)=0,"",IF(('Dvd Calendar'!$AC$1204&gt;=GRID_FROM)*('Dvd Calendar'!$AC$1204&lt;=GRID_TO)*('Dvd Calendar'!$AC$1204&lt;=VAL_DATE)=0,"",'Dvd Calendar'!$AC$1204*1000000000+ISNUMBER('Dvd Calendar'!$AC$1207)*100000000+('Dvd Calendar'!$AC$1209=SPECIAL_LBL)*10000000+0*1000000+9*1000+25))</f>
        <v/>
      </c>
      <c r="FD124" s="35">
        <f>IF(N('Dvd Calendar'!$AD$1204)=0,"",IF(('Dvd Calendar'!$AD$1204&gt;=GRID_FROM)*('Dvd Calendar'!$AD$1204&lt;=GRID_TO)*('Dvd Calendar'!$AD$1204&lt;=VAL_DATE)=0,"",'Dvd Calendar'!$AD$1204*1000000000+ISNUMBER('Dvd Calendar'!$AD$1207)*100000000+('Dvd Calendar'!$AD$1209=SPECIAL_LBL)*10000000+0*1000000+9*1000+26))</f>
        <v/>
      </c>
      <c r="FE124" s="35">
        <f>IF(N('Dvd Calendar'!$AE$1204)=0,"",IF(('Dvd Calendar'!$AE$1204&gt;=GRID_FROM)*('Dvd Calendar'!$AE$1204&lt;=GRID_TO)*('Dvd Calendar'!$AE$1204&lt;=VAL_DATE)=0,"",'Dvd Calendar'!$AE$1204*1000000000+ISNUMBER('Dvd Calendar'!$AE$1207)*100000000+('Dvd Calendar'!$AE$1209=SPECIAL_LBL)*10000000+0*1000000+9*1000+27))</f>
        <v/>
      </c>
      <c r="FF124" s="35">
        <f>IF(N('Dvd Calendar'!$AF$1204)=0,"",IF(('Dvd Calendar'!$AF$1204&gt;=GRID_FROM)*('Dvd Calendar'!$AF$1204&lt;=GRID_TO)*('Dvd Calendar'!$AF$1204&lt;=VAL_DATE)=0,"",'Dvd Calendar'!$AF$1204*1000000000+ISNUMBER('Dvd Calendar'!$AF$1207)*100000000+('Dvd Calendar'!$AF$1209=SPECIAL_LBL)*10000000+0*1000000+9*1000+28))</f>
        <v/>
      </c>
      <c r="FG124" s="35">
        <f>IF(N('Dvd Calendar'!$AG$1204)=0,"",IF(('Dvd Calendar'!$AG$1204&gt;=GRID_FROM)*('Dvd Calendar'!$AG$1204&lt;=GRID_TO)*('Dvd Calendar'!$AG$1204&lt;=VAL_DATE)=0,"",'Dvd Calendar'!$AG$1204*1000000000+ISNUMBER('Dvd Calendar'!$AG$1207)*100000000+('Dvd Calendar'!$AG$1209=SPECIAL_LBL)*10000000+0*1000000+9*1000+29))</f>
        <v/>
      </c>
      <c r="FH124" s="35">
        <f>IF(N('Dvd Calendar'!$AH$1204)=0,"",IF(('Dvd Calendar'!$AH$1204&gt;=GRID_FROM)*('Dvd Calendar'!$AH$1204&lt;=GRID_TO)*('Dvd Calendar'!$AH$1204&lt;=VAL_DATE)=0,"",'Dvd Calendar'!$AH$1204*1000000000+ISNUMBER('Dvd Calendar'!$AH$1207)*100000000+('Dvd Calendar'!$AH$1209=SPECIAL_LBL)*10000000+0*1000000+9*1000+30))</f>
        <v/>
      </c>
      <c r="FI124" s="35">
        <f>IF(N('Dvd Calendar'!$AI$1204)=0,"",IF(('Dvd Calendar'!$AI$1204&gt;=GRID_FROM)*('Dvd Calendar'!$AI$1204&lt;=GRID_TO)*('Dvd Calendar'!$AI$1204&lt;=VAL_DATE)=0,"",'Dvd Calendar'!$AI$1204*1000000000+ISNUMBER('Dvd Calendar'!$AI$1207)*100000000+('Dvd Calendar'!$AI$1209=SPECIAL_LBL)*10000000+0*1000000+9*1000+31))</f>
        <v/>
      </c>
      <c r="FJ124" s="35">
        <f>IF(N('Dvd Calendar'!$AJ$1204)=0,"",IF(('Dvd Calendar'!$AJ$1204&gt;=GRID_FROM)*('Dvd Calendar'!$AJ$1204&lt;=GRID_TO)*('Dvd Calendar'!$AJ$1204&lt;=VAL_DATE)=0,"",'Dvd Calendar'!$AJ$1204*1000000000+ISNUMBER('Dvd Calendar'!$AJ$1207)*100000000+('Dvd Calendar'!$AJ$1209=SPECIAL_LBL)*10000000+0*1000000+9*1000+32))</f>
        <v/>
      </c>
      <c r="FK124" s="35">
        <f>IF(N('Dvd Calendar'!$AK$1204)=0,"",IF(('Dvd Calendar'!$AK$1204&gt;=GRID_FROM)*('Dvd Calendar'!$AK$1204&lt;=GRID_TO)*('Dvd Calendar'!$AK$1204&lt;=VAL_DATE)=0,"",'Dvd Calendar'!$AK$1204*1000000000+ISNUMBER('Dvd Calendar'!$AK$1207)*100000000+('Dvd Calendar'!$AK$1209=SPECIAL_LBL)*10000000+0*1000000+9*1000+33))</f>
        <v/>
      </c>
      <c r="FL124" s="35">
        <f>IF(N('Dvd Calendar'!$AL$1204)=0,"",IF(('Dvd Calendar'!$AL$1204&gt;=GRID_FROM)*('Dvd Calendar'!$AL$1204&lt;=GRID_TO)*('Dvd Calendar'!$AL$1204&lt;=VAL_DATE)=0,"",'Dvd Calendar'!$AL$1204*1000000000+ISNUMBER('Dvd Calendar'!$AL$1207)*100000000+('Dvd Calendar'!$AL$1209=SPECIAL_LBL)*10000000+0*1000000+9*1000+34))</f>
        <v/>
      </c>
      <c r="FM124" s="35">
        <f>IF(N('Dvd Calendar'!$AM$1204)=0,"",IF(('Dvd Calendar'!$AM$1204&gt;=GRID_FROM)*('Dvd Calendar'!$AM$1204&lt;=GRID_TO)*('Dvd Calendar'!$AM$1204&lt;=VAL_DATE)=0,"",'Dvd Calendar'!$AM$1204*1000000000+ISNUMBER('Dvd Calendar'!$AM$1207)*100000000+('Dvd Calendar'!$AM$1209=SPECIAL_LBL)*10000000+0*1000000+9*1000+35))</f>
        <v/>
      </c>
      <c r="FN124" s="35">
        <f>IF(N('Dvd Calendar'!$AN$1204)=0,"",IF(('Dvd Calendar'!$AN$1204&gt;=GRID_FROM)*('Dvd Calendar'!$AN$1204&lt;=GRID_TO)*('Dvd Calendar'!$AN$1204&lt;=VAL_DATE)=0,"",'Dvd Calendar'!$AN$1204*1000000000+ISNUMBER('Dvd Calendar'!$AN$1207)*100000000+('Dvd Calendar'!$AN$1209=SPECIAL_LBL)*10000000+0*1000000+9*1000+36))</f>
        <v/>
      </c>
      <c r="FO124" s="35">
        <f>IF(N('Dvd Calendar'!$AO$1204)=0,"",IF(('Dvd Calendar'!$AO$1204&gt;=GRID_FROM)*('Dvd Calendar'!$AO$1204&lt;=GRID_TO)*('Dvd Calendar'!$AO$1204&lt;=VAL_DATE)=0,"",'Dvd Calendar'!$AO$1204*1000000000+ISNUMBER('Dvd Calendar'!$AO$1207)*100000000+('Dvd Calendar'!$AO$1209=SPECIAL_LBL)*10000000+0*1000000+9*1000+37))</f>
        <v/>
      </c>
      <c r="FP124" s="35">
        <f>IF(N('Dvd Calendar'!$AP$1204)=0,"",IF(('Dvd Calendar'!$AP$1204&gt;=GRID_FROM)*('Dvd Calendar'!$AP$1204&lt;=GRID_TO)*('Dvd Calendar'!$AP$1204&lt;=VAL_DATE)=0,"",'Dvd Calendar'!$AP$1204*1000000000+ISNUMBER('Dvd Calendar'!$AP$1207)*100000000+('Dvd Calendar'!$AP$1209=SPECIAL_LBL)*10000000+0*1000000+9*1000+38))</f>
        <v/>
      </c>
      <c r="FQ124" s="35">
        <f>IF(N('Dvd Calendar'!$AQ$1204)=0,"",IF(('Dvd Calendar'!$AQ$1204&gt;=GRID_FROM)*('Dvd Calendar'!$AQ$1204&lt;=GRID_TO)*('Dvd Calendar'!$AQ$1204&lt;=VAL_DATE)=0,"",'Dvd Calendar'!$AQ$1204*1000000000+ISNUMBER('Dvd Calendar'!$AQ$1207)*100000000+('Dvd Calendar'!$AQ$1209=SPECIAL_LBL)*10000000+0*1000000+9*1000+39))</f>
        <v/>
      </c>
      <c r="FR124" s="35">
        <f>IF(N('Dvd Calendar'!$AR$1204)=0,"",IF(('Dvd Calendar'!$AR$1204&gt;=GRID_FROM)*('Dvd Calendar'!$AR$1204&lt;=GRID_TO)*('Dvd Calendar'!$AR$1204&lt;=VAL_DATE)=0,"",'Dvd Calendar'!$AR$1204*1000000000+ISNUMBER('Dvd Calendar'!$AR$1207)*100000000+('Dvd Calendar'!$AR$1209=SPECIAL_LBL)*10000000+0*1000000+9*1000+40))</f>
        <v/>
      </c>
      <c r="FS124" s="35">
        <f>IF(N('Dvd Calendar'!$E$1211)=0,"",IF(('Dvd Calendar'!$E$1211&gt;=GRID_FROM)*('Dvd Calendar'!$E$1211&lt;=GRID_TO)*('Dvd Calendar'!$E$1211&gt;VAL_DATE)=0,"",'Dvd Calendar'!$E$1211*1000000000+ISNUMBER('Dvd Calendar'!$E$1212)*100000000+0*10000000+(N('Dvd Calendar'!$E$1210)&gt;0)*(N('Dvd Calendar'!$E$1210)&lt;=VAL_SERIAL)*1000000+9*1000+41))</f>
        <v/>
      </c>
      <c r="FT124" s="35">
        <f>IF(N('Dvd Calendar'!$F$1211)=0,"",IF(('Dvd Calendar'!$F$1211&gt;=GRID_FROM)*('Dvd Calendar'!$F$1211&lt;=GRID_TO)*('Dvd Calendar'!$F$1211&gt;VAL_DATE)=0,"",'Dvd Calendar'!$F$1211*1000000000+ISNUMBER('Dvd Calendar'!$F$1212)*100000000+0*10000000+(N('Dvd Calendar'!$F$1210)&gt;0)*(N('Dvd Calendar'!$F$1210)&lt;=VAL_SERIAL)*1000000+9*1000+42))</f>
        <v/>
      </c>
      <c r="FU124" s="35">
        <f>IF(N('Dvd Calendar'!$G$1211)=0,"",IF(('Dvd Calendar'!$G$1211&gt;=GRID_FROM)*('Dvd Calendar'!$G$1211&lt;=GRID_TO)*('Dvd Calendar'!$G$1211&gt;VAL_DATE)=0,"",'Dvd Calendar'!$G$1211*1000000000+ISNUMBER('Dvd Calendar'!$G$1212)*100000000+0*10000000+(N('Dvd Calendar'!$G$1210)&gt;0)*(N('Dvd Calendar'!$G$1210)&lt;=VAL_SERIAL)*1000000+9*1000+43))</f>
        <v/>
      </c>
      <c r="FV124" s="35">
        <f>IF(N('Dvd Calendar'!$H$1211)=0,"",IF(('Dvd Calendar'!$H$1211&gt;=GRID_FROM)*('Dvd Calendar'!$H$1211&lt;=GRID_TO)*('Dvd Calendar'!$H$1211&gt;VAL_DATE)=0,"",'Dvd Calendar'!$H$1211*1000000000+ISNUMBER('Dvd Calendar'!$H$1212)*100000000+0*10000000+(N('Dvd Calendar'!$H$1210)&gt;0)*(N('Dvd Calendar'!$H$1210)&lt;=VAL_SERIAL)*1000000+9*1000+44))</f>
        <v/>
      </c>
      <c r="FW124" s="35">
        <f>IF(N('Dvd Calendar'!$I$1211)=0,"",IF(('Dvd Calendar'!$I$1211&gt;=GRID_FROM)*('Dvd Calendar'!$I$1211&lt;=GRID_TO)*('Dvd Calendar'!$I$1211&gt;VAL_DATE)=0,"",'Dvd Calendar'!$I$1211*1000000000+ISNUMBER('Dvd Calendar'!$I$1212)*100000000+0*10000000+(N('Dvd Calendar'!$I$1210)&gt;0)*(N('Dvd Calendar'!$I$1210)&lt;=VAL_SERIAL)*1000000+9*1000+45))</f>
        <v/>
      </c>
      <c r="FX124" s="35">
        <f>IF(N('Dvd Calendar'!$J$1211)=0,"",IF(('Dvd Calendar'!$J$1211&gt;=GRID_FROM)*('Dvd Calendar'!$J$1211&lt;=GRID_TO)*('Dvd Calendar'!$J$1211&gt;VAL_DATE)=0,"",'Dvd Calendar'!$J$1211*1000000000+ISNUMBER('Dvd Calendar'!$J$1212)*100000000+0*10000000+(N('Dvd Calendar'!$J$1210)&gt;0)*(N('Dvd Calendar'!$J$1210)&lt;=VAL_SERIAL)*1000000+9*1000+46))</f>
        <v/>
      </c>
      <c r="FY124" s="35">
        <f>IF(N('Dvd Calendar'!$K$1211)=0,"",IF(('Dvd Calendar'!$K$1211&gt;=GRID_FROM)*('Dvd Calendar'!$K$1211&lt;=GRID_TO)*('Dvd Calendar'!$K$1211&gt;VAL_DATE)=0,"",'Dvd Calendar'!$K$1211*1000000000+ISNUMBER('Dvd Calendar'!$K$1212)*100000000+0*10000000+(N('Dvd Calendar'!$K$1210)&gt;0)*(N('Dvd Calendar'!$K$1210)&lt;=VAL_SERIAL)*1000000+9*1000+47))</f>
        <v/>
      </c>
      <c r="FZ124" s="35">
        <f>IF(N('Dvd Calendar'!$L$1211)=0,"",IF(('Dvd Calendar'!$L$1211&gt;=GRID_FROM)*('Dvd Calendar'!$L$1211&lt;=GRID_TO)*('Dvd Calendar'!$L$1211&gt;VAL_DATE)=0,"",'Dvd Calendar'!$L$1211*1000000000+ISNUMBER('Dvd Calendar'!$L$1212)*100000000+0*10000000+(N('Dvd Calendar'!$L$1210)&gt;0)*(N('Dvd Calendar'!$L$1210)&lt;=VAL_SERIAL)*1000000+9*1000+48))</f>
        <v/>
      </c>
      <c r="GA124" s="35">
        <f>IF(N('Dvd Calendar'!$M$1211)=0,"",IF(('Dvd Calendar'!$M$1211&gt;=GRID_FROM)*('Dvd Calendar'!$M$1211&lt;=GRID_TO)*('Dvd Calendar'!$M$1211&gt;VAL_DATE)=0,"",'Dvd Calendar'!$M$1211*1000000000+ISNUMBER('Dvd Calendar'!$M$1212)*100000000+0*10000000+(N('Dvd Calendar'!$M$1210)&gt;0)*(N('Dvd Calendar'!$M$1210)&lt;=VAL_SERIAL)*1000000+9*1000+49))</f>
        <v/>
      </c>
      <c r="GB124" s="35">
        <f>IF(N('Dvd Calendar'!$N$1211)=0,"",IF(('Dvd Calendar'!$N$1211&gt;=GRID_FROM)*('Dvd Calendar'!$N$1211&lt;=GRID_TO)*('Dvd Calendar'!$N$1211&gt;VAL_DATE)=0,"",'Dvd Calendar'!$N$1211*1000000000+ISNUMBER('Dvd Calendar'!$N$1212)*100000000+0*10000000+(N('Dvd Calendar'!$N$1210)&gt;0)*(N('Dvd Calendar'!$N$1210)&lt;=VAL_SERIAL)*1000000+9*1000+50))</f>
        <v/>
      </c>
      <c r="GC124" s="35">
        <f>IF(N('Dvd Calendar'!$O$1211)=0,"",IF(('Dvd Calendar'!$O$1211&gt;=GRID_FROM)*('Dvd Calendar'!$O$1211&lt;=GRID_TO)*('Dvd Calendar'!$O$1211&gt;VAL_DATE)=0,"",'Dvd Calendar'!$O$1211*1000000000+ISNUMBER('Dvd Calendar'!$O$1212)*100000000+0*10000000+(N('Dvd Calendar'!$O$1210)&gt;0)*(N('Dvd Calendar'!$O$1210)&lt;=VAL_SERIAL)*1000000+9*1000+51))</f>
        <v/>
      </c>
      <c r="GD124" s="35">
        <f>IF(N('Dvd Calendar'!$P$1211)=0,"",IF(('Dvd Calendar'!$P$1211&gt;=GRID_FROM)*('Dvd Calendar'!$P$1211&lt;=GRID_TO)*('Dvd Calendar'!$P$1211&gt;VAL_DATE)=0,"",'Dvd Calendar'!$P$1211*1000000000+ISNUMBER('Dvd Calendar'!$P$1212)*100000000+0*10000000+(N('Dvd Calendar'!$P$1210)&gt;0)*(N('Dvd Calendar'!$P$1210)&lt;=VAL_SERIAL)*1000000+9*1000+52))</f>
        <v/>
      </c>
      <c r="GE124" s="35">
        <f>IF(N('Dvd Calendar'!$Q$1211)=0,"",IF(('Dvd Calendar'!$Q$1211&gt;=GRID_FROM)*('Dvd Calendar'!$Q$1211&lt;=GRID_TO)*('Dvd Calendar'!$Q$1211&gt;VAL_DATE)=0,"",'Dvd Calendar'!$Q$1211*1000000000+ISNUMBER('Dvd Calendar'!$Q$1212)*100000000+0*10000000+(N('Dvd Calendar'!$Q$1210)&gt;0)*(N('Dvd Calendar'!$Q$1210)&lt;=VAL_SERIAL)*1000000+9*1000+53))</f>
        <v/>
      </c>
      <c r="GF124" s="35">
        <f>IF(N('Dvd Calendar'!$R$1211)=0,"",IF(('Dvd Calendar'!$R$1211&gt;=GRID_FROM)*('Dvd Calendar'!$R$1211&lt;=GRID_TO)*('Dvd Calendar'!$R$1211&gt;VAL_DATE)=0,"",'Dvd Calendar'!$R$1211*1000000000+ISNUMBER('Dvd Calendar'!$R$1212)*100000000+0*10000000+(N('Dvd Calendar'!$R$1210)&gt;0)*(N('Dvd Calendar'!$R$1210)&lt;=VAL_SERIAL)*1000000+9*1000+54))</f>
        <v/>
      </c>
      <c r="GG124" s="35">
        <f>IF(N('Dvd Calendar'!$S$1211)=0,"",IF(('Dvd Calendar'!$S$1211&gt;=GRID_FROM)*('Dvd Calendar'!$S$1211&lt;=GRID_TO)*('Dvd Calendar'!$S$1211&gt;VAL_DATE)=0,"",'Dvd Calendar'!$S$1211*1000000000+ISNUMBER('Dvd Calendar'!$S$1212)*100000000+0*10000000+(N('Dvd Calendar'!$S$1210)&gt;0)*(N('Dvd Calendar'!$S$1210)&lt;=VAL_SERIAL)*1000000+9*1000+55))</f>
        <v/>
      </c>
      <c r="GH124" s="35">
        <f>IF(N('Dvd Calendar'!$T$1211)=0,"",IF(('Dvd Calendar'!$T$1211&gt;=GRID_FROM)*('Dvd Calendar'!$T$1211&lt;=GRID_TO)*('Dvd Calendar'!$T$1211&gt;VAL_DATE)=0,"",'Dvd Calendar'!$T$1211*1000000000+ISNUMBER('Dvd Calendar'!$T$1212)*100000000+0*10000000+(N('Dvd Calendar'!$T$1210)&gt;0)*(N('Dvd Calendar'!$T$1210)&lt;=VAL_SERIAL)*1000000+9*1000+56))</f>
        <v/>
      </c>
      <c r="GI124" s="35">
        <f>IF(N('Dvd Calendar'!$U$1211)=0,"",IF(('Dvd Calendar'!$U$1211&gt;=GRID_FROM)*('Dvd Calendar'!$U$1211&lt;=GRID_TO)*('Dvd Calendar'!$U$1211&gt;VAL_DATE)=0,"",'Dvd Calendar'!$U$1211*1000000000+ISNUMBER('Dvd Calendar'!$U$1212)*100000000+0*10000000+(N('Dvd Calendar'!$U$1210)&gt;0)*(N('Dvd Calendar'!$U$1210)&lt;=VAL_SERIAL)*1000000+9*1000+57))</f>
        <v/>
      </c>
      <c r="GJ124" s="35">
        <f>IF(N('Dvd Calendar'!$V$1211)=0,"",IF(('Dvd Calendar'!$V$1211&gt;=GRID_FROM)*('Dvd Calendar'!$V$1211&lt;=GRID_TO)*('Dvd Calendar'!$V$1211&gt;VAL_DATE)=0,"",'Dvd Calendar'!$V$1211*1000000000+ISNUMBER('Dvd Calendar'!$V$1212)*100000000+0*10000000+(N('Dvd Calendar'!$V$1210)&gt;0)*(N('Dvd Calendar'!$V$1210)&lt;=VAL_SERIAL)*1000000+9*1000+58))</f>
        <v/>
      </c>
      <c r="GK124" s="35">
        <f>IF(N('Dvd Calendar'!$W$1211)=0,"",IF(('Dvd Calendar'!$W$1211&gt;=GRID_FROM)*('Dvd Calendar'!$W$1211&lt;=GRID_TO)*('Dvd Calendar'!$W$1211&gt;VAL_DATE)=0,"",'Dvd Calendar'!$W$1211*1000000000+ISNUMBER('Dvd Calendar'!$W$1212)*100000000+0*10000000+(N('Dvd Calendar'!$W$1210)&gt;0)*(N('Dvd Calendar'!$W$1210)&lt;=VAL_SERIAL)*1000000+9*1000+59))</f>
        <v/>
      </c>
      <c r="GL124" s="35">
        <f>IF(N('Dvd Calendar'!$X$1211)=0,"",IF(('Dvd Calendar'!$X$1211&gt;=GRID_FROM)*('Dvd Calendar'!$X$1211&lt;=GRID_TO)*('Dvd Calendar'!$X$1211&gt;VAL_DATE)=0,"",'Dvd Calendar'!$X$1211*1000000000+ISNUMBER('Dvd Calendar'!$X$1212)*100000000+0*10000000+(N('Dvd Calendar'!$X$1210)&gt;0)*(N('Dvd Calendar'!$X$1210)&lt;=VAL_SERIAL)*1000000+9*1000+60))</f>
        <v/>
      </c>
      <c r="GM124" s="35">
        <f>IF(N('Dvd Calendar'!$Y$1211)=0,"",IF(('Dvd Calendar'!$Y$1211&gt;=GRID_FROM)*('Dvd Calendar'!$Y$1211&lt;=GRID_TO)*('Dvd Calendar'!$Y$1211&gt;VAL_DATE)=0,"",'Dvd Calendar'!$Y$1211*1000000000+ISNUMBER('Dvd Calendar'!$Y$1212)*100000000+0*10000000+(N('Dvd Calendar'!$Y$1210)&gt;0)*(N('Dvd Calendar'!$Y$1210)&lt;=VAL_SERIAL)*1000000+9*1000+61))</f>
        <v/>
      </c>
      <c r="GN124" s="35">
        <f>IF(N('Dvd Calendar'!$Z$1211)=0,"",IF(('Dvd Calendar'!$Z$1211&gt;=GRID_FROM)*('Dvd Calendar'!$Z$1211&lt;=GRID_TO)*('Dvd Calendar'!$Z$1211&gt;VAL_DATE)=0,"",'Dvd Calendar'!$Z$1211*1000000000+ISNUMBER('Dvd Calendar'!$Z$1212)*100000000+0*10000000+(N('Dvd Calendar'!$Z$1210)&gt;0)*(N('Dvd Calendar'!$Z$1210)&lt;=VAL_SERIAL)*1000000+9*1000+62))</f>
        <v/>
      </c>
      <c r="GO124" s="35">
        <f>IF(N('Dvd Calendar'!$AA$1211)=0,"",IF(('Dvd Calendar'!$AA$1211&gt;=GRID_FROM)*('Dvd Calendar'!$AA$1211&lt;=GRID_TO)*('Dvd Calendar'!$AA$1211&gt;VAL_DATE)=0,"",'Dvd Calendar'!$AA$1211*1000000000+ISNUMBER('Dvd Calendar'!$AA$1212)*100000000+0*10000000+(N('Dvd Calendar'!$AA$1210)&gt;0)*(N('Dvd Calendar'!$AA$1210)&lt;=VAL_SERIAL)*1000000+9*1000+63))</f>
        <v/>
      </c>
      <c r="GP124" s="35">
        <f>IF(N('Dvd Calendar'!$AB$1211)=0,"",IF(('Dvd Calendar'!$AB$1211&gt;=GRID_FROM)*('Dvd Calendar'!$AB$1211&lt;=GRID_TO)*('Dvd Calendar'!$AB$1211&gt;VAL_DATE)=0,"",'Dvd Calendar'!$AB$1211*1000000000+ISNUMBER('Dvd Calendar'!$AB$1212)*100000000+0*10000000+(N('Dvd Calendar'!$AB$1210)&gt;0)*(N('Dvd Calendar'!$AB$1210)&lt;=VAL_SERIAL)*1000000+9*1000+64))</f>
        <v/>
      </c>
      <c r="GQ124" s="35">
        <f>IF(N('Dvd Calendar'!$AC$1211)=0,"",IF(('Dvd Calendar'!$AC$1211&gt;=GRID_FROM)*('Dvd Calendar'!$AC$1211&lt;=GRID_TO)*('Dvd Calendar'!$AC$1211&gt;VAL_DATE)=0,"",'Dvd Calendar'!$AC$1211*1000000000+ISNUMBER('Dvd Calendar'!$AC$1212)*100000000+0*10000000+(N('Dvd Calendar'!$AC$1210)&gt;0)*(N('Dvd Calendar'!$AC$1210)&lt;=VAL_SERIAL)*1000000+9*1000+65))</f>
        <v/>
      </c>
    </row>
    <row r="125">
      <c r="B125" s="2">
        <f>IF(HSTECH!$C$16="","",HSTECH!$C$16)</f>
        <v/>
      </c>
      <c r="C125" s="106">
        <f>IF(EE125="","",IF(ISNUMBER('Dvd Calendar'!$E$1218)=FALSE,"",IF((('Dvd Calendar'!$E$1220=TYPE1)*(TYPE1&lt;&gt;"")+('Dvd Calendar'!$E$1220=TYPE2)*(TYPE2&lt;&gt;"")+('Dvd Calendar'!$E$1220=TYPE3)*(TYPE3&lt;&gt;"")+('Dvd Calendar'!$E$1220=TYPE4)*(TYPE4&lt;&gt;"")+('Dvd Calendar'!$E$1220=SPECIAL_LBL)*(INC_SPECIALS="Y"))=0,"",'Dvd Calendar'!$E$1218)))</f>
        <v/>
      </c>
      <c r="D125" s="106">
        <f>IF(EF125="","",IF(ISNUMBER('Dvd Calendar'!$F$1218)=FALSE,"",IF((('Dvd Calendar'!$F$1220=TYPE1)*(TYPE1&lt;&gt;"")+('Dvd Calendar'!$F$1220=TYPE2)*(TYPE2&lt;&gt;"")+('Dvd Calendar'!$F$1220=TYPE3)*(TYPE3&lt;&gt;"")+('Dvd Calendar'!$F$1220=TYPE4)*(TYPE4&lt;&gt;"")+('Dvd Calendar'!$F$1220=SPECIAL_LBL)*(INC_SPECIALS="Y"))=0,"",'Dvd Calendar'!$F$1218)))</f>
        <v/>
      </c>
      <c r="E125" s="106">
        <f>IF(EG125="","",IF(ISNUMBER('Dvd Calendar'!$G$1218)=FALSE,"",IF((('Dvd Calendar'!$G$1220=TYPE1)*(TYPE1&lt;&gt;"")+('Dvd Calendar'!$G$1220=TYPE2)*(TYPE2&lt;&gt;"")+('Dvd Calendar'!$G$1220=TYPE3)*(TYPE3&lt;&gt;"")+('Dvd Calendar'!$G$1220=TYPE4)*(TYPE4&lt;&gt;"")+('Dvd Calendar'!$G$1220=SPECIAL_LBL)*(INC_SPECIALS="Y"))=0,"",'Dvd Calendar'!$G$1218)))</f>
        <v/>
      </c>
      <c r="F125" s="106">
        <f>IF(EH125="","",IF(ISNUMBER('Dvd Calendar'!$H$1218)=FALSE,"",IF((('Dvd Calendar'!$H$1220=TYPE1)*(TYPE1&lt;&gt;"")+('Dvd Calendar'!$H$1220=TYPE2)*(TYPE2&lt;&gt;"")+('Dvd Calendar'!$H$1220=TYPE3)*(TYPE3&lt;&gt;"")+('Dvd Calendar'!$H$1220=TYPE4)*(TYPE4&lt;&gt;"")+('Dvd Calendar'!$H$1220=SPECIAL_LBL)*(INC_SPECIALS="Y"))=0,"",'Dvd Calendar'!$H$1218)))</f>
        <v/>
      </c>
      <c r="G125" s="106">
        <f>IF(EI125="","",IF(ISNUMBER('Dvd Calendar'!$I$1218)=FALSE,"",IF((('Dvd Calendar'!$I$1220=TYPE1)*(TYPE1&lt;&gt;"")+('Dvd Calendar'!$I$1220=TYPE2)*(TYPE2&lt;&gt;"")+('Dvd Calendar'!$I$1220=TYPE3)*(TYPE3&lt;&gt;"")+('Dvd Calendar'!$I$1220=TYPE4)*(TYPE4&lt;&gt;"")+('Dvd Calendar'!$I$1220=SPECIAL_LBL)*(INC_SPECIALS="Y"))=0,"",'Dvd Calendar'!$I$1218)))</f>
        <v/>
      </c>
      <c r="H125" s="106">
        <f>IF(EJ125="","",IF(ISNUMBER('Dvd Calendar'!$J$1218)=FALSE,"",IF((('Dvd Calendar'!$J$1220=TYPE1)*(TYPE1&lt;&gt;"")+('Dvd Calendar'!$J$1220=TYPE2)*(TYPE2&lt;&gt;"")+('Dvd Calendar'!$J$1220=TYPE3)*(TYPE3&lt;&gt;"")+('Dvd Calendar'!$J$1220=TYPE4)*(TYPE4&lt;&gt;"")+('Dvd Calendar'!$J$1220=SPECIAL_LBL)*(INC_SPECIALS="Y"))=0,"",'Dvd Calendar'!$J$1218)))</f>
        <v/>
      </c>
      <c r="I125" s="106">
        <f>IF(EK125="","",IF(ISNUMBER('Dvd Calendar'!$K$1218)=FALSE,"",IF((('Dvd Calendar'!$K$1220=TYPE1)*(TYPE1&lt;&gt;"")+('Dvd Calendar'!$K$1220=TYPE2)*(TYPE2&lt;&gt;"")+('Dvd Calendar'!$K$1220=TYPE3)*(TYPE3&lt;&gt;"")+('Dvd Calendar'!$K$1220=TYPE4)*(TYPE4&lt;&gt;"")+('Dvd Calendar'!$K$1220=SPECIAL_LBL)*(INC_SPECIALS="Y"))=0,"",'Dvd Calendar'!$K$1218)))</f>
        <v/>
      </c>
      <c r="J125" s="106">
        <f>IF(EL125="","",IF(ISNUMBER('Dvd Calendar'!$L$1218)=FALSE,"",IF((('Dvd Calendar'!$L$1220=TYPE1)*(TYPE1&lt;&gt;"")+('Dvd Calendar'!$L$1220=TYPE2)*(TYPE2&lt;&gt;"")+('Dvd Calendar'!$L$1220=TYPE3)*(TYPE3&lt;&gt;"")+('Dvd Calendar'!$L$1220=TYPE4)*(TYPE4&lt;&gt;"")+('Dvd Calendar'!$L$1220=SPECIAL_LBL)*(INC_SPECIALS="Y"))=0,"",'Dvd Calendar'!$L$1218)))</f>
        <v/>
      </c>
      <c r="K125" s="106">
        <f>IF(EM125="","",IF(ISNUMBER('Dvd Calendar'!$M$1218)=FALSE,"",IF((('Dvd Calendar'!$M$1220=TYPE1)*(TYPE1&lt;&gt;"")+('Dvd Calendar'!$M$1220=TYPE2)*(TYPE2&lt;&gt;"")+('Dvd Calendar'!$M$1220=TYPE3)*(TYPE3&lt;&gt;"")+('Dvd Calendar'!$M$1220=TYPE4)*(TYPE4&lt;&gt;"")+('Dvd Calendar'!$M$1220=SPECIAL_LBL)*(INC_SPECIALS="Y"))=0,"",'Dvd Calendar'!$M$1218)))</f>
        <v/>
      </c>
      <c r="L125" s="106">
        <f>IF(EN125="","",IF(ISNUMBER('Dvd Calendar'!$N$1218)=FALSE,"",IF((('Dvd Calendar'!$N$1220=TYPE1)*(TYPE1&lt;&gt;"")+('Dvd Calendar'!$N$1220=TYPE2)*(TYPE2&lt;&gt;"")+('Dvd Calendar'!$N$1220=TYPE3)*(TYPE3&lt;&gt;"")+('Dvd Calendar'!$N$1220=TYPE4)*(TYPE4&lt;&gt;"")+('Dvd Calendar'!$N$1220=SPECIAL_LBL)*(INC_SPECIALS="Y"))=0,"",'Dvd Calendar'!$N$1218)))</f>
        <v/>
      </c>
      <c r="M125" s="106">
        <f>IF(EO125="","",IF(ISNUMBER('Dvd Calendar'!$O$1218)=FALSE,"",IF((('Dvd Calendar'!$O$1220=TYPE1)*(TYPE1&lt;&gt;"")+('Dvd Calendar'!$O$1220=TYPE2)*(TYPE2&lt;&gt;"")+('Dvd Calendar'!$O$1220=TYPE3)*(TYPE3&lt;&gt;"")+('Dvd Calendar'!$O$1220=TYPE4)*(TYPE4&lt;&gt;"")+('Dvd Calendar'!$O$1220=SPECIAL_LBL)*(INC_SPECIALS="Y"))=0,"",'Dvd Calendar'!$O$1218)))</f>
        <v/>
      </c>
      <c r="N125" s="106">
        <f>IF(EP125="","",IF(ISNUMBER('Dvd Calendar'!$P$1218)=FALSE,"",IF((('Dvd Calendar'!$P$1220=TYPE1)*(TYPE1&lt;&gt;"")+('Dvd Calendar'!$P$1220=TYPE2)*(TYPE2&lt;&gt;"")+('Dvd Calendar'!$P$1220=TYPE3)*(TYPE3&lt;&gt;"")+('Dvd Calendar'!$P$1220=TYPE4)*(TYPE4&lt;&gt;"")+('Dvd Calendar'!$P$1220=SPECIAL_LBL)*(INC_SPECIALS="Y"))=0,"",'Dvd Calendar'!$P$1218)))</f>
        <v/>
      </c>
      <c r="O125" s="106">
        <f>IF(EQ125="","",IF(ISNUMBER('Dvd Calendar'!$Q$1218)=FALSE,"",IF((('Dvd Calendar'!$Q$1220=TYPE1)*(TYPE1&lt;&gt;"")+('Dvd Calendar'!$Q$1220=TYPE2)*(TYPE2&lt;&gt;"")+('Dvd Calendar'!$Q$1220=TYPE3)*(TYPE3&lt;&gt;"")+('Dvd Calendar'!$Q$1220=TYPE4)*(TYPE4&lt;&gt;"")+('Dvd Calendar'!$Q$1220=SPECIAL_LBL)*(INC_SPECIALS="Y"))=0,"",'Dvd Calendar'!$Q$1218)))</f>
        <v/>
      </c>
      <c r="P125" s="106">
        <f>IF(ER125="","",IF(ISNUMBER('Dvd Calendar'!$R$1218)=FALSE,"",IF((('Dvd Calendar'!$R$1220=TYPE1)*(TYPE1&lt;&gt;"")+('Dvd Calendar'!$R$1220=TYPE2)*(TYPE2&lt;&gt;"")+('Dvd Calendar'!$R$1220=TYPE3)*(TYPE3&lt;&gt;"")+('Dvd Calendar'!$R$1220=TYPE4)*(TYPE4&lt;&gt;"")+('Dvd Calendar'!$R$1220=SPECIAL_LBL)*(INC_SPECIALS="Y"))=0,"",'Dvd Calendar'!$R$1218)))</f>
        <v/>
      </c>
      <c r="Q125" s="106">
        <f>IF(ES125="","",IF(ISNUMBER('Dvd Calendar'!$S$1218)=FALSE,"",IF((('Dvd Calendar'!$S$1220=TYPE1)*(TYPE1&lt;&gt;"")+('Dvd Calendar'!$S$1220=TYPE2)*(TYPE2&lt;&gt;"")+('Dvd Calendar'!$S$1220=TYPE3)*(TYPE3&lt;&gt;"")+('Dvd Calendar'!$S$1220=TYPE4)*(TYPE4&lt;&gt;"")+('Dvd Calendar'!$S$1220=SPECIAL_LBL)*(INC_SPECIALS="Y"))=0,"",'Dvd Calendar'!$S$1218)))</f>
        <v/>
      </c>
      <c r="R125" s="106">
        <f>IF(ET125="","",IF(ISNUMBER('Dvd Calendar'!$T$1218)=FALSE,"",IF((('Dvd Calendar'!$T$1220=TYPE1)*(TYPE1&lt;&gt;"")+('Dvd Calendar'!$T$1220=TYPE2)*(TYPE2&lt;&gt;"")+('Dvd Calendar'!$T$1220=TYPE3)*(TYPE3&lt;&gt;"")+('Dvd Calendar'!$T$1220=TYPE4)*(TYPE4&lt;&gt;"")+('Dvd Calendar'!$T$1220=SPECIAL_LBL)*(INC_SPECIALS="Y"))=0,"",'Dvd Calendar'!$T$1218)))</f>
        <v/>
      </c>
      <c r="S125" s="106">
        <f>IF(EU125="","",IF(ISNUMBER('Dvd Calendar'!$U$1218)=FALSE,"",IF((('Dvd Calendar'!$U$1220=TYPE1)*(TYPE1&lt;&gt;"")+('Dvd Calendar'!$U$1220=TYPE2)*(TYPE2&lt;&gt;"")+('Dvd Calendar'!$U$1220=TYPE3)*(TYPE3&lt;&gt;"")+('Dvd Calendar'!$U$1220=TYPE4)*(TYPE4&lt;&gt;"")+('Dvd Calendar'!$U$1220=SPECIAL_LBL)*(INC_SPECIALS="Y"))=0,"",'Dvd Calendar'!$U$1218)))</f>
        <v/>
      </c>
      <c r="T125" s="106">
        <f>IF(EV125="","",IF(ISNUMBER('Dvd Calendar'!$V$1218)=FALSE,"",IF((('Dvd Calendar'!$V$1220=TYPE1)*(TYPE1&lt;&gt;"")+('Dvd Calendar'!$V$1220=TYPE2)*(TYPE2&lt;&gt;"")+('Dvd Calendar'!$V$1220=TYPE3)*(TYPE3&lt;&gt;"")+('Dvd Calendar'!$V$1220=TYPE4)*(TYPE4&lt;&gt;"")+('Dvd Calendar'!$V$1220=SPECIAL_LBL)*(INC_SPECIALS="Y"))=0,"",'Dvd Calendar'!$V$1218)))</f>
        <v/>
      </c>
      <c r="U125" s="106">
        <f>IF(EW125="","",IF(ISNUMBER('Dvd Calendar'!$W$1218)=FALSE,"",IF((('Dvd Calendar'!$W$1220=TYPE1)*(TYPE1&lt;&gt;"")+('Dvd Calendar'!$W$1220=TYPE2)*(TYPE2&lt;&gt;"")+('Dvd Calendar'!$W$1220=TYPE3)*(TYPE3&lt;&gt;"")+('Dvd Calendar'!$W$1220=TYPE4)*(TYPE4&lt;&gt;"")+('Dvd Calendar'!$W$1220=SPECIAL_LBL)*(INC_SPECIALS="Y"))=0,"",'Dvd Calendar'!$W$1218)))</f>
        <v/>
      </c>
      <c r="V125" s="106">
        <f>IF(EX125="","",IF(ISNUMBER('Dvd Calendar'!$X$1218)=FALSE,"",IF((('Dvd Calendar'!$X$1220=TYPE1)*(TYPE1&lt;&gt;"")+('Dvd Calendar'!$X$1220=TYPE2)*(TYPE2&lt;&gt;"")+('Dvd Calendar'!$X$1220=TYPE3)*(TYPE3&lt;&gt;"")+('Dvd Calendar'!$X$1220=TYPE4)*(TYPE4&lt;&gt;"")+('Dvd Calendar'!$X$1220=SPECIAL_LBL)*(INC_SPECIALS="Y"))=0,"",'Dvd Calendar'!$X$1218)))</f>
        <v/>
      </c>
      <c r="W125" s="106">
        <f>IF(EY125="","",IF(ISNUMBER('Dvd Calendar'!$Y$1218)=FALSE,"",IF((('Dvd Calendar'!$Y$1220=TYPE1)*(TYPE1&lt;&gt;"")+('Dvd Calendar'!$Y$1220=TYPE2)*(TYPE2&lt;&gt;"")+('Dvd Calendar'!$Y$1220=TYPE3)*(TYPE3&lt;&gt;"")+('Dvd Calendar'!$Y$1220=TYPE4)*(TYPE4&lt;&gt;"")+('Dvd Calendar'!$Y$1220=SPECIAL_LBL)*(INC_SPECIALS="Y"))=0,"",'Dvd Calendar'!$Y$1218)))</f>
        <v/>
      </c>
      <c r="X125" s="106">
        <f>IF(EZ125="","",IF(ISNUMBER('Dvd Calendar'!$Z$1218)=FALSE,"",IF((('Dvd Calendar'!$Z$1220=TYPE1)*(TYPE1&lt;&gt;"")+('Dvd Calendar'!$Z$1220=TYPE2)*(TYPE2&lt;&gt;"")+('Dvd Calendar'!$Z$1220=TYPE3)*(TYPE3&lt;&gt;"")+('Dvd Calendar'!$Z$1220=TYPE4)*(TYPE4&lt;&gt;"")+('Dvd Calendar'!$Z$1220=SPECIAL_LBL)*(INC_SPECIALS="Y"))=0,"",'Dvd Calendar'!$Z$1218)))</f>
        <v/>
      </c>
      <c r="Y125" s="106">
        <f>IF(FA125="","",IF(ISNUMBER('Dvd Calendar'!$AA$1218)=FALSE,"",IF((('Dvd Calendar'!$AA$1220=TYPE1)*(TYPE1&lt;&gt;"")+('Dvd Calendar'!$AA$1220=TYPE2)*(TYPE2&lt;&gt;"")+('Dvd Calendar'!$AA$1220=TYPE3)*(TYPE3&lt;&gt;"")+('Dvd Calendar'!$AA$1220=TYPE4)*(TYPE4&lt;&gt;"")+('Dvd Calendar'!$AA$1220=SPECIAL_LBL)*(INC_SPECIALS="Y"))=0,"",'Dvd Calendar'!$AA$1218)))</f>
        <v/>
      </c>
      <c r="Z125" s="106">
        <f>IF(FB125="","",IF(ISNUMBER('Dvd Calendar'!$AB$1218)=FALSE,"",IF((('Dvd Calendar'!$AB$1220=TYPE1)*(TYPE1&lt;&gt;"")+('Dvd Calendar'!$AB$1220=TYPE2)*(TYPE2&lt;&gt;"")+('Dvd Calendar'!$AB$1220=TYPE3)*(TYPE3&lt;&gt;"")+('Dvd Calendar'!$AB$1220=TYPE4)*(TYPE4&lt;&gt;"")+('Dvd Calendar'!$AB$1220=SPECIAL_LBL)*(INC_SPECIALS="Y"))=0,"",'Dvd Calendar'!$AB$1218)))</f>
        <v/>
      </c>
      <c r="AA125" s="106">
        <f>IF(FC125="","",IF(ISNUMBER('Dvd Calendar'!$AC$1218)=FALSE,"",IF((('Dvd Calendar'!$AC$1220=TYPE1)*(TYPE1&lt;&gt;"")+('Dvd Calendar'!$AC$1220=TYPE2)*(TYPE2&lt;&gt;"")+('Dvd Calendar'!$AC$1220=TYPE3)*(TYPE3&lt;&gt;"")+('Dvd Calendar'!$AC$1220=TYPE4)*(TYPE4&lt;&gt;"")+('Dvd Calendar'!$AC$1220=SPECIAL_LBL)*(INC_SPECIALS="Y"))=0,"",'Dvd Calendar'!$AC$1218)))</f>
        <v/>
      </c>
      <c r="AB125" s="106">
        <f>IF(FD125="","",IF(ISNUMBER('Dvd Calendar'!$AD$1218)=FALSE,"",IF((('Dvd Calendar'!$AD$1220=TYPE1)*(TYPE1&lt;&gt;"")+('Dvd Calendar'!$AD$1220=TYPE2)*(TYPE2&lt;&gt;"")+('Dvd Calendar'!$AD$1220=TYPE3)*(TYPE3&lt;&gt;"")+('Dvd Calendar'!$AD$1220=TYPE4)*(TYPE4&lt;&gt;"")+('Dvd Calendar'!$AD$1220=SPECIAL_LBL)*(INC_SPECIALS="Y"))=0,"",'Dvd Calendar'!$AD$1218)))</f>
        <v/>
      </c>
      <c r="AC125" s="106">
        <f>IF(FE125="","",IF(ISNUMBER('Dvd Calendar'!$AE$1218)=FALSE,"",IF((('Dvd Calendar'!$AE$1220=TYPE1)*(TYPE1&lt;&gt;"")+('Dvd Calendar'!$AE$1220=TYPE2)*(TYPE2&lt;&gt;"")+('Dvd Calendar'!$AE$1220=TYPE3)*(TYPE3&lt;&gt;"")+('Dvd Calendar'!$AE$1220=TYPE4)*(TYPE4&lt;&gt;"")+('Dvd Calendar'!$AE$1220=SPECIAL_LBL)*(INC_SPECIALS="Y"))=0,"",'Dvd Calendar'!$AE$1218)))</f>
        <v/>
      </c>
      <c r="AD125" s="106">
        <f>IF(FF125="","",IF(ISNUMBER('Dvd Calendar'!$AF$1218)=FALSE,"",IF((('Dvd Calendar'!$AF$1220=TYPE1)*(TYPE1&lt;&gt;"")+('Dvd Calendar'!$AF$1220=TYPE2)*(TYPE2&lt;&gt;"")+('Dvd Calendar'!$AF$1220=TYPE3)*(TYPE3&lt;&gt;"")+('Dvd Calendar'!$AF$1220=TYPE4)*(TYPE4&lt;&gt;"")+('Dvd Calendar'!$AF$1220=SPECIAL_LBL)*(INC_SPECIALS="Y"))=0,"",'Dvd Calendar'!$AF$1218)))</f>
        <v/>
      </c>
      <c r="AE125" s="106">
        <f>IF(FG125="","",IF(ISNUMBER('Dvd Calendar'!$AG$1218)=FALSE,"",IF((('Dvd Calendar'!$AG$1220=TYPE1)*(TYPE1&lt;&gt;"")+('Dvd Calendar'!$AG$1220=TYPE2)*(TYPE2&lt;&gt;"")+('Dvd Calendar'!$AG$1220=TYPE3)*(TYPE3&lt;&gt;"")+('Dvd Calendar'!$AG$1220=TYPE4)*(TYPE4&lt;&gt;"")+('Dvd Calendar'!$AG$1220=SPECIAL_LBL)*(INC_SPECIALS="Y"))=0,"",'Dvd Calendar'!$AG$1218)))</f>
        <v/>
      </c>
      <c r="AF125" s="106">
        <f>IF(FH125="","",IF(ISNUMBER('Dvd Calendar'!$AH$1218)=FALSE,"",IF((('Dvd Calendar'!$AH$1220=TYPE1)*(TYPE1&lt;&gt;"")+('Dvd Calendar'!$AH$1220=TYPE2)*(TYPE2&lt;&gt;"")+('Dvd Calendar'!$AH$1220=TYPE3)*(TYPE3&lt;&gt;"")+('Dvd Calendar'!$AH$1220=TYPE4)*(TYPE4&lt;&gt;"")+('Dvd Calendar'!$AH$1220=SPECIAL_LBL)*(INC_SPECIALS="Y"))=0,"",'Dvd Calendar'!$AH$1218)))</f>
        <v/>
      </c>
      <c r="AG125" s="106">
        <f>IF(FI125="","",IF(ISNUMBER('Dvd Calendar'!$AI$1218)=FALSE,"",IF((('Dvd Calendar'!$AI$1220=TYPE1)*(TYPE1&lt;&gt;"")+('Dvd Calendar'!$AI$1220=TYPE2)*(TYPE2&lt;&gt;"")+('Dvd Calendar'!$AI$1220=TYPE3)*(TYPE3&lt;&gt;"")+('Dvd Calendar'!$AI$1220=TYPE4)*(TYPE4&lt;&gt;"")+('Dvd Calendar'!$AI$1220=SPECIAL_LBL)*(INC_SPECIALS="Y"))=0,"",'Dvd Calendar'!$AI$1218)))</f>
        <v/>
      </c>
      <c r="AH125" s="106">
        <f>IF(FJ125="","",IF(ISNUMBER('Dvd Calendar'!$AJ$1218)=FALSE,"",IF((('Dvd Calendar'!$AJ$1220=TYPE1)*(TYPE1&lt;&gt;"")+('Dvd Calendar'!$AJ$1220=TYPE2)*(TYPE2&lt;&gt;"")+('Dvd Calendar'!$AJ$1220=TYPE3)*(TYPE3&lt;&gt;"")+('Dvd Calendar'!$AJ$1220=TYPE4)*(TYPE4&lt;&gt;"")+('Dvd Calendar'!$AJ$1220=SPECIAL_LBL)*(INC_SPECIALS="Y"))=0,"",'Dvd Calendar'!$AJ$1218)))</f>
        <v/>
      </c>
      <c r="AI125" s="106">
        <f>IF(FK125="","",IF(ISNUMBER('Dvd Calendar'!$AK$1218)=FALSE,"",IF((('Dvd Calendar'!$AK$1220=TYPE1)*(TYPE1&lt;&gt;"")+('Dvd Calendar'!$AK$1220=TYPE2)*(TYPE2&lt;&gt;"")+('Dvd Calendar'!$AK$1220=TYPE3)*(TYPE3&lt;&gt;"")+('Dvd Calendar'!$AK$1220=TYPE4)*(TYPE4&lt;&gt;"")+('Dvd Calendar'!$AK$1220=SPECIAL_LBL)*(INC_SPECIALS="Y"))=0,"",'Dvd Calendar'!$AK$1218)))</f>
        <v/>
      </c>
      <c r="AJ125" s="106">
        <f>IF(FL125="","",IF(ISNUMBER('Dvd Calendar'!$AL$1218)=FALSE,"",IF((('Dvd Calendar'!$AL$1220=TYPE1)*(TYPE1&lt;&gt;"")+('Dvd Calendar'!$AL$1220=TYPE2)*(TYPE2&lt;&gt;"")+('Dvd Calendar'!$AL$1220=TYPE3)*(TYPE3&lt;&gt;"")+('Dvd Calendar'!$AL$1220=TYPE4)*(TYPE4&lt;&gt;"")+('Dvd Calendar'!$AL$1220=SPECIAL_LBL)*(INC_SPECIALS="Y"))=0,"",'Dvd Calendar'!$AL$1218)))</f>
        <v/>
      </c>
      <c r="AK125" s="106">
        <f>IF(FM125="","",IF(ISNUMBER('Dvd Calendar'!$AM$1218)=FALSE,"",IF((('Dvd Calendar'!$AM$1220=TYPE1)*(TYPE1&lt;&gt;"")+('Dvd Calendar'!$AM$1220=TYPE2)*(TYPE2&lt;&gt;"")+('Dvd Calendar'!$AM$1220=TYPE3)*(TYPE3&lt;&gt;"")+('Dvd Calendar'!$AM$1220=TYPE4)*(TYPE4&lt;&gt;"")+('Dvd Calendar'!$AM$1220=SPECIAL_LBL)*(INC_SPECIALS="Y"))=0,"",'Dvd Calendar'!$AM$1218)))</f>
        <v/>
      </c>
      <c r="AL125" s="106">
        <f>IF(FN125="","",IF(ISNUMBER('Dvd Calendar'!$AN$1218)=FALSE,"",IF((('Dvd Calendar'!$AN$1220=TYPE1)*(TYPE1&lt;&gt;"")+('Dvd Calendar'!$AN$1220=TYPE2)*(TYPE2&lt;&gt;"")+('Dvd Calendar'!$AN$1220=TYPE3)*(TYPE3&lt;&gt;"")+('Dvd Calendar'!$AN$1220=TYPE4)*(TYPE4&lt;&gt;"")+('Dvd Calendar'!$AN$1220=SPECIAL_LBL)*(INC_SPECIALS="Y"))=0,"",'Dvd Calendar'!$AN$1218)))</f>
        <v/>
      </c>
      <c r="AM125" s="106">
        <f>IF(FO125="","",IF(ISNUMBER('Dvd Calendar'!$AO$1218)=FALSE,"",IF((('Dvd Calendar'!$AO$1220=TYPE1)*(TYPE1&lt;&gt;"")+('Dvd Calendar'!$AO$1220=TYPE2)*(TYPE2&lt;&gt;"")+('Dvd Calendar'!$AO$1220=TYPE3)*(TYPE3&lt;&gt;"")+('Dvd Calendar'!$AO$1220=TYPE4)*(TYPE4&lt;&gt;"")+('Dvd Calendar'!$AO$1220=SPECIAL_LBL)*(INC_SPECIALS="Y"))=0,"",'Dvd Calendar'!$AO$1218)))</f>
        <v/>
      </c>
      <c r="AN125" s="106">
        <f>IF(FP125="","",IF(ISNUMBER('Dvd Calendar'!$AP$1218)=FALSE,"",IF((('Dvd Calendar'!$AP$1220=TYPE1)*(TYPE1&lt;&gt;"")+('Dvd Calendar'!$AP$1220=TYPE2)*(TYPE2&lt;&gt;"")+('Dvd Calendar'!$AP$1220=TYPE3)*(TYPE3&lt;&gt;"")+('Dvd Calendar'!$AP$1220=TYPE4)*(TYPE4&lt;&gt;"")+('Dvd Calendar'!$AP$1220=SPECIAL_LBL)*(INC_SPECIALS="Y"))=0,"",'Dvd Calendar'!$AP$1218)))</f>
        <v/>
      </c>
      <c r="AO125" s="106">
        <f>IF(FQ125="","",IF(ISNUMBER('Dvd Calendar'!$AQ$1218)=FALSE,"",IF((('Dvd Calendar'!$AQ$1220=TYPE1)*(TYPE1&lt;&gt;"")+('Dvd Calendar'!$AQ$1220=TYPE2)*(TYPE2&lt;&gt;"")+('Dvd Calendar'!$AQ$1220=TYPE3)*(TYPE3&lt;&gt;"")+('Dvd Calendar'!$AQ$1220=TYPE4)*(TYPE4&lt;&gt;"")+('Dvd Calendar'!$AQ$1220=SPECIAL_LBL)*(INC_SPECIALS="Y"))=0,"",'Dvd Calendar'!$AQ$1218)))</f>
        <v/>
      </c>
      <c r="AP125" s="106">
        <f>IF(FR125="","",IF(ISNUMBER('Dvd Calendar'!$AR$1218)=FALSE,"",IF((('Dvd Calendar'!$AR$1220=TYPE1)*(TYPE1&lt;&gt;"")+('Dvd Calendar'!$AR$1220=TYPE2)*(TYPE2&lt;&gt;"")+('Dvd Calendar'!$AR$1220=TYPE3)*(TYPE3&lt;&gt;"")+('Dvd Calendar'!$AR$1220=TYPE4)*(TYPE4&lt;&gt;"")+('Dvd Calendar'!$AR$1220=SPECIAL_LBL)*(INC_SPECIALS="Y"))=0,"",'Dvd Calendar'!$AR$1218)))</f>
        <v/>
      </c>
      <c r="AQ125" s="106">
        <f>IF(FS125="","",IF(ISNUMBER('Dvd Calendar'!$E$1223)=FALSE,"",'Dvd Calendar'!$E$1223))</f>
        <v/>
      </c>
      <c r="AR125" s="106">
        <f>IF(FT125="","",IF(ISNUMBER('Dvd Calendar'!$F$1223)=FALSE,"",'Dvd Calendar'!$F$1223))</f>
        <v/>
      </c>
      <c r="AS125" s="106">
        <f>IF(FU125="","",IF(ISNUMBER('Dvd Calendar'!$G$1223)=FALSE,"",'Dvd Calendar'!$G$1223))</f>
        <v/>
      </c>
      <c r="AT125" s="106">
        <f>IF(FV125="","",IF(ISNUMBER('Dvd Calendar'!$H$1223)=FALSE,"",'Dvd Calendar'!$H$1223))</f>
        <v/>
      </c>
      <c r="AU125" s="106">
        <f>IF(FW125="","",IF(ISNUMBER('Dvd Calendar'!$I$1223)=FALSE,"",'Dvd Calendar'!$I$1223))</f>
        <v/>
      </c>
      <c r="AV125" s="106">
        <f>IF(FX125="","",IF(ISNUMBER('Dvd Calendar'!$J$1223)=FALSE,"",'Dvd Calendar'!$J$1223))</f>
        <v/>
      </c>
      <c r="AW125" s="106">
        <f>IF(FY125="","",IF(ISNUMBER('Dvd Calendar'!$K$1223)=FALSE,"",'Dvd Calendar'!$K$1223))</f>
        <v/>
      </c>
      <c r="AX125" s="106">
        <f>IF(FZ125="","",IF(ISNUMBER('Dvd Calendar'!$L$1223)=FALSE,"",'Dvd Calendar'!$L$1223))</f>
        <v/>
      </c>
      <c r="AY125" s="106">
        <f>IF(GA125="","",IF(ISNUMBER('Dvd Calendar'!$M$1223)=FALSE,"",'Dvd Calendar'!$M$1223))</f>
        <v/>
      </c>
      <c r="AZ125" s="106">
        <f>IF(GB125="","",IF(ISNUMBER('Dvd Calendar'!$N$1223)=FALSE,"",'Dvd Calendar'!$N$1223))</f>
        <v/>
      </c>
      <c r="BA125" s="106">
        <f>IF(GC125="","",IF(ISNUMBER('Dvd Calendar'!$O$1223)=FALSE,"",'Dvd Calendar'!$O$1223))</f>
        <v/>
      </c>
      <c r="BB125" s="106">
        <f>IF(GD125="","",IF(ISNUMBER('Dvd Calendar'!$P$1223)=FALSE,"",'Dvd Calendar'!$P$1223))</f>
        <v/>
      </c>
      <c r="BC125" s="106">
        <f>IF(GE125="","",IF(ISNUMBER('Dvd Calendar'!$Q$1223)=FALSE,"",'Dvd Calendar'!$Q$1223))</f>
        <v/>
      </c>
      <c r="BD125" s="106">
        <f>IF(GF125="","",IF(ISNUMBER('Dvd Calendar'!$R$1223)=FALSE,"",'Dvd Calendar'!$R$1223))</f>
        <v/>
      </c>
      <c r="BE125" s="106">
        <f>IF(GG125="","",IF(ISNUMBER('Dvd Calendar'!$S$1223)=FALSE,"",'Dvd Calendar'!$S$1223))</f>
        <v/>
      </c>
      <c r="BF125" s="106">
        <f>IF(GH125="","",IF(ISNUMBER('Dvd Calendar'!$T$1223)=FALSE,"",'Dvd Calendar'!$T$1223))</f>
        <v/>
      </c>
      <c r="BG125" s="106">
        <f>IF(GI125="","",IF(ISNUMBER('Dvd Calendar'!$U$1223)=FALSE,"",'Dvd Calendar'!$U$1223))</f>
        <v/>
      </c>
      <c r="BH125" s="106">
        <f>IF(GJ125="","",IF(ISNUMBER('Dvd Calendar'!$V$1223)=FALSE,"",'Dvd Calendar'!$V$1223))</f>
        <v/>
      </c>
      <c r="BI125" s="106">
        <f>IF(GK125="","",IF(ISNUMBER('Dvd Calendar'!$W$1223)=FALSE,"",'Dvd Calendar'!$W$1223))</f>
        <v/>
      </c>
      <c r="BJ125" s="106">
        <f>IF(GL125="","",IF(ISNUMBER('Dvd Calendar'!$X$1223)=FALSE,"",'Dvd Calendar'!$X$1223))</f>
        <v/>
      </c>
      <c r="BK125" s="106">
        <f>IF(GM125="","",IF(ISNUMBER('Dvd Calendar'!$Y$1223)=FALSE,"",'Dvd Calendar'!$Y$1223))</f>
        <v/>
      </c>
      <c r="BL125" s="106">
        <f>IF(GN125="","",IF(ISNUMBER('Dvd Calendar'!$Z$1223)=FALSE,"",'Dvd Calendar'!$Z$1223))</f>
        <v/>
      </c>
      <c r="BM125" s="106">
        <f>IF(GO125="","",IF(ISNUMBER('Dvd Calendar'!$AA$1223)=FALSE,"",'Dvd Calendar'!$AA$1223))</f>
        <v/>
      </c>
      <c r="BN125" s="106">
        <f>IF(GP125="","",IF(ISNUMBER('Dvd Calendar'!$AB$1223)=FALSE,"",'Dvd Calendar'!$AB$1223))</f>
        <v/>
      </c>
      <c r="BO125" s="106">
        <f>IF(GQ125="","",IF(ISNUMBER('Dvd Calendar'!$AC$1223)=FALSE,"",'Dvd Calendar'!$AC$1223))</f>
        <v/>
      </c>
      <c r="BQ125" s="106">
        <f>IF(C125="","",IFERROR(C125*HSTECH!$B$16*HSTECH!$G$16/HSTECH!$B$3,""))</f>
        <v/>
      </c>
      <c r="BR125" s="106">
        <f>IF(D125="","",IFERROR(D125*HSTECH!$B$16*HSTECH!$G$16/HSTECH!$B$3,""))</f>
        <v/>
      </c>
      <c r="BS125" s="106">
        <f>IF(E125="","",IFERROR(E125*HSTECH!$B$16*HSTECH!$G$16/HSTECH!$B$3,""))</f>
        <v/>
      </c>
      <c r="BT125" s="106">
        <f>IF(F125="","",IFERROR(F125*HSTECH!$B$16*HSTECH!$G$16/HSTECH!$B$3,""))</f>
        <v/>
      </c>
      <c r="BU125" s="106">
        <f>IF(G125="","",IFERROR(G125*HSTECH!$B$16*HSTECH!$G$16/HSTECH!$B$3,""))</f>
        <v/>
      </c>
      <c r="BV125" s="106">
        <f>IF(H125="","",IFERROR(H125*HSTECH!$B$16*HSTECH!$G$16/HSTECH!$B$3,""))</f>
        <v/>
      </c>
      <c r="BW125" s="106">
        <f>IF(I125="","",IFERROR(I125*HSTECH!$B$16*HSTECH!$G$16/HSTECH!$B$3,""))</f>
        <v/>
      </c>
      <c r="BX125" s="106">
        <f>IF(J125="","",IFERROR(J125*HSTECH!$B$16*HSTECH!$G$16/HSTECH!$B$3,""))</f>
        <v/>
      </c>
      <c r="BY125" s="106">
        <f>IF(K125="","",IFERROR(K125*HSTECH!$B$16*HSTECH!$G$16/HSTECH!$B$3,""))</f>
        <v/>
      </c>
      <c r="BZ125" s="106">
        <f>IF(L125="","",IFERROR(L125*HSTECH!$B$16*HSTECH!$G$16/HSTECH!$B$3,""))</f>
        <v/>
      </c>
      <c r="CA125" s="106">
        <f>IF(M125="","",IFERROR(M125*HSTECH!$B$16*HSTECH!$G$16/HSTECH!$B$3,""))</f>
        <v/>
      </c>
      <c r="CB125" s="106">
        <f>IF(N125="","",IFERROR(N125*HSTECH!$B$16*HSTECH!$G$16/HSTECH!$B$3,""))</f>
        <v/>
      </c>
      <c r="CC125" s="106">
        <f>IF(O125="","",IFERROR(O125*HSTECH!$B$16*HSTECH!$G$16/HSTECH!$B$3,""))</f>
        <v/>
      </c>
      <c r="CD125" s="106">
        <f>IF(P125="","",IFERROR(P125*HSTECH!$B$16*HSTECH!$G$16/HSTECH!$B$3,""))</f>
        <v/>
      </c>
      <c r="CE125" s="106">
        <f>IF(Q125="","",IFERROR(Q125*HSTECH!$B$16*HSTECH!$G$16/HSTECH!$B$3,""))</f>
        <v/>
      </c>
      <c r="CF125" s="106">
        <f>IF(R125="","",IFERROR(R125*HSTECH!$B$16*HSTECH!$G$16/HSTECH!$B$3,""))</f>
        <v/>
      </c>
      <c r="CG125" s="106">
        <f>IF(S125="","",IFERROR(S125*HSTECH!$B$16*HSTECH!$G$16/HSTECH!$B$3,""))</f>
        <v/>
      </c>
      <c r="CH125" s="106">
        <f>IF(T125="","",IFERROR(T125*HSTECH!$B$16*HSTECH!$G$16/HSTECH!$B$3,""))</f>
        <v/>
      </c>
      <c r="CI125" s="106">
        <f>IF(U125="","",IFERROR(U125*HSTECH!$B$16*HSTECH!$G$16/HSTECH!$B$3,""))</f>
        <v/>
      </c>
      <c r="CJ125" s="106">
        <f>IF(V125="","",IFERROR(V125*HSTECH!$B$16*HSTECH!$G$16/HSTECH!$B$3,""))</f>
        <v/>
      </c>
      <c r="CK125" s="106">
        <f>IF(W125="","",IFERROR(W125*HSTECH!$B$16*HSTECH!$G$16/HSTECH!$B$3,""))</f>
        <v/>
      </c>
      <c r="CL125" s="106">
        <f>IF(X125="","",IFERROR(X125*HSTECH!$B$16*HSTECH!$G$16/HSTECH!$B$3,""))</f>
        <v/>
      </c>
      <c r="CM125" s="106">
        <f>IF(Y125="","",IFERROR(Y125*HSTECH!$B$16*HSTECH!$G$16/HSTECH!$B$3,""))</f>
        <v/>
      </c>
      <c r="CN125" s="106">
        <f>IF(Z125="","",IFERROR(Z125*HSTECH!$B$16*HSTECH!$G$16/HSTECH!$B$3,""))</f>
        <v/>
      </c>
      <c r="CO125" s="106">
        <f>IF(AA125="","",IFERROR(AA125*HSTECH!$B$16*HSTECH!$G$16/HSTECH!$B$3,""))</f>
        <v/>
      </c>
      <c r="CP125" s="106">
        <f>IF(AB125="","",IFERROR(AB125*HSTECH!$B$16*HSTECH!$G$16/HSTECH!$B$3,""))</f>
        <v/>
      </c>
      <c r="CQ125" s="106">
        <f>IF(AC125="","",IFERROR(AC125*HSTECH!$B$16*HSTECH!$G$16/HSTECH!$B$3,""))</f>
        <v/>
      </c>
      <c r="CR125" s="106">
        <f>IF(AD125="","",IFERROR(AD125*HSTECH!$B$16*HSTECH!$G$16/HSTECH!$B$3,""))</f>
        <v/>
      </c>
      <c r="CS125" s="106">
        <f>IF(AE125="","",IFERROR(AE125*HSTECH!$B$16*HSTECH!$G$16/HSTECH!$B$3,""))</f>
        <v/>
      </c>
      <c r="CT125" s="106">
        <f>IF(AF125="","",IFERROR(AF125*HSTECH!$B$16*HSTECH!$G$16/HSTECH!$B$3,""))</f>
        <v/>
      </c>
      <c r="CU125" s="106">
        <f>IF(AG125="","",IFERROR(AG125*HSTECH!$B$16*HSTECH!$G$16/HSTECH!$B$3,""))</f>
        <v/>
      </c>
      <c r="CV125" s="106">
        <f>IF(AH125="","",IFERROR(AH125*HSTECH!$B$16*HSTECH!$G$16/HSTECH!$B$3,""))</f>
        <v/>
      </c>
      <c r="CW125" s="106">
        <f>IF(AI125="","",IFERROR(AI125*HSTECH!$B$16*HSTECH!$G$16/HSTECH!$B$3,""))</f>
        <v/>
      </c>
      <c r="CX125" s="106">
        <f>IF(AJ125="","",IFERROR(AJ125*HSTECH!$B$16*HSTECH!$G$16/HSTECH!$B$3,""))</f>
        <v/>
      </c>
      <c r="CY125" s="106">
        <f>IF(AK125="","",IFERROR(AK125*HSTECH!$B$16*HSTECH!$G$16/HSTECH!$B$3,""))</f>
        <v/>
      </c>
      <c r="CZ125" s="106">
        <f>IF(AL125="","",IFERROR(AL125*HSTECH!$B$16*HSTECH!$G$16/HSTECH!$B$3,""))</f>
        <v/>
      </c>
      <c r="DA125" s="106">
        <f>IF(AM125="","",IFERROR(AM125*HSTECH!$B$16*HSTECH!$G$16/HSTECH!$B$3,""))</f>
        <v/>
      </c>
      <c r="DB125" s="106">
        <f>IF(AN125="","",IFERROR(AN125*HSTECH!$B$16*HSTECH!$G$16/HSTECH!$B$3,""))</f>
        <v/>
      </c>
      <c r="DC125" s="106">
        <f>IF(AO125="","",IFERROR(AO125*HSTECH!$B$16*HSTECH!$G$16/HSTECH!$B$3,""))</f>
        <v/>
      </c>
      <c r="DD125" s="106">
        <f>IF(AP125="","",IFERROR(AP125*HSTECH!$B$16*HSTECH!$G$16/HSTECH!$B$3,""))</f>
        <v/>
      </c>
      <c r="DE125" s="106">
        <f>IF(AQ125="","",IFERROR(AQ125*HSTECH!$B$16*HSTECH!$G$16/HSTECH!$B$3,""))</f>
        <v/>
      </c>
      <c r="DF125" s="106">
        <f>IF(AR125="","",IFERROR(AR125*HSTECH!$B$16*HSTECH!$G$16/HSTECH!$B$3,""))</f>
        <v/>
      </c>
      <c r="DG125" s="106">
        <f>IF(AS125="","",IFERROR(AS125*HSTECH!$B$16*HSTECH!$G$16/HSTECH!$B$3,""))</f>
        <v/>
      </c>
      <c r="DH125" s="106">
        <f>IF(AT125="","",IFERROR(AT125*HSTECH!$B$16*HSTECH!$G$16/HSTECH!$B$3,""))</f>
        <v/>
      </c>
      <c r="DI125" s="106">
        <f>IF(AU125="","",IFERROR(AU125*HSTECH!$B$16*HSTECH!$G$16/HSTECH!$B$3,""))</f>
        <v/>
      </c>
      <c r="DJ125" s="106">
        <f>IF(AV125="","",IFERROR(AV125*HSTECH!$B$16*HSTECH!$G$16/HSTECH!$B$3,""))</f>
        <v/>
      </c>
      <c r="DK125" s="106">
        <f>IF(AW125="","",IFERROR(AW125*HSTECH!$B$16*HSTECH!$G$16/HSTECH!$B$3,""))</f>
        <v/>
      </c>
      <c r="DL125" s="106">
        <f>IF(AX125="","",IFERROR(AX125*HSTECH!$B$16*HSTECH!$G$16/HSTECH!$B$3,""))</f>
        <v/>
      </c>
      <c r="DM125" s="106">
        <f>IF(AY125="","",IFERROR(AY125*HSTECH!$B$16*HSTECH!$G$16/HSTECH!$B$3,""))</f>
        <v/>
      </c>
      <c r="DN125" s="106">
        <f>IF(AZ125="","",IFERROR(AZ125*HSTECH!$B$16*HSTECH!$G$16/HSTECH!$B$3,""))</f>
        <v/>
      </c>
      <c r="DO125" s="106">
        <f>IF(BA125="","",IFERROR(BA125*HSTECH!$B$16*HSTECH!$G$16/HSTECH!$B$3,""))</f>
        <v/>
      </c>
      <c r="DP125" s="106">
        <f>IF(BB125="","",IFERROR(BB125*HSTECH!$B$16*HSTECH!$G$16/HSTECH!$B$3,""))</f>
        <v/>
      </c>
      <c r="DQ125" s="106">
        <f>IF(BC125="","",IFERROR(BC125*HSTECH!$B$16*HSTECH!$G$16/HSTECH!$B$3,""))</f>
        <v/>
      </c>
      <c r="DR125" s="106">
        <f>IF(BD125="","",IFERROR(BD125*HSTECH!$B$16*HSTECH!$G$16/HSTECH!$B$3,""))</f>
        <v/>
      </c>
      <c r="DS125" s="106">
        <f>IF(BE125="","",IFERROR(BE125*HSTECH!$B$16*HSTECH!$G$16/HSTECH!$B$3,""))</f>
        <v/>
      </c>
      <c r="DT125" s="106">
        <f>IF(BF125="","",IFERROR(BF125*HSTECH!$B$16*HSTECH!$G$16/HSTECH!$B$3,""))</f>
        <v/>
      </c>
      <c r="DU125" s="106">
        <f>IF(BG125="","",IFERROR(BG125*HSTECH!$B$16*HSTECH!$G$16/HSTECH!$B$3,""))</f>
        <v/>
      </c>
      <c r="DV125" s="106">
        <f>IF(BH125="","",IFERROR(BH125*HSTECH!$B$16*HSTECH!$G$16/HSTECH!$B$3,""))</f>
        <v/>
      </c>
      <c r="DW125" s="106">
        <f>IF(BI125="","",IFERROR(BI125*HSTECH!$B$16*HSTECH!$G$16/HSTECH!$B$3,""))</f>
        <v/>
      </c>
      <c r="DX125" s="106">
        <f>IF(BJ125="","",IFERROR(BJ125*HSTECH!$B$16*HSTECH!$G$16/HSTECH!$B$3,""))</f>
        <v/>
      </c>
      <c r="DY125" s="106">
        <f>IF(BK125="","",IFERROR(BK125*HSTECH!$B$16*HSTECH!$G$16/HSTECH!$B$3,""))</f>
        <v/>
      </c>
      <c r="DZ125" s="106">
        <f>IF(BL125="","",IFERROR(BL125*HSTECH!$B$16*HSTECH!$G$16/HSTECH!$B$3,""))</f>
        <v/>
      </c>
      <c r="EA125" s="106">
        <f>IF(BM125="","",IFERROR(BM125*HSTECH!$B$16*HSTECH!$G$16/HSTECH!$B$3,""))</f>
        <v/>
      </c>
      <c r="EB125" s="106">
        <f>IF(BN125="","",IFERROR(BN125*HSTECH!$B$16*HSTECH!$G$16/HSTECH!$B$3,""))</f>
        <v/>
      </c>
      <c r="EC125" s="106">
        <f>IF(BO125="","",IFERROR(BO125*HSTECH!$B$16*HSTECH!$G$16/HSTECH!$B$3,""))</f>
        <v/>
      </c>
      <c r="EE125" s="35">
        <f>IF(N('Dvd Calendar'!$E$1215)=0,"",IF(('Dvd Calendar'!$E$1215&gt;=GRID_FROM)*('Dvd Calendar'!$E$1215&lt;=GRID_TO)*('Dvd Calendar'!$E$1215&lt;=VAL_DATE)=0,"",'Dvd Calendar'!$E$1215*1000000000+ISNUMBER('Dvd Calendar'!$E$1218)*100000000+('Dvd Calendar'!$E$1220=SPECIAL_LBL)*10000000+0*1000000+10*1000+1))</f>
        <v/>
      </c>
      <c r="EF125" s="35">
        <f>IF(N('Dvd Calendar'!$F$1215)=0,"",IF(('Dvd Calendar'!$F$1215&gt;=GRID_FROM)*('Dvd Calendar'!$F$1215&lt;=GRID_TO)*('Dvd Calendar'!$F$1215&lt;=VAL_DATE)=0,"",'Dvd Calendar'!$F$1215*1000000000+ISNUMBER('Dvd Calendar'!$F$1218)*100000000+('Dvd Calendar'!$F$1220=SPECIAL_LBL)*10000000+0*1000000+10*1000+2))</f>
        <v/>
      </c>
      <c r="EG125" s="35">
        <f>IF(N('Dvd Calendar'!$G$1215)=0,"",IF(('Dvd Calendar'!$G$1215&gt;=GRID_FROM)*('Dvd Calendar'!$G$1215&lt;=GRID_TO)*('Dvd Calendar'!$G$1215&lt;=VAL_DATE)=0,"",'Dvd Calendar'!$G$1215*1000000000+ISNUMBER('Dvd Calendar'!$G$1218)*100000000+('Dvd Calendar'!$G$1220=SPECIAL_LBL)*10000000+0*1000000+10*1000+3))</f>
        <v/>
      </c>
      <c r="EH125" s="35">
        <f>IF(N('Dvd Calendar'!$H$1215)=0,"",IF(('Dvd Calendar'!$H$1215&gt;=GRID_FROM)*('Dvd Calendar'!$H$1215&lt;=GRID_TO)*('Dvd Calendar'!$H$1215&lt;=VAL_DATE)=0,"",'Dvd Calendar'!$H$1215*1000000000+ISNUMBER('Dvd Calendar'!$H$1218)*100000000+('Dvd Calendar'!$H$1220=SPECIAL_LBL)*10000000+0*1000000+10*1000+4))</f>
        <v/>
      </c>
      <c r="EI125" s="35">
        <f>IF(N('Dvd Calendar'!$I$1215)=0,"",IF(('Dvd Calendar'!$I$1215&gt;=GRID_FROM)*('Dvd Calendar'!$I$1215&lt;=GRID_TO)*('Dvd Calendar'!$I$1215&lt;=VAL_DATE)=0,"",'Dvd Calendar'!$I$1215*1000000000+ISNUMBER('Dvd Calendar'!$I$1218)*100000000+('Dvd Calendar'!$I$1220=SPECIAL_LBL)*10000000+0*1000000+10*1000+5))</f>
        <v/>
      </c>
      <c r="EJ125" s="35">
        <f>IF(N('Dvd Calendar'!$J$1215)=0,"",IF(('Dvd Calendar'!$J$1215&gt;=GRID_FROM)*('Dvd Calendar'!$J$1215&lt;=GRID_TO)*('Dvd Calendar'!$J$1215&lt;=VAL_DATE)=0,"",'Dvd Calendar'!$J$1215*1000000000+ISNUMBER('Dvd Calendar'!$J$1218)*100000000+('Dvd Calendar'!$J$1220=SPECIAL_LBL)*10000000+0*1000000+10*1000+6))</f>
        <v/>
      </c>
      <c r="EK125" s="35">
        <f>IF(N('Dvd Calendar'!$K$1215)=0,"",IF(('Dvd Calendar'!$K$1215&gt;=GRID_FROM)*('Dvd Calendar'!$K$1215&lt;=GRID_TO)*('Dvd Calendar'!$K$1215&lt;=VAL_DATE)=0,"",'Dvd Calendar'!$K$1215*1000000000+ISNUMBER('Dvd Calendar'!$K$1218)*100000000+('Dvd Calendar'!$K$1220=SPECIAL_LBL)*10000000+0*1000000+10*1000+7))</f>
        <v/>
      </c>
      <c r="EL125" s="35">
        <f>IF(N('Dvd Calendar'!$L$1215)=0,"",IF(('Dvd Calendar'!$L$1215&gt;=GRID_FROM)*('Dvd Calendar'!$L$1215&lt;=GRID_TO)*('Dvd Calendar'!$L$1215&lt;=VAL_DATE)=0,"",'Dvd Calendar'!$L$1215*1000000000+ISNUMBER('Dvd Calendar'!$L$1218)*100000000+('Dvd Calendar'!$L$1220=SPECIAL_LBL)*10000000+0*1000000+10*1000+8))</f>
        <v/>
      </c>
      <c r="EM125" s="35">
        <f>IF(N('Dvd Calendar'!$M$1215)=0,"",IF(('Dvd Calendar'!$M$1215&gt;=GRID_FROM)*('Dvd Calendar'!$M$1215&lt;=GRID_TO)*('Dvd Calendar'!$M$1215&lt;=VAL_DATE)=0,"",'Dvd Calendar'!$M$1215*1000000000+ISNUMBER('Dvd Calendar'!$M$1218)*100000000+('Dvd Calendar'!$M$1220=SPECIAL_LBL)*10000000+0*1000000+10*1000+9))</f>
        <v/>
      </c>
      <c r="EN125" s="35">
        <f>IF(N('Dvd Calendar'!$N$1215)=0,"",IF(('Dvd Calendar'!$N$1215&gt;=GRID_FROM)*('Dvd Calendar'!$N$1215&lt;=GRID_TO)*('Dvd Calendar'!$N$1215&lt;=VAL_DATE)=0,"",'Dvd Calendar'!$N$1215*1000000000+ISNUMBER('Dvd Calendar'!$N$1218)*100000000+('Dvd Calendar'!$N$1220=SPECIAL_LBL)*10000000+0*1000000+10*1000+10))</f>
        <v/>
      </c>
      <c r="EO125" s="35">
        <f>IF(N('Dvd Calendar'!$O$1215)=0,"",IF(('Dvd Calendar'!$O$1215&gt;=GRID_FROM)*('Dvd Calendar'!$O$1215&lt;=GRID_TO)*('Dvd Calendar'!$O$1215&lt;=VAL_DATE)=0,"",'Dvd Calendar'!$O$1215*1000000000+ISNUMBER('Dvd Calendar'!$O$1218)*100000000+('Dvd Calendar'!$O$1220=SPECIAL_LBL)*10000000+0*1000000+10*1000+11))</f>
        <v/>
      </c>
      <c r="EP125" s="35">
        <f>IF(N('Dvd Calendar'!$P$1215)=0,"",IF(('Dvd Calendar'!$P$1215&gt;=GRID_FROM)*('Dvd Calendar'!$P$1215&lt;=GRID_TO)*('Dvd Calendar'!$P$1215&lt;=VAL_DATE)=0,"",'Dvd Calendar'!$P$1215*1000000000+ISNUMBER('Dvd Calendar'!$P$1218)*100000000+('Dvd Calendar'!$P$1220=SPECIAL_LBL)*10000000+0*1000000+10*1000+12))</f>
        <v/>
      </c>
      <c r="EQ125" s="35">
        <f>IF(N('Dvd Calendar'!$Q$1215)=0,"",IF(('Dvd Calendar'!$Q$1215&gt;=GRID_FROM)*('Dvd Calendar'!$Q$1215&lt;=GRID_TO)*('Dvd Calendar'!$Q$1215&lt;=VAL_DATE)=0,"",'Dvd Calendar'!$Q$1215*1000000000+ISNUMBER('Dvd Calendar'!$Q$1218)*100000000+('Dvd Calendar'!$Q$1220=SPECIAL_LBL)*10000000+0*1000000+10*1000+13))</f>
        <v/>
      </c>
      <c r="ER125" s="35">
        <f>IF(N('Dvd Calendar'!$R$1215)=0,"",IF(('Dvd Calendar'!$R$1215&gt;=GRID_FROM)*('Dvd Calendar'!$R$1215&lt;=GRID_TO)*('Dvd Calendar'!$R$1215&lt;=VAL_DATE)=0,"",'Dvd Calendar'!$R$1215*1000000000+ISNUMBER('Dvd Calendar'!$R$1218)*100000000+('Dvd Calendar'!$R$1220=SPECIAL_LBL)*10000000+0*1000000+10*1000+14))</f>
        <v/>
      </c>
      <c r="ES125" s="35">
        <f>IF(N('Dvd Calendar'!$S$1215)=0,"",IF(('Dvd Calendar'!$S$1215&gt;=GRID_FROM)*('Dvd Calendar'!$S$1215&lt;=GRID_TO)*('Dvd Calendar'!$S$1215&lt;=VAL_DATE)=0,"",'Dvd Calendar'!$S$1215*1000000000+ISNUMBER('Dvd Calendar'!$S$1218)*100000000+('Dvd Calendar'!$S$1220=SPECIAL_LBL)*10000000+0*1000000+10*1000+15))</f>
        <v/>
      </c>
      <c r="ET125" s="35">
        <f>IF(N('Dvd Calendar'!$T$1215)=0,"",IF(('Dvd Calendar'!$T$1215&gt;=GRID_FROM)*('Dvd Calendar'!$T$1215&lt;=GRID_TO)*('Dvd Calendar'!$T$1215&lt;=VAL_DATE)=0,"",'Dvd Calendar'!$T$1215*1000000000+ISNUMBER('Dvd Calendar'!$T$1218)*100000000+('Dvd Calendar'!$T$1220=SPECIAL_LBL)*10000000+0*1000000+10*1000+16))</f>
        <v/>
      </c>
      <c r="EU125" s="35">
        <f>IF(N('Dvd Calendar'!$U$1215)=0,"",IF(('Dvd Calendar'!$U$1215&gt;=GRID_FROM)*('Dvd Calendar'!$U$1215&lt;=GRID_TO)*('Dvd Calendar'!$U$1215&lt;=VAL_DATE)=0,"",'Dvd Calendar'!$U$1215*1000000000+ISNUMBER('Dvd Calendar'!$U$1218)*100000000+('Dvd Calendar'!$U$1220=SPECIAL_LBL)*10000000+0*1000000+10*1000+17))</f>
        <v/>
      </c>
      <c r="EV125" s="35">
        <f>IF(N('Dvd Calendar'!$V$1215)=0,"",IF(('Dvd Calendar'!$V$1215&gt;=GRID_FROM)*('Dvd Calendar'!$V$1215&lt;=GRID_TO)*('Dvd Calendar'!$V$1215&lt;=VAL_DATE)=0,"",'Dvd Calendar'!$V$1215*1000000000+ISNUMBER('Dvd Calendar'!$V$1218)*100000000+('Dvd Calendar'!$V$1220=SPECIAL_LBL)*10000000+0*1000000+10*1000+18))</f>
        <v/>
      </c>
      <c r="EW125" s="35">
        <f>IF(N('Dvd Calendar'!$W$1215)=0,"",IF(('Dvd Calendar'!$W$1215&gt;=GRID_FROM)*('Dvd Calendar'!$W$1215&lt;=GRID_TO)*('Dvd Calendar'!$W$1215&lt;=VAL_DATE)=0,"",'Dvd Calendar'!$W$1215*1000000000+ISNUMBER('Dvd Calendar'!$W$1218)*100000000+('Dvd Calendar'!$W$1220=SPECIAL_LBL)*10000000+0*1000000+10*1000+19))</f>
        <v/>
      </c>
      <c r="EX125" s="35">
        <f>IF(N('Dvd Calendar'!$X$1215)=0,"",IF(('Dvd Calendar'!$X$1215&gt;=GRID_FROM)*('Dvd Calendar'!$X$1215&lt;=GRID_TO)*('Dvd Calendar'!$X$1215&lt;=VAL_DATE)=0,"",'Dvd Calendar'!$X$1215*1000000000+ISNUMBER('Dvd Calendar'!$X$1218)*100000000+('Dvd Calendar'!$X$1220=SPECIAL_LBL)*10000000+0*1000000+10*1000+20))</f>
        <v/>
      </c>
      <c r="EY125" s="35">
        <f>IF(N('Dvd Calendar'!$Y$1215)=0,"",IF(('Dvd Calendar'!$Y$1215&gt;=GRID_FROM)*('Dvd Calendar'!$Y$1215&lt;=GRID_TO)*('Dvd Calendar'!$Y$1215&lt;=VAL_DATE)=0,"",'Dvd Calendar'!$Y$1215*1000000000+ISNUMBER('Dvd Calendar'!$Y$1218)*100000000+('Dvd Calendar'!$Y$1220=SPECIAL_LBL)*10000000+0*1000000+10*1000+21))</f>
        <v/>
      </c>
      <c r="EZ125" s="35">
        <f>IF(N('Dvd Calendar'!$Z$1215)=0,"",IF(('Dvd Calendar'!$Z$1215&gt;=GRID_FROM)*('Dvd Calendar'!$Z$1215&lt;=GRID_TO)*('Dvd Calendar'!$Z$1215&lt;=VAL_DATE)=0,"",'Dvd Calendar'!$Z$1215*1000000000+ISNUMBER('Dvd Calendar'!$Z$1218)*100000000+('Dvd Calendar'!$Z$1220=SPECIAL_LBL)*10000000+0*1000000+10*1000+22))</f>
        <v/>
      </c>
      <c r="FA125" s="35">
        <f>IF(N('Dvd Calendar'!$AA$1215)=0,"",IF(('Dvd Calendar'!$AA$1215&gt;=GRID_FROM)*('Dvd Calendar'!$AA$1215&lt;=GRID_TO)*('Dvd Calendar'!$AA$1215&lt;=VAL_DATE)=0,"",'Dvd Calendar'!$AA$1215*1000000000+ISNUMBER('Dvd Calendar'!$AA$1218)*100000000+('Dvd Calendar'!$AA$1220=SPECIAL_LBL)*10000000+0*1000000+10*1000+23))</f>
        <v/>
      </c>
      <c r="FB125" s="35">
        <f>IF(N('Dvd Calendar'!$AB$1215)=0,"",IF(('Dvd Calendar'!$AB$1215&gt;=GRID_FROM)*('Dvd Calendar'!$AB$1215&lt;=GRID_TO)*('Dvd Calendar'!$AB$1215&lt;=VAL_DATE)=0,"",'Dvd Calendar'!$AB$1215*1000000000+ISNUMBER('Dvd Calendar'!$AB$1218)*100000000+('Dvd Calendar'!$AB$1220=SPECIAL_LBL)*10000000+0*1000000+10*1000+24))</f>
        <v/>
      </c>
      <c r="FC125" s="35">
        <f>IF(N('Dvd Calendar'!$AC$1215)=0,"",IF(('Dvd Calendar'!$AC$1215&gt;=GRID_FROM)*('Dvd Calendar'!$AC$1215&lt;=GRID_TO)*('Dvd Calendar'!$AC$1215&lt;=VAL_DATE)=0,"",'Dvd Calendar'!$AC$1215*1000000000+ISNUMBER('Dvd Calendar'!$AC$1218)*100000000+('Dvd Calendar'!$AC$1220=SPECIAL_LBL)*10000000+0*1000000+10*1000+25))</f>
        <v/>
      </c>
      <c r="FD125" s="35">
        <f>IF(N('Dvd Calendar'!$AD$1215)=0,"",IF(('Dvd Calendar'!$AD$1215&gt;=GRID_FROM)*('Dvd Calendar'!$AD$1215&lt;=GRID_TO)*('Dvd Calendar'!$AD$1215&lt;=VAL_DATE)=0,"",'Dvd Calendar'!$AD$1215*1000000000+ISNUMBER('Dvd Calendar'!$AD$1218)*100000000+('Dvd Calendar'!$AD$1220=SPECIAL_LBL)*10000000+0*1000000+10*1000+26))</f>
        <v/>
      </c>
      <c r="FE125" s="35">
        <f>IF(N('Dvd Calendar'!$AE$1215)=0,"",IF(('Dvd Calendar'!$AE$1215&gt;=GRID_FROM)*('Dvd Calendar'!$AE$1215&lt;=GRID_TO)*('Dvd Calendar'!$AE$1215&lt;=VAL_DATE)=0,"",'Dvd Calendar'!$AE$1215*1000000000+ISNUMBER('Dvd Calendar'!$AE$1218)*100000000+('Dvd Calendar'!$AE$1220=SPECIAL_LBL)*10000000+0*1000000+10*1000+27))</f>
        <v/>
      </c>
      <c r="FF125" s="35">
        <f>IF(N('Dvd Calendar'!$AF$1215)=0,"",IF(('Dvd Calendar'!$AF$1215&gt;=GRID_FROM)*('Dvd Calendar'!$AF$1215&lt;=GRID_TO)*('Dvd Calendar'!$AF$1215&lt;=VAL_DATE)=0,"",'Dvd Calendar'!$AF$1215*1000000000+ISNUMBER('Dvd Calendar'!$AF$1218)*100000000+('Dvd Calendar'!$AF$1220=SPECIAL_LBL)*10000000+0*1000000+10*1000+28))</f>
        <v/>
      </c>
      <c r="FG125" s="35">
        <f>IF(N('Dvd Calendar'!$AG$1215)=0,"",IF(('Dvd Calendar'!$AG$1215&gt;=GRID_FROM)*('Dvd Calendar'!$AG$1215&lt;=GRID_TO)*('Dvd Calendar'!$AG$1215&lt;=VAL_DATE)=0,"",'Dvd Calendar'!$AG$1215*1000000000+ISNUMBER('Dvd Calendar'!$AG$1218)*100000000+('Dvd Calendar'!$AG$1220=SPECIAL_LBL)*10000000+0*1000000+10*1000+29))</f>
        <v/>
      </c>
      <c r="FH125" s="35">
        <f>IF(N('Dvd Calendar'!$AH$1215)=0,"",IF(('Dvd Calendar'!$AH$1215&gt;=GRID_FROM)*('Dvd Calendar'!$AH$1215&lt;=GRID_TO)*('Dvd Calendar'!$AH$1215&lt;=VAL_DATE)=0,"",'Dvd Calendar'!$AH$1215*1000000000+ISNUMBER('Dvd Calendar'!$AH$1218)*100000000+('Dvd Calendar'!$AH$1220=SPECIAL_LBL)*10000000+0*1000000+10*1000+30))</f>
        <v/>
      </c>
      <c r="FI125" s="35">
        <f>IF(N('Dvd Calendar'!$AI$1215)=0,"",IF(('Dvd Calendar'!$AI$1215&gt;=GRID_FROM)*('Dvd Calendar'!$AI$1215&lt;=GRID_TO)*('Dvd Calendar'!$AI$1215&lt;=VAL_DATE)=0,"",'Dvd Calendar'!$AI$1215*1000000000+ISNUMBER('Dvd Calendar'!$AI$1218)*100000000+('Dvd Calendar'!$AI$1220=SPECIAL_LBL)*10000000+0*1000000+10*1000+31))</f>
        <v/>
      </c>
      <c r="FJ125" s="35">
        <f>IF(N('Dvd Calendar'!$AJ$1215)=0,"",IF(('Dvd Calendar'!$AJ$1215&gt;=GRID_FROM)*('Dvd Calendar'!$AJ$1215&lt;=GRID_TO)*('Dvd Calendar'!$AJ$1215&lt;=VAL_DATE)=0,"",'Dvd Calendar'!$AJ$1215*1000000000+ISNUMBER('Dvd Calendar'!$AJ$1218)*100000000+('Dvd Calendar'!$AJ$1220=SPECIAL_LBL)*10000000+0*1000000+10*1000+32))</f>
        <v/>
      </c>
      <c r="FK125" s="35">
        <f>IF(N('Dvd Calendar'!$AK$1215)=0,"",IF(('Dvd Calendar'!$AK$1215&gt;=GRID_FROM)*('Dvd Calendar'!$AK$1215&lt;=GRID_TO)*('Dvd Calendar'!$AK$1215&lt;=VAL_DATE)=0,"",'Dvd Calendar'!$AK$1215*1000000000+ISNUMBER('Dvd Calendar'!$AK$1218)*100000000+('Dvd Calendar'!$AK$1220=SPECIAL_LBL)*10000000+0*1000000+10*1000+33))</f>
        <v/>
      </c>
      <c r="FL125" s="35">
        <f>IF(N('Dvd Calendar'!$AL$1215)=0,"",IF(('Dvd Calendar'!$AL$1215&gt;=GRID_FROM)*('Dvd Calendar'!$AL$1215&lt;=GRID_TO)*('Dvd Calendar'!$AL$1215&lt;=VAL_DATE)=0,"",'Dvd Calendar'!$AL$1215*1000000000+ISNUMBER('Dvd Calendar'!$AL$1218)*100000000+('Dvd Calendar'!$AL$1220=SPECIAL_LBL)*10000000+0*1000000+10*1000+34))</f>
        <v/>
      </c>
      <c r="FM125" s="35">
        <f>IF(N('Dvd Calendar'!$AM$1215)=0,"",IF(('Dvd Calendar'!$AM$1215&gt;=GRID_FROM)*('Dvd Calendar'!$AM$1215&lt;=GRID_TO)*('Dvd Calendar'!$AM$1215&lt;=VAL_DATE)=0,"",'Dvd Calendar'!$AM$1215*1000000000+ISNUMBER('Dvd Calendar'!$AM$1218)*100000000+('Dvd Calendar'!$AM$1220=SPECIAL_LBL)*10000000+0*1000000+10*1000+35))</f>
        <v/>
      </c>
      <c r="FN125" s="35">
        <f>IF(N('Dvd Calendar'!$AN$1215)=0,"",IF(('Dvd Calendar'!$AN$1215&gt;=GRID_FROM)*('Dvd Calendar'!$AN$1215&lt;=GRID_TO)*('Dvd Calendar'!$AN$1215&lt;=VAL_DATE)=0,"",'Dvd Calendar'!$AN$1215*1000000000+ISNUMBER('Dvd Calendar'!$AN$1218)*100000000+('Dvd Calendar'!$AN$1220=SPECIAL_LBL)*10000000+0*1000000+10*1000+36))</f>
        <v/>
      </c>
      <c r="FO125" s="35">
        <f>IF(N('Dvd Calendar'!$AO$1215)=0,"",IF(('Dvd Calendar'!$AO$1215&gt;=GRID_FROM)*('Dvd Calendar'!$AO$1215&lt;=GRID_TO)*('Dvd Calendar'!$AO$1215&lt;=VAL_DATE)=0,"",'Dvd Calendar'!$AO$1215*1000000000+ISNUMBER('Dvd Calendar'!$AO$1218)*100000000+('Dvd Calendar'!$AO$1220=SPECIAL_LBL)*10000000+0*1000000+10*1000+37))</f>
        <v/>
      </c>
      <c r="FP125" s="35">
        <f>IF(N('Dvd Calendar'!$AP$1215)=0,"",IF(('Dvd Calendar'!$AP$1215&gt;=GRID_FROM)*('Dvd Calendar'!$AP$1215&lt;=GRID_TO)*('Dvd Calendar'!$AP$1215&lt;=VAL_DATE)=0,"",'Dvd Calendar'!$AP$1215*1000000000+ISNUMBER('Dvd Calendar'!$AP$1218)*100000000+('Dvd Calendar'!$AP$1220=SPECIAL_LBL)*10000000+0*1000000+10*1000+38))</f>
        <v/>
      </c>
      <c r="FQ125" s="35">
        <f>IF(N('Dvd Calendar'!$AQ$1215)=0,"",IF(('Dvd Calendar'!$AQ$1215&gt;=GRID_FROM)*('Dvd Calendar'!$AQ$1215&lt;=GRID_TO)*('Dvd Calendar'!$AQ$1215&lt;=VAL_DATE)=0,"",'Dvd Calendar'!$AQ$1215*1000000000+ISNUMBER('Dvd Calendar'!$AQ$1218)*100000000+('Dvd Calendar'!$AQ$1220=SPECIAL_LBL)*10000000+0*1000000+10*1000+39))</f>
        <v/>
      </c>
      <c r="FR125" s="35">
        <f>IF(N('Dvd Calendar'!$AR$1215)=0,"",IF(('Dvd Calendar'!$AR$1215&gt;=GRID_FROM)*('Dvd Calendar'!$AR$1215&lt;=GRID_TO)*('Dvd Calendar'!$AR$1215&lt;=VAL_DATE)=0,"",'Dvd Calendar'!$AR$1215*1000000000+ISNUMBER('Dvd Calendar'!$AR$1218)*100000000+('Dvd Calendar'!$AR$1220=SPECIAL_LBL)*10000000+0*1000000+10*1000+40))</f>
        <v/>
      </c>
      <c r="FS125" s="35">
        <f>IF(N('Dvd Calendar'!$E$1222)=0,"",IF(('Dvd Calendar'!$E$1222&gt;=GRID_FROM)*('Dvd Calendar'!$E$1222&lt;=GRID_TO)*('Dvd Calendar'!$E$1222&gt;VAL_DATE)=0,"",'Dvd Calendar'!$E$1222*1000000000+ISNUMBER('Dvd Calendar'!$E$1223)*100000000+0*10000000+(N('Dvd Calendar'!$E$1221)&gt;0)*(N('Dvd Calendar'!$E$1221)&lt;=VAL_SERIAL)*1000000+10*1000+41))</f>
        <v/>
      </c>
      <c r="FT125" s="35">
        <f>IF(N('Dvd Calendar'!$F$1222)=0,"",IF(('Dvd Calendar'!$F$1222&gt;=GRID_FROM)*('Dvd Calendar'!$F$1222&lt;=GRID_TO)*('Dvd Calendar'!$F$1222&gt;VAL_DATE)=0,"",'Dvd Calendar'!$F$1222*1000000000+ISNUMBER('Dvd Calendar'!$F$1223)*100000000+0*10000000+(N('Dvd Calendar'!$F$1221)&gt;0)*(N('Dvd Calendar'!$F$1221)&lt;=VAL_SERIAL)*1000000+10*1000+42))</f>
        <v/>
      </c>
      <c r="FU125" s="35">
        <f>IF(N('Dvd Calendar'!$G$1222)=0,"",IF(('Dvd Calendar'!$G$1222&gt;=GRID_FROM)*('Dvd Calendar'!$G$1222&lt;=GRID_TO)*('Dvd Calendar'!$G$1222&gt;VAL_DATE)=0,"",'Dvd Calendar'!$G$1222*1000000000+ISNUMBER('Dvd Calendar'!$G$1223)*100000000+0*10000000+(N('Dvd Calendar'!$G$1221)&gt;0)*(N('Dvd Calendar'!$G$1221)&lt;=VAL_SERIAL)*1000000+10*1000+43))</f>
        <v/>
      </c>
      <c r="FV125" s="35">
        <f>IF(N('Dvd Calendar'!$H$1222)=0,"",IF(('Dvd Calendar'!$H$1222&gt;=GRID_FROM)*('Dvd Calendar'!$H$1222&lt;=GRID_TO)*('Dvd Calendar'!$H$1222&gt;VAL_DATE)=0,"",'Dvd Calendar'!$H$1222*1000000000+ISNUMBER('Dvd Calendar'!$H$1223)*100000000+0*10000000+(N('Dvd Calendar'!$H$1221)&gt;0)*(N('Dvd Calendar'!$H$1221)&lt;=VAL_SERIAL)*1000000+10*1000+44))</f>
        <v/>
      </c>
      <c r="FW125" s="35">
        <f>IF(N('Dvd Calendar'!$I$1222)=0,"",IF(('Dvd Calendar'!$I$1222&gt;=GRID_FROM)*('Dvd Calendar'!$I$1222&lt;=GRID_TO)*('Dvd Calendar'!$I$1222&gt;VAL_DATE)=0,"",'Dvd Calendar'!$I$1222*1000000000+ISNUMBER('Dvd Calendar'!$I$1223)*100000000+0*10000000+(N('Dvd Calendar'!$I$1221)&gt;0)*(N('Dvd Calendar'!$I$1221)&lt;=VAL_SERIAL)*1000000+10*1000+45))</f>
        <v/>
      </c>
      <c r="FX125" s="35">
        <f>IF(N('Dvd Calendar'!$J$1222)=0,"",IF(('Dvd Calendar'!$J$1222&gt;=GRID_FROM)*('Dvd Calendar'!$J$1222&lt;=GRID_TO)*('Dvd Calendar'!$J$1222&gt;VAL_DATE)=0,"",'Dvd Calendar'!$J$1222*1000000000+ISNUMBER('Dvd Calendar'!$J$1223)*100000000+0*10000000+(N('Dvd Calendar'!$J$1221)&gt;0)*(N('Dvd Calendar'!$J$1221)&lt;=VAL_SERIAL)*1000000+10*1000+46))</f>
        <v/>
      </c>
      <c r="FY125" s="35">
        <f>IF(N('Dvd Calendar'!$K$1222)=0,"",IF(('Dvd Calendar'!$K$1222&gt;=GRID_FROM)*('Dvd Calendar'!$K$1222&lt;=GRID_TO)*('Dvd Calendar'!$K$1222&gt;VAL_DATE)=0,"",'Dvd Calendar'!$K$1222*1000000000+ISNUMBER('Dvd Calendar'!$K$1223)*100000000+0*10000000+(N('Dvd Calendar'!$K$1221)&gt;0)*(N('Dvd Calendar'!$K$1221)&lt;=VAL_SERIAL)*1000000+10*1000+47))</f>
        <v/>
      </c>
      <c r="FZ125" s="35">
        <f>IF(N('Dvd Calendar'!$L$1222)=0,"",IF(('Dvd Calendar'!$L$1222&gt;=GRID_FROM)*('Dvd Calendar'!$L$1222&lt;=GRID_TO)*('Dvd Calendar'!$L$1222&gt;VAL_DATE)=0,"",'Dvd Calendar'!$L$1222*1000000000+ISNUMBER('Dvd Calendar'!$L$1223)*100000000+0*10000000+(N('Dvd Calendar'!$L$1221)&gt;0)*(N('Dvd Calendar'!$L$1221)&lt;=VAL_SERIAL)*1000000+10*1000+48))</f>
        <v/>
      </c>
      <c r="GA125" s="35">
        <f>IF(N('Dvd Calendar'!$M$1222)=0,"",IF(('Dvd Calendar'!$M$1222&gt;=GRID_FROM)*('Dvd Calendar'!$M$1222&lt;=GRID_TO)*('Dvd Calendar'!$M$1222&gt;VAL_DATE)=0,"",'Dvd Calendar'!$M$1222*1000000000+ISNUMBER('Dvd Calendar'!$M$1223)*100000000+0*10000000+(N('Dvd Calendar'!$M$1221)&gt;0)*(N('Dvd Calendar'!$M$1221)&lt;=VAL_SERIAL)*1000000+10*1000+49))</f>
        <v/>
      </c>
      <c r="GB125" s="35">
        <f>IF(N('Dvd Calendar'!$N$1222)=0,"",IF(('Dvd Calendar'!$N$1222&gt;=GRID_FROM)*('Dvd Calendar'!$N$1222&lt;=GRID_TO)*('Dvd Calendar'!$N$1222&gt;VAL_DATE)=0,"",'Dvd Calendar'!$N$1222*1000000000+ISNUMBER('Dvd Calendar'!$N$1223)*100000000+0*10000000+(N('Dvd Calendar'!$N$1221)&gt;0)*(N('Dvd Calendar'!$N$1221)&lt;=VAL_SERIAL)*1000000+10*1000+50))</f>
        <v/>
      </c>
      <c r="GC125" s="35">
        <f>IF(N('Dvd Calendar'!$O$1222)=0,"",IF(('Dvd Calendar'!$O$1222&gt;=GRID_FROM)*('Dvd Calendar'!$O$1222&lt;=GRID_TO)*('Dvd Calendar'!$O$1222&gt;VAL_DATE)=0,"",'Dvd Calendar'!$O$1222*1000000000+ISNUMBER('Dvd Calendar'!$O$1223)*100000000+0*10000000+(N('Dvd Calendar'!$O$1221)&gt;0)*(N('Dvd Calendar'!$O$1221)&lt;=VAL_SERIAL)*1000000+10*1000+51))</f>
        <v/>
      </c>
      <c r="GD125" s="35">
        <f>IF(N('Dvd Calendar'!$P$1222)=0,"",IF(('Dvd Calendar'!$P$1222&gt;=GRID_FROM)*('Dvd Calendar'!$P$1222&lt;=GRID_TO)*('Dvd Calendar'!$P$1222&gt;VAL_DATE)=0,"",'Dvd Calendar'!$P$1222*1000000000+ISNUMBER('Dvd Calendar'!$P$1223)*100000000+0*10000000+(N('Dvd Calendar'!$P$1221)&gt;0)*(N('Dvd Calendar'!$P$1221)&lt;=VAL_SERIAL)*1000000+10*1000+52))</f>
        <v/>
      </c>
      <c r="GE125" s="35">
        <f>IF(N('Dvd Calendar'!$Q$1222)=0,"",IF(('Dvd Calendar'!$Q$1222&gt;=GRID_FROM)*('Dvd Calendar'!$Q$1222&lt;=GRID_TO)*('Dvd Calendar'!$Q$1222&gt;VAL_DATE)=0,"",'Dvd Calendar'!$Q$1222*1000000000+ISNUMBER('Dvd Calendar'!$Q$1223)*100000000+0*10000000+(N('Dvd Calendar'!$Q$1221)&gt;0)*(N('Dvd Calendar'!$Q$1221)&lt;=VAL_SERIAL)*1000000+10*1000+53))</f>
        <v/>
      </c>
      <c r="GF125" s="35">
        <f>IF(N('Dvd Calendar'!$R$1222)=0,"",IF(('Dvd Calendar'!$R$1222&gt;=GRID_FROM)*('Dvd Calendar'!$R$1222&lt;=GRID_TO)*('Dvd Calendar'!$R$1222&gt;VAL_DATE)=0,"",'Dvd Calendar'!$R$1222*1000000000+ISNUMBER('Dvd Calendar'!$R$1223)*100000000+0*10000000+(N('Dvd Calendar'!$R$1221)&gt;0)*(N('Dvd Calendar'!$R$1221)&lt;=VAL_SERIAL)*1000000+10*1000+54))</f>
        <v/>
      </c>
      <c r="GG125" s="35">
        <f>IF(N('Dvd Calendar'!$S$1222)=0,"",IF(('Dvd Calendar'!$S$1222&gt;=GRID_FROM)*('Dvd Calendar'!$S$1222&lt;=GRID_TO)*('Dvd Calendar'!$S$1222&gt;VAL_DATE)=0,"",'Dvd Calendar'!$S$1222*1000000000+ISNUMBER('Dvd Calendar'!$S$1223)*100000000+0*10000000+(N('Dvd Calendar'!$S$1221)&gt;0)*(N('Dvd Calendar'!$S$1221)&lt;=VAL_SERIAL)*1000000+10*1000+55))</f>
        <v/>
      </c>
      <c r="GH125" s="35">
        <f>IF(N('Dvd Calendar'!$T$1222)=0,"",IF(('Dvd Calendar'!$T$1222&gt;=GRID_FROM)*('Dvd Calendar'!$T$1222&lt;=GRID_TO)*('Dvd Calendar'!$T$1222&gt;VAL_DATE)=0,"",'Dvd Calendar'!$T$1222*1000000000+ISNUMBER('Dvd Calendar'!$T$1223)*100000000+0*10000000+(N('Dvd Calendar'!$T$1221)&gt;0)*(N('Dvd Calendar'!$T$1221)&lt;=VAL_SERIAL)*1000000+10*1000+56))</f>
        <v/>
      </c>
      <c r="GI125" s="35">
        <f>IF(N('Dvd Calendar'!$U$1222)=0,"",IF(('Dvd Calendar'!$U$1222&gt;=GRID_FROM)*('Dvd Calendar'!$U$1222&lt;=GRID_TO)*('Dvd Calendar'!$U$1222&gt;VAL_DATE)=0,"",'Dvd Calendar'!$U$1222*1000000000+ISNUMBER('Dvd Calendar'!$U$1223)*100000000+0*10000000+(N('Dvd Calendar'!$U$1221)&gt;0)*(N('Dvd Calendar'!$U$1221)&lt;=VAL_SERIAL)*1000000+10*1000+57))</f>
        <v/>
      </c>
      <c r="GJ125" s="35">
        <f>IF(N('Dvd Calendar'!$V$1222)=0,"",IF(('Dvd Calendar'!$V$1222&gt;=GRID_FROM)*('Dvd Calendar'!$V$1222&lt;=GRID_TO)*('Dvd Calendar'!$V$1222&gt;VAL_DATE)=0,"",'Dvd Calendar'!$V$1222*1000000000+ISNUMBER('Dvd Calendar'!$V$1223)*100000000+0*10000000+(N('Dvd Calendar'!$V$1221)&gt;0)*(N('Dvd Calendar'!$V$1221)&lt;=VAL_SERIAL)*1000000+10*1000+58))</f>
        <v/>
      </c>
      <c r="GK125" s="35">
        <f>IF(N('Dvd Calendar'!$W$1222)=0,"",IF(('Dvd Calendar'!$W$1222&gt;=GRID_FROM)*('Dvd Calendar'!$W$1222&lt;=GRID_TO)*('Dvd Calendar'!$W$1222&gt;VAL_DATE)=0,"",'Dvd Calendar'!$W$1222*1000000000+ISNUMBER('Dvd Calendar'!$W$1223)*100000000+0*10000000+(N('Dvd Calendar'!$W$1221)&gt;0)*(N('Dvd Calendar'!$W$1221)&lt;=VAL_SERIAL)*1000000+10*1000+59))</f>
        <v/>
      </c>
      <c r="GL125" s="35">
        <f>IF(N('Dvd Calendar'!$X$1222)=0,"",IF(('Dvd Calendar'!$X$1222&gt;=GRID_FROM)*('Dvd Calendar'!$X$1222&lt;=GRID_TO)*('Dvd Calendar'!$X$1222&gt;VAL_DATE)=0,"",'Dvd Calendar'!$X$1222*1000000000+ISNUMBER('Dvd Calendar'!$X$1223)*100000000+0*10000000+(N('Dvd Calendar'!$X$1221)&gt;0)*(N('Dvd Calendar'!$X$1221)&lt;=VAL_SERIAL)*1000000+10*1000+60))</f>
        <v/>
      </c>
      <c r="GM125" s="35">
        <f>IF(N('Dvd Calendar'!$Y$1222)=0,"",IF(('Dvd Calendar'!$Y$1222&gt;=GRID_FROM)*('Dvd Calendar'!$Y$1222&lt;=GRID_TO)*('Dvd Calendar'!$Y$1222&gt;VAL_DATE)=0,"",'Dvd Calendar'!$Y$1222*1000000000+ISNUMBER('Dvd Calendar'!$Y$1223)*100000000+0*10000000+(N('Dvd Calendar'!$Y$1221)&gt;0)*(N('Dvd Calendar'!$Y$1221)&lt;=VAL_SERIAL)*1000000+10*1000+61))</f>
        <v/>
      </c>
      <c r="GN125" s="35">
        <f>IF(N('Dvd Calendar'!$Z$1222)=0,"",IF(('Dvd Calendar'!$Z$1222&gt;=GRID_FROM)*('Dvd Calendar'!$Z$1222&lt;=GRID_TO)*('Dvd Calendar'!$Z$1222&gt;VAL_DATE)=0,"",'Dvd Calendar'!$Z$1222*1000000000+ISNUMBER('Dvd Calendar'!$Z$1223)*100000000+0*10000000+(N('Dvd Calendar'!$Z$1221)&gt;0)*(N('Dvd Calendar'!$Z$1221)&lt;=VAL_SERIAL)*1000000+10*1000+62))</f>
        <v/>
      </c>
      <c r="GO125" s="35">
        <f>IF(N('Dvd Calendar'!$AA$1222)=0,"",IF(('Dvd Calendar'!$AA$1222&gt;=GRID_FROM)*('Dvd Calendar'!$AA$1222&lt;=GRID_TO)*('Dvd Calendar'!$AA$1222&gt;VAL_DATE)=0,"",'Dvd Calendar'!$AA$1222*1000000000+ISNUMBER('Dvd Calendar'!$AA$1223)*100000000+0*10000000+(N('Dvd Calendar'!$AA$1221)&gt;0)*(N('Dvd Calendar'!$AA$1221)&lt;=VAL_SERIAL)*1000000+10*1000+63))</f>
        <v/>
      </c>
      <c r="GP125" s="35">
        <f>IF(N('Dvd Calendar'!$AB$1222)=0,"",IF(('Dvd Calendar'!$AB$1222&gt;=GRID_FROM)*('Dvd Calendar'!$AB$1222&lt;=GRID_TO)*('Dvd Calendar'!$AB$1222&gt;VAL_DATE)=0,"",'Dvd Calendar'!$AB$1222*1000000000+ISNUMBER('Dvd Calendar'!$AB$1223)*100000000+0*10000000+(N('Dvd Calendar'!$AB$1221)&gt;0)*(N('Dvd Calendar'!$AB$1221)&lt;=VAL_SERIAL)*1000000+10*1000+64))</f>
        <v/>
      </c>
      <c r="GQ125" s="35">
        <f>IF(N('Dvd Calendar'!$AC$1222)=0,"",IF(('Dvd Calendar'!$AC$1222&gt;=GRID_FROM)*('Dvd Calendar'!$AC$1222&lt;=GRID_TO)*('Dvd Calendar'!$AC$1222&gt;VAL_DATE)=0,"",'Dvd Calendar'!$AC$1222*1000000000+ISNUMBER('Dvd Calendar'!$AC$1223)*100000000+0*10000000+(N('Dvd Calendar'!$AC$1221)&gt;0)*(N('Dvd Calendar'!$AC$1221)&lt;=VAL_SERIAL)*1000000+10*1000+65))</f>
        <v/>
      </c>
    </row>
    <row r="126">
      <c r="B126" s="2">
        <f>IF(HSTECH!$C$17="","",HSTECH!$C$17)</f>
        <v/>
      </c>
      <c r="C126" s="106">
        <f>IF(EE126="","",IF(ISNUMBER('Dvd Calendar'!$E$1229)=FALSE,"",IF((('Dvd Calendar'!$E$1231=TYPE1)*(TYPE1&lt;&gt;"")+('Dvd Calendar'!$E$1231=TYPE2)*(TYPE2&lt;&gt;"")+('Dvd Calendar'!$E$1231=TYPE3)*(TYPE3&lt;&gt;"")+('Dvd Calendar'!$E$1231=TYPE4)*(TYPE4&lt;&gt;"")+('Dvd Calendar'!$E$1231=SPECIAL_LBL)*(INC_SPECIALS="Y"))=0,"",'Dvd Calendar'!$E$1229)))</f>
        <v/>
      </c>
      <c r="D126" s="106">
        <f>IF(EF126="","",IF(ISNUMBER('Dvd Calendar'!$F$1229)=FALSE,"",IF((('Dvd Calendar'!$F$1231=TYPE1)*(TYPE1&lt;&gt;"")+('Dvd Calendar'!$F$1231=TYPE2)*(TYPE2&lt;&gt;"")+('Dvd Calendar'!$F$1231=TYPE3)*(TYPE3&lt;&gt;"")+('Dvd Calendar'!$F$1231=TYPE4)*(TYPE4&lt;&gt;"")+('Dvd Calendar'!$F$1231=SPECIAL_LBL)*(INC_SPECIALS="Y"))=0,"",'Dvd Calendar'!$F$1229)))</f>
        <v/>
      </c>
      <c r="E126" s="106">
        <f>IF(EG126="","",IF(ISNUMBER('Dvd Calendar'!$G$1229)=FALSE,"",IF((('Dvd Calendar'!$G$1231=TYPE1)*(TYPE1&lt;&gt;"")+('Dvd Calendar'!$G$1231=TYPE2)*(TYPE2&lt;&gt;"")+('Dvd Calendar'!$G$1231=TYPE3)*(TYPE3&lt;&gt;"")+('Dvd Calendar'!$G$1231=TYPE4)*(TYPE4&lt;&gt;"")+('Dvd Calendar'!$G$1231=SPECIAL_LBL)*(INC_SPECIALS="Y"))=0,"",'Dvd Calendar'!$G$1229)))</f>
        <v/>
      </c>
      <c r="F126" s="106">
        <f>IF(EH126="","",IF(ISNUMBER('Dvd Calendar'!$H$1229)=FALSE,"",IF((('Dvd Calendar'!$H$1231=TYPE1)*(TYPE1&lt;&gt;"")+('Dvd Calendar'!$H$1231=TYPE2)*(TYPE2&lt;&gt;"")+('Dvd Calendar'!$H$1231=TYPE3)*(TYPE3&lt;&gt;"")+('Dvd Calendar'!$H$1231=TYPE4)*(TYPE4&lt;&gt;"")+('Dvd Calendar'!$H$1231=SPECIAL_LBL)*(INC_SPECIALS="Y"))=0,"",'Dvd Calendar'!$H$1229)))</f>
        <v/>
      </c>
      <c r="G126" s="106">
        <f>IF(EI126="","",IF(ISNUMBER('Dvd Calendar'!$I$1229)=FALSE,"",IF((('Dvd Calendar'!$I$1231=TYPE1)*(TYPE1&lt;&gt;"")+('Dvd Calendar'!$I$1231=TYPE2)*(TYPE2&lt;&gt;"")+('Dvd Calendar'!$I$1231=TYPE3)*(TYPE3&lt;&gt;"")+('Dvd Calendar'!$I$1231=TYPE4)*(TYPE4&lt;&gt;"")+('Dvd Calendar'!$I$1231=SPECIAL_LBL)*(INC_SPECIALS="Y"))=0,"",'Dvd Calendar'!$I$1229)))</f>
        <v/>
      </c>
      <c r="H126" s="106">
        <f>IF(EJ126="","",IF(ISNUMBER('Dvd Calendar'!$J$1229)=FALSE,"",IF((('Dvd Calendar'!$J$1231=TYPE1)*(TYPE1&lt;&gt;"")+('Dvd Calendar'!$J$1231=TYPE2)*(TYPE2&lt;&gt;"")+('Dvd Calendar'!$J$1231=TYPE3)*(TYPE3&lt;&gt;"")+('Dvd Calendar'!$J$1231=TYPE4)*(TYPE4&lt;&gt;"")+('Dvd Calendar'!$J$1231=SPECIAL_LBL)*(INC_SPECIALS="Y"))=0,"",'Dvd Calendar'!$J$1229)))</f>
        <v/>
      </c>
      <c r="I126" s="106">
        <f>IF(EK126="","",IF(ISNUMBER('Dvd Calendar'!$K$1229)=FALSE,"",IF((('Dvd Calendar'!$K$1231=TYPE1)*(TYPE1&lt;&gt;"")+('Dvd Calendar'!$K$1231=TYPE2)*(TYPE2&lt;&gt;"")+('Dvd Calendar'!$K$1231=TYPE3)*(TYPE3&lt;&gt;"")+('Dvd Calendar'!$K$1231=TYPE4)*(TYPE4&lt;&gt;"")+('Dvd Calendar'!$K$1231=SPECIAL_LBL)*(INC_SPECIALS="Y"))=0,"",'Dvd Calendar'!$K$1229)))</f>
        <v/>
      </c>
      <c r="J126" s="106">
        <f>IF(EL126="","",IF(ISNUMBER('Dvd Calendar'!$L$1229)=FALSE,"",IF((('Dvd Calendar'!$L$1231=TYPE1)*(TYPE1&lt;&gt;"")+('Dvd Calendar'!$L$1231=TYPE2)*(TYPE2&lt;&gt;"")+('Dvd Calendar'!$L$1231=TYPE3)*(TYPE3&lt;&gt;"")+('Dvd Calendar'!$L$1231=TYPE4)*(TYPE4&lt;&gt;"")+('Dvd Calendar'!$L$1231=SPECIAL_LBL)*(INC_SPECIALS="Y"))=0,"",'Dvd Calendar'!$L$1229)))</f>
        <v/>
      </c>
      <c r="K126" s="106">
        <f>IF(EM126="","",IF(ISNUMBER('Dvd Calendar'!$M$1229)=FALSE,"",IF((('Dvd Calendar'!$M$1231=TYPE1)*(TYPE1&lt;&gt;"")+('Dvd Calendar'!$M$1231=TYPE2)*(TYPE2&lt;&gt;"")+('Dvd Calendar'!$M$1231=TYPE3)*(TYPE3&lt;&gt;"")+('Dvd Calendar'!$M$1231=TYPE4)*(TYPE4&lt;&gt;"")+('Dvd Calendar'!$M$1231=SPECIAL_LBL)*(INC_SPECIALS="Y"))=0,"",'Dvd Calendar'!$M$1229)))</f>
        <v/>
      </c>
      <c r="L126" s="106">
        <f>IF(EN126="","",IF(ISNUMBER('Dvd Calendar'!$N$1229)=FALSE,"",IF((('Dvd Calendar'!$N$1231=TYPE1)*(TYPE1&lt;&gt;"")+('Dvd Calendar'!$N$1231=TYPE2)*(TYPE2&lt;&gt;"")+('Dvd Calendar'!$N$1231=TYPE3)*(TYPE3&lt;&gt;"")+('Dvd Calendar'!$N$1231=TYPE4)*(TYPE4&lt;&gt;"")+('Dvd Calendar'!$N$1231=SPECIAL_LBL)*(INC_SPECIALS="Y"))=0,"",'Dvd Calendar'!$N$1229)))</f>
        <v/>
      </c>
      <c r="M126" s="106">
        <f>IF(EO126="","",IF(ISNUMBER('Dvd Calendar'!$O$1229)=FALSE,"",IF((('Dvd Calendar'!$O$1231=TYPE1)*(TYPE1&lt;&gt;"")+('Dvd Calendar'!$O$1231=TYPE2)*(TYPE2&lt;&gt;"")+('Dvd Calendar'!$O$1231=TYPE3)*(TYPE3&lt;&gt;"")+('Dvd Calendar'!$O$1231=TYPE4)*(TYPE4&lt;&gt;"")+('Dvd Calendar'!$O$1231=SPECIAL_LBL)*(INC_SPECIALS="Y"))=0,"",'Dvd Calendar'!$O$1229)))</f>
        <v/>
      </c>
      <c r="N126" s="106">
        <f>IF(EP126="","",IF(ISNUMBER('Dvd Calendar'!$P$1229)=FALSE,"",IF((('Dvd Calendar'!$P$1231=TYPE1)*(TYPE1&lt;&gt;"")+('Dvd Calendar'!$P$1231=TYPE2)*(TYPE2&lt;&gt;"")+('Dvd Calendar'!$P$1231=TYPE3)*(TYPE3&lt;&gt;"")+('Dvd Calendar'!$P$1231=TYPE4)*(TYPE4&lt;&gt;"")+('Dvd Calendar'!$P$1231=SPECIAL_LBL)*(INC_SPECIALS="Y"))=0,"",'Dvd Calendar'!$P$1229)))</f>
        <v/>
      </c>
      <c r="O126" s="106">
        <f>IF(EQ126="","",IF(ISNUMBER('Dvd Calendar'!$Q$1229)=FALSE,"",IF((('Dvd Calendar'!$Q$1231=TYPE1)*(TYPE1&lt;&gt;"")+('Dvd Calendar'!$Q$1231=TYPE2)*(TYPE2&lt;&gt;"")+('Dvd Calendar'!$Q$1231=TYPE3)*(TYPE3&lt;&gt;"")+('Dvd Calendar'!$Q$1231=TYPE4)*(TYPE4&lt;&gt;"")+('Dvd Calendar'!$Q$1231=SPECIAL_LBL)*(INC_SPECIALS="Y"))=0,"",'Dvd Calendar'!$Q$1229)))</f>
        <v/>
      </c>
      <c r="P126" s="106">
        <f>IF(ER126="","",IF(ISNUMBER('Dvd Calendar'!$R$1229)=FALSE,"",IF((('Dvd Calendar'!$R$1231=TYPE1)*(TYPE1&lt;&gt;"")+('Dvd Calendar'!$R$1231=TYPE2)*(TYPE2&lt;&gt;"")+('Dvd Calendar'!$R$1231=TYPE3)*(TYPE3&lt;&gt;"")+('Dvd Calendar'!$R$1231=TYPE4)*(TYPE4&lt;&gt;"")+('Dvd Calendar'!$R$1231=SPECIAL_LBL)*(INC_SPECIALS="Y"))=0,"",'Dvd Calendar'!$R$1229)))</f>
        <v/>
      </c>
      <c r="Q126" s="106">
        <f>IF(ES126="","",IF(ISNUMBER('Dvd Calendar'!$S$1229)=FALSE,"",IF((('Dvd Calendar'!$S$1231=TYPE1)*(TYPE1&lt;&gt;"")+('Dvd Calendar'!$S$1231=TYPE2)*(TYPE2&lt;&gt;"")+('Dvd Calendar'!$S$1231=TYPE3)*(TYPE3&lt;&gt;"")+('Dvd Calendar'!$S$1231=TYPE4)*(TYPE4&lt;&gt;"")+('Dvd Calendar'!$S$1231=SPECIAL_LBL)*(INC_SPECIALS="Y"))=0,"",'Dvd Calendar'!$S$1229)))</f>
        <v/>
      </c>
      <c r="R126" s="106">
        <f>IF(ET126="","",IF(ISNUMBER('Dvd Calendar'!$T$1229)=FALSE,"",IF((('Dvd Calendar'!$T$1231=TYPE1)*(TYPE1&lt;&gt;"")+('Dvd Calendar'!$T$1231=TYPE2)*(TYPE2&lt;&gt;"")+('Dvd Calendar'!$T$1231=TYPE3)*(TYPE3&lt;&gt;"")+('Dvd Calendar'!$T$1231=TYPE4)*(TYPE4&lt;&gt;"")+('Dvd Calendar'!$T$1231=SPECIAL_LBL)*(INC_SPECIALS="Y"))=0,"",'Dvd Calendar'!$T$1229)))</f>
        <v/>
      </c>
      <c r="S126" s="106">
        <f>IF(EU126="","",IF(ISNUMBER('Dvd Calendar'!$U$1229)=FALSE,"",IF((('Dvd Calendar'!$U$1231=TYPE1)*(TYPE1&lt;&gt;"")+('Dvd Calendar'!$U$1231=TYPE2)*(TYPE2&lt;&gt;"")+('Dvd Calendar'!$U$1231=TYPE3)*(TYPE3&lt;&gt;"")+('Dvd Calendar'!$U$1231=TYPE4)*(TYPE4&lt;&gt;"")+('Dvd Calendar'!$U$1231=SPECIAL_LBL)*(INC_SPECIALS="Y"))=0,"",'Dvd Calendar'!$U$1229)))</f>
        <v/>
      </c>
      <c r="T126" s="106">
        <f>IF(EV126="","",IF(ISNUMBER('Dvd Calendar'!$V$1229)=FALSE,"",IF((('Dvd Calendar'!$V$1231=TYPE1)*(TYPE1&lt;&gt;"")+('Dvd Calendar'!$V$1231=TYPE2)*(TYPE2&lt;&gt;"")+('Dvd Calendar'!$V$1231=TYPE3)*(TYPE3&lt;&gt;"")+('Dvd Calendar'!$V$1231=TYPE4)*(TYPE4&lt;&gt;"")+('Dvd Calendar'!$V$1231=SPECIAL_LBL)*(INC_SPECIALS="Y"))=0,"",'Dvd Calendar'!$V$1229)))</f>
        <v/>
      </c>
      <c r="U126" s="106">
        <f>IF(EW126="","",IF(ISNUMBER('Dvd Calendar'!$W$1229)=FALSE,"",IF((('Dvd Calendar'!$W$1231=TYPE1)*(TYPE1&lt;&gt;"")+('Dvd Calendar'!$W$1231=TYPE2)*(TYPE2&lt;&gt;"")+('Dvd Calendar'!$W$1231=TYPE3)*(TYPE3&lt;&gt;"")+('Dvd Calendar'!$W$1231=TYPE4)*(TYPE4&lt;&gt;"")+('Dvd Calendar'!$W$1231=SPECIAL_LBL)*(INC_SPECIALS="Y"))=0,"",'Dvd Calendar'!$W$1229)))</f>
        <v/>
      </c>
      <c r="V126" s="106">
        <f>IF(EX126="","",IF(ISNUMBER('Dvd Calendar'!$X$1229)=FALSE,"",IF((('Dvd Calendar'!$X$1231=TYPE1)*(TYPE1&lt;&gt;"")+('Dvd Calendar'!$X$1231=TYPE2)*(TYPE2&lt;&gt;"")+('Dvd Calendar'!$X$1231=TYPE3)*(TYPE3&lt;&gt;"")+('Dvd Calendar'!$X$1231=TYPE4)*(TYPE4&lt;&gt;"")+('Dvd Calendar'!$X$1231=SPECIAL_LBL)*(INC_SPECIALS="Y"))=0,"",'Dvd Calendar'!$X$1229)))</f>
        <v/>
      </c>
      <c r="W126" s="106">
        <f>IF(EY126="","",IF(ISNUMBER('Dvd Calendar'!$Y$1229)=FALSE,"",IF((('Dvd Calendar'!$Y$1231=TYPE1)*(TYPE1&lt;&gt;"")+('Dvd Calendar'!$Y$1231=TYPE2)*(TYPE2&lt;&gt;"")+('Dvd Calendar'!$Y$1231=TYPE3)*(TYPE3&lt;&gt;"")+('Dvd Calendar'!$Y$1231=TYPE4)*(TYPE4&lt;&gt;"")+('Dvd Calendar'!$Y$1231=SPECIAL_LBL)*(INC_SPECIALS="Y"))=0,"",'Dvd Calendar'!$Y$1229)))</f>
        <v/>
      </c>
      <c r="X126" s="106">
        <f>IF(EZ126="","",IF(ISNUMBER('Dvd Calendar'!$Z$1229)=FALSE,"",IF((('Dvd Calendar'!$Z$1231=TYPE1)*(TYPE1&lt;&gt;"")+('Dvd Calendar'!$Z$1231=TYPE2)*(TYPE2&lt;&gt;"")+('Dvd Calendar'!$Z$1231=TYPE3)*(TYPE3&lt;&gt;"")+('Dvd Calendar'!$Z$1231=TYPE4)*(TYPE4&lt;&gt;"")+('Dvd Calendar'!$Z$1231=SPECIAL_LBL)*(INC_SPECIALS="Y"))=0,"",'Dvd Calendar'!$Z$1229)))</f>
        <v/>
      </c>
      <c r="Y126" s="106">
        <f>IF(FA126="","",IF(ISNUMBER('Dvd Calendar'!$AA$1229)=FALSE,"",IF((('Dvd Calendar'!$AA$1231=TYPE1)*(TYPE1&lt;&gt;"")+('Dvd Calendar'!$AA$1231=TYPE2)*(TYPE2&lt;&gt;"")+('Dvd Calendar'!$AA$1231=TYPE3)*(TYPE3&lt;&gt;"")+('Dvd Calendar'!$AA$1231=TYPE4)*(TYPE4&lt;&gt;"")+('Dvd Calendar'!$AA$1231=SPECIAL_LBL)*(INC_SPECIALS="Y"))=0,"",'Dvd Calendar'!$AA$1229)))</f>
        <v/>
      </c>
      <c r="Z126" s="106">
        <f>IF(FB126="","",IF(ISNUMBER('Dvd Calendar'!$AB$1229)=FALSE,"",IF((('Dvd Calendar'!$AB$1231=TYPE1)*(TYPE1&lt;&gt;"")+('Dvd Calendar'!$AB$1231=TYPE2)*(TYPE2&lt;&gt;"")+('Dvd Calendar'!$AB$1231=TYPE3)*(TYPE3&lt;&gt;"")+('Dvd Calendar'!$AB$1231=TYPE4)*(TYPE4&lt;&gt;"")+('Dvd Calendar'!$AB$1231=SPECIAL_LBL)*(INC_SPECIALS="Y"))=0,"",'Dvd Calendar'!$AB$1229)))</f>
        <v/>
      </c>
      <c r="AA126" s="106">
        <f>IF(FC126="","",IF(ISNUMBER('Dvd Calendar'!$AC$1229)=FALSE,"",IF((('Dvd Calendar'!$AC$1231=TYPE1)*(TYPE1&lt;&gt;"")+('Dvd Calendar'!$AC$1231=TYPE2)*(TYPE2&lt;&gt;"")+('Dvd Calendar'!$AC$1231=TYPE3)*(TYPE3&lt;&gt;"")+('Dvd Calendar'!$AC$1231=TYPE4)*(TYPE4&lt;&gt;"")+('Dvd Calendar'!$AC$1231=SPECIAL_LBL)*(INC_SPECIALS="Y"))=0,"",'Dvd Calendar'!$AC$1229)))</f>
        <v/>
      </c>
      <c r="AB126" s="106">
        <f>IF(FD126="","",IF(ISNUMBER('Dvd Calendar'!$AD$1229)=FALSE,"",IF((('Dvd Calendar'!$AD$1231=TYPE1)*(TYPE1&lt;&gt;"")+('Dvd Calendar'!$AD$1231=TYPE2)*(TYPE2&lt;&gt;"")+('Dvd Calendar'!$AD$1231=TYPE3)*(TYPE3&lt;&gt;"")+('Dvd Calendar'!$AD$1231=TYPE4)*(TYPE4&lt;&gt;"")+('Dvd Calendar'!$AD$1231=SPECIAL_LBL)*(INC_SPECIALS="Y"))=0,"",'Dvd Calendar'!$AD$1229)))</f>
        <v/>
      </c>
      <c r="AC126" s="106">
        <f>IF(FE126="","",IF(ISNUMBER('Dvd Calendar'!$AE$1229)=FALSE,"",IF((('Dvd Calendar'!$AE$1231=TYPE1)*(TYPE1&lt;&gt;"")+('Dvd Calendar'!$AE$1231=TYPE2)*(TYPE2&lt;&gt;"")+('Dvd Calendar'!$AE$1231=TYPE3)*(TYPE3&lt;&gt;"")+('Dvd Calendar'!$AE$1231=TYPE4)*(TYPE4&lt;&gt;"")+('Dvd Calendar'!$AE$1231=SPECIAL_LBL)*(INC_SPECIALS="Y"))=0,"",'Dvd Calendar'!$AE$1229)))</f>
        <v/>
      </c>
      <c r="AD126" s="106">
        <f>IF(FF126="","",IF(ISNUMBER('Dvd Calendar'!$AF$1229)=FALSE,"",IF((('Dvd Calendar'!$AF$1231=TYPE1)*(TYPE1&lt;&gt;"")+('Dvd Calendar'!$AF$1231=TYPE2)*(TYPE2&lt;&gt;"")+('Dvd Calendar'!$AF$1231=TYPE3)*(TYPE3&lt;&gt;"")+('Dvd Calendar'!$AF$1231=TYPE4)*(TYPE4&lt;&gt;"")+('Dvd Calendar'!$AF$1231=SPECIAL_LBL)*(INC_SPECIALS="Y"))=0,"",'Dvd Calendar'!$AF$1229)))</f>
        <v/>
      </c>
      <c r="AE126" s="106">
        <f>IF(FG126="","",IF(ISNUMBER('Dvd Calendar'!$AG$1229)=FALSE,"",IF((('Dvd Calendar'!$AG$1231=TYPE1)*(TYPE1&lt;&gt;"")+('Dvd Calendar'!$AG$1231=TYPE2)*(TYPE2&lt;&gt;"")+('Dvd Calendar'!$AG$1231=TYPE3)*(TYPE3&lt;&gt;"")+('Dvd Calendar'!$AG$1231=TYPE4)*(TYPE4&lt;&gt;"")+('Dvd Calendar'!$AG$1231=SPECIAL_LBL)*(INC_SPECIALS="Y"))=0,"",'Dvd Calendar'!$AG$1229)))</f>
        <v/>
      </c>
      <c r="AF126" s="106">
        <f>IF(FH126="","",IF(ISNUMBER('Dvd Calendar'!$AH$1229)=FALSE,"",IF((('Dvd Calendar'!$AH$1231=TYPE1)*(TYPE1&lt;&gt;"")+('Dvd Calendar'!$AH$1231=TYPE2)*(TYPE2&lt;&gt;"")+('Dvd Calendar'!$AH$1231=TYPE3)*(TYPE3&lt;&gt;"")+('Dvd Calendar'!$AH$1231=TYPE4)*(TYPE4&lt;&gt;"")+('Dvd Calendar'!$AH$1231=SPECIAL_LBL)*(INC_SPECIALS="Y"))=0,"",'Dvd Calendar'!$AH$1229)))</f>
        <v/>
      </c>
      <c r="AG126" s="106">
        <f>IF(FI126="","",IF(ISNUMBER('Dvd Calendar'!$AI$1229)=FALSE,"",IF((('Dvd Calendar'!$AI$1231=TYPE1)*(TYPE1&lt;&gt;"")+('Dvd Calendar'!$AI$1231=TYPE2)*(TYPE2&lt;&gt;"")+('Dvd Calendar'!$AI$1231=TYPE3)*(TYPE3&lt;&gt;"")+('Dvd Calendar'!$AI$1231=TYPE4)*(TYPE4&lt;&gt;"")+('Dvd Calendar'!$AI$1231=SPECIAL_LBL)*(INC_SPECIALS="Y"))=0,"",'Dvd Calendar'!$AI$1229)))</f>
        <v/>
      </c>
      <c r="AH126" s="106">
        <f>IF(FJ126="","",IF(ISNUMBER('Dvd Calendar'!$AJ$1229)=FALSE,"",IF((('Dvd Calendar'!$AJ$1231=TYPE1)*(TYPE1&lt;&gt;"")+('Dvd Calendar'!$AJ$1231=TYPE2)*(TYPE2&lt;&gt;"")+('Dvd Calendar'!$AJ$1231=TYPE3)*(TYPE3&lt;&gt;"")+('Dvd Calendar'!$AJ$1231=TYPE4)*(TYPE4&lt;&gt;"")+('Dvd Calendar'!$AJ$1231=SPECIAL_LBL)*(INC_SPECIALS="Y"))=0,"",'Dvd Calendar'!$AJ$1229)))</f>
        <v/>
      </c>
      <c r="AI126" s="106">
        <f>IF(FK126="","",IF(ISNUMBER('Dvd Calendar'!$AK$1229)=FALSE,"",IF((('Dvd Calendar'!$AK$1231=TYPE1)*(TYPE1&lt;&gt;"")+('Dvd Calendar'!$AK$1231=TYPE2)*(TYPE2&lt;&gt;"")+('Dvd Calendar'!$AK$1231=TYPE3)*(TYPE3&lt;&gt;"")+('Dvd Calendar'!$AK$1231=TYPE4)*(TYPE4&lt;&gt;"")+('Dvd Calendar'!$AK$1231=SPECIAL_LBL)*(INC_SPECIALS="Y"))=0,"",'Dvd Calendar'!$AK$1229)))</f>
        <v/>
      </c>
      <c r="AJ126" s="106">
        <f>IF(FL126="","",IF(ISNUMBER('Dvd Calendar'!$AL$1229)=FALSE,"",IF((('Dvd Calendar'!$AL$1231=TYPE1)*(TYPE1&lt;&gt;"")+('Dvd Calendar'!$AL$1231=TYPE2)*(TYPE2&lt;&gt;"")+('Dvd Calendar'!$AL$1231=TYPE3)*(TYPE3&lt;&gt;"")+('Dvd Calendar'!$AL$1231=TYPE4)*(TYPE4&lt;&gt;"")+('Dvd Calendar'!$AL$1231=SPECIAL_LBL)*(INC_SPECIALS="Y"))=0,"",'Dvd Calendar'!$AL$1229)))</f>
        <v/>
      </c>
      <c r="AK126" s="106">
        <f>IF(FM126="","",IF(ISNUMBER('Dvd Calendar'!$AM$1229)=FALSE,"",IF((('Dvd Calendar'!$AM$1231=TYPE1)*(TYPE1&lt;&gt;"")+('Dvd Calendar'!$AM$1231=TYPE2)*(TYPE2&lt;&gt;"")+('Dvd Calendar'!$AM$1231=TYPE3)*(TYPE3&lt;&gt;"")+('Dvd Calendar'!$AM$1231=TYPE4)*(TYPE4&lt;&gt;"")+('Dvd Calendar'!$AM$1231=SPECIAL_LBL)*(INC_SPECIALS="Y"))=0,"",'Dvd Calendar'!$AM$1229)))</f>
        <v/>
      </c>
      <c r="AL126" s="106">
        <f>IF(FN126="","",IF(ISNUMBER('Dvd Calendar'!$AN$1229)=FALSE,"",IF((('Dvd Calendar'!$AN$1231=TYPE1)*(TYPE1&lt;&gt;"")+('Dvd Calendar'!$AN$1231=TYPE2)*(TYPE2&lt;&gt;"")+('Dvd Calendar'!$AN$1231=TYPE3)*(TYPE3&lt;&gt;"")+('Dvd Calendar'!$AN$1231=TYPE4)*(TYPE4&lt;&gt;"")+('Dvd Calendar'!$AN$1231=SPECIAL_LBL)*(INC_SPECIALS="Y"))=0,"",'Dvd Calendar'!$AN$1229)))</f>
        <v/>
      </c>
      <c r="AM126" s="106">
        <f>IF(FO126="","",IF(ISNUMBER('Dvd Calendar'!$AO$1229)=FALSE,"",IF((('Dvd Calendar'!$AO$1231=TYPE1)*(TYPE1&lt;&gt;"")+('Dvd Calendar'!$AO$1231=TYPE2)*(TYPE2&lt;&gt;"")+('Dvd Calendar'!$AO$1231=TYPE3)*(TYPE3&lt;&gt;"")+('Dvd Calendar'!$AO$1231=TYPE4)*(TYPE4&lt;&gt;"")+('Dvd Calendar'!$AO$1231=SPECIAL_LBL)*(INC_SPECIALS="Y"))=0,"",'Dvd Calendar'!$AO$1229)))</f>
        <v/>
      </c>
      <c r="AN126" s="106">
        <f>IF(FP126="","",IF(ISNUMBER('Dvd Calendar'!$AP$1229)=FALSE,"",IF((('Dvd Calendar'!$AP$1231=TYPE1)*(TYPE1&lt;&gt;"")+('Dvd Calendar'!$AP$1231=TYPE2)*(TYPE2&lt;&gt;"")+('Dvd Calendar'!$AP$1231=TYPE3)*(TYPE3&lt;&gt;"")+('Dvd Calendar'!$AP$1231=TYPE4)*(TYPE4&lt;&gt;"")+('Dvd Calendar'!$AP$1231=SPECIAL_LBL)*(INC_SPECIALS="Y"))=0,"",'Dvd Calendar'!$AP$1229)))</f>
        <v/>
      </c>
      <c r="AO126" s="106">
        <f>IF(FQ126="","",IF(ISNUMBER('Dvd Calendar'!$AQ$1229)=FALSE,"",IF((('Dvd Calendar'!$AQ$1231=TYPE1)*(TYPE1&lt;&gt;"")+('Dvd Calendar'!$AQ$1231=TYPE2)*(TYPE2&lt;&gt;"")+('Dvd Calendar'!$AQ$1231=TYPE3)*(TYPE3&lt;&gt;"")+('Dvd Calendar'!$AQ$1231=TYPE4)*(TYPE4&lt;&gt;"")+('Dvd Calendar'!$AQ$1231=SPECIAL_LBL)*(INC_SPECIALS="Y"))=0,"",'Dvd Calendar'!$AQ$1229)))</f>
        <v/>
      </c>
      <c r="AP126" s="106">
        <f>IF(FR126="","",IF(ISNUMBER('Dvd Calendar'!$AR$1229)=FALSE,"",IF((('Dvd Calendar'!$AR$1231=TYPE1)*(TYPE1&lt;&gt;"")+('Dvd Calendar'!$AR$1231=TYPE2)*(TYPE2&lt;&gt;"")+('Dvd Calendar'!$AR$1231=TYPE3)*(TYPE3&lt;&gt;"")+('Dvd Calendar'!$AR$1231=TYPE4)*(TYPE4&lt;&gt;"")+('Dvd Calendar'!$AR$1231=SPECIAL_LBL)*(INC_SPECIALS="Y"))=0,"",'Dvd Calendar'!$AR$1229)))</f>
        <v/>
      </c>
      <c r="AQ126" s="106">
        <f>IF(FS126="","",IF(ISNUMBER('Dvd Calendar'!$E$1234)=FALSE,"",'Dvd Calendar'!$E$1234))</f>
        <v/>
      </c>
      <c r="AR126" s="106">
        <f>IF(FT126="","",IF(ISNUMBER('Dvd Calendar'!$F$1234)=FALSE,"",'Dvd Calendar'!$F$1234))</f>
        <v/>
      </c>
      <c r="AS126" s="106">
        <f>IF(FU126="","",IF(ISNUMBER('Dvd Calendar'!$G$1234)=FALSE,"",'Dvd Calendar'!$G$1234))</f>
        <v/>
      </c>
      <c r="AT126" s="106">
        <f>IF(FV126="","",IF(ISNUMBER('Dvd Calendar'!$H$1234)=FALSE,"",'Dvd Calendar'!$H$1234))</f>
        <v/>
      </c>
      <c r="AU126" s="106">
        <f>IF(FW126="","",IF(ISNUMBER('Dvd Calendar'!$I$1234)=FALSE,"",'Dvd Calendar'!$I$1234))</f>
        <v/>
      </c>
      <c r="AV126" s="106">
        <f>IF(FX126="","",IF(ISNUMBER('Dvd Calendar'!$J$1234)=FALSE,"",'Dvd Calendar'!$J$1234))</f>
        <v/>
      </c>
      <c r="AW126" s="106">
        <f>IF(FY126="","",IF(ISNUMBER('Dvd Calendar'!$K$1234)=FALSE,"",'Dvd Calendar'!$K$1234))</f>
        <v/>
      </c>
      <c r="AX126" s="106">
        <f>IF(FZ126="","",IF(ISNUMBER('Dvd Calendar'!$L$1234)=FALSE,"",'Dvd Calendar'!$L$1234))</f>
        <v/>
      </c>
      <c r="AY126" s="106">
        <f>IF(GA126="","",IF(ISNUMBER('Dvd Calendar'!$M$1234)=FALSE,"",'Dvd Calendar'!$M$1234))</f>
        <v/>
      </c>
      <c r="AZ126" s="106">
        <f>IF(GB126="","",IF(ISNUMBER('Dvd Calendar'!$N$1234)=FALSE,"",'Dvd Calendar'!$N$1234))</f>
        <v/>
      </c>
      <c r="BA126" s="106">
        <f>IF(GC126="","",IF(ISNUMBER('Dvd Calendar'!$O$1234)=FALSE,"",'Dvd Calendar'!$O$1234))</f>
        <v/>
      </c>
      <c r="BB126" s="106">
        <f>IF(GD126="","",IF(ISNUMBER('Dvd Calendar'!$P$1234)=FALSE,"",'Dvd Calendar'!$P$1234))</f>
        <v/>
      </c>
      <c r="BC126" s="106">
        <f>IF(GE126="","",IF(ISNUMBER('Dvd Calendar'!$Q$1234)=FALSE,"",'Dvd Calendar'!$Q$1234))</f>
        <v/>
      </c>
      <c r="BD126" s="106">
        <f>IF(GF126="","",IF(ISNUMBER('Dvd Calendar'!$R$1234)=FALSE,"",'Dvd Calendar'!$R$1234))</f>
        <v/>
      </c>
      <c r="BE126" s="106">
        <f>IF(GG126="","",IF(ISNUMBER('Dvd Calendar'!$S$1234)=FALSE,"",'Dvd Calendar'!$S$1234))</f>
        <v/>
      </c>
      <c r="BF126" s="106">
        <f>IF(GH126="","",IF(ISNUMBER('Dvd Calendar'!$T$1234)=FALSE,"",'Dvd Calendar'!$T$1234))</f>
        <v/>
      </c>
      <c r="BG126" s="106">
        <f>IF(GI126="","",IF(ISNUMBER('Dvd Calendar'!$U$1234)=FALSE,"",'Dvd Calendar'!$U$1234))</f>
        <v/>
      </c>
      <c r="BH126" s="106">
        <f>IF(GJ126="","",IF(ISNUMBER('Dvd Calendar'!$V$1234)=FALSE,"",'Dvd Calendar'!$V$1234))</f>
        <v/>
      </c>
      <c r="BI126" s="106">
        <f>IF(GK126="","",IF(ISNUMBER('Dvd Calendar'!$W$1234)=FALSE,"",'Dvd Calendar'!$W$1234))</f>
        <v/>
      </c>
      <c r="BJ126" s="106">
        <f>IF(GL126="","",IF(ISNUMBER('Dvd Calendar'!$X$1234)=FALSE,"",'Dvd Calendar'!$X$1234))</f>
        <v/>
      </c>
      <c r="BK126" s="106">
        <f>IF(GM126="","",IF(ISNUMBER('Dvd Calendar'!$Y$1234)=FALSE,"",'Dvd Calendar'!$Y$1234))</f>
        <v/>
      </c>
      <c r="BL126" s="106">
        <f>IF(GN126="","",IF(ISNUMBER('Dvd Calendar'!$Z$1234)=FALSE,"",'Dvd Calendar'!$Z$1234))</f>
        <v/>
      </c>
      <c r="BM126" s="106">
        <f>IF(GO126="","",IF(ISNUMBER('Dvd Calendar'!$AA$1234)=FALSE,"",'Dvd Calendar'!$AA$1234))</f>
        <v/>
      </c>
      <c r="BN126" s="106">
        <f>IF(GP126="","",IF(ISNUMBER('Dvd Calendar'!$AB$1234)=FALSE,"",'Dvd Calendar'!$AB$1234))</f>
        <v/>
      </c>
      <c r="BO126" s="106">
        <f>IF(GQ126="","",IF(ISNUMBER('Dvd Calendar'!$AC$1234)=FALSE,"",'Dvd Calendar'!$AC$1234))</f>
        <v/>
      </c>
      <c r="BQ126" s="106">
        <f>IF(C126="","",IFERROR(C126*HSTECH!$B$17*HSTECH!$G$17/HSTECH!$B$3,""))</f>
        <v/>
      </c>
      <c r="BR126" s="106">
        <f>IF(D126="","",IFERROR(D126*HSTECH!$B$17*HSTECH!$G$17/HSTECH!$B$3,""))</f>
        <v/>
      </c>
      <c r="BS126" s="106">
        <f>IF(E126="","",IFERROR(E126*HSTECH!$B$17*HSTECH!$G$17/HSTECH!$B$3,""))</f>
        <v/>
      </c>
      <c r="BT126" s="106">
        <f>IF(F126="","",IFERROR(F126*HSTECH!$B$17*HSTECH!$G$17/HSTECH!$B$3,""))</f>
        <v/>
      </c>
      <c r="BU126" s="106">
        <f>IF(G126="","",IFERROR(G126*HSTECH!$B$17*HSTECH!$G$17/HSTECH!$B$3,""))</f>
        <v/>
      </c>
      <c r="BV126" s="106">
        <f>IF(H126="","",IFERROR(H126*HSTECH!$B$17*HSTECH!$G$17/HSTECH!$B$3,""))</f>
        <v/>
      </c>
      <c r="BW126" s="106">
        <f>IF(I126="","",IFERROR(I126*HSTECH!$B$17*HSTECH!$G$17/HSTECH!$B$3,""))</f>
        <v/>
      </c>
      <c r="BX126" s="106">
        <f>IF(J126="","",IFERROR(J126*HSTECH!$B$17*HSTECH!$G$17/HSTECH!$B$3,""))</f>
        <v/>
      </c>
      <c r="BY126" s="106">
        <f>IF(K126="","",IFERROR(K126*HSTECH!$B$17*HSTECH!$G$17/HSTECH!$B$3,""))</f>
        <v/>
      </c>
      <c r="BZ126" s="106">
        <f>IF(L126="","",IFERROR(L126*HSTECH!$B$17*HSTECH!$G$17/HSTECH!$B$3,""))</f>
        <v/>
      </c>
      <c r="CA126" s="106">
        <f>IF(M126="","",IFERROR(M126*HSTECH!$B$17*HSTECH!$G$17/HSTECH!$B$3,""))</f>
        <v/>
      </c>
      <c r="CB126" s="106">
        <f>IF(N126="","",IFERROR(N126*HSTECH!$B$17*HSTECH!$G$17/HSTECH!$B$3,""))</f>
        <v/>
      </c>
      <c r="CC126" s="106">
        <f>IF(O126="","",IFERROR(O126*HSTECH!$B$17*HSTECH!$G$17/HSTECH!$B$3,""))</f>
        <v/>
      </c>
      <c r="CD126" s="106">
        <f>IF(P126="","",IFERROR(P126*HSTECH!$B$17*HSTECH!$G$17/HSTECH!$B$3,""))</f>
        <v/>
      </c>
      <c r="CE126" s="106">
        <f>IF(Q126="","",IFERROR(Q126*HSTECH!$B$17*HSTECH!$G$17/HSTECH!$B$3,""))</f>
        <v/>
      </c>
      <c r="CF126" s="106">
        <f>IF(R126="","",IFERROR(R126*HSTECH!$B$17*HSTECH!$G$17/HSTECH!$B$3,""))</f>
        <v/>
      </c>
      <c r="CG126" s="106">
        <f>IF(S126="","",IFERROR(S126*HSTECH!$B$17*HSTECH!$G$17/HSTECH!$B$3,""))</f>
        <v/>
      </c>
      <c r="CH126" s="106">
        <f>IF(T126="","",IFERROR(T126*HSTECH!$B$17*HSTECH!$G$17/HSTECH!$B$3,""))</f>
        <v/>
      </c>
      <c r="CI126" s="106">
        <f>IF(U126="","",IFERROR(U126*HSTECH!$B$17*HSTECH!$G$17/HSTECH!$B$3,""))</f>
        <v/>
      </c>
      <c r="CJ126" s="106">
        <f>IF(V126="","",IFERROR(V126*HSTECH!$B$17*HSTECH!$G$17/HSTECH!$B$3,""))</f>
        <v/>
      </c>
      <c r="CK126" s="106">
        <f>IF(W126="","",IFERROR(W126*HSTECH!$B$17*HSTECH!$G$17/HSTECH!$B$3,""))</f>
        <v/>
      </c>
      <c r="CL126" s="106">
        <f>IF(X126="","",IFERROR(X126*HSTECH!$B$17*HSTECH!$G$17/HSTECH!$B$3,""))</f>
        <v/>
      </c>
      <c r="CM126" s="106">
        <f>IF(Y126="","",IFERROR(Y126*HSTECH!$B$17*HSTECH!$G$17/HSTECH!$B$3,""))</f>
        <v/>
      </c>
      <c r="CN126" s="106">
        <f>IF(Z126="","",IFERROR(Z126*HSTECH!$B$17*HSTECH!$G$17/HSTECH!$B$3,""))</f>
        <v/>
      </c>
      <c r="CO126" s="106">
        <f>IF(AA126="","",IFERROR(AA126*HSTECH!$B$17*HSTECH!$G$17/HSTECH!$B$3,""))</f>
        <v/>
      </c>
      <c r="CP126" s="106">
        <f>IF(AB126="","",IFERROR(AB126*HSTECH!$B$17*HSTECH!$G$17/HSTECH!$B$3,""))</f>
        <v/>
      </c>
      <c r="CQ126" s="106">
        <f>IF(AC126="","",IFERROR(AC126*HSTECH!$B$17*HSTECH!$G$17/HSTECH!$B$3,""))</f>
        <v/>
      </c>
      <c r="CR126" s="106">
        <f>IF(AD126="","",IFERROR(AD126*HSTECH!$B$17*HSTECH!$G$17/HSTECH!$B$3,""))</f>
        <v/>
      </c>
      <c r="CS126" s="106">
        <f>IF(AE126="","",IFERROR(AE126*HSTECH!$B$17*HSTECH!$G$17/HSTECH!$B$3,""))</f>
        <v/>
      </c>
      <c r="CT126" s="106">
        <f>IF(AF126="","",IFERROR(AF126*HSTECH!$B$17*HSTECH!$G$17/HSTECH!$B$3,""))</f>
        <v/>
      </c>
      <c r="CU126" s="106">
        <f>IF(AG126="","",IFERROR(AG126*HSTECH!$B$17*HSTECH!$G$17/HSTECH!$B$3,""))</f>
        <v/>
      </c>
      <c r="CV126" s="106">
        <f>IF(AH126="","",IFERROR(AH126*HSTECH!$B$17*HSTECH!$G$17/HSTECH!$B$3,""))</f>
        <v/>
      </c>
      <c r="CW126" s="106">
        <f>IF(AI126="","",IFERROR(AI126*HSTECH!$B$17*HSTECH!$G$17/HSTECH!$B$3,""))</f>
        <v/>
      </c>
      <c r="CX126" s="106">
        <f>IF(AJ126="","",IFERROR(AJ126*HSTECH!$B$17*HSTECH!$G$17/HSTECH!$B$3,""))</f>
        <v/>
      </c>
      <c r="CY126" s="106">
        <f>IF(AK126="","",IFERROR(AK126*HSTECH!$B$17*HSTECH!$G$17/HSTECH!$B$3,""))</f>
        <v/>
      </c>
      <c r="CZ126" s="106">
        <f>IF(AL126="","",IFERROR(AL126*HSTECH!$B$17*HSTECH!$G$17/HSTECH!$B$3,""))</f>
        <v/>
      </c>
      <c r="DA126" s="106">
        <f>IF(AM126="","",IFERROR(AM126*HSTECH!$B$17*HSTECH!$G$17/HSTECH!$B$3,""))</f>
        <v/>
      </c>
      <c r="DB126" s="106">
        <f>IF(AN126="","",IFERROR(AN126*HSTECH!$B$17*HSTECH!$G$17/HSTECH!$B$3,""))</f>
        <v/>
      </c>
      <c r="DC126" s="106">
        <f>IF(AO126="","",IFERROR(AO126*HSTECH!$B$17*HSTECH!$G$17/HSTECH!$B$3,""))</f>
        <v/>
      </c>
      <c r="DD126" s="106">
        <f>IF(AP126="","",IFERROR(AP126*HSTECH!$B$17*HSTECH!$G$17/HSTECH!$B$3,""))</f>
        <v/>
      </c>
      <c r="DE126" s="106">
        <f>IF(AQ126="","",IFERROR(AQ126*HSTECH!$B$17*HSTECH!$G$17/HSTECH!$B$3,""))</f>
        <v/>
      </c>
      <c r="DF126" s="106">
        <f>IF(AR126="","",IFERROR(AR126*HSTECH!$B$17*HSTECH!$G$17/HSTECH!$B$3,""))</f>
        <v/>
      </c>
      <c r="DG126" s="106">
        <f>IF(AS126="","",IFERROR(AS126*HSTECH!$B$17*HSTECH!$G$17/HSTECH!$B$3,""))</f>
        <v/>
      </c>
      <c r="DH126" s="106">
        <f>IF(AT126="","",IFERROR(AT126*HSTECH!$B$17*HSTECH!$G$17/HSTECH!$B$3,""))</f>
        <v/>
      </c>
      <c r="DI126" s="106">
        <f>IF(AU126="","",IFERROR(AU126*HSTECH!$B$17*HSTECH!$G$17/HSTECH!$B$3,""))</f>
        <v/>
      </c>
      <c r="DJ126" s="106">
        <f>IF(AV126="","",IFERROR(AV126*HSTECH!$B$17*HSTECH!$G$17/HSTECH!$B$3,""))</f>
        <v/>
      </c>
      <c r="DK126" s="106">
        <f>IF(AW126="","",IFERROR(AW126*HSTECH!$B$17*HSTECH!$G$17/HSTECH!$B$3,""))</f>
        <v/>
      </c>
      <c r="DL126" s="106">
        <f>IF(AX126="","",IFERROR(AX126*HSTECH!$B$17*HSTECH!$G$17/HSTECH!$B$3,""))</f>
        <v/>
      </c>
      <c r="DM126" s="106">
        <f>IF(AY126="","",IFERROR(AY126*HSTECH!$B$17*HSTECH!$G$17/HSTECH!$B$3,""))</f>
        <v/>
      </c>
      <c r="DN126" s="106">
        <f>IF(AZ126="","",IFERROR(AZ126*HSTECH!$B$17*HSTECH!$G$17/HSTECH!$B$3,""))</f>
        <v/>
      </c>
      <c r="DO126" s="106">
        <f>IF(BA126="","",IFERROR(BA126*HSTECH!$B$17*HSTECH!$G$17/HSTECH!$B$3,""))</f>
        <v/>
      </c>
      <c r="DP126" s="106">
        <f>IF(BB126="","",IFERROR(BB126*HSTECH!$B$17*HSTECH!$G$17/HSTECH!$B$3,""))</f>
        <v/>
      </c>
      <c r="DQ126" s="106">
        <f>IF(BC126="","",IFERROR(BC126*HSTECH!$B$17*HSTECH!$G$17/HSTECH!$B$3,""))</f>
        <v/>
      </c>
      <c r="DR126" s="106">
        <f>IF(BD126="","",IFERROR(BD126*HSTECH!$B$17*HSTECH!$G$17/HSTECH!$B$3,""))</f>
        <v/>
      </c>
      <c r="DS126" s="106">
        <f>IF(BE126="","",IFERROR(BE126*HSTECH!$B$17*HSTECH!$G$17/HSTECH!$B$3,""))</f>
        <v/>
      </c>
      <c r="DT126" s="106">
        <f>IF(BF126="","",IFERROR(BF126*HSTECH!$B$17*HSTECH!$G$17/HSTECH!$B$3,""))</f>
        <v/>
      </c>
      <c r="DU126" s="106">
        <f>IF(BG126="","",IFERROR(BG126*HSTECH!$B$17*HSTECH!$G$17/HSTECH!$B$3,""))</f>
        <v/>
      </c>
      <c r="DV126" s="106">
        <f>IF(BH126="","",IFERROR(BH126*HSTECH!$B$17*HSTECH!$G$17/HSTECH!$B$3,""))</f>
        <v/>
      </c>
      <c r="DW126" s="106">
        <f>IF(BI126="","",IFERROR(BI126*HSTECH!$B$17*HSTECH!$G$17/HSTECH!$B$3,""))</f>
        <v/>
      </c>
      <c r="DX126" s="106">
        <f>IF(BJ126="","",IFERROR(BJ126*HSTECH!$B$17*HSTECH!$G$17/HSTECH!$B$3,""))</f>
        <v/>
      </c>
      <c r="DY126" s="106">
        <f>IF(BK126="","",IFERROR(BK126*HSTECH!$B$17*HSTECH!$G$17/HSTECH!$B$3,""))</f>
        <v/>
      </c>
      <c r="DZ126" s="106">
        <f>IF(BL126="","",IFERROR(BL126*HSTECH!$B$17*HSTECH!$G$17/HSTECH!$B$3,""))</f>
        <v/>
      </c>
      <c r="EA126" s="106">
        <f>IF(BM126="","",IFERROR(BM126*HSTECH!$B$17*HSTECH!$G$17/HSTECH!$B$3,""))</f>
        <v/>
      </c>
      <c r="EB126" s="106">
        <f>IF(BN126="","",IFERROR(BN126*HSTECH!$B$17*HSTECH!$G$17/HSTECH!$B$3,""))</f>
        <v/>
      </c>
      <c r="EC126" s="106">
        <f>IF(BO126="","",IFERROR(BO126*HSTECH!$B$17*HSTECH!$G$17/HSTECH!$B$3,""))</f>
        <v/>
      </c>
      <c r="EE126" s="35">
        <f>IF(N('Dvd Calendar'!$E$1226)=0,"",IF(('Dvd Calendar'!$E$1226&gt;=GRID_FROM)*('Dvd Calendar'!$E$1226&lt;=GRID_TO)*('Dvd Calendar'!$E$1226&lt;=VAL_DATE)=0,"",'Dvd Calendar'!$E$1226*1000000000+ISNUMBER('Dvd Calendar'!$E$1229)*100000000+('Dvd Calendar'!$E$1231=SPECIAL_LBL)*10000000+0*1000000+11*1000+1))</f>
        <v/>
      </c>
      <c r="EF126" s="35">
        <f>IF(N('Dvd Calendar'!$F$1226)=0,"",IF(('Dvd Calendar'!$F$1226&gt;=GRID_FROM)*('Dvd Calendar'!$F$1226&lt;=GRID_TO)*('Dvd Calendar'!$F$1226&lt;=VAL_DATE)=0,"",'Dvd Calendar'!$F$1226*1000000000+ISNUMBER('Dvd Calendar'!$F$1229)*100000000+('Dvd Calendar'!$F$1231=SPECIAL_LBL)*10000000+0*1000000+11*1000+2))</f>
        <v/>
      </c>
      <c r="EG126" s="35">
        <f>IF(N('Dvd Calendar'!$G$1226)=0,"",IF(('Dvd Calendar'!$G$1226&gt;=GRID_FROM)*('Dvd Calendar'!$G$1226&lt;=GRID_TO)*('Dvd Calendar'!$G$1226&lt;=VAL_DATE)=0,"",'Dvd Calendar'!$G$1226*1000000000+ISNUMBER('Dvd Calendar'!$G$1229)*100000000+('Dvd Calendar'!$G$1231=SPECIAL_LBL)*10000000+0*1000000+11*1000+3))</f>
        <v/>
      </c>
      <c r="EH126" s="35">
        <f>IF(N('Dvd Calendar'!$H$1226)=0,"",IF(('Dvd Calendar'!$H$1226&gt;=GRID_FROM)*('Dvd Calendar'!$H$1226&lt;=GRID_TO)*('Dvd Calendar'!$H$1226&lt;=VAL_DATE)=0,"",'Dvd Calendar'!$H$1226*1000000000+ISNUMBER('Dvd Calendar'!$H$1229)*100000000+('Dvd Calendar'!$H$1231=SPECIAL_LBL)*10000000+0*1000000+11*1000+4))</f>
        <v/>
      </c>
      <c r="EI126" s="35">
        <f>IF(N('Dvd Calendar'!$I$1226)=0,"",IF(('Dvd Calendar'!$I$1226&gt;=GRID_FROM)*('Dvd Calendar'!$I$1226&lt;=GRID_TO)*('Dvd Calendar'!$I$1226&lt;=VAL_DATE)=0,"",'Dvd Calendar'!$I$1226*1000000000+ISNUMBER('Dvd Calendar'!$I$1229)*100000000+('Dvd Calendar'!$I$1231=SPECIAL_LBL)*10000000+0*1000000+11*1000+5))</f>
        <v/>
      </c>
      <c r="EJ126" s="35">
        <f>IF(N('Dvd Calendar'!$J$1226)=0,"",IF(('Dvd Calendar'!$J$1226&gt;=GRID_FROM)*('Dvd Calendar'!$J$1226&lt;=GRID_TO)*('Dvd Calendar'!$J$1226&lt;=VAL_DATE)=0,"",'Dvd Calendar'!$J$1226*1000000000+ISNUMBER('Dvd Calendar'!$J$1229)*100000000+('Dvd Calendar'!$J$1231=SPECIAL_LBL)*10000000+0*1000000+11*1000+6))</f>
        <v/>
      </c>
      <c r="EK126" s="35">
        <f>IF(N('Dvd Calendar'!$K$1226)=0,"",IF(('Dvd Calendar'!$K$1226&gt;=GRID_FROM)*('Dvd Calendar'!$K$1226&lt;=GRID_TO)*('Dvd Calendar'!$K$1226&lt;=VAL_DATE)=0,"",'Dvd Calendar'!$K$1226*1000000000+ISNUMBER('Dvd Calendar'!$K$1229)*100000000+('Dvd Calendar'!$K$1231=SPECIAL_LBL)*10000000+0*1000000+11*1000+7))</f>
        <v/>
      </c>
      <c r="EL126" s="35">
        <f>IF(N('Dvd Calendar'!$L$1226)=0,"",IF(('Dvd Calendar'!$L$1226&gt;=GRID_FROM)*('Dvd Calendar'!$L$1226&lt;=GRID_TO)*('Dvd Calendar'!$L$1226&lt;=VAL_DATE)=0,"",'Dvd Calendar'!$L$1226*1000000000+ISNUMBER('Dvd Calendar'!$L$1229)*100000000+('Dvd Calendar'!$L$1231=SPECIAL_LBL)*10000000+0*1000000+11*1000+8))</f>
        <v/>
      </c>
      <c r="EM126" s="35">
        <f>IF(N('Dvd Calendar'!$M$1226)=0,"",IF(('Dvd Calendar'!$M$1226&gt;=GRID_FROM)*('Dvd Calendar'!$M$1226&lt;=GRID_TO)*('Dvd Calendar'!$M$1226&lt;=VAL_DATE)=0,"",'Dvd Calendar'!$M$1226*1000000000+ISNUMBER('Dvd Calendar'!$M$1229)*100000000+('Dvd Calendar'!$M$1231=SPECIAL_LBL)*10000000+0*1000000+11*1000+9))</f>
        <v/>
      </c>
      <c r="EN126" s="35">
        <f>IF(N('Dvd Calendar'!$N$1226)=0,"",IF(('Dvd Calendar'!$N$1226&gt;=GRID_FROM)*('Dvd Calendar'!$N$1226&lt;=GRID_TO)*('Dvd Calendar'!$N$1226&lt;=VAL_DATE)=0,"",'Dvd Calendar'!$N$1226*1000000000+ISNUMBER('Dvd Calendar'!$N$1229)*100000000+('Dvd Calendar'!$N$1231=SPECIAL_LBL)*10000000+0*1000000+11*1000+10))</f>
        <v/>
      </c>
      <c r="EO126" s="35">
        <f>IF(N('Dvd Calendar'!$O$1226)=0,"",IF(('Dvd Calendar'!$O$1226&gt;=GRID_FROM)*('Dvd Calendar'!$O$1226&lt;=GRID_TO)*('Dvd Calendar'!$O$1226&lt;=VAL_DATE)=0,"",'Dvd Calendar'!$O$1226*1000000000+ISNUMBER('Dvd Calendar'!$O$1229)*100000000+('Dvd Calendar'!$O$1231=SPECIAL_LBL)*10000000+0*1000000+11*1000+11))</f>
        <v/>
      </c>
      <c r="EP126" s="35">
        <f>IF(N('Dvd Calendar'!$P$1226)=0,"",IF(('Dvd Calendar'!$P$1226&gt;=GRID_FROM)*('Dvd Calendar'!$P$1226&lt;=GRID_TO)*('Dvd Calendar'!$P$1226&lt;=VAL_DATE)=0,"",'Dvd Calendar'!$P$1226*1000000000+ISNUMBER('Dvd Calendar'!$P$1229)*100000000+('Dvd Calendar'!$P$1231=SPECIAL_LBL)*10000000+0*1000000+11*1000+12))</f>
        <v/>
      </c>
      <c r="EQ126" s="35">
        <f>IF(N('Dvd Calendar'!$Q$1226)=0,"",IF(('Dvd Calendar'!$Q$1226&gt;=GRID_FROM)*('Dvd Calendar'!$Q$1226&lt;=GRID_TO)*('Dvd Calendar'!$Q$1226&lt;=VAL_DATE)=0,"",'Dvd Calendar'!$Q$1226*1000000000+ISNUMBER('Dvd Calendar'!$Q$1229)*100000000+('Dvd Calendar'!$Q$1231=SPECIAL_LBL)*10000000+0*1000000+11*1000+13))</f>
        <v/>
      </c>
      <c r="ER126" s="35">
        <f>IF(N('Dvd Calendar'!$R$1226)=0,"",IF(('Dvd Calendar'!$R$1226&gt;=GRID_FROM)*('Dvd Calendar'!$R$1226&lt;=GRID_TO)*('Dvd Calendar'!$R$1226&lt;=VAL_DATE)=0,"",'Dvd Calendar'!$R$1226*1000000000+ISNUMBER('Dvd Calendar'!$R$1229)*100000000+('Dvd Calendar'!$R$1231=SPECIAL_LBL)*10000000+0*1000000+11*1000+14))</f>
        <v/>
      </c>
      <c r="ES126" s="35">
        <f>IF(N('Dvd Calendar'!$S$1226)=0,"",IF(('Dvd Calendar'!$S$1226&gt;=GRID_FROM)*('Dvd Calendar'!$S$1226&lt;=GRID_TO)*('Dvd Calendar'!$S$1226&lt;=VAL_DATE)=0,"",'Dvd Calendar'!$S$1226*1000000000+ISNUMBER('Dvd Calendar'!$S$1229)*100000000+('Dvd Calendar'!$S$1231=SPECIAL_LBL)*10000000+0*1000000+11*1000+15))</f>
        <v/>
      </c>
      <c r="ET126" s="35">
        <f>IF(N('Dvd Calendar'!$T$1226)=0,"",IF(('Dvd Calendar'!$T$1226&gt;=GRID_FROM)*('Dvd Calendar'!$T$1226&lt;=GRID_TO)*('Dvd Calendar'!$T$1226&lt;=VAL_DATE)=0,"",'Dvd Calendar'!$T$1226*1000000000+ISNUMBER('Dvd Calendar'!$T$1229)*100000000+('Dvd Calendar'!$T$1231=SPECIAL_LBL)*10000000+0*1000000+11*1000+16))</f>
        <v/>
      </c>
      <c r="EU126" s="35">
        <f>IF(N('Dvd Calendar'!$U$1226)=0,"",IF(('Dvd Calendar'!$U$1226&gt;=GRID_FROM)*('Dvd Calendar'!$U$1226&lt;=GRID_TO)*('Dvd Calendar'!$U$1226&lt;=VAL_DATE)=0,"",'Dvd Calendar'!$U$1226*1000000000+ISNUMBER('Dvd Calendar'!$U$1229)*100000000+('Dvd Calendar'!$U$1231=SPECIAL_LBL)*10000000+0*1000000+11*1000+17))</f>
        <v/>
      </c>
      <c r="EV126" s="35">
        <f>IF(N('Dvd Calendar'!$V$1226)=0,"",IF(('Dvd Calendar'!$V$1226&gt;=GRID_FROM)*('Dvd Calendar'!$V$1226&lt;=GRID_TO)*('Dvd Calendar'!$V$1226&lt;=VAL_DATE)=0,"",'Dvd Calendar'!$V$1226*1000000000+ISNUMBER('Dvd Calendar'!$V$1229)*100000000+('Dvd Calendar'!$V$1231=SPECIAL_LBL)*10000000+0*1000000+11*1000+18))</f>
        <v/>
      </c>
      <c r="EW126" s="35">
        <f>IF(N('Dvd Calendar'!$W$1226)=0,"",IF(('Dvd Calendar'!$W$1226&gt;=GRID_FROM)*('Dvd Calendar'!$W$1226&lt;=GRID_TO)*('Dvd Calendar'!$W$1226&lt;=VAL_DATE)=0,"",'Dvd Calendar'!$W$1226*1000000000+ISNUMBER('Dvd Calendar'!$W$1229)*100000000+('Dvd Calendar'!$W$1231=SPECIAL_LBL)*10000000+0*1000000+11*1000+19))</f>
        <v/>
      </c>
      <c r="EX126" s="35">
        <f>IF(N('Dvd Calendar'!$X$1226)=0,"",IF(('Dvd Calendar'!$X$1226&gt;=GRID_FROM)*('Dvd Calendar'!$X$1226&lt;=GRID_TO)*('Dvd Calendar'!$X$1226&lt;=VAL_DATE)=0,"",'Dvd Calendar'!$X$1226*1000000000+ISNUMBER('Dvd Calendar'!$X$1229)*100000000+('Dvd Calendar'!$X$1231=SPECIAL_LBL)*10000000+0*1000000+11*1000+20))</f>
        <v/>
      </c>
      <c r="EY126" s="35">
        <f>IF(N('Dvd Calendar'!$Y$1226)=0,"",IF(('Dvd Calendar'!$Y$1226&gt;=GRID_FROM)*('Dvd Calendar'!$Y$1226&lt;=GRID_TO)*('Dvd Calendar'!$Y$1226&lt;=VAL_DATE)=0,"",'Dvd Calendar'!$Y$1226*1000000000+ISNUMBER('Dvd Calendar'!$Y$1229)*100000000+('Dvd Calendar'!$Y$1231=SPECIAL_LBL)*10000000+0*1000000+11*1000+21))</f>
        <v/>
      </c>
      <c r="EZ126" s="35">
        <f>IF(N('Dvd Calendar'!$Z$1226)=0,"",IF(('Dvd Calendar'!$Z$1226&gt;=GRID_FROM)*('Dvd Calendar'!$Z$1226&lt;=GRID_TO)*('Dvd Calendar'!$Z$1226&lt;=VAL_DATE)=0,"",'Dvd Calendar'!$Z$1226*1000000000+ISNUMBER('Dvd Calendar'!$Z$1229)*100000000+('Dvd Calendar'!$Z$1231=SPECIAL_LBL)*10000000+0*1000000+11*1000+22))</f>
        <v/>
      </c>
      <c r="FA126" s="35">
        <f>IF(N('Dvd Calendar'!$AA$1226)=0,"",IF(('Dvd Calendar'!$AA$1226&gt;=GRID_FROM)*('Dvd Calendar'!$AA$1226&lt;=GRID_TO)*('Dvd Calendar'!$AA$1226&lt;=VAL_DATE)=0,"",'Dvd Calendar'!$AA$1226*1000000000+ISNUMBER('Dvd Calendar'!$AA$1229)*100000000+('Dvd Calendar'!$AA$1231=SPECIAL_LBL)*10000000+0*1000000+11*1000+23))</f>
        <v/>
      </c>
      <c r="FB126" s="35">
        <f>IF(N('Dvd Calendar'!$AB$1226)=0,"",IF(('Dvd Calendar'!$AB$1226&gt;=GRID_FROM)*('Dvd Calendar'!$AB$1226&lt;=GRID_TO)*('Dvd Calendar'!$AB$1226&lt;=VAL_DATE)=0,"",'Dvd Calendar'!$AB$1226*1000000000+ISNUMBER('Dvd Calendar'!$AB$1229)*100000000+('Dvd Calendar'!$AB$1231=SPECIAL_LBL)*10000000+0*1000000+11*1000+24))</f>
        <v/>
      </c>
      <c r="FC126" s="35">
        <f>IF(N('Dvd Calendar'!$AC$1226)=0,"",IF(('Dvd Calendar'!$AC$1226&gt;=GRID_FROM)*('Dvd Calendar'!$AC$1226&lt;=GRID_TO)*('Dvd Calendar'!$AC$1226&lt;=VAL_DATE)=0,"",'Dvd Calendar'!$AC$1226*1000000000+ISNUMBER('Dvd Calendar'!$AC$1229)*100000000+('Dvd Calendar'!$AC$1231=SPECIAL_LBL)*10000000+0*1000000+11*1000+25))</f>
        <v/>
      </c>
      <c r="FD126" s="35">
        <f>IF(N('Dvd Calendar'!$AD$1226)=0,"",IF(('Dvd Calendar'!$AD$1226&gt;=GRID_FROM)*('Dvd Calendar'!$AD$1226&lt;=GRID_TO)*('Dvd Calendar'!$AD$1226&lt;=VAL_DATE)=0,"",'Dvd Calendar'!$AD$1226*1000000000+ISNUMBER('Dvd Calendar'!$AD$1229)*100000000+('Dvd Calendar'!$AD$1231=SPECIAL_LBL)*10000000+0*1000000+11*1000+26))</f>
        <v/>
      </c>
      <c r="FE126" s="35">
        <f>IF(N('Dvd Calendar'!$AE$1226)=0,"",IF(('Dvd Calendar'!$AE$1226&gt;=GRID_FROM)*('Dvd Calendar'!$AE$1226&lt;=GRID_TO)*('Dvd Calendar'!$AE$1226&lt;=VAL_DATE)=0,"",'Dvd Calendar'!$AE$1226*1000000000+ISNUMBER('Dvd Calendar'!$AE$1229)*100000000+('Dvd Calendar'!$AE$1231=SPECIAL_LBL)*10000000+0*1000000+11*1000+27))</f>
        <v/>
      </c>
      <c r="FF126" s="35">
        <f>IF(N('Dvd Calendar'!$AF$1226)=0,"",IF(('Dvd Calendar'!$AF$1226&gt;=GRID_FROM)*('Dvd Calendar'!$AF$1226&lt;=GRID_TO)*('Dvd Calendar'!$AF$1226&lt;=VAL_DATE)=0,"",'Dvd Calendar'!$AF$1226*1000000000+ISNUMBER('Dvd Calendar'!$AF$1229)*100000000+('Dvd Calendar'!$AF$1231=SPECIAL_LBL)*10000000+0*1000000+11*1000+28))</f>
        <v/>
      </c>
      <c r="FG126" s="35">
        <f>IF(N('Dvd Calendar'!$AG$1226)=0,"",IF(('Dvd Calendar'!$AG$1226&gt;=GRID_FROM)*('Dvd Calendar'!$AG$1226&lt;=GRID_TO)*('Dvd Calendar'!$AG$1226&lt;=VAL_DATE)=0,"",'Dvd Calendar'!$AG$1226*1000000000+ISNUMBER('Dvd Calendar'!$AG$1229)*100000000+('Dvd Calendar'!$AG$1231=SPECIAL_LBL)*10000000+0*1000000+11*1000+29))</f>
        <v/>
      </c>
      <c r="FH126" s="35">
        <f>IF(N('Dvd Calendar'!$AH$1226)=0,"",IF(('Dvd Calendar'!$AH$1226&gt;=GRID_FROM)*('Dvd Calendar'!$AH$1226&lt;=GRID_TO)*('Dvd Calendar'!$AH$1226&lt;=VAL_DATE)=0,"",'Dvd Calendar'!$AH$1226*1000000000+ISNUMBER('Dvd Calendar'!$AH$1229)*100000000+('Dvd Calendar'!$AH$1231=SPECIAL_LBL)*10000000+0*1000000+11*1000+30))</f>
        <v/>
      </c>
      <c r="FI126" s="35">
        <f>IF(N('Dvd Calendar'!$AI$1226)=0,"",IF(('Dvd Calendar'!$AI$1226&gt;=GRID_FROM)*('Dvd Calendar'!$AI$1226&lt;=GRID_TO)*('Dvd Calendar'!$AI$1226&lt;=VAL_DATE)=0,"",'Dvd Calendar'!$AI$1226*1000000000+ISNUMBER('Dvd Calendar'!$AI$1229)*100000000+('Dvd Calendar'!$AI$1231=SPECIAL_LBL)*10000000+0*1000000+11*1000+31))</f>
        <v/>
      </c>
      <c r="FJ126" s="35">
        <f>IF(N('Dvd Calendar'!$AJ$1226)=0,"",IF(('Dvd Calendar'!$AJ$1226&gt;=GRID_FROM)*('Dvd Calendar'!$AJ$1226&lt;=GRID_TO)*('Dvd Calendar'!$AJ$1226&lt;=VAL_DATE)=0,"",'Dvd Calendar'!$AJ$1226*1000000000+ISNUMBER('Dvd Calendar'!$AJ$1229)*100000000+('Dvd Calendar'!$AJ$1231=SPECIAL_LBL)*10000000+0*1000000+11*1000+32))</f>
        <v/>
      </c>
      <c r="FK126" s="35">
        <f>IF(N('Dvd Calendar'!$AK$1226)=0,"",IF(('Dvd Calendar'!$AK$1226&gt;=GRID_FROM)*('Dvd Calendar'!$AK$1226&lt;=GRID_TO)*('Dvd Calendar'!$AK$1226&lt;=VAL_DATE)=0,"",'Dvd Calendar'!$AK$1226*1000000000+ISNUMBER('Dvd Calendar'!$AK$1229)*100000000+('Dvd Calendar'!$AK$1231=SPECIAL_LBL)*10000000+0*1000000+11*1000+33))</f>
        <v/>
      </c>
      <c r="FL126" s="35">
        <f>IF(N('Dvd Calendar'!$AL$1226)=0,"",IF(('Dvd Calendar'!$AL$1226&gt;=GRID_FROM)*('Dvd Calendar'!$AL$1226&lt;=GRID_TO)*('Dvd Calendar'!$AL$1226&lt;=VAL_DATE)=0,"",'Dvd Calendar'!$AL$1226*1000000000+ISNUMBER('Dvd Calendar'!$AL$1229)*100000000+('Dvd Calendar'!$AL$1231=SPECIAL_LBL)*10000000+0*1000000+11*1000+34))</f>
        <v/>
      </c>
      <c r="FM126" s="35">
        <f>IF(N('Dvd Calendar'!$AM$1226)=0,"",IF(('Dvd Calendar'!$AM$1226&gt;=GRID_FROM)*('Dvd Calendar'!$AM$1226&lt;=GRID_TO)*('Dvd Calendar'!$AM$1226&lt;=VAL_DATE)=0,"",'Dvd Calendar'!$AM$1226*1000000000+ISNUMBER('Dvd Calendar'!$AM$1229)*100000000+('Dvd Calendar'!$AM$1231=SPECIAL_LBL)*10000000+0*1000000+11*1000+35))</f>
        <v/>
      </c>
      <c r="FN126" s="35">
        <f>IF(N('Dvd Calendar'!$AN$1226)=0,"",IF(('Dvd Calendar'!$AN$1226&gt;=GRID_FROM)*('Dvd Calendar'!$AN$1226&lt;=GRID_TO)*('Dvd Calendar'!$AN$1226&lt;=VAL_DATE)=0,"",'Dvd Calendar'!$AN$1226*1000000000+ISNUMBER('Dvd Calendar'!$AN$1229)*100000000+('Dvd Calendar'!$AN$1231=SPECIAL_LBL)*10000000+0*1000000+11*1000+36))</f>
        <v/>
      </c>
      <c r="FO126" s="35">
        <f>IF(N('Dvd Calendar'!$AO$1226)=0,"",IF(('Dvd Calendar'!$AO$1226&gt;=GRID_FROM)*('Dvd Calendar'!$AO$1226&lt;=GRID_TO)*('Dvd Calendar'!$AO$1226&lt;=VAL_DATE)=0,"",'Dvd Calendar'!$AO$1226*1000000000+ISNUMBER('Dvd Calendar'!$AO$1229)*100000000+('Dvd Calendar'!$AO$1231=SPECIAL_LBL)*10000000+0*1000000+11*1000+37))</f>
        <v/>
      </c>
      <c r="FP126" s="35">
        <f>IF(N('Dvd Calendar'!$AP$1226)=0,"",IF(('Dvd Calendar'!$AP$1226&gt;=GRID_FROM)*('Dvd Calendar'!$AP$1226&lt;=GRID_TO)*('Dvd Calendar'!$AP$1226&lt;=VAL_DATE)=0,"",'Dvd Calendar'!$AP$1226*1000000000+ISNUMBER('Dvd Calendar'!$AP$1229)*100000000+('Dvd Calendar'!$AP$1231=SPECIAL_LBL)*10000000+0*1000000+11*1000+38))</f>
        <v/>
      </c>
      <c r="FQ126" s="35">
        <f>IF(N('Dvd Calendar'!$AQ$1226)=0,"",IF(('Dvd Calendar'!$AQ$1226&gt;=GRID_FROM)*('Dvd Calendar'!$AQ$1226&lt;=GRID_TO)*('Dvd Calendar'!$AQ$1226&lt;=VAL_DATE)=0,"",'Dvd Calendar'!$AQ$1226*1000000000+ISNUMBER('Dvd Calendar'!$AQ$1229)*100000000+('Dvd Calendar'!$AQ$1231=SPECIAL_LBL)*10000000+0*1000000+11*1000+39))</f>
        <v/>
      </c>
      <c r="FR126" s="35">
        <f>IF(N('Dvd Calendar'!$AR$1226)=0,"",IF(('Dvd Calendar'!$AR$1226&gt;=GRID_FROM)*('Dvd Calendar'!$AR$1226&lt;=GRID_TO)*('Dvd Calendar'!$AR$1226&lt;=VAL_DATE)=0,"",'Dvd Calendar'!$AR$1226*1000000000+ISNUMBER('Dvd Calendar'!$AR$1229)*100000000+('Dvd Calendar'!$AR$1231=SPECIAL_LBL)*10000000+0*1000000+11*1000+40))</f>
        <v/>
      </c>
      <c r="FS126" s="35">
        <f>IF(N('Dvd Calendar'!$E$1233)=0,"",IF(('Dvd Calendar'!$E$1233&gt;=GRID_FROM)*('Dvd Calendar'!$E$1233&lt;=GRID_TO)*('Dvd Calendar'!$E$1233&gt;VAL_DATE)=0,"",'Dvd Calendar'!$E$1233*1000000000+ISNUMBER('Dvd Calendar'!$E$1234)*100000000+0*10000000+(N('Dvd Calendar'!$E$1232)&gt;0)*(N('Dvd Calendar'!$E$1232)&lt;=VAL_SERIAL)*1000000+11*1000+41))</f>
        <v/>
      </c>
      <c r="FT126" s="35">
        <f>IF(N('Dvd Calendar'!$F$1233)=0,"",IF(('Dvd Calendar'!$F$1233&gt;=GRID_FROM)*('Dvd Calendar'!$F$1233&lt;=GRID_TO)*('Dvd Calendar'!$F$1233&gt;VAL_DATE)=0,"",'Dvd Calendar'!$F$1233*1000000000+ISNUMBER('Dvd Calendar'!$F$1234)*100000000+0*10000000+(N('Dvd Calendar'!$F$1232)&gt;0)*(N('Dvd Calendar'!$F$1232)&lt;=VAL_SERIAL)*1000000+11*1000+42))</f>
        <v/>
      </c>
      <c r="FU126" s="35">
        <f>IF(N('Dvd Calendar'!$G$1233)=0,"",IF(('Dvd Calendar'!$G$1233&gt;=GRID_FROM)*('Dvd Calendar'!$G$1233&lt;=GRID_TO)*('Dvd Calendar'!$G$1233&gt;VAL_DATE)=0,"",'Dvd Calendar'!$G$1233*1000000000+ISNUMBER('Dvd Calendar'!$G$1234)*100000000+0*10000000+(N('Dvd Calendar'!$G$1232)&gt;0)*(N('Dvd Calendar'!$G$1232)&lt;=VAL_SERIAL)*1000000+11*1000+43))</f>
        <v/>
      </c>
      <c r="FV126" s="35">
        <f>IF(N('Dvd Calendar'!$H$1233)=0,"",IF(('Dvd Calendar'!$H$1233&gt;=GRID_FROM)*('Dvd Calendar'!$H$1233&lt;=GRID_TO)*('Dvd Calendar'!$H$1233&gt;VAL_DATE)=0,"",'Dvd Calendar'!$H$1233*1000000000+ISNUMBER('Dvd Calendar'!$H$1234)*100000000+0*10000000+(N('Dvd Calendar'!$H$1232)&gt;0)*(N('Dvd Calendar'!$H$1232)&lt;=VAL_SERIAL)*1000000+11*1000+44))</f>
        <v/>
      </c>
      <c r="FW126" s="35">
        <f>IF(N('Dvd Calendar'!$I$1233)=0,"",IF(('Dvd Calendar'!$I$1233&gt;=GRID_FROM)*('Dvd Calendar'!$I$1233&lt;=GRID_TO)*('Dvd Calendar'!$I$1233&gt;VAL_DATE)=0,"",'Dvd Calendar'!$I$1233*1000000000+ISNUMBER('Dvd Calendar'!$I$1234)*100000000+0*10000000+(N('Dvd Calendar'!$I$1232)&gt;0)*(N('Dvd Calendar'!$I$1232)&lt;=VAL_SERIAL)*1000000+11*1000+45))</f>
        <v/>
      </c>
      <c r="FX126" s="35">
        <f>IF(N('Dvd Calendar'!$J$1233)=0,"",IF(('Dvd Calendar'!$J$1233&gt;=GRID_FROM)*('Dvd Calendar'!$J$1233&lt;=GRID_TO)*('Dvd Calendar'!$J$1233&gt;VAL_DATE)=0,"",'Dvd Calendar'!$J$1233*1000000000+ISNUMBER('Dvd Calendar'!$J$1234)*100000000+0*10000000+(N('Dvd Calendar'!$J$1232)&gt;0)*(N('Dvd Calendar'!$J$1232)&lt;=VAL_SERIAL)*1000000+11*1000+46))</f>
        <v/>
      </c>
      <c r="FY126" s="35">
        <f>IF(N('Dvd Calendar'!$K$1233)=0,"",IF(('Dvd Calendar'!$K$1233&gt;=GRID_FROM)*('Dvd Calendar'!$K$1233&lt;=GRID_TO)*('Dvd Calendar'!$K$1233&gt;VAL_DATE)=0,"",'Dvd Calendar'!$K$1233*1000000000+ISNUMBER('Dvd Calendar'!$K$1234)*100000000+0*10000000+(N('Dvd Calendar'!$K$1232)&gt;0)*(N('Dvd Calendar'!$K$1232)&lt;=VAL_SERIAL)*1000000+11*1000+47))</f>
        <v/>
      </c>
      <c r="FZ126" s="35">
        <f>IF(N('Dvd Calendar'!$L$1233)=0,"",IF(('Dvd Calendar'!$L$1233&gt;=GRID_FROM)*('Dvd Calendar'!$L$1233&lt;=GRID_TO)*('Dvd Calendar'!$L$1233&gt;VAL_DATE)=0,"",'Dvd Calendar'!$L$1233*1000000000+ISNUMBER('Dvd Calendar'!$L$1234)*100000000+0*10000000+(N('Dvd Calendar'!$L$1232)&gt;0)*(N('Dvd Calendar'!$L$1232)&lt;=VAL_SERIAL)*1000000+11*1000+48))</f>
        <v/>
      </c>
      <c r="GA126" s="35">
        <f>IF(N('Dvd Calendar'!$M$1233)=0,"",IF(('Dvd Calendar'!$M$1233&gt;=GRID_FROM)*('Dvd Calendar'!$M$1233&lt;=GRID_TO)*('Dvd Calendar'!$M$1233&gt;VAL_DATE)=0,"",'Dvd Calendar'!$M$1233*1000000000+ISNUMBER('Dvd Calendar'!$M$1234)*100000000+0*10000000+(N('Dvd Calendar'!$M$1232)&gt;0)*(N('Dvd Calendar'!$M$1232)&lt;=VAL_SERIAL)*1000000+11*1000+49))</f>
        <v/>
      </c>
      <c r="GB126" s="35">
        <f>IF(N('Dvd Calendar'!$N$1233)=0,"",IF(('Dvd Calendar'!$N$1233&gt;=GRID_FROM)*('Dvd Calendar'!$N$1233&lt;=GRID_TO)*('Dvd Calendar'!$N$1233&gt;VAL_DATE)=0,"",'Dvd Calendar'!$N$1233*1000000000+ISNUMBER('Dvd Calendar'!$N$1234)*100000000+0*10000000+(N('Dvd Calendar'!$N$1232)&gt;0)*(N('Dvd Calendar'!$N$1232)&lt;=VAL_SERIAL)*1000000+11*1000+50))</f>
        <v/>
      </c>
      <c r="GC126" s="35">
        <f>IF(N('Dvd Calendar'!$O$1233)=0,"",IF(('Dvd Calendar'!$O$1233&gt;=GRID_FROM)*('Dvd Calendar'!$O$1233&lt;=GRID_TO)*('Dvd Calendar'!$O$1233&gt;VAL_DATE)=0,"",'Dvd Calendar'!$O$1233*1000000000+ISNUMBER('Dvd Calendar'!$O$1234)*100000000+0*10000000+(N('Dvd Calendar'!$O$1232)&gt;0)*(N('Dvd Calendar'!$O$1232)&lt;=VAL_SERIAL)*1000000+11*1000+51))</f>
        <v/>
      </c>
      <c r="GD126" s="35">
        <f>IF(N('Dvd Calendar'!$P$1233)=0,"",IF(('Dvd Calendar'!$P$1233&gt;=GRID_FROM)*('Dvd Calendar'!$P$1233&lt;=GRID_TO)*('Dvd Calendar'!$P$1233&gt;VAL_DATE)=0,"",'Dvd Calendar'!$P$1233*1000000000+ISNUMBER('Dvd Calendar'!$P$1234)*100000000+0*10000000+(N('Dvd Calendar'!$P$1232)&gt;0)*(N('Dvd Calendar'!$P$1232)&lt;=VAL_SERIAL)*1000000+11*1000+52))</f>
        <v/>
      </c>
      <c r="GE126" s="35">
        <f>IF(N('Dvd Calendar'!$Q$1233)=0,"",IF(('Dvd Calendar'!$Q$1233&gt;=GRID_FROM)*('Dvd Calendar'!$Q$1233&lt;=GRID_TO)*('Dvd Calendar'!$Q$1233&gt;VAL_DATE)=0,"",'Dvd Calendar'!$Q$1233*1000000000+ISNUMBER('Dvd Calendar'!$Q$1234)*100000000+0*10000000+(N('Dvd Calendar'!$Q$1232)&gt;0)*(N('Dvd Calendar'!$Q$1232)&lt;=VAL_SERIAL)*1000000+11*1000+53))</f>
        <v/>
      </c>
      <c r="GF126" s="35">
        <f>IF(N('Dvd Calendar'!$R$1233)=0,"",IF(('Dvd Calendar'!$R$1233&gt;=GRID_FROM)*('Dvd Calendar'!$R$1233&lt;=GRID_TO)*('Dvd Calendar'!$R$1233&gt;VAL_DATE)=0,"",'Dvd Calendar'!$R$1233*1000000000+ISNUMBER('Dvd Calendar'!$R$1234)*100000000+0*10000000+(N('Dvd Calendar'!$R$1232)&gt;0)*(N('Dvd Calendar'!$R$1232)&lt;=VAL_SERIAL)*1000000+11*1000+54))</f>
        <v/>
      </c>
      <c r="GG126" s="35">
        <f>IF(N('Dvd Calendar'!$S$1233)=0,"",IF(('Dvd Calendar'!$S$1233&gt;=GRID_FROM)*('Dvd Calendar'!$S$1233&lt;=GRID_TO)*('Dvd Calendar'!$S$1233&gt;VAL_DATE)=0,"",'Dvd Calendar'!$S$1233*1000000000+ISNUMBER('Dvd Calendar'!$S$1234)*100000000+0*10000000+(N('Dvd Calendar'!$S$1232)&gt;0)*(N('Dvd Calendar'!$S$1232)&lt;=VAL_SERIAL)*1000000+11*1000+55))</f>
        <v/>
      </c>
      <c r="GH126" s="35">
        <f>IF(N('Dvd Calendar'!$T$1233)=0,"",IF(('Dvd Calendar'!$T$1233&gt;=GRID_FROM)*('Dvd Calendar'!$T$1233&lt;=GRID_TO)*('Dvd Calendar'!$T$1233&gt;VAL_DATE)=0,"",'Dvd Calendar'!$T$1233*1000000000+ISNUMBER('Dvd Calendar'!$T$1234)*100000000+0*10000000+(N('Dvd Calendar'!$T$1232)&gt;0)*(N('Dvd Calendar'!$T$1232)&lt;=VAL_SERIAL)*1000000+11*1000+56))</f>
        <v/>
      </c>
      <c r="GI126" s="35">
        <f>IF(N('Dvd Calendar'!$U$1233)=0,"",IF(('Dvd Calendar'!$U$1233&gt;=GRID_FROM)*('Dvd Calendar'!$U$1233&lt;=GRID_TO)*('Dvd Calendar'!$U$1233&gt;VAL_DATE)=0,"",'Dvd Calendar'!$U$1233*1000000000+ISNUMBER('Dvd Calendar'!$U$1234)*100000000+0*10000000+(N('Dvd Calendar'!$U$1232)&gt;0)*(N('Dvd Calendar'!$U$1232)&lt;=VAL_SERIAL)*1000000+11*1000+57))</f>
        <v/>
      </c>
      <c r="GJ126" s="35">
        <f>IF(N('Dvd Calendar'!$V$1233)=0,"",IF(('Dvd Calendar'!$V$1233&gt;=GRID_FROM)*('Dvd Calendar'!$V$1233&lt;=GRID_TO)*('Dvd Calendar'!$V$1233&gt;VAL_DATE)=0,"",'Dvd Calendar'!$V$1233*1000000000+ISNUMBER('Dvd Calendar'!$V$1234)*100000000+0*10000000+(N('Dvd Calendar'!$V$1232)&gt;0)*(N('Dvd Calendar'!$V$1232)&lt;=VAL_SERIAL)*1000000+11*1000+58))</f>
        <v/>
      </c>
      <c r="GK126" s="35">
        <f>IF(N('Dvd Calendar'!$W$1233)=0,"",IF(('Dvd Calendar'!$W$1233&gt;=GRID_FROM)*('Dvd Calendar'!$W$1233&lt;=GRID_TO)*('Dvd Calendar'!$W$1233&gt;VAL_DATE)=0,"",'Dvd Calendar'!$W$1233*1000000000+ISNUMBER('Dvd Calendar'!$W$1234)*100000000+0*10000000+(N('Dvd Calendar'!$W$1232)&gt;0)*(N('Dvd Calendar'!$W$1232)&lt;=VAL_SERIAL)*1000000+11*1000+59))</f>
        <v/>
      </c>
      <c r="GL126" s="35">
        <f>IF(N('Dvd Calendar'!$X$1233)=0,"",IF(('Dvd Calendar'!$X$1233&gt;=GRID_FROM)*('Dvd Calendar'!$X$1233&lt;=GRID_TO)*('Dvd Calendar'!$X$1233&gt;VAL_DATE)=0,"",'Dvd Calendar'!$X$1233*1000000000+ISNUMBER('Dvd Calendar'!$X$1234)*100000000+0*10000000+(N('Dvd Calendar'!$X$1232)&gt;0)*(N('Dvd Calendar'!$X$1232)&lt;=VAL_SERIAL)*1000000+11*1000+60))</f>
        <v/>
      </c>
      <c r="GM126" s="35">
        <f>IF(N('Dvd Calendar'!$Y$1233)=0,"",IF(('Dvd Calendar'!$Y$1233&gt;=GRID_FROM)*('Dvd Calendar'!$Y$1233&lt;=GRID_TO)*('Dvd Calendar'!$Y$1233&gt;VAL_DATE)=0,"",'Dvd Calendar'!$Y$1233*1000000000+ISNUMBER('Dvd Calendar'!$Y$1234)*100000000+0*10000000+(N('Dvd Calendar'!$Y$1232)&gt;0)*(N('Dvd Calendar'!$Y$1232)&lt;=VAL_SERIAL)*1000000+11*1000+61))</f>
        <v/>
      </c>
      <c r="GN126" s="35">
        <f>IF(N('Dvd Calendar'!$Z$1233)=0,"",IF(('Dvd Calendar'!$Z$1233&gt;=GRID_FROM)*('Dvd Calendar'!$Z$1233&lt;=GRID_TO)*('Dvd Calendar'!$Z$1233&gt;VAL_DATE)=0,"",'Dvd Calendar'!$Z$1233*1000000000+ISNUMBER('Dvd Calendar'!$Z$1234)*100000000+0*10000000+(N('Dvd Calendar'!$Z$1232)&gt;0)*(N('Dvd Calendar'!$Z$1232)&lt;=VAL_SERIAL)*1000000+11*1000+62))</f>
        <v/>
      </c>
      <c r="GO126" s="35">
        <f>IF(N('Dvd Calendar'!$AA$1233)=0,"",IF(('Dvd Calendar'!$AA$1233&gt;=GRID_FROM)*('Dvd Calendar'!$AA$1233&lt;=GRID_TO)*('Dvd Calendar'!$AA$1233&gt;VAL_DATE)=0,"",'Dvd Calendar'!$AA$1233*1000000000+ISNUMBER('Dvd Calendar'!$AA$1234)*100000000+0*10000000+(N('Dvd Calendar'!$AA$1232)&gt;0)*(N('Dvd Calendar'!$AA$1232)&lt;=VAL_SERIAL)*1000000+11*1000+63))</f>
        <v/>
      </c>
      <c r="GP126" s="35">
        <f>IF(N('Dvd Calendar'!$AB$1233)=0,"",IF(('Dvd Calendar'!$AB$1233&gt;=GRID_FROM)*('Dvd Calendar'!$AB$1233&lt;=GRID_TO)*('Dvd Calendar'!$AB$1233&gt;VAL_DATE)=0,"",'Dvd Calendar'!$AB$1233*1000000000+ISNUMBER('Dvd Calendar'!$AB$1234)*100000000+0*10000000+(N('Dvd Calendar'!$AB$1232)&gt;0)*(N('Dvd Calendar'!$AB$1232)&lt;=VAL_SERIAL)*1000000+11*1000+64))</f>
        <v/>
      </c>
      <c r="GQ126" s="35">
        <f>IF(N('Dvd Calendar'!$AC$1233)=0,"",IF(('Dvd Calendar'!$AC$1233&gt;=GRID_FROM)*('Dvd Calendar'!$AC$1233&lt;=GRID_TO)*('Dvd Calendar'!$AC$1233&gt;VAL_DATE)=0,"",'Dvd Calendar'!$AC$1233*1000000000+ISNUMBER('Dvd Calendar'!$AC$1234)*100000000+0*10000000+(N('Dvd Calendar'!$AC$1232)&gt;0)*(N('Dvd Calendar'!$AC$1232)&lt;=VAL_SERIAL)*1000000+11*1000+65))</f>
        <v/>
      </c>
    </row>
    <row r="127">
      <c r="B127" s="2">
        <f>IF(HSTECH!$C$18="","",HSTECH!$C$18)</f>
        <v/>
      </c>
      <c r="C127" s="106">
        <f>IF(EE127="","",IF(ISNUMBER('Dvd Calendar'!$E$1240)=FALSE,"",IF((('Dvd Calendar'!$E$1242=TYPE1)*(TYPE1&lt;&gt;"")+('Dvd Calendar'!$E$1242=TYPE2)*(TYPE2&lt;&gt;"")+('Dvd Calendar'!$E$1242=TYPE3)*(TYPE3&lt;&gt;"")+('Dvd Calendar'!$E$1242=TYPE4)*(TYPE4&lt;&gt;"")+('Dvd Calendar'!$E$1242=SPECIAL_LBL)*(INC_SPECIALS="Y"))=0,"",'Dvd Calendar'!$E$1240)))</f>
        <v/>
      </c>
      <c r="D127" s="106">
        <f>IF(EF127="","",IF(ISNUMBER('Dvd Calendar'!$F$1240)=FALSE,"",IF((('Dvd Calendar'!$F$1242=TYPE1)*(TYPE1&lt;&gt;"")+('Dvd Calendar'!$F$1242=TYPE2)*(TYPE2&lt;&gt;"")+('Dvd Calendar'!$F$1242=TYPE3)*(TYPE3&lt;&gt;"")+('Dvd Calendar'!$F$1242=TYPE4)*(TYPE4&lt;&gt;"")+('Dvd Calendar'!$F$1242=SPECIAL_LBL)*(INC_SPECIALS="Y"))=0,"",'Dvd Calendar'!$F$1240)))</f>
        <v/>
      </c>
      <c r="E127" s="106">
        <f>IF(EG127="","",IF(ISNUMBER('Dvd Calendar'!$G$1240)=FALSE,"",IF((('Dvd Calendar'!$G$1242=TYPE1)*(TYPE1&lt;&gt;"")+('Dvd Calendar'!$G$1242=TYPE2)*(TYPE2&lt;&gt;"")+('Dvd Calendar'!$G$1242=TYPE3)*(TYPE3&lt;&gt;"")+('Dvd Calendar'!$G$1242=TYPE4)*(TYPE4&lt;&gt;"")+('Dvd Calendar'!$G$1242=SPECIAL_LBL)*(INC_SPECIALS="Y"))=0,"",'Dvd Calendar'!$G$1240)))</f>
        <v/>
      </c>
      <c r="F127" s="106">
        <f>IF(EH127="","",IF(ISNUMBER('Dvd Calendar'!$H$1240)=FALSE,"",IF((('Dvd Calendar'!$H$1242=TYPE1)*(TYPE1&lt;&gt;"")+('Dvd Calendar'!$H$1242=TYPE2)*(TYPE2&lt;&gt;"")+('Dvd Calendar'!$H$1242=TYPE3)*(TYPE3&lt;&gt;"")+('Dvd Calendar'!$H$1242=TYPE4)*(TYPE4&lt;&gt;"")+('Dvd Calendar'!$H$1242=SPECIAL_LBL)*(INC_SPECIALS="Y"))=0,"",'Dvd Calendar'!$H$1240)))</f>
        <v/>
      </c>
      <c r="G127" s="106">
        <f>IF(EI127="","",IF(ISNUMBER('Dvd Calendar'!$I$1240)=FALSE,"",IF((('Dvd Calendar'!$I$1242=TYPE1)*(TYPE1&lt;&gt;"")+('Dvd Calendar'!$I$1242=TYPE2)*(TYPE2&lt;&gt;"")+('Dvd Calendar'!$I$1242=TYPE3)*(TYPE3&lt;&gt;"")+('Dvd Calendar'!$I$1242=TYPE4)*(TYPE4&lt;&gt;"")+('Dvd Calendar'!$I$1242=SPECIAL_LBL)*(INC_SPECIALS="Y"))=0,"",'Dvd Calendar'!$I$1240)))</f>
        <v/>
      </c>
      <c r="H127" s="106">
        <f>IF(EJ127="","",IF(ISNUMBER('Dvd Calendar'!$J$1240)=FALSE,"",IF((('Dvd Calendar'!$J$1242=TYPE1)*(TYPE1&lt;&gt;"")+('Dvd Calendar'!$J$1242=TYPE2)*(TYPE2&lt;&gt;"")+('Dvd Calendar'!$J$1242=TYPE3)*(TYPE3&lt;&gt;"")+('Dvd Calendar'!$J$1242=TYPE4)*(TYPE4&lt;&gt;"")+('Dvd Calendar'!$J$1242=SPECIAL_LBL)*(INC_SPECIALS="Y"))=0,"",'Dvd Calendar'!$J$1240)))</f>
        <v/>
      </c>
      <c r="I127" s="106">
        <f>IF(EK127="","",IF(ISNUMBER('Dvd Calendar'!$K$1240)=FALSE,"",IF((('Dvd Calendar'!$K$1242=TYPE1)*(TYPE1&lt;&gt;"")+('Dvd Calendar'!$K$1242=TYPE2)*(TYPE2&lt;&gt;"")+('Dvd Calendar'!$K$1242=TYPE3)*(TYPE3&lt;&gt;"")+('Dvd Calendar'!$K$1242=TYPE4)*(TYPE4&lt;&gt;"")+('Dvd Calendar'!$K$1242=SPECIAL_LBL)*(INC_SPECIALS="Y"))=0,"",'Dvd Calendar'!$K$1240)))</f>
        <v/>
      </c>
      <c r="J127" s="106">
        <f>IF(EL127="","",IF(ISNUMBER('Dvd Calendar'!$L$1240)=FALSE,"",IF((('Dvd Calendar'!$L$1242=TYPE1)*(TYPE1&lt;&gt;"")+('Dvd Calendar'!$L$1242=TYPE2)*(TYPE2&lt;&gt;"")+('Dvd Calendar'!$L$1242=TYPE3)*(TYPE3&lt;&gt;"")+('Dvd Calendar'!$L$1242=TYPE4)*(TYPE4&lt;&gt;"")+('Dvd Calendar'!$L$1242=SPECIAL_LBL)*(INC_SPECIALS="Y"))=0,"",'Dvd Calendar'!$L$1240)))</f>
        <v/>
      </c>
      <c r="K127" s="106">
        <f>IF(EM127="","",IF(ISNUMBER('Dvd Calendar'!$M$1240)=FALSE,"",IF((('Dvd Calendar'!$M$1242=TYPE1)*(TYPE1&lt;&gt;"")+('Dvd Calendar'!$M$1242=TYPE2)*(TYPE2&lt;&gt;"")+('Dvd Calendar'!$M$1242=TYPE3)*(TYPE3&lt;&gt;"")+('Dvd Calendar'!$M$1242=TYPE4)*(TYPE4&lt;&gt;"")+('Dvd Calendar'!$M$1242=SPECIAL_LBL)*(INC_SPECIALS="Y"))=0,"",'Dvd Calendar'!$M$1240)))</f>
        <v/>
      </c>
      <c r="L127" s="106">
        <f>IF(EN127="","",IF(ISNUMBER('Dvd Calendar'!$N$1240)=FALSE,"",IF((('Dvd Calendar'!$N$1242=TYPE1)*(TYPE1&lt;&gt;"")+('Dvd Calendar'!$N$1242=TYPE2)*(TYPE2&lt;&gt;"")+('Dvd Calendar'!$N$1242=TYPE3)*(TYPE3&lt;&gt;"")+('Dvd Calendar'!$N$1242=TYPE4)*(TYPE4&lt;&gt;"")+('Dvd Calendar'!$N$1242=SPECIAL_LBL)*(INC_SPECIALS="Y"))=0,"",'Dvd Calendar'!$N$1240)))</f>
        <v/>
      </c>
      <c r="M127" s="106">
        <f>IF(EO127="","",IF(ISNUMBER('Dvd Calendar'!$O$1240)=FALSE,"",IF((('Dvd Calendar'!$O$1242=TYPE1)*(TYPE1&lt;&gt;"")+('Dvd Calendar'!$O$1242=TYPE2)*(TYPE2&lt;&gt;"")+('Dvd Calendar'!$O$1242=TYPE3)*(TYPE3&lt;&gt;"")+('Dvd Calendar'!$O$1242=TYPE4)*(TYPE4&lt;&gt;"")+('Dvd Calendar'!$O$1242=SPECIAL_LBL)*(INC_SPECIALS="Y"))=0,"",'Dvd Calendar'!$O$1240)))</f>
        <v/>
      </c>
      <c r="N127" s="106">
        <f>IF(EP127="","",IF(ISNUMBER('Dvd Calendar'!$P$1240)=FALSE,"",IF((('Dvd Calendar'!$P$1242=TYPE1)*(TYPE1&lt;&gt;"")+('Dvd Calendar'!$P$1242=TYPE2)*(TYPE2&lt;&gt;"")+('Dvd Calendar'!$P$1242=TYPE3)*(TYPE3&lt;&gt;"")+('Dvd Calendar'!$P$1242=TYPE4)*(TYPE4&lt;&gt;"")+('Dvd Calendar'!$P$1242=SPECIAL_LBL)*(INC_SPECIALS="Y"))=0,"",'Dvd Calendar'!$P$1240)))</f>
        <v/>
      </c>
      <c r="O127" s="106">
        <f>IF(EQ127="","",IF(ISNUMBER('Dvd Calendar'!$Q$1240)=FALSE,"",IF((('Dvd Calendar'!$Q$1242=TYPE1)*(TYPE1&lt;&gt;"")+('Dvd Calendar'!$Q$1242=TYPE2)*(TYPE2&lt;&gt;"")+('Dvd Calendar'!$Q$1242=TYPE3)*(TYPE3&lt;&gt;"")+('Dvd Calendar'!$Q$1242=TYPE4)*(TYPE4&lt;&gt;"")+('Dvd Calendar'!$Q$1242=SPECIAL_LBL)*(INC_SPECIALS="Y"))=0,"",'Dvd Calendar'!$Q$1240)))</f>
        <v/>
      </c>
      <c r="P127" s="106">
        <f>IF(ER127="","",IF(ISNUMBER('Dvd Calendar'!$R$1240)=FALSE,"",IF((('Dvd Calendar'!$R$1242=TYPE1)*(TYPE1&lt;&gt;"")+('Dvd Calendar'!$R$1242=TYPE2)*(TYPE2&lt;&gt;"")+('Dvd Calendar'!$R$1242=TYPE3)*(TYPE3&lt;&gt;"")+('Dvd Calendar'!$R$1242=TYPE4)*(TYPE4&lt;&gt;"")+('Dvd Calendar'!$R$1242=SPECIAL_LBL)*(INC_SPECIALS="Y"))=0,"",'Dvd Calendar'!$R$1240)))</f>
        <v/>
      </c>
      <c r="Q127" s="106">
        <f>IF(ES127="","",IF(ISNUMBER('Dvd Calendar'!$S$1240)=FALSE,"",IF((('Dvd Calendar'!$S$1242=TYPE1)*(TYPE1&lt;&gt;"")+('Dvd Calendar'!$S$1242=TYPE2)*(TYPE2&lt;&gt;"")+('Dvd Calendar'!$S$1242=TYPE3)*(TYPE3&lt;&gt;"")+('Dvd Calendar'!$S$1242=TYPE4)*(TYPE4&lt;&gt;"")+('Dvd Calendar'!$S$1242=SPECIAL_LBL)*(INC_SPECIALS="Y"))=0,"",'Dvd Calendar'!$S$1240)))</f>
        <v/>
      </c>
      <c r="R127" s="106">
        <f>IF(ET127="","",IF(ISNUMBER('Dvd Calendar'!$T$1240)=FALSE,"",IF((('Dvd Calendar'!$T$1242=TYPE1)*(TYPE1&lt;&gt;"")+('Dvd Calendar'!$T$1242=TYPE2)*(TYPE2&lt;&gt;"")+('Dvd Calendar'!$T$1242=TYPE3)*(TYPE3&lt;&gt;"")+('Dvd Calendar'!$T$1242=TYPE4)*(TYPE4&lt;&gt;"")+('Dvd Calendar'!$T$1242=SPECIAL_LBL)*(INC_SPECIALS="Y"))=0,"",'Dvd Calendar'!$T$1240)))</f>
        <v/>
      </c>
      <c r="S127" s="106">
        <f>IF(EU127="","",IF(ISNUMBER('Dvd Calendar'!$U$1240)=FALSE,"",IF((('Dvd Calendar'!$U$1242=TYPE1)*(TYPE1&lt;&gt;"")+('Dvd Calendar'!$U$1242=TYPE2)*(TYPE2&lt;&gt;"")+('Dvd Calendar'!$U$1242=TYPE3)*(TYPE3&lt;&gt;"")+('Dvd Calendar'!$U$1242=TYPE4)*(TYPE4&lt;&gt;"")+('Dvd Calendar'!$U$1242=SPECIAL_LBL)*(INC_SPECIALS="Y"))=0,"",'Dvd Calendar'!$U$1240)))</f>
        <v/>
      </c>
      <c r="T127" s="106">
        <f>IF(EV127="","",IF(ISNUMBER('Dvd Calendar'!$V$1240)=FALSE,"",IF((('Dvd Calendar'!$V$1242=TYPE1)*(TYPE1&lt;&gt;"")+('Dvd Calendar'!$V$1242=TYPE2)*(TYPE2&lt;&gt;"")+('Dvd Calendar'!$V$1242=TYPE3)*(TYPE3&lt;&gt;"")+('Dvd Calendar'!$V$1242=TYPE4)*(TYPE4&lt;&gt;"")+('Dvd Calendar'!$V$1242=SPECIAL_LBL)*(INC_SPECIALS="Y"))=0,"",'Dvd Calendar'!$V$1240)))</f>
        <v/>
      </c>
      <c r="U127" s="106">
        <f>IF(EW127="","",IF(ISNUMBER('Dvd Calendar'!$W$1240)=FALSE,"",IF((('Dvd Calendar'!$W$1242=TYPE1)*(TYPE1&lt;&gt;"")+('Dvd Calendar'!$W$1242=TYPE2)*(TYPE2&lt;&gt;"")+('Dvd Calendar'!$W$1242=TYPE3)*(TYPE3&lt;&gt;"")+('Dvd Calendar'!$W$1242=TYPE4)*(TYPE4&lt;&gt;"")+('Dvd Calendar'!$W$1242=SPECIAL_LBL)*(INC_SPECIALS="Y"))=0,"",'Dvd Calendar'!$W$1240)))</f>
        <v/>
      </c>
      <c r="V127" s="106">
        <f>IF(EX127="","",IF(ISNUMBER('Dvd Calendar'!$X$1240)=FALSE,"",IF((('Dvd Calendar'!$X$1242=TYPE1)*(TYPE1&lt;&gt;"")+('Dvd Calendar'!$X$1242=TYPE2)*(TYPE2&lt;&gt;"")+('Dvd Calendar'!$X$1242=TYPE3)*(TYPE3&lt;&gt;"")+('Dvd Calendar'!$X$1242=TYPE4)*(TYPE4&lt;&gt;"")+('Dvd Calendar'!$X$1242=SPECIAL_LBL)*(INC_SPECIALS="Y"))=0,"",'Dvd Calendar'!$X$1240)))</f>
        <v/>
      </c>
      <c r="W127" s="106">
        <f>IF(EY127="","",IF(ISNUMBER('Dvd Calendar'!$Y$1240)=FALSE,"",IF((('Dvd Calendar'!$Y$1242=TYPE1)*(TYPE1&lt;&gt;"")+('Dvd Calendar'!$Y$1242=TYPE2)*(TYPE2&lt;&gt;"")+('Dvd Calendar'!$Y$1242=TYPE3)*(TYPE3&lt;&gt;"")+('Dvd Calendar'!$Y$1242=TYPE4)*(TYPE4&lt;&gt;"")+('Dvd Calendar'!$Y$1242=SPECIAL_LBL)*(INC_SPECIALS="Y"))=0,"",'Dvd Calendar'!$Y$1240)))</f>
        <v/>
      </c>
      <c r="X127" s="106">
        <f>IF(EZ127="","",IF(ISNUMBER('Dvd Calendar'!$Z$1240)=FALSE,"",IF((('Dvd Calendar'!$Z$1242=TYPE1)*(TYPE1&lt;&gt;"")+('Dvd Calendar'!$Z$1242=TYPE2)*(TYPE2&lt;&gt;"")+('Dvd Calendar'!$Z$1242=TYPE3)*(TYPE3&lt;&gt;"")+('Dvd Calendar'!$Z$1242=TYPE4)*(TYPE4&lt;&gt;"")+('Dvd Calendar'!$Z$1242=SPECIAL_LBL)*(INC_SPECIALS="Y"))=0,"",'Dvd Calendar'!$Z$1240)))</f>
        <v/>
      </c>
      <c r="Y127" s="106">
        <f>IF(FA127="","",IF(ISNUMBER('Dvd Calendar'!$AA$1240)=FALSE,"",IF((('Dvd Calendar'!$AA$1242=TYPE1)*(TYPE1&lt;&gt;"")+('Dvd Calendar'!$AA$1242=TYPE2)*(TYPE2&lt;&gt;"")+('Dvd Calendar'!$AA$1242=TYPE3)*(TYPE3&lt;&gt;"")+('Dvd Calendar'!$AA$1242=TYPE4)*(TYPE4&lt;&gt;"")+('Dvd Calendar'!$AA$1242=SPECIAL_LBL)*(INC_SPECIALS="Y"))=0,"",'Dvd Calendar'!$AA$1240)))</f>
        <v/>
      </c>
      <c r="Z127" s="106">
        <f>IF(FB127="","",IF(ISNUMBER('Dvd Calendar'!$AB$1240)=FALSE,"",IF((('Dvd Calendar'!$AB$1242=TYPE1)*(TYPE1&lt;&gt;"")+('Dvd Calendar'!$AB$1242=TYPE2)*(TYPE2&lt;&gt;"")+('Dvd Calendar'!$AB$1242=TYPE3)*(TYPE3&lt;&gt;"")+('Dvd Calendar'!$AB$1242=TYPE4)*(TYPE4&lt;&gt;"")+('Dvd Calendar'!$AB$1242=SPECIAL_LBL)*(INC_SPECIALS="Y"))=0,"",'Dvd Calendar'!$AB$1240)))</f>
        <v/>
      </c>
      <c r="AA127" s="106">
        <f>IF(FC127="","",IF(ISNUMBER('Dvd Calendar'!$AC$1240)=FALSE,"",IF((('Dvd Calendar'!$AC$1242=TYPE1)*(TYPE1&lt;&gt;"")+('Dvd Calendar'!$AC$1242=TYPE2)*(TYPE2&lt;&gt;"")+('Dvd Calendar'!$AC$1242=TYPE3)*(TYPE3&lt;&gt;"")+('Dvd Calendar'!$AC$1242=TYPE4)*(TYPE4&lt;&gt;"")+('Dvd Calendar'!$AC$1242=SPECIAL_LBL)*(INC_SPECIALS="Y"))=0,"",'Dvd Calendar'!$AC$1240)))</f>
        <v/>
      </c>
      <c r="AB127" s="106">
        <f>IF(FD127="","",IF(ISNUMBER('Dvd Calendar'!$AD$1240)=FALSE,"",IF((('Dvd Calendar'!$AD$1242=TYPE1)*(TYPE1&lt;&gt;"")+('Dvd Calendar'!$AD$1242=TYPE2)*(TYPE2&lt;&gt;"")+('Dvd Calendar'!$AD$1242=TYPE3)*(TYPE3&lt;&gt;"")+('Dvd Calendar'!$AD$1242=TYPE4)*(TYPE4&lt;&gt;"")+('Dvd Calendar'!$AD$1242=SPECIAL_LBL)*(INC_SPECIALS="Y"))=0,"",'Dvd Calendar'!$AD$1240)))</f>
        <v/>
      </c>
      <c r="AC127" s="106">
        <f>IF(FE127="","",IF(ISNUMBER('Dvd Calendar'!$AE$1240)=FALSE,"",IF((('Dvd Calendar'!$AE$1242=TYPE1)*(TYPE1&lt;&gt;"")+('Dvd Calendar'!$AE$1242=TYPE2)*(TYPE2&lt;&gt;"")+('Dvd Calendar'!$AE$1242=TYPE3)*(TYPE3&lt;&gt;"")+('Dvd Calendar'!$AE$1242=TYPE4)*(TYPE4&lt;&gt;"")+('Dvd Calendar'!$AE$1242=SPECIAL_LBL)*(INC_SPECIALS="Y"))=0,"",'Dvd Calendar'!$AE$1240)))</f>
        <v/>
      </c>
      <c r="AD127" s="106">
        <f>IF(FF127="","",IF(ISNUMBER('Dvd Calendar'!$AF$1240)=FALSE,"",IF((('Dvd Calendar'!$AF$1242=TYPE1)*(TYPE1&lt;&gt;"")+('Dvd Calendar'!$AF$1242=TYPE2)*(TYPE2&lt;&gt;"")+('Dvd Calendar'!$AF$1242=TYPE3)*(TYPE3&lt;&gt;"")+('Dvd Calendar'!$AF$1242=TYPE4)*(TYPE4&lt;&gt;"")+('Dvd Calendar'!$AF$1242=SPECIAL_LBL)*(INC_SPECIALS="Y"))=0,"",'Dvd Calendar'!$AF$1240)))</f>
        <v/>
      </c>
      <c r="AE127" s="106">
        <f>IF(FG127="","",IF(ISNUMBER('Dvd Calendar'!$AG$1240)=FALSE,"",IF((('Dvd Calendar'!$AG$1242=TYPE1)*(TYPE1&lt;&gt;"")+('Dvd Calendar'!$AG$1242=TYPE2)*(TYPE2&lt;&gt;"")+('Dvd Calendar'!$AG$1242=TYPE3)*(TYPE3&lt;&gt;"")+('Dvd Calendar'!$AG$1242=TYPE4)*(TYPE4&lt;&gt;"")+('Dvd Calendar'!$AG$1242=SPECIAL_LBL)*(INC_SPECIALS="Y"))=0,"",'Dvd Calendar'!$AG$1240)))</f>
        <v/>
      </c>
      <c r="AF127" s="106">
        <f>IF(FH127="","",IF(ISNUMBER('Dvd Calendar'!$AH$1240)=FALSE,"",IF((('Dvd Calendar'!$AH$1242=TYPE1)*(TYPE1&lt;&gt;"")+('Dvd Calendar'!$AH$1242=TYPE2)*(TYPE2&lt;&gt;"")+('Dvd Calendar'!$AH$1242=TYPE3)*(TYPE3&lt;&gt;"")+('Dvd Calendar'!$AH$1242=TYPE4)*(TYPE4&lt;&gt;"")+('Dvd Calendar'!$AH$1242=SPECIAL_LBL)*(INC_SPECIALS="Y"))=0,"",'Dvd Calendar'!$AH$1240)))</f>
        <v/>
      </c>
      <c r="AG127" s="106">
        <f>IF(FI127="","",IF(ISNUMBER('Dvd Calendar'!$AI$1240)=FALSE,"",IF((('Dvd Calendar'!$AI$1242=TYPE1)*(TYPE1&lt;&gt;"")+('Dvd Calendar'!$AI$1242=TYPE2)*(TYPE2&lt;&gt;"")+('Dvd Calendar'!$AI$1242=TYPE3)*(TYPE3&lt;&gt;"")+('Dvd Calendar'!$AI$1242=TYPE4)*(TYPE4&lt;&gt;"")+('Dvd Calendar'!$AI$1242=SPECIAL_LBL)*(INC_SPECIALS="Y"))=0,"",'Dvd Calendar'!$AI$1240)))</f>
        <v/>
      </c>
      <c r="AH127" s="106">
        <f>IF(FJ127="","",IF(ISNUMBER('Dvd Calendar'!$AJ$1240)=FALSE,"",IF((('Dvd Calendar'!$AJ$1242=TYPE1)*(TYPE1&lt;&gt;"")+('Dvd Calendar'!$AJ$1242=TYPE2)*(TYPE2&lt;&gt;"")+('Dvd Calendar'!$AJ$1242=TYPE3)*(TYPE3&lt;&gt;"")+('Dvd Calendar'!$AJ$1242=TYPE4)*(TYPE4&lt;&gt;"")+('Dvd Calendar'!$AJ$1242=SPECIAL_LBL)*(INC_SPECIALS="Y"))=0,"",'Dvd Calendar'!$AJ$1240)))</f>
        <v/>
      </c>
      <c r="AI127" s="106">
        <f>IF(FK127="","",IF(ISNUMBER('Dvd Calendar'!$AK$1240)=FALSE,"",IF((('Dvd Calendar'!$AK$1242=TYPE1)*(TYPE1&lt;&gt;"")+('Dvd Calendar'!$AK$1242=TYPE2)*(TYPE2&lt;&gt;"")+('Dvd Calendar'!$AK$1242=TYPE3)*(TYPE3&lt;&gt;"")+('Dvd Calendar'!$AK$1242=TYPE4)*(TYPE4&lt;&gt;"")+('Dvd Calendar'!$AK$1242=SPECIAL_LBL)*(INC_SPECIALS="Y"))=0,"",'Dvd Calendar'!$AK$1240)))</f>
        <v/>
      </c>
      <c r="AJ127" s="106">
        <f>IF(FL127="","",IF(ISNUMBER('Dvd Calendar'!$AL$1240)=FALSE,"",IF((('Dvd Calendar'!$AL$1242=TYPE1)*(TYPE1&lt;&gt;"")+('Dvd Calendar'!$AL$1242=TYPE2)*(TYPE2&lt;&gt;"")+('Dvd Calendar'!$AL$1242=TYPE3)*(TYPE3&lt;&gt;"")+('Dvd Calendar'!$AL$1242=TYPE4)*(TYPE4&lt;&gt;"")+('Dvd Calendar'!$AL$1242=SPECIAL_LBL)*(INC_SPECIALS="Y"))=0,"",'Dvd Calendar'!$AL$1240)))</f>
        <v/>
      </c>
      <c r="AK127" s="106">
        <f>IF(FM127="","",IF(ISNUMBER('Dvd Calendar'!$AM$1240)=FALSE,"",IF((('Dvd Calendar'!$AM$1242=TYPE1)*(TYPE1&lt;&gt;"")+('Dvd Calendar'!$AM$1242=TYPE2)*(TYPE2&lt;&gt;"")+('Dvd Calendar'!$AM$1242=TYPE3)*(TYPE3&lt;&gt;"")+('Dvd Calendar'!$AM$1242=TYPE4)*(TYPE4&lt;&gt;"")+('Dvd Calendar'!$AM$1242=SPECIAL_LBL)*(INC_SPECIALS="Y"))=0,"",'Dvd Calendar'!$AM$1240)))</f>
        <v/>
      </c>
      <c r="AL127" s="106">
        <f>IF(FN127="","",IF(ISNUMBER('Dvd Calendar'!$AN$1240)=FALSE,"",IF((('Dvd Calendar'!$AN$1242=TYPE1)*(TYPE1&lt;&gt;"")+('Dvd Calendar'!$AN$1242=TYPE2)*(TYPE2&lt;&gt;"")+('Dvd Calendar'!$AN$1242=TYPE3)*(TYPE3&lt;&gt;"")+('Dvd Calendar'!$AN$1242=TYPE4)*(TYPE4&lt;&gt;"")+('Dvd Calendar'!$AN$1242=SPECIAL_LBL)*(INC_SPECIALS="Y"))=0,"",'Dvd Calendar'!$AN$1240)))</f>
        <v/>
      </c>
      <c r="AM127" s="106">
        <f>IF(FO127="","",IF(ISNUMBER('Dvd Calendar'!$AO$1240)=FALSE,"",IF((('Dvd Calendar'!$AO$1242=TYPE1)*(TYPE1&lt;&gt;"")+('Dvd Calendar'!$AO$1242=TYPE2)*(TYPE2&lt;&gt;"")+('Dvd Calendar'!$AO$1242=TYPE3)*(TYPE3&lt;&gt;"")+('Dvd Calendar'!$AO$1242=TYPE4)*(TYPE4&lt;&gt;"")+('Dvd Calendar'!$AO$1242=SPECIAL_LBL)*(INC_SPECIALS="Y"))=0,"",'Dvd Calendar'!$AO$1240)))</f>
        <v/>
      </c>
      <c r="AN127" s="106">
        <f>IF(FP127="","",IF(ISNUMBER('Dvd Calendar'!$AP$1240)=FALSE,"",IF((('Dvd Calendar'!$AP$1242=TYPE1)*(TYPE1&lt;&gt;"")+('Dvd Calendar'!$AP$1242=TYPE2)*(TYPE2&lt;&gt;"")+('Dvd Calendar'!$AP$1242=TYPE3)*(TYPE3&lt;&gt;"")+('Dvd Calendar'!$AP$1242=TYPE4)*(TYPE4&lt;&gt;"")+('Dvd Calendar'!$AP$1242=SPECIAL_LBL)*(INC_SPECIALS="Y"))=0,"",'Dvd Calendar'!$AP$1240)))</f>
        <v/>
      </c>
      <c r="AO127" s="106">
        <f>IF(FQ127="","",IF(ISNUMBER('Dvd Calendar'!$AQ$1240)=FALSE,"",IF((('Dvd Calendar'!$AQ$1242=TYPE1)*(TYPE1&lt;&gt;"")+('Dvd Calendar'!$AQ$1242=TYPE2)*(TYPE2&lt;&gt;"")+('Dvd Calendar'!$AQ$1242=TYPE3)*(TYPE3&lt;&gt;"")+('Dvd Calendar'!$AQ$1242=TYPE4)*(TYPE4&lt;&gt;"")+('Dvd Calendar'!$AQ$1242=SPECIAL_LBL)*(INC_SPECIALS="Y"))=0,"",'Dvd Calendar'!$AQ$1240)))</f>
        <v/>
      </c>
      <c r="AP127" s="106">
        <f>IF(FR127="","",IF(ISNUMBER('Dvd Calendar'!$AR$1240)=FALSE,"",IF((('Dvd Calendar'!$AR$1242=TYPE1)*(TYPE1&lt;&gt;"")+('Dvd Calendar'!$AR$1242=TYPE2)*(TYPE2&lt;&gt;"")+('Dvd Calendar'!$AR$1242=TYPE3)*(TYPE3&lt;&gt;"")+('Dvd Calendar'!$AR$1242=TYPE4)*(TYPE4&lt;&gt;"")+('Dvd Calendar'!$AR$1242=SPECIAL_LBL)*(INC_SPECIALS="Y"))=0,"",'Dvd Calendar'!$AR$1240)))</f>
        <v/>
      </c>
      <c r="AQ127" s="106">
        <f>IF(FS127="","",IF(ISNUMBER('Dvd Calendar'!$E$1245)=FALSE,"",'Dvd Calendar'!$E$1245))</f>
        <v/>
      </c>
      <c r="AR127" s="106">
        <f>IF(FT127="","",IF(ISNUMBER('Dvd Calendar'!$F$1245)=FALSE,"",'Dvd Calendar'!$F$1245))</f>
        <v/>
      </c>
      <c r="AS127" s="106">
        <f>IF(FU127="","",IF(ISNUMBER('Dvd Calendar'!$G$1245)=FALSE,"",'Dvd Calendar'!$G$1245))</f>
        <v/>
      </c>
      <c r="AT127" s="106">
        <f>IF(FV127="","",IF(ISNUMBER('Dvd Calendar'!$H$1245)=FALSE,"",'Dvd Calendar'!$H$1245))</f>
        <v/>
      </c>
      <c r="AU127" s="106">
        <f>IF(FW127="","",IF(ISNUMBER('Dvd Calendar'!$I$1245)=FALSE,"",'Dvd Calendar'!$I$1245))</f>
        <v/>
      </c>
      <c r="AV127" s="106">
        <f>IF(FX127="","",IF(ISNUMBER('Dvd Calendar'!$J$1245)=FALSE,"",'Dvd Calendar'!$J$1245))</f>
        <v/>
      </c>
      <c r="AW127" s="106">
        <f>IF(FY127="","",IF(ISNUMBER('Dvd Calendar'!$K$1245)=FALSE,"",'Dvd Calendar'!$K$1245))</f>
        <v/>
      </c>
      <c r="AX127" s="106">
        <f>IF(FZ127="","",IF(ISNUMBER('Dvd Calendar'!$L$1245)=FALSE,"",'Dvd Calendar'!$L$1245))</f>
        <v/>
      </c>
      <c r="AY127" s="106">
        <f>IF(GA127="","",IF(ISNUMBER('Dvd Calendar'!$M$1245)=FALSE,"",'Dvd Calendar'!$M$1245))</f>
        <v/>
      </c>
      <c r="AZ127" s="106">
        <f>IF(GB127="","",IF(ISNUMBER('Dvd Calendar'!$N$1245)=FALSE,"",'Dvd Calendar'!$N$1245))</f>
        <v/>
      </c>
      <c r="BA127" s="106">
        <f>IF(GC127="","",IF(ISNUMBER('Dvd Calendar'!$O$1245)=FALSE,"",'Dvd Calendar'!$O$1245))</f>
        <v/>
      </c>
      <c r="BB127" s="106">
        <f>IF(GD127="","",IF(ISNUMBER('Dvd Calendar'!$P$1245)=FALSE,"",'Dvd Calendar'!$P$1245))</f>
        <v/>
      </c>
      <c r="BC127" s="106">
        <f>IF(GE127="","",IF(ISNUMBER('Dvd Calendar'!$Q$1245)=FALSE,"",'Dvd Calendar'!$Q$1245))</f>
        <v/>
      </c>
      <c r="BD127" s="106">
        <f>IF(GF127="","",IF(ISNUMBER('Dvd Calendar'!$R$1245)=FALSE,"",'Dvd Calendar'!$R$1245))</f>
        <v/>
      </c>
      <c r="BE127" s="106">
        <f>IF(GG127="","",IF(ISNUMBER('Dvd Calendar'!$S$1245)=FALSE,"",'Dvd Calendar'!$S$1245))</f>
        <v/>
      </c>
      <c r="BF127" s="106">
        <f>IF(GH127="","",IF(ISNUMBER('Dvd Calendar'!$T$1245)=FALSE,"",'Dvd Calendar'!$T$1245))</f>
        <v/>
      </c>
      <c r="BG127" s="106">
        <f>IF(GI127="","",IF(ISNUMBER('Dvd Calendar'!$U$1245)=FALSE,"",'Dvd Calendar'!$U$1245))</f>
        <v/>
      </c>
      <c r="BH127" s="106">
        <f>IF(GJ127="","",IF(ISNUMBER('Dvd Calendar'!$V$1245)=FALSE,"",'Dvd Calendar'!$V$1245))</f>
        <v/>
      </c>
      <c r="BI127" s="106">
        <f>IF(GK127="","",IF(ISNUMBER('Dvd Calendar'!$W$1245)=FALSE,"",'Dvd Calendar'!$W$1245))</f>
        <v/>
      </c>
      <c r="BJ127" s="106">
        <f>IF(GL127="","",IF(ISNUMBER('Dvd Calendar'!$X$1245)=FALSE,"",'Dvd Calendar'!$X$1245))</f>
        <v/>
      </c>
      <c r="BK127" s="106">
        <f>IF(GM127="","",IF(ISNUMBER('Dvd Calendar'!$Y$1245)=FALSE,"",'Dvd Calendar'!$Y$1245))</f>
        <v/>
      </c>
      <c r="BL127" s="106">
        <f>IF(GN127="","",IF(ISNUMBER('Dvd Calendar'!$Z$1245)=FALSE,"",'Dvd Calendar'!$Z$1245))</f>
        <v/>
      </c>
      <c r="BM127" s="106">
        <f>IF(GO127="","",IF(ISNUMBER('Dvd Calendar'!$AA$1245)=FALSE,"",'Dvd Calendar'!$AA$1245))</f>
        <v/>
      </c>
      <c r="BN127" s="106">
        <f>IF(GP127="","",IF(ISNUMBER('Dvd Calendar'!$AB$1245)=FALSE,"",'Dvd Calendar'!$AB$1245))</f>
        <v/>
      </c>
      <c r="BO127" s="106">
        <f>IF(GQ127="","",IF(ISNUMBER('Dvd Calendar'!$AC$1245)=FALSE,"",'Dvd Calendar'!$AC$1245))</f>
        <v/>
      </c>
      <c r="BQ127" s="106">
        <f>IF(C127="","",IFERROR(C127*HSTECH!$B$18*HSTECH!$G$18/HSTECH!$B$3,""))</f>
        <v/>
      </c>
      <c r="BR127" s="106">
        <f>IF(D127="","",IFERROR(D127*HSTECH!$B$18*HSTECH!$G$18/HSTECH!$B$3,""))</f>
        <v/>
      </c>
      <c r="BS127" s="106">
        <f>IF(E127="","",IFERROR(E127*HSTECH!$B$18*HSTECH!$G$18/HSTECH!$B$3,""))</f>
        <v/>
      </c>
      <c r="BT127" s="106">
        <f>IF(F127="","",IFERROR(F127*HSTECH!$B$18*HSTECH!$G$18/HSTECH!$B$3,""))</f>
        <v/>
      </c>
      <c r="BU127" s="106">
        <f>IF(G127="","",IFERROR(G127*HSTECH!$B$18*HSTECH!$G$18/HSTECH!$B$3,""))</f>
        <v/>
      </c>
      <c r="BV127" s="106">
        <f>IF(H127="","",IFERROR(H127*HSTECH!$B$18*HSTECH!$G$18/HSTECH!$B$3,""))</f>
        <v/>
      </c>
      <c r="BW127" s="106">
        <f>IF(I127="","",IFERROR(I127*HSTECH!$B$18*HSTECH!$G$18/HSTECH!$B$3,""))</f>
        <v/>
      </c>
      <c r="BX127" s="106">
        <f>IF(J127="","",IFERROR(J127*HSTECH!$B$18*HSTECH!$G$18/HSTECH!$B$3,""))</f>
        <v/>
      </c>
      <c r="BY127" s="106">
        <f>IF(K127="","",IFERROR(K127*HSTECH!$B$18*HSTECH!$G$18/HSTECH!$B$3,""))</f>
        <v/>
      </c>
      <c r="BZ127" s="106">
        <f>IF(L127="","",IFERROR(L127*HSTECH!$B$18*HSTECH!$G$18/HSTECH!$B$3,""))</f>
        <v/>
      </c>
      <c r="CA127" s="106">
        <f>IF(M127="","",IFERROR(M127*HSTECH!$B$18*HSTECH!$G$18/HSTECH!$B$3,""))</f>
        <v/>
      </c>
      <c r="CB127" s="106">
        <f>IF(N127="","",IFERROR(N127*HSTECH!$B$18*HSTECH!$G$18/HSTECH!$B$3,""))</f>
        <v/>
      </c>
      <c r="CC127" s="106">
        <f>IF(O127="","",IFERROR(O127*HSTECH!$B$18*HSTECH!$G$18/HSTECH!$B$3,""))</f>
        <v/>
      </c>
      <c r="CD127" s="106">
        <f>IF(P127="","",IFERROR(P127*HSTECH!$B$18*HSTECH!$G$18/HSTECH!$B$3,""))</f>
        <v/>
      </c>
      <c r="CE127" s="106">
        <f>IF(Q127="","",IFERROR(Q127*HSTECH!$B$18*HSTECH!$G$18/HSTECH!$B$3,""))</f>
        <v/>
      </c>
      <c r="CF127" s="106">
        <f>IF(R127="","",IFERROR(R127*HSTECH!$B$18*HSTECH!$G$18/HSTECH!$B$3,""))</f>
        <v/>
      </c>
      <c r="CG127" s="106">
        <f>IF(S127="","",IFERROR(S127*HSTECH!$B$18*HSTECH!$G$18/HSTECH!$B$3,""))</f>
        <v/>
      </c>
      <c r="CH127" s="106">
        <f>IF(T127="","",IFERROR(T127*HSTECH!$B$18*HSTECH!$G$18/HSTECH!$B$3,""))</f>
        <v/>
      </c>
      <c r="CI127" s="106">
        <f>IF(U127="","",IFERROR(U127*HSTECH!$B$18*HSTECH!$G$18/HSTECH!$B$3,""))</f>
        <v/>
      </c>
      <c r="CJ127" s="106">
        <f>IF(V127="","",IFERROR(V127*HSTECH!$B$18*HSTECH!$G$18/HSTECH!$B$3,""))</f>
        <v/>
      </c>
      <c r="CK127" s="106">
        <f>IF(W127="","",IFERROR(W127*HSTECH!$B$18*HSTECH!$G$18/HSTECH!$B$3,""))</f>
        <v/>
      </c>
      <c r="CL127" s="106">
        <f>IF(X127="","",IFERROR(X127*HSTECH!$B$18*HSTECH!$G$18/HSTECH!$B$3,""))</f>
        <v/>
      </c>
      <c r="CM127" s="106">
        <f>IF(Y127="","",IFERROR(Y127*HSTECH!$B$18*HSTECH!$G$18/HSTECH!$B$3,""))</f>
        <v/>
      </c>
      <c r="CN127" s="106">
        <f>IF(Z127="","",IFERROR(Z127*HSTECH!$B$18*HSTECH!$G$18/HSTECH!$B$3,""))</f>
        <v/>
      </c>
      <c r="CO127" s="106">
        <f>IF(AA127="","",IFERROR(AA127*HSTECH!$B$18*HSTECH!$G$18/HSTECH!$B$3,""))</f>
        <v/>
      </c>
      <c r="CP127" s="106">
        <f>IF(AB127="","",IFERROR(AB127*HSTECH!$B$18*HSTECH!$G$18/HSTECH!$B$3,""))</f>
        <v/>
      </c>
      <c r="CQ127" s="106">
        <f>IF(AC127="","",IFERROR(AC127*HSTECH!$B$18*HSTECH!$G$18/HSTECH!$B$3,""))</f>
        <v/>
      </c>
      <c r="CR127" s="106">
        <f>IF(AD127="","",IFERROR(AD127*HSTECH!$B$18*HSTECH!$G$18/HSTECH!$B$3,""))</f>
        <v/>
      </c>
      <c r="CS127" s="106">
        <f>IF(AE127="","",IFERROR(AE127*HSTECH!$B$18*HSTECH!$G$18/HSTECH!$B$3,""))</f>
        <v/>
      </c>
      <c r="CT127" s="106">
        <f>IF(AF127="","",IFERROR(AF127*HSTECH!$B$18*HSTECH!$G$18/HSTECH!$B$3,""))</f>
        <v/>
      </c>
      <c r="CU127" s="106">
        <f>IF(AG127="","",IFERROR(AG127*HSTECH!$B$18*HSTECH!$G$18/HSTECH!$B$3,""))</f>
        <v/>
      </c>
      <c r="CV127" s="106">
        <f>IF(AH127="","",IFERROR(AH127*HSTECH!$B$18*HSTECH!$G$18/HSTECH!$B$3,""))</f>
        <v/>
      </c>
      <c r="CW127" s="106">
        <f>IF(AI127="","",IFERROR(AI127*HSTECH!$B$18*HSTECH!$G$18/HSTECH!$B$3,""))</f>
        <v/>
      </c>
      <c r="CX127" s="106">
        <f>IF(AJ127="","",IFERROR(AJ127*HSTECH!$B$18*HSTECH!$G$18/HSTECH!$B$3,""))</f>
        <v/>
      </c>
      <c r="CY127" s="106">
        <f>IF(AK127="","",IFERROR(AK127*HSTECH!$B$18*HSTECH!$G$18/HSTECH!$B$3,""))</f>
        <v/>
      </c>
      <c r="CZ127" s="106">
        <f>IF(AL127="","",IFERROR(AL127*HSTECH!$B$18*HSTECH!$G$18/HSTECH!$B$3,""))</f>
        <v/>
      </c>
      <c r="DA127" s="106">
        <f>IF(AM127="","",IFERROR(AM127*HSTECH!$B$18*HSTECH!$G$18/HSTECH!$B$3,""))</f>
        <v/>
      </c>
      <c r="DB127" s="106">
        <f>IF(AN127="","",IFERROR(AN127*HSTECH!$B$18*HSTECH!$G$18/HSTECH!$B$3,""))</f>
        <v/>
      </c>
      <c r="DC127" s="106">
        <f>IF(AO127="","",IFERROR(AO127*HSTECH!$B$18*HSTECH!$G$18/HSTECH!$B$3,""))</f>
        <v/>
      </c>
      <c r="DD127" s="106">
        <f>IF(AP127="","",IFERROR(AP127*HSTECH!$B$18*HSTECH!$G$18/HSTECH!$B$3,""))</f>
        <v/>
      </c>
      <c r="DE127" s="106">
        <f>IF(AQ127="","",IFERROR(AQ127*HSTECH!$B$18*HSTECH!$G$18/HSTECH!$B$3,""))</f>
        <v/>
      </c>
      <c r="DF127" s="106">
        <f>IF(AR127="","",IFERROR(AR127*HSTECH!$B$18*HSTECH!$G$18/HSTECH!$B$3,""))</f>
        <v/>
      </c>
      <c r="DG127" s="106">
        <f>IF(AS127="","",IFERROR(AS127*HSTECH!$B$18*HSTECH!$G$18/HSTECH!$B$3,""))</f>
        <v/>
      </c>
      <c r="DH127" s="106">
        <f>IF(AT127="","",IFERROR(AT127*HSTECH!$B$18*HSTECH!$G$18/HSTECH!$B$3,""))</f>
        <v/>
      </c>
      <c r="DI127" s="106">
        <f>IF(AU127="","",IFERROR(AU127*HSTECH!$B$18*HSTECH!$G$18/HSTECH!$B$3,""))</f>
        <v/>
      </c>
      <c r="DJ127" s="106">
        <f>IF(AV127="","",IFERROR(AV127*HSTECH!$B$18*HSTECH!$G$18/HSTECH!$B$3,""))</f>
        <v/>
      </c>
      <c r="DK127" s="106">
        <f>IF(AW127="","",IFERROR(AW127*HSTECH!$B$18*HSTECH!$G$18/HSTECH!$B$3,""))</f>
        <v/>
      </c>
      <c r="DL127" s="106">
        <f>IF(AX127="","",IFERROR(AX127*HSTECH!$B$18*HSTECH!$G$18/HSTECH!$B$3,""))</f>
        <v/>
      </c>
      <c r="DM127" s="106">
        <f>IF(AY127="","",IFERROR(AY127*HSTECH!$B$18*HSTECH!$G$18/HSTECH!$B$3,""))</f>
        <v/>
      </c>
      <c r="DN127" s="106">
        <f>IF(AZ127="","",IFERROR(AZ127*HSTECH!$B$18*HSTECH!$G$18/HSTECH!$B$3,""))</f>
        <v/>
      </c>
      <c r="DO127" s="106">
        <f>IF(BA127="","",IFERROR(BA127*HSTECH!$B$18*HSTECH!$G$18/HSTECH!$B$3,""))</f>
        <v/>
      </c>
      <c r="DP127" s="106">
        <f>IF(BB127="","",IFERROR(BB127*HSTECH!$B$18*HSTECH!$G$18/HSTECH!$B$3,""))</f>
        <v/>
      </c>
      <c r="DQ127" s="106">
        <f>IF(BC127="","",IFERROR(BC127*HSTECH!$B$18*HSTECH!$G$18/HSTECH!$B$3,""))</f>
        <v/>
      </c>
      <c r="DR127" s="106">
        <f>IF(BD127="","",IFERROR(BD127*HSTECH!$B$18*HSTECH!$G$18/HSTECH!$B$3,""))</f>
        <v/>
      </c>
      <c r="DS127" s="106">
        <f>IF(BE127="","",IFERROR(BE127*HSTECH!$B$18*HSTECH!$G$18/HSTECH!$B$3,""))</f>
        <v/>
      </c>
      <c r="DT127" s="106">
        <f>IF(BF127="","",IFERROR(BF127*HSTECH!$B$18*HSTECH!$G$18/HSTECH!$B$3,""))</f>
        <v/>
      </c>
      <c r="DU127" s="106">
        <f>IF(BG127="","",IFERROR(BG127*HSTECH!$B$18*HSTECH!$G$18/HSTECH!$B$3,""))</f>
        <v/>
      </c>
      <c r="DV127" s="106">
        <f>IF(BH127="","",IFERROR(BH127*HSTECH!$B$18*HSTECH!$G$18/HSTECH!$B$3,""))</f>
        <v/>
      </c>
      <c r="DW127" s="106">
        <f>IF(BI127="","",IFERROR(BI127*HSTECH!$B$18*HSTECH!$G$18/HSTECH!$B$3,""))</f>
        <v/>
      </c>
      <c r="DX127" s="106">
        <f>IF(BJ127="","",IFERROR(BJ127*HSTECH!$B$18*HSTECH!$G$18/HSTECH!$B$3,""))</f>
        <v/>
      </c>
      <c r="DY127" s="106">
        <f>IF(BK127="","",IFERROR(BK127*HSTECH!$B$18*HSTECH!$G$18/HSTECH!$B$3,""))</f>
        <v/>
      </c>
      <c r="DZ127" s="106">
        <f>IF(BL127="","",IFERROR(BL127*HSTECH!$B$18*HSTECH!$G$18/HSTECH!$B$3,""))</f>
        <v/>
      </c>
      <c r="EA127" s="106">
        <f>IF(BM127="","",IFERROR(BM127*HSTECH!$B$18*HSTECH!$G$18/HSTECH!$B$3,""))</f>
        <v/>
      </c>
      <c r="EB127" s="106">
        <f>IF(BN127="","",IFERROR(BN127*HSTECH!$B$18*HSTECH!$G$18/HSTECH!$B$3,""))</f>
        <v/>
      </c>
      <c r="EC127" s="106">
        <f>IF(BO127="","",IFERROR(BO127*HSTECH!$B$18*HSTECH!$G$18/HSTECH!$B$3,""))</f>
        <v/>
      </c>
      <c r="EE127" s="35">
        <f>IF(N('Dvd Calendar'!$E$1237)=0,"",IF(('Dvd Calendar'!$E$1237&gt;=GRID_FROM)*('Dvd Calendar'!$E$1237&lt;=GRID_TO)*('Dvd Calendar'!$E$1237&lt;=VAL_DATE)=0,"",'Dvd Calendar'!$E$1237*1000000000+ISNUMBER('Dvd Calendar'!$E$1240)*100000000+('Dvd Calendar'!$E$1242=SPECIAL_LBL)*10000000+0*1000000+12*1000+1))</f>
        <v/>
      </c>
      <c r="EF127" s="35">
        <f>IF(N('Dvd Calendar'!$F$1237)=0,"",IF(('Dvd Calendar'!$F$1237&gt;=GRID_FROM)*('Dvd Calendar'!$F$1237&lt;=GRID_TO)*('Dvd Calendar'!$F$1237&lt;=VAL_DATE)=0,"",'Dvd Calendar'!$F$1237*1000000000+ISNUMBER('Dvd Calendar'!$F$1240)*100000000+('Dvd Calendar'!$F$1242=SPECIAL_LBL)*10000000+0*1000000+12*1000+2))</f>
        <v/>
      </c>
      <c r="EG127" s="35">
        <f>IF(N('Dvd Calendar'!$G$1237)=0,"",IF(('Dvd Calendar'!$G$1237&gt;=GRID_FROM)*('Dvd Calendar'!$G$1237&lt;=GRID_TO)*('Dvd Calendar'!$G$1237&lt;=VAL_DATE)=0,"",'Dvd Calendar'!$G$1237*1000000000+ISNUMBER('Dvd Calendar'!$G$1240)*100000000+('Dvd Calendar'!$G$1242=SPECIAL_LBL)*10000000+0*1000000+12*1000+3))</f>
        <v/>
      </c>
      <c r="EH127" s="35">
        <f>IF(N('Dvd Calendar'!$H$1237)=0,"",IF(('Dvd Calendar'!$H$1237&gt;=GRID_FROM)*('Dvd Calendar'!$H$1237&lt;=GRID_TO)*('Dvd Calendar'!$H$1237&lt;=VAL_DATE)=0,"",'Dvd Calendar'!$H$1237*1000000000+ISNUMBER('Dvd Calendar'!$H$1240)*100000000+('Dvd Calendar'!$H$1242=SPECIAL_LBL)*10000000+0*1000000+12*1000+4))</f>
        <v/>
      </c>
      <c r="EI127" s="35">
        <f>IF(N('Dvd Calendar'!$I$1237)=0,"",IF(('Dvd Calendar'!$I$1237&gt;=GRID_FROM)*('Dvd Calendar'!$I$1237&lt;=GRID_TO)*('Dvd Calendar'!$I$1237&lt;=VAL_DATE)=0,"",'Dvd Calendar'!$I$1237*1000000000+ISNUMBER('Dvd Calendar'!$I$1240)*100000000+('Dvd Calendar'!$I$1242=SPECIAL_LBL)*10000000+0*1000000+12*1000+5))</f>
        <v/>
      </c>
      <c r="EJ127" s="35">
        <f>IF(N('Dvd Calendar'!$J$1237)=0,"",IF(('Dvd Calendar'!$J$1237&gt;=GRID_FROM)*('Dvd Calendar'!$J$1237&lt;=GRID_TO)*('Dvd Calendar'!$J$1237&lt;=VAL_DATE)=0,"",'Dvd Calendar'!$J$1237*1000000000+ISNUMBER('Dvd Calendar'!$J$1240)*100000000+('Dvd Calendar'!$J$1242=SPECIAL_LBL)*10000000+0*1000000+12*1000+6))</f>
        <v/>
      </c>
      <c r="EK127" s="35">
        <f>IF(N('Dvd Calendar'!$K$1237)=0,"",IF(('Dvd Calendar'!$K$1237&gt;=GRID_FROM)*('Dvd Calendar'!$K$1237&lt;=GRID_TO)*('Dvd Calendar'!$K$1237&lt;=VAL_DATE)=0,"",'Dvd Calendar'!$K$1237*1000000000+ISNUMBER('Dvd Calendar'!$K$1240)*100000000+('Dvd Calendar'!$K$1242=SPECIAL_LBL)*10000000+0*1000000+12*1000+7))</f>
        <v/>
      </c>
      <c r="EL127" s="35">
        <f>IF(N('Dvd Calendar'!$L$1237)=0,"",IF(('Dvd Calendar'!$L$1237&gt;=GRID_FROM)*('Dvd Calendar'!$L$1237&lt;=GRID_TO)*('Dvd Calendar'!$L$1237&lt;=VAL_DATE)=0,"",'Dvd Calendar'!$L$1237*1000000000+ISNUMBER('Dvd Calendar'!$L$1240)*100000000+('Dvd Calendar'!$L$1242=SPECIAL_LBL)*10000000+0*1000000+12*1000+8))</f>
        <v/>
      </c>
      <c r="EM127" s="35">
        <f>IF(N('Dvd Calendar'!$M$1237)=0,"",IF(('Dvd Calendar'!$M$1237&gt;=GRID_FROM)*('Dvd Calendar'!$M$1237&lt;=GRID_TO)*('Dvd Calendar'!$M$1237&lt;=VAL_DATE)=0,"",'Dvd Calendar'!$M$1237*1000000000+ISNUMBER('Dvd Calendar'!$M$1240)*100000000+('Dvd Calendar'!$M$1242=SPECIAL_LBL)*10000000+0*1000000+12*1000+9))</f>
        <v/>
      </c>
      <c r="EN127" s="35">
        <f>IF(N('Dvd Calendar'!$N$1237)=0,"",IF(('Dvd Calendar'!$N$1237&gt;=GRID_FROM)*('Dvd Calendar'!$N$1237&lt;=GRID_TO)*('Dvd Calendar'!$N$1237&lt;=VAL_DATE)=0,"",'Dvd Calendar'!$N$1237*1000000000+ISNUMBER('Dvd Calendar'!$N$1240)*100000000+('Dvd Calendar'!$N$1242=SPECIAL_LBL)*10000000+0*1000000+12*1000+10))</f>
        <v/>
      </c>
      <c r="EO127" s="35">
        <f>IF(N('Dvd Calendar'!$O$1237)=0,"",IF(('Dvd Calendar'!$O$1237&gt;=GRID_FROM)*('Dvd Calendar'!$O$1237&lt;=GRID_TO)*('Dvd Calendar'!$O$1237&lt;=VAL_DATE)=0,"",'Dvd Calendar'!$O$1237*1000000000+ISNUMBER('Dvd Calendar'!$O$1240)*100000000+('Dvd Calendar'!$O$1242=SPECIAL_LBL)*10000000+0*1000000+12*1000+11))</f>
        <v/>
      </c>
      <c r="EP127" s="35">
        <f>IF(N('Dvd Calendar'!$P$1237)=0,"",IF(('Dvd Calendar'!$P$1237&gt;=GRID_FROM)*('Dvd Calendar'!$P$1237&lt;=GRID_TO)*('Dvd Calendar'!$P$1237&lt;=VAL_DATE)=0,"",'Dvd Calendar'!$P$1237*1000000000+ISNUMBER('Dvd Calendar'!$P$1240)*100000000+('Dvd Calendar'!$P$1242=SPECIAL_LBL)*10000000+0*1000000+12*1000+12))</f>
        <v/>
      </c>
      <c r="EQ127" s="35">
        <f>IF(N('Dvd Calendar'!$Q$1237)=0,"",IF(('Dvd Calendar'!$Q$1237&gt;=GRID_FROM)*('Dvd Calendar'!$Q$1237&lt;=GRID_TO)*('Dvd Calendar'!$Q$1237&lt;=VAL_DATE)=0,"",'Dvd Calendar'!$Q$1237*1000000000+ISNUMBER('Dvd Calendar'!$Q$1240)*100000000+('Dvd Calendar'!$Q$1242=SPECIAL_LBL)*10000000+0*1000000+12*1000+13))</f>
        <v/>
      </c>
      <c r="ER127" s="35">
        <f>IF(N('Dvd Calendar'!$R$1237)=0,"",IF(('Dvd Calendar'!$R$1237&gt;=GRID_FROM)*('Dvd Calendar'!$R$1237&lt;=GRID_TO)*('Dvd Calendar'!$R$1237&lt;=VAL_DATE)=0,"",'Dvd Calendar'!$R$1237*1000000000+ISNUMBER('Dvd Calendar'!$R$1240)*100000000+('Dvd Calendar'!$R$1242=SPECIAL_LBL)*10000000+0*1000000+12*1000+14))</f>
        <v/>
      </c>
      <c r="ES127" s="35">
        <f>IF(N('Dvd Calendar'!$S$1237)=0,"",IF(('Dvd Calendar'!$S$1237&gt;=GRID_FROM)*('Dvd Calendar'!$S$1237&lt;=GRID_TO)*('Dvd Calendar'!$S$1237&lt;=VAL_DATE)=0,"",'Dvd Calendar'!$S$1237*1000000000+ISNUMBER('Dvd Calendar'!$S$1240)*100000000+('Dvd Calendar'!$S$1242=SPECIAL_LBL)*10000000+0*1000000+12*1000+15))</f>
        <v/>
      </c>
      <c r="ET127" s="35">
        <f>IF(N('Dvd Calendar'!$T$1237)=0,"",IF(('Dvd Calendar'!$T$1237&gt;=GRID_FROM)*('Dvd Calendar'!$T$1237&lt;=GRID_TO)*('Dvd Calendar'!$T$1237&lt;=VAL_DATE)=0,"",'Dvd Calendar'!$T$1237*1000000000+ISNUMBER('Dvd Calendar'!$T$1240)*100000000+('Dvd Calendar'!$T$1242=SPECIAL_LBL)*10000000+0*1000000+12*1000+16))</f>
        <v/>
      </c>
      <c r="EU127" s="35">
        <f>IF(N('Dvd Calendar'!$U$1237)=0,"",IF(('Dvd Calendar'!$U$1237&gt;=GRID_FROM)*('Dvd Calendar'!$U$1237&lt;=GRID_TO)*('Dvd Calendar'!$U$1237&lt;=VAL_DATE)=0,"",'Dvd Calendar'!$U$1237*1000000000+ISNUMBER('Dvd Calendar'!$U$1240)*100000000+('Dvd Calendar'!$U$1242=SPECIAL_LBL)*10000000+0*1000000+12*1000+17))</f>
        <v/>
      </c>
      <c r="EV127" s="35">
        <f>IF(N('Dvd Calendar'!$V$1237)=0,"",IF(('Dvd Calendar'!$V$1237&gt;=GRID_FROM)*('Dvd Calendar'!$V$1237&lt;=GRID_TO)*('Dvd Calendar'!$V$1237&lt;=VAL_DATE)=0,"",'Dvd Calendar'!$V$1237*1000000000+ISNUMBER('Dvd Calendar'!$V$1240)*100000000+('Dvd Calendar'!$V$1242=SPECIAL_LBL)*10000000+0*1000000+12*1000+18))</f>
        <v/>
      </c>
      <c r="EW127" s="35">
        <f>IF(N('Dvd Calendar'!$W$1237)=0,"",IF(('Dvd Calendar'!$W$1237&gt;=GRID_FROM)*('Dvd Calendar'!$W$1237&lt;=GRID_TO)*('Dvd Calendar'!$W$1237&lt;=VAL_DATE)=0,"",'Dvd Calendar'!$W$1237*1000000000+ISNUMBER('Dvd Calendar'!$W$1240)*100000000+('Dvd Calendar'!$W$1242=SPECIAL_LBL)*10000000+0*1000000+12*1000+19))</f>
        <v/>
      </c>
      <c r="EX127" s="35">
        <f>IF(N('Dvd Calendar'!$X$1237)=0,"",IF(('Dvd Calendar'!$X$1237&gt;=GRID_FROM)*('Dvd Calendar'!$X$1237&lt;=GRID_TO)*('Dvd Calendar'!$X$1237&lt;=VAL_DATE)=0,"",'Dvd Calendar'!$X$1237*1000000000+ISNUMBER('Dvd Calendar'!$X$1240)*100000000+('Dvd Calendar'!$X$1242=SPECIAL_LBL)*10000000+0*1000000+12*1000+20))</f>
        <v/>
      </c>
      <c r="EY127" s="35">
        <f>IF(N('Dvd Calendar'!$Y$1237)=0,"",IF(('Dvd Calendar'!$Y$1237&gt;=GRID_FROM)*('Dvd Calendar'!$Y$1237&lt;=GRID_TO)*('Dvd Calendar'!$Y$1237&lt;=VAL_DATE)=0,"",'Dvd Calendar'!$Y$1237*1000000000+ISNUMBER('Dvd Calendar'!$Y$1240)*100000000+('Dvd Calendar'!$Y$1242=SPECIAL_LBL)*10000000+0*1000000+12*1000+21))</f>
        <v/>
      </c>
      <c r="EZ127" s="35">
        <f>IF(N('Dvd Calendar'!$Z$1237)=0,"",IF(('Dvd Calendar'!$Z$1237&gt;=GRID_FROM)*('Dvd Calendar'!$Z$1237&lt;=GRID_TO)*('Dvd Calendar'!$Z$1237&lt;=VAL_DATE)=0,"",'Dvd Calendar'!$Z$1237*1000000000+ISNUMBER('Dvd Calendar'!$Z$1240)*100000000+('Dvd Calendar'!$Z$1242=SPECIAL_LBL)*10000000+0*1000000+12*1000+22))</f>
        <v/>
      </c>
      <c r="FA127" s="35">
        <f>IF(N('Dvd Calendar'!$AA$1237)=0,"",IF(('Dvd Calendar'!$AA$1237&gt;=GRID_FROM)*('Dvd Calendar'!$AA$1237&lt;=GRID_TO)*('Dvd Calendar'!$AA$1237&lt;=VAL_DATE)=0,"",'Dvd Calendar'!$AA$1237*1000000000+ISNUMBER('Dvd Calendar'!$AA$1240)*100000000+('Dvd Calendar'!$AA$1242=SPECIAL_LBL)*10000000+0*1000000+12*1000+23))</f>
        <v/>
      </c>
      <c r="FB127" s="35">
        <f>IF(N('Dvd Calendar'!$AB$1237)=0,"",IF(('Dvd Calendar'!$AB$1237&gt;=GRID_FROM)*('Dvd Calendar'!$AB$1237&lt;=GRID_TO)*('Dvd Calendar'!$AB$1237&lt;=VAL_DATE)=0,"",'Dvd Calendar'!$AB$1237*1000000000+ISNUMBER('Dvd Calendar'!$AB$1240)*100000000+('Dvd Calendar'!$AB$1242=SPECIAL_LBL)*10000000+0*1000000+12*1000+24))</f>
        <v/>
      </c>
      <c r="FC127" s="35">
        <f>IF(N('Dvd Calendar'!$AC$1237)=0,"",IF(('Dvd Calendar'!$AC$1237&gt;=GRID_FROM)*('Dvd Calendar'!$AC$1237&lt;=GRID_TO)*('Dvd Calendar'!$AC$1237&lt;=VAL_DATE)=0,"",'Dvd Calendar'!$AC$1237*1000000000+ISNUMBER('Dvd Calendar'!$AC$1240)*100000000+('Dvd Calendar'!$AC$1242=SPECIAL_LBL)*10000000+0*1000000+12*1000+25))</f>
        <v/>
      </c>
      <c r="FD127" s="35">
        <f>IF(N('Dvd Calendar'!$AD$1237)=0,"",IF(('Dvd Calendar'!$AD$1237&gt;=GRID_FROM)*('Dvd Calendar'!$AD$1237&lt;=GRID_TO)*('Dvd Calendar'!$AD$1237&lt;=VAL_DATE)=0,"",'Dvd Calendar'!$AD$1237*1000000000+ISNUMBER('Dvd Calendar'!$AD$1240)*100000000+('Dvd Calendar'!$AD$1242=SPECIAL_LBL)*10000000+0*1000000+12*1000+26))</f>
        <v/>
      </c>
      <c r="FE127" s="35">
        <f>IF(N('Dvd Calendar'!$AE$1237)=0,"",IF(('Dvd Calendar'!$AE$1237&gt;=GRID_FROM)*('Dvd Calendar'!$AE$1237&lt;=GRID_TO)*('Dvd Calendar'!$AE$1237&lt;=VAL_DATE)=0,"",'Dvd Calendar'!$AE$1237*1000000000+ISNUMBER('Dvd Calendar'!$AE$1240)*100000000+('Dvd Calendar'!$AE$1242=SPECIAL_LBL)*10000000+0*1000000+12*1000+27))</f>
        <v/>
      </c>
      <c r="FF127" s="35">
        <f>IF(N('Dvd Calendar'!$AF$1237)=0,"",IF(('Dvd Calendar'!$AF$1237&gt;=GRID_FROM)*('Dvd Calendar'!$AF$1237&lt;=GRID_TO)*('Dvd Calendar'!$AF$1237&lt;=VAL_DATE)=0,"",'Dvd Calendar'!$AF$1237*1000000000+ISNUMBER('Dvd Calendar'!$AF$1240)*100000000+('Dvd Calendar'!$AF$1242=SPECIAL_LBL)*10000000+0*1000000+12*1000+28))</f>
        <v/>
      </c>
      <c r="FG127" s="35">
        <f>IF(N('Dvd Calendar'!$AG$1237)=0,"",IF(('Dvd Calendar'!$AG$1237&gt;=GRID_FROM)*('Dvd Calendar'!$AG$1237&lt;=GRID_TO)*('Dvd Calendar'!$AG$1237&lt;=VAL_DATE)=0,"",'Dvd Calendar'!$AG$1237*1000000000+ISNUMBER('Dvd Calendar'!$AG$1240)*100000000+('Dvd Calendar'!$AG$1242=SPECIAL_LBL)*10000000+0*1000000+12*1000+29))</f>
        <v/>
      </c>
      <c r="FH127" s="35">
        <f>IF(N('Dvd Calendar'!$AH$1237)=0,"",IF(('Dvd Calendar'!$AH$1237&gt;=GRID_FROM)*('Dvd Calendar'!$AH$1237&lt;=GRID_TO)*('Dvd Calendar'!$AH$1237&lt;=VAL_DATE)=0,"",'Dvd Calendar'!$AH$1237*1000000000+ISNUMBER('Dvd Calendar'!$AH$1240)*100000000+('Dvd Calendar'!$AH$1242=SPECIAL_LBL)*10000000+0*1000000+12*1000+30))</f>
        <v/>
      </c>
      <c r="FI127" s="35">
        <f>IF(N('Dvd Calendar'!$AI$1237)=0,"",IF(('Dvd Calendar'!$AI$1237&gt;=GRID_FROM)*('Dvd Calendar'!$AI$1237&lt;=GRID_TO)*('Dvd Calendar'!$AI$1237&lt;=VAL_DATE)=0,"",'Dvd Calendar'!$AI$1237*1000000000+ISNUMBER('Dvd Calendar'!$AI$1240)*100000000+('Dvd Calendar'!$AI$1242=SPECIAL_LBL)*10000000+0*1000000+12*1000+31))</f>
        <v/>
      </c>
      <c r="FJ127" s="35">
        <f>IF(N('Dvd Calendar'!$AJ$1237)=0,"",IF(('Dvd Calendar'!$AJ$1237&gt;=GRID_FROM)*('Dvd Calendar'!$AJ$1237&lt;=GRID_TO)*('Dvd Calendar'!$AJ$1237&lt;=VAL_DATE)=0,"",'Dvd Calendar'!$AJ$1237*1000000000+ISNUMBER('Dvd Calendar'!$AJ$1240)*100000000+('Dvd Calendar'!$AJ$1242=SPECIAL_LBL)*10000000+0*1000000+12*1000+32))</f>
        <v/>
      </c>
      <c r="FK127" s="35">
        <f>IF(N('Dvd Calendar'!$AK$1237)=0,"",IF(('Dvd Calendar'!$AK$1237&gt;=GRID_FROM)*('Dvd Calendar'!$AK$1237&lt;=GRID_TO)*('Dvd Calendar'!$AK$1237&lt;=VAL_DATE)=0,"",'Dvd Calendar'!$AK$1237*1000000000+ISNUMBER('Dvd Calendar'!$AK$1240)*100000000+('Dvd Calendar'!$AK$1242=SPECIAL_LBL)*10000000+0*1000000+12*1000+33))</f>
        <v/>
      </c>
      <c r="FL127" s="35">
        <f>IF(N('Dvd Calendar'!$AL$1237)=0,"",IF(('Dvd Calendar'!$AL$1237&gt;=GRID_FROM)*('Dvd Calendar'!$AL$1237&lt;=GRID_TO)*('Dvd Calendar'!$AL$1237&lt;=VAL_DATE)=0,"",'Dvd Calendar'!$AL$1237*1000000000+ISNUMBER('Dvd Calendar'!$AL$1240)*100000000+('Dvd Calendar'!$AL$1242=SPECIAL_LBL)*10000000+0*1000000+12*1000+34))</f>
        <v/>
      </c>
      <c r="FM127" s="35">
        <f>IF(N('Dvd Calendar'!$AM$1237)=0,"",IF(('Dvd Calendar'!$AM$1237&gt;=GRID_FROM)*('Dvd Calendar'!$AM$1237&lt;=GRID_TO)*('Dvd Calendar'!$AM$1237&lt;=VAL_DATE)=0,"",'Dvd Calendar'!$AM$1237*1000000000+ISNUMBER('Dvd Calendar'!$AM$1240)*100000000+('Dvd Calendar'!$AM$1242=SPECIAL_LBL)*10000000+0*1000000+12*1000+35))</f>
        <v/>
      </c>
      <c r="FN127" s="35">
        <f>IF(N('Dvd Calendar'!$AN$1237)=0,"",IF(('Dvd Calendar'!$AN$1237&gt;=GRID_FROM)*('Dvd Calendar'!$AN$1237&lt;=GRID_TO)*('Dvd Calendar'!$AN$1237&lt;=VAL_DATE)=0,"",'Dvd Calendar'!$AN$1237*1000000000+ISNUMBER('Dvd Calendar'!$AN$1240)*100000000+('Dvd Calendar'!$AN$1242=SPECIAL_LBL)*10000000+0*1000000+12*1000+36))</f>
        <v/>
      </c>
      <c r="FO127" s="35">
        <f>IF(N('Dvd Calendar'!$AO$1237)=0,"",IF(('Dvd Calendar'!$AO$1237&gt;=GRID_FROM)*('Dvd Calendar'!$AO$1237&lt;=GRID_TO)*('Dvd Calendar'!$AO$1237&lt;=VAL_DATE)=0,"",'Dvd Calendar'!$AO$1237*1000000000+ISNUMBER('Dvd Calendar'!$AO$1240)*100000000+('Dvd Calendar'!$AO$1242=SPECIAL_LBL)*10000000+0*1000000+12*1000+37))</f>
        <v/>
      </c>
      <c r="FP127" s="35">
        <f>IF(N('Dvd Calendar'!$AP$1237)=0,"",IF(('Dvd Calendar'!$AP$1237&gt;=GRID_FROM)*('Dvd Calendar'!$AP$1237&lt;=GRID_TO)*('Dvd Calendar'!$AP$1237&lt;=VAL_DATE)=0,"",'Dvd Calendar'!$AP$1237*1000000000+ISNUMBER('Dvd Calendar'!$AP$1240)*100000000+('Dvd Calendar'!$AP$1242=SPECIAL_LBL)*10000000+0*1000000+12*1000+38))</f>
        <v/>
      </c>
      <c r="FQ127" s="35">
        <f>IF(N('Dvd Calendar'!$AQ$1237)=0,"",IF(('Dvd Calendar'!$AQ$1237&gt;=GRID_FROM)*('Dvd Calendar'!$AQ$1237&lt;=GRID_TO)*('Dvd Calendar'!$AQ$1237&lt;=VAL_DATE)=0,"",'Dvd Calendar'!$AQ$1237*1000000000+ISNUMBER('Dvd Calendar'!$AQ$1240)*100000000+('Dvd Calendar'!$AQ$1242=SPECIAL_LBL)*10000000+0*1000000+12*1000+39))</f>
        <v/>
      </c>
      <c r="FR127" s="35">
        <f>IF(N('Dvd Calendar'!$AR$1237)=0,"",IF(('Dvd Calendar'!$AR$1237&gt;=GRID_FROM)*('Dvd Calendar'!$AR$1237&lt;=GRID_TO)*('Dvd Calendar'!$AR$1237&lt;=VAL_DATE)=0,"",'Dvd Calendar'!$AR$1237*1000000000+ISNUMBER('Dvd Calendar'!$AR$1240)*100000000+('Dvd Calendar'!$AR$1242=SPECIAL_LBL)*10000000+0*1000000+12*1000+40))</f>
        <v/>
      </c>
      <c r="FS127" s="35">
        <f>IF(N('Dvd Calendar'!$E$1244)=0,"",IF(('Dvd Calendar'!$E$1244&gt;=GRID_FROM)*('Dvd Calendar'!$E$1244&lt;=GRID_TO)*('Dvd Calendar'!$E$1244&gt;VAL_DATE)=0,"",'Dvd Calendar'!$E$1244*1000000000+ISNUMBER('Dvd Calendar'!$E$1245)*100000000+0*10000000+(N('Dvd Calendar'!$E$1243)&gt;0)*(N('Dvd Calendar'!$E$1243)&lt;=VAL_SERIAL)*1000000+12*1000+41))</f>
        <v/>
      </c>
      <c r="FT127" s="35">
        <f>IF(N('Dvd Calendar'!$F$1244)=0,"",IF(('Dvd Calendar'!$F$1244&gt;=GRID_FROM)*('Dvd Calendar'!$F$1244&lt;=GRID_TO)*('Dvd Calendar'!$F$1244&gt;VAL_DATE)=0,"",'Dvd Calendar'!$F$1244*1000000000+ISNUMBER('Dvd Calendar'!$F$1245)*100000000+0*10000000+(N('Dvd Calendar'!$F$1243)&gt;0)*(N('Dvd Calendar'!$F$1243)&lt;=VAL_SERIAL)*1000000+12*1000+42))</f>
        <v/>
      </c>
      <c r="FU127" s="35">
        <f>IF(N('Dvd Calendar'!$G$1244)=0,"",IF(('Dvd Calendar'!$G$1244&gt;=GRID_FROM)*('Dvd Calendar'!$G$1244&lt;=GRID_TO)*('Dvd Calendar'!$G$1244&gt;VAL_DATE)=0,"",'Dvd Calendar'!$G$1244*1000000000+ISNUMBER('Dvd Calendar'!$G$1245)*100000000+0*10000000+(N('Dvd Calendar'!$G$1243)&gt;0)*(N('Dvd Calendar'!$G$1243)&lt;=VAL_SERIAL)*1000000+12*1000+43))</f>
        <v/>
      </c>
      <c r="FV127" s="35">
        <f>IF(N('Dvd Calendar'!$H$1244)=0,"",IF(('Dvd Calendar'!$H$1244&gt;=GRID_FROM)*('Dvd Calendar'!$H$1244&lt;=GRID_TO)*('Dvd Calendar'!$H$1244&gt;VAL_DATE)=0,"",'Dvd Calendar'!$H$1244*1000000000+ISNUMBER('Dvd Calendar'!$H$1245)*100000000+0*10000000+(N('Dvd Calendar'!$H$1243)&gt;0)*(N('Dvd Calendar'!$H$1243)&lt;=VAL_SERIAL)*1000000+12*1000+44))</f>
        <v/>
      </c>
      <c r="FW127" s="35">
        <f>IF(N('Dvd Calendar'!$I$1244)=0,"",IF(('Dvd Calendar'!$I$1244&gt;=GRID_FROM)*('Dvd Calendar'!$I$1244&lt;=GRID_TO)*('Dvd Calendar'!$I$1244&gt;VAL_DATE)=0,"",'Dvd Calendar'!$I$1244*1000000000+ISNUMBER('Dvd Calendar'!$I$1245)*100000000+0*10000000+(N('Dvd Calendar'!$I$1243)&gt;0)*(N('Dvd Calendar'!$I$1243)&lt;=VAL_SERIAL)*1000000+12*1000+45))</f>
        <v/>
      </c>
      <c r="FX127" s="35">
        <f>IF(N('Dvd Calendar'!$J$1244)=0,"",IF(('Dvd Calendar'!$J$1244&gt;=GRID_FROM)*('Dvd Calendar'!$J$1244&lt;=GRID_TO)*('Dvd Calendar'!$J$1244&gt;VAL_DATE)=0,"",'Dvd Calendar'!$J$1244*1000000000+ISNUMBER('Dvd Calendar'!$J$1245)*100000000+0*10000000+(N('Dvd Calendar'!$J$1243)&gt;0)*(N('Dvd Calendar'!$J$1243)&lt;=VAL_SERIAL)*1000000+12*1000+46))</f>
        <v/>
      </c>
      <c r="FY127" s="35">
        <f>IF(N('Dvd Calendar'!$K$1244)=0,"",IF(('Dvd Calendar'!$K$1244&gt;=GRID_FROM)*('Dvd Calendar'!$K$1244&lt;=GRID_TO)*('Dvd Calendar'!$K$1244&gt;VAL_DATE)=0,"",'Dvd Calendar'!$K$1244*1000000000+ISNUMBER('Dvd Calendar'!$K$1245)*100000000+0*10000000+(N('Dvd Calendar'!$K$1243)&gt;0)*(N('Dvd Calendar'!$K$1243)&lt;=VAL_SERIAL)*1000000+12*1000+47))</f>
        <v/>
      </c>
      <c r="FZ127" s="35">
        <f>IF(N('Dvd Calendar'!$L$1244)=0,"",IF(('Dvd Calendar'!$L$1244&gt;=GRID_FROM)*('Dvd Calendar'!$L$1244&lt;=GRID_TO)*('Dvd Calendar'!$L$1244&gt;VAL_DATE)=0,"",'Dvd Calendar'!$L$1244*1000000000+ISNUMBER('Dvd Calendar'!$L$1245)*100000000+0*10000000+(N('Dvd Calendar'!$L$1243)&gt;0)*(N('Dvd Calendar'!$L$1243)&lt;=VAL_SERIAL)*1000000+12*1000+48))</f>
        <v/>
      </c>
      <c r="GA127" s="35">
        <f>IF(N('Dvd Calendar'!$M$1244)=0,"",IF(('Dvd Calendar'!$M$1244&gt;=GRID_FROM)*('Dvd Calendar'!$M$1244&lt;=GRID_TO)*('Dvd Calendar'!$M$1244&gt;VAL_DATE)=0,"",'Dvd Calendar'!$M$1244*1000000000+ISNUMBER('Dvd Calendar'!$M$1245)*100000000+0*10000000+(N('Dvd Calendar'!$M$1243)&gt;0)*(N('Dvd Calendar'!$M$1243)&lt;=VAL_SERIAL)*1000000+12*1000+49))</f>
        <v/>
      </c>
      <c r="GB127" s="35">
        <f>IF(N('Dvd Calendar'!$N$1244)=0,"",IF(('Dvd Calendar'!$N$1244&gt;=GRID_FROM)*('Dvd Calendar'!$N$1244&lt;=GRID_TO)*('Dvd Calendar'!$N$1244&gt;VAL_DATE)=0,"",'Dvd Calendar'!$N$1244*1000000000+ISNUMBER('Dvd Calendar'!$N$1245)*100000000+0*10000000+(N('Dvd Calendar'!$N$1243)&gt;0)*(N('Dvd Calendar'!$N$1243)&lt;=VAL_SERIAL)*1000000+12*1000+50))</f>
        <v/>
      </c>
      <c r="GC127" s="35">
        <f>IF(N('Dvd Calendar'!$O$1244)=0,"",IF(('Dvd Calendar'!$O$1244&gt;=GRID_FROM)*('Dvd Calendar'!$O$1244&lt;=GRID_TO)*('Dvd Calendar'!$O$1244&gt;VAL_DATE)=0,"",'Dvd Calendar'!$O$1244*1000000000+ISNUMBER('Dvd Calendar'!$O$1245)*100000000+0*10000000+(N('Dvd Calendar'!$O$1243)&gt;0)*(N('Dvd Calendar'!$O$1243)&lt;=VAL_SERIAL)*1000000+12*1000+51))</f>
        <v/>
      </c>
      <c r="GD127" s="35">
        <f>IF(N('Dvd Calendar'!$P$1244)=0,"",IF(('Dvd Calendar'!$P$1244&gt;=GRID_FROM)*('Dvd Calendar'!$P$1244&lt;=GRID_TO)*('Dvd Calendar'!$P$1244&gt;VAL_DATE)=0,"",'Dvd Calendar'!$P$1244*1000000000+ISNUMBER('Dvd Calendar'!$P$1245)*100000000+0*10000000+(N('Dvd Calendar'!$P$1243)&gt;0)*(N('Dvd Calendar'!$P$1243)&lt;=VAL_SERIAL)*1000000+12*1000+52))</f>
        <v/>
      </c>
      <c r="GE127" s="35">
        <f>IF(N('Dvd Calendar'!$Q$1244)=0,"",IF(('Dvd Calendar'!$Q$1244&gt;=GRID_FROM)*('Dvd Calendar'!$Q$1244&lt;=GRID_TO)*('Dvd Calendar'!$Q$1244&gt;VAL_DATE)=0,"",'Dvd Calendar'!$Q$1244*1000000000+ISNUMBER('Dvd Calendar'!$Q$1245)*100000000+0*10000000+(N('Dvd Calendar'!$Q$1243)&gt;0)*(N('Dvd Calendar'!$Q$1243)&lt;=VAL_SERIAL)*1000000+12*1000+53))</f>
        <v/>
      </c>
      <c r="GF127" s="35">
        <f>IF(N('Dvd Calendar'!$R$1244)=0,"",IF(('Dvd Calendar'!$R$1244&gt;=GRID_FROM)*('Dvd Calendar'!$R$1244&lt;=GRID_TO)*('Dvd Calendar'!$R$1244&gt;VAL_DATE)=0,"",'Dvd Calendar'!$R$1244*1000000000+ISNUMBER('Dvd Calendar'!$R$1245)*100000000+0*10000000+(N('Dvd Calendar'!$R$1243)&gt;0)*(N('Dvd Calendar'!$R$1243)&lt;=VAL_SERIAL)*1000000+12*1000+54))</f>
        <v/>
      </c>
      <c r="GG127" s="35">
        <f>IF(N('Dvd Calendar'!$S$1244)=0,"",IF(('Dvd Calendar'!$S$1244&gt;=GRID_FROM)*('Dvd Calendar'!$S$1244&lt;=GRID_TO)*('Dvd Calendar'!$S$1244&gt;VAL_DATE)=0,"",'Dvd Calendar'!$S$1244*1000000000+ISNUMBER('Dvd Calendar'!$S$1245)*100000000+0*10000000+(N('Dvd Calendar'!$S$1243)&gt;0)*(N('Dvd Calendar'!$S$1243)&lt;=VAL_SERIAL)*1000000+12*1000+55))</f>
        <v/>
      </c>
      <c r="GH127" s="35">
        <f>IF(N('Dvd Calendar'!$T$1244)=0,"",IF(('Dvd Calendar'!$T$1244&gt;=GRID_FROM)*('Dvd Calendar'!$T$1244&lt;=GRID_TO)*('Dvd Calendar'!$T$1244&gt;VAL_DATE)=0,"",'Dvd Calendar'!$T$1244*1000000000+ISNUMBER('Dvd Calendar'!$T$1245)*100000000+0*10000000+(N('Dvd Calendar'!$T$1243)&gt;0)*(N('Dvd Calendar'!$T$1243)&lt;=VAL_SERIAL)*1000000+12*1000+56))</f>
        <v/>
      </c>
      <c r="GI127" s="35">
        <f>IF(N('Dvd Calendar'!$U$1244)=0,"",IF(('Dvd Calendar'!$U$1244&gt;=GRID_FROM)*('Dvd Calendar'!$U$1244&lt;=GRID_TO)*('Dvd Calendar'!$U$1244&gt;VAL_DATE)=0,"",'Dvd Calendar'!$U$1244*1000000000+ISNUMBER('Dvd Calendar'!$U$1245)*100000000+0*10000000+(N('Dvd Calendar'!$U$1243)&gt;0)*(N('Dvd Calendar'!$U$1243)&lt;=VAL_SERIAL)*1000000+12*1000+57))</f>
        <v/>
      </c>
      <c r="GJ127" s="35">
        <f>IF(N('Dvd Calendar'!$V$1244)=0,"",IF(('Dvd Calendar'!$V$1244&gt;=GRID_FROM)*('Dvd Calendar'!$V$1244&lt;=GRID_TO)*('Dvd Calendar'!$V$1244&gt;VAL_DATE)=0,"",'Dvd Calendar'!$V$1244*1000000000+ISNUMBER('Dvd Calendar'!$V$1245)*100000000+0*10000000+(N('Dvd Calendar'!$V$1243)&gt;0)*(N('Dvd Calendar'!$V$1243)&lt;=VAL_SERIAL)*1000000+12*1000+58))</f>
        <v/>
      </c>
      <c r="GK127" s="35">
        <f>IF(N('Dvd Calendar'!$W$1244)=0,"",IF(('Dvd Calendar'!$W$1244&gt;=GRID_FROM)*('Dvd Calendar'!$W$1244&lt;=GRID_TO)*('Dvd Calendar'!$W$1244&gt;VAL_DATE)=0,"",'Dvd Calendar'!$W$1244*1000000000+ISNUMBER('Dvd Calendar'!$W$1245)*100000000+0*10000000+(N('Dvd Calendar'!$W$1243)&gt;0)*(N('Dvd Calendar'!$W$1243)&lt;=VAL_SERIAL)*1000000+12*1000+59))</f>
        <v/>
      </c>
      <c r="GL127" s="35">
        <f>IF(N('Dvd Calendar'!$X$1244)=0,"",IF(('Dvd Calendar'!$X$1244&gt;=GRID_FROM)*('Dvd Calendar'!$X$1244&lt;=GRID_TO)*('Dvd Calendar'!$X$1244&gt;VAL_DATE)=0,"",'Dvd Calendar'!$X$1244*1000000000+ISNUMBER('Dvd Calendar'!$X$1245)*100000000+0*10000000+(N('Dvd Calendar'!$X$1243)&gt;0)*(N('Dvd Calendar'!$X$1243)&lt;=VAL_SERIAL)*1000000+12*1000+60))</f>
        <v/>
      </c>
      <c r="GM127" s="35">
        <f>IF(N('Dvd Calendar'!$Y$1244)=0,"",IF(('Dvd Calendar'!$Y$1244&gt;=GRID_FROM)*('Dvd Calendar'!$Y$1244&lt;=GRID_TO)*('Dvd Calendar'!$Y$1244&gt;VAL_DATE)=0,"",'Dvd Calendar'!$Y$1244*1000000000+ISNUMBER('Dvd Calendar'!$Y$1245)*100000000+0*10000000+(N('Dvd Calendar'!$Y$1243)&gt;0)*(N('Dvd Calendar'!$Y$1243)&lt;=VAL_SERIAL)*1000000+12*1000+61))</f>
        <v/>
      </c>
      <c r="GN127" s="35">
        <f>IF(N('Dvd Calendar'!$Z$1244)=0,"",IF(('Dvd Calendar'!$Z$1244&gt;=GRID_FROM)*('Dvd Calendar'!$Z$1244&lt;=GRID_TO)*('Dvd Calendar'!$Z$1244&gt;VAL_DATE)=0,"",'Dvd Calendar'!$Z$1244*1000000000+ISNUMBER('Dvd Calendar'!$Z$1245)*100000000+0*10000000+(N('Dvd Calendar'!$Z$1243)&gt;0)*(N('Dvd Calendar'!$Z$1243)&lt;=VAL_SERIAL)*1000000+12*1000+62))</f>
        <v/>
      </c>
      <c r="GO127" s="35">
        <f>IF(N('Dvd Calendar'!$AA$1244)=0,"",IF(('Dvd Calendar'!$AA$1244&gt;=GRID_FROM)*('Dvd Calendar'!$AA$1244&lt;=GRID_TO)*('Dvd Calendar'!$AA$1244&gt;VAL_DATE)=0,"",'Dvd Calendar'!$AA$1244*1000000000+ISNUMBER('Dvd Calendar'!$AA$1245)*100000000+0*10000000+(N('Dvd Calendar'!$AA$1243)&gt;0)*(N('Dvd Calendar'!$AA$1243)&lt;=VAL_SERIAL)*1000000+12*1000+63))</f>
        <v/>
      </c>
      <c r="GP127" s="35">
        <f>IF(N('Dvd Calendar'!$AB$1244)=0,"",IF(('Dvd Calendar'!$AB$1244&gt;=GRID_FROM)*('Dvd Calendar'!$AB$1244&lt;=GRID_TO)*('Dvd Calendar'!$AB$1244&gt;VAL_DATE)=0,"",'Dvd Calendar'!$AB$1244*1000000000+ISNUMBER('Dvd Calendar'!$AB$1245)*100000000+0*10000000+(N('Dvd Calendar'!$AB$1243)&gt;0)*(N('Dvd Calendar'!$AB$1243)&lt;=VAL_SERIAL)*1000000+12*1000+64))</f>
        <v/>
      </c>
      <c r="GQ127" s="35">
        <f>IF(N('Dvd Calendar'!$AC$1244)=0,"",IF(('Dvd Calendar'!$AC$1244&gt;=GRID_FROM)*('Dvd Calendar'!$AC$1244&lt;=GRID_TO)*('Dvd Calendar'!$AC$1244&gt;VAL_DATE)=0,"",'Dvd Calendar'!$AC$1244*1000000000+ISNUMBER('Dvd Calendar'!$AC$1245)*100000000+0*10000000+(N('Dvd Calendar'!$AC$1243)&gt;0)*(N('Dvd Calendar'!$AC$1243)&lt;=VAL_SERIAL)*1000000+12*1000+65))</f>
        <v/>
      </c>
    </row>
    <row r="128">
      <c r="B128" s="2">
        <f>IF(HSTECH!$C$19="","",HSTECH!$C$19)</f>
        <v/>
      </c>
      <c r="C128" s="106">
        <f>IF(EE128="","",IF(ISNUMBER('Dvd Calendar'!$E$1251)=FALSE,"",IF((('Dvd Calendar'!$E$1253=TYPE1)*(TYPE1&lt;&gt;"")+('Dvd Calendar'!$E$1253=TYPE2)*(TYPE2&lt;&gt;"")+('Dvd Calendar'!$E$1253=TYPE3)*(TYPE3&lt;&gt;"")+('Dvd Calendar'!$E$1253=TYPE4)*(TYPE4&lt;&gt;"")+('Dvd Calendar'!$E$1253=SPECIAL_LBL)*(INC_SPECIALS="Y"))=0,"",'Dvd Calendar'!$E$1251)))</f>
        <v/>
      </c>
      <c r="D128" s="106">
        <f>IF(EF128="","",IF(ISNUMBER('Dvd Calendar'!$F$1251)=FALSE,"",IF((('Dvd Calendar'!$F$1253=TYPE1)*(TYPE1&lt;&gt;"")+('Dvd Calendar'!$F$1253=TYPE2)*(TYPE2&lt;&gt;"")+('Dvd Calendar'!$F$1253=TYPE3)*(TYPE3&lt;&gt;"")+('Dvd Calendar'!$F$1253=TYPE4)*(TYPE4&lt;&gt;"")+('Dvd Calendar'!$F$1253=SPECIAL_LBL)*(INC_SPECIALS="Y"))=0,"",'Dvd Calendar'!$F$1251)))</f>
        <v/>
      </c>
      <c r="E128" s="106">
        <f>IF(EG128="","",IF(ISNUMBER('Dvd Calendar'!$G$1251)=FALSE,"",IF((('Dvd Calendar'!$G$1253=TYPE1)*(TYPE1&lt;&gt;"")+('Dvd Calendar'!$G$1253=TYPE2)*(TYPE2&lt;&gt;"")+('Dvd Calendar'!$G$1253=TYPE3)*(TYPE3&lt;&gt;"")+('Dvd Calendar'!$G$1253=TYPE4)*(TYPE4&lt;&gt;"")+('Dvd Calendar'!$G$1253=SPECIAL_LBL)*(INC_SPECIALS="Y"))=0,"",'Dvd Calendar'!$G$1251)))</f>
        <v/>
      </c>
      <c r="F128" s="106">
        <f>IF(EH128="","",IF(ISNUMBER('Dvd Calendar'!$H$1251)=FALSE,"",IF((('Dvd Calendar'!$H$1253=TYPE1)*(TYPE1&lt;&gt;"")+('Dvd Calendar'!$H$1253=TYPE2)*(TYPE2&lt;&gt;"")+('Dvd Calendar'!$H$1253=TYPE3)*(TYPE3&lt;&gt;"")+('Dvd Calendar'!$H$1253=TYPE4)*(TYPE4&lt;&gt;"")+('Dvd Calendar'!$H$1253=SPECIAL_LBL)*(INC_SPECIALS="Y"))=0,"",'Dvd Calendar'!$H$1251)))</f>
        <v/>
      </c>
      <c r="G128" s="106">
        <f>IF(EI128="","",IF(ISNUMBER('Dvd Calendar'!$I$1251)=FALSE,"",IF((('Dvd Calendar'!$I$1253=TYPE1)*(TYPE1&lt;&gt;"")+('Dvd Calendar'!$I$1253=TYPE2)*(TYPE2&lt;&gt;"")+('Dvd Calendar'!$I$1253=TYPE3)*(TYPE3&lt;&gt;"")+('Dvd Calendar'!$I$1253=TYPE4)*(TYPE4&lt;&gt;"")+('Dvd Calendar'!$I$1253=SPECIAL_LBL)*(INC_SPECIALS="Y"))=0,"",'Dvd Calendar'!$I$1251)))</f>
        <v/>
      </c>
      <c r="H128" s="106">
        <f>IF(EJ128="","",IF(ISNUMBER('Dvd Calendar'!$J$1251)=FALSE,"",IF((('Dvd Calendar'!$J$1253=TYPE1)*(TYPE1&lt;&gt;"")+('Dvd Calendar'!$J$1253=TYPE2)*(TYPE2&lt;&gt;"")+('Dvd Calendar'!$J$1253=TYPE3)*(TYPE3&lt;&gt;"")+('Dvd Calendar'!$J$1253=TYPE4)*(TYPE4&lt;&gt;"")+('Dvd Calendar'!$J$1253=SPECIAL_LBL)*(INC_SPECIALS="Y"))=0,"",'Dvd Calendar'!$J$1251)))</f>
        <v/>
      </c>
      <c r="I128" s="106">
        <f>IF(EK128="","",IF(ISNUMBER('Dvd Calendar'!$K$1251)=FALSE,"",IF((('Dvd Calendar'!$K$1253=TYPE1)*(TYPE1&lt;&gt;"")+('Dvd Calendar'!$K$1253=TYPE2)*(TYPE2&lt;&gt;"")+('Dvd Calendar'!$K$1253=TYPE3)*(TYPE3&lt;&gt;"")+('Dvd Calendar'!$K$1253=TYPE4)*(TYPE4&lt;&gt;"")+('Dvd Calendar'!$K$1253=SPECIAL_LBL)*(INC_SPECIALS="Y"))=0,"",'Dvd Calendar'!$K$1251)))</f>
        <v/>
      </c>
      <c r="J128" s="106">
        <f>IF(EL128="","",IF(ISNUMBER('Dvd Calendar'!$L$1251)=FALSE,"",IF((('Dvd Calendar'!$L$1253=TYPE1)*(TYPE1&lt;&gt;"")+('Dvd Calendar'!$L$1253=TYPE2)*(TYPE2&lt;&gt;"")+('Dvd Calendar'!$L$1253=TYPE3)*(TYPE3&lt;&gt;"")+('Dvd Calendar'!$L$1253=TYPE4)*(TYPE4&lt;&gt;"")+('Dvd Calendar'!$L$1253=SPECIAL_LBL)*(INC_SPECIALS="Y"))=0,"",'Dvd Calendar'!$L$1251)))</f>
        <v/>
      </c>
      <c r="K128" s="106">
        <f>IF(EM128="","",IF(ISNUMBER('Dvd Calendar'!$M$1251)=FALSE,"",IF((('Dvd Calendar'!$M$1253=TYPE1)*(TYPE1&lt;&gt;"")+('Dvd Calendar'!$M$1253=TYPE2)*(TYPE2&lt;&gt;"")+('Dvd Calendar'!$M$1253=TYPE3)*(TYPE3&lt;&gt;"")+('Dvd Calendar'!$M$1253=TYPE4)*(TYPE4&lt;&gt;"")+('Dvd Calendar'!$M$1253=SPECIAL_LBL)*(INC_SPECIALS="Y"))=0,"",'Dvd Calendar'!$M$1251)))</f>
        <v/>
      </c>
      <c r="L128" s="106">
        <f>IF(EN128="","",IF(ISNUMBER('Dvd Calendar'!$N$1251)=FALSE,"",IF((('Dvd Calendar'!$N$1253=TYPE1)*(TYPE1&lt;&gt;"")+('Dvd Calendar'!$N$1253=TYPE2)*(TYPE2&lt;&gt;"")+('Dvd Calendar'!$N$1253=TYPE3)*(TYPE3&lt;&gt;"")+('Dvd Calendar'!$N$1253=TYPE4)*(TYPE4&lt;&gt;"")+('Dvd Calendar'!$N$1253=SPECIAL_LBL)*(INC_SPECIALS="Y"))=0,"",'Dvd Calendar'!$N$1251)))</f>
        <v/>
      </c>
      <c r="M128" s="106">
        <f>IF(EO128="","",IF(ISNUMBER('Dvd Calendar'!$O$1251)=FALSE,"",IF((('Dvd Calendar'!$O$1253=TYPE1)*(TYPE1&lt;&gt;"")+('Dvd Calendar'!$O$1253=TYPE2)*(TYPE2&lt;&gt;"")+('Dvd Calendar'!$O$1253=TYPE3)*(TYPE3&lt;&gt;"")+('Dvd Calendar'!$O$1253=TYPE4)*(TYPE4&lt;&gt;"")+('Dvd Calendar'!$O$1253=SPECIAL_LBL)*(INC_SPECIALS="Y"))=0,"",'Dvd Calendar'!$O$1251)))</f>
        <v/>
      </c>
      <c r="N128" s="106">
        <f>IF(EP128="","",IF(ISNUMBER('Dvd Calendar'!$P$1251)=FALSE,"",IF((('Dvd Calendar'!$P$1253=TYPE1)*(TYPE1&lt;&gt;"")+('Dvd Calendar'!$P$1253=TYPE2)*(TYPE2&lt;&gt;"")+('Dvd Calendar'!$P$1253=TYPE3)*(TYPE3&lt;&gt;"")+('Dvd Calendar'!$P$1253=TYPE4)*(TYPE4&lt;&gt;"")+('Dvd Calendar'!$P$1253=SPECIAL_LBL)*(INC_SPECIALS="Y"))=0,"",'Dvd Calendar'!$P$1251)))</f>
        <v/>
      </c>
      <c r="O128" s="106">
        <f>IF(EQ128="","",IF(ISNUMBER('Dvd Calendar'!$Q$1251)=FALSE,"",IF((('Dvd Calendar'!$Q$1253=TYPE1)*(TYPE1&lt;&gt;"")+('Dvd Calendar'!$Q$1253=TYPE2)*(TYPE2&lt;&gt;"")+('Dvd Calendar'!$Q$1253=TYPE3)*(TYPE3&lt;&gt;"")+('Dvd Calendar'!$Q$1253=TYPE4)*(TYPE4&lt;&gt;"")+('Dvd Calendar'!$Q$1253=SPECIAL_LBL)*(INC_SPECIALS="Y"))=0,"",'Dvd Calendar'!$Q$1251)))</f>
        <v/>
      </c>
      <c r="P128" s="106">
        <f>IF(ER128="","",IF(ISNUMBER('Dvd Calendar'!$R$1251)=FALSE,"",IF((('Dvd Calendar'!$R$1253=TYPE1)*(TYPE1&lt;&gt;"")+('Dvd Calendar'!$R$1253=TYPE2)*(TYPE2&lt;&gt;"")+('Dvd Calendar'!$R$1253=TYPE3)*(TYPE3&lt;&gt;"")+('Dvd Calendar'!$R$1253=TYPE4)*(TYPE4&lt;&gt;"")+('Dvd Calendar'!$R$1253=SPECIAL_LBL)*(INC_SPECIALS="Y"))=0,"",'Dvd Calendar'!$R$1251)))</f>
        <v/>
      </c>
      <c r="Q128" s="106">
        <f>IF(ES128="","",IF(ISNUMBER('Dvd Calendar'!$S$1251)=FALSE,"",IF((('Dvd Calendar'!$S$1253=TYPE1)*(TYPE1&lt;&gt;"")+('Dvd Calendar'!$S$1253=TYPE2)*(TYPE2&lt;&gt;"")+('Dvd Calendar'!$S$1253=TYPE3)*(TYPE3&lt;&gt;"")+('Dvd Calendar'!$S$1253=TYPE4)*(TYPE4&lt;&gt;"")+('Dvd Calendar'!$S$1253=SPECIAL_LBL)*(INC_SPECIALS="Y"))=0,"",'Dvd Calendar'!$S$1251)))</f>
        <v/>
      </c>
      <c r="R128" s="106">
        <f>IF(ET128="","",IF(ISNUMBER('Dvd Calendar'!$T$1251)=FALSE,"",IF((('Dvd Calendar'!$T$1253=TYPE1)*(TYPE1&lt;&gt;"")+('Dvd Calendar'!$T$1253=TYPE2)*(TYPE2&lt;&gt;"")+('Dvd Calendar'!$T$1253=TYPE3)*(TYPE3&lt;&gt;"")+('Dvd Calendar'!$T$1253=TYPE4)*(TYPE4&lt;&gt;"")+('Dvd Calendar'!$T$1253=SPECIAL_LBL)*(INC_SPECIALS="Y"))=0,"",'Dvd Calendar'!$T$1251)))</f>
        <v/>
      </c>
      <c r="S128" s="106">
        <f>IF(EU128="","",IF(ISNUMBER('Dvd Calendar'!$U$1251)=FALSE,"",IF((('Dvd Calendar'!$U$1253=TYPE1)*(TYPE1&lt;&gt;"")+('Dvd Calendar'!$U$1253=TYPE2)*(TYPE2&lt;&gt;"")+('Dvd Calendar'!$U$1253=TYPE3)*(TYPE3&lt;&gt;"")+('Dvd Calendar'!$U$1253=TYPE4)*(TYPE4&lt;&gt;"")+('Dvd Calendar'!$U$1253=SPECIAL_LBL)*(INC_SPECIALS="Y"))=0,"",'Dvd Calendar'!$U$1251)))</f>
        <v/>
      </c>
      <c r="T128" s="106">
        <f>IF(EV128="","",IF(ISNUMBER('Dvd Calendar'!$V$1251)=FALSE,"",IF((('Dvd Calendar'!$V$1253=TYPE1)*(TYPE1&lt;&gt;"")+('Dvd Calendar'!$V$1253=TYPE2)*(TYPE2&lt;&gt;"")+('Dvd Calendar'!$V$1253=TYPE3)*(TYPE3&lt;&gt;"")+('Dvd Calendar'!$V$1253=TYPE4)*(TYPE4&lt;&gt;"")+('Dvd Calendar'!$V$1253=SPECIAL_LBL)*(INC_SPECIALS="Y"))=0,"",'Dvd Calendar'!$V$1251)))</f>
        <v/>
      </c>
      <c r="U128" s="106">
        <f>IF(EW128="","",IF(ISNUMBER('Dvd Calendar'!$W$1251)=FALSE,"",IF((('Dvd Calendar'!$W$1253=TYPE1)*(TYPE1&lt;&gt;"")+('Dvd Calendar'!$W$1253=TYPE2)*(TYPE2&lt;&gt;"")+('Dvd Calendar'!$W$1253=TYPE3)*(TYPE3&lt;&gt;"")+('Dvd Calendar'!$W$1253=TYPE4)*(TYPE4&lt;&gt;"")+('Dvd Calendar'!$W$1253=SPECIAL_LBL)*(INC_SPECIALS="Y"))=0,"",'Dvd Calendar'!$W$1251)))</f>
        <v/>
      </c>
      <c r="V128" s="106">
        <f>IF(EX128="","",IF(ISNUMBER('Dvd Calendar'!$X$1251)=FALSE,"",IF((('Dvd Calendar'!$X$1253=TYPE1)*(TYPE1&lt;&gt;"")+('Dvd Calendar'!$X$1253=TYPE2)*(TYPE2&lt;&gt;"")+('Dvd Calendar'!$X$1253=TYPE3)*(TYPE3&lt;&gt;"")+('Dvd Calendar'!$X$1253=TYPE4)*(TYPE4&lt;&gt;"")+('Dvd Calendar'!$X$1253=SPECIAL_LBL)*(INC_SPECIALS="Y"))=0,"",'Dvd Calendar'!$X$1251)))</f>
        <v/>
      </c>
      <c r="W128" s="106">
        <f>IF(EY128="","",IF(ISNUMBER('Dvd Calendar'!$Y$1251)=FALSE,"",IF((('Dvd Calendar'!$Y$1253=TYPE1)*(TYPE1&lt;&gt;"")+('Dvd Calendar'!$Y$1253=TYPE2)*(TYPE2&lt;&gt;"")+('Dvd Calendar'!$Y$1253=TYPE3)*(TYPE3&lt;&gt;"")+('Dvd Calendar'!$Y$1253=TYPE4)*(TYPE4&lt;&gt;"")+('Dvd Calendar'!$Y$1253=SPECIAL_LBL)*(INC_SPECIALS="Y"))=0,"",'Dvd Calendar'!$Y$1251)))</f>
        <v/>
      </c>
      <c r="X128" s="106">
        <f>IF(EZ128="","",IF(ISNUMBER('Dvd Calendar'!$Z$1251)=FALSE,"",IF((('Dvd Calendar'!$Z$1253=TYPE1)*(TYPE1&lt;&gt;"")+('Dvd Calendar'!$Z$1253=TYPE2)*(TYPE2&lt;&gt;"")+('Dvd Calendar'!$Z$1253=TYPE3)*(TYPE3&lt;&gt;"")+('Dvd Calendar'!$Z$1253=TYPE4)*(TYPE4&lt;&gt;"")+('Dvd Calendar'!$Z$1253=SPECIAL_LBL)*(INC_SPECIALS="Y"))=0,"",'Dvd Calendar'!$Z$1251)))</f>
        <v/>
      </c>
      <c r="Y128" s="106">
        <f>IF(FA128="","",IF(ISNUMBER('Dvd Calendar'!$AA$1251)=FALSE,"",IF((('Dvd Calendar'!$AA$1253=TYPE1)*(TYPE1&lt;&gt;"")+('Dvd Calendar'!$AA$1253=TYPE2)*(TYPE2&lt;&gt;"")+('Dvd Calendar'!$AA$1253=TYPE3)*(TYPE3&lt;&gt;"")+('Dvd Calendar'!$AA$1253=TYPE4)*(TYPE4&lt;&gt;"")+('Dvd Calendar'!$AA$1253=SPECIAL_LBL)*(INC_SPECIALS="Y"))=0,"",'Dvd Calendar'!$AA$1251)))</f>
        <v/>
      </c>
      <c r="Z128" s="106">
        <f>IF(FB128="","",IF(ISNUMBER('Dvd Calendar'!$AB$1251)=FALSE,"",IF((('Dvd Calendar'!$AB$1253=TYPE1)*(TYPE1&lt;&gt;"")+('Dvd Calendar'!$AB$1253=TYPE2)*(TYPE2&lt;&gt;"")+('Dvd Calendar'!$AB$1253=TYPE3)*(TYPE3&lt;&gt;"")+('Dvd Calendar'!$AB$1253=TYPE4)*(TYPE4&lt;&gt;"")+('Dvd Calendar'!$AB$1253=SPECIAL_LBL)*(INC_SPECIALS="Y"))=0,"",'Dvd Calendar'!$AB$1251)))</f>
        <v/>
      </c>
      <c r="AA128" s="106">
        <f>IF(FC128="","",IF(ISNUMBER('Dvd Calendar'!$AC$1251)=FALSE,"",IF((('Dvd Calendar'!$AC$1253=TYPE1)*(TYPE1&lt;&gt;"")+('Dvd Calendar'!$AC$1253=TYPE2)*(TYPE2&lt;&gt;"")+('Dvd Calendar'!$AC$1253=TYPE3)*(TYPE3&lt;&gt;"")+('Dvd Calendar'!$AC$1253=TYPE4)*(TYPE4&lt;&gt;"")+('Dvd Calendar'!$AC$1253=SPECIAL_LBL)*(INC_SPECIALS="Y"))=0,"",'Dvd Calendar'!$AC$1251)))</f>
        <v/>
      </c>
      <c r="AB128" s="106">
        <f>IF(FD128="","",IF(ISNUMBER('Dvd Calendar'!$AD$1251)=FALSE,"",IF((('Dvd Calendar'!$AD$1253=TYPE1)*(TYPE1&lt;&gt;"")+('Dvd Calendar'!$AD$1253=TYPE2)*(TYPE2&lt;&gt;"")+('Dvd Calendar'!$AD$1253=TYPE3)*(TYPE3&lt;&gt;"")+('Dvd Calendar'!$AD$1253=TYPE4)*(TYPE4&lt;&gt;"")+('Dvd Calendar'!$AD$1253=SPECIAL_LBL)*(INC_SPECIALS="Y"))=0,"",'Dvd Calendar'!$AD$1251)))</f>
        <v/>
      </c>
      <c r="AC128" s="106">
        <f>IF(FE128="","",IF(ISNUMBER('Dvd Calendar'!$AE$1251)=FALSE,"",IF((('Dvd Calendar'!$AE$1253=TYPE1)*(TYPE1&lt;&gt;"")+('Dvd Calendar'!$AE$1253=TYPE2)*(TYPE2&lt;&gt;"")+('Dvd Calendar'!$AE$1253=TYPE3)*(TYPE3&lt;&gt;"")+('Dvd Calendar'!$AE$1253=TYPE4)*(TYPE4&lt;&gt;"")+('Dvd Calendar'!$AE$1253=SPECIAL_LBL)*(INC_SPECIALS="Y"))=0,"",'Dvd Calendar'!$AE$1251)))</f>
        <v/>
      </c>
      <c r="AD128" s="106">
        <f>IF(FF128="","",IF(ISNUMBER('Dvd Calendar'!$AF$1251)=FALSE,"",IF((('Dvd Calendar'!$AF$1253=TYPE1)*(TYPE1&lt;&gt;"")+('Dvd Calendar'!$AF$1253=TYPE2)*(TYPE2&lt;&gt;"")+('Dvd Calendar'!$AF$1253=TYPE3)*(TYPE3&lt;&gt;"")+('Dvd Calendar'!$AF$1253=TYPE4)*(TYPE4&lt;&gt;"")+('Dvd Calendar'!$AF$1253=SPECIAL_LBL)*(INC_SPECIALS="Y"))=0,"",'Dvd Calendar'!$AF$1251)))</f>
        <v/>
      </c>
      <c r="AE128" s="106">
        <f>IF(FG128="","",IF(ISNUMBER('Dvd Calendar'!$AG$1251)=FALSE,"",IF((('Dvd Calendar'!$AG$1253=TYPE1)*(TYPE1&lt;&gt;"")+('Dvd Calendar'!$AG$1253=TYPE2)*(TYPE2&lt;&gt;"")+('Dvd Calendar'!$AG$1253=TYPE3)*(TYPE3&lt;&gt;"")+('Dvd Calendar'!$AG$1253=TYPE4)*(TYPE4&lt;&gt;"")+('Dvd Calendar'!$AG$1253=SPECIAL_LBL)*(INC_SPECIALS="Y"))=0,"",'Dvd Calendar'!$AG$1251)))</f>
        <v/>
      </c>
      <c r="AF128" s="106">
        <f>IF(FH128="","",IF(ISNUMBER('Dvd Calendar'!$AH$1251)=FALSE,"",IF((('Dvd Calendar'!$AH$1253=TYPE1)*(TYPE1&lt;&gt;"")+('Dvd Calendar'!$AH$1253=TYPE2)*(TYPE2&lt;&gt;"")+('Dvd Calendar'!$AH$1253=TYPE3)*(TYPE3&lt;&gt;"")+('Dvd Calendar'!$AH$1253=TYPE4)*(TYPE4&lt;&gt;"")+('Dvd Calendar'!$AH$1253=SPECIAL_LBL)*(INC_SPECIALS="Y"))=0,"",'Dvd Calendar'!$AH$1251)))</f>
        <v/>
      </c>
      <c r="AG128" s="106">
        <f>IF(FI128="","",IF(ISNUMBER('Dvd Calendar'!$AI$1251)=FALSE,"",IF((('Dvd Calendar'!$AI$1253=TYPE1)*(TYPE1&lt;&gt;"")+('Dvd Calendar'!$AI$1253=TYPE2)*(TYPE2&lt;&gt;"")+('Dvd Calendar'!$AI$1253=TYPE3)*(TYPE3&lt;&gt;"")+('Dvd Calendar'!$AI$1253=TYPE4)*(TYPE4&lt;&gt;"")+('Dvd Calendar'!$AI$1253=SPECIAL_LBL)*(INC_SPECIALS="Y"))=0,"",'Dvd Calendar'!$AI$1251)))</f>
        <v/>
      </c>
      <c r="AH128" s="106">
        <f>IF(FJ128="","",IF(ISNUMBER('Dvd Calendar'!$AJ$1251)=FALSE,"",IF((('Dvd Calendar'!$AJ$1253=TYPE1)*(TYPE1&lt;&gt;"")+('Dvd Calendar'!$AJ$1253=TYPE2)*(TYPE2&lt;&gt;"")+('Dvd Calendar'!$AJ$1253=TYPE3)*(TYPE3&lt;&gt;"")+('Dvd Calendar'!$AJ$1253=TYPE4)*(TYPE4&lt;&gt;"")+('Dvd Calendar'!$AJ$1253=SPECIAL_LBL)*(INC_SPECIALS="Y"))=0,"",'Dvd Calendar'!$AJ$1251)))</f>
        <v/>
      </c>
      <c r="AI128" s="106">
        <f>IF(FK128="","",IF(ISNUMBER('Dvd Calendar'!$AK$1251)=FALSE,"",IF((('Dvd Calendar'!$AK$1253=TYPE1)*(TYPE1&lt;&gt;"")+('Dvd Calendar'!$AK$1253=TYPE2)*(TYPE2&lt;&gt;"")+('Dvd Calendar'!$AK$1253=TYPE3)*(TYPE3&lt;&gt;"")+('Dvd Calendar'!$AK$1253=TYPE4)*(TYPE4&lt;&gt;"")+('Dvd Calendar'!$AK$1253=SPECIAL_LBL)*(INC_SPECIALS="Y"))=0,"",'Dvd Calendar'!$AK$1251)))</f>
        <v/>
      </c>
      <c r="AJ128" s="106">
        <f>IF(FL128="","",IF(ISNUMBER('Dvd Calendar'!$AL$1251)=FALSE,"",IF((('Dvd Calendar'!$AL$1253=TYPE1)*(TYPE1&lt;&gt;"")+('Dvd Calendar'!$AL$1253=TYPE2)*(TYPE2&lt;&gt;"")+('Dvd Calendar'!$AL$1253=TYPE3)*(TYPE3&lt;&gt;"")+('Dvd Calendar'!$AL$1253=TYPE4)*(TYPE4&lt;&gt;"")+('Dvd Calendar'!$AL$1253=SPECIAL_LBL)*(INC_SPECIALS="Y"))=0,"",'Dvd Calendar'!$AL$1251)))</f>
        <v/>
      </c>
      <c r="AK128" s="106">
        <f>IF(FM128="","",IF(ISNUMBER('Dvd Calendar'!$AM$1251)=FALSE,"",IF((('Dvd Calendar'!$AM$1253=TYPE1)*(TYPE1&lt;&gt;"")+('Dvd Calendar'!$AM$1253=TYPE2)*(TYPE2&lt;&gt;"")+('Dvd Calendar'!$AM$1253=TYPE3)*(TYPE3&lt;&gt;"")+('Dvd Calendar'!$AM$1253=TYPE4)*(TYPE4&lt;&gt;"")+('Dvd Calendar'!$AM$1253=SPECIAL_LBL)*(INC_SPECIALS="Y"))=0,"",'Dvd Calendar'!$AM$1251)))</f>
        <v/>
      </c>
      <c r="AL128" s="106">
        <f>IF(FN128="","",IF(ISNUMBER('Dvd Calendar'!$AN$1251)=FALSE,"",IF((('Dvd Calendar'!$AN$1253=TYPE1)*(TYPE1&lt;&gt;"")+('Dvd Calendar'!$AN$1253=TYPE2)*(TYPE2&lt;&gt;"")+('Dvd Calendar'!$AN$1253=TYPE3)*(TYPE3&lt;&gt;"")+('Dvd Calendar'!$AN$1253=TYPE4)*(TYPE4&lt;&gt;"")+('Dvd Calendar'!$AN$1253=SPECIAL_LBL)*(INC_SPECIALS="Y"))=0,"",'Dvd Calendar'!$AN$1251)))</f>
        <v/>
      </c>
      <c r="AM128" s="106">
        <f>IF(FO128="","",IF(ISNUMBER('Dvd Calendar'!$AO$1251)=FALSE,"",IF((('Dvd Calendar'!$AO$1253=TYPE1)*(TYPE1&lt;&gt;"")+('Dvd Calendar'!$AO$1253=TYPE2)*(TYPE2&lt;&gt;"")+('Dvd Calendar'!$AO$1253=TYPE3)*(TYPE3&lt;&gt;"")+('Dvd Calendar'!$AO$1253=TYPE4)*(TYPE4&lt;&gt;"")+('Dvd Calendar'!$AO$1253=SPECIAL_LBL)*(INC_SPECIALS="Y"))=0,"",'Dvd Calendar'!$AO$1251)))</f>
        <v/>
      </c>
      <c r="AN128" s="106">
        <f>IF(FP128="","",IF(ISNUMBER('Dvd Calendar'!$AP$1251)=FALSE,"",IF((('Dvd Calendar'!$AP$1253=TYPE1)*(TYPE1&lt;&gt;"")+('Dvd Calendar'!$AP$1253=TYPE2)*(TYPE2&lt;&gt;"")+('Dvd Calendar'!$AP$1253=TYPE3)*(TYPE3&lt;&gt;"")+('Dvd Calendar'!$AP$1253=TYPE4)*(TYPE4&lt;&gt;"")+('Dvd Calendar'!$AP$1253=SPECIAL_LBL)*(INC_SPECIALS="Y"))=0,"",'Dvd Calendar'!$AP$1251)))</f>
        <v/>
      </c>
      <c r="AO128" s="106">
        <f>IF(FQ128="","",IF(ISNUMBER('Dvd Calendar'!$AQ$1251)=FALSE,"",IF((('Dvd Calendar'!$AQ$1253=TYPE1)*(TYPE1&lt;&gt;"")+('Dvd Calendar'!$AQ$1253=TYPE2)*(TYPE2&lt;&gt;"")+('Dvd Calendar'!$AQ$1253=TYPE3)*(TYPE3&lt;&gt;"")+('Dvd Calendar'!$AQ$1253=TYPE4)*(TYPE4&lt;&gt;"")+('Dvd Calendar'!$AQ$1253=SPECIAL_LBL)*(INC_SPECIALS="Y"))=0,"",'Dvd Calendar'!$AQ$1251)))</f>
        <v/>
      </c>
      <c r="AP128" s="106">
        <f>IF(FR128="","",IF(ISNUMBER('Dvd Calendar'!$AR$1251)=FALSE,"",IF((('Dvd Calendar'!$AR$1253=TYPE1)*(TYPE1&lt;&gt;"")+('Dvd Calendar'!$AR$1253=TYPE2)*(TYPE2&lt;&gt;"")+('Dvd Calendar'!$AR$1253=TYPE3)*(TYPE3&lt;&gt;"")+('Dvd Calendar'!$AR$1253=TYPE4)*(TYPE4&lt;&gt;"")+('Dvd Calendar'!$AR$1253=SPECIAL_LBL)*(INC_SPECIALS="Y"))=0,"",'Dvd Calendar'!$AR$1251)))</f>
        <v/>
      </c>
      <c r="AQ128" s="106">
        <f>IF(FS128="","",IF(ISNUMBER('Dvd Calendar'!$E$1256)=FALSE,"",'Dvd Calendar'!$E$1256))</f>
        <v/>
      </c>
      <c r="AR128" s="106">
        <f>IF(FT128="","",IF(ISNUMBER('Dvd Calendar'!$F$1256)=FALSE,"",'Dvd Calendar'!$F$1256))</f>
        <v/>
      </c>
      <c r="AS128" s="106">
        <f>IF(FU128="","",IF(ISNUMBER('Dvd Calendar'!$G$1256)=FALSE,"",'Dvd Calendar'!$G$1256))</f>
        <v/>
      </c>
      <c r="AT128" s="106">
        <f>IF(FV128="","",IF(ISNUMBER('Dvd Calendar'!$H$1256)=FALSE,"",'Dvd Calendar'!$H$1256))</f>
        <v/>
      </c>
      <c r="AU128" s="106">
        <f>IF(FW128="","",IF(ISNUMBER('Dvd Calendar'!$I$1256)=FALSE,"",'Dvd Calendar'!$I$1256))</f>
        <v/>
      </c>
      <c r="AV128" s="106">
        <f>IF(FX128="","",IF(ISNUMBER('Dvd Calendar'!$J$1256)=FALSE,"",'Dvd Calendar'!$J$1256))</f>
        <v/>
      </c>
      <c r="AW128" s="106">
        <f>IF(FY128="","",IF(ISNUMBER('Dvd Calendar'!$K$1256)=FALSE,"",'Dvd Calendar'!$K$1256))</f>
        <v/>
      </c>
      <c r="AX128" s="106">
        <f>IF(FZ128="","",IF(ISNUMBER('Dvd Calendar'!$L$1256)=FALSE,"",'Dvd Calendar'!$L$1256))</f>
        <v/>
      </c>
      <c r="AY128" s="106">
        <f>IF(GA128="","",IF(ISNUMBER('Dvd Calendar'!$M$1256)=FALSE,"",'Dvd Calendar'!$M$1256))</f>
        <v/>
      </c>
      <c r="AZ128" s="106">
        <f>IF(GB128="","",IF(ISNUMBER('Dvd Calendar'!$N$1256)=FALSE,"",'Dvd Calendar'!$N$1256))</f>
        <v/>
      </c>
      <c r="BA128" s="106">
        <f>IF(GC128="","",IF(ISNUMBER('Dvd Calendar'!$O$1256)=FALSE,"",'Dvd Calendar'!$O$1256))</f>
        <v/>
      </c>
      <c r="BB128" s="106">
        <f>IF(GD128="","",IF(ISNUMBER('Dvd Calendar'!$P$1256)=FALSE,"",'Dvd Calendar'!$P$1256))</f>
        <v/>
      </c>
      <c r="BC128" s="106">
        <f>IF(GE128="","",IF(ISNUMBER('Dvd Calendar'!$Q$1256)=FALSE,"",'Dvd Calendar'!$Q$1256))</f>
        <v/>
      </c>
      <c r="BD128" s="106">
        <f>IF(GF128="","",IF(ISNUMBER('Dvd Calendar'!$R$1256)=FALSE,"",'Dvd Calendar'!$R$1256))</f>
        <v/>
      </c>
      <c r="BE128" s="106">
        <f>IF(GG128="","",IF(ISNUMBER('Dvd Calendar'!$S$1256)=FALSE,"",'Dvd Calendar'!$S$1256))</f>
        <v/>
      </c>
      <c r="BF128" s="106">
        <f>IF(GH128="","",IF(ISNUMBER('Dvd Calendar'!$T$1256)=FALSE,"",'Dvd Calendar'!$T$1256))</f>
        <v/>
      </c>
      <c r="BG128" s="106">
        <f>IF(GI128="","",IF(ISNUMBER('Dvd Calendar'!$U$1256)=FALSE,"",'Dvd Calendar'!$U$1256))</f>
        <v/>
      </c>
      <c r="BH128" s="106">
        <f>IF(GJ128="","",IF(ISNUMBER('Dvd Calendar'!$V$1256)=FALSE,"",'Dvd Calendar'!$V$1256))</f>
        <v/>
      </c>
      <c r="BI128" s="106">
        <f>IF(GK128="","",IF(ISNUMBER('Dvd Calendar'!$W$1256)=FALSE,"",'Dvd Calendar'!$W$1256))</f>
        <v/>
      </c>
      <c r="BJ128" s="106">
        <f>IF(GL128="","",IF(ISNUMBER('Dvd Calendar'!$X$1256)=FALSE,"",'Dvd Calendar'!$X$1256))</f>
        <v/>
      </c>
      <c r="BK128" s="106">
        <f>IF(GM128="","",IF(ISNUMBER('Dvd Calendar'!$Y$1256)=FALSE,"",'Dvd Calendar'!$Y$1256))</f>
        <v/>
      </c>
      <c r="BL128" s="106">
        <f>IF(GN128="","",IF(ISNUMBER('Dvd Calendar'!$Z$1256)=FALSE,"",'Dvd Calendar'!$Z$1256))</f>
        <v/>
      </c>
      <c r="BM128" s="106">
        <f>IF(GO128="","",IF(ISNUMBER('Dvd Calendar'!$AA$1256)=FALSE,"",'Dvd Calendar'!$AA$1256))</f>
        <v/>
      </c>
      <c r="BN128" s="106">
        <f>IF(GP128="","",IF(ISNUMBER('Dvd Calendar'!$AB$1256)=FALSE,"",'Dvd Calendar'!$AB$1256))</f>
        <v/>
      </c>
      <c r="BO128" s="106">
        <f>IF(GQ128="","",IF(ISNUMBER('Dvd Calendar'!$AC$1256)=FALSE,"",'Dvd Calendar'!$AC$1256))</f>
        <v/>
      </c>
      <c r="BQ128" s="106">
        <f>IF(C128="","",IFERROR(C128*HSTECH!$B$19*HSTECH!$G$19/HSTECH!$B$3,""))</f>
        <v/>
      </c>
      <c r="BR128" s="106">
        <f>IF(D128="","",IFERROR(D128*HSTECH!$B$19*HSTECH!$G$19/HSTECH!$B$3,""))</f>
        <v/>
      </c>
      <c r="BS128" s="106">
        <f>IF(E128="","",IFERROR(E128*HSTECH!$B$19*HSTECH!$G$19/HSTECH!$B$3,""))</f>
        <v/>
      </c>
      <c r="BT128" s="106">
        <f>IF(F128="","",IFERROR(F128*HSTECH!$B$19*HSTECH!$G$19/HSTECH!$B$3,""))</f>
        <v/>
      </c>
      <c r="BU128" s="106">
        <f>IF(G128="","",IFERROR(G128*HSTECH!$B$19*HSTECH!$G$19/HSTECH!$B$3,""))</f>
        <v/>
      </c>
      <c r="BV128" s="106">
        <f>IF(H128="","",IFERROR(H128*HSTECH!$B$19*HSTECH!$G$19/HSTECH!$B$3,""))</f>
        <v/>
      </c>
      <c r="BW128" s="106">
        <f>IF(I128="","",IFERROR(I128*HSTECH!$B$19*HSTECH!$G$19/HSTECH!$B$3,""))</f>
        <v/>
      </c>
      <c r="BX128" s="106">
        <f>IF(J128="","",IFERROR(J128*HSTECH!$B$19*HSTECH!$G$19/HSTECH!$B$3,""))</f>
        <v/>
      </c>
      <c r="BY128" s="106">
        <f>IF(K128="","",IFERROR(K128*HSTECH!$B$19*HSTECH!$G$19/HSTECH!$B$3,""))</f>
        <v/>
      </c>
      <c r="BZ128" s="106">
        <f>IF(L128="","",IFERROR(L128*HSTECH!$B$19*HSTECH!$G$19/HSTECH!$B$3,""))</f>
        <v/>
      </c>
      <c r="CA128" s="106">
        <f>IF(M128="","",IFERROR(M128*HSTECH!$B$19*HSTECH!$G$19/HSTECH!$B$3,""))</f>
        <v/>
      </c>
      <c r="CB128" s="106">
        <f>IF(N128="","",IFERROR(N128*HSTECH!$B$19*HSTECH!$G$19/HSTECH!$B$3,""))</f>
        <v/>
      </c>
      <c r="CC128" s="106">
        <f>IF(O128="","",IFERROR(O128*HSTECH!$B$19*HSTECH!$G$19/HSTECH!$B$3,""))</f>
        <v/>
      </c>
      <c r="CD128" s="106">
        <f>IF(P128="","",IFERROR(P128*HSTECH!$B$19*HSTECH!$G$19/HSTECH!$B$3,""))</f>
        <v/>
      </c>
      <c r="CE128" s="106">
        <f>IF(Q128="","",IFERROR(Q128*HSTECH!$B$19*HSTECH!$G$19/HSTECH!$B$3,""))</f>
        <v/>
      </c>
      <c r="CF128" s="106">
        <f>IF(R128="","",IFERROR(R128*HSTECH!$B$19*HSTECH!$G$19/HSTECH!$B$3,""))</f>
        <v/>
      </c>
      <c r="CG128" s="106">
        <f>IF(S128="","",IFERROR(S128*HSTECH!$B$19*HSTECH!$G$19/HSTECH!$B$3,""))</f>
        <v/>
      </c>
      <c r="CH128" s="106">
        <f>IF(T128="","",IFERROR(T128*HSTECH!$B$19*HSTECH!$G$19/HSTECH!$B$3,""))</f>
        <v/>
      </c>
      <c r="CI128" s="106">
        <f>IF(U128="","",IFERROR(U128*HSTECH!$B$19*HSTECH!$G$19/HSTECH!$B$3,""))</f>
        <v/>
      </c>
      <c r="CJ128" s="106">
        <f>IF(V128="","",IFERROR(V128*HSTECH!$B$19*HSTECH!$G$19/HSTECH!$B$3,""))</f>
        <v/>
      </c>
      <c r="CK128" s="106">
        <f>IF(W128="","",IFERROR(W128*HSTECH!$B$19*HSTECH!$G$19/HSTECH!$B$3,""))</f>
        <v/>
      </c>
      <c r="CL128" s="106">
        <f>IF(X128="","",IFERROR(X128*HSTECH!$B$19*HSTECH!$G$19/HSTECH!$B$3,""))</f>
        <v/>
      </c>
      <c r="CM128" s="106">
        <f>IF(Y128="","",IFERROR(Y128*HSTECH!$B$19*HSTECH!$G$19/HSTECH!$B$3,""))</f>
        <v/>
      </c>
      <c r="CN128" s="106">
        <f>IF(Z128="","",IFERROR(Z128*HSTECH!$B$19*HSTECH!$G$19/HSTECH!$B$3,""))</f>
        <v/>
      </c>
      <c r="CO128" s="106">
        <f>IF(AA128="","",IFERROR(AA128*HSTECH!$B$19*HSTECH!$G$19/HSTECH!$B$3,""))</f>
        <v/>
      </c>
      <c r="CP128" s="106">
        <f>IF(AB128="","",IFERROR(AB128*HSTECH!$B$19*HSTECH!$G$19/HSTECH!$B$3,""))</f>
        <v/>
      </c>
      <c r="CQ128" s="106">
        <f>IF(AC128="","",IFERROR(AC128*HSTECH!$B$19*HSTECH!$G$19/HSTECH!$B$3,""))</f>
        <v/>
      </c>
      <c r="CR128" s="106">
        <f>IF(AD128="","",IFERROR(AD128*HSTECH!$B$19*HSTECH!$G$19/HSTECH!$B$3,""))</f>
        <v/>
      </c>
      <c r="CS128" s="106">
        <f>IF(AE128="","",IFERROR(AE128*HSTECH!$B$19*HSTECH!$G$19/HSTECH!$B$3,""))</f>
        <v/>
      </c>
      <c r="CT128" s="106">
        <f>IF(AF128="","",IFERROR(AF128*HSTECH!$B$19*HSTECH!$G$19/HSTECH!$B$3,""))</f>
        <v/>
      </c>
      <c r="CU128" s="106">
        <f>IF(AG128="","",IFERROR(AG128*HSTECH!$B$19*HSTECH!$G$19/HSTECH!$B$3,""))</f>
        <v/>
      </c>
      <c r="CV128" s="106">
        <f>IF(AH128="","",IFERROR(AH128*HSTECH!$B$19*HSTECH!$G$19/HSTECH!$B$3,""))</f>
        <v/>
      </c>
      <c r="CW128" s="106">
        <f>IF(AI128="","",IFERROR(AI128*HSTECH!$B$19*HSTECH!$G$19/HSTECH!$B$3,""))</f>
        <v/>
      </c>
      <c r="CX128" s="106">
        <f>IF(AJ128="","",IFERROR(AJ128*HSTECH!$B$19*HSTECH!$G$19/HSTECH!$B$3,""))</f>
        <v/>
      </c>
      <c r="CY128" s="106">
        <f>IF(AK128="","",IFERROR(AK128*HSTECH!$B$19*HSTECH!$G$19/HSTECH!$B$3,""))</f>
        <v/>
      </c>
      <c r="CZ128" s="106">
        <f>IF(AL128="","",IFERROR(AL128*HSTECH!$B$19*HSTECH!$G$19/HSTECH!$B$3,""))</f>
        <v/>
      </c>
      <c r="DA128" s="106">
        <f>IF(AM128="","",IFERROR(AM128*HSTECH!$B$19*HSTECH!$G$19/HSTECH!$B$3,""))</f>
        <v/>
      </c>
      <c r="DB128" s="106">
        <f>IF(AN128="","",IFERROR(AN128*HSTECH!$B$19*HSTECH!$G$19/HSTECH!$B$3,""))</f>
        <v/>
      </c>
      <c r="DC128" s="106">
        <f>IF(AO128="","",IFERROR(AO128*HSTECH!$B$19*HSTECH!$G$19/HSTECH!$B$3,""))</f>
        <v/>
      </c>
      <c r="DD128" s="106">
        <f>IF(AP128="","",IFERROR(AP128*HSTECH!$B$19*HSTECH!$G$19/HSTECH!$B$3,""))</f>
        <v/>
      </c>
      <c r="DE128" s="106">
        <f>IF(AQ128="","",IFERROR(AQ128*HSTECH!$B$19*HSTECH!$G$19/HSTECH!$B$3,""))</f>
        <v/>
      </c>
      <c r="DF128" s="106">
        <f>IF(AR128="","",IFERROR(AR128*HSTECH!$B$19*HSTECH!$G$19/HSTECH!$B$3,""))</f>
        <v/>
      </c>
      <c r="DG128" s="106">
        <f>IF(AS128="","",IFERROR(AS128*HSTECH!$B$19*HSTECH!$G$19/HSTECH!$B$3,""))</f>
        <v/>
      </c>
      <c r="DH128" s="106">
        <f>IF(AT128="","",IFERROR(AT128*HSTECH!$B$19*HSTECH!$G$19/HSTECH!$B$3,""))</f>
        <v/>
      </c>
      <c r="DI128" s="106">
        <f>IF(AU128="","",IFERROR(AU128*HSTECH!$B$19*HSTECH!$G$19/HSTECH!$B$3,""))</f>
        <v/>
      </c>
      <c r="DJ128" s="106">
        <f>IF(AV128="","",IFERROR(AV128*HSTECH!$B$19*HSTECH!$G$19/HSTECH!$B$3,""))</f>
        <v/>
      </c>
      <c r="DK128" s="106">
        <f>IF(AW128="","",IFERROR(AW128*HSTECH!$B$19*HSTECH!$G$19/HSTECH!$B$3,""))</f>
        <v/>
      </c>
      <c r="DL128" s="106">
        <f>IF(AX128="","",IFERROR(AX128*HSTECH!$B$19*HSTECH!$G$19/HSTECH!$B$3,""))</f>
        <v/>
      </c>
      <c r="DM128" s="106">
        <f>IF(AY128="","",IFERROR(AY128*HSTECH!$B$19*HSTECH!$G$19/HSTECH!$B$3,""))</f>
        <v/>
      </c>
      <c r="DN128" s="106">
        <f>IF(AZ128="","",IFERROR(AZ128*HSTECH!$B$19*HSTECH!$G$19/HSTECH!$B$3,""))</f>
        <v/>
      </c>
      <c r="DO128" s="106">
        <f>IF(BA128="","",IFERROR(BA128*HSTECH!$B$19*HSTECH!$G$19/HSTECH!$B$3,""))</f>
        <v/>
      </c>
      <c r="DP128" s="106">
        <f>IF(BB128="","",IFERROR(BB128*HSTECH!$B$19*HSTECH!$G$19/HSTECH!$B$3,""))</f>
        <v/>
      </c>
      <c r="DQ128" s="106">
        <f>IF(BC128="","",IFERROR(BC128*HSTECH!$B$19*HSTECH!$G$19/HSTECH!$B$3,""))</f>
        <v/>
      </c>
      <c r="DR128" s="106">
        <f>IF(BD128="","",IFERROR(BD128*HSTECH!$B$19*HSTECH!$G$19/HSTECH!$B$3,""))</f>
        <v/>
      </c>
      <c r="DS128" s="106">
        <f>IF(BE128="","",IFERROR(BE128*HSTECH!$B$19*HSTECH!$G$19/HSTECH!$B$3,""))</f>
        <v/>
      </c>
      <c r="DT128" s="106">
        <f>IF(BF128="","",IFERROR(BF128*HSTECH!$B$19*HSTECH!$G$19/HSTECH!$B$3,""))</f>
        <v/>
      </c>
      <c r="DU128" s="106">
        <f>IF(BG128="","",IFERROR(BG128*HSTECH!$B$19*HSTECH!$G$19/HSTECH!$B$3,""))</f>
        <v/>
      </c>
      <c r="DV128" s="106">
        <f>IF(BH128="","",IFERROR(BH128*HSTECH!$B$19*HSTECH!$G$19/HSTECH!$B$3,""))</f>
        <v/>
      </c>
      <c r="DW128" s="106">
        <f>IF(BI128="","",IFERROR(BI128*HSTECH!$B$19*HSTECH!$G$19/HSTECH!$B$3,""))</f>
        <v/>
      </c>
      <c r="DX128" s="106">
        <f>IF(BJ128="","",IFERROR(BJ128*HSTECH!$B$19*HSTECH!$G$19/HSTECH!$B$3,""))</f>
        <v/>
      </c>
      <c r="DY128" s="106">
        <f>IF(BK128="","",IFERROR(BK128*HSTECH!$B$19*HSTECH!$G$19/HSTECH!$B$3,""))</f>
        <v/>
      </c>
      <c r="DZ128" s="106">
        <f>IF(BL128="","",IFERROR(BL128*HSTECH!$B$19*HSTECH!$G$19/HSTECH!$B$3,""))</f>
        <v/>
      </c>
      <c r="EA128" s="106">
        <f>IF(BM128="","",IFERROR(BM128*HSTECH!$B$19*HSTECH!$G$19/HSTECH!$B$3,""))</f>
        <v/>
      </c>
      <c r="EB128" s="106">
        <f>IF(BN128="","",IFERROR(BN128*HSTECH!$B$19*HSTECH!$G$19/HSTECH!$B$3,""))</f>
        <v/>
      </c>
      <c r="EC128" s="106">
        <f>IF(BO128="","",IFERROR(BO128*HSTECH!$B$19*HSTECH!$G$19/HSTECH!$B$3,""))</f>
        <v/>
      </c>
      <c r="EE128" s="35">
        <f>IF(N('Dvd Calendar'!$E$1248)=0,"",IF(('Dvd Calendar'!$E$1248&gt;=GRID_FROM)*('Dvd Calendar'!$E$1248&lt;=GRID_TO)*('Dvd Calendar'!$E$1248&lt;=VAL_DATE)=0,"",'Dvd Calendar'!$E$1248*1000000000+ISNUMBER('Dvd Calendar'!$E$1251)*100000000+('Dvd Calendar'!$E$1253=SPECIAL_LBL)*10000000+0*1000000+13*1000+1))</f>
        <v/>
      </c>
      <c r="EF128" s="35">
        <f>IF(N('Dvd Calendar'!$F$1248)=0,"",IF(('Dvd Calendar'!$F$1248&gt;=GRID_FROM)*('Dvd Calendar'!$F$1248&lt;=GRID_TO)*('Dvd Calendar'!$F$1248&lt;=VAL_DATE)=0,"",'Dvd Calendar'!$F$1248*1000000000+ISNUMBER('Dvd Calendar'!$F$1251)*100000000+('Dvd Calendar'!$F$1253=SPECIAL_LBL)*10000000+0*1000000+13*1000+2))</f>
        <v/>
      </c>
      <c r="EG128" s="35">
        <f>IF(N('Dvd Calendar'!$G$1248)=0,"",IF(('Dvd Calendar'!$G$1248&gt;=GRID_FROM)*('Dvd Calendar'!$G$1248&lt;=GRID_TO)*('Dvd Calendar'!$G$1248&lt;=VAL_DATE)=0,"",'Dvd Calendar'!$G$1248*1000000000+ISNUMBER('Dvd Calendar'!$G$1251)*100000000+('Dvd Calendar'!$G$1253=SPECIAL_LBL)*10000000+0*1000000+13*1000+3))</f>
        <v/>
      </c>
      <c r="EH128" s="35">
        <f>IF(N('Dvd Calendar'!$H$1248)=0,"",IF(('Dvd Calendar'!$H$1248&gt;=GRID_FROM)*('Dvd Calendar'!$H$1248&lt;=GRID_TO)*('Dvd Calendar'!$H$1248&lt;=VAL_DATE)=0,"",'Dvd Calendar'!$H$1248*1000000000+ISNUMBER('Dvd Calendar'!$H$1251)*100000000+('Dvd Calendar'!$H$1253=SPECIAL_LBL)*10000000+0*1000000+13*1000+4))</f>
        <v/>
      </c>
      <c r="EI128" s="35">
        <f>IF(N('Dvd Calendar'!$I$1248)=0,"",IF(('Dvd Calendar'!$I$1248&gt;=GRID_FROM)*('Dvd Calendar'!$I$1248&lt;=GRID_TO)*('Dvd Calendar'!$I$1248&lt;=VAL_DATE)=0,"",'Dvd Calendar'!$I$1248*1000000000+ISNUMBER('Dvd Calendar'!$I$1251)*100000000+('Dvd Calendar'!$I$1253=SPECIAL_LBL)*10000000+0*1000000+13*1000+5))</f>
        <v/>
      </c>
      <c r="EJ128" s="35">
        <f>IF(N('Dvd Calendar'!$J$1248)=0,"",IF(('Dvd Calendar'!$J$1248&gt;=GRID_FROM)*('Dvd Calendar'!$J$1248&lt;=GRID_TO)*('Dvd Calendar'!$J$1248&lt;=VAL_DATE)=0,"",'Dvd Calendar'!$J$1248*1000000000+ISNUMBER('Dvd Calendar'!$J$1251)*100000000+('Dvd Calendar'!$J$1253=SPECIAL_LBL)*10000000+0*1000000+13*1000+6))</f>
        <v/>
      </c>
      <c r="EK128" s="35">
        <f>IF(N('Dvd Calendar'!$K$1248)=0,"",IF(('Dvd Calendar'!$K$1248&gt;=GRID_FROM)*('Dvd Calendar'!$K$1248&lt;=GRID_TO)*('Dvd Calendar'!$K$1248&lt;=VAL_DATE)=0,"",'Dvd Calendar'!$K$1248*1000000000+ISNUMBER('Dvd Calendar'!$K$1251)*100000000+('Dvd Calendar'!$K$1253=SPECIAL_LBL)*10000000+0*1000000+13*1000+7))</f>
        <v/>
      </c>
      <c r="EL128" s="35">
        <f>IF(N('Dvd Calendar'!$L$1248)=0,"",IF(('Dvd Calendar'!$L$1248&gt;=GRID_FROM)*('Dvd Calendar'!$L$1248&lt;=GRID_TO)*('Dvd Calendar'!$L$1248&lt;=VAL_DATE)=0,"",'Dvd Calendar'!$L$1248*1000000000+ISNUMBER('Dvd Calendar'!$L$1251)*100000000+('Dvd Calendar'!$L$1253=SPECIAL_LBL)*10000000+0*1000000+13*1000+8))</f>
        <v/>
      </c>
      <c r="EM128" s="35">
        <f>IF(N('Dvd Calendar'!$M$1248)=0,"",IF(('Dvd Calendar'!$M$1248&gt;=GRID_FROM)*('Dvd Calendar'!$M$1248&lt;=GRID_TO)*('Dvd Calendar'!$M$1248&lt;=VAL_DATE)=0,"",'Dvd Calendar'!$M$1248*1000000000+ISNUMBER('Dvd Calendar'!$M$1251)*100000000+('Dvd Calendar'!$M$1253=SPECIAL_LBL)*10000000+0*1000000+13*1000+9))</f>
        <v/>
      </c>
      <c r="EN128" s="35">
        <f>IF(N('Dvd Calendar'!$N$1248)=0,"",IF(('Dvd Calendar'!$N$1248&gt;=GRID_FROM)*('Dvd Calendar'!$N$1248&lt;=GRID_TO)*('Dvd Calendar'!$N$1248&lt;=VAL_DATE)=0,"",'Dvd Calendar'!$N$1248*1000000000+ISNUMBER('Dvd Calendar'!$N$1251)*100000000+('Dvd Calendar'!$N$1253=SPECIAL_LBL)*10000000+0*1000000+13*1000+10))</f>
        <v/>
      </c>
      <c r="EO128" s="35">
        <f>IF(N('Dvd Calendar'!$O$1248)=0,"",IF(('Dvd Calendar'!$O$1248&gt;=GRID_FROM)*('Dvd Calendar'!$O$1248&lt;=GRID_TO)*('Dvd Calendar'!$O$1248&lt;=VAL_DATE)=0,"",'Dvd Calendar'!$O$1248*1000000000+ISNUMBER('Dvd Calendar'!$O$1251)*100000000+('Dvd Calendar'!$O$1253=SPECIAL_LBL)*10000000+0*1000000+13*1000+11))</f>
        <v/>
      </c>
      <c r="EP128" s="35">
        <f>IF(N('Dvd Calendar'!$P$1248)=0,"",IF(('Dvd Calendar'!$P$1248&gt;=GRID_FROM)*('Dvd Calendar'!$P$1248&lt;=GRID_TO)*('Dvd Calendar'!$P$1248&lt;=VAL_DATE)=0,"",'Dvd Calendar'!$P$1248*1000000000+ISNUMBER('Dvd Calendar'!$P$1251)*100000000+('Dvd Calendar'!$P$1253=SPECIAL_LBL)*10000000+0*1000000+13*1000+12))</f>
        <v/>
      </c>
      <c r="EQ128" s="35">
        <f>IF(N('Dvd Calendar'!$Q$1248)=0,"",IF(('Dvd Calendar'!$Q$1248&gt;=GRID_FROM)*('Dvd Calendar'!$Q$1248&lt;=GRID_TO)*('Dvd Calendar'!$Q$1248&lt;=VAL_DATE)=0,"",'Dvd Calendar'!$Q$1248*1000000000+ISNUMBER('Dvd Calendar'!$Q$1251)*100000000+('Dvd Calendar'!$Q$1253=SPECIAL_LBL)*10000000+0*1000000+13*1000+13))</f>
        <v/>
      </c>
      <c r="ER128" s="35">
        <f>IF(N('Dvd Calendar'!$R$1248)=0,"",IF(('Dvd Calendar'!$R$1248&gt;=GRID_FROM)*('Dvd Calendar'!$R$1248&lt;=GRID_TO)*('Dvd Calendar'!$R$1248&lt;=VAL_DATE)=0,"",'Dvd Calendar'!$R$1248*1000000000+ISNUMBER('Dvd Calendar'!$R$1251)*100000000+('Dvd Calendar'!$R$1253=SPECIAL_LBL)*10000000+0*1000000+13*1000+14))</f>
        <v/>
      </c>
      <c r="ES128" s="35">
        <f>IF(N('Dvd Calendar'!$S$1248)=0,"",IF(('Dvd Calendar'!$S$1248&gt;=GRID_FROM)*('Dvd Calendar'!$S$1248&lt;=GRID_TO)*('Dvd Calendar'!$S$1248&lt;=VAL_DATE)=0,"",'Dvd Calendar'!$S$1248*1000000000+ISNUMBER('Dvd Calendar'!$S$1251)*100000000+('Dvd Calendar'!$S$1253=SPECIAL_LBL)*10000000+0*1000000+13*1000+15))</f>
        <v/>
      </c>
      <c r="ET128" s="35">
        <f>IF(N('Dvd Calendar'!$T$1248)=0,"",IF(('Dvd Calendar'!$T$1248&gt;=GRID_FROM)*('Dvd Calendar'!$T$1248&lt;=GRID_TO)*('Dvd Calendar'!$T$1248&lt;=VAL_DATE)=0,"",'Dvd Calendar'!$T$1248*1000000000+ISNUMBER('Dvd Calendar'!$T$1251)*100000000+('Dvd Calendar'!$T$1253=SPECIAL_LBL)*10000000+0*1000000+13*1000+16))</f>
        <v/>
      </c>
      <c r="EU128" s="35">
        <f>IF(N('Dvd Calendar'!$U$1248)=0,"",IF(('Dvd Calendar'!$U$1248&gt;=GRID_FROM)*('Dvd Calendar'!$U$1248&lt;=GRID_TO)*('Dvd Calendar'!$U$1248&lt;=VAL_DATE)=0,"",'Dvd Calendar'!$U$1248*1000000000+ISNUMBER('Dvd Calendar'!$U$1251)*100000000+('Dvd Calendar'!$U$1253=SPECIAL_LBL)*10000000+0*1000000+13*1000+17))</f>
        <v/>
      </c>
      <c r="EV128" s="35">
        <f>IF(N('Dvd Calendar'!$V$1248)=0,"",IF(('Dvd Calendar'!$V$1248&gt;=GRID_FROM)*('Dvd Calendar'!$V$1248&lt;=GRID_TO)*('Dvd Calendar'!$V$1248&lt;=VAL_DATE)=0,"",'Dvd Calendar'!$V$1248*1000000000+ISNUMBER('Dvd Calendar'!$V$1251)*100000000+('Dvd Calendar'!$V$1253=SPECIAL_LBL)*10000000+0*1000000+13*1000+18))</f>
        <v/>
      </c>
      <c r="EW128" s="35">
        <f>IF(N('Dvd Calendar'!$W$1248)=0,"",IF(('Dvd Calendar'!$W$1248&gt;=GRID_FROM)*('Dvd Calendar'!$W$1248&lt;=GRID_TO)*('Dvd Calendar'!$W$1248&lt;=VAL_DATE)=0,"",'Dvd Calendar'!$W$1248*1000000000+ISNUMBER('Dvd Calendar'!$W$1251)*100000000+('Dvd Calendar'!$W$1253=SPECIAL_LBL)*10000000+0*1000000+13*1000+19))</f>
        <v/>
      </c>
      <c r="EX128" s="35">
        <f>IF(N('Dvd Calendar'!$X$1248)=0,"",IF(('Dvd Calendar'!$X$1248&gt;=GRID_FROM)*('Dvd Calendar'!$X$1248&lt;=GRID_TO)*('Dvd Calendar'!$X$1248&lt;=VAL_DATE)=0,"",'Dvd Calendar'!$X$1248*1000000000+ISNUMBER('Dvd Calendar'!$X$1251)*100000000+('Dvd Calendar'!$X$1253=SPECIAL_LBL)*10000000+0*1000000+13*1000+20))</f>
        <v/>
      </c>
      <c r="EY128" s="35">
        <f>IF(N('Dvd Calendar'!$Y$1248)=0,"",IF(('Dvd Calendar'!$Y$1248&gt;=GRID_FROM)*('Dvd Calendar'!$Y$1248&lt;=GRID_TO)*('Dvd Calendar'!$Y$1248&lt;=VAL_DATE)=0,"",'Dvd Calendar'!$Y$1248*1000000000+ISNUMBER('Dvd Calendar'!$Y$1251)*100000000+('Dvd Calendar'!$Y$1253=SPECIAL_LBL)*10000000+0*1000000+13*1000+21))</f>
        <v/>
      </c>
      <c r="EZ128" s="35">
        <f>IF(N('Dvd Calendar'!$Z$1248)=0,"",IF(('Dvd Calendar'!$Z$1248&gt;=GRID_FROM)*('Dvd Calendar'!$Z$1248&lt;=GRID_TO)*('Dvd Calendar'!$Z$1248&lt;=VAL_DATE)=0,"",'Dvd Calendar'!$Z$1248*1000000000+ISNUMBER('Dvd Calendar'!$Z$1251)*100000000+('Dvd Calendar'!$Z$1253=SPECIAL_LBL)*10000000+0*1000000+13*1000+22))</f>
        <v/>
      </c>
      <c r="FA128" s="35">
        <f>IF(N('Dvd Calendar'!$AA$1248)=0,"",IF(('Dvd Calendar'!$AA$1248&gt;=GRID_FROM)*('Dvd Calendar'!$AA$1248&lt;=GRID_TO)*('Dvd Calendar'!$AA$1248&lt;=VAL_DATE)=0,"",'Dvd Calendar'!$AA$1248*1000000000+ISNUMBER('Dvd Calendar'!$AA$1251)*100000000+('Dvd Calendar'!$AA$1253=SPECIAL_LBL)*10000000+0*1000000+13*1000+23))</f>
        <v/>
      </c>
      <c r="FB128" s="35">
        <f>IF(N('Dvd Calendar'!$AB$1248)=0,"",IF(('Dvd Calendar'!$AB$1248&gt;=GRID_FROM)*('Dvd Calendar'!$AB$1248&lt;=GRID_TO)*('Dvd Calendar'!$AB$1248&lt;=VAL_DATE)=0,"",'Dvd Calendar'!$AB$1248*1000000000+ISNUMBER('Dvd Calendar'!$AB$1251)*100000000+('Dvd Calendar'!$AB$1253=SPECIAL_LBL)*10000000+0*1000000+13*1000+24))</f>
        <v/>
      </c>
      <c r="FC128" s="35">
        <f>IF(N('Dvd Calendar'!$AC$1248)=0,"",IF(('Dvd Calendar'!$AC$1248&gt;=GRID_FROM)*('Dvd Calendar'!$AC$1248&lt;=GRID_TO)*('Dvd Calendar'!$AC$1248&lt;=VAL_DATE)=0,"",'Dvd Calendar'!$AC$1248*1000000000+ISNUMBER('Dvd Calendar'!$AC$1251)*100000000+('Dvd Calendar'!$AC$1253=SPECIAL_LBL)*10000000+0*1000000+13*1000+25))</f>
        <v/>
      </c>
      <c r="FD128" s="35">
        <f>IF(N('Dvd Calendar'!$AD$1248)=0,"",IF(('Dvd Calendar'!$AD$1248&gt;=GRID_FROM)*('Dvd Calendar'!$AD$1248&lt;=GRID_TO)*('Dvd Calendar'!$AD$1248&lt;=VAL_DATE)=0,"",'Dvd Calendar'!$AD$1248*1000000000+ISNUMBER('Dvd Calendar'!$AD$1251)*100000000+('Dvd Calendar'!$AD$1253=SPECIAL_LBL)*10000000+0*1000000+13*1000+26))</f>
        <v/>
      </c>
      <c r="FE128" s="35">
        <f>IF(N('Dvd Calendar'!$AE$1248)=0,"",IF(('Dvd Calendar'!$AE$1248&gt;=GRID_FROM)*('Dvd Calendar'!$AE$1248&lt;=GRID_TO)*('Dvd Calendar'!$AE$1248&lt;=VAL_DATE)=0,"",'Dvd Calendar'!$AE$1248*1000000000+ISNUMBER('Dvd Calendar'!$AE$1251)*100000000+('Dvd Calendar'!$AE$1253=SPECIAL_LBL)*10000000+0*1000000+13*1000+27))</f>
        <v/>
      </c>
      <c r="FF128" s="35">
        <f>IF(N('Dvd Calendar'!$AF$1248)=0,"",IF(('Dvd Calendar'!$AF$1248&gt;=GRID_FROM)*('Dvd Calendar'!$AF$1248&lt;=GRID_TO)*('Dvd Calendar'!$AF$1248&lt;=VAL_DATE)=0,"",'Dvd Calendar'!$AF$1248*1000000000+ISNUMBER('Dvd Calendar'!$AF$1251)*100000000+('Dvd Calendar'!$AF$1253=SPECIAL_LBL)*10000000+0*1000000+13*1000+28))</f>
        <v/>
      </c>
      <c r="FG128" s="35">
        <f>IF(N('Dvd Calendar'!$AG$1248)=0,"",IF(('Dvd Calendar'!$AG$1248&gt;=GRID_FROM)*('Dvd Calendar'!$AG$1248&lt;=GRID_TO)*('Dvd Calendar'!$AG$1248&lt;=VAL_DATE)=0,"",'Dvd Calendar'!$AG$1248*1000000000+ISNUMBER('Dvd Calendar'!$AG$1251)*100000000+('Dvd Calendar'!$AG$1253=SPECIAL_LBL)*10000000+0*1000000+13*1000+29))</f>
        <v/>
      </c>
      <c r="FH128" s="35">
        <f>IF(N('Dvd Calendar'!$AH$1248)=0,"",IF(('Dvd Calendar'!$AH$1248&gt;=GRID_FROM)*('Dvd Calendar'!$AH$1248&lt;=GRID_TO)*('Dvd Calendar'!$AH$1248&lt;=VAL_DATE)=0,"",'Dvd Calendar'!$AH$1248*1000000000+ISNUMBER('Dvd Calendar'!$AH$1251)*100000000+('Dvd Calendar'!$AH$1253=SPECIAL_LBL)*10000000+0*1000000+13*1000+30))</f>
        <v/>
      </c>
      <c r="FI128" s="35">
        <f>IF(N('Dvd Calendar'!$AI$1248)=0,"",IF(('Dvd Calendar'!$AI$1248&gt;=GRID_FROM)*('Dvd Calendar'!$AI$1248&lt;=GRID_TO)*('Dvd Calendar'!$AI$1248&lt;=VAL_DATE)=0,"",'Dvd Calendar'!$AI$1248*1000000000+ISNUMBER('Dvd Calendar'!$AI$1251)*100000000+('Dvd Calendar'!$AI$1253=SPECIAL_LBL)*10000000+0*1000000+13*1000+31))</f>
        <v/>
      </c>
      <c r="FJ128" s="35">
        <f>IF(N('Dvd Calendar'!$AJ$1248)=0,"",IF(('Dvd Calendar'!$AJ$1248&gt;=GRID_FROM)*('Dvd Calendar'!$AJ$1248&lt;=GRID_TO)*('Dvd Calendar'!$AJ$1248&lt;=VAL_DATE)=0,"",'Dvd Calendar'!$AJ$1248*1000000000+ISNUMBER('Dvd Calendar'!$AJ$1251)*100000000+('Dvd Calendar'!$AJ$1253=SPECIAL_LBL)*10000000+0*1000000+13*1000+32))</f>
        <v/>
      </c>
      <c r="FK128" s="35">
        <f>IF(N('Dvd Calendar'!$AK$1248)=0,"",IF(('Dvd Calendar'!$AK$1248&gt;=GRID_FROM)*('Dvd Calendar'!$AK$1248&lt;=GRID_TO)*('Dvd Calendar'!$AK$1248&lt;=VAL_DATE)=0,"",'Dvd Calendar'!$AK$1248*1000000000+ISNUMBER('Dvd Calendar'!$AK$1251)*100000000+('Dvd Calendar'!$AK$1253=SPECIAL_LBL)*10000000+0*1000000+13*1000+33))</f>
        <v/>
      </c>
      <c r="FL128" s="35">
        <f>IF(N('Dvd Calendar'!$AL$1248)=0,"",IF(('Dvd Calendar'!$AL$1248&gt;=GRID_FROM)*('Dvd Calendar'!$AL$1248&lt;=GRID_TO)*('Dvd Calendar'!$AL$1248&lt;=VAL_DATE)=0,"",'Dvd Calendar'!$AL$1248*1000000000+ISNUMBER('Dvd Calendar'!$AL$1251)*100000000+('Dvd Calendar'!$AL$1253=SPECIAL_LBL)*10000000+0*1000000+13*1000+34))</f>
        <v/>
      </c>
      <c r="FM128" s="35">
        <f>IF(N('Dvd Calendar'!$AM$1248)=0,"",IF(('Dvd Calendar'!$AM$1248&gt;=GRID_FROM)*('Dvd Calendar'!$AM$1248&lt;=GRID_TO)*('Dvd Calendar'!$AM$1248&lt;=VAL_DATE)=0,"",'Dvd Calendar'!$AM$1248*1000000000+ISNUMBER('Dvd Calendar'!$AM$1251)*100000000+('Dvd Calendar'!$AM$1253=SPECIAL_LBL)*10000000+0*1000000+13*1000+35))</f>
        <v/>
      </c>
      <c r="FN128" s="35">
        <f>IF(N('Dvd Calendar'!$AN$1248)=0,"",IF(('Dvd Calendar'!$AN$1248&gt;=GRID_FROM)*('Dvd Calendar'!$AN$1248&lt;=GRID_TO)*('Dvd Calendar'!$AN$1248&lt;=VAL_DATE)=0,"",'Dvd Calendar'!$AN$1248*1000000000+ISNUMBER('Dvd Calendar'!$AN$1251)*100000000+('Dvd Calendar'!$AN$1253=SPECIAL_LBL)*10000000+0*1000000+13*1000+36))</f>
        <v/>
      </c>
      <c r="FO128" s="35">
        <f>IF(N('Dvd Calendar'!$AO$1248)=0,"",IF(('Dvd Calendar'!$AO$1248&gt;=GRID_FROM)*('Dvd Calendar'!$AO$1248&lt;=GRID_TO)*('Dvd Calendar'!$AO$1248&lt;=VAL_DATE)=0,"",'Dvd Calendar'!$AO$1248*1000000000+ISNUMBER('Dvd Calendar'!$AO$1251)*100000000+('Dvd Calendar'!$AO$1253=SPECIAL_LBL)*10000000+0*1000000+13*1000+37))</f>
        <v/>
      </c>
      <c r="FP128" s="35">
        <f>IF(N('Dvd Calendar'!$AP$1248)=0,"",IF(('Dvd Calendar'!$AP$1248&gt;=GRID_FROM)*('Dvd Calendar'!$AP$1248&lt;=GRID_TO)*('Dvd Calendar'!$AP$1248&lt;=VAL_DATE)=0,"",'Dvd Calendar'!$AP$1248*1000000000+ISNUMBER('Dvd Calendar'!$AP$1251)*100000000+('Dvd Calendar'!$AP$1253=SPECIAL_LBL)*10000000+0*1000000+13*1000+38))</f>
        <v/>
      </c>
      <c r="FQ128" s="35">
        <f>IF(N('Dvd Calendar'!$AQ$1248)=0,"",IF(('Dvd Calendar'!$AQ$1248&gt;=GRID_FROM)*('Dvd Calendar'!$AQ$1248&lt;=GRID_TO)*('Dvd Calendar'!$AQ$1248&lt;=VAL_DATE)=0,"",'Dvd Calendar'!$AQ$1248*1000000000+ISNUMBER('Dvd Calendar'!$AQ$1251)*100000000+('Dvd Calendar'!$AQ$1253=SPECIAL_LBL)*10000000+0*1000000+13*1000+39))</f>
        <v/>
      </c>
      <c r="FR128" s="35">
        <f>IF(N('Dvd Calendar'!$AR$1248)=0,"",IF(('Dvd Calendar'!$AR$1248&gt;=GRID_FROM)*('Dvd Calendar'!$AR$1248&lt;=GRID_TO)*('Dvd Calendar'!$AR$1248&lt;=VAL_DATE)=0,"",'Dvd Calendar'!$AR$1248*1000000000+ISNUMBER('Dvd Calendar'!$AR$1251)*100000000+('Dvd Calendar'!$AR$1253=SPECIAL_LBL)*10000000+0*1000000+13*1000+40))</f>
        <v/>
      </c>
      <c r="FS128" s="35">
        <f>IF(N('Dvd Calendar'!$E$1255)=0,"",IF(('Dvd Calendar'!$E$1255&gt;=GRID_FROM)*('Dvd Calendar'!$E$1255&lt;=GRID_TO)*('Dvd Calendar'!$E$1255&gt;VAL_DATE)=0,"",'Dvd Calendar'!$E$1255*1000000000+ISNUMBER('Dvd Calendar'!$E$1256)*100000000+0*10000000+(N('Dvd Calendar'!$E$1254)&gt;0)*(N('Dvd Calendar'!$E$1254)&lt;=VAL_SERIAL)*1000000+13*1000+41))</f>
        <v/>
      </c>
      <c r="FT128" s="35">
        <f>IF(N('Dvd Calendar'!$F$1255)=0,"",IF(('Dvd Calendar'!$F$1255&gt;=GRID_FROM)*('Dvd Calendar'!$F$1255&lt;=GRID_TO)*('Dvd Calendar'!$F$1255&gt;VAL_DATE)=0,"",'Dvd Calendar'!$F$1255*1000000000+ISNUMBER('Dvd Calendar'!$F$1256)*100000000+0*10000000+(N('Dvd Calendar'!$F$1254)&gt;0)*(N('Dvd Calendar'!$F$1254)&lt;=VAL_SERIAL)*1000000+13*1000+42))</f>
        <v/>
      </c>
      <c r="FU128" s="35">
        <f>IF(N('Dvd Calendar'!$G$1255)=0,"",IF(('Dvd Calendar'!$G$1255&gt;=GRID_FROM)*('Dvd Calendar'!$G$1255&lt;=GRID_TO)*('Dvd Calendar'!$G$1255&gt;VAL_DATE)=0,"",'Dvd Calendar'!$G$1255*1000000000+ISNUMBER('Dvd Calendar'!$G$1256)*100000000+0*10000000+(N('Dvd Calendar'!$G$1254)&gt;0)*(N('Dvd Calendar'!$G$1254)&lt;=VAL_SERIAL)*1000000+13*1000+43))</f>
        <v/>
      </c>
      <c r="FV128" s="35">
        <f>IF(N('Dvd Calendar'!$H$1255)=0,"",IF(('Dvd Calendar'!$H$1255&gt;=GRID_FROM)*('Dvd Calendar'!$H$1255&lt;=GRID_TO)*('Dvd Calendar'!$H$1255&gt;VAL_DATE)=0,"",'Dvd Calendar'!$H$1255*1000000000+ISNUMBER('Dvd Calendar'!$H$1256)*100000000+0*10000000+(N('Dvd Calendar'!$H$1254)&gt;0)*(N('Dvd Calendar'!$H$1254)&lt;=VAL_SERIAL)*1000000+13*1000+44))</f>
        <v/>
      </c>
      <c r="FW128" s="35">
        <f>IF(N('Dvd Calendar'!$I$1255)=0,"",IF(('Dvd Calendar'!$I$1255&gt;=GRID_FROM)*('Dvd Calendar'!$I$1255&lt;=GRID_TO)*('Dvd Calendar'!$I$1255&gt;VAL_DATE)=0,"",'Dvd Calendar'!$I$1255*1000000000+ISNUMBER('Dvd Calendar'!$I$1256)*100000000+0*10000000+(N('Dvd Calendar'!$I$1254)&gt;0)*(N('Dvd Calendar'!$I$1254)&lt;=VAL_SERIAL)*1000000+13*1000+45))</f>
        <v/>
      </c>
      <c r="FX128" s="35">
        <f>IF(N('Dvd Calendar'!$J$1255)=0,"",IF(('Dvd Calendar'!$J$1255&gt;=GRID_FROM)*('Dvd Calendar'!$J$1255&lt;=GRID_TO)*('Dvd Calendar'!$J$1255&gt;VAL_DATE)=0,"",'Dvd Calendar'!$J$1255*1000000000+ISNUMBER('Dvd Calendar'!$J$1256)*100000000+0*10000000+(N('Dvd Calendar'!$J$1254)&gt;0)*(N('Dvd Calendar'!$J$1254)&lt;=VAL_SERIAL)*1000000+13*1000+46))</f>
        <v/>
      </c>
      <c r="FY128" s="35">
        <f>IF(N('Dvd Calendar'!$K$1255)=0,"",IF(('Dvd Calendar'!$K$1255&gt;=GRID_FROM)*('Dvd Calendar'!$K$1255&lt;=GRID_TO)*('Dvd Calendar'!$K$1255&gt;VAL_DATE)=0,"",'Dvd Calendar'!$K$1255*1000000000+ISNUMBER('Dvd Calendar'!$K$1256)*100000000+0*10000000+(N('Dvd Calendar'!$K$1254)&gt;0)*(N('Dvd Calendar'!$K$1254)&lt;=VAL_SERIAL)*1000000+13*1000+47))</f>
        <v/>
      </c>
      <c r="FZ128" s="35">
        <f>IF(N('Dvd Calendar'!$L$1255)=0,"",IF(('Dvd Calendar'!$L$1255&gt;=GRID_FROM)*('Dvd Calendar'!$L$1255&lt;=GRID_TO)*('Dvd Calendar'!$L$1255&gt;VAL_DATE)=0,"",'Dvd Calendar'!$L$1255*1000000000+ISNUMBER('Dvd Calendar'!$L$1256)*100000000+0*10000000+(N('Dvd Calendar'!$L$1254)&gt;0)*(N('Dvd Calendar'!$L$1254)&lt;=VAL_SERIAL)*1000000+13*1000+48))</f>
        <v/>
      </c>
      <c r="GA128" s="35">
        <f>IF(N('Dvd Calendar'!$M$1255)=0,"",IF(('Dvd Calendar'!$M$1255&gt;=GRID_FROM)*('Dvd Calendar'!$M$1255&lt;=GRID_TO)*('Dvd Calendar'!$M$1255&gt;VAL_DATE)=0,"",'Dvd Calendar'!$M$1255*1000000000+ISNUMBER('Dvd Calendar'!$M$1256)*100000000+0*10000000+(N('Dvd Calendar'!$M$1254)&gt;0)*(N('Dvd Calendar'!$M$1254)&lt;=VAL_SERIAL)*1000000+13*1000+49))</f>
        <v/>
      </c>
      <c r="GB128" s="35">
        <f>IF(N('Dvd Calendar'!$N$1255)=0,"",IF(('Dvd Calendar'!$N$1255&gt;=GRID_FROM)*('Dvd Calendar'!$N$1255&lt;=GRID_TO)*('Dvd Calendar'!$N$1255&gt;VAL_DATE)=0,"",'Dvd Calendar'!$N$1255*1000000000+ISNUMBER('Dvd Calendar'!$N$1256)*100000000+0*10000000+(N('Dvd Calendar'!$N$1254)&gt;0)*(N('Dvd Calendar'!$N$1254)&lt;=VAL_SERIAL)*1000000+13*1000+50))</f>
        <v/>
      </c>
      <c r="GC128" s="35">
        <f>IF(N('Dvd Calendar'!$O$1255)=0,"",IF(('Dvd Calendar'!$O$1255&gt;=GRID_FROM)*('Dvd Calendar'!$O$1255&lt;=GRID_TO)*('Dvd Calendar'!$O$1255&gt;VAL_DATE)=0,"",'Dvd Calendar'!$O$1255*1000000000+ISNUMBER('Dvd Calendar'!$O$1256)*100000000+0*10000000+(N('Dvd Calendar'!$O$1254)&gt;0)*(N('Dvd Calendar'!$O$1254)&lt;=VAL_SERIAL)*1000000+13*1000+51))</f>
        <v/>
      </c>
      <c r="GD128" s="35">
        <f>IF(N('Dvd Calendar'!$P$1255)=0,"",IF(('Dvd Calendar'!$P$1255&gt;=GRID_FROM)*('Dvd Calendar'!$P$1255&lt;=GRID_TO)*('Dvd Calendar'!$P$1255&gt;VAL_DATE)=0,"",'Dvd Calendar'!$P$1255*1000000000+ISNUMBER('Dvd Calendar'!$P$1256)*100000000+0*10000000+(N('Dvd Calendar'!$P$1254)&gt;0)*(N('Dvd Calendar'!$P$1254)&lt;=VAL_SERIAL)*1000000+13*1000+52))</f>
        <v/>
      </c>
      <c r="GE128" s="35">
        <f>IF(N('Dvd Calendar'!$Q$1255)=0,"",IF(('Dvd Calendar'!$Q$1255&gt;=GRID_FROM)*('Dvd Calendar'!$Q$1255&lt;=GRID_TO)*('Dvd Calendar'!$Q$1255&gt;VAL_DATE)=0,"",'Dvd Calendar'!$Q$1255*1000000000+ISNUMBER('Dvd Calendar'!$Q$1256)*100000000+0*10000000+(N('Dvd Calendar'!$Q$1254)&gt;0)*(N('Dvd Calendar'!$Q$1254)&lt;=VAL_SERIAL)*1000000+13*1000+53))</f>
        <v/>
      </c>
      <c r="GF128" s="35">
        <f>IF(N('Dvd Calendar'!$R$1255)=0,"",IF(('Dvd Calendar'!$R$1255&gt;=GRID_FROM)*('Dvd Calendar'!$R$1255&lt;=GRID_TO)*('Dvd Calendar'!$R$1255&gt;VAL_DATE)=0,"",'Dvd Calendar'!$R$1255*1000000000+ISNUMBER('Dvd Calendar'!$R$1256)*100000000+0*10000000+(N('Dvd Calendar'!$R$1254)&gt;0)*(N('Dvd Calendar'!$R$1254)&lt;=VAL_SERIAL)*1000000+13*1000+54))</f>
        <v/>
      </c>
      <c r="GG128" s="35">
        <f>IF(N('Dvd Calendar'!$S$1255)=0,"",IF(('Dvd Calendar'!$S$1255&gt;=GRID_FROM)*('Dvd Calendar'!$S$1255&lt;=GRID_TO)*('Dvd Calendar'!$S$1255&gt;VAL_DATE)=0,"",'Dvd Calendar'!$S$1255*1000000000+ISNUMBER('Dvd Calendar'!$S$1256)*100000000+0*10000000+(N('Dvd Calendar'!$S$1254)&gt;0)*(N('Dvd Calendar'!$S$1254)&lt;=VAL_SERIAL)*1000000+13*1000+55))</f>
        <v/>
      </c>
      <c r="GH128" s="35">
        <f>IF(N('Dvd Calendar'!$T$1255)=0,"",IF(('Dvd Calendar'!$T$1255&gt;=GRID_FROM)*('Dvd Calendar'!$T$1255&lt;=GRID_TO)*('Dvd Calendar'!$T$1255&gt;VAL_DATE)=0,"",'Dvd Calendar'!$T$1255*1000000000+ISNUMBER('Dvd Calendar'!$T$1256)*100000000+0*10000000+(N('Dvd Calendar'!$T$1254)&gt;0)*(N('Dvd Calendar'!$T$1254)&lt;=VAL_SERIAL)*1000000+13*1000+56))</f>
        <v/>
      </c>
      <c r="GI128" s="35">
        <f>IF(N('Dvd Calendar'!$U$1255)=0,"",IF(('Dvd Calendar'!$U$1255&gt;=GRID_FROM)*('Dvd Calendar'!$U$1255&lt;=GRID_TO)*('Dvd Calendar'!$U$1255&gt;VAL_DATE)=0,"",'Dvd Calendar'!$U$1255*1000000000+ISNUMBER('Dvd Calendar'!$U$1256)*100000000+0*10000000+(N('Dvd Calendar'!$U$1254)&gt;0)*(N('Dvd Calendar'!$U$1254)&lt;=VAL_SERIAL)*1000000+13*1000+57))</f>
        <v/>
      </c>
      <c r="GJ128" s="35">
        <f>IF(N('Dvd Calendar'!$V$1255)=0,"",IF(('Dvd Calendar'!$V$1255&gt;=GRID_FROM)*('Dvd Calendar'!$V$1255&lt;=GRID_TO)*('Dvd Calendar'!$V$1255&gt;VAL_DATE)=0,"",'Dvd Calendar'!$V$1255*1000000000+ISNUMBER('Dvd Calendar'!$V$1256)*100000000+0*10000000+(N('Dvd Calendar'!$V$1254)&gt;0)*(N('Dvd Calendar'!$V$1254)&lt;=VAL_SERIAL)*1000000+13*1000+58))</f>
        <v/>
      </c>
      <c r="GK128" s="35">
        <f>IF(N('Dvd Calendar'!$W$1255)=0,"",IF(('Dvd Calendar'!$W$1255&gt;=GRID_FROM)*('Dvd Calendar'!$W$1255&lt;=GRID_TO)*('Dvd Calendar'!$W$1255&gt;VAL_DATE)=0,"",'Dvd Calendar'!$W$1255*1000000000+ISNUMBER('Dvd Calendar'!$W$1256)*100000000+0*10000000+(N('Dvd Calendar'!$W$1254)&gt;0)*(N('Dvd Calendar'!$W$1254)&lt;=VAL_SERIAL)*1000000+13*1000+59))</f>
        <v/>
      </c>
      <c r="GL128" s="35">
        <f>IF(N('Dvd Calendar'!$X$1255)=0,"",IF(('Dvd Calendar'!$X$1255&gt;=GRID_FROM)*('Dvd Calendar'!$X$1255&lt;=GRID_TO)*('Dvd Calendar'!$X$1255&gt;VAL_DATE)=0,"",'Dvd Calendar'!$X$1255*1000000000+ISNUMBER('Dvd Calendar'!$X$1256)*100000000+0*10000000+(N('Dvd Calendar'!$X$1254)&gt;0)*(N('Dvd Calendar'!$X$1254)&lt;=VAL_SERIAL)*1000000+13*1000+60))</f>
        <v/>
      </c>
      <c r="GM128" s="35">
        <f>IF(N('Dvd Calendar'!$Y$1255)=0,"",IF(('Dvd Calendar'!$Y$1255&gt;=GRID_FROM)*('Dvd Calendar'!$Y$1255&lt;=GRID_TO)*('Dvd Calendar'!$Y$1255&gt;VAL_DATE)=0,"",'Dvd Calendar'!$Y$1255*1000000000+ISNUMBER('Dvd Calendar'!$Y$1256)*100000000+0*10000000+(N('Dvd Calendar'!$Y$1254)&gt;0)*(N('Dvd Calendar'!$Y$1254)&lt;=VAL_SERIAL)*1000000+13*1000+61))</f>
        <v/>
      </c>
      <c r="GN128" s="35">
        <f>IF(N('Dvd Calendar'!$Z$1255)=0,"",IF(('Dvd Calendar'!$Z$1255&gt;=GRID_FROM)*('Dvd Calendar'!$Z$1255&lt;=GRID_TO)*('Dvd Calendar'!$Z$1255&gt;VAL_DATE)=0,"",'Dvd Calendar'!$Z$1255*1000000000+ISNUMBER('Dvd Calendar'!$Z$1256)*100000000+0*10000000+(N('Dvd Calendar'!$Z$1254)&gt;0)*(N('Dvd Calendar'!$Z$1254)&lt;=VAL_SERIAL)*1000000+13*1000+62))</f>
        <v/>
      </c>
      <c r="GO128" s="35">
        <f>IF(N('Dvd Calendar'!$AA$1255)=0,"",IF(('Dvd Calendar'!$AA$1255&gt;=GRID_FROM)*('Dvd Calendar'!$AA$1255&lt;=GRID_TO)*('Dvd Calendar'!$AA$1255&gt;VAL_DATE)=0,"",'Dvd Calendar'!$AA$1255*1000000000+ISNUMBER('Dvd Calendar'!$AA$1256)*100000000+0*10000000+(N('Dvd Calendar'!$AA$1254)&gt;0)*(N('Dvd Calendar'!$AA$1254)&lt;=VAL_SERIAL)*1000000+13*1000+63))</f>
        <v/>
      </c>
      <c r="GP128" s="35">
        <f>IF(N('Dvd Calendar'!$AB$1255)=0,"",IF(('Dvd Calendar'!$AB$1255&gt;=GRID_FROM)*('Dvd Calendar'!$AB$1255&lt;=GRID_TO)*('Dvd Calendar'!$AB$1255&gt;VAL_DATE)=0,"",'Dvd Calendar'!$AB$1255*1000000000+ISNUMBER('Dvd Calendar'!$AB$1256)*100000000+0*10000000+(N('Dvd Calendar'!$AB$1254)&gt;0)*(N('Dvd Calendar'!$AB$1254)&lt;=VAL_SERIAL)*1000000+13*1000+64))</f>
        <v/>
      </c>
      <c r="GQ128" s="35">
        <f>IF(N('Dvd Calendar'!$AC$1255)=0,"",IF(('Dvd Calendar'!$AC$1255&gt;=GRID_FROM)*('Dvd Calendar'!$AC$1255&lt;=GRID_TO)*('Dvd Calendar'!$AC$1255&gt;VAL_DATE)=0,"",'Dvd Calendar'!$AC$1255*1000000000+ISNUMBER('Dvd Calendar'!$AC$1256)*100000000+0*10000000+(N('Dvd Calendar'!$AC$1254)&gt;0)*(N('Dvd Calendar'!$AC$1254)&lt;=VAL_SERIAL)*1000000+13*1000+65))</f>
        <v/>
      </c>
    </row>
    <row r="129">
      <c r="B129" s="2">
        <f>IF(HSTECH!$C$20="","",HSTECH!$C$20)</f>
        <v/>
      </c>
      <c r="C129" s="106">
        <f>IF(EE129="","",IF(ISNUMBER('Dvd Calendar'!$E$1262)=FALSE,"",IF((('Dvd Calendar'!$E$1264=TYPE1)*(TYPE1&lt;&gt;"")+('Dvd Calendar'!$E$1264=TYPE2)*(TYPE2&lt;&gt;"")+('Dvd Calendar'!$E$1264=TYPE3)*(TYPE3&lt;&gt;"")+('Dvd Calendar'!$E$1264=TYPE4)*(TYPE4&lt;&gt;"")+('Dvd Calendar'!$E$1264=SPECIAL_LBL)*(INC_SPECIALS="Y"))=0,"",'Dvd Calendar'!$E$1262)))</f>
        <v/>
      </c>
      <c r="D129" s="106">
        <f>IF(EF129="","",IF(ISNUMBER('Dvd Calendar'!$F$1262)=FALSE,"",IF((('Dvd Calendar'!$F$1264=TYPE1)*(TYPE1&lt;&gt;"")+('Dvd Calendar'!$F$1264=TYPE2)*(TYPE2&lt;&gt;"")+('Dvd Calendar'!$F$1264=TYPE3)*(TYPE3&lt;&gt;"")+('Dvd Calendar'!$F$1264=TYPE4)*(TYPE4&lt;&gt;"")+('Dvd Calendar'!$F$1264=SPECIAL_LBL)*(INC_SPECIALS="Y"))=0,"",'Dvd Calendar'!$F$1262)))</f>
        <v/>
      </c>
      <c r="E129" s="106">
        <f>IF(EG129="","",IF(ISNUMBER('Dvd Calendar'!$G$1262)=FALSE,"",IF((('Dvd Calendar'!$G$1264=TYPE1)*(TYPE1&lt;&gt;"")+('Dvd Calendar'!$G$1264=TYPE2)*(TYPE2&lt;&gt;"")+('Dvd Calendar'!$G$1264=TYPE3)*(TYPE3&lt;&gt;"")+('Dvd Calendar'!$G$1264=TYPE4)*(TYPE4&lt;&gt;"")+('Dvd Calendar'!$G$1264=SPECIAL_LBL)*(INC_SPECIALS="Y"))=0,"",'Dvd Calendar'!$G$1262)))</f>
        <v/>
      </c>
      <c r="F129" s="106">
        <f>IF(EH129="","",IF(ISNUMBER('Dvd Calendar'!$H$1262)=FALSE,"",IF((('Dvd Calendar'!$H$1264=TYPE1)*(TYPE1&lt;&gt;"")+('Dvd Calendar'!$H$1264=TYPE2)*(TYPE2&lt;&gt;"")+('Dvd Calendar'!$H$1264=TYPE3)*(TYPE3&lt;&gt;"")+('Dvd Calendar'!$H$1264=TYPE4)*(TYPE4&lt;&gt;"")+('Dvd Calendar'!$H$1264=SPECIAL_LBL)*(INC_SPECIALS="Y"))=0,"",'Dvd Calendar'!$H$1262)))</f>
        <v/>
      </c>
      <c r="G129" s="106">
        <f>IF(EI129="","",IF(ISNUMBER('Dvd Calendar'!$I$1262)=FALSE,"",IF((('Dvd Calendar'!$I$1264=TYPE1)*(TYPE1&lt;&gt;"")+('Dvd Calendar'!$I$1264=TYPE2)*(TYPE2&lt;&gt;"")+('Dvd Calendar'!$I$1264=TYPE3)*(TYPE3&lt;&gt;"")+('Dvd Calendar'!$I$1264=TYPE4)*(TYPE4&lt;&gt;"")+('Dvd Calendar'!$I$1264=SPECIAL_LBL)*(INC_SPECIALS="Y"))=0,"",'Dvd Calendar'!$I$1262)))</f>
        <v/>
      </c>
      <c r="H129" s="106">
        <f>IF(EJ129="","",IF(ISNUMBER('Dvd Calendar'!$J$1262)=FALSE,"",IF((('Dvd Calendar'!$J$1264=TYPE1)*(TYPE1&lt;&gt;"")+('Dvd Calendar'!$J$1264=TYPE2)*(TYPE2&lt;&gt;"")+('Dvd Calendar'!$J$1264=TYPE3)*(TYPE3&lt;&gt;"")+('Dvd Calendar'!$J$1264=TYPE4)*(TYPE4&lt;&gt;"")+('Dvd Calendar'!$J$1264=SPECIAL_LBL)*(INC_SPECIALS="Y"))=0,"",'Dvd Calendar'!$J$1262)))</f>
        <v/>
      </c>
      <c r="I129" s="106">
        <f>IF(EK129="","",IF(ISNUMBER('Dvd Calendar'!$K$1262)=FALSE,"",IF((('Dvd Calendar'!$K$1264=TYPE1)*(TYPE1&lt;&gt;"")+('Dvd Calendar'!$K$1264=TYPE2)*(TYPE2&lt;&gt;"")+('Dvd Calendar'!$K$1264=TYPE3)*(TYPE3&lt;&gt;"")+('Dvd Calendar'!$K$1264=TYPE4)*(TYPE4&lt;&gt;"")+('Dvd Calendar'!$K$1264=SPECIAL_LBL)*(INC_SPECIALS="Y"))=0,"",'Dvd Calendar'!$K$1262)))</f>
        <v/>
      </c>
      <c r="J129" s="106">
        <f>IF(EL129="","",IF(ISNUMBER('Dvd Calendar'!$L$1262)=FALSE,"",IF((('Dvd Calendar'!$L$1264=TYPE1)*(TYPE1&lt;&gt;"")+('Dvd Calendar'!$L$1264=TYPE2)*(TYPE2&lt;&gt;"")+('Dvd Calendar'!$L$1264=TYPE3)*(TYPE3&lt;&gt;"")+('Dvd Calendar'!$L$1264=TYPE4)*(TYPE4&lt;&gt;"")+('Dvd Calendar'!$L$1264=SPECIAL_LBL)*(INC_SPECIALS="Y"))=0,"",'Dvd Calendar'!$L$1262)))</f>
        <v/>
      </c>
      <c r="K129" s="106">
        <f>IF(EM129="","",IF(ISNUMBER('Dvd Calendar'!$M$1262)=FALSE,"",IF((('Dvd Calendar'!$M$1264=TYPE1)*(TYPE1&lt;&gt;"")+('Dvd Calendar'!$M$1264=TYPE2)*(TYPE2&lt;&gt;"")+('Dvd Calendar'!$M$1264=TYPE3)*(TYPE3&lt;&gt;"")+('Dvd Calendar'!$M$1264=TYPE4)*(TYPE4&lt;&gt;"")+('Dvd Calendar'!$M$1264=SPECIAL_LBL)*(INC_SPECIALS="Y"))=0,"",'Dvd Calendar'!$M$1262)))</f>
        <v/>
      </c>
      <c r="L129" s="106">
        <f>IF(EN129="","",IF(ISNUMBER('Dvd Calendar'!$N$1262)=FALSE,"",IF((('Dvd Calendar'!$N$1264=TYPE1)*(TYPE1&lt;&gt;"")+('Dvd Calendar'!$N$1264=TYPE2)*(TYPE2&lt;&gt;"")+('Dvd Calendar'!$N$1264=TYPE3)*(TYPE3&lt;&gt;"")+('Dvd Calendar'!$N$1264=TYPE4)*(TYPE4&lt;&gt;"")+('Dvd Calendar'!$N$1264=SPECIAL_LBL)*(INC_SPECIALS="Y"))=0,"",'Dvd Calendar'!$N$1262)))</f>
        <v/>
      </c>
      <c r="M129" s="106">
        <f>IF(EO129="","",IF(ISNUMBER('Dvd Calendar'!$O$1262)=FALSE,"",IF((('Dvd Calendar'!$O$1264=TYPE1)*(TYPE1&lt;&gt;"")+('Dvd Calendar'!$O$1264=TYPE2)*(TYPE2&lt;&gt;"")+('Dvd Calendar'!$O$1264=TYPE3)*(TYPE3&lt;&gt;"")+('Dvd Calendar'!$O$1264=TYPE4)*(TYPE4&lt;&gt;"")+('Dvd Calendar'!$O$1264=SPECIAL_LBL)*(INC_SPECIALS="Y"))=0,"",'Dvd Calendar'!$O$1262)))</f>
        <v/>
      </c>
      <c r="N129" s="106">
        <f>IF(EP129="","",IF(ISNUMBER('Dvd Calendar'!$P$1262)=FALSE,"",IF((('Dvd Calendar'!$P$1264=TYPE1)*(TYPE1&lt;&gt;"")+('Dvd Calendar'!$P$1264=TYPE2)*(TYPE2&lt;&gt;"")+('Dvd Calendar'!$P$1264=TYPE3)*(TYPE3&lt;&gt;"")+('Dvd Calendar'!$P$1264=TYPE4)*(TYPE4&lt;&gt;"")+('Dvd Calendar'!$P$1264=SPECIAL_LBL)*(INC_SPECIALS="Y"))=0,"",'Dvd Calendar'!$P$1262)))</f>
        <v/>
      </c>
      <c r="O129" s="106">
        <f>IF(EQ129="","",IF(ISNUMBER('Dvd Calendar'!$Q$1262)=FALSE,"",IF((('Dvd Calendar'!$Q$1264=TYPE1)*(TYPE1&lt;&gt;"")+('Dvd Calendar'!$Q$1264=TYPE2)*(TYPE2&lt;&gt;"")+('Dvd Calendar'!$Q$1264=TYPE3)*(TYPE3&lt;&gt;"")+('Dvd Calendar'!$Q$1264=TYPE4)*(TYPE4&lt;&gt;"")+('Dvd Calendar'!$Q$1264=SPECIAL_LBL)*(INC_SPECIALS="Y"))=0,"",'Dvd Calendar'!$Q$1262)))</f>
        <v/>
      </c>
      <c r="P129" s="106">
        <f>IF(ER129="","",IF(ISNUMBER('Dvd Calendar'!$R$1262)=FALSE,"",IF((('Dvd Calendar'!$R$1264=TYPE1)*(TYPE1&lt;&gt;"")+('Dvd Calendar'!$R$1264=TYPE2)*(TYPE2&lt;&gt;"")+('Dvd Calendar'!$R$1264=TYPE3)*(TYPE3&lt;&gt;"")+('Dvd Calendar'!$R$1264=TYPE4)*(TYPE4&lt;&gt;"")+('Dvd Calendar'!$R$1264=SPECIAL_LBL)*(INC_SPECIALS="Y"))=0,"",'Dvd Calendar'!$R$1262)))</f>
        <v/>
      </c>
      <c r="Q129" s="106">
        <f>IF(ES129="","",IF(ISNUMBER('Dvd Calendar'!$S$1262)=FALSE,"",IF((('Dvd Calendar'!$S$1264=TYPE1)*(TYPE1&lt;&gt;"")+('Dvd Calendar'!$S$1264=TYPE2)*(TYPE2&lt;&gt;"")+('Dvd Calendar'!$S$1264=TYPE3)*(TYPE3&lt;&gt;"")+('Dvd Calendar'!$S$1264=TYPE4)*(TYPE4&lt;&gt;"")+('Dvd Calendar'!$S$1264=SPECIAL_LBL)*(INC_SPECIALS="Y"))=0,"",'Dvd Calendar'!$S$1262)))</f>
        <v/>
      </c>
      <c r="R129" s="106">
        <f>IF(ET129="","",IF(ISNUMBER('Dvd Calendar'!$T$1262)=FALSE,"",IF((('Dvd Calendar'!$T$1264=TYPE1)*(TYPE1&lt;&gt;"")+('Dvd Calendar'!$T$1264=TYPE2)*(TYPE2&lt;&gt;"")+('Dvd Calendar'!$T$1264=TYPE3)*(TYPE3&lt;&gt;"")+('Dvd Calendar'!$T$1264=TYPE4)*(TYPE4&lt;&gt;"")+('Dvd Calendar'!$T$1264=SPECIAL_LBL)*(INC_SPECIALS="Y"))=0,"",'Dvd Calendar'!$T$1262)))</f>
        <v/>
      </c>
      <c r="S129" s="106">
        <f>IF(EU129="","",IF(ISNUMBER('Dvd Calendar'!$U$1262)=FALSE,"",IF((('Dvd Calendar'!$U$1264=TYPE1)*(TYPE1&lt;&gt;"")+('Dvd Calendar'!$U$1264=TYPE2)*(TYPE2&lt;&gt;"")+('Dvd Calendar'!$U$1264=TYPE3)*(TYPE3&lt;&gt;"")+('Dvd Calendar'!$U$1264=TYPE4)*(TYPE4&lt;&gt;"")+('Dvd Calendar'!$U$1264=SPECIAL_LBL)*(INC_SPECIALS="Y"))=0,"",'Dvd Calendar'!$U$1262)))</f>
        <v/>
      </c>
      <c r="T129" s="106">
        <f>IF(EV129="","",IF(ISNUMBER('Dvd Calendar'!$V$1262)=FALSE,"",IF((('Dvd Calendar'!$V$1264=TYPE1)*(TYPE1&lt;&gt;"")+('Dvd Calendar'!$V$1264=TYPE2)*(TYPE2&lt;&gt;"")+('Dvd Calendar'!$V$1264=TYPE3)*(TYPE3&lt;&gt;"")+('Dvd Calendar'!$V$1264=TYPE4)*(TYPE4&lt;&gt;"")+('Dvd Calendar'!$V$1264=SPECIAL_LBL)*(INC_SPECIALS="Y"))=0,"",'Dvd Calendar'!$V$1262)))</f>
        <v/>
      </c>
      <c r="U129" s="106">
        <f>IF(EW129="","",IF(ISNUMBER('Dvd Calendar'!$W$1262)=FALSE,"",IF((('Dvd Calendar'!$W$1264=TYPE1)*(TYPE1&lt;&gt;"")+('Dvd Calendar'!$W$1264=TYPE2)*(TYPE2&lt;&gt;"")+('Dvd Calendar'!$W$1264=TYPE3)*(TYPE3&lt;&gt;"")+('Dvd Calendar'!$W$1264=TYPE4)*(TYPE4&lt;&gt;"")+('Dvd Calendar'!$W$1264=SPECIAL_LBL)*(INC_SPECIALS="Y"))=0,"",'Dvd Calendar'!$W$1262)))</f>
        <v/>
      </c>
      <c r="V129" s="106">
        <f>IF(EX129="","",IF(ISNUMBER('Dvd Calendar'!$X$1262)=FALSE,"",IF((('Dvd Calendar'!$X$1264=TYPE1)*(TYPE1&lt;&gt;"")+('Dvd Calendar'!$X$1264=TYPE2)*(TYPE2&lt;&gt;"")+('Dvd Calendar'!$X$1264=TYPE3)*(TYPE3&lt;&gt;"")+('Dvd Calendar'!$X$1264=TYPE4)*(TYPE4&lt;&gt;"")+('Dvd Calendar'!$X$1264=SPECIAL_LBL)*(INC_SPECIALS="Y"))=0,"",'Dvd Calendar'!$X$1262)))</f>
        <v/>
      </c>
      <c r="W129" s="106">
        <f>IF(EY129="","",IF(ISNUMBER('Dvd Calendar'!$Y$1262)=FALSE,"",IF((('Dvd Calendar'!$Y$1264=TYPE1)*(TYPE1&lt;&gt;"")+('Dvd Calendar'!$Y$1264=TYPE2)*(TYPE2&lt;&gt;"")+('Dvd Calendar'!$Y$1264=TYPE3)*(TYPE3&lt;&gt;"")+('Dvd Calendar'!$Y$1264=TYPE4)*(TYPE4&lt;&gt;"")+('Dvd Calendar'!$Y$1264=SPECIAL_LBL)*(INC_SPECIALS="Y"))=0,"",'Dvd Calendar'!$Y$1262)))</f>
        <v/>
      </c>
      <c r="X129" s="106">
        <f>IF(EZ129="","",IF(ISNUMBER('Dvd Calendar'!$Z$1262)=FALSE,"",IF((('Dvd Calendar'!$Z$1264=TYPE1)*(TYPE1&lt;&gt;"")+('Dvd Calendar'!$Z$1264=TYPE2)*(TYPE2&lt;&gt;"")+('Dvd Calendar'!$Z$1264=TYPE3)*(TYPE3&lt;&gt;"")+('Dvd Calendar'!$Z$1264=TYPE4)*(TYPE4&lt;&gt;"")+('Dvd Calendar'!$Z$1264=SPECIAL_LBL)*(INC_SPECIALS="Y"))=0,"",'Dvd Calendar'!$Z$1262)))</f>
        <v/>
      </c>
      <c r="Y129" s="106">
        <f>IF(FA129="","",IF(ISNUMBER('Dvd Calendar'!$AA$1262)=FALSE,"",IF((('Dvd Calendar'!$AA$1264=TYPE1)*(TYPE1&lt;&gt;"")+('Dvd Calendar'!$AA$1264=TYPE2)*(TYPE2&lt;&gt;"")+('Dvd Calendar'!$AA$1264=TYPE3)*(TYPE3&lt;&gt;"")+('Dvd Calendar'!$AA$1264=TYPE4)*(TYPE4&lt;&gt;"")+('Dvd Calendar'!$AA$1264=SPECIAL_LBL)*(INC_SPECIALS="Y"))=0,"",'Dvd Calendar'!$AA$1262)))</f>
        <v/>
      </c>
      <c r="Z129" s="106">
        <f>IF(FB129="","",IF(ISNUMBER('Dvd Calendar'!$AB$1262)=FALSE,"",IF((('Dvd Calendar'!$AB$1264=TYPE1)*(TYPE1&lt;&gt;"")+('Dvd Calendar'!$AB$1264=TYPE2)*(TYPE2&lt;&gt;"")+('Dvd Calendar'!$AB$1264=TYPE3)*(TYPE3&lt;&gt;"")+('Dvd Calendar'!$AB$1264=TYPE4)*(TYPE4&lt;&gt;"")+('Dvd Calendar'!$AB$1264=SPECIAL_LBL)*(INC_SPECIALS="Y"))=0,"",'Dvd Calendar'!$AB$1262)))</f>
        <v/>
      </c>
      <c r="AA129" s="106">
        <f>IF(FC129="","",IF(ISNUMBER('Dvd Calendar'!$AC$1262)=FALSE,"",IF((('Dvd Calendar'!$AC$1264=TYPE1)*(TYPE1&lt;&gt;"")+('Dvd Calendar'!$AC$1264=TYPE2)*(TYPE2&lt;&gt;"")+('Dvd Calendar'!$AC$1264=TYPE3)*(TYPE3&lt;&gt;"")+('Dvd Calendar'!$AC$1264=TYPE4)*(TYPE4&lt;&gt;"")+('Dvd Calendar'!$AC$1264=SPECIAL_LBL)*(INC_SPECIALS="Y"))=0,"",'Dvd Calendar'!$AC$1262)))</f>
        <v/>
      </c>
      <c r="AB129" s="106">
        <f>IF(FD129="","",IF(ISNUMBER('Dvd Calendar'!$AD$1262)=FALSE,"",IF((('Dvd Calendar'!$AD$1264=TYPE1)*(TYPE1&lt;&gt;"")+('Dvd Calendar'!$AD$1264=TYPE2)*(TYPE2&lt;&gt;"")+('Dvd Calendar'!$AD$1264=TYPE3)*(TYPE3&lt;&gt;"")+('Dvd Calendar'!$AD$1264=TYPE4)*(TYPE4&lt;&gt;"")+('Dvd Calendar'!$AD$1264=SPECIAL_LBL)*(INC_SPECIALS="Y"))=0,"",'Dvd Calendar'!$AD$1262)))</f>
        <v/>
      </c>
      <c r="AC129" s="106">
        <f>IF(FE129="","",IF(ISNUMBER('Dvd Calendar'!$AE$1262)=FALSE,"",IF((('Dvd Calendar'!$AE$1264=TYPE1)*(TYPE1&lt;&gt;"")+('Dvd Calendar'!$AE$1264=TYPE2)*(TYPE2&lt;&gt;"")+('Dvd Calendar'!$AE$1264=TYPE3)*(TYPE3&lt;&gt;"")+('Dvd Calendar'!$AE$1264=TYPE4)*(TYPE4&lt;&gt;"")+('Dvd Calendar'!$AE$1264=SPECIAL_LBL)*(INC_SPECIALS="Y"))=0,"",'Dvd Calendar'!$AE$1262)))</f>
        <v/>
      </c>
      <c r="AD129" s="106">
        <f>IF(FF129="","",IF(ISNUMBER('Dvd Calendar'!$AF$1262)=FALSE,"",IF((('Dvd Calendar'!$AF$1264=TYPE1)*(TYPE1&lt;&gt;"")+('Dvd Calendar'!$AF$1264=TYPE2)*(TYPE2&lt;&gt;"")+('Dvd Calendar'!$AF$1264=TYPE3)*(TYPE3&lt;&gt;"")+('Dvd Calendar'!$AF$1264=TYPE4)*(TYPE4&lt;&gt;"")+('Dvd Calendar'!$AF$1264=SPECIAL_LBL)*(INC_SPECIALS="Y"))=0,"",'Dvd Calendar'!$AF$1262)))</f>
        <v/>
      </c>
      <c r="AE129" s="106">
        <f>IF(FG129="","",IF(ISNUMBER('Dvd Calendar'!$AG$1262)=FALSE,"",IF((('Dvd Calendar'!$AG$1264=TYPE1)*(TYPE1&lt;&gt;"")+('Dvd Calendar'!$AG$1264=TYPE2)*(TYPE2&lt;&gt;"")+('Dvd Calendar'!$AG$1264=TYPE3)*(TYPE3&lt;&gt;"")+('Dvd Calendar'!$AG$1264=TYPE4)*(TYPE4&lt;&gt;"")+('Dvd Calendar'!$AG$1264=SPECIAL_LBL)*(INC_SPECIALS="Y"))=0,"",'Dvd Calendar'!$AG$1262)))</f>
        <v/>
      </c>
      <c r="AF129" s="106">
        <f>IF(FH129="","",IF(ISNUMBER('Dvd Calendar'!$AH$1262)=FALSE,"",IF((('Dvd Calendar'!$AH$1264=TYPE1)*(TYPE1&lt;&gt;"")+('Dvd Calendar'!$AH$1264=TYPE2)*(TYPE2&lt;&gt;"")+('Dvd Calendar'!$AH$1264=TYPE3)*(TYPE3&lt;&gt;"")+('Dvd Calendar'!$AH$1264=TYPE4)*(TYPE4&lt;&gt;"")+('Dvd Calendar'!$AH$1264=SPECIAL_LBL)*(INC_SPECIALS="Y"))=0,"",'Dvd Calendar'!$AH$1262)))</f>
        <v/>
      </c>
      <c r="AG129" s="106">
        <f>IF(FI129="","",IF(ISNUMBER('Dvd Calendar'!$AI$1262)=FALSE,"",IF((('Dvd Calendar'!$AI$1264=TYPE1)*(TYPE1&lt;&gt;"")+('Dvd Calendar'!$AI$1264=TYPE2)*(TYPE2&lt;&gt;"")+('Dvd Calendar'!$AI$1264=TYPE3)*(TYPE3&lt;&gt;"")+('Dvd Calendar'!$AI$1264=TYPE4)*(TYPE4&lt;&gt;"")+('Dvd Calendar'!$AI$1264=SPECIAL_LBL)*(INC_SPECIALS="Y"))=0,"",'Dvd Calendar'!$AI$1262)))</f>
        <v/>
      </c>
      <c r="AH129" s="106">
        <f>IF(FJ129="","",IF(ISNUMBER('Dvd Calendar'!$AJ$1262)=FALSE,"",IF((('Dvd Calendar'!$AJ$1264=TYPE1)*(TYPE1&lt;&gt;"")+('Dvd Calendar'!$AJ$1264=TYPE2)*(TYPE2&lt;&gt;"")+('Dvd Calendar'!$AJ$1264=TYPE3)*(TYPE3&lt;&gt;"")+('Dvd Calendar'!$AJ$1264=TYPE4)*(TYPE4&lt;&gt;"")+('Dvd Calendar'!$AJ$1264=SPECIAL_LBL)*(INC_SPECIALS="Y"))=0,"",'Dvd Calendar'!$AJ$1262)))</f>
        <v/>
      </c>
      <c r="AI129" s="106">
        <f>IF(FK129="","",IF(ISNUMBER('Dvd Calendar'!$AK$1262)=FALSE,"",IF((('Dvd Calendar'!$AK$1264=TYPE1)*(TYPE1&lt;&gt;"")+('Dvd Calendar'!$AK$1264=TYPE2)*(TYPE2&lt;&gt;"")+('Dvd Calendar'!$AK$1264=TYPE3)*(TYPE3&lt;&gt;"")+('Dvd Calendar'!$AK$1264=TYPE4)*(TYPE4&lt;&gt;"")+('Dvd Calendar'!$AK$1264=SPECIAL_LBL)*(INC_SPECIALS="Y"))=0,"",'Dvd Calendar'!$AK$1262)))</f>
        <v/>
      </c>
      <c r="AJ129" s="106">
        <f>IF(FL129="","",IF(ISNUMBER('Dvd Calendar'!$AL$1262)=FALSE,"",IF((('Dvd Calendar'!$AL$1264=TYPE1)*(TYPE1&lt;&gt;"")+('Dvd Calendar'!$AL$1264=TYPE2)*(TYPE2&lt;&gt;"")+('Dvd Calendar'!$AL$1264=TYPE3)*(TYPE3&lt;&gt;"")+('Dvd Calendar'!$AL$1264=TYPE4)*(TYPE4&lt;&gt;"")+('Dvd Calendar'!$AL$1264=SPECIAL_LBL)*(INC_SPECIALS="Y"))=0,"",'Dvd Calendar'!$AL$1262)))</f>
        <v/>
      </c>
      <c r="AK129" s="106">
        <f>IF(FM129="","",IF(ISNUMBER('Dvd Calendar'!$AM$1262)=FALSE,"",IF((('Dvd Calendar'!$AM$1264=TYPE1)*(TYPE1&lt;&gt;"")+('Dvd Calendar'!$AM$1264=TYPE2)*(TYPE2&lt;&gt;"")+('Dvd Calendar'!$AM$1264=TYPE3)*(TYPE3&lt;&gt;"")+('Dvd Calendar'!$AM$1264=TYPE4)*(TYPE4&lt;&gt;"")+('Dvd Calendar'!$AM$1264=SPECIAL_LBL)*(INC_SPECIALS="Y"))=0,"",'Dvd Calendar'!$AM$1262)))</f>
        <v/>
      </c>
      <c r="AL129" s="106">
        <f>IF(FN129="","",IF(ISNUMBER('Dvd Calendar'!$AN$1262)=FALSE,"",IF((('Dvd Calendar'!$AN$1264=TYPE1)*(TYPE1&lt;&gt;"")+('Dvd Calendar'!$AN$1264=TYPE2)*(TYPE2&lt;&gt;"")+('Dvd Calendar'!$AN$1264=TYPE3)*(TYPE3&lt;&gt;"")+('Dvd Calendar'!$AN$1264=TYPE4)*(TYPE4&lt;&gt;"")+('Dvd Calendar'!$AN$1264=SPECIAL_LBL)*(INC_SPECIALS="Y"))=0,"",'Dvd Calendar'!$AN$1262)))</f>
        <v/>
      </c>
      <c r="AM129" s="106">
        <f>IF(FO129="","",IF(ISNUMBER('Dvd Calendar'!$AO$1262)=FALSE,"",IF((('Dvd Calendar'!$AO$1264=TYPE1)*(TYPE1&lt;&gt;"")+('Dvd Calendar'!$AO$1264=TYPE2)*(TYPE2&lt;&gt;"")+('Dvd Calendar'!$AO$1264=TYPE3)*(TYPE3&lt;&gt;"")+('Dvd Calendar'!$AO$1264=TYPE4)*(TYPE4&lt;&gt;"")+('Dvd Calendar'!$AO$1264=SPECIAL_LBL)*(INC_SPECIALS="Y"))=0,"",'Dvd Calendar'!$AO$1262)))</f>
        <v/>
      </c>
      <c r="AN129" s="106">
        <f>IF(FP129="","",IF(ISNUMBER('Dvd Calendar'!$AP$1262)=FALSE,"",IF((('Dvd Calendar'!$AP$1264=TYPE1)*(TYPE1&lt;&gt;"")+('Dvd Calendar'!$AP$1264=TYPE2)*(TYPE2&lt;&gt;"")+('Dvd Calendar'!$AP$1264=TYPE3)*(TYPE3&lt;&gt;"")+('Dvd Calendar'!$AP$1264=TYPE4)*(TYPE4&lt;&gt;"")+('Dvd Calendar'!$AP$1264=SPECIAL_LBL)*(INC_SPECIALS="Y"))=0,"",'Dvd Calendar'!$AP$1262)))</f>
        <v/>
      </c>
      <c r="AO129" s="106">
        <f>IF(FQ129="","",IF(ISNUMBER('Dvd Calendar'!$AQ$1262)=FALSE,"",IF((('Dvd Calendar'!$AQ$1264=TYPE1)*(TYPE1&lt;&gt;"")+('Dvd Calendar'!$AQ$1264=TYPE2)*(TYPE2&lt;&gt;"")+('Dvd Calendar'!$AQ$1264=TYPE3)*(TYPE3&lt;&gt;"")+('Dvd Calendar'!$AQ$1264=TYPE4)*(TYPE4&lt;&gt;"")+('Dvd Calendar'!$AQ$1264=SPECIAL_LBL)*(INC_SPECIALS="Y"))=0,"",'Dvd Calendar'!$AQ$1262)))</f>
        <v/>
      </c>
      <c r="AP129" s="106">
        <f>IF(FR129="","",IF(ISNUMBER('Dvd Calendar'!$AR$1262)=FALSE,"",IF((('Dvd Calendar'!$AR$1264=TYPE1)*(TYPE1&lt;&gt;"")+('Dvd Calendar'!$AR$1264=TYPE2)*(TYPE2&lt;&gt;"")+('Dvd Calendar'!$AR$1264=TYPE3)*(TYPE3&lt;&gt;"")+('Dvd Calendar'!$AR$1264=TYPE4)*(TYPE4&lt;&gt;"")+('Dvd Calendar'!$AR$1264=SPECIAL_LBL)*(INC_SPECIALS="Y"))=0,"",'Dvd Calendar'!$AR$1262)))</f>
        <v/>
      </c>
      <c r="AQ129" s="106">
        <f>IF(FS129="","",IF(ISNUMBER('Dvd Calendar'!$E$1267)=FALSE,"",'Dvd Calendar'!$E$1267))</f>
        <v/>
      </c>
      <c r="AR129" s="106">
        <f>IF(FT129="","",IF(ISNUMBER('Dvd Calendar'!$F$1267)=FALSE,"",'Dvd Calendar'!$F$1267))</f>
        <v/>
      </c>
      <c r="AS129" s="106">
        <f>IF(FU129="","",IF(ISNUMBER('Dvd Calendar'!$G$1267)=FALSE,"",'Dvd Calendar'!$G$1267))</f>
        <v/>
      </c>
      <c r="AT129" s="106">
        <f>IF(FV129="","",IF(ISNUMBER('Dvd Calendar'!$H$1267)=FALSE,"",'Dvd Calendar'!$H$1267))</f>
        <v/>
      </c>
      <c r="AU129" s="106">
        <f>IF(FW129="","",IF(ISNUMBER('Dvd Calendar'!$I$1267)=FALSE,"",'Dvd Calendar'!$I$1267))</f>
        <v/>
      </c>
      <c r="AV129" s="106">
        <f>IF(FX129="","",IF(ISNUMBER('Dvd Calendar'!$J$1267)=FALSE,"",'Dvd Calendar'!$J$1267))</f>
        <v/>
      </c>
      <c r="AW129" s="106">
        <f>IF(FY129="","",IF(ISNUMBER('Dvd Calendar'!$K$1267)=FALSE,"",'Dvd Calendar'!$K$1267))</f>
        <v/>
      </c>
      <c r="AX129" s="106">
        <f>IF(FZ129="","",IF(ISNUMBER('Dvd Calendar'!$L$1267)=FALSE,"",'Dvd Calendar'!$L$1267))</f>
        <v/>
      </c>
      <c r="AY129" s="106">
        <f>IF(GA129="","",IF(ISNUMBER('Dvd Calendar'!$M$1267)=FALSE,"",'Dvd Calendar'!$M$1267))</f>
        <v/>
      </c>
      <c r="AZ129" s="106">
        <f>IF(GB129="","",IF(ISNUMBER('Dvd Calendar'!$N$1267)=FALSE,"",'Dvd Calendar'!$N$1267))</f>
        <v/>
      </c>
      <c r="BA129" s="106">
        <f>IF(GC129="","",IF(ISNUMBER('Dvd Calendar'!$O$1267)=FALSE,"",'Dvd Calendar'!$O$1267))</f>
        <v/>
      </c>
      <c r="BB129" s="106">
        <f>IF(GD129="","",IF(ISNUMBER('Dvd Calendar'!$P$1267)=FALSE,"",'Dvd Calendar'!$P$1267))</f>
        <v/>
      </c>
      <c r="BC129" s="106">
        <f>IF(GE129="","",IF(ISNUMBER('Dvd Calendar'!$Q$1267)=FALSE,"",'Dvd Calendar'!$Q$1267))</f>
        <v/>
      </c>
      <c r="BD129" s="106">
        <f>IF(GF129="","",IF(ISNUMBER('Dvd Calendar'!$R$1267)=FALSE,"",'Dvd Calendar'!$R$1267))</f>
        <v/>
      </c>
      <c r="BE129" s="106">
        <f>IF(GG129="","",IF(ISNUMBER('Dvd Calendar'!$S$1267)=FALSE,"",'Dvd Calendar'!$S$1267))</f>
        <v/>
      </c>
      <c r="BF129" s="106">
        <f>IF(GH129="","",IF(ISNUMBER('Dvd Calendar'!$T$1267)=FALSE,"",'Dvd Calendar'!$T$1267))</f>
        <v/>
      </c>
      <c r="BG129" s="106">
        <f>IF(GI129="","",IF(ISNUMBER('Dvd Calendar'!$U$1267)=FALSE,"",'Dvd Calendar'!$U$1267))</f>
        <v/>
      </c>
      <c r="BH129" s="106">
        <f>IF(GJ129="","",IF(ISNUMBER('Dvd Calendar'!$V$1267)=FALSE,"",'Dvd Calendar'!$V$1267))</f>
        <v/>
      </c>
      <c r="BI129" s="106">
        <f>IF(GK129="","",IF(ISNUMBER('Dvd Calendar'!$W$1267)=FALSE,"",'Dvd Calendar'!$W$1267))</f>
        <v/>
      </c>
      <c r="BJ129" s="106">
        <f>IF(GL129="","",IF(ISNUMBER('Dvd Calendar'!$X$1267)=FALSE,"",'Dvd Calendar'!$X$1267))</f>
        <v/>
      </c>
      <c r="BK129" s="106">
        <f>IF(GM129="","",IF(ISNUMBER('Dvd Calendar'!$Y$1267)=FALSE,"",'Dvd Calendar'!$Y$1267))</f>
        <v/>
      </c>
      <c r="BL129" s="106">
        <f>IF(GN129="","",IF(ISNUMBER('Dvd Calendar'!$Z$1267)=FALSE,"",'Dvd Calendar'!$Z$1267))</f>
        <v/>
      </c>
      <c r="BM129" s="106">
        <f>IF(GO129="","",IF(ISNUMBER('Dvd Calendar'!$AA$1267)=FALSE,"",'Dvd Calendar'!$AA$1267))</f>
        <v/>
      </c>
      <c r="BN129" s="106">
        <f>IF(GP129="","",IF(ISNUMBER('Dvd Calendar'!$AB$1267)=FALSE,"",'Dvd Calendar'!$AB$1267))</f>
        <v/>
      </c>
      <c r="BO129" s="106">
        <f>IF(GQ129="","",IF(ISNUMBER('Dvd Calendar'!$AC$1267)=FALSE,"",'Dvd Calendar'!$AC$1267))</f>
        <v/>
      </c>
      <c r="BQ129" s="106">
        <f>IF(C129="","",IFERROR(C129*HSTECH!$B$20*HSTECH!$G$20/HSTECH!$B$3,""))</f>
        <v/>
      </c>
      <c r="BR129" s="106">
        <f>IF(D129="","",IFERROR(D129*HSTECH!$B$20*HSTECH!$G$20/HSTECH!$B$3,""))</f>
        <v/>
      </c>
      <c r="BS129" s="106">
        <f>IF(E129="","",IFERROR(E129*HSTECH!$B$20*HSTECH!$G$20/HSTECH!$B$3,""))</f>
        <v/>
      </c>
      <c r="BT129" s="106">
        <f>IF(F129="","",IFERROR(F129*HSTECH!$B$20*HSTECH!$G$20/HSTECH!$B$3,""))</f>
        <v/>
      </c>
      <c r="BU129" s="106">
        <f>IF(G129="","",IFERROR(G129*HSTECH!$B$20*HSTECH!$G$20/HSTECH!$B$3,""))</f>
        <v/>
      </c>
      <c r="BV129" s="106">
        <f>IF(H129="","",IFERROR(H129*HSTECH!$B$20*HSTECH!$G$20/HSTECH!$B$3,""))</f>
        <v/>
      </c>
      <c r="BW129" s="106">
        <f>IF(I129="","",IFERROR(I129*HSTECH!$B$20*HSTECH!$G$20/HSTECH!$B$3,""))</f>
        <v/>
      </c>
      <c r="BX129" s="106">
        <f>IF(J129="","",IFERROR(J129*HSTECH!$B$20*HSTECH!$G$20/HSTECH!$B$3,""))</f>
        <v/>
      </c>
      <c r="BY129" s="106">
        <f>IF(K129="","",IFERROR(K129*HSTECH!$B$20*HSTECH!$G$20/HSTECH!$B$3,""))</f>
        <v/>
      </c>
      <c r="BZ129" s="106">
        <f>IF(L129="","",IFERROR(L129*HSTECH!$B$20*HSTECH!$G$20/HSTECH!$B$3,""))</f>
        <v/>
      </c>
      <c r="CA129" s="106">
        <f>IF(M129="","",IFERROR(M129*HSTECH!$B$20*HSTECH!$G$20/HSTECH!$B$3,""))</f>
        <v/>
      </c>
      <c r="CB129" s="106">
        <f>IF(N129="","",IFERROR(N129*HSTECH!$B$20*HSTECH!$G$20/HSTECH!$B$3,""))</f>
        <v/>
      </c>
      <c r="CC129" s="106">
        <f>IF(O129="","",IFERROR(O129*HSTECH!$B$20*HSTECH!$G$20/HSTECH!$B$3,""))</f>
        <v/>
      </c>
      <c r="CD129" s="106">
        <f>IF(P129="","",IFERROR(P129*HSTECH!$B$20*HSTECH!$G$20/HSTECH!$B$3,""))</f>
        <v/>
      </c>
      <c r="CE129" s="106">
        <f>IF(Q129="","",IFERROR(Q129*HSTECH!$B$20*HSTECH!$G$20/HSTECH!$B$3,""))</f>
        <v/>
      </c>
      <c r="CF129" s="106">
        <f>IF(R129="","",IFERROR(R129*HSTECH!$B$20*HSTECH!$G$20/HSTECH!$B$3,""))</f>
        <v/>
      </c>
      <c r="CG129" s="106">
        <f>IF(S129="","",IFERROR(S129*HSTECH!$B$20*HSTECH!$G$20/HSTECH!$B$3,""))</f>
        <v/>
      </c>
      <c r="CH129" s="106">
        <f>IF(T129="","",IFERROR(T129*HSTECH!$B$20*HSTECH!$G$20/HSTECH!$B$3,""))</f>
        <v/>
      </c>
      <c r="CI129" s="106">
        <f>IF(U129="","",IFERROR(U129*HSTECH!$B$20*HSTECH!$G$20/HSTECH!$B$3,""))</f>
        <v/>
      </c>
      <c r="CJ129" s="106">
        <f>IF(V129="","",IFERROR(V129*HSTECH!$B$20*HSTECH!$G$20/HSTECH!$B$3,""))</f>
        <v/>
      </c>
      <c r="CK129" s="106">
        <f>IF(W129="","",IFERROR(W129*HSTECH!$B$20*HSTECH!$G$20/HSTECH!$B$3,""))</f>
        <v/>
      </c>
      <c r="CL129" s="106">
        <f>IF(X129="","",IFERROR(X129*HSTECH!$B$20*HSTECH!$G$20/HSTECH!$B$3,""))</f>
        <v/>
      </c>
      <c r="CM129" s="106">
        <f>IF(Y129="","",IFERROR(Y129*HSTECH!$B$20*HSTECH!$G$20/HSTECH!$B$3,""))</f>
        <v/>
      </c>
      <c r="CN129" s="106">
        <f>IF(Z129="","",IFERROR(Z129*HSTECH!$B$20*HSTECH!$G$20/HSTECH!$B$3,""))</f>
        <v/>
      </c>
      <c r="CO129" s="106">
        <f>IF(AA129="","",IFERROR(AA129*HSTECH!$B$20*HSTECH!$G$20/HSTECH!$B$3,""))</f>
        <v/>
      </c>
      <c r="CP129" s="106">
        <f>IF(AB129="","",IFERROR(AB129*HSTECH!$B$20*HSTECH!$G$20/HSTECH!$B$3,""))</f>
        <v/>
      </c>
      <c r="CQ129" s="106">
        <f>IF(AC129="","",IFERROR(AC129*HSTECH!$B$20*HSTECH!$G$20/HSTECH!$B$3,""))</f>
        <v/>
      </c>
      <c r="CR129" s="106">
        <f>IF(AD129="","",IFERROR(AD129*HSTECH!$B$20*HSTECH!$G$20/HSTECH!$B$3,""))</f>
        <v/>
      </c>
      <c r="CS129" s="106">
        <f>IF(AE129="","",IFERROR(AE129*HSTECH!$B$20*HSTECH!$G$20/HSTECH!$B$3,""))</f>
        <v/>
      </c>
      <c r="CT129" s="106">
        <f>IF(AF129="","",IFERROR(AF129*HSTECH!$B$20*HSTECH!$G$20/HSTECH!$B$3,""))</f>
        <v/>
      </c>
      <c r="CU129" s="106">
        <f>IF(AG129="","",IFERROR(AG129*HSTECH!$B$20*HSTECH!$G$20/HSTECH!$B$3,""))</f>
        <v/>
      </c>
      <c r="CV129" s="106">
        <f>IF(AH129="","",IFERROR(AH129*HSTECH!$B$20*HSTECH!$G$20/HSTECH!$B$3,""))</f>
        <v/>
      </c>
      <c r="CW129" s="106">
        <f>IF(AI129="","",IFERROR(AI129*HSTECH!$B$20*HSTECH!$G$20/HSTECH!$B$3,""))</f>
        <v/>
      </c>
      <c r="CX129" s="106">
        <f>IF(AJ129="","",IFERROR(AJ129*HSTECH!$B$20*HSTECH!$G$20/HSTECH!$B$3,""))</f>
        <v/>
      </c>
      <c r="CY129" s="106">
        <f>IF(AK129="","",IFERROR(AK129*HSTECH!$B$20*HSTECH!$G$20/HSTECH!$B$3,""))</f>
        <v/>
      </c>
      <c r="CZ129" s="106">
        <f>IF(AL129="","",IFERROR(AL129*HSTECH!$B$20*HSTECH!$G$20/HSTECH!$B$3,""))</f>
        <v/>
      </c>
      <c r="DA129" s="106">
        <f>IF(AM129="","",IFERROR(AM129*HSTECH!$B$20*HSTECH!$G$20/HSTECH!$B$3,""))</f>
        <v/>
      </c>
      <c r="DB129" s="106">
        <f>IF(AN129="","",IFERROR(AN129*HSTECH!$B$20*HSTECH!$G$20/HSTECH!$B$3,""))</f>
        <v/>
      </c>
      <c r="DC129" s="106">
        <f>IF(AO129="","",IFERROR(AO129*HSTECH!$B$20*HSTECH!$G$20/HSTECH!$B$3,""))</f>
        <v/>
      </c>
      <c r="DD129" s="106">
        <f>IF(AP129="","",IFERROR(AP129*HSTECH!$B$20*HSTECH!$G$20/HSTECH!$B$3,""))</f>
        <v/>
      </c>
      <c r="DE129" s="106">
        <f>IF(AQ129="","",IFERROR(AQ129*HSTECH!$B$20*HSTECH!$G$20/HSTECH!$B$3,""))</f>
        <v/>
      </c>
      <c r="DF129" s="106">
        <f>IF(AR129="","",IFERROR(AR129*HSTECH!$B$20*HSTECH!$G$20/HSTECH!$B$3,""))</f>
        <v/>
      </c>
      <c r="DG129" s="106">
        <f>IF(AS129="","",IFERROR(AS129*HSTECH!$B$20*HSTECH!$G$20/HSTECH!$B$3,""))</f>
        <v/>
      </c>
      <c r="DH129" s="106">
        <f>IF(AT129="","",IFERROR(AT129*HSTECH!$B$20*HSTECH!$G$20/HSTECH!$B$3,""))</f>
        <v/>
      </c>
      <c r="DI129" s="106">
        <f>IF(AU129="","",IFERROR(AU129*HSTECH!$B$20*HSTECH!$G$20/HSTECH!$B$3,""))</f>
        <v/>
      </c>
      <c r="DJ129" s="106">
        <f>IF(AV129="","",IFERROR(AV129*HSTECH!$B$20*HSTECH!$G$20/HSTECH!$B$3,""))</f>
        <v/>
      </c>
      <c r="DK129" s="106">
        <f>IF(AW129="","",IFERROR(AW129*HSTECH!$B$20*HSTECH!$G$20/HSTECH!$B$3,""))</f>
        <v/>
      </c>
      <c r="DL129" s="106">
        <f>IF(AX129="","",IFERROR(AX129*HSTECH!$B$20*HSTECH!$G$20/HSTECH!$B$3,""))</f>
        <v/>
      </c>
      <c r="DM129" s="106">
        <f>IF(AY129="","",IFERROR(AY129*HSTECH!$B$20*HSTECH!$G$20/HSTECH!$B$3,""))</f>
        <v/>
      </c>
      <c r="DN129" s="106">
        <f>IF(AZ129="","",IFERROR(AZ129*HSTECH!$B$20*HSTECH!$G$20/HSTECH!$B$3,""))</f>
        <v/>
      </c>
      <c r="DO129" s="106">
        <f>IF(BA129="","",IFERROR(BA129*HSTECH!$B$20*HSTECH!$G$20/HSTECH!$B$3,""))</f>
        <v/>
      </c>
      <c r="DP129" s="106">
        <f>IF(BB129="","",IFERROR(BB129*HSTECH!$B$20*HSTECH!$G$20/HSTECH!$B$3,""))</f>
        <v/>
      </c>
      <c r="DQ129" s="106">
        <f>IF(BC129="","",IFERROR(BC129*HSTECH!$B$20*HSTECH!$G$20/HSTECH!$B$3,""))</f>
        <v/>
      </c>
      <c r="DR129" s="106">
        <f>IF(BD129="","",IFERROR(BD129*HSTECH!$B$20*HSTECH!$G$20/HSTECH!$B$3,""))</f>
        <v/>
      </c>
      <c r="DS129" s="106">
        <f>IF(BE129="","",IFERROR(BE129*HSTECH!$B$20*HSTECH!$G$20/HSTECH!$B$3,""))</f>
        <v/>
      </c>
      <c r="DT129" s="106">
        <f>IF(BF129="","",IFERROR(BF129*HSTECH!$B$20*HSTECH!$G$20/HSTECH!$B$3,""))</f>
        <v/>
      </c>
      <c r="DU129" s="106">
        <f>IF(BG129="","",IFERROR(BG129*HSTECH!$B$20*HSTECH!$G$20/HSTECH!$B$3,""))</f>
        <v/>
      </c>
      <c r="DV129" s="106">
        <f>IF(BH129="","",IFERROR(BH129*HSTECH!$B$20*HSTECH!$G$20/HSTECH!$B$3,""))</f>
        <v/>
      </c>
      <c r="DW129" s="106">
        <f>IF(BI129="","",IFERROR(BI129*HSTECH!$B$20*HSTECH!$G$20/HSTECH!$B$3,""))</f>
        <v/>
      </c>
      <c r="DX129" s="106">
        <f>IF(BJ129="","",IFERROR(BJ129*HSTECH!$B$20*HSTECH!$G$20/HSTECH!$B$3,""))</f>
        <v/>
      </c>
      <c r="DY129" s="106">
        <f>IF(BK129="","",IFERROR(BK129*HSTECH!$B$20*HSTECH!$G$20/HSTECH!$B$3,""))</f>
        <v/>
      </c>
      <c r="DZ129" s="106">
        <f>IF(BL129="","",IFERROR(BL129*HSTECH!$B$20*HSTECH!$G$20/HSTECH!$B$3,""))</f>
        <v/>
      </c>
      <c r="EA129" s="106">
        <f>IF(BM129="","",IFERROR(BM129*HSTECH!$B$20*HSTECH!$G$20/HSTECH!$B$3,""))</f>
        <v/>
      </c>
      <c r="EB129" s="106">
        <f>IF(BN129="","",IFERROR(BN129*HSTECH!$B$20*HSTECH!$G$20/HSTECH!$B$3,""))</f>
        <v/>
      </c>
      <c r="EC129" s="106">
        <f>IF(BO129="","",IFERROR(BO129*HSTECH!$B$20*HSTECH!$G$20/HSTECH!$B$3,""))</f>
        <v/>
      </c>
      <c r="EE129" s="35">
        <f>IF(N('Dvd Calendar'!$E$1259)=0,"",IF(('Dvd Calendar'!$E$1259&gt;=GRID_FROM)*('Dvd Calendar'!$E$1259&lt;=GRID_TO)*('Dvd Calendar'!$E$1259&lt;=VAL_DATE)=0,"",'Dvd Calendar'!$E$1259*1000000000+ISNUMBER('Dvd Calendar'!$E$1262)*100000000+('Dvd Calendar'!$E$1264=SPECIAL_LBL)*10000000+0*1000000+14*1000+1))</f>
        <v/>
      </c>
      <c r="EF129" s="35">
        <f>IF(N('Dvd Calendar'!$F$1259)=0,"",IF(('Dvd Calendar'!$F$1259&gt;=GRID_FROM)*('Dvd Calendar'!$F$1259&lt;=GRID_TO)*('Dvd Calendar'!$F$1259&lt;=VAL_DATE)=0,"",'Dvd Calendar'!$F$1259*1000000000+ISNUMBER('Dvd Calendar'!$F$1262)*100000000+('Dvd Calendar'!$F$1264=SPECIAL_LBL)*10000000+0*1000000+14*1000+2))</f>
        <v/>
      </c>
      <c r="EG129" s="35">
        <f>IF(N('Dvd Calendar'!$G$1259)=0,"",IF(('Dvd Calendar'!$G$1259&gt;=GRID_FROM)*('Dvd Calendar'!$G$1259&lt;=GRID_TO)*('Dvd Calendar'!$G$1259&lt;=VAL_DATE)=0,"",'Dvd Calendar'!$G$1259*1000000000+ISNUMBER('Dvd Calendar'!$G$1262)*100000000+('Dvd Calendar'!$G$1264=SPECIAL_LBL)*10000000+0*1000000+14*1000+3))</f>
        <v/>
      </c>
      <c r="EH129" s="35">
        <f>IF(N('Dvd Calendar'!$H$1259)=0,"",IF(('Dvd Calendar'!$H$1259&gt;=GRID_FROM)*('Dvd Calendar'!$H$1259&lt;=GRID_TO)*('Dvd Calendar'!$H$1259&lt;=VAL_DATE)=0,"",'Dvd Calendar'!$H$1259*1000000000+ISNUMBER('Dvd Calendar'!$H$1262)*100000000+('Dvd Calendar'!$H$1264=SPECIAL_LBL)*10000000+0*1000000+14*1000+4))</f>
        <v/>
      </c>
      <c r="EI129" s="35">
        <f>IF(N('Dvd Calendar'!$I$1259)=0,"",IF(('Dvd Calendar'!$I$1259&gt;=GRID_FROM)*('Dvd Calendar'!$I$1259&lt;=GRID_TO)*('Dvd Calendar'!$I$1259&lt;=VAL_DATE)=0,"",'Dvd Calendar'!$I$1259*1000000000+ISNUMBER('Dvd Calendar'!$I$1262)*100000000+('Dvd Calendar'!$I$1264=SPECIAL_LBL)*10000000+0*1000000+14*1000+5))</f>
        <v/>
      </c>
      <c r="EJ129" s="35">
        <f>IF(N('Dvd Calendar'!$J$1259)=0,"",IF(('Dvd Calendar'!$J$1259&gt;=GRID_FROM)*('Dvd Calendar'!$J$1259&lt;=GRID_TO)*('Dvd Calendar'!$J$1259&lt;=VAL_DATE)=0,"",'Dvd Calendar'!$J$1259*1000000000+ISNUMBER('Dvd Calendar'!$J$1262)*100000000+('Dvd Calendar'!$J$1264=SPECIAL_LBL)*10000000+0*1000000+14*1000+6))</f>
        <v/>
      </c>
      <c r="EK129" s="35">
        <f>IF(N('Dvd Calendar'!$K$1259)=0,"",IF(('Dvd Calendar'!$K$1259&gt;=GRID_FROM)*('Dvd Calendar'!$K$1259&lt;=GRID_TO)*('Dvd Calendar'!$K$1259&lt;=VAL_DATE)=0,"",'Dvd Calendar'!$K$1259*1000000000+ISNUMBER('Dvd Calendar'!$K$1262)*100000000+('Dvd Calendar'!$K$1264=SPECIAL_LBL)*10000000+0*1000000+14*1000+7))</f>
        <v/>
      </c>
      <c r="EL129" s="35">
        <f>IF(N('Dvd Calendar'!$L$1259)=0,"",IF(('Dvd Calendar'!$L$1259&gt;=GRID_FROM)*('Dvd Calendar'!$L$1259&lt;=GRID_TO)*('Dvd Calendar'!$L$1259&lt;=VAL_DATE)=0,"",'Dvd Calendar'!$L$1259*1000000000+ISNUMBER('Dvd Calendar'!$L$1262)*100000000+('Dvd Calendar'!$L$1264=SPECIAL_LBL)*10000000+0*1000000+14*1000+8))</f>
        <v/>
      </c>
      <c r="EM129" s="35">
        <f>IF(N('Dvd Calendar'!$M$1259)=0,"",IF(('Dvd Calendar'!$M$1259&gt;=GRID_FROM)*('Dvd Calendar'!$M$1259&lt;=GRID_TO)*('Dvd Calendar'!$M$1259&lt;=VAL_DATE)=0,"",'Dvd Calendar'!$M$1259*1000000000+ISNUMBER('Dvd Calendar'!$M$1262)*100000000+('Dvd Calendar'!$M$1264=SPECIAL_LBL)*10000000+0*1000000+14*1000+9))</f>
        <v/>
      </c>
      <c r="EN129" s="35">
        <f>IF(N('Dvd Calendar'!$N$1259)=0,"",IF(('Dvd Calendar'!$N$1259&gt;=GRID_FROM)*('Dvd Calendar'!$N$1259&lt;=GRID_TO)*('Dvd Calendar'!$N$1259&lt;=VAL_DATE)=0,"",'Dvd Calendar'!$N$1259*1000000000+ISNUMBER('Dvd Calendar'!$N$1262)*100000000+('Dvd Calendar'!$N$1264=SPECIAL_LBL)*10000000+0*1000000+14*1000+10))</f>
        <v/>
      </c>
      <c r="EO129" s="35">
        <f>IF(N('Dvd Calendar'!$O$1259)=0,"",IF(('Dvd Calendar'!$O$1259&gt;=GRID_FROM)*('Dvd Calendar'!$O$1259&lt;=GRID_TO)*('Dvd Calendar'!$O$1259&lt;=VAL_DATE)=0,"",'Dvd Calendar'!$O$1259*1000000000+ISNUMBER('Dvd Calendar'!$O$1262)*100000000+('Dvd Calendar'!$O$1264=SPECIAL_LBL)*10000000+0*1000000+14*1000+11))</f>
        <v/>
      </c>
      <c r="EP129" s="35">
        <f>IF(N('Dvd Calendar'!$P$1259)=0,"",IF(('Dvd Calendar'!$P$1259&gt;=GRID_FROM)*('Dvd Calendar'!$P$1259&lt;=GRID_TO)*('Dvd Calendar'!$P$1259&lt;=VAL_DATE)=0,"",'Dvd Calendar'!$P$1259*1000000000+ISNUMBER('Dvd Calendar'!$P$1262)*100000000+('Dvd Calendar'!$P$1264=SPECIAL_LBL)*10000000+0*1000000+14*1000+12))</f>
        <v/>
      </c>
      <c r="EQ129" s="35">
        <f>IF(N('Dvd Calendar'!$Q$1259)=0,"",IF(('Dvd Calendar'!$Q$1259&gt;=GRID_FROM)*('Dvd Calendar'!$Q$1259&lt;=GRID_TO)*('Dvd Calendar'!$Q$1259&lt;=VAL_DATE)=0,"",'Dvd Calendar'!$Q$1259*1000000000+ISNUMBER('Dvd Calendar'!$Q$1262)*100000000+('Dvd Calendar'!$Q$1264=SPECIAL_LBL)*10000000+0*1000000+14*1000+13))</f>
        <v/>
      </c>
      <c r="ER129" s="35">
        <f>IF(N('Dvd Calendar'!$R$1259)=0,"",IF(('Dvd Calendar'!$R$1259&gt;=GRID_FROM)*('Dvd Calendar'!$R$1259&lt;=GRID_TO)*('Dvd Calendar'!$R$1259&lt;=VAL_DATE)=0,"",'Dvd Calendar'!$R$1259*1000000000+ISNUMBER('Dvd Calendar'!$R$1262)*100000000+('Dvd Calendar'!$R$1264=SPECIAL_LBL)*10000000+0*1000000+14*1000+14))</f>
        <v/>
      </c>
      <c r="ES129" s="35">
        <f>IF(N('Dvd Calendar'!$S$1259)=0,"",IF(('Dvd Calendar'!$S$1259&gt;=GRID_FROM)*('Dvd Calendar'!$S$1259&lt;=GRID_TO)*('Dvd Calendar'!$S$1259&lt;=VAL_DATE)=0,"",'Dvd Calendar'!$S$1259*1000000000+ISNUMBER('Dvd Calendar'!$S$1262)*100000000+('Dvd Calendar'!$S$1264=SPECIAL_LBL)*10000000+0*1000000+14*1000+15))</f>
        <v/>
      </c>
      <c r="ET129" s="35">
        <f>IF(N('Dvd Calendar'!$T$1259)=0,"",IF(('Dvd Calendar'!$T$1259&gt;=GRID_FROM)*('Dvd Calendar'!$T$1259&lt;=GRID_TO)*('Dvd Calendar'!$T$1259&lt;=VAL_DATE)=0,"",'Dvd Calendar'!$T$1259*1000000000+ISNUMBER('Dvd Calendar'!$T$1262)*100000000+('Dvd Calendar'!$T$1264=SPECIAL_LBL)*10000000+0*1000000+14*1000+16))</f>
        <v/>
      </c>
      <c r="EU129" s="35">
        <f>IF(N('Dvd Calendar'!$U$1259)=0,"",IF(('Dvd Calendar'!$U$1259&gt;=GRID_FROM)*('Dvd Calendar'!$U$1259&lt;=GRID_TO)*('Dvd Calendar'!$U$1259&lt;=VAL_DATE)=0,"",'Dvd Calendar'!$U$1259*1000000000+ISNUMBER('Dvd Calendar'!$U$1262)*100000000+('Dvd Calendar'!$U$1264=SPECIAL_LBL)*10000000+0*1000000+14*1000+17))</f>
        <v/>
      </c>
      <c r="EV129" s="35">
        <f>IF(N('Dvd Calendar'!$V$1259)=0,"",IF(('Dvd Calendar'!$V$1259&gt;=GRID_FROM)*('Dvd Calendar'!$V$1259&lt;=GRID_TO)*('Dvd Calendar'!$V$1259&lt;=VAL_DATE)=0,"",'Dvd Calendar'!$V$1259*1000000000+ISNUMBER('Dvd Calendar'!$V$1262)*100000000+('Dvd Calendar'!$V$1264=SPECIAL_LBL)*10000000+0*1000000+14*1000+18))</f>
        <v/>
      </c>
      <c r="EW129" s="35">
        <f>IF(N('Dvd Calendar'!$W$1259)=0,"",IF(('Dvd Calendar'!$W$1259&gt;=GRID_FROM)*('Dvd Calendar'!$W$1259&lt;=GRID_TO)*('Dvd Calendar'!$W$1259&lt;=VAL_DATE)=0,"",'Dvd Calendar'!$W$1259*1000000000+ISNUMBER('Dvd Calendar'!$W$1262)*100000000+('Dvd Calendar'!$W$1264=SPECIAL_LBL)*10000000+0*1000000+14*1000+19))</f>
        <v/>
      </c>
      <c r="EX129" s="35">
        <f>IF(N('Dvd Calendar'!$X$1259)=0,"",IF(('Dvd Calendar'!$X$1259&gt;=GRID_FROM)*('Dvd Calendar'!$X$1259&lt;=GRID_TO)*('Dvd Calendar'!$X$1259&lt;=VAL_DATE)=0,"",'Dvd Calendar'!$X$1259*1000000000+ISNUMBER('Dvd Calendar'!$X$1262)*100000000+('Dvd Calendar'!$X$1264=SPECIAL_LBL)*10000000+0*1000000+14*1000+20))</f>
        <v/>
      </c>
      <c r="EY129" s="35">
        <f>IF(N('Dvd Calendar'!$Y$1259)=0,"",IF(('Dvd Calendar'!$Y$1259&gt;=GRID_FROM)*('Dvd Calendar'!$Y$1259&lt;=GRID_TO)*('Dvd Calendar'!$Y$1259&lt;=VAL_DATE)=0,"",'Dvd Calendar'!$Y$1259*1000000000+ISNUMBER('Dvd Calendar'!$Y$1262)*100000000+('Dvd Calendar'!$Y$1264=SPECIAL_LBL)*10000000+0*1000000+14*1000+21))</f>
        <v/>
      </c>
      <c r="EZ129" s="35">
        <f>IF(N('Dvd Calendar'!$Z$1259)=0,"",IF(('Dvd Calendar'!$Z$1259&gt;=GRID_FROM)*('Dvd Calendar'!$Z$1259&lt;=GRID_TO)*('Dvd Calendar'!$Z$1259&lt;=VAL_DATE)=0,"",'Dvd Calendar'!$Z$1259*1000000000+ISNUMBER('Dvd Calendar'!$Z$1262)*100000000+('Dvd Calendar'!$Z$1264=SPECIAL_LBL)*10000000+0*1000000+14*1000+22))</f>
        <v/>
      </c>
      <c r="FA129" s="35">
        <f>IF(N('Dvd Calendar'!$AA$1259)=0,"",IF(('Dvd Calendar'!$AA$1259&gt;=GRID_FROM)*('Dvd Calendar'!$AA$1259&lt;=GRID_TO)*('Dvd Calendar'!$AA$1259&lt;=VAL_DATE)=0,"",'Dvd Calendar'!$AA$1259*1000000000+ISNUMBER('Dvd Calendar'!$AA$1262)*100000000+('Dvd Calendar'!$AA$1264=SPECIAL_LBL)*10000000+0*1000000+14*1000+23))</f>
        <v/>
      </c>
      <c r="FB129" s="35">
        <f>IF(N('Dvd Calendar'!$AB$1259)=0,"",IF(('Dvd Calendar'!$AB$1259&gt;=GRID_FROM)*('Dvd Calendar'!$AB$1259&lt;=GRID_TO)*('Dvd Calendar'!$AB$1259&lt;=VAL_DATE)=0,"",'Dvd Calendar'!$AB$1259*1000000000+ISNUMBER('Dvd Calendar'!$AB$1262)*100000000+('Dvd Calendar'!$AB$1264=SPECIAL_LBL)*10000000+0*1000000+14*1000+24))</f>
        <v/>
      </c>
      <c r="FC129" s="35">
        <f>IF(N('Dvd Calendar'!$AC$1259)=0,"",IF(('Dvd Calendar'!$AC$1259&gt;=GRID_FROM)*('Dvd Calendar'!$AC$1259&lt;=GRID_TO)*('Dvd Calendar'!$AC$1259&lt;=VAL_DATE)=0,"",'Dvd Calendar'!$AC$1259*1000000000+ISNUMBER('Dvd Calendar'!$AC$1262)*100000000+('Dvd Calendar'!$AC$1264=SPECIAL_LBL)*10000000+0*1000000+14*1000+25))</f>
        <v/>
      </c>
      <c r="FD129" s="35">
        <f>IF(N('Dvd Calendar'!$AD$1259)=0,"",IF(('Dvd Calendar'!$AD$1259&gt;=GRID_FROM)*('Dvd Calendar'!$AD$1259&lt;=GRID_TO)*('Dvd Calendar'!$AD$1259&lt;=VAL_DATE)=0,"",'Dvd Calendar'!$AD$1259*1000000000+ISNUMBER('Dvd Calendar'!$AD$1262)*100000000+('Dvd Calendar'!$AD$1264=SPECIAL_LBL)*10000000+0*1000000+14*1000+26))</f>
        <v/>
      </c>
      <c r="FE129" s="35">
        <f>IF(N('Dvd Calendar'!$AE$1259)=0,"",IF(('Dvd Calendar'!$AE$1259&gt;=GRID_FROM)*('Dvd Calendar'!$AE$1259&lt;=GRID_TO)*('Dvd Calendar'!$AE$1259&lt;=VAL_DATE)=0,"",'Dvd Calendar'!$AE$1259*1000000000+ISNUMBER('Dvd Calendar'!$AE$1262)*100000000+('Dvd Calendar'!$AE$1264=SPECIAL_LBL)*10000000+0*1000000+14*1000+27))</f>
        <v/>
      </c>
      <c r="FF129" s="35">
        <f>IF(N('Dvd Calendar'!$AF$1259)=0,"",IF(('Dvd Calendar'!$AF$1259&gt;=GRID_FROM)*('Dvd Calendar'!$AF$1259&lt;=GRID_TO)*('Dvd Calendar'!$AF$1259&lt;=VAL_DATE)=0,"",'Dvd Calendar'!$AF$1259*1000000000+ISNUMBER('Dvd Calendar'!$AF$1262)*100000000+('Dvd Calendar'!$AF$1264=SPECIAL_LBL)*10000000+0*1000000+14*1000+28))</f>
        <v/>
      </c>
      <c r="FG129" s="35">
        <f>IF(N('Dvd Calendar'!$AG$1259)=0,"",IF(('Dvd Calendar'!$AG$1259&gt;=GRID_FROM)*('Dvd Calendar'!$AG$1259&lt;=GRID_TO)*('Dvd Calendar'!$AG$1259&lt;=VAL_DATE)=0,"",'Dvd Calendar'!$AG$1259*1000000000+ISNUMBER('Dvd Calendar'!$AG$1262)*100000000+('Dvd Calendar'!$AG$1264=SPECIAL_LBL)*10000000+0*1000000+14*1000+29))</f>
        <v/>
      </c>
      <c r="FH129" s="35">
        <f>IF(N('Dvd Calendar'!$AH$1259)=0,"",IF(('Dvd Calendar'!$AH$1259&gt;=GRID_FROM)*('Dvd Calendar'!$AH$1259&lt;=GRID_TO)*('Dvd Calendar'!$AH$1259&lt;=VAL_DATE)=0,"",'Dvd Calendar'!$AH$1259*1000000000+ISNUMBER('Dvd Calendar'!$AH$1262)*100000000+('Dvd Calendar'!$AH$1264=SPECIAL_LBL)*10000000+0*1000000+14*1000+30))</f>
        <v/>
      </c>
      <c r="FI129" s="35">
        <f>IF(N('Dvd Calendar'!$AI$1259)=0,"",IF(('Dvd Calendar'!$AI$1259&gt;=GRID_FROM)*('Dvd Calendar'!$AI$1259&lt;=GRID_TO)*('Dvd Calendar'!$AI$1259&lt;=VAL_DATE)=0,"",'Dvd Calendar'!$AI$1259*1000000000+ISNUMBER('Dvd Calendar'!$AI$1262)*100000000+('Dvd Calendar'!$AI$1264=SPECIAL_LBL)*10000000+0*1000000+14*1000+31))</f>
        <v/>
      </c>
      <c r="FJ129" s="35">
        <f>IF(N('Dvd Calendar'!$AJ$1259)=0,"",IF(('Dvd Calendar'!$AJ$1259&gt;=GRID_FROM)*('Dvd Calendar'!$AJ$1259&lt;=GRID_TO)*('Dvd Calendar'!$AJ$1259&lt;=VAL_DATE)=0,"",'Dvd Calendar'!$AJ$1259*1000000000+ISNUMBER('Dvd Calendar'!$AJ$1262)*100000000+('Dvd Calendar'!$AJ$1264=SPECIAL_LBL)*10000000+0*1000000+14*1000+32))</f>
        <v/>
      </c>
      <c r="FK129" s="35">
        <f>IF(N('Dvd Calendar'!$AK$1259)=0,"",IF(('Dvd Calendar'!$AK$1259&gt;=GRID_FROM)*('Dvd Calendar'!$AK$1259&lt;=GRID_TO)*('Dvd Calendar'!$AK$1259&lt;=VAL_DATE)=0,"",'Dvd Calendar'!$AK$1259*1000000000+ISNUMBER('Dvd Calendar'!$AK$1262)*100000000+('Dvd Calendar'!$AK$1264=SPECIAL_LBL)*10000000+0*1000000+14*1000+33))</f>
        <v/>
      </c>
      <c r="FL129" s="35">
        <f>IF(N('Dvd Calendar'!$AL$1259)=0,"",IF(('Dvd Calendar'!$AL$1259&gt;=GRID_FROM)*('Dvd Calendar'!$AL$1259&lt;=GRID_TO)*('Dvd Calendar'!$AL$1259&lt;=VAL_DATE)=0,"",'Dvd Calendar'!$AL$1259*1000000000+ISNUMBER('Dvd Calendar'!$AL$1262)*100000000+('Dvd Calendar'!$AL$1264=SPECIAL_LBL)*10000000+0*1000000+14*1000+34))</f>
        <v/>
      </c>
      <c r="FM129" s="35">
        <f>IF(N('Dvd Calendar'!$AM$1259)=0,"",IF(('Dvd Calendar'!$AM$1259&gt;=GRID_FROM)*('Dvd Calendar'!$AM$1259&lt;=GRID_TO)*('Dvd Calendar'!$AM$1259&lt;=VAL_DATE)=0,"",'Dvd Calendar'!$AM$1259*1000000000+ISNUMBER('Dvd Calendar'!$AM$1262)*100000000+('Dvd Calendar'!$AM$1264=SPECIAL_LBL)*10000000+0*1000000+14*1000+35))</f>
        <v/>
      </c>
      <c r="FN129" s="35">
        <f>IF(N('Dvd Calendar'!$AN$1259)=0,"",IF(('Dvd Calendar'!$AN$1259&gt;=GRID_FROM)*('Dvd Calendar'!$AN$1259&lt;=GRID_TO)*('Dvd Calendar'!$AN$1259&lt;=VAL_DATE)=0,"",'Dvd Calendar'!$AN$1259*1000000000+ISNUMBER('Dvd Calendar'!$AN$1262)*100000000+('Dvd Calendar'!$AN$1264=SPECIAL_LBL)*10000000+0*1000000+14*1000+36))</f>
        <v/>
      </c>
      <c r="FO129" s="35">
        <f>IF(N('Dvd Calendar'!$AO$1259)=0,"",IF(('Dvd Calendar'!$AO$1259&gt;=GRID_FROM)*('Dvd Calendar'!$AO$1259&lt;=GRID_TO)*('Dvd Calendar'!$AO$1259&lt;=VAL_DATE)=0,"",'Dvd Calendar'!$AO$1259*1000000000+ISNUMBER('Dvd Calendar'!$AO$1262)*100000000+('Dvd Calendar'!$AO$1264=SPECIAL_LBL)*10000000+0*1000000+14*1000+37))</f>
        <v/>
      </c>
      <c r="FP129" s="35">
        <f>IF(N('Dvd Calendar'!$AP$1259)=0,"",IF(('Dvd Calendar'!$AP$1259&gt;=GRID_FROM)*('Dvd Calendar'!$AP$1259&lt;=GRID_TO)*('Dvd Calendar'!$AP$1259&lt;=VAL_DATE)=0,"",'Dvd Calendar'!$AP$1259*1000000000+ISNUMBER('Dvd Calendar'!$AP$1262)*100000000+('Dvd Calendar'!$AP$1264=SPECIAL_LBL)*10000000+0*1000000+14*1000+38))</f>
        <v/>
      </c>
      <c r="FQ129" s="35">
        <f>IF(N('Dvd Calendar'!$AQ$1259)=0,"",IF(('Dvd Calendar'!$AQ$1259&gt;=GRID_FROM)*('Dvd Calendar'!$AQ$1259&lt;=GRID_TO)*('Dvd Calendar'!$AQ$1259&lt;=VAL_DATE)=0,"",'Dvd Calendar'!$AQ$1259*1000000000+ISNUMBER('Dvd Calendar'!$AQ$1262)*100000000+('Dvd Calendar'!$AQ$1264=SPECIAL_LBL)*10000000+0*1000000+14*1000+39))</f>
        <v/>
      </c>
      <c r="FR129" s="35">
        <f>IF(N('Dvd Calendar'!$AR$1259)=0,"",IF(('Dvd Calendar'!$AR$1259&gt;=GRID_FROM)*('Dvd Calendar'!$AR$1259&lt;=GRID_TO)*('Dvd Calendar'!$AR$1259&lt;=VAL_DATE)=0,"",'Dvd Calendar'!$AR$1259*1000000000+ISNUMBER('Dvd Calendar'!$AR$1262)*100000000+('Dvd Calendar'!$AR$1264=SPECIAL_LBL)*10000000+0*1000000+14*1000+40))</f>
        <v/>
      </c>
      <c r="FS129" s="35">
        <f>IF(N('Dvd Calendar'!$E$1266)=0,"",IF(('Dvd Calendar'!$E$1266&gt;=GRID_FROM)*('Dvd Calendar'!$E$1266&lt;=GRID_TO)*('Dvd Calendar'!$E$1266&gt;VAL_DATE)=0,"",'Dvd Calendar'!$E$1266*1000000000+ISNUMBER('Dvd Calendar'!$E$1267)*100000000+0*10000000+(N('Dvd Calendar'!$E$1265)&gt;0)*(N('Dvd Calendar'!$E$1265)&lt;=VAL_SERIAL)*1000000+14*1000+41))</f>
        <v/>
      </c>
      <c r="FT129" s="35">
        <f>IF(N('Dvd Calendar'!$F$1266)=0,"",IF(('Dvd Calendar'!$F$1266&gt;=GRID_FROM)*('Dvd Calendar'!$F$1266&lt;=GRID_TO)*('Dvd Calendar'!$F$1266&gt;VAL_DATE)=0,"",'Dvd Calendar'!$F$1266*1000000000+ISNUMBER('Dvd Calendar'!$F$1267)*100000000+0*10000000+(N('Dvd Calendar'!$F$1265)&gt;0)*(N('Dvd Calendar'!$F$1265)&lt;=VAL_SERIAL)*1000000+14*1000+42))</f>
        <v/>
      </c>
      <c r="FU129" s="35">
        <f>IF(N('Dvd Calendar'!$G$1266)=0,"",IF(('Dvd Calendar'!$G$1266&gt;=GRID_FROM)*('Dvd Calendar'!$G$1266&lt;=GRID_TO)*('Dvd Calendar'!$G$1266&gt;VAL_DATE)=0,"",'Dvd Calendar'!$G$1266*1000000000+ISNUMBER('Dvd Calendar'!$G$1267)*100000000+0*10000000+(N('Dvd Calendar'!$G$1265)&gt;0)*(N('Dvd Calendar'!$G$1265)&lt;=VAL_SERIAL)*1000000+14*1000+43))</f>
        <v/>
      </c>
      <c r="FV129" s="35">
        <f>IF(N('Dvd Calendar'!$H$1266)=0,"",IF(('Dvd Calendar'!$H$1266&gt;=GRID_FROM)*('Dvd Calendar'!$H$1266&lt;=GRID_TO)*('Dvd Calendar'!$H$1266&gt;VAL_DATE)=0,"",'Dvd Calendar'!$H$1266*1000000000+ISNUMBER('Dvd Calendar'!$H$1267)*100000000+0*10000000+(N('Dvd Calendar'!$H$1265)&gt;0)*(N('Dvd Calendar'!$H$1265)&lt;=VAL_SERIAL)*1000000+14*1000+44))</f>
        <v/>
      </c>
      <c r="FW129" s="35">
        <f>IF(N('Dvd Calendar'!$I$1266)=0,"",IF(('Dvd Calendar'!$I$1266&gt;=GRID_FROM)*('Dvd Calendar'!$I$1266&lt;=GRID_TO)*('Dvd Calendar'!$I$1266&gt;VAL_DATE)=0,"",'Dvd Calendar'!$I$1266*1000000000+ISNUMBER('Dvd Calendar'!$I$1267)*100000000+0*10000000+(N('Dvd Calendar'!$I$1265)&gt;0)*(N('Dvd Calendar'!$I$1265)&lt;=VAL_SERIAL)*1000000+14*1000+45))</f>
        <v/>
      </c>
      <c r="FX129" s="35">
        <f>IF(N('Dvd Calendar'!$J$1266)=0,"",IF(('Dvd Calendar'!$J$1266&gt;=GRID_FROM)*('Dvd Calendar'!$J$1266&lt;=GRID_TO)*('Dvd Calendar'!$J$1266&gt;VAL_DATE)=0,"",'Dvd Calendar'!$J$1266*1000000000+ISNUMBER('Dvd Calendar'!$J$1267)*100000000+0*10000000+(N('Dvd Calendar'!$J$1265)&gt;0)*(N('Dvd Calendar'!$J$1265)&lt;=VAL_SERIAL)*1000000+14*1000+46))</f>
        <v/>
      </c>
      <c r="FY129" s="35">
        <f>IF(N('Dvd Calendar'!$K$1266)=0,"",IF(('Dvd Calendar'!$K$1266&gt;=GRID_FROM)*('Dvd Calendar'!$K$1266&lt;=GRID_TO)*('Dvd Calendar'!$K$1266&gt;VAL_DATE)=0,"",'Dvd Calendar'!$K$1266*1000000000+ISNUMBER('Dvd Calendar'!$K$1267)*100000000+0*10000000+(N('Dvd Calendar'!$K$1265)&gt;0)*(N('Dvd Calendar'!$K$1265)&lt;=VAL_SERIAL)*1000000+14*1000+47))</f>
        <v/>
      </c>
      <c r="FZ129" s="35">
        <f>IF(N('Dvd Calendar'!$L$1266)=0,"",IF(('Dvd Calendar'!$L$1266&gt;=GRID_FROM)*('Dvd Calendar'!$L$1266&lt;=GRID_TO)*('Dvd Calendar'!$L$1266&gt;VAL_DATE)=0,"",'Dvd Calendar'!$L$1266*1000000000+ISNUMBER('Dvd Calendar'!$L$1267)*100000000+0*10000000+(N('Dvd Calendar'!$L$1265)&gt;0)*(N('Dvd Calendar'!$L$1265)&lt;=VAL_SERIAL)*1000000+14*1000+48))</f>
        <v/>
      </c>
      <c r="GA129" s="35">
        <f>IF(N('Dvd Calendar'!$M$1266)=0,"",IF(('Dvd Calendar'!$M$1266&gt;=GRID_FROM)*('Dvd Calendar'!$M$1266&lt;=GRID_TO)*('Dvd Calendar'!$M$1266&gt;VAL_DATE)=0,"",'Dvd Calendar'!$M$1266*1000000000+ISNUMBER('Dvd Calendar'!$M$1267)*100000000+0*10000000+(N('Dvd Calendar'!$M$1265)&gt;0)*(N('Dvd Calendar'!$M$1265)&lt;=VAL_SERIAL)*1000000+14*1000+49))</f>
        <v/>
      </c>
      <c r="GB129" s="35">
        <f>IF(N('Dvd Calendar'!$N$1266)=0,"",IF(('Dvd Calendar'!$N$1266&gt;=GRID_FROM)*('Dvd Calendar'!$N$1266&lt;=GRID_TO)*('Dvd Calendar'!$N$1266&gt;VAL_DATE)=0,"",'Dvd Calendar'!$N$1266*1000000000+ISNUMBER('Dvd Calendar'!$N$1267)*100000000+0*10000000+(N('Dvd Calendar'!$N$1265)&gt;0)*(N('Dvd Calendar'!$N$1265)&lt;=VAL_SERIAL)*1000000+14*1000+50))</f>
        <v/>
      </c>
      <c r="GC129" s="35">
        <f>IF(N('Dvd Calendar'!$O$1266)=0,"",IF(('Dvd Calendar'!$O$1266&gt;=GRID_FROM)*('Dvd Calendar'!$O$1266&lt;=GRID_TO)*('Dvd Calendar'!$O$1266&gt;VAL_DATE)=0,"",'Dvd Calendar'!$O$1266*1000000000+ISNUMBER('Dvd Calendar'!$O$1267)*100000000+0*10000000+(N('Dvd Calendar'!$O$1265)&gt;0)*(N('Dvd Calendar'!$O$1265)&lt;=VAL_SERIAL)*1000000+14*1000+51))</f>
        <v/>
      </c>
      <c r="GD129" s="35">
        <f>IF(N('Dvd Calendar'!$P$1266)=0,"",IF(('Dvd Calendar'!$P$1266&gt;=GRID_FROM)*('Dvd Calendar'!$P$1266&lt;=GRID_TO)*('Dvd Calendar'!$P$1266&gt;VAL_DATE)=0,"",'Dvd Calendar'!$P$1266*1000000000+ISNUMBER('Dvd Calendar'!$P$1267)*100000000+0*10000000+(N('Dvd Calendar'!$P$1265)&gt;0)*(N('Dvd Calendar'!$P$1265)&lt;=VAL_SERIAL)*1000000+14*1000+52))</f>
        <v/>
      </c>
      <c r="GE129" s="35">
        <f>IF(N('Dvd Calendar'!$Q$1266)=0,"",IF(('Dvd Calendar'!$Q$1266&gt;=GRID_FROM)*('Dvd Calendar'!$Q$1266&lt;=GRID_TO)*('Dvd Calendar'!$Q$1266&gt;VAL_DATE)=0,"",'Dvd Calendar'!$Q$1266*1000000000+ISNUMBER('Dvd Calendar'!$Q$1267)*100000000+0*10000000+(N('Dvd Calendar'!$Q$1265)&gt;0)*(N('Dvd Calendar'!$Q$1265)&lt;=VAL_SERIAL)*1000000+14*1000+53))</f>
        <v/>
      </c>
      <c r="GF129" s="35">
        <f>IF(N('Dvd Calendar'!$R$1266)=0,"",IF(('Dvd Calendar'!$R$1266&gt;=GRID_FROM)*('Dvd Calendar'!$R$1266&lt;=GRID_TO)*('Dvd Calendar'!$R$1266&gt;VAL_DATE)=0,"",'Dvd Calendar'!$R$1266*1000000000+ISNUMBER('Dvd Calendar'!$R$1267)*100000000+0*10000000+(N('Dvd Calendar'!$R$1265)&gt;0)*(N('Dvd Calendar'!$R$1265)&lt;=VAL_SERIAL)*1000000+14*1000+54))</f>
        <v/>
      </c>
      <c r="GG129" s="35">
        <f>IF(N('Dvd Calendar'!$S$1266)=0,"",IF(('Dvd Calendar'!$S$1266&gt;=GRID_FROM)*('Dvd Calendar'!$S$1266&lt;=GRID_TO)*('Dvd Calendar'!$S$1266&gt;VAL_DATE)=0,"",'Dvd Calendar'!$S$1266*1000000000+ISNUMBER('Dvd Calendar'!$S$1267)*100000000+0*10000000+(N('Dvd Calendar'!$S$1265)&gt;0)*(N('Dvd Calendar'!$S$1265)&lt;=VAL_SERIAL)*1000000+14*1000+55))</f>
        <v/>
      </c>
      <c r="GH129" s="35">
        <f>IF(N('Dvd Calendar'!$T$1266)=0,"",IF(('Dvd Calendar'!$T$1266&gt;=GRID_FROM)*('Dvd Calendar'!$T$1266&lt;=GRID_TO)*('Dvd Calendar'!$T$1266&gt;VAL_DATE)=0,"",'Dvd Calendar'!$T$1266*1000000000+ISNUMBER('Dvd Calendar'!$T$1267)*100000000+0*10000000+(N('Dvd Calendar'!$T$1265)&gt;0)*(N('Dvd Calendar'!$T$1265)&lt;=VAL_SERIAL)*1000000+14*1000+56))</f>
        <v/>
      </c>
      <c r="GI129" s="35">
        <f>IF(N('Dvd Calendar'!$U$1266)=0,"",IF(('Dvd Calendar'!$U$1266&gt;=GRID_FROM)*('Dvd Calendar'!$U$1266&lt;=GRID_TO)*('Dvd Calendar'!$U$1266&gt;VAL_DATE)=0,"",'Dvd Calendar'!$U$1266*1000000000+ISNUMBER('Dvd Calendar'!$U$1267)*100000000+0*10000000+(N('Dvd Calendar'!$U$1265)&gt;0)*(N('Dvd Calendar'!$U$1265)&lt;=VAL_SERIAL)*1000000+14*1000+57))</f>
        <v/>
      </c>
      <c r="GJ129" s="35">
        <f>IF(N('Dvd Calendar'!$V$1266)=0,"",IF(('Dvd Calendar'!$V$1266&gt;=GRID_FROM)*('Dvd Calendar'!$V$1266&lt;=GRID_TO)*('Dvd Calendar'!$V$1266&gt;VAL_DATE)=0,"",'Dvd Calendar'!$V$1266*1000000000+ISNUMBER('Dvd Calendar'!$V$1267)*100000000+0*10000000+(N('Dvd Calendar'!$V$1265)&gt;0)*(N('Dvd Calendar'!$V$1265)&lt;=VAL_SERIAL)*1000000+14*1000+58))</f>
        <v/>
      </c>
      <c r="GK129" s="35">
        <f>IF(N('Dvd Calendar'!$W$1266)=0,"",IF(('Dvd Calendar'!$W$1266&gt;=GRID_FROM)*('Dvd Calendar'!$W$1266&lt;=GRID_TO)*('Dvd Calendar'!$W$1266&gt;VAL_DATE)=0,"",'Dvd Calendar'!$W$1266*1000000000+ISNUMBER('Dvd Calendar'!$W$1267)*100000000+0*10000000+(N('Dvd Calendar'!$W$1265)&gt;0)*(N('Dvd Calendar'!$W$1265)&lt;=VAL_SERIAL)*1000000+14*1000+59))</f>
        <v/>
      </c>
      <c r="GL129" s="35">
        <f>IF(N('Dvd Calendar'!$X$1266)=0,"",IF(('Dvd Calendar'!$X$1266&gt;=GRID_FROM)*('Dvd Calendar'!$X$1266&lt;=GRID_TO)*('Dvd Calendar'!$X$1266&gt;VAL_DATE)=0,"",'Dvd Calendar'!$X$1266*1000000000+ISNUMBER('Dvd Calendar'!$X$1267)*100000000+0*10000000+(N('Dvd Calendar'!$X$1265)&gt;0)*(N('Dvd Calendar'!$X$1265)&lt;=VAL_SERIAL)*1000000+14*1000+60))</f>
        <v/>
      </c>
      <c r="GM129" s="35">
        <f>IF(N('Dvd Calendar'!$Y$1266)=0,"",IF(('Dvd Calendar'!$Y$1266&gt;=GRID_FROM)*('Dvd Calendar'!$Y$1266&lt;=GRID_TO)*('Dvd Calendar'!$Y$1266&gt;VAL_DATE)=0,"",'Dvd Calendar'!$Y$1266*1000000000+ISNUMBER('Dvd Calendar'!$Y$1267)*100000000+0*10000000+(N('Dvd Calendar'!$Y$1265)&gt;0)*(N('Dvd Calendar'!$Y$1265)&lt;=VAL_SERIAL)*1000000+14*1000+61))</f>
        <v/>
      </c>
      <c r="GN129" s="35">
        <f>IF(N('Dvd Calendar'!$Z$1266)=0,"",IF(('Dvd Calendar'!$Z$1266&gt;=GRID_FROM)*('Dvd Calendar'!$Z$1266&lt;=GRID_TO)*('Dvd Calendar'!$Z$1266&gt;VAL_DATE)=0,"",'Dvd Calendar'!$Z$1266*1000000000+ISNUMBER('Dvd Calendar'!$Z$1267)*100000000+0*10000000+(N('Dvd Calendar'!$Z$1265)&gt;0)*(N('Dvd Calendar'!$Z$1265)&lt;=VAL_SERIAL)*1000000+14*1000+62))</f>
        <v/>
      </c>
      <c r="GO129" s="35">
        <f>IF(N('Dvd Calendar'!$AA$1266)=0,"",IF(('Dvd Calendar'!$AA$1266&gt;=GRID_FROM)*('Dvd Calendar'!$AA$1266&lt;=GRID_TO)*('Dvd Calendar'!$AA$1266&gt;VAL_DATE)=0,"",'Dvd Calendar'!$AA$1266*1000000000+ISNUMBER('Dvd Calendar'!$AA$1267)*100000000+0*10000000+(N('Dvd Calendar'!$AA$1265)&gt;0)*(N('Dvd Calendar'!$AA$1265)&lt;=VAL_SERIAL)*1000000+14*1000+63))</f>
        <v/>
      </c>
      <c r="GP129" s="35">
        <f>IF(N('Dvd Calendar'!$AB$1266)=0,"",IF(('Dvd Calendar'!$AB$1266&gt;=GRID_FROM)*('Dvd Calendar'!$AB$1266&lt;=GRID_TO)*('Dvd Calendar'!$AB$1266&gt;VAL_DATE)=0,"",'Dvd Calendar'!$AB$1266*1000000000+ISNUMBER('Dvd Calendar'!$AB$1267)*100000000+0*10000000+(N('Dvd Calendar'!$AB$1265)&gt;0)*(N('Dvd Calendar'!$AB$1265)&lt;=VAL_SERIAL)*1000000+14*1000+64))</f>
        <v/>
      </c>
      <c r="GQ129" s="35">
        <f>IF(N('Dvd Calendar'!$AC$1266)=0,"",IF(('Dvd Calendar'!$AC$1266&gt;=GRID_FROM)*('Dvd Calendar'!$AC$1266&lt;=GRID_TO)*('Dvd Calendar'!$AC$1266&gt;VAL_DATE)=0,"",'Dvd Calendar'!$AC$1266*1000000000+ISNUMBER('Dvd Calendar'!$AC$1267)*100000000+0*10000000+(N('Dvd Calendar'!$AC$1265)&gt;0)*(N('Dvd Calendar'!$AC$1265)&lt;=VAL_SERIAL)*1000000+14*1000+65))</f>
        <v/>
      </c>
    </row>
    <row r="130">
      <c r="B130" s="2">
        <f>IF(HSTECH!$C$21="","",HSTECH!$C$21)</f>
        <v/>
      </c>
      <c r="C130" s="106">
        <f>IF(EE130="","",IF(ISNUMBER('Dvd Calendar'!$E$1273)=FALSE,"",IF((('Dvd Calendar'!$E$1275=TYPE1)*(TYPE1&lt;&gt;"")+('Dvd Calendar'!$E$1275=TYPE2)*(TYPE2&lt;&gt;"")+('Dvd Calendar'!$E$1275=TYPE3)*(TYPE3&lt;&gt;"")+('Dvd Calendar'!$E$1275=TYPE4)*(TYPE4&lt;&gt;"")+('Dvd Calendar'!$E$1275=SPECIAL_LBL)*(INC_SPECIALS="Y"))=0,"",'Dvd Calendar'!$E$1273)))</f>
        <v/>
      </c>
      <c r="D130" s="106">
        <f>IF(EF130="","",IF(ISNUMBER('Dvd Calendar'!$F$1273)=FALSE,"",IF((('Dvd Calendar'!$F$1275=TYPE1)*(TYPE1&lt;&gt;"")+('Dvd Calendar'!$F$1275=TYPE2)*(TYPE2&lt;&gt;"")+('Dvd Calendar'!$F$1275=TYPE3)*(TYPE3&lt;&gt;"")+('Dvd Calendar'!$F$1275=TYPE4)*(TYPE4&lt;&gt;"")+('Dvd Calendar'!$F$1275=SPECIAL_LBL)*(INC_SPECIALS="Y"))=0,"",'Dvd Calendar'!$F$1273)))</f>
        <v/>
      </c>
      <c r="E130" s="106">
        <f>IF(EG130="","",IF(ISNUMBER('Dvd Calendar'!$G$1273)=FALSE,"",IF((('Dvd Calendar'!$G$1275=TYPE1)*(TYPE1&lt;&gt;"")+('Dvd Calendar'!$G$1275=TYPE2)*(TYPE2&lt;&gt;"")+('Dvd Calendar'!$G$1275=TYPE3)*(TYPE3&lt;&gt;"")+('Dvd Calendar'!$G$1275=TYPE4)*(TYPE4&lt;&gt;"")+('Dvd Calendar'!$G$1275=SPECIAL_LBL)*(INC_SPECIALS="Y"))=0,"",'Dvd Calendar'!$G$1273)))</f>
        <v/>
      </c>
      <c r="F130" s="106">
        <f>IF(EH130="","",IF(ISNUMBER('Dvd Calendar'!$H$1273)=FALSE,"",IF((('Dvd Calendar'!$H$1275=TYPE1)*(TYPE1&lt;&gt;"")+('Dvd Calendar'!$H$1275=TYPE2)*(TYPE2&lt;&gt;"")+('Dvd Calendar'!$H$1275=TYPE3)*(TYPE3&lt;&gt;"")+('Dvd Calendar'!$H$1275=TYPE4)*(TYPE4&lt;&gt;"")+('Dvd Calendar'!$H$1275=SPECIAL_LBL)*(INC_SPECIALS="Y"))=0,"",'Dvd Calendar'!$H$1273)))</f>
        <v/>
      </c>
      <c r="G130" s="106">
        <f>IF(EI130="","",IF(ISNUMBER('Dvd Calendar'!$I$1273)=FALSE,"",IF((('Dvd Calendar'!$I$1275=TYPE1)*(TYPE1&lt;&gt;"")+('Dvd Calendar'!$I$1275=TYPE2)*(TYPE2&lt;&gt;"")+('Dvd Calendar'!$I$1275=TYPE3)*(TYPE3&lt;&gt;"")+('Dvd Calendar'!$I$1275=TYPE4)*(TYPE4&lt;&gt;"")+('Dvd Calendar'!$I$1275=SPECIAL_LBL)*(INC_SPECIALS="Y"))=0,"",'Dvd Calendar'!$I$1273)))</f>
        <v/>
      </c>
      <c r="H130" s="106">
        <f>IF(EJ130="","",IF(ISNUMBER('Dvd Calendar'!$J$1273)=FALSE,"",IF((('Dvd Calendar'!$J$1275=TYPE1)*(TYPE1&lt;&gt;"")+('Dvd Calendar'!$J$1275=TYPE2)*(TYPE2&lt;&gt;"")+('Dvd Calendar'!$J$1275=TYPE3)*(TYPE3&lt;&gt;"")+('Dvd Calendar'!$J$1275=TYPE4)*(TYPE4&lt;&gt;"")+('Dvd Calendar'!$J$1275=SPECIAL_LBL)*(INC_SPECIALS="Y"))=0,"",'Dvd Calendar'!$J$1273)))</f>
        <v/>
      </c>
      <c r="I130" s="106">
        <f>IF(EK130="","",IF(ISNUMBER('Dvd Calendar'!$K$1273)=FALSE,"",IF((('Dvd Calendar'!$K$1275=TYPE1)*(TYPE1&lt;&gt;"")+('Dvd Calendar'!$K$1275=TYPE2)*(TYPE2&lt;&gt;"")+('Dvd Calendar'!$K$1275=TYPE3)*(TYPE3&lt;&gt;"")+('Dvd Calendar'!$K$1275=TYPE4)*(TYPE4&lt;&gt;"")+('Dvd Calendar'!$K$1275=SPECIAL_LBL)*(INC_SPECIALS="Y"))=0,"",'Dvd Calendar'!$K$1273)))</f>
        <v/>
      </c>
      <c r="J130" s="106">
        <f>IF(EL130="","",IF(ISNUMBER('Dvd Calendar'!$L$1273)=FALSE,"",IF((('Dvd Calendar'!$L$1275=TYPE1)*(TYPE1&lt;&gt;"")+('Dvd Calendar'!$L$1275=TYPE2)*(TYPE2&lt;&gt;"")+('Dvd Calendar'!$L$1275=TYPE3)*(TYPE3&lt;&gt;"")+('Dvd Calendar'!$L$1275=TYPE4)*(TYPE4&lt;&gt;"")+('Dvd Calendar'!$L$1275=SPECIAL_LBL)*(INC_SPECIALS="Y"))=0,"",'Dvd Calendar'!$L$1273)))</f>
        <v/>
      </c>
      <c r="K130" s="106">
        <f>IF(EM130="","",IF(ISNUMBER('Dvd Calendar'!$M$1273)=FALSE,"",IF((('Dvd Calendar'!$M$1275=TYPE1)*(TYPE1&lt;&gt;"")+('Dvd Calendar'!$M$1275=TYPE2)*(TYPE2&lt;&gt;"")+('Dvd Calendar'!$M$1275=TYPE3)*(TYPE3&lt;&gt;"")+('Dvd Calendar'!$M$1275=TYPE4)*(TYPE4&lt;&gt;"")+('Dvd Calendar'!$M$1275=SPECIAL_LBL)*(INC_SPECIALS="Y"))=0,"",'Dvd Calendar'!$M$1273)))</f>
        <v/>
      </c>
      <c r="L130" s="106">
        <f>IF(EN130="","",IF(ISNUMBER('Dvd Calendar'!$N$1273)=FALSE,"",IF((('Dvd Calendar'!$N$1275=TYPE1)*(TYPE1&lt;&gt;"")+('Dvd Calendar'!$N$1275=TYPE2)*(TYPE2&lt;&gt;"")+('Dvd Calendar'!$N$1275=TYPE3)*(TYPE3&lt;&gt;"")+('Dvd Calendar'!$N$1275=TYPE4)*(TYPE4&lt;&gt;"")+('Dvd Calendar'!$N$1275=SPECIAL_LBL)*(INC_SPECIALS="Y"))=0,"",'Dvd Calendar'!$N$1273)))</f>
        <v/>
      </c>
      <c r="M130" s="106">
        <f>IF(EO130="","",IF(ISNUMBER('Dvd Calendar'!$O$1273)=FALSE,"",IF((('Dvd Calendar'!$O$1275=TYPE1)*(TYPE1&lt;&gt;"")+('Dvd Calendar'!$O$1275=TYPE2)*(TYPE2&lt;&gt;"")+('Dvd Calendar'!$O$1275=TYPE3)*(TYPE3&lt;&gt;"")+('Dvd Calendar'!$O$1275=TYPE4)*(TYPE4&lt;&gt;"")+('Dvd Calendar'!$O$1275=SPECIAL_LBL)*(INC_SPECIALS="Y"))=0,"",'Dvd Calendar'!$O$1273)))</f>
        <v/>
      </c>
      <c r="N130" s="106">
        <f>IF(EP130="","",IF(ISNUMBER('Dvd Calendar'!$P$1273)=FALSE,"",IF((('Dvd Calendar'!$P$1275=TYPE1)*(TYPE1&lt;&gt;"")+('Dvd Calendar'!$P$1275=TYPE2)*(TYPE2&lt;&gt;"")+('Dvd Calendar'!$P$1275=TYPE3)*(TYPE3&lt;&gt;"")+('Dvd Calendar'!$P$1275=TYPE4)*(TYPE4&lt;&gt;"")+('Dvd Calendar'!$P$1275=SPECIAL_LBL)*(INC_SPECIALS="Y"))=0,"",'Dvd Calendar'!$P$1273)))</f>
        <v/>
      </c>
      <c r="O130" s="106">
        <f>IF(EQ130="","",IF(ISNUMBER('Dvd Calendar'!$Q$1273)=FALSE,"",IF((('Dvd Calendar'!$Q$1275=TYPE1)*(TYPE1&lt;&gt;"")+('Dvd Calendar'!$Q$1275=TYPE2)*(TYPE2&lt;&gt;"")+('Dvd Calendar'!$Q$1275=TYPE3)*(TYPE3&lt;&gt;"")+('Dvd Calendar'!$Q$1275=TYPE4)*(TYPE4&lt;&gt;"")+('Dvd Calendar'!$Q$1275=SPECIAL_LBL)*(INC_SPECIALS="Y"))=0,"",'Dvd Calendar'!$Q$1273)))</f>
        <v/>
      </c>
      <c r="P130" s="106">
        <f>IF(ER130="","",IF(ISNUMBER('Dvd Calendar'!$R$1273)=FALSE,"",IF((('Dvd Calendar'!$R$1275=TYPE1)*(TYPE1&lt;&gt;"")+('Dvd Calendar'!$R$1275=TYPE2)*(TYPE2&lt;&gt;"")+('Dvd Calendar'!$R$1275=TYPE3)*(TYPE3&lt;&gt;"")+('Dvd Calendar'!$R$1275=TYPE4)*(TYPE4&lt;&gt;"")+('Dvd Calendar'!$R$1275=SPECIAL_LBL)*(INC_SPECIALS="Y"))=0,"",'Dvd Calendar'!$R$1273)))</f>
        <v/>
      </c>
      <c r="Q130" s="106">
        <f>IF(ES130="","",IF(ISNUMBER('Dvd Calendar'!$S$1273)=FALSE,"",IF((('Dvd Calendar'!$S$1275=TYPE1)*(TYPE1&lt;&gt;"")+('Dvd Calendar'!$S$1275=TYPE2)*(TYPE2&lt;&gt;"")+('Dvd Calendar'!$S$1275=TYPE3)*(TYPE3&lt;&gt;"")+('Dvd Calendar'!$S$1275=TYPE4)*(TYPE4&lt;&gt;"")+('Dvd Calendar'!$S$1275=SPECIAL_LBL)*(INC_SPECIALS="Y"))=0,"",'Dvd Calendar'!$S$1273)))</f>
        <v/>
      </c>
      <c r="R130" s="106">
        <f>IF(ET130="","",IF(ISNUMBER('Dvd Calendar'!$T$1273)=FALSE,"",IF((('Dvd Calendar'!$T$1275=TYPE1)*(TYPE1&lt;&gt;"")+('Dvd Calendar'!$T$1275=TYPE2)*(TYPE2&lt;&gt;"")+('Dvd Calendar'!$T$1275=TYPE3)*(TYPE3&lt;&gt;"")+('Dvd Calendar'!$T$1275=TYPE4)*(TYPE4&lt;&gt;"")+('Dvd Calendar'!$T$1275=SPECIAL_LBL)*(INC_SPECIALS="Y"))=0,"",'Dvd Calendar'!$T$1273)))</f>
        <v/>
      </c>
      <c r="S130" s="106">
        <f>IF(EU130="","",IF(ISNUMBER('Dvd Calendar'!$U$1273)=FALSE,"",IF((('Dvd Calendar'!$U$1275=TYPE1)*(TYPE1&lt;&gt;"")+('Dvd Calendar'!$U$1275=TYPE2)*(TYPE2&lt;&gt;"")+('Dvd Calendar'!$U$1275=TYPE3)*(TYPE3&lt;&gt;"")+('Dvd Calendar'!$U$1275=TYPE4)*(TYPE4&lt;&gt;"")+('Dvd Calendar'!$U$1275=SPECIAL_LBL)*(INC_SPECIALS="Y"))=0,"",'Dvd Calendar'!$U$1273)))</f>
        <v/>
      </c>
      <c r="T130" s="106">
        <f>IF(EV130="","",IF(ISNUMBER('Dvd Calendar'!$V$1273)=FALSE,"",IF((('Dvd Calendar'!$V$1275=TYPE1)*(TYPE1&lt;&gt;"")+('Dvd Calendar'!$V$1275=TYPE2)*(TYPE2&lt;&gt;"")+('Dvd Calendar'!$V$1275=TYPE3)*(TYPE3&lt;&gt;"")+('Dvd Calendar'!$V$1275=TYPE4)*(TYPE4&lt;&gt;"")+('Dvd Calendar'!$V$1275=SPECIAL_LBL)*(INC_SPECIALS="Y"))=0,"",'Dvd Calendar'!$V$1273)))</f>
        <v/>
      </c>
      <c r="U130" s="106">
        <f>IF(EW130="","",IF(ISNUMBER('Dvd Calendar'!$W$1273)=FALSE,"",IF((('Dvd Calendar'!$W$1275=TYPE1)*(TYPE1&lt;&gt;"")+('Dvd Calendar'!$W$1275=TYPE2)*(TYPE2&lt;&gt;"")+('Dvd Calendar'!$W$1275=TYPE3)*(TYPE3&lt;&gt;"")+('Dvd Calendar'!$W$1275=TYPE4)*(TYPE4&lt;&gt;"")+('Dvd Calendar'!$W$1275=SPECIAL_LBL)*(INC_SPECIALS="Y"))=0,"",'Dvd Calendar'!$W$1273)))</f>
        <v/>
      </c>
      <c r="V130" s="106">
        <f>IF(EX130="","",IF(ISNUMBER('Dvd Calendar'!$X$1273)=FALSE,"",IF((('Dvd Calendar'!$X$1275=TYPE1)*(TYPE1&lt;&gt;"")+('Dvd Calendar'!$X$1275=TYPE2)*(TYPE2&lt;&gt;"")+('Dvd Calendar'!$X$1275=TYPE3)*(TYPE3&lt;&gt;"")+('Dvd Calendar'!$X$1275=TYPE4)*(TYPE4&lt;&gt;"")+('Dvd Calendar'!$X$1275=SPECIAL_LBL)*(INC_SPECIALS="Y"))=0,"",'Dvd Calendar'!$X$1273)))</f>
        <v/>
      </c>
      <c r="W130" s="106">
        <f>IF(EY130="","",IF(ISNUMBER('Dvd Calendar'!$Y$1273)=FALSE,"",IF((('Dvd Calendar'!$Y$1275=TYPE1)*(TYPE1&lt;&gt;"")+('Dvd Calendar'!$Y$1275=TYPE2)*(TYPE2&lt;&gt;"")+('Dvd Calendar'!$Y$1275=TYPE3)*(TYPE3&lt;&gt;"")+('Dvd Calendar'!$Y$1275=TYPE4)*(TYPE4&lt;&gt;"")+('Dvd Calendar'!$Y$1275=SPECIAL_LBL)*(INC_SPECIALS="Y"))=0,"",'Dvd Calendar'!$Y$1273)))</f>
        <v/>
      </c>
      <c r="X130" s="106">
        <f>IF(EZ130="","",IF(ISNUMBER('Dvd Calendar'!$Z$1273)=FALSE,"",IF((('Dvd Calendar'!$Z$1275=TYPE1)*(TYPE1&lt;&gt;"")+('Dvd Calendar'!$Z$1275=TYPE2)*(TYPE2&lt;&gt;"")+('Dvd Calendar'!$Z$1275=TYPE3)*(TYPE3&lt;&gt;"")+('Dvd Calendar'!$Z$1275=TYPE4)*(TYPE4&lt;&gt;"")+('Dvd Calendar'!$Z$1275=SPECIAL_LBL)*(INC_SPECIALS="Y"))=0,"",'Dvd Calendar'!$Z$1273)))</f>
        <v/>
      </c>
      <c r="Y130" s="106">
        <f>IF(FA130="","",IF(ISNUMBER('Dvd Calendar'!$AA$1273)=FALSE,"",IF((('Dvd Calendar'!$AA$1275=TYPE1)*(TYPE1&lt;&gt;"")+('Dvd Calendar'!$AA$1275=TYPE2)*(TYPE2&lt;&gt;"")+('Dvd Calendar'!$AA$1275=TYPE3)*(TYPE3&lt;&gt;"")+('Dvd Calendar'!$AA$1275=TYPE4)*(TYPE4&lt;&gt;"")+('Dvd Calendar'!$AA$1275=SPECIAL_LBL)*(INC_SPECIALS="Y"))=0,"",'Dvd Calendar'!$AA$1273)))</f>
        <v/>
      </c>
      <c r="Z130" s="106">
        <f>IF(FB130="","",IF(ISNUMBER('Dvd Calendar'!$AB$1273)=FALSE,"",IF((('Dvd Calendar'!$AB$1275=TYPE1)*(TYPE1&lt;&gt;"")+('Dvd Calendar'!$AB$1275=TYPE2)*(TYPE2&lt;&gt;"")+('Dvd Calendar'!$AB$1275=TYPE3)*(TYPE3&lt;&gt;"")+('Dvd Calendar'!$AB$1275=TYPE4)*(TYPE4&lt;&gt;"")+('Dvd Calendar'!$AB$1275=SPECIAL_LBL)*(INC_SPECIALS="Y"))=0,"",'Dvd Calendar'!$AB$1273)))</f>
        <v/>
      </c>
      <c r="AA130" s="106">
        <f>IF(FC130="","",IF(ISNUMBER('Dvd Calendar'!$AC$1273)=FALSE,"",IF((('Dvd Calendar'!$AC$1275=TYPE1)*(TYPE1&lt;&gt;"")+('Dvd Calendar'!$AC$1275=TYPE2)*(TYPE2&lt;&gt;"")+('Dvd Calendar'!$AC$1275=TYPE3)*(TYPE3&lt;&gt;"")+('Dvd Calendar'!$AC$1275=TYPE4)*(TYPE4&lt;&gt;"")+('Dvd Calendar'!$AC$1275=SPECIAL_LBL)*(INC_SPECIALS="Y"))=0,"",'Dvd Calendar'!$AC$1273)))</f>
        <v/>
      </c>
      <c r="AB130" s="106">
        <f>IF(FD130="","",IF(ISNUMBER('Dvd Calendar'!$AD$1273)=FALSE,"",IF((('Dvd Calendar'!$AD$1275=TYPE1)*(TYPE1&lt;&gt;"")+('Dvd Calendar'!$AD$1275=TYPE2)*(TYPE2&lt;&gt;"")+('Dvd Calendar'!$AD$1275=TYPE3)*(TYPE3&lt;&gt;"")+('Dvd Calendar'!$AD$1275=TYPE4)*(TYPE4&lt;&gt;"")+('Dvd Calendar'!$AD$1275=SPECIAL_LBL)*(INC_SPECIALS="Y"))=0,"",'Dvd Calendar'!$AD$1273)))</f>
        <v/>
      </c>
      <c r="AC130" s="106">
        <f>IF(FE130="","",IF(ISNUMBER('Dvd Calendar'!$AE$1273)=FALSE,"",IF((('Dvd Calendar'!$AE$1275=TYPE1)*(TYPE1&lt;&gt;"")+('Dvd Calendar'!$AE$1275=TYPE2)*(TYPE2&lt;&gt;"")+('Dvd Calendar'!$AE$1275=TYPE3)*(TYPE3&lt;&gt;"")+('Dvd Calendar'!$AE$1275=TYPE4)*(TYPE4&lt;&gt;"")+('Dvd Calendar'!$AE$1275=SPECIAL_LBL)*(INC_SPECIALS="Y"))=0,"",'Dvd Calendar'!$AE$1273)))</f>
        <v/>
      </c>
      <c r="AD130" s="106">
        <f>IF(FF130="","",IF(ISNUMBER('Dvd Calendar'!$AF$1273)=FALSE,"",IF((('Dvd Calendar'!$AF$1275=TYPE1)*(TYPE1&lt;&gt;"")+('Dvd Calendar'!$AF$1275=TYPE2)*(TYPE2&lt;&gt;"")+('Dvd Calendar'!$AF$1275=TYPE3)*(TYPE3&lt;&gt;"")+('Dvd Calendar'!$AF$1275=TYPE4)*(TYPE4&lt;&gt;"")+('Dvd Calendar'!$AF$1275=SPECIAL_LBL)*(INC_SPECIALS="Y"))=0,"",'Dvd Calendar'!$AF$1273)))</f>
        <v/>
      </c>
      <c r="AE130" s="106">
        <f>IF(FG130="","",IF(ISNUMBER('Dvd Calendar'!$AG$1273)=FALSE,"",IF((('Dvd Calendar'!$AG$1275=TYPE1)*(TYPE1&lt;&gt;"")+('Dvd Calendar'!$AG$1275=TYPE2)*(TYPE2&lt;&gt;"")+('Dvd Calendar'!$AG$1275=TYPE3)*(TYPE3&lt;&gt;"")+('Dvd Calendar'!$AG$1275=TYPE4)*(TYPE4&lt;&gt;"")+('Dvd Calendar'!$AG$1275=SPECIAL_LBL)*(INC_SPECIALS="Y"))=0,"",'Dvd Calendar'!$AG$1273)))</f>
        <v/>
      </c>
      <c r="AF130" s="106">
        <f>IF(FH130="","",IF(ISNUMBER('Dvd Calendar'!$AH$1273)=FALSE,"",IF((('Dvd Calendar'!$AH$1275=TYPE1)*(TYPE1&lt;&gt;"")+('Dvd Calendar'!$AH$1275=TYPE2)*(TYPE2&lt;&gt;"")+('Dvd Calendar'!$AH$1275=TYPE3)*(TYPE3&lt;&gt;"")+('Dvd Calendar'!$AH$1275=TYPE4)*(TYPE4&lt;&gt;"")+('Dvd Calendar'!$AH$1275=SPECIAL_LBL)*(INC_SPECIALS="Y"))=0,"",'Dvd Calendar'!$AH$1273)))</f>
        <v/>
      </c>
      <c r="AG130" s="106">
        <f>IF(FI130="","",IF(ISNUMBER('Dvd Calendar'!$AI$1273)=FALSE,"",IF((('Dvd Calendar'!$AI$1275=TYPE1)*(TYPE1&lt;&gt;"")+('Dvd Calendar'!$AI$1275=TYPE2)*(TYPE2&lt;&gt;"")+('Dvd Calendar'!$AI$1275=TYPE3)*(TYPE3&lt;&gt;"")+('Dvd Calendar'!$AI$1275=TYPE4)*(TYPE4&lt;&gt;"")+('Dvd Calendar'!$AI$1275=SPECIAL_LBL)*(INC_SPECIALS="Y"))=0,"",'Dvd Calendar'!$AI$1273)))</f>
        <v/>
      </c>
      <c r="AH130" s="106">
        <f>IF(FJ130="","",IF(ISNUMBER('Dvd Calendar'!$AJ$1273)=FALSE,"",IF((('Dvd Calendar'!$AJ$1275=TYPE1)*(TYPE1&lt;&gt;"")+('Dvd Calendar'!$AJ$1275=TYPE2)*(TYPE2&lt;&gt;"")+('Dvd Calendar'!$AJ$1275=TYPE3)*(TYPE3&lt;&gt;"")+('Dvd Calendar'!$AJ$1275=TYPE4)*(TYPE4&lt;&gt;"")+('Dvd Calendar'!$AJ$1275=SPECIAL_LBL)*(INC_SPECIALS="Y"))=0,"",'Dvd Calendar'!$AJ$1273)))</f>
        <v/>
      </c>
      <c r="AI130" s="106">
        <f>IF(FK130="","",IF(ISNUMBER('Dvd Calendar'!$AK$1273)=FALSE,"",IF((('Dvd Calendar'!$AK$1275=TYPE1)*(TYPE1&lt;&gt;"")+('Dvd Calendar'!$AK$1275=TYPE2)*(TYPE2&lt;&gt;"")+('Dvd Calendar'!$AK$1275=TYPE3)*(TYPE3&lt;&gt;"")+('Dvd Calendar'!$AK$1275=TYPE4)*(TYPE4&lt;&gt;"")+('Dvd Calendar'!$AK$1275=SPECIAL_LBL)*(INC_SPECIALS="Y"))=0,"",'Dvd Calendar'!$AK$1273)))</f>
        <v/>
      </c>
      <c r="AJ130" s="106">
        <f>IF(FL130="","",IF(ISNUMBER('Dvd Calendar'!$AL$1273)=FALSE,"",IF((('Dvd Calendar'!$AL$1275=TYPE1)*(TYPE1&lt;&gt;"")+('Dvd Calendar'!$AL$1275=TYPE2)*(TYPE2&lt;&gt;"")+('Dvd Calendar'!$AL$1275=TYPE3)*(TYPE3&lt;&gt;"")+('Dvd Calendar'!$AL$1275=TYPE4)*(TYPE4&lt;&gt;"")+('Dvd Calendar'!$AL$1275=SPECIAL_LBL)*(INC_SPECIALS="Y"))=0,"",'Dvd Calendar'!$AL$1273)))</f>
        <v/>
      </c>
      <c r="AK130" s="106">
        <f>IF(FM130="","",IF(ISNUMBER('Dvd Calendar'!$AM$1273)=FALSE,"",IF((('Dvd Calendar'!$AM$1275=TYPE1)*(TYPE1&lt;&gt;"")+('Dvd Calendar'!$AM$1275=TYPE2)*(TYPE2&lt;&gt;"")+('Dvd Calendar'!$AM$1275=TYPE3)*(TYPE3&lt;&gt;"")+('Dvd Calendar'!$AM$1275=TYPE4)*(TYPE4&lt;&gt;"")+('Dvd Calendar'!$AM$1275=SPECIAL_LBL)*(INC_SPECIALS="Y"))=0,"",'Dvd Calendar'!$AM$1273)))</f>
        <v/>
      </c>
      <c r="AL130" s="106">
        <f>IF(FN130="","",IF(ISNUMBER('Dvd Calendar'!$AN$1273)=FALSE,"",IF((('Dvd Calendar'!$AN$1275=TYPE1)*(TYPE1&lt;&gt;"")+('Dvd Calendar'!$AN$1275=TYPE2)*(TYPE2&lt;&gt;"")+('Dvd Calendar'!$AN$1275=TYPE3)*(TYPE3&lt;&gt;"")+('Dvd Calendar'!$AN$1275=TYPE4)*(TYPE4&lt;&gt;"")+('Dvd Calendar'!$AN$1275=SPECIAL_LBL)*(INC_SPECIALS="Y"))=0,"",'Dvd Calendar'!$AN$1273)))</f>
        <v/>
      </c>
      <c r="AM130" s="106">
        <f>IF(FO130="","",IF(ISNUMBER('Dvd Calendar'!$AO$1273)=FALSE,"",IF((('Dvd Calendar'!$AO$1275=TYPE1)*(TYPE1&lt;&gt;"")+('Dvd Calendar'!$AO$1275=TYPE2)*(TYPE2&lt;&gt;"")+('Dvd Calendar'!$AO$1275=TYPE3)*(TYPE3&lt;&gt;"")+('Dvd Calendar'!$AO$1275=TYPE4)*(TYPE4&lt;&gt;"")+('Dvd Calendar'!$AO$1275=SPECIAL_LBL)*(INC_SPECIALS="Y"))=0,"",'Dvd Calendar'!$AO$1273)))</f>
        <v/>
      </c>
      <c r="AN130" s="106">
        <f>IF(FP130="","",IF(ISNUMBER('Dvd Calendar'!$AP$1273)=FALSE,"",IF((('Dvd Calendar'!$AP$1275=TYPE1)*(TYPE1&lt;&gt;"")+('Dvd Calendar'!$AP$1275=TYPE2)*(TYPE2&lt;&gt;"")+('Dvd Calendar'!$AP$1275=TYPE3)*(TYPE3&lt;&gt;"")+('Dvd Calendar'!$AP$1275=TYPE4)*(TYPE4&lt;&gt;"")+('Dvd Calendar'!$AP$1275=SPECIAL_LBL)*(INC_SPECIALS="Y"))=0,"",'Dvd Calendar'!$AP$1273)))</f>
        <v/>
      </c>
      <c r="AO130" s="106">
        <f>IF(FQ130="","",IF(ISNUMBER('Dvd Calendar'!$AQ$1273)=FALSE,"",IF((('Dvd Calendar'!$AQ$1275=TYPE1)*(TYPE1&lt;&gt;"")+('Dvd Calendar'!$AQ$1275=TYPE2)*(TYPE2&lt;&gt;"")+('Dvd Calendar'!$AQ$1275=TYPE3)*(TYPE3&lt;&gt;"")+('Dvd Calendar'!$AQ$1275=TYPE4)*(TYPE4&lt;&gt;"")+('Dvd Calendar'!$AQ$1275=SPECIAL_LBL)*(INC_SPECIALS="Y"))=0,"",'Dvd Calendar'!$AQ$1273)))</f>
        <v/>
      </c>
      <c r="AP130" s="106">
        <f>IF(FR130="","",IF(ISNUMBER('Dvd Calendar'!$AR$1273)=FALSE,"",IF((('Dvd Calendar'!$AR$1275=TYPE1)*(TYPE1&lt;&gt;"")+('Dvd Calendar'!$AR$1275=TYPE2)*(TYPE2&lt;&gt;"")+('Dvd Calendar'!$AR$1275=TYPE3)*(TYPE3&lt;&gt;"")+('Dvd Calendar'!$AR$1275=TYPE4)*(TYPE4&lt;&gt;"")+('Dvd Calendar'!$AR$1275=SPECIAL_LBL)*(INC_SPECIALS="Y"))=0,"",'Dvd Calendar'!$AR$1273)))</f>
        <v/>
      </c>
      <c r="AQ130" s="106">
        <f>IF(FS130="","",IF(ISNUMBER('Dvd Calendar'!$E$1278)=FALSE,"",'Dvd Calendar'!$E$1278))</f>
        <v/>
      </c>
      <c r="AR130" s="106">
        <f>IF(FT130="","",IF(ISNUMBER('Dvd Calendar'!$F$1278)=FALSE,"",'Dvd Calendar'!$F$1278))</f>
        <v/>
      </c>
      <c r="AS130" s="106">
        <f>IF(FU130="","",IF(ISNUMBER('Dvd Calendar'!$G$1278)=FALSE,"",'Dvd Calendar'!$G$1278))</f>
        <v/>
      </c>
      <c r="AT130" s="106">
        <f>IF(FV130="","",IF(ISNUMBER('Dvd Calendar'!$H$1278)=FALSE,"",'Dvd Calendar'!$H$1278))</f>
        <v/>
      </c>
      <c r="AU130" s="106">
        <f>IF(FW130="","",IF(ISNUMBER('Dvd Calendar'!$I$1278)=FALSE,"",'Dvd Calendar'!$I$1278))</f>
        <v/>
      </c>
      <c r="AV130" s="106">
        <f>IF(FX130="","",IF(ISNUMBER('Dvd Calendar'!$J$1278)=FALSE,"",'Dvd Calendar'!$J$1278))</f>
        <v/>
      </c>
      <c r="AW130" s="106">
        <f>IF(FY130="","",IF(ISNUMBER('Dvd Calendar'!$K$1278)=FALSE,"",'Dvd Calendar'!$K$1278))</f>
        <v/>
      </c>
      <c r="AX130" s="106">
        <f>IF(FZ130="","",IF(ISNUMBER('Dvd Calendar'!$L$1278)=FALSE,"",'Dvd Calendar'!$L$1278))</f>
        <v/>
      </c>
      <c r="AY130" s="106">
        <f>IF(GA130="","",IF(ISNUMBER('Dvd Calendar'!$M$1278)=FALSE,"",'Dvd Calendar'!$M$1278))</f>
        <v/>
      </c>
      <c r="AZ130" s="106">
        <f>IF(GB130="","",IF(ISNUMBER('Dvd Calendar'!$N$1278)=FALSE,"",'Dvd Calendar'!$N$1278))</f>
        <v/>
      </c>
      <c r="BA130" s="106">
        <f>IF(GC130="","",IF(ISNUMBER('Dvd Calendar'!$O$1278)=FALSE,"",'Dvd Calendar'!$O$1278))</f>
        <v/>
      </c>
      <c r="BB130" s="106">
        <f>IF(GD130="","",IF(ISNUMBER('Dvd Calendar'!$P$1278)=FALSE,"",'Dvd Calendar'!$P$1278))</f>
        <v/>
      </c>
      <c r="BC130" s="106">
        <f>IF(GE130="","",IF(ISNUMBER('Dvd Calendar'!$Q$1278)=FALSE,"",'Dvd Calendar'!$Q$1278))</f>
        <v/>
      </c>
      <c r="BD130" s="106">
        <f>IF(GF130="","",IF(ISNUMBER('Dvd Calendar'!$R$1278)=FALSE,"",'Dvd Calendar'!$R$1278))</f>
        <v/>
      </c>
      <c r="BE130" s="106">
        <f>IF(GG130="","",IF(ISNUMBER('Dvd Calendar'!$S$1278)=FALSE,"",'Dvd Calendar'!$S$1278))</f>
        <v/>
      </c>
      <c r="BF130" s="106">
        <f>IF(GH130="","",IF(ISNUMBER('Dvd Calendar'!$T$1278)=FALSE,"",'Dvd Calendar'!$T$1278))</f>
        <v/>
      </c>
      <c r="BG130" s="106">
        <f>IF(GI130="","",IF(ISNUMBER('Dvd Calendar'!$U$1278)=FALSE,"",'Dvd Calendar'!$U$1278))</f>
        <v/>
      </c>
      <c r="BH130" s="106">
        <f>IF(GJ130="","",IF(ISNUMBER('Dvd Calendar'!$V$1278)=FALSE,"",'Dvd Calendar'!$V$1278))</f>
        <v/>
      </c>
      <c r="BI130" s="106">
        <f>IF(GK130="","",IF(ISNUMBER('Dvd Calendar'!$W$1278)=FALSE,"",'Dvd Calendar'!$W$1278))</f>
        <v/>
      </c>
      <c r="BJ130" s="106">
        <f>IF(GL130="","",IF(ISNUMBER('Dvd Calendar'!$X$1278)=FALSE,"",'Dvd Calendar'!$X$1278))</f>
        <v/>
      </c>
      <c r="BK130" s="106">
        <f>IF(GM130="","",IF(ISNUMBER('Dvd Calendar'!$Y$1278)=FALSE,"",'Dvd Calendar'!$Y$1278))</f>
        <v/>
      </c>
      <c r="BL130" s="106">
        <f>IF(GN130="","",IF(ISNUMBER('Dvd Calendar'!$Z$1278)=FALSE,"",'Dvd Calendar'!$Z$1278))</f>
        <v/>
      </c>
      <c r="BM130" s="106">
        <f>IF(GO130="","",IF(ISNUMBER('Dvd Calendar'!$AA$1278)=FALSE,"",'Dvd Calendar'!$AA$1278))</f>
        <v/>
      </c>
      <c r="BN130" s="106">
        <f>IF(GP130="","",IF(ISNUMBER('Dvd Calendar'!$AB$1278)=FALSE,"",'Dvd Calendar'!$AB$1278))</f>
        <v/>
      </c>
      <c r="BO130" s="106">
        <f>IF(GQ130="","",IF(ISNUMBER('Dvd Calendar'!$AC$1278)=FALSE,"",'Dvd Calendar'!$AC$1278))</f>
        <v/>
      </c>
      <c r="BQ130" s="106">
        <f>IF(C130="","",IFERROR(C130*HSTECH!$B$21*HSTECH!$G$21/HSTECH!$B$3,""))</f>
        <v/>
      </c>
      <c r="BR130" s="106">
        <f>IF(D130="","",IFERROR(D130*HSTECH!$B$21*HSTECH!$G$21/HSTECH!$B$3,""))</f>
        <v/>
      </c>
      <c r="BS130" s="106">
        <f>IF(E130="","",IFERROR(E130*HSTECH!$B$21*HSTECH!$G$21/HSTECH!$B$3,""))</f>
        <v/>
      </c>
      <c r="BT130" s="106">
        <f>IF(F130="","",IFERROR(F130*HSTECH!$B$21*HSTECH!$G$21/HSTECH!$B$3,""))</f>
        <v/>
      </c>
      <c r="BU130" s="106">
        <f>IF(G130="","",IFERROR(G130*HSTECH!$B$21*HSTECH!$G$21/HSTECH!$B$3,""))</f>
        <v/>
      </c>
      <c r="BV130" s="106">
        <f>IF(H130="","",IFERROR(H130*HSTECH!$B$21*HSTECH!$G$21/HSTECH!$B$3,""))</f>
        <v/>
      </c>
      <c r="BW130" s="106">
        <f>IF(I130="","",IFERROR(I130*HSTECH!$B$21*HSTECH!$G$21/HSTECH!$B$3,""))</f>
        <v/>
      </c>
      <c r="BX130" s="106">
        <f>IF(J130="","",IFERROR(J130*HSTECH!$B$21*HSTECH!$G$21/HSTECH!$B$3,""))</f>
        <v/>
      </c>
      <c r="BY130" s="106">
        <f>IF(K130="","",IFERROR(K130*HSTECH!$B$21*HSTECH!$G$21/HSTECH!$B$3,""))</f>
        <v/>
      </c>
      <c r="BZ130" s="106">
        <f>IF(L130="","",IFERROR(L130*HSTECH!$B$21*HSTECH!$G$21/HSTECH!$B$3,""))</f>
        <v/>
      </c>
      <c r="CA130" s="106">
        <f>IF(M130="","",IFERROR(M130*HSTECH!$B$21*HSTECH!$G$21/HSTECH!$B$3,""))</f>
        <v/>
      </c>
      <c r="CB130" s="106">
        <f>IF(N130="","",IFERROR(N130*HSTECH!$B$21*HSTECH!$G$21/HSTECH!$B$3,""))</f>
        <v/>
      </c>
      <c r="CC130" s="106">
        <f>IF(O130="","",IFERROR(O130*HSTECH!$B$21*HSTECH!$G$21/HSTECH!$B$3,""))</f>
        <v/>
      </c>
      <c r="CD130" s="106">
        <f>IF(P130="","",IFERROR(P130*HSTECH!$B$21*HSTECH!$G$21/HSTECH!$B$3,""))</f>
        <v/>
      </c>
      <c r="CE130" s="106">
        <f>IF(Q130="","",IFERROR(Q130*HSTECH!$B$21*HSTECH!$G$21/HSTECH!$B$3,""))</f>
        <v/>
      </c>
      <c r="CF130" s="106">
        <f>IF(R130="","",IFERROR(R130*HSTECH!$B$21*HSTECH!$G$21/HSTECH!$B$3,""))</f>
        <v/>
      </c>
      <c r="CG130" s="106">
        <f>IF(S130="","",IFERROR(S130*HSTECH!$B$21*HSTECH!$G$21/HSTECH!$B$3,""))</f>
        <v/>
      </c>
      <c r="CH130" s="106">
        <f>IF(T130="","",IFERROR(T130*HSTECH!$B$21*HSTECH!$G$21/HSTECH!$B$3,""))</f>
        <v/>
      </c>
      <c r="CI130" s="106">
        <f>IF(U130="","",IFERROR(U130*HSTECH!$B$21*HSTECH!$G$21/HSTECH!$B$3,""))</f>
        <v/>
      </c>
      <c r="CJ130" s="106">
        <f>IF(V130="","",IFERROR(V130*HSTECH!$B$21*HSTECH!$G$21/HSTECH!$B$3,""))</f>
        <v/>
      </c>
      <c r="CK130" s="106">
        <f>IF(W130="","",IFERROR(W130*HSTECH!$B$21*HSTECH!$G$21/HSTECH!$B$3,""))</f>
        <v/>
      </c>
      <c r="CL130" s="106">
        <f>IF(X130="","",IFERROR(X130*HSTECH!$B$21*HSTECH!$G$21/HSTECH!$B$3,""))</f>
        <v/>
      </c>
      <c r="CM130" s="106">
        <f>IF(Y130="","",IFERROR(Y130*HSTECH!$B$21*HSTECH!$G$21/HSTECH!$B$3,""))</f>
        <v/>
      </c>
      <c r="CN130" s="106">
        <f>IF(Z130="","",IFERROR(Z130*HSTECH!$B$21*HSTECH!$G$21/HSTECH!$B$3,""))</f>
        <v/>
      </c>
      <c r="CO130" s="106">
        <f>IF(AA130="","",IFERROR(AA130*HSTECH!$B$21*HSTECH!$G$21/HSTECH!$B$3,""))</f>
        <v/>
      </c>
      <c r="CP130" s="106">
        <f>IF(AB130="","",IFERROR(AB130*HSTECH!$B$21*HSTECH!$G$21/HSTECH!$B$3,""))</f>
        <v/>
      </c>
      <c r="CQ130" s="106">
        <f>IF(AC130="","",IFERROR(AC130*HSTECH!$B$21*HSTECH!$G$21/HSTECH!$B$3,""))</f>
        <v/>
      </c>
      <c r="CR130" s="106">
        <f>IF(AD130="","",IFERROR(AD130*HSTECH!$B$21*HSTECH!$G$21/HSTECH!$B$3,""))</f>
        <v/>
      </c>
      <c r="CS130" s="106">
        <f>IF(AE130="","",IFERROR(AE130*HSTECH!$B$21*HSTECH!$G$21/HSTECH!$B$3,""))</f>
        <v/>
      </c>
      <c r="CT130" s="106">
        <f>IF(AF130="","",IFERROR(AF130*HSTECH!$B$21*HSTECH!$G$21/HSTECH!$B$3,""))</f>
        <v/>
      </c>
      <c r="CU130" s="106">
        <f>IF(AG130="","",IFERROR(AG130*HSTECH!$B$21*HSTECH!$G$21/HSTECH!$B$3,""))</f>
        <v/>
      </c>
      <c r="CV130" s="106">
        <f>IF(AH130="","",IFERROR(AH130*HSTECH!$B$21*HSTECH!$G$21/HSTECH!$B$3,""))</f>
        <v/>
      </c>
      <c r="CW130" s="106">
        <f>IF(AI130="","",IFERROR(AI130*HSTECH!$B$21*HSTECH!$G$21/HSTECH!$B$3,""))</f>
        <v/>
      </c>
      <c r="CX130" s="106">
        <f>IF(AJ130="","",IFERROR(AJ130*HSTECH!$B$21*HSTECH!$G$21/HSTECH!$B$3,""))</f>
        <v/>
      </c>
      <c r="CY130" s="106">
        <f>IF(AK130="","",IFERROR(AK130*HSTECH!$B$21*HSTECH!$G$21/HSTECH!$B$3,""))</f>
        <v/>
      </c>
      <c r="CZ130" s="106">
        <f>IF(AL130="","",IFERROR(AL130*HSTECH!$B$21*HSTECH!$G$21/HSTECH!$B$3,""))</f>
        <v/>
      </c>
      <c r="DA130" s="106">
        <f>IF(AM130="","",IFERROR(AM130*HSTECH!$B$21*HSTECH!$G$21/HSTECH!$B$3,""))</f>
        <v/>
      </c>
      <c r="DB130" s="106">
        <f>IF(AN130="","",IFERROR(AN130*HSTECH!$B$21*HSTECH!$G$21/HSTECH!$B$3,""))</f>
        <v/>
      </c>
      <c r="DC130" s="106">
        <f>IF(AO130="","",IFERROR(AO130*HSTECH!$B$21*HSTECH!$G$21/HSTECH!$B$3,""))</f>
        <v/>
      </c>
      <c r="DD130" s="106">
        <f>IF(AP130="","",IFERROR(AP130*HSTECH!$B$21*HSTECH!$G$21/HSTECH!$B$3,""))</f>
        <v/>
      </c>
      <c r="DE130" s="106">
        <f>IF(AQ130="","",IFERROR(AQ130*HSTECH!$B$21*HSTECH!$G$21/HSTECH!$B$3,""))</f>
        <v/>
      </c>
      <c r="DF130" s="106">
        <f>IF(AR130="","",IFERROR(AR130*HSTECH!$B$21*HSTECH!$G$21/HSTECH!$B$3,""))</f>
        <v/>
      </c>
      <c r="DG130" s="106">
        <f>IF(AS130="","",IFERROR(AS130*HSTECH!$B$21*HSTECH!$G$21/HSTECH!$B$3,""))</f>
        <v/>
      </c>
      <c r="DH130" s="106">
        <f>IF(AT130="","",IFERROR(AT130*HSTECH!$B$21*HSTECH!$G$21/HSTECH!$B$3,""))</f>
        <v/>
      </c>
      <c r="DI130" s="106">
        <f>IF(AU130="","",IFERROR(AU130*HSTECH!$B$21*HSTECH!$G$21/HSTECH!$B$3,""))</f>
        <v/>
      </c>
      <c r="DJ130" s="106">
        <f>IF(AV130="","",IFERROR(AV130*HSTECH!$B$21*HSTECH!$G$21/HSTECH!$B$3,""))</f>
        <v/>
      </c>
      <c r="DK130" s="106">
        <f>IF(AW130="","",IFERROR(AW130*HSTECH!$B$21*HSTECH!$G$21/HSTECH!$B$3,""))</f>
        <v/>
      </c>
      <c r="DL130" s="106">
        <f>IF(AX130="","",IFERROR(AX130*HSTECH!$B$21*HSTECH!$G$21/HSTECH!$B$3,""))</f>
        <v/>
      </c>
      <c r="DM130" s="106">
        <f>IF(AY130="","",IFERROR(AY130*HSTECH!$B$21*HSTECH!$G$21/HSTECH!$B$3,""))</f>
        <v/>
      </c>
      <c r="DN130" s="106">
        <f>IF(AZ130="","",IFERROR(AZ130*HSTECH!$B$21*HSTECH!$G$21/HSTECH!$B$3,""))</f>
        <v/>
      </c>
      <c r="DO130" s="106">
        <f>IF(BA130="","",IFERROR(BA130*HSTECH!$B$21*HSTECH!$G$21/HSTECH!$B$3,""))</f>
        <v/>
      </c>
      <c r="DP130" s="106">
        <f>IF(BB130="","",IFERROR(BB130*HSTECH!$B$21*HSTECH!$G$21/HSTECH!$B$3,""))</f>
        <v/>
      </c>
      <c r="DQ130" s="106">
        <f>IF(BC130="","",IFERROR(BC130*HSTECH!$B$21*HSTECH!$G$21/HSTECH!$B$3,""))</f>
        <v/>
      </c>
      <c r="DR130" s="106">
        <f>IF(BD130="","",IFERROR(BD130*HSTECH!$B$21*HSTECH!$G$21/HSTECH!$B$3,""))</f>
        <v/>
      </c>
      <c r="DS130" s="106">
        <f>IF(BE130="","",IFERROR(BE130*HSTECH!$B$21*HSTECH!$G$21/HSTECH!$B$3,""))</f>
        <v/>
      </c>
      <c r="DT130" s="106">
        <f>IF(BF130="","",IFERROR(BF130*HSTECH!$B$21*HSTECH!$G$21/HSTECH!$B$3,""))</f>
        <v/>
      </c>
      <c r="DU130" s="106">
        <f>IF(BG130="","",IFERROR(BG130*HSTECH!$B$21*HSTECH!$G$21/HSTECH!$B$3,""))</f>
        <v/>
      </c>
      <c r="DV130" s="106">
        <f>IF(BH130="","",IFERROR(BH130*HSTECH!$B$21*HSTECH!$G$21/HSTECH!$B$3,""))</f>
        <v/>
      </c>
      <c r="DW130" s="106">
        <f>IF(BI130="","",IFERROR(BI130*HSTECH!$B$21*HSTECH!$G$21/HSTECH!$B$3,""))</f>
        <v/>
      </c>
      <c r="DX130" s="106">
        <f>IF(BJ130="","",IFERROR(BJ130*HSTECH!$B$21*HSTECH!$G$21/HSTECH!$B$3,""))</f>
        <v/>
      </c>
      <c r="DY130" s="106">
        <f>IF(BK130="","",IFERROR(BK130*HSTECH!$B$21*HSTECH!$G$21/HSTECH!$B$3,""))</f>
        <v/>
      </c>
      <c r="DZ130" s="106">
        <f>IF(BL130="","",IFERROR(BL130*HSTECH!$B$21*HSTECH!$G$21/HSTECH!$B$3,""))</f>
        <v/>
      </c>
      <c r="EA130" s="106">
        <f>IF(BM130="","",IFERROR(BM130*HSTECH!$B$21*HSTECH!$G$21/HSTECH!$B$3,""))</f>
        <v/>
      </c>
      <c r="EB130" s="106">
        <f>IF(BN130="","",IFERROR(BN130*HSTECH!$B$21*HSTECH!$G$21/HSTECH!$B$3,""))</f>
        <v/>
      </c>
      <c r="EC130" s="106">
        <f>IF(BO130="","",IFERROR(BO130*HSTECH!$B$21*HSTECH!$G$21/HSTECH!$B$3,""))</f>
        <v/>
      </c>
      <c r="EE130" s="35">
        <f>IF(N('Dvd Calendar'!$E$1270)=0,"",IF(('Dvd Calendar'!$E$1270&gt;=GRID_FROM)*('Dvd Calendar'!$E$1270&lt;=GRID_TO)*('Dvd Calendar'!$E$1270&lt;=VAL_DATE)=0,"",'Dvd Calendar'!$E$1270*1000000000+ISNUMBER('Dvd Calendar'!$E$1273)*100000000+('Dvd Calendar'!$E$1275=SPECIAL_LBL)*10000000+0*1000000+15*1000+1))</f>
        <v/>
      </c>
      <c r="EF130" s="35">
        <f>IF(N('Dvd Calendar'!$F$1270)=0,"",IF(('Dvd Calendar'!$F$1270&gt;=GRID_FROM)*('Dvd Calendar'!$F$1270&lt;=GRID_TO)*('Dvd Calendar'!$F$1270&lt;=VAL_DATE)=0,"",'Dvd Calendar'!$F$1270*1000000000+ISNUMBER('Dvd Calendar'!$F$1273)*100000000+('Dvd Calendar'!$F$1275=SPECIAL_LBL)*10000000+0*1000000+15*1000+2))</f>
        <v/>
      </c>
      <c r="EG130" s="35">
        <f>IF(N('Dvd Calendar'!$G$1270)=0,"",IF(('Dvd Calendar'!$G$1270&gt;=GRID_FROM)*('Dvd Calendar'!$G$1270&lt;=GRID_TO)*('Dvd Calendar'!$G$1270&lt;=VAL_DATE)=0,"",'Dvd Calendar'!$G$1270*1000000000+ISNUMBER('Dvd Calendar'!$G$1273)*100000000+('Dvd Calendar'!$G$1275=SPECIAL_LBL)*10000000+0*1000000+15*1000+3))</f>
        <v/>
      </c>
      <c r="EH130" s="35">
        <f>IF(N('Dvd Calendar'!$H$1270)=0,"",IF(('Dvd Calendar'!$H$1270&gt;=GRID_FROM)*('Dvd Calendar'!$H$1270&lt;=GRID_TO)*('Dvd Calendar'!$H$1270&lt;=VAL_DATE)=0,"",'Dvd Calendar'!$H$1270*1000000000+ISNUMBER('Dvd Calendar'!$H$1273)*100000000+('Dvd Calendar'!$H$1275=SPECIAL_LBL)*10000000+0*1000000+15*1000+4))</f>
        <v/>
      </c>
      <c r="EI130" s="35">
        <f>IF(N('Dvd Calendar'!$I$1270)=0,"",IF(('Dvd Calendar'!$I$1270&gt;=GRID_FROM)*('Dvd Calendar'!$I$1270&lt;=GRID_TO)*('Dvd Calendar'!$I$1270&lt;=VAL_DATE)=0,"",'Dvd Calendar'!$I$1270*1000000000+ISNUMBER('Dvd Calendar'!$I$1273)*100000000+('Dvd Calendar'!$I$1275=SPECIAL_LBL)*10000000+0*1000000+15*1000+5))</f>
        <v/>
      </c>
      <c r="EJ130" s="35">
        <f>IF(N('Dvd Calendar'!$J$1270)=0,"",IF(('Dvd Calendar'!$J$1270&gt;=GRID_FROM)*('Dvd Calendar'!$J$1270&lt;=GRID_TO)*('Dvd Calendar'!$J$1270&lt;=VAL_DATE)=0,"",'Dvd Calendar'!$J$1270*1000000000+ISNUMBER('Dvd Calendar'!$J$1273)*100000000+('Dvd Calendar'!$J$1275=SPECIAL_LBL)*10000000+0*1000000+15*1000+6))</f>
        <v/>
      </c>
      <c r="EK130" s="35">
        <f>IF(N('Dvd Calendar'!$K$1270)=0,"",IF(('Dvd Calendar'!$K$1270&gt;=GRID_FROM)*('Dvd Calendar'!$K$1270&lt;=GRID_TO)*('Dvd Calendar'!$K$1270&lt;=VAL_DATE)=0,"",'Dvd Calendar'!$K$1270*1000000000+ISNUMBER('Dvd Calendar'!$K$1273)*100000000+('Dvd Calendar'!$K$1275=SPECIAL_LBL)*10000000+0*1000000+15*1000+7))</f>
        <v/>
      </c>
      <c r="EL130" s="35">
        <f>IF(N('Dvd Calendar'!$L$1270)=0,"",IF(('Dvd Calendar'!$L$1270&gt;=GRID_FROM)*('Dvd Calendar'!$L$1270&lt;=GRID_TO)*('Dvd Calendar'!$L$1270&lt;=VAL_DATE)=0,"",'Dvd Calendar'!$L$1270*1000000000+ISNUMBER('Dvd Calendar'!$L$1273)*100000000+('Dvd Calendar'!$L$1275=SPECIAL_LBL)*10000000+0*1000000+15*1000+8))</f>
        <v/>
      </c>
      <c r="EM130" s="35">
        <f>IF(N('Dvd Calendar'!$M$1270)=0,"",IF(('Dvd Calendar'!$M$1270&gt;=GRID_FROM)*('Dvd Calendar'!$M$1270&lt;=GRID_TO)*('Dvd Calendar'!$M$1270&lt;=VAL_DATE)=0,"",'Dvd Calendar'!$M$1270*1000000000+ISNUMBER('Dvd Calendar'!$M$1273)*100000000+('Dvd Calendar'!$M$1275=SPECIAL_LBL)*10000000+0*1000000+15*1000+9))</f>
        <v/>
      </c>
      <c r="EN130" s="35">
        <f>IF(N('Dvd Calendar'!$N$1270)=0,"",IF(('Dvd Calendar'!$N$1270&gt;=GRID_FROM)*('Dvd Calendar'!$N$1270&lt;=GRID_TO)*('Dvd Calendar'!$N$1270&lt;=VAL_DATE)=0,"",'Dvd Calendar'!$N$1270*1000000000+ISNUMBER('Dvd Calendar'!$N$1273)*100000000+('Dvd Calendar'!$N$1275=SPECIAL_LBL)*10000000+0*1000000+15*1000+10))</f>
        <v/>
      </c>
      <c r="EO130" s="35">
        <f>IF(N('Dvd Calendar'!$O$1270)=0,"",IF(('Dvd Calendar'!$O$1270&gt;=GRID_FROM)*('Dvd Calendar'!$O$1270&lt;=GRID_TO)*('Dvd Calendar'!$O$1270&lt;=VAL_DATE)=0,"",'Dvd Calendar'!$O$1270*1000000000+ISNUMBER('Dvd Calendar'!$O$1273)*100000000+('Dvd Calendar'!$O$1275=SPECIAL_LBL)*10000000+0*1000000+15*1000+11))</f>
        <v/>
      </c>
      <c r="EP130" s="35">
        <f>IF(N('Dvd Calendar'!$P$1270)=0,"",IF(('Dvd Calendar'!$P$1270&gt;=GRID_FROM)*('Dvd Calendar'!$P$1270&lt;=GRID_TO)*('Dvd Calendar'!$P$1270&lt;=VAL_DATE)=0,"",'Dvd Calendar'!$P$1270*1000000000+ISNUMBER('Dvd Calendar'!$P$1273)*100000000+('Dvd Calendar'!$P$1275=SPECIAL_LBL)*10000000+0*1000000+15*1000+12))</f>
        <v/>
      </c>
      <c r="EQ130" s="35">
        <f>IF(N('Dvd Calendar'!$Q$1270)=0,"",IF(('Dvd Calendar'!$Q$1270&gt;=GRID_FROM)*('Dvd Calendar'!$Q$1270&lt;=GRID_TO)*('Dvd Calendar'!$Q$1270&lt;=VAL_DATE)=0,"",'Dvd Calendar'!$Q$1270*1000000000+ISNUMBER('Dvd Calendar'!$Q$1273)*100000000+('Dvd Calendar'!$Q$1275=SPECIAL_LBL)*10000000+0*1000000+15*1000+13))</f>
        <v/>
      </c>
      <c r="ER130" s="35">
        <f>IF(N('Dvd Calendar'!$R$1270)=0,"",IF(('Dvd Calendar'!$R$1270&gt;=GRID_FROM)*('Dvd Calendar'!$R$1270&lt;=GRID_TO)*('Dvd Calendar'!$R$1270&lt;=VAL_DATE)=0,"",'Dvd Calendar'!$R$1270*1000000000+ISNUMBER('Dvd Calendar'!$R$1273)*100000000+('Dvd Calendar'!$R$1275=SPECIAL_LBL)*10000000+0*1000000+15*1000+14))</f>
        <v/>
      </c>
      <c r="ES130" s="35">
        <f>IF(N('Dvd Calendar'!$S$1270)=0,"",IF(('Dvd Calendar'!$S$1270&gt;=GRID_FROM)*('Dvd Calendar'!$S$1270&lt;=GRID_TO)*('Dvd Calendar'!$S$1270&lt;=VAL_DATE)=0,"",'Dvd Calendar'!$S$1270*1000000000+ISNUMBER('Dvd Calendar'!$S$1273)*100000000+('Dvd Calendar'!$S$1275=SPECIAL_LBL)*10000000+0*1000000+15*1000+15))</f>
        <v/>
      </c>
      <c r="ET130" s="35">
        <f>IF(N('Dvd Calendar'!$T$1270)=0,"",IF(('Dvd Calendar'!$T$1270&gt;=GRID_FROM)*('Dvd Calendar'!$T$1270&lt;=GRID_TO)*('Dvd Calendar'!$T$1270&lt;=VAL_DATE)=0,"",'Dvd Calendar'!$T$1270*1000000000+ISNUMBER('Dvd Calendar'!$T$1273)*100000000+('Dvd Calendar'!$T$1275=SPECIAL_LBL)*10000000+0*1000000+15*1000+16))</f>
        <v/>
      </c>
      <c r="EU130" s="35">
        <f>IF(N('Dvd Calendar'!$U$1270)=0,"",IF(('Dvd Calendar'!$U$1270&gt;=GRID_FROM)*('Dvd Calendar'!$U$1270&lt;=GRID_TO)*('Dvd Calendar'!$U$1270&lt;=VAL_DATE)=0,"",'Dvd Calendar'!$U$1270*1000000000+ISNUMBER('Dvd Calendar'!$U$1273)*100000000+('Dvd Calendar'!$U$1275=SPECIAL_LBL)*10000000+0*1000000+15*1000+17))</f>
        <v/>
      </c>
      <c r="EV130" s="35">
        <f>IF(N('Dvd Calendar'!$V$1270)=0,"",IF(('Dvd Calendar'!$V$1270&gt;=GRID_FROM)*('Dvd Calendar'!$V$1270&lt;=GRID_TO)*('Dvd Calendar'!$V$1270&lt;=VAL_DATE)=0,"",'Dvd Calendar'!$V$1270*1000000000+ISNUMBER('Dvd Calendar'!$V$1273)*100000000+('Dvd Calendar'!$V$1275=SPECIAL_LBL)*10000000+0*1000000+15*1000+18))</f>
        <v/>
      </c>
      <c r="EW130" s="35">
        <f>IF(N('Dvd Calendar'!$W$1270)=0,"",IF(('Dvd Calendar'!$W$1270&gt;=GRID_FROM)*('Dvd Calendar'!$W$1270&lt;=GRID_TO)*('Dvd Calendar'!$W$1270&lt;=VAL_DATE)=0,"",'Dvd Calendar'!$W$1270*1000000000+ISNUMBER('Dvd Calendar'!$W$1273)*100000000+('Dvd Calendar'!$W$1275=SPECIAL_LBL)*10000000+0*1000000+15*1000+19))</f>
        <v/>
      </c>
      <c r="EX130" s="35">
        <f>IF(N('Dvd Calendar'!$X$1270)=0,"",IF(('Dvd Calendar'!$X$1270&gt;=GRID_FROM)*('Dvd Calendar'!$X$1270&lt;=GRID_TO)*('Dvd Calendar'!$X$1270&lt;=VAL_DATE)=0,"",'Dvd Calendar'!$X$1270*1000000000+ISNUMBER('Dvd Calendar'!$X$1273)*100000000+('Dvd Calendar'!$X$1275=SPECIAL_LBL)*10000000+0*1000000+15*1000+20))</f>
        <v/>
      </c>
      <c r="EY130" s="35">
        <f>IF(N('Dvd Calendar'!$Y$1270)=0,"",IF(('Dvd Calendar'!$Y$1270&gt;=GRID_FROM)*('Dvd Calendar'!$Y$1270&lt;=GRID_TO)*('Dvd Calendar'!$Y$1270&lt;=VAL_DATE)=0,"",'Dvd Calendar'!$Y$1270*1000000000+ISNUMBER('Dvd Calendar'!$Y$1273)*100000000+('Dvd Calendar'!$Y$1275=SPECIAL_LBL)*10000000+0*1000000+15*1000+21))</f>
        <v/>
      </c>
      <c r="EZ130" s="35">
        <f>IF(N('Dvd Calendar'!$Z$1270)=0,"",IF(('Dvd Calendar'!$Z$1270&gt;=GRID_FROM)*('Dvd Calendar'!$Z$1270&lt;=GRID_TO)*('Dvd Calendar'!$Z$1270&lt;=VAL_DATE)=0,"",'Dvd Calendar'!$Z$1270*1000000000+ISNUMBER('Dvd Calendar'!$Z$1273)*100000000+('Dvd Calendar'!$Z$1275=SPECIAL_LBL)*10000000+0*1000000+15*1000+22))</f>
        <v/>
      </c>
      <c r="FA130" s="35">
        <f>IF(N('Dvd Calendar'!$AA$1270)=0,"",IF(('Dvd Calendar'!$AA$1270&gt;=GRID_FROM)*('Dvd Calendar'!$AA$1270&lt;=GRID_TO)*('Dvd Calendar'!$AA$1270&lt;=VAL_DATE)=0,"",'Dvd Calendar'!$AA$1270*1000000000+ISNUMBER('Dvd Calendar'!$AA$1273)*100000000+('Dvd Calendar'!$AA$1275=SPECIAL_LBL)*10000000+0*1000000+15*1000+23))</f>
        <v/>
      </c>
      <c r="FB130" s="35">
        <f>IF(N('Dvd Calendar'!$AB$1270)=0,"",IF(('Dvd Calendar'!$AB$1270&gt;=GRID_FROM)*('Dvd Calendar'!$AB$1270&lt;=GRID_TO)*('Dvd Calendar'!$AB$1270&lt;=VAL_DATE)=0,"",'Dvd Calendar'!$AB$1270*1000000000+ISNUMBER('Dvd Calendar'!$AB$1273)*100000000+('Dvd Calendar'!$AB$1275=SPECIAL_LBL)*10000000+0*1000000+15*1000+24))</f>
        <v/>
      </c>
      <c r="FC130" s="35">
        <f>IF(N('Dvd Calendar'!$AC$1270)=0,"",IF(('Dvd Calendar'!$AC$1270&gt;=GRID_FROM)*('Dvd Calendar'!$AC$1270&lt;=GRID_TO)*('Dvd Calendar'!$AC$1270&lt;=VAL_DATE)=0,"",'Dvd Calendar'!$AC$1270*1000000000+ISNUMBER('Dvd Calendar'!$AC$1273)*100000000+('Dvd Calendar'!$AC$1275=SPECIAL_LBL)*10000000+0*1000000+15*1000+25))</f>
        <v/>
      </c>
      <c r="FD130" s="35">
        <f>IF(N('Dvd Calendar'!$AD$1270)=0,"",IF(('Dvd Calendar'!$AD$1270&gt;=GRID_FROM)*('Dvd Calendar'!$AD$1270&lt;=GRID_TO)*('Dvd Calendar'!$AD$1270&lt;=VAL_DATE)=0,"",'Dvd Calendar'!$AD$1270*1000000000+ISNUMBER('Dvd Calendar'!$AD$1273)*100000000+('Dvd Calendar'!$AD$1275=SPECIAL_LBL)*10000000+0*1000000+15*1000+26))</f>
        <v/>
      </c>
      <c r="FE130" s="35">
        <f>IF(N('Dvd Calendar'!$AE$1270)=0,"",IF(('Dvd Calendar'!$AE$1270&gt;=GRID_FROM)*('Dvd Calendar'!$AE$1270&lt;=GRID_TO)*('Dvd Calendar'!$AE$1270&lt;=VAL_DATE)=0,"",'Dvd Calendar'!$AE$1270*1000000000+ISNUMBER('Dvd Calendar'!$AE$1273)*100000000+('Dvd Calendar'!$AE$1275=SPECIAL_LBL)*10000000+0*1000000+15*1000+27))</f>
        <v/>
      </c>
      <c r="FF130" s="35">
        <f>IF(N('Dvd Calendar'!$AF$1270)=0,"",IF(('Dvd Calendar'!$AF$1270&gt;=GRID_FROM)*('Dvd Calendar'!$AF$1270&lt;=GRID_TO)*('Dvd Calendar'!$AF$1270&lt;=VAL_DATE)=0,"",'Dvd Calendar'!$AF$1270*1000000000+ISNUMBER('Dvd Calendar'!$AF$1273)*100000000+('Dvd Calendar'!$AF$1275=SPECIAL_LBL)*10000000+0*1000000+15*1000+28))</f>
        <v/>
      </c>
      <c r="FG130" s="35">
        <f>IF(N('Dvd Calendar'!$AG$1270)=0,"",IF(('Dvd Calendar'!$AG$1270&gt;=GRID_FROM)*('Dvd Calendar'!$AG$1270&lt;=GRID_TO)*('Dvd Calendar'!$AG$1270&lt;=VAL_DATE)=0,"",'Dvd Calendar'!$AG$1270*1000000000+ISNUMBER('Dvd Calendar'!$AG$1273)*100000000+('Dvd Calendar'!$AG$1275=SPECIAL_LBL)*10000000+0*1000000+15*1000+29))</f>
        <v/>
      </c>
      <c r="FH130" s="35">
        <f>IF(N('Dvd Calendar'!$AH$1270)=0,"",IF(('Dvd Calendar'!$AH$1270&gt;=GRID_FROM)*('Dvd Calendar'!$AH$1270&lt;=GRID_TO)*('Dvd Calendar'!$AH$1270&lt;=VAL_DATE)=0,"",'Dvd Calendar'!$AH$1270*1000000000+ISNUMBER('Dvd Calendar'!$AH$1273)*100000000+('Dvd Calendar'!$AH$1275=SPECIAL_LBL)*10000000+0*1000000+15*1000+30))</f>
        <v/>
      </c>
      <c r="FI130" s="35">
        <f>IF(N('Dvd Calendar'!$AI$1270)=0,"",IF(('Dvd Calendar'!$AI$1270&gt;=GRID_FROM)*('Dvd Calendar'!$AI$1270&lt;=GRID_TO)*('Dvd Calendar'!$AI$1270&lt;=VAL_DATE)=0,"",'Dvd Calendar'!$AI$1270*1000000000+ISNUMBER('Dvd Calendar'!$AI$1273)*100000000+('Dvd Calendar'!$AI$1275=SPECIAL_LBL)*10000000+0*1000000+15*1000+31))</f>
        <v/>
      </c>
      <c r="FJ130" s="35">
        <f>IF(N('Dvd Calendar'!$AJ$1270)=0,"",IF(('Dvd Calendar'!$AJ$1270&gt;=GRID_FROM)*('Dvd Calendar'!$AJ$1270&lt;=GRID_TO)*('Dvd Calendar'!$AJ$1270&lt;=VAL_DATE)=0,"",'Dvd Calendar'!$AJ$1270*1000000000+ISNUMBER('Dvd Calendar'!$AJ$1273)*100000000+('Dvd Calendar'!$AJ$1275=SPECIAL_LBL)*10000000+0*1000000+15*1000+32))</f>
        <v/>
      </c>
      <c r="FK130" s="35">
        <f>IF(N('Dvd Calendar'!$AK$1270)=0,"",IF(('Dvd Calendar'!$AK$1270&gt;=GRID_FROM)*('Dvd Calendar'!$AK$1270&lt;=GRID_TO)*('Dvd Calendar'!$AK$1270&lt;=VAL_DATE)=0,"",'Dvd Calendar'!$AK$1270*1000000000+ISNUMBER('Dvd Calendar'!$AK$1273)*100000000+('Dvd Calendar'!$AK$1275=SPECIAL_LBL)*10000000+0*1000000+15*1000+33))</f>
        <v/>
      </c>
      <c r="FL130" s="35">
        <f>IF(N('Dvd Calendar'!$AL$1270)=0,"",IF(('Dvd Calendar'!$AL$1270&gt;=GRID_FROM)*('Dvd Calendar'!$AL$1270&lt;=GRID_TO)*('Dvd Calendar'!$AL$1270&lt;=VAL_DATE)=0,"",'Dvd Calendar'!$AL$1270*1000000000+ISNUMBER('Dvd Calendar'!$AL$1273)*100000000+('Dvd Calendar'!$AL$1275=SPECIAL_LBL)*10000000+0*1000000+15*1000+34))</f>
        <v/>
      </c>
      <c r="FM130" s="35">
        <f>IF(N('Dvd Calendar'!$AM$1270)=0,"",IF(('Dvd Calendar'!$AM$1270&gt;=GRID_FROM)*('Dvd Calendar'!$AM$1270&lt;=GRID_TO)*('Dvd Calendar'!$AM$1270&lt;=VAL_DATE)=0,"",'Dvd Calendar'!$AM$1270*1000000000+ISNUMBER('Dvd Calendar'!$AM$1273)*100000000+('Dvd Calendar'!$AM$1275=SPECIAL_LBL)*10000000+0*1000000+15*1000+35))</f>
        <v/>
      </c>
      <c r="FN130" s="35">
        <f>IF(N('Dvd Calendar'!$AN$1270)=0,"",IF(('Dvd Calendar'!$AN$1270&gt;=GRID_FROM)*('Dvd Calendar'!$AN$1270&lt;=GRID_TO)*('Dvd Calendar'!$AN$1270&lt;=VAL_DATE)=0,"",'Dvd Calendar'!$AN$1270*1000000000+ISNUMBER('Dvd Calendar'!$AN$1273)*100000000+('Dvd Calendar'!$AN$1275=SPECIAL_LBL)*10000000+0*1000000+15*1000+36))</f>
        <v/>
      </c>
      <c r="FO130" s="35">
        <f>IF(N('Dvd Calendar'!$AO$1270)=0,"",IF(('Dvd Calendar'!$AO$1270&gt;=GRID_FROM)*('Dvd Calendar'!$AO$1270&lt;=GRID_TO)*('Dvd Calendar'!$AO$1270&lt;=VAL_DATE)=0,"",'Dvd Calendar'!$AO$1270*1000000000+ISNUMBER('Dvd Calendar'!$AO$1273)*100000000+('Dvd Calendar'!$AO$1275=SPECIAL_LBL)*10000000+0*1000000+15*1000+37))</f>
        <v/>
      </c>
      <c r="FP130" s="35">
        <f>IF(N('Dvd Calendar'!$AP$1270)=0,"",IF(('Dvd Calendar'!$AP$1270&gt;=GRID_FROM)*('Dvd Calendar'!$AP$1270&lt;=GRID_TO)*('Dvd Calendar'!$AP$1270&lt;=VAL_DATE)=0,"",'Dvd Calendar'!$AP$1270*1000000000+ISNUMBER('Dvd Calendar'!$AP$1273)*100000000+('Dvd Calendar'!$AP$1275=SPECIAL_LBL)*10000000+0*1000000+15*1000+38))</f>
        <v/>
      </c>
      <c r="FQ130" s="35">
        <f>IF(N('Dvd Calendar'!$AQ$1270)=0,"",IF(('Dvd Calendar'!$AQ$1270&gt;=GRID_FROM)*('Dvd Calendar'!$AQ$1270&lt;=GRID_TO)*('Dvd Calendar'!$AQ$1270&lt;=VAL_DATE)=0,"",'Dvd Calendar'!$AQ$1270*1000000000+ISNUMBER('Dvd Calendar'!$AQ$1273)*100000000+('Dvd Calendar'!$AQ$1275=SPECIAL_LBL)*10000000+0*1000000+15*1000+39))</f>
        <v/>
      </c>
      <c r="FR130" s="35">
        <f>IF(N('Dvd Calendar'!$AR$1270)=0,"",IF(('Dvd Calendar'!$AR$1270&gt;=GRID_FROM)*('Dvd Calendar'!$AR$1270&lt;=GRID_TO)*('Dvd Calendar'!$AR$1270&lt;=VAL_DATE)=0,"",'Dvd Calendar'!$AR$1270*1000000000+ISNUMBER('Dvd Calendar'!$AR$1273)*100000000+('Dvd Calendar'!$AR$1275=SPECIAL_LBL)*10000000+0*1000000+15*1000+40))</f>
        <v/>
      </c>
      <c r="FS130" s="35">
        <f>IF(N('Dvd Calendar'!$E$1277)=0,"",IF(('Dvd Calendar'!$E$1277&gt;=GRID_FROM)*('Dvd Calendar'!$E$1277&lt;=GRID_TO)*('Dvd Calendar'!$E$1277&gt;VAL_DATE)=0,"",'Dvd Calendar'!$E$1277*1000000000+ISNUMBER('Dvd Calendar'!$E$1278)*100000000+0*10000000+(N('Dvd Calendar'!$E$1276)&gt;0)*(N('Dvd Calendar'!$E$1276)&lt;=VAL_SERIAL)*1000000+15*1000+41))</f>
        <v/>
      </c>
      <c r="FT130" s="35">
        <f>IF(N('Dvd Calendar'!$F$1277)=0,"",IF(('Dvd Calendar'!$F$1277&gt;=GRID_FROM)*('Dvd Calendar'!$F$1277&lt;=GRID_TO)*('Dvd Calendar'!$F$1277&gt;VAL_DATE)=0,"",'Dvd Calendar'!$F$1277*1000000000+ISNUMBER('Dvd Calendar'!$F$1278)*100000000+0*10000000+(N('Dvd Calendar'!$F$1276)&gt;0)*(N('Dvd Calendar'!$F$1276)&lt;=VAL_SERIAL)*1000000+15*1000+42))</f>
        <v/>
      </c>
      <c r="FU130" s="35">
        <f>IF(N('Dvd Calendar'!$G$1277)=0,"",IF(('Dvd Calendar'!$G$1277&gt;=GRID_FROM)*('Dvd Calendar'!$G$1277&lt;=GRID_TO)*('Dvd Calendar'!$G$1277&gt;VAL_DATE)=0,"",'Dvd Calendar'!$G$1277*1000000000+ISNUMBER('Dvd Calendar'!$G$1278)*100000000+0*10000000+(N('Dvd Calendar'!$G$1276)&gt;0)*(N('Dvd Calendar'!$G$1276)&lt;=VAL_SERIAL)*1000000+15*1000+43))</f>
        <v/>
      </c>
      <c r="FV130" s="35">
        <f>IF(N('Dvd Calendar'!$H$1277)=0,"",IF(('Dvd Calendar'!$H$1277&gt;=GRID_FROM)*('Dvd Calendar'!$H$1277&lt;=GRID_TO)*('Dvd Calendar'!$H$1277&gt;VAL_DATE)=0,"",'Dvd Calendar'!$H$1277*1000000000+ISNUMBER('Dvd Calendar'!$H$1278)*100000000+0*10000000+(N('Dvd Calendar'!$H$1276)&gt;0)*(N('Dvd Calendar'!$H$1276)&lt;=VAL_SERIAL)*1000000+15*1000+44))</f>
        <v/>
      </c>
      <c r="FW130" s="35">
        <f>IF(N('Dvd Calendar'!$I$1277)=0,"",IF(('Dvd Calendar'!$I$1277&gt;=GRID_FROM)*('Dvd Calendar'!$I$1277&lt;=GRID_TO)*('Dvd Calendar'!$I$1277&gt;VAL_DATE)=0,"",'Dvd Calendar'!$I$1277*1000000000+ISNUMBER('Dvd Calendar'!$I$1278)*100000000+0*10000000+(N('Dvd Calendar'!$I$1276)&gt;0)*(N('Dvd Calendar'!$I$1276)&lt;=VAL_SERIAL)*1000000+15*1000+45))</f>
        <v/>
      </c>
      <c r="FX130" s="35">
        <f>IF(N('Dvd Calendar'!$J$1277)=0,"",IF(('Dvd Calendar'!$J$1277&gt;=GRID_FROM)*('Dvd Calendar'!$J$1277&lt;=GRID_TO)*('Dvd Calendar'!$J$1277&gt;VAL_DATE)=0,"",'Dvd Calendar'!$J$1277*1000000000+ISNUMBER('Dvd Calendar'!$J$1278)*100000000+0*10000000+(N('Dvd Calendar'!$J$1276)&gt;0)*(N('Dvd Calendar'!$J$1276)&lt;=VAL_SERIAL)*1000000+15*1000+46))</f>
        <v/>
      </c>
      <c r="FY130" s="35">
        <f>IF(N('Dvd Calendar'!$K$1277)=0,"",IF(('Dvd Calendar'!$K$1277&gt;=GRID_FROM)*('Dvd Calendar'!$K$1277&lt;=GRID_TO)*('Dvd Calendar'!$K$1277&gt;VAL_DATE)=0,"",'Dvd Calendar'!$K$1277*1000000000+ISNUMBER('Dvd Calendar'!$K$1278)*100000000+0*10000000+(N('Dvd Calendar'!$K$1276)&gt;0)*(N('Dvd Calendar'!$K$1276)&lt;=VAL_SERIAL)*1000000+15*1000+47))</f>
        <v/>
      </c>
      <c r="FZ130" s="35">
        <f>IF(N('Dvd Calendar'!$L$1277)=0,"",IF(('Dvd Calendar'!$L$1277&gt;=GRID_FROM)*('Dvd Calendar'!$L$1277&lt;=GRID_TO)*('Dvd Calendar'!$L$1277&gt;VAL_DATE)=0,"",'Dvd Calendar'!$L$1277*1000000000+ISNUMBER('Dvd Calendar'!$L$1278)*100000000+0*10000000+(N('Dvd Calendar'!$L$1276)&gt;0)*(N('Dvd Calendar'!$L$1276)&lt;=VAL_SERIAL)*1000000+15*1000+48))</f>
        <v/>
      </c>
      <c r="GA130" s="35">
        <f>IF(N('Dvd Calendar'!$M$1277)=0,"",IF(('Dvd Calendar'!$M$1277&gt;=GRID_FROM)*('Dvd Calendar'!$M$1277&lt;=GRID_TO)*('Dvd Calendar'!$M$1277&gt;VAL_DATE)=0,"",'Dvd Calendar'!$M$1277*1000000000+ISNUMBER('Dvd Calendar'!$M$1278)*100000000+0*10000000+(N('Dvd Calendar'!$M$1276)&gt;0)*(N('Dvd Calendar'!$M$1276)&lt;=VAL_SERIAL)*1000000+15*1000+49))</f>
        <v/>
      </c>
      <c r="GB130" s="35">
        <f>IF(N('Dvd Calendar'!$N$1277)=0,"",IF(('Dvd Calendar'!$N$1277&gt;=GRID_FROM)*('Dvd Calendar'!$N$1277&lt;=GRID_TO)*('Dvd Calendar'!$N$1277&gt;VAL_DATE)=0,"",'Dvd Calendar'!$N$1277*1000000000+ISNUMBER('Dvd Calendar'!$N$1278)*100000000+0*10000000+(N('Dvd Calendar'!$N$1276)&gt;0)*(N('Dvd Calendar'!$N$1276)&lt;=VAL_SERIAL)*1000000+15*1000+50))</f>
        <v/>
      </c>
      <c r="GC130" s="35">
        <f>IF(N('Dvd Calendar'!$O$1277)=0,"",IF(('Dvd Calendar'!$O$1277&gt;=GRID_FROM)*('Dvd Calendar'!$O$1277&lt;=GRID_TO)*('Dvd Calendar'!$O$1277&gt;VAL_DATE)=0,"",'Dvd Calendar'!$O$1277*1000000000+ISNUMBER('Dvd Calendar'!$O$1278)*100000000+0*10000000+(N('Dvd Calendar'!$O$1276)&gt;0)*(N('Dvd Calendar'!$O$1276)&lt;=VAL_SERIAL)*1000000+15*1000+51))</f>
        <v/>
      </c>
      <c r="GD130" s="35">
        <f>IF(N('Dvd Calendar'!$P$1277)=0,"",IF(('Dvd Calendar'!$P$1277&gt;=GRID_FROM)*('Dvd Calendar'!$P$1277&lt;=GRID_TO)*('Dvd Calendar'!$P$1277&gt;VAL_DATE)=0,"",'Dvd Calendar'!$P$1277*1000000000+ISNUMBER('Dvd Calendar'!$P$1278)*100000000+0*10000000+(N('Dvd Calendar'!$P$1276)&gt;0)*(N('Dvd Calendar'!$P$1276)&lt;=VAL_SERIAL)*1000000+15*1000+52))</f>
        <v/>
      </c>
      <c r="GE130" s="35">
        <f>IF(N('Dvd Calendar'!$Q$1277)=0,"",IF(('Dvd Calendar'!$Q$1277&gt;=GRID_FROM)*('Dvd Calendar'!$Q$1277&lt;=GRID_TO)*('Dvd Calendar'!$Q$1277&gt;VAL_DATE)=0,"",'Dvd Calendar'!$Q$1277*1000000000+ISNUMBER('Dvd Calendar'!$Q$1278)*100000000+0*10000000+(N('Dvd Calendar'!$Q$1276)&gt;0)*(N('Dvd Calendar'!$Q$1276)&lt;=VAL_SERIAL)*1000000+15*1000+53))</f>
        <v/>
      </c>
      <c r="GF130" s="35">
        <f>IF(N('Dvd Calendar'!$R$1277)=0,"",IF(('Dvd Calendar'!$R$1277&gt;=GRID_FROM)*('Dvd Calendar'!$R$1277&lt;=GRID_TO)*('Dvd Calendar'!$R$1277&gt;VAL_DATE)=0,"",'Dvd Calendar'!$R$1277*1000000000+ISNUMBER('Dvd Calendar'!$R$1278)*100000000+0*10000000+(N('Dvd Calendar'!$R$1276)&gt;0)*(N('Dvd Calendar'!$R$1276)&lt;=VAL_SERIAL)*1000000+15*1000+54))</f>
        <v/>
      </c>
      <c r="GG130" s="35">
        <f>IF(N('Dvd Calendar'!$S$1277)=0,"",IF(('Dvd Calendar'!$S$1277&gt;=GRID_FROM)*('Dvd Calendar'!$S$1277&lt;=GRID_TO)*('Dvd Calendar'!$S$1277&gt;VAL_DATE)=0,"",'Dvd Calendar'!$S$1277*1000000000+ISNUMBER('Dvd Calendar'!$S$1278)*100000000+0*10000000+(N('Dvd Calendar'!$S$1276)&gt;0)*(N('Dvd Calendar'!$S$1276)&lt;=VAL_SERIAL)*1000000+15*1000+55))</f>
        <v/>
      </c>
      <c r="GH130" s="35">
        <f>IF(N('Dvd Calendar'!$T$1277)=0,"",IF(('Dvd Calendar'!$T$1277&gt;=GRID_FROM)*('Dvd Calendar'!$T$1277&lt;=GRID_TO)*('Dvd Calendar'!$T$1277&gt;VAL_DATE)=0,"",'Dvd Calendar'!$T$1277*1000000000+ISNUMBER('Dvd Calendar'!$T$1278)*100000000+0*10000000+(N('Dvd Calendar'!$T$1276)&gt;0)*(N('Dvd Calendar'!$T$1276)&lt;=VAL_SERIAL)*1000000+15*1000+56))</f>
        <v/>
      </c>
      <c r="GI130" s="35">
        <f>IF(N('Dvd Calendar'!$U$1277)=0,"",IF(('Dvd Calendar'!$U$1277&gt;=GRID_FROM)*('Dvd Calendar'!$U$1277&lt;=GRID_TO)*('Dvd Calendar'!$U$1277&gt;VAL_DATE)=0,"",'Dvd Calendar'!$U$1277*1000000000+ISNUMBER('Dvd Calendar'!$U$1278)*100000000+0*10000000+(N('Dvd Calendar'!$U$1276)&gt;0)*(N('Dvd Calendar'!$U$1276)&lt;=VAL_SERIAL)*1000000+15*1000+57))</f>
        <v/>
      </c>
      <c r="GJ130" s="35">
        <f>IF(N('Dvd Calendar'!$V$1277)=0,"",IF(('Dvd Calendar'!$V$1277&gt;=GRID_FROM)*('Dvd Calendar'!$V$1277&lt;=GRID_TO)*('Dvd Calendar'!$V$1277&gt;VAL_DATE)=0,"",'Dvd Calendar'!$V$1277*1000000000+ISNUMBER('Dvd Calendar'!$V$1278)*100000000+0*10000000+(N('Dvd Calendar'!$V$1276)&gt;0)*(N('Dvd Calendar'!$V$1276)&lt;=VAL_SERIAL)*1000000+15*1000+58))</f>
        <v/>
      </c>
      <c r="GK130" s="35">
        <f>IF(N('Dvd Calendar'!$W$1277)=0,"",IF(('Dvd Calendar'!$W$1277&gt;=GRID_FROM)*('Dvd Calendar'!$W$1277&lt;=GRID_TO)*('Dvd Calendar'!$W$1277&gt;VAL_DATE)=0,"",'Dvd Calendar'!$W$1277*1000000000+ISNUMBER('Dvd Calendar'!$W$1278)*100000000+0*10000000+(N('Dvd Calendar'!$W$1276)&gt;0)*(N('Dvd Calendar'!$W$1276)&lt;=VAL_SERIAL)*1000000+15*1000+59))</f>
        <v/>
      </c>
      <c r="GL130" s="35">
        <f>IF(N('Dvd Calendar'!$X$1277)=0,"",IF(('Dvd Calendar'!$X$1277&gt;=GRID_FROM)*('Dvd Calendar'!$X$1277&lt;=GRID_TO)*('Dvd Calendar'!$X$1277&gt;VAL_DATE)=0,"",'Dvd Calendar'!$X$1277*1000000000+ISNUMBER('Dvd Calendar'!$X$1278)*100000000+0*10000000+(N('Dvd Calendar'!$X$1276)&gt;0)*(N('Dvd Calendar'!$X$1276)&lt;=VAL_SERIAL)*1000000+15*1000+60))</f>
        <v/>
      </c>
      <c r="GM130" s="35">
        <f>IF(N('Dvd Calendar'!$Y$1277)=0,"",IF(('Dvd Calendar'!$Y$1277&gt;=GRID_FROM)*('Dvd Calendar'!$Y$1277&lt;=GRID_TO)*('Dvd Calendar'!$Y$1277&gt;VAL_DATE)=0,"",'Dvd Calendar'!$Y$1277*1000000000+ISNUMBER('Dvd Calendar'!$Y$1278)*100000000+0*10000000+(N('Dvd Calendar'!$Y$1276)&gt;0)*(N('Dvd Calendar'!$Y$1276)&lt;=VAL_SERIAL)*1000000+15*1000+61))</f>
        <v/>
      </c>
      <c r="GN130" s="35">
        <f>IF(N('Dvd Calendar'!$Z$1277)=0,"",IF(('Dvd Calendar'!$Z$1277&gt;=GRID_FROM)*('Dvd Calendar'!$Z$1277&lt;=GRID_TO)*('Dvd Calendar'!$Z$1277&gt;VAL_DATE)=0,"",'Dvd Calendar'!$Z$1277*1000000000+ISNUMBER('Dvd Calendar'!$Z$1278)*100000000+0*10000000+(N('Dvd Calendar'!$Z$1276)&gt;0)*(N('Dvd Calendar'!$Z$1276)&lt;=VAL_SERIAL)*1000000+15*1000+62))</f>
        <v/>
      </c>
      <c r="GO130" s="35">
        <f>IF(N('Dvd Calendar'!$AA$1277)=0,"",IF(('Dvd Calendar'!$AA$1277&gt;=GRID_FROM)*('Dvd Calendar'!$AA$1277&lt;=GRID_TO)*('Dvd Calendar'!$AA$1277&gt;VAL_DATE)=0,"",'Dvd Calendar'!$AA$1277*1000000000+ISNUMBER('Dvd Calendar'!$AA$1278)*100000000+0*10000000+(N('Dvd Calendar'!$AA$1276)&gt;0)*(N('Dvd Calendar'!$AA$1276)&lt;=VAL_SERIAL)*1000000+15*1000+63))</f>
        <v/>
      </c>
      <c r="GP130" s="35">
        <f>IF(N('Dvd Calendar'!$AB$1277)=0,"",IF(('Dvd Calendar'!$AB$1277&gt;=GRID_FROM)*('Dvd Calendar'!$AB$1277&lt;=GRID_TO)*('Dvd Calendar'!$AB$1277&gt;VAL_DATE)=0,"",'Dvd Calendar'!$AB$1277*1000000000+ISNUMBER('Dvd Calendar'!$AB$1278)*100000000+0*10000000+(N('Dvd Calendar'!$AB$1276)&gt;0)*(N('Dvd Calendar'!$AB$1276)&lt;=VAL_SERIAL)*1000000+15*1000+64))</f>
        <v/>
      </c>
      <c r="GQ130" s="35">
        <f>IF(N('Dvd Calendar'!$AC$1277)=0,"",IF(('Dvd Calendar'!$AC$1277&gt;=GRID_FROM)*('Dvd Calendar'!$AC$1277&lt;=GRID_TO)*('Dvd Calendar'!$AC$1277&gt;VAL_DATE)=0,"",'Dvd Calendar'!$AC$1277*1000000000+ISNUMBER('Dvd Calendar'!$AC$1278)*100000000+0*10000000+(N('Dvd Calendar'!$AC$1276)&gt;0)*(N('Dvd Calendar'!$AC$1276)&lt;=VAL_SERIAL)*1000000+15*1000+65))</f>
        <v/>
      </c>
    </row>
    <row r="131">
      <c r="B131" s="2">
        <f>IF(HSTECH!$C$22="","",HSTECH!$C$22)</f>
        <v/>
      </c>
      <c r="C131" s="106">
        <f>IF(EE131="","",IF(ISNUMBER('Dvd Calendar'!$E$1284)=FALSE,"",IF((('Dvd Calendar'!$E$1286=TYPE1)*(TYPE1&lt;&gt;"")+('Dvd Calendar'!$E$1286=TYPE2)*(TYPE2&lt;&gt;"")+('Dvd Calendar'!$E$1286=TYPE3)*(TYPE3&lt;&gt;"")+('Dvd Calendar'!$E$1286=TYPE4)*(TYPE4&lt;&gt;"")+('Dvd Calendar'!$E$1286=SPECIAL_LBL)*(INC_SPECIALS="Y"))=0,"",'Dvd Calendar'!$E$1284)))</f>
        <v/>
      </c>
      <c r="D131" s="106">
        <f>IF(EF131="","",IF(ISNUMBER('Dvd Calendar'!$F$1284)=FALSE,"",IF((('Dvd Calendar'!$F$1286=TYPE1)*(TYPE1&lt;&gt;"")+('Dvd Calendar'!$F$1286=TYPE2)*(TYPE2&lt;&gt;"")+('Dvd Calendar'!$F$1286=TYPE3)*(TYPE3&lt;&gt;"")+('Dvd Calendar'!$F$1286=TYPE4)*(TYPE4&lt;&gt;"")+('Dvd Calendar'!$F$1286=SPECIAL_LBL)*(INC_SPECIALS="Y"))=0,"",'Dvd Calendar'!$F$1284)))</f>
        <v/>
      </c>
      <c r="E131" s="106">
        <f>IF(EG131="","",IF(ISNUMBER('Dvd Calendar'!$G$1284)=FALSE,"",IF((('Dvd Calendar'!$G$1286=TYPE1)*(TYPE1&lt;&gt;"")+('Dvd Calendar'!$G$1286=TYPE2)*(TYPE2&lt;&gt;"")+('Dvd Calendar'!$G$1286=TYPE3)*(TYPE3&lt;&gt;"")+('Dvd Calendar'!$G$1286=TYPE4)*(TYPE4&lt;&gt;"")+('Dvd Calendar'!$G$1286=SPECIAL_LBL)*(INC_SPECIALS="Y"))=0,"",'Dvd Calendar'!$G$1284)))</f>
        <v/>
      </c>
      <c r="F131" s="106">
        <f>IF(EH131="","",IF(ISNUMBER('Dvd Calendar'!$H$1284)=FALSE,"",IF((('Dvd Calendar'!$H$1286=TYPE1)*(TYPE1&lt;&gt;"")+('Dvd Calendar'!$H$1286=TYPE2)*(TYPE2&lt;&gt;"")+('Dvd Calendar'!$H$1286=TYPE3)*(TYPE3&lt;&gt;"")+('Dvd Calendar'!$H$1286=TYPE4)*(TYPE4&lt;&gt;"")+('Dvd Calendar'!$H$1286=SPECIAL_LBL)*(INC_SPECIALS="Y"))=0,"",'Dvd Calendar'!$H$1284)))</f>
        <v/>
      </c>
      <c r="G131" s="106">
        <f>IF(EI131="","",IF(ISNUMBER('Dvd Calendar'!$I$1284)=FALSE,"",IF((('Dvd Calendar'!$I$1286=TYPE1)*(TYPE1&lt;&gt;"")+('Dvd Calendar'!$I$1286=TYPE2)*(TYPE2&lt;&gt;"")+('Dvd Calendar'!$I$1286=TYPE3)*(TYPE3&lt;&gt;"")+('Dvd Calendar'!$I$1286=TYPE4)*(TYPE4&lt;&gt;"")+('Dvd Calendar'!$I$1286=SPECIAL_LBL)*(INC_SPECIALS="Y"))=0,"",'Dvd Calendar'!$I$1284)))</f>
        <v/>
      </c>
      <c r="H131" s="106">
        <f>IF(EJ131="","",IF(ISNUMBER('Dvd Calendar'!$J$1284)=FALSE,"",IF((('Dvd Calendar'!$J$1286=TYPE1)*(TYPE1&lt;&gt;"")+('Dvd Calendar'!$J$1286=TYPE2)*(TYPE2&lt;&gt;"")+('Dvd Calendar'!$J$1286=TYPE3)*(TYPE3&lt;&gt;"")+('Dvd Calendar'!$J$1286=TYPE4)*(TYPE4&lt;&gt;"")+('Dvd Calendar'!$J$1286=SPECIAL_LBL)*(INC_SPECIALS="Y"))=0,"",'Dvd Calendar'!$J$1284)))</f>
        <v/>
      </c>
      <c r="I131" s="106">
        <f>IF(EK131="","",IF(ISNUMBER('Dvd Calendar'!$K$1284)=FALSE,"",IF((('Dvd Calendar'!$K$1286=TYPE1)*(TYPE1&lt;&gt;"")+('Dvd Calendar'!$K$1286=TYPE2)*(TYPE2&lt;&gt;"")+('Dvd Calendar'!$K$1286=TYPE3)*(TYPE3&lt;&gt;"")+('Dvd Calendar'!$K$1286=TYPE4)*(TYPE4&lt;&gt;"")+('Dvd Calendar'!$K$1286=SPECIAL_LBL)*(INC_SPECIALS="Y"))=0,"",'Dvd Calendar'!$K$1284)))</f>
        <v/>
      </c>
      <c r="J131" s="106">
        <f>IF(EL131="","",IF(ISNUMBER('Dvd Calendar'!$L$1284)=FALSE,"",IF((('Dvd Calendar'!$L$1286=TYPE1)*(TYPE1&lt;&gt;"")+('Dvd Calendar'!$L$1286=TYPE2)*(TYPE2&lt;&gt;"")+('Dvd Calendar'!$L$1286=TYPE3)*(TYPE3&lt;&gt;"")+('Dvd Calendar'!$L$1286=TYPE4)*(TYPE4&lt;&gt;"")+('Dvd Calendar'!$L$1286=SPECIAL_LBL)*(INC_SPECIALS="Y"))=0,"",'Dvd Calendar'!$L$1284)))</f>
        <v/>
      </c>
      <c r="K131" s="106">
        <f>IF(EM131="","",IF(ISNUMBER('Dvd Calendar'!$M$1284)=FALSE,"",IF((('Dvd Calendar'!$M$1286=TYPE1)*(TYPE1&lt;&gt;"")+('Dvd Calendar'!$M$1286=TYPE2)*(TYPE2&lt;&gt;"")+('Dvd Calendar'!$M$1286=TYPE3)*(TYPE3&lt;&gt;"")+('Dvd Calendar'!$M$1286=TYPE4)*(TYPE4&lt;&gt;"")+('Dvd Calendar'!$M$1286=SPECIAL_LBL)*(INC_SPECIALS="Y"))=0,"",'Dvd Calendar'!$M$1284)))</f>
        <v/>
      </c>
      <c r="L131" s="106">
        <f>IF(EN131="","",IF(ISNUMBER('Dvd Calendar'!$N$1284)=FALSE,"",IF((('Dvd Calendar'!$N$1286=TYPE1)*(TYPE1&lt;&gt;"")+('Dvd Calendar'!$N$1286=TYPE2)*(TYPE2&lt;&gt;"")+('Dvd Calendar'!$N$1286=TYPE3)*(TYPE3&lt;&gt;"")+('Dvd Calendar'!$N$1286=TYPE4)*(TYPE4&lt;&gt;"")+('Dvd Calendar'!$N$1286=SPECIAL_LBL)*(INC_SPECIALS="Y"))=0,"",'Dvd Calendar'!$N$1284)))</f>
        <v/>
      </c>
      <c r="M131" s="106">
        <f>IF(EO131="","",IF(ISNUMBER('Dvd Calendar'!$O$1284)=FALSE,"",IF((('Dvd Calendar'!$O$1286=TYPE1)*(TYPE1&lt;&gt;"")+('Dvd Calendar'!$O$1286=TYPE2)*(TYPE2&lt;&gt;"")+('Dvd Calendar'!$O$1286=TYPE3)*(TYPE3&lt;&gt;"")+('Dvd Calendar'!$O$1286=TYPE4)*(TYPE4&lt;&gt;"")+('Dvd Calendar'!$O$1286=SPECIAL_LBL)*(INC_SPECIALS="Y"))=0,"",'Dvd Calendar'!$O$1284)))</f>
        <v/>
      </c>
      <c r="N131" s="106">
        <f>IF(EP131="","",IF(ISNUMBER('Dvd Calendar'!$P$1284)=FALSE,"",IF((('Dvd Calendar'!$P$1286=TYPE1)*(TYPE1&lt;&gt;"")+('Dvd Calendar'!$P$1286=TYPE2)*(TYPE2&lt;&gt;"")+('Dvd Calendar'!$P$1286=TYPE3)*(TYPE3&lt;&gt;"")+('Dvd Calendar'!$P$1286=TYPE4)*(TYPE4&lt;&gt;"")+('Dvd Calendar'!$P$1286=SPECIAL_LBL)*(INC_SPECIALS="Y"))=0,"",'Dvd Calendar'!$P$1284)))</f>
        <v/>
      </c>
      <c r="O131" s="106">
        <f>IF(EQ131="","",IF(ISNUMBER('Dvd Calendar'!$Q$1284)=FALSE,"",IF((('Dvd Calendar'!$Q$1286=TYPE1)*(TYPE1&lt;&gt;"")+('Dvd Calendar'!$Q$1286=TYPE2)*(TYPE2&lt;&gt;"")+('Dvd Calendar'!$Q$1286=TYPE3)*(TYPE3&lt;&gt;"")+('Dvd Calendar'!$Q$1286=TYPE4)*(TYPE4&lt;&gt;"")+('Dvd Calendar'!$Q$1286=SPECIAL_LBL)*(INC_SPECIALS="Y"))=0,"",'Dvd Calendar'!$Q$1284)))</f>
        <v/>
      </c>
      <c r="P131" s="106">
        <f>IF(ER131="","",IF(ISNUMBER('Dvd Calendar'!$R$1284)=FALSE,"",IF((('Dvd Calendar'!$R$1286=TYPE1)*(TYPE1&lt;&gt;"")+('Dvd Calendar'!$R$1286=TYPE2)*(TYPE2&lt;&gt;"")+('Dvd Calendar'!$R$1286=TYPE3)*(TYPE3&lt;&gt;"")+('Dvd Calendar'!$R$1286=TYPE4)*(TYPE4&lt;&gt;"")+('Dvd Calendar'!$R$1286=SPECIAL_LBL)*(INC_SPECIALS="Y"))=0,"",'Dvd Calendar'!$R$1284)))</f>
        <v/>
      </c>
      <c r="Q131" s="106">
        <f>IF(ES131="","",IF(ISNUMBER('Dvd Calendar'!$S$1284)=FALSE,"",IF((('Dvd Calendar'!$S$1286=TYPE1)*(TYPE1&lt;&gt;"")+('Dvd Calendar'!$S$1286=TYPE2)*(TYPE2&lt;&gt;"")+('Dvd Calendar'!$S$1286=TYPE3)*(TYPE3&lt;&gt;"")+('Dvd Calendar'!$S$1286=TYPE4)*(TYPE4&lt;&gt;"")+('Dvd Calendar'!$S$1286=SPECIAL_LBL)*(INC_SPECIALS="Y"))=0,"",'Dvd Calendar'!$S$1284)))</f>
        <v/>
      </c>
      <c r="R131" s="106">
        <f>IF(ET131="","",IF(ISNUMBER('Dvd Calendar'!$T$1284)=FALSE,"",IF((('Dvd Calendar'!$T$1286=TYPE1)*(TYPE1&lt;&gt;"")+('Dvd Calendar'!$T$1286=TYPE2)*(TYPE2&lt;&gt;"")+('Dvd Calendar'!$T$1286=TYPE3)*(TYPE3&lt;&gt;"")+('Dvd Calendar'!$T$1286=TYPE4)*(TYPE4&lt;&gt;"")+('Dvd Calendar'!$T$1286=SPECIAL_LBL)*(INC_SPECIALS="Y"))=0,"",'Dvd Calendar'!$T$1284)))</f>
        <v/>
      </c>
      <c r="S131" s="106">
        <f>IF(EU131="","",IF(ISNUMBER('Dvd Calendar'!$U$1284)=FALSE,"",IF((('Dvd Calendar'!$U$1286=TYPE1)*(TYPE1&lt;&gt;"")+('Dvd Calendar'!$U$1286=TYPE2)*(TYPE2&lt;&gt;"")+('Dvd Calendar'!$U$1286=TYPE3)*(TYPE3&lt;&gt;"")+('Dvd Calendar'!$U$1286=TYPE4)*(TYPE4&lt;&gt;"")+('Dvd Calendar'!$U$1286=SPECIAL_LBL)*(INC_SPECIALS="Y"))=0,"",'Dvd Calendar'!$U$1284)))</f>
        <v/>
      </c>
      <c r="T131" s="106">
        <f>IF(EV131="","",IF(ISNUMBER('Dvd Calendar'!$V$1284)=FALSE,"",IF((('Dvd Calendar'!$V$1286=TYPE1)*(TYPE1&lt;&gt;"")+('Dvd Calendar'!$V$1286=TYPE2)*(TYPE2&lt;&gt;"")+('Dvd Calendar'!$V$1286=TYPE3)*(TYPE3&lt;&gt;"")+('Dvd Calendar'!$V$1286=TYPE4)*(TYPE4&lt;&gt;"")+('Dvd Calendar'!$V$1286=SPECIAL_LBL)*(INC_SPECIALS="Y"))=0,"",'Dvd Calendar'!$V$1284)))</f>
        <v/>
      </c>
      <c r="U131" s="106">
        <f>IF(EW131="","",IF(ISNUMBER('Dvd Calendar'!$W$1284)=FALSE,"",IF((('Dvd Calendar'!$W$1286=TYPE1)*(TYPE1&lt;&gt;"")+('Dvd Calendar'!$W$1286=TYPE2)*(TYPE2&lt;&gt;"")+('Dvd Calendar'!$W$1286=TYPE3)*(TYPE3&lt;&gt;"")+('Dvd Calendar'!$W$1286=TYPE4)*(TYPE4&lt;&gt;"")+('Dvd Calendar'!$W$1286=SPECIAL_LBL)*(INC_SPECIALS="Y"))=0,"",'Dvd Calendar'!$W$1284)))</f>
        <v/>
      </c>
      <c r="V131" s="106">
        <f>IF(EX131="","",IF(ISNUMBER('Dvd Calendar'!$X$1284)=FALSE,"",IF((('Dvd Calendar'!$X$1286=TYPE1)*(TYPE1&lt;&gt;"")+('Dvd Calendar'!$X$1286=TYPE2)*(TYPE2&lt;&gt;"")+('Dvd Calendar'!$X$1286=TYPE3)*(TYPE3&lt;&gt;"")+('Dvd Calendar'!$X$1286=TYPE4)*(TYPE4&lt;&gt;"")+('Dvd Calendar'!$X$1286=SPECIAL_LBL)*(INC_SPECIALS="Y"))=0,"",'Dvd Calendar'!$X$1284)))</f>
        <v/>
      </c>
      <c r="W131" s="106">
        <f>IF(EY131="","",IF(ISNUMBER('Dvd Calendar'!$Y$1284)=FALSE,"",IF((('Dvd Calendar'!$Y$1286=TYPE1)*(TYPE1&lt;&gt;"")+('Dvd Calendar'!$Y$1286=TYPE2)*(TYPE2&lt;&gt;"")+('Dvd Calendar'!$Y$1286=TYPE3)*(TYPE3&lt;&gt;"")+('Dvd Calendar'!$Y$1286=TYPE4)*(TYPE4&lt;&gt;"")+('Dvd Calendar'!$Y$1286=SPECIAL_LBL)*(INC_SPECIALS="Y"))=0,"",'Dvd Calendar'!$Y$1284)))</f>
        <v/>
      </c>
      <c r="X131" s="106">
        <f>IF(EZ131="","",IF(ISNUMBER('Dvd Calendar'!$Z$1284)=FALSE,"",IF((('Dvd Calendar'!$Z$1286=TYPE1)*(TYPE1&lt;&gt;"")+('Dvd Calendar'!$Z$1286=TYPE2)*(TYPE2&lt;&gt;"")+('Dvd Calendar'!$Z$1286=TYPE3)*(TYPE3&lt;&gt;"")+('Dvd Calendar'!$Z$1286=TYPE4)*(TYPE4&lt;&gt;"")+('Dvd Calendar'!$Z$1286=SPECIAL_LBL)*(INC_SPECIALS="Y"))=0,"",'Dvd Calendar'!$Z$1284)))</f>
        <v/>
      </c>
      <c r="Y131" s="106">
        <f>IF(FA131="","",IF(ISNUMBER('Dvd Calendar'!$AA$1284)=FALSE,"",IF((('Dvd Calendar'!$AA$1286=TYPE1)*(TYPE1&lt;&gt;"")+('Dvd Calendar'!$AA$1286=TYPE2)*(TYPE2&lt;&gt;"")+('Dvd Calendar'!$AA$1286=TYPE3)*(TYPE3&lt;&gt;"")+('Dvd Calendar'!$AA$1286=TYPE4)*(TYPE4&lt;&gt;"")+('Dvd Calendar'!$AA$1286=SPECIAL_LBL)*(INC_SPECIALS="Y"))=0,"",'Dvd Calendar'!$AA$1284)))</f>
        <v/>
      </c>
      <c r="Z131" s="106">
        <f>IF(FB131="","",IF(ISNUMBER('Dvd Calendar'!$AB$1284)=FALSE,"",IF((('Dvd Calendar'!$AB$1286=TYPE1)*(TYPE1&lt;&gt;"")+('Dvd Calendar'!$AB$1286=TYPE2)*(TYPE2&lt;&gt;"")+('Dvd Calendar'!$AB$1286=TYPE3)*(TYPE3&lt;&gt;"")+('Dvd Calendar'!$AB$1286=TYPE4)*(TYPE4&lt;&gt;"")+('Dvd Calendar'!$AB$1286=SPECIAL_LBL)*(INC_SPECIALS="Y"))=0,"",'Dvd Calendar'!$AB$1284)))</f>
        <v/>
      </c>
      <c r="AA131" s="106">
        <f>IF(FC131="","",IF(ISNUMBER('Dvd Calendar'!$AC$1284)=FALSE,"",IF((('Dvd Calendar'!$AC$1286=TYPE1)*(TYPE1&lt;&gt;"")+('Dvd Calendar'!$AC$1286=TYPE2)*(TYPE2&lt;&gt;"")+('Dvd Calendar'!$AC$1286=TYPE3)*(TYPE3&lt;&gt;"")+('Dvd Calendar'!$AC$1286=TYPE4)*(TYPE4&lt;&gt;"")+('Dvd Calendar'!$AC$1286=SPECIAL_LBL)*(INC_SPECIALS="Y"))=0,"",'Dvd Calendar'!$AC$1284)))</f>
        <v/>
      </c>
      <c r="AB131" s="106">
        <f>IF(FD131="","",IF(ISNUMBER('Dvd Calendar'!$AD$1284)=FALSE,"",IF((('Dvd Calendar'!$AD$1286=TYPE1)*(TYPE1&lt;&gt;"")+('Dvd Calendar'!$AD$1286=TYPE2)*(TYPE2&lt;&gt;"")+('Dvd Calendar'!$AD$1286=TYPE3)*(TYPE3&lt;&gt;"")+('Dvd Calendar'!$AD$1286=TYPE4)*(TYPE4&lt;&gt;"")+('Dvd Calendar'!$AD$1286=SPECIAL_LBL)*(INC_SPECIALS="Y"))=0,"",'Dvd Calendar'!$AD$1284)))</f>
        <v/>
      </c>
      <c r="AC131" s="106">
        <f>IF(FE131="","",IF(ISNUMBER('Dvd Calendar'!$AE$1284)=FALSE,"",IF((('Dvd Calendar'!$AE$1286=TYPE1)*(TYPE1&lt;&gt;"")+('Dvd Calendar'!$AE$1286=TYPE2)*(TYPE2&lt;&gt;"")+('Dvd Calendar'!$AE$1286=TYPE3)*(TYPE3&lt;&gt;"")+('Dvd Calendar'!$AE$1286=TYPE4)*(TYPE4&lt;&gt;"")+('Dvd Calendar'!$AE$1286=SPECIAL_LBL)*(INC_SPECIALS="Y"))=0,"",'Dvd Calendar'!$AE$1284)))</f>
        <v/>
      </c>
      <c r="AD131" s="106">
        <f>IF(FF131="","",IF(ISNUMBER('Dvd Calendar'!$AF$1284)=FALSE,"",IF((('Dvd Calendar'!$AF$1286=TYPE1)*(TYPE1&lt;&gt;"")+('Dvd Calendar'!$AF$1286=TYPE2)*(TYPE2&lt;&gt;"")+('Dvd Calendar'!$AF$1286=TYPE3)*(TYPE3&lt;&gt;"")+('Dvd Calendar'!$AF$1286=TYPE4)*(TYPE4&lt;&gt;"")+('Dvd Calendar'!$AF$1286=SPECIAL_LBL)*(INC_SPECIALS="Y"))=0,"",'Dvd Calendar'!$AF$1284)))</f>
        <v/>
      </c>
      <c r="AE131" s="106">
        <f>IF(FG131="","",IF(ISNUMBER('Dvd Calendar'!$AG$1284)=FALSE,"",IF((('Dvd Calendar'!$AG$1286=TYPE1)*(TYPE1&lt;&gt;"")+('Dvd Calendar'!$AG$1286=TYPE2)*(TYPE2&lt;&gt;"")+('Dvd Calendar'!$AG$1286=TYPE3)*(TYPE3&lt;&gt;"")+('Dvd Calendar'!$AG$1286=TYPE4)*(TYPE4&lt;&gt;"")+('Dvd Calendar'!$AG$1286=SPECIAL_LBL)*(INC_SPECIALS="Y"))=0,"",'Dvd Calendar'!$AG$1284)))</f>
        <v/>
      </c>
      <c r="AF131" s="106">
        <f>IF(FH131="","",IF(ISNUMBER('Dvd Calendar'!$AH$1284)=FALSE,"",IF((('Dvd Calendar'!$AH$1286=TYPE1)*(TYPE1&lt;&gt;"")+('Dvd Calendar'!$AH$1286=TYPE2)*(TYPE2&lt;&gt;"")+('Dvd Calendar'!$AH$1286=TYPE3)*(TYPE3&lt;&gt;"")+('Dvd Calendar'!$AH$1286=TYPE4)*(TYPE4&lt;&gt;"")+('Dvd Calendar'!$AH$1286=SPECIAL_LBL)*(INC_SPECIALS="Y"))=0,"",'Dvd Calendar'!$AH$1284)))</f>
        <v/>
      </c>
      <c r="AG131" s="106">
        <f>IF(FI131="","",IF(ISNUMBER('Dvd Calendar'!$AI$1284)=FALSE,"",IF((('Dvd Calendar'!$AI$1286=TYPE1)*(TYPE1&lt;&gt;"")+('Dvd Calendar'!$AI$1286=TYPE2)*(TYPE2&lt;&gt;"")+('Dvd Calendar'!$AI$1286=TYPE3)*(TYPE3&lt;&gt;"")+('Dvd Calendar'!$AI$1286=TYPE4)*(TYPE4&lt;&gt;"")+('Dvd Calendar'!$AI$1286=SPECIAL_LBL)*(INC_SPECIALS="Y"))=0,"",'Dvd Calendar'!$AI$1284)))</f>
        <v/>
      </c>
      <c r="AH131" s="106">
        <f>IF(FJ131="","",IF(ISNUMBER('Dvd Calendar'!$AJ$1284)=FALSE,"",IF((('Dvd Calendar'!$AJ$1286=TYPE1)*(TYPE1&lt;&gt;"")+('Dvd Calendar'!$AJ$1286=TYPE2)*(TYPE2&lt;&gt;"")+('Dvd Calendar'!$AJ$1286=TYPE3)*(TYPE3&lt;&gt;"")+('Dvd Calendar'!$AJ$1286=TYPE4)*(TYPE4&lt;&gt;"")+('Dvd Calendar'!$AJ$1286=SPECIAL_LBL)*(INC_SPECIALS="Y"))=0,"",'Dvd Calendar'!$AJ$1284)))</f>
        <v/>
      </c>
      <c r="AI131" s="106">
        <f>IF(FK131="","",IF(ISNUMBER('Dvd Calendar'!$AK$1284)=FALSE,"",IF((('Dvd Calendar'!$AK$1286=TYPE1)*(TYPE1&lt;&gt;"")+('Dvd Calendar'!$AK$1286=TYPE2)*(TYPE2&lt;&gt;"")+('Dvd Calendar'!$AK$1286=TYPE3)*(TYPE3&lt;&gt;"")+('Dvd Calendar'!$AK$1286=TYPE4)*(TYPE4&lt;&gt;"")+('Dvd Calendar'!$AK$1286=SPECIAL_LBL)*(INC_SPECIALS="Y"))=0,"",'Dvd Calendar'!$AK$1284)))</f>
        <v/>
      </c>
      <c r="AJ131" s="106">
        <f>IF(FL131="","",IF(ISNUMBER('Dvd Calendar'!$AL$1284)=FALSE,"",IF((('Dvd Calendar'!$AL$1286=TYPE1)*(TYPE1&lt;&gt;"")+('Dvd Calendar'!$AL$1286=TYPE2)*(TYPE2&lt;&gt;"")+('Dvd Calendar'!$AL$1286=TYPE3)*(TYPE3&lt;&gt;"")+('Dvd Calendar'!$AL$1286=TYPE4)*(TYPE4&lt;&gt;"")+('Dvd Calendar'!$AL$1286=SPECIAL_LBL)*(INC_SPECIALS="Y"))=0,"",'Dvd Calendar'!$AL$1284)))</f>
        <v/>
      </c>
      <c r="AK131" s="106">
        <f>IF(FM131="","",IF(ISNUMBER('Dvd Calendar'!$AM$1284)=FALSE,"",IF((('Dvd Calendar'!$AM$1286=TYPE1)*(TYPE1&lt;&gt;"")+('Dvd Calendar'!$AM$1286=TYPE2)*(TYPE2&lt;&gt;"")+('Dvd Calendar'!$AM$1286=TYPE3)*(TYPE3&lt;&gt;"")+('Dvd Calendar'!$AM$1286=TYPE4)*(TYPE4&lt;&gt;"")+('Dvd Calendar'!$AM$1286=SPECIAL_LBL)*(INC_SPECIALS="Y"))=0,"",'Dvd Calendar'!$AM$1284)))</f>
        <v/>
      </c>
      <c r="AL131" s="106">
        <f>IF(FN131="","",IF(ISNUMBER('Dvd Calendar'!$AN$1284)=FALSE,"",IF((('Dvd Calendar'!$AN$1286=TYPE1)*(TYPE1&lt;&gt;"")+('Dvd Calendar'!$AN$1286=TYPE2)*(TYPE2&lt;&gt;"")+('Dvd Calendar'!$AN$1286=TYPE3)*(TYPE3&lt;&gt;"")+('Dvd Calendar'!$AN$1286=TYPE4)*(TYPE4&lt;&gt;"")+('Dvd Calendar'!$AN$1286=SPECIAL_LBL)*(INC_SPECIALS="Y"))=0,"",'Dvd Calendar'!$AN$1284)))</f>
        <v/>
      </c>
      <c r="AM131" s="106">
        <f>IF(FO131="","",IF(ISNUMBER('Dvd Calendar'!$AO$1284)=FALSE,"",IF((('Dvd Calendar'!$AO$1286=TYPE1)*(TYPE1&lt;&gt;"")+('Dvd Calendar'!$AO$1286=TYPE2)*(TYPE2&lt;&gt;"")+('Dvd Calendar'!$AO$1286=TYPE3)*(TYPE3&lt;&gt;"")+('Dvd Calendar'!$AO$1286=TYPE4)*(TYPE4&lt;&gt;"")+('Dvd Calendar'!$AO$1286=SPECIAL_LBL)*(INC_SPECIALS="Y"))=0,"",'Dvd Calendar'!$AO$1284)))</f>
        <v/>
      </c>
      <c r="AN131" s="106">
        <f>IF(FP131="","",IF(ISNUMBER('Dvd Calendar'!$AP$1284)=FALSE,"",IF((('Dvd Calendar'!$AP$1286=TYPE1)*(TYPE1&lt;&gt;"")+('Dvd Calendar'!$AP$1286=TYPE2)*(TYPE2&lt;&gt;"")+('Dvd Calendar'!$AP$1286=TYPE3)*(TYPE3&lt;&gt;"")+('Dvd Calendar'!$AP$1286=TYPE4)*(TYPE4&lt;&gt;"")+('Dvd Calendar'!$AP$1286=SPECIAL_LBL)*(INC_SPECIALS="Y"))=0,"",'Dvd Calendar'!$AP$1284)))</f>
        <v/>
      </c>
      <c r="AO131" s="106">
        <f>IF(FQ131="","",IF(ISNUMBER('Dvd Calendar'!$AQ$1284)=FALSE,"",IF((('Dvd Calendar'!$AQ$1286=TYPE1)*(TYPE1&lt;&gt;"")+('Dvd Calendar'!$AQ$1286=TYPE2)*(TYPE2&lt;&gt;"")+('Dvd Calendar'!$AQ$1286=TYPE3)*(TYPE3&lt;&gt;"")+('Dvd Calendar'!$AQ$1286=TYPE4)*(TYPE4&lt;&gt;"")+('Dvd Calendar'!$AQ$1286=SPECIAL_LBL)*(INC_SPECIALS="Y"))=0,"",'Dvd Calendar'!$AQ$1284)))</f>
        <v/>
      </c>
      <c r="AP131" s="106">
        <f>IF(FR131="","",IF(ISNUMBER('Dvd Calendar'!$AR$1284)=FALSE,"",IF((('Dvd Calendar'!$AR$1286=TYPE1)*(TYPE1&lt;&gt;"")+('Dvd Calendar'!$AR$1286=TYPE2)*(TYPE2&lt;&gt;"")+('Dvd Calendar'!$AR$1286=TYPE3)*(TYPE3&lt;&gt;"")+('Dvd Calendar'!$AR$1286=TYPE4)*(TYPE4&lt;&gt;"")+('Dvd Calendar'!$AR$1286=SPECIAL_LBL)*(INC_SPECIALS="Y"))=0,"",'Dvd Calendar'!$AR$1284)))</f>
        <v/>
      </c>
      <c r="AQ131" s="106">
        <f>IF(FS131="","",IF(ISNUMBER('Dvd Calendar'!$E$1289)=FALSE,"",'Dvd Calendar'!$E$1289))</f>
        <v/>
      </c>
      <c r="AR131" s="106">
        <f>IF(FT131="","",IF(ISNUMBER('Dvd Calendar'!$F$1289)=FALSE,"",'Dvd Calendar'!$F$1289))</f>
        <v/>
      </c>
      <c r="AS131" s="106">
        <f>IF(FU131="","",IF(ISNUMBER('Dvd Calendar'!$G$1289)=FALSE,"",'Dvd Calendar'!$G$1289))</f>
        <v/>
      </c>
      <c r="AT131" s="106">
        <f>IF(FV131="","",IF(ISNUMBER('Dvd Calendar'!$H$1289)=FALSE,"",'Dvd Calendar'!$H$1289))</f>
        <v/>
      </c>
      <c r="AU131" s="106">
        <f>IF(FW131="","",IF(ISNUMBER('Dvd Calendar'!$I$1289)=FALSE,"",'Dvd Calendar'!$I$1289))</f>
        <v/>
      </c>
      <c r="AV131" s="106">
        <f>IF(FX131="","",IF(ISNUMBER('Dvd Calendar'!$J$1289)=FALSE,"",'Dvd Calendar'!$J$1289))</f>
        <v/>
      </c>
      <c r="AW131" s="106">
        <f>IF(FY131="","",IF(ISNUMBER('Dvd Calendar'!$K$1289)=FALSE,"",'Dvd Calendar'!$K$1289))</f>
        <v/>
      </c>
      <c r="AX131" s="106">
        <f>IF(FZ131="","",IF(ISNUMBER('Dvd Calendar'!$L$1289)=FALSE,"",'Dvd Calendar'!$L$1289))</f>
        <v/>
      </c>
      <c r="AY131" s="106">
        <f>IF(GA131="","",IF(ISNUMBER('Dvd Calendar'!$M$1289)=FALSE,"",'Dvd Calendar'!$M$1289))</f>
        <v/>
      </c>
      <c r="AZ131" s="106">
        <f>IF(GB131="","",IF(ISNUMBER('Dvd Calendar'!$N$1289)=FALSE,"",'Dvd Calendar'!$N$1289))</f>
        <v/>
      </c>
      <c r="BA131" s="106">
        <f>IF(GC131="","",IF(ISNUMBER('Dvd Calendar'!$O$1289)=FALSE,"",'Dvd Calendar'!$O$1289))</f>
        <v/>
      </c>
      <c r="BB131" s="106">
        <f>IF(GD131="","",IF(ISNUMBER('Dvd Calendar'!$P$1289)=FALSE,"",'Dvd Calendar'!$P$1289))</f>
        <v/>
      </c>
      <c r="BC131" s="106">
        <f>IF(GE131="","",IF(ISNUMBER('Dvd Calendar'!$Q$1289)=FALSE,"",'Dvd Calendar'!$Q$1289))</f>
        <v/>
      </c>
      <c r="BD131" s="106">
        <f>IF(GF131="","",IF(ISNUMBER('Dvd Calendar'!$R$1289)=FALSE,"",'Dvd Calendar'!$R$1289))</f>
        <v/>
      </c>
      <c r="BE131" s="106">
        <f>IF(GG131="","",IF(ISNUMBER('Dvd Calendar'!$S$1289)=FALSE,"",'Dvd Calendar'!$S$1289))</f>
        <v/>
      </c>
      <c r="BF131" s="106">
        <f>IF(GH131="","",IF(ISNUMBER('Dvd Calendar'!$T$1289)=FALSE,"",'Dvd Calendar'!$T$1289))</f>
        <v/>
      </c>
      <c r="BG131" s="106">
        <f>IF(GI131="","",IF(ISNUMBER('Dvd Calendar'!$U$1289)=FALSE,"",'Dvd Calendar'!$U$1289))</f>
        <v/>
      </c>
      <c r="BH131" s="106">
        <f>IF(GJ131="","",IF(ISNUMBER('Dvd Calendar'!$V$1289)=FALSE,"",'Dvd Calendar'!$V$1289))</f>
        <v/>
      </c>
      <c r="BI131" s="106">
        <f>IF(GK131="","",IF(ISNUMBER('Dvd Calendar'!$W$1289)=FALSE,"",'Dvd Calendar'!$W$1289))</f>
        <v/>
      </c>
      <c r="BJ131" s="106">
        <f>IF(GL131="","",IF(ISNUMBER('Dvd Calendar'!$X$1289)=FALSE,"",'Dvd Calendar'!$X$1289))</f>
        <v/>
      </c>
      <c r="BK131" s="106">
        <f>IF(GM131="","",IF(ISNUMBER('Dvd Calendar'!$Y$1289)=FALSE,"",'Dvd Calendar'!$Y$1289))</f>
        <v/>
      </c>
      <c r="BL131" s="106">
        <f>IF(GN131="","",IF(ISNUMBER('Dvd Calendar'!$Z$1289)=FALSE,"",'Dvd Calendar'!$Z$1289))</f>
        <v/>
      </c>
      <c r="BM131" s="106">
        <f>IF(GO131="","",IF(ISNUMBER('Dvd Calendar'!$AA$1289)=FALSE,"",'Dvd Calendar'!$AA$1289))</f>
        <v/>
      </c>
      <c r="BN131" s="106">
        <f>IF(GP131="","",IF(ISNUMBER('Dvd Calendar'!$AB$1289)=FALSE,"",'Dvd Calendar'!$AB$1289))</f>
        <v/>
      </c>
      <c r="BO131" s="106">
        <f>IF(GQ131="","",IF(ISNUMBER('Dvd Calendar'!$AC$1289)=FALSE,"",'Dvd Calendar'!$AC$1289))</f>
        <v/>
      </c>
      <c r="BQ131" s="106">
        <f>IF(C131="","",IFERROR(C131*HSTECH!$B$22*HSTECH!$G$22/HSTECH!$B$3,""))</f>
        <v/>
      </c>
      <c r="BR131" s="106">
        <f>IF(D131="","",IFERROR(D131*HSTECH!$B$22*HSTECH!$G$22/HSTECH!$B$3,""))</f>
        <v/>
      </c>
      <c r="BS131" s="106">
        <f>IF(E131="","",IFERROR(E131*HSTECH!$B$22*HSTECH!$G$22/HSTECH!$B$3,""))</f>
        <v/>
      </c>
      <c r="BT131" s="106">
        <f>IF(F131="","",IFERROR(F131*HSTECH!$B$22*HSTECH!$G$22/HSTECH!$B$3,""))</f>
        <v/>
      </c>
      <c r="BU131" s="106">
        <f>IF(G131="","",IFERROR(G131*HSTECH!$B$22*HSTECH!$G$22/HSTECH!$B$3,""))</f>
        <v/>
      </c>
      <c r="BV131" s="106">
        <f>IF(H131="","",IFERROR(H131*HSTECH!$B$22*HSTECH!$G$22/HSTECH!$B$3,""))</f>
        <v/>
      </c>
      <c r="BW131" s="106">
        <f>IF(I131="","",IFERROR(I131*HSTECH!$B$22*HSTECH!$G$22/HSTECH!$B$3,""))</f>
        <v/>
      </c>
      <c r="BX131" s="106">
        <f>IF(J131="","",IFERROR(J131*HSTECH!$B$22*HSTECH!$G$22/HSTECH!$B$3,""))</f>
        <v/>
      </c>
      <c r="BY131" s="106">
        <f>IF(K131="","",IFERROR(K131*HSTECH!$B$22*HSTECH!$G$22/HSTECH!$B$3,""))</f>
        <v/>
      </c>
      <c r="BZ131" s="106">
        <f>IF(L131="","",IFERROR(L131*HSTECH!$B$22*HSTECH!$G$22/HSTECH!$B$3,""))</f>
        <v/>
      </c>
      <c r="CA131" s="106">
        <f>IF(M131="","",IFERROR(M131*HSTECH!$B$22*HSTECH!$G$22/HSTECH!$B$3,""))</f>
        <v/>
      </c>
      <c r="CB131" s="106">
        <f>IF(N131="","",IFERROR(N131*HSTECH!$B$22*HSTECH!$G$22/HSTECH!$B$3,""))</f>
        <v/>
      </c>
      <c r="CC131" s="106">
        <f>IF(O131="","",IFERROR(O131*HSTECH!$B$22*HSTECH!$G$22/HSTECH!$B$3,""))</f>
        <v/>
      </c>
      <c r="CD131" s="106">
        <f>IF(P131="","",IFERROR(P131*HSTECH!$B$22*HSTECH!$G$22/HSTECH!$B$3,""))</f>
        <v/>
      </c>
      <c r="CE131" s="106">
        <f>IF(Q131="","",IFERROR(Q131*HSTECH!$B$22*HSTECH!$G$22/HSTECH!$B$3,""))</f>
        <v/>
      </c>
      <c r="CF131" s="106">
        <f>IF(R131="","",IFERROR(R131*HSTECH!$B$22*HSTECH!$G$22/HSTECH!$B$3,""))</f>
        <v/>
      </c>
      <c r="CG131" s="106">
        <f>IF(S131="","",IFERROR(S131*HSTECH!$B$22*HSTECH!$G$22/HSTECH!$B$3,""))</f>
        <v/>
      </c>
      <c r="CH131" s="106">
        <f>IF(T131="","",IFERROR(T131*HSTECH!$B$22*HSTECH!$G$22/HSTECH!$B$3,""))</f>
        <v/>
      </c>
      <c r="CI131" s="106">
        <f>IF(U131="","",IFERROR(U131*HSTECH!$B$22*HSTECH!$G$22/HSTECH!$B$3,""))</f>
        <v/>
      </c>
      <c r="CJ131" s="106">
        <f>IF(V131="","",IFERROR(V131*HSTECH!$B$22*HSTECH!$G$22/HSTECH!$B$3,""))</f>
        <v/>
      </c>
      <c r="CK131" s="106">
        <f>IF(W131="","",IFERROR(W131*HSTECH!$B$22*HSTECH!$G$22/HSTECH!$B$3,""))</f>
        <v/>
      </c>
      <c r="CL131" s="106">
        <f>IF(X131="","",IFERROR(X131*HSTECH!$B$22*HSTECH!$G$22/HSTECH!$B$3,""))</f>
        <v/>
      </c>
      <c r="CM131" s="106">
        <f>IF(Y131="","",IFERROR(Y131*HSTECH!$B$22*HSTECH!$G$22/HSTECH!$B$3,""))</f>
        <v/>
      </c>
      <c r="CN131" s="106">
        <f>IF(Z131="","",IFERROR(Z131*HSTECH!$B$22*HSTECH!$G$22/HSTECH!$B$3,""))</f>
        <v/>
      </c>
      <c r="CO131" s="106">
        <f>IF(AA131="","",IFERROR(AA131*HSTECH!$B$22*HSTECH!$G$22/HSTECH!$B$3,""))</f>
        <v/>
      </c>
      <c r="CP131" s="106">
        <f>IF(AB131="","",IFERROR(AB131*HSTECH!$B$22*HSTECH!$G$22/HSTECH!$B$3,""))</f>
        <v/>
      </c>
      <c r="CQ131" s="106">
        <f>IF(AC131="","",IFERROR(AC131*HSTECH!$B$22*HSTECH!$G$22/HSTECH!$B$3,""))</f>
        <v/>
      </c>
      <c r="CR131" s="106">
        <f>IF(AD131="","",IFERROR(AD131*HSTECH!$B$22*HSTECH!$G$22/HSTECH!$B$3,""))</f>
        <v/>
      </c>
      <c r="CS131" s="106">
        <f>IF(AE131="","",IFERROR(AE131*HSTECH!$B$22*HSTECH!$G$22/HSTECH!$B$3,""))</f>
        <v/>
      </c>
      <c r="CT131" s="106">
        <f>IF(AF131="","",IFERROR(AF131*HSTECH!$B$22*HSTECH!$G$22/HSTECH!$B$3,""))</f>
        <v/>
      </c>
      <c r="CU131" s="106">
        <f>IF(AG131="","",IFERROR(AG131*HSTECH!$B$22*HSTECH!$G$22/HSTECH!$B$3,""))</f>
        <v/>
      </c>
      <c r="CV131" s="106">
        <f>IF(AH131="","",IFERROR(AH131*HSTECH!$B$22*HSTECH!$G$22/HSTECH!$B$3,""))</f>
        <v/>
      </c>
      <c r="CW131" s="106">
        <f>IF(AI131="","",IFERROR(AI131*HSTECH!$B$22*HSTECH!$G$22/HSTECH!$B$3,""))</f>
        <v/>
      </c>
      <c r="CX131" s="106">
        <f>IF(AJ131="","",IFERROR(AJ131*HSTECH!$B$22*HSTECH!$G$22/HSTECH!$B$3,""))</f>
        <v/>
      </c>
      <c r="CY131" s="106">
        <f>IF(AK131="","",IFERROR(AK131*HSTECH!$B$22*HSTECH!$G$22/HSTECH!$B$3,""))</f>
        <v/>
      </c>
      <c r="CZ131" s="106">
        <f>IF(AL131="","",IFERROR(AL131*HSTECH!$B$22*HSTECH!$G$22/HSTECH!$B$3,""))</f>
        <v/>
      </c>
      <c r="DA131" s="106">
        <f>IF(AM131="","",IFERROR(AM131*HSTECH!$B$22*HSTECH!$G$22/HSTECH!$B$3,""))</f>
        <v/>
      </c>
      <c r="DB131" s="106">
        <f>IF(AN131="","",IFERROR(AN131*HSTECH!$B$22*HSTECH!$G$22/HSTECH!$B$3,""))</f>
        <v/>
      </c>
      <c r="DC131" s="106">
        <f>IF(AO131="","",IFERROR(AO131*HSTECH!$B$22*HSTECH!$G$22/HSTECH!$B$3,""))</f>
        <v/>
      </c>
      <c r="DD131" s="106">
        <f>IF(AP131="","",IFERROR(AP131*HSTECH!$B$22*HSTECH!$G$22/HSTECH!$B$3,""))</f>
        <v/>
      </c>
      <c r="DE131" s="106">
        <f>IF(AQ131="","",IFERROR(AQ131*HSTECH!$B$22*HSTECH!$G$22/HSTECH!$B$3,""))</f>
        <v/>
      </c>
      <c r="DF131" s="106">
        <f>IF(AR131="","",IFERROR(AR131*HSTECH!$B$22*HSTECH!$G$22/HSTECH!$B$3,""))</f>
        <v/>
      </c>
      <c r="DG131" s="106">
        <f>IF(AS131="","",IFERROR(AS131*HSTECH!$B$22*HSTECH!$G$22/HSTECH!$B$3,""))</f>
        <v/>
      </c>
      <c r="DH131" s="106">
        <f>IF(AT131="","",IFERROR(AT131*HSTECH!$B$22*HSTECH!$G$22/HSTECH!$B$3,""))</f>
        <v/>
      </c>
      <c r="DI131" s="106">
        <f>IF(AU131="","",IFERROR(AU131*HSTECH!$B$22*HSTECH!$G$22/HSTECH!$B$3,""))</f>
        <v/>
      </c>
      <c r="DJ131" s="106">
        <f>IF(AV131="","",IFERROR(AV131*HSTECH!$B$22*HSTECH!$G$22/HSTECH!$B$3,""))</f>
        <v/>
      </c>
      <c r="DK131" s="106">
        <f>IF(AW131="","",IFERROR(AW131*HSTECH!$B$22*HSTECH!$G$22/HSTECH!$B$3,""))</f>
        <v/>
      </c>
      <c r="DL131" s="106">
        <f>IF(AX131="","",IFERROR(AX131*HSTECH!$B$22*HSTECH!$G$22/HSTECH!$B$3,""))</f>
        <v/>
      </c>
      <c r="DM131" s="106">
        <f>IF(AY131="","",IFERROR(AY131*HSTECH!$B$22*HSTECH!$G$22/HSTECH!$B$3,""))</f>
        <v/>
      </c>
      <c r="DN131" s="106">
        <f>IF(AZ131="","",IFERROR(AZ131*HSTECH!$B$22*HSTECH!$G$22/HSTECH!$B$3,""))</f>
        <v/>
      </c>
      <c r="DO131" s="106">
        <f>IF(BA131="","",IFERROR(BA131*HSTECH!$B$22*HSTECH!$G$22/HSTECH!$B$3,""))</f>
        <v/>
      </c>
      <c r="DP131" s="106">
        <f>IF(BB131="","",IFERROR(BB131*HSTECH!$B$22*HSTECH!$G$22/HSTECH!$B$3,""))</f>
        <v/>
      </c>
      <c r="DQ131" s="106">
        <f>IF(BC131="","",IFERROR(BC131*HSTECH!$B$22*HSTECH!$G$22/HSTECH!$B$3,""))</f>
        <v/>
      </c>
      <c r="DR131" s="106">
        <f>IF(BD131="","",IFERROR(BD131*HSTECH!$B$22*HSTECH!$G$22/HSTECH!$B$3,""))</f>
        <v/>
      </c>
      <c r="DS131" s="106">
        <f>IF(BE131="","",IFERROR(BE131*HSTECH!$B$22*HSTECH!$G$22/HSTECH!$B$3,""))</f>
        <v/>
      </c>
      <c r="DT131" s="106">
        <f>IF(BF131="","",IFERROR(BF131*HSTECH!$B$22*HSTECH!$G$22/HSTECH!$B$3,""))</f>
        <v/>
      </c>
      <c r="DU131" s="106">
        <f>IF(BG131="","",IFERROR(BG131*HSTECH!$B$22*HSTECH!$G$22/HSTECH!$B$3,""))</f>
        <v/>
      </c>
      <c r="DV131" s="106">
        <f>IF(BH131="","",IFERROR(BH131*HSTECH!$B$22*HSTECH!$G$22/HSTECH!$B$3,""))</f>
        <v/>
      </c>
      <c r="DW131" s="106">
        <f>IF(BI131="","",IFERROR(BI131*HSTECH!$B$22*HSTECH!$G$22/HSTECH!$B$3,""))</f>
        <v/>
      </c>
      <c r="DX131" s="106">
        <f>IF(BJ131="","",IFERROR(BJ131*HSTECH!$B$22*HSTECH!$G$22/HSTECH!$B$3,""))</f>
        <v/>
      </c>
      <c r="DY131" s="106">
        <f>IF(BK131="","",IFERROR(BK131*HSTECH!$B$22*HSTECH!$G$22/HSTECH!$B$3,""))</f>
        <v/>
      </c>
      <c r="DZ131" s="106">
        <f>IF(BL131="","",IFERROR(BL131*HSTECH!$B$22*HSTECH!$G$22/HSTECH!$B$3,""))</f>
        <v/>
      </c>
      <c r="EA131" s="106">
        <f>IF(BM131="","",IFERROR(BM131*HSTECH!$B$22*HSTECH!$G$22/HSTECH!$B$3,""))</f>
        <v/>
      </c>
      <c r="EB131" s="106">
        <f>IF(BN131="","",IFERROR(BN131*HSTECH!$B$22*HSTECH!$G$22/HSTECH!$B$3,""))</f>
        <v/>
      </c>
      <c r="EC131" s="106">
        <f>IF(BO131="","",IFERROR(BO131*HSTECH!$B$22*HSTECH!$G$22/HSTECH!$B$3,""))</f>
        <v/>
      </c>
      <c r="EE131" s="35">
        <f>IF(N('Dvd Calendar'!$E$1281)=0,"",IF(('Dvd Calendar'!$E$1281&gt;=GRID_FROM)*('Dvd Calendar'!$E$1281&lt;=GRID_TO)*('Dvd Calendar'!$E$1281&lt;=VAL_DATE)=0,"",'Dvd Calendar'!$E$1281*1000000000+ISNUMBER('Dvd Calendar'!$E$1284)*100000000+('Dvd Calendar'!$E$1286=SPECIAL_LBL)*10000000+0*1000000+16*1000+1))</f>
        <v/>
      </c>
      <c r="EF131" s="35">
        <f>IF(N('Dvd Calendar'!$F$1281)=0,"",IF(('Dvd Calendar'!$F$1281&gt;=GRID_FROM)*('Dvd Calendar'!$F$1281&lt;=GRID_TO)*('Dvd Calendar'!$F$1281&lt;=VAL_DATE)=0,"",'Dvd Calendar'!$F$1281*1000000000+ISNUMBER('Dvd Calendar'!$F$1284)*100000000+('Dvd Calendar'!$F$1286=SPECIAL_LBL)*10000000+0*1000000+16*1000+2))</f>
        <v/>
      </c>
      <c r="EG131" s="35">
        <f>IF(N('Dvd Calendar'!$G$1281)=0,"",IF(('Dvd Calendar'!$G$1281&gt;=GRID_FROM)*('Dvd Calendar'!$G$1281&lt;=GRID_TO)*('Dvd Calendar'!$G$1281&lt;=VAL_DATE)=0,"",'Dvd Calendar'!$G$1281*1000000000+ISNUMBER('Dvd Calendar'!$G$1284)*100000000+('Dvd Calendar'!$G$1286=SPECIAL_LBL)*10000000+0*1000000+16*1000+3))</f>
        <v/>
      </c>
      <c r="EH131" s="35">
        <f>IF(N('Dvd Calendar'!$H$1281)=0,"",IF(('Dvd Calendar'!$H$1281&gt;=GRID_FROM)*('Dvd Calendar'!$H$1281&lt;=GRID_TO)*('Dvd Calendar'!$H$1281&lt;=VAL_DATE)=0,"",'Dvd Calendar'!$H$1281*1000000000+ISNUMBER('Dvd Calendar'!$H$1284)*100000000+('Dvd Calendar'!$H$1286=SPECIAL_LBL)*10000000+0*1000000+16*1000+4))</f>
        <v/>
      </c>
      <c r="EI131" s="35">
        <f>IF(N('Dvd Calendar'!$I$1281)=0,"",IF(('Dvd Calendar'!$I$1281&gt;=GRID_FROM)*('Dvd Calendar'!$I$1281&lt;=GRID_TO)*('Dvd Calendar'!$I$1281&lt;=VAL_DATE)=0,"",'Dvd Calendar'!$I$1281*1000000000+ISNUMBER('Dvd Calendar'!$I$1284)*100000000+('Dvd Calendar'!$I$1286=SPECIAL_LBL)*10000000+0*1000000+16*1000+5))</f>
        <v/>
      </c>
      <c r="EJ131" s="35">
        <f>IF(N('Dvd Calendar'!$J$1281)=0,"",IF(('Dvd Calendar'!$J$1281&gt;=GRID_FROM)*('Dvd Calendar'!$J$1281&lt;=GRID_TO)*('Dvd Calendar'!$J$1281&lt;=VAL_DATE)=0,"",'Dvd Calendar'!$J$1281*1000000000+ISNUMBER('Dvd Calendar'!$J$1284)*100000000+('Dvd Calendar'!$J$1286=SPECIAL_LBL)*10000000+0*1000000+16*1000+6))</f>
        <v/>
      </c>
      <c r="EK131" s="35">
        <f>IF(N('Dvd Calendar'!$K$1281)=0,"",IF(('Dvd Calendar'!$K$1281&gt;=GRID_FROM)*('Dvd Calendar'!$K$1281&lt;=GRID_TO)*('Dvd Calendar'!$K$1281&lt;=VAL_DATE)=0,"",'Dvd Calendar'!$K$1281*1000000000+ISNUMBER('Dvd Calendar'!$K$1284)*100000000+('Dvd Calendar'!$K$1286=SPECIAL_LBL)*10000000+0*1000000+16*1000+7))</f>
        <v/>
      </c>
      <c r="EL131" s="35">
        <f>IF(N('Dvd Calendar'!$L$1281)=0,"",IF(('Dvd Calendar'!$L$1281&gt;=GRID_FROM)*('Dvd Calendar'!$L$1281&lt;=GRID_TO)*('Dvd Calendar'!$L$1281&lt;=VAL_DATE)=0,"",'Dvd Calendar'!$L$1281*1000000000+ISNUMBER('Dvd Calendar'!$L$1284)*100000000+('Dvd Calendar'!$L$1286=SPECIAL_LBL)*10000000+0*1000000+16*1000+8))</f>
        <v/>
      </c>
      <c r="EM131" s="35">
        <f>IF(N('Dvd Calendar'!$M$1281)=0,"",IF(('Dvd Calendar'!$M$1281&gt;=GRID_FROM)*('Dvd Calendar'!$M$1281&lt;=GRID_TO)*('Dvd Calendar'!$M$1281&lt;=VAL_DATE)=0,"",'Dvd Calendar'!$M$1281*1000000000+ISNUMBER('Dvd Calendar'!$M$1284)*100000000+('Dvd Calendar'!$M$1286=SPECIAL_LBL)*10000000+0*1000000+16*1000+9))</f>
        <v/>
      </c>
      <c r="EN131" s="35">
        <f>IF(N('Dvd Calendar'!$N$1281)=0,"",IF(('Dvd Calendar'!$N$1281&gt;=GRID_FROM)*('Dvd Calendar'!$N$1281&lt;=GRID_TO)*('Dvd Calendar'!$N$1281&lt;=VAL_DATE)=0,"",'Dvd Calendar'!$N$1281*1000000000+ISNUMBER('Dvd Calendar'!$N$1284)*100000000+('Dvd Calendar'!$N$1286=SPECIAL_LBL)*10000000+0*1000000+16*1000+10))</f>
        <v/>
      </c>
      <c r="EO131" s="35">
        <f>IF(N('Dvd Calendar'!$O$1281)=0,"",IF(('Dvd Calendar'!$O$1281&gt;=GRID_FROM)*('Dvd Calendar'!$O$1281&lt;=GRID_TO)*('Dvd Calendar'!$O$1281&lt;=VAL_DATE)=0,"",'Dvd Calendar'!$O$1281*1000000000+ISNUMBER('Dvd Calendar'!$O$1284)*100000000+('Dvd Calendar'!$O$1286=SPECIAL_LBL)*10000000+0*1000000+16*1000+11))</f>
        <v/>
      </c>
      <c r="EP131" s="35">
        <f>IF(N('Dvd Calendar'!$P$1281)=0,"",IF(('Dvd Calendar'!$P$1281&gt;=GRID_FROM)*('Dvd Calendar'!$P$1281&lt;=GRID_TO)*('Dvd Calendar'!$P$1281&lt;=VAL_DATE)=0,"",'Dvd Calendar'!$P$1281*1000000000+ISNUMBER('Dvd Calendar'!$P$1284)*100000000+('Dvd Calendar'!$P$1286=SPECIAL_LBL)*10000000+0*1000000+16*1000+12))</f>
        <v/>
      </c>
      <c r="EQ131" s="35">
        <f>IF(N('Dvd Calendar'!$Q$1281)=0,"",IF(('Dvd Calendar'!$Q$1281&gt;=GRID_FROM)*('Dvd Calendar'!$Q$1281&lt;=GRID_TO)*('Dvd Calendar'!$Q$1281&lt;=VAL_DATE)=0,"",'Dvd Calendar'!$Q$1281*1000000000+ISNUMBER('Dvd Calendar'!$Q$1284)*100000000+('Dvd Calendar'!$Q$1286=SPECIAL_LBL)*10000000+0*1000000+16*1000+13))</f>
        <v/>
      </c>
      <c r="ER131" s="35">
        <f>IF(N('Dvd Calendar'!$R$1281)=0,"",IF(('Dvd Calendar'!$R$1281&gt;=GRID_FROM)*('Dvd Calendar'!$R$1281&lt;=GRID_TO)*('Dvd Calendar'!$R$1281&lt;=VAL_DATE)=0,"",'Dvd Calendar'!$R$1281*1000000000+ISNUMBER('Dvd Calendar'!$R$1284)*100000000+('Dvd Calendar'!$R$1286=SPECIAL_LBL)*10000000+0*1000000+16*1000+14))</f>
        <v/>
      </c>
      <c r="ES131" s="35">
        <f>IF(N('Dvd Calendar'!$S$1281)=0,"",IF(('Dvd Calendar'!$S$1281&gt;=GRID_FROM)*('Dvd Calendar'!$S$1281&lt;=GRID_TO)*('Dvd Calendar'!$S$1281&lt;=VAL_DATE)=0,"",'Dvd Calendar'!$S$1281*1000000000+ISNUMBER('Dvd Calendar'!$S$1284)*100000000+('Dvd Calendar'!$S$1286=SPECIAL_LBL)*10000000+0*1000000+16*1000+15))</f>
        <v/>
      </c>
      <c r="ET131" s="35">
        <f>IF(N('Dvd Calendar'!$T$1281)=0,"",IF(('Dvd Calendar'!$T$1281&gt;=GRID_FROM)*('Dvd Calendar'!$T$1281&lt;=GRID_TO)*('Dvd Calendar'!$T$1281&lt;=VAL_DATE)=0,"",'Dvd Calendar'!$T$1281*1000000000+ISNUMBER('Dvd Calendar'!$T$1284)*100000000+('Dvd Calendar'!$T$1286=SPECIAL_LBL)*10000000+0*1000000+16*1000+16))</f>
        <v/>
      </c>
      <c r="EU131" s="35">
        <f>IF(N('Dvd Calendar'!$U$1281)=0,"",IF(('Dvd Calendar'!$U$1281&gt;=GRID_FROM)*('Dvd Calendar'!$U$1281&lt;=GRID_TO)*('Dvd Calendar'!$U$1281&lt;=VAL_DATE)=0,"",'Dvd Calendar'!$U$1281*1000000000+ISNUMBER('Dvd Calendar'!$U$1284)*100000000+('Dvd Calendar'!$U$1286=SPECIAL_LBL)*10000000+0*1000000+16*1000+17))</f>
        <v/>
      </c>
      <c r="EV131" s="35">
        <f>IF(N('Dvd Calendar'!$V$1281)=0,"",IF(('Dvd Calendar'!$V$1281&gt;=GRID_FROM)*('Dvd Calendar'!$V$1281&lt;=GRID_TO)*('Dvd Calendar'!$V$1281&lt;=VAL_DATE)=0,"",'Dvd Calendar'!$V$1281*1000000000+ISNUMBER('Dvd Calendar'!$V$1284)*100000000+('Dvd Calendar'!$V$1286=SPECIAL_LBL)*10000000+0*1000000+16*1000+18))</f>
        <v/>
      </c>
      <c r="EW131" s="35">
        <f>IF(N('Dvd Calendar'!$W$1281)=0,"",IF(('Dvd Calendar'!$W$1281&gt;=GRID_FROM)*('Dvd Calendar'!$W$1281&lt;=GRID_TO)*('Dvd Calendar'!$W$1281&lt;=VAL_DATE)=0,"",'Dvd Calendar'!$W$1281*1000000000+ISNUMBER('Dvd Calendar'!$W$1284)*100000000+('Dvd Calendar'!$W$1286=SPECIAL_LBL)*10000000+0*1000000+16*1000+19))</f>
        <v/>
      </c>
      <c r="EX131" s="35">
        <f>IF(N('Dvd Calendar'!$X$1281)=0,"",IF(('Dvd Calendar'!$X$1281&gt;=GRID_FROM)*('Dvd Calendar'!$X$1281&lt;=GRID_TO)*('Dvd Calendar'!$X$1281&lt;=VAL_DATE)=0,"",'Dvd Calendar'!$X$1281*1000000000+ISNUMBER('Dvd Calendar'!$X$1284)*100000000+('Dvd Calendar'!$X$1286=SPECIAL_LBL)*10000000+0*1000000+16*1000+20))</f>
        <v/>
      </c>
      <c r="EY131" s="35">
        <f>IF(N('Dvd Calendar'!$Y$1281)=0,"",IF(('Dvd Calendar'!$Y$1281&gt;=GRID_FROM)*('Dvd Calendar'!$Y$1281&lt;=GRID_TO)*('Dvd Calendar'!$Y$1281&lt;=VAL_DATE)=0,"",'Dvd Calendar'!$Y$1281*1000000000+ISNUMBER('Dvd Calendar'!$Y$1284)*100000000+('Dvd Calendar'!$Y$1286=SPECIAL_LBL)*10000000+0*1000000+16*1000+21))</f>
        <v/>
      </c>
      <c r="EZ131" s="35">
        <f>IF(N('Dvd Calendar'!$Z$1281)=0,"",IF(('Dvd Calendar'!$Z$1281&gt;=GRID_FROM)*('Dvd Calendar'!$Z$1281&lt;=GRID_TO)*('Dvd Calendar'!$Z$1281&lt;=VAL_DATE)=0,"",'Dvd Calendar'!$Z$1281*1000000000+ISNUMBER('Dvd Calendar'!$Z$1284)*100000000+('Dvd Calendar'!$Z$1286=SPECIAL_LBL)*10000000+0*1000000+16*1000+22))</f>
        <v/>
      </c>
      <c r="FA131" s="35">
        <f>IF(N('Dvd Calendar'!$AA$1281)=0,"",IF(('Dvd Calendar'!$AA$1281&gt;=GRID_FROM)*('Dvd Calendar'!$AA$1281&lt;=GRID_TO)*('Dvd Calendar'!$AA$1281&lt;=VAL_DATE)=0,"",'Dvd Calendar'!$AA$1281*1000000000+ISNUMBER('Dvd Calendar'!$AA$1284)*100000000+('Dvd Calendar'!$AA$1286=SPECIAL_LBL)*10000000+0*1000000+16*1000+23))</f>
        <v/>
      </c>
      <c r="FB131" s="35">
        <f>IF(N('Dvd Calendar'!$AB$1281)=0,"",IF(('Dvd Calendar'!$AB$1281&gt;=GRID_FROM)*('Dvd Calendar'!$AB$1281&lt;=GRID_TO)*('Dvd Calendar'!$AB$1281&lt;=VAL_DATE)=0,"",'Dvd Calendar'!$AB$1281*1000000000+ISNUMBER('Dvd Calendar'!$AB$1284)*100000000+('Dvd Calendar'!$AB$1286=SPECIAL_LBL)*10000000+0*1000000+16*1000+24))</f>
        <v/>
      </c>
      <c r="FC131" s="35">
        <f>IF(N('Dvd Calendar'!$AC$1281)=0,"",IF(('Dvd Calendar'!$AC$1281&gt;=GRID_FROM)*('Dvd Calendar'!$AC$1281&lt;=GRID_TO)*('Dvd Calendar'!$AC$1281&lt;=VAL_DATE)=0,"",'Dvd Calendar'!$AC$1281*1000000000+ISNUMBER('Dvd Calendar'!$AC$1284)*100000000+('Dvd Calendar'!$AC$1286=SPECIAL_LBL)*10000000+0*1000000+16*1000+25))</f>
        <v/>
      </c>
      <c r="FD131" s="35">
        <f>IF(N('Dvd Calendar'!$AD$1281)=0,"",IF(('Dvd Calendar'!$AD$1281&gt;=GRID_FROM)*('Dvd Calendar'!$AD$1281&lt;=GRID_TO)*('Dvd Calendar'!$AD$1281&lt;=VAL_DATE)=0,"",'Dvd Calendar'!$AD$1281*1000000000+ISNUMBER('Dvd Calendar'!$AD$1284)*100000000+('Dvd Calendar'!$AD$1286=SPECIAL_LBL)*10000000+0*1000000+16*1000+26))</f>
        <v/>
      </c>
      <c r="FE131" s="35">
        <f>IF(N('Dvd Calendar'!$AE$1281)=0,"",IF(('Dvd Calendar'!$AE$1281&gt;=GRID_FROM)*('Dvd Calendar'!$AE$1281&lt;=GRID_TO)*('Dvd Calendar'!$AE$1281&lt;=VAL_DATE)=0,"",'Dvd Calendar'!$AE$1281*1000000000+ISNUMBER('Dvd Calendar'!$AE$1284)*100000000+('Dvd Calendar'!$AE$1286=SPECIAL_LBL)*10000000+0*1000000+16*1000+27))</f>
        <v/>
      </c>
      <c r="FF131" s="35">
        <f>IF(N('Dvd Calendar'!$AF$1281)=0,"",IF(('Dvd Calendar'!$AF$1281&gt;=GRID_FROM)*('Dvd Calendar'!$AF$1281&lt;=GRID_TO)*('Dvd Calendar'!$AF$1281&lt;=VAL_DATE)=0,"",'Dvd Calendar'!$AF$1281*1000000000+ISNUMBER('Dvd Calendar'!$AF$1284)*100000000+('Dvd Calendar'!$AF$1286=SPECIAL_LBL)*10000000+0*1000000+16*1000+28))</f>
        <v/>
      </c>
      <c r="FG131" s="35">
        <f>IF(N('Dvd Calendar'!$AG$1281)=0,"",IF(('Dvd Calendar'!$AG$1281&gt;=GRID_FROM)*('Dvd Calendar'!$AG$1281&lt;=GRID_TO)*('Dvd Calendar'!$AG$1281&lt;=VAL_DATE)=0,"",'Dvd Calendar'!$AG$1281*1000000000+ISNUMBER('Dvd Calendar'!$AG$1284)*100000000+('Dvd Calendar'!$AG$1286=SPECIAL_LBL)*10000000+0*1000000+16*1000+29))</f>
        <v/>
      </c>
      <c r="FH131" s="35">
        <f>IF(N('Dvd Calendar'!$AH$1281)=0,"",IF(('Dvd Calendar'!$AH$1281&gt;=GRID_FROM)*('Dvd Calendar'!$AH$1281&lt;=GRID_TO)*('Dvd Calendar'!$AH$1281&lt;=VAL_DATE)=0,"",'Dvd Calendar'!$AH$1281*1000000000+ISNUMBER('Dvd Calendar'!$AH$1284)*100000000+('Dvd Calendar'!$AH$1286=SPECIAL_LBL)*10000000+0*1000000+16*1000+30))</f>
        <v/>
      </c>
      <c r="FI131" s="35">
        <f>IF(N('Dvd Calendar'!$AI$1281)=0,"",IF(('Dvd Calendar'!$AI$1281&gt;=GRID_FROM)*('Dvd Calendar'!$AI$1281&lt;=GRID_TO)*('Dvd Calendar'!$AI$1281&lt;=VAL_DATE)=0,"",'Dvd Calendar'!$AI$1281*1000000000+ISNUMBER('Dvd Calendar'!$AI$1284)*100000000+('Dvd Calendar'!$AI$1286=SPECIAL_LBL)*10000000+0*1000000+16*1000+31))</f>
        <v/>
      </c>
      <c r="FJ131" s="35">
        <f>IF(N('Dvd Calendar'!$AJ$1281)=0,"",IF(('Dvd Calendar'!$AJ$1281&gt;=GRID_FROM)*('Dvd Calendar'!$AJ$1281&lt;=GRID_TO)*('Dvd Calendar'!$AJ$1281&lt;=VAL_DATE)=0,"",'Dvd Calendar'!$AJ$1281*1000000000+ISNUMBER('Dvd Calendar'!$AJ$1284)*100000000+('Dvd Calendar'!$AJ$1286=SPECIAL_LBL)*10000000+0*1000000+16*1000+32))</f>
        <v/>
      </c>
      <c r="FK131" s="35">
        <f>IF(N('Dvd Calendar'!$AK$1281)=0,"",IF(('Dvd Calendar'!$AK$1281&gt;=GRID_FROM)*('Dvd Calendar'!$AK$1281&lt;=GRID_TO)*('Dvd Calendar'!$AK$1281&lt;=VAL_DATE)=0,"",'Dvd Calendar'!$AK$1281*1000000000+ISNUMBER('Dvd Calendar'!$AK$1284)*100000000+('Dvd Calendar'!$AK$1286=SPECIAL_LBL)*10000000+0*1000000+16*1000+33))</f>
        <v/>
      </c>
      <c r="FL131" s="35">
        <f>IF(N('Dvd Calendar'!$AL$1281)=0,"",IF(('Dvd Calendar'!$AL$1281&gt;=GRID_FROM)*('Dvd Calendar'!$AL$1281&lt;=GRID_TO)*('Dvd Calendar'!$AL$1281&lt;=VAL_DATE)=0,"",'Dvd Calendar'!$AL$1281*1000000000+ISNUMBER('Dvd Calendar'!$AL$1284)*100000000+('Dvd Calendar'!$AL$1286=SPECIAL_LBL)*10000000+0*1000000+16*1000+34))</f>
        <v/>
      </c>
      <c r="FM131" s="35">
        <f>IF(N('Dvd Calendar'!$AM$1281)=0,"",IF(('Dvd Calendar'!$AM$1281&gt;=GRID_FROM)*('Dvd Calendar'!$AM$1281&lt;=GRID_TO)*('Dvd Calendar'!$AM$1281&lt;=VAL_DATE)=0,"",'Dvd Calendar'!$AM$1281*1000000000+ISNUMBER('Dvd Calendar'!$AM$1284)*100000000+('Dvd Calendar'!$AM$1286=SPECIAL_LBL)*10000000+0*1000000+16*1000+35))</f>
        <v/>
      </c>
      <c r="FN131" s="35">
        <f>IF(N('Dvd Calendar'!$AN$1281)=0,"",IF(('Dvd Calendar'!$AN$1281&gt;=GRID_FROM)*('Dvd Calendar'!$AN$1281&lt;=GRID_TO)*('Dvd Calendar'!$AN$1281&lt;=VAL_DATE)=0,"",'Dvd Calendar'!$AN$1281*1000000000+ISNUMBER('Dvd Calendar'!$AN$1284)*100000000+('Dvd Calendar'!$AN$1286=SPECIAL_LBL)*10000000+0*1000000+16*1000+36))</f>
        <v/>
      </c>
      <c r="FO131" s="35">
        <f>IF(N('Dvd Calendar'!$AO$1281)=0,"",IF(('Dvd Calendar'!$AO$1281&gt;=GRID_FROM)*('Dvd Calendar'!$AO$1281&lt;=GRID_TO)*('Dvd Calendar'!$AO$1281&lt;=VAL_DATE)=0,"",'Dvd Calendar'!$AO$1281*1000000000+ISNUMBER('Dvd Calendar'!$AO$1284)*100000000+('Dvd Calendar'!$AO$1286=SPECIAL_LBL)*10000000+0*1000000+16*1000+37))</f>
        <v/>
      </c>
      <c r="FP131" s="35">
        <f>IF(N('Dvd Calendar'!$AP$1281)=0,"",IF(('Dvd Calendar'!$AP$1281&gt;=GRID_FROM)*('Dvd Calendar'!$AP$1281&lt;=GRID_TO)*('Dvd Calendar'!$AP$1281&lt;=VAL_DATE)=0,"",'Dvd Calendar'!$AP$1281*1000000000+ISNUMBER('Dvd Calendar'!$AP$1284)*100000000+('Dvd Calendar'!$AP$1286=SPECIAL_LBL)*10000000+0*1000000+16*1000+38))</f>
        <v/>
      </c>
      <c r="FQ131" s="35">
        <f>IF(N('Dvd Calendar'!$AQ$1281)=0,"",IF(('Dvd Calendar'!$AQ$1281&gt;=GRID_FROM)*('Dvd Calendar'!$AQ$1281&lt;=GRID_TO)*('Dvd Calendar'!$AQ$1281&lt;=VAL_DATE)=0,"",'Dvd Calendar'!$AQ$1281*1000000000+ISNUMBER('Dvd Calendar'!$AQ$1284)*100000000+('Dvd Calendar'!$AQ$1286=SPECIAL_LBL)*10000000+0*1000000+16*1000+39))</f>
        <v/>
      </c>
      <c r="FR131" s="35">
        <f>IF(N('Dvd Calendar'!$AR$1281)=0,"",IF(('Dvd Calendar'!$AR$1281&gt;=GRID_FROM)*('Dvd Calendar'!$AR$1281&lt;=GRID_TO)*('Dvd Calendar'!$AR$1281&lt;=VAL_DATE)=0,"",'Dvd Calendar'!$AR$1281*1000000000+ISNUMBER('Dvd Calendar'!$AR$1284)*100000000+('Dvd Calendar'!$AR$1286=SPECIAL_LBL)*10000000+0*1000000+16*1000+40))</f>
        <v/>
      </c>
      <c r="FS131" s="35">
        <f>IF(N('Dvd Calendar'!$E$1288)=0,"",IF(('Dvd Calendar'!$E$1288&gt;=GRID_FROM)*('Dvd Calendar'!$E$1288&lt;=GRID_TO)*('Dvd Calendar'!$E$1288&gt;VAL_DATE)=0,"",'Dvd Calendar'!$E$1288*1000000000+ISNUMBER('Dvd Calendar'!$E$1289)*100000000+0*10000000+(N('Dvd Calendar'!$E$1287)&gt;0)*(N('Dvd Calendar'!$E$1287)&lt;=VAL_SERIAL)*1000000+16*1000+41))</f>
        <v/>
      </c>
      <c r="FT131" s="35">
        <f>IF(N('Dvd Calendar'!$F$1288)=0,"",IF(('Dvd Calendar'!$F$1288&gt;=GRID_FROM)*('Dvd Calendar'!$F$1288&lt;=GRID_TO)*('Dvd Calendar'!$F$1288&gt;VAL_DATE)=0,"",'Dvd Calendar'!$F$1288*1000000000+ISNUMBER('Dvd Calendar'!$F$1289)*100000000+0*10000000+(N('Dvd Calendar'!$F$1287)&gt;0)*(N('Dvd Calendar'!$F$1287)&lt;=VAL_SERIAL)*1000000+16*1000+42))</f>
        <v/>
      </c>
      <c r="FU131" s="35">
        <f>IF(N('Dvd Calendar'!$G$1288)=0,"",IF(('Dvd Calendar'!$G$1288&gt;=GRID_FROM)*('Dvd Calendar'!$G$1288&lt;=GRID_TO)*('Dvd Calendar'!$G$1288&gt;VAL_DATE)=0,"",'Dvd Calendar'!$G$1288*1000000000+ISNUMBER('Dvd Calendar'!$G$1289)*100000000+0*10000000+(N('Dvd Calendar'!$G$1287)&gt;0)*(N('Dvd Calendar'!$G$1287)&lt;=VAL_SERIAL)*1000000+16*1000+43))</f>
        <v/>
      </c>
      <c r="FV131" s="35">
        <f>IF(N('Dvd Calendar'!$H$1288)=0,"",IF(('Dvd Calendar'!$H$1288&gt;=GRID_FROM)*('Dvd Calendar'!$H$1288&lt;=GRID_TO)*('Dvd Calendar'!$H$1288&gt;VAL_DATE)=0,"",'Dvd Calendar'!$H$1288*1000000000+ISNUMBER('Dvd Calendar'!$H$1289)*100000000+0*10000000+(N('Dvd Calendar'!$H$1287)&gt;0)*(N('Dvd Calendar'!$H$1287)&lt;=VAL_SERIAL)*1000000+16*1000+44))</f>
        <v/>
      </c>
      <c r="FW131" s="35">
        <f>IF(N('Dvd Calendar'!$I$1288)=0,"",IF(('Dvd Calendar'!$I$1288&gt;=GRID_FROM)*('Dvd Calendar'!$I$1288&lt;=GRID_TO)*('Dvd Calendar'!$I$1288&gt;VAL_DATE)=0,"",'Dvd Calendar'!$I$1288*1000000000+ISNUMBER('Dvd Calendar'!$I$1289)*100000000+0*10000000+(N('Dvd Calendar'!$I$1287)&gt;0)*(N('Dvd Calendar'!$I$1287)&lt;=VAL_SERIAL)*1000000+16*1000+45))</f>
        <v/>
      </c>
      <c r="FX131" s="35">
        <f>IF(N('Dvd Calendar'!$J$1288)=0,"",IF(('Dvd Calendar'!$J$1288&gt;=GRID_FROM)*('Dvd Calendar'!$J$1288&lt;=GRID_TO)*('Dvd Calendar'!$J$1288&gt;VAL_DATE)=0,"",'Dvd Calendar'!$J$1288*1000000000+ISNUMBER('Dvd Calendar'!$J$1289)*100000000+0*10000000+(N('Dvd Calendar'!$J$1287)&gt;0)*(N('Dvd Calendar'!$J$1287)&lt;=VAL_SERIAL)*1000000+16*1000+46))</f>
        <v/>
      </c>
      <c r="FY131" s="35">
        <f>IF(N('Dvd Calendar'!$K$1288)=0,"",IF(('Dvd Calendar'!$K$1288&gt;=GRID_FROM)*('Dvd Calendar'!$K$1288&lt;=GRID_TO)*('Dvd Calendar'!$K$1288&gt;VAL_DATE)=0,"",'Dvd Calendar'!$K$1288*1000000000+ISNUMBER('Dvd Calendar'!$K$1289)*100000000+0*10000000+(N('Dvd Calendar'!$K$1287)&gt;0)*(N('Dvd Calendar'!$K$1287)&lt;=VAL_SERIAL)*1000000+16*1000+47))</f>
        <v/>
      </c>
      <c r="FZ131" s="35">
        <f>IF(N('Dvd Calendar'!$L$1288)=0,"",IF(('Dvd Calendar'!$L$1288&gt;=GRID_FROM)*('Dvd Calendar'!$L$1288&lt;=GRID_TO)*('Dvd Calendar'!$L$1288&gt;VAL_DATE)=0,"",'Dvd Calendar'!$L$1288*1000000000+ISNUMBER('Dvd Calendar'!$L$1289)*100000000+0*10000000+(N('Dvd Calendar'!$L$1287)&gt;0)*(N('Dvd Calendar'!$L$1287)&lt;=VAL_SERIAL)*1000000+16*1000+48))</f>
        <v/>
      </c>
      <c r="GA131" s="35">
        <f>IF(N('Dvd Calendar'!$M$1288)=0,"",IF(('Dvd Calendar'!$M$1288&gt;=GRID_FROM)*('Dvd Calendar'!$M$1288&lt;=GRID_TO)*('Dvd Calendar'!$M$1288&gt;VAL_DATE)=0,"",'Dvd Calendar'!$M$1288*1000000000+ISNUMBER('Dvd Calendar'!$M$1289)*100000000+0*10000000+(N('Dvd Calendar'!$M$1287)&gt;0)*(N('Dvd Calendar'!$M$1287)&lt;=VAL_SERIAL)*1000000+16*1000+49))</f>
        <v/>
      </c>
      <c r="GB131" s="35">
        <f>IF(N('Dvd Calendar'!$N$1288)=0,"",IF(('Dvd Calendar'!$N$1288&gt;=GRID_FROM)*('Dvd Calendar'!$N$1288&lt;=GRID_TO)*('Dvd Calendar'!$N$1288&gt;VAL_DATE)=0,"",'Dvd Calendar'!$N$1288*1000000000+ISNUMBER('Dvd Calendar'!$N$1289)*100000000+0*10000000+(N('Dvd Calendar'!$N$1287)&gt;0)*(N('Dvd Calendar'!$N$1287)&lt;=VAL_SERIAL)*1000000+16*1000+50))</f>
        <v/>
      </c>
      <c r="GC131" s="35">
        <f>IF(N('Dvd Calendar'!$O$1288)=0,"",IF(('Dvd Calendar'!$O$1288&gt;=GRID_FROM)*('Dvd Calendar'!$O$1288&lt;=GRID_TO)*('Dvd Calendar'!$O$1288&gt;VAL_DATE)=0,"",'Dvd Calendar'!$O$1288*1000000000+ISNUMBER('Dvd Calendar'!$O$1289)*100000000+0*10000000+(N('Dvd Calendar'!$O$1287)&gt;0)*(N('Dvd Calendar'!$O$1287)&lt;=VAL_SERIAL)*1000000+16*1000+51))</f>
        <v/>
      </c>
      <c r="GD131" s="35">
        <f>IF(N('Dvd Calendar'!$P$1288)=0,"",IF(('Dvd Calendar'!$P$1288&gt;=GRID_FROM)*('Dvd Calendar'!$P$1288&lt;=GRID_TO)*('Dvd Calendar'!$P$1288&gt;VAL_DATE)=0,"",'Dvd Calendar'!$P$1288*1000000000+ISNUMBER('Dvd Calendar'!$P$1289)*100000000+0*10000000+(N('Dvd Calendar'!$P$1287)&gt;0)*(N('Dvd Calendar'!$P$1287)&lt;=VAL_SERIAL)*1000000+16*1000+52))</f>
        <v/>
      </c>
      <c r="GE131" s="35">
        <f>IF(N('Dvd Calendar'!$Q$1288)=0,"",IF(('Dvd Calendar'!$Q$1288&gt;=GRID_FROM)*('Dvd Calendar'!$Q$1288&lt;=GRID_TO)*('Dvd Calendar'!$Q$1288&gt;VAL_DATE)=0,"",'Dvd Calendar'!$Q$1288*1000000000+ISNUMBER('Dvd Calendar'!$Q$1289)*100000000+0*10000000+(N('Dvd Calendar'!$Q$1287)&gt;0)*(N('Dvd Calendar'!$Q$1287)&lt;=VAL_SERIAL)*1000000+16*1000+53))</f>
        <v/>
      </c>
      <c r="GF131" s="35">
        <f>IF(N('Dvd Calendar'!$R$1288)=0,"",IF(('Dvd Calendar'!$R$1288&gt;=GRID_FROM)*('Dvd Calendar'!$R$1288&lt;=GRID_TO)*('Dvd Calendar'!$R$1288&gt;VAL_DATE)=0,"",'Dvd Calendar'!$R$1288*1000000000+ISNUMBER('Dvd Calendar'!$R$1289)*100000000+0*10000000+(N('Dvd Calendar'!$R$1287)&gt;0)*(N('Dvd Calendar'!$R$1287)&lt;=VAL_SERIAL)*1000000+16*1000+54))</f>
        <v/>
      </c>
      <c r="GG131" s="35">
        <f>IF(N('Dvd Calendar'!$S$1288)=0,"",IF(('Dvd Calendar'!$S$1288&gt;=GRID_FROM)*('Dvd Calendar'!$S$1288&lt;=GRID_TO)*('Dvd Calendar'!$S$1288&gt;VAL_DATE)=0,"",'Dvd Calendar'!$S$1288*1000000000+ISNUMBER('Dvd Calendar'!$S$1289)*100000000+0*10000000+(N('Dvd Calendar'!$S$1287)&gt;0)*(N('Dvd Calendar'!$S$1287)&lt;=VAL_SERIAL)*1000000+16*1000+55))</f>
        <v/>
      </c>
      <c r="GH131" s="35">
        <f>IF(N('Dvd Calendar'!$T$1288)=0,"",IF(('Dvd Calendar'!$T$1288&gt;=GRID_FROM)*('Dvd Calendar'!$T$1288&lt;=GRID_TO)*('Dvd Calendar'!$T$1288&gt;VAL_DATE)=0,"",'Dvd Calendar'!$T$1288*1000000000+ISNUMBER('Dvd Calendar'!$T$1289)*100000000+0*10000000+(N('Dvd Calendar'!$T$1287)&gt;0)*(N('Dvd Calendar'!$T$1287)&lt;=VAL_SERIAL)*1000000+16*1000+56))</f>
        <v/>
      </c>
      <c r="GI131" s="35">
        <f>IF(N('Dvd Calendar'!$U$1288)=0,"",IF(('Dvd Calendar'!$U$1288&gt;=GRID_FROM)*('Dvd Calendar'!$U$1288&lt;=GRID_TO)*('Dvd Calendar'!$U$1288&gt;VAL_DATE)=0,"",'Dvd Calendar'!$U$1288*1000000000+ISNUMBER('Dvd Calendar'!$U$1289)*100000000+0*10000000+(N('Dvd Calendar'!$U$1287)&gt;0)*(N('Dvd Calendar'!$U$1287)&lt;=VAL_SERIAL)*1000000+16*1000+57))</f>
        <v/>
      </c>
      <c r="GJ131" s="35">
        <f>IF(N('Dvd Calendar'!$V$1288)=0,"",IF(('Dvd Calendar'!$V$1288&gt;=GRID_FROM)*('Dvd Calendar'!$V$1288&lt;=GRID_TO)*('Dvd Calendar'!$V$1288&gt;VAL_DATE)=0,"",'Dvd Calendar'!$V$1288*1000000000+ISNUMBER('Dvd Calendar'!$V$1289)*100000000+0*10000000+(N('Dvd Calendar'!$V$1287)&gt;0)*(N('Dvd Calendar'!$V$1287)&lt;=VAL_SERIAL)*1000000+16*1000+58))</f>
        <v/>
      </c>
      <c r="GK131" s="35">
        <f>IF(N('Dvd Calendar'!$W$1288)=0,"",IF(('Dvd Calendar'!$W$1288&gt;=GRID_FROM)*('Dvd Calendar'!$W$1288&lt;=GRID_TO)*('Dvd Calendar'!$W$1288&gt;VAL_DATE)=0,"",'Dvd Calendar'!$W$1288*1000000000+ISNUMBER('Dvd Calendar'!$W$1289)*100000000+0*10000000+(N('Dvd Calendar'!$W$1287)&gt;0)*(N('Dvd Calendar'!$W$1287)&lt;=VAL_SERIAL)*1000000+16*1000+59))</f>
        <v/>
      </c>
      <c r="GL131" s="35">
        <f>IF(N('Dvd Calendar'!$X$1288)=0,"",IF(('Dvd Calendar'!$X$1288&gt;=GRID_FROM)*('Dvd Calendar'!$X$1288&lt;=GRID_TO)*('Dvd Calendar'!$X$1288&gt;VAL_DATE)=0,"",'Dvd Calendar'!$X$1288*1000000000+ISNUMBER('Dvd Calendar'!$X$1289)*100000000+0*10000000+(N('Dvd Calendar'!$X$1287)&gt;0)*(N('Dvd Calendar'!$X$1287)&lt;=VAL_SERIAL)*1000000+16*1000+60))</f>
        <v/>
      </c>
      <c r="GM131" s="35">
        <f>IF(N('Dvd Calendar'!$Y$1288)=0,"",IF(('Dvd Calendar'!$Y$1288&gt;=GRID_FROM)*('Dvd Calendar'!$Y$1288&lt;=GRID_TO)*('Dvd Calendar'!$Y$1288&gt;VAL_DATE)=0,"",'Dvd Calendar'!$Y$1288*1000000000+ISNUMBER('Dvd Calendar'!$Y$1289)*100000000+0*10000000+(N('Dvd Calendar'!$Y$1287)&gt;0)*(N('Dvd Calendar'!$Y$1287)&lt;=VAL_SERIAL)*1000000+16*1000+61))</f>
        <v/>
      </c>
      <c r="GN131" s="35">
        <f>IF(N('Dvd Calendar'!$Z$1288)=0,"",IF(('Dvd Calendar'!$Z$1288&gt;=GRID_FROM)*('Dvd Calendar'!$Z$1288&lt;=GRID_TO)*('Dvd Calendar'!$Z$1288&gt;VAL_DATE)=0,"",'Dvd Calendar'!$Z$1288*1000000000+ISNUMBER('Dvd Calendar'!$Z$1289)*100000000+0*10000000+(N('Dvd Calendar'!$Z$1287)&gt;0)*(N('Dvd Calendar'!$Z$1287)&lt;=VAL_SERIAL)*1000000+16*1000+62))</f>
        <v/>
      </c>
      <c r="GO131" s="35">
        <f>IF(N('Dvd Calendar'!$AA$1288)=0,"",IF(('Dvd Calendar'!$AA$1288&gt;=GRID_FROM)*('Dvd Calendar'!$AA$1288&lt;=GRID_TO)*('Dvd Calendar'!$AA$1288&gt;VAL_DATE)=0,"",'Dvd Calendar'!$AA$1288*1000000000+ISNUMBER('Dvd Calendar'!$AA$1289)*100000000+0*10000000+(N('Dvd Calendar'!$AA$1287)&gt;0)*(N('Dvd Calendar'!$AA$1287)&lt;=VAL_SERIAL)*1000000+16*1000+63))</f>
        <v/>
      </c>
      <c r="GP131" s="35">
        <f>IF(N('Dvd Calendar'!$AB$1288)=0,"",IF(('Dvd Calendar'!$AB$1288&gt;=GRID_FROM)*('Dvd Calendar'!$AB$1288&lt;=GRID_TO)*('Dvd Calendar'!$AB$1288&gt;VAL_DATE)=0,"",'Dvd Calendar'!$AB$1288*1000000000+ISNUMBER('Dvd Calendar'!$AB$1289)*100000000+0*10000000+(N('Dvd Calendar'!$AB$1287)&gt;0)*(N('Dvd Calendar'!$AB$1287)&lt;=VAL_SERIAL)*1000000+16*1000+64))</f>
        <v/>
      </c>
      <c r="GQ131" s="35">
        <f>IF(N('Dvd Calendar'!$AC$1288)=0,"",IF(('Dvd Calendar'!$AC$1288&gt;=GRID_FROM)*('Dvd Calendar'!$AC$1288&lt;=GRID_TO)*('Dvd Calendar'!$AC$1288&gt;VAL_DATE)=0,"",'Dvd Calendar'!$AC$1288*1000000000+ISNUMBER('Dvd Calendar'!$AC$1289)*100000000+0*10000000+(N('Dvd Calendar'!$AC$1287)&gt;0)*(N('Dvd Calendar'!$AC$1287)&lt;=VAL_SERIAL)*1000000+16*1000+65))</f>
        <v/>
      </c>
    </row>
    <row r="132">
      <c r="B132" s="2">
        <f>IF(HSTECH!$C$23="","",HSTECH!$C$23)</f>
        <v/>
      </c>
      <c r="C132" s="106">
        <f>IF(EE132="","",IF(ISNUMBER('Dvd Calendar'!$E$1295)=FALSE,"",IF((('Dvd Calendar'!$E$1297=TYPE1)*(TYPE1&lt;&gt;"")+('Dvd Calendar'!$E$1297=TYPE2)*(TYPE2&lt;&gt;"")+('Dvd Calendar'!$E$1297=TYPE3)*(TYPE3&lt;&gt;"")+('Dvd Calendar'!$E$1297=TYPE4)*(TYPE4&lt;&gt;"")+('Dvd Calendar'!$E$1297=SPECIAL_LBL)*(INC_SPECIALS="Y"))=0,"",'Dvd Calendar'!$E$1295)))</f>
        <v/>
      </c>
      <c r="D132" s="106">
        <f>IF(EF132="","",IF(ISNUMBER('Dvd Calendar'!$F$1295)=FALSE,"",IF((('Dvd Calendar'!$F$1297=TYPE1)*(TYPE1&lt;&gt;"")+('Dvd Calendar'!$F$1297=TYPE2)*(TYPE2&lt;&gt;"")+('Dvd Calendar'!$F$1297=TYPE3)*(TYPE3&lt;&gt;"")+('Dvd Calendar'!$F$1297=TYPE4)*(TYPE4&lt;&gt;"")+('Dvd Calendar'!$F$1297=SPECIAL_LBL)*(INC_SPECIALS="Y"))=0,"",'Dvd Calendar'!$F$1295)))</f>
        <v/>
      </c>
      <c r="E132" s="106">
        <f>IF(EG132="","",IF(ISNUMBER('Dvd Calendar'!$G$1295)=FALSE,"",IF((('Dvd Calendar'!$G$1297=TYPE1)*(TYPE1&lt;&gt;"")+('Dvd Calendar'!$G$1297=TYPE2)*(TYPE2&lt;&gt;"")+('Dvd Calendar'!$G$1297=TYPE3)*(TYPE3&lt;&gt;"")+('Dvd Calendar'!$G$1297=TYPE4)*(TYPE4&lt;&gt;"")+('Dvd Calendar'!$G$1297=SPECIAL_LBL)*(INC_SPECIALS="Y"))=0,"",'Dvd Calendar'!$G$1295)))</f>
        <v/>
      </c>
      <c r="F132" s="106">
        <f>IF(EH132="","",IF(ISNUMBER('Dvd Calendar'!$H$1295)=FALSE,"",IF((('Dvd Calendar'!$H$1297=TYPE1)*(TYPE1&lt;&gt;"")+('Dvd Calendar'!$H$1297=TYPE2)*(TYPE2&lt;&gt;"")+('Dvd Calendar'!$H$1297=TYPE3)*(TYPE3&lt;&gt;"")+('Dvd Calendar'!$H$1297=TYPE4)*(TYPE4&lt;&gt;"")+('Dvd Calendar'!$H$1297=SPECIAL_LBL)*(INC_SPECIALS="Y"))=0,"",'Dvd Calendar'!$H$1295)))</f>
        <v/>
      </c>
      <c r="G132" s="106">
        <f>IF(EI132="","",IF(ISNUMBER('Dvd Calendar'!$I$1295)=FALSE,"",IF((('Dvd Calendar'!$I$1297=TYPE1)*(TYPE1&lt;&gt;"")+('Dvd Calendar'!$I$1297=TYPE2)*(TYPE2&lt;&gt;"")+('Dvd Calendar'!$I$1297=TYPE3)*(TYPE3&lt;&gt;"")+('Dvd Calendar'!$I$1297=TYPE4)*(TYPE4&lt;&gt;"")+('Dvd Calendar'!$I$1297=SPECIAL_LBL)*(INC_SPECIALS="Y"))=0,"",'Dvd Calendar'!$I$1295)))</f>
        <v/>
      </c>
      <c r="H132" s="106">
        <f>IF(EJ132="","",IF(ISNUMBER('Dvd Calendar'!$J$1295)=FALSE,"",IF((('Dvd Calendar'!$J$1297=TYPE1)*(TYPE1&lt;&gt;"")+('Dvd Calendar'!$J$1297=TYPE2)*(TYPE2&lt;&gt;"")+('Dvd Calendar'!$J$1297=TYPE3)*(TYPE3&lt;&gt;"")+('Dvd Calendar'!$J$1297=TYPE4)*(TYPE4&lt;&gt;"")+('Dvd Calendar'!$J$1297=SPECIAL_LBL)*(INC_SPECIALS="Y"))=0,"",'Dvd Calendar'!$J$1295)))</f>
        <v/>
      </c>
      <c r="I132" s="106">
        <f>IF(EK132="","",IF(ISNUMBER('Dvd Calendar'!$K$1295)=FALSE,"",IF((('Dvd Calendar'!$K$1297=TYPE1)*(TYPE1&lt;&gt;"")+('Dvd Calendar'!$K$1297=TYPE2)*(TYPE2&lt;&gt;"")+('Dvd Calendar'!$K$1297=TYPE3)*(TYPE3&lt;&gt;"")+('Dvd Calendar'!$K$1297=TYPE4)*(TYPE4&lt;&gt;"")+('Dvd Calendar'!$K$1297=SPECIAL_LBL)*(INC_SPECIALS="Y"))=0,"",'Dvd Calendar'!$K$1295)))</f>
        <v/>
      </c>
      <c r="J132" s="106">
        <f>IF(EL132="","",IF(ISNUMBER('Dvd Calendar'!$L$1295)=FALSE,"",IF((('Dvd Calendar'!$L$1297=TYPE1)*(TYPE1&lt;&gt;"")+('Dvd Calendar'!$L$1297=TYPE2)*(TYPE2&lt;&gt;"")+('Dvd Calendar'!$L$1297=TYPE3)*(TYPE3&lt;&gt;"")+('Dvd Calendar'!$L$1297=TYPE4)*(TYPE4&lt;&gt;"")+('Dvd Calendar'!$L$1297=SPECIAL_LBL)*(INC_SPECIALS="Y"))=0,"",'Dvd Calendar'!$L$1295)))</f>
        <v/>
      </c>
      <c r="K132" s="106">
        <f>IF(EM132="","",IF(ISNUMBER('Dvd Calendar'!$M$1295)=FALSE,"",IF((('Dvd Calendar'!$M$1297=TYPE1)*(TYPE1&lt;&gt;"")+('Dvd Calendar'!$M$1297=TYPE2)*(TYPE2&lt;&gt;"")+('Dvd Calendar'!$M$1297=TYPE3)*(TYPE3&lt;&gt;"")+('Dvd Calendar'!$M$1297=TYPE4)*(TYPE4&lt;&gt;"")+('Dvd Calendar'!$M$1297=SPECIAL_LBL)*(INC_SPECIALS="Y"))=0,"",'Dvd Calendar'!$M$1295)))</f>
        <v/>
      </c>
      <c r="L132" s="106">
        <f>IF(EN132="","",IF(ISNUMBER('Dvd Calendar'!$N$1295)=FALSE,"",IF((('Dvd Calendar'!$N$1297=TYPE1)*(TYPE1&lt;&gt;"")+('Dvd Calendar'!$N$1297=TYPE2)*(TYPE2&lt;&gt;"")+('Dvd Calendar'!$N$1297=TYPE3)*(TYPE3&lt;&gt;"")+('Dvd Calendar'!$N$1297=TYPE4)*(TYPE4&lt;&gt;"")+('Dvd Calendar'!$N$1297=SPECIAL_LBL)*(INC_SPECIALS="Y"))=0,"",'Dvd Calendar'!$N$1295)))</f>
        <v/>
      </c>
      <c r="M132" s="106">
        <f>IF(EO132="","",IF(ISNUMBER('Dvd Calendar'!$O$1295)=FALSE,"",IF((('Dvd Calendar'!$O$1297=TYPE1)*(TYPE1&lt;&gt;"")+('Dvd Calendar'!$O$1297=TYPE2)*(TYPE2&lt;&gt;"")+('Dvd Calendar'!$O$1297=TYPE3)*(TYPE3&lt;&gt;"")+('Dvd Calendar'!$O$1297=TYPE4)*(TYPE4&lt;&gt;"")+('Dvd Calendar'!$O$1297=SPECIAL_LBL)*(INC_SPECIALS="Y"))=0,"",'Dvd Calendar'!$O$1295)))</f>
        <v/>
      </c>
      <c r="N132" s="106">
        <f>IF(EP132="","",IF(ISNUMBER('Dvd Calendar'!$P$1295)=FALSE,"",IF((('Dvd Calendar'!$P$1297=TYPE1)*(TYPE1&lt;&gt;"")+('Dvd Calendar'!$P$1297=TYPE2)*(TYPE2&lt;&gt;"")+('Dvd Calendar'!$P$1297=TYPE3)*(TYPE3&lt;&gt;"")+('Dvd Calendar'!$P$1297=TYPE4)*(TYPE4&lt;&gt;"")+('Dvd Calendar'!$P$1297=SPECIAL_LBL)*(INC_SPECIALS="Y"))=0,"",'Dvd Calendar'!$P$1295)))</f>
        <v/>
      </c>
      <c r="O132" s="106">
        <f>IF(EQ132="","",IF(ISNUMBER('Dvd Calendar'!$Q$1295)=FALSE,"",IF((('Dvd Calendar'!$Q$1297=TYPE1)*(TYPE1&lt;&gt;"")+('Dvd Calendar'!$Q$1297=TYPE2)*(TYPE2&lt;&gt;"")+('Dvd Calendar'!$Q$1297=TYPE3)*(TYPE3&lt;&gt;"")+('Dvd Calendar'!$Q$1297=TYPE4)*(TYPE4&lt;&gt;"")+('Dvd Calendar'!$Q$1297=SPECIAL_LBL)*(INC_SPECIALS="Y"))=0,"",'Dvd Calendar'!$Q$1295)))</f>
        <v/>
      </c>
      <c r="P132" s="106">
        <f>IF(ER132="","",IF(ISNUMBER('Dvd Calendar'!$R$1295)=FALSE,"",IF((('Dvd Calendar'!$R$1297=TYPE1)*(TYPE1&lt;&gt;"")+('Dvd Calendar'!$R$1297=TYPE2)*(TYPE2&lt;&gt;"")+('Dvd Calendar'!$R$1297=TYPE3)*(TYPE3&lt;&gt;"")+('Dvd Calendar'!$R$1297=TYPE4)*(TYPE4&lt;&gt;"")+('Dvd Calendar'!$R$1297=SPECIAL_LBL)*(INC_SPECIALS="Y"))=0,"",'Dvd Calendar'!$R$1295)))</f>
        <v/>
      </c>
      <c r="Q132" s="106">
        <f>IF(ES132="","",IF(ISNUMBER('Dvd Calendar'!$S$1295)=FALSE,"",IF((('Dvd Calendar'!$S$1297=TYPE1)*(TYPE1&lt;&gt;"")+('Dvd Calendar'!$S$1297=TYPE2)*(TYPE2&lt;&gt;"")+('Dvd Calendar'!$S$1297=TYPE3)*(TYPE3&lt;&gt;"")+('Dvd Calendar'!$S$1297=TYPE4)*(TYPE4&lt;&gt;"")+('Dvd Calendar'!$S$1297=SPECIAL_LBL)*(INC_SPECIALS="Y"))=0,"",'Dvd Calendar'!$S$1295)))</f>
        <v/>
      </c>
      <c r="R132" s="106">
        <f>IF(ET132="","",IF(ISNUMBER('Dvd Calendar'!$T$1295)=FALSE,"",IF((('Dvd Calendar'!$T$1297=TYPE1)*(TYPE1&lt;&gt;"")+('Dvd Calendar'!$T$1297=TYPE2)*(TYPE2&lt;&gt;"")+('Dvd Calendar'!$T$1297=TYPE3)*(TYPE3&lt;&gt;"")+('Dvd Calendar'!$T$1297=TYPE4)*(TYPE4&lt;&gt;"")+('Dvd Calendar'!$T$1297=SPECIAL_LBL)*(INC_SPECIALS="Y"))=0,"",'Dvd Calendar'!$T$1295)))</f>
        <v/>
      </c>
      <c r="S132" s="106">
        <f>IF(EU132="","",IF(ISNUMBER('Dvd Calendar'!$U$1295)=FALSE,"",IF((('Dvd Calendar'!$U$1297=TYPE1)*(TYPE1&lt;&gt;"")+('Dvd Calendar'!$U$1297=TYPE2)*(TYPE2&lt;&gt;"")+('Dvd Calendar'!$U$1297=TYPE3)*(TYPE3&lt;&gt;"")+('Dvd Calendar'!$U$1297=TYPE4)*(TYPE4&lt;&gt;"")+('Dvd Calendar'!$U$1297=SPECIAL_LBL)*(INC_SPECIALS="Y"))=0,"",'Dvd Calendar'!$U$1295)))</f>
        <v/>
      </c>
      <c r="T132" s="106">
        <f>IF(EV132="","",IF(ISNUMBER('Dvd Calendar'!$V$1295)=FALSE,"",IF((('Dvd Calendar'!$V$1297=TYPE1)*(TYPE1&lt;&gt;"")+('Dvd Calendar'!$V$1297=TYPE2)*(TYPE2&lt;&gt;"")+('Dvd Calendar'!$V$1297=TYPE3)*(TYPE3&lt;&gt;"")+('Dvd Calendar'!$V$1297=TYPE4)*(TYPE4&lt;&gt;"")+('Dvd Calendar'!$V$1297=SPECIAL_LBL)*(INC_SPECIALS="Y"))=0,"",'Dvd Calendar'!$V$1295)))</f>
        <v/>
      </c>
      <c r="U132" s="106">
        <f>IF(EW132="","",IF(ISNUMBER('Dvd Calendar'!$W$1295)=FALSE,"",IF((('Dvd Calendar'!$W$1297=TYPE1)*(TYPE1&lt;&gt;"")+('Dvd Calendar'!$W$1297=TYPE2)*(TYPE2&lt;&gt;"")+('Dvd Calendar'!$W$1297=TYPE3)*(TYPE3&lt;&gt;"")+('Dvd Calendar'!$W$1297=TYPE4)*(TYPE4&lt;&gt;"")+('Dvd Calendar'!$W$1297=SPECIAL_LBL)*(INC_SPECIALS="Y"))=0,"",'Dvd Calendar'!$W$1295)))</f>
        <v/>
      </c>
      <c r="V132" s="106">
        <f>IF(EX132="","",IF(ISNUMBER('Dvd Calendar'!$X$1295)=FALSE,"",IF((('Dvd Calendar'!$X$1297=TYPE1)*(TYPE1&lt;&gt;"")+('Dvd Calendar'!$X$1297=TYPE2)*(TYPE2&lt;&gt;"")+('Dvd Calendar'!$X$1297=TYPE3)*(TYPE3&lt;&gt;"")+('Dvd Calendar'!$X$1297=TYPE4)*(TYPE4&lt;&gt;"")+('Dvd Calendar'!$X$1297=SPECIAL_LBL)*(INC_SPECIALS="Y"))=0,"",'Dvd Calendar'!$X$1295)))</f>
        <v/>
      </c>
      <c r="W132" s="106">
        <f>IF(EY132="","",IF(ISNUMBER('Dvd Calendar'!$Y$1295)=FALSE,"",IF((('Dvd Calendar'!$Y$1297=TYPE1)*(TYPE1&lt;&gt;"")+('Dvd Calendar'!$Y$1297=TYPE2)*(TYPE2&lt;&gt;"")+('Dvd Calendar'!$Y$1297=TYPE3)*(TYPE3&lt;&gt;"")+('Dvd Calendar'!$Y$1297=TYPE4)*(TYPE4&lt;&gt;"")+('Dvd Calendar'!$Y$1297=SPECIAL_LBL)*(INC_SPECIALS="Y"))=0,"",'Dvd Calendar'!$Y$1295)))</f>
        <v/>
      </c>
      <c r="X132" s="106">
        <f>IF(EZ132="","",IF(ISNUMBER('Dvd Calendar'!$Z$1295)=FALSE,"",IF((('Dvd Calendar'!$Z$1297=TYPE1)*(TYPE1&lt;&gt;"")+('Dvd Calendar'!$Z$1297=TYPE2)*(TYPE2&lt;&gt;"")+('Dvd Calendar'!$Z$1297=TYPE3)*(TYPE3&lt;&gt;"")+('Dvd Calendar'!$Z$1297=TYPE4)*(TYPE4&lt;&gt;"")+('Dvd Calendar'!$Z$1297=SPECIAL_LBL)*(INC_SPECIALS="Y"))=0,"",'Dvd Calendar'!$Z$1295)))</f>
        <v/>
      </c>
      <c r="Y132" s="106">
        <f>IF(FA132="","",IF(ISNUMBER('Dvd Calendar'!$AA$1295)=FALSE,"",IF((('Dvd Calendar'!$AA$1297=TYPE1)*(TYPE1&lt;&gt;"")+('Dvd Calendar'!$AA$1297=TYPE2)*(TYPE2&lt;&gt;"")+('Dvd Calendar'!$AA$1297=TYPE3)*(TYPE3&lt;&gt;"")+('Dvd Calendar'!$AA$1297=TYPE4)*(TYPE4&lt;&gt;"")+('Dvd Calendar'!$AA$1297=SPECIAL_LBL)*(INC_SPECIALS="Y"))=0,"",'Dvd Calendar'!$AA$1295)))</f>
        <v/>
      </c>
      <c r="Z132" s="106">
        <f>IF(FB132="","",IF(ISNUMBER('Dvd Calendar'!$AB$1295)=FALSE,"",IF((('Dvd Calendar'!$AB$1297=TYPE1)*(TYPE1&lt;&gt;"")+('Dvd Calendar'!$AB$1297=TYPE2)*(TYPE2&lt;&gt;"")+('Dvd Calendar'!$AB$1297=TYPE3)*(TYPE3&lt;&gt;"")+('Dvd Calendar'!$AB$1297=TYPE4)*(TYPE4&lt;&gt;"")+('Dvd Calendar'!$AB$1297=SPECIAL_LBL)*(INC_SPECIALS="Y"))=0,"",'Dvd Calendar'!$AB$1295)))</f>
        <v/>
      </c>
      <c r="AA132" s="106">
        <f>IF(FC132="","",IF(ISNUMBER('Dvd Calendar'!$AC$1295)=FALSE,"",IF((('Dvd Calendar'!$AC$1297=TYPE1)*(TYPE1&lt;&gt;"")+('Dvd Calendar'!$AC$1297=TYPE2)*(TYPE2&lt;&gt;"")+('Dvd Calendar'!$AC$1297=TYPE3)*(TYPE3&lt;&gt;"")+('Dvd Calendar'!$AC$1297=TYPE4)*(TYPE4&lt;&gt;"")+('Dvd Calendar'!$AC$1297=SPECIAL_LBL)*(INC_SPECIALS="Y"))=0,"",'Dvd Calendar'!$AC$1295)))</f>
        <v/>
      </c>
      <c r="AB132" s="106">
        <f>IF(FD132="","",IF(ISNUMBER('Dvd Calendar'!$AD$1295)=FALSE,"",IF((('Dvd Calendar'!$AD$1297=TYPE1)*(TYPE1&lt;&gt;"")+('Dvd Calendar'!$AD$1297=TYPE2)*(TYPE2&lt;&gt;"")+('Dvd Calendar'!$AD$1297=TYPE3)*(TYPE3&lt;&gt;"")+('Dvd Calendar'!$AD$1297=TYPE4)*(TYPE4&lt;&gt;"")+('Dvd Calendar'!$AD$1297=SPECIAL_LBL)*(INC_SPECIALS="Y"))=0,"",'Dvd Calendar'!$AD$1295)))</f>
        <v/>
      </c>
      <c r="AC132" s="106">
        <f>IF(FE132="","",IF(ISNUMBER('Dvd Calendar'!$AE$1295)=FALSE,"",IF((('Dvd Calendar'!$AE$1297=TYPE1)*(TYPE1&lt;&gt;"")+('Dvd Calendar'!$AE$1297=TYPE2)*(TYPE2&lt;&gt;"")+('Dvd Calendar'!$AE$1297=TYPE3)*(TYPE3&lt;&gt;"")+('Dvd Calendar'!$AE$1297=TYPE4)*(TYPE4&lt;&gt;"")+('Dvd Calendar'!$AE$1297=SPECIAL_LBL)*(INC_SPECIALS="Y"))=0,"",'Dvd Calendar'!$AE$1295)))</f>
        <v/>
      </c>
      <c r="AD132" s="106">
        <f>IF(FF132="","",IF(ISNUMBER('Dvd Calendar'!$AF$1295)=FALSE,"",IF((('Dvd Calendar'!$AF$1297=TYPE1)*(TYPE1&lt;&gt;"")+('Dvd Calendar'!$AF$1297=TYPE2)*(TYPE2&lt;&gt;"")+('Dvd Calendar'!$AF$1297=TYPE3)*(TYPE3&lt;&gt;"")+('Dvd Calendar'!$AF$1297=TYPE4)*(TYPE4&lt;&gt;"")+('Dvd Calendar'!$AF$1297=SPECIAL_LBL)*(INC_SPECIALS="Y"))=0,"",'Dvd Calendar'!$AF$1295)))</f>
        <v/>
      </c>
      <c r="AE132" s="106">
        <f>IF(FG132="","",IF(ISNUMBER('Dvd Calendar'!$AG$1295)=FALSE,"",IF((('Dvd Calendar'!$AG$1297=TYPE1)*(TYPE1&lt;&gt;"")+('Dvd Calendar'!$AG$1297=TYPE2)*(TYPE2&lt;&gt;"")+('Dvd Calendar'!$AG$1297=TYPE3)*(TYPE3&lt;&gt;"")+('Dvd Calendar'!$AG$1297=TYPE4)*(TYPE4&lt;&gt;"")+('Dvd Calendar'!$AG$1297=SPECIAL_LBL)*(INC_SPECIALS="Y"))=0,"",'Dvd Calendar'!$AG$1295)))</f>
        <v/>
      </c>
      <c r="AF132" s="106">
        <f>IF(FH132="","",IF(ISNUMBER('Dvd Calendar'!$AH$1295)=FALSE,"",IF((('Dvd Calendar'!$AH$1297=TYPE1)*(TYPE1&lt;&gt;"")+('Dvd Calendar'!$AH$1297=TYPE2)*(TYPE2&lt;&gt;"")+('Dvd Calendar'!$AH$1297=TYPE3)*(TYPE3&lt;&gt;"")+('Dvd Calendar'!$AH$1297=TYPE4)*(TYPE4&lt;&gt;"")+('Dvd Calendar'!$AH$1297=SPECIAL_LBL)*(INC_SPECIALS="Y"))=0,"",'Dvd Calendar'!$AH$1295)))</f>
        <v/>
      </c>
      <c r="AG132" s="106">
        <f>IF(FI132="","",IF(ISNUMBER('Dvd Calendar'!$AI$1295)=FALSE,"",IF((('Dvd Calendar'!$AI$1297=TYPE1)*(TYPE1&lt;&gt;"")+('Dvd Calendar'!$AI$1297=TYPE2)*(TYPE2&lt;&gt;"")+('Dvd Calendar'!$AI$1297=TYPE3)*(TYPE3&lt;&gt;"")+('Dvd Calendar'!$AI$1297=TYPE4)*(TYPE4&lt;&gt;"")+('Dvd Calendar'!$AI$1297=SPECIAL_LBL)*(INC_SPECIALS="Y"))=0,"",'Dvd Calendar'!$AI$1295)))</f>
        <v/>
      </c>
      <c r="AH132" s="106">
        <f>IF(FJ132="","",IF(ISNUMBER('Dvd Calendar'!$AJ$1295)=FALSE,"",IF((('Dvd Calendar'!$AJ$1297=TYPE1)*(TYPE1&lt;&gt;"")+('Dvd Calendar'!$AJ$1297=TYPE2)*(TYPE2&lt;&gt;"")+('Dvd Calendar'!$AJ$1297=TYPE3)*(TYPE3&lt;&gt;"")+('Dvd Calendar'!$AJ$1297=TYPE4)*(TYPE4&lt;&gt;"")+('Dvd Calendar'!$AJ$1297=SPECIAL_LBL)*(INC_SPECIALS="Y"))=0,"",'Dvd Calendar'!$AJ$1295)))</f>
        <v/>
      </c>
      <c r="AI132" s="106">
        <f>IF(FK132="","",IF(ISNUMBER('Dvd Calendar'!$AK$1295)=FALSE,"",IF((('Dvd Calendar'!$AK$1297=TYPE1)*(TYPE1&lt;&gt;"")+('Dvd Calendar'!$AK$1297=TYPE2)*(TYPE2&lt;&gt;"")+('Dvd Calendar'!$AK$1297=TYPE3)*(TYPE3&lt;&gt;"")+('Dvd Calendar'!$AK$1297=TYPE4)*(TYPE4&lt;&gt;"")+('Dvd Calendar'!$AK$1297=SPECIAL_LBL)*(INC_SPECIALS="Y"))=0,"",'Dvd Calendar'!$AK$1295)))</f>
        <v/>
      </c>
      <c r="AJ132" s="106">
        <f>IF(FL132="","",IF(ISNUMBER('Dvd Calendar'!$AL$1295)=FALSE,"",IF((('Dvd Calendar'!$AL$1297=TYPE1)*(TYPE1&lt;&gt;"")+('Dvd Calendar'!$AL$1297=TYPE2)*(TYPE2&lt;&gt;"")+('Dvd Calendar'!$AL$1297=TYPE3)*(TYPE3&lt;&gt;"")+('Dvd Calendar'!$AL$1297=TYPE4)*(TYPE4&lt;&gt;"")+('Dvd Calendar'!$AL$1297=SPECIAL_LBL)*(INC_SPECIALS="Y"))=0,"",'Dvd Calendar'!$AL$1295)))</f>
        <v/>
      </c>
      <c r="AK132" s="106">
        <f>IF(FM132="","",IF(ISNUMBER('Dvd Calendar'!$AM$1295)=FALSE,"",IF((('Dvd Calendar'!$AM$1297=TYPE1)*(TYPE1&lt;&gt;"")+('Dvd Calendar'!$AM$1297=TYPE2)*(TYPE2&lt;&gt;"")+('Dvd Calendar'!$AM$1297=TYPE3)*(TYPE3&lt;&gt;"")+('Dvd Calendar'!$AM$1297=TYPE4)*(TYPE4&lt;&gt;"")+('Dvd Calendar'!$AM$1297=SPECIAL_LBL)*(INC_SPECIALS="Y"))=0,"",'Dvd Calendar'!$AM$1295)))</f>
        <v/>
      </c>
      <c r="AL132" s="106">
        <f>IF(FN132="","",IF(ISNUMBER('Dvd Calendar'!$AN$1295)=FALSE,"",IF((('Dvd Calendar'!$AN$1297=TYPE1)*(TYPE1&lt;&gt;"")+('Dvd Calendar'!$AN$1297=TYPE2)*(TYPE2&lt;&gt;"")+('Dvd Calendar'!$AN$1297=TYPE3)*(TYPE3&lt;&gt;"")+('Dvd Calendar'!$AN$1297=TYPE4)*(TYPE4&lt;&gt;"")+('Dvd Calendar'!$AN$1297=SPECIAL_LBL)*(INC_SPECIALS="Y"))=0,"",'Dvd Calendar'!$AN$1295)))</f>
        <v/>
      </c>
      <c r="AM132" s="106">
        <f>IF(FO132="","",IF(ISNUMBER('Dvd Calendar'!$AO$1295)=FALSE,"",IF((('Dvd Calendar'!$AO$1297=TYPE1)*(TYPE1&lt;&gt;"")+('Dvd Calendar'!$AO$1297=TYPE2)*(TYPE2&lt;&gt;"")+('Dvd Calendar'!$AO$1297=TYPE3)*(TYPE3&lt;&gt;"")+('Dvd Calendar'!$AO$1297=TYPE4)*(TYPE4&lt;&gt;"")+('Dvd Calendar'!$AO$1297=SPECIAL_LBL)*(INC_SPECIALS="Y"))=0,"",'Dvd Calendar'!$AO$1295)))</f>
        <v/>
      </c>
      <c r="AN132" s="106">
        <f>IF(FP132="","",IF(ISNUMBER('Dvd Calendar'!$AP$1295)=FALSE,"",IF((('Dvd Calendar'!$AP$1297=TYPE1)*(TYPE1&lt;&gt;"")+('Dvd Calendar'!$AP$1297=TYPE2)*(TYPE2&lt;&gt;"")+('Dvd Calendar'!$AP$1297=TYPE3)*(TYPE3&lt;&gt;"")+('Dvd Calendar'!$AP$1297=TYPE4)*(TYPE4&lt;&gt;"")+('Dvd Calendar'!$AP$1297=SPECIAL_LBL)*(INC_SPECIALS="Y"))=0,"",'Dvd Calendar'!$AP$1295)))</f>
        <v/>
      </c>
      <c r="AO132" s="106">
        <f>IF(FQ132="","",IF(ISNUMBER('Dvd Calendar'!$AQ$1295)=FALSE,"",IF((('Dvd Calendar'!$AQ$1297=TYPE1)*(TYPE1&lt;&gt;"")+('Dvd Calendar'!$AQ$1297=TYPE2)*(TYPE2&lt;&gt;"")+('Dvd Calendar'!$AQ$1297=TYPE3)*(TYPE3&lt;&gt;"")+('Dvd Calendar'!$AQ$1297=TYPE4)*(TYPE4&lt;&gt;"")+('Dvd Calendar'!$AQ$1297=SPECIAL_LBL)*(INC_SPECIALS="Y"))=0,"",'Dvd Calendar'!$AQ$1295)))</f>
        <v/>
      </c>
      <c r="AP132" s="106">
        <f>IF(FR132="","",IF(ISNUMBER('Dvd Calendar'!$AR$1295)=FALSE,"",IF((('Dvd Calendar'!$AR$1297=TYPE1)*(TYPE1&lt;&gt;"")+('Dvd Calendar'!$AR$1297=TYPE2)*(TYPE2&lt;&gt;"")+('Dvd Calendar'!$AR$1297=TYPE3)*(TYPE3&lt;&gt;"")+('Dvd Calendar'!$AR$1297=TYPE4)*(TYPE4&lt;&gt;"")+('Dvd Calendar'!$AR$1297=SPECIAL_LBL)*(INC_SPECIALS="Y"))=0,"",'Dvd Calendar'!$AR$1295)))</f>
        <v/>
      </c>
      <c r="AQ132" s="106">
        <f>IF(FS132="","",IF(ISNUMBER('Dvd Calendar'!$E$1300)=FALSE,"",'Dvd Calendar'!$E$1300))</f>
        <v/>
      </c>
      <c r="AR132" s="106">
        <f>IF(FT132="","",IF(ISNUMBER('Dvd Calendar'!$F$1300)=FALSE,"",'Dvd Calendar'!$F$1300))</f>
        <v/>
      </c>
      <c r="AS132" s="106">
        <f>IF(FU132="","",IF(ISNUMBER('Dvd Calendar'!$G$1300)=FALSE,"",'Dvd Calendar'!$G$1300))</f>
        <v/>
      </c>
      <c r="AT132" s="106">
        <f>IF(FV132="","",IF(ISNUMBER('Dvd Calendar'!$H$1300)=FALSE,"",'Dvd Calendar'!$H$1300))</f>
        <v/>
      </c>
      <c r="AU132" s="106">
        <f>IF(FW132="","",IF(ISNUMBER('Dvd Calendar'!$I$1300)=FALSE,"",'Dvd Calendar'!$I$1300))</f>
        <v/>
      </c>
      <c r="AV132" s="106">
        <f>IF(FX132="","",IF(ISNUMBER('Dvd Calendar'!$J$1300)=FALSE,"",'Dvd Calendar'!$J$1300))</f>
        <v/>
      </c>
      <c r="AW132" s="106">
        <f>IF(FY132="","",IF(ISNUMBER('Dvd Calendar'!$K$1300)=FALSE,"",'Dvd Calendar'!$K$1300))</f>
        <v/>
      </c>
      <c r="AX132" s="106">
        <f>IF(FZ132="","",IF(ISNUMBER('Dvd Calendar'!$L$1300)=FALSE,"",'Dvd Calendar'!$L$1300))</f>
        <v/>
      </c>
      <c r="AY132" s="106">
        <f>IF(GA132="","",IF(ISNUMBER('Dvd Calendar'!$M$1300)=FALSE,"",'Dvd Calendar'!$M$1300))</f>
        <v/>
      </c>
      <c r="AZ132" s="106">
        <f>IF(GB132="","",IF(ISNUMBER('Dvd Calendar'!$N$1300)=FALSE,"",'Dvd Calendar'!$N$1300))</f>
        <v/>
      </c>
      <c r="BA132" s="106">
        <f>IF(GC132="","",IF(ISNUMBER('Dvd Calendar'!$O$1300)=FALSE,"",'Dvd Calendar'!$O$1300))</f>
        <v/>
      </c>
      <c r="BB132" s="106">
        <f>IF(GD132="","",IF(ISNUMBER('Dvd Calendar'!$P$1300)=FALSE,"",'Dvd Calendar'!$P$1300))</f>
        <v/>
      </c>
      <c r="BC132" s="106">
        <f>IF(GE132="","",IF(ISNUMBER('Dvd Calendar'!$Q$1300)=FALSE,"",'Dvd Calendar'!$Q$1300))</f>
        <v/>
      </c>
      <c r="BD132" s="106">
        <f>IF(GF132="","",IF(ISNUMBER('Dvd Calendar'!$R$1300)=FALSE,"",'Dvd Calendar'!$R$1300))</f>
        <v/>
      </c>
      <c r="BE132" s="106">
        <f>IF(GG132="","",IF(ISNUMBER('Dvd Calendar'!$S$1300)=FALSE,"",'Dvd Calendar'!$S$1300))</f>
        <v/>
      </c>
      <c r="BF132" s="106">
        <f>IF(GH132="","",IF(ISNUMBER('Dvd Calendar'!$T$1300)=FALSE,"",'Dvd Calendar'!$T$1300))</f>
        <v/>
      </c>
      <c r="BG132" s="106">
        <f>IF(GI132="","",IF(ISNUMBER('Dvd Calendar'!$U$1300)=FALSE,"",'Dvd Calendar'!$U$1300))</f>
        <v/>
      </c>
      <c r="BH132" s="106">
        <f>IF(GJ132="","",IF(ISNUMBER('Dvd Calendar'!$V$1300)=FALSE,"",'Dvd Calendar'!$V$1300))</f>
        <v/>
      </c>
      <c r="BI132" s="106">
        <f>IF(GK132="","",IF(ISNUMBER('Dvd Calendar'!$W$1300)=FALSE,"",'Dvd Calendar'!$W$1300))</f>
        <v/>
      </c>
      <c r="BJ132" s="106">
        <f>IF(GL132="","",IF(ISNUMBER('Dvd Calendar'!$X$1300)=FALSE,"",'Dvd Calendar'!$X$1300))</f>
        <v/>
      </c>
      <c r="BK132" s="106">
        <f>IF(GM132="","",IF(ISNUMBER('Dvd Calendar'!$Y$1300)=FALSE,"",'Dvd Calendar'!$Y$1300))</f>
        <v/>
      </c>
      <c r="BL132" s="106">
        <f>IF(GN132="","",IF(ISNUMBER('Dvd Calendar'!$Z$1300)=FALSE,"",'Dvd Calendar'!$Z$1300))</f>
        <v/>
      </c>
      <c r="BM132" s="106">
        <f>IF(GO132="","",IF(ISNUMBER('Dvd Calendar'!$AA$1300)=FALSE,"",'Dvd Calendar'!$AA$1300))</f>
        <v/>
      </c>
      <c r="BN132" s="106">
        <f>IF(GP132="","",IF(ISNUMBER('Dvd Calendar'!$AB$1300)=FALSE,"",'Dvd Calendar'!$AB$1300))</f>
        <v/>
      </c>
      <c r="BO132" s="106">
        <f>IF(GQ132="","",IF(ISNUMBER('Dvd Calendar'!$AC$1300)=FALSE,"",'Dvd Calendar'!$AC$1300))</f>
        <v/>
      </c>
      <c r="BQ132" s="106">
        <f>IF(C132="","",IFERROR(C132*HSTECH!$B$23*HSTECH!$G$23/HSTECH!$B$3,""))</f>
        <v/>
      </c>
      <c r="BR132" s="106">
        <f>IF(D132="","",IFERROR(D132*HSTECH!$B$23*HSTECH!$G$23/HSTECH!$B$3,""))</f>
        <v/>
      </c>
      <c r="BS132" s="106">
        <f>IF(E132="","",IFERROR(E132*HSTECH!$B$23*HSTECH!$G$23/HSTECH!$B$3,""))</f>
        <v/>
      </c>
      <c r="BT132" s="106">
        <f>IF(F132="","",IFERROR(F132*HSTECH!$B$23*HSTECH!$G$23/HSTECH!$B$3,""))</f>
        <v/>
      </c>
      <c r="BU132" s="106">
        <f>IF(G132="","",IFERROR(G132*HSTECH!$B$23*HSTECH!$G$23/HSTECH!$B$3,""))</f>
        <v/>
      </c>
      <c r="BV132" s="106">
        <f>IF(H132="","",IFERROR(H132*HSTECH!$B$23*HSTECH!$G$23/HSTECH!$B$3,""))</f>
        <v/>
      </c>
      <c r="BW132" s="106">
        <f>IF(I132="","",IFERROR(I132*HSTECH!$B$23*HSTECH!$G$23/HSTECH!$B$3,""))</f>
        <v/>
      </c>
      <c r="BX132" s="106">
        <f>IF(J132="","",IFERROR(J132*HSTECH!$B$23*HSTECH!$G$23/HSTECH!$B$3,""))</f>
        <v/>
      </c>
      <c r="BY132" s="106">
        <f>IF(K132="","",IFERROR(K132*HSTECH!$B$23*HSTECH!$G$23/HSTECH!$B$3,""))</f>
        <v/>
      </c>
      <c r="BZ132" s="106">
        <f>IF(L132="","",IFERROR(L132*HSTECH!$B$23*HSTECH!$G$23/HSTECH!$B$3,""))</f>
        <v/>
      </c>
      <c r="CA132" s="106">
        <f>IF(M132="","",IFERROR(M132*HSTECH!$B$23*HSTECH!$G$23/HSTECH!$B$3,""))</f>
        <v/>
      </c>
      <c r="CB132" s="106">
        <f>IF(N132="","",IFERROR(N132*HSTECH!$B$23*HSTECH!$G$23/HSTECH!$B$3,""))</f>
        <v/>
      </c>
      <c r="CC132" s="106">
        <f>IF(O132="","",IFERROR(O132*HSTECH!$B$23*HSTECH!$G$23/HSTECH!$B$3,""))</f>
        <v/>
      </c>
      <c r="CD132" s="106">
        <f>IF(P132="","",IFERROR(P132*HSTECH!$B$23*HSTECH!$G$23/HSTECH!$B$3,""))</f>
        <v/>
      </c>
      <c r="CE132" s="106">
        <f>IF(Q132="","",IFERROR(Q132*HSTECH!$B$23*HSTECH!$G$23/HSTECH!$B$3,""))</f>
        <v/>
      </c>
      <c r="CF132" s="106">
        <f>IF(R132="","",IFERROR(R132*HSTECH!$B$23*HSTECH!$G$23/HSTECH!$B$3,""))</f>
        <v/>
      </c>
      <c r="CG132" s="106">
        <f>IF(S132="","",IFERROR(S132*HSTECH!$B$23*HSTECH!$G$23/HSTECH!$B$3,""))</f>
        <v/>
      </c>
      <c r="CH132" s="106">
        <f>IF(T132="","",IFERROR(T132*HSTECH!$B$23*HSTECH!$G$23/HSTECH!$B$3,""))</f>
        <v/>
      </c>
      <c r="CI132" s="106">
        <f>IF(U132="","",IFERROR(U132*HSTECH!$B$23*HSTECH!$G$23/HSTECH!$B$3,""))</f>
        <v/>
      </c>
      <c r="CJ132" s="106">
        <f>IF(V132="","",IFERROR(V132*HSTECH!$B$23*HSTECH!$G$23/HSTECH!$B$3,""))</f>
        <v/>
      </c>
      <c r="CK132" s="106">
        <f>IF(W132="","",IFERROR(W132*HSTECH!$B$23*HSTECH!$G$23/HSTECH!$B$3,""))</f>
        <v/>
      </c>
      <c r="CL132" s="106">
        <f>IF(X132="","",IFERROR(X132*HSTECH!$B$23*HSTECH!$G$23/HSTECH!$B$3,""))</f>
        <v/>
      </c>
      <c r="CM132" s="106">
        <f>IF(Y132="","",IFERROR(Y132*HSTECH!$B$23*HSTECH!$G$23/HSTECH!$B$3,""))</f>
        <v/>
      </c>
      <c r="CN132" s="106">
        <f>IF(Z132="","",IFERROR(Z132*HSTECH!$B$23*HSTECH!$G$23/HSTECH!$B$3,""))</f>
        <v/>
      </c>
      <c r="CO132" s="106">
        <f>IF(AA132="","",IFERROR(AA132*HSTECH!$B$23*HSTECH!$G$23/HSTECH!$B$3,""))</f>
        <v/>
      </c>
      <c r="CP132" s="106">
        <f>IF(AB132="","",IFERROR(AB132*HSTECH!$B$23*HSTECH!$G$23/HSTECH!$B$3,""))</f>
        <v/>
      </c>
      <c r="CQ132" s="106">
        <f>IF(AC132="","",IFERROR(AC132*HSTECH!$B$23*HSTECH!$G$23/HSTECH!$B$3,""))</f>
        <v/>
      </c>
      <c r="CR132" s="106">
        <f>IF(AD132="","",IFERROR(AD132*HSTECH!$B$23*HSTECH!$G$23/HSTECH!$B$3,""))</f>
        <v/>
      </c>
      <c r="CS132" s="106">
        <f>IF(AE132="","",IFERROR(AE132*HSTECH!$B$23*HSTECH!$G$23/HSTECH!$B$3,""))</f>
        <v/>
      </c>
      <c r="CT132" s="106">
        <f>IF(AF132="","",IFERROR(AF132*HSTECH!$B$23*HSTECH!$G$23/HSTECH!$B$3,""))</f>
        <v/>
      </c>
      <c r="CU132" s="106">
        <f>IF(AG132="","",IFERROR(AG132*HSTECH!$B$23*HSTECH!$G$23/HSTECH!$B$3,""))</f>
        <v/>
      </c>
      <c r="CV132" s="106">
        <f>IF(AH132="","",IFERROR(AH132*HSTECH!$B$23*HSTECH!$G$23/HSTECH!$B$3,""))</f>
        <v/>
      </c>
      <c r="CW132" s="106">
        <f>IF(AI132="","",IFERROR(AI132*HSTECH!$B$23*HSTECH!$G$23/HSTECH!$B$3,""))</f>
        <v/>
      </c>
      <c r="CX132" s="106">
        <f>IF(AJ132="","",IFERROR(AJ132*HSTECH!$B$23*HSTECH!$G$23/HSTECH!$B$3,""))</f>
        <v/>
      </c>
      <c r="CY132" s="106">
        <f>IF(AK132="","",IFERROR(AK132*HSTECH!$B$23*HSTECH!$G$23/HSTECH!$B$3,""))</f>
        <v/>
      </c>
      <c r="CZ132" s="106">
        <f>IF(AL132="","",IFERROR(AL132*HSTECH!$B$23*HSTECH!$G$23/HSTECH!$B$3,""))</f>
        <v/>
      </c>
      <c r="DA132" s="106">
        <f>IF(AM132="","",IFERROR(AM132*HSTECH!$B$23*HSTECH!$G$23/HSTECH!$B$3,""))</f>
        <v/>
      </c>
      <c r="DB132" s="106">
        <f>IF(AN132="","",IFERROR(AN132*HSTECH!$B$23*HSTECH!$G$23/HSTECH!$B$3,""))</f>
        <v/>
      </c>
      <c r="DC132" s="106">
        <f>IF(AO132="","",IFERROR(AO132*HSTECH!$B$23*HSTECH!$G$23/HSTECH!$B$3,""))</f>
        <v/>
      </c>
      <c r="DD132" s="106">
        <f>IF(AP132="","",IFERROR(AP132*HSTECH!$B$23*HSTECH!$G$23/HSTECH!$B$3,""))</f>
        <v/>
      </c>
      <c r="DE132" s="106">
        <f>IF(AQ132="","",IFERROR(AQ132*HSTECH!$B$23*HSTECH!$G$23/HSTECH!$B$3,""))</f>
        <v/>
      </c>
      <c r="DF132" s="106">
        <f>IF(AR132="","",IFERROR(AR132*HSTECH!$B$23*HSTECH!$G$23/HSTECH!$B$3,""))</f>
        <v/>
      </c>
      <c r="DG132" s="106">
        <f>IF(AS132="","",IFERROR(AS132*HSTECH!$B$23*HSTECH!$G$23/HSTECH!$B$3,""))</f>
        <v/>
      </c>
      <c r="DH132" s="106">
        <f>IF(AT132="","",IFERROR(AT132*HSTECH!$B$23*HSTECH!$G$23/HSTECH!$B$3,""))</f>
        <v/>
      </c>
      <c r="DI132" s="106">
        <f>IF(AU132="","",IFERROR(AU132*HSTECH!$B$23*HSTECH!$G$23/HSTECH!$B$3,""))</f>
        <v/>
      </c>
      <c r="DJ132" s="106">
        <f>IF(AV132="","",IFERROR(AV132*HSTECH!$B$23*HSTECH!$G$23/HSTECH!$B$3,""))</f>
        <v/>
      </c>
      <c r="DK132" s="106">
        <f>IF(AW132="","",IFERROR(AW132*HSTECH!$B$23*HSTECH!$G$23/HSTECH!$B$3,""))</f>
        <v/>
      </c>
      <c r="DL132" s="106">
        <f>IF(AX132="","",IFERROR(AX132*HSTECH!$B$23*HSTECH!$G$23/HSTECH!$B$3,""))</f>
        <v/>
      </c>
      <c r="DM132" s="106">
        <f>IF(AY132="","",IFERROR(AY132*HSTECH!$B$23*HSTECH!$G$23/HSTECH!$B$3,""))</f>
        <v/>
      </c>
      <c r="DN132" s="106">
        <f>IF(AZ132="","",IFERROR(AZ132*HSTECH!$B$23*HSTECH!$G$23/HSTECH!$B$3,""))</f>
        <v/>
      </c>
      <c r="DO132" s="106">
        <f>IF(BA132="","",IFERROR(BA132*HSTECH!$B$23*HSTECH!$G$23/HSTECH!$B$3,""))</f>
        <v/>
      </c>
      <c r="DP132" s="106">
        <f>IF(BB132="","",IFERROR(BB132*HSTECH!$B$23*HSTECH!$G$23/HSTECH!$B$3,""))</f>
        <v/>
      </c>
      <c r="DQ132" s="106">
        <f>IF(BC132="","",IFERROR(BC132*HSTECH!$B$23*HSTECH!$G$23/HSTECH!$B$3,""))</f>
        <v/>
      </c>
      <c r="DR132" s="106">
        <f>IF(BD132="","",IFERROR(BD132*HSTECH!$B$23*HSTECH!$G$23/HSTECH!$B$3,""))</f>
        <v/>
      </c>
      <c r="DS132" s="106">
        <f>IF(BE132="","",IFERROR(BE132*HSTECH!$B$23*HSTECH!$G$23/HSTECH!$B$3,""))</f>
        <v/>
      </c>
      <c r="DT132" s="106">
        <f>IF(BF132="","",IFERROR(BF132*HSTECH!$B$23*HSTECH!$G$23/HSTECH!$B$3,""))</f>
        <v/>
      </c>
      <c r="DU132" s="106">
        <f>IF(BG132="","",IFERROR(BG132*HSTECH!$B$23*HSTECH!$G$23/HSTECH!$B$3,""))</f>
        <v/>
      </c>
      <c r="DV132" s="106">
        <f>IF(BH132="","",IFERROR(BH132*HSTECH!$B$23*HSTECH!$G$23/HSTECH!$B$3,""))</f>
        <v/>
      </c>
      <c r="DW132" s="106">
        <f>IF(BI132="","",IFERROR(BI132*HSTECH!$B$23*HSTECH!$G$23/HSTECH!$B$3,""))</f>
        <v/>
      </c>
      <c r="DX132" s="106">
        <f>IF(BJ132="","",IFERROR(BJ132*HSTECH!$B$23*HSTECH!$G$23/HSTECH!$B$3,""))</f>
        <v/>
      </c>
      <c r="DY132" s="106">
        <f>IF(BK132="","",IFERROR(BK132*HSTECH!$B$23*HSTECH!$G$23/HSTECH!$B$3,""))</f>
        <v/>
      </c>
      <c r="DZ132" s="106">
        <f>IF(BL132="","",IFERROR(BL132*HSTECH!$B$23*HSTECH!$G$23/HSTECH!$B$3,""))</f>
        <v/>
      </c>
      <c r="EA132" s="106">
        <f>IF(BM132="","",IFERROR(BM132*HSTECH!$B$23*HSTECH!$G$23/HSTECH!$B$3,""))</f>
        <v/>
      </c>
      <c r="EB132" s="106">
        <f>IF(BN132="","",IFERROR(BN132*HSTECH!$B$23*HSTECH!$G$23/HSTECH!$B$3,""))</f>
        <v/>
      </c>
      <c r="EC132" s="106">
        <f>IF(BO132="","",IFERROR(BO132*HSTECH!$B$23*HSTECH!$G$23/HSTECH!$B$3,""))</f>
        <v/>
      </c>
      <c r="EE132" s="35">
        <f>IF(N('Dvd Calendar'!$E$1292)=0,"",IF(('Dvd Calendar'!$E$1292&gt;=GRID_FROM)*('Dvd Calendar'!$E$1292&lt;=GRID_TO)*('Dvd Calendar'!$E$1292&lt;=VAL_DATE)=0,"",'Dvd Calendar'!$E$1292*1000000000+ISNUMBER('Dvd Calendar'!$E$1295)*100000000+('Dvd Calendar'!$E$1297=SPECIAL_LBL)*10000000+0*1000000+17*1000+1))</f>
        <v/>
      </c>
      <c r="EF132" s="35">
        <f>IF(N('Dvd Calendar'!$F$1292)=0,"",IF(('Dvd Calendar'!$F$1292&gt;=GRID_FROM)*('Dvd Calendar'!$F$1292&lt;=GRID_TO)*('Dvd Calendar'!$F$1292&lt;=VAL_DATE)=0,"",'Dvd Calendar'!$F$1292*1000000000+ISNUMBER('Dvd Calendar'!$F$1295)*100000000+('Dvd Calendar'!$F$1297=SPECIAL_LBL)*10000000+0*1000000+17*1000+2))</f>
        <v/>
      </c>
      <c r="EG132" s="35">
        <f>IF(N('Dvd Calendar'!$G$1292)=0,"",IF(('Dvd Calendar'!$G$1292&gt;=GRID_FROM)*('Dvd Calendar'!$G$1292&lt;=GRID_TO)*('Dvd Calendar'!$G$1292&lt;=VAL_DATE)=0,"",'Dvd Calendar'!$G$1292*1000000000+ISNUMBER('Dvd Calendar'!$G$1295)*100000000+('Dvd Calendar'!$G$1297=SPECIAL_LBL)*10000000+0*1000000+17*1000+3))</f>
        <v/>
      </c>
      <c r="EH132" s="35">
        <f>IF(N('Dvd Calendar'!$H$1292)=0,"",IF(('Dvd Calendar'!$H$1292&gt;=GRID_FROM)*('Dvd Calendar'!$H$1292&lt;=GRID_TO)*('Dvd Calendar'!$H$1292&lt;=VAL_DATE)=0,"",'Dvd Calendar'!$H$1292*1000000000+ISNUMBER('Dvd Calendar'!$H$1295)*100000000+('Dvd Calendar'!$H$1297=SPECIAL_LBL)*10000000+0*1000000+17*1000+4))</f>
        <v/>
      </c>
      <c r="EI132" s="35">
        <f>IF(N('Dvd Calendar'!$I$1292)=0,"",IF(('Dvd Calendar'!$I$1292&gt;=GRID_FROM)*('Dvd Calendar'!$I$1292&lt;=GRID_TO)*('Dvd Calendar'!$I$1292&lt;=VAL_DATE)=0,"",'Dvd Calendar'!$I$1292*1000000000+ISNUMBER('Dvd Calendar'!$I$1295)*100000000+('Dvd Calendar'!$I$1297=SPECIAL_LBL)*10000000+0*1000000+17*1000+5))</f>
        <v/>
      </c>
      <c r="EJ132" s="35">
        <f>IF(N('Dvd Calendar'!$J$1292)=0,"",IF(('Dvd Calendar'!$J$1292&gt;=GRID_FROM)*('Dvd Calendar'!$J$1292&lt;=GRID_TO)*('Dvd Calendar'!$J$1292&lt;=VAL_DATE)=0,"",'Dvd Calendar'!$J$1292*1000000000+ISNUMBER('Dvd Calendar'!$J$1295)*100000000+('Dvd Calendar'!$J$1297=SPECIAL_LBL)*10000000+0*1000000+17*1000+6))</f>
        <v/>
      </c>
      <c r="EK132" s="35">
        <f>IF(N('Dvd Calendar'!$K$1292)=0,"",IF(('Dvd Calendar'!$K$1292&gt;=GRID_FROM)*('Dvd Calendar'!$K$1292&lt;=GRID_TO)*('Dvd Calendar'!$K$1292&lt;=VAL_DATE)=0,"",'Dvd Calendar'!$K$1292*1000000000+ISNUMBER('Dvd Calendar'!$K$1295)*100000000+('Dvd Calendar'!$K$1297=SPECIAL_LBL)*10000000+0*1000000+17*1000+7))</f>
        <v/>
      </c>
      <c r="EL132" s="35">
        <f>IF(N('Dvd Calendar'!$L$1292)=0,"",IF(('Dvd Calendar'!$L$1292&gt;=GRID_FROM)*('Dvd Calendar'!$L$1292&lt;=GRID_TO)*('Dvd Calendar'!$L$1292&lt;=VAL_DATE)=0,"",'Dvd Calendar'!$L$1292*1000000000+ISNUMBER('Dvd Calendar'!$L$1295)*100000000+('Dvd Calendar'!$L$1297=SPECIAL_LBL)*10000000+0*1000000+17*1000+8))</f>
        <v/>
      </c>
      <c r="EM132" s="35">
        <f>IF(N('Dvd Calendar'!$M$1292)=0,"",IF(('Dvd Calendar'!$M$1292&gt;=GRID_FROM)*('Dvd Calendar'!$M$1292&lt;=GRID_TO)*('Dvd Calendar'!$M$1292&lt;=VAL_DATE)=0,"",'Dvd Calendar'!$M$1292*1000000000+ISNUMBER('Dvd Calendar'!$M$1295)*100000000+('Dvd Calendar'!$M$1297=SPECIAL_LBL)*10000000+0*1000000+17*1000+9))</f>
        <v/>
      </c>
      <c r="EN132" s="35">
        <f>IF(N('Dvd Calendar'!$N$1292)=0,"",IF(('Dvd Calendar'!$N$1292&gt;=GRID_FROM)*('Dvd Calendar'!$N$1292&lt;=GRID_TO)*('Dvd Calendar'!$N$1292&lt;=VAL_DATE)=0,"",'Dvd Calendar'!$N$1292*1000000000+ISNUMBER('Dvd Calendar'!$N$1295)*100000000+('Dvd Calendar'!$N$1297=SPECIAL_LBL)*10000000+0*1000000+17*1000+10))</f>
        <v/>
      </c>
      <c r="EO132" s="35">
        <f>IF(N('Dvd Calendar'!$O$1292)=0,"",IF(('Dvd Calendar'!$O$1292&gt;=GRID_FROM)*('Dvd Calendar'!$O$1292&lt;=GRID_TO)*('Dvd Calendar'!$O$1292&lt;=VAL_DATE)=0,"",'Dvd Calendar'!$O$1292*1000000000+ISNUMBER('Dvd Calendar'!$O$1295)*100000000+('Dvd Calendar'!$O$1297=SPECIAL_LBL)*10000000+0*1000000+17*1000+11))</f>
        <v/>
      </c>
      <c r="EP132" s="35">
        <f>IF(N('Dvd Calendar'!$P$1292)=0,"",IF(('Dvd Calendar'!$P$1292&gt;=GRID_FROM)*('Dvd Calendar'!$P$1292&lt;=GRID_TO)*('Dvd Calendar'!$P$1292&lt;=VAL_DATE)=0,"",'Dvd Calendar'!$P$1292*1000000000+ISNUMBER('Dvd Calendar'!$P$1295)*100000000+('Dvd Calendar'!$P$1297=SPECIAL_LBL)*10000000+0*1000000+17*1000+12))</f>
        <v/>
      </c>
      <c r="EQ132" s="35">
        <f>IF(N('Dvd Calendar'!$Q$1292)=0,"",IF(('Dvd Calendar'!$Q$1292&gt;=GRID_FROM)*('Dvd Calendar'!$Q$1292&lt;=GRID_TO)*('Dvd Calendar'!$Q$1292&lt;=VAL_DATE)=0,"",'Dvd Calendar'!$Q$1292*1000000000+ISNUMBER('Dvd Calendar'!$Q$1295)*100000000+('Dvd Calendar'!$Q$1297=SPECIAL_LBL)*10000000+0*1000000+17*1000+13))</f>
        <v/>
      </c>
      <c r="ER132" s="35">
        <f>IF(N('Dvd Calendar'!$R$1292)=0,"",IF(('Dvd Calendar'!$R$1292&gt;=GRID_FROM)*('Dvd Calendar'!$R$1292&lt;=GRID_TO)*('Dvd Calendar'!$R$1292&lt;=VAL_DATE)=0,"",'Dvd Calendar'!$R$1292*1000000000+ISNUMBER('Dvd Calendar'!$R$1295)*100000000+('Dvd Calendar'!$R$1297=SPECIAL_LBL)*10000000+0*1000000+17*1000+14))</f>
        <v/>
      </c>
      <c r="ES132" s="35">
        <f>IF(N('Dvd Calendar'!$S$1292)=0,"",IF(('Dvd Calendar'!$S$1292&gt;=GRID_FROM)*('Dvd Calendar'!$S$1292&lt;=GRID_TO)*('Dvd Calendar'!$S$1292&lt;=VAL_DATE)=0,"",'Dvd Calendar'!$S$1292*1000000000+ISNUMBER('Dvd Calendar'!$S$1295)*100000000+('Dvd Calendar'!$S$1297=SPECIAL_LBL)*10000000+0*1000000+17*1000+15))</f>
        <v/>
      </c>
      <c r="ET132" s="35">
        <f>IF(N('Dvd Calendar'!$T$1292)=0,"",IF(('Dvd Calendar'!$T$1292&gt;=GRID_FROM)*('Dvd Calendar'!$T$1292&lt;=GRID_TO)*('Dvd Calendar'!$T$1292&lt;=VAL_DATE)=0,"",'Dvd Calendar'!$T$1292*1000000000+ISNUMBER('Dvd Calendar'!$T$1295)*100000000+('Dvd Calendar'!$T$1297=SPECIAL_LBL)*10000000+0*1000000+17*1000+16))</f>
        <v/>
      </c>
      <c r="EU132" s="35">
        <f>IF(N('Dvd Calendar'!$U$1292)=0,"",IF(('Dvd Calendar'!$U$1292&gt;=GRID_FROM)*('Dvd Calendar'!$U$1292&lt;=GRID_TO)*('Dvd Calendar'!$U$1292&lt;=VAL_DATE)=0,"",'Dvd Calendar'!$U$1292*1000000000+ISNUMBER('Dvd Calendar'!$U$1295)*100000000+('Dvd Calendar'!$U$1297=SPECIAL_LBL)*10000000+0*1000000+17*1000+17))</f>
        <v/>
      </c>
      <c r="EV132" s="35">
        <f>IF(N('Dvd Calendar'!$V$1292)=0,"",IF(('Dvd Calendar'!$V$1292&gt;=GRID_FROM)*('Dvd Calendar'!$V$1292&lt;=GRID_TO)*('Dvd Calendar'!$V$1292&lt;=VAL_DATE)=0,"",'Dvd Calendar'!$V$1292*1000000000+ISNUMBER('Dvd Calendar'!$V$1295)*100000000+('Dvd Calendar'!$V$1297=SPECIAL_LBL)*10000000+0*1000000+17*1000+18))</f>
        <v/>
      </c>
      <c r="EW132" s="35">
        <f>IF(N('Dvd Calendar'!$W$1292)=0,"",IF(('Dvd Calendar'!$W$1292&gt;=GRID_FROM)*('Dvd Calendar'!$W$1292&lt;=GRID_TO)*('Dvd Calendar'!$W$1292&lt;=VAL_DATE)=0,"",'Dvd Calendar'!$W$1292*1000000000+ISNUMBER('Dvd Calendar'!$W$1295)*100000000+('Dvd Calendar'!$W$1297=SPECIAL_LBL)*10000000+0*1000000+17*1000+19))</f>
        <v/>
      </c>
      <c r="EX132" s="35">
        <f>IF(N('Dvd Calendar'!$X$1292)=0,"",IF(('Dvd Calendar'!$X$1292&gt;=GRID_FROM)*('Dvd Calendar'!$X$1292&lt;=GRID_TO)*('Dvd Calendar'!$X$1292&lt;=VAL_DATE)=0,"",'Dvd Calendar'!$X$1292*1000000000+ISNUMBER('Dvd Calendar'!$X$1295)*100000000+('Dvd Calendar'!$X$1297=SPECIAL_LBL)*10000000+0*1000000+17*1000+20))</f>
        <v/>
      </c>
      <c r="EY132" s="35">
        <f>IF(N('Dvd Calendar'!$Y$1292)=0,"",IF(('Dvd Calendar'!$Y$1292&gt;=GRID_FROM)*('Dvd Calendar'!$Y$1292&lt;=GRID_TO)*('Dvd Calendar'!$Y$1292&lt;=VAL_DATE)=0,"",'Dvd Calendar'!$Y$1292*1000000000+ISNUMBER('Dvd Calendar'!$Y$1295)*100000000+('Dvd Calendar'!$Y$1297=SPECIAL_LBL)*10000000+0*1000000+17*1000+21))</f>
        <v/>
      </c>
      <c r="EZ132" s="35">
        <f>IF(N('Dvd Calendar'!$Z$1292)=0,"",IF(('Dvd Calendar'!$Z$1292&gt;=GRID_FROM)*('Dvd Calendar'!$Z$1292&lt;=GRID_TO)*('Dvd Calendar'!$Z$1292&lt;=VAL_DATE)=0,"",'Dvd Calendar'!$Z$1292*1000000000+ISNUMBER('Dvd Calendar'!$Z$1295)*100000000+('Dvd Calendar'!$Z$1297=SPECIAL_LBL)*10000000+0*1000000+17*1000+22))</f>
        <v/>
      </c>
      <c r="FA132" s="35">
        <f>IF(N('Dvd Calendar'!$AA$1292)=0,"",IF(('Dvd Calendar'!$AA$1292&gt;=GRID_FROM)*('Dvd Calendar'!$AA$1292&lt;=GRID_TO)*('Dvd Calendar'!$AA$1292&lt;=VAL_DATE)=0,"",'Dvd Calendar'!$AA$1292*1000000000+ISNUMBER('Dvd Calendar'!$AA$1295)*100000000+('Dvd Calendar'!$AA$1297=SPECIAL_LBL)*10000000+0*1000000+17*1000+23))</f>
        <v/>
      </c>
      <c r="FB132" s="35">
        <f>IF(N('Dvd Calendar'!$AB$1292)=0,"",IF(('Dvd Calendar'!$AB$1292&gt;=GRID_FROM)*('Dvd Calendar'!$AB$1292&lt;=GRID_TO)*('Dvd Calendar'!$AB$1292&lt;=VAL_DATE)=0,"",'Dvd Calendar'!$AB$1292*1000000000+ISNUMBER('Dvd Calendar'!$AB$1295)*100000000+('Dvd Calendar'!$AB$1297=SPECIAL_LBL)*10000000+0*1000000+17*1000+24))</f>
        <v/>
      </c>
      <c r="FC132" s="35">
        <f>IF(N('Dvd Calendar'!$AC$1292)=0,"",IF(('Dvd Calendar'!$AC$1292&gt;=GRID_FROM)*('Dvd Calendar'!$AC$1292&lt;=GRID_TO)*('Dvd Calendar'!$AC$1292&lt;=VAL_DATE)=0,"",'Dvd Calendar'!$AC$1292*1000000000+ISNUMBER('Dvd Calendar'!$AC$1295)*100000000+('Dvd Calendar'!$AC$1297=SPECIAL_LBL)*10000000+0*1000000+17*1000+25))</f>
        <v/>
      </c>
      <c r="FD132" s="35">
        <f>IF(N('Dvd Calendar'!$AD$1292)=0,"",IF(('Dvd Calendar'!$AD$1292&gt;=GRID_FROM)*('Dvd Calendar'!$AD$1292&lt;=GRID_TO)*('Dvd Calendar'!$AD$1292&lt;=VAL_DATE)=0,"",'Dvd Calendar'!$AD$1292*1000000000+ISNUMBER('Dvd Calendar'!$AD$1295)*100000000+('Dvd Calendar'!$AD$1297=SPECIAL_LBL)*10000000+0*1000000+17*1000+26))</f>
        <v/>
      </c>
      <c r="FE132" s="35">
        <f>IF(N('Dvd Calendar'!$AE$1292)=0,"",IF(('Dvd Calendar'!$AE$1292&gt;=GRID_FROM)*('Dvd Calendar'!$AE$1292&lt;=GRID_TO)*('Dvd Calendar'!$AE$1292&lt;=VAL_DATE)=0,"",'Dvd Calendar'!$AE$1292*1000000000+ISNUMBER('Dvd Calendar'!$AE$1295)*100000000+('Dvd Calendar'!$AE$1297=SPECIAL_LBL)*10000000+0*1000000+17*1000+27))</f>
        <v/>
      </c>
      <c r="FF132" s="35">
        <f>IF(N('Dvd Calendar'!$AF$1292)=0,"",IF(('Dvd Calendar'!$AF$1292&gt;=GRID_FROM)*('Dvd Calendar'!$AF$1292&lt;=GRID_TO)*('Dvd Calendar'!$AF$1292&lt;=VAL_DATE)=0,"",'Dvd Calendar'!$AF$1292*1000000000+ISNUMBER('Dvd Calendar'!$AF$1295)*100000000+('Dvd Calendar'!$AF$1297=SPECIAL_LBL)*10000000+0*1000000+17*1000+28))</f>
        <v/>
      </c>
      <c r="FG132" s="35">
        <f>IF(N('Dvd Calendar'!$AG$1292)=0,"",IF(('Dvd Calendar'!$AG$1292&gt;=GRID_FROM)*('Dvd Calendar'!$AG$1292&lt;=GRID_TO)*('Dvd Calendar'!$AG$1292&lt;=VAL_DATE)=0,"",'Dvd Calendar'!$AG$1292*1000000000+ISNUMBER('Dvd Calendar'!$AG$1295)*100000000+('Dvd Calendar'!$AG$1297=SPECIAL_LBL)*10000000+0*1000000+17*1000+29))</f>
        <v/>
      </c>
      <c r="FH132" s="35">
        <f>IF(N('Dvd Calendar'!$AH$1292)=0,"",IF(('Dvd Calendar'!$AH$1292&gt;=GRID_FROM)*('Dvd Calendar'!$AH$1292&lt;=GRID_TO)*('Dvd Calendar'!$AH$1292&lt;=VAL_DATE)=0,"",'Dvd Calendar'!$AH$1292*1000000000+ISNUMBER('Dvd Calendar'!$AH$1295)*100000000+('Dvd Calendar'!$AH$1297=SPECIAL_LBL)*10000000+0*1000000+17*1000+30))</f>
        <v/>
      </c>
      <c r="FI132" s="35">
        <f>IF(N('Dvd Calendar'!$AI$1292)=0,"",IF(('Dvd Calendar'!$AI$1292&gt;=GRID_FROM)*('Dvd Calendar'!$AI$1292&lt;=GRID_TO)*('Dvd Calendar'!$AI$1292&lt;=VAL_DATE)=0,"",'Dvd Calendar'!$AI$1292*1000000000+ISNUMBER('Dvd Calendar'!$AI$1295)*100000000+('Dvd Calendar'!$AI$1297=SPECIAL_LBL)*10000000+0*1000000+17*1000+31))</f>
        <v/>
      </c>
      <c r="FJ132" s="35">
        <f>IF(N('Dvd Calendar'!$AJ$1292)=0,"",IF(('Dvd Calendar'!$AJ$1292&gt;=GRID_FROM)*('Dvd Calendar'!$AJ$1292&lt;=GRID_TO)*('Dvd Calendar'!$AJ$1292&lt;=VAL_DATE)=0,"",'Dvd Calendar'!$AJ$1292*1000000000+ISNUMBER('Dvd Calendar'!$AJ$1295)*100000000+('Dvd Calendar'!$AJ$1297=SPECIAL_LBL)*10000000+0*1000000+17*1000+32))</f>
        <v/>
      </c>
      <c r="FK132" s="35">
        <f>IF(N('Dvd Calendar'!$AK$1292)=0,"",IF(('Dvd Calendar'!$AK$1292&gt;=GRID_FROM)*('Dvd Calendar'!$AK$1292&lt;=GRID_TO)*('Dvd Calendar'!$AK$1292&lt;=VAL_DATE)=0,"",'Dvd Calendar'!$AK$1292*1000000000+ISNUMBER('Dvd Calendar'!$AK$1295)*100000000+('Dvd Calendar'!$AK$1297=SPECIAL_LBL)*10000000+0*1000000+17*1000+33))</f>
        <v/>
      </c>
      <c r="FL132" s="35">
        <f>IF(N('Dvd Calendar'!$AL$1292)=0,"",IF(('Dvd Calendar'!$AL$1292&gt;=GRID_FROM)*('Dvd Calendar'!$AL$1292&lt;=GRID_TO)*('Dvd Calendar'!$AL$1292&lt;=VAL_DATE)=0,"",'Dvd Calendar'!$AL$1292*1000000000+ISNUMBER('Dvd Calendar'!$AL$1295)*100000000+('Dvd Calendar'!$AL$1297=SPECIAL_LBL)*10000000+0*1000000+17*1000+34))</f>
        <v/>
      </c>
      <c r="FM132" s="35">
        <f>IF(N('Dvd Calendar'!$AM$1292)=0,"",IF(('Dvd Calendar'!$AM$1292&gt;=GRID_FROM)*('Dvd Calendar'!$AM$1292&lt;=GRID_TO)*('Dvd Calendar'!$AM$1292&lt;=VAL_DATE)=0,"",'Dvd Calendar'!$AM$1292*1000000000+ISNUMBER('Dvd Calendar'!$AM$1295)*100000000+('Dvd Calendar'!$AM$1297=SPECIAL_LBL)*10000000+0*1000000+17*1000+35))</f>
        <v/>
      </c>
      <c r="FN132" s="35">
        <f>IF(N('Dvd Calendar'!$AN$1292)=0,"",IF(('Dvd Calendar'!$AN$1292&gt;=GRID_FROM)*('Dvd Calendar'!$AN$1292&lt;=GRID_TO)*('Dvd Calendar'!$AN$1292&lt;=VAL_DATE)=0,"",'Dvd Calendar'!$AN$1292*1000000000+ISNUMBER('Dvd Calendar'!$AN$1295)*100000000+('Dvd Calendar'!$AN$1297=SPECIAL_LBL)*10000000+0*1000000+17*1000+36))</f>
        <v/>
      </c>
      <c r="FO132" s="35">
        <f>IF(N('Dvd Calendar'!$AO$1292)=0,"",IF(('Dvd Calendar'!$AO$1292&gt;=GRID_FROM)*('Dvd Calendar'!$AO$1292&lt;=GRID_TO)*('Dvd Calendar'!$AO$1292&lt;=VAL_DATE)=0,"",'Dvd Calendar'!$AO$1292*1000000000+ISNUMBER('Dvd Calendar'!$AO$1295)*100000000+('Dvd Calendar'!$AO$1297=SPECIAL_LBL)*10000000+0*1000000+17*1000+37))</f>
        <v/>
      </c>
      <c r="FP132" s="35">
        <f>IF(N('Dvd Calendar'!$AP$1292)=0,"",IF(('Dvd Calendar'!$AP$1292&gt;=GRID_FROM)*('Dvd Calendar'!$AP$1292&lt;=GRID_TO)*('Dvd Calendar'!$AP$1292&lt;=VAL_DATE)=0,"",'Dvd Calendar'!$AP$1292*1000000000+ISNUMBER('Dvd Calendar'!$AP$1295)*100000000+('Dvd Calendar'!$AP$1297=SPECIAL_LBL)*10000000+0*1000000+17*1000+38))</f>
        <v/>
      </c>
      <c r="FQ132" s="35">
        <f>IF(N('Dvd Calendar'!$AQ$1292)=0,"",IF(('Dvd Calendar'!$AQ$1292&gt;=GRID_FROM)*('Dvd Calendar'!$AQ$1292&lt;=GRID_TO)*('Dvd Calendar'!$AQ$1292&lt;=VAL_DATE)=0,"",'Dvd Calendar'!$AQ$1292*1000000000+ISNUMBER('Dvd Calendar'!$AQ$1295)*100000000+('Dvd Calendar'!$AQ$1297=SPECIAL_LBL)*10000000+0*1000000+17*1000+39))</f>
        <v/>
      </c>
      <c r="FR132" s="35">
        <f>IF(N('Dvd Calendar'!$AR$1292)=0,"",IF(('Dvd Calendar'!$AR$1292&gt;=GRID_FROM)*('Dvd Calendar'!$AR$1292&lt;=GRID_TO)*('Dvd Calendar'!$AR$1292&lt;=VAL_DATE)=0,"",'Dvd Calendar'!$AR$1292*1000000000+ISNUMBER('Dvd Calendar'!$AR$1295)*100000000+('Dvd Calendar'!$AR$1297=SPECIAL_LBL)*10000000+0*1000000+17*1000+40))</f>
        <v/>
      </c>
      <c r="FS132" s="35">
        <f>IF(N('Dvd Calendar'!$E$1299)=0,"",IF(('Dvd Calendar'!$E$1299&gt;=GRID_FROM)*('Dvd Calendar'!$E$1299&lt;=GRID_TO)*('Dvd Calendar'!$E$1299&gt;VAL_DATE)=0,"",'Dvd Calendar'!$E$1299*1000000000+ISNUMBER('Dvd Calendar'!$E$1300)*100000000+0*10000000+(N('Dvd Calendar'!$E$1298)&gt;0)*(N('Dvd Calendar'!$E$1298)&lt;=VAL_SERIAL)*1000000+17*1000+41))</f>
        <v/>
      </c>
      <c r="FT132" s="35">
        <f>IF(N('Dvd Calendar'!$F$1299)=0,"",IF(('Dvd Calendar'!$F$1299&gt;=GRID_FROM)*('Dvd Calendar'!$F$1299&lt;=GRID_TO)*('Dvd Calendar'!$F$1299&gt;VAL_DATE)=0,"",'Dvd Calendar'!$F$1299*1000000000+ISNUMBER('Dvd Calendar'!$F$1300)*100000000+0*10000000+(N('Dvd Calendar'!$F$1298)&gt;0)*(N('Dvd Calendar'!$F$1298)&lt;=VAL_SERIAL)*1000000+17*1000+42))</f>
        <v/>
      </c>
      <c r="FU132" s="35">
        <f>IF(N('Dvd Calendar'!$G$1299)=0,"",IF(('Dvd Calendar'!$G$1299&gt;=GRID_FROM)*('Dvd Calendar'!$G$1299&lt;=GRID_TO)*('Dvd Calendar'!$G$1299&gt;VAL_DATE)=0,"",'Dvd Calendar'!$G$1299*1000000000+ISNUMBER('Dvd Calendar'!$G$1300)*100000000+0*10000000+(N('Dvd Calendar'!$G$1298)&gt;0)*(N('Dvd Calendar'!$G$1298)&lt;=VAL_SERIAL)*1000000+17*1000+43))</f>
        <v/>
      </c>
      <c r="FV132" s="35">
        <f>IF(N('Dvd Calendar'!$H$1299)=0,"",IF(('Dvd Calendar'!$H$1299&gt;=GRID_FROM)*('Dvd Calendar'!$H$1299&lt;=GRID_TO)*('Dvd Calendar'!$H$1299&gt;VAL_DATE)=0,"",'Dvd Calendar'!$H$1299*1000000000+ISNUMBER('Dvd Calendar'!$H$1300)*100000000+0*10000000+(N('Dvd Calendar'!$H$1298)&gt;0)*(N('Dvd Calendar'!$H$1298)&lt;=VAL_SERIAL)*1000000+17*1000+44))</f>
        <v/>
      </c>
      <c r="FW132" s="35">
        <f>IF(N('Dvd Calendar'!$I$1299)=0,"",IF(('Dvd Calendar'!$I$1299&gt;=GRID_FROM)*('Dvd Calendar'!$I$1299&lt;=GRID_TO)*('Dvd Calendar'!$I$1299&gt;VAL_DATE)=0,"",'Dvd Calendar'!$I$1299*1000000000+ISNUMBER('Dvd Calendar'!$I$1300)*100000000+0*10000000+(N('Dvd Calendar'!$I$1298)&gt;0)*(N('Dvd Calendar'!$I$1298)&lt;=VAL_SERIAL)*1000000+17*1000+45))</f>
        <v/>
      </c>
      <c r="FX132" s="35">
        <f>IF(N('Dvd Calendar'!$J$1299)=0,"",IF(('Dvd Calendar'!$J$1299&gt;=GRID_FROM)*('Dvd Calendar'!$J$1299&lt;=GRID_TO)*('Dvd Calendar'!$J$1299&gt;VAL_DATE)=0,"",'Dvd Calendar'!$J$1299*1000000000+ISNUMBER('Dvd Calendar'!$J$1300)*100000000+0*10000000+(N('Dvd Calendar'!$J$1298)&gt;0)*(N('Dvd Calendar'!$J$1298)&lt;=VAL_SERIAL)*1000000+17*1000+46))</f>
        <v/>
      </c>
      <c r="FY132" s="35">
        <f>IF(N('Dvd Calendar'!$K$1299)=0,"",IF(('Dvd Calendar'!$K$1299&gt;=GRID_FROM)*('Dvd Calendar'!$K$1299&lt;=GRID_TO)*('Dvd Calendar'!$K$1299&gt;VAL_DATE)=0,"",'Dvd Calendar'!$K$1299*1000000000+ISNUMBER('Dvd Calendar'!$K$1300)*100000000+0*10000000+(N('Dvd Calendar'!$K$1298)&gt;0)*(N('Dvd Calendar'!$K$1298)&lt;=VAL_SERIAL)*1000000+17*1000+47))</f>
        <v/>
      </c>
      <c r="FZ132" s="35">
        <f>IF(N('Dvd Calendar'!$L$1299)=0,"",IF(('Dvd Calendar'!$L$1299&gt;=GRID_FROM)*('Dvd Calendar'!$L$1299&lt;=GRID_TO)*('Dvd Calendar'!$L$1299&gt;VAL_DATE)=0,"",'Dvd Calendar'!$L$1299*1000000000+ISNUMBER('Dvd Calendar'!$L$1300)*100000000+0*10000000+(N('Dvd Calendar'!$L$1298)&gt;0)*(N('Dvd Calendar'!$L$1298)&lt;=VAL_SERIAL)*1000000+17*1000+48))</f>
        <v/>
      </c>
      <c r="GA132" s="35">
        <f>IF(N('Dvd Calendar'!$M$1299)=0,"",IF(('Dvd Calendar'!$M$1299&gt;=GRID_FROM)*('Dvd Calendar'!$M$1299&lt;=GRID_TO)*('Dvd Calendar'!$M$1299&gt;VAL_DATE)=0,"",'Dvd Calendar'!$M$1299*1000000000+ISNUMBER('Dvd Calendar'!$M$1300)*100000000+0*10000000+(N('Dvd Calendar'!$M$1298)&gt;0)*(N('Dvd Calendar'!$M$1298)&lt;=VAL_SERIAL)*1000000+17*1000+49))</f>
        <v/>
      </c>
      <c r="GB132" s="35">
        <f>IF(N('Dvd Calendar'!$N$1299)=0,"",IF(('Dvd Calendar'!$N$1299&gt;=GRID_FROM)*('Dvd Calendar'!$N$1299&lt;=GRID_TO)*('Dvd Calendar'!$N$1299&gt;VAL_DATE)=0,"",'Dvd Calendar'!$N$1299*1000000000+ISNUMBER('Dvd Calendar'!$N$1300)*100000000+0*10000000+(N('Dvd Calendar'!$N$1298)&gt;0)*(N('Dvd Calendar'!$N$1298)&lt;=VAL_SERIAL)*1000000+17*1000+50))</f>
        <v/>
      </c>
      <c r="GC132" s="35">
        <f>IF(N('Dvd Calendar'!$O$1299)=0,"",IF(('Dvd Calendar'!$O$1299&gt;=GRID_FROM)*('Dvd Calendar'!$O$1299&lt;=GRID_TO)*('Dvd Calendar'!$O$1299&gt;VAL_DATE)=0,"",'Dvd Calendar'!$O$1299*1000000000+ISNUMBER('Dvd Calendar'!$O$1300)*100000000+0*10000000+(N('Dvd Calendar'!$O$1298)&gt;0)*(N('Dvd Calendar'!$O$1298)&lt;=VAL_SERIAL)*1000000+17*1000+51))</f>
        <v/>
      </c>
      <c r="GD132" s="35">
        <f>IF(N('Dvd Calendar'!$P$1299)=0,"",IF(('Dvd Calendar'!$P$1299&gt;=GRID_FROM)*('Dvd Calendar'!$P$1299&lt;=GRID_TO)*('Dvd Calendar'!$P$1299&gt;VAL_DATE)=0,"",'Dvd Calendar'!$P$1299*1000000000+ISNUMBER('Dvd Calendar'!$P$1300)*100000000+0*10000000+(N('Dvd Calendar'!$P$1298)&gt;0)*(N('Dvd Calendar'!$P$1298)&lt;=VAL_SERIAL)*1000000+17*1000+52))</f>
        <v/>
      </c>
      <c r="GE132" s="35">
        <f>IF(N('Dvd Calendar'!$Q$1299)=0,"",IF(('Dvd Calendar'!$Q$1299&gt;=GRID_FROM)*('Dvd Calendar'!$Q$1299&lt;=GRID_TO)*('Dvd Calendar'!$Q$1299&gt;VAL_DATE)=0,"",'Dvd Calendar'!$Q$1299*1000000000+ISNUMBER('Dvd Calendar'!$Q$1300)*100000000+0*10000000+(N('Dvd Calendar'!$Q$1298)&gt;0)*(N('Dvd Calendar'!$Q$1298)&lt;=VAL_SERIAL)*1000000+17*1000+53))</f>
        <v/>
      </c>
      <c r="GF132" s="35">
        <f>IF(N('Dvd Calendar'!$R$1299)=0,"",IF(('Dvd Calendar'!$R$1299&gt;=GRID_FROM)*('Dvd Calendar'!$R$1299&lt;=GRID_TO)*('Dvd Calendar'!$R$1299&gt;VAL_DATE)=0,"",'Dvd Calendar'!$R$1299*1000000000+ISNUMBER('Dvd Calendar'!$R$1300)*100000000+0*10000000+(N('Dvd Calendar'!$R$1298)&gt;0)*(N('Dvd Calendar'!$R$1298)&lt;=VAL_SERIAL)*1000000+17*1000+54))</f>
        <v/>
      </c>
      <c r="GG132" s="35">
        <f>IF(N('Dvd Calendar'!$S$1299)=0,"",IF(('Dvd Calendar'!$S$1299&gt;=GRID_FROM)*('Dvd Calendar'!$S$1299&lt;=GRID_TO)*('Dvd Calendar'!$S$1299&gt;VAL_DATE)=0,"",'Dvd Calendar'!$S$1299*1000000000+ISNUMBER('Dvd Calendar'!$S$1300)*100000000+0*10000000+(N('Dvd Calendar'!$S$1298)&gt;0)*(N('Dvd Calendar'!$S$1298)&lt;=VAL_SERIAL)*1000000+17*1000+55))</f>
        <v/>
      </c>
      <c r="GH132" s="35">
        <f>IF(N('Dvd Calendar'!$T$1299)=0,"",IF(('Dvd Calendar'!$T$1299&gt;=GRID_FROM)*('Dvd Calendar'!$T$1299&lt;=GRID_TO)*('Dvd Calendar'!$T$1299&gt;VAL_DATE)=0,"",'Dvd Calendar'!$T$1299*1000000000+ISNUMBER('Dvd Calendar'!$T$1300)*100000000+0*10000000+(N('Dvd Calendar'!$T$1298)&gt;0)*(N('Dvd Calendar'!$T$1298)&lt;=VAL_SERIAL)*1000000+17*1000+56))</f>
        <v/>
      </c>
      <c r="GI132" s="35">
        <f>IF(N('Dvd Calendar'!$U$1299)=0,"",IF(('Dvd Calendar'!$U$1299&gt;=GRID_FROM)*('Dvd Calendar'!$U$1299&lt;=GRID_TO)*('Dvd Calendar'!$U$1299&gt;VAL_DATE)=0,"",'Dvd Calendar'!$U$1299*1000000000+ISNUMBER('Dvd Calendar'!$U$1300)*100000000+0*10000000+(N('Dvd Calendar'!$U$1298)&gt;0)*(N('Dvd Calendar'!$U$1298)&lt;=VAL_SERIAL)*1000000+17*1000+57))</f>
        <v/>
      </c>
      <c r="GJ132" s="35">
        <f>IF(N('Dvd Calendar'!$V$1299)=0,"",IF(('Dvd Calendar'!$V$1299&gt;=GRID_FROM)*('Dvd Calendar'!$V$1299&lt;=GRID_TO)*('Dvd Calendar'!$V$1299&gt;VAL_DATE)=0,"",'Dvd Calendar'!$V$1299*1000000000+ISNUMBER('Dvd Calendar'!$V$1300)*100000000+0*10000000+(N('Dvd Calendar'!$V$1298)&gt;0)*(N('Dvd Calendar'!$V$1298)&lt;=VAL_SERIAL)*1000000+17*1000+58))</f>
        <v/>
      </c>
      <c r="GK132" s="35">
        <f>IF(N('Dvd Calendar'!$W$1299)=0,"",IF(('Dvd Calendar'!$W$1299&gt;=GRID_FROM)*('Dvd Calendar'!$W$1299&lt;=GRID_TO)*('Dvd Calendar'!$W$1299&gt;VAL_DATE)=0,"",'Dvd Calendar'!$W$1299*1000000000+ISNUMBER('Dvd Calendar'!$W$1300)*100000000+0*10000000+(N('Dvd Calendar'!$W$1298)&gt;0)*(N('Dvd Calendar'!$W$1298)&lt;=VAL_SERIAL)*1000000+17*1000+59))</f>
        <v/>
      </c>
      <c r="GL132" s="35">
        <f>IF(N('Dvd Calendar'!$X$1299)=0,"",IF(('Dvd Calendar'!$X$1299&gt;=GRID_FROM)*('Dvd Calendar'!$X$1299&lt;=GRID_TO)*('Dvd Calendar'!$X$1299&gt;VAL_DATE)=0,"",'Dvd Calendar'!$X$1299*1000000000+ISNUMBER('Dvd Calendar'!$X$1300)*100000000+0*10000000+(N('Dvd Calendar'!$X$1298)&gt;0)*(N('Dvd Calendar'!$X$1298)&lt;=VAL_SERIAL)*1000000+17*1000+60))</f>
        <v/>
      </c>
      <c r="GM132" s="35">
        <f>IF(N('Dvd Calendar'!$Y$1299)=0,"",IF(('Dvd Calendar'!$Y$1299&gt;=GRID_FROM)*('Dvd Calendar'!$Y$1299&lt;=GRID_TO)*('Dvd Calendar'!$Y$1299&gt;VAL_DATE)=0,"",'Dvd Calendar'!$Y$1299*1000000000+ISNUMBER('Dvd Calendar'!$Y$1300)*100000000+0*10000000+(N('Dvd Calendar'!$Y$1298)&gt;0)*(N('Dvd Calendar'!$Y$1298)&lt;=VAL_SERIAL)*1000000+17*1000+61))</f>
        <v/>
      </c>
      <c r="GN132" s="35">
        <f>IF(N('Dvd Calendar'!$Z$1299)=0,"",IF(('Dvd Calendar'!$Z$1299&gt;=GRID_FROM)*('Dvd Calendar'!$Z$1299&lt;=GRID_TO)*('Dvd Calendar'!$Z$1299&gt;VAL_DATE)=0,"",'Dvd Calendar'!$Z$1299*1000000000+ISNUMBER('Dvd Calendar'!$Z$1300)*100000000+0*10000000+(N('Dvd Calendar'!$Z$1298)&gt;0)*(N('Dvd Calendar'!$Z$1298)&lt;=VAL_SERIAL)*1000000+17*1000+62))</f>
        <v/>
      </c>
      <c r="GO132" s="35">
        <f>IF(N('Dvd Calendar'!$AA$1299)=0,"",IF(('Dvd Calendar'!$AA$1299&gt;=GRID_FROM)*('Dvd Calendar'!$AA$1299&lt;=GRID_TO)*('Dvd Calendar'!$AA$1299&gt;VAL_DATE)=0,"",'Dvd Calendar'!$AA$1299*1000000000+ISNUMBER('Dvd Calendar'!$AA$1300)*100000000+0*10000000+(N('Dvd Calendar'!$AA$1298)&gt;0)*(N('Dvd Calendar'!$AA$1298)&lt;=VAL_SERIAL)*1000000+17*1000+63))</f>
        <v/>
      </c>
      <c r="GP132" s="35">
        <f>IF(N('Dvd Calendar'!$AB$1299)=0,"",IF(('Dvd Calendar'!$AB$1299&gt;=GRID_FROM)*('Dvd Calendar'!$AB$1299&lt;=GRID_TO)*('Dvd Calendar'!$AB$1299&gt;VAL_DATE)=0,"",'Dvd Calendar'!$AB$1299*1000000000+ISNUMBER('Dvd Calendar'!$AB$1300)*100000000+0*10000000+(N('Dvd Calendar'!$AB$1298)&gt;0)*(N('Dvd Calendar'!$AB$1298)&lt;=VAL_SERIAL)*1000000+17*1000+64))</f>
        <v/>
      </c>
      <c r="GQ132" s="35">
        <f>IF(N('Dvd Calendar'!$AC$1299)=0,"",IF(('Dvd Calendar'!$AC$1299&gt;=GRID_FROM)*('Dvd Calendar'!$AC$1299&lt;=GRID_TO)*('Dvd Calendar'!$AC$1299&gt;VAL_DATE)=0,"",'Dvd Calendar'!$AC$1299*1000000000+ISNUMBER('Dvd Calendar'!$AC$1300)*100000000+0*10000000+(N('Dvd Calendar'!$AC$1298)&gt;0)*(N('Dvd Calendar'!$AC$1298)&lt;=VAL_SERIAL)*1000000+17*1000+65))</f>
        <v/>
      </c>
    </row>
    <row r="133">
      <c r="B133" s="2">
        <f>IF(HSTECH!$C$24="","",HSTECH!$C$24)</f>
        <v/>
      </c>
      <c r="C133" s="106">
        <f>IF(EE133="","",IF(ISNUMBER('Dvd Calendar'!$E$1306)=FALSE,"",IF((('Dvd Calendar'!$E$1308=TYPE1)*(TYPE1&lt;&gt;"")+('Dvd Calendar'!$E$1308=TYPE2)*(TYPE2&lt;&gt;"")+('Dvd Calendar'!$E$1308=TYPE3)*(TYPE3&lt;&gt;"")+('Dvd Calendar'!$E$1308=TYPE4)*(TYPE4&lt;&gt;"")+('Dvd Calendar'!$E$1308=SPECIAL_LBL)*(INC_SPECIALS="Y"))=0,"",'Dvd Calendar'!$E$1306)))</f>
        <v/>
      </c>
      <c r="D133" s="106">
        <f>IF(EF133="","",IF(ISNUMBER('Dvd Calendar'!$F$1306)=FALSE,"",IF((('Dvd Calendar'!$F$1308=TYPE1)*(TYPE1&lt;&gt;"")+('Dvd Calendar'!$F$1308=TYPE2)*(TYPE2&lt;&gt;"")+('Dvd Calendar'!$F$1308=TYPE3)*(TYPE3&lt;&gt;"")+('Dvd Calendar'!$F$1308=TYPE4)*(TYPE4&lt;&gt;"")+('Dvd Calendar'!$F$1308=SPECIAL_LBL)*(INC_SPECIALS="Y"))=0,"",'Dvd Calendar'!$F$1306)))</f>
        <v/>
      </c>
      <c r="E133" s="106">
        <f>IF(EG133="","",IF(ISNUMBER('Dvd Calendar'!$G$1306)=FALSE,"",IF((('Dvd Calendar'!$G$1308=TYPE1)*(TYPE1&lt;&gt;"")+('Dvd Calendar'!$G$1308=TYPE2)*(TYPE2&lt;&gt;"")+('Dvd Calendar'!$G$1308=TYPE3)*(TYPE3&lt;&gt;"")+('Dvd Calendar'!$G$1308=TYPE4)*(TYPE4&lt;&gt;"")+('Dvd Calendar'!$G$1308=SPECIAL_LBL)*(INC_SPECIALS="Y"))=0,"",'Dvd Calendar'!$G$1306)))</f>
        <v/>
      </c>
      <c r="F133" s="106">
        <f>IF(EH133="","",IF(ISNUMBER('Dvd Calendar'!$H$1306)=FALSE,"",IF((('Dvd Calendar'!$H$1308=TYPE1)*(TYPE1&lt;&gt;"")+('Dvd Calendar'!$H$1308=TYPE2)*(TYPE2&lt;&gt;"")+('Dvd Calendar'!$H$1308=TYPE3)*(TYPE3&lt;&gt;"")+('Dvd Calendar'!$H$1308=TYPE4)*(TYPE4&lt;&gt;"")+('Dvd Calendar'!$H$1308=SPECIAL_LBL)*(INC_SPECIALS="Y"))=0,"",'Dvd Calendar'!$H$1306)))</f>
        <v/>
      </c>
      <c r="G133" s="106">
        <f>IF(EI133="","",IF(ISNUMBER('Dvd Calendar'!$I$1306)=FALSE,"",IF((('Dvd Calendar'!$I$1308=TYPE1)*(TYPE1&lt;&gt;"")+('Dvd Calendar'!$I$1308=TYPE2)*(TYPE2&lt;&gt;"")+('Dvd Calendar'!$I$1308=TYPE3)*(TYPE3&lt;&gt;"")+('Dvd Calendar'!$I$1308=TYPE4)*(TYPE4&lt;&gt;"")+('Dvd Calendar'!$I$1308=SPECIAL_LBL)*(INC_SPECIALS="Y"))=0,"",'Dvd Calendar'!$I$1306)))</f>
        <v/>
      </c>
      <c r="H133" s="106">
        <f>IF(EJ133="","",IF(ISNUMBER('Dvd Calendar'!$J$1306)=FALSE,"",IF((('Dvd Calendar'!$J$1308=TYPE1)*(TYPE1&lt;&gt;"")+('Dvd Calendar'!$J$1308=TYPE2)*(TYPE2&lt;&gt;"")+('Dvd Calendar'!$J$1308=TYPE3)*(TYPE3&lt;&gt;"")+('Dvd Calendar'!$J$1308=TYPE4)*(TYPE4&lt;&gt;"")+('Dvd Calendar'!$J$1308=SPECIAL_LBL)*(INC_SPECIALS="Y"))=0,"",'Dvd Calendar'!$J$1306)))</f>
        <v/>
      </c>
      <c r="I133" s="106">
        <f>IF(EK133="","",IF(ISNUMBER('Dvd Calendar'!$K$1306)=FALSE,"",IF((('Dvd Calendar'!$K$1308=TYPE1)*(TYPE1&lt;&gt;"")+('Dvd Calendar'!$K$1308=TYPE2)*(TYPE2&lt;&gt;"")+('Dvd Calendar'!$K$1308=TYPE3)*(TYPE3&lt;&gt;"")+('Dvd Calendar'!$K$1308=TYPE4)*(TYPE4&lt;&gt;"")+('Dvd Calendar'!$K$1308=SPECIAL_LBL)*(INC_SPECIALS="Y"))=0,"",'Dvd Calendar'!$K$1306)))</f>
        <v/>
      </c>
      <c r="J133" s="106">
        <f>IF(EL133="","",IF(ISNUMBER('Dvd Calendar'!$L$1306)=FALSE,"",IF((('Dvd Calendar'!$L$1308=TYPE1)*(TYPE1&lt;&gt;"")+('Dvd Calendar'!$L$1308=TYPE2)*(TYPE2&lt;&gt;"")+('Dvd Calendar'!$L$1308=TYPE3)*(TYPE3&lt;&gt;"")+('Dvd Calendar'!$L$1308=TYPE4)*(TYPE4&lt;&gt;"")+('Dvd Calendar'!$L$1308=SPECIAL_LBL)*(INC_SPECIALS="Y"))=0,"",'Dvd Calendar'!$L$1306)))</f>
        <v/>
      </c>
      <c r="K133" s="106">
        <f>IF(EM133="","",IF(ISNUMBER('Dvd Calendar'!$M$1306)=FALSE,"",IF((('Dvd Calendar'!$M$1308=TYPE1)*(TYPE1&lt;&gt;"")+('Dvd Calendar'!$M$1308=TYPE2)*(TYPE2&lt;&gt;"")+('Dvd Calendar'!$M$1308=TYPE3)*(TYPE3&lt;&gt;"")+('Dvd Calendar'!$M$1308=TYPE4)*(TYPE4&lt;&gt;"")+('Dvd Calendar'!$M$1308=SPECIAL_LBL)*(INC_SPECIALS="Y"))=0,"",'Dvd Calendar'!$M$1306)))</f>
        <v/>
      </c>
      <c r="L133" s="106">
        <f>IF(EN133="","",IF(ISNUMBER('Dvd Calendar'!$N$1306)=FALSE,"",IF((('Dvd Calendar'!$N$1308=TYPE1)*(TYPE1&lt;&gt;"")+('Dvd Calendar'!$N$1308=TYPE2)*(TYPE2&lt;&gt;"")+('Dvd Calendar'!$N$1308=TYPE3)*(TYPE3&lt;&gt;"")+('Dvd Calendar'!$N$1308=TYPE4)*(TYPE4&lt;&gt;"")+('Dvd Calendar'!$N$1308=SPECIAL_LBL)*(INC_SPECIALS="Y"))=0,"",'Dvd Calendar'!$N$1306)))</f>
        <v/>
      </c>
      <c r="M133" s="106">
        <f>IF(EO133="","",IF(ISNUMBER('Dvd Calendar'!$O$1306)=FALSE,"",IF((('Dvd Calendar'!$O$1308=TYPE1)*(TYPE1&lt;&gt;"")+('Dvd Calendar'!$O$1308=TYPE2)*(TYPE2&lt;&gt;"")+('Dvd Calendar'!$O$1308=TYPE3)*(TYPE3&lt;&gt;"")+('Dvd Calendar'!$O$1308=TYPE4)*(TYPE4&lt;&gt;"")+('Dvd Calendar'!$O$1308=SPECIAL_LBL)*(INC_SPECIALS="Y"))=0,"",'Dvd Calendar'!$O$1306)))</f>
        <v/>
      </c>
      <c r="N133" s="106">
        <f>IF(EP133="","",IF(ISNUMBER('Dvd Calendar'!$P$1306)=FALSE,"",IF((('Dvd Calendar'!$P$1308=TYPE1)*(TYPE1&lt;&gt;"")+('Dvd Calendar'!$P$1308=TYPE2)*(TYPE2&lt;&gt;"")+('Dvd Calendar'!$P$1308=TYPE3)*(TYPE3&lt;&gt;"")+('Dvd Calendar'!$P$1308=TYPE4)*(TYPE4&lt;&gt;"")+('Dvd Calendar'!$P$1308=SPECIAL_LBL)*(INC_SPECIALS="Y"))=0,"",'Dvd Calendar'!$P$1306)))</f>
        <v/>
      </c>
      <c r="O133" s="106">
        <f>IF(EQ133="","",IF(ISNUMBER('Dvd Calendar'!$Q$1306)=FALSE,"",IF((('Dvd Calendar'!$Q$1308=TYPE1)*(TYPE1&lt;&gt;"")+('Dvd Calendar'!$Q$1308=TYPE2)*(TYPE2&lt;&gt;"")+('Dvd Calendar'!$Q$1308=TYPE3)*(TYPE3&lt;&gt;"")+('Dvd Calendar'!$Q$1308=TYPE4)*(TYPE4&lt;&gt;"")+('Dvd Calendar'!$Q$1308=SPECIAL_LBL)*(INC_SPECIALS="Y"))=0,"",'Dvd Calendar'!$Q$1306)))</f>
        <v/>
      </c>
      <c r="P133" s="106">
        <f>IF(ER133="","",IF(ISNUMBER('Dvd Calendar'!$R$1306)=FALSE,"",IF((('Dvd Calendar'!$R$1308=TYPE1)*(TYPE1&lt;&gt;"")+('Dvd Calendar'!$R$1308=TYPE2)*(TYPE2&lt;&gt;"")+('Dvd Calendar'!$R$1308=TYPE3)*(TYPE3&lt;&gt;"")+('Dvd Calendar'!$R$1308=TYPE4)*(TYPE4&lt;&gt;"")+('Dvd Calendar'!$R$1308=SPECIAL_LBL)*(INC_SPECIALS="Y"))=0,"",'Dvd Calendar'!$R$1306)))</f>
        <v/>
      </c>
      <c r="Q133" s="106">
        <f>IF(ES133="","",IF(ISNUMBER('Dvd Calendar'!$S$1306)=FALSE,"",IF((('Dvd Calendar'!$S$1308=TYPE1)*(TYPE1&lt;&gt;"")+('Dvd Calendar'!$S$1308=TYPE2)*(TYPE2&lt;&gt;"")+('Dvd Calendar'!$S$1308=TYPE3)*(TYPE3&lt;&gt;"")+('Dvd Calendar'!$S$1308=TYPE4)*(TYPE4&lt;&gt;"")+('Dvd Calendar'!$S$1308=SPECIAL_LBL)*(INC_SPECIALS="Y"))=0,"",'Dvd Calendar'!$S$1306)))</f>
        <v/>
      </c>
      <c r="R133" s="106">
        <f>IF(ET133="","",IF(ISNUMBER('Dvd Calendar'!$T$1306)=FALSE,"",IF((('Dvd Calendar'!$T$1308=TYPE1)*(TYPE1&lt;&gt;"")+('Dvd Calendar'!$T$1308=TYPE2)*(TYPE2&lt;&gt;"")+('Dvd Calendar'!$T$1308=TYPE3)*(TYPE3&lt;&gt;"")+('Dvd Calendar'!$T$1308=TYPE4)*(TYPE4&lt;&gt;"")+('Dvd Calendar'!$T$1308=SPECIAL_LBL)*(INC_SPECIALS="Y"))=0,"",'Dvd Calendar'!$T$1306)))</f>
        <v/>
      </c>
      <c r="S133" s="106">
        <f>IF(EU133="","",IF(ISNUMBER('Dvd Calendar'!$U$1306)=FALSE,"",IF((('Dvd Calendar'!$U$1308=TYPE1)*(TYPE1&lt;&gt;"")+('Dvd Calendar'!$U$1308=TYPE2)*(TYPE2&lt;&gt;"")+('Dvd Calendar'!$U$1308=TYPE3)*(TYPE3&lt;&gt;"")+('Dvd Calendar'!$U$1308=TYPE4)*(TYPE4&lt;&gt;"")+('Dvd Calendar'!$U$1308=SPECIAL_LBL)*(INC_SPECIALS="Y"))=0,"",'Dvd Calendar'!$U$1306)))</f>
        <v/>
      </c>
      <c r="T133" s="106">
        <f>IF(EV133="","",IF(ISNUMBER('Dvd Calendar'!$V$1306)=FALSE,"",IF((('Dvd Calendar'!$V$1308=TYPE1)*(TYPE1&lt;&gt;"")+('Dvd Calendar'!$V$1308=TYPE2)*(TYPE2&lt;&gt;"")+('Dvd Calendar'!$V$1308=TYPE3)*(TYPE3&lt;&gt;"")+('Dvd Calendar'!$V$1308=TYPE4)*(TYPE4&lt;&gt;"")+('Dvd Calendar'!$V$1308=SPECIAL_LBL)*(INC_SPECIALS="Y"))=0,"",'Dvd Calendar'!$V$1306)))</f>
        <v/>
      </c>
      <c r="U133" s="106">
        <f>IF(EW133="","",IF(ISNUMBER('Dvd Calendar'!$W$1306)=FALSE,"",IF((('Dvd Calendar'!$W$1308=TYPE1)*(TYPE1&lt;&gt;"")+('Dvd Calendar'!$W$1308=TYPE2)*(TYPE2&lt;&gt;"")+('Dvd Calendar'!$W$1308=TYPE3)*(TYPE3&lt;&gt;"")+('Dvd Calendar'!$W$1308=TYPE4)*(TYPE4&lt;&gt;"")+('Dvd Calendar'!$W$1308=SPECIAL_LBL)*(INC_SPECIALS="Y"))=0,"",'Dvd Calendar'!$W$1306)))</f>
        <v/>
      </c>
      <c r="V133" s="106">
        <f>IF(EX133="","",IF(ISNUMBER('Dvd Calendar'!$X$1306)=FALSE,"",IF((('Dvd Calendar'!$X$1308=TYPE1)*(TYPE1&lt;&gt;"")+('Dvd Calendar'!$X$1308=TYPE2)*(TYPE2&lt;&gt;"")+('Dvd Calendar'!$X$1308=TYPE3)*(TYPE3&lt;&gt;"")+('Dvd Calendar'!$X$1308=TYPE4)*(TYPE4&lt;&gt;"")+('Dvd Calendar'!$X$1308=SPECIAL_LBL)*(INC_SPECIALS="Y"))=0,"",'Dvd Calendar'!$X$1306)))</f>
        <v/>
      </c>
      <c r="W133" s="106">
        <f>IF(EY133="","",IF(ISNUMBER('Dvd Calendar'!$Y$1306)=FALSE,"",IF((('Dvd Calendar'!$Y$1308=TYPE1)*(TYPE1&lt;&gt;"")+('Dvd Calendar'!$Y$1308=TYPE2)*(TYPE2&lt;&gt;"")+('Dvd Calendar'!$Y$1308=TYPE3)*(TYPE3&lt;&gt;"")+('Dvd Calendar'!$Y$1308=TYPE4)*(TYPE4&lt;&gt;"")+('Dvd Calendar'!$Y$1308=SPECIAL_LBL)*(INC_SPECIALS="Y"))=0,"",'Dvd Calendar'!$Y$1306)))</f>
        <v/>
      </c>
      <c r="X133" s="106">
        <f>IF(EZ133="","",IF(ISNUMBER('Dvd Calendar'!$Z$1306)=FALSE,"",IF((('Dvd Calendar'!$Z$1308=TYPE1)*(TYPE1&lt;&gt;"")+('Dvd Calendar'!$Z$1308=TYPE2)*(TYPE2&lt;&gt;"")+('Dvd Calendar'!$Z$1308=TYPE3)*(TYPE3&lt;&gt;"")+('Dvd Calendar'!$Z$1308=TYPE4)*(TYPE4&lt;&gt;"")+('Dvd Calendar'!$Z$1308=SPECIAL_LBL)*(INC_SPECIALS="Y"))=0,"",'Dvd Calendar'!$Z$1306)))</f>
        <v/>
      </c>
      <c r="Y133" s="106">
        <f>IF(FA133="","",IF(ISNUMBER('Dvd Calendar'!$AA$1306)=FALSE,"",IF((('Dvd Calendar'!$AA$1308=TYPE1)*(TYPE1&lt;&gt;"")+('Dvd Calendar'!$AA$1308=TYPE2)*(TYPE2&lt;&gt;"")+('Dvd Calendar'!$AA$1308=TYPE3)*(TYPE3&lt;&gt;"")+('Dvd Calendar'!$AA$1308=TYPE4)*(TYPE4&lt;&gt;"")+('Dvd Calendar'!$AA$1308=SPECIAL_LBL)*(INC_SPECIALS="Y"))=0,"",'Dvd Calendar'!$AA$1306)))</f>
        <v/>
      </c>
      <c r="Z133" s="106">
        <f>IF(FB133="","",IF(ISNUMBER('Dvd Calendar'!$AB$1306)=FALSE,"",IF((('Dvd Calendar'!$AB$1308=TYPE1)*(TYPE1&lt;&gt;"")+('Dvd Calendar'!$AB$1308=TYPE2)*(TYPE2&lt;&gt;"")+('Dvd Calendar'!$AB$1308=TYPE3)*(TYPE3&lt;&gt;"")+('Dvd Calendar'!$AB$1308=TYPE4)*(TYPE4&lt;&gt;"")+('Dvd Calendar'!$AB$1308=SPECIAL_LBL)*(INC_SPECIALS="Y"))=0,"",'Dvd Calendar'!$AB$1306)))</f>
        <v/>
      </c>
      <c r="AA133" s="106">
        <f>IF(FC133="","",IF(ISNUMBER('Dvd Calendar'!$AC$1306)=FALSE,"",IF((('Dvd Calendar'!$AC$1308=TYPE1)*(TYPE1&lt;&gt;"")+('Dvd Calendar'!$AC$1308=TYPE2)*(TYPE2&lt;&gt;"")+('Dvd Calendar'!$AC$1308=TYPE3)*(TYPE3&lt;&gt;"")+('Dvd Calendar'!$AC$1308=TYPE4)*(TYPE4&lt;&gt;"")+('Dvd Calendar'!$AC$1308=SPECIAL_LBL)*(INC_SPECIALS="Y"))=0,"",'Dvd Calendar'!$AC$1306)))</f>
        <v/>
      </c>
      <c r="AB133" s="106">
        <f>IF(FD133="","",IF(ISNUMBER('Dvd Calendar'!$AD$1306)=FALSE,"",IF((('Dvd Calendar'!$AD$1308=TYPE1)*(TYPE1&lt;&gt;"")+('Dvd Calendar'!$AD$1308=TYPE2)*(TYPE2&lt;&gt;"")+('Dvd Calendar'!$AD$1308=TYPE3)*(TYPE3&lt;&gt;"")+('Dvd Calendar'!$AD$1308=TYPE4)*(TYPE4&lt;&gt;"")+('Dvd Calendar'!$AD$1308=SPECIAL_LBL)*(INC_SPECIALS="Y"))=0,"",'Dvd Calendar'!$AD$1306)))</f>
        <v/>
      </c>
      <c r="AC133" s="106">
        <f>IF(FE133="","",IF(ISNUMBER('Dvd Calendar'!$AE$1306)=FALSE,"",IF((('Dvd Calendar'!$AE$1308=TYPE1)*(TYPE1&lt;&gt;"")+('Dvd Calendar'!$AE$1308=TYPE2)*(TYPE2&lt;&gt;"")+('Dvd Calendar'!$AE$1308=TYPE3)*(TYPE3&lt;&gt;"")+('Dvd Calendar'!$AE$1308=TYPE4)*(TYPE4&lt;&gt;"")+('Dvd Calendar'!$AE$1308=SPECIAL_LBL)*(INC_SPECIALS="Y"))=0,"",'Dvd Calendar'!$AE$1306)))</f>
        <v/>
      </c>
      <c r="AD133" s="106">
        <f>IF(FF133="","",IF(ISNUMBER('Dvd Calendar'!$AF$1306)=FALSE,"",IF((('Dvd Calendar'!$AF$1308=TYPE1)*(TYPE1&lt;&gt;"")+('Dvd Calendar'!$AF$1308=TYPE2)*(TYPE2&lt;&gt;"")+('Dvd Calendar'!$AF$1308=TYPE3)*(TYPE3&lt;&gt;"")+('Dvd Calendar'!$AF$1308=TYPE4)*(TYPE4&lt;&gt;"")+('Dvd Calendar'!$AF$1308=SPECIAL_LBL)*(INC_SPECIALS="Y"))=0,"",'Dvd Calendar'!$AF$1306)))</f>
        <v/>
      </c>
      <c r="AE133" s="106">
        <f>IF(FG133="","",IF(ISNUMBER('Dvd Calendar'!$AG$1306)=FALSE,"",IF((('Dvd Calendar'!$AG$1308=TYPE1)*(TYPE1&lt;&gt;"")+('Dvd Calendar'!$AG$1308=TYPE2)*(TYPE2&lt;&gt;"")+('Dvd Calendar'!$AG$1308=TYPE3)*(TYPE3&lt;&gt;"")+('Dvd Calendar'!$AG$1308=TYPE4)*(TYPE4&lt;&gt;"")+('Dvd Calendar'!$AG$1308=SPECIAL_LBL)*(INC_SPECIALS="Y"))=0,"",'Dvd Calendar'!$AG$1306)))</f>
        <v/>
      </c>
      <c r="AF133" s="106">
        <f>IF(FH133="","",IF(ISNUMBER('Dvd Calendar'!$AH$1306)=FALSE,"",IF((('Dvd Calendar'!$AH$1308=TYPE1)*(TYPE1&lt;&gt;"")+('Dvd Calendar'!$AH$1308=TYPE2)*(TYPE2&lt;&gt;"")+('Dvd Calendar'!$AH$1308=TYPE3)*(TYPE3&lt;&gt;"")+('Dvd Calendar'!$AH$1308=TYPE4)*(TYPE4&lt;&gt;"")+('Dvd Calendar'!$AH$1308=SPECIAL_LBL)*(INC_SPECIALS="Y"))=0,"",'Dvd Calendar'!$AH$1306)))</f>
        <v/>
      </c>
      <c r="AG133" s="106">
        <f>IF(FI133="","",IF(ISNUMBER('Dvd Calendar'!$AI$1306)=FALSE,"",IF((('Dvd Calendar'!$AI$1308=TYPE1)*(TYPE1&lt;&gt;"")+('Dvd Calendar'!$AI$1308=TYPE2)*(TYPE2&lt;&gt;"")+('Dvd Calendar'!$AI$1308=TYPE3)*(TYPE3&lt;&gt;"")+('Dvd Calendar'!$AI$1308=TYPE4)*(TYPE4&lt;&gt;"")+('Dvd Calendar'!$AI$1308=SPECIAL_LBL)*(INC_SPECIALS="Y"))=0,"",'Dvd Calendar'!$AI$1306)))</f>
        <v/>
      </c>
      <c r="AH133" s="106">
        <f>IF(FJ133="","",IF(ISNUMBER('Dvd Calendar'!$AJ$1306)=FALSE,"",IF((('Dvd Calendar'!$AJ$1308=TYPE1)*(TYPE1&lt;&gt;"")+('Dvd Calendar'!$AJ$1308=TYPE2)*(TYPE2&lt;&gt;"")+('Dvd Calendar'!$AJ$1308=TYPE3)*(TYPE3&lt;&gt;"")+('Dvd Calendar'!$AJ$1308=TYPE4)*(TYPE4&lt;&gt;"")+('Dvd Calendar'!$AJ$1308=SPECIAL_LBL)*(INC_SPECIALS="Y"))=0,"",'Dvd Calendar'!$AJ$1306)))</f>
        <v/>
      </c>
      <c r="AI133" s="106">
        <f>IF(FK133="","",IF(ISNUMBER('Dvd Calendar'!$AK$1306)=FALSE,"",IF((('Dvd Calendar'!$AK$1308=TYPE1)*(TYPE1&lt;&gt;"")+('Dvd Calendar'!$AK$1308=TYPE2)*(TYPE2&lt;&gt;"")+('Dvd Calendar'!$AK$1308=TYPE3)*(TYPE3&lt;&gt;"")+('Dvd Calendar'!$AK$1308=TYPE4)*(TYPE4&lt;&gt;"")+('Dvd Calendar'!$AK$1308=SPECIAL_LBL)*(INC_SPECIALS="Y"))=0,"",'Dvd Calendar'!$AK$1306)))</f>
        <v/>
      </c>
      <c r="AJ133" s="106">
        <f>IF(FL133="","",IF(ISNUMBER('Dvd Calendar'!$AL$1306)=FALSE,"",IF((('Dvd Calendar'!$AL$1308=TYPE1)*(TYPE1&lt;&gt;"")+('Dvd Calendar'!$AL$1308=TYPE2)*(TYPE2&lt;&gt;"")+('Dvd Calendar'!$AL$1308=TYPE3)*(TYPE3&lt;&gt;"")+('Dvd Calendar'!$AL$1308=TYPE4)*(TYPE4&lt;&gt;"")+('Dvd Calendar'!$AL$1308=SPECIAL_LBL)*(INC_SPECIALS="Y"))=0,"",'Dvd Calendar'!$AL$1306)))</f>
        <v/>
      </c>
      <c r="AK133" s="106">
        <f>IF(FM133="","",IF(ISNUMBER('Dvd Calendar'!$AM$1306)=FALSE,"",IF((('Dvd Calendar'!$AM$1308=TYPE1)*(TYPE1&lt;&gt;"")+('Dvd Calendar'!$AM$1308=TYPE2)*(TYPE2&lt;&gt;"")+('Dvd Calendar'!$AM$1308=TYPE3)*(TYPE3&lt;&gt;"")+('Dvd Calendar'!$AM$1308=TYPE4)*(TYPE4&lt;&gt;"")+('Dvd Calendar'!$AM$1308=SPECIAL_LBL)*(INC_SPECIALS="Y"))=0,"",'Dvd Calendar'!$AM$1306)))</f>
        <v/>
      </c>
      <c r="AL133" s="106">
        <f>IF(FN133="","",IF(ISNUMBER('Dvd Calendar'!$AN$1306)=FALSE,"",IF((('Dvd Calendar'!$AN$1308=TYPE1)*(TYPE1&lt;&gt;"")+('Dvd Calendar'!$AN$1308=TYPE2)*(TYPE2&lt;&gt;"")+('Dvd Calendar'!$AN$1308=TYPE3)*(TYPE3&lt;&gt;"")+('Dvd Calendar'!$AN$1308=TYPE4)*(TYPE4&lt;&gt;"")+('Dvd Calendar'!$AN$1308=SPECIAL_LBL)*(INC_SPECIALS="Y"))=0,"",'Dvd Calendar'!$AN$1306)))</f>
        <v/>
      </c>
      <c r="AM133" s="106">
        <f>IF(FO133="","",IF(ISNUMBER('Dvd Calendar'!$AO$1306)=FALSE,"",IF((('Dvd Calendar'!$AO$1308=TYPE1)*(TYPE1&lt;&gt;"")+('Dvd Calendar'!$AO$1308=TYPE2)*(TYPE2&lt;&gt;"")+('Dvd Calendar'!$AO$1308=TYPE3)*(TYPE3&lt;&gt;"")+('Dvd Calendar'!$AO$1308=TYPE4)*(TYPE4&lt;&gt;"")+('Dvd Calendar'!$AO$1308=SPECIAL_LBL)*(INC_SPECIALS="Y"))=0,"",'Dvd Calendar'!$AO$1306)))</f>
        <v/>
      </c>
      <c r="AN133" s="106">
        <f>IF(FP133="","",IF(ISNUMBER('Dvd Calendar'!$AP$1306)=FALSE,"",IF((('Dvd Calendar'!$AP$1308=TYPE1)*(TYPE1&lt;&gt;"")+('Dvd Calendar'!$AP$1308=TYPE2)*(TYPE2&lt;&gt;"")+('Dvd Calendar'!$AP$1308=TYPE3)*(TYPE3&lt;&gt;"")+('Dvd Calendar'!$AP$1308=TYPE4)*(TYPE4&lt;&gt;"")+('Dvd Calendar'!$AP$1308=SPECIAL_LBL)*(INC_SPECIALS="Y"))=0,"",'Dvd Calendar'!$AP$1306)))</f>
        <v/>
      </c>
      <c r="AO133" s="106">
        <f>IF(FQ133="","",IF(ISNUMBER('Dvd Calendar'!$AQ$1306)=FALSE,"",IF((('Dvd Calendar'!$AQ$1308=TYPE1)*(TYPE1&lt;&gt;"")+('Dvd Calendar'!$AQ$1308=TYPE2)*(TYPE2&lt;&gt;"")+('Dvd Calendar'!$AQ$1308=TYPE3)*(TYPE3&lt;&gt;"")+('Dvd Calendar'!$AQ$1308=TYPE4)*(TYPE4&lt;&gt;"")+('Dvd Calendar'!$AQ$1308=SPECIAL_LBL)*(INC_SPECIALS="Y"))=0,"",'Dvd Calendar'!$AQ$1306)))</f>
        <v/>
      </c>
      <c r="AP133" s="106">
        <f>IF(FR133="","",IF(ISNUMBER('Dvd Calendar'!$AR$1306)=FALSE,"",IF((('Dvd Calendar'!$AR$1308=TYPE1)*(TYPE1&lt;&gt;"")+('Dvd Calendar'!$AR$1308=TYPE2)*(TYPE2&lt;&gt;"")+('Dvd Calendar'!$AR$1308=TYPE3)*(TYPE3&lt;&gt;"")+('Dvd Calendar'!$AR$1308=TYPE4)*(TYPE4&lt;&gt;"")+('Dvd Calendar'!$AR$1308=SPECIAL_LBL)*(INC_SPECIALS="Y"))=0,"",'Dvd Calendar'!$AR$1306)))</f>
        <v/>
      </c>
      <c r="AQ133" s="106">
        <f>IF(FS133="","",IF(ISNUMBER('Dvd Calendar'!$E$1311)=FALSE,"",'Dvd Calendar'!$E$1311))</f>
        <v/>
      </c>
      <c r="AR133" s="106">
        <f>IF(FT133="","",IF(ISNUMBER('Dvd Calendar'!$F$1311)=FALSE,"",'Dvd Calendar'!$F$1311))</f>
        <v/>
      </c>
      <c r="AS133" s="106">
        <f>IF(FU133="","",IF(ISNUMBER('Dvd Calendar'!$G$1311)=FALSE,"",'Dvd Calendar'!$G$1311))</f>
        <v/>
      </c>
      <c r="AT133" s="106">
        <f>IF(FV133="","",IF(ISNUMBER('Dvd Calendar'!$H$1311)=FALSE,"",'Dvd Calendar'!$H$1311))</f>
        <v/>
      </c>
      <c r="AU133" s="106">
        <f>IF(FW133="","",IF(ISNUMBER('Dvd Calendar'!$I$1311)=FALSE,"",'Dvd Calendar'!$I$1311))</f>
        <v/>
      </c>
      <c r="AV133" s="106">
        <f>IF(FX133="","",IF(ISNUMBER('Dvd Calendar'!$J$1311)=FALSE,"",'Dvd Calendar'!$J$1311))</f>
        <v/>
      </c>
      <c r="AW133" s="106">
        <f>IF(FY133="","",IF(ISNUMBER('Dvd Calendar'!$K$1311)=FALSE,"",'Dvd Calendar'!$K$1311))</f>
        <v/>
      </c>
      <c r="AX133" s="106">
        <f>IF(FZ133="","",IF(ISNUMBER('Dvd Calendar'!$L$1311)=FALSE,"",'Dvd Calendar'!$L$1311))</f>
        <v/>
      </c>
      <c r="AY133" s="106">
        <f>IF(GA133="","",IF(ISNUMBER('Dvd Calendar'!$M$1311)=FALSE,"",'Dvd Calendar'!$M$1311))</f>
        <v/>
      </c>
      <c r="AZ133" s="106">
        <f>IF(GB133="","",IF(ISNUMBER('Dvd Calendar'!$N$1311)=FALSE,"",'Dvd Calendar'!$N$1311))</f>
        <v/>
      </c>
      <c r="BA133" s="106">
        <f>IF(GC133="","",IF(ISNUMBER('Dvd Calendar'!$O$1311)=FALSE,"",'Dvd Calendar'!$O$1311))</f>
        <v/>
      </c>
      <c r="BB133" s="106">
        <f>IF(GD133="","",IF(ISNUMBER('Dvd Calendar'!$P$1311)=FALSE,"",'Dvd Calendar'!$P$1311))</f>
        <v/>
      </c>
      <c r="BC133" s="106">
        <f>IF(GE133="","",IF(ISNUMBER('Dvd Calendar'!$Q$1311)=FALSE,"",'Dvd Calendar'!$Q$1311))</f>
        <v/>
      </c>
      <c r="BD133" s="106">
        <f>IF(GF133="","",IF(ISNUMBER('Dvd Calendar'!$R$1311)=FALSE,"",'Dvd Calendar'!$R$1311))</f>
        <v/>
      </c>
      <c r="BE133" s="106">
        <f>IF(GG133="","",IF(ISNUMBER('Dvd Calendar'!$S$1311)=FALSE,"",'Dvd Calendar'!$S$1311))</f>
        <v/>
      </c>
      <c r="BF133" s="106">
        <f>IF(GH133="","",IF(ISNUMBER('Dvd Calendar'!$T$1311)=FALSE,"",'Dvd Calendar'!$T$1311))</f>
        <v/>
      </c>
      <c r="BG133" s="106">
        <f>IF(GI133="","",IF(ISNUMBER('Dvd Calendar'!$U$1311)=FALSE,"",'Dvd Calendar'!$U$1311))</f>
        <v/>
      </c>
      <c r="BH133" s="106">
        <f>IF(GJ133="","",IF(ISNUMBER('Dvd Calendar'!$V$1311)=FALSE,"",'Dvd Calendar'!$V$1311))</f>
        <v/>
      </c>
      <c r="BI133" s="106">
        <f>IF(GK133="","",IF(ISNUMBER('Dvd Calendar'!$W$1311)=FALSE,"",'Dvd Calendar'!$W$1311))</f>
        <v/>
      </c>
      <c r="BJ133" s="106">
        <f>IF(GL133="","",IF(ISNUMBER('Dvd Calendar'!$X$1311)=FALSE,"",'Dvd Calendar'!$X$1311))</f>
        <v/>
      </c>
      <c r="BK133" s="106">
        <f>IF(GM133="","",IF(ISNUMBER('Dvd Calendar'!$Y$1311)=FALSE,"",'Dvd Calendar'!$Y$1311))</f>
        <v/>
      </c>
      <c r="BL133" s="106">
        <f>IF(GN133="","",IF(ISNUMBER('Dvd Calendar'!$Z$1311)=FALSE,"",'Dvd Calendar'!$Z$1311))</f>
        <v/>
      </c>
      <c r="BM133" s="106">
        <f>IF(GO133="","",IF(ISNUMBER('Dvd Calendar'!$AA$1311)=FALSE,"",'Dvd Calendar'!$AA$1311))</f>
        <v/>
      </c>
      <c r="BN133" s="106">
        <f>IF(GP133="","",IF(ISNUMBER('Dvd Calendar'!$AB$1311)=FALSE,"",'Dvd Calendar'!$AB$1311))</f>
        <v/>
      </c>
      <c r="BO133" s="106">
        <f>IF(GQ133="","",IF(ISNUMBER('Dvd Calendar'!$AC$1311)=FALSE,"",'Dvd Calendar'!$AC$1311))</f>
        <v/>
      </c>
      <c r="BQ133" s="106">
        <f>IF(C133="","",IFERROR(C133*HSTECH!$B$24*HSTECH!$G$24/HSTECH!$B$3,""))</f>
        <v/>
      </c>
      <c r="BR133" s="106">
        <f>IF(D133="","",IFERROR(D133*HSTECH!$B$24*HSTECH!$G$24/HSTECH!$B$3,""))</f>
        <v/>
      </c>
      <c r="BS133" s="106">
        <f>IF(E133="","",IFERROR(E133*HSTECH!$B$24*HSTECH!$G$24/HSTECH!$B$3,""))</f>
        <v/>
      </c>
      <c r="BT133" s="106">
        <f>IF(F133="","",IFERROR(F133*HSTECH!$B$24*HSTECH!$G$24/HSTECH!$B$3,""))</f>
        <v/>
      </c>
      <c r="BU133" s="106">
        <f>IF(G133="","",IFERROR(G133*HSTECH!$B$24*HSTECH!$G$24/HSTECH!$B$3,""))</f>
        <v/>
      </c>
      <c r="BV133" s="106">
        <f>IF(H133="","",IFERROR(H133*HSTECH!$B$24*HSTECH!$G$24/HSTECH!$B$3,""))</f>
        <v/>
      </c>
      <c r="BW133" s="106">
        <f>IF(I133="","",IFERROR(I133*HSTECH!$B$24*HSTECH!$G$24/HSTECH!$B$3,""))</f>
        <v/>
      </c>
      <c r="BX133" s="106">
        <f>IF(J133="","",IFERROR(J133*HSTECH!$B$24*HSTECH!$G$24/HSTECH!$B$3,""))</f>
        <v/>
      </c>
      <c r="BY133" s="106">
        <f>IF(K133="","",IFERROR(K133*HSTECH!$B$24*HSTECH!$G$24/HSTECH!$B$3,""))</f>
        <v/>
      </c>
      <c r="BZ133" s="106">
        <f>IF(L133="","",IFERROR(L133*HSTECH!$B$24*HSTECH!$G$24/HSTECH!$B$3,""))</f>
        <v/>
      </c>
      <c r="CA133" s="106">
        <f>IF(M133="","",IFERROR(M133*HSTECH!$B$24*HSTECH!$G$24/HSTECH!$B$3,""))</f>
        <v/>
      </c>
      <c r="CB133" s="106">
        <f>IF(N133="","",IFERROR(N133*HSTECH!$B$24*HSTECH!$G$24/HSTECH!$B$3,""))</f>
        <v/>
      </c>
      <c r="CC133" s="106">
        <f>IF(O133="","",IFERROR(O133*HSTECH!$B$24*HSTECH!$G$24/HSTECH!$B$3,""))</f>
        <v/>
      </c>
      <c r="CD133" s="106">
        <f>IF(P133="","",IFERROR(P133*HSTECH!$B$24*HSTECH!$G$24/HSTECH!$B$3,""))</f>
        <v/>
      </c>
      <c r="CE133" s="106">
        <f>IF(Q133="","",IFERROR(Q133*HSTECH!$B$24*HSTECH!$G$24/HSTECH!$B$3,""))</f>
        <v/>
      </c>
      <c r="CF133" s="106">
        <f>IF(R133="","",IFERROR(R133*HSTECH!$B$24*HSTECH!$G$24/HSTECH!$B$3,""))</f>
        <v/>
      </c>
      <c r="CG133" s="106">
        <f>IF(S133="","",IFERROR(S133*HSTECH!$B$24*HSTECH!$G$24/HSTECH!$B$3,""))</f>
        <v/>
      </c>
      <c r="CH133" s="106">
        <f>IF(T133="","",IFERROR(T133*HSTECH!$B$24*HSTECH!$G$24/HSTECH!$B$3,""))</f>
        <v/>
      </c>
      <c r="CI133" s="106">
        <f>IF(U133="","",IFERROR(U133*HSTECH!$B$24*HSTECH!$G$24/HSTECH!$B$3,""))</f>
        <v/>
      </c>
      <c r="CJ133" s="106">
        <f>IF(V133="","",IFERROR(V133*HSTECH!$B$24*HSTECH!$G$24/HSTECH!$B$3,""))</f>
        <v/>
      </c>
      <c r="CK133" s="106">
        <f>IF(W133="","",IFERROR(W133*HSTECH!$B$24*HSTECH!$G$24/HSTECH!$B$3,""))</f>
        <v/>
      </c>
      <c r="CL133" s="106">
        <f>IF(X133="","",IFERROR(X133*HSTECH!$B$24*HSTECH!$G$24/HSTECH!$B$3,""))</f>
        <v/>
      </c>
      <c r="CM133" s="106">
        <f>IF(Y133="","",IFERROR(Y133*HSTECH!$B$24*HSTECH!$G$24/HSTECH!$B$3,""))</f>
        <v/>
      </c>
      <c r="CN133" s="106">
        <f>IF(Z133="","",IFERROR(Z133*HSTECH!$B$24*HSTECH!$G$24/HSTECH!$B$3,""))</f>
        <v/>
      </c>
      <c r="CO133" s="106">
        <f>IF(AA133="","",IFERROR(AA133*HSTECH!$B$24*HSTECH!$G$24/HSTECH!$B$3,""))</f>
        <v/>
      </c>
      <c r="CP133" s="106">
        <f>IF(AB133="","",IFERROR(AB133*HSTECH!$B$24*HSTECH!$G$24/HSTECH!$B$3,""))</f>
        <v/>
      </c>
      <c r="CQ133" s="106">
        <f>IF(AC133="","",IFERROR(AC133*HSTECH!$B$24*HSTECH!$G$24/HSTECH!$B$3,""))</f>
        <v/>
      </c>
      <c r="CR133" s="106">
        <f>IF(AD133="","",IFERROR(AD133*HSTECH!$B$24*HSTECH!$G$24/HSTECH!$B$3,""))</f>
        <v/>
      </c>
      <c r="CS133" s="106">
        <f>IF(AE133="","",IFERROR(AE133*HSTECH!$B$24*HSTECH!$G$24/HSTECH!$B$3,""))</f>
        <v/>
      </c>
      <c r="CT133" s="106">
        <f>IF(AF133="","",IFERROR(AF133*HSTECH!$B$24*HSTECH!$G$24/HSTECH!$B$3,""))</f>
        <v/>
      </c>
      <c r="CU133" s="106">
        <f>IF(AG133="","",IFERROR(AG133*HSTECH!$B$24*HSTECH!$G$24/HSTECH!$B$3,""))</f>
        <v/>
      </c>
      <c r="CV133" s="106">
        <f>IF(AH133="","",IFERROR(AH133*HSTECH!$B$24*HSTECH!$G$24/HSTECH!$B$3,""))</f>
        <v/>
      </c>
      <c r="CW133" s="106">
        <f>IF(AI133="","",IFERROR(AI133*HSTECH!$B$24*HSTECH!$G$24/HSTECH!$B$3,""))</f>
        <v/>
      </c>
      <c r="CX133" s="106">
        <f>IF(AJ133="","",IFERROR(AJ133*HSTECH!$B$24*HSTECH!$G$24/HSTECH!$B$3,""))</f>
        <v/>
      </c>
      <c r="CY133" s="106">
        <f>IF(AK133="","",IFERROR(AK133*HSTECH!$B$24*HSTECH!$G$24/HSTECH!$B$3,""))</f>
        <v/>
      </c>
      <c r="CZ133" s="106">
        <f>IF(AL133="","",IFERROR(AL133*HSTECH!$B$24*HSTECH!$G$24/HSTECH!$B$3,""))</f>
        <v/>
      </c>
      <c r="DA133" s="106">
        <f>IF(AM133="","",IFERROR(AM133*HSTECH!$B$24*HSTECH!$G$24/HSTECH!$B$3,""))</f>
        <v/>
      </c>
      <c r="DB133" s="106">
        <f>IF(AN133="","",IFERROR(AN133*HSTECH!$B$24*HSTECH!$G$24/HSTECH!$B$3,""))</f>
        <v/>
      </c>
      <c r="DC133" s="106">
        <f>IF(AO133="","",IFERROR(AO133*HSTECH!$B$24*HSTECH!$G$24/HSTECH!$B$3,""))</f>
        <v/>
      </c>
      <c r="DD133" s="106">
        <f>IF(AP133="","",IFERROR(AP133*HSTECH!$B$24*HSTECH!$G$24/HSTECH!$B$3,""))</f>
        <v/>
      </c>
      <c r="DE133" s="106">
        <f>IF(AQ133="","",IFERROR(AQ133*HSTECH!$B$24*HSTECH!$G$24/HSTECH!$B$3,""))</f>
        <v/>
      </c>
      <c r="DF133" s="106">
        <f>IF(AR133="","",IFERROR(AR133*HSTECH!$B$24*HSTECH!$G$24/HSTECH!$B$3,""))</f>
        <v/>
      </c>
      <c r="DG133" s="106">
        <f>IF(AS133="","",IFERROR(AS133*HSTECH!$B$24*HSTECH!$G$24/HSTECH!$B$3,""))</f>
        <v/>
      </c>
      <c r="DH133" s="106">
        <f>IF(AT133="","",IFERROR(AT133*HSTECH!$B$24*HSTECH!$G$24/HSTECH!$B$3,""))</f>
        <v/>
      </c>
      <c r="DI133" s="106">
        <f>IF(AU133="","",IFERROR(AU133*HSTECH!$B$24*HSTECH!$G$24/HSTECH!$B$3,""))</f>
        <v/>
      </c>
      <c r="DJ133" s="106">
        <f>IF(AV133="","",IFERROR(AV133*HSTECH!$B$24*HSTECH!$G$24/HSTECH!$B$3,""))</f>
        <v/>
      </c>
      <c r="DK133" s="106">
        <f>IF(AW133="","",IFERROR(AW133*HSTECH!$B$24*HSTECH!$G$24/HSTECH!$B$3,""))</f>
        <v/>
      </c>
      <c r="DL133" s="106">
        <f>IF(AX133="","",IFERROR(AX133*HSTECH!$B$24*HSTECH!$G$24/HSTECH!$B$3,""))</f>
        <v/>
      </c>
      <c r="DM133" s="106">
        <f>IF(AY133="","",IFERROR(AY133*HSTECH!$B$24*HSTECH!$G$24/HSTECH!$B$3,""))</f>
        <v/>
      </c>
      <c r="DN133" s="106">
        <f>IF(AZ133="","",IFERROR(AZ133*HSTECH!$B$24*HSTECH!$G$24/HSTECH!$B$3,""))</f>
        <v/>
      </c>
      <c r="DO133" s="106">
        <f>IF(BA133="","",IFERROR(BA133*HSTECH!$B$24*HSTECH!$G$24/HSTECH!$B$3,""))</f>
        <v/>
      </c>
      <c r="DP133" s="106">
        <f>IF(BB133="","",IFERROR(BB133*HSTECH!$B$24*HSTECH!$G$24/HSTECH!$B$3,""))</f>
        <v/>
      </c>
      <c r="DQ133" s="106">
        <f>IF(BC133="","",IFERROR(BC133*HSTECH!$B$24*HSTECH!$G$24/HSTECH!$B$3,""))</f>
        <v/>
      </c>
      <c r="DR133" s="106">
        <f>IF(BD133="","",IFERROR(BD133*HSTECH!$B$24*HSTECH!$G$24/HSTECH!$B$3,""))</f>
        <v/>
      </c>
      <c r="DS133" s="106">
        <f>IF(BE133="","",IFERROR(BE133*HSTECH!$B$24*HSTECH!$G$24/HSTECH!$B$3,""))</f>
        <v/>
      </c>
      <c r="DT133" s="106">
        <f>IF(BF133="","",IFERROR(BF133*HSTECH!$B$24*HSTECH!$G$24/HSTECH!$B$3,""))</f>
        <v/>
      </c>
      <c r="DU133" s="106">
        <f>IF(BG133="","",IFERROR(BG133*HSTECH!$B$24*HSTECH!$G$24/HSTECH!$B$3,""))</f>
        <v/>
      </c>
      <c r="DV133" s="106">
        <f>IF(BH133="","",IFERROR(BH133*HSTECH!$B$24*HSTECH!$G$24/HSTECH!$B$3,""))</f>
        <v/>
      </c>
      <c r="DW133" s="106">
        <f>IF(BI133="","",IFERROR(BI133*HSTECH!$B$24*HSTECH!$G$24/HSTECH!$B$3,""))</f>
        <v/>
      </c>
      <c r="DX133" s="106">
        <f>IF(BJ133="","",IFERROR(BJ133*HSTECH!$B$24*HSTECH!$G$24/HSTECH!$B$3,""))</f>
        <v/>
      </c>
      <c r="DY133" s="106">
        <f>IF(BK133="","",IFERROR(BK133*HSTECH!$B$24*HSTECH!$G$24/HSTECH!$B$3,""))</f>
        <v/>
      </c>
      <c r="DZ133" s="106">
        <f>IF(BL133="","",IFERROR(BL133*HSTECH!$B$24*HSTECH!$G$24/HSTECH!$B$3,""))</f>
        <v/>
      </c>
      <c r="EA133" s="106">
        <f>IF(BM133="","",IFERROR(BM133*HSTECH!$B$24*HSTECH!$G$24/HSTECH!$B$3,""))</f>
        <v/>
      </c>
      <c r="EB133" s="106">
        <f>IF(BN133="","",IFERROR(BN133*HSTECH!$B$24*HSTECH!$G$24/HSTECH!$B$3,""))</f>
        <v/>
      </c>
      <c r="EC133" s="106">
        <f>IF(BO133="","",IFERROR(BO133*HSTECH!$B$24*HSTECH!$G$24/HSTECH!$B$3,""))</f>
        <v/>
      </c>
      <c r="EE133" s="35">
        <f>IF(N('Dvd Calendar'!$E$1303)=0,"",IF(('Dvd Calendar'!$E$1303&gt;=GRID_FROM)*('Dvd Calendar'!$E$1303&lt;=GRID_TO)*('Dvd Calendar'!$E$1303&lt;=VAL_DATE)=0,"",'Dvd Calendar'!$E$1303*1000000000+ISNUMBER('Dvd Calendar'!$E$1306)*100000000+('Dvd Calendar'!$E$1308=SPECIAL_LBL)*10000000+0*1000000+18*1000+1))</f>
        <v/>
      </c>
      <c r="EF133" s="35">
        <f>IF(N('Dvd Calendar'!$F$1303)=0,"",IF(('Dvd Calendar'!$F$1303&gt;=GRID_FROM)*('Dvd Calendar'!$F$1303&lt;=GRID_TO)*('Dvd Calendar'!$F$1303&lt;=VAL_DATE)=0,"",'Dvd Calendar'!$F$1303*1000000000+ISNUMBER('Dvd Calendar'!$F$1306)*100000000+('Dvd Calendar'!$F$1308=SPECIAL_LBL)*10000000+0*1000000+18*1000+2))</f>
        <v/>
      </c>
      <c r="EG133" s="35">
        <f>IF(N('Dvd Calendar'!$G$1303)=0,"",IF(('Dvd Calendar'!$G$1303&gt;=GRID_FROM)*('Dvd Calendar'!$G$1303&lt;=GRID_TO)*('Dvd Calendar'!$G$1303&lt;=VAL_DATE)=0,"",'Dvd Calendar'!$G$1303*1000000000+ISNUMBER('Dvd Calendar'!$G$1306)*100000000+('Dvd Calendar'!$G$1308=SPECIAL_LBL)*10000000+0*1000000+18*1000+3))</f>
        <v/>
      </c>
      <c r="EH133" s="35">
        <f>IF(N('Dvd Calendar'!$H$1303)=0,"",IF(('Dvd Calendar'!$H$1303&gt;=GRID_FROM)*('Dvd Calendar'!$H$1303&lt;=GRID_TO)*('Dvd Calendar'!$H$1303&lt;=VAL_DATE)=0,"",'Dvd Calendar'!$H$1303*1000000000+ISNUMBER('Dvd Calendar'!$H$1306)*100000000+('Dvd Calendar'!$H$1308=SPECIAL_LBL)*10000000+0*1000000+18*1000+4))</f>
        <v/>
      </c>
      <c r="EI133" s="35">
        <f>IF(N('Dvd Calendar'!$I$1303)=0,"",IF(('Dvd Calendar'!$I$1303&gt;=GRID_FROM)*('Dvd Calendar'!$I$1303&lt;=GRID_TO)*('Dvd Calendar'!$I$1303&lt;=VAL_DATE)=0,"",'Dvd Calendar'!$I$1303*1000000000+ISNUMBER('Dvd Calendar'!$I$1306)*100000000+('Dvd Calendar'!$I$1308=SPECIAL_LBL)*10000000+0*1000000+18*1000+5))</f>
        <v/>
      </c>
      <c r="EJ133" s="35">
        <f>IF(N('Dvd Calendar'!$J$1303)=0,"",IF(('Dvd Calendar'!$J$1303&gt;=GRID_FROM)*('Dvd Calendar'!$J$1303&lt;=GRID_TO)*('Dvd Calendar'!$J$1303&lt;=VAL_DATE)=0,"",'Dvd Calendar'!$J$1303*1000000000+ISNUMBER('Dvd Calendar'!$J$1306)*100000000+('Dvd Calendar'!$J$1308=SPECIAL_LBL)*10000000+0*1000000+18*1000+6))</f>
        <v/>
      </c>
      <c r="EK133" s="35">
        <f>IF(N('Dvd Calendar'!$K$1303)=0,"",IF(('Dvd Calendar'!$K$1303&gt;=GRID_FROM)*('Dvd Calendar'!$K$1303&lt;=GRID_TO)*('Dvd Calendar'!$K$1303&lt;=VAL_DATE)=0,"",'Dvd Calendar'!$K$1303*1000000000+ISNUMBER('Dvd Calendar'!$K$1306)*100000000+('Dvd Calendar'!$K$1308=SPECIAL_LBL)*10000000+0*1000000+18*1000+7))</f>
        <v/>
      </c>
      <c r="EL133" s="35">
        <f>IF(N('Dvd Calendar'!$L$1303)=0,"",IF(('Dvd Calendar'!$L$1303&gt;=GRID_FROM)*('Dvd Calendar'!$L$1303&lt;=GRID_TO)*('Dvd Calendar'!$L$1303&lt;=VAL_DATE)=0,"",'Dvd Calendar'!$L$1303*1000000000+ISNUMBER('Dvd Calendar'!$L$1306)*100000000+('Dvd Calendar'!$L$1308=SPECIAL_LBL)*10000000+0*1000000+18*1000+8))</f>
        <v/>
      </c>
      <c r="EM133" s="35">
        <f>IF(N('Dvd Calendar'!$M$1303)=0,"",IF(('Dvd Calendar'!$M$1303&gt;=GRID_FROM)*('Dvd Calendar'!$M$1303&lt;=GRID_TO)*('Dvd Calendar'!$M$1303&lt;=VAL_DATE)=0,"",'Dvd Calendar'!$M$1303*1000000000+ISNUMBER('Dvd Calendar'!$M$1306)*100000000+('Dvd Calendar'!$M$1308=SPECIAL_LBL)*10000000+0*1000000+18*1000+9))</f>
        <v/>
      </c>
      <c r="EN133" s="35">
        <f>IF(N('Dvd Calendar'!$N$1303)=0,"",IF(('Dvd Calendar'!$N$1303&gt;=GRID_FROM)*('Dvd Calendar'!$N$1303&lt;=GRID_TO)*('Dvd Calendar'!$N$1303&lt;=VAL_DATE)=0,"",'Dvd Calendar'!$N$1303*1000000000+ISNUMBER('Dvd Calendar'!$N$1306)*100000000+('Dvd Calendar'!$N$1308=SPECIAL_LBL)*10000000+0*1000000+18*1000+10))</f>
        <v/>
      </c>
      <c r="EO133" s="35">
        <f>IF(N('Dvd Calendar'!$O$1303)=0,"",IF(('Dvd Calendar'!$O$1303&gt;=GRID_FROM)*('Dvd Calendar'!$O$1303&lt;=GRID_TO)*('Dvd Calendar'!$O$1303&lt;=VAL_DATE)=0,"",'Dvd Calendar'!$O$1303*1000000000+ISNUMBER('Dvd Calendar'!$O$1306)*100000000+('Dvd Calendar'!$O$1308=SPECIAL_LBL)*10000000+0*1000000+18*1000+11))</f>
        <v/>
      </c>
      <c r="EP133" s="35">
        <f>IF(N('Dvd Calendar'!$P$1303)=0,"",IF(('Dvd Calendar'!$P$1303&gt;=GRID_FROM)*('Dvd Calendar'!$P$1303&lt;=GRID_TO)*('Dvd Calendar'!$P$1303&lt;=VAL_DATE)=0,"",'Dvd Calendar'!$P$1303*1000000000+ISNUMBER('Dvd Calendar'!$P$1306)*100000000+('Dvd Calendar'!$P$1308=SPECIAL_LBL)*10000000+0*1000000+18*1000+12))</f>
        <v/>
      </c>
      <c r="EQ133" s="35">
        <f>IF(N('Dvd Calendar'!$Q$1303)=0,"",IF(('Dvd Calendar'!$Q$1303&gt;=GRID_FROM)*('Dvd Calendar'!$Q$1303&lt;=GRID_TO)*('Dvd Calendar'!$Q$1303&lt;=VAL_DATE)=0,"",'Dvd Calendar'!$Q$1303*1000000000+ISNUMBER('Dvd Calendar'!$Q$1306)*100000000+('Dvd Calendar'!$Q$1308=SPECIAL_LBL)*10000000+0*1000000+18*1000+13))</f>
        <v/>
      </c>
      <c r="ER133" s="35">
        <f>IF(N('Dvd Calendar'!$R$1303)=0,"",IF(('Dvd Calendar'!$R$1303&gt;=GRID_FROM)*('Dvd Calendar'!$R$1303&lt;=GRID_TO)*('Dvd Calendar'!$R$1303&lt;=VAL_DATE)=0,"",'Dvd Calendar'!$R$1303*1000000000+ISNUMBER('Dvd Calendar'!$R$1306)*100000000+('Dvd Calendar'!$R$1308=SPECIAL_LBL)*10000000+0*1000000+18*1000+14))</f>
        <v/>
      </c>
      <c r="ES133" s="35">
        <f>IF(N('Dvd Calendar'!$S$1303)=0,"",IF(('Dvd Calendar'!$S$1303&gt;=GRID_FROM)*('Dvd Calendar'!$S$1303&lt;=GRID_TO)*('Dvd Calendar'!$S$1303&lt;=VAL_DATE)=0,"",'Dvd Calendar'!$S$1303*1000000000+ISNUMBER('Dvd Calendar'!$S$1306)*100000000+('Dvd Calendar'!$S$1308=SPECIAL_LBL)*10000000+0*1000000+18*1000+15))</f>
        <v/>
      </c>
      <c r="ET133" s="35">
        <f>IF(N('Dvd Calendar'!$T$1303)=0,"",IF(('Dvd Calendar'!$T$1303&gt;=GRID_FROM)*('Dvd Calendar'!$T$1303&lt;=GRID_TO)*('Dvd Calendar'!$T$1303&lt;=VAL_DATE)=0,"",'Dvd Calendar'!$T$1303*1000000000+ISNUMBER('Dvd Calendar'!$T$1306)*100000000+('Dvd Calendar'!$T$1308=SPECIAL_LBL)*10000000+0*1000000+18*1000+16))</f>
        <v/>
      </c>
      <c r="EU133" s="35">
        <f>IF(N('Dvd Calendar'!$U$1303)=0,"",IF(('Dvd Calendar'!$U$1303&gt;=GRID_FROM)*('Dvd Calendar'!$U$1303&lt;=GRID_TO)*('Dvd Calendar'!$U$1303&lt;=VAL_DATE)=0,"",'Dvd Calendar'!$U$1303*1000000000+ISNUMBER('Dvd Calendar'!$U$1306)*100000000+('Dvd Calendar'!$U$1308=SPECIAL_LBL)*10000000+0*1000000+18*1000+17))</f>
        <v/>
      </c>
      <c r="EV133" s="35">
        <f>IF(N('Dvd Calendar'!$V$1303)=0,"",IF(('Dvd Calendar'!$V$1303&gt;=GRID_FROM)*('Dvd Calendar'!$V$1303&lt;=GRID_TO)*('Dvd Calendar'!$V$1303&lt;=VAL_DATE)=0,"",'Dvd Calendar'!$V$1303*1000000000+ISNUMBER('Dvd Calendar'!$V$1306)*100000000+('Dvd Calendar'!$V$1308=SPECIAL_LBL)*10000000+0*1000000+18*1000+18))</f>
        <v/>
      </c>
      <c r="EW133" s="35">
        <f>IF(N('Dvd Calendar'!$W$1303)=0,"",IF(('Dvd Calendar'!$W$1303&gt;=GRID_FROM)*('Dvd Calendar'!$W$1303&lt;=GRID_TO)*('Dvd Calendar'!$W$1303&lt;=VAL_DATE)=0,"",'Dvd Calendar'!$W$1303*1000000000+ISNUMBER('Dvd Calendar'!$W$1306)*100000000+('Dvd Calendar'!$W$1308=SPECIAL_LBL)*10000000+0*1000000+18*1000+19))</f>
        <v/>
      </c>
      <c r="EX133" s="35">
        <f>IF(N('Dvd Calendar'!$X$1303)=0,"",IF(('Dvd Calendar'!$X$1303&gt;=GRID_FROM)*('Dvd Calendar'!$X$1303&lt;=GRID_TO)*('Dvd Calendar'!$X$1303&lt;=VAL_DATE)=0,"",'Dvd Calendar'!$X$1303*1000000000+ISNUMBER('Dvd Calendar'!$X$1306)*100000000+('Dvd Calendar'!$X$1308=SPECIAL_LBL)*10000000+0*1000000+18*1000+20))</f>
        <v/>
      </c>
      <c r="EY133" s="35">
        <f>IF(N('Dvd Calendar'!$Y$1303)=0,"",IF(('Dvd Calendar'!$Y$1303&gt;=GRID_FROM)*('Dvd Calendar'!$Y$1303&lt;=GRID_TO)*('Dvd Calendar'!$Y$1303&lt;=VAL_DATE)=0,"",'Dvd Calendar'!$Y$1303*1000000000+ISNUMBER('Dvd Calendar'!$Y$1306)*100000000+('Dvd Calendar'!$Y$1308=SPECIAL_LBL)*10000000+0*1000000+18*1000+21))</f>
        <v/>
      </c>
      <c r="EZ133" s="35">
        <f>IF(N('Dvd Calendar'!$Z$1303)=0,"",IF(('Dvd Calendar'!$Z$1303&gt;=GRID_FROM)*('Dvd Calendar'!$Z$1303&lt;=GRID_TO)*('Dvd Calendar'!$Z$1303&lt;=VAL_DATE)=0,"",'Dvd Calendar'!$Z$1303*1000000000+ISNUMBER('Dvd Calendar'!$Z$1306)*100000000+('Dvd Calendar'!$Z$1308=SPECIAL_LBL)*10000000+0*1000000+18*1000+22))</f>
        <v/>
      </c>
      <c r="FA133" s="35">
        <f>IF(N('Dvd Calendar'!$AA$1303)=0,"",IF(('Dvd Calendar'!$AA$1303&gt;=GRID_FROM)*('Dvd Calendar'!$AA$1303&lt;=GRID_TO)*('Dvd Calendar'!$AA$1303&lt;=VAL_DATE)=0,"",'Dvd Calendar'!$AA$1303*1000000000+ISNUMBER('Dvd Calendar'!$AA$1306)*100000000+('Dvd Calendar'!$AA$1308=SPECIAL_LBL)*10000000+0*1000000+18*1000+23))</f>
        <v/>
      </c>
      <c r="FB133" s="35">
        <f>IF(N('Dvd Calendar'!$AB$1303)=0,"",IF(('Dvd Calendar'!$AB$1303&gt;=GRID_FROM)*('Dvd Calendar'!$AB$1303&lt;=GRID_TO)*('Dvd Calendar'!$AB$1303&lt;=VAL_DATE)=0,"",'Dvd Calendar'!$AB$1303*1000000000+ISNUMBER('Dvd Calendar'!$AB$1306)*100000000+('Dvd Calendar'!$AB$1308=SPECIAL_LBL)*10000000+0*1000000+18*1000+24))</f>
        <v/>
      </c>
      <c r="FC133" s="35">
        <f>IF(N('Dvd Calendar'!$AC$1303)=0,"",IF(('Dvd Calendar'!$AC$1303&gt;=GRID_FROM)*('Dvd Calendar'!$AC$1303&lt;=GRID_TO)*('Dvd Calendar'!$AC$1303&lt;=VAL_DATE)=0,"",'Dvd Calendar'!$AC$1303*1000000000+ISNUMBER('Dvd Calendar'!$AC$1306)*100000000+('Dvd Calendar'!$AC$1308=SPECIAL_LBL)*10000000+0*1000000+18*1000+25))</f>
        <v/>
      </c>
      <c r="FD133" s="35">
        <f>IF(N('Dvd Calendar'!$AD$1303)=0,"",IF(('Dvd Calendar'!$AD$1303&gt;=GRID_FROM)*('Dvd Calendar'!$AD$1303&lt;=GRID_TO)*('Dvd Calendar'!$AD$1303&lt;=VAL_DATE)=0,"",'Dvd Calendar'!$AD$1303*1000000000+ISNUMBER('Dvd Calendar'!$AD$1306)*100000000+('Dvd Calendar'!$AD$1308=SPECIAL_LBL)*10000000+0*1000000+18*1000+26))</f>
        <v/>
      </c>
      <c r="FE133" s="35">
        <f>IF(N('Dvd Calendar'!$AE$1303)=0,"",IF(('Dvd Calendar'!$AE$1303&gt;=GRID_FROM)*('Dvd Calendar'!$AE$1303&lt;=GRID_TO)*('Dvd Calendar'!$AE$1303&lt;=VAL_DATE)=0,"",'Dvd Calendar'!$AE$1303*1000000000+ISNUMBER('Dvd Calendar'!$AE$1306)*100000000+('Dvd Calendar'!$AE$1308=SPECIAL_LBL)*10000000+0*1000000+18*1000+27))</f>
        <v/>
      </c>
      <c r="FF133" s="35">
        <f>IF(N('Dvd Calendar'!$AF$1303)=0,"",IF(('Dvd Calendar'!$AF$1303&gt;=GRID_FROM)*('Dvd Calendar'!$AF$1303&lt;=GRID_TO)*('Dvd Calendar'!$AF$1303&lt;=VAL_DATE)=0,"",'Dvd Calendar'!$AF$1303*1000000000+ISNUMBER('Dvd Calendar'!$AF$1306)*100000000+('Dvd Calendar'!$AF$1308=SPECIAL_LBL)*10000000+0*1000000+18*1000+28))</f>
        <v/>
      </c>
      <c r="FG133" s="35">
        <f>IF(N('Dvd Calendar'!$AG$1303)=0,"",IF(('Dvd Calendar'!$AG$1303&gt;=GRID_FROM)*('Dvd Calendar'!$AG$1303&lt;=GRID_TO)*('Dvd Calendar'!$AG$1303&lt;=VAL_DATE)=0,"",'Dvd Calendar'!$AG$1303*1000000000+ISNUMBER('Dvd Calendar'!$AG$1306)*100000000+('Dvd Calendar'!$AG$1308=SPECIAL_LBL)*10000000+0*1000000+18*1000+29))</f>
        <v/>
      </c>
      <c r="FH133" s="35">
        <f>IF(N('Dvd Calendar'!$AH$1303)=0,"",IF(('Dvd Calendar'!$AH$1303&gt;=GRID_FROM)*('Dvd Calendar'!$AH$1303&lt;=GRID_TO)*('Dvd Calendar'!$AH$1303&lt;=VAL_DATE)=0,"",'Dvd Calendar'!$AH$1303*1000000000+ISNUMBER('Dvd Calendar'!$AH$1306)*100000000+('Dvd Calendar'!$AH$1308=SPECIAL_LBL)*10000000+0*1000000+18*1000+30))</f>
        <v/>
      </c>
      <c r="FI133" s="35">
        <f>IF(N('Dvd Calendar'!$AI$1303)=0,"",IF(('Dvd Calendar'!$AI$1303&gt;=GRID_FROM)*('Dvd Calendar'!$AI$1303&lt;=GRID_TO)*('Dvd Calendar'!$AI$1303&lt;=VAL_DATE)=0,"",'Dvd Calendar'!$AI$1303*1000000000+ISNUMBER('Dvd Calendar'!$AI$1306)*100000000+('Dvd Calendar'!$AI$1308=SPECIAL_LBL)*10000000+0*1000000+18*1000+31))</f>
        <v/>
      </c>
      <c r="FJ133" s="35">
        <f>IF(N('Dvd Calendar'!$AJ$1303)=0,"",IF(('Dvd Calendar'!$AJ$1303&gt;=GRID_FROM)*('Dvd Calendar'!$AJ$1303&lt;=GRID_TO)*('Dvd Calendar'!$AJ$1303&lt;=VAL_DATE)=0,"",'Dvd Calendar'!$AJ$1303*1000000000+ISNUMBER('Dvd Calendar'!$AJ$1306)*100000000+('Dvd Calendar'!$AJ$1308=SPECIAL_LBL)*10000000+0*1000000+18*1000+32))</f>
        <v/>
      </c>
      <c r="FK133" s="35">
        <f>IF(N('Dvd Calendar'!$AK$1303)=0,"",IF(('Dvd Calendar'!$AK$1303&gt;=GRID_FROM)*('Dvd Calendar'!$AK$1303&lt;=GRID_TO)*('Dvd Calendar'!$AK$1303&lt;=VAL_DATE)=0,"",'Dvd Calendar'!$AK$1303*1000000000+ISNUMBER('Dvd Calendar'!$AK$1306)*100000000+('Dvd Calendar'!$AK$1308=SPECIAL_LBL)*10000000+0*1000000+18*1000+33))</f>
        <v/>
      </c>
      <c r="FL133" s="35">
        <f>IF(N('Dvd Calendar'!$AL$1303)=0,"",IF(('Dvd Calendar'!$AL$1303&gt;=GRID_FROM)*('Dvd Calendar'!$AL$1303&lt;=GRID_TO)*('Dvd Calendar'!$AL$1303&lt;=VAL_DATE)=0,"",'Dvd Calendar'!$AL$1303*1000000000+ISNUMBER('Dvd Calendar'!$AL$1306)*100000000+('Dvd Calendar'!$AL$1308=SPECIAL_LBL)*10000000+0*1000000+18*1000+34))</f>
        <v/>
      </c>
      <c r="FM133" s="35">
        <f>IF(N('Dvd Calendar'!$AM$1303)=0,"",IF(('Dvd Calendar'!$AM$1303&gt;=GRID_FROM)*('Dvd Calendar'!$AM$1303&lt;=GRID_TO)*('Dvd Calendar'!$AM$1303&lt;=VAL_DATE)=0,"",'Dvd Calendar'!$AM$1303*1000000000+ISNUMBER('Dvd Calendar'!$AM$1306)*100000000+('Dvd Calendar'!$AM$1308=SPECIAL_LBL)*10000000+0*1000000+18*1000+35))</f>
        <v/>
      </c>
      <c r="FN133" s="35">
        <f>IF(N('Dvd Calendar'!$AN$1303)=0,"",IF(('Dvd Calendar'!$AN$1303&gt;=GRID_FROM)*('Dvd Calendar'!$AN$1303&lt;=GRID_TO)*('Dvd Calendar'!$AN$1303&lt;=VAL_DATE)=0,"",'Dvd Calendar'!$AN$1303*1000000000+ISNUMBER('Dvd Calendar'!$AN$1306)*100000000+('Dvd Calendar'!$AN$1308=SPECIAL_LBL)*10000000+0*1000000+18*1000+36))</f>
        <v/>
      </c>
      <c r="FO133" s="35">
        <f>IF(N('Dvd Calendar'!$AO$1303)=0,"",IF(('Dvd Calendar'!$AO$1303&gt;=GRID_FROM)*('Dvd Calendar'!$AO$1303&lt;=GRID_TO)*('Dvd Calendar'!$AO$1303&lt;=VAL_DATE)=0,"",'Dvd Calendar'!$AO$1303*1000000000+ISNUMBER('Dvd Calendar'!$AO$1306)*100000000+('Dvd Calendar'!$AO$1308=SPECIAL_LBL)*10000000+0*1000000+18*1000+37))</f>
        <v/>
      </c>
      <c r="FP133" s="35">
        <f>IF(N('Dvd Calendar'!$AP$1303)=0,"",IF(('Dvd Calendar'!$AP$1303&gt;=GRID_FROM)*('Dvd Calendar'!$AP$1303&lt;=GRID_TO)*('Dvd Calendar'!$AP$1303&lt;=VAL_DATE)=0,"",'Dvd Calendar'!$AP$1303*1000000000+ISNUMBER('Dvd Calendar'!$AP$1306)*100000000+('Dvd Calendar'!$AP$1308=SPECIAL_LBL)*10000000+0*1000000+18*1000+38))</f>
        <v/>
      </c>
      <c r="FQ133" s="35">
        <f>IF(N('Dvd Calendar'!$AQ$1303)=0,"",IF(('Dvd Calendar'!$AQ$1303&gt;=GRID_FROM)*('Dvd Calendar'!$AQ$1303&lt;=GRID_TO)*('Dvd Calendar'!$AQ$1303&lt;=VAL_DATE)=0,"",'Dvd Calendar'!$AQ$1303*1000000000+ISNUMBER('Dvd Calendar'!$AQ$1306)*100000000+('Dvd Calendar'!$AQ$1308=SPECIAL_LBL)*10000000+0*1000000+18*1000+39))</f>
        <v/>
      </c>
      <c r="FR133" s="35">
        <f>IF(N('Dvd Calendar'!$AR$1303)=0,"",IF(('Dvd Calendar'!$AR$1303&gt;=GRID_FROM)*('Dvd Calendar'!$AR$1303&lt;=GRID_TO)*('Dvd Calendar'!$AR$1303&lt;=VAL_DATE)=0,"",'Dvd Calendar'!$AR$1303*1000000000+ISNUMBER('Dvd Calendar'!$AR$1306)*100000000+('Dvd Calendar'!$AR$1308=SPECIAL_LBL)*10000000+0*1000000+18*1000+40))</f>
        <v/>
      </c>
      <c r="FS133" s="35">
        <f>IF(N('Dvd Calendar'!$E$1310)=0,"",IF(('Dvd Calendar'!$E$1310&gt;=GRID_FROM)*('Dvd Calendar'!$E$1310&lt;=GRID_TO)*('Dvd Calendar'!$E$1310&gt;VAL_DATE)=0,"",'Dvd Calendar'!$E$1310*1000000000+ISNUMBER('Dvd Calendar'!$E$1311)*100000000+0*10000000+(N('Dvd Calendar'!$E$1309)&gt;0)*(N('Dvd Calendar'!$E$1309)&lt;=VAL_SERIAL)*1000000+18*1000+41))</f>
        <v/>
      </c>
      <c r="FT133" s="35">
        <f>IF(N('Dvd Calendar'!$F$1310)=0,"",IF(('Dvd Calendar'!$F$1310&gt;=GRID_FROM)*('Dvd Calendar'!$F$1310&lt;=GRID_TO)*('Dvd Calendar'!$F$1310&gt;VAL_DATE)=0,"",'Dvd Calendar'!$F$1310*1000000000+ISNUMBER('Dvd Calendar'!$F$1311)*100000000+0*10000000+(N('Dvd Calendar'!$F$1309)&gt;0)*(N('Dvd Calendar'!$F$1309)&lt;=VAL_SERIAL)*1000000+18*1000+42))</f>
        <v/>
      </c>
      <c r="FU133" s="35">
        <f>IF(N('Dvd Calendar'!$G$1310)=0,"",IF(('Dvd Calendar'!$G$1310&gt;=GRID_FROM)*('Dvd Calendar'!$G$1310&lt;=GRID_TO)*('Dvd Calendar'!$G$1310&gt;VAL_DATE)=0,"",'Dvd Calendar'!$G$1310*1000000000+ISNUMBER('Dvd Calendar'!$G$1311)*100000000+0*10000000+(N('Dvd Calendar'!$G$1309)&gt;0)*(N('Dvd Calendar'!$G$1309)&lt;=VAL_SERIAL)*1000000+18*1000+43))</f>
        <v/>
      </c>
      <c r="FV133" s="35">
        <f>IF(N('Dvd Calendar'!$H$1310)=0,"",IF(('Dvd Calendar'!$H$1310&gt;=GRID_FROM)*('Dvd Calendar'!$H$1310&lt;=GRID_TO)*('Dvd Calendar'!$H$1310&gt;VAL_DATE)=0,"",'Dvd Calendar'!$H$1310*1000000000+ISNUMBER('Dvd Calendar'!$H$1311)*100000000+0*10000000+(N('Dvd Calendar'!$H$1309)&gt;0)*(N('Dvd Calendar'!$H$1309)&lt;=VAL_SERIAL)*1000000+18*1000+44))</f>
        <v/>
      </c>
      <c r="FW133" s="35">
        <f>IF(N('Dvd Calendar'!$I$1310)=0,"",IF(('Dvd Calendar'!$I$1310&gt;=GRID_FROM)*('Dvd Calendar'!$I$1310&lt;=GRID_TO)*('Dvd Calendar'!$I$1310&gt;VAL_DATE)=0,"",'Dvd Calendar'!$I$1310*1000000000+ISNUMBER('Dvd Calendar'!$I$1311)*100000000+0*10000000+(N('Dvd Calendar'!$I$1309)&gt;0)*(N('Dvd Calendar'!$I$1309)&lt;=VAL_SERIAL)*1000000+18*1000+45))</f>
        <v/>
      </c>
      <c r="FX133" s="35">
        <f>IF(N('Dvd Calendar'!$J$1310)=0,"",IF(('Dvd Calendar'!$J$1310&gt;=GRID_FROM)*('Dvd Calendar'!$J$1310&lt;=GRID_TO)*('Dvd Calendar'!$J$1310&gt;VAL_DATE)=0,"",'Dvd Calendar'!$J$1310*1000000000+ISNUMBER('Dvd Calendar'!$J$1311)*100000000+0*10000000+(N('Dvd Calendar'!$J$1309)&gt;0)*(N('Dvd Calendar'!$J$1309)&lt;=VAL_SERIAL)*1000000+18*1000+46))</f>
        <v/>
      </c>
      <c r="FY133" s="35">
        <f>IF(N('Dvd Calendar'!$K$1310)=0,"",IF(('Dvd Calendar'!$K$1310&gt;=GRID_FROM)*('Dvd Calendar'!$K$1310&lt;=GRID_TO)*('Dvd Calendar'!$K$1310&gt;VAL_DATE)=0,"",'Dvd Calendar'!$K$1310*1000000000+ISNUMBER('Dvd Calendar'!$K$1311)*100000000+0*10000000+(N('Dvd Calendar'!$K$1309)&gt;0)*(N('Dvd Calendar'!$K$1309)&lt;=VAL_SERIAL)*1000000+18*1000+47))</f>
        <v/>
      </c>
      <c r="FZ133" s="35">
        <f>IF(N('Dvd Calendar'!$L$1310)=0,"",IF(('Dvd Calendar'!$L$1310&gt;=GRID_FROM)*('Dvd Calendar'!$L$1310&lt;=GRID_TO)*('Dvd Calendar'!$L$1310&gt;VAL_DATE)=0,"",'Dvd Calendar'!$L$1310*1000000000+ISNUMBER('Dvd Calendar'!$L$1311)*100000000+0*10000000+(N('Dvd Calendar'!$L$1309)&gt;0)*(N('Dvd Calendar'!$L$1309)&lt;=VAL_SERIAL)*1000000+18*1000+48))</f>
        <v/>
      </c>
      <c r="GA133" s="35">
        <f>IF(N('Dvd Calendar'!$M$1310)=0,"",IF(('Dvd Calendar'!$M$1310&gt;=GRID_FROM)*('Dvd Calendar'!$M$1310&lt;=GRID_TO)*('Dvd Calendar'!$M$1310&gt;VAL_DATE)=0,"",'Dvd Calendar'!$M$1310*1000000000+ISNUMBER('Dvd Calendar'!$M$1311)*100000000+0*10000000+(N('Dvd Calendar'!$M$1309)&gt;0)*(N('Dvd Calendar'!$M$1309)&lt;=VAL_SERIAL)*1000000+18*1000+49))</f>
        <v/>
      </c>
      <c r="GB133" s="35">
        <f>IF(N('Dvd Calendar'!$N$1310)=0,"",IF(('Dvd Calendar'!$N$1310&gt;=GRID_FROM)*('Dvd Calendar'!$N$1310&lt;=GRID_TO)*('Dvd Calendar'!$N$1310&gt;VAL_DATE)=0,"",'Dvd Calendar'!$N$1310*1000000000+ISNUMBER('Dvd Calendar'!$N$1311)*100000000+0*10000000+(N('Dvd Calendar'!$N$1309)&gt;0)*(N('Dvd Calendar'!$N$1309)&lt;=VAL_SERIAL)*1000000+18*1000+50))</f>
        <v/>
      </c>
      <c r="GC133" s="35">
        <f>IF(N('Dvd Calendar'!$O$1310)=0,"",IF(('Dvd Calendar'!$O$1310&gt;=GRID_FROM)*('Dvd Calendar'!$O$1310&lt;=GRID_TO)*('Dvd Calendar'!$O$1310&gt;VAL_DATE)=0,"",'Dvd Calendar'!$O$1310*1000000000+ISNUMBER('Dvd Calendar'!$O$1311)*100000000+0*10000000+(N('Dvd Calendar'!$O$1309)&gt;0)*(N('Dvd Calendar'!$O$1309)&lt;=VAL_SERIAL)*1000000+18*1000+51))</f>
        <v/>
      </c>
      <c r="GD133" s="35">
        <f>IF(N('Dvd Calendar'!$P$1310)=0,"",IF(('Dvd Calendar'!$P$1310&gt;=GRID_FROM)*('Dvd Calendar'!$P$1310&lt;=GRID_TO)*('Dvd Calendar'!$P$1310&gt;VAL_DATE)=0,"",'Dvd Calendar'!$P$1310*1000000000+ISNUMBER('Dvd Calendar'!$P$1311)*100000000+0*10000000+(N('Dvd Calendar'!$P$1309)&gt;0)*(N('Dvd Calendar'!$P$1309)&lt;=VAL_SERIAL)*1000000+18*1000+52))</f>
        <v/>
      </c>
      <c r="GE133" s="35">
        <f>IF(N('Dvd Calendar'!$Q$1310)=0,"",IF(('Dvd Calendar'!$Q$1310&gt;=GRID_FROM)*('Dvd Calendar'!$Q$1310&lt;=GRID_TO)*('Dvd Calendar'!$Q$1310&gt;VAL_DATE)=0,"",'Dvd Calendar'!$Q$1310*1000000000+ISNUMBER('Dvd Calendar'!$Q$1311)*100000000+0*10000000+(N('Dvd Calendar'!$Q$1309)&gt;0)*(N('Dvd Calendar'!$Q$1309)&lt;=VAL_SERIAL)*1000000+18*1000+53))</f>
        <v/>
      </c>
      <c r="GF133" s="35">
        <f>IF(N('Dvd Calendar'!$R$1310)=0,"",IF(('Dvd Calendar'!$R$1310&gt;=GRID_FROM)*('Dvd Calendar'!$R$1310&lt;=GRID_TO)*('Dvd Calendar'!$R$1310&gt;VAL_DATE)=0,"",'Dvd Calendar'!$R$1310*1000000000+ISNUMBER('Dvd Calendar'!$R$1311)*100000000+0*10000000+(N('Dvd Calendar'!$R$1309)&gt;0)*(N('Dvd Calendar'!$R$1309)&lt;=VAL_SERIAL)*1000000+18*1000+54))</f>
        <v/>
      </c>
      <c r="GG133" s="35">
        <f>IF(N('Dvd Calendar'!$S$1310)=0,"",IF(('Dvd Calendar'!$S$1310&gt;=GRID_FROM)*('Dvd Calendar'!$S$1310&lt;=GRID_TO)*('Dvd Calendar'!$S$1310&gt;VAL_DATE)=0,"",'Dvd Calendar'!$S$1310*1000000000+ISNUMBER('Dvd Calendar'!$S$1311)*100000000+0*10000000+(N('Dvd Calendar'!$S$1309)&gt;0)*(N('Dvd Calendar'!$S$1309)&lt;=VAL_SERIAL)*1000000+18*1000+55))</f>
        <v/>
      </c>
      <c r="GH133" s="35">
        <f>IF(N('Dvd Calendar'!$T$1310)=0,"",IF(('Dvd Calendar'!$T$1310&gt;=GRID_FROM)*('Dvd Calendar'!$T$1310&lt;=GRID_TO)*('Dvd Calendar'!$T$1310&gt;VAL_DATE)=0,"",'Dvd Calendar'!$T$1310*1000000000+ISNUMBER('Dvd Calendar'!$T$1311)*100000000+0*10000000+(N('Dvd Calendar'!$T$1309)&gt;0)*(N('Dvd Calendar'!$T$1309)&lt;=VAL_SERIAL)*1000000+18*1000+56))</f>
        <v/>
      </c>
      <c r="GI133" s="35">
        <f>IF(N('Dvd Calendar'!$U$1310)=0,"",IF(('Dvd Calendar'!$U$1310&gt;=GRID_FROM)*('Dvd Calendar'!$U$1310&lt;=GRID_TO)*('Dvd Calendar'!$U$1310&gt;VAL_DATE)=0,"",'Dvd Calendar'!$U$1310*1000000000+ISNUMBER('Dvd Calendar'!$U$1311)*100000000+0*10000000+(N('Dvd Calendar'!$U$1309)&gt;0)*(N('Dvd Calendar'!$U$1309)&lt;=VAL_SERIAL)*1000000+18*1000+57))</f>
        <v/>
      </c>
      <c r="GJ133" s="35">
        <f>IF(N('Dvd Calendar'!$V$1310)=0,"",IF(('Dvd Calendar'!$V$1310&gt;=GRID_FROM)*('Dvd Calendar'!$V$1310&lt;=GRID_TO)*('Dvd Calendar'!$V$1310&gt;VAL_DATE)=0,"",'Dvd Calendar'!$V$1310*1000000000+ISNUMBER('Dvd Calendar'!$V$1311)*100000000+0*10000000+(N('Dvd Calendar'!$V$1309)&gt;0)*(N('Dvd Calendar'!$V$1309)&lt;=VAL_SERIAL)*1000000+18*1000+58))</f>
        <v/>
      </c>
      <c r="GK133" s="35">
        <f>IF(N('Dvd Calendar'!$W$1310)=0,"",IF(('Dvd Calendar'!$W$1310&gt;=GRID_FROM)*('Dvd Calendar'!$W$1310&lt;=GRID_TO)*('Dvd Calendar'!$W$1310&gt;VAL_DATE)=0,"",'Dvd Calendar'!$W$1310*1000000000+ISNUMBER('Dvd Calendar'!$W$1311)*100000000+0*10000000+(N('Dvd Calendar'!$W$1309)&gt;0)*(N('Dvd Calendar'!$W$1309)&lt;=VAL_SERIAL)*1000000+18*1000+59))</f>
        <v/>
      </c>
      <c r="GL133" s="35">
        <f>IF(N('Dvd Calendar'!$X$1310)=0,"",IF(('Dvd Calendar'!$X$1310&gt;=GRID_FROM)*('Dvd Calendar'!$X$1310&lt;=GRID_TO)*('Dvd Calendar'!$X$1310&gt;VAL_DATE)=0,"",'Dvd Calendar'!$X$1310*1000000000+ISNUMBER('Dvd Calendar'!$X$1311)*100000000+0*10000000+(N('Dvd Calendar'!$X$1309)&gt;0)*(N('Dvd Calendar'!$X$1309)&lt;=VAL_SERIAL)*1000000+18*1000+60))</f>
        <v/>
      </c>
      <c r="GM133" s="35">
        <f>IF(N('Dvd Calendar'!$Y$1310)=0,"",IF(('Dvd Calendar'!$Y$1310&gt;=GRID_FROM)*('Dvd Calendar'!$Y$1310&lt;=GRID_TO)*('Dvd Calendar'!$Y$1310&gt;VAL_DATE)=0,"",'Dvd Calendar'!$Y$1310*1000000000+ISNUMBER('Dvd Calendar'!$Y$1311)*100000000+0*10000000+(N('Dvd Calendar'!$Y$1309)&gt;0)*(N('Dvd Calendar'!$Y$1309)&lt;=VAL_SERIAL)*1000000+18*1000+61))</f>
        <v/>
      </c>
      <c r="GN133" s="35">
        <f>IF(N('Dvd Calendar'!$Z$1310)=0,"",IF(('Dvd Calendar'!$Z$1310&gt;=GRID_FROM)*('Dvd Calendar'!$Z$1310&lt;=GRID_TO)*('Dvd Calendar'!$Z$1310&gt;VAL_DATE)=0,"",'Dvd Calendar'!$Z$1310*1000000000+ISNUMBER('Dvd Calendar'!$Z$1311)*100000000+0*10000000+(N('Dvd Calendar'!$Z$1309)&gt;0)*(N('Dvd Calendar'!$Z$1309)&lt;=VAL_SERIAL)*1000000+18*1000+62))</f>
        <v/>
      </c>
      <c r="GO133" s="35">
        <f>IF(N('Dvd Calendar'!$AA$1310)=0,"",IF(('Dvd Calendar'!$AA$1310&gt;=GRID_FROM)*('Dvd Calendar'!$AA$1310&lt;=GRID_TO)*('Dvd Calendar'!$AA$1310&gt;VAL_DATE)=0,"",'Dvd Calendar'!$AA$1310*1000000000+ISNUMBER('Dvd Calendar'!$AA$1311)*100000000+0*10000000+(N('Dvd Calendar'!$AA$1309)&gt;0)*(N('Dvd Calendar'!$AA$1309)&lt;=VAL_SERIAL)*1000000+18*1000+63))</f>
        <v/>
      </c>
      <c r="GP133" s="35">
        <f>IF(N('Dvd Calendar'!$AB$1310)=0,"",IF(('Dvd Calendar'!$AB$1310&gt;=GRID_FROM)*('Dvd Calendar'!$AB$1310&lt;=GRID_TO)*('Dvd Calendar'!$AB$1310&gt;VAL_DATE)=0,"",'Dvd Calendar'!$AB$1310*1000000000+ISNUMBER('Dvd Calendar'!$AB$1311)*100000000+0*10000000+(N('Dvd Calendar'!$AB$1309)&gt;0)*(N('Dvd Calendar'!$AB$1309)&lt;=VAL_SERIAL)*1000000+18*1000+64))</f>
        <v/>
      </c>
      <c r="GQ133" s="35">
        <f>IF(N('Dvd Calendar'!$AC$1310)=0,"",IF(('Dvd Calendar'!$AC$1310&gt;=GRID_FROM)*('Dvd Calendar'!$AC$1310&lt;=GRID_TO)*('Dvd Calendar'!$AC$1310&gt;VAL_DATE)=0,"",'Dvd Calendar'!$AC$1310*1000000000+ISNUMBER('Dvd Calendar'!$AC$1311)*100000000+0*10000000+(N('Dvd Calendar'!$AC$1309)&gt;0)*(N('Dvd Calendar'!$AC$1309)&lt;=VAL_SERIAL)*1000000+18*1000+65))</f>
        <v/>
      </c>
    </row>
    <row r="134">
      <c r="B134" s="2">
        <f>IF(HSTECH!$C$25="","",HSTECH!$C$25)</f>
        <v/>
      </c>
      <c r="C134" s="106">
        <f>IF(EE134="","",IF(ISNUMBER('Dvd Calendar'!$E$1317)=FALSE,"",IF((('Dvd Calendar'!$E$1319=TYPE1)*(TYPE1&lt;&gt;"")+('Dvd Calendar'!$E$1319=TYPE2)*(TYPE2&lt;&gt;"")+('Dvd Calendar'!$E$1319=TYPE3)*(TYPE3&lt;&gt;"")+('Dvd Calendar'!$E$1319=TYPE4)*(TYPE4&lt;&gt;"")+('Dvd Calendar'!$E$1319=SPECIAL_LBL)*(INC_SPECIALS="Y"))=0,"",'Dvd Calendar'!$E$1317)))</f>
        <v/>
      </c>
      <c r="D134" s="106">
        <f>IF(EF134="","",IF(ISNUMBER('Dvd Calendar'!$F$1317)=FALSE,"",IF((('Dvd Calendar'!$F$1319=TYPE1)*(TYPE1&lt;&gt;"")+('Dvd Calendar'!$F$1319=TYPE2)*(TYPE2&lt;&gt;"")+('Dvd Calendar'!$F$1319=TYPE3)*(TYPE3&lt;&gt;"")+('Dvd Calendar'!$F$1319=TYPE4)*(TYPE4&lt;&gt;"")+('Dvd Calendar'!$F$1319=SPECIAL_LBL)*(INC_SPECIALS="Y"))=0,"",'Dvd Calendar'!$F$1317)))</f>
        <v/>
      </c>
      <c r="E134" s="106">
        <f>IF(EG134="","",IF(ISNUMBER('Dvd Calendar'!$G$1317)=FALSE,"",IF((('Dvd Calendar'!$G$1319=TYPE1)*(TYPE1&lt;&gt;"")+('Dvd Calendar'!$G$1319=TYPE2)*(TYPE2&lt;&gt;"")+('Dvd Calendar'!$G$1319=TYPE3)*(TYPE3&lt;&gt;"")+('Dvd Calendar'!$G$1319=TYPE4)*(TYPE4&lt;&gt;"")+('Dvd Calendar'!$G$1319=SPECIAL_LBL)*(INC_SPECIALS="Y"))=0,"",'Dvd Calendar'!$G$1317)))</f>
        <v/>
      </c>
      <c r="F134" s="106">
        <f>IF(EH134="","",IF(ISNUMBER('Dvd Calendar'!$H$1317)=FALSE,"",IF((('Dvd Calendar'!$H$1319=TYPE1)*(TYPE1&lt;&gt;"")+('Dvd Calendar'!$H$1319=TYPE2)*(TYPE2&lt;&gt;"")+('Dvd Calendar'!$H$1319=TYPE3)*(TYPE3&lt;&gt;"")+('Dvd Calendar'!$H$1319=TYPE4)*(TYPE4&lt;&gt;"")+('Dvd Calendar'!$H$1319=SPECIAL_LBL)*(INC_SPECIALS="Y"))=0,"",'Dvd Calendar'!$H$1317)))</f>
        <v/>
      </c>
      <c r="G134" s="106">
        <f>IF(EI134="","",IF(ISNUMBER('Dvd Calendar'!$I$1317)=FALSE,"",IF((('Dvd Calendar'!$I$1319=TYPE1)*(TYPE1&lt;&gt;"")+('Dvd Calendar'!$I$1319=TYPE2)*(TYPE2&lt;&gt;"")+('Dvd Calendar'!$I$1319=TYPE3)*(TYPE3&lt;&gt;"")+('Dvd Calendar'!$I$1319=TYPE4)*(TYPE4&lt;&gt;"")+('Dvd Calendar'!$I$1319=SPECIAL_LBL)*(INC_SPECIALS="Y"))=0,"",'Dvd Calendar'!$I$1317)))</f>
        <v/>
      </c>
      <c r="H134" s="106">
        <f>IF(EJ134="","",IF(ISNUMBER('Dvd Calendar'!$J$1317)=FALSE,"",IF((('Dvd Calendar'!$J$1319=TYPE1)*(TYPE1&lt;&gt;"")+('Dvd Calendar'!$J$1319=TYPE2)*(TYPE2&lt;&gt;"")+('Dvd Calendar'!$J$1319=TYPE3)*(TYPE3&lt;&gt;"")+('Dvd Calendar'!$J$1319=TYPE4)*(TYPE4&lt;&gt;"")+('Dvd Calendar'!$J$1319=SPECIAL_LBL)*(INC_SPECIALS="Y"))=0,"",'Dvd Calendar'!$J$1317)))</f>
        <v/>
      </c>
      <c r="I134" s="106">
        <f>IF(EK134="","",IF(ISNUMBER('Dvd Calendar'!$K$1317)=FALSE,"",IF((('Dvd Calendar'!$K$1319=TYPE1)*(TYPE1&lt;&gt;"")+('Dvd Calendar'!$K$1319=TYPE2)*(TYPE2&lt;&gt;"")+('Dvd Calendar'!$K$1319=TYPE3)*(TYPE3&lt;&gt;"")+('Dvd Calendar'!$K$1319=TYPE4)*(TYPE4&lt;&gt;"")+('Dvd Calendar'!$K$1319=SPECIAL_LBL)*(INC_SPECIALS="Y"))=0,"",'Dvd Calendar'!$K$1317)))</f>
        <v/>
      </c>
      <c r="J134" s="106">
        <f>IF(EL134="","",IF(ISNUMBER('Dvd Calendar'!$L$1317)=FALSE,"",IF((('Dvd Calendar'!$L$1319=TYPE1)*(TYPE1&lt;&gt;"")+('Dvd Calendar'!$L$1319=TYPE2)*(TYPE2&lt;&gt;"")+('Dvd Calendar'!$L$1319=TYPE3)*(TYPE3&lt;&gt;"")+('Dvd Calendar'!$L$1319=TYPE4)*(TYPE4&lt;&gt;"")+('Dvd Calendar'!$L$1319=SPECIAL_LBL)*(INC_SPECIALS="Y"))=0,"",'Dvd Calendar'!$L$1317)))</f>
        <v/>
      </c>
      <c r="K134" s="106">
        <f>IF(EM134="","",IF(ISNUMBER('Dvd Calendar'!$M$1317)=FALSE,"",IF((('Dvd Calendar'!$M$1319=TYPE1)*(TYPE1&lt;&gt;"")+('Dvd Calendar'!$M$1319=TYPE2)*(TYPE2&lt;&gt;"")+('Dvd Calendar'!$M$1319=TYPE3)*(TYPE3&lt;&gt;"")+('Dvd Calendar'!$M$1319=TYPE4)*(TYPE4&lt;&gt;"")+('Dvd Calendar'!$M$1319=SPECIAL_LBL)*(INC_SPECIALS="Y"))=0,"",'Dvd Calendar'!$M$1317)))</f>
        <v/>
      </c>
      <c r="L134" s="106">
        <f>IF(EN134="","",IF(ISNUMBER('Dvd Calendar'!$N$1317)=FALSE,"",IF((('Dvd Calendar'!$N$1319=TYPE1)*(TYPE1&lt;&gt;"")+('Dvd Calendar'!$N$1319=TYPE2)*(TYPE2&lt;&gt;"")+('Dvd Calendar'!$N$1319=TYPE3)*(TYPE3&lt;&gt;"")+('Dvd Calendar'!$N$1319=TYPE4)*(TYPE4&lt;&gt;"")+('Dvd Calendar'!$N$1319=SPECIAL_LBL)*(INC_SPECIALS="Y"))=0,"",'Dvd Calendar'!$N$1317)))</f>
        <v/>
      </c>
      <c r="M134" s="106">
        <f>IF(EO134="","",IF(ISNUMBER('Dvd Calendar'!$O$1317)=FALSE,"",IF((('Dvd Calendar'!$O$1319=TYPE1)*(TYPE1&lt;&gt;"")+('Dvd Calendar'!$O$1319=TYPE2)*(TYPE2&lt;&gt;"")+('Dvd Calendar'!$O$1319=TYPE3)*(TYPE3&lt;&gt;"")+('Dvd Calendar'!$O$1319=TYPE4)*(TYPE4&lt;&gt;"")+('Dvd Calendar'!$O$1319=SPECIAL_LBL)*(INC_SPECIALS="Y"))=0,"",'Dvd Calendar'!$O$1317)))</f>
        <v/>
      </c>
      <c r="N134" s="106">
        <f>IF(EP134="","",IF(ISNUMBER('Dvd Calendar'!$P$1317)=FALSE,"",IF((('Dvd Calendar'!$P$1319=TYPE1)*(TYPE1&lt;&gt;"")+('Dvd Calendar'!$P$1319=TYPE2)*(TYPE2&lt;&gt;"")+('Dvd Calendar'!$P$1319=TYPE3)*(TYPE3&lt;&gt;"")+('Dvd Calendar'!$P$1319=TYPE4)*(TYPE4&lt;&gt;"")+('Dvd Calendar'!$P$1319=SPECIAL_LBL)*(INC_SPECIALS="Y"))=0,"",'Dvd Calendar'!$P$1317)))</f>
        <v/>
      </c>
      <c r="O134" s="106">
        <f>IF(EQ134="","",IF(ISNUMBER('Dvd Calendar'!$Q$1317)=FALSE,"",IF((('Dvd Calendar'!$Q$1319=TYPE1)*(TYPE1&lt;&gt;"")+('Dvd Calendar'!$Q$1319=TYPE2)*(TYPE2&lt;&gt;"")+('Dvd Calendar'!$Q$1319=TYPE3)*(TYPE3&lt;&gt;"")+('Dvd Calendar'!$Q$1319=TYPE4)*(TYPE4&lt;&gt;"")+('Dvd Calendar'!$Q$1319=SPECIAL_LBL)*(INC_SPECIALS="Y"))=0,"",'Dvd Calendar'!$Q$1317)))</f>
        <v/>
      </c>
      <c r="P134" s="106">
        <f>IF(ER134="","",IF(ISNUMBER('Dvd Calendar'!$R$1317)=FALSE,"",IF((('Dvd Calendar'!$R$1319=TYPE1)*(TYPE1&lt;&gt;"")+('Dvd Calendar'!$R$1319=TYPE2)*(TYPE2&lt;&gt;"")+('Dvd Calendar'!$R$1319=TYPE3)*(TYPE3&lt;&gt;"")+('Dvd Calendar'!$R$1319=TYPE4)*(TYPE4&lt;&gt;"")+('Dvd Calendar'!$R$1319=SPECIAL_LBL)*(INC_SPECIALS="Y"))=0,"",'Dvd Calendar'!$R$1317)))</f>
        <v/>
      </c>
      <c r="Q134" s="106">
        <f>IF(ES134="","",IF(ISNUMBER('Dvd Calendar'!$S$1317)=FALSE,"",IF((('Dvd Calendar'!$S$1319=TYPE1)*(TYPE1&lt;&gt;"")+('Dvd Calendar'!$S$1319=TYPE2)*(TYPE2&lt;&gt;"")+('Dvd Calendar'!$S$1319=TYPE3)*(TYPE3&lt;&gt;"")+('Dvd Calendar'!$S$1319=TYPE4)*(TYPE4&lt;&gt;"")+('Dvd Calendar'!$S$1319=SPECIAL_LBL)*(INC_SPECIALS="Y"))=0,"",'Dvd Calendar'!$S$1317)))</f>
        <v/>
      </c>
      <c r="R134" s="106">
        <f>IF(ET134="","",IF(ISNUMBER('Dvd Calendar'!$T$1317)=FALSE,"",IF((('Dvd Calendar'!$T$1319=TYPE1)*(TYPE1&lt;&gt;"")+('Dvd Calendar'!$T$1319=TYPE2)*(TYPE2&lt;&gt;"")+('Dvd Calendar'!$T$1319=TYPE3)*(TYPE3&lt;&gt;"")+('Dvd Calendar'!$T$1319=TYPE4)*(TYPE4&lt;&gt;"")+('Dvd Calendar'!$T$1319=SPECIAL_LBL)*(INC_SPECIALS="Y"))=0,"",'Dvd Calendar'!$T$1317)))</f>
        <v/>
      </c>
      <c r="S134" s="106">
        <f>IF(EU134="","",IF(ISNUMBER('Dvd Calendar'!$U$1317)=FALSE,"",IF((('Dvd Calendar'!$U$1319=TYPE1)*(TYPE1&lt;&gt;"")+('Dvd Calendar'!$U$1319=TYPE2)*(TYPE2&lt;&gt;"")+('Dvd Calendar'!$U$1319=TYPE3)*(TYPE3&lt;&gt;"")+('Dvd Calendar'!$U$1319=TYPE4)*(TYPE4&lt;&gt;"")+('Dvd Calendar'!$U$1319=SPECIAL_LBL)*(INC_SPECIALS="Y"))=0,"",'Dvd Calendar'!$U$1317)))</f>
        <v/>
      </c>
      <c r="T134" s="106">
        <f>IF(EV134="","",IF(ISNUMBER('Dvd Calendar'!$V$1317)=FALSE,"",IF((('Dvd Calendar'!$V$1319=TYPE1)*(TYPE1&lt;&gt;"")+('Dvd Calendar'!$V$1319=TYPE2)*(TYPE2&lt;&gt;"")+('Dvd Calendar'!$V$1319=TYPE3)*(TYPE3&lt;&gt;"")+('Dvd Calendar'!$V$1319=TYPE4)*(TYPE4&lt;&gt;"")+('Dvd Calendar'!$V$1319=SPECIAL_LBL)*(INC_SPECIALS="Y"))=0,"",'Dvd Calendar'!$V$1317)))</f>
        <v/>
      </c>
      <c r="U134" s="106">
        <f>IF(EW134="","",IF(ISNUMBER('Dvd Calendar'!$W$1317)=FALSE,"",IF((('Dvd Calendar'!$W$1319=TYPE1)*(TYPE1&lt;&gt;"")+('Dvd Calendar'!$W$1319=TYPE2)*(TYPE2&lt;&gt;"")+('Dvd Calendar'!$W$1319=TYPE3)*(TYPE3&lt;&gt;"")+('Dvd Calendar'!$W$1319=TYPE4)*(TYPE4&lt;&gt;"")+('Dvd Calendar'!$W$1319=SPECIAL_LBL)*(INC_SPECIALS="Y"))=0,"",'Dvd Calendar'!$W$1317)))</f>
        <v/>
      </c>
      <c r="V134" s="106">
        <f>IF(EX134="","",IF(ISNUMBER('Dvd Calendar'!$X$1317)=FALSE,"",IF((('Dvd Calendar'!$X$1319=TYPE1)*(TYPE1&lt;&gt;"")+('Dvd Calendar'!$X$1319=TYPE2)*(TYPE2&lt;&gt;"")+('Dvd Calendar'!$X$1319=TYPE3)*(TYPE3&lt;&gt;"")+('Dvd Calendar'!$X$1319=TYPE4)*(TYPE4&lt;&gt;"")+('Dvd Calendar'!$X$1319=SPECIAL_LBL)*(INC_SPECIALS="Y"))=0,"",'Dvd Calendar'!$X$1317)))</f>
        <v/>
      </c>
      <c r="W134" s="106">
        <f>IF(EY134="","",IF(ISNUMBER('Dvd Calendar'!$Y$1317)=FALSE,"",IF((('Dvd Calendar'!$Y$1319=TYPE1)*(TYPE1&lt;&gt;"")+('Dvd Calendar'!$Y$1319=TYPE2)*(TYPE2&lt;&gt;"")+('Dvd Calendar'!$Y$1319=TYPE3)*(TYPE3&lt;&gt;"")+('Dvd Calendar'!$Y$1319=TYPE4)*(TYPE4&lt;&gt;"")+('Dvd Calendar'!$Y$1319=SPECIAL_LBL)*(INC_SPECIALS="Y"))=0,"",'Dvd Calendar'!$Y$1317)))</f>
        <v/>
      </c>
      <c r="X134" s="106">
        <f>IF(EZ134="","",IF(ISNUMBER('Dvd Calendar'!$Z$1317)=FALSE,"",IF((('Dvd Calendar'!$Z$1319=TYPE1)*(TYPE1&lt;&gt;"")+('Dvd Calendar'!$Z$1319=TYPE2)*(TYPE2&lt;&gt;"")+('Dvd Calendar'!$Z$1319=TYPE3)*(TYPE3&lt;&gt;"")+('Dvd Calendar'!$Z$1319=TYPE4)*(TYPE4&lt;&gt;"")+('Dvd Calendar'!$Z$1319=SPECIAL_LBL)*(INC_SPECIALS="Y"))=0,"",'Dvd Calendar'!$Z$1317)))</f>
        <v/>
      </c>
      <c r="Y134" s="106">
        <f>IF(FA134="","",IF(ISNUMBER('Dvd Calendar'!$AA$1317)=FALSE,"",IF((('Dvd Calendar'!$AA$1319=TYPE1)*(TYPE1&lt;&gt;"")+('Dvd Calendar'!$AA$1319=TYPE2)*(TYPE2&lt;&gt;"")+('Dvd Calendar'!$AA$1319=TYPE3)*(TYPE3&lt;&gt;"")+('Dvd Calendar'!$AA$1319=TYPE4)*(TYPE4&lt;&gt;"")+('Dvd Calendar'!$AA$1319=SPECIAL_LBL)*(INC_SPECIALS="Y"))=0,"",'Dvd Calendar'!$AA$1317)))</f>
        <v/>
      </c>
      <c r="Z134" s="106">
        <f>IF(FB134="","",IF(ISNUMBER('Dvd Calendar'!$AB$1317)=FALSE,"",IF((('Dvd Calendar'!$AB$1319=TYPE1)*(TYPE1&lt;&gt;"")+('Dvd Calendar'!$AB$1319=TYPE2)*(TYPE2&lt;&gt;"")+('Dvd Calendar'!$AB$1319=TYPE3)*(TYPE3&lt;&gt;"")+('Dvd Calendar'!$AB$1319=TYPE4)*(TYPE4&lt;&gt;"")+('Dvd Calendar'!$AB$1319=SPECIAL_LBL)*(INC_SPECIALS="Y"))=0,"",'Dvd Calendar'!$AB$1317)))</f>
        <v/>
      </c>
      <c r="AA134" s="106">
        <f>IF(FC134="","",IF(ISNUMBER('Dvd Calendar'!$AC$1317)=FALSE,"",IF((('Dvd Calendar'!$AC$1319=TYPE1)*(TYPE1&lt;&gt;"")+('Dvd Calendar'!$AC$1319=TYPE2)*(TYPE2&lt;&gt;"")+('Dvd Calendar'!$AC$1319=TYPE3)*(TYPE3&lt;&gt;"")+('Dvd Calendar'!$AC$1319=TYPE4)*(TYPE4&lt;&gt;"")+('Dvd Calendar'!$AC$1319=SPECIAL_LBL)*(INC_SPECIALS="Y"))=0,"",'Dvd Calendar'!$AC$1317)))</f>
        <v/>
      </c>
      <c r="AB134" s="106">
        <f>IF(FD134="","",IF(ISNUMBER('Dvd Calendar'!$AD$1317)=FALSE,"",IF((('Dvd Calendar'!$AD$1319=TYPE1)*(TYPE1&lt;&gt;"")+('Dvd Calendar'!$AD$1319=TYPE2)*(TYPE2&lt;&gt;"")+('Dvd Calendar'!$AD$1319=TYPE3)*(TYPE3&lt;&gt;"")+('Dvd Calendar'!$AD$1319=TYPE4)*(TYPE4&lt;&gt;"")+('Dvd Calendar'!$AD$1319=SPECIAL_LBL)*(INC_SPECIALS="Y"))=0,"",'Dvd Calendar'!$AD$1317)))</f>
        <v/>
      </c>
      <c r="AC134" s="106">
        <f>IF(FE134="","",IF(ISNUMBER('Dvd Calendar'!$AE$1317)=FALSE,"",IF((('Dvd Calendar'!$AE$1319=TYPE1)*(TYPE1&lt;&gt;"")+('Dvd Calendar'!$AE$1319=TYPE2)*(TYPE2&lt;&gt;"")+('Dvd Calendar'!$AE$1319=TYPE3)*(TYPE3&lt;&gt;"")+('Dvd Calendar'!$AE$1319=TYPE4)*(TYPE4&lt;&gt;"")+('Dvd Calendar'!$AE$1319=SPECIAL_LBL)*(INC_SPECIALS="Y"))=0,"",'Dvd Calendar'!$AE$1317)))</f>
        <v/>
      </c>
      <c r="AD134" s="106">
        <f>IF(FF134="","",IF(ISNUMBER('Dvd Calendar'!$AF$1317)=FALSE,"",IF((('Dvd Calendar'!$AF$1319=TYPE1)*(TYPE1&lt;&gt;"")+('Dvd Calendar'!$AF$1319=TYPE2)*(TYPE2&lt;&gt;"")+('Dvd Calendar'!$AF$1319=TYPE3)*(TYPE3&lt;&gt;"")+('Dvd Calendar'!$AF$1319=TYPE4)*(TYPE4&lt;&gt;"")+('Dvd Calendar'!$AF$1319=SPECIAL_LBL)*(INC_SPECIALS="Y"))=0,"",'Dvd Calendar'!$AF$1317)))</f>
        <v/>
      </c>
      <c r="AE134" s="106">
        <f>IF(FG134="","",IF(ISNUMBER('Dvd Calendar'!$AG$1317)=FALSE,"",IF((('Dvd Calendar'!$AG$1319=TYPE1)*(TYPE1&lt;&gt;"")+('Dvd Calendar'!$AG$1319=TYPE2)*(TYPE2&lt;&gt;"")+('Dvd Calendar'!$AG$1319=TYPE3)*(TYPE3&lt;&gt;"")+('Dvd Calendar'!$AG$1319=TYPE4)*(TYPE4&lt;&gt;"")+('Dvd Calendar'!$AG$1319=SPECIAL_LBL)*(INC_SPECIALS="Y"))=0,"",'Dvd Calendar'!$AG$1317)))</f>
        <v/>
      </c>
      <c r="AF134" s="106">
        <f>IF(FH134="","",IF(ISNUMBER('Dvd Calendar'!$AH$1317)=FALSE,"",IF((('Dvd Calendar'!$AH$1319=TYPE1)*(TYPE1&lt;&gt;"")+('Dvd Calendar'!$AH$1319=TYPE2)*(TYPE2&lt;&gt;"")+('Dvd Calendar'!$AH$1319=TYPE3)*(TYPE3&lt;&gt;"")+('Dvd Calendar'!$AH$1319=TYPE4)*(TYPE4&lt;&gt;"")+('Dvd Calendar'!$AH$1319=SPECIAL_LBL)*(INC_SPECIALS="Y"))=0,"",'Dvd Calendar'!$AH$1317)))</f>
        <v/>
      </c>
      <c r="AG134" s="106">
        <f>IF(FI134="","",IF(ISNUMBER('Dvd Calendar'!$AI$1317)=FALSE,"",IF((('Dvd Calendar'!$AI$1319=TYPE1)*(TYPE1&lt;&gt;"")+('Dvd Calendar'!$AI$1319=TYPE2)*(TYPE2&lt;&gt;"")+('Dvd Calendar'!$AI$1319=TYPE3)*(TYPE3&lt;&gt;"")+('Dvd Calendar'!$AI$1319=TYPE4)*(TYPE4&lt;&gt;"")+('Dvd Calendar'!$AI$1319=SPECIAL_LBL)*(INC_SPECIALS="Y"))=0,"",'Dvd Calendar'!$AI$1317)))</f>
        <v/>
      </c>
      <c r="AH134" s="106">
        <f>IF(FJ134="","",IF(ISNUMBER('Dvd Calendar'!$AJ$1317)=FALSE,"",IF((('Dvd Calendar'!$AJ$1319=TYPE1)*(TYPE1&lt;&gt;"")+('Dvd Calendar'!$AJ$1319=TYPE2)*(TYPE2&lt;&gt;"")+('Dvd Calendar'!$AJ$1319=TYPE3)*(TYPE3&lt;&gt;"")+('Dvd Calendar'!$AJ$1319=TYPE4)*(TYPE4&lt;&gt;"")+('Dvd Calendar'!$AJ$1319=SPECIAL_LBL)*(INC_SPECIALS="Y"))=0,"",'Dvd Calendar'!$AJ$1317)))</f>
        <v/>
      </c>
      <c r="AI134" s="106">
        <f>IF(FK134="","",IF(ISNUMBER('Dvd Calendar'!$AK$1317)=FALSE,"",IF((('Dvd Calendar'!$AK$1319=TYPE1)*(TYPE1&lt;&gt;"")+('Dvd Calendar'!$AK$1319=TYPE2)*(TYPE2&lt;&gt;"")+('Dvd Calendar'!$AK$1319=TYPE3)*(TYPE3&lt;&gt;"")+('Dvd Calendar'!$AK$1319=TYPE4)*(TYPE4&lt;&gt;"")+('Dvd Calendar'!$AK$1319=SPECIAL_LBL)*(INC_SPECIALS="Y"))=0,"",'Dvd Calendar'!$AK$1317)))</f>
        <v/>
      </c>
      <c r="AJ134" s="106">
        <f>IF(FL134="","",IF(ISNUMBER('Dvd Calendar'!$AL$1317)=FALSE,"",IF((('Dvd Calendar'!$AL$1319=TYPE1)*(TYPE1&lt;&gt;"")+('Dvd Calendar'!$AL$1319=TYPE2)*(TYPE2&lt;&gt;"")+('Dvd Calendar'!$AL$1319=TYPE3)*(TYPE3&lt;&gt;"")+('Dvd Calendar'!$AL$1319=TYPE4)*(TYPE4&lt;&gt;"")+('Dvd Calendar'!$AL$1319=SPECIAL_LBL)*(INC_SPECIALS="Y"))=0,"",'Dvd Calendar'!$AL$1317)))</f>
        <v/>
      </c>
      <c r="AK134" s="106">
        <f>IF(FM134="","",IF(ISNUMBER('Dvd Calendar'!$AM$1317)=FALSE,"",IF((('Dvd Calendar'!$AM$1319=TYPE1)*(TYPE1&lt;&gt;"")+('Dvd Calendar'!$AM$1319=TYPE2)*(TYPE2&lt;&gt;"")+('Dvd Calendar'!$AM$1319=TYPE3)*(TYPE3&lt;&gt;"")+('Dvd Calendar'!$AM$1319=TYPE4)*(TYPE4&lt;&gt;"")+('Dvd Calendar'!$AM$1319=SPECIAL_LBL)*(INC_SPECIALS="Y"))=0,"",'Dvd Calendar'!$AM$1317)))</f>
        <v/>
      </c>
      <c r="AL134" s="106">
        <f>IF(FN134="","",IF(ISNUMBER('Dvd Calendar'!$AN$1317)=FALSE,"",IF((('Dvd Calendar'!$AN$1319=TYPE1)*(TYPE1&lt;&gt;"")+('Dvd Calendar'!$AN$1319=TYPE2)*(TYPE2&lt;&gt;"")+('Dvd Calendar'!$AN$1319=TYPE3)*(TYPE3&lt;&gt;"")+('Dvd Calendar'!$AN$1319=TYPE4)*(TYPE4&lt;&gt;"")+('Dvd Calendar'!$AN$1319=SPECIAL_LBL)*(INC_SPECIALS="Y"))=0,"",'Dvd Calendar'!$AN$1317)))</f>
        <v/>
      </c>
      <c r="AM134" s="106">
        <f>IF(FO134="","",IF(ISNUMBER('Dvd Calendar'!$AO$1317)=FALSE,"",IF((('Dvd Calendar'!$AO$1319=TYPE1)*(TYPE1&lt;&gt;"")+('Dvd Calendar'!$AO$1319=TYPE2)*(TYPE2&lt;&gt;"")+('Dvd Calendar'!$AO$1319=TYPE3)*(TYPE3&lt;&gt;"")+('Dvd Calendar'!$AO$1319=TYPE4)*(TYPE4&lt;&gt;"")+('Dvd Calendar'!$AO$1319=SPECIAL_LBL)*(INC_SPECIALS="Y"))=0,"",'Dvd Calendar'!$AO$1317)))</f>
        <v/>
      </c>
      <c r="AN134" s="106">
        <f>IF(FP134="","",IF(ISNUMBER('Dvd Calendar'!$AP$1317)=FALSE,"",IF((('Dvd Calendar'!$AP$1319=TYPE1)*(TYPE1&lt;&gt;"")+('Dvd Calendar'!$AP$1319=TYPE2)*(TYPE2&lt;&gt;"")+('Dvd Calendar'!$AP$1319=TYPE3)*(TYPE3&lt;&gt;"")+('Dvd Calendar'!$AP$1319=TYPE4)*(TYPE4&lt;&gt;"")+('Dvd Calendar'!$AP$1319=SPECIAL_LBL)*(INC_SPECIALS="Y"))=0,"",'Dvd Calendar'!$AP$1317)))</f>
        <v/>
      </c>
      <c r="AO134" s="106">
        <f>IF(FQ134="","",IF(ISNUMBER('Dvd Calendar'!$AQ$1317)=FALSE,"",IF((('Dvd Calendar'!$AQ$1319=TYPE1)*(TYPE1&lt;&gt;"")+('Dvd Calendar'!$AQ$1319=TYPE2)*(TYPE2&lt;&gt;"")+('Dvd Calendar'!$AQ$1319=TYPE3)*(TYPE3&lt;&gt;"")+('Dvd Calendar'!$AQ$1319=TYPE4)*(TYPE4&lt;&gt;"")+('Dvd Calendar'!$AQ$1319=SPECIAL_LBL)*(INC_SPECIALS="Y"))=0,"",'Dvd Calendar'!$AQ$1317)))</f>
        <v/>
      </c>
      <c r="AP134" s="106">
        <f>IF(FR134="","",IF(ISNUMBER('Dvd Calendar'!$AR$1317)=FALSE,"",IF((('Dvd Calendar'!$AR$1319=TYPE1)*(TYPE1&lt;&gt;"")+('Dvd Calendar'!$AR$1319=TYPE2)*(TYPE2&lt;&gt;"")+('Dvd Calendar'!$AR$1319=TYPE3)*(TYPE3&lt;&gt;"")+('Dvd Calendar'!$AR$1319=TYPE4)*(TYPE4&lt;&gt;"")+('Dvd Calendar'!$AR$1319=SPECIAL_LBL)*(INC_SPECIALS="Y"))=0,"",'Dvd Calendar'!$AR$1317)))</f>
        <v/>
      </c>
      <c r="AQ134" s="106">
        <f>IF(FS134="","",IF(ISNUMBER('Dvd Calendar'!$E$1322)=FALSE,"",'Dvd Calendar'!$E$1322))</f>
        <v/>
      </c>
      <c r="AR134" s="106">
        <f>IF(FT134="","",IF(ISNUMBER('Dvd Calendar'!$F$1322)=FALSE,"",'Dvd Calendar'!$F$1322))</f>
        <v/>
      </c>
      <c r="AS134" s="106">
        <f>IF(FU134="","",IF(ISNUMBER('Dvd Calendar'!$G$1322)=FALSE,"",'Dvd Calendar'!$G$1322))</f>
        <v/>
      </c>
      <c r="AT134" s="106">
        <f>IF(FV134="","",IF(ISNUMBER('Dvd Calendar'!$H$1322)=FALSE,"",'Dvd Calendar'!$H$1322))</f>
        <v/>
      </c>
      <c r="AU134" s="106">
        <f>IF(FW134="","",IF(ISNUMBER('Dvd Calendar'!$I$1322)=FALSE,"",'Dvd Calendar'!$I$1322))</f>
        <v/>
      </c>
      <c r="AV134" s="106">
        <f>IF(FX134="","",IF(ISNUMBER('Dvd Calendar'!$J$1322)=FALSE,"",'Dvd Calendar'!$J$1322))</f>
        <v/>
      </c>
      <c r="AW134" s="106">
        <f>IF(FY134="","",IF(ISNUMBER('Dvd Calendar'!$K$1322)=FALSE,"",'Dvd Calendar'!$K$1322))</f>
        <v/>
      </c>
      <c r="AX134" s="106">
        <f>IF(FZ134="","",IF(ISNUMBER('Dvd Calendar'!$L$1322)=FALSE,"",'Dvd Calendar'!$L$1322))</f>
        <v/>
      </c>
      <c r="AY134" s="106">
        <f>IF(GA134="","",IF(ISNUMBER('Dvd Calendar'!$M$1322)=FALSE,"",'Dvd Calendar'!$M$1322))</f>
        <v/>
      </c>
      <c r="AZ134" s="106">
        <f>IF(GB134="","",IF(ISNUMBER('Dvd Calendar'!$N$1322)=FALSE,"",'Dvd Calendar'!$N$1322))</f>
        <v/>
      </c>
      <c r="BA134" s="106">
        <f>IF(GC134="","",IF(ISNUMBER('Dvd Calendar'!$O$1322)=FALSE,"",'Dvd Calendar'!$O$1322))</f>
        <v/>
      </c>
      <c r="BB134" s="106">
        <f>IF(GD134="","",IF(ISNUMBER('Dvd Calendar'!$P$1322)=FALSE,"",'Dvd Calendar'!$P$1322))</f>
        <v/>
      </c>
      <c r="BC134" s="106">
        <f>IF(GE134="","",IF(ISNUMBER('Dvd Calendar'!$Q$1322)=FALSE,"",'Dvd Calendar'!$Q$1322))</f>
        <v/>
      </c>
      <c r="BD134" s="106">
        <f>IF(GF134="","",IF(ISNUMBER('Dvd Calendar'!$R$1322)=FALSE,"",'Dvd Calendar'!$R$1322))</f>
        <v/>
      </c>
      <c r="BE134" s="106">
        <f>IF(GG134="","",IF(ISNUMBER('Dvd Calendar'!$S$1322)=FALSE,"",'Dvd Calendar'!$S$1322))</f>
        <v/>
      </c>
      <c r="BF134" s="106">
        <f>IF(GH134="","",IF(ISNUMBER('Dvd Calendar'!$T$1322)=FALSE,"",'Dvd Calendar'!$T$1322))</f>
        <v/>
      </c>
      <c r="BG134" s="106">
        <f>IF(GI134="","",IF(ISNUMBER('Dvd Calendar'!$U$1322)=FALSE,"",'Dvd Calendar'!$U$1322))</f>
        <v/>
      </c>
      <c r="BH134" s="106">
        <f>IF(GJ134="","",IF(ISNUMBER('Dvd Calendar'!$V$1322)=FALSE,"",'Dvd Calendar'!$V$1322))</f>
        <v/>
      </c>
      <c r="BI134" s="106">
        <f>IF(GK134="","",IF(ISNUMBER('Dvd Calendar'!$W$1322)=FALSE,"",'Dvd Calendar'!$W$1322))</f>
        <v/>
      </c>
      <c r="BJ134" s="106">
        <f>IF(GL134="","",IF(ISNUMBER('Dvd Calendar'!$X$1322)=FALSE,"",'Dvd Calendar'!$X$1322))</f>
        <v/>
      </c>
      <c r="BK134" s="106">
        <f>IF(GM134="","",IF(ISNUMBER('Dvd Calendar'!$Y$1322)=FALSE,"",'Dvd Calendar'!$Y$1322))</f>
        <v/>
      </c>
      <c r="BL134" s="106">
        <f>IF(GN134="","",IF(ISNUMBER('Dvd Calendar'!$Z$1322)=FALSE,"",'Dvd Calendar'!$Z$1322))</f>
        <v/>
      </c>
      <c r="BM134" s="106">
        <f>IF(GO134="","",IF(ISNUMBER('Dvd Calendar'!$AA$1322)=FALSE,"",'Dvd Calendar'!$AA$1322))</f>
        <v/>
      </c>
      <c r="BN134" s="106">
        <f>IF(GP134="","",IF(ISNUMBER('Dvd Calendar'!$AB$1322)=FALSE,"",'Dvd Calendar'!$AB$1322))</f>
        <v/>
      </c>
      <c r="BO134" s="106">
        <f>IF(GQ134="","",IF(ISNUMBER('Dvd Calendar'!$AC$1322)=FALSE,"",'Dvd Calendar'!$AC$1322))</f>
        <v/>
      </c>
      <c r="BQ134" s="106">
        <f>IF(C134="","",IFERROR(C134*HSTECH!$B$25*HSTECH!$G$25/HSTECH!$B$3,""))</f>
        <v/>
      </c>
      <c r="BR134" s="106">
        <f>IF(D134="","",IFERROR(D134*HSTECH!$B$25*HSTECH!$G$25/HSTECH!$B$3,""))</f>
        <v/>
      </c>
      <c r="BS134" s="106">
        <f>IF(E134="","",IFERROR(E134*HSTECH!$B$25*HSTECH!$G$25/HSTECH!$B$3,""))</f>
        <v/>
      </c>
      <c r="BT134" s="106">
        <f>IF(F134="","",IFERROR(F134*HSTECH!$B$25*HSTECH!$G$25/HSTECH!$B$3,""))</f>
        <v/>
      </c>
      <c r="BU134" s="106">
        <f>IF(G134="","",IFERROR(G134*HSTECH!$B$25*HSTECH!$G$25/HSTECH!$B$3,""))</f>
        <v/>
      </c>
      <c r="BV134" s="106">
        <f>IF(H134="","",IFERROR(H134*HSTECH!$B$25*HSTECH!$G$25/HSTECH!$B$3,""))</f>
        <v/>
      </c>
      <c r="BW134" s="106">
        <f>IF(I134="","",IFERROR(I134*HSTECH!$B$25*HSTECH!$G$25/HSTECH!$B$3,""))</f>
        <v/>
      </c>
      <c r="BX134" s="106">
        <f>IF(J134="","",IFERROR(J134*HSTECH!$B$25*HSTECH!$G$25/HSTECH!$B$3,""))</f>
        <v/>
      </c>
      <c r="BY134" s="106">
        <f>IF(K134="","",IFERROR(K134*HSTECH!$B$25*HSTECH!$G$25/HSTECH!$B$3,""))</f>
        <v/>
      </c>
      <c r="BZ134" s="106">
        <f>IF(L134="","",IFERROR(L134*HSTECH!$B$25*HSTECH!$G$25/HSTECH!$B$3,""))</f>
        <v/>
      </c>
      <c r="CA134" s="106">
        <f>IF(M134="","",IFERROR(M134*HSTECH!$B$25*HSTECH!$G$25/HSTECH!$B$3,""))</f>
        <v/>
      </c>
      <c r="CB134" s="106">
        <f>IF(N134="","",IFERROR(N134*HSTECH!$B$25*HSTECH!$G$25/HSTECH!$B$3,""))</f>
        <v/>
      </c>
      <c r="CC134" s="106">
        <f>IF(O134="","",IFERROR(O134*HSTECH!$B$25*HSTECH!$G$25/HSTECH!$B$3,""))</f>
        <v/>
      </c>
      <c r="CD134" s="106">
        <f>IF(P134="","",IFERROR(P134*HSTECH!$B$25*HSTECH!$G$25/HSTECH!$B$3,""))</f>
        <v/>
      </c>
      <c r="CE134" s="106">
        <f>IF(Q134="","",IFERROR(Q134*HSTECH!$B$25*HSTECH!$G$25/HSTECH!$B$3,""))</f>
        <v/>
      </c>
      <c r="CF134" s="106">
        <f>IF(R134="","",IFERROR(R134*HSTECH!$B$25*HSTECH!$G$25/HSTECH!$B$3,""))</f>
        <v/>
      </c>
      <c r="CG134" s="106">
        <f>IF(S134="","",IFERROR(S134*HSTECH!$B$25*HSTECH!$G$25/HSTECH!$B$3,""))</f>
        <v/>
      </c>
      <c r="CH134" s="106">
        <f>IF(T134="","",IFERROR(T134*HSTECH!$B$25*HSTECH!$G$25/HSTECH!$B$3,""))</f>
        <v/>
      </c>
      <c r="CI134" s="106">
        <f>IF(U134="","",IFERROR(U134*HSTECH!$B$25*HSTECH!$G$25/HSTECH!$B$3,""))</f>
        <v/>
      </c>
      <c r="CJ134" s="106">
        <f>IF(V134="","",IFERROR(V134*HSTECH!$B$25*HSTECH!$G$25/HSTECH!$B$3,""))</f>
        <v/>
      </c>
      <c r="CK134" s="106">
        <f>IF(W134="","",IFERROR(W134*HSTECH!$B$25*HSTECH!$G$25/HSTECH!$B$3,""))</f>
        <v/>
      </c>
      <c r="CL134" s="106">
        <f>IF(X134="","",IFERROR(X134*HSTECH!$B$25*HSTECH!$G$25/HSTECH!$B$3,""))</f>
        <v/>
      </c>
      <c r="CM134" s="106">
        <f>IF(Y134="","",IFERROR(Y134*HSTECH!$B$25*HSTECH!$G$25/HSTECH!$B$3,""))</f>
        <v/>
      </c>
      <c r="CN134" s="106">
        <f>IF(Z134="","",IFERROR(Z134*HSTECH!$B$25*HSTECH!$G$25/HSTECH!$B$3,""))</f>
        <v/>
      </c>
      <c r="CO134" s="106">
        <f>IF(AA134="","",IFERROR(AA134*HSTECH!$B$25*HSTECH!$G$25/HSTECH!$B$3,""))</f>
        <v/>
      </c>
      <c r="CP134" s="106">
        <f>IF(AB134="","",IFERROR(AB134*HSTECH!$B$25*HSTECH!$G$25/HSTECH!$B$3,""))</f>
        <v/>
      </c>
      <c r="CQ134" s="106">
        <f>IF(AC134="","",IFERROR(AC134*HSTECH!$B$25*HSTECH!$G$25/HSTECH!$B$3,""))</f>
        <v/>
      </c>
      <c r="CR134" s="106">
        <f>IF(AD134="","",IFERROR(AD134*HSTECH!$B$25*HSTECH!$G$25/HSTECH!$B$3,""))</f>
        <v/>
      </c>
      <c r="CS134" s="106">
        <f>IF(AE134="","",IFERROR(AE134*HSTECH!$B$25*HSTECH!$G$25/HSTECH!$B$3,""))</f>
        <v/>
      </c>
      <c r="CT134" s="106">
        <f>IF(AF134="","",IFERROR(AF134*HSTECH!$B$25*HSTECH!$G$25/HSTECH!$B$3,""))</f>
        <v/>
      </c>
      <c r="CU134" s="106">
        <f>IF(AG134="","",IFERROR(AG134*HSTECH!$B$25*HSTECH!$G$25/HSTECH!$B$3,""))</f>
        <v/>
      </c>
      <c r="CV134" s="106">
        <f>IF(AH134="","",IFERROR(AH134*HSTECH!$B$25*HSTECH!$G$25/HSTECH!$B$3,""))</f>
        <v/>
      </c>
      <c r="CW134" s="106">
        <f>IF(AI134="","",IFERROR(AI134*HSTECH!$B$25*HSTECH!$G$25/HSTECH!$B$3,""))</f>
        <v/>
      </c>
      <c r="CX134" s="106">
        <f>IF(AJ134="","",IFERROR(AJ134*HSTECH!$B$25*HSTECH!$G$25/HSTECH!$B$3,""))</f>
        <v/>
      </c>
      <c r="CY134" s="106">
        <f>IF(AK134="","",IFERROR(AK134*HSTECH!$B$25*HSTECH!$G$25/HSTECH!$B$3,""))</f>
        <v/>
      </c>
      <c r="CZ134" s="106">
        <f>IF(AL134="","",IFERROR(AL134*HSTECH!$B$25*HSTECH!$G$25/HSTECH!$B$3,""))</f>
        <v/>
      </c>
      <c r="DA134" s="106">
        <f>IF(AM134="","",IFERROR(AM134*HSTECH!$B$25*HSTECH!$G$25/HSTECH!$B$3,""))</f>
        <v/>
      </c>
      <c r="DB134" s="106">
        <f>IF(AN134="","",IFERROR(AN134*HSTECH!$B$25*HSTECH!$G$25/HSTECH!$B$3,""))</f>
        <v/>
      </c>
      <c r="DC134" s="106">
        <f>IF(AO134="","",IFERROR(AO134*HSTECH!$B$25*HSTECH!$G$25/HSTECH!$B$3,""))</f>
        <v/>
      </c>
      <c r="DD134" s="106">
        <f>IF(AP134="","",IFERROR(AP134*HSTECH!$B$25*HSTECH!$G$25/HSTECH!$B$3,""))</f>
        <v/>
      </c>
      <c r="DE134" s="106">
        <f>IF(AQ134="","",IFERROR(AQ134*HSTECH!$B$25*HSTECH!$G$25/HSTECH!$B$3,""))</f>
        <v/>
      </c>
      <c r="DF134" s="106">
        <f>IF(AR134="","",IFERROR(AR134*HSTECH!$B$25*HSTECH!$G$25/HSTECH!$B$3,""))</f>
        <v/>
      </c>
      <c r="DG134" s="106">
        <f>IF(AS134="","",IFERROR(AS134*HSTECH!$B$25*HSTECH!$G$25/HSTECH!$B$3,""))</f>
        <v/>
      </c>
      <c r="DH134" s="106">
        <f>IF(AT134="","",IFERROR(AT134*HSTECH!$B$25*HSTECH!$G$25/HSTECH!$B$3,""))</f>
        <v/>
      </c>
      <c r="DI134" s="106">
        <f>IF(AU134="","",IFERROR(AU134*HSTECH!$B$25*HSTECH!$G$25/HSTECH!$B$3,""))</f>
        <v/>
      </c>
      <c r="DJ134" s="106">
        <f>IF(AV134="","",IFERROR(AV134*HSTECH!$B$25*HSTECH!$G$25/HSTECH!$B$3,""))</f>
        <v/>
      </c>
      <c r="DK134" s="106">
        <f>IF(AW134="","",IFERROR(AW134*HSTECH!$B$25*HSTECH!$G$25/HSTECH!$B$3,""))</f>
        <v/>
      </c>
      <c r="DL134" s="106">
        <f>IF(AX134="","",IFERROR(AX134*HSTECH!$B$25*HSTECH!$G$25/HSTECH!$B$3,""))</f>
        <v/>
      </c>
      <c r="DM134" s="106">
        <f>IF(AY134="","",IFERROR(AY134*HSTECH!$B$25*HSTECH!$G$25/HSTECH!$B$3,""))</f>
        <v/>
      </c>
      <c r="DN134" s="106">
        <f>IF(AZ134="","",IFERROR(AZ134*HSTECH!$B$25*HSTECH!$G$25/HSTECH!$B$3,""))</f>
        <v/>
      </c>
      <c r="DO134" s="106">
        <f>IF(BA134="","",IFERROR(BA134*HSTECH!$B$25*HSTECH!$G$25/HSTECH!$B$3,""))</f>
        <v/>
      </c>
      <c r="DP134" s="106">
        <f>IF(BB134="","",IFERROR(BB134*HSTECH!$B$25*HSTECH!$G$25/HSTECH!$B$3,""))</f>
        <v/>
      </c>
      <c r="DQ134" s="106">
        <f>IF(BC134="","",IFERROR(BC134*HSTECH!$B$25*HSTECH!$G$25/HSTECH!$B$3,""))</f>
        <v/>
      </c>
      <c r="DR134" s="106">
        <f>IF(BD134="","",IFERROR(BD134*HSTECH!$B$25*HSTECH!$G$25/HSTECH!$B$3,""))</f>
        <v/>
      </c>
      <c r="DS134" s="106">
        <f>IF(BE134="","",IFERROR(BE134*HSTECH!$B$25*HSTECH!$G$25/HSTECH!$B$3,""))</f>
        <v/>
      </c>
      <c r="DT134" s="106">
        <f>IF(BF134="","",IFERROR(BF134*HSTECH!$B$25*HSTECH!$G$25/HSTECH!$B$3,""))</f>
        <v/>
      </c>
      <c r="DU134" s="106">
        <f>IF(BG134="","",IFERROR(BG134*HSTECH!$B$25*HSTECH!$G$25/HSTECH!$B$3,""))</f>
        <v/>
      </c>
      <c r="DV134" s="106">
        <f>IF(BH134="","",IFERROR(BH134*HSTECH!$B$25*HSTECH!$G$25/HSTECH!$B$3,""))</f>
        <v/>
      </c>
      <c r="DW134" s="106">
        <f>IF(BI134="","",IFERROR(BI134*HSTECH!$B$25*HSTECH!$G$25/HSTECH!$B$3,""))</f>
        <v/>
      </c>
      <c r="DX134" s="106">
        <f>IF(BJ134="","",IFERROR(BJ134*HSTECH!$B$25*HSTECH!$G$25/HSTECH!$B$3,""))</f>
        <v/>
      </c>
      <c r="DY134" s="106">
        <f>IF(BK134="","",IFERROR(BK134*HSTECH!$B$25*HSTECH!$G$25/HSTECH!$B$3,""))</f>
        <v/>
      </c>
      <c r="DZ134" s="106">
        <f>IF(BL134="","",IFERROR(BL134*HSTECH!$B$25*HSTECH!$G$25/HSTECH!$B$3,""))</f>
        <v/>
      </c>
      <c r="EA134" s="106">
        <f>IF(BM134="","",IFERROR(BM134*HSTECH!$B$25*HSTECH!$G$25/HSTECH!$B$3,""))</f>
        <v/>
      </c>
      <c r="EB134" s="106">
        <f>IF(BN134="","",IFERROR(BN134*HSTECH!$B$25*HSTECH!$G$25/HSTECH!$B$3,""))</f>
        <v/>
      </c>
      <c r="EC134" s="106">
        <f>IF(BO134="","",IFERROR(BO134*HSTECH!$B$25*HSTECH!$G$25/HSTECH!$B$3,""))</f>
        <v/>
      </c>
      <c r="EE134" s="35">
        <f>IF(N('Dvd Calendar'!$E$1314)=0,"",IF(('Dvd Calendar'!$E$1314&gt;=GRID_FROM)*('Dvd Calendar'!$E$1314&lt;=GRID_TO)*('Dvd Calendar'!$E$1314&lt;=VAL_DATE)=0,"",'Dvd Calendar'!$E$1314*1000000000+ISNUMBER('Dvd Calendar'!$E$1317)*100000000+('Dvd Calendar'!$E$1319=SPECIAL_LBL)*10000000+0*1000000+19*1000+1))</f>
        <v/>
      </c>
      <c r="EF134" s="35">
        <f>IF(N('Dvd Calendar'!$F$1314)=0,"",IF(('Dvd Calendar'!$F$1314&gt;=GRID_FROM)*('Dvd Calendar'!$F$1314&lt;=GRID_TO)*('Dvd Calendar'!$F$1314&lt;=VAL_DATE)=0,"",'Dvd Calendar'!$F$1314*1000000000+ISNUMBER('Dvd Calendar'!$F$1317)*100000000+('Dvd Calendar'!$F$1319=SPECIAL_LBL)*10000000+0*1000000+19*1000+2))</f>
        <v/>
      </c>
      <c r="EG134" s="35">
        <f>IF(N('Dvd Calendar'!$G$1314)=0,"",IF(('Dvd Calendar'!$G$1314&gt;=GRID_FROM)*('Dvd Calendar'!$G$1314&lt;=GRID_TO)*('Dvd Calendar'!$G$1314&lt;=VAL_DATE)=0,"",'Dvd Calendar'!$G$1314*1000000000+ISNUMBER('Dvd Calendar'!$G$1317)*100000000+('Dvd Calendar'!$G$1319=SPECIAL_LBL)*10000000+0*1000000+19*1000+3))</f>
        <v/>
      </c>
      <c r="EH134" s="35">
        <f>IF(N('Dvd Calendar'!$H$1314)=0,"",IF(('Dvd Calendar'!$H$1314&gt;=GRID_FROM)*('Dvd Calendar'!$H$1314&lt;=GRID_TO)*('Dvd Calendar'!$H$1314&lt;=VAL_DATE)=0,"",'Dvd Calendar'!$H$1314*1000000000+ISNUMBER('Dvd Calendar'!$H$1317)*100000000+('Dvd Calendar'!$H$1319=SPECIAL_LBL)*10000000+0*1000000+19*1000+4))</f>
        <v/>
      </c>
      <c r="EI134" s="35">
        <f>IF(N('Dvd Calendar'!$I$1314)=0,"",IF(('Dvd Calendar'!$I$1314&gt;=GRID_FROM)*('Dvd Calendar'!$I$1314&lt;=GRID_TO)*('Dvd Calendar'!$I$1314&lt;=VAL_DATE)=0,"",'Dvd Calendar'!$I$1314*1000000000+ISNUMBER('Dvd Calendar'!$I$1317)*100000000+('Dvd Calendar'!$I$1319=SPECIAL_LBL)*10000000+0*1000000+19*1000+5))</f>
        <v/>
      </c>
      <c r="EJ134" s="35">
        <f>IF(N('Dvd Calendar'!$J$1314)=0,"",IF(('Dvd Calendar'!$J$1314&gt;=GRID_FROM)*('Dvd Calendar'!$J$1314&lt;=GRID_TO)*('Dvd Calendar'!$J$1314&lt;=VAL_DATE)=0,"",'Dvd Calendar'!$J$1314*1000000000+ISNUMBER('Dvd Calendar'!$J$1317)*100000000+('Dvd Calendar'!$J$1319=SPECIAL_LBL)*10000000+0*1000000+19*1000+6))</f>
        <v/>
      </c>
      <c r="EK134" s="35">
        <f>IF(N('Dvd Calendar'!$K$1314)=0,"",IF(('Dvd Calendar'!$K$1314&gt;=GRID_FROM)*('Dvd Calendar'!$K$1314&lt;=GRID_TO)*('Dvd Calendar'!$K$1314&lt;=VAL_DATE)=0,"",'Dvd Calendar'!$K$1314*1000000000+ISNUMBER('Dvd Calendar'!$K$1317)*100000000+('Dvd Calendar'!$K$1319=SPECIAL_LBL)*10000000+0*1000000+19*1000+7))</f>
        <v/>
      </c>
      <c r="EL134" s="35">
        <f>IF(N('Dvd Calendar'!$L$1314)=0,"",IF(('Dvd Calendar'!$L$1314&gt;=GRID_FROM)*('Dvd Calendar'!$L$1314&lt;=GRID_TO)*('Dvd Calendar'!$L$1314&lt;=VAL_DATE)=0,"",'Dvd Calendar'!$L$1314*1000000000+ISNUMBER('Dvd Calendar'!$L$1317)*100000000+('Dvd Calendar'!$L$1319=SPECIAL_LBL)*10000000+0*1000000+19*1000+8))</f>
        <v/>
      </c>
      <c r="EM134" s="35">
        <f>IF(N('Dvd Calendar'!$M$1314)=0,"",IF(('Dvd Calendar'!$M$1314&gt;=GRID_FROM)*('Dvd Calendar'!$M$1314&lt;=GRID_TO)*('Dvd Calendar'!$M$1314&lt;=VAL_DATE)=0,"",'Dvd Calendar'!$M$1314*1000000000+ISNUMBER('Dvd Calendar'!$M$1317)*100000000+('Dvd Calendar'!$M$1319=SPECIAL_LBL)*10000000+0*1000000+19*1000+9))</f>
        <v/>
      </c>
      <c r="EN134" s="35">
        <f>IF(N('Dvd Calendar'!$N$1314)=0,"",IF(('Dvd Calendar'!$N$1314&gt;=GRID_FROM)*('Dvd Calendar'!$N$1314&lt;=GRID_TO)*('Dvd Calendar'!$N$1314&lt;=VAL_DATE)=0,"",'Dvd Calendar'!$N$1314*1000000000+ISNUMBER('Dvd Calendar'!$N$1317)*100000000+('Dvd Calendar'!$N$1319=SPECIAL_LBL)*10000000+0*1000000+19*1000+10))</f>
        <v/>
      </c>
      <c r="EO134" s="35">
        <f>IF(N('Dvd Calendar'!$O$1314)=0,"",IF(('Dvd Calendar'!$O$1314&gt;=GRID_FROM)*('Dvd Calendar'!$O$1314&lt;=GRID_TO)*('Dvd Calendar'!$O$1314&lt;=VAL_DATE)=0,"",'Dvd Calendar'!$O$1314*1000000000+ISNUMBER('Dvd Calendar'!$O$1317)*100000000+('Dvd Calendar'!$O$1319=SPECIAL_LBL)*10000000+0*1000000+19*1000+11))</f>
        <v/>
      </c>
      <c r="EP134" s="35">
        <f>IF(N('Dvd Calendar'!$P$1314)=0,"",IF(('Dvd Calendar'!$P$1314&gt;=GRID_FROM)*('Dvd Calendar'!$P$1314&lt;=GRID_TO)*('Dvd Calendar'!$P$1314&lt;=VAL_DATE)=0,"",'Dvd Calendar'!$P$1314*1000000000+ISNUMBER('Dvd Calendar'!$P$1317)*100000000+('Dvd Calendar'!$P$1319=SPECIAL_LBL)*10000000+0*1000000+19*1000+12))</f>
        <v/>
      </c>
      <c r="EQ134" s="35">
        <f>IF(N('Dvd Calendar'!$Q$1314)=0,"",IF(('Dvd Calendar'!$Q$1314&gt;=GRID_FROM)*('Dvd Calendar'!$Q$1314&lt;=GRID_TO)*('Dvd Calendar'!$Q$1314&lt;=VAL_DATE)=0,"",'Dvd Calendar'!$Q$1314*1000000000+ISNUMBER('Dvd Calendar'!$Q$1317)*100000000+('Dvd Calendar'!$Q$1319=SPECIAL_LBL)*10000000+0*1000000+19*1000+13))</f>
        <v/>
      </c>
      <c r="ER134" s="35">
        <f>IF(N('Dvd Calendar'!$R$1314)=0,"",IF(('Dvd Calendar'!$R$1314&gt;=GRID_FROM)*('Dvd Calendar'!$R$1314&lt;=GRID_TO)*('Dvd Calendar'!$R$1314&lt;=VAL_DATE)=0,"",'Dvd Calendar'!$R$1314*1000000000+ISNUMBER('Dvd Calendar'!$R$1317)*100000000+('Dvd Calendar'!$R$1319=SPECIAL_LBL)*10000000+0*1000000+19*1000+14))</f>
        <v/>
      </c>
      <c r="ES134" s="35">
        <f>IF(N('Dvd Calendar'!$S$1314)=0,"",IF(('Dvd Calendar'!$S$1314&gt;=GRID_FROM)*('Dvd Calendar'!$S$1314&lt;=GRID_TO)*('Dvd Calendar'!$S$1314&lt;=VAL_DATE)=0,"",'Dvd Calendar'!$S$1314*1000000000+ISNUMBER('Dvd Calendar'!$S$1317)*100000000+('Dvd Calendar'!$S$1319=SPECIAL_LBL)*10000000+0*1000000+19*1000+15))</f>
        <v/>
      </c>
      <c r="ET134" s="35">
        <f>IF(N('Dvd Calendar'!$T$1314)=0,"",IF(('Dvd Calendar'!$T$1314&gt;=GRID_FROM)*('Dvd Calendar'!$T$1314&lt;=GRID_TO)*('Dvd Calendar'!$T$1314&lt;=VAL_DATE)=0,"",'Dvd Calendar'!$T$1314*1000000000+ISNUMBER('Dvd Calendar'!$T$1317)*100000000+('Dvd Calendar'!$T$1319=SPECIAL_LBL)*10000000+0*1000000+19*1000+16))</f>
        <v/>
      </c>
      <c r="EU134" s="35">
        <f>IF(N('Dvd Calendar'!$U$1314)=0,"",IF(('Dvd Calendar'!$U$1314&gt;=GRID_FROM)*('Dvd Calendar'!$U$1314&lt;=GRID_TO)*('Dvd Calendar'!$U$1314&lt;=VAL_DATE)=0,"",'Dvd Calendar'!$U$1314*1000000000+ISNUMBER('Dvd Calendar'!$U$1317)*100000000+('Dvd Calendar'!$U$1319=SPECIAL_LBL)*10000000+0*1000000+19*1000+17))</f>
        <v/>
      </c>
      <c r="EV134" s="35">
        <f>IF(N('Dvd Calendar'!$V$1314)=0,"",IF(('Dvd Calendar'!$V$1314&gt;=GRID_FROM)*('Dvd Calendar'!$V$1314&lt;=GRID_TO)*('Dvd Calendar'!$V$1314&lt;=VAL_DATE)=0,"",'Dvd Calendar'!$V$1314*1000000000+ISNUMBER('Dvd Calendar'!$V$1317)*100000000+('Dvd Calendar'!$V$1319=SPECIAL_LBL)*10000000+0*1000000+19*1000+18))</f>
        <v/>
      </c>
      <c r="EW134" s="35">
        <f>IF(N('Dvd Calendar'!$W$1314)=0,"",IF(('Dvd Calendar'!$W$1314&gt;=GRID_FROM)*('Dvd Calendar'!$W$1314&lt;=GRID_TO)*('Dvd Calendar'!$W$1314&lt;=VAL_DATE)=0,"",'Dvd Calendar'!$W$1314*1000000000+ISNUMBER('Dvd Calendar'!$W$1317)*100000000+('Dvd Calendar'!$W$1319=SPECIAL_LBL)*10000000+0*1000000+19*1000+19))</f>
        <v/>
      </c>
      <c r="EX134" s="35">
        <f>IF(N('Dvd Calendar'!$X$1314)=0,"",IF(('Dvd Calendar'!$X$1314&gt;=GRID_FROM)*('Dvd Calendar'!$X$1314&lt;=GRID_TO)*('Dvd Calendar'!$X$1314&lt;=VAL_DATE)=0,"",'Dvd Calendar'!$X$1314*1000000000+ISNUMBER('Dvd Calendar'!$X$1317)*100000000+('Dvd Calendar'!$X$1319=SPECIAL_LBL)*10000000+0*1000000+19*1000+20))</f>
        <v/>
      </c>
      <c r="EY134" s="35">
        <f>IF(N('Dvd Calendar'!$Y$1314)=0,"",IF(('Dvd Calendar'!$Y$1314&gt;=GRID_FROM)*('Dvd Calendar'!$Y$1314&lt;=GRID_TO)*('Dvd Calendar'!$Y$1314&lt;=VAL_DATE)=0,"",'Dvd Calendar'!$Y$1314*1000000000+ISNUMBER('Dvd Calendar'!$Y$1317)*100000000+('Dvd Calendar'!$Y$1319=SPECIAL_LBL)*10000000+0*1000000+19*1000+21))</f>
        <v/>
      </c>
      <c r="EZ134" s="35">
        <f>IF(N('Dvd Calendar'!$Z$1314)=0,"",IF(('Dvd Calendar'!$Z$1314&gt;=GRID_FROM)*('Dvd Calendar'!$Z$1314&lt;=GRID_TO)*('Dvd Calendar'!$Z$1314&lt;=VAL_DATE)=0,"",'Dvd Calendar'!$Z$1314*1000000000+ISNUMBER('Dvd Calendar'!$Z$1317)*100000000+('Dvd Calendar'!$Z$1319=SPECIAL_LBL)*10000000+0*1000000+19*1000+22))</f>
        <v/>
      </c>
      <c r="FA134" s="35">
        <f>IF(N('Dvd Calendar'!$AA$1314)=0,"",IF(('Dvd Calendar'!$AA$1314&gt;=GRID_FROM)*('Dvd Calendar'!$AA$1314&lt;=GRID_TO)*('Dvd Calendar'!$AA$1314&lt;=VAL_DATE)=0,"",'Dvd Calendar'!$AA$1314*1000000000+ISNUMBER('Dvd Calendar'!$AA$1317)*100000000+('Dvd Calendar'!$AA$1319=SPECIAL_LBL)*10000000+0*1000000+19*1000+23))</f>
        <v/>
      </c>
      <c r="FB134" s="35">
        <f>IF(N('Dvd Calendar'!$AB$1314)=0,"",IF(('Dvd Calendar'!$AB$1314&gt;=GRID_FROM)*('Dvd Calendar'!$AB$1314&lt;=GRID_TO)*('Dvd Calendar'!$AB$1314&lt;=VAL_DATE)=0,"",'Dvd Calendar'!$AB$1314*1000000000+ISNUMBER('Dvd Calendar'!$AB$1317)*100000000+('Dvd Calendar'!$AB$1319=SPECIAL_LBL)*10000000+0*1000000+19*1000+24))</f>
        <v/>
      </c>
      <c r="FC134" s="35">
        <f>IF(N('Dvd Calendar'!$AC$1314)=0,"",IF(('Dvd Calendar'!$AC$1314&gt;=GRID_FROM)*('Dvd Calendar'!$AC$1314&lt;=GRID_TO)*('Dvd Calendar'!$AC$1314&lt;=VAL_DATE)=0,"",'Dvd Calendar'!$AC$1314*1000000000+ISNUMBER('Dvd Calendar'!$AC$1317)*100000000+('Dvd Calendar'!$AC$1319=SPECIAL_LBL)*10000000+0*1000000+19*1000+25))</f>
        <v/>
      </c>
      <c r="FD134" s="35">
        <f>IF(N('Dvd Calendar'!$AD$1314)=0,"",IF(('Dvd Calendar'!$AD$1314&gt;=GRID_FROM)*('Dvd Calendar'!$AD$1314&lt;=GRID_TO)*('Dvd Calendar'!$AD$1314&lt;=VAL_DATE)=0,"",'Dvd Calendar'!$AD$1314*1000000000+ISNUMBER('Dvd Calendar'!$AD$1317)*100000000+('Dvd Calendar'!$AD$1319=SPECIAL_LBL)*10000000+0*1000000+19*1000+26))</f>
        <v/>
      </c>
      <c r="FE134" s="35">
        <f>IF(N('Dvd Calendar'!$AE$1314)=0,"",IF(('Dvd Calendar'!$AE$1314&gt;=GRID_FROM)*('Dvd Calendar'!$AE$1314&lt;=GRID_TO)*('Dvd Calendar'!$AE$1314&lt;=VAL_DATE)=0,"",'Dvd Calendar'!$AE$1314*1000000000+ISNUMBER('Dvd Calendar'!$AE$1317)*100000000+('Dvd Calendar'!$AE$1319=SPECIAL_LBL)*10000000+0*1000000+19*1000+27))</f>
        <v/>
      </c>
      <c r="FF134" s="35">
        <f>IF(N('Dvd Calendar'!$AF$1314)=0,"",IF(('Dvd Calendar'!$AF$1314&gt;=GRID_FROM)*('Dvd Calendar'!$AF$1314&lt;=GRID_TO)*('Dvd Calendar'!$AF$1314&lt;=VAL_DATE)=0,"",'Dvd Calendar'!$AF$1314*1000000000+ISNUMBER('Dvd Calendar'!$AF$1317)*100000000+('Dvd Calendar'!$AF$1319=SPECIAL_LBL)*10000000+0*1000000+19*1000+28))</f>
        <v/>
      </c>
      <c r="FG134" s="35">
        <f>IF(N('Dvd Calendar'!$AG$1314)=0,"",IF(('Dvd Calendar'!$AG$1314&gt;=GRID_FROM)*('Dvd Calendar'!$AG$1314&lt;=GRID_TO)*('Dvd Calendar'!$AG$1314&lt;=VAL_DATE)=0,"",'Dvd Calendar'!$AG$1314*1000000000+ISNUMBER('Dvd Calendar'!$AG$1317)*100000000+('Dvd Calendar'!$AG$1319=SPECIAL_LBL)*10000000+0*1000000+19*1000+29))</f>
        <v/>
      </c>
      <c r="FH134" s="35">
        <f>IF(N('Dvd Calendar'!$AH$1314)=0,"",IF(('Dvd Calendar'!$AH$1314&gt;=GRID_FROM)*('Dvd Calendar'!$AH$1314&lt;=GRID_TO)*('Dvd Calendar'!$AH$1314&lt;=VAL_DATE)=0,"",'Dvd Calendar'!$AH$1314*1000000000+ISNUMBER('Dvd Calendar'!$AH$1317)*100000000+('Dvd Calendar'!$AH$1319=SPECIAL_LBL)*10000000+0*1000000+19*1000+30))</f>
        <v/>
      </c>
      <c r="FI134" s="35">
        <f>IF(N('Dvd Calendar'!$AI$1314)=0,"",IF(('Dvd Calendar'!$AI$1314&gt;=GRID_FROM)*('Dvd Calendar'!$AI$1314&lt;=GRID_TO)*('Dvd Calendar'!$AI$1314&lt;=VAL_DATE)=0,"",'Dvd Calendar'!$AI$1314*1000000000+ISNUMBER('Dvd Calendar'!$AI$1317)*100000000+('Dvd Calendar'!$AI$1319=SPECIAL_LBL)*10000000+0*1000000+19*1000+31))</f>
        <v/>
      </c>
      <c r="FJ134" s="35">
        <f>IF(N('Dvd Calendar'!$AJ$1314)=0,"",IF(('Dvd Calendar'!$AJ$1314&gt;=GRID_FROM)*('Dvd Calendar'!$AJ$1314&lt;=GRID_TO)*('Dvd Calendar'!$AJ$1314&lt;=VAL_DATE)=0,"",'Dvd Calendar'!$AJ$1314*1000000000+ISNUMBER('Dvd Calendar'!$AJ$1317)*100000000+('Dvd Calendar'!$AJ$1319=SPECIAL_LBL)*10000000+0*1000000+19*1000+32))</f>
        <v/>
      </c>
      <c r="FK134" s="35">
        <f>IF(N('Dvd Calendar'!$AK$1314)=0,"",IF(('Dvd Calendar'!$AK$1314&gt;=GRID_FROM)*('Dvd Calendar'!$AK$1314&lt;=GRID_TO)*('Dvd Calendar'!$AK$1314&lt;=VAL_DATE)=0,"",'Dvd Calendar'!$AK$1314*1000000000+ISNUMBER('Dvd Calendar'!$AK$1317)*100000000+('Dvd Calendar'!$AK$1319=SPECIAL_LBL)*10000000+0*1000000+19*1000+33))</f>
        <v/>
      </c>
      <c r="FL134" s="35">
        <f>IF(N('Dvd Calendar'!$AL$1314)=0,"",IF(('Dvd Calendar'!$AL$1314&gt;=GRID_FROM)*('Dvd Calendar'!$AL$1314&lt;=GRID_TO)*('Dvd Calendar'!$AL$1314&lt;=VAL_DATE)=0,"",'Dvd Calendar'!$AL$1314*1000000000+ISNUMBER('Dvd Calendar'!$AL$1317)*100000000+('Dvd Calendar'!$AL$1319=SPECIAL_LBL)*10000000+0*1000000+19*1000+34))</f>
        <v/>
      </c>
      <c r="FM134" s="35">
        <f>IF(N('Dvd Calendar'!$AM$1314)=0,"",IF(('Dvd Calendar'!$AM$1314&gt;=GRID_FROM)*('Dvd Calendar'!$AM$1314&lt;=GRID_TO)*('Dvd Calendar'!$AM$1314&lt;=VAL_DATE)=0,"",'Dvd Calendar'!$AM$1314*1000000000+ISNUMBER('Dvd Calendar'!$AM$1317)*100000000+('Dvd Calendar'!$AM$1319=SPECIAL_LBL)*10000000+0*1000000+19*1000+35))</f>
        <v/>
      </c>
      <c r="FN134" s="35">
        <f>IF(N('Dvd Calendar'!$AN$1314)=0,"",IF(('Dvd Calendar'!$AN$1314&gt;=GRID_FROM)*('Dvd Calendar'!$AN$1314&lt;=GRID_TO)*('Dvd Calendar'!$AN$1314&lt;=VAL_DATE)=0,"",'Dvd Calendar'!$AN$1314*1000000000+ISNUMBER('Dvd Calendar'!$AN$1317)*100000000+('Dvd Calendar'!$AN$1319=SPECIAL_LBL)*10000000+0*1000000+19*1000+36))</f>
        <v/>
      </c>
      <c r="FO134" s="35">
        <f>IF(N('Dvd Calendar'!$AO$1314)=0,"",IF(('Dvd Calendar'!$AO$1314&gt;=GRID_FROM)*('Dvd Calendar'!$AO$1314&lt;=GRID_TO)*('Dvd Calendar'!$AO$1314&lt;=VAL_DATE)=0,"",'Dvd Calendar'!$AO$1314*1000000000+ISNUMBER('Dvd Calendar'!$AO$1317)*100000000+('Dvd Calendar'!$AO$1319=SPECIAL_LBL)*10000000+0*1000000+19*1000+37))</f>
        <v/>
      </c>
      <c r="FP134" s="35">
        <f>IF(N('Dvd Calendar'!$AP$1314)=0,"",IF(('Dvd Calendar'!$AP$1314&gt;=GRID_FROM)*('Dvd Calendar'!$AP$1314&lt;=GRID_TO)*('Dvd Calendar'!$AP$1314&lt;=VAL_DATE)=0,"",'Dvd Calendar'!$AP$1314*1000000000+ISNUMBER('Dvd Calendar'!$AP$1317)*100000000+('Dvd Calendar'!$AP$1319=SPECIAL_LBL)*10000000+0*1000000+19*1000+38))</f>
        <v/>
      </c>
      <c r="FQ134" s="35">
        <f>IF(N('Dvd Calendar'!$AQ$1314)=0,"",IF(('Dvd Calendar'!$AQ$1314&gt;=GRID_FROM)*('Dvd Calendar'!$AQ$1314&lt;=GRID_TO)*('Dvd Calendar'!$AQ$1314&lt;=VAL_DATE)=0,"",'Dvd Calendar'!$AQ$1314*1000000000+ISNUMBER('Dvd Calendar'!$AQ$1317)*100000000+('Dvd Calendar'!$AQ$1319=SPECIAL_LBL)*10000000+0*1000000+19*1000+39))</f>
        <v/>
      </c>
      <c r="FR134" s="35">
        <f>IF(N('Dvd Calendar'!$AR$1314)=0,"",IF(('Dvd Calendar'!$AR$1314&gt;=GRID_FROM)*('Dvd Calendar'!$AR$1314&lt;=GRID_TO)*('Dvd Calendar'!$AR$1314&lt;=VAL_DATE)=0,"",'Dvd Calendar'!$AR$1314*1000000000+ISNUMBER('Dvd Calendar'!$AR$1317)*100000000+('Dvd Calendar'!$AR$1319=SPECIAL_LBL)*10000000+0*1000000+19*1000+40))</f>
        <v/>
      </c>
      <c r="FS134" s="35">
        <f>IF(N('Dvd Calendar'!$E$1321)=0,"",IF(('Dvd Calendar'!$E$1321&gt;=GRID_FROM)*('Dvd Calendar'!$E$1321&lt;=GRID_TO)*('Dvd Calendar'!$E$1321&gt;VAL_DATE)=0,"",'Dvd Calendar'!$E$1321*1000000000+ISNUMBER('Dvd Calendar'!$E$1322)*100000000+0*10000000+(N('Dvd Calendar'!$E$1320)&gt;0)*(N('Dvd Calendar'!$E$1320)&lt;=VAL_SERIAL)*1000000+19*1000+41))</f>
        <v/>
      </c>
      <c r="FT134" s="35">
        <f>IF(N('Dvd Calendar'!$F$1321)=0,"",IF(('Dvd Calendar'!$F$1321&gt;=GRID_FROM)*('Dvd Calendar'!$F$1321&lt;=GRID_TO)*('Dvd Calendar'!$F$1321&gt;VAL_DATE)=0,"",'Dvd Calendar'!$F$1321*1000000000+ISNUMBER('Dvd Calendar'!$F$1322)*100000000+0*10000000+(N('Dvd Calendar'!$F$1320)&gt;0)*(N('Dvd Calendar'!$F$1320)&lt;=VAL_SERIAL)*1000000+19*1000+42))</f>
        <v/>
      </c>
      <c r="FU134" s="35">
        <f>IF(N('Dvd Calendar'!$G$1321)=0,"",IF(('Dvd Calendar'!$G$1321&gt;=GRID_FROM)*('Dvd Calendar'!$G$1321&lt;=GRID_TO)*('Dvd Calendar'!$G$1321&gt;VAL_DATE)=0,"",'Dvd Calendar'!$G$1321*1000000000+ISNUMBER('Dvd Calendar'!$G$1322)*100000000+0*10000000+(N('Dvd Calendar'!$G$1320)&gt;0)*(N('Dvd Calendar'!$G$1320)&lt;=VAL_SERIAL)*1000000+19*1000+43))</f>
        <v/>
      </c>
      <c r="FV134" s="35">
        <f>IF(N('Dvd Calendar'!$H$1321)=0,"",IF(('Dvd Calendar'!$H$1321&gt;=GRID_FROM)*('Dvd Calendar'!$H$1321&lt;=GRID_TO)*('Dvd Calendar'!$H$1321&gt;VAL_DATE)=0,"",'Dvd Calendar'!$H$1321*1000000000+ISNUMBER('Dvd Calendar'!$H$1322)*100000000+0*10000000+(N('Dvd Calendar'!$H$1320)&gt;0)*(N('Dvd Calendar'!$H$1320)&lt;=VAL_SERIAL)*1000000+19*1000+44))</f>
        <v/>
      </c>
      <c r="FW134" s="35">
        <f>IF(N('Dvd Calendar'!$I$1321)=0,"",IF(('Dvd Calendar'!$I$1321&gt;=GRID_FROM)*('Dvd Calendar'!$I$1321&lt;=GRID_TO)*('Dvd Calendar'!$I$1321&gt;VAL_DATE)=0,"",'Dvd Calendar'!$I$1321*1000000000+ISNUMBER('Dvd Calendar'!$I$1322)*100000000+0*10000000+(N('Dvd Calendar'!$I$1320)&gt;0)*(N('Dvd Calendar'!$I$1320)&lt;=VAL_SERIAL)*1000000+19*1000+45))</f>
        <v/>
      </c>
      <c r="FX134" s="35">
        <f>IF(N('Dvd Calendar'!$J$1321)=0,"",IF(('Dvd Calendar'!$J$1321&gt;=GRID_FROM)*('Dvd Calendar'!$J$1321&lt;=GRID_TO)*('Dvd Calendar'!$J$1321&gt;VAL_DATE)=0,"",'Dvd Calendar'!$J$1321*1000000000+ISNUMBER('Dvd Calendar'!$J$1322)*100000000+0*10000000+(N('Dvd Calendar'!$J$1320)&gt;0)*(N('Dvd Calendar'!$J$1320)&lt;=VAL_SERIAL)*1000000+19*1000+46))</f>
        <v/>
      </c>
      <c r="FY134" s="35">
        <f>IF(N('Dvd Calendar'!$K$1321)=0,"",IF(('Dvd Calendar'!$K$1321&gt;=GRID_FROM)*('Dvd Calendar'!$K$1321&lt;=GRID_TO)*('Dvd Calendar'!$K$1321&gt;VAL_DATE)=0,"",'Dvd Calendar'!$K$1321*1000000000+ISNUMBER('Dvd Calendar'!$K$1322)*100000000+0*10000000+(N('Dvd Calendar'!$K$1320)&gt;0)*(N('Dvd Calendar'!$K$1320)&lt;=VAL_SERIAL)*1000000+19*1000+47))</f>
        <v/>
      </c>
      <c r="FZ134" s="35">
        <f>IF(N('Dvd Calendar'!$L$1321)=0,"",IF(('Dvd Calendar'!$L$1321&gt;=GRID_FROM)*('Dvd Calendar'!$L$1321&lt;=GRID_TO)*('Dvd Calendar'!$L$1321&gt;VAL_DATE)=0,"",'Dvd Calendar'!$L$1321*1000000000+ISNUMBER('Dvd Calendar'!$L$1322)*100000000+0*10000000+(N('Dvd Calendar'!$L$1320)&gt;0)*(N('Dvd Calendar'!$L$1320)&lt;=VAL_SERIAL)*1000000+19*1000+48))</f>
        <v/>
      </c>
      <c r="GA134" s="35">
        <f>IF(N('Dvd Calendar'!$M$1321)=0,"",IF(('Dvd Calendar'!$M$1321&gt;=GRID_FROM)*('Dvd Calendar'!$M$1321&lt;=GRID_TO)*('Dvd Calendar'!$M$1321&gt;VAL_DATE)=0,"",'Dvd Calendar'!$M$1321*1000000000+ISNUMBER('Dvd Calendar'!$M$1322)*100000000+0*10000000+(N('Dvd Calendar'!$M$1320)&gt;0)*(N('Dvd Calendar'!$M$1320)&lt;=VAL_SERIAL)*1000000+19*1000+49))</f>
        <v/>
      </c>
      <c r="GB134" s="35">
        <f>IF(N('Dvd Calendar'!$N$1321)=0,"",IF(('Dvd Calendar'!$N$1321&gt;=GRID_FROM)*('Dvd Calendar'!$N$1321&lt;=GRID_TO)*('Dvd Calendar'!$N$1321&gt;VAL_DATE)=0,"",'Dvd Calendar'!$N$1321*1000000000+ISNUMBER('Dvd Calendar'!$N$1322)*100000000+0*10000000+(N('Dvd Calendar'!$N$1320)&gt;0)*(N('Dvd Calendar'!$N$1320)&lt;=VAL_SERIAL)*1000000+19*1000+50))</f>
        <v/>
      </c>
      <c r="GC134" s="35">
        <f>IF(N('Dvd Calendar'!$O$1321)=0,"",IF(('Dvd Calendar'!$O$1321&gt;=GRID_FROM)*('Dvd Calendar'!$O$1321&lt;=GRID_TO)*('Dvd Calendar'!$O$1321&gt;VAL_DATE)=0,"",'Dvd Calendar'!$O$1321*1000000000+ISNUMBER('Dvd Calendar'!$O$1322)*100000000+0*10000000+(N('Dvd Calendar'!$O$1320)&gt;0)*(N('Dvd Calendar'!$O$1320)&lt;=VAL_SERIAL)*1000000+19*1000+51))</f>
        <v/>
      </c>
      <c r="GD134" s="35">
        <f>IF(N('Dvd Calendar'!$P$1321)=0,"",IF(('Dvd Calendar'!$P$1321&gt;=GRID_FROM)*('Dvd Calendar'!$P$1321&lt;=GRID_TO)*('Dvd Calendar'!$P$1321&gt;VAL_DATE)=0,"",'Dvd Calendar'!$P$1321*1000000000+ISNUMBER('Dvd Calendar'!$P$1322)*100000000+0*10000000+(N('Dvd Calendar'!$P$1320)&gt;0)*(N('Dvd Calendar'!$P$1320)&lt;=VAL_SERIAL)*1000000+19*1000+52))</f>
        <v/>
      </c>
      <c r="GE134" s="35">
        <f>IF(N('Dvd Calendar'!$Q$1321)=0,"",IF(('Dvd Calendar'!$Q$1321&gt;=GRID_FROM)*('Dvd Calendar'!$Q$1321&lt;=GRID_TO)*('Dvd Calendar'!$Q$1321&gt;VAL_DATE)=0,"",'Dvd Calendar'!$Q$1321*1000000000+ISNUMBER('Dvd Calendar'!$Q$1322)*100000000+0*10000000+(N('Dvd Calendar'!$Q$1320)&gt;0)*(N('Dvd Calendar'!$Q$1320)&lt;=VAL_SERIAL)*1000000+19*1000+53))</f>
        <v/>
      </c>
      <c r="GF134" s="35">
        <f>IF(N('Dvd Calendar'!$R$1321)=0,"",IF(('Dvd Calendar'!$R$1321&gt;=GRID_FROM)*('Dvd Calendar'!$R$1321&lt;=GRID_TO)*('Dvd Calendar'!$R$1321&gt;VAL_DATE)=0,"",'Dvd Calendar'!$R$1321*1000000000+ISNUMBER('Dvd Calendar'!$R$1322)*100000000+0*10000000+(N('Dvd Calendar'!$R$1320)&gt;0)*(N('Dvd Calendar'!$R$1320)&lt;=VAL_SERIAL)*1000000+19*1000+54))</f>
        <v/>
      </c>
      <c r="GG134" s="35">
        <f>IF(N('Dvd Calendar'!$S$1321)=0,"",IF(('Dvd Calendar'!$S$1321&gt;=GRID_FROM)*('Dvd Calendar'!$S$1321&lt;=GRID_TO)*('Dvd Calendar'!$S$1321&gt;VAL_DATE)=0,"",'Dvd Calendar'!$S$1321*1000000000+ISNUMBER('Dvd Calendar'!$S$1322)*100000000+0*10000000+(N('Dvd Calendar'!$S$1320)&gt;0)*(N('Dvd Calendar'!$S$1320)&lt;=VAL_SERIAL)*1000000+19*1000+55))</f>
        <v/>
      </c>
      <c r="GH134" s="35">
        <f>IF(N('Dvd Calendar'!$T$1321)=0,"",IF(('Dvd Calendar'!$T$1321&gt;=GRID_FROM)*('Dvd Calendar'!$T$1321&lt;=GRID_TO)*('Dvd Calendar'!$T$1321&gt;VAL_DATE)=0,"",'Dvd Calendar'!$T$1321*1000000000+ISNUMBER('Dvd Calendar'!$T$1322)*100000000+0*10000000+(N('Dvd Calendar'!$T$1320)&gt;0)*(N('Dvd Calendar'!$T$1320)&lt;=VAL_SERIAL)*1000000+19*1000+56))</f>
        <v/>
      </c>
      <c r="GI134" s="35">
        <f>IF(N('Dvd Calendar'!$U$1321)=0,"",IF(('Dvd Calendar'!$U$1321&gt;=GRID_FROM)*('Dvd Calendar'!$U$1321&lt;=GRID_TO)*('Dvd Calendar'!$U$1321&gt;VAL_DATE)=0,"",'Dvd Calendar'!$U$1321*1000000000+ISNUMBER('Dvd Calendar'!$U$1322)*100000000+0*10000000+(N('Dvd Calendar'!$U$1320)&gt;0)*(N('Dvd Calendar'!$U$1320)&lt;=VAL_SERIAL)*1000000+19*1000+57))</f>
        <v/>
      </c>
      <c r="GJ134" s="35">
        <f>IF(N('Dvd Calendar'!$V$1321)=0,"",IF(('Dvd Calendar'!$V$1321&gt;=GRID_FROM)*('Dvd Calendar'!$V$1321&lt;=GRID_TO)*('Dvd Calendar'!$V$1321&gt;VAL_DATE)=0,"",'Dvd Calendar'!$V$1321*1000000000+ISNUMBER('Dvd Calendar'!$V$1322)*100000000+0*10000000+(N('Dvd Calendar'!$V$1320)&gt;0)*(N('Dvd Calendar'!$V$1320)&lt;=VAL_SERIAL)*1000000+19*1000+58))</f>
        <v/>
      </c>
      <c r="GK134" s="35">
        <f>IF(N('Dvd Calendar'!$W$1321)=0,"",IF(('Dvd Calendar'!$W$1321&gt;=GRID_FROM)*('Dvd Calendar'!$W$1321&lt;=GRID_TO)*('Dvd Calendar'!$W$1321&gt;VAL_DATE)=0,"",'Dvd Calendar'!$W$1321*1000000000+ISNUMBER('Dvd Calendar'!$W$1322)*100000000+0*10000000+(N('Dvd Calendar'!$W$1320)&gt;0)*(N('Dvd Calendar'!$W$1320)&lt;=VAL_SERIAL)*1000000+19*1000+59))</f>
        <v/>
      </c>
      <c r="GL134" s="35">
        <f>IF(N('Dvd Calendar'!$X$1321)=0,"",IF(('Dvd Calendar'!$X$1321&gt;=GRID_FROM)*('Dvd Calendar'!$X$1321&lt;=GRID_TO)*('Dvd Calendar'!$X$1321&gt;VAL_DATE)=0,"",'Dvd Calendar'!$X$1321*1000000000+ISNUMBER('Dvd Calendar'!$X$1322)*100000000+0*10000000+(N('Dvd Calendar'!$X$1320)&gt;0)*(N('Dvd Calendar'!$X$1320)&lt;=VAL_SERIAL)*1000000+19*1000+60))</f>
        <v/>
      </c>
      <c r="GM134" s="35">
        <f>IF(N('Dvd Calendar'!$Y$1321)=0,"",IF(('Dvd Calendar'!$Y$1321&gt;=GRID_FROM)*('Dvd Calendar'!$Y$1321&lt;=GRID_TO)*('Dvd Calendar'!$Y$1321&gt;VAL_DATE)=0,"",'Dvd Calendar'!$Y$1321*1000000000+ISNUMBER('Dvd Calendar'!$Y$1322)*100000000+0*10000000+(N('Dvd Calendar'!$Y$1320)&gt;0)*(N('Dvd Calendar'!$Y$1320)&lt;=VAL_SERIAL)*1000000+19*1000+61))</f>
        <v/>
      </c>
      <c r="GN134" s="35">
        <f>IF(N('Dvd Calendar'!$Z$1321)=0,"",IF(('Dvd Calendar'!$Z$1321&gt;=GRID_FROM)*('Dvd Calendar'!$Z$1321&lt;=GRID_TO)*('Dvd Calendar'!$Z$1321&gt;VAL_DATE)=0,"",'Dvd Calendar'!$Z$1321*1000000000+ISNUMBER('Dvd Calendar'!$Z$1322)*100000000+0*10000000+(N('Dvd Calendar'!$Z$1320)&gt;0)*(N('Dvd Calendar'!$Z$1320)&lt;=VAL_SERIAL)*1000000+19*1000+62))</f>
        <v/>
      </c>
      <c r="GO134" s="35">
        <f>IF(N('Dvd Calendar'!$AA$1321)=0,"",IF(('Dvd Calendar'!$AA$1321&gt;=GRID_FROM)*('Dvd Calendar'!$AA$1321&lt;=GRID_TO)*('Dvd Calendar'!$AA$1321&gt;VAL_DATE)=0,"",'Dvd Calendar'!$AA$1321*1000000000+ISNUMBER('Dvd Calendar'!$AA$1322)*100000000+0*10000000+(N('Dvd Calendar'!$AA$1320)&gt;0)*(N('Dvd Calendar'!$AA$1320)&lt;=VAL_SERIAL)*1000000+19*1000+63))</f>
        <v/>
      </c>
      <c r="GP134" s="35">
        <f>IF(N('Dvd Calendar'!$AB$1321)=0,"",IF(('Dvd Calendar'!$AB$1321&gt;=GRID_FROM)*('Dvd Calendar'!$AB$1321&lt;=GRID_TO)*('Dvd Calendar'!$AB$1321&gt;VAL_DATE)=0,"",'Dvd Calendar'!$AB$1321*1000000000+ISNUMBER('Dvd Calendar'!$AB$1322)*100000000+0*10000000+(N('Dvd Calendar'!$AB$1320)&gt;0)*(N('Dvd Calendar'!$AB$1320)&lt;=VAL_SERIAL)*1000000+19*1000+64))</f>
        <v/>
      </c>
      <c r="GQ134" s="35">
        <f>IF(N('Dvd Calendar'!$AC$1321)=0,"",IF(('Dvd Calendar'!$AC$1321&gt;=GRID_FROM)*('Dvd Calendar'!$AC$1321&lt;=GRID_TO)*('Dvd Calendar'!$AC$1321&gt;VAL_DATE)=0,"",'Dvd Calendar'!$AC$1321*1000000000+ISNUMBER('Dvd Calendar'!$AC$1322)*100000000+0*10000000+(N('Dvd Calendar'!$AC$1320)&gt;0)*(N('Dvd Calendar'!$AC$1320)&lt;=VAL_SERIAL)*1000000+19*1000+65))</f>
        <v/>
      </c>
    </row>
    <row r="135">
      <c r="B135" s="2">
        <f>IF(HSTECH!$C$26="","",HSTECH!$C$26)</f>
        <v/>
      </c>
      <c r="C135" s="106">
        <f>IF(EE135="","",IF(ISNUMBER('Dvd Calendar'!$E$1328)=FALSE,"",IF((('Dvd Calendar'!$E$1330=TYPE1)*(TYPE1&lt;&gt;"")+('Dvd Calendar'!$E$1330=TYPE2)*(TYPE2&lt;&gt;"")+('Dvd Calendar'!$E$1330=TYPE3)*(TYPE3&lt;&gt;"")+('Dvd Calendar'!$E$1330=TYPE4)*(TYPE4&lt;&gt;"")+('Dvd Calendar'!$E$1330=SPECIAL_LBL)*(INC_SPECIALS="Y"))=0,"",'Dvd Calendar'!$E$1328)))</f>
        <v/>
      </c>
      <c r="D135" s="106">
        <f>IF(EF135="","",IF(ISNUMBER('Dvd Calendar'!$F$1328)=FALSE,"",IF((('Dvd Calendar'!$F$1330=TYPE1)*(TYPE1&lt;&gt;"")+('Dvd Calendar'!$F$1330=TYPE2)*(TYPE2&lt;&gt;"")+('Dvd Calendar'!$F$1330=TYPE3)*(TYPE3&lt;&gt;"")+('Dvd Calendar'!$F$1330=TYPE4)*(TYPE4&lt;&gt;"")+('Dvd Calendar'!$F$1330=SPECIAL_LBL)*(INC_SPECIALS="Y"))=0,"",'Dvd Calendar'!$F$1328)))</f>
        <v/>
      </c>
      <c r="E135" s="106">
        <f>IF(EG135="","",IF(ISNUMBER('Dvd Calendar'!$G$1328)=FALSE,"",IF((('Dvd Calendar'!$G$1330=TYPE1)*(TYPE1&lt;&gt;"")+('Dvd Calendar'!$G$1330=TYPE2)*(TYPE2&lt;&gt;"")+('Dvd Calendar'!$G$1330=TYPE3)*(TYPE3&lt;&gt;"")+('Dvd Calendar'!$G$1330=TYPE4)*(TYPE4&lt;&gt;"")+('Dvd Calendar'!$G$1330=SPECIAL_LBL)*(INC_SPECIALS="Y"))=0,"",'Dvd Calendar'!$G$1328)))</f>
        <v/>
      </c>
      <c r="F135" s="106">
        <f>IF(EH135="","",IF(ISNUMBER('Dvd Calendar'!$H$1328)=FALSE,"",IF((('Dvd Calendar'!$H$1330=TYPE1)*(TYPE1&lt;&gt;"")+('Dvd Calendar'!$H$1330=TYPE2)*(TYPE2&lt;&gt;"")+('Dvd Calendar'!$H$1330=TYPE3)*(TYPE3&lt;&gt;"")+('Dvd Calendar'!$H$1330=TYPE4)*(TYPE4&lt;&gt;"")+('Dvd Calendar'!$H$1330=SPECIAL_LBL)*(INC_SPECIALS="Y"))=0,"",'Dvd Calendar'!$H$1328)))</f>
        <v/>
      </c>
      <c r="G135" s="106">
        <f>IF(EI135="","",IF(ISNUMBER('Dvd Calendar'!$I$1328)=FALSE,"",IF((('Dvd Calendar'!$I$1330=TYPE1)*(TYPE1&lt;&gt;"")+('Dvd Calendar'!$I$1330=TYPE2)*(TYPE2&lt;&gt;"")+('Dvd Calendar'!$I$1330=TYPE3)*(TYPE3&lt;&gt;"")+('Dvd Calendar'!$I$1330=TYPE4)*(TYPE4&lt;&gt;"")+('Dvd Calendar'!$I$1330=SPECIAL_LBL)*(INC_SPECIALS="Y"))=0,"",'Dvd Calendar'!$I$1328)))</f>
        <v/>
      </c>
      <c r="H135" s="106">
        <f>IF(EJ135="","",IF(ISNUMBER('Dvd Calendar'!$J$1328)=FALSE,"",IF((('Dvd Calendar'!$J$1330=TYPE1)*(TYPE1&lt;&gt;"")+('Dvd Calendar'!$J$1330=TYPE2)*(TYPE2&lt;&gt;"")+('Dvd Calendar'!$J$1330=TYPE3)*(TYPE3&lt;&gt;"")+('Dvd Calendar'!$J$1330=TYPE4)*(TYPE4&lt;&gt;"")+('Dvd Calendar'!$J$1330=SPECIAL_LBL)*(INC_SPECIALS="Y"))=0,"",'Dvd Calendar'!$J$1328)))</f>
        <v/>
      </c>
      <c r="I135" s="106">
        <f>IF(EK135="","",IF(ISNUMBER('Dvd Calendar'!$K$1328)=FALSE,"",IF((('Dvd Calendar'!$K$1330=TYPE1)*(TYPE1&lt;&gt;"")+('Dvd Calendar'!$K$1330=TYPE2)*(TYPE2&lt;&gt;"")+('Dvd Calendar'!$K$1330=TYPE3)*(TYPE3&lt;&gt;"")+('Dvd Calendar'!$K$1330=TYPE4)*(TYPE4&lt;&gt;"")+('Dvd Calendar'!$K$1330=SPECIAL_LBL)*(INC_SPECIALS="Y"))=0,"",'Dvd Calendar'!$K$1328)))</f>
        <v/>
      </c>
      <c r="J135" s="106">
        <f>IF(EL135="","",IF(ISNUMBER('Dvd Calendar'!$L$1328)=FALSE,"",IF((('Dvd Calendar'!$L$1330=TYPE1)*(TYPE1&lt;&gt;"")+('Dvd Calendar'!$L$1330=TYPE2)*(TYPE2&lt;&gt;"")+('Dvd Calendar'!$L$1330=TYPE3)*(TYPE3&lt;&gt;"")+('Dvd Calendar'!$L$1330=TYPE4)*(TYPE4&lt;&gt;"")+('Dvd Calendar'!$L$1330=SPECIAL_LBL)*(INC_SPECIALS="Y"))=0,"",'Dvd Calendar'!$L$1328)))</f>
        <v/>
      </c>
      <c r="K135" s="106">
        <f>IF(EM135="","",IF(ISNUMBER('Dvd Calendar'!$M$1328)=FALSE,"",IF((('Dvd Calendar'!$M$1330=TYPE1)*(TYPE1&lt;&gt;"")+('Dvd Calendar'!$M$1330=TYPE2)*(TYPE2&lt;&gt;"")+('Dvd Calendar'!$M$1330=TYPE3)*(TYPE3&lt;&gt;"")+('Dvd Calendar'!$M$1330=TYPE4)*(TYPE4&lt;&gt;"")+('Dvd Calendar'!$M$1330=SPECIAL_LBL)*(INC_SPECIALS="Y"))=0,"",'Dvd Calendar'!$M$1328)))</f>
        <v/>
      </c>
      <c r="L135" s="106">
        <f>IF(EN135="","",IF(ISNUMBER('Dvd Calendar'!$N$1328)=FALSE,"",IF((('Dvd Calendar'!$N$1330=TYPE1)*(TYPE1&lt;&gt;"")+('Dvd Calendar'!$N$1330=TYPE2)*(TYPE2&lt;&gt;"")+('Dvd Calendar'!$N$1330=TYPE3)*(TYPE3&lt;&gt;"")+('Dvd Calendar'!$N$1330=TYPE4)*(TYPE4&lt;&gt;"")+('Dvd Calendar'!$N$1330=SPECIAL_LBL)*(INC_SPECIALS="Y"))=0,"",'Dvd Calendar'!$N$1328)))</f>
        <v/>
      </c>
      <c r="M135" s="106">
        <f>IF(EO135="","",IF(ISNUMBER('Dvd Calendar'!$O$1328)=FALSE,"",IF((('Dvd Calendar'!$O$1330=TYPE1)*(TYPE1&lt;&gt;"")+('Dvd Calendar'!$O$1330=TYPE2)*(TYPE2&lt;&gt;"")+('Dvd Calendar'!$O$1330=TYPE3)*(TYPE3&lt;&gt;"")+('Dvd Calendar'!$O$1330=TYPE4)*(TYPE4&lt;&gt;"")+('Dvd Calendar'!$O$1330=SPECIAL_LBL)*(INC_SPECIALS="Y"))=0,"",'Dvd Calendar'!$O$1328)))</f>
        <v/>
      </c>
      <c r="N135" s="106">
        <f>IF(EP135="","",IF(ISNUMBER('Dvd Calendar'!$P$1328)=FALSE,"",IF((('Dvd Calendar'!$P$1330=TYPE1)*(TYPE1&lt;&gt;"")+('Dvd Calendar'!$P$1330=TYPE2)*(TYPE2&lt;&gt;"")+('Dvd Calendar'!$P$1330=TYPE3)*(TYPE3&lt;&gt;"")+('Dvd Calendar'!$P$1330=TYPE4)*(TYPE4&lt;&gt;"")+('Dvd Calendar'!$P$1330=SPECIAL_LBL)*(INC_SPECIALS="Y"))=0,"",'Dvd Calendar'!$P$1328)))</f>
        <v/>
      </c>
      <c r="O135" s="106">
        <f>IF(EQ135="","",IF(ISNUMBER('Dvd Calendar'!$Q$1328)=FALSE,"",IF((('Dvd Calendar'!$Q$1330=TYPE1)*(TYPE1&lt;&gt;"")+('Dvd Calendar'!$Q$1330=TYPE2)*(TYPE2&lt;&gt;"")+('Dvd Calendar'!$Q$1330=TYPE3)*(TYPE3&lt;&gt;"")+('Dvd Calendar'!$Q$1330=TYPE4)*(TYPE4&lt;&gt;"")+('Dvd Calendar'!$Q$1330=SPECIAL_LBL)*(INC_SPECIALS="Y"))=0,"",'Dvd Calendar'!$Q$1328)))</f>
        <v/>
      </c>
      <c r="P135" s="106">
        <f>IF(ER135="","",IF(ISNUMBER('Dvd Calendar'!$R$1328)=FALSE,"",IF((('Dvd Calendar'!$R$1330=TYPE1)*(TYPE1&lt;&gt;"")+('Dvd Calendar'!$R$1330=TYPE2)*(TYPE2&lt;&gt;"")+('Dvd Calendar'!$R$1330=TYPE3)*(TYPE3&lt;&gt;"")+('Dvd Calendar'!$R$1330=TYPE4)*(TYPE4&lt;&gt;"")+('Dvd Calendar'!$R$1330=SPECIAL_LBL)*(INC_SPECIALS="Y"))=0,"",'Dvd Calendar'!$R$1328)))</f>
        <v/>
      </c>
      <c r="Q135" s="106">
        <f>IF(ES135="","",IF(ISNUMBER('Dvd Calendar'!$S$1328)=FALSE,"",IF((('Dvd Calendar'!$S$1330=TYPE1)*(TYPE1&lt;&gt;"")+('Dvd Calendar'!$S$1330=TYPE2)*(TYPE2&lt;&gt;"")+('Dvd Calendar'!$S$1330=TYPE3)*(TYPE3&lt;&gt;"")+('Dvd Calendar'!$S$1330=TYPE4)*(TYPE4&lt;&gt;"")+('Dvd Calendar'!$S$1330=SPECIAL_LBL)*(INC_SPECIALS="Y"))=0,"",'Dvd Calendar'!$S$1328)))</f>
        <v/>
      </c>
      <c r="R135" s="106">
        <f>IF(ET135="","",IF(ISNUMBER('Dvd Calendar'!$T$1328)=FALSE,"",IF((('Dvd Calendar'!$T$1330=TYPE1)*(TYPE1&lt;&gt;"")+('Dvd Calendar'!$T$1330=TYPE2)*(TYPE2&lt;&gt;"")+('Dvd Calendar'!$T$1330=TYPE3)*(TYPE3&lt;&gt;"")+('Dvd Calendar'!$T$1330=TYPE4)*(TYPE4&lt;&gt;"")+('Dvd Calendar'!$T$1330=SPECIAL_LBL)*(INC_SPECIALS="Y"))=0,"",'Dvd Calendar'!$T$1328)))</f>
        <v/>
      </c>
      <c r="S135" s="106">
        <f>IF(EU135="","",IF(ISNUMBER('Dvd Calendar'!$U$1328)=FALSE,"",IF((('Dvd Calendar'!$U$1330=TYPE1)*(TYPE1&lt;&gt;"")+('Dvd Calendar'!$U$1330=TYPE2)*(TYPE2&lt;&gt;"")+('Dvd Calendar'!$U$1330=TYPE3)*(TYPE3&lt;&gt;"")+('Dvd Calendar'!$U$1330=TYPE4)*(TYPE4&lt;&gt;"")+('Dvd Calendar'!$U$1330=SPECIAL_LBL)*(INC_SPECIALS="Y"))=0,"",'Dvd Calendar'!$U$1328)))</f>
        <v/>
      </c>
      <c r="T135" s="106">
        <f>IF(EV135="","",IF(ISNUMBER('Dvd Calendar'!$V$1328)=FALSE,"",IF((('Dvd Calendar'!$V$1330=TYPE1)*(TYPE1&lt;&gt;"")+('Dvd Calendar'!$V$1330=TYPE2)*(TYPE2&lt;&gt;"")+('Dvd Calendar'!$V$1330=TYPE3)*(TYPE3&lt;&gt;"")+('Dvd Calendar'!$V$1330=TYPE4)*(TYPE4&lt;&gt;"")+('Dvd Calendar'!$V$1330=SPECIAL_LBL)*(INC_SPECIALS="Y"))=0,"",'Dvd Calendar'!$V$1328)))</f>
        <v/>
      </c>
      <c r="U135" s="106">
        <f>IF(EW135="","",IF(ISNUMBER('Dvd Calendar'!$W$1328)=FALSE,"",IF((('Dvd Calendar'!$W$1330=TYPE1)*(TYPE1&lt;&gt;"")+('Dvd Calendar'!$W$1330=TYPE2)*(TYPE2&lt;&gt;"")+('Dvd Calendar'!$W$1330=TYPE3)*(TYPE3&lt;&gt;"")+('Dvd Calendar'!$W$1330=TYPE4)*(TYPE4&lt;&gt;"")+('Dvd Calendar'!$W$1330=SPECIAL_LBL)*(INC_SPECIALS="Y"))=0,"",'Dvd Calendar'!$W$1328)))</f>
        <v/>
      </c>
      <c r="V135" s="106">
        <f>IF(EX135="","",IF(ISNUMBER('Dvd Calendar'!$X$1328)=FALSE,"",IF((('Dvd Calendar'!$X$1330=TYPE1)*(TYPE1&lt;&gt;"")+('Dvd Calendar'!$X$1330=TYPE2)*(TYPE2&lt;&gt;"")+('Dvd Calendar'!$X$1330=TYPE3)*(TYPE3&lt;&gt;"")+('Dvd Calendar'!$X$1330=TYPE4)*(TYPE4&lt;&gt;"")+('Dvd Calendar'!$X$1330=SPECIAL_LBL)*(INC_SPECIALS="Y"))=0,"",'Dvd Calendar'!$X$1328)))</f>
        <v/>
      </c>
      <c r="W135" s="106">
        <f>IF(EY135="","",IF(ISNUMBER('Dvd Calendar'!$Y$1328)=FALSE,"",IF((('Dvd Calendar'!$Y$1330=TYPE1)*(TYPE1&lt;&gt;"")+('Dvd Calendar'!$Y$1330=TYPE2)*(TYPE2&lt;&gt;"")+('Dvd Calendar'!$Y$1330=TYPE3)*(TYPE3&lt;&gt;"")+('Dvd Calendar'!$Y$1330=TYPE4)*(TYPE4&lt;&gt;"")+('Dvd Calendar'!$Y$1330=SPECIAL_LBL)*(INC_SPECIALS="Y"))=0,"",'Dvd Calendar'!$Y$1328)))</f>
        <v/>
      </c>
      <c r="X135" s="106">
        <f>IF(EZ135="","",IF(ISNUMBER('Dvd Calendar'!$Z$1328)=FALSE,"",IF((('Dvd Calendar'!$Z$1330=TYPE1)*(TYPE1&lt;&gt;"")+('Dvd Calendar'!$Z$1330=TYPE2)*(TYPE2&lt;&gt;"")+('Dvd Calendar'!$Z$1330=TYPE3)*(TYPE3&lt;&gt;"")+('Dvd Calendar'!$Z$1330=TYPE4)*(TYPE4&lt;&gt;"")+('Dvd Calendar'!$Z$1330=SPECIAL_LBL)*(INC_SPECIALS="Y"))=0,"",'Dvd Calendar'!$Z$1328)))</f>
        <v/>
      </c>
      <c r="Y135" s="106">
        <f>IF(FA135="","",IF(ISNUMBER('Dvd Calendar'!$AA$1328)=FALSE,"",IF((('Dvd Calendar'!$AA$1330=TYPE1)*(TYPE1&lt;&gt;"")+('Dvd Calendar'!$AA$1330=TYPE2)*(TYPE2&lt;&gt;"")+('Dvd Calendar'!$AA$1330=TYPE3)*(TYPE3&lt;&gt;"")+('Dvd Calendar'!$AA$1330=TYPE4)*(TYPE4&lt;&gt;"")+('Dvd Calendar'!$AA$1330=SPECIAL_LBL)*(INC_SPECIALS="Y"))=0,"",'Dvd Calendar'!$AA$1328)))</f>
        <v/>
      </c>
      <c r="Z135" s="106">
        <f>IF(FB135="","",IF(ISNUMBER('Dvd Calendar'!$AB$1328)=FALSE,"",IF((('Dvd Calendar'!$AB$1330=TYPE1)*(TYPE1&lt;&gt;"")+('Dvd Calendar'!$AB$1330=TYPE2)*(TYPE2&lt;&gt;"")+('Dvd Calendar'!$AB$1330=TYPE3)*(TYPE3&lt;&gt;"")+('Dvd Calendar'!$AB$1330=TYPE4)*(TYPE4&lt;&gt;"")+('Dvd Calendar'!$AB$1330=SPECIAL_LBL)*(INC_SPECIALS="Y"))=0,"",'Dvd Calendar'!$AB$1328)))</f>
        <v/>
      </c>
      <c r="AA135" s="106">
        <f>IF(FC135="","",IF(ISNUMBER('Dvd Calendar'!$AC$1328)=FALSE,"",IF((('Dvd Calendar'!$AC$1330=TYPE1)*(TYPE1&lt;&gt;"")+('Dvd Calendar'!$AC$1330=TYPE2)*(TYPE2&lt;&gt;"")+('Dvd Calendar'!$AC$1330=TYPE3)*(TYPE3&lt;&gt;"")+('Dvd Calendar'!$AC$1330=TYPE4)*(TYPE4&lt;&gt;"")+('Dvd Calendar'!$AC$1330=SPECIAL_LBL)*(INC_SPECIALS="Y"))=0,"",'Dvd Calendar'!$AC$1328)))</f>
        <v/>
      </c>
      <c r="AB135" s="106">
        <f>IF(FD135="","",IF(ISNUMBER('Dvd Calendar'!$AD$1328)=FALSE,"",IF((('Dvd Calendar'!$AD$1330=TYPE1)*(TYPE1&lt;&gt;"")+('Dvd Calendar'!$AD$1330=TYPE2)*(TYPE2&lt;&gt;"")+('Dvd Calendar'!$AD$1330=TYPE3)*(TYPE3&lt;&gt;"")+('Dvd Calendar'!$AD$1330=TYPE4)*(TYPE4&lt;&gt;"")+('Dvd Calendar'!$AD$1330=SPECIAL_LBL)*(INC_SPECIALS="Y"))=0,"",'Dvd Calendar'!$AD$1328)))</f>
        <v/>
      </c>
      <c r="AC135" s="106">
        <f>IF(FE135="","",IF(ISNUMBER('Dvd Calendar'!$AE$1328)=FALSE,"",IF((('Dvd Calendar'!$AE$1330=TYPE1)*(TYPE1&lt;&gt;"")+('Dvd Calendar'!$AE$1330=TYPE2)*(TYPE2&lt;&gt;"")+('Dvd Calendar'!$AE$1330=TYPE3)*(TYPE3&lt;&gt;"")+('Dvd Calendar'!$AE$1330=TYPE4)*(TYPE4&lt;&gt;"")+('Dvd Calendar'!$AE$1330=SPECIAL_LBL)*(INC_SPECIALS="Y"))=0,"",'Dvd Calendar'!$AE$1328)))</f>
        <v/>
      </c>
      <c r="AD135" s="106">
        <f>IF(FF135="","",IF(ISNUMBER('Dvd Calendar'!$AF$1328)=FALSE,"",IF((('Dvd Calendar'!$AF$1330=TYPE1)*(TYPE1&lt;&gt;"")+('Dvd Calendar'!$AF$1330=TYPE2)*(TYPE2&lt;&gt;"")+('Dvd Calendar'!$AF$1330=TYPE3)*(TYPE3&lt;&gt;"")+('Dvd Calendar'!$AF$1330=TYPE4)*(TYPE4&lt;&gt;"")+('Dvd Calendar'!$AF$1330=SPECIAL_LBL)*(INC_SPECIALS="Y"))=0,"",'Dvd Calendar'!$AF$1328)))</f>
        <v/>
      </c>
      <c r="AE135" s="106">
        <f>IF(FG135="","",IF(ISNUMBER('Dvd Calendar'!$AG$1328)=FALSE,"",IF((('Dvd Calendar'!$AG$1330=TYPE1)*(TYPE1&lt;&gt;"")+('Dvd Calendar'!$AG$1330=TYPE2)*(TYPE2&lt;&gt;"")+('Dvd Calendar'!$AG$1330=TYPE3)*(TYPE3&lt;&gt;"")+('Dvd Calendar'!$AG$1330=TYPE4)*(TYPE4&lt;&gt;"")+('Dvd Calendar'!$AG$1330=SPECIAL_LBL)*(INC_SPECIALS="Y"))=0,"",'Dvd Calendar'!$AG$1328)))</f>
        <v/>
      </c>
      <c r="AF135" s="106">
        <f>IF(FH135="","",IF(ISNUMBER('Dvd Calendar'!$AH$1328)=FALSE,"",IF((('Dvd Calendar'!$AH$1330=TYPE1)*(TYPE1&lt;&gt;"")+('Dvd Calendar'!$AH$1330=TYPE2)*(TYPE2&lt;&gt;"")+('Dvd Calendar'!$AH$1330=TYPE3)*(TYPE3&lt;&gt;"")+('Dvd Calendar'!$AH$1330=TYPE4)*(TYPE4&lt;&gt;"")+('Dvd Calendar'!$AH$1330=SPECIAL_LBL)*(INC_SPECIALS="Y"))=0,"",'Dvd Calendar'!$AH$1328)))</f>
        <v/>
      </c>
      <c r="AG135" s="106">
        <f>IF(FI135="","",IF(ISNUMBER('Dvd Calendar'!$AI$1328)=FALSE,"",IF((('Dvd Calendar'!$AI$1330=TYPE1)*(TYPE1&lt;&gt;"")+('Dvd Calendar'!$AI$1330=TYPE2)*(TYPE2&lt;&gt;"")+('Dvd Calendar'!$AI$1330=TYPE3)*(TYPE3&lt;&gt;"")+('Dvd Calendar'!$AI$1330=TYPE4)*(TYPE4&lt;&gt;"")+('Dvd Calendar'!$AI$1330=SPECIAL_LBL)*(INC_SPECIALS="Y"))=0,"",'Dvd Calendar'!$AI$1328)))</f>
        <v/>
      </c>
      <c r="AH135" s="106">
        <f>IF(FJ135="","",IF(ISNUMBER('Dvd Calendar'!$AJ$1328)=FALSE,"",IF((('Dvd Calendar'!$AJ$1330=TYPE1)*(TYPE1&lt;&gt;"")+('Dvd Calendar'!$AJ$1330=TYPE2)*(TYPE2&lt;&gt;"")+('Dvd Calendar'!$AJ$1330=TYPE3)*(TYPE3&lt;&gt;"")+('Dvd Calendar'!$AJ$1330=TYPE4)*(TYPE4&lt;&gt;"")+('Dvd Calendar'!$AJ$1330=SPECIAL_LBL)*(INC_SPECIALS="Y"))=0,"",'Dvd Calendar'!$AJ$1328)))</f>
        <v/>
      </c>
      <c r="AI135" s="106">
        <f>IF(FK135="","",IF(ISNUMBER('Dvd Calendar'!$AK$1328)=FALSE,"",IF((('Dvd Calendar'!$AK$1330=TYPE1)*(TYPE1&lt;&gt;"")+('Dvd Calendar'!$AK$1330=TYPE2)*(TYPE2&lt;&gt;"")+('Dvd Calendar'!$AK$1330=TYPE3)*(TYPE3&lt;&gt;"")+('Dvd Calendar'!$AK$1330=TYPE4)*(TYPE4&lt;&gt;"")+('Dvd Calendar'!$AK$1330=SPECIAL_LBL)*(INC_SPECIALS="Y"))=0,"",'Dvd Calendar'!$AK$1328)))</f>
        <v/>
      </c>
      <c r="AJ135" s="106">
        <f>IF(FL135="","",IF(ISNUMBER('Dvd Calendar'!$AL$1328)=FALSE,"",IF((('Dvd Calendar'!$AL$1330=TYPE1)*(TYPE1&lt;&gt;"")+('Dvd Calendar'!$AL$1330=TYPE2)*(TYPE2&lt;&gt;"")+('Dvd Calendar'!$AL$1330=TYPE3)*(TYPE3&lt;&gt;"")+('Dvd Calendar'!$AL$1330=TYPE4)*(TYPE4&lt;&gt;"")+('Dvd Calendar'!$AL$1330=SPECIAL_LBL)*(INC_SPECIALS="Y"))=0,"",'Dvd Calendar'!$AL$1328)))</f>
        <v/>
      </c>
      <c r="AK135" s="106">
        <f>IF(FM135="","",IF(ISNUMBER('Dvd Calendar'!$AM$1328)=FALSE,"",IF((('Dvd Calendar'!$AM$1330=TYPE1)*(TYPE1&lt;&gt;"")+('Dvd Calendar'!$AM$1330=TYPE2)*(TYPE2&lt;&gt;"")+('Dvd Calendar'!$AM$1330=TYPE3)*(TYPE3&lt;&gt;"")+('Dvd Calendar'!$AM$1330=TYPE4)*(TYPE4&lt;&gt;"")+('Dvd Calendar'!$AM$1330=SPECIAL_LBL)*(INC_SPECIALS="Y"))=0,"",'Dvd Calendar'!$AM$1328)))</f>
        <v/>
      </c>
      <c r="AL135" s="106">
        <f>IF(FN135="","",IF(ISNUMBER('Dvd Calendar'!$AN$1328)=FALSE,"",IF((('Dvd Calendar'!$AN$1330=TYPE1)*(TYPE1&lt;&gt;"")+('Dvd Calendar'!$AN$1330=TYPE2)*(TYPE2&lt;&gt;"")+('Dvd Calendar'!$AN$1330=TYPE3)*(TYPE3&lt;&gt;"")+('Dvd Calendar'!$AN$1330=TYPE4)*(TYPE4&lt;&gt;"")+('Dvd Calendar'!$AN$1330=SPECIAL_LBL)*(INC_SPECIALS="Y"))=0,"",'Dvd Calendar'!$AN$1328)))</f>
        <v/>
      </c>
      <c r="AM135" s="106">
        <f>IF(FO135="","",IF(ISNUMBER('Dvd Calendar'!$AO$1328)=FALSE,"",IF((('Dvd Calendar'!$AO$1330=TYPE1)*(TYPE1&lt;&gt;"")+('Dvd Calendar'!$AO$1330=TYPE2)*(TYPE2&lt;&gt;"")+('Dvd Calendar'!$AO$1330=TYPE3)*(TYPE3&lt;&gt;"")+('Dvd Calendar'!$AO$1330=TYPE4)*(TYPE4&lt;&gt;"")+('Dvd Calendar'!$AO$1330=SPECIAL_LBL)*(INC_SPECIALS="Y"))=0,"",'Dvd Calendar'!$AO$1328)))</f>
        <v/>
      </c>
      <c r="AN135" s="106">
        <f>IF(FP135="","",IF(ISNUMBER('Dvd Calendar'!$AP$1328)=FALSE,"",IF((('Dvd Calendar'!$AP$1330=TYPE1)*(TYPE1&lt;&gt;"")+('Dvd Calendar'!$AP$1330=TYPE2)*(TYPE2&lt;&gt;"")+('Dvd Calendar'!$AP$1330=TYPE3)*(TYPE3&lt;&gt;"")+('Dvd Calendar'!$AP$1330=TYPE4)*(TYPE4&lt;&gt;"")+('Dvd Calendar'!$AP$1330=SPECIAL_LBL)*(INC_SPECIALS="Y"))=0,"",'Dvd Calendar'!$AP$1328)))</f>
        <v/>
      </c>
      <c r="AO135" s="106">
        <f>IF(FQ135="","",IF(ISNUMBER('Dvd Calendar'!$AQ$1328)=FALSE,"",IF((('Dvd Calendar'!$AQ$1330=TYPE1)*(TYPE1&lt;&gt;"")+('Dvd Calendar'!$AQ$1330=TYPE2)*(TYPE2&lt;&gt;"")+('Dvd Calendar'!$AQ$1330=TYPE3)*(TYPE3&lt;&gt;"")+('Dvd Calendar'!$AQ$1330=TYPE4)*(TYPE4&lt;&gt;"")+('Dvd Calendar'!$AQ$1330=SPECIAL_LBL)*(INC_SPECIALS="Y"))=0,"",'Dvd Calendar'!$AQ$1328)))</f>
        <v/>
      </c>
      <c r="AP135" s="106">
        <f>IF(FR135="","",IF(ISNUMBER('Dvd Calendar'!$AR$1328)=FALSE,"",IF((('Dvd Calendar'!$AR$1330=TYPE1)*(TYPE1&lt;&gt;"")+('Dvd Calendar'!$AR$1330=TYPE2)*(TYPE2&lt;&gt;"")+('Dvd Calendar'!$AR$1330=TYPE3)*(TYPE3&lt;&gt;"")+('Dvd Calendar'!$AR$1330=TYPE4)*(TYPE4&lt;&gt;"")+('Dvd Calendar'!$AR$1330=SPECIAL_LBL)*(INC_SPECIALS="Y"))=0,"",'Dvd Calendar'!$AR$1328)))</f>
        <v/>
      </c>
      <c r="AQ135" s="106">
        <f>IF(FS135="","",IF(ISNUMBER('Dvd Calendar'!$E$1333)=FALSE,"",'Dvd Calendar'!$E$1333))</f>
        <v/>
      </c>
      <c r="AR135" s="106">
        <f>IF(FT135="","",IF(ISNUMBER('Dvd Calendar'!$F$1333)=FALSE,"",'Dvd Calendar'!$F$1333))</f>
        <v/>
      </c>
      <c r="AS135" s="106">
        <f>IF(FU135="","",IF(ISNUMBER('Dvd Calendar'!$G$1333)=FALSE,"",'Dvd Calendar'!$G$1333))</f>
        <v/>
      </c>
      <c r="AT135" s="106">
        <f>IF(FV135="","",IF(ISNUMBER('Dvd Calendar'!$H$1333)=FALSE,"",'Dvd Calendar'!$H$1333))</f>
        <v/>
      </c>
      <c r="AU135" s="106">
        <f>IF(FW135="","",IF(ISNUMBER('Dvd Calendar'!$I$1333)=FALSE,"",'Dvd Calendar'!$I$1333))</f>
        <v/>
      </c>
      <c r="AV135" s="106">
        <f>IF(FX135="","",IF(ISNUMBER('Dvd Calendar'!$J$1333)=FALSE,"",'Dvd Calendar'!$J$1333))</f>
        <v/>
      </c>
      <c r="AW135" s="106">
        <f>IF(FY135="","",IF(ISNUMBER('Dvd Calendar'!$K$1333)=FALSE,"",'Dvd Calendar'!$K$1333))</f>
        <v/>
      </c>
      <c r="AX135" s="106">
        <f>IF(FZ135="","",IF(ISNUMBER('Dvd Calendar'!$L$1333)=FALSE,"",'Dvd Calendar'!$L$1333))</f>
        <v/>
      </c>
      <c r="AY135" s="106">
        <f>IF(GA135="","",IF(ISNUMBER('Dvd Calendar'!$M$1333)=FALSE,"",'Dvd Calendar'!$M$1333))</f>
        <v/>
      </c>
      <c r="AZ135" s="106">
        <f>IF(GB135="","",IF(ISNUMBER('Dvd Calendar'!$N$1333)=FALSE,"",'Dvd Calendar'!$N$1333))</f>
        <v/>
      </c>
      <c r="BA135" s="106">
        <f>IF(GC135="","",IF(ISNUMBER('Dvd Calendar'!$O$1333)=FALSE,"",'Dvd Calendar'!$O$1333))</f>
        <v/>
      </c>
      <c r="BB135" s="106">
        <f>IF(GD135="","",IF(ISNUMBER('Dvd Calendar'!$P$1333)=FALSE,"",'Dvd Calendar'!$P$1333))</f>
        <v/>
      </c>
      <c r="BC135" s="106">
        <f>IF(GE135="","",IF(ISNUMBER('Dvd Calendar'!$Q$1333)=FALSE,"",'Dvd Calendar'!$Q$1333))</f>
        <v/>
      </c>
      <c r="BD135" s="106">
        <f>IF(GF135="","",IF(ISNUMBER('Dvd Calendar'!$R$1333)=FALSE,"",'Dvd Calendar'!$R$1333))</f>
        <v/>
      </c>
      <c r="BE135" s="106">
        <f>IF(GG135="","",IF(ISNUMBER('Dvd Calendar'!$S$1333)=FALSE,"",'Dvd Calendar'!$S$1333))</f>
        <v/>
      </c>
      <c r="BF135" s="106">
        <f>IF(GH135="","",IF(ISNUMBER('Dvd Calendar'!$T$1333)=FALSE,"",'Dvd Calendar'!$T$1333))</f>
        <v/>
      </c>
      <c r="BG135" s="106">
        <f>IF(GI135="","",IF(ISNUMBER('Dvd Calendar'!$U$1333)=FALSE,"",'Dvd Calendar'!$U$1333))</f>
        <v/>
      </c>
      <c r="BH135" s="106">
        <f>IF(GJ135="","",IF(ISNUMBER('Dvd Calendar'!$V$1333)=FALSE,"",'Dvd Calendar'!$V$1333))</f>
        <v/>
      </c>
      <c r="BI135" s="106">
        <f>IF(GK135="","",IF(ISNUMBER('Dvd Calendar'!$W$1333)=FALSE,"",'Dvd Calendar'!$W$1333))</f>
        <v/>
      </c>
      <c r="BJ135" s="106">
        <f>IF(GL135="","",IF(ISNUMBER('Dvd Calendar'!$X$1333)=FALSE,"",'Dvd Calendar'!$X$1333))</f>
        <v/>
      </c>
      <c r="BK135" s="106">
        <f>IF(GM135="","",IF(ISNUMBER('Dvd Calendar'!$Y$1333)=FALSE,"",'Dvd Calendar'!$Y$1333))</f>
        <v/>
      </c>
      <c r="BL135" s="106">
        <f>IF(GN135="","",IF(ISNUMBER('Dvd Calendar'!$Z$1333)=FALSE,"",'Dvd Calendar'!$Z$1333))</f>
        <v/>
      </c>
      <c r="BM135" s="106">
        <f>IF(GO135="","",IF(ISNUMBER('Dvd Calendar'!$AA$1333)=FALSE,"",'Dvd Calendar'!$AA$1333))</f>
        <v/>
      </c>
      <c r="BN135" s="106">
        <f>IF(GP135="","",IF(ISNUMBER('Dvd Calendar'!$AB$1333)=FALSE,"",'Dvd Calendar'!$AB$1333))</f>
        <v/>
      </c>
      <c r="BO135" s="106">
        <f>IF(GQ135="","",IF(ISNUMBER('Dvd Calendar'!$AC$1333)=FALSE,"",'Dvd Calendar'!$AC$1333))</f>
        <v/>
      </c>
      <c r="BQ135" s="106">
        <f>IF(C135="","",IFERROR(C135*HSTECH!$B$26*HSTECH!$G$26/HSTECH!$B$3,""))</f>
        <v/>
      </c>
      <c r="BR135" s="106">
        <f>IF(D135="","",IFERROR(D135*HSTECH!$B$26*HSTECH!$G$26/HSTECH!$B$3,""))</f>
        <v/>
      </c>
      <c r="BS135" s="106">
        <f>IF(E135="","",IFERROR(E135*HSTECH!$B$26*HSTECH!$G$26/HSTECH!$B$3,""))</f>
        <v/>
      </c>
      <c r="BT135" s="106">
        <f>IF(F135="","",IFERROR(F135*HSTECH!$B$26*HSTECH!$G$26/HSTECH!$B$3,""))</f>
        <v/>
      </c>
      <c r="BU135" s="106">
        <f>IF(G135="","",IFERROR(G135*HSTECH!$B$26*HSTECH!$G$26/HSTECH!$B$3,""))</f>
        <v/>
      </c>
      <c r="BV135" s="106">
        <f>IF(H135="","",IFERROR(H135*HSTECH!$B$26*HSTECH!$G$26/HSTECH!$B$3,""))</f>
        <v/>
      </c>
      <c r="BW135" s="106">
        <f>IF(I135="","",IFERROR(I135*HSTECH!$B$26*HSTECH!$G$26/HSTECH!$B$3,""))</f>
        <v/>
      </c>
      <c r="BX135" s="106">
        <f>IF(J135="","",IFERROR(J135*HSTECH!$B$26*HSTECH!$G$26/HSTECH!$B$3,""))</f>
        <v/>
      </c>
      <c r="BY135" s="106">
        <f>IF(K135="","",IFERROR(K135*HSTECH!$B$26*HSTECH!$G$26/HSTECH!$B$3,""))</f>
        <v/>
      </c>
      <c r="BZ135" s="106">
        <f>IF(L135="","",IFERROR(L135*HSTECH!$B$26*HSTECH!$G$26/HSTECH!$B$3,""))</f>
        <v/>
      </c>
      <c r="CA135" s="106">
        <f>IF(M135="","",IFERROR(M135*HSTECH!$B$26*HSTECH!$G$26/HSTECH!$B$3,""))</f>
        <v/>
      </c>
      <c r="CB135" s="106">
        <f>IF(N135="","",IFERROR(N135*HSTECH!$B$26*HSTECH!$G$26/HSTECH!$B$3,""))</f>
        <v/>
      </c>
      <c r="CC135" s="106">
        <f>IF(O135="","",IFERROR(O135*HSTECH!$B$26*HSTECH!$G$26/HSTECH!$B$3,""))</f>
        <v/>
      </c>
      <c r="CD135" s="106">
        <f>IF(P135="","",IFERROR(P135*HSTECH!$B$26*HSTECH!$G$26/HSTECH!$B$3,""))</f>
        <v/>
      </c>
      <c r="CE135" s="106">
        <f>IF(Q135="","",IFERROR(Q135*HSTECH!$B$26*HSTECH!$G$26/HSTECH!$B$3,""))</f>
        <v/>
      </c>
      <c r="CF135" s="106">
        <f>IF(R135="","",IFERROR(R135*HSTECH!$B$26*HSTECH!$G$26/HSTECH!$B$3,""))</f>
        <v/>
      </c>
      <c r="CG135" s="106">
        <f>IF(S135="","",IFERROR(S135*HSTECH!$B$26*HSTECH!$G$26/HSTECH!$B$3,""))</f>
        <v/>
      </c>
      <c r="CH135" s="106">
        <f>IF(T135="","",IFERROR(T135*HSTECH!$B$26*HSTECH!$G$26/HSTECH!$B$3,""))</f>
        <v/>
      </c>
      <c r="CI135" s="106">
        <f>IF(U135="","",IFERROR(U135*HSTECH!$B$26*HSTECH!$G$26/HSTECH!$B$3,""))</f>
        <v/>
      </c>
      <c r="CJ135" s="106">
        <f>IF(V135="","",IFERROR(V135*HSTECH!$B$26*HSTECH!$G$26/HSTECH!$B$3,""))</f>
        <v/>
      </c>
      <c r="CK135" s="106">
        <f>IF(W135="","",IFERROR(W135*HSTECH!$B$26*HSTECH!$G$26/HSTECH!$B$3,""))</f>
        <v/>
      </c>
      <c r="CL135" s="106">
        <f>IF(X135="","",IFERROR(X135*HSTECH!$B$26*HSTECH!$G$26/HSTECH!$B$3,""))</f>
        <v/>
      </c>
      <c r="CM135" s="106">
        <f>IF(Y135="","",IFERROR(Y135*HSTECH!$B$26*HSTECH!$G$26/HSTECH!$B$3,""))</f>
        <v/>
      </c>
      <c r="CN135" s="106">
        <f>IF(Z135="","",IFERROR(Z135*HSTECH!$B$26*HSTECH!$G$26/HSTECH!$B$3,""))</f>
        <v/>
      </c>
      <c r="CO135" s="106">
        <f>IF(AA135="","",IFERROR(AA135*HSTECH!$B$26*HSTECH!$G$26/HSTECH!$B$3,""))</f>
        <v/>
      </c>
      <c r="CP135" s="106">
        <f>IF(AB135="","",IFERROR(AB135*HSTECH!$B$26*HSTECH!$G$26/HSTECH!$B$3,""))</f>
        <v/>
      </c>
      <c r="CQ135" s="106">
        <f>IF(AC135="","",IFERROR(AC135*HSTECH!$B$26*HSTECH!$G$26/HSTECH!$B$3,""))</f>
        <v/>
      </c>
      <c r="CR135" s="106">
        <f>IF(AD135="","",IFERROR(AD135*HSTECH!$B$26*HSTECH!$G$26/HSTECH!$B$3,""))</f>
        <v/>
      </c>
      <c r="CS135" s="106">
        <f>IF(AE135="","",IFERROR(AE135*HSTECH!$B$26*HSTECH!$G$26/HSTECH!$B$3,""))</f>
        <v/>
      </c>
      <c r="CT135" s="106">
        <f>IF(AF135="","",IFERROR(AF135*HSTECH!$B$26*HSTECH!$G$26/HSTECH!$B$3,""))</f>
        <v/>
      </c>
      <c r="CU135" s="106">
        <f>IF(AG135="","",IFERROR(AG135*HSTECH!$B$26*HSTECH!$G$26/HSTECH!$B$3,""))</f>
        <v/>
      </c>
      <c r="CV135" s="106">
        <f>IF(AH135="","",IFERROR(AH135*HSTECH!$B$26*HSTECH!$G$26/HSTECH!$B$3,""))</f>
        <v/>
      </c>
      <c r="CW135" s="106">
        <f>IF(AI135="","",IFERROR(AI135*HSTECH!$B$26*HSTECH!$G$26/HSTECH!$B$3,""))</f>
        <v/>
      </c>
      <c r="CX135" s="106">
        <f>IF(AJ135="","",IFERROR(AJ135*HSTECH!$B$26*HSTECH!$G$26/HSTECH!$B$3,""))</f>
        <v/>
      </c>
      <c r="CY135" s="106">
        <f>IF(AK135="","",IFERROR(AK135*HSTECH!$B$26*HSTECH!$G$26/HSTECH!$B$3,""))</f>
        <v/>
      </c>
      <c r="CZ135" s="106">
        <f>IF(AL135="","",IFERROR(AL135*HSTECH!$B$26*HSTECH!$G$26/HSTECH!$B$3,""))</f>
        <v/>
      </c>
      <c r="DA135" s="106">
        <f>IF(AM135="","",IFERROR(AM135*HSTECH!$B$26*HSTECH!$G$26/HSTECH!$B$3,""))</f>
        <v/>
      </c>
      <c r="DB135" s="106">
        <f>IF(AN135="","",IFERROR(AN135*HSTECH!$B$26*HSTECH!$G$26/HSTECH!$B$3,""))</f>
        <v/>
      </c>
      <c r="DC135" s="106">
        <f>IF(AO135="","",IFERROR(AO135*HSTECH!$B$26*HSTECH!$G$26/HSTECH!$B$3,""))</f>
        <v/>
      </c>
      <c r="DD135" s="106">
        <f>IF(AP135="","",IFERROR(AP135*HSTECH!$B$26*HSTECH!$G$26/HSTECH!$B$3,""))</f>
        <v/>
      </c>
      <c r="DE135" s="106">
        <f>IF(AQ135="","",IFERROR(AQ135*HSTECH!$B$26*HSTECH!$G$26/HSTECH!$B$3,""))</f>
        <v/>
      </c>
      <c r="DF135" s="106">
        <f>IF(AR135="","",IFERROR(AR135*HSTECH!$B$26*HSTECH!$G$26/HSTECH!$B$3,""))</f>
        <v/>
      </c>
      <c r="DG135" s="106">
        <f>IF(AS135="","",IFERROR(AS135*HSTECH!$B$26*HSTECH!$G$26/HSTECH!$B$3,""))</f>
        <v/>
      </c>
      <c r="DH135" s="106">
        <f>IF(AT135="","",IFERROR(AT135*HSTECH!$B$26*HSTECH!$G$26/HSTECH!$B$3,""))</f>
        <v/>
      </c>
      <c r="DI135" s="106">
        <f>IF(AU135="","",IFERROR(AU135*HSTECH!$B$26*HSTECH!$G$26/HSTECH!$B$3,""))</f>
        <v/>
      </c>
      <c r="DJ135" s="106">
        <f>IF(AV135="","",IFERROR(AV135*HSTECH!$B$26*HSTECH!$G$26/HSTECH!$B$3,""))</f>
        <v/>
      </c>
      <c r="DK135" s="106">
        <f>IF(AW135="","",IFERROR(AW135*HSTECH!$B$26*HSTECH!$G$26/HSTECH!$B$3,""))</f>
        <v/>
      </c>
      <c r="DL135" s="106">
        <f>IF(AX135="","",IFERROR(AX135*HSTECH!$B$26*HSTECH!$G$26/HSTECH!$B$3,""))</f>
        <v/>
      </c>
      <c r="DM135" s="106">
        <f>IF(AY135="","",IFERROR(AY135*HSTECH!$B$26*HSTECH!$G$26/HSTECH!$B$3,""))</f>
        <v/>
      </c>
      <c r="DN135" s="106">
        <f>IF(AZ135="","",IFERROR(AZ135*HSTECH!$B$26*HSTECH!$G$26/HSTECH!$B$3,""))</f>
        <v/>
      </c>
      <c r="DO135" s="106">
        <f>IF(BA135="","",IFERROR(BA135*HSTECH!$B$26*HSTECH!$G$26/HSTECH!$B$3,""))</f>
        <v/>
      </c>
      <c r="DP135" s="106">
        <f>IF(BB135="","",IFERROR(BB135*HSTECH!$B$26*HSTECH!$G$26/HSTECH!$B$3,""))</f>
        <v/>
      </c>
      <c r="DQ135" s="106">
        <f>IF(BC135="","",IFERROR(BC135*HSTECH!$B$26*HSTECH!$G$26/HSTECH!$B$3,""))</f>
        <v/>
      </c>
      <c r="DR135" s="106">
        <f>IF(BD135="","",IFERROR(BD135*HSTECH!$B$26*HSTECH!$G$26/HSTECH!$B$3,""))</f>
        <v/>
      </c>
      <c r="DS135" s="106">
        <f>IF(BE135="","",IFERROR(BE135*HSTECH!$B$26*HSTECH!$G$26/HSTECH!$B$3,""))</f>
        <v/>
      </c>
      <c r="DT135" s="106">
        <f>IF(BF135="","",IFERROR(BF135*HSTECH!$B$26*HSTECH!$G$26/HSTECH!$B$3,""))</f>
        <v/>
      </c>
      <c r="DU135" s="106">
        <f>IF(BG135="","",IFERROR(BG135*HSTECH!$B$26*HSTECH!$G$26/HSTECH!$B$3,""))</f>
        <v/>
      </c>
      <c r="DV135" s="106">
        <f>IF(BH135="","",IFERROR(BH135*HSTECH!$B$26*HSTECH!$G$26/HSTECH!$B$3,""))</f>
        <v/>
      </c>
      <c r="DW135" s="106">
        <f>IF(BI135="","",IFERROR(BI135*HSTECH!$B$26*HSTECH!$G$26/HSTECH!$B$3,""))</f>
        <v/>
      </c>
      <c r="DX135" s="106">
        <f>IF(BJ135="","",IFERROR(BJ135*HSTECH!$B$26*HSTECH!$G$26/HSTECH!$B$3,""))</f>
        <v/>
      </c>
      <c r="DY135" s="106">
        <f>IF(BK135="","",IFERROR(BK135*HSTECH!$B$26*HSTECH!$G$26/HSTECH!$B$3,""))</f>
        <v/>
      </c>
      <c r="DZ135" s="106">
        <f>IF(BL135="","",IFERROR(BL135*HSTECH!$B$26*HSTECH!$G$26/HSTECH!$B$3,""))</f>
        <v/>
      </c>
      <c r="EA135" s="106">
        <f>IF(BM135="","",IFERROR(BM135*HSTECH!$B$26*HSTECH!$G$26/HSTECH!$B$3,""))</f>
        <v/>
      </c>
      <c r="EB135" s="106">
        <f>IF(BN135="","",IFERROR(BN135*HSTECH!$B$26*HSTECH!$G$26/HSTECH!$B$3,""))</f>
        <v/>
      </c>
      <c r="EC135" s="106">
        <f>IF(BO135="","",IFERROR(BO135*HSTECH!$B$26*HSTECH!$G$26/HSTECH!$B$3,""))</f>
        <v/>
      </c>
      <c r="EE135" s="35">
        <f>IF(N('Dvd Calendar'!$E$1325)=0,"",IF(('Dvd Calendar'!$E$1325&gt;=GRID_FROM)*('Dvd Calendar'!$E$1325&lt;=GRID_TO)*('Dvd Calendar'!$E$1325&lt;=VAL_DATE)=0,"",'Dvd Calendar'!$E$1325*1000000000+ISNUMBER('Dvd Calendar'!$E$1328)*100000000+('Dvd Calendar'!$E$1330=SPECIAL_LBL)*10000000+0*1000000+20*1000+1))</f>
        <v/>
      </c>
      <c r="EF135" s="35">
        <f>IF(N('Dvd Calendar'!$F$1325)=0,"",IF(('Dvd Calendar'!$F$1325&gt;=GRID_FROM)*('Dvd Calendar'!$F$1325&lt;=GRID_TO)*('Dvd Calendar'!$F$1325&lt;=VAL_DATE)=0,"",'Dvd Calendar'!$F$1325*1000000000+ISNUMBER('Dvd Calendar'!$F$1328)*100000000+('Dvd Calendar'!$F$1330=SPECIAL_LBL)*10000000+0*1000000+20*1000+2))</f>
        <v/>
      </c>
      <c r="EG135" s="35">
        <f>IF(N('Dvd Calendar'!$G$1325)=0,"",IF(('Dvd Calendar'!$G$1325&gt;=GRID_FROM)*('Dvd Calendar'!$G$1325&lt;=GRID_TO)*('Dvd Calendar'!$G$1325&lt;=VAL_DATE)=0,"",'Dvd Calendar'!$G$1325*1000000000+ISNUMBER('Dvd Calendar'!$G$1328)*100000000+('Dvd Calendar'!$G$1330=SPECIAL_LBL)*10000000+0*1000000+20*1000+3))</f>
        <v/>
      </c>
      <c r="EH135" s="35">
        <f>IF(N('Dvd Calendar'!$H$1325)=0,"",IF(('Dvd Calendar'!$H$1325&gt;=GRID_FROM)*('Dvd Calendar'!$H$1325&lt;=GRID_TO)*('Dvd Calendar'!$H$1325&lt;=VAL_DATE)=0,"",'Dvd Calendar'!$H$1325*1000000000+ISNUMBER('Dvd Calendar'!$H$1328)*100000000+('Dvd Calendar'!$H$1330=SPECIAL_LBL)*10000000+0*1000000+20*1000+4))</f>
        <v/>
      </c>
      <c r="EI135" s="35">
        <f>IF(N('Dvd Calendar'!$I$1325)=0,"",IF(('Dvd Calendar'!$I$1325&gt;=GRID_FROM)*('Dvd Calendar'!$I$1325&lt;=GRID_TO)*('Dvd Calendar'!$I$1325&lt;=VAL_DATE)=0,"",'Dvd Calendar'!$I$1325*1000000000+ISNUMBER('Dvd Calendar'!$I$1328)*100000000+('Dvd Calendar'!$I$1330=SPECIAL_LBL)*10000000+0*1000000+20*1000+5))</f>
        <v/>
      </c>
      <c r="EJ135" s="35">
        <f>IF(N('Dvd Calendar'!$J$1325)=0,"",IF(('Dvd Calendar'!$J$1325&gt;=GRID_FROM)*('Dvd Calendar'!$J$1325&lt;=GRID_TO)*('Dvd Calendar'!$J$1325&lt;=VAL_DATE)=0,"",'Dvd Calendar'!$J$1325*1000000000+ISNUMBER('Dvd Calendar'!$J$1328)*100000000+('Dvd Calendar'!$J$1330=SPECIAL_LBL)*10000000+0*1000000+20*1000+6))</f>
        <v/>
      </c>
      <c r="EK135" s="35">
        <f>IF(N('Dvd Calendar'!$K$1325)=0,"",IF(('Dvd Calendar'!$K$1325&gt;=GRID_FROM)*('Dvd Calendar'!$K$1325&lt;=GRID_TO)*('Dvd Calendar'!$K$1325&lt;=VAL_DATE)=0,"",'Dvd Calendar'!$K$1325*1000000000+ISNUMBER('Dvd Calendar'!$K$1328)*100000000+('Dvd Calendar'!$K$1330=SPECIAL_LBL)*10000000+0*1000000+20*1000+7))</f>
        <v/>
      </c>
      <c r="EL135" s="35">
        <f>IF(N('Dvd Calendar'!$L$1325)=0,"",IF(('Dvd Calendar'!$L$1325&gt;=GRID_FROM)*('Dvd Calendar'!$L$1325&lt;=GRID_TO)*('Dvd Calendar'!$L$1325&lt;=VAL_DATE)=0,"",'Dvd Calendar'!$L$1325*1000000000+ISNUMBER('Dvd Calendar'!$L$1328)*100000000+('Dvd Calendar'!$L$1330=SPECIAL_LBL)*10000000+0*1000000+20*1000+8))</f>
        <v/>
      </c>
      <c r="EM135" s="35">
        <f>IF(N('Dvd Calendar'!$M$1325)=0,"",IF(('Dvd Calendar'!$M$1325&gt;=GRID_FROM)*('Dvd Calendar'!$M$1325&lt;=GRID_TO)*('Dvd Calendar'!$M$1325&lt;=VAL_DATE)=0,"",'Dvd Calendar'!$M$1325*1000000000+ISNUMBER('Dvd Calendar'!$M$1328)*100000000+('Dvd Calendar'!$M$1330=SPECIAL_LBL)*10000000+0*1000000+20*1000+9))</f>
        <v/>
      </c>
      <c r="EN135" s="35">
        <f>IF(N('Dvd Calendar'!$N$1325)=0,"",IF(('Dvd Calendar'!$N$1325&gt;=GRID_FROM)*('Dvd Calendar'!$N$1325&lt;=GRID_TO)*('Dvd Calendar'!$N$1325&lt;=VAL_DATE)=0,"",'Dvd Calendar'!$N$1325*1000000000+ISNUMBER('Dvd Calendar'!$N$1328)*100000000+('Dvd Calendar'!$N$1330=SPECIAL_LBL)*10000000+0*1000000+20*1000+10))</f>
        <v/>
      </c>
      <c r="EO135" s="35">
        <f>IF(N('Dvd Calendar'!$O$1325)=0,"",IF(('Dvd Calendar'!$O$1325&gt;=GRID_FROM)*('Dvd Calendar'!$O$1325&lt;=GRID_TO)*('Dvd Calendar'!$O$1325&lt;=VAL_DATE)=0,"",'Dvd Calendar'!$O$1325*1000000000+ISNUMBER('Dvd Calendar'!$O$1328)*100000000+('Dvd Calendar'!$O$1330=SPECIAL_LBL)*10000000+0*1000000+20*1000+11))</f>
        <v/>
      </c>
      <c r="EP135" s="35">
        <f>IF(N('Dvd Calendar'!$P$1325)=0,"",IF(('Dvd Calendar'!$P$1325&gt;=GRID_FROM)*('Dvd Calendar'!$P$1325&lt;=GRID_TO)*('Dvd Calendar'!$P$1325&lt;=VAL_DATE)=0,"",'Dvd Calendar'!$P$1325*1000000000+ISNUMBER('Dvd Calendar'!$P$1328)*100000000+('Dvd Calendar'!$P$1330=SPECIAL_LBL)*10000000+0*1000000+20*1000+12))</f>
        <v/>
      </c>
      <c r="EQ135" s="35">
        <f>IF(N('Dvd Calendar'!$Q$1325)=0,"",IF(('Dvd Calendar'!$Q$1325&gt;=GRID_FROM)*('Dvd Calendar'!$Q$1325&lt;=GRID_TO)*('Dvd Calendar'!$Q$1325&lt;=VAL_DATE)=0,"",'Dvd Calendar'!$Q$1325*1000000000+ISNUMBER('Dvd Calendar'!$Q$1328)*100000000+('Dvd Calendar'!$Q$1330=SPECIAL_LBL)*10000000+0*1000000+20*1000+13))</f>
        <v/>
      </c>
      <c r="ER135" s="35">
        <f>IF(N('Dvd Calendar'!$R$1325)=0,"",IF(('Dvd Calendar'!$R$1325&gt;=GRID_FROM)*('Dvd Calendar'!$R$1325&lt;=GRID_TO)*('Dvd Calendar'!$R$1325&lt;=VAL_DATE)=0,"",'Dvd Calendar'!$R$1325*1000000000+ISNUMBER('Dvd Calendar'!$R$1328)*100000000+('Dvd Calendar'!$R$1330=SPECIAL_LBL)*10000000+0*1000000+20*1000+14))</f>
        <v/>
      </c>
      <c r="ES135" s="35">
        <f>IF(N('Dvd Calendar'!$S$1325)=0,"",IF(('Dvd Calendar'!$S$1325&gt;=GRID_FROM)*('Dvd Calendar'!$S$1325&lt;=GRID_TO)*('Dvd Calendar'!$S$1325&lt;=VAL_DATE)=0,"",'Dvd Calendar'!$S$1325*1000000000+ISNUMBER('Dvd Calendar'!$S$1328)*100000000+('Dvd Calendar'!$S$1330=SPECIAL_LBL)*10000000+0*1000000+20*1000+15))</f>
        <v/>
      </c>
      <c r="ET135" s="35">
        <f>IF(N('Dvd Calendar'!$T$1325)=0,"",IF(('Dvd Calendar'!$T$1325&gt;=GRID_FROM)*('Dvd Calendar'!$T$1325&lt;=GRID_TO)*('Dvd Calendar'!$T$1325&lt;=VAL_DATE)=0,"",'Dvd Calendar'!$T$1325*1000000000+ISNUMBER('Dvd Calendar'!$T$1328)*100000000+('Dvd Calendar'!$T$1330=SPECIAL_LBL)*10000000+0*1000000+20*1000+16))</f>
        <v/>
      </c>
      <c r="EU135" s="35">
        <f>IF(N('Dvd Calendar'!$U$1325)=0,"",IF(('Dvd Calendar'!$U$1325&gt;=GRID_FROM)*('Dvd Calendar'!$U$1325&lt;=GRID_TO)*('Dvd Calendar'!$U$1325&lt;=VAL_DATE)=0,"",'Dvd Calendar'!$U$1325*1000000000+ISNUMBER('Dvd Calendar'!$U$1328)*100000000+('Dvd Calendar'!$U$1330=SPECIAL_LBL)*10000000+0*1000000+20*1000+17))</f>
        <v/>
      </c>
      <c r="EV135" s="35">
        <f>IF(N('Dvd Calendar'!$V$1325)=0,"",IF(('Dvd Calendar'!$V$1325&gt;=GRID_FROM)*('Dvd Calendar'!$V$1325&lt;=GRID_TO)*('Dvd Calendar'!$V$1325&lt;=VAL_DATE)=0,"",'Dvd Calendar'!$V$1325*1000000000+ISNUMBER('Dvd Calendar'!$V$1328)*100000000+('Dvd Calendar'!$V$1330=SPECIAL_LBL)*10000000+0*1000000+20*1000+18))</f>
        <v/>
      </c>
      <c r="EW135" s="35">
        <f>IF(N('Dvd Calendar'!$W$1325)=0,"",IF(('Dvd Calendar'!$W$1325&gt;=GRID_FROM)*('Dvd Calendar'!$W$1325&lt;=GRID_TO)*('Dvd Calendar'!$W$1325&lt;=VAL_DATE)=0,"",'Dvd Calendar'!$W$1325*1000000000+ISNUMBER('Dvd Calendar'!$W$1328)*100000000+('Dvd Calendar'!$W$1330=SPECIAL_LBL)*10000000+0*1000000+20*1000+19))</f>
        <v/>
      </c>
      <c r="EX135" s="35">
        <f>IF(N('Dvd Calendar'!$X$1325)=0,"",IF(('Dvd Calendar'!$X$1325&gt;=GRID_FROM)*('Dvd Calendar'!$X$1325&lt;=GRID_TO)*('Dvd Calendar'!$X$1325&lt;=VAL_DATE)=0,"",'Dvd Calendar'!$X$1325*1000000000+ISNUMBER('Dvd Calendar'!$X$1328)*100000000+('Dvd Calendar'!$X$1330=SPECIAL_LBL)*10000000+0*1000000+20*1000+20))</f>
        <v/>
      </c>
      <c r="EY135" s="35">
        <f>IF(N('Dvd Calendar'!$Y$1325)=0,"",IF(('Dvd Calendar'!$Y$1325&gt;=GRID_FROM)*('Dvd Calendar'!$Y$1325&lt;=GRID_TO)*('Dvd Calendar'!$Y$1325&lt;=VAL_DATE)=0,"",'Dvd Calendar'!$Y$1325*1000000000+ISNUMBER('Dvd Calendar'!$Y$1328)*100000000+('Dvd Calendar'!$Y$1330=SPECIAL_LBL)*10000000+0*1000000+20*1000+21))</f>
        <v/>
      </c>
      <c r="EZ135" s="35">
        <f>IF(N('Dvd Calendar'!$Z$1325)=0,"",IF(('Dvd Calendar'!$Z$1325&gt;=GRID_FROM)*('Dvd Calendar'!$Z$1325&lt;=GRID_TO)*('Dvd Calendar'!$Z$1325&lt;=VAL_DATE)=0,"",'Dvd Calendar'!$Z$1325*1000000000+ISNUMBER('Dvd Calendar'!$Z$1328)*100000000+('Dvd Calendar'!$Z$1330=SPECIAL_LBL)*10000000+0*1000000+20*1000+22))</f>
        <v/>
      </c>
      <c r="FA135" s="35">
        <f>IF(N('Dvd Calendar'!$AA$1325)=0,"",IF(('Dvd Calendar'!$AA$1325&gt;=GRID_FROM)*('Dvd Calendar'!$AA$1325&lt;=GRID_TO)*('Dvd Calendar'!$AA$1325&lt;=VAL_DATE)=0,"",'Dvd Calendar'!$AA$1325*1000000000+ISNUMBER('Dvd Calendar'!$AA$1328)*100000000+('Dvd Calendar'!$AA$1330=SPECIAL_LBL)*10000000+0*1000000+20*1000+23))</f>
        <v/>
      </c>
      <c r="FB135" s="35">
        <f>IF(N('Dvd Calendar'!$AB$1325)=0,"",IF(('Dvd Calendar'!$AB$1325&gt;=GRID_FROM)*('Dvd Calendar'!$AB$1325&lt;=GRID_TO)*('Dvd Calendar'!$AB$1325&lt;=VAL_DATE)=0,"",'Dvd Calendar'!$AB$1325*1000000000+ISNUMBER('Dvd Calendar'!$AB$1328)*100000000+('Dvd Calendar'!$AB$1330=SPECIAL_LBL)*10000000+0*1000000+20*1000+24))</f>
        <v/>
      </c>
      <c r="FC135" s="35">
        <f>IF(N('Dvd Calendar'!$AC$1325)=0,"",IF(('Dvd Calendar'!$AC$1325&gt;=GRID_FROM)*('Dvd Calendar'!$AC$1325&lt;=GRID_TO)*('Dvd Calendar'!$AC$1325&lt;=VAL_DATE)=0,"",'Dvd Calendar'!$AC$1325*1000000000+ISNUMBER('Dvd Calendar'!$AC$1328)*100000000+('Dvd Calendar'!$AC$1330=SPECIAL_LBL)*10000000+0*1000000+20*1000+25))</f>
        <v/>
      </c>
      <c r="FD135" s="35">
        <f>IF(N('Dvd Calendar'!$AD$1325)=0,"",IF(('Dvd Calendar'!$AD$1325&gt;=GRID_FROM)*('Dvd Calendar'!$AD$1325&lt;=GRID_TO)*('Dvd Calendar'!$AD$1325&lt;=VAL_DATE)=0,"",'Dvd Calendar'!$AD$1325*1000000000+ISNUMBER('Dvd Calendar'!$AD$1328)*100000000+('Dvd Calendar'!$AD$1330=SPECIAL_LBL)*10000000+0*1000000+20*1000+26))</f>
        <v/>
      </c>
      <c r="FE135" s="35">
        <f>IF(N('Dvd Calendar'!$AE$1325)=0,"",IF(('Dvd Calendar'!$AE$1325&gt;=GRID_FROM)*('Dvd Calendar'!$AE$1325&lt;=GRID_TO)*('Dvd Calendar'!$AE$1325&lt;=VAL_DATE)=0,"",'Dvd Calendar'!$AE$1325*1000000000+ISNUMBER('Dvd Calendar'!$AE$1328)*100000000+('Dvd Calendar'!$AE$1330=SPECIAL_LBL)*10000000+0*1000000+20*1000+27))</f>
        <v/>
      </c>
      <c r="FF135" s="35">
        <f>IF(N('Dvd Calendar'!$AF$1325)=0,"",IF(('Dvd Calendar'!$AF$1325&gt;=GRID_FROM)*('Dvd Calendar'!$AF$1325&lt;=GRID_TO)*('Dvd Calendar'!$AF$1325&lt;=VAL_DATE)=0,"",'Dvd Calendar'!$AF$1325*1000000000+ISNUMBER('Dvd Calendar'!$AF$1328)*100000000+('Dvd Calendar'!$AF$1330=SPECIAL_LBL)*10000000+0*1000000+20*1000+28))</f>
        <v/>
      </c>
      <c r="FG135" s="35">
        <f>IF(N('Dvd Calendar'!$AG$1325)=0,"",IF(('Dvd Calendar'!$AG$1325&gt;=GRID_FROM)*('Dvd Calendar'!$AG$1325&lt;=GRID_TO)*('Dvd Calendar'!$AG$1325&lt;=VAL_DATE)=0,"",'Dvd Calendar'!$AG$1325*1000000000+ISNUMBER('Dvd Calendar'!$AG$1328)*100000000+('Dvd Calendar'!$AG$1330=SPECIAL_LBL)*10000000+0*1000000+20*1000+29))</f>
        <v/>
      </c>
      <c r="FH135" s="35">
        <f>IF(N('Dvd Calendar'!$AH$1325)=0,"",IF(('Dvd Calendar'!$AH$1325&gt;=GRID_FROM)*('Dvd Calendar'!$AH$1325&lt;=GRID_TO)*('Dvd Calendar'!$AH$1325&lt;=VAL_DATE)=0,"",'Dvd Calendar'!$AH$1325*1000000000+ISNUMBER('Dvd Calendar'!$AH$1328)*100000000+('Dvd Calendar'!$AH$1330=SPECIAL_LBL)*10000000+0*1000000+20*1000+30))</f>
        <v/>
      </c>
      <c r="FI135" s="35">
        <f>IF(N('Dvd Calendar'!$AI$1325)=0,"",IF(('Dvd Calendar'!$AI$1325&gt;=GRID_FROM)*('Dvd Calendar'!$AI$1325&lt;=GRID_TO)*('Dvd Calendar'!$AI$1325&lt;=VAL_DATE)=0,"",'Dvd Calendar'!$AI$1325*1000000000+ISNUMBER('Dvd Calendar'!$AI$1328)*100000000+('Dvd Calendar'!$AI$1330=SPECIAL_LBL)*10000000+0*1000000+20*1000+31))</f>
        <v/>
      </c>
      <c r="FJ135" s="35">
        <f>IF(N('Dvd Calendar'!$AJ$1325)=0,"",IF(('Dvd Calendar'!$AJ$1325&gt;=GRID_FROM)*('Dvd Calendar'!$AJ$1325&lt;=GRID_TO)*('Dvd Calendar'!$AJ$1325&lt;=VAL_DATE)=0,"",'Dvd Calendar'!$AJ$1325*1000000000+ISNUMBER('Dvd Calendar'!$AJ$1328)*100000000+('Dvd Calendar'!$AJ$1330=SPECIAL_LBL)*10000000+0*1000000+20*1000+32))</f>
        <v/>
      </c>
      <c r="FK135" s="35">
        <f>IF(N('Dvd Calendar'!$AK$1325)=0,"",IF(('Dvd Calendar'!$AK$1325&gt;=GRID_FROM)*('Dvd Calendar'!$AK$1325&lt;=GRID_TO)*('Dvd Calendar'!$AK$1325&lt;=VAL_DATE)=0,"",'Dvd Calendar'!$AK$1325*1000000000+ISNUMBER('Dvd Calendar'!$AK$1328)*100000000+('Dvd Calendar'!$AK$1330=SPECIAL_LBL)*10000000+0*1000000+20*1000+33))</f>
        <v/>
      </c>
      <c r="FL135" s="35">
        <f>IF(N('Dvd Calendar'!$AL$1325)=0,"",IF(('Dvd Calendar'!$AL$1325&gt;=GRID_FROM)*('Dvd Calendar'!$AL$1325&lt;=GRID_TO)*('Dvd Calendar'!$AL$1325&lt;=VAL_DATE)=0,"",'Dvd Calendar'!$AL$1325*1000000000+ISNUMBER('Dvd Calendar'!$AL$1328)*100000000+('Dvd Calendar'!$AL$1330=SPECIAL_LBL)*10000000+0*1000000+20*1000+34))</f>
        <v/>
      </c>
      <c r="FM135" s="35">
        <f>IF(N('Dvd Calendar'!$AM$1325)=0,"",IF(('Dvd Calendar'!$AM$1325&gt;=GRID_FROM)*('Dvd Calendar'!$AM$1325&lt;=GRID_TO)*('Dvd Calendar'!$AM$1325&lt;=VAL_DATE)=0,"",'Dvd Calendar'!$AM$1325*1000000000+ISNUMBER('Dvd Calendar'!$AM$1328)*100000000+('Dvd Calendar'!$AM$1330=SPECIAL_LBL)*10000000+0*1000000+20*1000+35))</f>
        <v/>
      </c>
      <c r="FN135" s="35">
        <f>IF(N('Dvd Calendar'!$AN$1325)=0,"",IF(('Dvd Calendar'!$AN$1325&gt;=GRID_FROM)*('Dvd Calendar'!$AN$1325&lt;=GRID_TO)*('Dvd Calendar'!$AN$1325&lt;=VAL_DATE)=0,"",'Dvd Calendar'!$AN$1325*1000000000+ISNUMBER('Dvd Calendar'!$AN$1328)*100000000+('Dvd Calendar'!$AN$1330=SPECIAL_LBL)*10000000+0*1000000+20*1000+36))</f>
        <v/>
      </c>
      <c r="FO135" s="35">
        <f>IF(N('Dvd Calendar'!$AO$1325)=0,"",IF(('Dvd Calendar'!$AO$1325&gt;=GRID_FROM)*('Dvd Calendar'!$AO$1325&lt;=GRID_TO)*('Dvd Calendar'!$AO$1325&lt;=VAL_DATE)=0,"",'Dvd Calendar'!$AO$1325*1000000000+ISNUMBER('Dvd Calendar'!$AO$1328)*100000000+('Dvd Calendar'!$AO$1330=SPECIAL_LBL)*10000000+0*1000000+20*1000+37))</f>
        <v/>
      </c>
      <c r="FP135" s="35">
        <f>IF(N('Dvd Calendar'!$AP$1325)=0,"",IF(('Dvd Calendar'!$AP$1325&gt;=GRID_FROM)*('Dvd Calendar'!$AP$1325&lt;=GRID_TO)*('Dvd Calendar'!$AP$1325&lt;=VAL_DATE)=0,"",'Dvd Calendar'!$AP$1325*1000000000+ISNUMBER('Dvd Calendar'!$AP$1328)*100000000+('Dvd Calendar'!$AP$1330=SPECIAL_LBL)*10000000+0*1000000+20*1000+38))</f>
        <v/>
      </c>
      <c r="FQ135" s="35">
        <f>IF(N('Dvd Calendar'!$AQ$1325)=0,"",IF(('Dvd Calendar'!$AQ$1325&gt;=GRID_FROM)*('Dvd Calendar'!$AQ$1325&lt;=GRID_TO)*('Dvd Calendar'!$AQ$1325&lt;=VAL_DATE)=0,"",'Dvd Calendar'!$AQ$1325*1000000000+ISNUMBER('Dvd Calendar'!$AQ$1328)*100000000+('Dvd Calendar'!$AQ$1330=SPECIAL_LBL)*10000000+0*1000000+20*1000+39))</f>
        <v/>
      </c>
      <c r="FR135" s="35">
        <f>IF(N('Dvd Calendar'!$AR$1325)=0,"",IF(('Dvd Calendar'!$AR$1325&gt;=GRID_FROM)*('Dvd Calendar'!$AR$1325&lt;=GRID_TO)*('Dvd Calendar'!$AR$1325&lt;=VAL_DATE)=0,"",'Dvd Calendar'!$AR$1325*1000000000+ISNUMBER('Dvd Calendar'!$AR$1328)*100000000+('Dvd Calendar'!$AR$1330=SPECIAL_LBL)*10000000+0*1000000+20*1000+40))</f>
        <v/>
      </c>
      <c r="FS135" s="35">
        <f>IF(N('Dvd Calendar'!$E$1332)=0,"",IF(('Dvd Calendar'!$E$1332&gt;=GRID_FROM)*('Dvd Calendar'!$E$1332&lt;=GRID_TO)*('Dvd Calendar'!$E$1332&gt;VAL_DATE)=0,"",'Dvd Calendar'!$E$1332*1000000000+ISNUMBER('Dvd Calendar'!$E$1333)*100000000+0*10000000+(N('Dvd Calendar'!$E$1331)&gt;0)*(N('Dvd Calendar'!$E$1331)&lt;=VAL_SERIAL)*1000000+20*1000+41))</f>
        <v/>
      </c>
      <c r="FT135" s="35">
        <f>IF(N('Dvd Calendar'!$F$1332)=0,"",IF(('Dvd Calendar'!$F$1332&gt;=GRID_FROM)*('Dvd Calendar'!$F$1332&lt;=GRID_TO)*('Dvd Calendar'!$F$1332&gt;VAL_DATE)=0,"",'Dvd Calendar'!$F$1332*1000000000+ISNUMBER('Dvd Calendar'!$F$1333)*100000000+0*10000000+(N('Dvd Calendar'!$F$1331)&gt;0)*(N('Dvd Calendar'!$F$1331)&lt;=VAL_SERIAL)*1000000+20*1000+42))</f>
        <v/>
      </c>
      <c r="FU135" s="35">
        <f>IF(N('Dvd Calendar'!$G$1332)=0,"",IF(('Dvd Calendar'!$G$1332&gt;=GRID_FROM)*('Dvd Calendar'!$G$1332&lt;=GRID_TO)*('Dvd Calendar'!$G$1332&gt;VAL_DATE)=0,"",'Dvd Calendar'!$G$1332*1000000000+ISNUMBER('Dvd Calendar'!$G$1333)*100000000+0*10000000+(N('Dvd Calendar'!$G$1331)&gt;0)*(N('Dvd Calendar'!$G$1331)&lt;=VAL_SERIAL)*1000000+20*1000+43))</f>
        <v/>
      </c>
      <c r="FV135" s="35">
        <f>IF(N('Dvd Calendar'!$H$1332)=0,"",IF(('Dvd Calendar'!$H$1332&gt;=GRID_FROM)*('Dvd Calendar'!$H$1332&lt;=GRID_TO)*('Dvd Calendar'!$H$1332&gt;VAL_DATE)=0,"",'Dvd Calendar'!$H$1332*1000000000+ISNUMBER('Dvd Calendar'!$H$1333)*100000000+0*10000000+(N('Dvd Calendar'!$H$1331)&gt;0)*(N('Dvd Calendar'!$H$1331)&lt;=VAL_SERIAL)*1000000+20*1000+44))</f>
        <v/>
      </c>
      <c r="FW135" s="35">
        <f>IF(N('Dvd Calendar'!$I$1332)=0,"",IF(('Dvd Calendar'!$I$1332&gt;=GRID_FROM)*('Dvd Calendar'!$I$1332&lt;=GRID_TO)*('Dvd Calendar'!$I$1332&gt;VAL_DATE)=0,"",'Dvd Calendar'!$I$1332*1000000000+ISNUMBER('Dvd Calendar'!$I$1333)*100000000+0*10000000+(N('Dvd Calendar'!$I$1331)&gt;0)*(N('Dvd Calendar'!$I$1331)&lt;=VAL_SERIAL)*1000000+20*1000+45))</f>
        <v/>
      </c>
      <c r="FX135" s="35">
        <f>IF(N('Dvd Calendar'!$J$1332)=0,"",IF(('Dvd Calendar'!$J$1332&gt;=GRID_FROM)*('Dvd Calendar'!$J$1332&lt;=GRID_TO)*('Dvd Calendar'!$J$1332&gt;VAL_DATE)=0,"",'Dvd Calendar'!$J$1332*1000000000+ISNUMBER('Dvd Calendar'!$J$1333)*100000000+0*10000000+(N('Dvd Calendar'!$J$1331)&gt;0)*(N('Dvd Calendar'!$J$1331)&lt;=VAL_SERIAL)*1000000+20*1000+46))</f>
        <v/>
      </c>
      <c r="FY135" s="35">
        <f>IF(N('Dvd Calendar'!$K$1332)=0,"",IF(('Dvd Calendar'!$K$1332&gt;=GRID_FROM)*('Dvd Calendar'!$K$1332&lt;=GRID_TO)*('Dvd Calendar'!$K$1332&gt;VAL_DATE)=0,"",'Dvd Calendar'!$K$1332*1000000000+ISNUMBER('Dvd Calendar'!$K$1333)*100000000+0*10000000+(N('Dvd Calendar'!$K$1331)&gt;0)*(N('Dvd Calendar'!$K$1331)&lt;=VAL_SERIAL)*1000000+20*1000+47))</f>
        <v/>
      </c>
      <c r="FZ135" s="35">
        <f>IF(N('Dvd Calendar'!$L$1332)=0,"",IF(('Dvd Calendar'!$L$1332&gt;=GRID_FROM)*('Dvd Calendar'!$L$1332&lt;=GRID_TO)*('Dvd Calendar'!$L$1332&gt;VAL_DATE)=0,"",'Dvd Calendar'!$L$1332*1000000000+ISNUMBER('Dvd Calendar'!$L$1333)*100000000+0*10000000+(N('Dvd Calendar'!$L$1331)&gt;0)*(N('Dvd Calendar'!$L$1331)&lt;=VAL_SERIAL)*1000000+20*1000+48))</f>
        <v/>
      </c>
      <c r="GA135" s="35">
        <f>IF(N('Dvd Calendar'!$M$1332)=0,"",IF(('Dvd Calendar'!$M$1332&gt;=GRID_FROM)*('Dvd Calendar'!$M$1332&lt;=GRID_TO)*('Dvd Calendar'!$M$1332&gt;VAL_DATE)=0,"",'Dvd Calendar'!$M$1332*1000000000+ISNUMBER('Dvd Calendar'!$M$1333)*100000000+0*10000000+(N('Dvd Calendar'!$M$1331)&gt;0)*(N('Dvd Calendar'!$M$1331)&lt;=VAL_SERIAL)*1000000+20*1000+49))</f>
        <v/>
      </c>
      <c r="GB135" s="35">
        <f>IF(N('Dvd Calendar'!$N$1332)=0,"",IF(('Dvd Calendar'!$N$1332&gt;=GRID_FROM)*('Dvd Calendar'!$N$1332&lt;=GRID_TO)*('Dvd Calendar'!$N$1332&gt;VAL_DATE)=0,"",'Dvd Calendar'!$N$1332*1000000000+ISNUMBER('Dvd Calendar'!$N$1333)*100000000+0*10000000+(N('Dvd Calendar'!$N$1331)&gt;0)*(N('Dvd Calendar'!$N$1331)&lt;=VAL_SERIAL)*1000000+20*1000+50))</f>
        <v/>
      </c>
      <c r="GC135" s="35">
        <f>IF(N('Dvd Calendar'!$O$1332)=0,"",IF(('Dvd Calendar'!$O$1332&gt;=GRID_FROM)*('Dvd Calendar'!$O$1332&lt;=GRID_TO)*('Dvd Calendar'!$O$1332&gt;VAL_DATE)=0,"",'Dvd Calendar'!$O$1332*1000000000+ISNUMBER('Dvd Calendar'!$O$1333)*100000000+0*10000000+(N('Dvd Calendar'!$O$1331)&gt;0)*(N('Dvd Calendar'!$O$1331)&lt;=VAL_SERIAL)*1000000+20*1000+51))</f>
        <v/>
      </c>
      <c r="GD135" s="35">
        <f>IF(N('Dvd Calendar'!$P$1332)=0,"",IF(('Dvd Calendar'!$P$1332&gt;=GRID_FROM)*('Dvd Calendar'!$P$1332&lt;=GRID_TO)*('Dvd Calendar'!$P$1332&gt;VAL_DATE)=0,"",'Dvd Calendar'!$P$1332*1000000000+ISNUMBER('Dvd Calendar'!$P$1333)*100000000+0*10000000+(N('Dvd Calendar'!$P$1331)&gt;0)*(N('Dvd Calendar'!$P$1331)&lt;=VAL_SERIAL)*1000000+20*1000+52))</f>
        <v/>
      </c>
      <c r="GE135" s="35">
        <f>IF(N('Dvd Calendar'!$Q$1332)=0,"",IF(('Dvd Calendar'!$Q$1332&gt;=GRID_FROM)*('Dvd Calendar'!$Q$1332&lt;=GRID_TO)*('Dvd Calendar'!$Q$1332&gt;VAL_DATE)=0,"",'Dvd Calendar'!$Q$1332*1000000000+ISNUMBER('Dvd Calendar'!$Q$1333)*100000000+0*10000000+(N('Dvd Calendar'!$Q$1331)&gt;0)*(N('Dvd Calendar'!$Q$1331)&lt;=VAL_SERIAL)*1000000+20*1000+53))</f>
        <v/>
      </c>
      <c r="GF135" s="35">
        <f>IF(N('Dvd Calendar'!$R$1332)=0,"",IF(('Dvd Calendar'!$R$1332&gt;=GRID_FROM)*('Dvd Calendar'!$R$1332&lt;=GRID_TO)*('Dvd Calendar'!$R$1332&gt;VAL_DATE)=0,"",'Dvd Calendar'!$R$1332*1000000000+ISNUMBER('Dvd Calendar'!$R$1333)*100000000+0*10000000+(N('Dvd Calendar'!$R$1331)&gt;0)*(N('Dvd Calendar'!$R$1331)&lt;=VAL_SERIAL)*1000000+20*1000+54))</f>
        <v/>
      </c>
      <c r="GG135" s="35">
        <f>IF(N('Dvd Calendar'!$S$1332)=0,"",IF(('Dvd Calendar'!$S$1332&gt;=GRID_FROM)*('Dvd Calendar'!$S$1332&lt;=GRID_TO)*('Dvd Calendar'!$S$1332&gt;VAL_DATE)=0,"",'Dvd Calendar'!$S$1332*1000000000+ISNUMBER('Dvd Calendar'!$S$1333)*100000000+0*10000000+(N('Dvd Calendar'!$S$1331)&gt;0)*(N('Dvd Calendar'!$S$1331)&lt;=VAL_SERIAL)*1000000+20*1000+55))</f>
        <v/>
      </c>
      <c r="GH135" s="35">
        <f>IF(N('Dvd Calendar'!$T$1332)=0,"",IF(('Dvd Calendar'!$T$1332&gt;=GRID_FROM)*('Dvd Calendar'!$T$1332&lt;=GRID_TO)*('Dvd Calendar'!$T$1332&gt;VAL_DATE)=0,"",'Dvd Calendar'!$T$1332*1000000000+ISNUMBER('Dvd Calendar'!$T$1333)*100000000+0*10000000+(N('Dvd Calendar'!$T$1331)&gt;0)*(N('Dvd Calendar'!$T$1331)&lt;=VAL_SERIAL)*1000000+20*1000+56))</f>
        <v/>
      </c>
      <c r="GI135" s="35">
        <f>IF(N('Dvd Calendar'!$U$1332)=0,"",IF(('Dvd Calendar'!$U$1332&gt;=GRID_FROM)*('Dvd Calendar'!$U$1332&lt;=GRID_TO)*('Dvd Calendar'!$U$1332&gt;VAL_DATE)=0,"",'Dvd Calendar'!$U$1332*1000000000+ISNUMBER('Dvd Calendar'!$U$1333)*100000000+0*10000000+(N('Dvd Calendar'!$U$1331)&gt;0)*(N('Dvd Calendar'!$U$1331)&lt;=VAL_SERIAL)*1000000+20*1000+57))</f>
        <v/>
      </c>
      <c r="GJ135" s="35">
        <f>IF(N('Dvd Calendar'!$V$1332)=0,"",IF(('Dvd Calendar'!$V$1332&gt;=GRID_FROM)*('Dvd Calendar'!$V$1332&lt;=GRID_TO)*('Dvd Calendar'!$V$1332&gt;VAL_DATE)=0,"",'Dvd Calendar'!$V$1332*1000000000+ISNUMBER('Dvd Calendar'!$V$1333)*100000000+0*10000000+(N('Dvd Calendar'!$V$1331)&gt;0)*(N('Dvd Calendar'!$V$1331)&lt;=VAL_SERIAL)*1000000+20*1000+58))</f>
        <v/>
      </c>
      <c r="GK135" s="35">
        <f>IF(N('Dvd Calendar'!$W$1332)=0,"",IF(('Dvd Calendar'!$W$1332&gt;=GRID_FROM)*('Dvd Calendar'!$W$1332&lt;=GRID_TO)*('Dvd Calendar'!$W$1332&gt;VAL_DATE)=0,"",'Dvd Calendar'!$W$1332*1000000000+ISNUMBER('Dvd Calendar'!$W$1333)*100000000+0*10000000+(N('Dvd Calendar'!$W$1331)&gt;0)*(N('Dvd Calendar'!$W$1331)&lt;=VAL_SERIAL)*1000000+20*1000+59))</f>
        <v/>
      </c>
      <c r="GL135" s="35">
        <f>IF(N('Dvd Calendar'!$X$1332)=0,"",IF(('Dvd Calendar'!$X$1332&gt;=GRID_FROM)*('Dvd Calendar'!$X$1332&lt;=GRID_TO)*('Dvd Calendar'!$X$1332&gt;VAL_DATE)=0,"",'Dvd Calendar'!$X$1332*1000000000+ISNUMBER('Dvd Calendar'!$X$1333)*100000000+0*10000000+(N('Dvd Calendar'!$X$1331)&gt;0)*(N('Dvd Calendar'!$X$1331)&lt;=VAL_SERIAL)*1000000+20*1000+60))</f>
        <v/>
      </c>
      <c r="GM135" s="35">
        <f>IF(N('Dvd Calendar'!$Y$1332)=0,"",IF(('Dvd Calendar'!$Y$1332&gt;=GRID_FROM)*('Dvd Calendar'!$Y$1332&lt;=GRID_TO)*('Dvd Calendar'!$Y$1332&gt;VAL_DATE)=0,"",'Dvd Calendar'!$Y$1332*1000000000+ISNUMBER('Dvd Calendar'!$Y$1333)*100000000+0*10000000+(N('Dvd Calendar'!$Y$1331)&gt;0)*(N('Dvd Calendar'!$Y$1331)&lt;=VAL_SERIAL)*1000000+20*1000+61))</f>
        <v/>
      </c>
      <c r="GN135" s="35">
        <f>IF(N('Dvd Calendar'!$Z$1332)=0,"",IF(('Dvd Calendar'!$Z$1332&gt;=GRID_FROM)*('Dvd Calendar'!$Z$1332&lt;=GRID_TO)*('Dvd Calendar'!$Z$1332&gt;VAL_DATE)=0,"",'Dvd Calendar'!$Z$1332*1000000000+ISNUMBER('Dvd Calendar'!$Z$1333)*100000000+0*10000000+(N('Dvd Calendar'!$Z$1331)&gt;0)*(N('Dvd Calendar'!$Z$1331)&lt;=VAL_SERIAL)*1000000+20*1000+62))</f>
        <v/>
      </c>
      <c r="GO135" s="35">
        <f>IF(N('Dvd Calendar'!$AA$1332)=0,"",IF(('Dvd Calendar'!$AA$1332&gt;=GRID_FROM)*('Dvd Calendar'!$AA$1332&lt;=GRID_TO)*('Dvd Calendar'!$AA$1332&gt;VAL_DATE)=0,"",'Dvd Calendar'!$AA$1332*1000000000+ISNUMBER('Dvd Calendar'!$AA$1333)*100000000+0*10000000+(N('Dvd Calendar'!$AA$1331)&gt;0)*(N('Dvd Calendar'!$AA$1331)&lt;=VAL_SERIAL)*1000000+20*1000+63))</f>
        <v/>
      </c>
      <c r="GP135" s="35">
        <f>IF(N('Dvd Calendar'!$AB$1332)=0,"",IF(('Dvd Calendar'!$AB$1332&gt;=GRID_FROM)*('Dvd Calendar'!$AB$1332&lt;=GRID_TO)*('Dvd Calendar'!$AB$1332&gt;VAL_DATE)=0,"",'Dvd Calendar'!$AB$1332*1000000000+ISNUMBER('Dvd Calendar'!$AB$1333)*100000000+0*10000000+(N('Dvd Calendar'!$AB$1331)&gt;0)*(N('Dvd Calendar'!$AB$1331)&lt;=VAL_SERIAL)*1000000+20*1000+64))</f>
        <v/>
      </c>
      <c r="GQ135" s="35">
        <f>IF(N('Dvd Calendar'!$AC$1332)=0,"",IF(('Dvd Calendar'!$AC$1332&gt;=GRID_FROM)*('Dvd Calendar'!$AC$1332&lt;=GRID_TO)*('Dvd Calendar'!$AC$1332&gt;VAL_DATE)=0,"",'Dvd Calendar'!$AC$1332*1000000000+ISNUMBER('Dvd Calendar'!$AC$1333)*100000000+0*10000000+(N('Dvd Calendar'!$AC$1331)&gt;0)*(N('Dvd Calendar'!$AC$1331)&lt;=VAL_SERIAL)*1000000+20*1000+65))</f>
        <v/>
      </c>
    </row>
    <row r="136">
      <c r="B136" s="2">
        <f>IF(HSTECH!$C$27="","",HSTECH!$C$27)</f>
        <v/>
      </c>
      <c r="C136" s="106">
        <f>IF(EE136="","",IF(ISNUMBER('Dvd Calendar'!$E$1339)=FALSE,"",IF((('Dvd Calendar'!$E$1341=TYPE1)*(TYPE1&lt;&gt;"")+('Dvd Calendar'!$E$1341=TYPE2)*(TYPE2&lt;&gt;"")+('Dvd Calendar'!$E$1341=TYPE3)*(TYPE3&lt;&gt;"")+('Dvd Calendar'!$E$1341=TYPE4)*(TYPE4&lt;&gt;"")+('Dvd Calendar'!$E$1341=SPECIAL_LBL)*(INC_SPECIALS="Y"))=0,"",'Dvd Calendar'!$E$1339)))</f>
        <v/>
      </c>
      <c r="D136" s="106">
        <f>IF(EF136="","",IF(ISNUMBER('Dvd Calendar'!$F$1339)=FALSE,"",IF((('Dvd Calendar'!$F$1341=TYPE1)*(TYPE1&lt;&gt;"")+('Dvd Calendar'!$F$1341=TYPE2)*(TYPE2&lt;&gt;"")+('Dvd Calendar'!$F$1341=TYPE3)*(TYPE3&lt;&gt;"")+('Dvd Calendar'!$F$1341=TYPE4)*(TYPE4&lt;&gt;"")+('Dvd Calendar'!$F$1341=SPECIAL_LBL)*(INC_SPECIALS="Y"))=0,"",'Dvd Calendar'!$F$1339)))</f>
        <v/>
      </c>
      <c r="E136" s="106">
        <f>IF(EG136="","",IF(ISNUMBER('Dvd Calendar'!$G$1339)=FALSE,"",IF((('Dvd Calendar'!$G$1341=TYPE1)*(TYPE1&lt;&gt;"")+('Dvd Calendar'!$G$1341=TYPE2)*(TYPE2&lt;&gt;"")+('Dvd Calendar'!$G$1341=TYPE3)*(TYPE3&lt;&gt;"")+('Dvd Calendar'!$G$1341=TYPE4)*(TYPE4&lt;&gt;"")+('Dvd Calendar'!$G$1341=SPECIAL_LBL)*(INC_SPECIALS="Y"))=0,"",'Dvd Calendar'!$G$1339)))</f>
        <v/>
      </c>
      <c r="F136" s="106">
        <f>IF(EH136="","",IF(ISNUMBER('Dvd Calendar'!$H$1339)=FALSE,"",IF((('Dvd Calendar'!$H$1341=TYPE1)*(TYPE1&lt;&gt;"")+('Dvd Calendar'!$H$1341=TYPE2)*(TYPE2&lt;&gt;"")+('Dvd Calendar'!$H$1341=TYPE3)*(TYPE3&lt;&gt;"")+('Dvd Calendar'!$H$1341=TYPE4)*(TYPE4&lt;&gt;"")+('Dvd Calendar'!$H$1341=SPECIAL_LBL)*(INC_SPECIALS="Y"))=0,"",'Dvd Calendar'!$H$1339)))</f>
        <v/>
      </c>
      <c r="G136" s="106">
        <f>IF(EI136="","",IF(ISNUMBER('Dvd Calendar'!$I$1339)=FALSE,"",IF((('Dvd Calendar'!$I$1341=TYPE1)*(TYPE1&lt;&gt;"")+('Dvd Calendar'!$I$1341=TYPE2)*(TYPE2&lt;&gt;"")+('Dvd Calendar'!$I$1341=TYPE3)*(TYPE3&lt;&gt;"")+('Dvd Calendar'!$I$1341=TYPE4)*(TYPE4&lt;&gt;"")+('Dvd Calendar'!$I$1341=SPECIAL_LBL)*(INC_SPECIALS="Y"))=0,"",'Dvd Calendar'!$I$1339)))</f>
        <v/>
      </c>
      <c r="H136" s="106">
        <f>IF(EJ136="","",IF(ISNUMBER('Dvd Calendar'!$J$1339)=FALSE,"",IF((('Dvd Calendar'!$J$1341=TYPE1)*(TYPE1&lt;&gt;"")+('Dvd Calendar'!$J$1341=TYPE2)*(TYPE2&lt;&gt;"")+('Dvd Calendar'!$J$1341=TYPE3)*(TYPE3&lt;&gt;"")+('Dvd Calendar'!$J$1341=TYPE4)*(TYPE4&lt;&gt;"")+('Dvd Calendar'!$J$1341=SPECIAL_LBL)*(INC_SPECIALS="Y"))=0,"",'Dvd Calendar'!$J$1339)))</f>
        <v/>
      </c>
      <c r="I136" s="106">
        <f>IF(EK136="","",IF(ISNUMBER('Dvd Calendar'!$K$1339)=FALSE,"",IF((('Dvd Calendar'!$K$1341=TYPE1)*(TYPE1&lt;&gt;"")+('Dvd Calendar'!$K$1341=TYPE2)*(TYPE2&lt;&gt;"")+('Dvd Calendar'!$K$1341=TYPE3)*(TYPE3&lt;&gt;"")+('Dvd Calendar'!$K$1341=TYPE4)*(TYPE4&lt;&gt;"")+('Dvd Calendar'!$K$1341=SPECIAL_LBL)*(INC_SPECIALS="Y"))=0,"",'Dvd Calendar'!$K$1339)))</f>
        <v/>
      </c>
      <c r="J136" s="106">
        <f>IF(EL136="","",IF(ISNUMBER('Dvd Calendar'!$L$1339)=FALSE,"",IF((('Dvd Calendar'!$L$1341=TYPE1)*(TYPE1&lt;&gt;"")+('Dvd Calendar'!$L$1341=TYPE2)*(TYPE2&lt;&gt;"")+('Dvd Calendar'!$L$1341=TYPE3)*(TYPE3&lt;&gt;"")+('Dvd Calendar'!$L$1341=TYPE4)*(TYPE4&lt;&gt;"")+('Dvd Calendar'!$L$1341=SPECIAL_LBL)*(INC_SPECIALS="Y"))=0,"",'Dvd Calendar'!$L$1339)))</f>
        <v/>
      </c>
      <c r="K136" s="106">
        <f>IF(EM136="","",IF(ISNUMBER('Dvd Calendar'!$M$1339)=FALSE,"",IF((('Dvd Calendar'!$M$1341=TYPE1)*(TYPE1&lt;&gt;"")+('Dvd Calendar'!$M$1341=TYPE2)*(TYPE2&lt;&gt;"")+('Dvd Calendar'!$M$1341=TYPE3)*(TYPE3&lt;&gt;"")+('Dvd Calendar'!$M$1341=TYPE4)*(TYPE4&lt;&gt;"")+('Dvd Calendar'!$M$1341=SPECIAL_LBL)*(INC_SPECIALS="Y"))=0,"",'Dvd Calendar'!$M$1339)))</f>
        <v/>
      </c>
      <c r="L136" s="106">
        <f>IF(EN136="","",IF(ISNUMBER('Dvd Calendar'!$N$1339)=FALSE,"",IF((('Dvd Calendar'!$N$1341=TYPE1)*(TYPE1&lt;&gt;"")+('Dvd Calendar'!$N$1341=TYPE2)*(TYPE2&lt;&gt;"")+('Dvd Calendar'!$N$1341=TYPE3)*(TYPE3&lt;&gt;"")+('Dvd Calendar'!$N$1341=TYPE4)*(TYPE4&lt;&gt;"")+('Dvd Calendar'!$N$1341=SPECIAL_LBL)*(INC_SPECIALS="Y"))=0,"",'Dvd Calendar'!$N$1339)))</f>
        <v/>
      </c>
      <c r="M136" s="106">
        <f>IF(EO136="","",IF(ISNUMBER('Dvd Calendar'!$O$1339)=FALSE,"",IF((('Dvd Calendar'!$O$1341=TYPE1)*(TYPE1&lt;&gt;"")+('Dvd Calendar'!$O$1341=TYPE2)*(TYPE2&lt;&gt;"")+('Dvd Calendar'!$O$1341=TYPE3)*(TYPE3&lt;&gt;"")+('Dvd Calendar'!$O$1341=TYPE4)*(TYPE4&lt;&gt;"")+('Dvd Calendar'!$O$1341=SPECIAL_LBL)*(INC_SPECIALS="Y"))=0,"",'Dvd Calendar'!$O$1339)))</f>
        <v/>
      </c>
      <c r="N136" s="106">
        <f>IF(EP136="","",IF(ISNUMBER('Dvd Calendar'!$P$1339)=FALSE,"",IF((('Dvd Calendar'!$P$1341=TYPE1)*(TYPE1&lt;&gt;"")+('Dvd Calendar'!$P$1341=TYPE2)*(TYPE2&lt;&gt;"")+('Dvd Calendar'!$P$1341=TYPE3)*(TYPE3&lt;&gt;"")+('Dvd Calendar'!$P$1341=TYPE4)*(TYPE4&lt;&gt;"")+('Dvd Calendar'!$P$1341=SPECIAL_LBL)*(INC_SPECIALS="Y"))=0,"",'Dvd Calendar'!$P$1339)))</f>
        <v/>
      </c>
      <c r="O136" s="106">
        <f>IF(EQ136="","",IF(ISNUMBER('Dvd Calendar'!$Q$1339)=FALSE,"",IF((('Dvd Calendar'!$Q$1341=TYPE1)*(TYPE1&lt;&gt;"")+('Dvd Calendar'!$Q$1341=TYPE2)*(TYPE2&lt;&gt;"")+('Dvd Calendar'!$Q$1341=TYPE3)*(TYPE3&lt;&gt;"")+('Dvd Calendar'!$Q$1341=TYPE4)*(TYPE4&lt;&gt;"")+('Dvd Calendar'!$Q$1341=SPECIAL_LBL)*(INC_SPECIALS="Y"))=0,"",'Dvd Calendar'!$Q$1339)))</f>
        <v/>
      </c>
      <c r="P136" s="106">
        <f>IF(ER136="","",IF(ISNUMBER('Dvd Calendar'!$R$1339)=FALSE,"",IF((('Dvd Calendar'!$R$1341=TYPE1)*(TYPE1&lt;&gt;"")+('Dvd Calendar'!$R$1341=TYPE2)*(TYPE2&lt;&gt;"")+('Dvd Calendar'!$R$1341=TYPE3)*(TYPE3&lt;&gt;"")+('Dvd Calendar'!$R$1341=TYPE4)*(TYPE4&lt;&gt;"")+('Dvd Calendar'!$R$1341=SPECIAL_LBL)*(INC_SPECIALS="Y"))=0,"",'Dvd Calendar'!$R$1339)))</f>
        <v/>
      </c>
      <c r="Q136" s="106">
        <f>IF(ES136="","",IF(ISNUMBER('Dvd Calendar'!$S$1339)=FALSE,"",IF((('Dvd Calendar'!$S$1341=TYPE1)*(TYPE1&lt;&gt;"")+('Dvd Calendar'!$S$1341=TYPE2)*(TYPE2&lt;&gt;"")+('Dvd Calendar'!$S$1341=TYPE3)*(TYPE3&lt;&gt;"")+('Dvd Calendar'!$S$1341=TYPE4)*(TYPE4&lt;&gt;"")+('Dvd Calendar'!$S$1341=SPECIAL_LBL)*(INC_SPECIALS="Y"))=0,"",'Dvd Calendar'!$S$1339)))</f>
        <v/>
      </c>
      <c r="R136" s="106">
        <f>IF(ET136="","",IF(ISNUMBER('Dvd Calendar'!$T$1339)=FALSE,"",IF((('Dvd Calendar'!$T$1341=TYPE1)*(TYPE1&lt;&gt;"")+('Dvd Calendar'!$T$1341=TYPE2)*(TYPE2&lt;&gt;"")+('Dvd Calendar'!$T$1341=TYPE3)*(TYPE3&lt;&gt;"")+('Dvd Calendar'!$T$1341=TYPE4)*(TYPE4&lt;&gt;"")+('Dvd Calendar'!$T$1341=SPECIAL_LBL)*(INC_SPECIALS="Y"))=0,"",'Dvd Calendar'!$T$1339)))</f>
        <v/>
      </c>
      <c r="S136" s="106">
        <f>IF(EU136="","",IF(ISNUMBER('Dvd Calendar'!$U$1339)=FALSE,"",IF((('Dvd Calendar'!$U$1341=TYPE1)*(TYPE1&lt;&gt;"")+('Dvd Calendar'!$U$1341=TYPE2)*(TYPE2&lt;&gt;"")+('Dvd Calendar'!$U$1341=TYPE3)*(TYPE3&lt;&gt;"")+('Dvd Calendar'!$U$1341=TYPE4)*(TYPE4&lt;&gt;"")+('Dvd Calendar'!$U$1341=SPECIAL_LBL)*(INC_SPECIALS="Y"))=0,"",'Dvd Calendar'!$U$1339)))</f>
        <v/>
      </c>
      <c r="T136" s="106">
        <f>IF(EV136="","",IF(ISNUMBER('Dvd Calendar'!$V$1339)=FALSE,"",IF((('Dvd Calendar'!$V$1341=TYPE1)*(TYPE1&lt;&gt;"")+('Dvd Calendar'!$V$1341=TYPE2)*(TYPE2&lt;&gt;"")+('Dvd Calendar'!$V$1341=TYPE3)*(TYPE3&lt;&gt;"")+('Dvd Calendar'!$V$1341=TYPE4)*(TYPE4&lt;&gt;"")+('Dvd Calendar'!$V$1341=SPECIAL_LBL)*(INC_SPECIALS="Y"))=0,"",'Dvd Calendar'!$V$1339)))</f>
        <v/>
      </c>
      <c r="U136" s="106">
        <f>IF(EW136="","",IF(ISNUMBER('Dvd Calendar'!$W$1339)=FALSE,"",IF((('Dvd Calendar'!$W$1341=TYPE1)*(TYPE1&lt;&gt;"")+('Dvd Calendar'!$W$1341=TYPE2)*(TYPE2&lt;&gt;"")+('Dvd Calendar'!$W$1341=TYPE3)*(TYPE3&lt;&gt;"")+('Dvd Calendar'!$W$1341=TYPE4)*(TYPE4&lt;&gt;"")+('Dvd Calendar'!$W$1341=SPECIAL_LBL)*(INC_SPECIALS="Y"))=0,"",'Dvd Calendar'!$W$1339)))</f>
        <v/>
      </c>
      <c r="V136" s="106">
        <f>IF(EX136="","",IF(ISNUMBER('Dvd Calendar'!$X$1339)=FALSE,"",IF((('Dvd Calendar'!$X$1341=TYPE1)*(TYPE1&lt;&gt;"")+('Dvd Calendar'!$X$1341=TYPE2)*(TYPE2&lt;&gt;"")+('Dvd Calendar'!$X$1341=TYPE3)*(TYPE3&lt;&gt;"")+('Dvd Calendar'!$X$1341=TYPE4)*(TYPE4&lt;&gt;"")+('Dvd Calendar'!$X$1341=SPECIAL_LBL)*(INC_SPECIALS="Y"))=0,"",'Dvd Calendar'!$X$1339)))</f>
        <v/>
      </c>
      <c r="W136" s="106">
        <f>IF(EY136="","",IF(ISNUMBER('Dvd Calendar'!$Y$1339)=FALSE,"",IF((('Dvd Calendar'!$Y$1341=TYPE1)*(TYPE1&lt;&gt;"")+('Dvd Calendar'!$Y$1341=TYPE2)*(TYPE2&lt;&gt;"")+('Dvd Calendar'!$Y$1341=TYPE3)*(TYPE3&lt;&gt;"")+('Dvd Calendar'!$Y$1341=TYPE4)*(TYPE4&lt;&gt;"")+('Dvd Calendar'!$Y$1341=SPECIAL_LBL)*(INC_SPECIALS="Y"))=0,"",'Dvd Calendar'!$Y$1339)))</f>
        <v/>
      </c>
      <c r="X136" s="106">
        <f>IF(EZ136="","",IF(ISNUMBER('Dvd Calendar'!$Z$1339)=FALSE,"",IF((('Dvd Calendar'!$Z$1341=TYPE1)*(TYPE1&lt;&gt;"")+('Dvd Calendar'!$Z$1341=TYPE2)*(TYPE2&lt;&gt;"")+('Dvd Calendar'!$Z$1341=TYPE3)*(TYPE3&lt;&gt;"")+('Dvd Calendar'!$Z$1341=TYPE4)*(TYPE4&lt;&gt;"")+('Dvd Calendar'!$Z$1341=SPECIAL_LBL)*(INC_SPECIALS="Y"))=0,"",'Dvd Calendar'!$Z$1339)))</f>
        <v/>
      </c>
      <c r="Y136" s="106">
        <f>IF(FA136="","",IF(ISNUMBER('Dvd Calendar'!$AA$1339)=FALSE,"",IF((('Dvd Calendar'!$AA$1341=TYPE1)*(TYPE1&lt;&gt;"")+('Dvd Calendar'!$AA$1341=TYPE2)*(TYPE2&lt;&gt;"")+('Dvd Calendar'!$AA$1341=TYPE3)*(TYPE3&lt;&gt;"")+('Dvd Calendar'!$AA$1341=TYPE4)*(TYPE4&lt;&gt;"")+('Dvd Calendar'!$AA$1341=SPECIAL_LBL)*(INC_SPECIALS="Y"))=0,"",'Dvd Calendar'!$AA$1339)))</f>
        <v/>
      </c>
      <c r="Z136" s="106">
        <f>IF(FB136="","",IF(ISNUMBER('Dvd Calendar'!$AB$1339)=FALSE,"",IF((('Dvd Calendar'!$AB$1341=TYPE1)*(TYPE1&lt;&gt;"")+('Dvd Calendar'!$AB$1341=TYPE2)*(TYPE2&lt;&gt;"")+('Dvd Calendar'!$AB$1341=TYPE3)*(TYPE3&lt;&gt;"")+('Dvd Calendar'!$AB$1341=TYPE4)*(TYPE4&lt;&gt;"")+('Dvd Calendar'!$AB$1341=SPECIAL_LBL)*(INC_SPECIALS="Y"))=0,"",'Dvd Calendar'!$AB$1339)))</f>
        <v/>
      </c>
      <c r="AA136" s="106">
        <f>IF(FC136="","",IF(ISNUMBER('Dvd Calendar'!$AC$1339)=FALSE,"",IF((('Dvd Calendar'!$AC$1341=TYPE1)*(TYPE1&lt;&gt;"")+('Dvd Calendar'!$AC$1341=TYPE2)*(TYPE2&lt;&gt;"")+('Dvd Calendar'!$AC$1341=TYPE3)*(TYPE3&lt;&gt;"")+('Dvd Calendar'!$AC$1341=TYPE4)*(TYPE4&lt;&gt;"")+('Dvd Calendar'!$AC$1341=SPECIAL_LBL)*(INC_SPECIALS="Y"))=0,"",'Dvd Calendar'!$AC$1339)))</f>
        <v/>
      </c>
      <c r="AB136" s="106">
        <f>IF(FD136="","",IF(ISNUMBER('Dvd Calendar'!$AD$1339)=FALSE,"",IF((('Dvd Calendar'!$AD$1341=TYPE1)*(TYPE1&lt;&gt;"")+('Dvd Calendar'!$AD$1341=TYPE2)*(TYPE2&lt;&gt;"")+('Dvd Calendar'!$AD$1341=TYPE3)*(TYPE3&lt;&gt;"")+('Dvd Calendar'!$AD$1341=TYPE4)*(TYPE4&lt;&gt;"")+('Dvd Calendar'!$AD$1341=SPECIAL_LBL)*(INC_SPECIALS="Y"))=0,"",'Dvd Calendar'!$AD$1339)))</f>
        <v/>
      </c>
      <c r="AC136" s="106">
        <f>IF(FE136="","",IF(ISNUMBER('Dvd Calendar'!$AE$1339)=FALSE,"",IF((('Dvd Calendar'!$AE$1341=TYPE1)*(TYPE1&lt;&gt;"")+('Dvd Calendar'!$AE$1341=TYPE2)*(TYPE2&lt;&gt;"")+('Dvd Calendar'!$AE$1341=TYPE3)*(TYPE3&lt;&gt;"")+('Dvd Calendar'!$AE$1341=TYPE4)*(TYPE4&lt;&gt;"")+('Dvd Calendar'!$AE$1341=SPECIAL_LBL)*(INC_SPECIALS="Y"))=0,"",'Dvd Calendar'!$AE$1339)))</f>
        <v/>
      </c>
      <c r="AD136" s="106">
        <f>IF(FF136="","",IF(ISNUMBER('Dvd Calendar'!$AF$1339)=FALSE,"",IF((('Dvd Calendar'!$AF$1341=TYPE1)*(TYPE1&lt;&gt;"")+('Dvd Calendar'!$AF$1341=TYPE2)*(TYPE2&lt;&gt;"")+('Dvd Calendar'!$AF$1341=TYPE3)*(TYPE3&lt;&gt;"")+('Dvd Calendar'!$AF$1341=TYPE4)*(TYPE4&lt;&gt;"")+('Dvd Calendar'!$AF$1341=SPECIAL_LBL)*(INC_SPECIALS="Y"))=0,"",'Dvd Calendar'!$AF$1339)))</f>
        <v/>
      </c>
      <c r="AE136" s="106">
        <f>IF(FG136="","",IF(ISNUMBER('Dvd Calendar'!$AG$1339)=FALSE,"",IF((('Dvd Calendar'!$AG$1341=TYPE1)*(TYPE1&lt;&gt;"")+('Dvd Calendar'!$AG$1341=TYPE2)*(TYPE2&lt;&gt;"")+('Dvd Calendar'!$AG$1341=TYPE3)*(TYPE3&lt;&gt;"")+('Dvd Calendar'!$AG$1341=TYPE4)*(TYPE4&lt;&gt;"")+('Dvd Calendar'!$AG$1341=SPECIAL_LBL)*(INC_SPECIALS="Y"))=0,"",'Dvd Calendar'!$AG$1339)))</f>
        <v/>
      </c>
      <c r="AF136" s="106">
        <f>IF(FH136="","",IF(ISNUMBER('Dvd Calendar'!$AH$1339)=FALSE,"",IF((('Dvd Calendar'!$AH$1341=TYPE1)*(TYPE1&lt;&gt;"")+('Dvd Calendar'!$AH$1341=TYPE2)*(TYPE2&lt;&gt;"")+('Dvd Calendar'!$AH$1341=TYPE3)*(TYPE3&lt;&gt;"")+('Dvd Calendar'!$AH$1341=TYPE4)*(TYPE4&lt;&gt;"")+('Dvd Calendar'!$AH$1341=SPECIAL_LBL)*(INC_SPECIALS="Y"))=0,"",'Dvd Calendar'!$AH$1339)))</f>
        <v/>
      </c>
      <c r="AG136" s="106">
        <f>IF(FI136="","",IF(ISNUMBER('Dvd Calendar'!$AI$1339)=FALSE,"",IF((('Dvd Calendar'!$AI$1341=TYPE1)*(TYPE1&lt;&gt;"")+('Dvd Calendar'!$AI$1341=TYPE2)*(TYPE2&lt;&gt;"")+('Dvd Calendar'!$AI$1341=TYPE3)*(TYPE3&lt;&gt;"")+('Dvd Calendar'!$AI$1341=TYPE4)*(TYPE4&lt;&gt;"")+('Dvd Calendar'!$AI$1341=SPECIAL_LBL)*(INC_SPECIALS="Y"))=0,"",'Dvd Calendar'!$AI$1339)))</f>
        <v/>
      </c>
      <c r="AH136" s="106">
        <f>IF(FJ136="","",IF(ISNUMBER('Dvd Calendar'!$AJ$1339)=FALSE,"",IF((('Dvd Calendar'!$AJ$1341=TYPE1)*(TYPE1&lt;&gt;"")+('Dvd Calendar'!$AJ$1341=TYPE2)*(TYPE2&lt;&gt;"")+('Dvd Calendar'!$AJ$1341=TYPE3)*(TYPE3&lt;&gt;"")+('Dvd Calendar'!$AJ$1341=TYPE4)*(TYPE4&lt;&gt;"")+('Dvd Calendar'!$AJ$1341=SPECIAL_LBL)*(INC_SPECIALS="Y"))=0,"",'Dvd Calendar'!$AJ$1339)))</f>
        <v/>
      </c>
      <c r="AI136" s="106">
        <f>IF(FK136="","",IF(ISNUMBER('Dvd Calendar'!$AK$1339)=FALSE,"",IF((('Dvd Calendar'!$AK$1341=TYPE1)*(TYPE1&lt;&gt;"")+('Dvd Calendar'!$AK$1341=TYPE2)*(TYPE2&lt;&gt;"")+('Dvd Calendar'!$AK$1341=TYPE3)*(TYPE3&lt;&gt;"")+('Dvd Calendar'!$AK$1341=TYPE4)*(TYPE4&lt;&gt;"")+('Dvd Calendar'!$AK$1341=SPECIAL_LBL)*(INC_SPECIALS="Y"))=0,"",'Dvd Calendar'!$AK$1339)))</f>
        <v/>
      </c>
      <c r="AJ136" s="106">
        <f>IF(FL136="","",IF(ISNUMBER('Dvd Calendar'!$AL$1339)=FALSE,"",IF((('Dvd Calendar'!$AL$1341=TYPE1)*(TYPE1&lt;&gt;"")+('Dvd Calendar'!$AL$1341=TYPE2)*(TYPE2&lt;&gt;"")+('Dvd Calendar'!$AL$1341=TYPE3)*(TYPE3&lt;&gt;"")+('Dvd Calendar'!$AL$1341=TYPE4)*(TYPE4&lt;&gt;"")+('Dvd Calendar'!$AL$1341=SPECIAL_LBL)*(INC_SPECIALS="Y"))=0,"",'Dvd Calendar'!$AL$1339)))</f>
        <v/>
      </c>
      <c r="AK136" s="106">
        <f>IF(FM136="","",IF(ISNUMBER('Dvd Calendar'!$AM$1339)=FALSE,"",IF((('Dvd Calendar'!$AM$1341=TYPE1)*(TYPE1&lt;&gt;"")+('Dvd Calendar'!$AM$1341=TYPE2)*(TYPE2&lt;&gt;"")+('Dvd Calendar'!$AM$1341=TYPE3)*(TYPE3&lt;&gt;"")+('Dvd Calendar'!$AM$1341=TYPE4)*(TYPE4&lt;&gt;"")+('Dvd Calendar'!$AM$1341=SPECIAL_LBL)*(INC_SPECIALS="Y"))=0,"",'Dvd Calendar'!$AM$1339)))</f>
        <v/>
      </c>
      <c r="AL136" s="106">
        <f>IF(FN136="","",IF(ISNUMBER('Dvd Calendar'!$AN$1339)=FALSE,"",IF((('Dvd Calendar'!$AN$1341=TYPE1)*(TYPE1&lt;&gt;"")+('Dvd Calendar'!$AN$1341=TYPE2)*(TYPE2&lt;&gt;"")+('Dvd Calendar'!$AN$1341=TYPE3)*(TYPE3&lt;&gt;"")+('Dvd Calendar'!$AN$1341=TYPE4)*(TYPE4&lt;&gt;"")+('Dvd Calendar'!$AN$1341=SPECIAL_LBL)*(INC_SPECIALS="Y"))=0,"",'Dvd Calendar'!$AN$1339)))</f>
        <v/>
      </c>
      <c r="AM136" s="106">
        <f>IF(FO136="","",IF(ISNUMBER('Dvd Calendar'!$AO$1339)=FALSE,"",IF((('Dvd Calendar'!$AO$1341=TYPE1)*(TYPE1&lt;&gt;"")+('Dvd Calendar'!$AO$1341=TYPE2)*(TYPE2&lt;&gt;"")+('Dvd Calendar'!$AO$1341=TYPE3)*(TYPE3&lt;&gt;"")+('Dvd Calendar'!$AO$1341=TYPE4)*(TYPE4&lt;&gt;"")+('Dvd Calendar'!$AO$1341=SPECIAL_LBL)*(INC_SPECIALS="Y"))=0,"",'Dvd Calendar'!$AO$1339)))</f>
        <v/>
      </c>
      <c r="AN136" s="106">
        <f>IF(FP136="","",IF(ISNUMBER('Dvd Calendar'!$AP$1339)=FALSE,"",IF((('Dvd Calendar'!$AP$1341=TYPE1)*(TYPE1&lt;&gt;"")+('Dvd Calendar'!$AP$1341=TYPE2)*(TYPE2&lt;&gt;"")+('Dvd Calendar'!$AP$1341=TYPE3)*(TYPE3&lt;&gt;"")+('Dvd Calendar'!$AP$1341=TYPE4)*(TYPE4&lt;&gt;"")+('Dvd Calendar'!$AP$1341=SPECIAL_LBL)*(INC_SPECIALS="Y"))=0,"",'Dvd Calendar'!$AP$1339)))</f>
        <v/>
      </c>
      <c r="AO136" s="106">
        <f>IF(FQ136="","",IF(ISNUMBER('Dvd Calendar'!$AQ$1339)=FALSE,"",IF((('Dvd Calendar'!$AQ$1341=TYPE1)*(TYPE1&lt;&gt;"")+('Dvd Calendar'!$AQ$1341=TYPE2)*(TYPE2&lt;&gt;"")+('Dvd Calendar'!$AQ$1341=TYPE3)*(TYPE3&lt;&gt;"")+('Dvd Calendar'!$AQ$1341=TYPE4)*(TYPE4&lt;&gt;"")+('Dvd Calendar'!$AQ$1341=SPECIAL_LBL)*(INC_SPECIALS="Y"))=0,"",'Dvd Calendar'!$AQ$1339)))</f>
        <v/>
      </c>
      <c r="AP136" s="106">
        <f>IF(FR136="","",IF(ISNUMBER('Dvd Calendar'!$AR$1339)=FALSE,"",IF((('Dvd Calendar'!$AR$1341=TYPE1)*(TYPE1&lt;&gt;"")+('Dvd Calendar'!$AR$1341=TYPE2)*(TYPE2&lt;&gt;"")+('Dvd Calendar'!$AR$1341=TYPE3)*(TYPE3&lt;&gt;"")+('Dvd Calendar'!$AR$1341=TYPE4)*(TYPE4&lt;&gt;"")+('Dvd Calendar'!$AR$1341=SPECIAL_LBL)*(INC_SPECIALS="Y"))=0,"",'Dvd Calendar'!$AR$1339)))</f>
        <v/>
      </c>
      <c r="AQ136" s="106">
        <f>IF(FS136="","",IF(ISNUMBER('Dvd Calendar'!$E$1344)=FALSE,"",'Dvd Calendar'!$E$1344))</f>
        <v/>
      </c>
      <c r="AR136" s="106">
        <f>IF(FT136="","",IF(ISNUMBER('Dvd Calendar'!$F$1344)=FALSE,"",'Dvd Calendar'!$F$1344))</f>
        <v/>
      </c>
      <c r="AS136" s="106">
        <f>IF(FU136="","",IF(ISNUMBER('Dvd Calendar'!$G$1344)=FALSE,"",'Dvd Calendar'!$G$1344))</f>
        <v/>
      </c>
      <c r="AT136" s="106">
        <f>IF(FV136="","",IF(ISNUMBER('Dvd Calendar'!$H$1344)=FALSE,"",'Dvd Calendar'!$H$1344))</f>
        <v/>
      </c>
      <c r="AU136" s="106">
        <f>IF(FW136="","",IF(ISNUMBER('Dvd Calendar'!$I$1344)=FALSE,"",'Dvd Calendar'!$I$1344))</f>
        <v/>
      </c>
      <c r="AV136" s="106">
        <f>IF(FX136="","",IF(ISNUMBER('Dvd Calendar'!$J$1344)=FALSE,"",'Dvd Calendar'!$J$1344))</f>
        <v/>
      </c>
      <c r="AW136" s="106">
        <f>IF(FY136="","",IF(ISNUMBER('Dvd Calendar'!$K$1344)=FALSE,"",'Dvd Calendar'!$K$1344))</f>
        <v/>
      </c>
      <c r="AX136" s="106">
        <f>IF(FZ136="","",IF(ISNUMBER('Dvd Calendar'!$L$1344)=FALSE,"",'Dvd Calendar'!$L$1344))</f>
        <v/>
      </c>
      <c r="AY136" s="106">
        <f>IF(GA136="","",IF(ISNUMBER('Dvd Calendar'!$M$1344)=FALSE,"",'Dvd Calendar'!$M$1344))</f>
        <v/>
      </c>
      <c r="AZ136" s="106">
        <f>IF(GB136="","",IF(ISNUMBER('Dvd Calendar'!$N$1344)=FALSE,"",'Dvd Calendar'!$N$1344))</f>
        <v/>
      </c>
      <c r="BA136" s="106">
        <f>IF(GC136="","",IF(ISNUMBER('Dvd Calendar'!$O$1344)=FALSE,"",'Dvd Calendar'!$O$1344))</f>
        <v/>
      </c>
      <c r="BB136" s="106">
        <f>IF(GD136="","",IF(ISNUMBER('Dvd Calendar'!$P$1344)=FALSE,"",'Dvd Calendar'!$P$1344))</f>
        <v/>
      </c>
      <c r="BC136" s="106">
        <f>IF(GE136="","",IF(ISNUMBER('Dvd Calendar'!$Q$1344)=FALSE,"",'Dvd Calendar'!$Q$1344))</f>
        <v/>
      </c>
      <c r="BD136" s="106">
        <f>IF(GF136="","",IF(ISNUMBER('Dvd Calendar'!$R$1344)=FALSE,"",'Dvd Calendar'!$R$1344))</f>
        <v/>
      </c>
      <c r="BE136" s="106">
        <f>IF(GG136="","",IF(ISNUMBER('Dvd Calendar'!$S$1344)=FALSE,"",'Dvd Calendar'!$S$1344))</f>
        <v/>
      </c>
      <c r="BF136" s="106">
        <f>IF(GH136="","",IF(ISNUMBER('Dvd Calendar'!$T$1344)=FALSE,"",'Dvd Calendar'!$T$1344))</f>
        <v/>
      </c>
      <c r="BG136" s="106">
        <f>IF(GI136="","",IF(ISNUMBER('Dvd Calendar'!$U$1344)=FALSE,"",'Dvd Calendar'!$U$1344))</f>
        <v/>
      </c>
      <c r="BH136" s="106">
        <f>IF(GJ136="","",IF(ISNUMBER('Dvd Calendar'!$V$1344)=FALSE,"",'Dvd Calendar'!$V$1344))</f>
        <v/>
      </c>
      <c r="BI136" s="106">
        <f>IF(GK136="","",IF(ISNUMBER('Dvd Calendar'!$W$1344)=FALSE,"",'Dvd Calendar'!$W$1344))</f>
        <v/>
      </c>
      <c r="BJ136" s="106">
        <f>IF(GL136="","",IF(ISNUMBER('Dvd Calendar'!$X$1344)=FALSE,"",'Dvd Calendar'!$X$1344))</f>
        <v/>
      </c>
      <c r="BK136" s="106">
        <f>IF(GM136="","",IF(ISNUMBER('Dvd Calendar'!$Y$1344)=FALSE,"",'Dvd Calendar'!$Y$1344))</f>
        <v/>
      </c>
      <c r="BL136" s="106">
        <f>IF(GN136="","",IF(ISNUMBER('Dvd Calendar'!$Z$1344)=FALSE,"",'Dvd Calendar'!$Z$1344))</f>
        <v/>
      </c>
      <c r="BM136" s="106">
        <f>IF(GO136="","",IF(ISNUMBER('Dvd Calendar'!$AA$1344)=FALSE,"",'Dvd Calendar'!$AA$1344))</f>
        <v/>
      </c>
      <c r="BN136" s="106">
        <f>IF(GP136="","",IF(ISNUMBER('Dvd Calendar'!$AB$1344)=FALSE,"",'Dvd Calendar'!$AB$1344))</f>
        <v/>
      </c>
      <c r="BO136" s="106">
        <f>IF(GQ136="","",IF(ISNUMBER('Dvd Calendar'!$AC$1344)=FALSE,"",'Dvd Calendar'!$AC$1344))</f>
        <v/>
      </c>
      <c r="BQ136" s="106">
        <f>IF(C136="","",IFERROR(C136*HSTECH!$B$27*HSTECH!$G$27/HSTECH!$B$3,""))</f>
        <v/>
      </c>
      <c r="BR136" s="106">
        <f>IF(D136="","",IFERROR(D136*HSTECH!$B$27*HSTECH!$G$27/HSTECH!$B$3,""))</f>
        <v/>
      </c>
      <c r="BS136" s="106">
        <f>IF(E136="","",IFERROR(E136*HSTECH!$B$27*HSTECH!$G$27/HSTECH!$B$3,""))</f>
        <v/>
      </c>
      <c r="BT136" s="106">
        <f>IF(F136="","",IFERROR(F136*HSTECH!$B$27*HSTECH!$G$27/HSTECH!$B$3,""))</f>
        <v/>
      </c>
      <c r="BU136" s="106">
        <f>IF(G136="","",IFERROR(G136*HSTECH!$B$27*HSTECH!$G$27/HSTECH!$B$3,""))</f>
        <v/>
      </c>
      <c r="BV136" s="106">
        <f>IF(H136="","",IFERROR(H136*HSTECH!$B$27*HSTECH!$G$27/HSTECH!$B$3,""))</f>
        <v/>
      </c>
      <c r="BW136" s="106">
        <f>IF(I136="","",IFERROR(I136*HSTECH!$B$27*HSTECH!$G$27/HSTECH!$B$3,""))</f>
        <v/>
      </c>
      <c r="BX136" s="106">
        <f>IF(J136="","",IFERROR(J136*HSTECH!$B$27*HSTECH!$G$27/HSTECH!$B$3,""))</f>
        <v/>
      </c>
      <c r="BY136" s="106">
        <f>IF(K136="","",IFERROR(K136*HSTECH!$B$27*HSTECH!$G$27/HSTECH!$B$3,""))</f>
        <v/>
      </c>
      <c r="BZ136" s="106">
        <f>IF(L136="","",IFERROR(L136*HSTECH!$B$27*HSTECH!$G$27/HSTECH!$B$3,""))</f>
        <v/>
      </c>
      <c r="CA136" s="106">
        <f>IF(M136="","",IFERROR(M136*HSTECH!$B$27*HSTECH!$G$27/HSTECH!$B$3,""))</f>
        <v/>
      </c>
      <c r="CB136" s="106">
        <f>IF(N136="","",IFERROR(N136*HSTECH!$B$27*HSTECH!$G$27/HSTECH!$B$3,""))</f>
        <v/>
      </c>
      <c r="CC136" s="106">
        <f>IF(O136="","",IFERROR(O136*HSTECH!$B$27*HSTECH!$G$27/HSTECH!$B$3,""))</f>
        <v/>
      </c>
      <c r="CD136" s="106">
        <f>IF(P136="","",IFERROR(P136*HSTECH!$B$27*HSTECH!$G$27/HSTECH!$B$3,""))</f>
        <v/>
      </c>
      <c r="CE136" s="106">
        <f>IF(Q136="","",IFERROR(Q136*HSTECH!$B$27*HSTECH!$G$27/HSTECH!$B$3,""))</f>
        <v/>
      </c>
      <c r="CF136" s="106">
        <f>IF(R136="","",IFERROR(R136*HSTECH!$B$27*HSTECH!$G$27/HSTECH!$B$3,""))</f>
        <v/>
      </c>
      <c r="CG136" s="106">
        <f>IF(S136="","",IFERROR(S136*HSTECH!$B$27*HSTECH!$G$27/HSTECH!$B$3,""))</f>
        <v/>
      </c>
      <c r="CH136" s="106">
        <f>IF(T136="","",IFERROR(T136*HSTECH!$B$27*HSTECH!$G$27/HSTECH!$B$3,""))</f>
        <v/>
      </c>
      <c r="CI136" s="106">
        <f>IF(U136="","",IFERROR(U136*HSTECH!$B$27*HSTECH!$G$27/HSTECH!$B$3,""))</f>
        <v/>
      </c>
      <c r="CJ136" s="106">
        <f>IF(V136="","",IFERROR(V136*HSTECH!$B$27*HSTECH!$G$27/HSTECH!$B$3,""))</f>
        <v/>
      </c>
      <c r="CK136" s="106">
        <f>IF(W136="","",IFERROR(W136*HSTECH!$B$27*HSTECH!$G$27/HSTECH!$B$3,""))</f>
        <v/>
      </c>
      <c r="CL136" s="106">
        <f>IF(X136="","",IFERROR(X136*HSTECH!$B$27*HSTECH!$G$27/HSTECH!$B$3,""))</f>
        <v/>
      </c>
      <c r="CM136" s="106">
        <f>IF(Y136="","",IFERROR(Y136*HSTECH!$B$27*HSTECH!$G$27/HSTECH!$B$3,""))</f>
        <v/>
      </c>
      <c r="CN136" s="106">
        <f>IF(Z136="","",IFERROR(Z136*HSTECH!$B$27*HSTECH!$G$27/HSTECH!$B$3,""))</f>
        <v/>
      </c>
      <c r="CO136" s="106">
        <f>IF(AA136="","",IFERROR(AA136*HSTECH!$B$27*HSTECH!$G$27/HSTECH!$B$3,""))</f>
        <v/>
      </c>
      <c r="CP136" s="106">
        <f>IF(AB136="","",IFERROR(AB136*HSTECH!$B$27*HSTECH!$G$27/HSTECH!$B$3,""))</f>
        <v/>
      </c>
      <c r="CQ136" s="106">
        <f>IF(AC136="","",IFERROR(AC136*HSTECH!$B$27*HSTECH!$G$27/HSTECH!$B$3,""))</f>
        <v/>
      </c>
      <c r="CR136" s="106">
        <f>IF(AD136="","",IFERROR(AD136*HSTECH!$B$27*HSTECH!$G$27/HSTECH!$B$3,""))</f>
        <v/>
      </c>
      <c r="CS136" s="106">
        <f>IF(AE136="","",IFERROR(AE136*HSTECH!$B$27*HSTECH!$G$27/HSTECH!$B$3,""))</f>
        <v/>
      </c>
      <c r="CT136" s="106">
        <f>IF(AF136="","",IFERROR(AF136*HSTECH!$B$27*HSTECH!$G$27/HSTECH!$B$3,""))</f>
        <v/>
      </c>
      <c r="CU136" s="106">
        <f>IF(AG136="","",IFERROR(AG136*HSTECH!$B$27*HSTECH!$G$27/HSTECH!$B$3,""))</f>
        <v/>
      </c>
      <c r="CV136" s="106">
        <f>IF(AH136="","",IFERROR(AH136*HSTECH!$B$27*HSTECH!$G$27/HSTECH!$B$3,""))</f>
        <v/>
      </c>
      <c r="CW136" s="106">
        <f>IF(AI136="","",IFERROR(AI136*HSTECH!$B$27*HSTECH!$G$27/HSTECH!$B$3,""))</f>
        <v/>
      </c>
      <c r="CX136" s="106">
        <f>IF(AJ136="","",IFERROR(AJ136*HSTECH!$B$27*HSTECH!$G$27/HSTECH!$B$3,""))</f>
        <v/>
      </c>
      <c r="CY136" s="106">
        <f>IF(AK136="","",IFERROR(AK136*HSTECH!$B$27*HSTECH!$G$27/HSTECH!$B$3,""))</f>
        <v/>
      </c>
      <c r="CZ136" s="106">
        <f>IF(AL136="","",IFERROR(AL136*HSTECH!$B$27*HSTECH!$G$27/HSTECH!$B$3,""))</f>
        <v/>
      </c>
      <c r="DA136" s="106">
        <f>IF(AM136="","",IFERROR(AM136*HSTECH!$B$27*HSTECH!$G$27/HSTECH!$B$3,""))</f>
        <v/>
      </c>
      <c r="DB136" s="106">
        <f>IF(AN136="","",IFERROR(AN136*HSTECH!$B$27*HSTECH!$G$27/HSTECH!$B$3,""))</f>
        <v/>
      </c>
      <c r="DC136" s="106">
        <f>IF(AO136="","",IFERROR(AO136*HSTECH!$B$27*HSTECH!$G$27/HSTECH!$B$3,""))</f>
        <v/>
      </c>
      <c r="DD136" s="106">
        <f>IF(AP136="","",IFERROR(AP136*HSTECH!$B$27*HSTECH!$G$27/HSTECH!$B$3,""))</f>
        <v/>
      </c>
      <c r="DE136" s="106">
        <f>IF(AQ136="","",IFERROR(AQ136*HSTECH!$B$27*HSTECH!$G$27/HSTECH!$B$3,""))</f>
        <v/>
      </c>
      <c r="DF136" s="106">
        <f>IF(AR136="","",IFERROR(AR136*HSTECH!$B$27*HSTECH!$G$27/HSTECH!$B$3,""))</f>
        <v/>
      </c>
      <c r="DG136" s="106">
        <f>IF(AS136="","",IFERROR(AS136*HSTECH!$B$27*HSTECH!$G$27/HSTECH!$B$3,""))</f>
        <v/>
      </c>
      <c r="DH136" s="106">
        <f>IF(AT136="","",IFERROR(AT136*HSTECH!$B$27*HSTECH!$G$27/HSTECH!$B$3,""))</f>
        <v/>
      </c>
      <c r="DI136" s="106">
        <f>IF(AU136="","",IFERROR(AU136*HSTECH!$B$27*HSTECH!$G$27/HSTECH!$B$3,""))</f>
        <v/>
      </c>
      <c r="DJ136" s="106">
        <f>IF(AV136="","",IFERROR(AV136*HSTECH!$B$27*HSTECH!$G$27/HSTECH!$B$3,""))</f>
        <v/>
      </c>
      <c r="DK136" s="106">
        <f>IF(AW136="","",IFERROR(AW136*HSTECH!$B$27*HSTECH!$G$27/HSTECH!$B$3,""))</f>
        <v/>
      </c>
      <c r="DL136" s="106">
        <f>IF(AX136="","",IFERROR(AX136*HSTECH!$B$27*HSTECH!$G$27/HSTECH!$B$3,""))</f>
        <v/>
      </c>
      <c r="DM136" s="106">
        <f>IF(AY136="","",IFERROR(AY136*HSTECH!$B$27*HSTECH!$G$27/HSTECH!$B$3,""))</f>
        <v/>
      </c>
      <c r="DN136" s="106">
        <f>IF(AZ136="","",IFERROR(AZ136*HSTECH!$B$27*HSTECH!$G$27/HSTECH!$B$3,""))</f>
        <v/>
      </c>
      <c r="DO136" s="106">
        <f>IF(BA136="","",IFERROR(BA136*HSTECH!$B$27*HSTECH!$G$27/HSTECH!$B$3,""))</f>
        <v/>
      </c>
      <c r="DP136" s="106">
        <f>IF(BB136="","",IFERROR(BB136*HSTECH!$B$27*HSTECH!$G$27/HSTECH!$B$3,""))</f>
        <v/>
      </c>
      <c r="DQ136" s="106">
        <f>IF(BC136="","",IFERROR(BC136*HSTECH!$B$27*HSTECH!$G$27/HSTECH!$B$3,""))</f>
        <v/>
      </c>
      <c r="DR136" s="106">
        <f>IF(BD136="","",IFERROR(BD136*HSTECH!$B$27*HSTECH!$G$27/HSTECH!$B$3,""))</f>
        <v/>
      </c>
      <c r="DS136" s="106">
        <f>IF(BE136="","",IFERROR(BE136*HSTECH!$B$27*HSTECH!$G$27/HSTECH!$B$3,""))</f>
        <v/>
      </c>
      <c r="DT136" s="106">
        <f>IF(BF136="","",IFERROR(BF136*HSTECH!$B$27*HSTECH!$G$27/HSTECH!$B$3,""))</f>
        <v/>
      </c>
      <c r="DU136" s="106">
        <f>IF(BG136="","",IFERROR(BG136*HSTECH!$B$27*HSTECH!$G$27/HSTECH!$B$3,""))</f>
        <v/>
      </c>
      <c r="DV136" s="106">
        <f>IF(BH136="","",IFERROR(BH136*HSTECH!$B$27*HSTECH!$G$27/HSTECH!$B$3,""))</f>
        <v/>
      </c>
      <c r="DW136" s="106">
        <f>IF(BI136="","",IFERROR(BI136*HSTECH!$B$27*HSTECH!$G$27/HSTECH!$B$3,""))</f>
        <v/>
      </c>
      <c r="DX136" s="106">
        <f>IF(BJ136="","",IFERROR(BJ136*HSTECH!$B$27*HSTECH!$G$27/HSTECH!$B$3,""))</f>
        <v/>
      </c>
      <c r="DY136" s="106">
        <f>IF(BK136="","",IFERROR(BK136*HSTECH!$B$27*HSTECH!$G$27/HSTECH!$B$3,""))</f>
        <v/>
      </c>
      <c r="DZ136" s="106">
        <f>IF(BL136="","",IFERROR(BL136*HSTECH!$B$27*HSTECH!$G$27/HSTECH!$B$3,""))</f>
        <v/>
      </c>
      <c r="EA136" s="106">
        <f>IF(BM136="","",IFERROR(BM136*HSTECH!$B$27*HSTECH!$G$27/HSTECH!$B$3,""))</f>
        <v/>
      </c>
      <c r="EB136" s="106">
        <f>IF(BN136="","",IFERROR(BN136*HSTECH!$B$27*HSTECH!$G$27/HSTECH!$B$3,""))</f>
        <v/>
      </c>
      <c r="EC136" s="106">
        <f>IF(BO136="","",IFERROR(BO136*HSTECH!$B$27*HSTECH!$G$27/HSTECH!$B$3,""))</f>
        <v/>
      </c>
      <c r="EE136" s="35">
        <f>IF(N('Dvd Calendar'!$E$1336)=0,"",IF(('Dvd Calendar'!$E$1336&gt;=GRID_FROM)*('Dvd Calendar'!$E$1336&lt;=GRID_TO)*('Dvd Calendar'!$E$1336&lt;=VAL_DATE)=0,"",'Dvd Calendar'!$E$1336*1000000000+ISNUMBER('Dvd Calendar'!$E$1339)*100000000+('Dvd Calendar'!$E$1341=SPECIAL_LBL)*10000000+0*1000000+21*1000+1))</f>
        <v/>
      </c>
      <c r="EF136" s="35">
        <f>IF(N('Dvd Calendar'!$F$1336)=0,"",IF(('Dvd Calendar'!$F$1336&gt;=GRID_FROM)*('Dvd Calendar'!$F$1336&lt;=GRID_TO)*('Dvd Calendar'!$F$1336&lt;=VAL_DATE)=0,"",'Dvd Calendar'!$F$1336*1000000000+ISNUMBER('Dvd Calendar'!$F$1339)*100000000+('Dvd Calendar'!$F$1341=SPECIAL_LBL)*10000000+0*1000000+21*1000+2))</f>
        <v/>
      </c>
      <c r="EG136" s="35">
        <f>IF(N('Dvd Calendar'!$G$1336)=0,"",IF(('Dvd Calendar'!$G$1336&gt;=GRID_FROM)*('Dvd Calendar'!$G$1336&lt;=GRID_TO)*('Dvd Calendar'!$G$1336&lt;=VAL_DATE)=0,"",'Dvd Calendar'!$G$1336*1000000000+ISNUMBER('Dvd Calendar'!$G$1339)*100000000+('Dvd Calendar'!$G$1341=SPECIAL_LBL)*10000000+0*1000000+21*1000+3))</f>
        <v/>
      </c>
      <c r="EH136" s="35">
        <f>IF(N('Dvd Calendar'!$H$1336)=0,"",IF(('Dvd Calendar'!$H$1336&gt;=GRID_FROM)*('Dvd Calendar'!$H$1336&lt;=GRID_TO)*('Dvd Calendar'!$H$1336&lt;=VAL_DATE)=0,"",'Dvd Calendar'!$H$1336*1000000000+ISNUMBER('Dvd Calendar'!$H$1339)*100000000+('Dvd Calendar'!$H$1341=SPECIAL_LBL)*10000000+0*1000000+21*1000+4))</f>
        <v/>
      </c>
      <c r="EI136" s="35">
        <f>IF(N('Dvd Calendar'!$I$1336)=0,"",IF(('Dvd Calendar'!$I$1336&gt;=GRID_FROM)*('Dvd Calendar'!$I$1336&lt;=GRID_TO)*('Dvd Calendar'!$I$1336&lt;=VAL_DATE)=0,"",'Dvd Calendar'!$I$1336*1000000000+ISNUMBER('Dvd Calendar'!$I$1339)*100000000+('Dvd Calendar'!$I$1341=SPECIAL_LBL)*10000000+0*1000000+21*1000+5))</f>
        <v/>
      </c>
      <c r="EJ136" s="35">
        <f>IF(N('Dvd Calendar'!$J$1336)=0,"",IF(('Dvd Calendar'!$J$1336&gt;=GRID_FROM)*('Dvd Calendar'!$J$1336&lt;=GRID_TO)*('Dvd Calendar'!$J$1336&lt;=VAL_DATE)=0,"",'Dvd Calendar'!$J$1336*1000000000+ISNUMBER('Dvd Calendar'!$J$1339)*100000000+('Dvd Calendar'!$J$1341=SPECIAL_LBL)*10000000+0*1000000+21*1000+6))</f>
        <v/>
      </c>
      <c r="EK136" s="35">
        <f>IF(N('Dvd Calendar'!$K$1336)=0,"",IF(('Dvd Calendar'!$K$1336&gt;=GRID_FROM)*('Dvd Calendar'!$K$1336&lt;=GRID_TO)*('Dvd Calendar'!$K$1336&lt;=VAL_DATE)=0,"",'Dvd Calendar'!$K$1336*1000000000+ISNUMBER('Dvd Calendar'!$K$1339)*100000000+('Dvd Calendar'!$K$1341=SPECIAL_LBL)*10000000+0*1000000+21*1000+7))</f>
        <v/>
      </c>
      <c r="EL136" s="35">
        <f>IF(N('Dvd Calendar'!$L$1336)=0,"",IF(('Dvd Calendar'!$L$1336&gt;=GRID_FROM)*('Dvd Calendar'!$L$1336&lt;=GRID_TO)*('Dvd Calendar'!$L$1336&lt;=VAL_DATE)=0,"",'Dvd Calendar'!$L$1336*1000000000+ISNUMBER('Dvd Calendar'!$L$1339)*100000000+('Dvd Calendar'!$L$1341=SPECIAL_LBL)*10000000+0*1000000+21*1000+8))</f>
        <v/>
      </c>
      <c r="EM136" s="35">
        <f>IF(N('Dvd Calendar'!$M$1336)=0,"",IF(('Dvd Calendar'!$M$1336&gt;=GRID_FROM)*('Dvd Calendar'!$M$1336&lt;=GRID_TO)*('Dvd Calendar'!$M$1336&lt;=VAL_DATE)=0,"",'Dvd Calendar'!$M$1336*1000000000+ISNUMBER('Dvd Calendar'!$M$1339)*100000000+('Dvd Calendar'!$M$1341=SPECIAL_LBL)*10000000+0*1000000+21*1000+9))</f>
        <v/>
      </c>
      <c r="EN136" s="35">
        <f>IF(N('Dvd Calendar'!$N$1336)=0,"",IF(('Dvd Calendar'!$N$1336&gt;=GRID_FROM)*('Dvd Calendar'!$N$1336&lt;=GRID_TO)*('Dvd Calendar'!$N$1336&lt;=VAL_DATE)=0,"",'Dvd Calendar'!$N$1336*1000000000+ISNUMBER('Dvd Calendar'!$N$1339)*100000000+('Dvd Calendar'!$N$1341=SPECIAL_LBL)*10000000+0*1000000+21*1000+10))</f>
        <v/>
      </c>
      <c r="EO136" s="35">
        <f>IF(N('Dvd Calendar'!$O$1336)=0,"",IF(('Dvd Calendar'!$O$1336&gt;=GRID_FROM)*('Dvd Calendar'!$O$1336&lt;=GRID_TO)*('Dvd Calendar'!$O$1336&lt;=VAL_DATE)=0,"",'Dvd Calendar'!$O$1336*1000000000+ISNUMBER('Dvd Calendar'!$O$1339)*100000000+('Dvd Calendar'!$O$1341=SPECIAL_LBL)*10000000+0*1000000+21*1000+11))</f>
        <v/>
      </c>
      <c r="EP136" s="35">
        <f>IF(N('Dvd Calendar'!$P$1336)=0,"",IF(('Dvd Calendar'!$P$1336&gt;=GRID_FROM)*('Dvd Calendar'!$P$1336&lt;=GRID_TO)*('Dvd Calendar'!$P$1336&lt;=VAL_DATE)=0,"",'Dvd Calendar'!$P$1336*1000000000+ISNUMBER('Dvd Calendar'!$P$1339)*100000000+('Dvd Calendar'!$P$1341=SPECIAL_LBL)*10000000+0*1000000+21*1000+12))</f>
        <v/>
      </c>
      <c r="EQ136" s="35">
        <f>IF(N('Dvd Calendar'!$Q$1336)=0,"",IF(('Dvd Calendar'!$Q$1336&gt;=GRID_FROM)*('Dvd Calendar'!$Q$1336&lt;=GRID_TO)*('Dvd Calendar'!$Q$1336&lt;=VAL_DATE)=0,"",'Dvd Calendar'!$Q$1336*1000000000+ISNUMBER('Dvd Calendar'!$Q$1339)*100000000+('Dvd Calendar'!$Q$1341=SPECIAL_LBL)*10000000+0*1000000+21*1000+13))</f>
        <v/>
      </c>
      <c r="ER136" s="35">
        <f>IF(N('Dvd Calendar'!$R$1336)=0,"",IF(('Dvd Calendar'!$R$1336&gt;=GRID_FROM)*('Dvd Calendar'!$R$1336&lt;=GRID_TO)*('Dvd Calendar'!$R$1336&lt;=VAL_DATE)=0,"",'Dvd Calendar'!$R$1336*1000000000+ISNUMBER('Dvd Calendar'!$R$1339)*100000000+('Dvd Calendar'!$R$1341=SPECIAL_LBL)*10000000+0*1000000+21*1000+14))</f>
        <v/>
      </c>
      <c r="ES136" s="35">
        <f>IF(N('Dvd Calendar'!$S$1336)=0,"",IF(('Dvd Calendar'!$S$1336&gt;=GRID_FROM)*('Dvd Calendar'!$S$1336&lt;=GRID_TO)*('Dvd Calendar'!$S$1336&lt;=VAL_DATE)=0,"",'Dvd Calendar'!$S$1336*1000000000+ISNUMBER('Dvd Calendar'!$S$1339)*100000000+('Dvd Calendar'!$S$1341=SPECIAL_LBL)*10000000+0*1000000+21*1000+15))</f>
        <v/>
      </c>
      <c r="ET136" s="35">
        <f>IF(N('Dvd Calendar'!$T$1336)=0,"",IF(('Dvd Calendar'!$T$1336&gt;=GRID_FROM)*('Dvd Calendar'!$T$1336&lt;=GRID_TO)*('Dvd Calendar'!$T$1336&lt;=VAL_DATE)=0,"",'Dvd Calendar'!$T$1336*1000000000+ISNUMBER('Dvd Calendar'!$T$1339)*100000000+('Dvd Calendar'!$T$1341=SPECIAL_LBL)*10000000+0*1000000+21*1000+16))</f>
        <v/>
      </c>
      <c r="EU136" s="35">
        <f>IF(N('Dvd Calendar'!$U$1336)=0,"",IF(('Dvd Calendar'!$U$1336&gt;=GRID_FROM)*('Dvd Calendar'!$U$1336&lt;=GRID_TO)*('Dvd Calendar'!$U$1336&lt;=VAL_DATE)=0,"",'Dvd Calendar'!$U$1336*1000000000+ISNUMBER('Dvd Calendar'!$U$1339)*100000000+('Dvd Calendar'!$U$1341=SPECIAL_LBL)*10000000+0*1000000+21*1000+17))</f>
        <v/>
      </c>
      <c r="EV136" s="35">
        <f>IF(N('Dvd Calendar'!$V$1336)=0,"",IF(('Dvd Calendar'!$V$1336&gt;=GRID_FROM)*('Dvd Calendar'!$V$1336&lt;=GRID_TO)*('Dvd Calendar'!$V$1336&lt;=VAL_DATE)=0,"",'Dvd Calendar'!$V$1336*1000000000+ISNUMBER('Dvd Calendar'!$V$1339)*100000000+('Dvd Calendar'!$V$1341=SPECIAL_LBL)*10000000+0*1000000+21*1000+18))</f>
        <v/>
      </c>
      <c r="EW136" s="35">
        <f>IF(N('Dvd Calendar'!$W$1336)=0,"",IF(('Dvd Calendar'!$W$1336&gt;=GRID_FROM)*('Dvd Calendar'!$W$1336&lt;=GRID_TO)*('Dvd Calendar'!$W$1336&lt;=VAL_DATE)=0,"",'Dvd Calendar'!$W$1336*1000000000+ISNUMBER('Dvd Calendar'!$W$1339)*100000000+('Dvd Calendar'!$W$1341=SPECIAL_LBL)*10000000+0*1000000+21*1000+19))</f>
        <v/>
      </c>
      <c r="EX136" s="35">
        <f>IF(N('Dvd Calendar'!$X$1336)=0,"",IF(('Dvd Calendar'!$X$1336&gt;=GRID_FROM)*('Dvd Calendar'!$X$1336&lt;=GRID_TO)*('Dvd Calendar'!$X$1336&lt;=VAL_DATE)=0,"",'Dvd Calendar'!$X$1336*1000000000+ISNUMBER('Dvd Calendar'!$X$1339)*100000000+('Dvd Calendar'!$X$1341=SPECIAL_LBL)*10000000+0*1000000+21*1000+20))</f>
        <v/>
      </c>
      <c r="EY136" s="35">
        <f>IF(N('Dvd Calendar'!$Y$1336)=0,"",IF(('Dvd Calendar'!$Y$1336&gt;=GRID_FROM)*('Dvd Calendar'!$Y$1336&lt;=GRID_TO)*('Dvd Calendar'!$Y$1336&lt;=VAL_DATE)=0,"",'Dvd Calendar'!$Y$1336*1000000000+ISNUMBER('Dvd Calendar'!$Y$1339)*100000000+('Dvd Calendar'!$Y$1341=SPECIAL_LBL)*10000000+0*1000000+21*1000+21))</f>
        <v/>
      </c>
      <c r="EZ136" s="35">
        <f>IF(N('Dvd Calendar'!$Z$1336)=0,"",IF(('Dvd Calendar'!$Z$1336&gt;=GRID_FROM)*('Dvd Calendar'!$Z$1336&lt;=GRID_TO)*('Dvd Calendar'!$Z$1336&lt;=VAL_DATE)=0,"",'Dvd Calendar'!$Z$1336*1000000000+ISNUMBER('Dvd Calendar'!$Z$1339)*100000000+('Dvd Calendar'!$Z$1341=SPECIAL_LBL)*10000000+0*1000000+21*1000+22))</f>
        <v/>
      </c>
      <c r="FA136" s="35">
        <f>IF(N('Dvd Calendar'!$AA$1336)=0,"",IF(('Dvd Calendar'!$AA$1336&gt;=GRID_FROM)*('Dvd Calendar'!$AA$1336&lt;=GRID_TO)*('Dvd Calendar'!$AA$1336&lt;=VAL_DATE)=0,"",'Dvd Calendar'!$AA$1336*1000000000+ISNUMBER('Dvd Calendar'!$AA$1339)*100000000+('Dvd Calendar'!$AA$1341=SPECIAL_LBL)*10000000+0*1000000+21*1000+23))</f>
        <v/>
      </c>
      <c r="FB136" s="35">
        <f>IF(N('Dvd Calendar'!$AB$1336)=0,"",IF(('Dvd Calendar'!$AB$1336&gt;=GRID_FROM)*('Dvd Calendar'!$AB$1336&lt;=GRID_TO)*('Dvd Calendar'!$AB$1336&lt;=VAL_DATE)=0,"",'Dvd Calendar'!$AB$1336*1000000000+ISNUMBER('Dvd Calendar'!$AB$1339)*100000000+('Dvd Calendar'!$AB$1341=SPECIAL_LBL)*10000000+0*1000000+21*1000+24))</f>
        <v/>
      </c>
      <c r="FC136" s="35">
        <f>IF(N('Dvd Calendar'!$AC$1336)=0,"",IF(('Dvd Calendar'!$AC$1336&gt;=GRID_FROM)*('Dvd Calendar'!$AC$1336&lt;=GRID_TO)*('Dvd Calendar'!$AC$1336&lt;=VAL_DATE)=0,"",'Dvd Calendar'!$AC$1336*1000000000+ISNUMBER('Dvd Calendar'!$AC$1339)*100000000+('Dvd Calendar'!$AC$1341=SPECIAL_LBL)*10000000+0*1000000+21*1000+25))</f>
        <v/>
      </c>
      <c r="FD136" s="35">
        <f>IF(N('Dvd Calendar'!$AD$1336)=0,"",IF(('Dvd Calendar'!$AD$1336&gt;=GRID_FROM)*('Dvd Calendar'!$AD$1336&lt;=GRID_TO)*('Dvd Calendar'!$AD$1336&lt;=VAL_DATE)=0,"",'Dvd Calendar'!$AD$1336*1000000000+ISNUMBER('Dvd Calendar'!$AD$1339)*100000000+('Dvd Calendar'!$AD$1341=SPECIAL_LBL)*10000000+0*1000000+21*1000+26))</f>
        <v/>
      </c>
      <c r="FE136" s="35">
        <f>IF(N('Dvd Calendar'!$AE$1336)=0,"",IF(('Dvd Calendar'!$AE$1336&gt;=GRID_FROM)*('Dvd Calendar'!$AE$1336&lt;=GRID_TO)*('Dvd Calendar'!$AE$1336&lt;=VAL_DATE)=0,"",'Dvd Calendar'!$AE$1336*1000000000+ISNUMBER('Dvd Calendar'!$AE$1339)*100000000+('Dvd Calendar'!$AE$1341=SPECIAL_LBL)*10000000+0*1000000+21*1000+27))</f>
        <v/>
      </c>
      <c r="FF136" s="35">
        <f>IF(N('Dvd Calendar'!$AF$1336)=0,"",IF(('Dvd Calendar'!$AF$1336&gt;=GRID_FROM)*('Dvd Calendar'!$AF$1336&lt;=GRID_TO)*('Dvd Calendar'!$AF$1336&lt;=VAL_DATE)=0,"",'Dvd Calendar'!$AF$1336*1000000000+ISNUMBER('Dvd Calendar'!$AF$1339)*100000000+('Dvd Calendar'!$AF$1341=SPECIAL_LBL)*10000000+0*1000000+21*1000+28))</f>
        <v/>
      </c>
      <c r="FG136" s="35">
        <f>IF(N('Dvd Calendar'!$AG$1336)=0,"",IF(('Dvd Calendar'!$AG$1336&gt;=GRID_FROM)*('Dvd Calendar'!$AG$1336&lt;=GRID_TO)*('Dvd Calendar'!$AG$1336&lt;=VAL_DATE)=0,"",'Dvd Calendar'!$AG$1336*1000000000+ISNUMBER('Dvd Calendar'!$AG$1339)*100000000+('Dvd Calendar'!$AG$1341=SPECIAL_LBL)*10000000+0*1000000+21*1000+29))</f>
        <v/>
      </c>
      <c r="FH136" s="35">
        <f>IF(N('Dvd Calendar'!$AH$1336)=0,"",IF(('Dvd Calendar'!$AH$1336&gt;=GRID_FROM)*('Dvd Calendar'!$AH$1336&lt;=GRID_TO)*('Dvd Calendar'!$AH$1336&lt;=VAL_DATE)=0,"",'Dvd Calendar'!$AH$1336*1000000000+ISNUMBER('Dvd Calendar'!$AH$1339)*100000000+('Dvd Calendar'!$AH$1341=SPECIAL_LBL)*10000000+0*1000000+21*1000+30))</f>
        <v/>
      </c>
      <c r="FI136" s="35">
        <f>IF(N('Dvd Calendar'!$AI$1336)=0,"",IF(('Dvd Calendar'!$AI$1336&gt;=GRID_FROM)*('Dvd Calendar'!$AI$1336&lt;=GRID_TO)*('Dvd Calendar'!$AI$1336&lt;=VAL_DATE)=0,"",'Dvd Calendar'!$AI$1336*1000000000+ISNUMBER('Dvd Calendar'!$AI$1339)*100000000+('Dvd Calendar'!$AI$1341=SPECIAL_LBL)*10000000+0*1000000+21*1000+31))</f>
        <v/>
      </c>
      <c r="FJ136" s="35">
        <f>IF(N('Dvd Calendar'!$AJ$1336)=0,"",IF(('Dvd Calendar'!$AJ$1336&gt;=GRID_FROM)*('Dvd Calendar'!$AJ$1336&lt;=GRID_TO)*('Dvd Calendar'!$AJ$1336&lt;=VAL_DATE)=0,"",'Dvd Calendar'!$AJ$1336*1000000000+ISNUMBER('Dvd Calendar'!$AJ$1339)*100000000+('Dvd Calendar'!$AJ$1341=SPECIAL_LBL)*10000000+0*1000000+21*1000+32))</f>
        <v/>
      </c>
      <c r="FK136" s="35">
        <f>IF(N('Dvd Calendar'!$AK$1336)=0,"",IF(('Dvd Calendar'!$AK$1336&gt;=GRID_FROM)*('Dvd Calendar'!$AK$1336&lt;=GRID_TO)*('Dvd Calendar'!$AK$1336&lt;=VAL_DATE)=0,"",'Dvd Calendar'!$AK$1336*1000000000+ISNUMBER('Dvd Calendar'!$AK$1339)*100000000+('Dvd Calendar'!$AK$1341=SPECIAL_LBL)*10000000+0*1000000+21*1000+33))</f>
        <v/>
      </c>
      <c r="FL136" s="35">
        <f>IF(N('Dvd Calendar'!$AL$1336)=0,"",IF(('Dvd Calendar'!$AL$1336&gt;=GRID_FROM)*('Dvd Calendar'!$AL$1336&lt;=GRID_TO)*('Dvd Calendar'!$AL$1336&lt;=VAL_DATE)=0,"",'Dvd Calendar'!$AL$1336*1000000000+ISNUMBER('Dvd Calendar'!$AL$1339)*100000000+('Dvd Calendar'!$AL$1341=SPECIAL_LBL)*10000000+0*1000000+21*1000+34))</f>
        <v/>
      </c>
      <c r="FM136" s="35">
        <f>IF(N('Dvd Calendar'!$AM$1336)=0,"",IF(('Dvd Calendar'!$AM$1336&gt;=GRID_FROM)*('Dvd Calendar'!$AM$1336&lt;=GRID_TO)*('Dvd Calendar'!$AM$1336&lt;=VAL_DATE)=0,"",'Dvd Calendar'!$AM$1336*1000000000+ISNUMBER('Dvd Calendar'!$AM$1339)*100000000+('Dvd Calendar'!$AM$1341=SPECIAL_LBL)*10000000+0*1000000+21*1000+35))</f>
        <v/>
      </c>
      <c r="FN136" s="35">
        <f>IF(N('Dvd Calendar'!$AN$1336)=0,"",IF(('Dvd Calendar'!$AN$1336&gt;=GRID_FROM)*('Dvd Calendar'!$AN$1336&lt;=GRID_TO)*('Dvd Calendar'!$AN$1336&lt;=VAL_DATE)=0,"",'Dvd Calendar'!$AN$1336*1000000000+ISNUMBER('Dvd Calendar'!$AN$1339)*100000000+('Dvd Calendar'!$AN$1341=SPECIAL_LBL)*10000000+0*1000000+21*1000+36))</f>
        <v/>
      </c>
      <c r="FO136" s="35">
        <f>IF(N('Dvd Calendar'!$AO$1336)=0,"",IF(('Dvd Calendar'!$AO$1336&gt;=GRID_FROM)*('Dvd Calendar'!$AO$1336&lt;=GRID_TO)*('Dvd Calendar'!$AO$1336&lt;=VAL_DATE)=0,"",'Dvd Calendar'!$AO$1336*1000000000+ISNUMBER('Dvd Calendar'!$AO$1339)*100000000+('Dvd Calendar'!$AO$1341=SPECIAL_LBL)*10000000+0*1000000+21*1000+37))</f>
        <v/>
      </c>
      <c r="FP136" s="35">
        <f>IF(N('Dvd Calendar'!$AP$1336)=0,"",IF(('Dvd Calendar'!$AP$1336&gt;=GRID_FROM)*('Dvd Calendar'!$AP$1336&lt;=GRID_TO)*('Dvd Calendar'!$AP$1336&lt;=VAL_DATE)=0,"",'Dvd Calendar'!$AP$1336*1000000000+ISNUMBER('Dvd Calendar'!$AP$1339)*100000000+('Dvd Calendar'!$AP$1341=SPECIAL_LBL)*10000000+0*1000000+21*1000+38))</f>
        <v/>
      </c>
      <c r="FQ136" s="35">
        <f>IF(N('Dvd Calendar'!$AQ$1336)=0,"",IF(('Dvd Calendar'!$AQ$1336&gt;=GRID_FROM)*('Dvd Calendar'!$AQ$1336&lt;=GRID_TO)*('Dvd Calendar'!$AQ$1336&lt;=VAL_DATE)=0,"",'Dvd Calendar'!$AQ$1336*1000000000+ISNUMBER('Dvd Calendar'!$AQ$1339)*100000000+('Dvd Calendar'!$AQ$1341=SPECIAL_LBL)*10000000+0*1000000+21*1000+39))</f>
        <v/>
      </c>
      <c r="FR136" s="35">
        <f>IF(N('Dvd Calendar'!$AR$1336)=0,"",IF(('Dvd Calendar'!$AR$1336&gt;=GRID_FROM)*('Dvd Calendar'!$AR$1336&lt;=GRID_TO)*('Dvd Calendar'!$AR$1336&lt;=VAL_DATE)=0,"",'Dvd Calendar'!$AR$1336*1000000000+ISNUMBER('Dvd Calendar'!$AR$1339)*100000000+('Dvd Calendar'!$AR$1341=SPECIAL_LBL)*10000000+0*1000000+21*1000+40))</f>
        <v/>
      </c>
      <c r="FS136" s="35">
        <f>IF(N('Dvd Calendar'!$E$1343)=0,"",IF(('Dvd Calendar'!$E$1343&gt;=GRID_FROM)*('Dvd Calendar'!$E$1343&lt;=GRID_TO)*('Dvd Calendar'!$E$1343&gt;VAL_DATE)=0,"",'Dvd Calendar'!$E$1343*1000000000+ISNUMBER('Dvd Calendar'!$E$1344)*100000000+0*10000000+(N('Dvd Calendar'!$E$1342)&gt;0)*(N('Dvd Calendar'!$E$1342)&lt;=VAL_SERIAL)*1000000+21*1000+41))</f>
        <v/>
      </c>
      <c r="FT136" s="35">
        <f>IF(N('Dvd Calendar'!$F$1343)=0,"",IF(('Dvd Calendar'!$F$1343&gt;=GRID_FROM)*('Dvd Calendar'!$F$1343&lt;=GRID_TO)*('Dvd Calendar'!$F$1343&gt;VAL_DATE)=0,"",'Dvd Calendar'!$F$1343*1000000000+ISNUMBER('Dvd Calendar'!$F$1344)*100000000+0*10000000+(N('Dvd Calendar'!$F$1342)&gt;0)*(N('Dvd Calendar'!$F$1342)&lt;=VAL_SERIAL)*1000000+21*1000+42))</f>
        <v/>
      </c>
      <c r="FU136" s="35">
        <f>IF(N('Dvd Calendar'!$G$1343)=0,"",IF(('Dvd Calendar'!$G$1343&gt;=GRID_FROM)*('Dvd Calendar'!$G$1343&lt;=GRID_TO)*('Dvd Calendar'!$G$1343&gt;VAL_DATE)=0,"",'Dvd Calendar'!$G$1343*1000000000+ISNUMBER('Dvd Calendar'!$G$1344)*100000000+0*10000000+(N('Dvd Calendar'!$G$1342)&gt;0)*(N('Dvd Calendar'!$G$1342)&lt;=VAL_SERIAL)*1000000+21*1000+43))</f>
        <v/>
      </c>
      <c r="FV136" s="35">
        <f>IF(N('Dvd Calendar'!$H$1343)=0,"",IF(('Dvd Calendar'!$H$1343&gt;=GRID_FROM)*('Dvd Calendar'!$H$1343&lt;=GRID_TO)*('Dvd Calendar'!$H$1343&gt;VAL_DATE)=0,"",'Dvd Calendar'!$H$1343*1000000000+ISNUMBER('Dvd Calendar'!$H$1344)*100000000+0*10000000+(N('Dvd Calendar'!$H$1342)&gt;0)*(N('Dvd Calendar'!$H$1342)&lt;=VAL_SERIAL)*1000000+21*1000+44))</f>
        <v/>
      </c>
      <c r="FW136" s="35">
        <f>IF(N('Dvd Calendar'!$I$1343)=0,"",IF(('Dvd Calendar'!$I$1343&gt;=GRID_FROM)*('Dvd Calendar'!$I$1343&lt;=GRID_TO)*('Dvd Calendar'!$I$1343&gt;VAL_DATE)=0,"",'Dvd Calendar'!$I$1343*1000000000+ISNUMBER('Dvd Calendar'!$I$1344)*100000000+0*10000000+(N('Dvd Calendar'!$I$1342)&gt;0)*(N('Dvd Calendar'!$I$1342)&lt;=VAL_SERIAL)*1000000+21*1000+45))</f>
        <v/>
      </c>
      <c r="FX136" s="35">
        <f>IF(N('Dvd Calendar'!$J$1343)=0,"",IF(('Dvd Calendar'!$J$1343&gt;=GRID_FROM)*('Dvd Calendar'!$J$1343&lt;=GRID_TO)*('Dvd Calendar'!$J$1343&gt;VAL_DATE)=0,"",'Dvd Calendar'!$J$1343*1000000000+ISNUMBER('Dvd Calendar'!$J$1344)*100000000+0*10000000+(N('Dvd Calendar'!$J$1342)&gt;0)*(N('Dvd Calendar'!$J$1342)&lt;=VAL_SERIAL)*1000000+21*1000+46))</f>
        <v/>
      </c>
      <c r="FY136" s="35">
        <f>IF(N('Dvd Calendar'!$K$1343)=0,"",IF(('Dvd Calendar'!$K$1343&gt;=GRID_FROM)*('Dvd Calendar'!$K$1343&lt;=GRID_TO)*('Dvd Calendar'!$K$1343&gt;VAL_DATE)=0,"",'Dvd Calendar'!$K$1343*1000000000+ISNUMBER('Dvd Calendar'!$K$1344)*100000000+0*10000000+(N('Dvd Calendar'!$K$1342)&gt;0)*(N('Dvd Calendar'!$K$1342)&lt;=VAL_SERIAL)*1000000+21*1000+47))</f>
        <v/>
      </c>
      <c r="FZ136" s="35">
        <f>IF(N('Dvd Calendar'!$L$1343)=0,"",IF(('Dvd Calendar'!$L$1343&gt;=GRID_FROM)*('Dvd Calendar'!$L$1343&lt;=GRID_TO)*('Dvd Calendar'!$L$1343&gt;VAL_DATE)=0,"",'Dvd Calendar'!$L$1343*1000000000+ISNUMBER('Dvd Calendar'!$L$1344)*100000000+0*10000000+(N('Dvd Calendar'!$L$1342)&gt;0)*(N('Dvd Calendar'!$L$1342)&lt;=VAL_SERIAL)*1000000+21*1000+48))</f>
        <v/>
      </c>
      <c r="GA136" s="35">
        <f>IF(N('Dvd Calendar'!$M$1343)=0,"",IF(('Dvd Calendar'!$M$1343&gt;=GRID_FROM)*('Dvd Calendar'!$M$1343&lt;=GRID_TO)*('Dvd Calendar'!$M$1343&gt;VAL_DATE)=0,"",'Dvd Calendar'!$M$1343*1000000000+ISNUMBER('Dvd Calendar'!$M$1344)*100000000+0*10000000+(N('Dvd Calendar'!$M$1342)&gt;0)*(N('Dvd Calendar'!$M$1342)&lt;=VAL_SERIAL)*1000000+21*1000+49))</f>
        <v/>
      </c>
      <c r="GB136" s="35">
        <f>IF(N('Dvd Calendar'!$N$1343)=0,"",IF(('Dvd Calendar'!$N$1343&gt;=GRID_FROM)*('Dvd Calendar'!$N$1343&lt;=GRID_TO)*('Dvd Calendar'!$N$1343&gt;VAL_DATE)=0,"",'Dvd Calendar'!$N$1343*1000000000+ISNUMBER('Dvd Calendar'!$N$1344)*100000000+0*10000000+(N('Dvd Calendar'!$N$1342)&gt;0)*(N('Dvd Calendar'!$N$1342)&lt;=VAL_SERIAL)*1000000+21*1000+50))</f>
        <v/>
      </c>
      <c r="GC136" s="35">
        <f>IF(N('Dvd Calendar'!$O$1343)=0,"",IF(('Dvd Calendar'!$O$1343&gt;=GRID_FROM)*('Dvd Calendar'!$O$1343&lt;=GRID_TO)*('Dvd Calendar'!$O$1343&gt;VAL_DATE)=0,"",'Dvd Calendar'!$O$1343*1000000000+ISNUMBER('Dvd Calendar'!$O$1344)*100000000+0*10000000+(N('Dvd Calendar'!$O$1342)&gt;0)*(N('Dvd Calendar'!$O$1342)&lt;=VAL_SERIAL)*1000000+21*1000+51))</f>
        <v/>
      </c>
      <c r="GD136" s="35">
        <f>IF(N('Dvd Calendar'!$P$1343)=0,"",IF(('Dvd Calendar'!$P$1343&gt;=GRID_FROM)*('Dvd Calendar'!$P$1343&lt;=GRID_TO)*('Dvd Calendar'!$P$1343&gt;VAL_DATE)=0,"",'Dvd Calendar'!$P$1343*1000000000+ISNUMBER('Dvd Calendar'!$P$1344)*100000000+0*10000000+(N('Dvd Calendar'!$P$1342)&gt;0)*(N('Dvd Calendar'!$P$1342)&lt;=VAL_SERIAL)*1000000+21*1000+52))</f>
        <v/>
      </c>
      <c r="GE136" s="35">
        <f>IF(N('Dvd Calendar'!$Q$1343)=0,"",IF(('Dvd Calendar'!$Q$1343&gt;=GRID_FROM)*('Dvd Calendar'!$Q$1343&lt;=GRID_TO)*('Dvd Calendar'!$Q$1343&gt;VAL_DATE)=0,"",'Dvd Calendar'!$Q$1343*1000000000+ISNUMBER('Dvd Calendar'!$Q$1344)*100000000+0*10000000+(N('Dvd Calendar'!$Q$1342)&gt;0)*(N('Dvd Calendar'!$Q$1342)&lt;=VAL_SERIAL)*1000000+21*1000+53))</f>
        <v/>
      </c>
      <c r="GF136" s="35">
        <f>IF(N('Dvd Calendar'!$R$1343)=0,"",IF(('Dvd Calendar'!$R$1343&gt;=GRID_FROM)*('Dvd Calendar'!$R$1343&lt;=GRID_TO)*('Dvd Calendar'!$R$1343&gt;VAL_DATE)=0,"",'Dvd Calendar'!$R$1343*1000000000+ISNUMBER('Dvd Calendar'!$R$1344)*100000000+0*10000000+(N('Dvd Calendar'!$R$1342)&gt;0)*(N('Dvd Calendar'!$R$1342)&lt;=VAL_SERIAL)*1000000+21*1000+54))</f>
        <v/>
      </c>
      <c r="GG136" s="35">
        <f>IF(N('Dvd Calendar'!$S$1343)=0,"",IF(('Dvd Calendar'!$S$1343&gt;=GRID_FROM)*('Dvd Calendar'!$S$1343&lt;=GRID_TO)*('Dvd Calendar'!$S$1343&gt;VAL_DATE)=0,"",'Dvd Calendar'!$S$1343*1000000000+ISNUMBER('Dvd Calendar'!$S$1344)*100000000+0*10000000+(N('Dvd Calendar'!$S$1342)&gt;0)*(N('Dvd Calendar'!$S$1342)&lt;=VAL_SERIAL)*1000000+21*1000+55))</f>
        <v/>
      </c>
      <c r="GH136" s="35">
        <f>IF(N('Dvd Calendar'!$T$1343)=0,"",IF(('Dvd Calendar'!$T$1343&gt;=GRID_FROM)*('Dvd Calendar'!$T$1343&lt;=GRID_TO)*('Dvd Calendar'!$T$1343&gt;VAL_DATE)=0,"",'Dvd Calendar'!$T$1343*1000000000+ISNUMBER('Dvd Calendar'!$T$1344)*100000000+0*10000000+(N('Dvd Calendar'!$T$1342)&gt;0)*(N('Dvd Calendar'!$T$1342)&lt;=VAL_SERIAL)*1000000+21*1000+56))</f>
        <v/>
      </c>
      <c r="GI136" s="35">
        <f>IF(N('Dvd Calendar'!$U$1343)=0,"",IF(('Dvd Calendar'!$U$1343&gt;=GRID_FROM)*('Dvd Calendar'!$U$1343&lt;=GRID_TO)*('Dvd Calendar'!$U$1343&gt;VAL_DATE)=0,"",'Dvd Calendar'!$U$1343*1000000000+ISNUMBER('Dvd Calendar'!$U$1344)*100000000+0*10000000+(N('Dvd Calendar'!$U$1342)&gt;0)*(N('Dvd Calendar'!$U$1342)&lt;=VAL_SERIAL)*1000000+21*1000+57))</f>
        <v/>
      </c>
      <c r="GJ136" s="35">
        <f>IF(N('Dvd Calendar'!$V$1343)=0,"",IF(('Dvd Calendar'!$V$1343&gt;=GRID_FROM)*('Dvd Calendar'!$V$1343&lt;=GRID_TO)*('Dvd Calendar'!$V$1343&gt;VAL_DATE)=0,"",'Dvd Calendar'!$V$1343*1000000000+ISNUMBER('Dvd Calendar'!$V$1344)*100000000+0*10000000+(N('Dvd Calendar'!$V$1342)&gt;0)*(N('Dvd Calendar'!$V$1342)&lt;=VAL_SERIAL)*1000000+21*1000+58))</f>
        <v/>
      </c>
      <c r="GK136" s="35">
        <f>IF(N('Dvd Calendar'!$W$1343)=0,"",IF(('Dvd Calendar'!$W$1343&gt;=GRID_FROM)*('Dvd Calendar'!$W$1343&lt;=GRID_TO)*('Dvd Calendar'!$W$1343&gt;VAL_DATE)=0,"",'Dvd Calendar'!$W$1343*1000000000+ISNUMBER('Dvd Calendar'!$W$1344)*100000000+0*10000000+(N('Dvd Calendar'!$W$1342)&gt;0)*(N('Dvd Calendar'!$W$1342)&lt;=VAL_SERIAL)*1000000+21*1000+59))</f>
        <v/>
      </c>
      <c r="GL136" s="35">
        <f>IF(N('Dvd Calendar'!$X$1343)=0,"",IF(('Dvd Calendar'!$X$1343&gt;=GRID_FROM)*('Dvd Calendar'!$X$1343&lt;=GRID_TO)*('Dvd Calendar'!$X$1343&gt;VAL_DATE)=0,"",'Dvd Calendar'!$X$1343*1000000000+ISNUMBER('Dvd Calendar'!$X$1344)*100000000+0*10000000+(N('Dvd Calendar'!$X$1342)&gt;0)*(N('Dvd Calendar'!$X$1342)&lt;=VAL_SERIAL)*1000000+21*1000+60))</f>
        <v/>
      </c>
      <c r="GM136" s="35">
        <f>IF(N('Dvd Calendar'!$Y$1343)=0,"",IF(('Dvd Calendar'!$Y$1343&gt;=GRID_FROM)*('Dvd Calendar'!$Y$1343&lt;=GRID_TO)*('Dvd Calendar'!$Y$1343&gt;VAL_DATE)=0,"",'Dvd Calendar'!$Y$1343*1000000000+ISNUMBER('Dvd Calendar'!$Y$1344)*100000000+0*10000000+(N('Dvd Calendar'!$Y$1342)&gt;0)*(N('Dvd Calendar'!$Y$1342)&lt;=VAL_SERIAL)*1000000+21*1000+61))</f>
        <v/>
      </c>
      <c r="GN136" s="35">
        <f>IF(N('Dvd Calendar'!$Z$1343)=0,"",IF(('Dvd Calendar'!$Z$1343&gt;=GRID_FROM)*('Dvd Calendar'!$Z$1343&lt;=GRID_TO)*('Dvd Calendar'!$Z$1343&gt;VAL_DATE)=0,"",'Dvd Calendar'!$Z$1343*1000000000+ISNUMBER('Dvd Calendar'!$Z$1344)*100000000+0*10000000+(N('Dvd Calendar'!$Z$1342)&gt;0)*(N('Dvd Calendar'!$Z$1342)&lt;=VAL_SERIAL)*1000000+21*1000+62))</f>
        <v/>
      </c>
      <c r="GO136" s="35">
        <f>IF(N('Dvd Calendar'!$AA$1343)=0,"",IF(('Dvd Calendar'!$AA$1343&gt;=GRID_FROM)*('Dvd Calendar'!$AA$1343&lt;=GRID_TO)*('Dvd Calendar'!$AA$1343&gt;VAL_DATE)=0,"",'Dvd Calendar'!$AA$1343*1000000000+ISNUMBER('Dvd Calendar'!$AA$1344)*100000000+0*10000000+(N('Dvd Calendar'!$AA$1342)&gt;0)*(N('Dvd Calendar'!$AA$1342)&lt;=VAL_SERIAL)*1000000+21*1000+63))</f>
        <v/>
      </c>
      <c r="GP136" s="35">
        <f>IF(N('Dvd Calendar'!$AB$1343)=0,"",IF(('Dvd Calendar'!$AB$1343&gt;=GRID_FROM)*('Dvd Calendar'!$AB$1343&lt;=GRID_TO)*('Dvd Calendar'!$AB$1343&gt;VAL_DATE)=0,"",'Dvd Calendar'!$AB$1343*1000000000+ISNUMBER('Dvd Calendar'!$AB$1344)*100000000+0*10000000+(N('Dvd Calendar'!$AB$1342)&gt;0)*(N('Dvd Calendar'!$AB$1342)&lt;=VAL_SERIAL)*1000000+21*1000+64))</f>
        <v/>
      </c>
      <c r="GQ136" s="35">
        <f>IF(N('Dvd Calendar'!$AC$1343)=0,"",IF(('Dvd Calendar'!$AC$1343&gt;=GRID_FROM)*('Dvd Calendar'!$AC$1343&lt;=GRID_TO)*('Dvd Calendar'!$AC$1343&gt;VAL_DATE)=0,"",'Dvd Calendar'!$AC$1343*1000000000+ISNUMBER('Dvd Calendar'!$AC$1344)*100000000+0*10000000+(N('Dvd Calendar'!$AC$1342)&gt;0)*(N('Dvd Calendar'!$AC$1342)&lt;=VAL_SERIAL)*1000000+21*1000+65))</f>
        <v/>
      </c>
    </row>
    <row r="137">
      <c r="B137" s="2">
        <f>IF(HSTECH!$C$28="","",HSTECH!$C$28)</f>
        <v/>
      </c>
      <c r="C137" s="106">
        <f>IF(EE137="","",IF(ISNUMBER('Dvd Calendar'!$E$1350)=FALSE,"",IF((('Dvd Calendar'!$E$1352=TYPE1)*(TYPE1&lt;&gt;"")+('Dvd Calendar'!$E$1352=TYPE2)*(TYPE2&lt;&gt;"")+('Dvd Calendar'!$E$1352=TYPE3)*(TYPE3&lt;&gt;"")+('Dvd Calendar'!$E$1352=TYPE4)*(TYPE4&lt;&gt;"")+('Dvd Calendar'!$E$1352=SPECIAL_LBL)*(INC_SPECIALS="Y"))=0,"",'Dvd Calendar'!$E$1350)))</f>
        <v/>
      </c>
      <c r="D137" s="106">
        <f>IF(EF137="","",IF(ISNUMBER('Dvd Calendar'!$F$1350)=FALSE,"",IF((('Dvd Calendar'!$F$1352=TYPE1)*(TYPE1&lt;&gt;"")+('Dvd Calendar'!$F$1352=TYPE2)*(TYPE2&lt;&gt;"")+('Dvd Calendar'!$F$1352=TYPE3)*(TYPE3&lt;&gt;"")+('Dvd Calendar'!$F$1352=TYPE4)*(TYPE4&lt;&gt;"")+('Dvd Calendar'!$F$1352=SPECIAL_LBL)*(INC_SPECIALS="Y"))=0,"",'Dvd Calendar'!$F$1350)))</f>
        <v/>
      </c>
      <c r="E137" s="106">
        <f>IF(EG137="","",IF(ISNUMBER('Dvd Calendar'!$G$1350)=FALSE,"",IF((('Dvd Calendar'!$G$1352=TYPE1)*(TYPE1&lt;&gt;"")+('Dvd Calendar'!$G$1352=TYPE2)*(TYPE2&lt;&gt;"")+('Dvd Calendar'!$G$1352=TYPE3)*(TYPE3&lt;&gt;"")+('Dvd Calendar'!$G$1352=TYPE4)*(TYPE4&lt;&gt;"")+('Dvd Calendar'!$G$1352=SPECIAL_LBL)*(INC_SPECIALS="Y"))=0,"",'Dvd Calendar'!$G$1350)))</f>
        <v/>
      </c>
      <c r="F137" s="106">
        <f>IF(EH137="","",IF(ISNUMBER('Dvd Calendar'!$H$1350)=FALSE,"",IF((('Dvd Calendar'!$H$1352=TYPE1)*(TYPE1&lt;&gt;"")+('Dvd Calendar'!$H$1352=TYPE2)*(TYPE2&lt;&gt;"")+('Dvd Calendar'!$H$1352=TYPE3)*(TYPE3&lt;&gt;"")+('Dvd Calendar'!$H$1352=TYPE4)*(TYPE4&lt;&gt;"")+('Dvd Calendar'!$H$1352=SPECIAL_LBL)*(INC_SPECIALS="Y"))=0,"",'Dvd Calendar'!$H$1350)))</f>
        <v/>
      </c>
      <c r="G137" s="106">
        <f>IF(EI137="","",IF(ISNUMBER('Dvd Calendar'!$I$1350)=FALSE,"",IF((('Dvd Calendar'!$I$1352=TYPE1)*(TYPE1&lt;&gt;"")+('Dvd Calendar'!$I$1352=TYPE2)*(TYPE2&lt;&gt;"")+('Dvd Calendar'!$I$1352=TYPE3)*(TYPE3&lt;&gt;"")+('Dvd Calendar'!$I$1352=TYPE4)*(TYPE4&lt;&gt;"")+('Dvd Calendar'!$I$1352=SPECIAL_LBL)*(INC_SPECIALS="Y"))=0,"",'Dvd Calendar'!$I$1350)))</f>
        <v/>
      </c>
      <c r="H137" s="106">
        <f>IF(EJ137="","",IF(ISNUMBER('Dvd Calendar'!$J$1350)=FALSE,"",IF((('Dvd Calendar'!$J$1352=TYPE1)*(TYPE1&lt;&gt;"")+('Dvd Calendar'!$J$1352=TYPE2)*(TYPE2&lt;&gt;"")+('Dvd Calendar'!$J$1352=TYPE3)*(TYPE3&lt;&gt;"")+('Dvd Calendar'!$J$1352=TYPE4)*(TYPE4&lt;&gt;"")+('Dvd Calendar'!$J$1352=SPECIAL_LBL)*(INC_SPECIALS="Y"))=0,"",'Dvd Calendar'!$J$1350)))</f>
        <v/>
      </c>
      <c r="I137" s="106">
        <f>IF(EK137="","",IF(ISNUMBER('Dvd Calendar'!$K$1350)=FALSE,"",IF((('Dvd Calendar'!$K$1352=TYPE1)*(TYPE1&lt;&gt;"")+('Dvd Calendar'!$K$1352=TYPE2)*(TYPE2&lt;&gt;"")+('Dvd Calendar'!$K$1352=TYPE3)*(TYPE3&lt;&gt;"")+('Dvd Calendar'!$K$1352=TYPE4)*(TYPE4&lt;&gt;"")+('Dvd Calendar'!$K$1352=SPECIAL_LBL)*(INC_SPECIALS="Y"))=0,"",'Dvd Calendar'!$K$1350)))</f>
        <v/>
      </c>
      <c r="J137" s="106">
        <f>IF(EL137="","",IF(ISNUMBER('Dvd Calendar'!$L$1350)=FALSE,"",IF((('Dvd Calendar'!$L$1352=TYPE1)*(TYPE1&lt;&gt;"")+('Dvd Calendar'!$L$1352=TYPE2)*(TYPE2&lt;&gt;"")+('Dvd Calendar'!$L$1352=TYPE3)*(TYPE3&lt;&gt;"")+('Dvd Calendar'!$L$1352=TYPE4)*(TYPE4&lt;&gt;"")+('Dvd Calendar'!$L$1352=SPECIAL_LBL)*(INC_SPECIALS="Y"))=0,"",'Dvd Calendar'!$L$1350)))</f>
        <v/>
      </c>
      <c r="K137" s="106">
        <f>IF(EM137="","",IF(ISNUMBER('Dvd Calendar'!$M$1350)=FALSE,"",IF((('Dvd Calendar'!$M$1352=TYPE1)*(TYPE1&lt;&gt;"")+('Dvd Calendar'!$M$1352=TYPE2)*(TYPE2&lt;&gt;"")+('Dvd Calendar'!$M$1352=TYPE3)*(TYPE3&lt;&gt;"")+('Dvd Calendar'!$M$1352=TYPE4)*(TYPE4&lt;&gt;"")+('Dvd Calendar'!$M$1352=SPECIAL_LBL)*(INC_SPECIALS="Y"))=0,"",'Dvd Calendar'!$M$1350)))</f>
        <v/>
      </c>
      <c r="L137" s="106">
        <f>IF(EN137="","",IF(ISNUMBER('Dvd Calendar'!$N$1350)=FALSE,"",IF((('Dvd Calendar'!$N$1352=TYPE1)*(TYPE1&lt;&gt;"")+('Dvd Calendar'!$N$1352=TYPE2)*(TYPE2&lt;&gt;"")+('Dvd Calendar'!$N$1352=TYPE3)*(TYPE3&lt;&gt;"")+('Dvd Calendar'!$N$1352=TYPE4)*(TYPE4&lt;&gt;"")+('Dvd Calendar'!$N$1352=SPECIAL_LBL)*(INC_SPECIALS="Y"))=0,"",'Dvd Calendar'!$N$1350)))</f>
        <v/>
      </c>
      <c r="M137" s="106">
        <f>IF(EO137="","",IF(ISNUMBER('Dvd Calendar'!$O$1350)=FALSE,"",IF((('Dvd Calendar'!$O$1352=TYPE1)*(TYPE1&lt;&gt;"")+('Dvd Calendar'!$O$1352=TYPE2)*(TYPE2&lt;&gt;"")+('Dvd Calendar'!$O$1352=TYPE3)*(TYPE3&lt;&gt;"")+('Dvd Calendar'!$O$1352=TYPE4)*(TYPE4&lt;&gt;"")+('Dvd Calendar'!$O$1352=SPECIAL_LBL)*(INC_SPECIALS="Y"))=0,"",'Dvd Calendar'!$O$1350)))</f>
        <v/>
      </c>
      <c r="N137" s="106">
        <f>IF(EP137="","",IF(ISNUMBER('Dvd Calendar'!$P$1350)=FALSE,"",IF((('Dvd Calendar'!$P$1352=TYPE1)*(TYPE1&lt;&gt;"")+('Dvd Calendar'!$P$1352=TYPE2)*(TYPE2&lt;&gt;"")+('Dvd Calendar'!$P$1352=TYPE3)*(TYPE3&lt;&gt;"")+('Dvd Calendar'!$P$1352=TYPE4)*(TYPE4&lt;&gt;"")+('Dvd Calendar'!$P$1352=SPECIAL_LBL)*(INC_SPECIALS="Y"))=0,"",'Dvd Calendar'!$P$1350)))</f>
        <v/>
      </c>
      <c r="O137" s="106">
        <f>IF(EQ137="","",IF(ISNUMBER('Dvd Calendar'!$Q$1350)=FALSE,"",IF((('Dvd Calendar'!$Q$1352=TYPE1)*(TYPE1&lt;&gt;"")+('Dvd Calendar'!$Q$1352=TYPE2)*(TYPE2&lt;&gt;"")+('Dvd Calendar'!$Q$1352=TYPE3)*(TYPE3&lt;&gt;"")+('Dvd Calendar'!$Q$1352=TYPE4)*(TYPE4&lt;&gt;"")+('Dvd Calendar'!$Q$1352=SPECIAL_LBL)*(INC_SPECIALS="Y"))=0,"",'Dvd Calendar'!$Q$1350)))</f>
        <v/>
      </c>
      <c r="P137" s="106">
        <f>IF(ER137="","",IF(ISNUMBER('Dvd Calendar'!$R$1350)=FALSE,"",IF((('Dvd Calendar'!$R$1352=TYPE1)*(TYPE1&lt;&gt;"")+('Dvd Calendar'!$R$1352=TYPE2)*(TYPE2&lt;&gt;"")+('Dvd Calendar'!$R$1352=TYPE3)*(TYPE3&lt;&gt;"")+('Dvd Calendar'!$R$1352=TYPE4)*(TYPE4&lt;&gt;"")+('Dvd Calendar'!$R$1352=SPECIAL_LBL)*(INC_SPECIALS="Y"))=0,"",'Dvd Calendar'!$R$1350)))</f>
        <v/>
      </c>
      <c r="Q137" s="106">
        <f>IF(ES137="","",IF(ISNUMBER('Dvd Calendar'!$S$1350)=FALSE,"",IF((('Dvd Calendar'!$S$1352=TYPE1)*(TYPE1&lt;&gt;"")+('Dvd Calendar'!$S$1352=TYPE2)*(TYPE2&lt;&gt;"")+('Dvd Calendar'!$S$1352=TYPE3)*(TYPE3&lt;&gt;"")+('Dvd Calendar'!$S$1352=TYPE4)*(TYPE4&lt;&gt;"")+('Dvd Calendar'!$S$1352=SPECIAL_LBL)*(INC_SPECIALS="Y"))=0,"",'Dvd Calendar'!$S$1350)))</f>
        <v/>
      </c>
      <c r="R137" s="106">
        <f>IF(ET137="","",IF(ISNUMBER('Dvd Calendar'!$T$1350)=FALSE,"",IF((('Dvd Calendar'!$T$1352=TYPE1)*(TYPE1&lt;&gt;"")+('Dvd Calendar'!$T$1352=TYPE2)*(TYPE2&lt;&gt;"")+('Dvd Calendar'!$T$1352=TYPE3)*(TYPE3&lt;&gt;"")+('Dvd Calendar'!$T$1352=TYPE4)*(TYPE4&lt;&gt;"")+('Dvd Calendar'!$T$1352=SPECIAL_LBL)*(INC_SPECIALS="Y"))=0,"",'Dvd Calendar'!$T$1350)))</f>
        <v/>
      </c>
      <c r="S137" s="106">
        <f>IF(EU137="","",IF(ISNUMBER('Dvd Calendar'!$U$1350)=FALSE,"",IF((('Dvd Calendar'!$U$1352=TYPE1)*(TYPE1&lt;&gt;"")+('Dvd Calendar'!$U$1352=TYPE2)*(TYPE2&lt;&gt;"")+('Dvd Calendar'!$U$1352=TYPE3)*(TYPE3&lt;&gt;"")+('Dvd Calendar'!$U$1352=TYPE4)*(TYPE4&lt;&gt;"")+('Dvd Calendar'!$U$1352=SPECIAL_LBL)*(INC_SPECIALS="Y"))=0,"",'Dvd Calendar'!$U$1350)))</f>
        <v/>
      </c>
      <c r="T137" s="106">
        <f>IF(EV137="","",IF(ISNUMBER('Dvd Calendar'!$V$1350)=FALSE,"",IF((('Dvd Calendar'!$V$1352=TYPE1)*(TYPE1&lt;&gt;"")+('Dvd Calendar'!$V$1352=TYPE2)*(TYPE2&lt;&gt;"")+('Dvd Calendar'!$V$1352=TYPE3)*(TYPE3&lt;&gt;"")+('Dvd Calendar'!$V$1352=TYPE4)*(TYPE4&lt;&gt;"")+('Dvd Calendar'!$V$1352=SPECIAL_LBL)*(INC_SPECIALS="Y"))=0,"",'Dvd Calendar'!$V$1350)))</f>
        <v/>
      </c>
      <c r="U137" s="106">
        <f>IF(EW137="","",IF(ISNUMBER('Dvd Calendar'!$W$1350)=FALSE,"",IF((('Dvd Calendar'!$W$1352=TYPE1)*(TYPE1&lt;&gt;"")+('Dvd Calendar'!$W$1352=TYPE2)*(TYPE2&lt;&gt;"")+('Dvd Calendar'!$W$1352=TYPE3)*(TYPE3&lt;&gt;"")+('Dvd Calendar'!$W$1352=TYPE4)*(TYPE4&lt;&gt;"")+('Dvd Calendar'!$W$1352=SPECIAL_LBL)*(INC_SPECIALS="Y"))=0,"",'Dvd Calendar'!$W$1350)))</f>
        <v/>
      </c>
      <c r="V137" s="106">
        <f>IF(EX137="","",IF(ISNUMBER('Dvd Calendar'!$X$1350)=FALSE,"",IF((('Dvd Calendar'!$X$1352=TYPE1)*(TYPE1&lt;&gt;"")+('Dvd Calendar'!$X$1352=TYPE2)*(TYPE2&lt;&gt;"")+('Dvd Calendar'!$X$1352=TYPE3)*(TYPE3&lt;&gt;"")+('Dvd Calendar'!$X$1352=TYPE4)*(TYPE4&lt;&gt;"")+('Dvd Calendar'!$X$1352=SPECIAL_LBL)*(INC_SPECIALS="Y"))=0,"",'Dvd Calendar'!$X$1350)))</f>
        <v/>
      </c>
      <c r="W137" s="106">
        <f>IF(EY137="","",IF(ISNUMBER('Dvd Calendar'!$Y$1350)=FALSE,"",IF((('Dvd Calendar'!$Y$1352=TYPE1)*(TYPE1&lt;&gt;"")+('Dvd Calendar'!$Y$1352=TYPE2)*(TYPE2&lt;&gt;"")+('Dvd Calendar'!$Y$1352=TYPE3)*(TYPE3&lt;&gt;"")+('Dvd Calendar'!$Y$1352=TYPE4)*(TYPE4&lt;&gt;"")+('Dvd Calendar'!$Y$1352=SPECIAL_LBL)*(INC_SPECIALS="Y"))=0,"",'Dvd Calendar'!$Y$1350)))</f>
        <v/>
      </c>
      <c r="X137" s="106">
        <f>IF(EZ137="","",IF(ISNUMBER('Dvd Calendar'!$Z$1350)=FALSE,"",IF((('Dvd Calendar'!$Z$1352=TYPE1)*(TYPE1&lt;&gt;"")+('Dvd Calendar'!$Z$1352=TYPE2)*(TYPE2&lt;&gt;"")+('Dvd Calendar'!$Z$1352=TYPE3)*(TYPE3&lt;&gt;"")+('Dvd Calendar'!$Z$1352=TYPE4)*(TYPE4&lt;&gt;"")+('Dvd Calendar'!$Z$1352=SPECIAL_LBL)*(INC_SPECIALS="Y"))=0,"",'Dvd Calendar'!$Z$1350)))</f>
        <v/>
      </c>
      <c r="Y137" s="106">
        <f>IF(FA137="","",IF(ISNUMBER('Dvd Calendar'!$AA$1350)=FALSE,"",IF((('Dvd Calendar'!$AA$1352=TYPE1)*(TYPE1&lt;&gt;"")+('Dvd Calendar'!$AA$1352=TYPE2)*(TYPE2&lt;&gt;"")+('Dvd Calendar'!$AA$1352=TYPE3)*(TYPE3&lt;&gt;"")+('Dvd Calendar'!$AA$1352=TYPE4)*(TYPE4&lt;&gt;"")+('Dvd Calendar'!$AA$1352=SPECIAL_LBL)*(INC_SPECIALS="Y"))=0,"",'Dvd Calendar'!$AA$1350)))</f>
        <v/>
      </c>
      <c r="Z137" s="106">
        <f>IF(FB137="","",IF(ISNUMBER('Dvd Calendar'!$AB$1350)=FALSE,"",IF((('Dvd Calendar'!$AB$1352=TYPE1)*(TYPE1&lt;&gt;"")+('Dvd Calendar'!$AB$1352=TYPE2)*(TYPE2&lt;&gt;"")+('Dvd Calendar'!$AB$1352=TYPE3)*(TYPE3&lt;&gt;"")+('Dvd Calendar'!$AB$1352=TYPE4)*(TYPE4&lt;&gt;"")+('Dvd Calendar'!$AB$1352=SPECIAL_LBL)*(INC_SPECIALS="Y"))=0,"",'Dvd Calendar'!$AB$1350)))</f>
        <v/>
      </c>
      <c r="AA137" s="106">
        <f>IF(FC137="","",IF(ISNUMBER('Dvd Calendar'!$AC$1350)=FALSE,"",IF((('Dvd Calendar'!$AC$1352=TYPE1)*(TYPE1&lt;&gt;"")+('Dvd Calendar'!$AC$1352=TYPE2)*(TYPE2&lt;&gt;"")+('Dvd Calendar'!$AC$1352=TYPE3)*(TYPE3&lt;&gt;"")+('Dvd Calendar'!$AC$1352=TYPE4)*(TYPE4&lt;&gt;"")+('Dvd Calendar'!$AC$1352=SPECIAL_LBL)*(INC_SPECIALS="Y"))=0,"",'Dvd Calendar'!$AC$1350)))</f>
        <v/>
      </c>
      <c r="AB137" s="106">
        <f>IF(FD137="","",IF(ISNUMBER('Dvd Calendar'!$AD$1350)=FALSE,"",IF((('Dvd Calendar'!$AD$1352=TYPE1)*(TYPE1&lt;&gt;"")+('Dvd Calendar'!$AD$1352=TYPE2)*(TYPE2&lt;&gt;"")+('Dvd Calendar'!$AD$1352=TYPE3)*(TYPE3&lt;&gt;"")+('Dvd Calendar'!$AD$1352=TYPE4)*(TYPE4&lt;&gt;"")+('Dvd Calendar'!$AD$1352=SPECIAL_LBL)*(INC_SPECIALS="Y"))=0,"",'Dvd Calendar'!$AD$1350)))</f>
        <v/>
      </c>
      <c r="AC137" s="106">
        <f>IF(FE137="","",IF(ISNUMBER('Dvd Calendar'!$AE$1350)=FALSE,"",IF((('Dvd Calendar'!$AE$1352=TYPE1)*(TYPE1&lt;&gt;"")+('Dvd Calendar'!$AE$1352=TYPE2)*(TYPE2&lt;&gt;"")+('Dvd Calendar'!$AE$1352=TYPE3)*(TYPE3&lt;&gt;"")+('Dvd Calendar'!$AE$1352=TYPE4)*(TYPE4&lt;&gt;"")+('Dvd Calendar'!$AE$1352=SPECIAL_LBL)*(INC_SPECIALS="Y"))=0,"",'Dvd Calendar'!$AE$1350)))</f>
        <v/>
      </c>
      <c r="AD137" s="106">
        <f>IF(FF137="","",IF(ISNUMBER('Dvd Calendar'!$AF$1350)=FALSE,"",IF((('Dvd Calendar'!$AF$1352=TYPE1)*(TYPE1&lt;&gt;"")+('Dvd Calendar'!$AF$1352=TYPE2)*(TYPE2&lt;&gt;"")+('Dvd Calendar'!$AF$1352=TYPE3)*(TYPE3&lt;&gt;"")+('Dvd Calendar'!$AF$1352=TYPE4)*(TYPE4&lt;&gt;"")+('Dvd Calendar'!$AF$1352=SPECIAL_LBL)*(INC_SPECIALS="Y"))=0,"",'Dvd Calendar'!$AF$1350)))</f>
        <v/>
      </c>
      <c r="AE137" s="106">
        <f>IF(FG137="","",IF(ISNUMBER('Dvd Calendar'!$AG$1350)=FALSE,"",IF((('Dvd Calendar'!$AG$1352=TYPE1)*(TYPE1&lt;&gt;"")+('Dvd Calendar'!$AG$1352=TYPE2)*(TYPE2&lt;&gt;"")+('Dvd Calendar'!$AG$1352=TYPE3)*(TYPE3&lt;&gt;"")+('Dvd Calendar'!$AG$1352=TYPE4)*(TYPE4&lt;&gt;"")+('Dvd Calendar'!$AG$1352=SPECIAL_LBL)*(INC_SPECIALS="Y"))=0,"",'Dvd Calendar'!$AG$1350)))</f>
        <v/>
      </c>
      <c r="AF137" s="106">
        <f>IF(FH137="","",IF(ISNUMBER('Dvd Calendar'!$AH$1350)=FALSE,"",IF((('Dvd Calendar'!$AH$1352=TYPE1)*(TYPE1&lt;&gt;"")+('Dvd Calendar'!$AH$1352=TYPE2)*(TYPE2&lt;&gt;"")+('Dvd Calendar'!$AH$1352=TYPE3)*(TYPE3&lt;&gt;"")+('Dvd Calendar'!$AH$1352=TYPE4)*(TYPE4&lt;&gt;"")+('Dvd Calendar'!$AH$1352=SPECIAL_LBL)*(INC_SPECIALS="Y"))=0,"",'Dvd Calendar'!$AH$1350)))</f>
        <v/>
      </c>
      <c r="AG137" s="106">
        <f>IF(FI137="","",IF(ISNUMBER('Dvd Calendar'!$AI$1350)=FALSE,"",IF((('Dvd Calendar'!$AI$1352=TYPE1)*(TYPE1&lt;&gt;"")+('Dvd Calendar'!$AI$1352=TYPE2)*(TYPE2&lt;&gt;"")+('Dvd Calendar'!$AI$1352=TYPE3)*(TYPE3&lt;&gt;"")+('Dvd Calendar'!$AI$1352=TYPE4)*(TYPE4&lt;&gt;"")+('Dvd Calendar'!$AI$1352=SPECIAL_LBL)*(INC_SPECIALS="Y"))=0,"",'Dvd Calendar'!$AI$1350)))</f>
        <v/>
      </c>
      <c r="AH137" s="106">
        <f>IF(FJ137="","",IF(ISNUMBER('Dvd Calendar'!$AJ$1350)=FALSE,"",IF((('Dvd Calendar'!$AJ$1352=TYPE1)*(TYPE1&lt;&gt;"")+('Dvd Calendar'!$AJ$1352=TYPE2)*(TYPE2&lt;&gt;"")+('Dvd Calendar'!$AJ$1352=TYPE3)*(TYPE3&lt;&gt;"")+('Dvd Calendar'!$AJ$1352=TYPE4)*(TYPE4&lt;&gt;"")+('Dvd Calendar'!$AJ$1352=SPECIAL_LBL)*(INC_SPECIALS="Y"))=0,"",'Dvd Calendar'!$AJ$1350)))</f>
        <v/>
      </c>
      <c r="AI137" s="106">
        <f>IF(FK137="","",IF(ISNUMBER('Dvd Calendar'!$AK$1350)=FALSE,"",IF((('Dvd Calendar'!$AK$1352=TYPE1)*(TYPE1&lt;&gt;"")+('Dvd Calendar'!$AK$1352=TYPE2)*(TYPE2&lt;&gt;"")+('Dvd Calendar'!$AK$1352=TYPE3)*(TYPE3&lt;&gt;"")+('Dvd Calendar'!$AK$1352=TYPE4)*(TYPE4&lt;&gt;"")+('Dvd Calendar'!$AK$1352=SPECIAL_LBL)*(INC_SPECIALS="Y"))=0,"",'Dvd Calendar'!$AK$1350)))</f>
        <v/>
      </c>
      <c r="AJ137" s="106">
        <f>IF(FL137="","",IF(ISNUMBER('Dvd Calendar'!$AL$1350)=FALSE,"",IF((('Dvd Calendar'!$AL$1352=TYPE1)*(TYPE1&lt;&gt;"")+('Dvd Calendar'!$AL$1352=TYPE2)*(TYPE2&lt;&gt;"")+('Dvd Calendar'!$AL$1352=TYPE3)*(TYPE3&lt;&gt;"")+('Dvd Calendar'!$AL$1352=TYPE4)*(TYPE4&lt;&gt;"")+('Dvd Calendar'!$AL$1352=SPECIAL_LBL)*(INC_SPECIALS="Y"))=0,"",'Dvd Calendar'!$AL$1350)))</f>
        <v/>
      </c>
      <c r="AK137" s="106">
        <f>IF(FM137="","",IF(ISNUMBER('Dvd Calendar'!$AM$1350)=FALSE,"",IF((('Dvd Calendar'!$AM$1352=TYPE1)*(TYPE1&lt;&gt;"")+('Dvd Calendar'!$AM$1352=TYPE2)*(TYPE2&lt;&gt;"")+('Dvd Calendar'!$AM$1352=TYPE3)*(TYPE3&lt;&gt;"")+('Dvd Calendar'!$AM$1352=TYPE4)*(TYPE4&lt;&gt;"")+('Dvd Calendar'!$AM$1352=SPECIAL_LBL)*(INC_SPECIALS="Y"))=0,"",'Dvd Calendar'!$AM$1350)))</f>
        <v/>
      </c>
      <c r="AL137" s="106">
        <f>IF(FN137="","",IF(ISNUMBER('Dvd Calendar'!$AN$1350)=FALSE,"",IF((('Dvd Calendar'!$AN$1352=TYPE1)*(TYPE1&lt;&gt;"")+('Dvd Calendar'!$AN$1352=TYPE2)*(TYPE2&lt;&gt;"")+('Dvd Calendar'!$AN$1352=TYPE3)*(TYPE3&lt;&gt;"")+('Dvd Calendar'!$AN$1352=TYPE4)*(TYPE4&lt;&gt;"")+('Dvd Calendar'!$AN$1352=SPECIAL_LBL)*(INC_SPECIALS="Y"))=0,"",'Dvd Calendar'!$AN$1350)))</f>
        <v/>
      </c>
      <c r="AM137" s="106">
        <f>IF(FO137="","",IF(ISNUMBER('Dvd Calendar'!$AO$1350)=FALSE,"",IF((('Dvd Calendar'!$AO$1352=TYPE1)*(TYPE1&lt;&gt;"")+('Dvd Calendar'!$AO$1352=TYPE2)*(TYPE2&lt;&gt;"")+('Dvd Calendar'!$AO$1352=TYPE3)*(TYPE3&lt;&gt;"")+('Dvd Calendar'!$AO$1352=TYPE4)*(TYPE4&lt;&gt;"")+('Dvd Calendar'!$AO$1352=SPECIAL_LBL)*(INC_SPECIALS="Y"))=0,"",'Dvd Calendar'!$AO$1350)))</f>
        <v/>
      </c>
      <c r="AN137" s="106">
        <f>IF(FP137="","",IF(ISNUMBER('Dvd Calendar'!$AP$1350)=FALSE,"",IF((('Dvd Calendar'!$AP$1352=TYPE1)*(TYPE1&lt;&gt;"")+('Dvd Calendar'!$AP$1352=TYPE2)*(TYPE2&lt;&gt;"")+('Dvd Calendar'!$AP$1352=TYPE3)*(TYPE3&lt;&gt;"")+('Dvd Calendar'!$AP$1352=TYPE4)*(TYPE4&lt;&gt;"")+('Dvd Calendar'!$AP$1352=SPECIAL_LBL)*(INC_SPECIALS="Y"))=0,"",'Dvd Calendar'!$AP$1350)))</f>
        <v/>
      </c>
      <c r="AO137" s="106">
        <f>IF(FQ137="","",IF(ISNUMBER('Dvd Calendar'!$AQ$1350)=FALSE,"",IF((('Dvd Calendar'!$AQ$1352=TYPE1)*(TYPE1&lt;&gt;"")+('Dvd Calendar'!$AQ$1352=TYPE2)*(TYPE2&lt;&gt;"")+('Dvd Calendar'!$AQ$1352=TYPE3)*(TYPE3&lt;&gt;"")+('Dvd Calendar'!$AQ$1352=TYPE4)*(TYPE4&lt;&gt;"")+('Dvd Calendar'!$AQ$1352=SPECIAL_LBL)*(INC_SPECIALS="Y"))=0,"",'Dvd Calendar'!$AQ$1350)))</f>
        <v/>
      </c>
      <c r="AP137" s="106">
        <f>IF(FR137="","",IF(ISNUMBER('Dvd Calendar'!$AR$1350)=FALSE,"",IF((('Dvd Calendar'!$AR$1352=TYPE1)*(TYPE1&lt;&gt;"")+('Dvd Calendar'!$AR$1352=TYPE2)*(TYPE2&lt;&gt;"")+('Dvd Calendar'!$AR$1352=TYPE3)*(TYPE3&lt;&gt;"")+('Dvd Calendar'!$AR$1352=TYPE4)*(TYPE4&lt;&gt;"")+('Dvd Calendar'!$AR$1352=SPECIAL_LBL)*(INC_SPECIALS="Y"))=0,"",'Dvd Calendar'!$AR$1350)))</f>
        <v/>
      </c>
      <c r="AQ137" s="106">
        <f>IF(FS137="","",IF(ISNUMBER('Dvd Calendar'!$E$1355)=FALSE,"",'Dvd Calendar'!$E$1355))</f>
        <v/>
      </c>
      <c r="AR137" s="106">
        <f>IF(FT137="","",IF(ISNUMBER('Dvd Calendar'!$F$1355)=FALSE,"",'Dvd Calendar'!$F$1355))</f>
        <v/>
      </c>
      <c r="AS137" s="106">
        <f>IF(FU137="","",IF(ISNUMBER('Dvd Calendar'!$G$1355)=FALSE,"",'Dvd Calendar'!$G$1355))</f>
        <v/>
      </c>
      <c r="AT137" s="106">
        <f>IF(FV137="","",IF(ISNUMBER('Dvd Calendar'!$H$1355)=FALSE,"",'Dvd Calendar'!$H$1355))</f>
        <v/>
      </c>
      <c r="AU137" s="106">
        <f>IF(FW137="","",IF(ISNUMBER('Dvd Calendar'!$I$1355)=FALSE,"",'Dvd Calendar'!$I$1355))</f>
        <v/>
      </c>
      <c r="AV137" s="106">
        <f>IF(FX137="","",IF(ISNUMBER('Dvd Calendar'!$J$1355)=FALSE,"",'Dvd Calendar'!$J$1355))</f>
        <v/>
      </c>
      <c r="AW137" s="106">
        <f>IF(FY137="","",IF(ISNUMBER('Dvd Calendar'!$K$1355)=FALSE,"",'Dvd Calendar'!$K$1355))</f>
        <v/>
      </c>
      <c r="AX137" s="106">
        <f>IF(FZ137="","",IF(ISNUMBER('Dvd Calendar'!$L$1355)=FALSE,"",'Dvd Calendar'!$L$1355))</f>
        <v/>
      </c>
      <c r="AY137" s="106">
        <f>IF(GA137="","",IF(ISNUMBER('Dvd Calendar'!$M$1355)=FALSE,"",'Dvd Calendar'!$M$1355))</f>
        <v/>
      </c>
      <c r="AZ137" s="106">
        <f>IF(GB137="","",IF(ISNUMBER('Dvd Calendar'!$N$1355)=FALSE,"",'Dvd Calendar'!$N$1355))</f>
        <v/>
      </c>
      <c r="BA137" s="106">
        <f>IF(GC137="","",IF(ISNUMBER('Dvd Calendar'!$O$1355)=FALSE,"",'Dvd Calendar'!$O$1355))</f>
        <v/>
      </c>
      <c r="BB137" s="106">
        <f>IF(GD137="","",IF(ISNUMBER('Dvd Calendar'!$P$1355)=FALSE,"",'Dvd Calendar'!$P$1355))</f>
        <v/>
      </c>
      <c r="BC137" s="106">
        <f>IF(GE137="","",IF(ISNUMBER('Dvd Calendar'!$Q$1355)=FALSE,"",'Dvd Calendar'!$Q$1355))</f>
        <v/>
      </c>
      <c r="BD137" s="106">
        <f>IF(GF137="","",IF(ISNUMBER('Dvd Calendar'!$R$1355)=FALSE,"",'Dvd Calendar'!$R$1355))</f>
        <v/>
      </c>
      <c r="BE137" s="106">
        <f>IF(GG137="","",IF(ISNUMBER('Dvd Calendar'!$S$1355)=FALSE,"",'Dvd Calendar'!$S$1355))</f>
        <v/>
      </c>
      <c r="BF137" s="106">
        <f>IF(GH137="","",IF(ISNUMBER('Dvd Calendar'!$T$1355)=FALSE,"",'Dvd Calendar'!$T$1355))</f>
        <v/>
      </c>
      <c r="BG137" s="106">
        <f>IF(GI137="","",IF(ISNUMBER('Dvd Calendar'!$U$1355)=FALSE,"",'Dvd Calendar'!$U$1355))</f>
        <v/>
      </c>
      <c r="BH137" s="106">
        <f>IF(GJ137="","",IF(ISNUMBER('Dvd Calendar'!$V$1355)=FALSE,"",'Dvd Calendar'!$V$1355))</f>
        <v/>
      </c>
      <c r="BI137" s="106">
        <f>IF(GK137="","",IF(ISNUMBER('Dvd Calendar'!$W$1355)=FALSE,"",'Dvd Calendar'!$W$1355))</f>
        <v/>
      </c>
      <c r="BJ137" s="106">
        <f>IF(GL137="","",IF(ISNUMBER('Dvd Calendar'!$X$1355)=FALSE,"",'Dvd Calendar'!$X$1355))</f>
        <v/>
      </c>
      <c r="BK137" s="106">
        <f>IF(GM137="","",IF(ISNUMBER('Dvd Calendar'!$Y$1355)=FALSE,"",'Dvd Calendar'!$Y$1355))</f>
        <v/>
      </c>
      <c r="BL137" s="106">
        <f>IF(GN137="","",IF(ISNUMBER('Dvd Calendar'!$Z$1355)=FALSE,"",'Dvd Calendar'!$Z$1355))</f>
        <v/>
      </c>
      <c r="BM137" s="106">
        <f>IF(GO137="","",IF(ISNUMBER('Dvd Calendar'!$AA$1355)=FALSE,"",'Dvd Calendar'!$AA$1355))</f>
        <v/>
      </c>
      <c r="BN137" s="106">
        <f>IF(GP137="","",IF(ISNUMBER('Dvd Calendar'!$AB$1355)=FALSE,"",'Dvd Calendar'!$AB$1355))</f>
        <v/>
      </c>
      <c r="BO137" s="106">
        <f>IF(GQ137="","",IF(ISNUMBER('Dvd Calendar'!$AC$1355)=FALSE,"",'Dvd Calendar'!$AC$1355))</f>
        <v/>
      </c>
      <c r="BQ137" s="106">
        <f>IF(C137="","",IFERROR(C137*HSTECH!$B$28*HSTECH!$G$28/HSTECH!$B$3,""))</f>
        <v/>
      </c>
      <c r="BR137" s="106">
        <f>IF(D137="","",IFERROR(D137*HSTECH!$B$28*HSTECH!$G$28/HSTECH!$B$3,""))</f>
        <v/>
      </c>
      <c r="BS137" s="106">
        <f>IF(E137="","",IFERROR(E137*HSTECH!$B$28*HSTECH!$G$28/HSTECH!$B$3,""))</f>
        <v/>
      </c>
      <c r="BT137" s="106">
        <f>IF(F137="","",IFERROR(F137*HSTECH!$B$28*HSTECH!$G$28/HSTECH!$B$3,""))</f>
        <v/>
      </c>
      <c r="BU137" s="106">
        <f>IF(G137="","",IFERROR(G137*HSTECH!$B$28*HSTECH!$G$28/HSTECH!$B$3,""))</f>
        <v/>
      </c>
      <c r="BV137" s="106">
        <f>IF(H137="","",IFERROR(H137*HSTECH!$B$28*HSTECH!$G$28/HSTECH!$B$3,""))</f>
        <v/>
      </c>
      <c r="BW137" s="106">
        <f>IF(I137="","",IFERROR(I137*HSTECH!$B$28*HSTECH!$G$28/HSTECH!$B$3,""))</f>
        <v/>
      </c>
      <c r="BX137" s="106">
        <f>IF(J137="","",IFERROR(J137*HSTECH!$B$28*HSTECH!$G$28/HSTECH!$B$3,""))</f>
        <v/>
      </c>
      <c r="BY137" s="106">
        <f>IF(K137="","",IFERROR(K137*HSTECH!$B$28*HSTECH!$G$28/HSTECH!$B$3,""))</f>
        <v/>
      </c>
      <c r="BZ137" s="106">
        <f>IF(L137="","",IFERROR(L137*HSTECH!$B$28*HSTECH!$G$28/HSTECH!$B$3,""))</f>
        <v/>
      </c>
      <c r="CA137" s="106">
        <f>IF(M137="","",IFERROR(M137*HSTECH!$B$28*HSTECH!$G$28/HSTECH!$B$3,""))</f>
        <v/>
      </c>
      <c r="CB137" s="106">
        <f>IF(N137="","",IFERROR(N137*HSTECH!$B$28*HSTECH!$G$28/HSTECH!$B$3,""))</f>
        <v/>
      </c>
      <c r="CC137" s="106">
        <f>IF(O137="","",IFERROR(O137*HSTECH!$B$28*HSTECH!$G$28/HSTECH!$B$3,""))</f>
        <v/>
      </c>
      <c r="CD137" s="106">
        <f>IF(P137="","",IFERROR(P137*HSTECH!$B$28*HSTECH!$G$28/HSTECH!$B$3,""))</f>
        <v/>
      </c>
      <c r="CE137" s="106">
        <f>IF(Q137="","",IFERROR(Q137*HSTECH!$B$28*HSTECH!$G$28/HSTECH!$B$3,""))</f>
        <v/>
      </c>
      <c r="CF137" s="106">
        <f>IF(R137="","",IFERROR(R137*HSTECH!$B$28*HSTECH!$G$28/HSTECH!$B$3,""))</f>
        <v/>
      </c>
      <c r="CG137" s="106">
        <f>IF(S137="","",IFERROR(S137*HSTECH!$B$28*HSTECH!$G$28/HSTECH!$B$3,""))</f>
        <v/>
      </c>
      <c r="CH137" s="106">
        <f>IF(T137="","",IFERROR(T137*HSTECH!$B$28*HSTECH!$G$28/HSTECH!$B$3,""))</f>
        <v/>
      </c>
      <c r="CI137" s="106">
        <f>IF(U137="","",IFERROR(U137*HSTECH!$B$28*HSTECH!$G$28/HSTECH!$B$3,""))</f>
        <v/>
      </c>
      <c r="CJ137" s="106">
        <f>IF(V137="","",IFERROR(V137*HSTECH!$B$28*HSTECH!$G$28/HSTECH!$B$3,""))</f>
        <v/>
      </c>
      <c r="CK137" s="106">
        <f>IF(W137="","",IFERROR(W137*HSTECH!$B$28*HSTECH!$G$28/HSTECH!$B$3,""))</f>
        <v/>
      </c>
      <c r="CL137" s="106">
        <f>IF(X137="","",IFERROR(X137*HSTECH!$B$28*HSTECH!$G$28/HSTECH!$B$3,""))</f>
        <v/>
      </c>
      <c r="CM137" s="106">
        <f>IF(Y137="","",IFERROR(Y137*HSTECH!$B$28*HSTECH!$G$28/HSTECH!$B$3,""))</f>
        <v/>
      </c>
      <c r="CN137" s="106">
        <f>IF(Z137="","",IFERROR(Z137*HSTECH!$B$28*HSTECH!$G$28/HSTECH!$B$3,""))</f>
        <v/>
      </c>
      <c r="CO137" s="106">
        <f>IF(AA137="","",IFERROR(AA137*HSTECH!$B$28*HSTECH!$G$28/HSTECH!$B$3,""))</f>
        <v/>
      </c>
      <c r="CP137" s="106">
        <f>IF(AB137="","",IFERROR(AB137*HSTECH!$B$28*HSTECH!$G$28/HSTECH!$B$3,""))</f>
        <v/>
      </c>
      <c r="CQ137" s="106">
        <f>IF(AC137="","",IFERROR(AC137*HSTECH!$B$28*HSTECH!$G$28/HSTECH!$B$3,""))</f>
        <v/>
      </c>
      <c r="CR137" s="106">
        <f>IF(AD137="","",IFERROR(AD137*HSTECH!$B$28*HSTECH!$G$28/HSTECH!$B$3,""))</f>
        <v/>
      </c>
      <c r="CS137" s="106">
        <f>IF(AE137="","",IFERROR(AE137*HSTECH!$B$28*HSTECH!$G$28/HSTECH!$B$3,""))</f>
        <v/>
      </c>
      <c r="CT137" s="106">
        <f>IF(AF137="","",IFERROR(AF137*HSTECH!$B$28*HSTECH!$G$28/HSTECH!$B$3,""))</f>
        <v/>
      </c>
      <c r="CU137" s="106">
        <f>IF(AG137="","",IFERROR(AG137*HSTECH!$B$28*HSTECH!$G$28/HSTECH!$B$3,""))</f>
        <v/>
      </c>
      <c r="CV137" s="106">
        <f>IF(AH137="","",IFERROR(AH137*HSTECH!$B$28*HSTECH!$G$28/HSTECH!$B$3,""))</f>
        <v/>
      </c>
      <c r="CW137" s="106">
        <f>IF(AI137="","",IFERROR(AI137*HSTECH!$B$28*HSTECH!$G$28/HSTECH!$B$3,""))</f>
        <v/>
      </c>
      <c r="CX137" s="106">
        <f>IF(AJ137="","",IFERROR(AJ137*HSTECH!$B$28*HSTECH!$G$28/HSTECH!$B$3,""))</f>
        <v/>
      </c>
      <c r="CY137" s="106">
        <f>IF(AK137="","",IFERROR(AK137*HSTECH!$B$28*HSTECH!$G$28/HSTECH!$B$3,""))</f>
        <v/>
      </c>
      <c r="CZ137" s="106">
        <f>IF(AL137="","",IFERROR(AL137*HSTECH!$B$28*HSTECH!$G$28/HSTECH!$B$3,""))</f>
        <v/>
      </c>
      <c r="DA137" s="106">
        <f>IF(AM137="","",IFERROR(AM137*HSTECH!$B$28*HSTECH!$G$28/HSTECH!$B$3,""))</f>
        <v/>
      </c>
      <c r="DB137" s="106">
        <f>IF(AN137="","",IFERROR(AN137*HSTECH!$B$28*HSTECH!$G$28/HSTECH!$B$3,""))</f>
        <v/>
      </c>
      <c r="DC137" s="106">
        <f>IF(AO137="","",IFERROR(AO137*HSTECH!$B$28*HSTECH!$G$28/HSTECH!$B$3,""))</f>
        <v/>
      </c>
      <c r="DD137" s="106">
        <f>IF(AP137="","",IFERROR(AP137*HSTECH!$B$28*HSTECH!$G$28/HSTECH!$B$3,""))</f>
        <v/>
      </c>
      <c r="DE137" s="106">
        <f>IF(AQ137="","",IFERROR(AQ137*HSTECH!$B$28*HSTECH!$G$28/HSTECH!$B$3,""))</f>
        <v/>
      </c>
      <c r="DF137" s="106">
        <f>IF(AR137="","",IFERROR(AR137*HSTECH!$B$28*HSTECH!$G$28/HSTECH!$B$3,""))</f>
        <v/>
      </c>
      <c r="DG137" s="106">
        <f>IF(AS137="","",IFERROR(AS137*HSTECH!$B$28*HSTECH!$G$28/HSTECH!$B$3,""))</f>
        <v/>
      </c>
      <c r="DH137" s="106">
        <f>IF(AT137="","",IFERROR(AT137*HSTECH!$B$28*HSTECH!$G$28/HSTECH!$B$3,""))</f>
        <v/>
      </c>
      <c r="DI137" s="106">
        <f>IF(AU137="","",IFERROR(AU137*HSTECH!$B$28*HSTECH!$G$28/HSTECH!$B$3,""))</f>
        <v/>
      </c>
      <c r="DJ137" s="106">
        <f>IF(AV137="","",IFERROR(AV137*HSTECH!$B$28*HSTECH!$G$28/HSTECH!$B$3,""))</f>
        <v/>
      </c>
      <c r="DK137" s="106">
        <f>IF(AW137="","",IFERROR(AW137*HSTECH!$B$28*HSTECH!$G$28/HSTECH!$B$3,""))</f>
        <v/>
      </c>
      <c r="DL137" s="106">
        <f>IF(AX137="","",IFERROR(AX137*HSTECH!$B$28*HSTECH!$G$28/HSTECH!$B$3,""))</f>
        <v/>
      </c>
      <c r="DM137" s="106">
        <f>IF(AY137="","",IFERROR(AY137*HSTECH!$B$28*HSTECH!$G$28/HSTECH!$B$3,""))</f>
        <v/>
      </c>
      <c r="DN137" s="106">
        <f>IF(AZ137="","",IFERROR(AZ137*HSTECH!$B$28*HSTECH!$G$28/HSTECH!$B$3,""))</f>
        <v/>
      </c>
      <c r="DO137" s="106">
        <f>IF(BA137="","",IFERROR(BA137*HSTECH!$B$28*HSTECH!$G$28/HSTECH!$B$3,""))</f>
        <v/>
      </c>
      <c r="DP137" s="106">
        <f>IF(BB137="","",IFERROR(BB137*HSTECH!$B$28*HSTECH!$G$28/HSTECH!$B$3,""))</f>
        <v/>
      </c>
      <c r="DQ137" s="106">
        <f>IF(BC137="","",IFERROR(BC137*HSTECH!$B$28*HSTECH!$G$28/HSTECH!$B$3,""))</f>
        <v/>
      </c>
      <c r="DR137" s="106">
        <f>IF(BD137="","",IFERROR(BD137*HSTECH!$B$28*HSTECH!$G$28/HSTECH!$B$3,""))</f>
        <v/>
      </c>
      <c r="DS137" s="106">
        <f>IF(BE137="","",IFERROR(BE137*HSTECH!$B$28*HSTECH!$G$28/HSTECH!$B$3,""))</f>
        <v/>
      </c>
      <c r="DT137" s="106">
        <f>IF(BF137="","",IFERROR(BF137*HSTECH!$B$28*HSTECH!$G$28/HSTECH!$B$3,""))</f>
        <v/>
      </c>
      <c r="DU137" s="106">
        <f>IF(BG137="","",IFERROR(BG137*HSTECH!$B$28*HSTECH!$G$28/HSTECH!$B$3,""))</f>
        <v/>
      </c>
      <c r="DV137" s="106">
        <f>IF(BH137="","",IFERROR(BH137*HSTECH!$B$28*HSTECH!$G$28/HSTECH!$B$3,""))</f>
        <v/>
      </c>
      <c r="DW137" s="106">
        <f>IF(BI137="","",IFERROR(BI137*HSTECH!$B$28*HSTECH!$G$28/HSTECH!$B$3,""))</f>
        <v/>
      </c>
      <c r="DX137" s="106">
        <f>IF(BJ137="","",IFERROR(BJ137*HSTECH!$B$28*HSTECH!$G$28/HSTECH!$B$3,""))</f>
        <v/>
      </c>
      <c r="DY137" s="106">
        <f>IF(BK137="","",IFERROR(BK137*HSTECH!$B$28*HSTECH!$G$28/HSTECH!$B$3,""))</f>
        <v/>
      </c>
      <c r="DZ137" s="106">
        <f>IF(BL137="","",IFERROR(BL137*HSTECH!$B$28*HSTECH!$G$28/HSTECH!$B$3,""))</f>
        <v/>
      </c>
      <c r="EA137" s="106">
        <f>IF(BM137="","",IFERROR(BM137*HSTECH!$B$28*HSTECH!$G$28/HSTECH!$B$3,""))</f>
        <v/>
      </c>
      <c r="EB137" s="106">
        <f>IF(BN137="","",IFERROR(BN137*HSTECH!$B$28*HSTECH!$G$28/HSTECH!$B$3,""))</f>
        <v/>
      </c>
      <c r="EC137" s="106">
        <f>IF(BO137="","",IFERROR(BO137*HSTECH!$B$28*HSTECH!$G$28/HSTECH!$B$3,""))</f>
        <v/>
      </c>
      <c r="EE137" s="35">
        <f>IF(N('Dvd Calendar'!$E$1347)=0,"",IF(('Dvd Calendar'!$E$1347&gt;=GRID_FROM)*('Dvd Calendar'!$E$1347&lt;=GRID_TO)*('Dvd Calendar'!$E$1347&lt;=VAL_DATE)=0,"",'Dvd Calendar'!$E$1347*1000000000+ISNUMBER('Dvd Calendar'!$E$1350)*100000000+('Dvd Calendar'!$E$1352=SPECIAL_LBL)*10000000+0*1000000+22*1000+1))</f>
        <v/>
      </c>
      <c r="EF137" s="35">
        <f>IF(N('Dvd Calendar'!$F$1347)=0,"",IF(('Dvd Calendar'!$F$1347&gt;=GRID_FROM)*('Dvd Calendar'!$F$1347&lt;=GRID_TO)*('Dvd Calendar'!$F$1347&lt;=VAL_DATE)=0,"",'Dvd Calendar'!$F$1347*1000000000+ISNUMBER('Dvd Calendar'!$F$1350)*100000000+('Dvd Calendar'!$F$1352=SPECIAL_LBL)*10000000+0*1000000+22*1000+2))</f>
        <v/>
      </c>
      <c r="EG137" s="35">
        <f>IF(N('Dvd Calendar'!$G$1347)=0,"",IF(('Dvd Calendar'!$G$1347&gt;=GRID_FROM)*('Dvd Calendar'!$G$1347&lt;=GRID_TO)*('Dvd Calendar'!$G$1347&lt;=VAL_DATE)=0,"",'Dvd Calendar'!$G$1347*1000000000+ISNUMBER('Dvd Calendar'!$G$1350)*100000000+('Dvd Calendar'!$G$1352=SPECIAL_LBL)*10000000+0*1000000+22*1000+3))</f>
        <v/>
      </c>
      <c r="EH137" s="35">
        <f>IF(N('Dvd Calendar'!$H$1347)=0,"",IF(('Dvd Calendar'!$H$1347&gt;=GRID_FROM)*('Dvd Calendar'!$H$1347&lt;=GRID_TO)*('Dvd Calendar'!$H$1347&lt;=VAL_DATE)=0,"",'Dvd Calendar'!$H$1347*1000000000+ISNUMBER('Dvd Calendar'!$H$1350)*100000000+('Dvd Calendar'!$H$1352=SPECIAL_LBL)*10000000+0*1000000+22*1000+4))</f>
        <v/>
      </c>
      <c r="EI137" s="35">
        <f>IF(N('Dvd Calendar'!$I$1347)=0,"",IF(('Dvd Calendar'!$I$1347&gt;=GRID_FROM)*('Dvd Calendar'!$I$1347&lt;=GRID_TO)*('Dvd Calendar'!$I$1347&lt;=VAL_DATE)=0,"",'Dvd Calendar'!$I$1347*1000000000+ISNUMBER('Dvd Calendar'!$I$1350)*100000000+('Dvd Calendar'!$I$1352=SPECIAL_LBL)*10000000+0*1000000+22*1000+5))</f>
        <v/>
      </c>
      <c r="EJ137" s="35">
        <f>IF(N('Dvd Calendar'!$J$1347)=0,"",IF(('Dvd Calendar'!$J$1347&gt;=GRID_FROM)*('Dvd Calendar'!$J$1347&lt;=GRID_TO)*('Dvd Calendar'!$J$1347&lt;=VAL_DATE)=0,"",'Dvd Calendar'!$J$1347*1000000000+ISNUMBER('Dvd Calendar'!$J$1350)*100000000+('Dvd Calendar'!$J$1352=SPECIAL_LBL)*10000000+0*1000000+22*1000+6))</f>
        <v/>
      </c>
      <c r="EK137" s="35">
        <f>IF(N('Dvd Calendar'!$K$1347)=0,"",IF(('Dvd Calendar'!$K$1347&gt;=GRID_FROM)*('Dvd Calendar'!$K$1347&lt;=GRID_TO)*('Dvd Calendar'!$K$1347&lt;=VAL_DATE)=0,"",'Dvd Calendar'!$K$1347*1000000000+ISNUMBER('Dvd Calendar'!$K$1350)*100000000+('Dvd Calendar'!$K$1352=SPECIAL_LBL)*10000000+0*1000000+22*1000+7))</f>
        <v/>
      </c>
      <c r="EL137" s="35">
        <f>IF(N('Dvd Calendar'!$L$1347)=0,"",IF(('Dvd Calendar'!$L$1347&gt;=GRID_FROM)*('Dvd Calendar'!$L$1347&lt;=GRID_TO)*('Dvd Calendar'!$L$1347&lt;=VAL_DATE)=0,"",'Dvd Calendar'!$L$1347*1000000000+ISNUMBER('Dvd Calendar'!$L$1350)*100000000+('Dvd Calendar'!$L$1352=SPECIAL_LBL)*10000000+0*1000000+22*1000+8))</f>
        <v/>
      </c>
      <c r="EM137" s="35">
        <f>IF(N('Dvd Calendar'!$M$1347)=0,"",IF(('Dvd Calendar'!$M$1347&gt;=GRID_FROM)*('Dvd Calendar'!$M$1347&lt;=GRID_TO)*('Dvd Calendar'!$M$1347&lt;=VAL_DATE)=0,"",'Dvd Calendar'!$M$1347*1000000000+ISNUMBER('Dvd Calendar'!$M$1350)*100000000+('Dvd Calendar'!$M$1352=SPECIAL_LBL)*10000000+0*1000000+22*1000+9))</f>
        <v/>
      </c>
      <c r="EN137" s="35">
        <f>IF(N('Dvd Calendar'!$N$1347)=0,"",IF(('Dvd Calendar'!$N$1347&gt;=GRID_FROM)*('Dvd Calendar'!$N$1347&lt;=GRID_TO)*('Dvd Calendar'!$N$1347&lt;=VAL_DATE)=0,"",'Dvd Calendar'!$N$1347*1000000000+ISNUMBER('Dvd Calendar'!$N$1350)*100000000+('Dvd Calendar'!$N$1352=SPECIAL_LBL)*10000000+0*1000000+22*1000+10))</f>
        <v/>
      </c>
      <c r="EO137" s="35">
        <f>IF(N('Dvd Calendar'!$O$1347)=0,"",IF(('Dvd Calendar'!$O$1347&gt;=GRID_FROM)*('Dvd Calendar'!$O$1347&lt;=GRID_TO)*('Dvd Calendar'!$O$1347&lt;=VAL_DATE)=0,"",'Dvd Calendar'!$O$1347*1000000000+ISNUMBER('Dvd Calendar'!$O$1350)*100000000+('Dvd Calendar'!$O$1352=SPECIAL_LBL)*10000000+0*1000000+22*1000+11))</f>
        <v/>
      </c>
      <c r="EP137" s="35">
        <f>IF(N('Dvd Calendar'!$P$1347)=0,"",IF(('Dvd Calendar'!$P$1347&gt;=GRID_FROM)*('Dvd Calendar'!$P$1347&lt;=GRID_TO)*('Dvd Calendar'!$P$1347&lt;=VAL_DATE)=0,"",'Dvd Calendar'!$P$1347*1000000000+ISNUMBER('Dvd Calendar'!$P$1350)*100000000+('Dvd Calendar'!$P$1352=SPECIAL_LBL)*10000000+0*1000000+22*1000+12))</f>
        <v/>
      </c>
      <c r="EQ137" s="35">
        <f>IF(N('Dvd Calendar'!$Q$1347)=0,"",IF(('Dvd Calendar'!$Q$1347&gt;=GRID_FROM)*('Dvd Calendar'!$Q$1347&lt;=GRID_TO)*('Dvd Calendar'!$Q$1347&lt;=VAL_DATE)=0,"",'Dvd Calendar'!$Q$1347*1000000000+ISNUMBER('Dvd Calendar'!$Q$1350)*100000000+('Dvd Calendar'!$Q$1352=SPECIAL_LBL)*10000000+0*1000000+22*1000+13))</f>
        <v/>
      </c>
      <c r="ER137" s="35">
        <f>IF(N('Dvd Calendar'!$R$1347)=0,"",IF(('Dvd Calendar'!$R$1347&gt;=GRID_FROM)*('Dvd Calendar'!$R$1347&lt;=GRID_TO)*('Dvd Calendar'!$R$1347&lt;=VAL_DATE)=0,"",'Dvd Calendar'!$R$1347*1000000000+ISNUMBER('Dvd Calendar'!$R$1350)*100000000+('Dvd Calendar'!$R$1352=SPECIAL_LBL)*10000000+0*1000000+22*1000+14))</f>
        <v/>
      </c>
      <c r="ES137" s="35">
        <f>IF(N('Dvd Calendar'!$S$1347)=0,"",IF(('Dvd Calendar'!$S$1347&gt;=GRID_FROM)*('Dvd Calendar'!$S$1347&lt;=GRID_TO)*('Dvd Calendar'!$S$1347&lt;=VAL_DATE)=0,"",'Dvd Calendar'!$S$1347*1000000000+ISNUMBER('Dvd Calendar'!$S$1350)*100000000+('Dvd Calendar'!$S$1352=SPECIAL_LBL)*10000000+0*1000000+22*1000+15))</f>
        <v/>
      </c>
      <c r="ET137" s="35">
        <f>IF(N('Dvd Calendar'!$T$1347)=0,"",IF(('Dvd Calendar'!$T$1347&gt;=GRID_FROM)*('Dvd Calendar'!$T$1347&lt;=GRID_TO)*('Dvd Calendar'!$T$1347&lt;=VAL_DATE)=0,"",'Dvd Calendar'!$T$1347*1000000000+ISNUMBER('Dvd Calendar'!$T$1350)*100000000+('Dvd Calendar'!$T$1352=SPECIAL_LBL)*10000000+0*1000000+22*1000+16))</f>
        <v/>
      </c>
      <c r="EU137" s="35">
        <f>IF(N('Dvd Calendar'!$U$1347)=0,"",IF(('Dvd Calendar'!$U$1347&gt;=GRID_FROM)*('Dvd Calendar'!$U$1347&lt;=GRID_TO)*('Dvd Calendar'!$U$1347&lt;=VAL_DATE)=0,"",'Dvd Calendar'!$U$1347*1000000000+ISNUMBER('Dvd Calendar'!$U$1350)*100000000+('Dvd Calendar'!$U$1352=SPECIAL_LBL)*10000000+0*1000000+22*1000+17))</f>
        <v/>
      </c>
      <c r="EV137" s="35">
        <f>IF(N('Dvd Calendar'!$V$1347)=0,"",IF(('Dvd Calendar'!$V$1347&gt;=GRID_FROM)*('Dvd Calendar'!$V$1347&lt;=GRID_TO)*('Dvd Calendar'!$V$1347&lt;=VAL_DATE)=0,"",'Dvd Calendar'!$V$1347*1000000000+ISNUMBER('Dvd Calendar'!$V$1350)*100000000+('Dvd Calendar'!$V$1352=SPECIAL_LBL)*10000000+0*1000000+22*1000+18))</f>
        <v/>
      </c>
      <c r="EW137" s="35">
        <f>IF(N('Dvd Calendar'!$W$1347)=0,"",IF(('Dvd Calendar'!$W$1347&gt;=GRID_FROM)*('Dvd Calendar'!$W$1347&lt;=GRID_TO)*('Dvd Calendar'!$W$1347&lt;=VAL_DATE)=0,"",'Dvd Calendar'!$W$1347*1000000000+ISNUMBER('Dvd Calendar'!$W$1350)*100000000+('Dvd Calendar'!$W$1352=SPECIAL_LBL)*10000000+0*1000000+22*1000+19))</f>
        <v/>
      </c>
      <c r="EX137" s="35">
        <f>IF(N('Dvd Calendar'!$X$1347)=0,"",IF(('Dvd Calendar'!$X$1347&gt;=GRID_FROM)*('Dvd Calendar'!$X$1347&lt;=GRID_TO)*('Dvd Calendar'!$X$1347&lt;=VAL_DATE)=0,"",'Dvd Calendar'!$X$1347*1000000000+ISNUMBER('Dvd Calendar'!$X$1350)*100000000+('Dvd Calendar'!$X$1352=SPECIAL_LBL)*10000000+0*1000000+22*1000+20))</f>
        <v/>
      </c>
      <c r="EY137" s="35">
        <f>IF(N('Dvd Calendar'!$Y$1347)=0,"",IF(('Dvd Calendar'!$Y$1347&gt;=GRID_FROM)*('Dvd Calendar'!$Y$1347&lt;=GRID_TO)*('Dvd Calendar'!$Y$1347&lt;=VAL_DATE)=0,"",'Dvd Calendar'!$Y$1347*1000000000+ISNUMBER('Dvd Calendar'!$Y$1350)*100000000+('Dvd Calendar'!$Y$1352=SPECIAL_LBL)*10000000+0*1000000+22*1000+21))</f>
        <v/>
      </c>
      <c r="EZ137" s="35">
        <f>IF(N('Dvd Calendar'!$Z$1347)=0,"",IF(('Dvd Calendar'!$Z$1347&gt;=GRID_FROM)*('Dvd Calendar'!$Z$1347&lt;=GRID_TO)*('Dvd Calendar'!$Z$1347&lt;=VAL_DATE)=0,"",'Dvd Calendar'!$Z$1347*1000000000+ISNUMBER('Dvd Calendar'!$Z$1350)*100000000+('Dvd Calendar'!$Z$1352=SPECIAL_LBL)*10000000+0*1000000+22*1000+22))</f>
        <v/>
      </c>
      <c r="FA137" s="35">
        <f>IF(N('Dvd Calendar'!$AA$1347)=0,"",IF(('Dvd Calendar'!$AA$1347&gt;=GRID_FROM)*('Dvd Calendar'!$AA$1347&lt;=GRID_TO)*('Dvd Calendar'!$AA$1347&lt;=VAL_DATE)=0,"",'Dvd Calendar'!$AA$1347*1000000000+ISNUMBER('Dvd Calendar'!$AA$1350)*100000000+('Dvd Calendar'!$AA$1352=SPECIAL_LBL)*10000000+0*1000000+22*1000+23))</f>
        <v/>
      </c>
      <c r="FB137" s="35">
        <f>IF(N('Dvd Calendar'!$AB$1347)=0,"",IF(('Dvd Calendar'!$AB$1347&gt;=GRID_FROM)*('Dvd Calendar'!$AB$1347&lt;=GRID_TO)*('Dvd Calendar'!$AB$1347&lt;=VAL_DATE)=0,"",'Dvd Calendar'!$AB$1347*1000000000+ISNUMBER('Dvd Calendar'!$AB$1350)*100000000+('Dvd Calendar'!$AB$1352=SPECIAL_LBL)*10000000+0*1000000+22*1000+24))</f>
        <v/>
      </c>
      <c r="FC137" s="35">
        <f>IF(N('Dvd Calendar'!$AC$1347)=0,"",IF(('Dvd Calendar'!$AC$1347&gt;=GRID_FROM)*('Dvd Calendar'!$AC$1347&lt;=GRID_TO)*('Dvd Calendar'!$AC$1347&lt;=VAL_DATE)=0,"",'Dvd Calendar'!$AC$1347*1000000000+ISNUMBER('Dvd Calendar'!$AC$1350)*100000000+('Dvd Calendar'!$AC$1352=SPECIAL_LBL)*10000000+0*1000000+22*1000+25))</f>
        <v/>
      </c>
      <c r="FD137" s="35">
        <f>IF(N('Dvd Calendar'!$AD$1347)=0,"",IF(('Dvd Calendar'!$AD$1347&gt;=GRID_FROM)*('Dvd Calendar'!$AD$1347&lt;=GRID_TO)*('Dvd Calendar'!$AD$1347&lt;=VAL_DATE)=0,"",'Dvd Calendar'!$AD$1347*1000000000+ISNUMBER('Dvd Calendar'!$AD$1350)*100000000+('Dvd Calendar'!$AD$1352=SPECIAL_LBL)*10000000+0*1000000+22*1000+26))</f>
        <v/>
      </c>
      <c r="FE137" s="35">
        <f>IF(N('Dvd Calendar'!$AE$1347)=0,"",IF(('Dvd Calendar'!$AE$1347&gt;=GRID_FROM)*('Dvd Calendar'!$AE$1347&lt;=GRID_TO)*('Dvd Calendar'!$AE$1347&lt;=VAL_DATE)=0,"",'Dvd Calendar'!$AE$1347*1000000000+ISNUMBER('Dvd Calendar'!$AE$1350)*100000000+('Dvd Calendar'!$AE$1352=SPECIAL_LBL)*10000000+0*1000000+22*1000+27))</f>
        <v/>
      </c>
      <c r="FF137" s="35">
        <f>IF(N('Dvd Calendar'!$AF$1347)=0,"",IF(('Dvd Calendar'!$AF$1347&gt;=GRID_FROM)*('Dvd Calendar'!$AF$1347&lt;=GRID_TO)*('Dvd Calendar'!$AF$1347&lt;=VAL_DATE)=0,"",'Dvd Calendar'!$AF$1347*1000000000+ISNUMBER('Dvd Calendar'!$AF$1350)*100000000+('Dvd Calendar'!$AF$1352=SPECIAL_LBL)*10000000+0*1000000+22*1000+28))</f>
        <v/>
      </c>
      <c r="FG137" s="35">
        <f>IF(N('Dvd Calendar'!$AG$1347)=0,"",IF(('Dvd Calendar'!$AG$1347&gt;=GRID_FROM)*('Dvd Calendar'!$AG$1347&lt;=GRID_TO)*('Dvd Calendar'!$AG$1347&lt;=VAL_DATE)=0,"",'Dvd Calendar'!$AG$1347*1000000000+ISNUMBER('Dvd Calendar'!$AG$1350)*100000000+('Dvd Calendar'!$AG$1352=SPECIAL_LBL)*10000000+0*1000000+22*1000+29))</f>
        <v/>
      </c>
      <c r="FH137" s="35">
        <f>IF(N('Dvd Calendar'!$AH$1347)=0,"",IF(('Dvd Calendar'!$AH$1347&gt;=GRID_FROM)*('Dvd Calendar'!$AH$1347&lt;=GRID_TO)*('Dvd Calendar'!$AH$1347&lt;=VAL_DATE)=0,"",'Dvd Calendar'!$AH$1347*1000000000+ISNUMBER('Dvd Calendar'!$AH$1350)*100000000+('Dvd Calendar'!$AH$1352=SPECIAL_LBL)*10000000+0*1000000+22*1000+30))</f>
        <v/>
      </c>
      <c r="FI137" s="35">
        <f>IF(N('Dvd Calendar'!$AI$1347)=0,"",IF(('Dvd Calendar'!$AI$1347&gt;=GRID_FROM)*('Dvd Calendar'!$AI$1347&lt;=GRID_TO)*('Dvd Calendar'!$AI$1347&lt;=VAL_DATE)=0,"",'Dvd Calendar'!$AI$1347*1000000000+ISNUMBER('Dvd Calendar'!$AI$1350)*100000000+('Dvd Calendar'!$AI$1352=SPECIAL_LBL)*10000000+0*1000000+22*1000+31))</f>
        <v/>
      </c>
      <c r="FJ137" s="35">
        <f>IF(N('Dvd Calendar'!$AJ$1347)=0,"",IF(('Dvd Calendar'!$AJ$1347&gt;=GRID_FROM)*('Dvd Calendar'!$AJ$1347&lt;=GRID_TO)*('Dvd Calendar'!$AJ$1347&lt;=VAL_DATE)=0,"",'Dvd Calendar'!$AJ$1347*1000000000+ISNUMBER('Dvd Calendar'!$AJ$1350)*100000000+('Dvd Calendar'!$AJ$1352=SPECIAL_LBL)*10000000+0*1000000+22*1000+32))</f>
        <v/>
      </c>
      <c r="FK137" s="35">
        <f>IF(N('Dvd Calendar'!$AK$1347)=0,"",IF(('Dvd Calendar'!$AK$1347&gt;=GRID_FROM)*('Dvd Calendar'!$AK$1347&lt;=GRID_TO)*('Dvd Calendar'!$AK$1347&lt;=VAL_DATE)=0,"",'Dvd Calendar'!$AK$1347*1000000000+ISNUMBER('Dvd Calendar'!$AK$1350)*100000000+('Dvd Calendar'!$AK$1352=SPECIAL_LBL)*10000000+0*1000000+22*1000+33))</f>
        <v/>
      </c>
      <c r="FL137" s="35">
        <f>IF(N('Dvd Calendar'!$AL$1347)=0,"",IF(('Dvd Calendar'!$AL$1347&gt;=GRID_FROM)*('Dvd Calendar'!$AL$1347&lt;=GRID_TO)*('Dvd Calendar'!$AL$1347&lt;=VAL_DATE)=0,"",'Dvd Calendar'!$AL$1347*1000000000+ISNUMBER('Dvd Calendar'!$AL$1350)*100000000+('Dvd Calendar'!$AL$1352=SPECIAL_LBL)*10000000+0*1000000+22*1000+34))</f>
        <v/>
      </c>
      <c r="FM137" s="35">
        <f>IF(N('Dvd Calendar'!$AM$1347)=0,"",IF(('Dvd Calendar'!$AM$1347&gt;=GRID_FROM)*('Dvd Calendar'!$AM$1347&lt;=GRID_TO)*('Dvd Calendar'!$AM$1347&lt;=VAL_DATE)=0,"",'Dvd Calendar'!$AM$1347*1000000000+ISNUMBER('Dvd Calendar'!$AM$1350)*100000000+('Dvd Calendar'!$AM$1352=SPECIAL_LBL)*10000000+0*1000000+22*1000+35))</f>
        <v/>
      </c>
      <c r="FN137" s="35">
        <f>IF(N('Dvd Calendar'!$AN$1347)=0,"",IF(('Dvd Calendar'!$AN$1347&gt;=GRID_FROM)*('Dvd Calendar'!$AN$1347&lt;=GRID_TO)*('Dvd Calendar'!$AN$1347&lt;=VAL_DATE)=0,"",'Dvd Calendar'!$AN$1347*1000000000+ISNUMBER('Dvd Calendar'!$AN$1350)*100000000+('Dvd Calendar'!$AN$1352=SPECIAL_LBL)*10000000+0*1000000+22*1000+36))</f>
        <v/>
      </c>
      <c r="FO137" s="35">
        <f>IF(N('Dvd Calendar'!$AO$1347)=0,"",IF(('Dvd Calendar'!$AO$1347&gt;=GRID_FROM)*('Dvd Calendar'!$AO$1347&lt;=GRID_TO)*('Dvd Calendar'!$AO$1347&lt;=VAL_DATE)=0,"",'Dvd Calendar'!$AO$1347*1000000000+ISNUMBER('Dvd Calendar'!$AO$1350)*100000000+('Dvd Calendar'!$AO$1352=SPECIAL_LBL)*10000000+0*1000000+22*1000+37))</f>
        <v/>
      </c>
      <c r="FP137" s="35">
        <f>IF(N('Dvd Calendar'!$AP$1347)=0,"",IF(('Dvd Calendar'!$AP$1347&gt;=GRID_FROM)*('Dvd Calendar'!$AP$1347&lt;=GRID_TO)*('Dvd Calendar'!$AP$1347&lt;=VAL_DATE)=0,"",'Dvd Calendar'!$AP$1347*1000000000+ISNUMBER('Dvd Calendar'!$AP$1350)*100000000+('Dvd Calendar'!$AP$1352=SPECIAL_LBL)*10000000+0*1000000+22*1000+38))</f>
        <v/>
      </c>
      <c r="FQ137" s="35">
        <f>IF(N('Dvd Calendar'!$AQ$1347)=0,"",IF(('Dvd Calendar'!$AQ$1347&gt;=GRID_FROM)*('Dvd Calendar'!$AQ$1347&lt;=GRID_TO)*('Dvd Calendar'!$AQ$1347&lt;=VAL_DATE)=0,"",'Dvd Calendar'!$AQ$1347*1000000000+ISNUMBER('Dvd Calendar'!$AQ$1350)*100000000+('Dvd Calendar'!$AQ$1352=SPECIAL_LBL)*10000000+0*1000000+22*1000+39))</f>
        <v/>
      </c>
      <c r="FR137" s="35">
        <f>IF(N('Dvd Calendar'!$AR$1347)=0,"",IF(('Dvd Calendar'!$AR$1347&gt;=GRID_FROM)*('Dvd Calendar'!$AR$1347&lt;=GRID_TO)*('Dvd Calendar'!$AR$1347&lt;=VAL_DATE)=0,"",'Dvd Calendar'!$AR$1347*1000000000+ISNUMBER('Dvd Calendar'!$AR$1350)*100000000+('Dvd Calendar'!$AR$1352=SPECIAL_LBL)*10000000+0*1000000+22*1000+40))</f>
        <v/>
      </c>
      <c r="FS137" s="35">
        <f>IF(N('Dvd Calendar'!$E$1354)=0,"",IF(('Dvd Calendar'!$E$1354&gt;=GRID_FROM)*('Dvd Calendar'!$E$1354&lt;=GRID_TO)*('Dvd Calendar'!$E$1354&gt;VAL_DATE)=0,"",'Dvd Calendar'!$E$1354*1000000000+ISNUMBER('Dvd Calendar'!$E$1355)*100000000+0*10000000+(N('Dvd Calendar'!$E$1353)&gt;0)*(N('Dvd Calendar'!$E$1353)&lt;=VAL_SERIAL)*1000000+22*1000+41))</f>
        <v/>
      </c>
      <c r="FT137" s="35">
        <f>IF(N('Dvd Calendar'!$F$1354)=0,"",IF(('Dvd Calendar'!$F$1354&gt;=GRID_FROM)*('Dvd Calendar'!$F$1354&lt;=GRID_TO)*('Dvd Calendar'!$F$1354&gt;VAL_DATE)=0,"",'Dvd Calendar'!$F$1354*1000000000+ISNUMBER('Dvd Calendar'!$F$1355)*100000000+0*10000000+(N('Dvd Calendar'!$F$1353)&gt;0)*(N('Dvd Calendar'!$F$1353)&lt;=VAL_SERIAL)*1000000+22*1000+42))</f>
        <v/>
      </c>
      <c r="FU137" s="35">
        <f>IF(N('Dvd Calendar'!$G$1354)=0,"",IF(('Dvd Calendar'!$G$1354&gt;=GRID_FROM)*('Dvd Calendar'!$G$1354&lt;=GRID_TO)*('Dvd Calendar'!$G$1354&gt;VAL_DATE)=0,"",'Dvd Calendar'!$G$1354*1000000000+ISNUMBER('Dvd Calendar'!$G$1355)*100000000+0*10000000+(N('Dvd Calendar'!$G$1353)&gt;0)*(N('Dvd Calendar'!$G$1353)&lt;=VAL_SERIAL)*1000000+22*1000+43))</f>
        <v/>
      </c>
      <c r="FV137" s="35">
        <f>IF(N('Dvd Calendar'!$H$1354)=0,"",IF(('Dvd Calendar'!$H$1354&gt;=GRID_FROM)*('Dvd Calendar'!$H$1354&lt;=GRID_TO)*('Dvd Calendar'!$H$1354&gt;VAL_DATE)=0,"",'Dvd Calendar'!$H$1354*1000000000+ISNUMBER('Dvd Calendar'!$H$1355)*100000000+0*10000000+(N('Dvd Calendar'!$H$1353)&gt;0)*(N('Dvd Calendar'!$H$1353)&lt;=VAL_SERIAL)*1000000+22*1000+44))</f>
        <v/>
      </c>
      <c r="FW137" s="35">
        <f>IF(N('Dvd Calendar'!$I$1354)=0,"",IF(('Dvd Calendar'!$I$1354&gt;=GRID_FROM)*('Dvd Calendar'!$I$1354&lt;=GRID_TO)*('Dvd Calendar'!$I$1354&gt;VAL_DATE)=0,"",'Dvd Calendar'!$I$1354*1000000000+ISNUMBER('Dvd Calendar'!$I$1355)*100000000+0*10000000+(N('Dvd Calendar'!$I$1353)&gt;0)*(N('Dvd Calendar'!$I$1353)&lt;=VAL_SERIAL)*1000000+22*1000+45))</f>
        <v/>
      </c>
      <c r="FX137" s="35">
        <f>IF(N('Dvd Calendar'!$J$1354)=0,"",IF(('Dvd Calendar'!$J$1354&gt;=GRID_FROM)*('Dvd Calendar'!$J$1354&lt;=GRID_TO)*('Dvd Calendar'!$J$1354&gt;VAL_DATE)=0,"",'Dvd Calendar'!$J$1354*1000000000+ISNUMBER('Dvd Calendar'!$J$1355)*100000000+0*10000000+(N('Dvd Calendar'!$J$1353)&gt;0)*(N('Dvd Calendar'!$J$1353)&lt;=VAL_SERIAL)*1000000+22*1000+46))</f>
        <v/>
      </c>
      <c r="FY137" s="35">
        <f>IF(N('Dvd Calendar'!$K$1354)=0,"",IF(('Dvd Calendar'!$K$1354&gt;=GRID_FROM)*('Dvd Calendar'!$K$1354&lt;=GRID_TO)*('Dvd Calendar'!$K$1354&gt;VAL_DATE)=0,"",'Dvd Calendar'!$K$1354*1000000000+ISNUMBER('Dvd Calendar'!$K$1355)*100000000+0*10000000+(N('Dvd Calendar'!$K$1353)&gt;0)*(N('Dvd Calendar'!$K$1353)&lt;=VAL_SERIAL)*1000000+22*1000+47))</f>
        <v/>
      </c>
      <c r="FZ137" s="35">
        <f>IF(N('Dvd Calendar'!$L$1354)=0,"",IF(('Dvd Calendar'!$L$1354&gt;=GRID_FROM)*('Dvd Calendar'!$L$1354&lt;=GRID_TO)*('Dvd Calendar'!$L$1354&gt;VAL_DATE)=0,"",'Dvd Calendar'!$L$1354*1000000000+ISNUMBER('Dvd Calendar'!$L$1355)*100000000+0*10000000+(N('Dvd Calendar'!$L$1353)&gt;0)*(N('Dvd Calendar'!$L$1353)&lt;=VAL_SERIAL)*1000000+22*1000+48))</f>
        <v/>
      </c>
      <c r="GA137" s="35">
        <f>IF(N('Dvd Calendar'!$M$1354)=0,"",IF(('Dvd Calendar'!$M$1354&gt;=GRID_FROM)*('Dvd Calendar'!$M$1354&lt;=GRID_TO)*('Dvd Calendar'!$M$1354&gt;VAL_DATE)=0,"",'Dvd Calendar'!$M$1354*1000000000+ISNUMBER('Dvd Calendar'!$M$1355)*100000000+0*10000000+(N('Dvd Calendar'!$M$1353)&gt;0)*(N('Dvd Calendar'!$M$1353)&lt;=VAL_SERIAL)*1000000+22*1000+49))</f>
        <v/>
      </c>
      <c r="GB137" s="35">
        <f>IF(N('Dvd Calendar'!$N$1354)=0,"",IF(('Dvd Calendar'!$N$1354&gt;=GRID_FROM)*('Dvd Calendar'!$N$1354&lt;=GRID_TO)*('Dvd Calendar'!$N$1354&gt;VAL_DATE)=0,"",'Dvd Calendar'!$N$1354*1000000000+ISNUMBER('Dvd Calendar'!$N$1355)*100000000+0*10000000+(N('Dvd Calendar'!$N$1353)&gt;0)*(N('Dvd Calendar'!$N$1353)&lt;=VAL_SERIAL)*1000000+22*1000+50))</f>
        <v/>
      </c>
      <c r="GC137" s="35">
        <f>IF(N('Dvd Calendar'!$O$1354)=0,"",IF(('Dvd Calendar'!$O$1354&gt;=GRID_FROM)*('Dvd Calendar'!$O$1354&lt;=GRID_TO)*('Dvd Calendar'!$O$1354&gt;VAL_DATE)=0,"",'Dvd Calendar'!$O$1354*1000000000+ISNUMBER('Dvd Calendar'!$O$1355)*100000000+0*10000000+(N('Dvd Calendar'!$O$1353)&gt;0)*(N('Dvd Calendar'!$O$1353)&lt;=VAL_SERIAL)*1000000+22*1000+51))</f>
        <v/>
      </c>
      <c r="GD137" s="35">
        <f>IF(N('Dvd Calendar'!$P$1354)=0,"",IF(('Dvd Calendar'!$P$1354&gt;=GRID_FROM)*('Dvd Calendar'!$P$1354&lt;=GRID_TO)*('Dvd Calendar'!$P$1354&gt;VAL_DATE)=0,"",'Dvd Calendar'!$P$1354*1000000000+ISNUMBER('Dvd Calendar'!$P$1355)*100000000+0*10000000+(N('Dvd Calendar'!$P$1353)&gt;0)*(N('Dvd Calendar'!$P$1353)&lt;=VAL_SERIAL)*1000000+22*1000+52))</f>
        <v/>
      </c>
      <c r="GE137" s="35">
        <f>IF(N('Dvd Calendar'!$Q$1354)=0,"",IF(('Dvd Calendar'!$Q$1354&gt;=GRID_FROM)*('Dvd Calendar'!$Q$1354&lt;=GRID_TO)*('Dvd Calendar'!$Q$1354&gt;VAL_DATE)=0,"",'Dvd Calendar'!$Q$1354*1000000000+ISNUMBER('Dvd Calendar'!$Q$1355)*100000000+0*10000000+(N('Dvd Calendar'!$Q$1353)&gt;0)*(N('Dvd Calendar'!$Q$1353)&lt;=VAL_SERIAL)*1000000+22*1000+53))</f>
        <v/>
      </c>
      <c r="GF137" s="35">
        <f>IF(N('Dvd Calendar'!$R$1354)=0,"",IF(('Dvd Calendar'!$R$1354&gt;=GRID_FROM)*('Dvd Calendar'!$R$1354&lt;=GRID_TO)*('Dvd Calendar'!$R$1354&gt;VAL_DATE)=0,"",'Dvd Calendar'!$R$1354*1000000000+ISNUMBER('Dvd Calendar'!$R$1355)*100000000+0*10000000+(N('Dvd Calendar'!$R$1353)&gt;0)*(N('Dvd Calendar'!$R$1353)&lt;=VAL_SERIAL)*1000000+22*1000+54))</f>
        <v/>
      </c>
      <c r="GG137" s="35">
        <f>IF(N('Dvd Calendar'!$S$1354)=0,"",IF(('Dvd Calendar'!$S$1354&gt;=GRID_FROM)*('Dvd Calendar'!$S$1354&lt;=GRID_TO)*('Dvd Calendar'!$S$1354&gt;VAL_DATE)=0,"",'Dvd Calendar'!$S$1354*1000000000+ISNUMBER('Dvd Calendar'!$S$1355)*100000000+0*10000000+(N('Dvd Calendar'!$S$1353)&gt;0)*(N('Dvd Calendar'!$S$1353)&lt;=VAL_SERIAL)*1000000+22*1000+55))</f>
        <v/>
      </c>
      <c r="GH137" s="35">
        <f>IF(N('Dvd Calendar'!$T$1354)=0,"",IF(('Dvd Calendar'!$T$1354&gt;=GRID_FROM)*('Dvd Calendar'!$T$1354&lt;=GRID_TO)*('Dvd Calendar'!$T$1354&gt;VAL_DATE)=0,"",'Dvd Calendar'!$T$1354*1000000000+ISNUMBER('Dvd Calendar'!$T$1355)*100000000+0*10000000+(N('Dvd Calendar'!$T$1353)&gt;0)*(N('Dvd Calendar'!$T$1353)&lt;=VAL_SERIAL)*1000000+22*1000+56))</f>
        <v/>
      </c>
      <c r="GI137" s="35">
        <f>IF(N('Dvd Calendar'!$U$1354)=0,"",IF(('Dvd Calendar'!$U$1354&gt;=GRID_FROM)*('Dvd Calendar'!$U$1354&lt;=GRID_TO)*('Dvd Calendar'!$U$1354&gt;VAL_DATE)=0,"",'Dvd Calendar'!$U$1354*1000000000+ISNUMBER('Dvd Calendar'!$U$1355)*100000000+0*10000000+(N('Dvd Calendar'!$U$1353)&gt;0)*(N('Dvd Calendar'!$U$1353)&lt;=VAL_SERIAL)*1000000+22*1000+57))</f>
        <v/>
      </c>
      <c r="GJ137" s="35">
        <f>IF(N('Dvd Calendar'!$V$1354)=0,"",IF(('Dvd Calendar'!$V$1354&gt;=GRID_FROM)*('Dvd Calendar'!$V$1354&lt;=GRID_TO)*('Dvd Calendar'!$V$1354&gt;VAL_DATE)=0,"",'Dvd Calendar'!$V$1354*1000000000+ISNUMBER('Dvd Calendar'!$V$1355)*100000000+0*10000000+(N('Dvd Calendar'!$V$1353)&gt;0)*(N('Dvd Calendar'!$V$1353)&lt;=VAL_SERIAL)*1000000+22*1000+58))</f>
        <v/>
      </c>
      <c r="GK137" s="35">
        <f>IF(N('Dvd Calendar'!$W$1354)=0,"",IF(('Dvd Calendar'!$W$1354&gt;=GRID_FROM)*('Dvd Calendar'!$W$1354&lt;=GRID_TO)*('Dvd Calendar'!$W$1354&gt;VAL_DATE)=0,"",'Dvd Calendar'!$W$1354*1000000000+ISNUMBER('Dvd Calendar'!$W$1355)*100000000+0*10000000+(N('Dvd Calendar'!$W$1353)&gt;0)*(N('Dvd Calendar'!$W$1353)&lt;=VAL_SERIAL)*1000000+22*1000+59))</f>
        <v/>
      </c>
      <c r="GL137" s="35">
        <f>IF(N('Dvd Calendar'!$X$1354)=0,"",IF(('Dvd Calendar'!$X$1354&gt;=GRID_FROM)*('Dvd Calendar'!$X$1354&lt;=GRID_TO)*('Dvd Calendar'!$X$1354&gt;VAL_DATE)=0,"",'Dvd Calendar'!$X$1354*1000000000+ISNUMBER('Dvd Calendar'!$X$1355)*100000000+0*10000000+(N('Dvd Calendar'!$X$1353)&gt;0)*(N('Dvd Calendar'!$X$1353)&lt;=VAL_SERIAL)*1000000+22*1000+60))</f>
        <v/>
      </c>
      <c r="GM137" s="35">
        <f>IF(N('Dvd Calendar'!$Y$1354)=0,"",IF(('Dvd Calendar'!$Y$1354&gt;=GRID_FROM)*('Dvd Calendar'!$Y$1354&lt;=GRID_TO)*('Dvd Calendar'!$Y$1354&gt;VAL_DATE)=0,"",'Dvd Calendar'!$Y$1354*1000000000+ISNUMBER('Dvd Calendar'!$Y$1355)*100000000+0*10000000+(N('Dvd Calendar'!$Y$1353)&gt;0)*(N('Dvd Calendar'!$Y$1353)&lt;=VAL_SERIAL)*1000000+22*1000+61))</f>
        <v/>
      </c>
      <c r="GN137" s="35">
        <f>IF(N('Dvd Calendar'!$Z$1354)=0,"",IF(('Dvd Calendar'!$Z$1354&gt;=GRID_FROM)*('Dvd Calendar'!$Z$1354&lt;=GRID_TO)*('Dvd Calendar'!$Z$1354&gt;VAL_DATE)=0,"",'Dvd Calendar'!$Z$1354*1000000000+ISNUMBER('Dvd Calendar'!$Z$1355)*100000000+0*10000000+(N('Dvd Calendar'!$Z$1353)&gt;0)*(N('Dvd Calendar'!$Z$1353)&lt;=VAL_SERIAL)*1000000+22*1000+62))</f>
        <v/>
      </c>
      <c r="GO137" s="35">
        <f>IF(N('Dvd Calendar'!$AA$1354)=0,"",IF(('Dvd Calendar'!$AA$1354&gt;=GRID_FROM)*('Dvd Calendar'!$AA$1354&lt;=GRID_TO)*('Dvd Calendar'!$AA$1354&gt;VAL_DATE)=0,"",'Dvd Calendar'!$AA$1354*1000000000+ISNUMBER('Dvd Calendar'!$AA$1355)*100000000+0*10000000+(N('Dvd Calendar'!$AA$1353)&gt;0)*(N('Dvd Calendar'!$AA$1353)&lt;=VAL_SERIAL)*1000000+22*1000+63))</f>
        <v/>
      </c>
      <c r="GP137" s="35">
        <f>IF(N('Dvd Calendar'!$AB$1354)=0,"",IF(('Dvd Calendar'!$AB$1354&gt;=GRID_FROM)*('Dvd Calendar'!$AB$1354&lt;=GRID_TO)*('Dvd Calendar'!$AB$1354&gt;VAL_DATE)=0,"",'Dvd Calendar'!$AB$1354*1000000000+ISNUMBER('Dvd Calendar'!$AB$1355)*100000000+0*10000000+(N('Dvd Calendar'!$AB$1353)&gt;0)*(N('Dvd Calendar'!$AB$1353)&lt;=VAL_SERIAL)*1000000+22*1000+64))</f>
        <v/>
      </c>
      <c r="GQ137" s="35">
        <f>IF(N('Dvd Calendar'!$AC$1354)=0,"",IF(('Dvd Calendar'!$AC$1354&gt;=GRID_FROM)*('Dvd Calendar'!$AC$1354&lt;=GRID_TO)*('Dvd Calendar'!$AC$1354&gt;VAL_DATE)=0,"",'Dvd Calendar'!$AC$1354*1000000000+ISNUMBER('Dvd Calendar'!$AC$1355)*100000000+0*10000000+(N('Dvd Calendar'!$AC$1353)&gt;0)*(N('Dvd Calendar'!$AC$1353)&lt;=VAL_SERIAL)*1000000+22*1000+65))</f>
        <v/>
      </c>
    </row>
    <row r="138">
      <c r="B138" s="2">
        <f>IF(HSTECH!$C$29="","",HSTECH!$C$29)</f>
        <v/>
      </c>
      <c r="C138" s="106">
        <f>IF(EE138="","",IF(ISNUMBER('Dvd Calendar'!$E$1361)=FALSE,"",IF((('Dvd Calendar'!$E$1363=TYPE1)*(TYPE1&lt;&gt;"")+('Dvd Calendar'!$E$1363=TYPE2)*(TYPE2&lt;&gt;"")+('Dvd Calendar'!$E$1363=TYPE3)*(TYPE3&lt;&gt;"")+('Dvd Calendar'!$E$1363=TYPE4)*(TYPE4&lt;&gt;"")+('Dvd Calendar'!$E$1363=SPECIAL_LBL)*(INC_SPECIALS="Y"))=0,"",'Dvd Calendar'!$E$1361)))</f>
        <v/>
      </c>
      <c r="D138" s="106">
        <f>IF(EF138="","",IF(ISNUMBER('Dvd Calendar'!$F$1361)=FALSE,"",IF((('Dvd Calendar'!$F$1363=TYPE1)*(TYPE1&lt;&gt;"")+('Dvd Calendar'!$F$1363=TYPE2)*(TYPE2&lt;&gt;"")+('Dvd Calendar'!$F$1363=TYPE3)*(TYPE3&lt;&gt;"")+('Dvd Calendar'!$F$1363=TYPE4)*(TYPE4&lt;&gt;"")+('Dvd Calendar'!$F$1363=SPECIAL_LBL)*(INC_SPECIALS="Y"))=0,"",'Dvd Calendar'!$F$1361)))</f>
        <v/>
      </c>
      <c r="E138" s="106">
        <f>IF(EG138="","",IF(ISNUMBER('Dvd Calendar'!$G$1361)=FALSE,"",IF((('Dvd Calendar'!$G$1363=TYPE1)*(TYPE1&lt;&gt;"")+('Dvd Calendar'!$G$1363=TYPE2)*(TYPE2&lt;&gt;"")+('Dvd Calendar'!$G$1363=TYPE3)*(TYPE3&lt;&gt;"")+('Dvd Calendar'!$G$1363=TYPE4)*(TYPE4&lt;&gt;"")+('Dvd Calendar'!$G$1363=SPECIAL_LBL)*(INC_SPECIALS="Y"))=0,"",'Dvd Calendar'!$G$1361)))</f>
        <v/>
      </c>
      <c r="F138" s="106">
        <f>IF(EH138="","",IF(ISNUMBER('Dvd Calendar'!$H$1361)=FALSE,"",IF((('Dvd Calendar'!$H$1363=TYPE1)*(TYPE1&lt;&gt;"")+('Dvd Calendar'!$H$1363=TYPE2)*(TYPE2&lt;&gt;"")+('Dvd Calendar'!$H$1363=TYPE3)*(TYPE3&lt;&gt;"")+('Dvd Calendar'!$H$1363=TYPE4)*(TYPE4&lt;&gt;"")+('Dvd Calendar'!$H$1363=SPECIAL_LBL)*(INC_SPECIALS="Y"))=0,"",'Dvd Calendar'!$H$1361)))</f>
        <v/>
      </c>
      <c r="G138" s="106">
        <f>IF(EI138="","",IF(ISNUMBER('Dvd Calendar'!$I$1361)=FALSE,"",IF((('Dvd Calendar'!$I$1363=TYPE1)*(TYPE1&lt;&gt;"")+('Dvd Calendar'!$I$1363=TYPE2)*(TYPE2&lt;&gt;"")+('Dvd Calendar'!$I$1363=TYPE3)*(TYPE3&lt;&gt;"")+('Dvd Calendar'!$I$1363=TYPE4)*(TYPE4&lt;&gt;"")+('Dvd Calendar'!$I$1363=SPECIAL_LBL)*(INC_SPECIALS="Y"))=0,"",'Dvd Calendar'!$I$1361)))</f>
        <v/>
      </c>
      <c r="H138" s="106">
        <f>IF(EJ138="","",IF(ISNUMBER('Dvd Calendar'!$J$1361)=FALSE,"",IF((('Dvd Calendar'!$J$1363=TYPE1)*(TYPE1&lt;&gt;"")+('Dvd Calendar'!$J$1363=TYPE2)*(TYPE2&lt;&gt;"")+('Dvd Calendar'!$J$1363=TYPE3)*(TYPE3&lt;&gt;"")+('Dvd Calendar'!$J$1363=TYPE4)*(TYPE4&lt;&gt;"")+('Dvd Calendar'!$J$1363=SPECIAL_LBL)*(INC_SPECIALS="Y"))=0,"",'Dvd Calendar'!$J$1361)))</f>
        <v/>
      </c>
      <c r="I138" s="106">
        <f>IF(EK138="","",IF(ISNUMBER('Dvd Calendar'!$K$1361)=FALSE,"",IF((('Dvd Calendar'!$K$1363=TYPE1)*(TYPE1&lt;&gt;"")+('Dvd Calendar'!$K$1363=TYPE2)*(TYPE2&lt;&gt;"")+('Dvd Calendar'!$K$1363=TYPE3)*(TYPE3&lt;&gt;"")+('Dvd Calendar'!$K$1363=TYPE4)*(TYPE4&lt;&gt;"")+('Dvd Calendar'!$K$1363=SPECIAL_LBL)*(INC_SPECIALS="Y"))=0,"",'Dvd Calendar'!$K$1361)))</f>
        <v/>
      </c>
      <c r="J138" s="106">
        <f>IF(EL138="","",IF(ISNUMBER('Dvd Calendar'!$L$1361)=FALSE,"",IF((('Dvd Calendar'!$L$1363=TYPE1)*(TYPE1&lt;&gt;"")+('Dvd Calendar'!$L$1363=TYPE2)*(TYPE2&lt;&gt;"")+('Dvd Calendar'!$L$1363=TYPE3)*(TYPE3&lt;&gt;"")+('Dvd Calendar'!$L$1363=TYPE4)*(TYPE4&lt;&gt;"")+('Dvd Calendar'!$L$1363=SPECIAL_LBL)*(INC_SPECIALS="Y"))=0,"",'Dvd Calendar'!$L$1361)))</f>
        <v/>
      </c>
      <c r="K138" s="106">
        <f>IF(EM138="","",IF(ISNUMBER('Dvd Calendar'!$M$1361)=FALSE,"",IF((('Dvd Calendar'!$M$1363=TYPE1)*(TYPE1&lt;&gt;"")+('Dvd Calendar'!$M$1363=TYPE2)*(TYPE2&lt;&gt;"")+('Dvd Calendar'!$M$1363=TYPE3)*(TYPE3&lt;&gt;"")+('Dvd Calendar'!$M$1363=TYPE4)*(TYPE4&lt;&gt;"")+('Dvd Calendar'!$M$1363=SPECIAL_LBL)*(INC_SPECIALS="Y"))=0,"",'Dvd Calendar'!$M$1361)))</f>
        <v/>
      </c>
      <c r="L138" s="106">
        <f>IF(EN138="","",IF(ISNUMBER('Dvd Calendar'!$N$1361)=FALSE,"",IF((('Dvd Calendar'!$N$1363=TYPE1)*(TYPE1&lt;&gt;"")+('Dvd Calendar'!$N$1363=TYPE2)*(TYPE2&lt;&gt;"")+('Dvd Calendar'!$N$1363=TYPE3)*(TYPE3&lt;&gt;"")+('Dvd Calendar'!$N$1363=TYPE4)*(TYPE4&lt;&gt;"")+('Dvd Calendar'!$N$1363=SPECIAL_LBL)*(INC_SPECIALS="Y"))=0,"",'Dvd Calendar'!$N$1361)))</f>
        <v/>
      </c>
      <c r="M138" s="106">
        <f>IF(EO138="","",IF(ISNUMBER('Dvd Calendar'!$O$1361)=FALSE,"",IF((('Dvd Calendar'!$O$1363=TYPE1)*(TYPE1&lt;&gt;"")+('Dvd Calendar'!$O$1363=TYPE2)*(TYPE2&lt;&gt;"")+('Dvd Calendar'!$O$1363=TYPE3)*(TYPE3&lt;&gt;"")+('Dvd Calendar'!$O$1363=TYPE4)*(TYPE4&lt;&gt;"")+('Dvd Calendar'!$O$1363=SPECIAL_LBL)*(INC_SPECIALS="Y"))=0,"",'Dvd Calendar'!$O$1361)))</f>
        <v/>
      </c>
      <c r="N138" s="106">
        <f>IF(EP138="","",IF(ISNUMBER('Dvd Calendar'!$P$1361)=FALSE,"",IF((('Dvd Calendar'!$P$1363=TYPE1)*(TYPE1&lt;&gt;"")+('Dvd Calendar'!$P$1363=TYPE2)*(TYPE2&lt;&gt;"")+('Dvd Calendar'!$P$1363=TYPE3)*(TYPE3&lt;&gt;"")+('Dvd Calendar'!$P$1363=TYPE4)*(TYPE4&lt;&gt;"")+('Dvd Calendar'!$P$1363=SPECIAL_LBL)*(INC_SPECIALS="Y"))=0,"",'Dvd Calendar'!$P$1361)))</f>
        <v/>
      </c>
      <c r="O138" s="106">
        <f>IF(EQ138="","",IF(ISNUMBER('Dvd Calendar'!$Q$1361)=FALSE,"",IF((('Dvd Calendar'!$Q$1363=TYPE1)*(TYPE1&lt;&gt;"")+('Dvd Calendar'!$Q$1363=TYPE2)*(TYPE2&lt;&gt;"")+('Dvd Calendar'!$Q$1363=TYPE3)*(TYPE3&lt;&gt;"")+('Dvd Calendar'!$Q$1363=TYPE4)*(TYPE4&lt;&gt;"")+('Dvd Calendar'!$Q$1363=SPECIAL_LBL)*(INC_SPECIALS="Y"))=0,"",'Dvd Calendar'!$Q$1361)))</f>
        <v/>
      </c>
      <c r="P138" s="106">
        <f>IF(ER138="","",IF(ISNUMBER('Dvd Calendar'!$R$1361)=FALSE,"",IF((('Dvd Calendar'!$R$1363=TYPE1)*(TYPE1&lt;&gt;"")+('Dvd Calendar'!$R$1363=TYPE2)*(TYPE2&lt;&gt;"")+('Dvd Calendar'!$R$1363=TYPE3)*(TYPE3&lt;&gt;"")+('Dvd Calendar'!$R$1363=TYPE4)*(TYPE4&lt;&gt;"")+('Dvd Calendar'!$R$1363=SPECIAL_LBL)*(INC_SPECIALS="Y"))=0,"",'Dvd Calendar'!$R$1361)))</f>
        <v/>
      </c>
      <c r="Q138" s="106">
        <f>IF(ES138="","",IF(ISNUMBER('Dvd Calendar'!$S$1361)=FALSE,"",IF((('Dvd Calendar'!$S$1363=TYPE1)*(TYPE1&lt;&gt;"")+('Dvd Calendar'!$S$1363=TYPE2)*(TYPE2&lt;&gt;"")+('Dvd Calendar'!$S$1363=TYPE3)*(TYPE3&lt;&gt;"")+('Dvd Calendar'!$S$1363=TYPE4)*(TYPE4&lt;&gt;"")+('Dvd Calendar'!$S$1363=SPECIAL_LBL)*(INC_SPECIALS="Y"))=0,"",'Dvd Calendar'!$S$1361)))</f>
        <v/>
      </c>
      <c r="R138" s="106">
        <f>IF(ET138="","",IF(ISNUMBER('Dvd Calendar'!$T$1361)=FALSE,"",IF((('Dvd Calendar'!$T$1363=TYPE1)*(TYPE1&lt;&gt;"")+('Dvd Calendar'!$T$1363=TYPE2)*(TYPE2&lt;&gt;"")+('Dvd Calendar'!$T$1363=TYPE3)*(TYPE3&lt;&gt;"")+('Dvd Calendar'!$T$1363=TYPE4)*(TYPE4&lt;&gt;"")+('Dvd Calendar'!$T$1363=SPECIAL_LBL)*(INC_SPECIALS="Y"))=0,"",'Dvd Calendar'!$T$1361)))</f>
        <v/>
      </c>
      <c r="S138" s="106">
        <f>IF(EU138="","",IF(ISNUMBER('Dvd Calendar'!$U$1361)=FALSE,"",IF((('Dvd Calendar'!$U$1363=TYPE1)*(TYPE1&lt;&gt;"")+('Dvd Calendar'!$U$1363=TYPE2)*(TYPE2&lt;&gt;"")+('Dvd Calendar'!$U$1363=TYPE3)*(TYPE3&lt;&gt;"")+('Dvd Calendar'!$U$1363=TYPE4)*(TYPE4&lt;&gt;"")+('Dvd Calendar'!$U$1363=SPECIAL_LBL)*(INC_SPECIALS="Y"))=0,"",'Dvd Calendar'!$U$1361)))</f>
        <v/>
      </c>
      <c r="T138" s="106">
        <f>IF(EV138="","",IF(ISNUMBER('Dvd Calendar'!$V$1361)=FALSE,"",IF((('Dvd Calendar'!$V$1363=TYPE1)*(TYPE1&lt;&gt;"")+('Dvd Calendar'!$V$1363=TYPE2)*(TYPE2&lt;&gt;"")+('Dvd Calendar'!$V$1363=TYPE3)*(TYPE3&lt;&gt;"")+('Dvd Calendar'!$V$1363=TYPE4)*(TYPE4&lt;&gt;"")+('Dvd Calendar'!$V$1363=SPECIAL_LBL)*(INC_SPECIALS="Y"))=0,"",'Dvd Calendar'!$V$1361)))</f>
        <v/>
      </c>
      <c r="U138" s="106">
        <f>IF(EW138="","",IF(ISNUMBER('Dvd Calendar'!$W$1361)=FALSE,"",IF((('Dvd Calendar'!$W$1363=TYPE1)*(TYPE1&lt;&gt;"")+('Dvd Calendar'!$W$1363=TYPE2)*(TYPE2&lt;&gt;"")+('Dvd Calendar'!$W$1363=TYPE3)*(TYPE3&lt;&gt;"")+('Dvd Calendar'!$W$1363=TYPE4)*(TYPE4&lt;&gt;"")+('Dvd Calendar'!$W$1363=SPECIAL_LBL)*(INC_SPECIALS="Y"))=0,"",'Dvd Calendar'!$W$1361)))</f>
        <v/>
      </c>
      <c r="V138" s="106">
        <f>IF(EX138="","",IF(ISNUMBER('Dvd Calendar'!$X$1361)=FALSE,"",IF((('Dvd Calendar'!$X$1363=TYPE1)*(TYPE1&lt;&gt;"")+('Dvd Calendar'!$X$1363=TYPE2)*(TYPE2&lt;&gt;"")+('Dvd Calendar'!$X$1363=TYPE3)*(TYPE3&lt;&gt;"")+('Dvd Calendar'!$X$1363=TYPE4)*(TYPE4&lt;&gt;"")+('Dvd Calendar'!$X$1363=SPECIAL_LBL)*(INC_SPECIALS="Y"))=0,"",'Dvd Calendar'!$X$1361)))</f>
        <v/>
      </c>
      <c r="W138" s="106">
        <f>IF(EY138="","",IF(ISNUMBER('Dvd Calendar'!$Y$1361)=FALSE,"",IF((('Dvd Calendar'!$Y$1363=TYPE1)*(TYPE1&lt;&gt;"")+('Dvd Calendar'!$Y$1363=TYPE2)*(TYPE2&lt;&gt;"")+('Dvd Calendar'!$Y$1363=TYPE3)*(TYPE3&lt;&gt;"")+('Dvd Calendar'!$Y$1363=TYPE4)*(TYPE4&lt;&gt;"")+('Dvd Calendar'!$Y$1363=SPECIAL_LBL)*(INC_SPECIALS="Y"))=0,"",'Dvd Calendar'!$Y$1361)))</f>
        <v/>
      </c>
      <c r="X138" s="106">
        <f>IF(EZ138="","",IF(ISNUMBER('Dvd Calendar'!$Z$1361)=FALSE,"",IF((('Dvd Calendar'!$Z$1363=TYPE1)*(TYPE1&lt;&gt;"")+('Dvd Calendar'!$Z$1363=TYPE2)*(TYPE2&lt;&gt;"")+('Dvd Calendar'!$Z$1363=TYPE3)*(TYPE3&lt;&gt;"")+('Dvd Calendar'!$Z$1363=TYPE4)*(TYPE4&lt;&gt;"")+('Dvd Calendar'!$Z$1363=SPECIAL_LBL)*(INC_SPECIALS="Y"))=0,"",'Dvd Calendar'!$Z$1361)))</f>
        <v/>
      </c>
      <c r="Y138" s="106">
        <f>IF(FA138="","",IF(ISNUMBER('Dvd Calendar'!$AA$1361)=FALSE,"",IF((('Dvd Calendar'!$AA$1363=TYPE1)*(TYPE1&lt;&gt;"")+('Dvd Calendar'!$AA$1363=TYPE2)*(TYPE2&lt;&gt;"")+('Dvd Calendar'!$AA$1363=TYPE3)*(TYPE3&lt;&gt;"")+('Dvd Calendar'!$AA$1363=TYPE4)*(TYPE4&lt;&gt;"")+('Dvd Calendar'!$AA$1363=SPECIAL_LBL)*(INC_SPECIALS="Y"))=0,"",'Dvd Calendar'!$AA$1361)))</f>
        <v/>
      </c>
      <c r="Z138" s="106">
        <f>IF(FB138="","",IF(ISNUMBER('Dvd Calendar'!$AB$1361)=FALSE,"",IF((('Dvd Calendar'!$AB$1363=TYPE1)*(TYPE1&lt;&gt;"")+('Dvd Calendar'!$AB$1363=TYPE2)*(TYPE2&lt;&gt;"")+('Dvd Calendar'!$AB$1363=TYPE3)*(TYPE3&lt;&gt;"")+('Dvd Calendar'!$AB$1363=TYPE4)*(TYPE4&lt;&gt;"")+('Dvd Calendar'!$AB$1363=SPECIAL_LBL)*(INC_SPECIALS="Y"))=0,"",'Dvd Calendar'!$AB$1361)))</f>
        <v/>
      </c>
      <c r="AA138" s="106">
        <f>IF(FC138="","",IF(ISNUMBER('Dvd Calendar'!$AC$1361)=FALSE,"",IF((('Dvd Calendar'!$AC$1363=TYPE1)*(TYPE1&lt;&gt;"")+('Dvd Calendar'!$AC$1363=TYPE2)*(TYPE2&lt;&gt;"")+('Dvd Calendar'!$AC$1363=TYPE3)*(TYPE3&lt;&gt;"")+('Dvd Calendar'!$AC$1363=TYPE4)*(TYPE4&lt;&gt;"")+('Dvd Calendar'!$AC$1363=SPECIAL_LBL)*(INC_SPECIALS="Y"))=0,"",'Dvd Calendar'!$AC$1361)))</f>
        <v/>
      </c>
      <c r="AB138" s="106">
        <f>IF(FD138="","",IF(ISNUMBER('Dvd Calendar'!$AD$1361)=FALSE,"",IF((('Dvd Calendar'!$AD$1363=TYPE1)*(TYPE1&lt;&gt;"")+('Dvd Calendar'!$AD$1363=TYPE2)*(TYPE2&lt;&gt;"")+('Dvd Calendar'!$AD$1363=TYPE3)*(TYPE3&lt;&gt;"")+('Dvd Calendar'!$AD$1363=TYPE4)*(TYPE4&lt;&gt;"")+('Dvd Calendar'!$AD$1363=SPECIAL_LBL)*(INC_SPECIALS="Y"))=0,"",'Dvd Calendar'!$AD$1361)))</f>
        <v/>
      </c>
      <c r="AC138" s="106">
        <f>IF(FE138="","",IF(ISNUMBER('Dvd Calendar'!$AE$1361)=FALSE,"",IF((('Dvd Calendar'!$AE$1363=TYPE1)*(TYPE1&lt;&gt;"")+('Dvd Calendar'!$AE$1363=TYPE2)*(TYPE2&lt;&gt;"")+('Dvd Calendar'!$AE$1363=TYPE3)*(TYPE3&lt;&gt;"")+('Dvd Calendar'!$AE$1363=TYPE4)*(TYPE4&lt;&gt;"")+('Dvd Calendar'!$AE$1363=SPECIAL_LBL)*(INC_SPECIALS="Y"))=0,"",'Dvd Calendar'!$AE$1361)))</f>
        <v/>
      </c>
      <c r="AD138" s="106">
        <f>IF(FF138="","",IF(ISNUMBER('Dvd Calendar'!$AF$1361)=FALSE,"",IF((('Dvd Calendar'!$AF$1363=TYPE1)*(TYPE1&lt;&gt;"")+('Dvd Calendar'!$AF$1363=TYPE2)*(TYPE2&lt;&gt;"")+('Dvd Calendar'!$AF$1363=TYPE3)*(TYPE3&lt;&gt;"")+('Dvd Calendar'!$AF$1363=TYPE4)*(TYPE4&lt;&gt;"")+('Dvd Calendar'!$AF$1363=SPECIAL_LBL)*(INC_SPECIALS="Y"))=0,"",'Dvd Calendar'!$AF$1361)))</f>
        <v/>
      </c>
      <c r="AE138" s="106">
        <f>IF(FG138="","",IF(ISNUMBER('Dvd Calendar'!$AG$1361)=FALSE,"",IF((('Dvd Calendar'!$AG$1363=TYPE1)*(TYPE1&lt;&gt;"")+('Dvd Calendar'!$AG$1363=TYPE2)*(TYPE2&lt;&gt;"")+('Dvd Calendar'!$AG$1363=TYPE3)*(TYPE3&lt;&gt;"")+('Dvd Calendar'!$AG$1363=TYPE4)*(TYPE4&lt;&gt;"")+('Dvd Calendar'!$AG$1363=SPECIAL_LBL)*(INC_SPECIALS="Y"))=0,"",'Dvd Calendar'!$AG$1361)))</f>
        <v/>
      </c>
      <c r="AF138" s="106">
        <f>IF(FH138="","",IF(ISNUMBER('Dvd Calendar'!$AH$1361)=FALSE,"",IF((('Dvd Calendar'!$AH$1363=TYPE1)*(TYPE1&lt;&gt;"")+('Dvd Calendar'!$AH$1363=TYPE2)*(TYPE2&lt;&gt;"")+('Dvd Calendar'!$AH$1363=TYPE3)*(TYPE3&lt;&gt;"")+('Dvd Calendar'!$AH$1363=TYPE4)*(TYPE4&lt;&gt;"")+('Dvd Calendar'!$AH$1363=SPECIAL_LBL)*(INC_SPECIALS="Y"))=0,"",'Dvd Calendar'!$AH$1361)))</f>
        <v/>
      </c>
      <c r="AG138" s="106">
        <f>IF(FI138="","",IF(ISNUMBER('Dvd Calendar'!$AI$1361)=FALSE,"",IF((('Dvd Calendar'!$AI$1363=TYPE1)*(TYPE1&lt;&gt;"")+('Dvd Calendar'!$AI$1363=TYPE2)*(TYPE2&lt;&gt;"")+('Dvd Calendar'!$AI$1363=TYPE3)*(TYPE3&lt;&gt;"")+('Dvd Calendar'!$AI$1363=TYPE4)*(TYPE4&lt;&gt;"")+('Dvd Calendar'!$AI$1363=SPECIAL_LBL)*(INC_SPECIALS="Y"))=0,"",'Dvd Calendar'!$AI$1361)))</f>
        <v/>
      </c>
      <c r="AH138" s="106">
        <f>IF(FJ138="","",IF(ISNUMBER('Dvd Calendar'!$AJ$1361)=FALSE,"",IF((('Dvd Calendar'!$AJ$1363=TYPE1)*(TYPE1&lt;&gt;"")+('Dvd Calendar'!$AJ$1363=TYPE2)*(TYPE2&lt;&gt;"")+('Dvd Calendar'!$AJ$1363=TYPE3)*(TYPE3&lt;&gt;"")+('Dvd Calendar'!$AJ$1363=TYPE4)*(TYPE4&lt;&gt;"")+('Dvd Calendar'!$AJ$1363=SPECIAL_LBL)*(INC_SPECIALS="Y"))=0,"",'Dvd Calendar'!$AJ$1361)))</f>
        <v/>
      </c>
      <c r="AI138" s="106">
        <f>IF(FK138="","",IF(ISNUMBER('Dvd Calendar'!$AK$1361)=FALSE,"",IF((('Dvd Calendar'!$AK$1363=TYPE1)*(TYPE1&lt;&gt;"")+('Dvd Calendar'!$AK$1363=TYPE2)*(TYPE2&lt;&gt;"")+('Dvd Calendar'!$AK$1363=TYPE3)*(TYPE3&lt;&gt;"")+('Dvd Calendar'!$AK$1363=TYPE4)*(TYPE4&lt;&gt;"")+('Dvd Calendar'!$AK$1363=SPECIAL_LBL)*(INC_SPECIALS="Y"))=0,"",'Dvd Calendar'!$AK$1361)))</f>
        <v/>
      </c>
      <c r="AJ138" s="106">
        <f>IF(FL138="","",IF(ISNUMBER('Dvd Calendar'!$AL$1361)=FALSE,"",IF((('Dvd Calendar'!$AL$1363=TYPE1)*(TYPE1&lt;&gt;"")+('Dvd Calendar'!$AL$1363=TYPE2)*(TYPE2&lt;&gt;"")+('Dvd Calendar'!$AL$1363=TYPE3)*(TYPE3&lt;&gt;"")+('Dvd Calendar'!$AL$1363=TYPE4)*(TYPE4&lt;&gt;"")+('Dvd Calendar'!$AL$1363=SPECIAL_LBL)*(INC_SPECIALS="Y"))=0,"",'Dvd Calendar'!$AL$1361)))</f>
        <v/>
      </c>
      <c r="AK138" s="106">
        <f>IF(FM138="","",IF(ISNUMBER('Dvd Calendar'!$AM$1361)=FALSE,"",IF((('Dvd Calendar'!$AM$1363=TYPE1)*(TYPE1&lt;&gt;"")+('Dvd Calendar'!$AM$1363=TYPE2)*(TYPE2&lt;&gt;"")+('Dvd Calendar'!$AM$1363=TYPE3)*(TYPE3&lt;&gt;"")+('Dvd Calendar'!$AM$1363=TYPE4)*(TYPE4&lt;&gt;"")+('Dvd Calendar'!$AM$1363=SPECIAL_LBL)*(INC_SPECIALS="Y"))=0,"",'Dvd Calendar'!$AM$1361)))</f>
        <v/>
      </c>
      <c r="AL138" s="106">
        <f>IF(FN138="","",IF(ISNUMBER('Dvd Calendar'!$AN$1361)=FALSE,"",IF((('Dvd Calendar'!$AN$1363=TYPE1)*(TYPE1&lt;&gt;"")+('Dvd Calendar'!$AN$1363=TYPE2)*(TYPE2&lt;&gt;"")+('Dvd Calendar'!$AN$1363=TYPE3)*(TYPE3&lt;&gt;"")+('Dvd Calendar'!$AN$1363=TYPE4)*(TYPE4&lt;&gt;"")+('Dvd Calendar'!$AN$1363=SPECIAL_LBL)*(INC_SPECIALS="Y"))=0,"",'Dvd Calendar'!$AN$1361)))</f>
        <v/>
      </c>
      <c r="AM138" s="106">
        <f>IF(FO138="","",IF(ISNUMBER('Dvd Calendar'!$AO$1361)=FALSE,"",IF((('Dvd Calendar'!$AO$1363=TYPE1)*(TYPE1&lt;&gt;"")+('Dvd Calendar'!$AO$1363=TYPE2)*(TYPE2&lt;&gt;"")+('Dvd Calendar'!$AO$1363=TYPE3)*(TYPE3&lt;&gt;"")+('Dvd Calendar'!$AO$1363=TYPE4)*(TYPE4&lt;&gt;"")+('Dvd Calendar'!$AO$1363=SPECIAL_LBL)*(INC_SPECIALS="Y"))=0,"",'Dvd Calendar'!$AO$1361)))</f>
        <v/>
      </c>
      <c r="AN138" s="106">
        <f>IF(FP138="","",IF(ISNUMBER('Dvd Calendar'!$AP$1361)=FALSE,"",IF((('Dvd Calendar'!$AP$1363=TYPE1)*(TYPE1&lt;&gt;"")+('Dvd Calendar'!$AP$1363=TYPE2)*(TYPE2&lt;&gt;"")+('Dvd Calendar'!$AP$1363=TYPE3)*(TYPE3&lt;&gt;"")+('Dvd Calendar'!$AP$1363=TYPE4)*(TYPE4&lt;&gt;"")+('Dvd Calendar'!$AP$1363=SPECIAL_LBL)*(INC_SPECIALS="Y"))=0,"",'Dvd Calendar'!$AP$1361)))</f>
        <v/>
      </c>
      <c r="AO138" s="106">
        <f>IF(FQ138="","",IF(ISNUMBER('Dvd Calendar'!$AQ$1361)=FALSE,"",IF((('Dvd Calendar'!$AQ$1363=TYPE1)*(TYPE1&lt;&gt;"")+('Dvd Calendar'!$AQ$1363=TYPE2)*(TYPE2&lt;&gt;"")+('Dvd Calendar'!$AQ$1363=TYPE3)*(TYPE3&lt;&gt;"")+('Dvd Calendar'!$AQ$1363=TYPE4)*(TYPE4&lt;&gt;"")+('Dvd Calendar'!$AQ$1363=SPECIAL_LBL)*(INC_SPECIALS="Y"))=0,"",'Dvd Calendar'!$AQ$1361)))</f>
        <v/>
      </c>
      <c r="AP138" s="106">
        <f>IF(FR138="","",IF(ISNUMBER('Dvd Calendar'!$AR$1361)=FALSE,"",IF((('Dvd Calendar'!$AR$1363=TYPE1)*(TYPE1&lt;&gt;"")+('Dvd Calendar'!$AR$1363=TYPE2)*(TYPE2&lt;&gt;"")+('Dvd Calendar'!$AR$1363=TYPE3)*(TYPE3&lt;&gt;"")+('Dvd Calendar'!$AR$1363=TYPE4)*(TYPE4&lt;&gt;"")+('Dvd Calendar'!$AR$1363=SPECIAL_LBL)*(INC_SPECIALS="Y"))=0,"",'Dvd Calendar'!$AR$1361)))</f>
        <v/>
      </c>
      <c r="AQ138" s="106">
        <f>IF(FS138="","",IF(ISNUMBER('Dvd Calendar'!$E$1366)=FALSE,"",'Dvd Calendar'!$E$1366))</f>
        <v/>
      </c>
      <c r="AR138" s="106">
        <f>IF(FT138="","",IF(ISNUMBER('Dvd Calendar'!$F$1366)=FALSE,"",'Dvd Calendar'!$F$1366))</f>
        <v/>
      </c>
      <c r="AS138" s="106">
        <f>IF(FU138="","",IF(ISNUMBER('Dvd Calendar'!$G$1366)=FALSE,"",'Dvd Calendar'!$G$1366))</f>
        <v/>
      </c>
      <c r="AT138" s="106">
        <f>IF(FV138="","",IF(ISNUMBER('Dvd Calendar'!$H$1366)=FALSE,"",'Dvd Calendar'!$H$1366))</f>
        <v/>
      </c>
      <c r="AU138" s="106">
        <f>IF(FW138="","",IF(ISNUMBER('Dvd Calendar'!$I$1366)=FALSE,"",'Dvd Calendar'!$I$1366))</f>
        <v/>
      </c>
      <c r="AV138" s="106">
        <f>IF(FX138="","",IF(ISNUMBER('Dvd Calendar'!$J$1366)=FALSE,"",'Dvd Calendar'!$J$1366))</f>
        <v/>
      </c>
      <c r="AW138" s="106">
        <f>IF(FY138="","",IF(ISNUMBER('Dvd Calendar'!$K$1366)=FALSE,"",'Dvd Calendar'!$K$1366))</f>
        <v/>
      </c>
      <c r="AX138" s="106">
        <f>IF(FZ138="","",IF(ISNUMBER('Dvd Calendar'!$L$1366)=FALSE,"",'Dvd Calendar'!$L$1366))</f>
        <v/>
      </c>
      <c r="AY138" s="106">
        <f>IF(GA138="","",IF(ISNUMBER('Dvd Calendar'!$M$1366)=FALSE,"",'Dvd Calendar'!$M$1366))</f>
        <v/>
      </c>
      <c r="AZ138" s="106">
        <f>IF(GB138="","",IF(ISNUMBER('Dvd Calendar'!$N$1366)=FALSE,"",'Dvd Calendar'!$N$1366))</f>
        <v/>
      </c>
      <c r="BA138" s="106">
        <f>IF(GC138="","",IF(ISNUMBER('Dvd Calendar'!$O$1366)=FALSE,"",'Dvd Calendar'!$O$1366))</f>
        <v/>
      </c>
      <c r="BB138" s="106">
        <f>IF(GD138="","",IF(ISNUMBER('Dvd Calendar'!$P$1366)=FALSE,"",'Dvd Calendar'!$P$1366))</f>
        <v/>
      </c>
      <c r="BC138" s="106">
        <f>IF(GE138="","",IF(ISNUMBER('Dvd Calendar'!$Q$1366)=FALSE,"",'Dvd Calendar'!$Q$1366))</f>
        <v/>
      </c>
      <c r="BD138" s="106">
        <f>IF(GF138="","",IF(ISNUMBER('Dvd Calendar'!$R$1366)=FALSE,"",'Dvd Calendar'!$R$1366))</f>
        <v/>
      </c>
      <c r="BE138" s="106">
        <f>IF(GG138="","",IF(ISNUMBER('Dvd Calendar'!$S$1366)=FALSE,"",'Dvd Calendar'!$S$1366))</f>
        <v/>
      </c>
      <c r="BF138" s="106">
        <f>IF(GH138="","",IF(ISNUMBER('Dvd Calendar'!$T$1366)=FALSE,"",'Dvd Calendar'!$T$1366))</f>
        <v/>
      </c>
      <c r="BG138" s="106">
        <f>IF(GI138="","",IF(ISNUMBER('Dvd Calendar'!$U$1366)=FALSE,"",'Dvd Calendar'!$U$1366))</f>
        <v/>
      </c>
      <c r="BH138" s="106">
        <f>IF(GJ138="","",IF(ISNUMBER('Dvd Calendar'!$V$1366)=FALSE,"",'Dvd Calendar'!$V$1366))</f>
        <v/>
      </c>
      <c r="BI138" s="106">
        <f>IF(GK138="","",IF(ISNUMBER('Dvd Calendar'!$W$1366)=FALSE,"",'Dvd Calendar'!$W$1366))</f>
        <v/>
      </c>
      <c r="BJ138" s="106">
        <f>IF(GL138="","",IF(ISNUMBER('Dvd Calendar'!$X$1366)=FALSE,"",'Dvd Calendar'!$X$1366))</f>
        <v/>
      </c>
      <c r="BK138" s="106">
        <f>IF(GM138="","",IF(ISNUMBER('Dvd Calendar'!$Y$1366)=FALSE,"",'Dvd Calendar'!$Y$1366))</f>
        <v/>
      </c>
      <c r="BL138" s="106">
        <f>IF(GN138="","",IF(ISNUMBER('Dvd Calendar'!$Z$1366)=FALSE,"",'Dvd Calendar'!$Z$1366))</f>
        <v/>
      </c>
      <c r="BM138" s="106">
        <f>IF(GO138="","",IF(ISNUMBER('Dvd Calendar'!$AA$1366)=FALSE,"",'Dvd Calendar'!$AA$1366))</f>
        <v/>
      </c>
      <c r="BN138" s="106">
        <f>IF(GP138="","",IF(ISNUMBER('Dvd Calendar'!$AB$1366)=FALSE,"",'Dvd Calendar'!$AB$1366))</f>
        <v/>
      </c>
      <c r="BO138" s="106">
        <f>IF(GQ138="","",IF(ISNUMBER('Dvd Calendar'!$AC$1366)=FALSE,"",'Dvd Calendar'!$AC$1366))</f>
        <v/>
      </c>
      <c r="BQ138" s="106">
        <f>IF(C138="","",IFERROR(C138*HSTECH!$B$29*HSTECH!$G$29/HSTECH!$B$3,""))</f>
        <v/>
      </c>
      <c r="BR138" s="106">
        <f>IF(D138="","",IFERROR(D138*HSTECH!$B$29*HSTECH!$G$29/HSTECH!$B$3,""))</f>
        <v/>
      </c>
      <c r="BS138" s="106">
        <f>IF(E138="","",IFERROR(E138*HSTECH!$B$29*HSTECH!$G$29/HSTECH!$B$3,""))</f>
        <v/>
      </c>
      <c r="BT138" s="106">
        <f>IF(F138="","",IFERROR(F138*HSTECH!$B$29*HSTECH!$G$29/HSTECH!$B$3,""))</f>
        <v/>
      </c>
      <c r="BU138" s="106">
        <f>IF(G138="","",IFERROR(G138*HSTECH!$B$29*HSTECH!$G$29/HSTECH!$B$3,""))</f>
        <v/>
      </c>
      <c r="BV138" s="106">
        <f>IF(H138="","",IFERROR(H138*HSTECH!$B$29*HSTECH!$G$29/HSTECH!$B$3,""))</f>
        <v/>
      </c>
      <c r="BW138" s="106">
        <f>IF(I138="","",IFERROR(I138*HSTECH!$B$29*HSTECH!$G$29/HSTECH!$B$3,""))</f>
        <v/>
      </c>
      <c r="BX138" s="106">
        <f>IF(J138="","",IFERROR(J138*HSTECH!$B$29*HSTECH!$G$29/HSTECH!$B$3,""))</f>
        <v/>
      </c>
      <c r="BY138" s="106">
        <f>IF(K138="","",IFERROR(K138*HSTECH!$B$29*HSTECH!$G$29/HSTECH!$B$3,""))</f>
        <v/>
      </c>
      <c r="BZ138" s="106">
        <f>IF(L138="","",IFERROR(L138*HSTECH!$B$29*HSTECH!$G$29/HSTECH!$B$3,""))</f>
        <v/>
      </c>
      <c r="CA138" s="106">
        <f>IF(M138="","",IFERROR(M138*HSTECH!$B$29*HSTECH!$G$29/HSTECH!$B$3,""))</f>
        <v/>
      </c>
      <c r="CB138" s="106">
        <f>IF(N138="","",IFERROR(N138*HSTECH!$B$29*HSTECH!$G$29/HSTECH!$B$3,""))</f>
        <v/>
      </c>
      <c r="CC138" s="106">
        <f>IF(O138="","",IFERROR(O138*HSTECH!$B$29*HSTECH!$G$29/HSTECH!$B$3,""))</f>
        <v/>
      </c>
      <c r="CD138" s="106">
        <f>IF(P138="","",IFERROR(P138*HSTECH!$B$29*HSTECH!$G$29/HSTECH!$B$3,""))</f>
        <v/>
      </c>
      <c r="CE138" s="106">
        <f>IF(Q138="","",IFERROR(Q138*HSTECH!$B$29*HSTECH!$G$29/HSTECH!$B$3,""))</f>
        <v/>
      </c>
      <c r="CF138" s="106">
        <f>IF(R138="","",IFERROR(R138*HSTECH!$B$29*HSTECH!$G$29/HSTECH!$B$3,""))</f>
        <v/>
      </c>
      <c r="CG138" s="106">
        <f>IF(S138="","",IFERROR(S138*HSTECH!$B$29*HSTECH!$G$29/HSTECH!$B$3,""))</f>
        <v/>
      </c>
      <c r="CH138" s="106">
        <f>IF(T138="","",IFERROR(T138*HSTECH!$B$29*HSTECH!$G$29/HSTECH!$B$3,""))</f>
        <v/>
      </c>
      <c r="CI138" s="106">
        <f>IF(U138="","",IFERROR(U138*HSTECH!$B$29*HSTECH!$G$29/HSTECH!$B$3,""))</f>
        <v/>
      </c>
      <c r="CJ138" s="106">
        <f>IF(V138="","",IFERROR(V138*HSTECH!$B$29*HSTECH!$G$29/HSTECH!$B$3,""))</f>
        <v/>
      </c>
      <c r="CK138" s="106">
        <f>IF(W138="","",IFERROR(W138*HSTECH!$B$29*HSTECH!$G$29/HSTECH!$B$3,""))</f>
        <v/>
      </c>
      <c r="CL138" s="106">
        <f>IF(X138="","",IFERROR(X138*HSTECH!$B$29*HSTECH!$G$29/HSTECH!$B$3,""))</f>
        <v/>
      </c>
      <c r="CM138" s="106">
        <f>IF(Y138="","",IFERROR(Y138*HSTECH!$B$29*HSTECH!$G$29/HSTECH!$B$3,""))</f>
        <v/>
      </c>
      <c r="CN138" s="106">
        <f>IF(Z138="","",IFERROR(Z138*HSTECH!$B$29*HSTECH!$G$29/HSTECH!$B$3,""))</f>
        <v/>
      </c>
      <c r="CO138" s="106">
        <f>IF(AA138="","",IFERROR(AA138*HSTECH!$B$29*HSTECH!$G$29/HSTECH!$B$3,""))</f>
        <v/>
      </c>
      <c r="CP138" s="106">
        <f>IF(AB138="","",IFERROR(AB138*HSTECH!$B$29*HSTECH!$G$29/HSTECH!$B$3,""))</f>
        <v/>
      </c>
      <c r="CQ138" s="106">
        <f>IF(AC138="","",IFERROR(AC138*HSTECH!$B$29*HSTECH!$G$29/HSTECH!$B$3,""))</f>
        <v/>
      </c>
      <c r="CR138" s="106">
        <f>IF(AD138="","",IFERROR(AD138*HSTECH!$B$29*HSTECH!$G$29/HSTECH!$B$3,""))</f>
        <v/>
      </c>
      <c r="CS138" s="106">
        <f>IF(AE138="","",IFERROR(AE138*HSTECH!$B$29*HSTECH!$G$29/HSTECH!$B$3,""))</f>
        <v/>
      </c>
      <c r="CT138" s="106">
        <f>IF(AF138="","",IFERROR(AF138*HSTECH!$B$29*HSTECH!$G$29/HSTECH!$B$3,""))</f>
        <v/>
      </c>
      <c r="CU138" s="106">
        <f>IF(AG138="","",IFERROR(AG138*HSTECH!$B$29*HSTECH!$G$29/HSTECH!$B$3,""))</f>
        <v/>
      </c>
      <c r="CV138" s="106">
        <f>IF(AH138="","",IFERROR(AH138*HSTECH!$B$29*HSTECH!$G$29/HSTECH!$B$3,""))</f>
        <v/>
      </c>
      <c r="CW138" s="106">
        <f>IF(AI138="","",IFERROR(AI138*HSTECH!$B$29*HSTECH!$G$29/HSTECH!$B$3,""))</f>
        <v/>
      </c>
      <c r="CX138" s="106">
        <f>IF(AJ138="","",IFERROR(AJ138*HSTECH!$B$29*HSTECH!$G$29/HSTECH!$B$3,""))</f>
        <v/>
      </c>
      <c r="CY138" s="106">
        <f>IF(AK138="","",IFERROR(AK138*HSTECH!$B$29*HSTECH!$G$29/HSTECH!$B$3,""))</f>
        <v/>
      </c>
      <c r="CZ138" s="106">
        <f>IF(AL138="","",IFERROR(AL138*HSTECH!$B$29*HSTECH!$G$29/HSTECH!$B$3,""))</f>
        <v/>
      </c>
      <c r="DA138" s="106">
        <f>IF(AM138="","",IFERROR(AM138*HSTECH!$B$29*HSTECH!$G$29/HSTECH!$B$3,""))</f>
        <v/>
      </c>
      <c r="DB138" s="106">
        <f>IF(AN138="","",IFERROR(AN138*HSTECH!$B$29*HSTECH!$G$29/HSTECH!$B$3,""))</f>
        <v/>
      </c>
      <c r="DC138" s="106">
        <f>IF(AO138="","",IFERROR(AO138*HSTECH!$B$29*HSTECH!$G$29/HSTECH!$B$3,""))</f>
        <v/>
      </c>
      <c r="DD138" s="106">
        <f>IF(AP138="","",IFERROR(AP138*HSTECH!$B$29*HSTECH!$G$29/HSTECH!$B$3,""))</f>
        <v/>
      </c>
      <c r="DE138" s="106">
        <f>IF(AQ138="","",IFERROR(AQ138*HSTECH!$B$29*HSTECH!$G$29/HSTECH!$B$3,""))</f>
        <v/>
      </c>
      <c r="DF138" s="106">
        <f>IF(AR138="","",IFERROR(AR138*HSTECH!$B$29*HSTECH!$G$29/HSTECH!$B$3,""))</f>
        <v/>
      </c>
      <c r="DG138" s="106">
        <f>IF(AS138="","",IFERROR(AS138*HSTECH!$B$29*HSTECH!$G$29/HSTECH!$B$3,""))</f>
        <v/>
      </c>
      <c r="DH138" s="106">
        <f>IF(AT138="","",IFERROR(AT138*HSTECH!$B$29*HSTECH!$G$29/HSTECH!$B$3,""))</f>
        <v/>
      </c>
      <c r="DI138" s="106">
        <f>IF(AU138="","",IFERROR(AU138*HSTECH!$B$29*HSTECH!$G$29/HSTECH!$B$3,""))</f>
        <v/>
      </c>
      <c r="DJ138" s="106">
        <f>IF(AV138="","",IFERROR(AV138*HSTECH!$B$29*HSTECH!$G$29/HSTECH!$B$3,""))</f>
        <v/>
      </c>
      <c r="DK138" s="106">
        <f>IF(AW138="","",IFERROR(AW138*HSTECH!$B$29*HSTECH!$G$29/HSTECH!$B$3,""))</f>
        <v/>
      </c>
      <c r="DL138" s="106">
        <f>IF(AX138="","",IFERROR(AX138*HSTECH!$B$29*HSTECH!$G$29/HSTECH!$B$3,""))</f>
        <v/>
      </c>
      <c r="DM138" s="106">
        <f>IF(AY138="","",IFERROR(AY138*HSTECH!$B$29*HSTECH!$G$29/HSTECH!$B$3,""))</f>
        <v/>
      </c>
      <c r="DN138" s="106">
        <f>IF(AZ138="","",IFERROR(AZ138*HSTECH!$B$29*HSTECH!$G$29/HSTECH!$B$3,""))</f>
        <v/>
      </c>
      <c r="DO138" s="106">
        <f>IF(BA138="","",IFERROR(BA138*HSTECH!$B$29*HSTECH!$G$29/HSTECH!$B$3,""))</f>
        <v/>
      </c>
      <c r="DP138" s="106">
        <f>IF(BB138="","",IFERROR(BB138*HSTECH!$B$29*HSTECH!$G$29/HSTECH!$B$3,""))</f>
        <v/>
      </c>
      <c r="DQ138" s="106">
        <f>IF(BC138="","",IFERROR(BC138*HSTECH!$B$29*HSTECH!$G$29/HSTECH!$B$3,""))</f>
        <v/>
      </c>
      <c r="DR138" s="106">
        <f>IF(BD138="","",IFERROR(BD138*HSTECH!$B$29*HSTECH!$G$29/HSTECH!$B$3,""))</f>
        <v/>
      </c>
      <c r="DS138" s="106">
        <f>IF(BE138="","",IFERROR(BE138*HSTECH!$B$29*HSTECH!$G$29/HSTECH!$B$3,""))</f>
        <v/>
      </c>
      <c r="DT138" s="106">
        <f>IF(BF138="","",IFERROR(BF138*HSTECH!$B$29*HSTECH!$G$29/HSTECH!$B$3,""))</f>
        <v/>
      </c>
      <c r="DU138" s="106">
        <f>IF(BG138="","",IFERROR(BG138*HSTECH!$B$29*HSTECH!$G$29/HSTECH!$B$3,""))</f>
        <v/>
      </c>
      <c r="DV138" s="106">
        <f>IF(BH138="","",IFERROR(BH138*HSTECH!$B$29*HSTECH!$G$29/HSTECH!$B$3,""))</f>
        <v/>
      </c>
      <c r="DW138" s="106">
        <f>IF(BI138="","",IFERROR(BI138*HSTECH!$B$29*HSTECH!$G$29/HSTECH!$B$3,""))</f>
        <v/>
      </c>
      <c r="DX138" s="106">
        <f>IF(BJ138="","",IFERROR(BJ138*HSTECH!$B$29*HSTECH!$G$29/HSTECH!$B$3,""))</f>
        <v/>
      </c>
      <c r="DY138" s="106">
        <f>IF(BK138="","",IFERROR(BK138*HSTECH!$B$29*HSTECH!$G$29/HSTECH!$B$3,""))</f>
        <v/>
      </c>
      <c r="DZ138" s="106">
        <f>IF(BL138="","",IFERROR(BL138*HSTECH!$B$29*HSTECH!$G$29/HSTECH!$B$3,""))</f>
        <v/>
      </c>
      <c r="EA138" s="106">
        <f>IF(BM138="","",IFERROR(BM138*HSTECH!$B$29*HSTECH!$G$29/HSTECH!$B$3,""))</f>
        <v/>
      </c>
      <c r="EB138" s="106">
        <f>IF(BN138="","",IFERROR(BN138*HSTECH!$B$29*HSTECH!$G$29/HSTECH!$B$3,""))</f>
        <v/>
      </c>
      <c r="EC138" s="106">
        <f>IF(BO138="","",IFERROR(BO138*HSTECH!$B$29*HSTECH!$G$29/HSTECH!$B$3,""))</f>
        <v/>
      </c>
      <c r="EE138" s="35">
        <f>IF(N('Dvd Calendar'!$E$1358)=0,"",IF(('Dvd Calendar'!$E$1358&gt;=GRID_FROM)*('Dvd Calendar'!$E$1358&lt;=GRID_TO)*('Dvd Calendar'!$E$1358&lt;=VAL_DATE)=0,"",'Dvd Calendar'!$E$1358*1000000000+ISNUMBER('Dvd Calendar'!$E$1361)*100000000+('Dvd Calendar'!$E$1363=SPECIAL_LBL)*10000000+0*1000000+23*1000+1))</f>
        <v/>
      </c>
      <c r="EF138" s="35">
        <f>IF(N('Dvd Calendar'!$F$1358)=0,"",IF(('Dvd Calendar'!$F$1358&gt;=GRID_FROM)*('Dvd Calendar'!$F$1358&lt;=GRID_TO)*('Dvd Calendar'!$F$1358&lt;=VAL_DATE)=0,"",'Dvd Calendar'!$F$1358*1000000000+ISNUMBER('Dvd Calendar'!$F$1361)*100000000+('Dvd Calendar'!$F$1363=SPECIAL_LBL)*10000000+0*1000000+23*1000+2))</f>
        <v/>
      </c>
      <c r="EG138" s="35">
        <f>IF(N('Dvd Calendar'!$G$1358)=0,"",IF(('Dvd Calendar'!$G$1358&gt;=GRID_FROM)*('Dvd Calendar'!$G$1358&lt;=GRID_TO)*('Dvd Calendar'!$G$1358&lt;=VAL_DATE)=0,"",'Dvd Calendar'!$G$1358*1000000000+ISNUMBER('Dvd Calendar'!$G$1361)*100000000+('Dvd Calendar'!$G$1363=SPECIAL_LBL)*10000000+0*1000000+23*1000+3))</f>
        <v/>
      </c>
      <c r="EH138" s="35">
        <f>IF(N('Dvd Calendar'!$H$1358)=0,"",IF(('Dvd Calendar'!$H$1358&gt;=GRID_FROM)*('Dvd Calendar'!$H$1358&lt;=GRID_TO)*('Dvd Calendar'!$H$1358&lt;=VAL_DATE)=0,"",'Dvd Calendar'!$H$1358*1000000000+ISNUMBER('Dvd Calendar'!$H$1361)*100000000+('Dvd Calendar'!$H$1363=SPECIAL_LBL)*10000000+0*1000000+23*1000+4))</f>
        <v/>
      </c>
      <c r="EI138" s="35">
        <f>IF(N('Dvd Calendar'!$I$1358)=0,"",IF(('Dvd Calendar'!$I$1358&gt;=GRID_FROM)*('Dvd Calendar'!$I$1358&lt;=GRID_TO)*('Dvd Calendar'!$I$1358&lt;=VAL_DATE)=0,"",'Dvd Calendar'!$I$1358*1000000000+ISNUMBER('Dvd Calendar'!$I$1361)*100000000+('Dvd Calendar'!$I$1363=SPECIAL_LBL)*10000000+0*1000000+23*1000+5))</f>
        <v/>
      </c>
      <c r="EJ138" s="35">
        <f>IF(N('Dvd Calendar'!$J$1358)=0,"",IF(('Dvd Calendar'!$J$1358&gt;=GRID_FROM)*('Dvd Calendar'!$J$1358&lt;=GRID_TO)*('Dvd Calendar'!$J$1358&lt;=VAL_DATE)=0,"",'Dvd Calendar'!$J$1358*1000000000+ISNUMBER('Dvd Calendar'!$J$1361)*100000000+('Dvd Calendar'!$J$1363=SPECIAL_LBL)*10000000+0*1000000+23*1000+6))</f>
        <v/>
      </c>
      <c r="EK138" s="35">
        <f>IF(N('Dvd Calendar'!$K$1358)=0,"",IF(('Dvd Calendar'!$K$1358&gt;=GRID_FROM)*('Dvd Calendar'!$K$1358&lt;=GRID_TO)*('Dvd Calendar'!$K$1358&lt;=VAL_DATE)=0,"",'Dvd Calendar'!$K$1358*1000000000+ISNUMBER('Dvd Calendar'!$K$1361)*100000000+('Dvd Calendar'!$K$1363=SPECIAL_LBL)*10000000+0*1000000+23*1000+7))</f>
        <v/>
      </c>
      <c r="EL138" s="35">
        <f>IF(N('Dvd Calendar'!$L$1358)=0,"",IF(('Dvd Calendar'!$L$1358&gt;=GRID_FROM)*('Dvd Calendar'!$L$1358&lt;=GRID_TO)*('Dvd Calendar'!$L$1358&lt;=VAL_DATE)=0,"",'Dvd Calendar'!$L$1358*1000000000+ISNUMBER('Dvd Calendar'!$L$1361)*100000000+('Dvd Calendar'!$L$1363=SPECIAL_LBL)*10000000+0*1000000+23*1000+8))</f>
        <v/>
      </c>
      <c r="EM138" s="35">
        <f>IF(N('Dvd Calendar'!$M$1358)=0,"",IF(('Dvd Calendar'!$M$1358&gt;=GRID_FROM)*('Dvd Calendar'!$M$1358&lt;=GRID_TO)*('Dvd Calendar'!$M$1358&lt;=VAL_DATE)=0,"",'Dvd Calendar'!$M$1358*1000000000+ISNUMBER('Dvd Calendar'!$M$1361)*100000000+('Dvd Calendar'!$M$1363=SPECIAL_LBL)*10000000+0*1000000+23*1000+9))</f>
        <v/>
      </c>
      <c r="EN138" s="35">
        <f>IF(N('Dvd Calendar'!$N$1358)=0,"",IF(('Dvd Calendar'!$N$1358&gt;=GRID_FROM)*('Dvd Calendar'!$N$1358&lt;=GRID_TO)*('Dvd Calendar'!$N$1358&lt;=VAL_DATE)=0,"",'Dvd Calendar'!$N$1358*1000000000+ISNUMBER('Dvd Calendar'!$N$1361)*100000000+('Dvd Calendar'!$N$1363=SPECIAL_LBL)*10000000+0*1000000+23*1000+10))</f>
        <v/>
      </c>
      <c r="EO138" s="35">
        <f>IF(N('Dvd Calendar'!$O$1358)=0,"",IF(('Dvd Calendar'!$O$1358&gt;=GRID_FROM)*('Dvd Calendar'!$O$1358&lt;=GRID_TO)*('Dvd Calendar'!$O$1358&lt;=VAL_DATE)=0,"",'Dvd Calendar'!$O$1358*1000000000+ISNUMBER('Dvd Calendar'!$O$1361)*100000000+('Dvd Calendar'!$O$1363=SPECIAL_LBL)*10000000+0*1000000+23*1000+11))</f>
        <v/>
      </c>
      <c r="EP138" s="35">
        <f>IF(N('Dvd Calendar'!$P$1358)=0,"",IF(('Dvd Calendar'!$P$1358&gt;=GRID_FROM)*('Dvd Calendar'!$P$1358&lt;=GRID_TO)*('Dvd Calendar'!$P$1358&lt;=VAL_DATE)=0,"",'Dvd Calendar'!$P$1358*1000000000+ISNUMBER('Dvd Calendar'!$P$1361)*100000000+('Dvd Calendar'!$P$1363=SPECIAL_LBL)*10000000+0*1000000+23*1000+12))</f>
        <v/>
      </c>
      <c r="EQ138" s="35">
        <f>IF(N('Dvd Calendar'!$Q$1358)=0,"",IF(('Dvd Calendar'!$Q$1358&gt;=GRID_FROM)*('Dvd Calendar'!$Q$1358&lt;=GRID_TO)*('Dvd Calendar'!$Q$1358&lt;=VAL_DATE)=0,"",'Dvd Calendar'!$Q$1358*1000000000+ISNUMBER('Dvd Calendar'!$Q$1361)*100000000+('Dvd Calendar'!$Q$1363=SPECIAL_LBL)*10000000+0*1000000+23*1000+13))</f>
        <v/>
      </c>
      <c r="ER138" s="35">
        <f>IF(N('Dvd Calendar'!$R$1358)=0,"",IF(('Dvd Calendar'!$R$1358&gt;=GRID_FROM)*('Dvd Calendar'!$R$1358&lt;=GRID_TO)*('Dvd Calendar'!$R$1358&lt;=VAL_DATE)=0,"",'Dvd Calendar'!$R$1358*1000000000+ISNUMBER('Dvd Calendar'!$R$1361)*100000000+('Dvd Calendar'!$R$1363=SPECIAL_LBL)*10000000+0*1000000+23*1000+14))</f>
        <v/>
      </c>
      <c r="ES138" s="35">
        <f>IF(N('Dvd Calendar'!$S$1358)=0,"",IF(('Dvd Calendar'!$S$1358&gt;=GRID_FROM)*('Dvd Calendar'!$S$1358&lt;=GRID_TO)*('Dvd Calendar'!$S$1358&lt;=VAL_DATE)=0,"",'Dvd Calendar'!$S$1358*1000000000+ISNUMBER('Dvd Calendar'!$S$1361)*100000000+('Dvd Calendar'!$S$1363=SPECIAL_LBL)*10000000+0*1000000+23*1000+15))</f>
        <v/>
      </c>
      <c r="ET138" s="35">
        <f>IF(N('Dvd Calendar'!$T$1358)=0,"",IF(('Dvd Calendar'!$T$1358&gt;=GRID_FROM)*('Dvd Calendar'!$T$1358&lt;=GRID_TO)*('Dvd Calendar'!$T$1358&lt;=VAL_DATE)=0,"",'Dvd Calendar'!$T$1358*1000000000+ISNUMBER('Dvd Calendar'!$T$1361)*100000000+('Dvd Calendar'!$T$1363=SPECIAL_LBL)*10000000+0*1000000+23*1000+16))</f>
        <v/>
      </c>
      <c r="EU138" s="35">
        <f>IF(N('Dvd Calendar'!$U$1358)=0,"",IF(('Dvd Calendar'!$U$1358&gt;=GRID_FROM)*('Dvd Calendar'!$U$1358&lt;=GRID_TO)*('Dvd Calendar'!$U$1358&lt;=VAL_DATE)=0,"",'Dvd Calendar'!$U$1358*1000000000+ISNUMBER('Dvd Calendar'!$U$1361)*100000000+('Dvd Calendar'!$U$1363=SPECIAL_LBL)*10000000+0*1000000+23*1000+17))</f>
        <v/>
      </c>
      <c r="EV138" s="35">
        <f>IF(N('Dvd Calendar'!$V$1358)=0,"",IF(('Dvd Calendar'!$V$1358&gt;=GRID_FROM)*('Dvd Calendar'!$V$1358&lt;=GRID_TO)*('Dvd Calendar'!$V$1358&lt;=VAL_DATE)=0,"",'Dvd Calendar'!$V$1358*1000000000+ISNUMBER('Dvd Calendar'!$V$1361)*100000000+('Dvd Calendar'!$V$1363=SPECIAL_LBL)*10000000+0*1000000+23*1000+18))</f>
        <v/>
      </c>
      <c r="EW138" s="35">
        <f>IF(N('Dvd Calendar'!$W$1358)=0,"",IF(('Dvd Calendar'!$W$1358&gt;=GRID_FROM)*('Dvd Calendar'!$W$1358&lt;=GRID_TO)*('Dvd Calendar'!$W$1358&lt;=VAL_DATE)=0,"",'Dvd Calendar'!$W$1358*1000000000+ISNUMBER('Dvd Calendar'!$W$1361)*100000000+('Dvd Calendar'!$W$1363=SPECIAL_LBL)*10000000+0*1000000+23*1000+19))</f>
        <v/>
      </c>
      <c r="EX138" s="35">
        <f>IF(N('Dvd Calendar'!$X$1358)=0,"",IF(('Dvd Calendar'!$X$1358&gt;=GRID_FROM)*('Dvd Calendar'!$X$1358&lt;=GRID_TO)*('Dvd Calendar'!$X$1358&lt;=VAL_DATE)=0,"",'Dvd Calendar'!$X$1358*1000000000+ISNUMBER('Dvd Calendar'!$X$1361)*100000000+('Dvd Calendar'!$X$1363=SPECIAL_LBL)*10000000+0*1000000+23*1000+20))</f>
        <v/>
      </c>
      <c r="EY138" s="35">
        <f>IF(N('Dvd Calendar'!$Y$1358)=0,"",IF(('Dvd Calendar'!$Y$1358&gt;=GRID_FROM)*('Dvd Calendar'!$Y$1358&lt;=GRID_TO)*('Dvd Calendar'!$Y$1358&lt;=VAL_DATE)=0,"",'Dvd Calendar'!$Y$1358*1000000000+ISNUMBER('Dvd Calendar'!$Y$1361)*100000000+('Dvd Calendar'!$Y$1363=SPECIAL_LBL)*10000000+0*1000000+23*1000+21))</f>
        <v/>
      </c>
      <c r="EZ138" s="35">
        <f>IF(N('Dvd Calendar'!$Z$1358)=0,"",IF(('Dvd Calendar'!$Z$1358&gt;=GRID_FROM)*('Dvd Calendar'!$Z$1358&lt;=GRID_TO)*('Dvd Calendar'!$Z$1358&lt;=VAL_DATE)=0,"",'Dvd Calendar'!$Z$1358*1000000000+ISNUMBER('Dvd Calendar'!$Z$1361)*100000000+('Dvd Calendar'!$Z$1363=SPECIAL_LBL)*10000000+0*1000000+23*1000+22))</f>
        <v/>
      </c>
      <c r="FA138" s="35">
        <f>IF(N('Dvd Calendar'!$AA$1358)=0,"",IF(('Dvd Calendar'!$AA$1358&gt;=GRID_FROM)*('Dvd Calendar'!$AA$1358&lt;=GRID_TO)*('Dvd Calendar'!$AA$1358&lt;=VAL_DATE)=0,"",'Dvd Calendar'!$AA$1358*1000000000+ISNUMBER('Dvd Calendar'!$AA$1361)*100000000+('Dvd Calendar'!$AA$1363=SPECIAL_LBL)*10000000+0*1000000+23*1000+23))</f>
        <v/>
      </c>
      <c r="FB138" s="35">
        <f>IF(N('Dvd Calendar'!$AB$1358)=0,"",IF(('Dvd Calendar'!$AB$1358&gt;=GRID_FROM)*('Dvd Calendar'!$AB$1358&lt;=GRID_TO)*('Dvd Calendar'!$AB$1358&lt;=VAL_DATE)=0,"",'Dvd Calendar'!$AB$1358*1000000000+ISNUMBER('Dvd Calendar'!$AB$1361)*100000000+('Dvd Calendar'!$AB$1363=SPECIAL_LBL)*10000000+0*1000000+23*1000+24))</f>
        <v/>
      </c>
      <c r="FC138" s="35">
        <f>IF(N('Dvd Calendar'!$AC$1358)=0,"",IF(('Dvd Calendar'!$AC$1358&gt;=GRID_FROM)*('Dvd Calendar'!$AC$1358&lt;=GRID_TO)*('Dvd Calendar'!$AC$1358&lt;=VAL_DATE)=0,"",'Dvd Calendar'!$AC$1358*1000000000+ISNUMBER('Dvd Calendar'!$AC$1361)*100000000+('Dvd Calendar'!$AC$1363=SPECIAL_LBL)*10000000+0*1000000+23*1000+25))</f>
        <v/>
      </c>
      <c r="FD138" s="35">
        <f>IF(N('Dvd Calendar'!$AD$1358)=0,"",IF(('Dvd Calendar'!$AD$1358&gt;=GRID_FROM)*('Dvd Calendar'!$AD$1358&lt;=GRID_TO)*('Dvd Calendar'!$AD$1358&lt;=VAL_DATE)=0,"",'Dvd Calendar'!$AD$1358*1000000000+ISNUMBER('Dvd Calendar'!$AD$1361)*100000000+('Dvd Calendar'!$AD$1363=SPECIAL_LBL)*10000000+0*1000000+23*1000+26))</f>
        <v/>
      </c>
      <c r="FE138" s="35">
        <f>IF(N('Dvd Calendar'!$AE$1358)=0,"",IF(('Dvd Calendar'!$AE$1358&gt;=GRID_FROM)*('Dvd Calendar'!$AE$1358&lt;=GRID_TO)*('Dvd Calendar'!$AE$1358&lt;=VAL_DATE)=0,"",'Dvd Calendar'!$AE$1358*1000000000+ISNUMBER('Dvd Calendar'!$AE$1361)*100000000+('Dvd Calendar'!$AE$1363=SPECIAL_LBL)*10000000+0*1000000+23*1000+27))</f>
        <v/>
      </c>
      <c r="FF138" s="35">
        <f>IF(N('Dvd Calendar'!$AF$1358)=0,"",IF(('Dvd Calendar'!$AF$1358&gt;=GRID_FROM)*('Dvd Calendar'!$AF$1358&lt;=GRID_TO)*('Dvd Calendar'!$AF$1358&lt;=VAL_DATE)=0,"",'Dvd Calendar'!$AF$1358*1000000000+ISNUMBER('Dvd Calendar'!$AF$1361)*100000000+('Dvd Calendar'!$AF$1363=SPECIAL_LBL)*10000000+0*1000000+23*1000+28))</f>
        <v/>
      </c>
      <c r="FG138" s="35">
        <f>IF(N('Dvd Calendar'!$AG$1358)=0,"",IF(('Dvd Calendar'!$AG$1358&gt;=GRID_FROM)*('Dvd Calendar'!$AG$1358&lt;=GRID_TO)*('Dvd Calendar'!$AG$1358&lt;=VAL_DATE)=0,"",'Dvd Calendar'!$AG$1358*1000000000+ISNUMBER('Dvd Calendar'!$AG$1361)*100000000+('Dvd Calendar'!$AG$1363=SPECIAL_LBL)*10000000+0*1000000+23*1000+29))</f>
        <v/>
      </c>
      <c r="FH138" s="35">
        <f>IF(N('Dvd Calendar'!$AH$1358)=0,"",IF(('Dvd Calendar'!$AH$1358&gt;=GRID_FROM)*('Dvd Calendar'!$AH$1358&lt;=GRID_TO)*('Dvd Calendar'!$AH$1358&lt;=VAL_DATE)=0,"",'Dvd Calendar'!$AH$1358*1000000000+ISNUMBER('Dvd Calendar'!$AH$1361)*100000000+('Dvd Calendar'!$AH$1363=SPECIAL_LBL)*10000000+0*1000000+23*1000+30))</f>
        <v/>
      </c>
      <c r="FI138" s="35">
        <f>IF(N('Dvd Calendar'!$AI$1358)=0,"",IF(('Dvd Calendar'!$AI$1358&gt;=GRID_FROM)*('Dvd Calendar'!$AI$1358&lt;=GRID_TO)*('Dvd Calendar'!$AI$1358&lt;=VAL_DATE)=0,"",'Dvd Calendar'!$AI$1358*1000000000+ISNUMBER('Dvd Calendar'!$AI$1361)*100000000+('Dvd Calendar'!$AI$1363=SPECIAL_LBL)*10000000+0*1000000+23*1000+31))</f>
        <v/>
      </c>
      <c r="FJ138" s="35">
        <f>IF(N('Dvd Calendar'!$AJ$1358)=0,"",IF(('Dvd Calendar'!$AJ$1358&gt;=GRID_FROM)*('Dvd Calendar'!$AJ$1358&lt;=GRID_TO)*('Dvd Calendar'!$AJ$1358&lt;=VAL_DATE)=0,"",'Dvd Calendar'!$AJ$1358*1000000000+ISNUMBER('Dvd Calendar'!$AJ$1361)*100000000+('Dvd Calendar'!$AJ$1363=SPECIAL_LBL)*10000000+0*1000000+23*1000+32))</f>
        <v/>
      </c>
      <c r="FK138" s="35">
        <f>IF(N('Dvd Calendar'!$AK$1358)=0,"",IF(('Dvd Calendar'!$AK$1358&gt;=GRID_FROM)*('Dvd Calendar'!$AK$1358&lt;=GRID_TO)*('Dvd Calendar'!$AK$1358&lt;=VAL_DATE)=0,"",'Dvd Calendar'!$AK$1358*1000000000+ISNUMBER('Dvd Calendar'!$AK$1361)*100000000+('Dvd Calendar'!$AK$1363=SPECIAL_LBL)*10000000+0*1000000+23*1000+33))</f>
        <v/>
      </c>
      <c r="FL138" s="35">
        <f>IF(N('Dvd Calendar'!$AL$1358)=0,"",IF(('Dvd Calendar'!$AL$1358&gt;=GRID_FROM)*('Dvd Calendar'!$AL$1358&lt;=GRID_TO)*('Dvd Calendar'!$AL$1358&lt;=VAL_DATE)=0,"",'Dvd Calendar'!$AL$1358*1000000000+ISNUMBER('Dvd Calendar'!$AL$1361)*100000000+('Dvd Calendar'!$AL$1363=SPECIAL_LBL)*10000000+0*1000000+23*1000+34))</f>
        <v/>
      </c>
      <c r="FM138" s="35">
        <f>IF(N('Dvd Calendar'!$AM$1358)=0,"",IF(('Dvd Calendar'!$AM$1358&gt;=GRID_FROM)*('Dvd Calendar'!$AM$1358&lt;=GRID_TO)*('Dvd Calendar'!$AM$1358&lt;=VAL_DATE)=0,"",'Dvd Calendar'!$AM$1358*1000000000+ISNUMBER('Dvd Calendar'!$AM$1361)*100000000+('Dvd Calendar'!$AM$1363=SPECIAL_LBL)*10000000+0*1000000+23*1000+35))</f>
        <v/>
      </c>
      <c r="FN138" s="35">
        <f>IF(N('Dvd Calendar'!$AN$1358)=0,"",IF(('Dvd Calendar'!$AN$1358&gt;=GRID_FROM)*('Dvd Calendar'!$AN$1358&lt;=GRID_TO)*('Dvd Calendar'!$AN$1358&lt;=VAL_DATE)=0,"",'Dvd Calendar'!$AN$1358*1000000000+ISNUMBER('Dvd Calendar'!$AN$1361)*100000000+('Dvd Calendar'!$AN$1363=SPECIAL_LBL)*10000000+0*1000000+23*1000+36))</f>
        <v/>
      </c>
      <c r="FO138" s="35">
        <f>IF(N('Dvd Calendar'!$AO$1358)=0,"",IF(('Dvd Calendar'!$AO$1358&gt;=GRID_FROM)*('Dvd Calendar'!$AO$1358&lt;=GRID_TO)*('Dvd Calendar'!$AO$1358&lt;=VAL_DATE)=0,"",'Dvd Calendar'!$AO$1358*1000000000+ISNUMBER('Dvd Calendar'!$AO$1361)*100000000+('Dvd Calendar'!$AO$1363=SPECIAL_LBL)*10000000+0*1000000+23*1000+37))</f>
        <v/>
      </c>
      <c r="FP138" s="35">
        <f>IF(N('Dvd Calendar'!$AP$1358)=0,"",IF(('Dvd Calendar'!$AP$1358&gt;=GRID_FROM)*('Dvd Calendar'!$AP$1358&lt;=GRID_TO)*('Dvd Calendar'!$AP$1358&lt;=VAL_DATE)=0,"",'Dvd Calendar'!$AP$1358*1000000000+ISNUMBER('Dvd Calendar'!$AP$1361)*100000000+('Dvd Calendar'!$AP$1363=SPECIAL_LBL)*10000000+0*1000000+23*1000+38))</f>
        <v/>
      </c>
      <c r="FQ138" s="35">
        <f>IF(N('Dvd Calendar'!$AQ$1358)=0,"",IF(('Dvd Calendar'!$AQ$1358&gt;=GRID_FROM)*('Dvd Calendar'!$AQ$1358&lt;=GRID_TO)*('Dvd Calendar'!$AQ$1358&lt;=VAL_DATE)=0,"",'Dvd Calendar'!$AQ$1358*1000000000+ISNUMBER('Dvd Calendar'!$AQ$1361)*100000000+('Dvd Calendar'!$AQ$1363=SPECIAL_LBL)*10000000+0*1000000+23*1000+39))</f>
        <v/>
      </c>
      <c r="FR138" s="35">
        <f>IF(N('Dvd Calendar'!$AR$1358)=0,"",IF(('Dvd Calendar'!$AR$1358&gt;=GRID_FROM)*('Dvd Calendar'!$AR$1358&lt;=GRID_TO)*('Dvd Calendar'!$AR$1358&lt;=VAL_DATE)=0,"",'Dvd Calendar'!$AR$1358*1000000000+ISNUMBER('Dvd Calendar'!$AR$1361)*100000000+('Dvd Calendar'!$AR$1363=SPECIAL_LBL)*10000000+0*1000000+23*1000+40))</f>
        <v/>
      </c>
      <c r="FS138" s="35">
        <f>IF(N('Dvd Calendar'!$E$1365)=0,"",IF(('Dvd Calendar'!$E$1365&gt;=GRID_FROM)*('Dvd Calendar'!$E$1365&lt;=GRID_TO)*('Dvd Calendar'!$E$1365&gt;VAL_DATE)=0,"",'Dvd Calendar'!$E$1365*1000000000+ISNUMBER('Dvd Calendar'!$E$1366)*100000000+0*10000000+(N('Dvd Calendar'!$E$1364)&gt;0)*(N('Dvd Calendar'!$E$1364)&lt;=VAL_SERIAL)*1000000+23*1000+41))</f>
        <v/>
      </c>
      <c r="FT138" s="35">
        <f>IF(N('Dvd Calendar'!$F$1365)=0,"",IF(('Dvd Calendar'!$F$1365&gt;=GRID_FROM)*('Dvd Calendar'!$F$1365&lt;=GRID_TO)*('Dvd Calendar'!$F$1365&gt;VAL_DATE)=0,"",'Dvd Calendar'!$F$1365*1000000000+ISNUMBER('Dvd Calendar'!$F$1366)*100000000+0*10000000+(N('Dvd Calendar'!$F$1364)&gt;0)*(N('Dvd Calendar'!$F$1364)&lt;=VAL_SERIAL)*1000000+23*1000+42))</f>
        <v/>
      </c>
      <c r="FU138" s="35">
        <f>IF(N('Dvd Calendar'!$G$1365)=0,"",IF(('Dvd Calendar'!$G$1365&gt;=GRID_FROM)*('Dvd Calendar'!$G$1365&lt;=GRID_TO)*('Dvd Calendar'!$G$1365&gt;VAL_DATE)=0,"",'Dvd Calendar'!$G$1365*1000000000+ISNUMBER('Dvd Calendar'!$G$1366)*100000000+0*10000000+(N('Dvd Calendar'!$G$1364)&gt;0)*(N('Dvd Calendar'!$G$1364)&lt;=VAL_SERIAL)*1000000+23*1000+43))</f>
        <v/>
      </c>
      <c r="FV138" s="35">
        <f>IF(N('Dvd Calendar'!$H$1365)=0,"",IF(('Dvd Calendar'!$H$1365&gt;=GRID_FROM)*('Dvd Calendar'!$H$1365&lt;=GRID_TO)*('Dvd Calendar'!$H$1365&gt;VAL_DATE)=0,"",'Dvd Calendar'!$H$1365*1000000000+ISNUMBER('Dvd Calendar'!$H$1366)*100000000+0*10000000+(N('Dvd Calendar'!$H$1364)&gt;0)*(N('Dvd Calendar'!$H$1364)&lt;=VAL_SERIAL)*1000000+23*1000+44))</f>
        <v/>
      </c>
      <c r="FW138" s="35">
        <f>IF(N('Dvd Calendar'!$I$1365)=0,"",IF(('Dvd Calendar'!$I$1365&gt;=GRID_FROM)*('Dvd Calendar'!$I$1365&lt;=GRID_TO)*('Dvd Calendar'!$I$1365&gt;VAL_DATE)=0,"",'Dvd Calendar'!$I$1365*1000000000+ISNUMBER('Dvd Calendar'!$I$1366)*100000000+0*10000000+(N('Dvd Calendar'!$I$1364)&gt;0)*(N('Dvd Calendar'!$I$1364)&lt;=VAL_SERIAL)*1000000+23*1000+45))</f>
        <v/>
      </c>
      <c r="FX138" s="35">
        <f>IF(N('Dvd Calendar'!$J$1365)=0,"",IF(('Dvd Calendar'!$J$1365&gt;=GRID_FROM)*('Dvd Calendar'!$J$1365&lt;=GRID_TO)*('Dvd Calendar'!$J$1365&gt;VAL_DATE)=0,"",'Dvd Calendar'!$J$1365*1000000000+ISNUMBER('Dvd Calendar'!$J$1366)*100000000+0*10000000+(N('Dvd Calendar'!$J$1364)&gt;0)*(N('Dvd Calendar'!$J$1364)&lt;=VAL_SERIAL)*1000000+23*1000+46))</f>
        <v/>
      </c>
      <c r="FY138" s="35">
        <f>IF(N('Dvd Calendar'!$K$1365)=0,"",IF(('Dvd Calendar'!$K$1365&gt;=GRID_FROM)*('Dvd Calendar'!$K$1365&lt;=GRID_TO)*('Dvd Calendar'!$K$1365&gt;VAL_DATE)=0,"",'Dvd Calendar'!$K$1365*1000000000+ISNUMBER('Dvd Calendar'!$K$1366)*100000000+0*10000000+(N('Dvd Calendar'!$K$1364)&gt;0)*(N('Dvd Calendar'!$K$1364)&lt;=VAL_SERIAL)*1000000+23*1000+47))</f>
        <v/>
      </c>
      <c r="FZ138" s="35">
        <f>IF(N('Dvd Calendar'!$L$1365)=0,"",IF(('Dvd Calendar'!$L$1365&gt;=GRID_FROM)*('Dvd Calendar'!$L$1365&lt;=GRID_TO)*('Dvd Calendar'!$L$1365&gt;VAL_DATE)=0,"",'Dvd Calendar'!$L$1365*1000000000+ISNUMBER('Dvd Calendar'!$L$1366)*100000000+0*10000000+(N('Dvd Calendar'!$L$1364)&gt;0)*(N('Dvd Calendar'!$L$1364)&lt;=VAL_SERIAL)*1000000+23*1000+48))</f>
        <v/>
      </c>
      <c r="GA138" s="35">
        <f>IF(N('Dvd Calendar'!$M$1365)=0,"",IF(('Dvd Calendar'!$M$1365&gt;=GRID_FROM)*('Dvd Calendar'!$M$1365&lt;=GRID_TO)*('Dvd Calendar'!$M$1365&gt;VAL_DATE)=0,"",'Dvd Calendar'!$M$1365*1000000000+ISNUMBER('Dvd Calendar'!$M$1366)*100000000+0*10000000+(N('Dvd Calendar'!$M$1364)&gt;0)*(N('Dvd Calendar'!$M$1364)&lt;=VAL_SERIAL)*1000000+23*1000+49))</f>
        <v/>
      </c>
      <c r="GB138" s="35">
        <f>IF(N('Dvd Calendar'!$N$1365)=0,"",IF(('Dvd Calendar'!$N$1365&gt;=GRID_FROM)*('Dvd Calendar'!$N$1365&lt;=GRID_TO)*('Dvd Calendar'!$N$1365&gt;VAL_DATE)=0,"",'Dvd Calendar'!$N$1365*1000000000+ISNUMBER('Dvd Calendar'!$N$1366)*100000000+0*10000000+(N('Dvd Calendar'!$N$1364)&gt;0)*(N('Dvd Calendar'!$N$1364)&lt;=VAL_SERIAL)*1000000+23*1000+50))</f>
        <v/>
      </c>
      <c r="GC138" s="35">
        <f>IF(N('Dvd Calendar'!$O$1365)=0,"",IF(('Dvd Calendar'!$O$1365&gt;=GRID_FROM)*('Dvd Calendar'!$O$1365&lt;=GRID_TO)*('Dvd Calendar'!$O$1365&gt;VAL_DATE)=0,"",'Dvd Calendar'!$O$1365*1000000000+ISNUMBER('Dvd Calendar'!$O$1366)*100000000+0*10000000+(N('Dvd Calendar'!$O$1364)&gt;0)*(N('Dvd Calendar'!$O$1364)&lt;=VAL_SERIAL)*1000000+23*1000+51))</f>
        <v/>
      </c>
      <c r="GD138" s="35">
        <f>IF(N('Dvd Calendar'!$P$1365)=0,"",IF(('Dvd Calendar'!$P$1365&gt;=GRID_FROM)*('Dvd Calendar'!$P$1365&lt;=GRID_TO)*('Dvd Calendar'!$P$1365&gt;VAL_DATE)=0,"",'Dvd Calendar'!$P$1365*1000000000+ISNUMBER('Dvd Calendar'!$P$1366)*100000000+0*10000000+(N('Dvd Calendar'!$P$1364)&gt;0)*(N('Dvd Calendar'!$P$1364)&lt;=VAL_SERIAL)*1000000+23*1000+52))</f>
        <v/>
      </c>
      <c r="GE138" s="35">
        <f>IF(N('Dvd Calendar'!$Q$1365)=0,"",IF(('Dvd Calendar'!$Q$1365&gt;=GRID_FROM)*('Dvd Calendar'!$Q$1365&lt;=GRID_TO)*('Dvd Calendar'!$Q$1365&gt;VAL_DATE)=0,"",'Dvd Calendar'!$Q$1365*1000000000+ISNUMBER('Dvd Calendar'!$Q$1366)*100000000+0*10000000+(N('Dvd Calendar'!$Q$1364)&gt;0)*(N('Dvd Calendar'!$Q$1364)&lt;=VAL_SERIAL)*1000000+23*1000+53))</f>
        <v/>
      </c>
      <c r="GF138" s="35">
        <f>IF(N('Dvd Calendar'!$R$1365)=0,"",IF(('Dvd Calendar'!$R$1365&gt;=GRID_FROM)*('Dvd Calendar'!$R$1365&lt;=GRID_TO)*('Dvd Calendar'!$R$1365&gt;VAL_DATE)=0,"",'Dvd Calendar'!$R$1365*1000000000+ISNUMBER('Dvd Calendar'!$R$1366)*100000000+0*10000000+(N('Dvd Calendar'!$R$1364)&gt;0)*(N('Dvd Calendar'!$R$1364)&lt;=VAL_SERIAL)*1000000+23*1000+54))</f>
        <v/>
      </c>
      <c r="GG138" s="35">
        <f>IF(N('Dvd Calendar'!$S$1365)=0,"",IF(('Dvd Calendar'!$S$1365&gt;=GRID_FROM)*('Dvd Calendar'!$S$1365&lt;=GRID_TO)*('Dvd Calendar'!$S$1365&gt;VAL_DATE)=0,"",'Dvd Calendar'!$S$1365*1000000000+ISNUMBER('Dvd Calendar'!$S$1366)*100000000+0*10000000+(N('Dvd Calendar'!$S$1364)&gt;0)*(N('Dvd Calendar'!$S$1364)&lt;=VAL_SERIAL)*1000000+23*1000+55))</f>
        <v/>
      </c>
      <c r="GH138" s="35">
        <f>IF(N('Dvd Calendar'!$T$1365)=0,"",IF(('Dvd Calendar'!$T$1365&gt;=GRID_FROM)*('Dvd Calendar'!$T$1365&lt;=GRID_TO)*('Dvd Calendar'!$T$1365&gt;VAL_DATE)=0,"",'Dvd Calendar'!$T$1365*1000000000+ISNUMBER('Dvd Calendar'!$T$1366)*100000000+0*10000000+(N('Dvd Calendar'!$T$1364)&gt;0)*(N('Dvd Calendar'!$T$1364)&lt;=VAL_SERIAL)*1000000+23*1000+56))</f>
        <v/>
      </c>
      <c r="GI138" s="35">
        <f>IF(N('Dvd Calendar'!$U$1365)=0,"",IF(('Dvd Calendar'!$U$1365&gt;=GRID_FROM)*('Dvd Calendar'!$U$1365&lt;=GRID_TO)*('Dvd Calendar'!$U$1365&gt;VAL_DATE)=0,"",'Dvd Calendar'!$U$1365*1000000000+ISNUMBER('Dvd Calendar'!$U$1366)*100000000+0*10000000+(N('Dvd Calendar'!$U$1364)&gt;0)*(N('Dvd Calendar'!$U$1364)&lt;=VAL_SERIAL)*1000000+23*1000+57))</f>
        <v/>
      </c>
      <c r="GJ138" s="35">
        <f>IF(N('Dvd Calendar'!$V$1365)=0,"",IF(('Dvd Calendar'!$V$1365&gt;=GRID_FROM)*('Dvd Calendar'!$V$1365&lt;=GRID_TO)*('Dvd Calendar'!$V$1365&gt;VAL_DATE)=0,"",'Dvd Calendar'!$V$1365*1000000000+ISNUMBER('Dvd Calendar'!$V$1366)*100000000+0*10000000+(N('Dvd Calendar'!$V$1364)&gt;0)*(N('Dvd Calendar'!$V$1364)&lt;=VAL_SERIAL)*1000000+23*1000+58))</f>
        <v/>
      </c>
      <c r="GK138" s="35">
        <f>IF(N('Dvd Calendar'!$W$1365)=0,"",IF(('Dvd Calendar'!$W$1365&gt;=GRID_FROM)*('Dvd Calendar'!$W$1365&lt;=GRID_TO)*('Dvd Calendar'!$W$1365&gt;VAL_DATE)=0,"",'Dvd Calendar'!$W$1365*1000000000+ISNUMBER('Dvd Calendar'!$W$1366)*100000000+0*10000000+(N('Dvd Calendar'!$W$1364)&gt;0)*(N('Dvd Calendar'!$W$1364)&lt;=VAL_SERIAL)*1000000+23*1000+59))</f>
        <v/>
      </c>
      <c r="GL138" s="35">
        <f>IF(N('Dvd Calendar'!$X$1365)=0,"",IF(('Dvd Calendar'!$X$1365&gt;=GRID_FROM)*('Dvd Calendar'!$X$1365&lt;=GRID_TO)*('Dvd Calendar'!$X$1365&gt;VAL_DATE)=0,"",'Dvd Calendar'!$X$1365*1000000000+ISNUMBER('Dvd Calendar'!$X$1366)*100000000+0*10000000+(N('Dvd Calendar'!$X$1364)&gt;0)*(N('Dvd Calendar'!$X$1364)&lt;=VAL_SERIAL)*1000000+23*1000+60))</f>
        <v/>
      </c>
      <c r="GM138" s="35">
        <f>IF(N('Dvd Calendar'!$Y$1365)=0,"",IF(('Dvd Calendar'!$Y$1365&gt;=GRID_FROM)*('Dvd Calendar'!$Y$1365&lt;=GRID_TO)*('Dvd Calendar'!$Y$1365&gt;VAL_DATE)=0,"",'Dvd Calendar'!$Y$1365*1000000000+ISNUMBER('Dvd Calendar'!$Y$1366)*100000000+0*10000000+(N('Dvd Calendar'!$Y$1364)&gt;0)*(N('Dvd Calendar'!$Y$1364)&lt;=VAL_SERIAL)*1000000+23*1000+61))</f>
        <v/>
      </c>
      <c r="GN138" s="35">
        <f>IF(N('Dvd Calendar'!$Z$1365)=0,"",IF(('Dvd Calendar'!$Z$1365&gt;=GRID_FROM)*('Dvd Calendar'!$Z$1365&lt;=GRID_TO)*('Dvd Calendar'!$Z$1365&gt;VAL_DATE)=0,"",'Dvd Calendar'!$Z$1365*1000000000+ISNUMBER('Dvd Calendar'!$Z$1366)*100000000+0*10000000+(N('Dvd Calendar'!$Z$1364)&gt;0)*(N('Dvd Calendar'!$Z$1364)&lt;=VAL_SERIAL)*1000000+23*1000+62))</f>
        <v/>
      </c>
      <c r="GO138" s="35">
        <f>IF(N('Dvd Calendar'!$AA$1365)=0,"",IF(('Dvd Calendar'!$AA$1365&gt;=GRID_FROM)*('Dvd Calendar'!$AA$1365&lt;=GRID_TO)*('Dvd Calendar'!$AA$1365&gt;VAL_DATE)=0,"",'Dvd Calendar'!$AA$1365*1000000000+ISNUMBER('Dvd Calendar'!$AA$1366)*100000000+0*10000000+(N('Dvd Calendar'!$AA$1364)&gt;0)*(N('Dvd Calendar'!$AA$1364)&lt;=VAL_SERIAL)*1000000+23*1000+63))</f>
        <v/>
      </c>
      <c r="GP138" s="35">
        <f>IF(N('Dvd Calendar'!$AB$1365)=0,"",IF(('Dvd Calendar'!$AB$1365&gt;=GRID_FROM)*('Dvd Calendar'!$AB$1365&lt;=GRID_TO)*('Dvd Calendar'!$AB$1365&gt;VAL_DATE)=0,"",'Dvd Calendar'!$AB$1365*1000000000+ISNUMBER('Dvd Calendar'!$AB$1366)*100000000+0*10000000+(N('Dvd Calendar'!$AB$1364)&gt;0)*(N('Dvd Calendar'!$AB$1364)&lt;=VAL_SERIAL)*1000000+23*1000+64))</f>
        <v/>
      </c>
      <c r="GQ138" s="35">
        <f>IF(N('Dvd Calendar'!$AC$1365)=0,"",IF(('Dvd Calendar'!$AC$1365&gt;=GRID_FROM)*('Dvd Calendar'!$AC$1365&lt;=GRID_TO)*('Dvd Calendar'!$AC$1365&gt;VAL_DATE)=0,"",'Dvd Calendar'!$AC$1365*1000000000+ISNUMBER('Dvd Calendar'!$AC$1366)*100000000+0*10000000+(N('Dvd Calendar'!$AC$1364)&gt;0)*(N('Dvd Calendar'!$AC$1364)&lt;=VAL_SERIAL)*1000000+23*1000+65))</f>
        <v/>
      </c>
    </row>
    <row r="139">
      <c r="B139" s="2">
        <f>IF(HSTECH!$C$30="","",HSTECH!$C$30)</f>
        <v/>
      </c>
      <c r="C139" s="106">
        <f>IF(EE139="","",IF(ISNUMBER('Dvd Calendar'!$E$1372)=FALSE,"",IF((('Dvd Calendar'!$E$1374=TYPE1)*(TYPE1&lt;&gt;"")+('Dvd Calendar'!$E$1374=TYPE2)*(TYPE2&lt;&gt;"")+('Dvd Calendar'!$E$1374=TYPE3)*(TYPE3&lt;&gt;"")+('Dvd Calendar'!$E$1374=TYPE4)*(TYPE4&lt;&gt;"")+('Dvd Calendar'!$E$1374=SPECIAL_LBL)*(INC_SPECIALS="Y"))=0,"",'Dvd Calendar'!$E$1372)))</f>
        <v/>
      </c>
      <c r="D139" s="106">
        <f>IF(EF139="","",IF(ISNUMBER('Dvd Calendar'!$F$1372)=FALSE,"",IF((('Dvd Calendar'!$F$1374=TYPE1)*(TYPE1&lt;&gt;"")+('Dvd Calendar'!$F$1374=TYPE2)*(TYPE2&lt;&gt;"")+('Dvd Calendar'!$F$1374=TYPE3)*(TYPE3&lt;&gt;"")+('Dvd Calendar'!$F$1374=TYPE4)*(TYPE4&lt;&gt;"")+('Dvd Calendar'!$F$1374=SPECIAL_LBL)*(INC_SPECIALS="Y"))=0,"",'Dvd Calendar'!$F$1372)))</f>
        <v/>
      </c>
      <c r="E139" s="106">
        <f>IF(EG139="","",IF(ISNUMBER('Dvd Calendar'!$G$1372)=FALSE,"",IF((('Dvd Calendar'!$G$1374=TYPE1)*(TYPE1&lt;&gt;"")+('Dvd Calendar'!$G$1374=TYPE2)*(TYPE2&lt;&gt;"")+('Dvd Calendar'!$G$1374=TYPE3)*(TYPE3&lt;&gt;"")+('Dvd Calendar'!$G$1374=TYPE4)*(TYPE4&lt;&gt;"")+('Dvd Calendar'!$G$1374=SPECIAL_LBL)*(INC_SPECIALS="Y"))=0,"",'Dvd Calendar'!$G$1372)))</f>
        <v/>
      </c>
      <c r="F139" s="106">
        <f>IF(EH139="","",IF(ISNUMBER('Dvd Calendar'!$H$1372)=FALSE,"",IF((('Dvd Calendar'!$H$1374=TYPE1)*(TYPE1&lt;&gt;"")+('Dvd Calendar'!$H$1374=TYPE2)*(TYPE2&lt;&gt;"")+('Dvd Calendar'!$H$1374=TYPE3)*(TYPE3&lt;&gt;"")+('Dvd Calendar'!$H$1374=TYPE4)*(TYPE4&lt;&gt;"")+('Dvd Calendar'!$H$1374=SPECIAL_LBL)*(INC_SPECIALS="Y"))=0,"",'Dvd Calendar'!$H$1372)))</f>
        <v/>
      </c>
      <c r="G139" s="106">
        <f>IF(EI139="","",IF(ISNUMBER('Dvd Calendar'!$I$1372)=FALSE,"",IF((('Dvd Calendar'!$I$1374=TYPE1)*(TYPE1&lt;&gt;"")+('Dvd Calendar'!$I$1374=TYPE2)*(TYPE2&lt;&gt;"")+('Dvd Calendar'!$I$1374=TYPE3)*(TYPE3&lt;&gt;"")+('Dvd Calendar'!$I$1374=TYPE4)*(TYPE4&lt;&gt;"")+('Dvd Calendar'!$I$1374=SPECIAL_LBL)*(INC_SPECIALS="Y"))=0,"",'Dvd Calendar'!$I$1372)))</f>
        <v/>
      </c>
      <c r="H139" s="106">
        <f>IF(EJ139="","",IF(ISNUMBER('Dvd Calendar'!$J$1372)=FALSE,"",IF((('Dvd Calendar'!$J$1374=TYPE1)*(TYPE1&lt;&gt;"")+('Dvd Calendar'!$J$1374=TYPE2)*(TYPE2&lt;&gt;"")+('Dvd Calendar'!$J$1374=TYPE3)*(TYPE3&lt;&gt;"")+('Dvd Calendar'!$J$1374=TYPE4)*(TYPE4&lt;&gt;"")+('Dvd Calendar'!$J$1374=SPECIAL_LBL)*(INC_SPECIALS="Y"))=0,"",'Dvd Calendar'!$J$1372)))</f>
        <v/>
      </c>
      <c r="I139" s="106">
        <f>IF(EK139="","",IF(ISNUMBER('Dvd Calendar'!$K$1372)=FALSE,"",IF((('Dvd Calendar'!$K$1374=TYPE1)*(TYPE1&lt;&gt;"")+('Dvd Calendar'!$K$1374=TYPE2)*(TYPE2&lt;&gt;"")+('Dvd Calendar'!$K$1374=TYPE3)*(TYPE3&lt;&gt;"")+('Dvd Calendar'!$K$1374=TYPE4)*(TYPE4&lt;&gt;"")+('Dvd Calendar'!$K$1374=SPECIAL_LBL)*(INC_SPECIALS="Y"))=0,"",'Dvd Calendar'!$K$1372)))</f>
        <v/>
      </c>
      <c r="J139" s="106">
        <f>IF(EL139="","",IF(ISNUMBER('Dvd Calendar'!$L$1372)=FALSE,"",IF((('Dvd Calendar'!$L$1374=TYPE1)*(TYPE1&lt;&gt;"")+('Dvd Calendar'!$L$1374=TYPE2)*(TYPE2&lt;&gt;"")+('Dvd Calendar'!$L$1374=TYPE3)*(TYPE3&lt;&gt;"")+('Dvd Calendar'!$L$1374=TYPE4)*(TYPE4&lt;&gt;"")+('Dvd Calendar'!$L$1374=SPECIAL_LBL)*(INC_SPECIALS="Y"))=0,"",'Dvd Calendar'!$L$1372)))</f>
        <v/>
      </c>
      <c r="K139" s="106">
        <f>IF(EM139="","",IF(ISNUMBER('Dvd Calendar'!$M$1372)=FALSE,"",IF((('Dvd Calendar'!$M$1374=TYPE1)*(TYPE1&lt;&gt;"")+('Dvd Calendar'!$M$1374=TYPE2)*(TYPE2&lt;&gt;"")+('Dvd Calendar'!$M$1374=TYPE3)*(TYPE3&lt;&gt;"")+('Dvd Calendar'!$M$1374=TYPE4)*(TYPE4&lt;&gt;"")+('Dvd Calendar'!$M$1374=SPECIAL_LBL)*(INC_SPECIALS="Y"))=0,"",'Dvd Calendar'!$M$1372)))</f>
        <v/>
      </c>
      <c r="L139" s="106">
        <f>IF(EN139="","",IF(ISNUMBER('Dvd Calendar'!$N$1372)=FALSE,"",IF((('Dvd Calendar'!$N$1374=TYPE1)*(TYPE1&lt;&gt;"")+('Dvd Calendar'!$N$1374=TYPE2)*(TYPE2&lt;&gt;"")+('Dvd Calendar'!$N$1374=TYPE3)*(TYPE3&lt;&gt;"")+('Dvd Calendar'!$N$1374=TYPE4)*(TYPE4&lt;&gt;"")+('Dvd Calendar'!$N$1374=SPECIAL_LBL)*(INC_SPECIALS="Y"))=0,"",'Dvd Calendar'!$N$1372)))</f>
        <v/>
      </c>
      <c r="M139" s="106">
        <f>IF(EO139="","",IF(ISNUMBER('Dvd Calendar'!$O$1372)=FALSE,"",IF((('Dvd Calendar'!$O$1374=TYPE1)*(TYPE1&lt;&gt;"")+('Dvd Calendar'!$O$1374=TYPE2)*(TYPE2&lt;&gt;"")+('Dvd Calendar'!$O$1374=TYPE3)*(TYPE3&lt;&gt;"")+('Dvd Calendar'!$O$1374=TYPE4)*(TYPE4&lt;&gt;"")+('Dvd Calendar'!$O$1374=SPECIAL_LBL)*(INC_SPECIALS="Y"))=0,"",'Dvd Calendar'!$O$1372)))</f>
        <v/>
      </c>
      <c r="N139" s="106">
        <f>IF(EP139="","",IF(ISNUMBER('Dvd Calendar'!$P$1372)=FALSE,"",IF((('Dvd Calendar'!$P$1374=TYPE1)*(TYPE1&lt;&gt;"")+('Dvd Calendar'!$P$1374=TYPE2)*(TYPE2&lt;&gt;"")+('Dvd Calendar'!$P$1374=TYPE3)*(TYPE3&lt;&gt;"")+('Dvd Calendar'!$P$1374=TYPE4)*(TYPE4&lt;&gt;"")+('Dvd Calendar'!$P$1374=SPECIAL_LBL)*(INC_SPECIALS="Y"))=0,"",'Dvd Calendar'!$P$1372)))</f>
        <v/>
      </c>
      <c r="O139" s="106">
        <f>IF(EQ139="","",IF(ISNUMBER('Dvd Calendar'!$Q$1372)=FALSE,"",IF((('Dvd Calendar'!$Q$1374=TYPE1)*(TYPE1&lt;&gt;"")+('Dvd Calendar'!$Q$1374=TYPE2)*(TYPE2&lt;&gt;"")+('Dvd Calendar'!$Q$1374=TYPE3)*(TYPE3&lt;&gt;"")+('Dvd Calendar'!$Q$1374=TYPE4)*(TYPE4&lt;&gt;"")+('Dvd Calendar'!$Q$1374=SPECIAL_LBL)*(INC_SPECIALS="Y"))=0,"",'Dvd Calendar'!$Q$1372)))</f>
        <v/>
      </c>
      <c r="P139" s="106">
        <f>IF(ER139="","",IF(ISNUMBER('Dvd Calendar'!$R$1372)=FALSE,"",IF((('Dvd Calendar'!$R$1374=TYPE1)*(TYPE1&lt;&gt;"")+('Dvd Calendar'!$R$1374=TYPE2)*(TYPE2&lt;&gt;"")+('Dvd Calendar'!$R$1374=TYPE3)*(TYPE3&lt;&gt;"")+('Dvd Calendar'!$R$1374=TYPE4)*(TYPE4&lt;&gt;"")+('Dvd Calendar'!$R$1374=SPECIAL_LBL)*(INC_SPECIALS="Y"))=0,"",'Dvd Calendar'!$R$1372)))</f>
        <v/>
      </c>
      <c r="Q139" s="106">
        <f>IF(ES139="","",IF(ISNUMBER('Dvd Calendar'!$S$1372)=FALSE,"",IF((('Dvd Calendar'!$S$1374=TYPE1)*(TYPE1&lt;&gt;"")+('Dvd Calendar'!$S$1374=TYPE2)*(TYPE2&lt;&gt;"")+('Dvd Calendar'!$S$1374=TYPE3)*(TYPE3&lt;&gt;"")+('Dvd Calendar'!$S$1374=TYPE4)*(TYPE4&lt;&gt;"")+('Dvd Calendar'!$S$1374=SPECIAL_LBL)*(INC_SPECIALS="Y"))=0,"",'Dvd Calendar'!$S$1372)))</f>
        <v/>
      </c>
      <c r="R139" s="106">
        <f>IF(ET139="","",IF(ISNUMBER('Dvd Calendar'!$T$1372)=FALSE,"",IF((('Dvd Calendar'!$T$1374=TYPE1)*(TYPE1&lt;&gt;"")+('Dvd Calendar'!$T$1374=TYPE2)*(TYPE2&lt;&gt;"")+('Dvd Calendar'!$T$1374=TYPE3)*(TYPE3&lt;&gt;"")+('Dvd Calendar'!$T$1374=TYPE4)*(TYPE4&lt;&gt;"")+('Dvd Calendar'!$T$1374=SPECIAL_LBL)*(INC_SPECIALS="Y"))=0,"",'Dvd Calendar'!$T$1372)))</f>
        <v/>
      </c>
      <c r="S139" s="106">
        <f>IF(EU139="","",IF(ISNUMBER('Dvd Calendar'!$U$1372)=FALSE,"",IF((('Dvd Calendar'!$U$1374=TYPE1)*(TYPE1&lt;&gt;"")+('Dvd Calendar'!$U$1374=TYPE2)*(TYPE2&lt;&gt;"")+('Dvd Calendar'!$U$1374=TYPE3)*(TYPE3&lt;&gt;"")+('Dvd Calendar'!$U$1374=TYPE4)*(TYPE4&lt;&gt;"")+('Dvd Calendar'!$U$1374=SPECIAL_LBL)*(INC_SPECIALS="Y"))=0,"",'Dvd Calendar'!$U$1372)))</f>
        <v/>
      </c>
      <c r="T139" s="106">
        <f>IF(EV139="","",IF(ISNUMBER('Dvd Calendar'!$V$1372)=FALSE,"",IF((('Dvd Calendar'!$V$1374=TYPE1)*(TYPE1&lt;&gt;"")+('Dvd Calendar'!$V$1374=TYPE2)*(TYPE2&lt;&gt;"")+('Dvd Calendar'!$V$1374=TYPE3)*(TYPE3&lt;&gt;"")+('Dvd Calendar'!$V$1374=TYPE4)*(TYPE4&lt;&gt;"")+('Dvd Calendar'!$V$1374=SPECIAL_LBL)*(INC_SPECIALS="Y"))=0,"",'Dvd Calendar'!$V$1372)))</f>
        <v/>
      </c>
      <c r="U139" s="106">
        <f>IF(EW139="","",IF(ISNUMBER('Dvd Calendar'!$W$1372)=FALSE,"",IF((('Dvd Calendar'!$W$1374=TYPE1)*(TYPE1&lt;&gt;"")+('Dvd Calendar'!$W$1374=TYPE2)*(TYPE2&lt;&gt;"")+('Dvd Calendar'!$W$1374=TYPE3)*(TYPE3&lt;&gt;"")+('Dvd Calendar'!$W$1374=TYPE4)*(TYPE4&lt;&gt;"")+('Dvd Calendar'!$W$1374=SPECIAL_LBL)*(INC_SPECIALS="Y"))=0,"",'Dvd Calendar'!$W$1372)))</f>
        <v/>
      </c>
      <c r="V139" s="106">
        <f>IF(EX139="","",IF(ISNUMBER('Dvd Calendar'!$X$1372)=FALSE,"",IF((('Dvd Calendar'!$X$1374=TYPE1)*(TYPE1&lt;&gt;"")+('Dvd Calendar'!$X$1374=TYPE2)*(TYPE2&lt;&gt;"")+('Dvd Calendar'!$X$1374=TYPE3)*(TYPE3&lt;&gt;"")+('Dvd Calendar'!$X$1374=TYPE4)*(TYPE4&lt;&gt;"")+('Dvd Calendar'!$X$1374=SPECIAL_LBL)*(INC_SPECIALS="Y"))=0,"",'Dvd Calendar'!$X$1372)))</f>
        <v/>
      </c>
      <c r="W139" s="106">
        <f>IF(EY139="","",IF(ISNUMBER('Dvd Calendar'!$Y$1372)=FALSE,"",IF((('Dvd Calendar'!$Y$1374=TYPE1)*(TYPE1&lt;&gt;"")+('Dvd Calendar'!$Y$1374=TYPE2)*(TYPE2&lt;&gt;"")+('Dvd Calendar'!$Y$1374=TYPE3)*(TYPE3&lt;&gt;"")+('Dvd Calendar'!$Y$1374=TYPE4)*(TYPE4&lt;&gt;"")+('Dvd Calendar'!$Y$1374=SPECIAL_LBL)*(INC_SPECIALS="Y"))=0,"",'Dvd Calendar'!$Y$1372)))</f>
        <v/>
      </c>
      <c r="X139" s="106">
        <f>IF(EZ139="","",IF(ISNUMBER('Dvd Calendar'!$Z$1372)=FALSE,"",IF((('Dvd Calendar'!$Z$1374=TYPE1)*(TYPE1&lt;&gt;"")+('Dvd Calendar'!$Z$1374=TYPE2)*(TYPE2&lt;&gt;"")+('Dvd Calendar'!$Z$1374=TYPE3)*(TYPE3&lt;&gt;"")+('Dvd Calendar'!$Z$1374=TYPE4)*(TYPE4&lt;&gt;"")+('Dvd Calendar'!$Z$1374=SPECIAL_LBL)*(INC_SPECIALS="Y"))=0,"",'Dvd Calendar'!$Z$1372)))</f>
        <v/>
      </c>
      <c r="Y139" s="106">
        <f>IF(FA139="","",IF(ISNUMBER('Dvd Calendar'!$AA$1372)=FALSE,"",IF((('Dvd Calendar'!$AA$1374=TYPE1)*(TYPE1&lt;&gt;"")+('Dvd Calendar'!$AA$1374=TYPE2)*(TYPE2&lt;&gt;"")+('Dvd Calendar'!$AA$1374=TYPE3)*(TYPE3&lt;&gt;"")+('Dvd Calendar'!$AA$1374=TYPE4)*(TYPE4&lt;&gt;"")+('Dvd Calendar'!$AA$1374=SPECIAL_LBL)*(INC_SPECIALS="Y"))=0,"",'Dvd Calendar'!$AA$1372)))</f>
        <v/>
      </c>
      <c r="Z139" s="106">
        <f>IF(FB139="","",IF(ISNUMBER('Dvd Calendar'!$AB$1372)=FALSE,"",IF((('Dvd Calendar'!$AB$1374=TYPE1)*(TYPE1&lt;&gt;"")+('Dvd Calendar'!$AB$1374=TYPE2)*(TYPE2&lt;&gt;"")+('Dvd Calendar'!$AB$1374=TYPE3)*(TYPE3&lt;&gt;"")+('Dvd Calendar'!$AB$1374=TYPE4)*(TYPE4&lt;&gt;"")+('Dvd Calendar'!$AB$1374=SPECIAL_LBL)*(INC_SPECIALS="Y"))=0,"",'Dvd Calendar'!$AB$1372)))</f>
        <v/>
      </c>
      <c r="AA139" s="106">
        <f>IF(FC139="","",IF(ISNUMBER('Dvd Calendar'!$AC$1372)=FALSE,"",IF((('Dvd Calendar'!$AC$1374=TYPE1)*(TYPE1&lt;&gt;"")+('Dvd Calendar'!$AC$1374=TYPE2)*(TYPE2&lt;&gt;"")+('Dvd Calendar'!$AC$1374=TYPE3)*(TYPE3&lt;&gt;"")+('Dvd Calendar'!$AC$1374=TYPE4)*(TYPE4&lt;&gt;"")+('Dvd Calendar'!$AC$1374=SPECIAL_LBL)*(INC_SPECIALS="Y"))=0,"",'Dvd Calendar'!$AC$1372)))</f>
        <v/>
      </c>
      <c r="AB139" s="106">
        <f>IF(FD139="","",IF(ISNUMBER('Dvd Calendar'!$AD$1372)=FALSE,"",IF((('Dvd Calendar'!$AD$1374=TYPE1)*(TYPE1&lt;&gt;"")+('Dvd Calendar'!$AD$1374=TYPE2)*(TYPE2&lt;&gt;"")+('Dvd Calendar'!$AD$1374=TYPE3)*(TYPE3&lt;&gt;"")+('Dvd Calendar'!$AD$1374=TYPE4)*(TYPE4&lt;&gt;"")+('Dvd Calendar'!$AD$1374=SPECIAL_LBL)*(INC_SPECIALS="Y"))=0,"",'Dvd Calendar'!$AD$1372)))</f>
        <v/>
      </c>
      <c r="AC139" s="106">
        <f>IF(FE139="","",IF(ISNUMBER('Dvd Calendar'!$AE$1372)=FALSE,"",IF((('Dvd Calendar'!$AE$1374=TYPE1)*(TYPE1&lt;&gt;"")+('Dvd Calendar'!$AE$1374=TYPE2)*(TYPE2&lt;&gt;"")+('Dvd Calendar'!$AE$1374=TYPE3)*(TYPE3&lt;&gt;"")+('Dvd Calendar'!$AE$1374=TYPE4)*(TYPE4&lt;&gt;"")+('Dvd Calendar'!$AE$1374=SPECIAL_LBL)*(INC_SPECIALS="Y"))=0,"",'Dvd Calendar'!$AE$1372)))</f>
        <v/>
      </c>
      <c r="AD139" s="106">
        <f>IF(FF139="","",IF(ISNUMBER('Dvd Calendar'!$AF$1372)=FALSE,"",IF((('Dvd Calendar'!$AF$1374=TYPE1)*(TYPE1&lt;&gt;"")+('Dvd Calendar'!$AF$1374=TYPE2)*(TYPE2&lt;&gt;"")+('Dvd Calendar'!$AF$1374=TYPE3)*(TYPE3&lt;&gt;"")+('Dvd Calendar'!$AF$1374=TYPE4)*(TYPE4&lt;&gt;"")+('Dvd Calendar'!$AF$1374=SPECIAL_LBL)*(INC_SPECIALS="Y"))=0,"",'Dvd Calendar'!$AF$1372)))</f>
        <v/>
      </c>
      <c r="AE139" s="106">
        <f>IF(FG139="","",IF(ISNUMBER('Dvd Calendar'!$AG$1372)=FALSE,"",IF((('Dvd Calendar'!$AG$1374=TYPE1)*(TYPE1&lt;&gt;"")+('Dvd Calendar'!$AG$1374=TYPE2)*(TYPE2&lt;&gt;"")+('Dvd Calendar'!$AG$1374=TYPE3)*(TYPE3&lt;&gt;"")+('Dvd Calendar'!$AG$1374=TYPE4)*(TYPE4&lt;&gt;"")+('Dvd Calendar'!$AG$1374=SPECIAL_LBL)*(INC_SPECIALS="Y"))=0,"",'Dvd Calendar'!$AG$1372)))</f>
        <v/>
      </c>
      <c r="AF139" s="106">
        <f>IF(FH139="","",IF(ISNUMBER('Dvd Calendar'!$AH$1372)=FALSE,"",IF((('Dvd Calendar'!$AH$1374=TYPE1)*(TYPE1&lt;&gt;"")+('Dvd Calendar'!$AH$1374=TYPE2)*(TYPE2&lt;&gt;"")+('Dvd Calendar'!$AH$1374=TYPE3)*(TYPE3&lt;&gt;"")+('Dvd Calendar'!$AH$1374=TYPE4)*(TYPE4&lt;&gt;"")+('Dvd Calendar'!$AH$1374=SPECIAL_LBL)*(INC_SPECIALS="Y"))=0,"",'Dvd Calendar'!$AH$1372)))</f>
        <v/>
      </c>
      <c r="AG139" s="106">
        <f>IF(FI139="","",IF(ISNUMBER('Dvd Calendar'!$AI$1372)=FALSE,"",IF((('Dvd Calendar'!$AI$1374=TYPE1)*(TYPE1&lt;&gt;"")+('Dvd Calendar'!$AI$1374=TYPE2)*(TYPE2&lt;&gt;"")+('Dvd Calendar'!$AI$1374=TYPE3)*(TYPE3&lt;&gt;"")+('Dvd Calendar'!$AI$1374=TYPE4)*(TYPE4&lt;&gt;"")+('Dvd Calendar'!$AI$1374=SPECIAL_LBL)*(INC_SPECIALS="Y"))=0,"",'Dvd Calendar'!$AI$1372)))</f>
        <v/>
      </c>
      <c r="AH139" s="106">
        <f>IF(FJ139="","",IF(ISNUMBER('Dvd Calendar'!$AJ$1372)=FALSE,"",IF((('Dvd Calendar'!$AJ$1374=TYPE1)*(TYPE1&lt;&gt;"")+('Dvd Calendar'!$AJ$1374=TYPE2)*(TYPE2&lt;&gt;"")+('Dvd Calendar'!$AJ$1374=TYPE3)*(TYPE3&lt;&gt;"")+('Dvd Calendar'!$AJ$1374=TYPE4)*(TYPE4&lt;&gt;"")+('Dvd Calendar'!$AJ$1374=SPECIAL_LBL)*(INC_SPECIALS="Y"))=0,"",'Dvd Calendar'!$AJ$1372)))</f>
        <v/>
      </c>
      <c r="AI139" s="106">
        <f>IF(FK139="","",IF(ISNUMBER('Dvd Calendar'!$AK$1372)=FALSE,"",IF((('Dvd Calendar'!$AK$1374=TYPE1)*(TYPE1&lt;&gt;"")+('Dvd Calendar'!$AK$1374=TYPE2)*(TYPE2&lt;&gt;"")+('Dvd Calendar'!$AK$1374=TYPE3)*(TYPE3&lt;&gt;"")+('Dvd Calendar'!$AK$1374=TYPE4)*(TYPE4&lt;&gt;"")+('Dvd Calendar'!$AK$1374=SPECIAL_LBL)*(INC_SPECIALS="Y"))=0,"",'Dvd Calendar'!$AK$1372)))</f>
        <v/>
      </c>
      <c r="AJ139" s="106">
        <f>IF(FL139="","",IF(ISNUMBER('Dvd Calendar'!$AL$1372)=FALSE,"",IF((('Dvd Calendar'!$AL$1374=TYPE1)*(TYPE1&lt;&gt;"")+('Dvd Calendar'!$AL$1374=TYPE2)*(TYPE2&lt;&gt;"")+('Dvd Calendar'!$AL$1374=TYPE3)*(TYPE3&lt;&gt;"")+('Dvd Calendar'!$AL$1374=TYPE4)*(TYPE4&lt;&gt;"")+('Dvd Calendar'!$AL$1374=SPECIAL_LBL)*(INC_SPECIALS="Y"))=0,"",'Dvd Calendar'!$AL$1372)))</f>
        <v/>
      </c>
      <c r="AK139" s="106">
        <f>IF(FM139="","",IF(ISNUMBER('Dvd Calendar'!$AM$1372)=FALSE,"",IF((('Dvd Calendar'!$AM$1374=TYPE1)*(TYPE1&lt;&gt;"")+('Dvd Calendar'!$AM$1374=TYPE2)*(TYPE2&lt;&gt;"")+('Dvd Calendar'!$AM$1374=TYPE3)*(TYPE3&lt;&gt;"")+('Dvd Calendar'!$AM$1374=TYPE4)*(TYPE4&lt;&gt;"")+('Dvd Calendar'!$AM$1374=SPECIAL_LBL)*(INC_SPECIALS="Y"))=0,"",'Dvd Calendar'!$AM$1372)))</f>
        <v/>
      </c>
      <c r="AL139" s="106">
        <f>IF(FN139="","",IF(ISNUMBER('Dvd Calendar'!$AN$1372)=FALSE,"",IF((('Dvd Calendar'!$AN$1374=TYPE1)*(TYPE1&lt;&gt;"")+('Dvd Calendar'!$AN$1374=TYPE2)*(TYPE2&lt;&gt;"")+('Dvd Calendar'!$AN$1374=TYPE3)*(TYPE3&lt;&gt;"")+('Dvd Calendar'!$AN$1374=TYPE4)*(TYPE4&lt;&gt;"")+('Dvd Calendar'!$AN$1374=SPECIAL_LBL)*(INC_SPECIALS="Y"))=0,"",'Dvd Calendar'!$AN$1372)))</f>
        <v/>
      </c>
      <c r="AM139" s="106">
        <f>IF(FO139="","",IF(ISNUMBER('Dvd Calendar'!$AO$1372)=FALSE,"",IF((('Dvd Calendar'!$AO$1374=TYPE1)*(TYPE1&lt;&gt;"")+('Dvd Calendar'!$AO$1374=TYPE2)*(TYPE2&lt;&gt;"")+('Dvd Calendar'!$AO$1374=TYPE3)*(TYPE3&lt;&gt;"")+('Dvd Calendar'!$AO$1374=TYPE4)*(TYPE4&lt;&gt;"")+('Dvd Calendar'!$AO$1374=SPECIAL_LBL)*(INC_SPECIALS="Y"))=0,"",'Dvd Calendar'!$AO$1372)))</f>
        <v/>
      </c>
      <c r="AN139" s="106">
        <f>IF(FP139="","",IF(ISNUMBER('Dvd Calendar'!$AP$1372)=FALSE,"",IF((('Dvd Calendar'!$AP$1374=TYPE1)*(TYPE1&lt;&gt;"")+('Dvd Calendar'!$AP$1374=TYPE2)*(TYPE2&lt;&gt;"")+('Dvd Calendar'!$AP$1374=TYPE3)*(TYPE3&lt;&gt;"")+('Dvd Calendar'!$AP$1374=TYPE4)*(TYPE4&lt;&gt;"")+('Dvd Calendar'!$AP$1374=SPECIAL_LBL)*(INC_SPECIALS="Y"))=0,"",'Dvd Calendar'!$AP$1372)))</f>
        <v/>
      </c>
      <c r="AO139" s="106">
        <f>IF(FQ139="","",IF(ISNUMBER('Dvd Calendar'!$AQ$1372)=FALSE,"",IF((('Dvd Calendar'!$AQ$1374=TYPE1)*(TYPE1&lt;&gt;"")+('Dvd Calendar'!$AQ$1374=TYPE2)*(TYPE2&lt;&gt;"")+('Dvd Calendar'!$AQ$1374=TYPE3)*(TYPE3&lt;&gt;"")+('Dvd Calendar'!$AQ$1374=TYPE4)*(TYPE4&lt;&gt;"")+('Dvd Calendar'!$AQ$1374=SPECIAL_LBL)*(INC_SPECIALS="Y"))=0,"",'Dvd Calendar'!$AQ$1372)))</f>
        <v/>
      </c>
      <c r="AP139" s="106">
        <f>IF(FR139="","",IF(ISNUMBER('Dvd Calendar'!$AR$1372)=FALSE,"",IF((('Dvd Calendar'!$AR$1374=TYPE1)*(TYPE1&lt;&gt;"")+('Dvd Calendar'!$AR$1374=TYPE2)*(TYPE2&lt;&gt;"")+('Dvd Calendar'!$AR$1374=TYPE3)*(TYPE3&lt;&gt;"")+('Dvd Calendar'!$AR$1374=TYPE4)*(TYPE4&lt;&gt;"")+('Dvd Calendar'!$AR$1374=SPECIAL_LBL)*(INC_SPECIALS="Y"))=0,"",'Dvd Calendar'!$AR$1372)))</f>
        <v/>
      </c>
      <c r="AQ139" s="106">
        <f>IF(FS139="","",IF(ISNUMBER('Dvd Calendar'!$E$1377)=FALSE,"",'Dvd Calendar'!$E$1377))</f>
        <v/>
      </c>
      <c r="AR139" s="106">
        <f>IF(FT139="","",IF(ISNUMBER('Dvd Calendar'!$F$1377)=FALSE,"",'Dvd Calendar'!$F$1377))</f>
        <v/>
      </c>
      <c r="AS139" s="106">
        <f>IF(FU139="","",IF(ISNUMBER('Dvd Calendar'!$G$1377)=FALSE,"",'Dvd Calendar'!$G$1377))</f>
        <v/>
      </c>
      <c r="AT139" s="106">
        <f>IF(FV139="","",IF(ISNUMBER('Dvd Calendar'!$H$1377)=FALSE,"",'Dvd Calendar'!$H$1377))</f>
        <v/>
      </c>
      <c r="AU139" s="106">
        <f>IF(FW139="","",IF(ISNUMBER('Dvd Calendar'!$I$1377)=FALSE,"",'Dvd Calendar'!$I$1377))</f>
        <v/>
      </c>
      <c r="AV139" s="106">
        <f>IF(FX139="","",IF(ISNUMBER('Dvd Calendar'!$J$1377)=FALSE,"",'Dvd Calendar'!$J$1377))</f>
        <v/>
      </c>
      <c r="AW139" s="106">
        <f>IF(FY139="","",IF(ISNUMBER('Dvd Calendar'!$K$1377)=FALSE,"",'Dvd Calendar'!$K$1377))</f>
        <v/>
      </c>
      <c r="AX139" s="106">
        <f>IF(FZ139="","",IF(ISNUMBER('Dvd Calendar'!$L$1377)=FALSE,"",'Dvd Calendar'!$L$1377))</f>
        <v/>
      </c>
      <c r="AY139" s="106">
        <f>IF(GA139="","",IF(ISNUMBER('Dvd Calendar'!$M$1377)=FALSE,"",'Dvd Calendar'!$M$1377))</f>
        <v/>
      </c>
      <c r="AZ139" s="106">
        <f>IF(GB139="","",IF(ISNUMBER('Dvd Calendar'!$N$1377)=FALSE,"",'Dvd Calendar'!$N$1377))</f>
        <v/>
      </c>
      <c r="BA139" s="106">
        <f>IF(GC139="","",IF(ISNUMBER('Dvd Calendar'!$O$1377)=FALSE,"",'Dvd Calendar'!$O$1377))</f>
        <v/>
      </c>
      <c r="BB139" s="106">
        <f>IF(GD139="","",IF(ISNUMBER('Dvd Calendar'!$P$1377)=FALSE,"",'Dvd Calendar'!$P$1377))</f>
        <v/>
      </c>
      <c r="BC139" s="106">
        <f>IF(GE139="","",IF(ISNUMBER('Dvd Calendar'!$Q$1377)=FALSE,"",'Dvd Calendar'!$Q$1377))</f>
        <v/>
      </c>
      <c r="BD139" s="106">
        <f>IF(GF139="","",IF(ISNUMBER('Dvd Calendar'!$R$1377)=FALSE,"",'Dvd Calendar'!$R$1377))</f>
        <v/>
      </c>
      <c r="BE139" s="106">
        <f>IF(GG139="","",IF(ISNUMBER('Dvd Calendar'!$S$1377)=FALSE,"",'Dvd Calendar'!$S$1377))</f>
        <v/>
      </c>
      <c r="BF139" s="106">
        <f>IF(GH139="","",IF(ISNUMBER('Dvd Calendar'!$T$1377)=FALSE,"",'Dvd Calendar'!$T$1377))</f>
        <v/>
      </c>
      <c r="BG139" s="106">
        <f>IF(GI139="","",IF(ISNUMBER('Dvd Calendar'!$U$1377)=FALSE,"",'Dvd Calendar'!$U$1377))</f>
        <v/>
      </c>
      <c r="BH139" s="106">
        <f>IF(GJ139="","",IF(ISNUMBER('Dvd Calendar'!$V$1377)=FALSE,"",'Dvd Calendar'!$V$1377))</f>
        <v/>
      </c>
      <c r="BI139" s="106">
        <f>IF(GK139="","",IF(ISNUMBER('Dvd Calendar'!$W$1377)=FALSE,"",'Dvd Calendar'!$W$1377))</f>
        <v/>
      </c>
      <c r="BJ139" s="106">
        <f>IF(GL139="","",IF(ISNUMBER('Dvd Calendar'!$X$1377)=FALSE,"",'Dvd Calendar'!$X$1377))</f>
        <v/>
      </c>
      <c r="BK139" s="106">
        <f>IF(GM139="","",IF(ISNUMBER('Dvd Calendar'!$Y$1377)=FALSE,"",'Dvd Calendar'!$Y$1377))</f>
        <v/>
      </c>
      <c r="BL139" s="106">
        <f>IF(GN139="","",IF(ISNUMBER('Dvd Calendar'!$Z$1377)=FALSE,"",'Dvd Calendar'!$Z$1377))</f>
        <v/>
      </c>
      <c r="BM139" s="106">
        <f>IF(GO139="","",IF(ISNUMBER('Dvd Calendar'!$AA$1377)=FALSE,"",'Dvd Calendar'!$AA$1377))</f>
        <v/>
      </c>
      <c r="BN139" s="106">
        <f>IF(GP139="","",IF(ISNUMBER('Dvd Calendar'!$AB$1377)=FALSE,"",'Dvd Calendar'!$AB$1377))</f>
        <v/>
      </c>
      <c r="BO139" s="106">
        <f>IF(GQ139="","",IF(ISNUMBER('Dvd Calendar'!$AC$1377)=FALSE,"",'Dvd Calendar'!$AC$1377))</f>
        <v/>
      </c>
      <c r="BQ139" s="106">
        <f>IF(C139="","",IFERROR(C139*HSTECH!$B$30*HSTECH!$G$30/HSTECH!$B$3,""))</f>
        <v/>
      </c>
      <c r="BR139" s="106">
        <f>IF(D139="","",IFERROR(D139*HSTECH!$B$30*HSTECH!$G$30/HSTECH!$B$3,""))</f>
        <v/>
      </c>
      <c r="BS139" s="106">
        <f>IF(E139="","",IFERROR(E139*HSTECH!$B$30*HSTECH!$G$30/HSTECH!$B$3,""))</f>
        <v/>
      </c>
      <c r="BT139" s="106">
        <f>IF(F139="","",IFERROR(F139*HSTECH!$B$30*HSTECH!$G$30/HSTECH!$B$3,""))</f>
        <v/>
      </c>
      <c r="BU139" s="106">
        <f>IF(G139="","",IFERROR(G139*HSTECH!$B$30*HSTECH!$G$30/HSTECH!$B$3,""))</f>
        <v/>
      </c>
      <c r="BV139" s="106">
        <f>IF(H139="","",IFERROR(H139*HSTECH!$B$30*HSTECH!$G$30/HSTECH!$B$3,""))</f>
        <v/>
      </c>
      <c r="BW139" s="106">
        <f>IF(I139="","",IFERROR(I139*HSTECH!$B$30*HSTECH!$G$30/HSTECH!$B$3,""))</f>
        <v/>
      </c>
      <c r="BX139" s="106">
        <f>IF(J139="","",IFERROR(J139*HSTECH!$B$30*HSTECH!$G$30/HSTECH!$B$3,""))</f>
        <v/>
      </c>
      <c r="BY139" s="106">
        <f>IF(K139="","",IFERROR(K139*HSTECH!$B$30*HSTECH!$G$30/HSTECH!$B$3,""))</f>
        <v/>
      </c>
      <c r="BZ139" s="106">
        <f>IF(L139="","",IFERROR(L139*HSTECH!$B$30*HSTECH!$G$30/HSTECH!$B$3,""))</f>
        <v/>
      </c>
      <c r="CA139" s="106">
        <f>IF(M139="","",IFERROR(M139*HSTECH!$B$30*HSTECH!$G$30/HSTECH!$B$3,""))</f>
        <v/>
      </c>
      <c r="CB139" s="106">
        <f>IF(N139="","",IFERROR(N139*HSTECH!$B$30*HSTECH!$G$30/HSTECH!$B$3,""))</f>
        <v/>
      </c>
      <c r="CC139" s="106">
        <f>IF(O139="","",IFERROR(O139*HSTECH!$B$30*HSTECH!$G$30/HSTECH!$B$3,""))</f>
        <v/>
      </c>
      <c r="CD139" s="106">
        <f>IF(P139="","",IFERROR(P139*HSTECH!$B$30*HSTECH!$G$30/HSTECH!$B$3,""))</f>
        <v/>
      </c>
      <c r="CE139" s="106">
        <f>IF(Q139="","",IFERROR(Q139*HSTECH!$B$30*HSTECH!$G$30/HSTECH!$B$3,""))</f>
        <v/>
      </c>
      <c r="CF139" s="106">
        <f>IF(R139="","",IFERROR(R139*HSTECH!$B$30*HSTECH!$G$30/HSTECH!$B$3,""))</f>
        <v/>
      </c>
      <c r="CG139" s="106">
        <f>IF(S139="","",IFERROR(S139*HSTECH!$B$30*HSTECH!$G$30/HSTECH!$B$3,""))</f>
        <v/>
      </c>
      <c r="CH139" s="106">
        <f>IF(T139="","",IFERROR(T139*HSTECH!$B$30*HSTECH!$G$30/HSTECH!$B$3,""))</f>
        <v/>
      </c>
      <c r="CI139" s="106">
        <f>IF(U139="","",IFERROR(U139*HSTECH!$B$30*HSTECH!$G$30/HSTECH!$B$3,""))</f>
        <v/>
      </c>
      <c r="CJ139" s="106">
        <f>IF(V139="","",IFERROR(V139*HSTECH!$B$30*HSTECH!$G$30/HSTECH!$B$3,""))</f>
        <v/>
      </c>
      <c r="CK139" s="106">
        <f>IF(W139="","",IFERROR(W139*HSTECH!$B$30*HSTECH!$G$30/HSTECH!$B$3,""))</f>
        <v/>
      </c>
      <c r="CL139" s="106">
        <f>IF(X139="","",IFERROR(X139*HSTECH!$B$30*HSTECH!$G$30/HSTECH!$B$3,""))</f>
        <v/>
      </c>
      <c r="CM139" s="106">
        <f>IF(Y139="","",IFERROR(Y139*HSTECH!$B$30*HSTECH!$G$30/HSTECH!$B$3,""))</f>
        <v/>
      </c>
      <c r="CN139" s="106">
        <f>IF(Z139="","",IFERROR(Z139*HSTECH!$B$30*HSTECH!$G$30/HSTECH!$B$3,""))</f>
        <v/>
      </c>
      <c r="CO139" s="106">
        <f>IF(AA139="","",IFERROR(AA139*HSTECH!$B$30*HSTECH!$G$30/HSTECH!$B$3,""))</f>
        <v/>
      </c>
      <c r="CP139" s="106">
        <f>IF(AB139="","",IFERROR(AB139*HSTECH!$B$30*HSTECH!$G$30/HSTECH!$B$3,""))</f>
        <v/>
      </c>
      <c r="CQ139" s="106">
        <f>IF(AC139="","",IFERROR(AC139*HSTECH!$B$30*HSTECH!$G$30/HSTECH!$B$3,""))</f>
        <v/>
      </c>
      <c r="CR139" s="106">
        <f>IF(AD139="","",IFERROR(AD139*HSTECH!$B$30*HSTECH!$G$30/HSTECH!$B$3,""))</f>
        <v/>
      </c>
      <c r="CS139" s="106">
        <f>IF(AE139="","",IFERROR(AE139*HSTECH!$B$30*HSTECH!$G$30/HSTECH!$B$3,""))</f>
        <v/>
      </c>
      <c r="CT139" s="106">
        <f>IF(AF139="","",IFERROR(AF139*HSTECH!$B$30*HSTECH!$G$30/HSTECH!$B$3,""))</f>
        <v/>
      </c>
      <c r="CU139" s="106">
        <f>IF(AG139="","",IFERROR(AG139*HSTECH!$B$30*HSTECH!$G$30/HSTECH!$B$3,""))</f>
        <v/>
      </c>
      <c r="CV139" s="106">
        <f>IF(AH139="","",IFERROR(AH139*HSTECH!$B$30*HSTECH!$G$30/HSTECH!$B$3,""))</f>
        <v/>
      </c>
      <c r="CW139" s="106">
        <f>IF(AI139="","",IFERROR(AI139*HSTECH!$B$30*HSTECH!$G$30/HSTECH!$B$3,""))</f>
        <v/>
      </c>
      <c r="CX139" s="106">
        <f>IF(AJ139="","",IFERROR(AJ139*HSTECH!$B$30*HSTECH!$G$30/HSTECH!$B$3,""))</f>
        <v/>
      </c>
      <c r="CY139" s="106">
        <f>IF(AK139="","",IFERROR(AK139*HSTECH!$B$30*HSTECH!$G$30/HSTECH!$B$3,""))</f>
        <v/>
      </c>
      <c r="CZ139" s="106">
        <f>IF(AL139="","",IFERROR(AL139*HSTECH!$B$30*HSTECH!$G$30/HSTECH!$B$3,""))</f>
        <v/>
      </c>
      <c r="DA139" s="106">
        <f>IF(AM139="","",IFERROR(AM139*HSTECH!$B$30*HSTECH!$G$30/HSTECH!$B$3,""))</f>
        <v/>
      </c>
      <c r="DB139" s="106">
        <f>IF(AN139="","",IFERROR(AN139*HSTECH!$B$30*HSTECH!$G$30/HSTECH!$B$3,""))</f>
        <v/>
      </c>
      <c r="DC139" s="106">
        <f>IF(AO139="","",IFERROR(AO139*HSTECH!$B$30*HSTECH!$G$30/HSTECH!$B$3,""))</f>
        <v/>
      </c>
      <c r="DD139" s="106">
        <f>IF(AP139="","",IFERROR(AP139*HSTECH!$B$30*HSTECH!$G$30/HSTECH!$B$3,""))</f>
        <v/>
      </c>
      <c r="DE139" s="106">
        <f>IF(AQ139="","",IFERROR(AQ139*HSTECH!$B$30*HSTECH!$G$30/HSTECH!$B$3,""))</f>
        <v/>
      </c>
      <c r="DF139" s="106">
        <f>IF(AR139="","",IFERROR(AR139*HSTECH!$B$30*HSTECH!$G$30/HSTECH!$B$3,""))</f>
        <v/>
      </c>
      <c r="DG139" s="106">
        <f>IF(AS139="","",IFERROR(AS139*HSTECH!$B$30*HSTECH!$G$30/HSTECH!$B$3,""))</f>
        <v/>
      </c>
      <c r="DH139" s="106">
        <f>IF(AT139="","",IFERROR(AT139*HSTECH!$B$30*HSTECH!$G$30/HSTECH!$B$3,""))</f>
        <v/>
      </c>
      <c r="DI139" s="106">
        <f>IF(AU139="","",IFERROR(AU139*HSTECH!$B$30*HSTECH!$G$30/HSTECH!$B$3,""))</f>
        <v/>
      </c>
      <c r="DJ139" s="106">
        <f>IF(AV139="","",IFERROR(AV139*HSTECH!$B$30*HSTECH!$G$30/HSTECH!$B$3,""))</f>
        <v/>
      </c>
      <c r="DK139" s="106">
        <f>IF(AW139="","",IFERROR(AW139*HSTECH!$B$30*HSTECH!$G$30/HSTECH!$B$3,""))</f>
        <v/>
      </c>
      <c r="DL139" s="106">
        <f>IF(AX139="","",IFERROR(AX139*HSTECH!$B$30*HSTECH!$G$30/HSTECH!$B$3,""))</f>
        <v/>
      </c>
      <c r="DM139" s="106">
        <f>IF(AY139="","",IFERROR(AY139*HSTECH!$B$30*HSTECH!$G$30/HSTECH!$B$3,""))</f>
        <v/>
      </c>
      <c r="DN139" s="106">
        <f>IF(AZ139="","",IFERROR(AZ139*HSTECH!$B$30*HSTECH!$G$30/HSTECH!$B$3,""))</f>
        <v/>
      </c>
      <c r="DO139" s="106">
        <f>IF(BA139="","",IFERROR(BA139*HSTECH!$B$30*HSTECH!$G$30/HSTECH!$B$3,""))</f>
        <v/>
      </c>
      <c r="DP139" s="106">
        <f>IF(BB139="","",IFERROR(BB139*HSTECH!$B$30*HSTECH!$G$30/HSTECH!$B$3,""))</f>
        <v/>
      </c>
      <c r="DQ139" s="106">
        <f>IF(BC139="","",IFERROR(BC139*HSTECH!$B$30*HSTECH!$G$30/HSTECH!$B$3,""))</f>
        <v/>
      </c>
      <c r="DR139" s="106">
        <f>IF(BD139="","",IFERROR(BD139*HSTECH!$B$30*HSTECH!$G$30/HSTECH!$B$3,""))</f>
        <v/>
      </c>
      <c r="DS139" s="106">
        <f>IF(BE139="","",IFERROR(BE139*HSTECH!$B$30*HSTECH!$G$30/HSTECH!$B$3,""))</f>
        <v/>
      </c>
      <c r="DT139" s="106">
        <f>IF(BF139="","",IFERROR(BF139*HSTECH!$B$30*HSTECH!$G$30/HSTECH!$B$3,""))</f>
        <v/>
      </c>
      <c r="DU139" s="106">
        <f>IF(BG139="","",IFERROR(BG139*HSTECH!$B$30*HSTECH!$G$30/HSTECH!$B$3,""))</f>
        <v/>
      </c>
      <c r="DV139" s="106">
        <f>IF(BH139="","",IFERROR(BH139*HSTECH!$B$30*HSTECH!$G$30/HSTECH!$B$3,""))</f>
        <v/>
      </c>
      <c r="DW139" s="106">
        <f>IF(BI139="","",IFERROR(BI139*HSTECH!$B$30*HSTECH!$G$30/HSTECH!$B$3,""))</f>
        <v/>
      </c>
      <c r="DX139" s="106">
        <f>IF(BJ139="","",IFERROR(BJ139*HSTECH!$B$30*HSTECH!$G$30/HSTECH!$B$3,""))</f>
        <v/>
      </c>
      <c r="DY139" s="106">
        <f>IF(BK139="","",IFERROR(BK139*HSTECH!$B$30*HSTECH!$G$30/HSTECH!$B$3,""))</f>
        <v/>
      </c>
      <c r="DZ139" s="106">
        <f>IF(BL139="","",IFERROR(BL139*HSTECH!$B$30*HSTECH!$G$30/HSTECH!$B$3,""))</f>
        <v/>
      </c>
      <c r="EA139" s="106">
        <f>IF(BM139="","",IFERROR(BM139*HSTECH!$B$30*HSTECH!$G$30/HSTECH!$B$3,""))</f>
        <v/>
      </c>
      <c r="EB139" s="106">
        <f>IF(BN139="","",IFERROR(BN139*HSTECH!$B$30*HSTECH!$G$30/HSTECH!$B$3,""))</f>
        <v/>
      </c>
      <c r="EC139" s="106">
        <f>IF(BO139="","",IFERROR(BO139*HSTECH!$B$30*HSTECH!$G$30/HSTECH!$B$3,""))</f>
        <v/>
      </c>
      <c r="EE139" s="35">
        <f>IF(N('Dvd Calendar'!$E$1369)=0,"",IF(('Dvd Calendar'!$E$1369&gt;=GRID_FROM)*('Dvd Calendar'!$E$1369&lt;=GRID_TO)*('Dvd Calendar'!$E$1369&lt;=VAL_DATE)=0,"",'Dvd Calendar'!$E$1369*1000000000+ISNUMBER('Dvd Calendar'!$E$1372)*100000000+('Dvd Calendar'!$E$1374=SPECIAL_LBL)*10000000+0*1000000+24*1000+1))</f>
        <v/>
      </c>
      <c r="EF139" s="35">
        <f>IF(N('Dvd Calendar'!$F$1369)=0,"",IF(('Dvd Calendar'!$F$1369&gt;=GRID_FROM)*('Dvd Calendar'!$F$1369&lt;=GRID_TO)*('Dvd Calendar'!$F$1369&lt;=VAL_DATE)=0,"",'Dvd Calendar'!$F$1369*1000000000+ISNUMBER('Dvd Calendar'!$F$1372)*100000000+('Dvd Calendar'!$F$1374=SPECIAL_LBL)*10000000+0*1000000+24*1000+2))</f>
        <v/>
      </c>
      <c r="EG139" s="35">
        <f>IF(N('Dvd Calendar'!$G$1369)=0,"",IF(('Dvd Calendar'!$G$1369&gt;=GRID_FROM)*('Dvd Calendar'!$G$1369&lt;=GRID_TO)*('Dvd Calendar'!$G$1369&lt;=VAL_DATE)=0,"",'Dvd Calendar'!$G$1369*1000000000+ISNUMBER('Dvd Calendar'!$G$1372)*100000000+('Dvd Calendar'!$G$1374=SPECIAL_LBL)*10000000+0*1000000+24*1000+3))</f>
        <v/>
      </c>
      <c r="EH139" s="35">
        <f>IF(N('Dvd Calendar'!$H$1369)=0,"",IF(('Dvd Calendar'!$H$1369&gt;=GRID_FROM)*('Dvd Calendar'!$H$1369&lt;=GRID_TO)*('Dvd Calendar'!$H$1369&lt;=VAL_DATE)=0,"",'Dvd Calendar'!$H$1369*1000000000+ISNUMBER('Dvd Calendar'!$H$1372)*100000000+('Dvd Calendar'!$H$1374=SPECIAL_LBL)*10000000+0*1000000+24*1000+4))</f>
        <v/>
      </c>
      <c r="EI139" s="35">
        <f>IF(N('Dvd Calendar'!$I$1369)=0,"",IF(('Dvd Calendar'!$I$1369&gt;=GRID_FROM)*('Dvd Calendar'!$I$1369&lt;=GRID_TO)*('Dvd Calendar'!$I$1369&lt;=VAL_DATE)=0,"",'Dvd Calendar'!$I$1369*1000000000+ISNUMBER('Dvd Calendar'!$I$1372)*100000000+('Dvd Calendar'!$I$1374=SPECIAL_LBL)*10000000+0*1000000+24*1000+5))</f>
        <v/>
      </c>
      <c r="EJ139" s="35">
        <f>IF(N('Dvd Calendar'!$J$1369)=0,"",IF(('Dvd Calendar'!$J$1369&gt;=GRID_FROM)*('Dvd Calendar'!$J$1369&lt;=GRID_TO)*('Dvd Calendar'!$J$1369&lt;=VAL_DATE)=0,"",'Dvd Calendar'!$J$1369*1000000000+ISNUMBER('Dvd Calendar'!$J$1372)*100000000+('Dvd Calendar'!$J$1374=SPECIAL_LBL)*10000000+0*1000000+24*1000+6))</f>
        <v/>
      </c>
      <c r="EK139" s="35">
        <f>IF(N('Dvd Calendar'!$K$1369)=0,"",IF(('Dvd Calendar'!$K$1369&gt;=GRID_FROM)*('Dvd Calendar'!$K$1369&lt;=GRID_TO)*('Dvd Calendar'!$K$1369&lt;=VAL_DATE)=0,"",'Dvd Calendar'!$K$1369*1000000000+ISNUMBER('Dvd Calendar'!$K$1372)*100000000+('Dvd Calendar'!$K$1374=SPECIAL_LBL)*10000000+0*1000000+24*1000+7))</f>
        <v/>
      </c>
      <c r="EL139" s="35">
        <f>IF(N('Dvd Calendar'!$L$1369)=0,"",IF(('Dvd Calendar'!$L$1369&gt;=GRID_FROM)*('Dvd Calendar'!$L$1369&lt;=GRID_TO)*('Dvd Calendar'!$L$1369&lt;=VAL_DATE)=0,"",'Dvd Calendar'!$L$1369*1000000000+ISNUMBER('Dvd Calendar'!$L$1372)*100000000+('Dvd Calendar'!$L$1374=SPECIAL_LBL)*10000000+0*1000000+24*1000+8))</f>
        <v/>
      </c>
      <c r="EM139" s="35">
        <f>IF(N('Dvd Calendar'!$M$1369)=0,"",IF(('Dvd Calendar'!$M$1369&gt;=GRID_FROM)*('Dvd Calendar'!$M$1369&lt;=GRID_TO)*('Dvd Calendar'!$M$1369&lt;=VAL_DATE)=0,"",'Dvd Calendar'!$M$1369*1000000000+ISNUMBER('Dvd Calendar'!$M$1372)*100000000+('Dvd Calendar'!$M$1374=SPECIAL_LBL)*10000000+0*1000000+24*1000+9))</f>
        <v/>
      </c>
      <c r="EN139" s="35">
        <f>IF(N('Dvd Calendar'!$N$1369)=0,"",IF(('Dvd Calendar'!$N$1369&gt;=GRID_FROM)*('Dvd Calendar'!$N$1369&lt;=GRID_TO)*('Dvd Calendar'!$N$1369&lt;=VAL_DATE)=0,"",'Dvd Calendar'!$N$1369*1000000000+ISNUMBER('Dvd Calendar'!$N$1372)*100000000+('Dvd Calendar'!$N$1374=SPECIAL_LBL)*10000000+0*1000000+24*1000+10))</f>
        <v/>
      </c>
      <c r="EO139" s="35">
        <f>IF(N('Dvd Calendar'!$O$1369)=0,"",IF(('Dvd Calendar'!$O$1369&gt;=GRID_FROM)*('Dvd Calendar'!$O$1369&lt;=GRID_TO)*('Dvd Calendar'!$O$1369&lt;=VAL_DATE)=0,"",'Dvd Calendar'!$O$1369*1000000000+ISNUMBER('Dvd Calendar'!$O$1372)*100000000+('Dvd Calendar'!$O$1374=SPECIAL_LBL)*10000000+0*1000000+24*1000+11))</f>
        <v/>
      </c>
      <c r="EP139" s="35">
        <f>IF(N('Dvd Calendar'!$P$1369)=0,"",IF(('Dvd Calendar'!$P$1369&gt;=GRID_FROM)*('Dvd Calendar'!$P$1369&lt;=GRID_TO)*('Dvd Calendar'!$P$1369&lt;=VAL_DATE)=0,"",'Dvd Calendar'!$P$1369*1000000000+ISNUMBER('Dvd Calendar'!$P$1372)*100000000+('Dvd Calendar'!$P$1374=SPECIAL_LBL)*10000000+0*1000000+24*1000+12))</f>
        <v/>
      </c>
      <c r="EQ139" s="35">
        <f>IF(N('Dvd Calendar'!$Q$1369)=0,"",IF(('Dvd Calendar'!$Q$1369&gt;=GRID_FROM)*('Dvd Calendar'!$Q$1369&lt;=GRID_TO)*('Dvd Calendar'!$Q$1369&lt;=VAL_DATE)=0,"",'Dvd Calendar'!$Q$1369*1000000000+ISNUMBER('Dvd Calendar'!$Q$1372)*100000000+('Dvd Calendar'!$Q$1374=SPECIAL_LBL)*10000000+0*1000000+24*1000+13))</f>
        <v/>
      </c>
      <c r="ER139" s="35">
        <f>IF(N('Dvd Calendar'!$R$1369)=0,"",IF(('Dvd Calendar'!$R$1369&gt;=GRID_FROM)*('Dvd Calendar'!$R$1369&lt;=GRID_TO)*('Dvd Calendar'!$R$1369&lt;=VAL_DATE)=0,"",'Dvd Calendar'!$R$1369*1000000000+ISNUMBER('Dvd Calendar'!$R$1372)*100000000+('Dvd Calendar'!$R$1374=SPECIAL_LBL)*10000000+0*1000000+24*1000+14))</f>
        <v/>
      </c>
      <c r="ES139" s="35">
        <f>IF(N('Dvd Calendar'!$S$1369)=0,"",IF(('Dvd Calendar'!$S$1369&gt;=GRID_FROM)*('Dvd Calendar'!$S$1369&lt;=GRID_TO)*('Dvd Calendar'!$S$1369&lt;=VAL_DATE)=0,"",'Dvd Calendar'!$S$1369*1000000000+ISNUMBER('Dvd Calendar'!$S$1372)*100000000+('Dvd Calendar'!$S$1374=SPECIAL_LBL)*10000000+0*1000000+24*1000+15))</f>
        <v/>
      </c>
      <c r="ET139" s="35">
        <f>IF(N('Dvd Calendar'!$T$1369)=0,"",IF(('Dvd Calendar'!$T$1369&gt;=GRID_FROM)*('Dvd Calendar'!$T$1369&lt;=GRID_TO)*('Dvd Calendar'!$T$1369&lt;=VAL_DATE)=0,"",'Dvd Calendar'!$T$1369*1000000000+ISNUMBER('Dvd Calendar'!$T$1372)*100000000+('Dvd Calendar'!$T$1374=SPECIAL_LBL)*10000000+0*1000000+24*1000+16))</f>
        <v/>
      </c>
      <c r="EU139" s="35">
        <f>IF(N('Dvd Calendar'!$U$1369)=0,"",IF(('Dvd Calendar'!$U$1369&gt;=GRID_FROM)*('Dvd Calendar'!$U$1369&lt;=GRID_TO)*('Dvd Calendar'!$U$1369&lt;=VAL_DATE)=0,"",'Dvd Calendar'!$U$1369*1000000000+ISNUMBER('Dvd Calendar'!$U$1372)*100000000+('Dvd Calendar'!$U$1374=SPECIAL_LBL)*10000000+0*1000000+24*1000+17))</f>
        <v/>
      </c>
      <c r="EV139" s="35">
        <f>IF(N('Dvd Calendar'!$V$1369)=0,"",IF(('Dvd Calendar'!$V$1369&gt;=GRID_FROM)*('Dvd Calendar'!$V$1369&lt;=GRID_TO)*('Dvd Calendar'!$V$1369&lt;=VAL_DATE)=0,"",'Dvd Calendar'!$V$1369*1000000000+ISNUMBER('Dvd Calendar'!$V$1372)*100000000+('Dvd Calendar'!$V$1374=SPECIAL_LBL)*10000000+0*1000000+24*1000+18))</f>
        <v/>
      </c>
      <c r="EW139" s="35">
        <f>IF(N('Dvd Calendar'!$W$1369)=0,"",IF(('Dvd Calendar'!$W$1369&gt;=GRID_FROM)*('Dvd Calendar'!$W$1369&lt;=GRID_TO)*('Dvd Calendar'!$W$1369&lt;=VAL_DATE)=0,"",'Dvd Calendar'!$W$1369*1000000000+ISNUMBER('Dvd Calendar'!$W$1372)*100000000+('Dvd Calendar'!$W$1374=SPECIAL_LBL)*10000000+0*1000000+24*1000+19))</f>
        <v/>
      </c>
      <c r="EX139" s="35">
        <f>IF(N('Dvd Calendar'!$X$1369)=0,"",IF(('Dvd Calendar'!$X$1369&gt;=GRID_FROM)*('Dvd Calendar'!$X$1369&lt;=GRID_TO)*('Dvd Calendar'!$X$1369&lt;=VAL_DATE)=0,"",'Dvd Calendar'!$X$1369*1000000000+ISNUMBER('Dvd Calendar'!$X$1372)*100000000+('Dvd Calendar'!$X$1374=SPECIAL_LBL)*10000000+0*1000000+24*1000+20))</f>
        <v/>
      </c>
      <c r="EY139" s="35">
        <f>IF(N('Dvd Calendar'!$Y$1369)=0,"",IF(('Dvd Calendar'!$Y$1369&gt;=GRID_FROM)*('Dvd Calendar'!$Y$1369&lt;=GRID_TO)*('Dvd Calendar'!$Y$1369&lt;=VAL_DATE)=0,"",'Dvd Calendar'!$Y$1369*1000000000+ISNUMBER('Dvd Calendar'!$Y$1372)*100000000+('Dvd Calendar'!$Y$1374=SPECIAL_LBL)*10000000+0*1000000+24*1000+21))</f>
        <v/>
      </c>
      <c r="EZ139" s="35">
        <f>IF(N('Dvd Calendar'!$Z$1369)=0,"",IF(('Dvd Calendar'!$Z$1369&gt;=GRID_FROM)*('Dvd Calendar'!$Z$1369&lt;=GRID_TO)*('Dvd Calendar'!$Z$1369&lt;=VAL_DATE)=0,"",'Dvd Calendar'!$Z$1369*1000000000+ISNUMBER('Dvd Calendar'!$Z$1372)*100000000+('Dvd Calendar'!$Z$1374=SPECIAL_LBL)*10000000+0*1000000+24*1000+22))</f>
        <v/>
      </c>
      <c r="FA139" s="35">
        <f>IF(N('Dvd Calendar'!$AA$1369)=0,"",IF(('Dvd Calendar'!$AA$1369&gt;=GRID_FROM)*('Dvd Calendar'!$AA$1369&lt;=GRID_TO)*('Dvd Calendar'!$AA$1369&lt;=VAL_DATE)=0,"",'Dvd Calendar'!$AA$1369*1000000000+ISNUMBER('Dvd Calendar'!$AA$1372)*100000000+('Dvd Calendar'!$AA$1374=SPECIAL_LBL)*10000000+0*1000000+24*1000+23))</f>
        <v/>
      </c>
      <c r="FB139" s="35">
        <f>IF(N('Dvd Calendar'!$AB$1369)=0,"",IF(('Dvd Calendar'!$AB$1369&gt;=GRID_FROM)*('Dvd Calendar'!$AB$1369&lt;=GRID_TO)*('Dvd Calendar'!$AB$1369&lt;=VAL_DATE)=0,"",'Dvd Calendar'!$AB$1369*1000000000+ISNUMBER('Dvd Calendar'!$AB$1372)*100000000+('Dvd Calendar'!$AB$1374=SPECIAL_LBL)*10000000+0*1000000+24*1000+24))</f>
        <v/>
      </c>
      <c r="FC139" s="35">
        <f>IF(N('Dvd Calendar'!$AC$1369)=0,"",IF(('Dvd Calendar'!$AC$1369&gt;=GRID_FROM)*('Dvd Calendar'!$AC$1369&lt;=GRID_TO)*('Dvd Calendar'!$AC$1369&lt;=VAL_DATE)=0,"",'Dvd Calendar'!$AC$1369*1000000000+ISNUMBER('Dvd Calendar'!$AC$1372)*100000000+('Dvd Calendar'!$AC$1374=SPECIAL_LBL)*10000000+0*1000000+24*1000+25))</f>
        <v/>
      </c>
      <c r="FD139" s="35">
        <f>IF(N('Dvd Calendar'!$AD$1369)=0,"",IF(('Dvd Calendar'!$AD$1369&gt;=GRID_FROM)*('Dvd Calendar'!$AD$1369&lt;=GRID_TO)*('Dvd Calendar'!$AD$1369&lt;=VAL_DATE)=0,"",'Dvd Calendar'!$AD$1369*1000000000+ISNUMBER('Dvd Calendar'!$AD$1372)*100000000+('Dvd Calendar'!$AD$1374=SPECIAL_LBL)*10000000+0*1000000+24*1000+26))</f>
        <v/>
      </c>
      <c r="FE139" s="35">
        <f>IF(N('Dvd Calendar'!$AE$1369)=0,"",IF(('Dvd Calendar'!$AE$1369&gt;=GRID_FROM)*('Dvd Calendar'!$AE$1369&lt;=GRID_TO)*('Dvd Calendar'!$AE$1369&lt;=VAL_DATE)=0,"",'Dvd Calendar'!$AE$1369*1000000000+ISNUMBER('Dvd Calendar'!$AE$1372)*100000000+('Dvd Calendar'!$AE$1374=SPECIAL_LBL)*10000000+0*1000000+24*1000+27))</f>
        <v/>
      </c>
      <c r="FF139" s="35">
        <f>IF(N('Dvd Calendar'!$AF$1369)=0,"",IF(('Dvd Calendar'!$AF$1369&gt;=GRID_FROM)*('Dvd Calendar'!$AF$1369&lt;=GRID_TO)*('Dvd Calendar'!$AF$1369&lt;=VAL_DATE)=0,"",'Dvd Calendar'!$AF$1369*1000000000+ISNUMBER('Dvd Calendar'!$AF$1372)*100000000+('Dvd Calendar'!$AF$1374=SPECIAL_LBL)*10000000+0*1000000+24*1000+28))</f>
        <v/>
      </c>
      <c r="FG139" s="35">
        <f>IF(N('Dvd Calendar'!$AG$1369)=0,"",IF(('Dvd Calendar'!$AG$1369&gt;=GRID_FROM)*('Dvd Calendar'!$AG$1369&lt;=GRID_TO)*('Dvd Calendar'!$AG$1369&lt;=VAL_DATE)=0,"",'Dvd Calendar'!$AG$1369*1000000000+ISNUMBER('Dvd Calendar'!$AG$1372)*100000000+('Dvd Calendar'!$AG$1374=SPECIAL_LBL)*10000000+0*1000000+24*1000+29))</f>
        <v/>
      </c>
      <c r="FH139" s="35">
        <f>IF(N('Dvd Calendar'!$AH$1369)=0,"",IF(('Dvd Calendar'!$AH$1369&gt;=GRID_FROM)*('Dvd Calendar'!$AH$1369&lt;=GRID_TO)*('Dvd Calendar'!$AH$1369&lt;=VAL_DATE)=0,"",'Dvd Calendar'!$AH$1369*1000000000+ISNUMBER('Dvd Calendar'!$AH$1372)*100000000+('Dvd Calendar'!$AH$1374=SPECIAL_LBL)*10000000+0*1000000+24*1000+30))</f>
        <v/>
      </c>
      <c r="FI139" s="35">
        <f>IF(N('Dvd Calendar'!$AI$1369)=0,"",IF(('Dvd Calendar'!$AI$1369&gt;=GRID_FROM)*('Dvd Calendar'!$AI$1369&lt;=GRID_TO)*('Dvd Calendar'!$AI$1369&lt;=VAL_DATE)=0,"",'Dvd Calendar'!$AI$1369*1000000000+ISNUMBER('Dvd Calendar'!$AI$1372)*100000000+('Dvd Calendar'!$AI$1374=SPECIAL_LBL)*10000000+0*1000000+24*1000+31))</f>
        <v/>
      </c>
      <c r="FJ139" s="35">
        <f>IF(N('Dvd Calendar'!$AJ$1369)=0,"",IF(('Dvd Calendar'!$AJ$1369&gt;=GRID_FROM)*('Dvd Calendar'!$AJ$1369&lt;=GRID_TO)*('Dvd Calendar'!$AJ$1369&lt;=VAL_DATE)=0,"",'Dvd Calendar'!$AJ$1369*1000000000+ISNUMBER('Dvd Calendar'!$AJ$1372)*100000000+('Dvd Calendar'!$AJ$1374=SPECIAL_LBL)*10000000+0*1000000+24*1000+32))</f>
        <v/>
      </c>
      <c r="FK139" s="35">
        <f>IF(N('Dvd Calendar'!$AK$1369)=0,"",IF(('Dvd Calendar'!$AK$1369&gt;=GRID_FROM)*('Dvd Calendar'!$AK$1369&lt;=GRID_TO)*('Dvd Calendar'!$AK$1369&lt;=VAL_DATE)=0,"",'Dvd Calendar'!$AK$1369*1000000000+ISNUMBER('Dvd Calendar'!$AK$1372)*100000000+('Dvd Calendar'!$AK$1374=SPECIAL_LBL)*10000000+0*1000000+24*1000+33))</f>
        <v/>
      </c>
      <c r="FL139" s="35">
        <f>IF(N('Dvd Calendar'!$AL$1369)=0,"",IF(('Dvd Calendar'!$AL$1369&gt;=GRID_FROM)*('Dvd Calendar'!$AL$1369&lt;=GRID_TO)*('Dvd Calendar'!$AL$1369&lt;=VAL_DATE)=0,"",'Dvd Calendar'!$AL$1369*1000000000+ISNUMBER('Dvd Calendar'!$AL$1372)*100000000+('Dvd Calendar'!$AL$1374=SPECIAL_LBL)*10000000+0*1000000+24*1000+34))</f>
        <v/>
      </c>
      <c r="FM139" s="35">
        <f>IF(N('Dvd Calendar'!$AM$1369)=0,"",IF(('Dvd Calendar'!$AM$1369&gt;=GRID_FROM)*('Dvd Calendar'!$AM$1369&lt;=GRID_TO)*('Dvd Calendar'!$AM$1369&lt;=VAL_DATE)=0,"",'Dvd Calendar'!$AM$1369*1000000000+ISNUMBER('Dvd Calendar'!$AM$1372)*100000000+('Dvd Calendar'!$AM$1374=SPECIAL_LBL)*10000000+0*1000000+24*1000+35))</f>
        <v/>
      </c>
      <c r="FN139" s="35">
        <f>IF(N('Dvd Calendar'!$AN$1369)=0,"",IF(('Dvd Calendar'!$AN$1369&gt;=GRID_FROM)*('Dvd Calendar'!$AN$1369&lt;=GRID_TO)*('Dvd Calendar'!$AN$1369&lt;=VAL_DATE)=0,"",'Dvd Calendar'!$AN$1369*1000000000+ISNUMBER('Dvd Calendar'!$AN$1372)*100000000+('Dvd Calendar'!$AN$1374=SPECIAL_LBL)*10000000+0*1000000+24*1000+36))</f>
        <v/>
      </c>
      <c r="FO139" s="35">
        <f>IF(N('Dvd Calendar'!$AO$1369)=0,"",IF(('Dvd Calendar'!$AO$1369&gt;=GRID_FROM)*('Dvd Calendar'!$AO$1369&lt;=GRID_TO)*('Dvd Calendar'!$AO$1369&lt;=VAL_DATE)=0,"",'Dvd Calendar'!$AO$1369*1000000000+ISNUMBER('Dvd Calendar'!$AO$1372)*100000000+('Dvd Calendar'!$AO$1374=SPECIAL_LBL)*10000000+0*1000000+24*1000+37))</f>
        <v/>
      </c>
      <c r="FP139" s="35">
        <f>IF(N('Dvd Calendar'!$AP$1369)=0,"",IF(('Dvd Calendar'!$AP$1369&gt;=GRID_FROM)*('Dvd Calendar'!$AP$1369&lt;=GRID_TO)*('Dvd Calendar'!$AP$1369&lt;=VAL_DATE)=0,"",'Dvd Calendar'!$AP$1369*1000000000+ISNUMBER('Dvd Calendar'!$AP$1372)*100000000+('Dvd Calendar'!$AP$1374=SPECIAL_LBL)*10000000+0*1000000+24*1000+38))</f>
        <v/>
      </c>
      <c r="FQ139" s="35">
        <f>IF(N('Dvd Calendar'!$AQ$1369)=0,"",IF(('Dvd Calendar'!$AQ$1369&gt;=GRID_FROM)*('Dvd Calendar'!$AQ$1369&lt;=GRID_TO)*('Dvd Calendar'!$AQ$1369&lt;=VAL_DATE)=0,"",'Dvd Calendar'!$AQ$1369*1000000000+ISNUMBER('Dvd Calendar'!$AQ$1372)*100000000+('Dvd Calendar'!$AQ$1374=SPECIAL_LBL)*10000000+0*1000000+24*1000+39))</f>
        <v/>
      </c>
      <c r="FR139" s="35">
        <f>IF(N('Dvd Calendar'!$AR$1369)=0,"",IF(('Dvd Calendar'!$AR$1369&gt;=GRID_FROM)*('Dvd Calendar'!$AR$1369&lt;=GRID_TO)*('Dvd Calendar'!$AR$1369&lt;=VAL_DATE)=0,"",'Dvd Calendar'!$AR$1369*1000000000+ISNUMBER('Dvd Calendar'!$AR$1372)*100000000+('Dvd Calendar'!$AR$1374=SPECIAL_LBL)*10000000+0*1000000+24*1000+40))</f>
        <v/>
      </c>
      <c r="FS139" s="35">
        <f>IF(N('Dvd Calendar'!$E$1376)=0,"",IF(('Dvd Calendar'!$E$1376&gt;=GRID_FROM)*('Dvd Calendar'!$E$1376&lt;=GRID_TO)*('Dvd Calendar'!$E$1376&gt;VAL_DATE)=0,"",'Dvd Calendar'!$E$1376*1000000000+ISNUMBER('Dvd Calendar'!$E$1377)*100000000+0*10000000+(N('Dvd Calendar'!$E$1375)&gt;0)*(N('Dvd Calendar'!$E$1375)&lt;=VAL_SERIAL)*1000000+24*1000+41))</f>
        <v/>
      </c>
      <c r="FT139" s="35">
        <f>IF(N('Dvd Calendar'!$F$1376)=0,"",IF(('Dvd Calendar'!$F$1376&gt;=GRID_FROM)*('Dvd Calendar'!$F$1376&lt;=GRID_TO)*('Dvd Calendar'!$F$1376&gt;VAL_DATE)=0,"",'Dvd Calendar'!$F$1376*1000000000+ISNUMBER('Dvd Calendar'!$F$1377)*100000000+0*10000000+(N('Dvd Calendar'!$F$1375)&gt;0)*(N('Dvd Calendar'!$F$1375)&lt;=VAL_SERIAL)*1000000+24*1000+42))</f>
        <v/>
      </c>
      <c r="FU139" s="35">
        <f>IF(N('Dvd Calendar'!$G$1376)=0,"",IF(('Dvd Calendar'!$G$1376&gt;=GRID_FROM)*('Dvd Calendar'!$G$1376&lt;=GRID_TO)*('Dvd Calendar'!$G$1376&gt;VAL_DATE)=0,"",'Dvd Calendar'!$G$1376*1000000000+ISNUMBER('Dvd Calendar'!$G$1377)*100000000+0*10000000+(N('Dvd Calendar'!$G$1375)&gt;0)*(N('Dvd Calendar'!$G$1375)&lt;=VAL_SERIAL)*1000000+24*1000+43))</f>
        <v/>
      </c>
      <c r="FV139" s="35">
        <f>IF(N('Dvd Calendar'!$H$1376)=0,"",IF(('Dvd Calendar'!$H$1376&gt;=GRID_FROM)*('Dvd Calendar'!$H$1376&lt;=GRID_TO)*('Dvd Calendar'!$H$1376&gt;VAL_DATE)=0,"",'Dvd Calendar'!$H$1376*1000000000+ISNUMBER('Dvd Calendar'!$H$1377)*100000000+0*10000000+(N('Dvd Calendar'!$H$1375)&gt;0)*(N('Dvd Calendar'!$H$1375)&lt;=VAL_SERIAL)*1000000+24*1000+44))</f>
        <v/>
      </c>
      <c r="FW139" s="35">
        <f>IF(N('Dvd Calendar'!$I$1376)=0,"",IF(('Dvd Calendar'!$I$1376&gt;=GRID_FROM)*('Dvd Calendar'!$I$1376&lt;=GRID_TO)*('Dvd Calendar'!$I$1376&gt;VAL_DATE)=0,"",'Dvd Calendar'!$I$1376*1000000000+ISNUMBER('Dvd Calendar'!$I$1377)*100000000+0*10000000+(N('Dvd Calendar'!$I$1375)&gt;0)*(N('Dvd Calendar'!$I$1375)&lt;=VAL_SERIAL)*1000000+24*1000+45))</f>
        <v/>
      </c>
      <c r="FX139" s="35">
        <f>IF(N('Dvd Calendar'!$J$1376)=0,"",IF(('Dvd Calendar'!$J$1376&gt;=GRID_FROM)*('Dvd Calendar'!$J$1376&lt;=GRID_TO)*('Dvd Calendar'!$J$1376&gt;VAL_DATE)=0,"",'Dvd Calendar'!$J$1376*1000000000+ISNUMBER('Dvd Calendar'!$J$1377)*100000000+0*10000000+(N('Dvd Calendar'!$J$1375)&gt;0)*(N('Dvd Calendar'!$J$1375)&lt;=VAL_SERIAL)*1000000+24*1000+46))</f>
        <v/>
      </c>
      <c r="FY139" s="35">
        <f>IF(N('Dvd Calendar'!$K$1376)=0,"",IF(('Dvd Calendar'!$K$1376&gt;=GRID_FROM)*('Dvd Calendar'!$K$1376&lt;=GRID_TO)*('Dvd Calendar'!$K$1376&gt;VAL_DATE)=0,"",'Dvd Calendar'!$K$1376*1000000000+ISNUMBER('Dvd Calendar'!$K$1377)*100000000+0*10000000+(N('Dvd Calendar'!$K$1375)&gt;0)*(N('Dvd Calendar'!$K$1375)&lt;=VAL_SERIAL)*1000000+24*1000+47))</f>
        <v/>
      </c>
      <c r="FZ139" s="35">
        <f>IF(N('Dvd Calendar'!$L$1376)=0,"",IF(('Dvd Calendar'!$L$1376&gt;=GRID_FROM)*('Dvd Calendar'!$L$1376&lt;=GRID_TO)*('Dvd Calendar'!$L$1376&gt;VAL_DATE)=0,"",'Dvd Calendar'!$L$1376*1000000000+ISNUMBER('Dvd Calendar'!$L$1377)*100000000+0*10000000+(N('Dvd Calendar'!$L$1375)&gt;0)*(N('Dvd Calendar'!$L$1375)&lt;=VAL_SERIAL)*1000000+24*1000+48))</f>
        <v/>
      </c>
      <c r="GA139" s="35">
        <f>IF(N('Dvd Calendar'!$M$1376)=0,"",IF(('Dvd Calendar'!$M$1376&gt;=GRID_FROM)*('Dvd Calendar'!$M$1376&lt;=GRID_TO)*('Dvd Calendar'!$M$1376&gt;VAL_DATE)=0,"",'Dvd Calendar'!$M$1376*1000000000+ISNUMBER('Dvd Calendar'!$M$1377)*100000000+0*10000000+(N('Dvd Calendar'!$M$1375)&gt;0)*(N('Dvd Calendar'!$M$1375)&lt;=VAL_SERIAL)*1000000+24*1000+49))</f>
        <v/>
      </c>
      <c r="GB139" s="35">
        <f>IF(N('Dvd Calendar'!$N$1376)=0,"",IF(('Dvd Calendar'!$N$1376&gt;=GRID_FROM)*('Dvd Calendar'!$N$1376&lt;=GRID_TO)*('Dvd Calendar'!$N$1376&gt;VAL_DATE)=0,"",'Dvd Calendar'!$N$1376*1000000000+ISNUMBER('Dvd Calendar'!$N$1377)*100000000+0*10000000+(N('Dvd Calendar'!$N$1375)&gt;0)*(N('Dvd Calendar'!$N$1375)&lt;=VAL_SERIAL)*1000000+24*1000+50))</f>
        <v/>
      </c>
      <c r="GC139" s="35">
        <f>IF(N('Dvd Calendar'!$O$1376)=0,"",IF(('Dvd Calendar'!$O$1376&gt;=GRID_FROM)*('Dvd Calendar'!$O$1376&lt;=GRID_TO)*('Dvd Calendar'!$O$1376&gt;VAL_DATE)=0,"",'Dvd Calendar'!$O$1376*1000000000+ISNUMBER('Dvd Calendar'!$O$1377)*100000000+0*10000000+(N('Dvd Calendar'!$O$1375)&gt;0)*(N('Dvd Calendar'!$O$1375)&lt;=VAL_SERIAL)*1000000+24*1000+51))</f>
        <v/>
      </c>
      <c r="GD139" s="35">
        <f>IF(N('Dvd Calendar'!$P$1376)=0,"",IF(('Dvd Calendar'!$P$1376&gt;=GRID_FROM)*('Dvd Calendar'!$P$1376&lt;=GRID_TO)*('Dvd Calendar'!$P$1376&gt;VAL_DATE)=0,"",'Dvd Calendar'!$P$1376*1000000000+ISNUMBER('Dvd Calendar'!$P$1377)*100000000+0*10000000+(N('Dvd Calendar'!$P$1375)&gt;0)*(N('Dvd Calendar'!$P$1375)&lt;=VAL_SERIAL)*1000000+24*1000+52))</f>
        <v/>
      </c>
      <c r="GE139" s="35">
        <f>IF(N('Dvd Calendar'!$Q$1376)=0,"",IF(('Dvd Calendar'!$Q$1376&gt;=GRID_FROM)*('Dvd Calendar'!$Q$1376&lt;=GRID_TO)*('Dvd Calendar'!$Q$1376&gt;VAL_DATE)=0,"",'Dvd Calendar'!$Q$1376*1000000000+ISNUMBER('Dvd Calendar'!$Q$1377)*100000000+0*10000000+(N('Dvd Calendar'!$Q$1375)&gt;0)*(N('Dvd Calendar'!$Q$1375)&lt;=VAL_SERIAL)*1000000+24*1000+53))</f>
        <v/>
      </c>
      <c r="GF139" s="35">
        <f>IF(N('Dvd Calendar'!$R$1376)=0,"",IF(('Dvd Calendar'!$R$1376&gt;=GRID_FROM)*('Dvd Calendar'!$R$1376&lt;=GRID_TO)*('Dvd Calendar'!$R$1376&gt;VAL_DATE)=0,"",'Dvd Calendar'!$R$1376*1000000000+ISNUMBER('Dvd Calendar'!$R$1377)*100000000+0*10000000+(N('Dvd Calendar'!$R$1375)&gt;0)*(N('Dvd Calendar'!$R$1375)&lt;=VAL_SERIAL)*1000000+24*1000+54))</f>
        <v/>
      </c>
      <c r="GG139" s="35">
        <f>IF(N('Dvd Calendar'!$S$1376)=0,"",IF(('Dvd Calendar'!$S$1376&gt;=GRID_FROM)*('Dvd Calendar'!$S$1376&lt;=GRID_TO)*('Dvd Calendar'!$S$1376&gt;VAL_DATE)=0,"",'Dvd Calendar'!$S$1376*1000000000+ISNUMBER('Dvd Calendar'!$S$1377)*100000000+0*10000000+(N('Dvd Calendar'!$S$1375)&gt;0)*(N('Dvd Calendar'!$S$1375)&lt;=VAL_SERIAL)*1000000+24*1000+55))</f>
        <v/>
      </c>
      <c r="GH139" s="35">
        <f>IF(N('Dvd Calendar'!$T$1376)=0,"",IF(('Dvd Calendar'!$T$1376&gt;=GRID_FROM)*('Dvd Calendar'!$T$1376&lt;=GRID_TO)*('Dvd Calendar'!$T$1376&gt;VAL_DATE)=0,"",'Dvd Calendar'!$T$1376*1000000000+ISNUMBER('Dvd Calendar'!$T$1377)*100000000+0*10000000+(N('Dvd Calendar'!$T$1375)&gt;0)*(N('Dvd Calendar'!$T$1375)&lt;=VAL_SERIAL)*1000000+24*1000+56))</f>
        <v/>
      </c>
      <c r="GI139" s="35">
        <f>IF(N('Dvd Calendar'!$U$1376)=0,"",IF(('Dvd Calendar'!$U$1376&gt;=GRID_FROM)*('Dvd Calendar'!$U$1376&lt;=GRID_TO)*('Dvd Calendar'!$U$1376&gt;VAL_DATE)=0,"",'Dvd Calendar'!$U$1376*1000000000+ISNUMBER('Dvd Calendar'!$U$1377)*100000000+0*10000000+(N('Dvd Calendar'!$U$1375)&gt;0)*(N('Dvd Calendar'!$U$1375)&lt;=VAL_SERIAL)*1000000+24*1000+57))</f>
        <v/>
      </c>
      <c r="GJ139" s="35">
        <f>IF(N('Dvd Calendar'!$V$1376)=0,"",IF(('Dvd Calendar'!$V$1376&gt;=GRID_FROM)*('Dvd Calendar'!$V$1376&lt;=GRID_TO)*('Dvd Calendar'!$V$1376&gt;VAL_DATE)=0,"",'Dvd Calendar'!$V$1376*1000000000+ISNUMBER('Dvd Calendar'!$V$1377)*100000000+0*10000000+(N('Dvd Calendar'!$V$1375)&gt;0)*(N('Dvd Calendar'!$V$1375)&lt;=VAL_SERIAL)*1000000+24*1000+58))</f>
        <v/>
      </c>
      <c r="GK139" s="35">
        <f>IF(N('Dvd Calendar'!$W$1376)=0,"",IF(('Dvd Calendar'!$W$1376&gt;=GRID_FROM)*('Dvd Calendar'!$W$1376&lt;=GRID_TO)*('Dvd Calendar'!$W$1376&gt;VAL_DATE)=0,"",'Dvd Calendar'!$W$1376*1000000000+ISNUMBER('Dvd Calendar'!$W$1377)*100000000+0*10000000+(N('Dvd Calendar'!$W$1375)&gt;0)*(N('Dvd Calendar'!$W$1375)&lt;=VAL_SERIAL)*1000000+24*1000+59))</f>
        <v/>
      </c>
      <c r="GL139" s="35">
        <f>IF(N('Dvd Calendar'!$X$1376)=0,"",IF(('Dvd Calendar'!$X$1376&gt;=GRID_FROM)*('Dvd Calendar'!$X$1376&lt;=GRID_TO)*('Dvd Calendar'!$X$1376&gt;VAL_DATE)=0,"",'Dvd Calendar'!$X$1376*1000000000+ISNUMBER('Dvd Calendar'!$X$1377)*100000000+0*10000000+(N('Dvd Calendar'!$X$1375)&gt;0)*(N('Dvd Calendar'!$X$1375)&lt;=VAL_SERIAL)*1000000+24*1000+60))</f>
        <v/>
      </c>
      <c r="GM139" s="35">
        <f>IF(N('Dvd Calendar'!$Y$1376)=0,"",IF(('Dvd Calendar'!$Y$1376&gt;=GRID_FROM)*('Dvd Calendar'!$Y$1376&lt;=GRID_TO)*('Dvd Calendar'!$Y$1376&gt;VAL_DATE)=0,"",'Dvd Calendar'!$Y$1376*1000000000+ISNUMBER('Dvd Calendar'!$Y$1377)*100000000+0*10000000+(N('Dvd Calendar'!$Y$1375)&gt;0)*(N('Dvd Calendar'!$Y$1375)&lt;=VAL_SERIAL)*1000000+24*1000+61))</f>
        <v/>
      </c>
      <c r="GN139" s="35">
        <f>IF(N('Dvd Calendar'!$Z$1376)=0,"",IF(('Dvd Calendar'!$Z$1376&gt;=GRID_FROM)*('Dvd Calendar'!$Z$1376&lt;=GRID_TO)*('Dvd Calendar'!$Z$1376&gt;VAL_DATE)=0,"",'Dvd Calendar'!$Z$1376*1000000000+ISNUMBER('Dvd Calendar'!$Z$1377)*100000000+0*10000000+(N('Dvd Calendar'!$Z$1375)&gt;0)*(N('Dvd Calendar'!$Z$1375)&lt;=VAL_SERIAL)*1000000+24*1000+62))</f>
        <v/>
      </c>
      <c r="GO139" s="35">
        <f>IF(N('Dvd Calendar'!$AA$1376)=0,"",IF(('Dvd Calendar'!$AA$1376&gt;=GRID_FROM)*('Dvd Calendar'!$AA$1376&lt;=GRID_TO)*('Dvd Calendar'!$AA$1376&gt;VAL_DATE)=0,"",'Dvd Calendar'!$AA$1376*1000000000+ISNUMBER('Dvd Calendar'!$AA$1377)*100000000+0*10000000+(N('Dvd Calendar'!$AA$1375)&gt;0)*(N('Dvd Calendar'!$AA$1375)&lt;=VAL_SERIAL)*1000000+24*1000+63))</f>
        <v/>
      </c>
      <c r="GP139" s="35">
        <f>IF(N('Dvd Calendar'!$AB$1376)=0,"",IF(('Dvd Calendar'!$AB$1376&gt;=GRID_FROM)*('Dvd Calendar'!$AB$1376&lt;=GRID_TO)*('Dvd Calendar'!$AB$1376&gt;VAL_DATE)=0,"",'Dvd Calendar'!$AB$1376*1000000000+ISNUMBER('Dvd Calendar'!$AB$1377)*100000000+0*10000000+(N('Dvd Calendar'!$AB$1375)&gt;0)*(N('Dvd Calendar'!$AB$1375)&lt;=VAL_SERIAL)*1000000+24*1000+64))</f>
        <v/>
      </c>
      <c r="GQ139" s="35">
        <f>IF(N('Dvd Calendar'!$AC$1376)=0,"",IF(('Dvd Calendar'!$AC$1376&gt;=GRID_FROM)*('Dvd Calendar'!$AC$1376&lt;=GRID_TO)*('Dvd Calendar'!$AC$1376&gt;VAL_DATE)=0,"",'Dvd Calendar'!$AC$1376*1000000000+ISNUMBER('Dvd Calendar'!$AC$1377)*100000000+0*10000000+(N('Dvd Calendar'!$AC$1375)&gt;0)*(N('Dvd Calendar'!$AC$1375)&lt;=VAL_SERIAL)*1000000+24*1000+65))</f>
        <v/>
      </c>
    </row>
    <row r="140">
      <c r="B140" s="2">
        <f>IF(HSTECH!$C$31="","",HSTECH!$C$31)</f>
        <v/>
      </c>
      <c r="C140" s="106">
        <f>IF(EE140="","",IF(ISNUMBER('Dvd Calendar'!$E$1383)=FALSE,"",IF((('Dvd Calendar'!$E$1385=TYPE1)*(TYPE1&lt;&gt;"")+('Dvd Calendar'!$E$1385=TYPE2)*(TYPE2&lt;&gt;"")+('Dvd Calendar'!$E$1385=TYPE3)*(TYPE3&lt;&gt;"")+('Dvd Calendar'!$E$1385=TYPE4)*(TYPE4&lt;&gt;"")+('Dvd Calendar'!$E$1385=SPECIAL_LBL)*(INC_SPECIALS="Y"))=0,"",'Dvd Calendar'!$E$1383)))</f>
        <v/>
      </c>
      <c r="D140" s="106">
        <f>IF(EF140="","",IF(ISNUMBER('Dvd Calendar'!$F$1383)=FALSE,"",IF((('Dvd Calendar'!$F$1385=TYPE1)*(TYPE1&lt;&gt;"")+('Dvd Calendar'!$F$1385=TYPE2)*(TYPE2&lt;&gt;"")+('Dvd Calendar'!$F$1385=TYPE3)*(TYPE3&lt;&gt;"")+('Dvd Calendar'!$F$1385=TYPE4)*(TYPE4&lt;&gt;"")+('Dvd Calendar'!$F$1385=SPECIAL_LBL)*(INC_SPECIALS="Y"))=0,"",'Dvd Calendar'!$F$1383)))</f>
        <v/>
      </c>
      <c r="E140" s="106">
        <f>IF(EG140="","",IF(ISNUMBER('Dvd Calendar'!$G$1383)=FALSE,"",IF((('Dvd Calendar'!$G$1385=TYPE1)*(TYPE1&lt;&gt;"")+('Dvd Calendar'!$G$1385=TYPE2)*(TYPE2&lt;&gt;"")+('Dvd Calendar'!$G$1385=TYPE3)*(TYPE3&lt;&gt;"")+('Dvd Calendar'!$G$1385=TYPE4)*(TYPE4&lt;&gt;"")+('Dvd Calendar'!$G$1385=SPECIAL_LBL)*(INC_SPECIALS="Y"))=0,"",'Dvd Calendar'!$G$1383)))</f>
        <v/>
      </c>
      <c r="F140" s="106">
        <f>IF(EH140="","",IF(ISNUMBER('Dvd Calendar'!$H$1383)=FALSE,"",IF((('Dvd Calendar'!$H$1385=TYPE1)*(TYPE1&lt;&gt;"")+('Dvd Calendar'!$H$1385=TYPE2)*(TYPE2&lt;&gt;"")+('Dvd Calendar'!$H$1385=TYPE3)*(TYPE3&lt;&gt;"")+('Dvd Calendar'!$H$1385=TYPE4)*(TYPE4&lt;&gt;"")+('Dvd Calendar'!$H$1385=SPECIAL_LBL)*(INC_SPECIALS="Y"))=0,"",'Dvd Calendar'!$H$1383)))</f>
        <v/>
      </c>
      <c r="G140" s="106">
        <f>IF(EI140="","",IF(ISNUMBER('Dvd Calendar'!$I$1383)=FALSE,"",IF((('Dvd Calendar'!$I$1385=TYPE1)*(TYPE1&lt;&gt;"")+('Dvd Calendar'!$I$1385=TYPE2)*(TYPE2&lt;&gt;"")+('Dvd Calendar'!$I$1385=TYPE3)*(TYPE3&lt;&gt;"")+('Dvd Calendar'!$I$1385=TYPE4)*(TYPE4&lt;&gt;"")+('Dvd Calendar'!$I$1385=SPECIAL_LBL)*(INC_SPECIALS="Y"))=0,"",'Dvd Calendar'!$I$1383)))</f>
        <v/>
      </c>
      <c r="H140" s="106">
        <f>IF(EJ140="","",IF(ISNUMBER('Dvd Calendar'!$J$1383)=FALSE,"",IF((('Dvd Calendar'!$J$1385=TYPE1)*(TYPE1&lt;&gt;"")+('Dvd Calendar'!$J$1385=TYPE2)*(TYPE2&lt;&gt;"")+('Dvd Calendar'!$J$1385=TYPE3)*(TYPE3&lt;&gt;"")+('Dvd Calendar'!$J$1385=TYPE4)*(TYPE4&lt;&gt;"")+('Dvd Calendar'!$J$1385=SPECIAL_LBL)*(INC_SPECIALS="Y"))=0,"",'Dvd Calendar'!$J$1383)))</f>
        <v/>
      </c>
      <c r="I140" s="106">
        <f>IF(EK140="","",IF(ISNUMBER('Dvd Calendar'!$K$1383)=FALSE,"",IF((('Dvd Calendar'!$K$1385=TYPE1)*(TYPE1&lt;&gt;"")+('Dvd Calendar'!$K$1385=TYPE2)*(TYPE2&lt;&gt;"")+('Dvd Calendar'!$K$1385=TYPE3)*(TYPE3&lt;&gt;"")+('Dvd Calendar'!$K$1385=TYPE4)*(TYPE4&lt;&gt;"")+('Dvd Calendar'!$K$1385=SPECIAL_LBL)*(INC_SPECIALS="Y"))=0,"",'Dvd Calendar'!$K$1383)))</f>
        <v/>
      </c>
      <c r="J140" s="106">
        <f>IF(EL140="","",IF(ISNUMBER('Dvd Calendar'!$L$1383)=FALSE,"",IF((('Dvd Calendar'!$L$1385=TYPE1)*(TYPE1&lt;&gt;"")+('Dvd Calendar'!$L$1385=TYPE2)*(TYPE2&lt;&gt;"")+('Dvd Calendar'!$L$1385=TYPE3)*(TYPE3&lt;&gt;"")+('Dvd Calendar'!$L$1385=TYPE4)*(TYPE4&lt;&gt;"")+('Dvd Calendar'!$L$1385=SPECIAL_LBL)*(INC_SPECIALS="Y"))=0,"",'Dvd Calendar'!$L$1383)))</f>
        <v/>
      </c>
      <c r="K140" s="106">
        <f>IF(EM140="","",IF(ISNUMBER('Dvd Calendar'!$M$1383)=FALSE,"",IF((('Dvd Calendar'!$M$1385=TYPE1)*(TYPE1&lt;&gt;"")+('Dvd Calendar'!$M$1385=TYPE2)*(TYPE2&lt;&gt;"")+('Dvd Calendar'!$M$1385=TYPE3)*(TYPE3&lt;&gt;"")+('Dvd Calendar'!$M$1385=TYPE4)*(TYPE4&lt;&gt;"")+('Dvd Calendar'!$M$1385=SPECIAL_LBL)*(INC_SPECIALS="Y"))=0,"",'Dvd Calendar'!$M$1383)))</f>
        <v/>
      </c>
      <c r="L140" s="106">
        <f>IF(EN140="","",IF(ISNUMBER('Dvd Calendar'!$N$1383)=FALSE,"",IF((('Dvd Calendar'!$N$1385=TYPE1)*(TYPE1&lt;&gt;"")+('Dvd Calendar'!$N$1385=TYPE2)*(TYPE2&lt;&gt;"")+('Dvd Calendar'!$N$1385=TYPE3)*(TYPE3&lt;&gt;"")+('Dvd Calendar'!$N$1385=TYPE4)*(TYPE4&lt;&gt;"")+('Dvd Calendar'!$N$1385=SPECIAL_LBL)*(INC_SPECIALS="Y"))=0,"",'Dvd Calendar'!$N$1383)))</f>
        <v/>
      </c>
      <c r="M140" s="106">
        <f>IF(EO140="","",IF(ISNUMBER('Dvd Calendar'!$O$1383)=FALSE,"",IF((('Dvd Calendar'!$O$1385=TYPE1)*(TYPE1&lt;&gt;"")+('Dvd Calendar'!$O$1385=TYPE2)*(TYPE2&lt;&gt;"")+('Dvd Calendar'!$O$1385=TYPE3)*(TYPE3&lt;&gt;"")+('Dvd Calendar'!$O$1385=TYPE4)*(TYPE4&lt;&gt;"")+('Dvd Calendar'!$O$1385=SPECIAL_LBL)*(INC_SPECIALS="Y"))=0,"",'Dvd Calendar'!$O$1383)))</f>
        <v/>
      </c>
      <c r="N140" s="106">
        <f>IF(EP140="","",IF(ISNUMBER('Dvd Calendar'!$P$1383)=FALSE,"",IF((('Dvd Calendar'!$P$1385=TYPE1)*(TYPE1&lt;&gt;"")+('Dvd Calendar'!$P$1385=TYPE2)*(TYPE2&lt;&gt;"")+('Dvd Calendar'!$P$1385=TYPE3)*(TYPE3&lt;&gt;"")+('Dvd Calendar'!$P$1385=TYPE4)*(TYPE4&lt;&gt;"")+('Dvd Calendar'!$P$1385=SPECIAL_LBL)*(INC_SPECIALS="Y"))=0,"",'Dvd Calendar'!$P$1383)))</f>
        <v/>
      </c>
      <c r="O140" s="106">
        <f>IF(EQ140="","",IF(ISNUMBER('Dvd Calendar'!$Q$1383)=FALSE,"",IF((('Dvd Calendar'!$Q$1385=TYPE1)*(TYPE1&lt;&gt;"")+('Dvd Calendar'!$Q$1385=TYPE2)*(TYPE2&lt;&gt;"")+('Dvd Calendar'!$Q$1385=TYPE3)*(TYPE3&lt;&gt;"")+('Dvd Calendar'!$Q$1385=TYPE4)*(TYPE4&lt;&gt;"")+('Dvd Calendar'!$Q$1385=SPECIAL_LBL)*(INC_SPECIALS="Y"))=0,"",'Dvd Calendar'!$Q$1383)))</f>
        <v/>
      </c>
      <c r="P140" s="106">
        <f>IF(ER140="","",IF(ISNUMBER('Dvd Calendar'!$R$1383)=FALSE,"",IF((('Dvd Calendar'!$R$1385=TYPE1)*(TYPE1&lt;&gt;"")+('Dvd Calendar'!$R$1385=TYPE2)*(TYPE2&lt;&gt;"")+('Dvd Calendar'!$R$1385=TYPE3)*(TYPE3&lt;&gt;"")+('Dvd Calendar'!$R$1385=TYPE4)*(TYPE4&lt;&gt;"")+('Dvd Calendar'!$R$1385=SPECIAL_LBL)*(INC_SPECIALS="Y"))=0,"",'Dvd Calendar'!$R$1383)))</f>
        <v/>
      </c>
      <c r="Q140" s="106">
        <f>IF(ES140="","",IF(ISNUMBER('Dvd Calendar'!$S$1383)=FALSE,"",IF((('Dvd Calendar'!$S$1385=TYPE1)*(TYPE1&lt;&gt;"")+('Dvd Calendar'!$S$1385=TYPE2)*(TYPE2&lt;&gt;"")+('Dvd Calendar'!$S$1385=TYPE3)*(TYPE3&lt;&gt;"")+('Dvd Calendar'!$S$1385=TYPE4)*(TYPE4&lt;&gt;"")+('Dvd Calendar'!$S$1385=SPECIAL_LBL)*(INC_SPECIALS="Y"))=0,"",'Dvd Calendar'!$S$1383)))</f>
        <v/>
      </c>
      <c r="R140" s="106">
        <f>IF(ET140="","",IF(ISNUMBER('Dvd Calendar'!$T$1383)=FALSE,"",IF((('Dvd Calendar'!$T$1385=TYPE1)*(TYPE1&lt;&gt;"")+('Dvd Calendar'!$T$1385=TYPE2)*(TYPE2&lt;&gt;"")+('Dvd Calendar'!$T$1385=TYPE3)*(TYPE3&lt;&gt;"")+('Dvd Calendar'!$T$1385=TYPE4)*(TYPE4&lt;&gt;"")+('Dvd Calendar'!$T$1385=SPECIAL_LBL)*(INC_SPECIALS="Y"))=0,"",'Dvd Calendar'!$T$1383)))</f>
        <v/>
      </c>
      <c r="S140" s="106">
        <f>IF(EU140="","",IF(ISNUMBER('Dvd Calendar'!$U$1383)=FALSE,"",IF((('Dvd Calendar'!$U$1385=TYPE1)*(TYPE1&lt;&gt;"")+('Dvd Calendar'!$U$1385=TYPE2)*(TYPE2&lt;&gt;"")+('Dvd Calendar'!$U$1385=TYPE3)*(TYPE3&lt;&gt;"")+('Dvd Calendar'!$U$1385=TYPE4)*(TYPE4&lt;&gt;"")+('Dvd Calendar'!$U$1385=SPECIAL_LBL)*(INC_SPECIALS="Y"))=0,"",'Dvd Calendar'!$U$1383)))</f>
        <v/>
      </c>
      <c r="T140" s="106">
        <f>IF(EV140="","",IF(ISNUMBER('Dvd Calendar'!$V$1383)=FALSE,"",IF((('Dvd Calendar'!$V$1385=TYPE1)*(TYPE1&lt;&gt;"")+('Dvd Calendar'!$V$1385=TYPE2)*(TYPE2&lt;&gt;"")+('Dvd Calendar'!$V$1385=TYPE3)*(TYPE3&lt;&gt;"")+('Dvd Calendar'!$V$1385=TYPE4)*(TYPE4&lt;&gt;"")+('Dvd Calendar'!$V$1385=SPECIAL_LBL)*(INC_SPECIALS="Y"))=0,"",'Dvd Calendar'!$V$1383)))</f>
        <v/>
      </c>
      <c r="U140" s="106">
        <f>IF(EW140="","",IF(ISNUMBER('Dvd Calendar'!$W$1383)=FALSE,"",IF((('Dvd Calendar'!$W$1385=TYPE1)*(TYPE1&lt;&gt;"")+('Dvd Calendar'!$W$1385=TYPE2)*(TYPE2&lt;&gt;"")+('Dvd Calendar'!$W$1385=TYPE3)*(TYPE3&lt;&gt;"")+('Dvd Calendar'!$W$1385=TYPE4)*(TYPE4&lt;&gt;"")+('Dvd Calendar'!$W$1385=SPECIAL_LBL)*(INC_SPECIALS="Y"))=0,"",'Dvd Calendar'!$W$1383)))</f>
        <v/>
      </c>
      <c r="V140" s="106">
        <f>IF(EX140="","",IF(ISNUMBER('Dvd Calendar'!$X$1383)=FALSE,"",IF((('Dvd Calendar'!$X$1385=TYPE1)*(TYPE1&lt;&gt;"")+('Dvd Calendar'!$X$1385=TYPE2)*(TYPE2&lt;&gt;"")+('Dvd Calendar'!$X$1385=TYPE3)*(TYPE3&lt;&gt;"")+('Dvd Calendar'!$X$1385=TYPE4)*(TYPE4&lt;&gt;"")+('Dvd Calendar'!$X$1385=SPECIAL_LBL)*(INC_SPECIALS="Y"))=0,"",'Dvd Calendar'!$X$1383)))</f>
        <v/>
      </c>
      <c r="W140" s="106">
        <f>IF(EY140="","",IF(ISNUMBER('Dvd Calendar'!$Y$1383)=FALSE,"",IF((('Dvd Calendar'!$Y$1385=TYPE1)*(TYPE1&lt;&gt;"")+('Dvd Calendar'!$Y$1385=TYPE2)*(TYPE2&lt;&gt;"")+('Dvd Calendar'!$Y$1385=TYPE3)*(TYPE3&lt;&gt;"")+('Dvd Calendar'!$Y$1385=TYPE4)*(TYPE4&lt;&gt;"")+('Dvd Calendar'!$Y$1385=SPECIAL_LBL)*(INC_SPECIALS="Y"))=0,"",'Dvd Calendar'!$Y$1383)))</f>
        <v/>
      </c>
      <c r="X140" s="106">
        <f>IF(EZ140="","",IF(ISNUMBER('Dvd Calendar'!$Z$1383)=FALSE,"",IF((('Dvd Calendar'!$Z$1385=TYPE1)*(TYPE1&lt;&gt;"")+('Dvd Calendar'!$Z$1385=TYPE2)*(TYPE2&lt;&gt;"")+('Dvd Calendar'!$Z$1385=TYPE3)*(TYPE3&lt;&gt;"")+('Dvd Calendar'!$Z$1385=TYPE4)*(TYPE4&lt;&gt;"")+('Dvd Calendar'!$Z$1385=SPECIAL_LBL)*(INC_SPECIALS="Y"))=0,"",'Dvd Calendar'!$Z$1383)))</f>
        <v/>
      </c>
      <c r="Y140" s="106">
        <f>IF(FA140="","",IF(ISNUMBER('Dvd Calendar'!$AA$1383)=FALSE,"",IF((('Dvd Calendar'!$AA$1385=TYPE1)*(TYPE1&lt;&gt;"")+('Dvd Calendar'!$AA$1385=TYPE2)*(TYPE2&lt;&gt;"")+('Dvd Calendar'!$AA$1385=TYPE3)*(TYPE3&lt;&gt;"")+('Dvd Calendar'!$AA$1385=TYPE4)*(TYPE4&lt;&gt;"")+('Dvd Calendar'!$AA$1385=SPECIAL_LBL)*(INC_SPECIALS="Y"))=0,"",'Dvd Calendar'!$AA$1383)))</f>
        <v/>
      </c>
      <c r="Z140" s="106">
        <f>IF(FB140="","",IF(ISNUMBER('Dvd Calendar'!$AB$1383)=FALSE,"",IF((('Dvd Calendar'!$AB$1385=TYPE1)*(TYPE1&lt;&gt;"")+('Dvd Calendar'!$AB$1385=TYPE2)*(TYPE2&lt;&gt;"")+('Dvd Calendar'!$AB$1385=TYPE3)*(TYPE3&lt;&gt;"")+('Dvd Calendar'!$AB$1385=TYPE4)*(TYPE4&lt;&gt;"")+('Dvd Calendar'!$AB$1385=SPECIAL_LBL)*(INC_SPECIALS="Y"))=0,"",'Dvd Calendar'!$AB$1383)))</f>
        <v/>
      </c>
      <c r="AA140" s="106">
        <f>IF(FC140="","",IF(ISNUMBER('Dvd Calendar'!$AC$1383)=FALSE,"",IF((('Dvd Calendar'!$AC$1385=TYPE1)*(TYPE1&lt;&gt;"")+('Dvd Calendar'!$AC$1385=TYPE2)*(TYPE2&lt;&gt;"")+('Dvd Calendar'!$AC$1385=TYPE3)*(TYPE3&lt;&gt;"")+('Dvd Calendar'!$AC$1385=TYPE4)*(TYPE4&lt;&gt;"")+('Dvd Calendar'!$AC$1385=SPECIAL_LBL)*(INC_SPECIALS="Y"))=0,"",'Dvd Calendar'!$AC$1383)))</f>
        <v/>
      </c>
      <c r="AB140" s="106">
        <f>IF(FD140="","",IF(ISNUMBER('Dvd Calendar'!$AD$1383)=FALSE,"",IF((('Dvd Calendar'!$AD$1385=TYPE1)*(TYPE1&lt;&gt;"")+('Dvd Calendar'!$AD$1385=TYPE2)*(TYPE2&lt;&gt;"")+('Dvd Calendar'!$AD$1385=TYPE3)*(TYPE3&lt;&gt;"")+('Dvd Calendar'!$AD$1385=TYPE4)*(TYPE4&lt;&gt;"")+('Dvd Calendar'!$AD$1385=SPECIAL_LBL)*(INC_SPECIALS="Y"))=0,"",'Dvd Calendar'!$AD$1383)))</f>
        <v/>
      </c>
      <c r="AC140" s="106">
        <f>IF(FE140="","",IF(ISNUMBER('Dvd Calendar'!$AE$1383)=FALSE,"",IF((('Dvd Calendar'!$AE$1385=TYPE1)*(TYPE1&lt;&gt;"")+('Dvd Calendar'!$AE$1385=TYPE2)*(TYPE2&lt;&gt;"")+('Dvd Calendar'!$AE$1385=TYPE3)*(TYPE3&lt;&gt;"")+('Dvd Calendar'!$AE$1385=TYPE4)*(TYPE4&lt;&gt;"")+('Dvd Calendar'!$AE$1385=SPECIAL_LBL)*(INC_SPECIALS="Y"))=0,"",'Dvd Calendar'!$AE$1383)))</f>
        <v/>
      </c>
      <c r="AD140" s="106">
        <f>IF(FF140="","",IF(ISNUMBER('Dvd Calendar'!$AF$1383)=FALSE,"",IF((('Dvd Calendar'!$AF$1385=TYPE1)*(TYPE1&lt;&gt;"")+('Dvd Calendar'!$AF$1385=TYPE2)*(TYPE2&lt;&gt;"")+('Dvd Calendar'!$AF$1385=TYPE3)*(TYPE3&lt;&gt;"")+('Dvd Calendar'!$AF$1385=TYPE4)*(TYPE4&lt;&gt;"")+('Dvd Calendar'!$AF$1385=SPECIAL_LBL)*(INC_SPECIALS="Y"))=0,"",'Dvd Calendar'!$AF$1383)))</f>
        <v/>
      </c>
      <c r="AE140" s="106">
        <f>IF(FG140="","",IF(ISNUMBER('Dvd Calendar'!$AG$1383)=FALSE,"",IF((('Dvd Calendar'!$AG$1385=TYPE1)*(TYPE1&lt;&gt;"")+('Dvd Calendar'!$AG$1385=TYPE2)*(TYPE2&lt;&gt;"")+('Dvd Calendar'!$AG$1385=TYPE3)*(TYPE3&lt;&gt;"")+('Dvd Calendar'!$AG$1385=TYPE4)*(TYPE4&lt;&gt;"")+('Dvd Calendar'!$AG$1385=SPECIAL_LBL)*(INC_SPECIALS="Y"))=0,"",'Dvd Calendar'!$AG$1383)))</f>
        <v/>
      </c>
      <c r="AF140" s="106">
        <f>IF(FH140="","",IF(ISNUMBER('Dvd Calendar'!$AH$1383)=FALSE,"",IF((('Dvd Calendar'!$AH$1385=TYPE1)*(TYPE1&lt;&gt;"")+('Dvd Calendar'!$AH$1385=TYPE2)*(TYPE2&lt;&gt;"")+('Dvd Calendar'!$AH$1385=TYPE3)*(TYPE3&lt;&gt;"")+('Dvd Calendar'!$AH$1385=TYPE4)*(TYPE4&lt;&gt;"")+('Dvd Calendar'!$AH$1385=SPECIAL_LBL)*(INC_SPECIALS="Y"))=0,"",'Dvd Calendar'!$AH$1383)))</f>
        <v/>
      </c>
      <c r="AG140" s="106">
        <f>IF(FI140="","",IF(ISNUMBER('Dvd Calendar'!$AI$1383)=FALSE,"",IF((('Dvd Calendar'!$AI$1385=TYPE1)*(TYPE1&lt;&gt;"")+('Dvd Calendar'!$AI$1385=TYPE2)*(TYPE2&lt;&gt;"")+('Dvd Calendar'!$AI$1385=TYPE3)*(TYPE3&lt;&gt;"")+('Dvd Calendar'!$AI$1385=TYPE4)*(TYPE4&lt;&gt;"")+('Dvd Calendar'!$AI$1385=SPECIAL_LBL)*(INC_SPECIALS="Y"))=0,"",'Dvd Calendar'!$AI$1383)))</f>
        <v/>
      </c>
      <c r="AH140" s="106">
        <f>IF(FJ140="","",IF(ISNUMBER('Dvd Calendar'!$AJ$1383)=FALSE,"",IF((('Dvd Calendar'!$AJ$1385=TYPE1)*(TYPE1&lt;&gt;"")+('Dvd Calendar'!$AJ$1385=TYPE2)*(TYPE2&lt;&gt;"")+('Dvd Calendar'!$AJ$1385=TYPE3)*(TYPE3&lt;&gt;"")+('Dvd Calendar'!$AJ$1385=TYPE4)*(TYPE4&lt;&gt;"")+('Dvd Calendar'!$AJ$1385=SPECIAL_LBL)*(INC_SPECIALS="Y"))=0,"",'Dvd Calendar'!$AJ$1383)))</f>
        <v/>
      </c>
      <c r="AI140" s="106">
        <f>IF(FK140="","",IF(ISNUMBER('Dvd Calendar'!$AK$1383)=FALSE,"",IF((('Dvd Calendar'!$AK$1385=TYPE1)*(TYPE1&lt;&gt;"")+('Dvd Calendar'!$AK$1385=TYPE2)*(TYPE2&lt;&gt;"")+('Dvd Calendar'!$AK$1385=TYPE3)*(TYPE3&lt;&gt;"")+('Dvd Calendar'!$AK$1385=TYPE4)*(TYPE4&lt;&gt;"")+('Dvd Calendar'!$AK$1385=SPECIAL_LBL)*(INC_SPECIALS="Y"))=0,"",'Dvd Calendar'!$AK$1383)))</f>
        <v/>
      </c>
      <c r="AJ140" s="106">
        <f>IF(FL140="","",IF(ISNUMBER('Dvd Calendar'!$AL$1383)=FALSE,"",IF((('Dvd Calendar'!$AL$1385=TYPE1)*(TYPE1&lt;&gt;"")+('Dvd Calendar'!$AL$1385=TYPE2)*(TYPE2&lt;&gt;"")+('Dvd Calendar'!$AL$1385=TYPE3)*(TYPE3&lt;&gt;"")+('Dvd Calendar'!$AL$1385=TYPE4)*(TYPE4&lt;&gt;"")+('Dvd Calendar'!$AL$1385=SPECIAL_LBL)*(INC_SPECIALS="Y"))=0,"",'Dvd Calendar'!$AL$1383)))</f>
        <v/>
      </c>
      <c r="AK140" s="106">
        <f>IF(FM140="","",IF(ISNUMBER('Dvd Calendar'!$AM$1383)=FALSE,"",IF((('Dvd Calendar'!$AM$1385=TYPE1)*(TYPE1&lt;&gt;"")+('Dvd Calendar'!$AM$1385=TYPE2)*(TYPE2&lt;&gt;"")+('Dvd Calendar'!$AM$1385=TYPE3)*(TYPE3&lt;&gt;"")+('Dvd Calendar'!$AM$1385=TYPE4)*(TYPE4&lt;&gt;"")+('Dvd Calendar'!$AM$1385=SPECIAL_LBL)*(INC_SPECIALS="Y"))=0,"",'Dvd Calendar'!$AM$1383)))</f>
        <v/>
      </c>
      <c r="AL140" s="106">
        <f>IF(FN140="","",IF(ISNUMBER('Dvd Calendar'!$AN$1383)=FALSE,"",IF((('Dvd Calendar'!$AN$1385=TYPE1)*(TYPE1&lt;&gt;"")+('Dvd Calendar'!$AN$1385=TYPE2)*(TYPE2&lt;&gt;"")+('Dvd Calendar'!$AN$1385=TYPE3)*(TYPE3&lt;&gt;"")+('Dvd Calendar'!$AN$1385=TYPE4)*(TYPE4&lt;&gt;"")+('Dvd Calendar'!$AN$1385=SPECIAL_LBL)*(INC_SPECIALS="Y"))=0,"",'Dvd Calendar'!$AN$1383)))</f>
        <v/>
      </c>
      <c r="AM140" s="106">
        <f>IF(FO140="","",IF(ISNUMBER('Dvd Calendar'!$AO$1383)=FALSE,"",IF((('Dvd Calendar'!$AO$1385=TYPE1)*(TYPE1&lt;&gt;"")+('Dvd Calendar'!$AO$1385=TYPE2)*(TYPE2&lt;&gt;"")+('Dvd Calendar'!$AO$1385=TYPE3)*(TYPE3&lt;&gt;"")+('Dvd Calendar'!$AO$1385=TYPE4)*(TYPE4&lt;&gt;"")+('Dvd Calendar'!$AO$1385=SPECIAL_LBL)*(INC_SPECIALS="Y"))=0,"",'Dvd Calendar'!$AO$1383)))</f>
        <v/>
      </c>
      <c r="AN140" s="106">
        <f>IF(FP140="","",IF(ISNUMBER('Dvd Calendar'!$AP$1383)=FALSE,"",IF((('Dvd Calendar'!$AP$1385=TYPE1)*(TYPE1&lt;&gt;"")+('Dvd Calendar'!$AP$1385=TYPE2)*(TYPE2&lt;&gt;"")+('Dvd Calendar'!$AP$1385=TYPE3)*(TYPE3&lt;&gt;"")+('Dvd Calendar'!$AP$1385=TYPE4)*(TYPE4&lt;&gt;"")+('Dvd Calendar'!$AP$1385=SPECIAL_LBL)*(INC_SPECIALS="Y"))=0,"",'Dvd Calendar'!$AP$1383)))</f>
        <v/>
      </c>
      <c r="AO140" s="106">
        <f>IF(FQ140="","",IF(ISNUMBER('Dvd Calendar'!$AQ$1383)=FALSE,"",IF((('Dvd Calendar'!$AQ$1385=TYPE1)*(TYPE1&lt;&gt;"")+('Dvd Calendar'!$AQ$1385=TYPE2)*(TYPE2&lt;&gt;"")+('Dvd Calendar'!$AQ$1385=TYPE3)*(TYPE3&lt;&gt;"")+('Dvd Calendar'!$AQ$1385=TYPE4)*(TYPE4&lt;&gt;"")+('Dvd Calendar'!$AQ$1385=SPECIAL_LBL)*(INC_SPECIALS="Y"))=0,"",'Dvd Calendar'!$AQ$1383)))</f>
        <v/>
      </c>
      <c r="AP140" s="106">
        <f>IF(FR140="","",IF(ISNUMBER('Dvd Calendar'!$AR$1383)=FALSE,"",IF((('Dvd Calendar'!$AR$1385=TYPE1)*(TYPE1&lt;&gt;"")+('Dvd Calendar'!$AR$1385=TYPE2)*(TYPE2&lt;&gt;"")+('Dvd Calendar'!$AR$1385=TYPE3)*(TYPE3&lt;&gt;"")+('Dvd Calendar'!$AR$1385=TYPE4)*(TYPE4&lt;&gt;"")+('Dvd Calendar'!$AR$1385=SPECIAL_LBL)*(INC_SPECIALS="Y"))=0,"",'Dvd Calendar'!$AR$1383)))</f>
        <v/>
      </c>
      <c r="AQ140" s="106">
        <f>IF(FS140="","",IF(ISNUMBER('Dvd Calendar'!$E$1388)=FALSE,"",'Dvd Calendar'!$E$1388))</f>
        <v/>
      </c>
      <c r="AR140" s="106">
        <f>IF(FT140="","",IF(ISNUMBER('Dvd Calendar'!$F$1388)=FALSE,"",'Dvd Calendar'!$F$1388))</f>
        <v/>
      </c>
      <c r="AS140" s="106">
        <f>IF(FU140="","",IF(ISNUMBER('Dvd Calendar'!$G$1388)=FALSE,"",'Dvd Calendar'!$G$1388))</f>
        <v/>
      </c>
      <c r="AT140" s="106">
        <f>IF(FV140="","",IF(ISNUMBER('Dvd Calendar'!$H$1388)=FALSE,"",'Dvd Calendar'!$H$1388))</f>
        <v/>
      </c>
      <c r="AU140" s="106">
        <f>IF(FW140="","",IF(ISNUMBER('Dvd Calendar'!$I$1388)=FALSE,"",'Dvd Calendar'!$I$1388))</f>
        <v/>
      </c>
      <c r="AV140" s="106">
        <f>IF(FX140="","",IF(ISNUMBER('Dvd Calendar'!$J$1388)=FALSE,"",'Dvd Calendar'!$J$1388))</f>
        <v/>
      </c>
      <c r="AW140" s="106">
        <f>IF(FY140="","",IF(ISNUMBER('Dvd Calendar'!$K$1388)=FALSE,"",'Dvd Calendar'!$K$1388))</f>
        <v/>
      </c>
      <c r="AX140" s="106">
        <f>IF(FZ140="","",IF(ISNUMBER('Dvd Calendar'!$L$1388)=FALSE,"",'Dvd Calendar'!$L$1388))</f>
        <v/>
      </c>
      <c r="AY140" s="106">
        <f>IF(GA140="","",IF(ISNUMBER('Dvd Calendar'!$M$1388)=FALSE,"",'Dvd Calendar'!$M$1388))</f>
        <v/>
      </c>
      <c r="AZ140" s="106">
        <f>IF(GB140="","",IF(ISNUMBER('Dvd Calendar'!$N$1388)=FALSE,"",'Dvd Calendar'!$N$1388))</f>
        <v/>
      </c>
      <c r="BA140" s="106">
        <f>IF(GC140="","",IF(ISNUMBER('Dvd Calendar'!$O$1388)=FALSE,"",'Dvd Calendar'!$O$1388))</f>
        <v/>
      </c>
      <c r="BB140" s="106">
        <f>IF(GD140="","",IF(ISNUMBER('Dvd Calendar'!$P$1388)=FALSE,"",'Dvd Calendar'!$P$1388))</f>
        <v/>
      </c>
      <c r="BC140" s="106">
        <f>IF(GE140="","",IF(ISNUMBER('Dvd Calendar'!$Q$1388)=FALSE,"",'Dvd Calendar'!$Q$1388))</f>
        <v/>
      </c>
      <c r="BD140" s="106">
        <f>IF(GF140="","",IF(ISNUMBER('Dvd Calendar'!$R$1388)=FALSE,"",'Dvd Calendar'!$R$1388))</f>
        <v/>
      </c>
      <c r="BE140" s="106">
        <f>IF(GG140="","",IF(ISNUMBER('Dvd Calendar'!$S$1388)=FALSE,"",'Dvd Calendar'!$S$1388))</f>
        <v/>
      </c>
      <c r="BF140" s="106">
        <f>IF(GH140="","",IF(ISNUMBER('Dvd Calendar'!$T$1388)=FALSE,"",'Dvd Calendar'!$T$1388))</f>
        <v/>
      </c>
      <c r="BG140" s="106">
        <f>IF(GI140="","",IF(ISNUMBER('Dvd Calendar'!$U$1388)=FALSE,"",'Dvd Calendar'!$U$1388))</f>
        <v/>
      </c>
      <c r="BH140" s="106">
        <f>IF(GJ140="","",IF(ISNUMBER('Dvd Calendar'!$V$1388)=FALSE,"",'Dvd Calendar'!$V$1388))</f>
        <v/>
      </c>
      <c r="BI140" s="106">
        <f>IF(GK140="","",IF(ISNUMBER('Dvd Calendar'!$W$1388)=FALSE,"",'Dvd Calendar'!$W$1388))</f>
        <v/>
      </c>
      <c r="BJ140" s="106">
        <f>IF(GL140="","",IF(ISNUMBER('Dvd Calendar'!$X$1388)=FALSE,"",'Dvd Calendar'!$X$1388))</f>
        <v/>
      </c>
      <c r="BK140" s="106">
        <f>IF(GM140="","",IF(ISNUMBER('Dvd Calendar'!$Y$1388)=FALSE,"",'Dvd Calendar'!$Y$1388))</f>
        <v/>
      </c>
      <c r="BL140" s="106">
        <f>IF(GN140="","",IF(ISNUMBER('Dvd Calendar'!$Z$1388)=FALSE,"",'Dvd Calendar'!$Z$1388))</f>
        <v/>
      </c>
      <c r="BM140" s="106">
        <f>IF(GO140="","",IF(ISNUMBER('Dvd Calendar'!$AA$1388)=FALSE,"",'Dvd Calendar'!$AA$1388))</f>
        <v/>
      </c>
      <c r="BN140" s="106">
        <f>IF(GP140="","",IF(ISNUMBER('Dvd Calendar'!$AB$1388)=FALSE,"",'Dvd Calendar'!$AB$1388))</f>
        <v/>
      </c>
      <c r="BO140" s="106">
        <f>IF(GQ140="","",IF(ISNUMBER('Dvd Calendar'!$AC$1388)=FALSE,"",'Dvd Calendar'!$AC$1388))</f>
        <v/>
      </c>
      <c r="BQ140" s="106">
        <f>IF(C140="","",IFERROR(C140*HSTECH!$B$31*HSTECH!$G$31/HSTECH!$B$3,""))</f>
        <v/>
      </c>
      <c r="BR140" s="106">
        <f>IF(D140="","",IFERROR(D140*HSTECH!$B$31*HSTECH!$G$31/HSTECH!$B$3,""))</f>
        <v/>
      </c>
      <c r="BS140" s="106">
        <f>IF(E140="","",IFERROR(E140*HSTECH!$B$31*HSTECH!$G$31/HSTECH!$B$3,""))</f>
        <v/>
      </c>
      <c r="BT140" s="106">
        <f>IF(F140="","",IFERROR(F140*HSTECH!$B$31*HSTECH!$G$31/HSTECH!$B$3,""))</f>
        <v/>
      </c>
      <c r="BU140" s="106">
        <f>IF(G140="","",IFERROR(G140*HSTECH!$B$31*HSTECH!$G$31/HSTECH!$B$3,""))</f>
        <v/>
      </c>
      <c r="BV140" s="106">
        <f>IF(H140="","",IFERROR(H140*HSTECH!$B$31*HSTECH!$G$31/HSTECH!$B$3,""))</f>
        <v/>
      </c>
      <c r="BW140" s="106">
        <f>IF(I140="","",IFERROR(I140*HSTECH!$B$31*HSTECH!$G$31/HSTECH!$B$3,""))</f>
        <v/>
      </c>
      <c r="BX140" s="106">
        <f>IF(J140="","",IFERROR(J140*HSTECH!$B$31*HSTECH!$G$31/HSTECH!$B$3,""))</f>
        <v/>
      </c>
      <c r="BY140" s="106">
        <f>IF(K140="","",IFERROR(K140*HSTECH!$B$31*HSTECH!$G$31/HSTECH!$B$3,""))</f>
        <v/>
      </c>
      <c r="BZ140" s="106">
        <f>IF(L140="","",IFERROR(L140*HSTECH!$B$31*HSTECH!$G$31/HSTECH!$B$3,""))</f>
        <v/>
      </c>
      <c r="CA140" s="106">
        <f>IF(M140="","",IFERROR(M140*HSTECH!$B$31*HSTECH!$G$31/HSTECH!$B$3,""))</f>
        <v/>
      </c>
      <c r="CB140" s="106">
        <f>IF(N140="","",IFERROR(N140*HSTECH!$B$31*HSTECH!$G$31/HSTECH!$B$3,""))</f>
        <v/>
      </c>
      <c r="CC140" s="106">
        <f>IF(O140="","",IFERROR(O140*HSTECH!$B$31*HSTECH!$G$31/HSTECH!$B$3,""))</f>
        <v/>
      </c>
      <c r="CD140" s="106">
        <f>IF(P140="","",IFERROR(P140*HSTECH!$B$31*HSTECH!$G$31/HSTECH!$B$3,""))</f>
        <v/>
      </c>
      <c r="CE140" s="106">
        <f>IF(Q140="","",IFERROR(Q140*HSTECH!$B$31*HSTECH!$G$31/HSTECH!$B$3,""))</f>
        <v/>
      </c>
      <c r="CF140" s="106">
        <f>IF(R140="","",IFERROR(R140*HSTECH!$B$31*HSTECH!$G$31/HSTECH!$B$3,""))</f>
        <v/>
      </c>
      <c r="CG140" s="106">
        <f>IF(S140="","",IFERROR(S140*HSTECH!$B$31*HSTECH!$G$31/HSTECH!$B$3,""))</f>
        <v/>
      </c>
      <c r="CH140" s="106">
        <f>IF(T140="","",IFERROR(T140*HSTECH!$B$31*HSTECH!$G$31/HSTECH!$B$3,""))</f>
        <v/>
      </c>
      <c r="CI140" s="106">
        <f>IF(U140="","",IFERROR(U140*HSTECH!$B$31*HSTECH!$G$31/HSTECH!$B$3,""))</f>
        <v/>
      </c>
      <c r="CJ140" s="106">
        <f>IF(V140="","",IFERROR(V140*HSTECH!$B$31*HSTECH!$G$31/HSTECH!$B$3,""))</f>
        <v/>
      </c>
      <c r="CK140" s="106">
        <f>IF(W140="","",IFERROR(W140*HSTECH!$B$31*HSTECH!$G$31/HSTECH!$B$3,""))</f>
        <v/>
      </c>
      <c r="CL140" s="106">
        <f>IF(X140="","",IFERROR(X140*HSTECH!$B$31*HSTECH!$G$31/HSTECH!$B$3,""))</f>
        <v/>
      </c>
      <c r="CM140" s="106">
        <f>IF(Y140="","",IFERROR(Y140*HSTECH!$B$31*HSTECH!$G$31/HSTECH!$B$3,""))</f>
        <v/>
      </c>
      <c r="CN140" s="106">
        <f>IF(Z140="","",IFERROR(Z140*HSTECH!$B$31*HSTECH!$G$31/HSTECH!$B$3,""))</f>
        <v/>
      </c>
      <c r="CO140" s="106">
        <f>IF(AA140="","",IFERROR(AA140*HSTECH!$B$31*HSTECH!$G$31/HSTECH!$B$3,""))</f>
        <v/>
      </c>
      <c r="CP140" s="106">
        <f>IF(AB140="","",IFERROR(AB140*HSTECH!$B$31*HSTECH!$G$31/HSTECH!$B$3,""))</f>
        <v/>
      </c>
      <c r="CQ140" s="106">
        <f>IF(AC140="","",IFERROR(AC140*HSTECH!$B$31*HSTECH!$G$31/HSTECH!$B$3,""))</f>
        <v/>
      </c>
      <c r="CR140" s="106">
        <f>IF(AD140="","",IFERROR(AD140*HSTECH!$B$31*HSTECH!$G$31/HSTECH!$B$3,""))</f>
        <v/>
      </c>
      <c r="CS140" s="106">
        <f>IF(AE140="","",IFERROR(AE140*HSTECH!$B$31*HSTECH!$G$31/HSTECH!$B$3,""))</f>
        <v/>
      </c>
      <c r="CT140" s="106">
        <f>IF(AF140="","",IFERROR(AF140*HSTECH!$B$31*HSTECH!$G$31/HSTECH!$B$3,""))</f>
        <v/>
      </c>
      <c r="CU140" s="106">
        <f>IF(AG140="","",IFERROR(AG140*HSTECH!$B$31*HSTECH!$G$31/HSTECH!$B$3,""))</f>
        <v/>
      </c>
      <c r="CV140" s="106">
        <f>IF(AH140="","",IFERROR(AH140*HSTECH!$B$31*HSTECH!$G$31/HSTECH!$B$3,""))</f>
        <v/>
      </c>
      <c r="CW140" s="106">
        <f>IF(AI140="","",IFERROR(AI140*HSTECH!$B$31*HSTECH!$G$31/HSTECH!$B$3,""))</f>
        <v/>
      </c>
      <c r="CX140" s="106">
        <f>IF(AJ140="","",IFERROR(AJ140*HSTECH!$B$31*HSTECH!$G$31/HSTECH!$B$3,""))</f>
        <v/>
      </c>
      <c r="CY140" s="106">
        <f>IF(AK140="","",IFERROR(AK140*HSTECH!$B$31*HSTECH!$G$31/HSTECH!$B$3,""))</f>
        <v/>
      </c>
      <c r="CZ140" s="106">
        <f>IF(AL140="","",IFERROR(AL140*HSTECH!$B$31*HSTECH!$G$31/HSTECH!$B$3,""))</f>
        <v/>
      </c>
      <c r="DA140" s="106">
        <f>IF(AM140="","",IFERROR(AM140*HSTECH!$B$31*HSTECH!$G$31/HSTECH!$B$3,""))</f>
        <v/>
      </c>
      <c r="DB140" s="106">
        <f>IF(AN140="","",IFERROR(AN140*HSTECH!$B$31*HSTECH!$G$31/HSTECH!$B$3,""))</f>
        <v/>
      </c>
      <c r="DC140" s="106">
        <f>IF(AO140="","",IFERROR(AO140*HSTECH!$B$31*HSTECH!$G$31/HSTECH!$B$3,""))</f>
        <v/>
      </c>
      <c r="DD140" s="106">
        <f>IF(AP140="","",IFERROR(AP140*HSTECH!$B$31*HSTECH!$G$31/HSTECH!$B$3,""))</f>
        <v/>
      </c>
      <c r="DE140" s="106">
        <f>IF(AQ140="","",IFERROR(AQ140*HSTECH!$B$31*HSTECH!$G$31/HSTECH!$B$3,""))</f>
        <v/>
      </c>
      <c r="DF140" s="106">
        <f>IF(AR140="","",IFERROR(AR140*HSTECH!$B$31*HSTECH!$G$31/HSTECH!$B$3,""))</f>
        <v/>
      </c>
      <c r="DG140" s="106">
        <f>IF(AS140="","",IFERROR(AS140*HSTECH!$B$31*HSTECH!$G$31/HSTECH!$B$3,""))</f>
        <v/>
      </c>
      <c r="DH140" s="106">
        <f>IF(AT140="","",IFERROR(AT140*HSTECH!$B$31*HSTECH!$G$31/HSTECH!$B$3,""))</f>
        <v/>
      </c>
      <c r="DI140" s="106">
        <f>IF(AU140="","",IFERROR(AU140*HSTECH!$B$31*HSTECH!$G$31/HSTECH!$B$3,""))</f>
        <v/>
      </c>
      <c r="DJ140" s="106">
        <f>IF(AV140="","",IFERROR(AV140*HSTECH!$B$31*HSTECH!$G$31/HSTECH!$B$3,""))</f>
        <v/>
      </c>
      <c r="DK140" s="106">
        <f>IF(AW140="","",IFERROR(AW140*HSTECH!$B$31*HSTECH!$G$31/HSTECH!$B$3,""))</f>
        <v/>
      </c>
      <c r="DL140" s="106">
        <f>IF(AX140="","",IFERROR(AX140*HSTECH!$B$31*HSTECH!$G$31/HSTECH!$B$3,""))</f>
        <v/>
      </c>
      <c r="DM140" s="106">
        <f>IF(AY140="","",IFERROR(AY140*HSTECH!$B$31*HSTECH!$G$31/HSTECH!$B$3,""))</f>
        <v/>
      </c>
      <c r="DN140" s="106">
        <f>IF(AZ140="","",IFERROR(AZ140*HSTECH!$B$31*HSTECH!$G$31/HSTECH!$B$3,""))</f>
        <v/>
      </c>
      <c r="DO140" s="106">
        <f>IF(BA140="","",IFERROR(BA140*HSTECH!$B$31*HSTECH!$G$31/HSTECH!$B$3,""))</f>
        <v/>
      </c>
      <c r="DP140" s="106">
        <f>IF(BB140="","",IFERROR(BB140*HSTECH!$B$31*HSTECH!$G$31/HSTECH!$B$3,""))</f>
        <v/>
      </c>
      <c r="DQ140" s="106">
        <f>IF(BC140="","",IFERROR(BC140*HSTECH!$B$31*HSTECH!$G$31/HSTECH!$B$3,""))</f>
        <v/>
      </c>
      <c r="DR140" s="106">
        <f>IF(BD140="","",IFERROR(BD140*HSTECH!$B$31*HSTECH!$G$31/HSTECH!$B$3,""))</f>
        <v/>
      </c>
      <c r="DS140" s="106">
        <f>IF(BE140="","",IFERROR(BE140*HSTECH!$B$31*HSTECH!$G$31/HSTECH!$B$3,""))</f>
        <v/>
      </c>
      <c r="DT140" s="106">
        <f>IF(BF140="","",IFERROR(BF140*HSTECH!$B$31*HSTECH!$G$31/HSTECH!$B$3,""))</f>
        <v/>
      </c>
      <c r="DU140" s="106">
        <f>IF(BG140="","",IFERROR(BG140*HSTECH!$B$31*HSTECH!$G$31/HSTECH!$B$3,""))</f>
        <v/>
      </c>
      <c r="DV140" s="106">
        <f>IF(BH140="","",IFERROR(BH140*HSTECH!$B$31*HSTECH!$G$31/HSTECH!$B$3,""))</f>
        <v/>
      </c>
      <c r="DW140" s="106">
        <f>IF(BI140="","",IFERROR(BI140*HSTECH!$B$31*HSTECH!$G$31/HSTECH!$B$3,""))</f>
        <v/>
      </c>
      <c r="DX140" s="106">
        <f>IF(BJ140="","",IFERROR(BJ140*HSTECH!$B$31*HSTECH!$G$31/HSTECH!$B$3,""))</f>
        <v/>
      </c>
      <c r="DY140" s="106">
        <f>IF(BK140="","",IFERROR(BK140*HSTECH!$B$31*HSTECH!$G$31/HSTECH!$B$3,""))</f>
        <v/>
      </c>
      <c r="DZ140" s="106">
        <f>IF(BL140="","",IFERROR(BL140*HSTECH!$B$31*HSTECH!$G$31/HSTECH!$B$3,""))</f>
        <v/>
      </c>
      <c r="EA140" s="106">
        <f>IF(BM140="","",IFERROR(BM140*HSTECH!$B$31*HSTECH!$G$31/HSTECH!$B$3,""))</f>
        <v/>
      </c>
      <c r="EB140" s="106">
        <f>IF(BN140="","",IFERROR(BN140*HSTECH!$B$31*HSTECH!$G$31/HSTECH!$B$3,""))</f>
        <v/>
      </c>
      <c r="EC140" s="106">
        <f>IF(BO140="","",IFERROR(BO140*HSTECH!$B$31*HSTECH!$G$31/HSTECH!$B$3,""))</f>
        <v/>
      </c>
      <c r="EE140" s="35">
        <f>IF(N('Dvd Calendar'!$E$1380)=0,"",IF(('Dvd Calendar'!$E$1380&gt;=GRID_FROM)*('Dvd Calendar'!$E$1380&lt;=GRID_TO)*('Dvd Calendar'!$E$1380&lt;=VAL_DATE)=0,"",'Dvd Calendar'!$E$1380*1000000000+ISNUMBER('Dvd Calendar'!$E$1383)*100000000+('Dvd Calendar'!$E$1385=SPECIAL_LBL)*10000000+0*1000000+25*1000+1))</f>
        <v/>
      </c>
      <c r="EF140" s="35">
        <f>IF(N('Dvd Calendar'!$F$1380)=0,"",IF(('Dvd Calendar'!$F$1380&gt;=GRID_FROM)*('Dvd Calendar'!$F$1380&lt;=GRID_TO)*('Dvd Calendar'!$F$1380&lt;=VAL_DATE)=0,"",'Dvd Calendar'!$F$1380*1000000000+ISNUMBER('Dvd Calendar'!$F$1383)*100000000+('Dvd Calendar'!$F$1385=SPECIAL_LBL)*10000000+0*1000000+25*1000+2))</f>
        <v/>
      </c>
      <c r="EG140" s="35">
        <f>IF(N('Dvd Calendar'!$G$1380)=0,"",IF(('Dvd Calendar'!$G$1380&gt;=GRID_FROM)*('Dvd Calendar'!$G$1380&lt;=GRID_TO)*('Dvd Calendar'!$G$1380&lt;=VAL_DATE)=0,"",'Dvd Calendar'!$G$1380*1000000000+ISNUMBER('Dvd Calendar'!$G$1383)*100000000+('Dvd Calendar'!$G$1385=SPECIAL_LBL)*10000000+0*1000000+25*1000+3))</f>
        <v/>
      </c>
      <c r="EH140" s="35">
        <f>IF(N('Dvd Calendar'!$H$1380)=0,"",IF(('Dvd Calendar'!$H$1380&gt;=GRID_FROM)*('Dvd Calendar'!$H$1380&lt;=GRID_TO)*('Dvd Calendar'!$H$1380&lt;=VAL_DATE)=0,"",'Dvd Calendar'!$H$1380*1000000000+ISNUMBER('Dvd Calendar'!$H$1383)*100000000+('Dvd Calendar'!$H$1385=SPECIAL_LBL)*10000000+0*1000000+25*1000+4))</f>
        <v/>
      </c>
      <c r="EI140" s="35">
        <f>IF(N('Dvd Calendar'!$I$1380)=0,"",IF(('Dvd Calendar'!$I$1380&gt;=GRID_FROM)*('Dvd Calendar'!$I$1380&lt;=GRID_TO)*('Dvd Calendar'!$I$1380&lt;=VAL_DATE)=0,"",'Dvd Calendar'!$I$1380*1000000000+ISNUMBER('Dvd Calendar'!$I$1383)*100000000+('Dvd Calendar'!$I$1385=SPECIAL_LBL)*10000000+0*1000000+25*1000+5))</f>
        <v/>
      </c>
      <c r="EJ140" s="35">
        <f>IF(N('Dvd Calendar'!$J$1380)=0,"",IF(('Dvd Calendar'!$J$1380&gt;=GRID_FROM)*('Dvd Calendar'!$J$1380&lt;=GRID_TO)*('Dvd Calendar'!$J$1380&lt;=VAL_DATE)=0,"",'Dvd Calendar'!$J$1380*1000000000+ISNUMBER('Dvd Calendar'!$J$1383)*100000000+('Dvd Calendar'!$J$1385=SPECIAL_LBL)*10000000+0*1000000+25*1000+6))</f>
        <v/>
      </c>
      <c r="EK140" s="35">
        <f>IF(N('Dvd Calendar'!$K$1380)=0,"",IF(('Dvd Calendar'!$K$1380&gt;=GRID_FROM)*('Dvd Calendar'!$K$1380&lt;=GRID_TO)*('Dvd Calendar'!$K$1380&lt;=VAL_DATE)=0,"",'Dvd Calendar'!$K$1380*1000000000+ISNUMBER('Dvd Calendar'!$K$1383)*100000000+('Dvd Calendar'!$K$1385=SPECIAL_LBL)*10000000+0*1000000+25*1000+7))</f>
        <v/>
      </c>
      <c r="EL140" s="35">
        <f>IF(N('Dvd Calendar'!$L$1380)=0,"",IF(('Dvd Calendar'!$L$1380&gt;=GRID_FROM)*('Dvd Calendar'!$L$1380&lt;=GRID_TO)*('Dvd Calendar'!$L$1380&lt;=VAL_DATE)=0,"",'Dvd Calendar'!$L$1380*1000000000+ISNUMBER('Dvd Calendar'!$L$1383)*100000000+('Dvd Calendar'!$L$1385=SPECIAL_LBL)*10000000+0*1000000+25*1000+8))</f>
        <v/>
      </c>
      <c r="EM140" s="35">
        <f>IF(N('Dvd Calendar'!$M$1380)=0,"",IF(('Dvd Calendar'!$M$1380&gt;=GRID_FROM)*('Dvd Calendar'!$M$1380&lt;=GRID_TO)*('Dvd Calendar'!$M$1380&lt;=VAL_DATE)=0,"",'Dvd Calendar'!$M$1380*1000000000+ISNUMBER('Dvd Calendar'!$M$1383)*100000000+('Dvd Calendar'!$M$1385=SPECIAL_LBL)*10000000+0*1000000+25*1000+9))</f>
        <v/>
      </c>
      <c r="EN140" s="35">
        <f>IF(N('Dvd Calendar'!$N$1380)=0,"",IF(('Dvd Calendar'!$N$1380&gt;=GRID_FROM)*('Dvd Calendar'!$N$1380&lt;=GRID_TO)*('Dvd Calendar'!$N$1380&lt;=VAL_DATE)=0,"",'Dvd Calendar'!$N$1380*1000000000+ISNUMBER('Dvd Calendar'!$N$1383)*100000000+('Dvd Calendar'!$N$1385=SPECIAL_LBL)*10000000+0*1000000+25*1000+10))</f>
        <v/>
      </c>
      <c r="EO140" s="35">
        <f>IF(N('Dvd Calendar'!$O$1380)=0,"",IF(('Dvd Calendar'!$O$1380&gt;=GRID_FROM)*('Dvd Calendar'!$O$1380&lt;=GRID_TO)*('Dvd Calendar'!$O$1380&lt;=VAL_DATE)=0,"",'Dvd Calendar'!$O$1380*1000000000+ISNUMBER('Dvd Calendar'!$O$1383)*100000000+('Dvd Calendar'!$O$1385=SPECIAL_LBL)*10000000+0*1000000+25*1000+11))</f>
        <v/>
      </c>
      <c r="EP140" s="35">
        <f>IF(N('Dvd Calendar'!$P$1380)=0,"",IF(('Dvd Calendar'!$P$1380&gt;=GRID_FROM)*('Dvd Calendar'!$P$1380&lt;=GRID_TO)*('Dvd Calendar'!$P$1380&lt;=VAL_DATE)=0,"",'Dvd Calendar'!$P$1380*1000000000+ISNUMBER('Dvd Calendar'!$P$1383)*100000000+('Dvd Calendar'!$P$1385=SPECIAL_LBL)*10000000+0*1000000+25*1000+12))</f>
        <v/>
      </c>
      <c r="EQ140" s="35">
        <f>IF(N('Dvd Calendar'!$Q$1380)=0,"",IF(('Dvd Calendar'!$Q$1380&gt;=GRID_FROM)*('Dvd Calendar'!$Q$1380&lt;=GRID_TO)*('Dvd Calendar'!$Q$1380&lt;=VAL_DATE)=0,"",'Dvd Calendar'!$Q$1380*1000000000+ISNUMBER('Dvd Calendar'!$Q$1383)*100000000+('Dvd Calendar'!$Q$1385=SPECIAL_LBL)*10000000+0*1000000+25*1000+13))</f>
        <v/>
      </c>
      <c r="ER140" s="35">
        <f>IF(N('Dvd Calendar'!$R$1380)=0,"",IF(('Dvd Calendar'!$R$1380&gt;=GRID_FROM)*('Dvd Calendar'!$R$1380&lt;=GRID_TO)*('Dvd Calendar'!$R$1380&lt;=VAL_DATE)=0,"",'Dvd Calendar'!$R$1380*1000000000+ISNUMBER('Dvd Calendar'!$R$1383)*100000000+('Dvd Calendar'!$R$1385=SPECIAL_LBL)*10000000+0*1000000+25*1000+14))</f>
        <v/>
      </c>
      <c r="ES140" s="35">
        <f>IF(N('Dvd Calendar'!$S$1380)=0,"",IF(('Dvd Calendar'!$S$1380&gt;=GRID_FROM)*('Dvd Calendar'!$S$1380&lt;=GRID_TO)*('Dvd Calendar'!$S$1380&lt;=VAL_DATE)=0,"",'Dvd Calendar'!$S$1380*1000000000+ISNUMBER('Dvd Calendar'!$S$1383)*100000000+('Dvd Calendar'!$S$1385=SPECIAL_LBL)*10000000+0*1000000+25*1000+15))</f>
        <v/>
      </c>
      <c r="ET140" s="35">
        <f>IF(N('Dvd Calendar'!$T$1380)=0,"",IF(('Dvd Calendar'!$T$1380&gt;=GRID_FROM)*('Dvd Calendar'!$T$1380&lt;=GRID_TO)*('Dvd Calendar'!$T$1380&lt;=VAL_DATE)=0,"",'Dvd Calendar'!$T$1380*1000000000+ISNUMBER('Dvd Calendar'!$T$1383)*100000000+('Dvd Calendar'!$T$1385=SPECIAL_LBL)*10000000+0*1000000+25*1000+16))</f>
        <v/>
      </c>
      <c r="EU140" s="35">
        <f>IF(N('Dvd Calendar'!$U$1380)=0,"",IF(('Dvd Calendar'!$U$1380&gt;=GRID_FROM)*('Dvd Calendar'!$U$1380&lt;=GRID_TO)*('Dvd Calendar'!$U$1380&lt;=VAL_DATE)=0,"",'Dvd Calendar'!$U$1380*1000000000+ISNUMBER('Dvd Calendar'!$U$1383)*100000000+('Dvd Calendar'!$U$1385=SPECIAL_LBL)*10000000+0*1000000+25*1000+17))</f>
        <v/>
      </c>
      <c r="EV140" s="35">
        <f>IF(N('Dvd Calendar'!$V$1380)=0,"",IF(('Dvd Calendar'!$V$1380&gt;=GRID_FROM)*('Dvd Calendar'!$V$1380&lt;=GRID_TO)*('Dvd Calendar'!$V$1380&lt;=VAL_DATE)=0,"",'Dvd Calendar'!$V$1380*1000000000+ISNUMBER('Dvd Calendar'!$V$1383)*100000000+('Dvd Calendar'!$V$1385=SPECIAL_LBL)*10000000+0*1000000+25*1000+18))</f>
        <v/>
      </c>
      <c r="EW140" s="35">
        <f>IF(N('Dvd Calendar'!$W$1380)=0,"",IF(('Dvd Calendar'!$W$1380&gt;=GRID_FROM)*('Dvd Calendar'!$W$1380&lt;=GRID_TO)*('Dvd Calendar'!$W$1380&lt;=VAL_DATE)=0,"",'Dvd Calendar'!$W$1380*1000000000+ISNUMBER('Dvd Calendar'!$W$1383)*100000000+('Dvd Calendar'!$W$1385=SPECIAL_LBL)*10000000+0*1000000+25*1000+19))</f>
        <v/>
      </c>
      <c r="EX140" s="35">
        <f>IF(N('Dvd Calendar'!$X$1380)=0,"",IF(('Dvd Calendar'!$X$1380&gt;=GRID_FROM)*('Dvd Calendar'!$X$1380&lt;=GRID_TO)*('Dvd Calendar'!$X$1380&lt;=VAL_DATE)=0,"",'Dvd Calendar'!$X$1380*1000000000+ISNUMBER('Dvd Calendar'!$X$1383)*100000000+('Dvd Calendar'!$X$1385=SPECIAL_LBL)*10000000+0*1000000+25*1000+20))</f>
        <v/>
      </c>
      <c r="EY140" s="35">
        <f>IF(N('Dvd Calendar'!$Y$1380)=0,"",IF(('Dvd Calendar'!$Y$1380&gt;=GRID_FROM)*('Dvd Calendar'!$Y$1380&lt;=GRID_TO)*('Dvd Calendar'!$Y$1380&lt;=VAL_DATE)=0,"",'Dvd Calendar'!$Y$1380*1000000000+ISNUMBER('Dvd Calendar'!$Y$1383)*100000000+('Dvd Calendar'!$Y$1385=SPECIAL_LBL)*10000000+0*1000000+25*1000+21))</f>
        <v/>
      </c>
      <c r="EZ140" s="35">
        <f>IF(N('Dvd Calendar'!$Z$1380)=0,"",IF(('Dvd Calendar'!$Z$1380&gt;=GRID_FROM)*('Dvd Calendar'!$Z$1380&lt;=GRID_TO)*('Dvd Calendar'!$Z$1380&lt;=VAL_DATE)=0,"",'Dvd Calendar'!$Z$1380*1000000000+ISNUMBER('Dvd Calendar'!$Z$1383)*100000000+('Dvd Calendar'!$Z$1385=SPECIAL_LBL)*10000000+0*1000000+25*1000+22))</f>
        <v/>
      </c>
      <c r="FA140" s="35">
        <f>IF(N('Dvd Calendar'!$AA$1380)=0,"",IF(('Dvd Calendar'!$AA$1380&gt;=GRID_FROM)*('Dvd Calendar'!$AA$1380&lt;=GRID_TO)*('Dvd Calendar'!$AA$1380&lt;=VAL_DATE)=0,"",'Dvd Calendar'!$AA$1380*1000000000+ISNUMBER('Dvd Calendar'!$AA$1383)*100000000+('Dvd Calendar'!$AA$1385=SPECIAL_LBL)*10000000+0*1000000+25*1000+23))</f>
        <v/>
      </c>
      <c r="FB140" s="35">
        <f>IF(N('Dvd Calendar'!$AB$1380)=0,"",IF(('Dvd Calendar'!$AB$1380&gt;=GRID_FROM)*('Dvd Calendar'!$AB$1380&lt;=GRID_TO)*('Dvd Calendar'!$AB$1380&lt;=VAL_DATE)=0,"",'Dvd Calendar'!$AB$1380*1000000000+ISNUMBER('Dvd Calendar'!$AB$1383)*100000000+('Dvd Calendar'!$AB$1385=SPECIAL_LBL)*10000000+0*1000000+25*1000+24))</f>
        <v/>
      </c>
      <c r="FC140" s="35">
        <f>IF(N('Dvd Calendar'!$AC$1380)=0,"",IF(('Dvd Calendar'!$AC$1380&gt;=GRID_FROM)*('Dvd Calendar'!$AC$1380&lt;=GRID_TO)*('Dvd Calendar'!$AC$1380&lt;=VAL_DATE)=0,"",'Dvd Calendar'!$AC$1380*1000000000+ISNUMBER('Dvd Calendar'!$AC$1383)*100000000+('Dvd Calendar'!$AC$1385=SPECIAL_LBL)*10000000+0*1000000+25*1000+25))</f>
        <v/>
      </c>
      <c r="FD140" s="35">
        <f>IF(N('Dvd Calendar'!$AD$1380)=0,"",IF(('Dvd Calendar'!$AD$1380&gt;=GRID_FROM)*('Dvd Calendar'!$AD$1380&lt;=GRID_TO)*('Dvd Calendar'!$AD$1380&lt;=VAL_DATE)=0,"",'Dvd Calendar'!$AD$1380*1000000000+ISNUMBER('Dvd Calendar'!$AD$1383)*100000000+('Dvd Calendar'!$AD$1385=SPECIAL_LBL)*10000000+0*1000000+25*1000+26))</f>
        <v/>
      </c>
      <c r="FE140" s="35">
        <f>IF(N('Dvd Calendar'!$AE$1380)=0,"",IF(('Dvd Calendar'!$AE$1380&gt;=GRID_FROM)*('Dvd Calendar'!$AE$1380&lt;=GRID_TO)*('Dvd Calendar'!$AE$1380&lt;=VAL_DATE)=0,"",'Dvd Calendar'!$AE$1380*1000000000+ISNUMBER('Dvd Calendar'!$AE$1383)*100000000+('Dvd Calendar'!$AE$1385=SPECIAL_LBL)*10000000+0*1000000+25*1000+27))</f>
        <v/>
      </c>
      <c r="FF140" s="35">
        <f>IF(N('Dvd Calendar'!$AF$1380)=0,"",IF(('Dvd Calendar'!$AF$1380&gt;=GRID_FROM)*('Dvd Calendar'!$AF$1380&lt;=GRID_TO)*('Dvd Calendar'!$AF$1380&lt;=VAL_DATE)=0,"",'Dvd Calendar'!$AF$1380*1000000000+ISNUMBER('Dvd Calendar'!$AF$1383)*100000000+('Dvd Calendar'!$AF$1385=SPECIAL_LBL)*10000000+0*1000000+25*1000+28))</f>
        <v/>
      </c>
      <c r="FG140" s="35">
        <f>IF(N('Dvd Calendar'!$AG$1380)=0,"",IF(('Dvd Calendar'!$AG$1380&gt;=GRID_FROM)*('Dvd Calendar'!$AG$1380&lt;=GRID_TO)*('Dvd Calendar'!$AG$1380&lt;=VAL_DATE)=0,"",'Dvd Calendar'!$AG$1380*1000000000+ISNUMBER('Dvd Calendar'!$AG$1383)*100000000+('Dvd Calendar'!$AG$1385=SPECIAL_LBL)*10000000+0*1000000+25*1000+29))</f>
        <v/>
      </c>
      <c r="FH140" s="35">
        <f>IF(N('Dvd Calendar'!$AH$1380)=0,"",IF(('Dvd Calendar'!$AH$1380&gt;=GRID_FROM)*('Dvd Calendar'!$AH$1380&lt;=GRID_TO)*('Dvd Calendar'!$AH$1380&lt;=VAL_DATE)=0,"",'Dvd Calendar'!$AH$1380*1000000000+ISNUMBER('Dvd Calendar'!$AH$1383)*100000000+('Dvd Calendar'!$AH$1385=SPECIAL_LBL)*10000000+0*1000000+25*1000+30))</f>
        <v/>
      </c>
      <c r="FI140" s="35">
        <f>IF(N('Dvd Calendar'!$AI$1380)=0,"",IF(('Dvd Calendar'!$AI$1380&gt;=GRID_FROM)*('Dvd Calendar'!$AI$1380&lt;=GRID_TO)*('Dvd Calendar'!$AI$1380&lt;=VAL_DATE)=0,"",'Dvd Calendar'!$AI$1380*1000000000+ISNUMBER('Dvd Calendar'!$AI$1383)*100000000+('Dvd Calendar'!$AI$1385=SPECIAL_LBL)*10000000+0*1000000+25*1000+31))</f>
        <v/>
      </c>
      <c r="FJ140" s="35">
        <f>IF(N('Dvd Calendar'!$AJ$1380)=0,"",IF(('Dvd Calendar'!$AJ$1380&gt;=GRID_FROM)*('Dvd Calendar'!$AJ$1380&lt;=GRID_TO)*('Dvd Calendar'!$AJ$1380&lt;=VAL_DATE)=0,"",'Dvd Calendar'!$AJ$1380*1000000000+ISNUMBER('Dvd Calendar'!$AJ$1383)*100000000+('Dvd Calendar'!$AJ$1385=SPECIAL_LBL)*10000000+0*1000000+25*1000+32))</f>
        <v/>
      </c>
      <c r="FK140" s="35">
        <f>IF(N('Dvd Calendar'!$AK$1380)=0,"",IF(('Dvd Calendar'!$AK$1380&gt;=GRID_FROM)*('Dvd Calendar'!$AK$1380&lt;=GRID_TO)*('Dvd Calendar'!$AK$1380&lt;=VAL_DATE)=0,"",'Dvd Calendar'!$AK$1380*1000000000+ISNUMBER('Dvd Calendar'!$AK$1383)*100000000+('Dvd Calendar'!$AK$1385=SPECIAL_LBL)*10000000+0*1000000+25*1000+33))</f>
        <v/>
      </c>
      <c r="FL140" s="35">
        <f>IF(N('Dvd Calendar'!$AL$1380)=0,"",IF(('Dvd Calendar'!$AL$1380&gt;=GRID_FROM)*('Dvd Calendar'!$AL$1380&lt;=GRID_TO)*('Dvd Calendar'!$AL$1380&lt;=VAL_DATE)=0,"",'Dvd Calendar'!$AL$1380*1000000000+ISNUMBER('Dvd Calendar'!$AL$1383)*100000000+('Dvd Calendar'!$AL$1385=SPECIAL_LBL)*10000000+0*1000000+25*1000+34))</f>
        <v/>
      </c>
      <c r="FM140" s="35">
        <f>IF(N('Dvd Calendar'!$AM$1380)=0,"",IF(('Dvd Calendar'!$AM$1380&gt;=GRID_FROM)*('Dvd Calendar'!$AM$1380&lt;=GRID_TO)*('Dvd Calendar'!$AM$1380&lt;=VAL_DATE)=0,"",'Dvd Calendar'!$AM$1380*1000000000+ISNUMBER('Dvd Calendar'!$AM$1383)*100000000+('Dvd Calendar'!$AM$1385=SPECIAL_LBL)*10000000+0*1000000+25*1000+35))</f>
        <v/>
      </c>
      <c r="FN140" s="35">
        <f>IF(N('Dvd Calendar'!$AN$1380)=0,"",IF(('Dvd Calendar'!$AN$1380&gt;=GRID_FROM)*('Dvd Calendar'!$AN$1380&lt;=GRID_TO)*('Dvd Calendar'!$AN$1380&lt;=VAL_DATE)=0,"",'Dvd Calendar'!$AN$1380*1000000000+ISNUMBER('Dvd Calendar'!$AN$1383)*100000000+('Dvd Calendar'!$AN$1385=SPECIAL_LBL)*10000000+0*1000000+25*1000+36))</f>
        <v/>
      </c>
      <c r="FO140" s="35">
        <f>IF(N('Dvd Calendar'!$AO$1380)=0,"",IF(('Dvd Calendar'!$AO$1380&gt;=GRID_FROM)*('Dvd Calendar'!$AO$1380&lt;=GRID_TO)*('Dvd Calendar'!$AO$1380&lt;=VAL_DATE)=0,"",'Dvd Calendar'!$AO$1380*1000000000+ISNUMBER('Dvd Calendar'!$AO$1383)*100000000+('Dvd Calendar'!$AO$1385=SPECIAL_LBL)*10000000+0*1000000+25*1000+37))</f>
        <v/>
      </c>
      <c r="FP140" s="35">
        <f>IF(N('Dvd Calendar'!$AP$1380)=0,"",IF(('Dvd Calendar'!$AP$1380&gt;=GRID_FROM)*('Dvd Calendar'!$AP$1380&lt;=GRID_TO)*('Dvd Calendar'!$AP$1380&lt;=VAL_DATE)=0,"",'Dvd Calendar'!$AP$1380*1000000000+ISNUMBER('Dvd Calendar'!$AP$1383)*100000000+('Dvd Calendar'!$AP$1385=SPECIAL_LBL)*10000000+0*1000000+25*1000+38))</f>
        <v/>
      </c>
      <c r="FQ140" s="35">
        <f>IF(N('Dvd Calendar'!$AQ$1380)=0,"",IF(('Dvd Calendar'!$AQ$1380&gt;=GRID_FROM)*('Dvd Calendar'!$AQ$1380&lt;=GRID_TO)*('Dvd Calendar'!$AQ$1380&lt;=VAL_DATE)=0,"",'Dvd Calendar'!$AQ$1380*1000000000+ISNUMBER('Dvd Calendar'!$AQ$1383)*100000000+('Dvd Calendar'!$AQ$1385=SPECIAL_LBL)*10000000+0*1000000+25*1000+39))</f>
        <v/>
      </c>
      <c r="FR140" s="35">
        <f>IF(N('Dvd Calendar'!$AR$1380)=0,"",IF(('Dvd Calendar'!$AR$1380&gt;=GRID_FROM)*('Dvd Calendar'!$AR$1380&lt;=GRID_TO)*('Dvd Calendar'!$AR$1380&lt;=VAL_DATE)=0,"",'Dvd Calendar'!$AR$1380*1000000000+ISNUMBER('Dvd Calendar'!$AR$1383)*100000000+('Dvd Calendar'!$AR$1385=SPECIAL_LBL)*10000000+0*1000000+25*1000+40))</f>
        <v/>
      </c>
      <c r="FS140" s="35">
        <f>IF(N('Dvd Calendar'!$E$1387)=0,"",IF(('Dvd Calendar'!$E$1387&gt;=GRID_FROM)*('Dvd Calendar'!$E$1387&lt;=GRID_TO)*('Dvd Calendar'!$E$1387&gt;VAL_DATE)=0,"",'Dvd Calendar'!$E$1387*1000000000+ISNUMBER('Dvd Calendar'!$E$1388)*100000000+0*10000000+(N('Dvd Calendar'!$E$1386)&gt;0)*(N('Dvd Calendar'!$E$1386)&lt;=VAL_SERIAL)*1000000+25*1000+41))</f>
        <v/>
      </c>
      <c r="FT140" s="35">
        <f>IF(N('Dvd Calendar'!$F$1387)=0,"",IF(('Dvd Calendar'!$F$1387&gt;=GRID_FROM)*('Dvd Calendar'!$F$1387&lt;=GRID_TO)*('Dvd Calendar'!$F$1387&gt;VAL_DATE)=0,"",'Dvd Calendar'!$F$1387*1000000000+ISNUMBER('Dvd Calendar'!$F$1388)*100000000+0*10000000+(N('Dvd Calendar'!$F$1386)&gt;0)*(N('Dvd Calendar'!$F$1386)&lt;=VAL_SERIAL)*1000000+25*1000+42))</f>
        <v/>
      </c>
      <c r="FU140" s="35">
        <f>IF(N('Dvd Calendar'!$G$1387)=0,"",IF(('Dvd Calendar'!$G$1387&gt;=GRID_FROM)*('Dvd Calendar'!$G$1387&lt;=GRID_TO)*('Dvd Calendar'!$G$1387&gt;VAL_DATE)=0,"",'Dvd Calendar'!$G$1387*1000000000+ISNUMBER('Dvd Calendar'!$G$1388)*100000000+0*10000000+(N('Dvd Calendar'!$G$1386)&gt;0)*(N('Dvd Calendar'!$G$1386)&lt;=VAL_SERIAL)*1000000+25*1000+43))</f>
        <v/>
      </c>
      <c r="FV140" s="35">
        <f>IF(N('Dvd Calendar'!$H$1387)=0,"",IF(('Dvd Calendar'!$H$1387&gt;=GRID_FROM)*('Dvd Calendar'!$H$1387&lt;=GRID_TO)*('Dvd Calendar'!$H$1387&gt;VAL_DATE)=0,"",'Dvd Calendar'!$H$1387*1000000000+ISNUMBER('Dvd Calendar'!$H$1388)*100000000+0*10000000+(N('Dvd Calendar'!$H$1386)&gt;0)*(N('Dvd Calendar'!$H$1386)&lt;=VAL_SERIAL)*1000000+25*1000+44))</f>
        <v/>
      </c>
      <c r="FW140" s="35">
        <f>IF(N('Dvd Calendar'!$I$1387)=0,"",IF(('Dvd Calendar'!$I$1387&gt;=GRID_FROM)*('Dvd Calendar'!$I$1387&lt;=GRID_TO)*('Dvd Calendar'!$I$1387&gt;VAL_DATE)=0,"",'Dvd Calendar'!$I$1387*1000000000+ISNUMBER('Dvd Calendar'!$I$1388)*100000000+0*10000000+(N('Dvd Calendar'!$I$1386)&gt;0)*(N('Dvd Calendar'!$I$1386)&lt;=VAL_SERIAL)*1000000+25*1000+45))</f>
        <v/>
      </c>
      <c r="FX140" s="35">
        <f>IF(N('Dvd Calendar'!$J$1387)=0,"",IF(('Dvd Calendar'!$J$1387&gt;=GRID_FROM)*('Dvd Calendar'!$J$1387&lt;=GRID_TO)*('Dvd Calendar'!$J$1387&gt;VAL_DATE)=0,"",'Dvd Calendar'!$J$1387*1000000000+ISNUMBER('Dvd Calendar'!$J$1388)*100000000+0*10000000+(N('Dvd Calendar'!$J$1386)&gt;0)*(N('Dvd Calendar'!$J$1386)&lt;=VAL_SERIAL)*1000000+25*1000+46))</f>
        <v/>
      </c>
      <c r="FY140" s="35">
        <f>IF(N('Dvd Calendar'!$K$1387)=0,"",IF(('Dvd Calendar'!$K$1387&gt;=GRID_FROM)*('Dvd Calendar'!$K$1387&lt;=GRID_TO)*('Dvd Calendar'!$K$1387&gt;VAL_DATE)=0,"",'Dvd Calendar'!$K$1387*1000000000+ISNUMBER('Dvd Calendar'!$K$1388)*100000000+0*10000000+(N('Dvd Calendar'!$K$1386)&gt;0)*(N('Dvd Calendar'!$K$1386)&lt;=VAL_SERIAL)*1000000+25*1000+47))</f>
        <v/>
      </c>
      <c r="FZ140" s="35">
        <f>IF(N('Dvd Calendar'!$L$1387)=0,"",IF(('Dvd Calendar'!$L$1387&gt;=GRID_FROM)*('Dvd Calendar'!$L$1387&lt;=GRID_TO)*('Dvd Calendar'!$L$1387&gt;VAL_DATE)=0,"",'Dvd Calendar'!$L$1387*1000000000+ISNUMBER('Dvd Calendar'!$L$1388)*100000000+0*10000000+(N('Dvd Calendar'!$L$1386)&gt;0)*(N('Dvd Calendar'!$L$1386)&lt;=VAL_SERIAL)*1000000+25*1000+48))</f>
        <v/>
      </c>
      <c r="GA140" s="35">
        <f>IF(N('Dvd Calendar'!$M$1387)=0,"",IF(('Dvd Calendar'!$M$1387&gt;=GRID_FROM)*('Dvd Calendar'!$M$1387&lt;=GRID_TO)*('Dvd Calendar'!$M$1387&gt;VAL_DATE)=0,"",'Dvd Calendar'!$M$1387*1000000000+ISNUMBER('Dvd Calendar'!$M$1388)*100000000+0*10000000+(N('Dvd Calendar'!$M$1386)&gt;0)*(N('Dvd Calendar'!$M$1386)&lt;=VAL_SERIAL)*1000000+25*1000+49))</f>
        <v/>
      </c>
      <c r="GB140" s="35">
        <f>IF(N('Dvd Calendar'!$N$1387)=0,"",IF(('Dvd Calendar'!$N$1387&gt;=GRID_FROM)*('Dvd Calendar'!$N$1387&lt;=GRID_TO)*('Dvd Calendar'!$N$1387&gt;VAL_DATE)=0,"",'Dvd Calendar'!$N$1387*1000000000+ISNUMBER('Dvd Calendar'!$N$1388)*100000000+0*10000000+(N('Dvd Calendar'!$N$1386)&gt;0)*(N('Dvd Calendar'!$N$1386)&lt;=VAL_SERIAL)*1000000+25*1000+50))</f>
        <v/>
      </c>
      <c r="GC140" s="35">
        <f>IF(N('Dvd Calendar'!$O$1387)=0,"",IF(('Dvd Calendar'!$O$1387&gt;=GRID_FROM)*('Dvd Calendar'!$O$1387&lt;=GRID_TO)*('Dvd Calendar'!$O$1387&gt;VAL_DATE)=0,"",'Dvd Calendar'!$O$1387*1000000000+ISNUMBER('Dvd Calendar'!$O$1388)*100000000+0*10000000+(N('Dvd Calendar'!$O$1386)&gt;0)*(N('Dvd Calendar'!$O$1386)&lt;=VAL_SERIAL)*1000000+25*1000+51))</f>
        <v/>
      </c>
      <c r="GD140" s="35">
        <f>IF(N('Dvd Calendar'!$P$1387)=0,"",IF(('Dvd Calendar'!$P$1387&gt;=GRID_FROM)*('Dvd Calendar'!$P$1387&lt;=GRID_TO)*('Dvd Calendar'!$P$1387&gt;VAL_DATE)=0,"",'Dvd Calendar'!$P$1387*1000000000+ISNUMBER('Dvd Calendar'!$P$1388)*100000000+0*10000000+(N('Dvd Calendar'!$P$1386)&gt;0)*(N('Dvd Calendar'!$P$1386)&lt;=VAL_SERIAL)*1000000+25*1000+52))</f>
        <v/>
      </c>
      <c r="GE140" s="35">
        <f>IF(N('Dvd Calendar'!$Q$1387)=0,"",IF(('Dvd Calendar'!$Q$1387&gt;=GRID_FROM)*('Dvd Calendar'!$Q$1387&lt;=GRID_TO)*('Dvd Calendar'!$Q$1387&gt;VAL_DATE)=0,"",'Dvd Calendar'!$Q$1387*1000000000+ISNUMBER('Dvd Calendar'!$Q$1388)*100000000+0*10000000+(N('Dvd Calendar'!$Q$1386)&gt;0)*(N('Dvd Calendar'!$Q$1386)&lt;=VAL_SERIAL)*1000000+25*1000+53))</f>
        <v/>
      </c>
      <c r="GF140" s="35">
        <f>IF(N('Dvd Calendar'!$R$1387)=0,"",IF(('Dvd Calendar'!$R$1387&gt;=GRID_FROM)*('Dvd Calendar'!$R$1387&lt;=GRID_TO)*('Dvd Calendar'!$R$1387&gt;VAL_DATE)=0,"",'Dvd Calendar'!$R$1387*1000000000+ISNUMBER('Dvd Calendar'!$R$1388)*100000000+0*10000000+(N('Dvd Calendar'!$R$1386)&gt;0)*(N('Dvd Calendar'!$R$1386)&lt;=VAL_SERIAL)*1000000+25*1000+54))</f>
        <v/>
      </c>
      <c r="GG140" s="35">
        <f>IF(N('Dvd Calendar'!$S$1387)=0,"",IF(('Dvd Calendar'!$S$1387&gt;=GRID_FROM)*('Dvd Calendar'!$S$1387&lt;=GRID_TO)*('Dvd Calendar'!$S$1387&gt;VAL_DATE)=0,"",'Dvd Calendar'!$S$1387*1000000000+ISNUMBER('Dvd Calendar'!$S$1388)*100000000+0*10000000+(N('Dvd Calendar'!$S$1386)&gt;0)*(N('Dvd Calendar'!$S$1386)&lt;=VAL_SERIAL)*1000000+25*1000+55))</f>
        <v/>
      </c>
      <c r="GH140" s="35">
        <f>IF(N('Dvd Calendar'!$T$1387)=0,"",IF(('Dvd Calendar'!$T$1387&gt;=GRID_FROM)*('Dvd Calendar'!$T$1387&lt;=GRID_TO)*('Dvd Calendar'!$T$1387&gt;VAL_DATE)=0,"",'Dvd Calendar'!$T$1387*1000000000+ISNUMBER('Dvd Calendar'!$T$1388)*100000000+0*10000000+(N('Dvd Calendar'!$T$1386)&gt;0)*(N('Dvd Calendar'!$T$1386)&lt;=VAL_SERIAL)*1000000+25*1000+56))</f>
        <v/>
      </c>
      <c r="GI140" s="35">
        <f>IF(N('Dvd Calendar'!$U$1387)=0,"",IF(('Dvd Calendar'!$U$1387&gt;=GRID_FROM)*('Dvd Calendar'!$U$1387&lt;=GRID_TO)*('Dvd Calendar'!$U$1387&gt;VAL_DATE)=0,"",'Dvd Calendar'!$U$1387*1000000000+ISNUMBER('Dvd Calendar'!$U$1388)*100000000+0*10000000+(N('Dvd Calendar'!$U$1386)&gt;0)*(N('Dvd Calendar'!$U$1386)&lt;=VAL_SERIAL)*1000000+25*1000+57))</f>
        <v/>
      </c>
      <c r="GJ140" s="35">
        <f>IF(N('Dvd Calendar'!$V$1387)=0,"",IF(('Dvd Calendar'!$V$1387&gt;=GRID_FROM)*('Dvd Calendar'!$V$1387&lt;=GRID_TO)*('Dvd Calendar'!$V$1387&gt;VAL_DATE)=0,"",'Dvd Calendar'!$V$1387*1000000000+ISNUMBER('Dvd Calendar'!$V$1388)*100000000+0*10000000+(N('Dvd Calendar'!$V$1386)&gt;0)*(N('Dvd Calendar'!$V$1386)&lt;=VAL_SERIAL)*1000000+25*1000+58))</f>
        <v/>
      </c>
      <c r="GK140" s="35">
        <f>IF(N('Dvd Calendar'!$W$1387)=0,"",IF(('Dvd Calendar'!$W$1387&gt;=GRID_FROM)*('Dvd Calendar'!$W$1387&lt;=GRID_TO)*('Dvd Calendar'!$W$1387&gt;VAL_DATE)=0,"",'Dvd Calendar'!$W$1387*1000000000+ISNUMBER('Dvd Calendar'!$W$1388)*100000000+0*10000000+(N('Dvd Calendar'!$W$1386)&gt;0)*(N('Dvd Calendar'!$W$1386)&lt;=VAL_SERIAL)*1000000+25*1000+59))</f>
        <v/>
      </c>
      <c r="GL140" s="35">
        <f>IF(N('Dvd Calendar'!$X$1387)=0,"",IF(('Dvd Calendar'!$X$1387&gt;=GRID_FROM)*('Dvd Calendar'!$X$1387&lt;=GRID_TO)*('Dvd Calendar'!$X$1387&gt;VAL_DATE)=0,"",'Dvd Calendar'!$X$1387*1000000000+ISNUMBER('Dvd Calendar'!$X$1388)*100000000+0*10000000+(N('Dvd Calendar'!$X$1386)&gt;0)*(N('Dvd Calendar'!$X$1386)&lt;=VAL_SERIAL)*1000000+25*1000+60))</f>
        <v/>
      </c>
      <c r="GM140" s="35">
        <f>IF(N('Dvd Calendar'!$Y$1387)=0,"",IF(('Dvd Calendar'!$Y$1387&gt;=GRID_FROM)*('Dvd Calendar'!$Y$1387&lt;=GRID_TO)*('Dvd Calendar'!$Y$1387&gt;VAL_DATE)=0,"",'Dvd Calendar'!$Y$1387*1000000000+ISNUMBER('Dvd Calendar'!$Y$1388)*100000000+0*10000000+(N('Dvd Calendar'!$Y$1386)&gt;0)*(N('Dvd Calendar'!$Y$1386)&lt;=VAL_SERIAL)*1000000+25*1000+61))</f>
        <v/>
      </c>
      <c r="GN140" s="35">
        <f>IF(N('Dvd Calendar'!$Z$1387)=0,"",IF(('Dvd Calendar'!$Z$1387&gt;=GRID_FROM)*('Dvd Calendar'!$Z$1387&lt;=GRID_TO)*('Dvd Calendar'!$Z$1387&gt;VAL_DATE)=0,"",'Dvd Calendar'!$Z$1387*1000000000+ISNUMBER('Dvd Calendar'!$Z$1388)*100000000+0*10000000+(N('Dvd Calendar'!$Z$1386)&gt;0)*(N('Dvd Calendar'!$Z$1386)&lt;=VAL_SERIAL)*1000000+25*1000+62))</f>
        <v/>
      </c>
      <c r="GO140" s="35">
        <f>IF(N('Dvd Calendar'!$AA$1387)=0,"",IF(('Dvd Calendar'!$AA$1387&gt;=GRID_FROM)*('Dvd Calendar'!$AA$1387&lt;=GRID_TO)*('Dvd Calendar'!$AA$1387&gt;VAL_DATE)=0,"",'Dvd Calendar'!$AA$1387*1000000000+ISNUMBER('Dvd Calendar'!$AA$1388)*100000000+0*10000000+(N('Dvd Calendar'!$AA$1386)&gt;0)*(N('Dvd Calendar'!$AA$1386)&lt;=VAL_SERIAL)*1000000+25*1000+63))</f>
        <v/>
      </c>
      <c r="GP140" s="35">
        <f>IF(N('Dvd Calendar'!$AB$1387)=0,"",IF(('Dvd Calendar'!$AB$1387&gt;=GRID_FROM)*('Dvd Calendar'!$AB$1387&lt;=GRID_TO)*('Dvd Calendar'!$AB$1387&gt;VAL_DATE)=0,"",'Dvd Calendar'!$AB$1387*1000000000+ISNUMBER('Dvd Calendar'!$AB$1388)*100000000+0*10000000+(N('Dvd Calendar'!$AB$1386)&gt;0)*(N('Dvd Calendar'!$AB$1386)&lt;=VAL_SERIAL)*1000000+25*1000+64))</f>
        <v/>
      </c>
      <c r="GQ140" s="35">
        <f>IF(N('Dvd Calendar'!$AC$1387)=0,"",IF(('Dvd Calendar'!$AC$1387&gt;=GRID_FROM)*('Dvd Calendar'!$AC$1387&lt;=GRID_TO)*('Dvd Calendar'!$AC$1387&gt;VAL_DATE)=0,"",'Dvd Calendar'!$AC$1387*1000000000+ISNUMBER('Dvd Calendar'!$AC$1388)*100000000+0*10000000+(N('Dvd Calendar'!$AC$1386)&gt;0)*(N('Dvd Calendar'!$AC$1386)&lt;=VAL_SERIAL)*1000000+25*1000+65))</f>
        <v/>
      </c>
    </row>
    <row r="141">
      <c r="B141" s="2">
        <f>IF(HSTECH!$C$32="","",HSTECH!$C$32)</f>
        <v/>
      </c>
      <c r="C141" s="106">
        <f>IF(EE141="","",IF(ISNUMBER('Dvd Calendar'!$E$1394)=FALSE,"",IF((('Dvd Calendar'!$E$1396=TYPE1)*(TYPE1&lt;&gt;"")+('Dvd Calendar'!$E$1396=TYPE2)*(TYPE2&lt;&gt;"")+('Dvd Calendar'!$E$1396=TYPE3)*(TYPE3&lt;&gt;"")+('Dvd Calendar'!$E$1396=TYPE4)*(TYPE4&lt;&gt;"")+('Dvd Calendar'!$E$1396=SPECIAL_LBL)*(INC_SPECIALS="Y"))=0,"",'Dvd Calendar'!$E$1394)))</f>
        <v/>
      </c>
      <c r="D141" s="106">
        <f>IF(EF141="","",IF(ISNUMBER('Dvd Calendar'!$F$1394)=FALSE,"",IF((('Dvd Calendar'!$F$1396=TYPE1)*(TYPE1&lt;&gt;"")+('Dvd Calendar'!$F$1396=TYPE2)*(TYPE2&lt;&gt;"")+('Dvd Calendar'!$F$1396=TYPE3)*(TYPE3&lt;&gt;"")+('Dvd Calendar'!$F$1396=TYPE4)*(TYPE4&lt;&gt;"")+('Dvd Calendar'!$F$1396=SPECIAL_LBL)*(INC_SPECIALS="Y"))=0,"",'Dvd Calendar'!$F$1394)))</f>
        <v/>
      </c>
      <c r="E141" s="106">
        <f>IF(EG141="","",IF(ISNUMBER('Dvd Calendar'!$G$1394)=FALSE,"",IF((('Dvd Calendar'!$G$1396=TYPE1)*(TYPE1&lt;&gt;"")+('Dvd Calendar'!$G$1396=TYPE2)*(TYPE2&lt;&gt;"")+('Dvd Calendar'!$G$1396=TYPE3)*(TYPE3&lt;&gt;"")+('Dvd Calendar'!$G$1396=TYPE4)*(TYPE4&lt;&gt;"")+('Dvd Calendar'!$G$1396=SPECIAL_LBL)*(INC_SPECIALS="Y"))=0,"",'Dvd Calendar'!$G$1394)))</f>
        <v/>
      </c>
      <c r="F141" s="106">
        <f>IF(EH141="","",IF(ISNUMBER('Dvd Calendar'!$H$1394)=FALSE,"",IF((('Dvd Calendar'!$H$1396=TYPE1)*(TYPE1&lt;&gt;"")+('Dvd Calendar'!$H$1396=TYPE2)*(TYPE2&lt;&gt;"")+('Dvd Calendar'!$H$1396=TYPE3)*(TYPE3&lt;&gt;"")+('Dvd Calendar'!$H$1396=TYPE4)*(TYPE4&lt;&gt;"")+('Dvd Calendar'!$H$1396=SPECIAL_LBL)*(INC_SPECIALS="Y"))=0,"",'Dvd Calendar'!$H$1394)))</f>
        <v/>
      </c>
      <c r="G141" s="106">
        <f>IF(EI141="","",IF(ISNUMBER('Dvd Calendar'!$I$1394)=FALSE,"",IF((('Dvd Calendar'!$I$1396=TYPE1)*(TYPE1&lt;&gt;"")+('Dvd Calendar'!$I$1396=TYPE2)*(TYPE2&lt;&gt;"")+('Dvd Calendar'!$I$1396=TYPE3)*(TYPE3&lt;&gt;"")+('Dvd Calendar'!$I$1396=TYPE4)*(TYPE4&lt;&gt;"")+('Dvd Calendar'!$I$1396=SPECIAL_LBL)*(INC_SPECIALS="Y"))=0,"",'Dvd Calendar'!$I$1394)))</f>
        <v/>
      </c>
      <c r="H141" s="106">
        <f>IF(EJ141="","",IF(ISNUMBER('Dvd Calendar'!$J$1394)=FALSE,"",IF((('Dvd Calendar'!$J$1396=TYPE1)*(TYPE1&lt;&gt;"")+('Dvd Calendar'!$J$1396=TYPE2)*(TYPE2&lt;&gt;"")+('Dvd Calendar'!$J$1396=TYPE3)*(TYPE3&lt;&gt;"")+('Dvd Calendar'!$J$1396=TYPE4)*(TYPE4&lt;&gt;"")+('Dvd Calendar'!$J$1396=SPECIAL_LBL)*(INC_SPECIALS="Y"))=0,"",'Dvd Calendar'!$J$1394)))</f>
        <v/>
      </c>
      <c r="I141" s="106">
        <f>IF(EK141="","",IF(ISNUMBER('Dvd Calendar'!$K$1394)=FALSE,"",IF((('Dvd Calendar'!$K$1396=TYPE1)*(TYPE1&lt;&gt;"")+('Dvd Calendar'!$K$1396=TYPE2)*(TYPE2&lt;&gt;"")+('Dvd Calendar'!$K$1396=TYPE3)*(TYPE3&lt;&gt;"")+('Dvd Calendar'!$K$1396=TYPE4)*(TYPE4&lt;&gt;"")+('Dvd Calendar'!$K$1396=SPECIAL_LBL)*(INC_SPECIALS="Y"))=0,"",'Dvd Calendar'!$K$1394)))</f>
        <v/>
      </c>
      <c r="J141" s="106">
        <f>IF(EL141="","",IF(ISNUMBER('Dvd Calendar'!$L$1394)=FALSE,"",IF((('Dvd Calendar'!$L$1396=TYPE1)*(TYPE1&lt;&gt;"")+('Dvd Calendar'!$L$1396=TYPE2)*(TYPE2&lt;&gt;"")+('Dvd Calendar'!$L$1396=TYPE3)*(TYPE3&lt;&gt;"")+('Dvd Calendar'!$L$1396=TYPE4)*(TYPE4&lt;&gt;"")+('Dvd Calendar'!$L$1396=SPECIAL_LBL)*(INC_SPECIALS="Y"))=0,"",'Dvd Calendar'!$L$1394)))</f>
        <v/>
      </c>
      <c r="K141" s="106">
        <f>IF(EM141="","",IF(ISNUMBER('Dvd Calendar'!$M$1394)=FALSE,"",IF((('Dvd Calendar'!$M$1396=TYPE1)*(TYPE1&lt;&gt;"")+('Dvd Calendar'!$M$1396=TYPE2)*(TYPE2&lt;&gt;"")+('Dvd Calendar'!$M$1396=TYPE3)*(TYPE3&lt;&gt;"")+('Dvd Calendar'!$M$1396=TYPE4)*(TYPE4&lt;&gt;"")+('Dvd Calendar'!$M$1396=SPECIAL_LBL)*(INC_SPECIALS="Y"))=0,"",'Dvd Calendar'!$M$1394)))</f>
        <v/>
      </c>
      <c r="L141" s="106">
        <f>IF(EN141="","",IF(ISNUMBER('Dvd Calendar'!$N$1394)=FALSE,"",IF((('Dvd Calendar'!$N$1396=TYPE1)*(TYPE1&lt;&gt;"")+('Dvd Calendar'!$N$1396=TYPE2)*(TYPE2&lt;&gt;"")+('Dvd Calendar'!$N$1396=TYPE3)*(TYPE3&lt;&gt;"")+('Dvd Calendar'!$N$1396=TYPE4)*(TYPE4&lt;&gt;"")+('Dvd Calendar'!$N$1396=SPECIAL_LBL)*(INC_SPECIALS="Y"))=0,"",'Dvd Calendar'!$N$1394)))</f>
        <v/>
      </c>
      <c r="M141" s="106">
        <f>IF(EO141="","",IF(ISNUMBER('Dvd Calendar'!$O$1394)=FALSE,"",IF((('Dvd Calendar'!$O$1396=TYPE1)*(TYPE1&lt;&gt;"")+('Dvd Calendar'!$O$1396=TYPE2)*(TYPE2&lt;&gt;"")+('Dvd Calendar'!$O$1396=TYPE3)*(TYPE3&lt;&gt;"")+('Dvd Calendar'!$O$1396=TYPE4)*(TYPE4&lt;&gt;"")+('Dvd Calendar'!$O$1396=SPECIAL_LBL)*(INC_SPECIALS="Y"))=0,"",'Dvd Calendar'!$O$1394)))</f>
        <v/>
      </c>
      <c r="N141" s="106">
        <f>IF(EP141="","",IF(ISNUMBER('Dvd Calendar'!$P$1394)=FALSE,"",IF((('Dvd Calendar'!$P$1396=TYPE1)*(TYPE1&lt;&gt;"")+('Dvd Calendar'!$P$1396=TYPE2)*(TYPE2&lt;&gt;"")+('Dvd Calendar'!$P$1396=TYPE3)*(TYPE3&lt;&gt;"")+('Dvd Calendar'!$P$1396=TYPE4)*(TYPE4&lt;&gt;"")+('Dvd Calendar'!$P$1396=SPECIAL_LBL)*(INC_SPECIALS="Y"))=0,"",'Dvd Calendar'!$P$1394)))</f>
        <v/>
      </c>
      <c r="O141" s="106">
        <f>IF(EQ141="","",IF(ISNUMBER('Dvd Calendar'!$Q$1394)=FALSE,"",IF((('Dvd Calendar'!$Q$1396=TYPE1)*(TYPE1&lt;&gt;"")+('Dvd Calendar'!$Q$1396=TYPE2)*(TYPE2&lt;&gt;"")+('Dvd Calendar'!$Q$1396=TYPE3)*(TYPE3&lt;&gt;"")+('Dvd Calendar'!$Q$1396=TYPE4)*(TYPE4&lt;&gt;"")+('Dvd Calendar'!$Q$1396=SPECIAL_LBL)*(INC_SPECIALS="Y"))=0,"",'Dvd Calendar'!$Q$1394)))</f>
        <v/>
      </c>
      <c r="P141" s="106">
        <f>IF(ER141="","",IF(ISNUMBER('Dvd Calendar'!$R$1394)=FALSE,"",IF((('Dvd Calendar'!$R$1396=TYPE1)*(TYPE1&lt;&gt;"")+('Dvd Calendar'!$R$1396=TYPE2)*(TYPE2&lt;&gt;"")+('Dvd Calendar'!$R$1396=TYPE3)*(TYPE3&lt;&gt;"")+('Dvd Calendar'!$R$1396=TYPE4)*(TYPE4&lt;&gt;"")+('Dvd Calendar'!$R$1396=SPECIAL_LBL)*(INC_SPECIALS="Y"))=0,"",'Dvd Calendar'!$R$1394)))</f>
        <v/>
      </c>
      <c r="Q141" s="106">
        <f>IF(ES141="","",IF(ISNUMBER('Dvd Calendar'!$S$1394)=FALSE,"",IF((('Dvd Calendar'!$S$1396=TYPE1)*(TYPE1&lt;&gt;"")+('Dvd Calendar'!$S$1396=TYPE2)*(TYPE2&lt;&gt;"")+('Dvd Calendar'!$S$1396=TYPE3)*(TYPE3&lt;&gt;"")+('Dvd Calendar'!$S$1396=TYPE4)*(TYPE4&lt;&gt;"")+('Dvd Calendar'!$S$1396=SPECIAL_LBL)*(INC_SPECIALS="Y"))=0,"",'Dvd Calendar'!$S$1394)))</f>
        <v/>
      </c>
      <c r="R141" s="106">
        <f>IF(ET141="","",IF(ISNUMBER('Dvd Calendar'!$T$1394)=FALSE,"",IF((('Dvd Calendar'!$T$1396=TYPE1)*(TYPE1&lt;&gt;"")+('Dvd Calendar'!$T$1396=TYPE2)*(TYPE2&lt;&gt;"")+('Dvd Calendar'!$T$1396=TYPE3)*(TYPE3&lt;&gt;"")+('Dvd Calendar'!$T$1396=TYPE4)*(TYPE4&lt;&gt;"")+('Dvd Calendar'!$T$1396=SPECIAL_LBL)*(INC_SPECIALS="Y"))=0,"",'Dvd Calendar'!$T$1394)))</f>
        <v/>
      </c>
      <c r="S141" s="106">
        <f>IF(EU141="","",IF(ISNUMBER('Dvd Calendar'!$U$1394)=FALSE,"",IF((('Dvd Calendar'!$U$1396=TYPE1)*(TYPE1&lt;&gt;"")+('Dvd Calendar'!$U$1396=TYPE2)*(TYPE2&lt;&gt;"")+('Dvd Calendar'!$U$1396=TYPE3)*(TYPE3&lt;&gt;"")+('Dvd Calendar'!$U$1396=TYPE4)*(TYPE4&lt;&gt;"")+('Dvd Calendar'!$U$1396=SPECIAL_LBL)*(INC_SPECIALS="Y"))=0,"",'Dvd Calendar'!$U$1394)))</f>
        <v/>
      </c>
      <c r="T141" s="106">
        <f>IF(EV141="","",IF(ISNUMBER('Dvd Calendar'!$V$1394)=FALSE,"",IF((('Dvd Calendar'!$V$1396=TYPE1)*(TYPE1&lt;&gt;"")+('Dvd Calendar'!$V$1396=TYPE2)*(TYPE2&lt;&gt;"")+('Dvd Calendar'!$V$1396=TYPE3)*(TYPE3&lt;&gt;"")+('Dvd Calendar'!$V$1396=TYPE4)*(TYPE4&lt;&gt;"")+('Dvd Calendar'!$V$1396=SPECIAL_LBL)*(INC_SPECIALS="Y"))=0,"",'Dvd Calendar'!$V$1394)))</f>
        <v/>
      </c>
      <c r="U141" s="106">
        <f>IF(EW141="","",IF(ISNUMBER('Dvd Calendar'!$W$1394)=FALSE,"",IF((('Dvd Calendar'!$W$1396=TYPE1)*(TYPE1&lt;&gt;"")+('Dvd Calendar'!$W$1396=TYPE2)*(TYPE2&lt;&gt;"")+('Dvd Calendar'!$W$1396=TYPE3)*(TYPE3&lt;&gt;"")+('Dvd Calendar'!$W$1396=TYPE4)*(TYPE4&lt;&gt;"")+('Dvd Calendar'!$W$1396=SPECIAL_LBL)*(INC_SPECIALS="Y"))=0,"",'Dvd Calendar'!$W$1394)))</f>
        <v/>
      </c>
      <c r="V141" s="106">
        <f>IF(EX141="","",IF(ISNUMBER('Dvd Calendar'!$X$1394)=FALSE,"",IF((('Dvd Calendar'!$X$1396=TYPE1)*(TYPE1&lt;&gt;"")+('Dvd Calendar'!$X$1396=TYPE2)*(TYPE2&lt;&gt;"")+('Dvd Calendar'!$X$1396=TYPE3)*(TYPE3&lt;&gt;"")+('Dvd Calendar'!$X$1396=TYPE4)*(TYPE4&lt;&gt;"")+('Dvd Calendar'!$X$1396=SPECIAL_LBL)*(INC_SPECIALS="Y"))=0,"",'Dvd Calendar'!$X$1394)))</f>
        <v/>
      </c>
      <c r="W141" s="106">
        <f>IF(EY141="","",IF(ISNUMBER('Dvd Calendar'!$Y$1394)=FALSE,"",IF((('Dvd Calendar'!$Y$1396=TYPE1)*(TYPE1&lt;&gt;"")+('Dvd Calendar'!$Y$1396=TYPE2)*(TYPE2&lt;&gt;"")+('Dvd Calendar'!$Y$1396=TYPE3)*(TYPE3&lt;&gt;"")+('Dvd Calendar'!$Y$1396=TYPE4)*(TYPE4&lt;&gt;"")+('Dvd Calendar'!$Y$1396=SPECIAL_LBL)*(INC_SPECIALS="Y"))=0,"",'Dvd Calendar'!$Y$1394)))</f>
        <v/>
      </c>
      <c r="X141" s="106">
        <f>IF(EZ141="","",IF(ISNUMBER('Dvd Calendar'!$Z$1394)=FALSE,"",IF((('Dvd Calendar'!$Z$1396=TYPE1)*(TYPE1&lt;&gt;"")+('Dvd Calendar'!$Z$1396=TYPE2)*(TYPE2&lt;&gt;"")+('Dvd Calendar'!$Z$1396=TYPE3)*(TYPE3&lt;&gt;"")+('Dvd Calendar'!$Z$1396=TYPE4)*(TYPE4&lt;&gt;"")+('Dvd Calendar'!$Z$1396=SPECIAL_LBL)*(INC_SPECIALS="Y"))=0,"",'Dvd Calendar'!$Z$1394)))</f>
        <v/>
      </c>
      <c r="Y141" s="106">
        <f>IF(FA141="","",IF(ISNUMBER('Dvd Calendar'!$AA$1394)=FALSE,"",IF((('Dvd Calendar'!$AA$1396=TYPE1)*(TYPE1&lt;&gt;"")+('Dvd Calendar'!$AA$1396=TYPE2)*(TYPE2&lt;&gt;"")+('Dvd Calendar'!$AA$1396=TYPE3)*(TYPE3&lt;&gt;"")+('Dvd Calendar'!$AA$1396=TYPE4)*(TYPE4&lt;&gt;"")+('Dvd Calendar'!$AA$1396=SPECIAL_LBL)*(INC_SPECIALS="Y"))=0,"",'Dvd Calendar'!$AA$1394)))</f>
        <v/>
      </c>
      <c r="Z141" s="106">
        <f>IF(FB141="","",IF(ISNUMBER('Dvd Calendar'!$AB$1394)=FALSE,"",IF((('Dvd Calendar'!$AB$1396=TYPE1)*(TYPE1&lt;&gt;"")+('Dvd Calendar'!$AB$1396=TYPE2)*(TYPE2&lt;&gt;"")+('Dvd Calendar'!$AB$1396=TYPE3)*(TYPE3&lt;&gt;"")+('Dvd Calendar'!$AB$1396=TYPE4)*(TYPE4&lt;&gt;"")+('Dvd Calendar'!$AB$1396=SPECIAL_LBL)*(INC_SPECIALS="Y"))=0,"",'Dvd Calendar'!$AB$1394)))</f>
        <v/>
      </c>
      <c r="AA141" s="106">
        <f>IF(FC141="","",IF(ISNUMBER('Dvd Calendar'!$AC$1394)=FALSE,"",IF((('Dvd Calendar'!$AC$1396=TYPE1)*(TYPE1&lt;&gt;"")+('Dvd Calendar'!$AC$1396=TYPE2)*(TYPE2&lt;&gt;"")+('Dvd Calendar'!$AC$1396=TYPE3)*(TYPE3&lt;&gt;"")+('Dvd Calendar'!$AC$1396=TYPE4)*(TYPE4&lt;&gt;"")+('Dvd Calendar'!$AC$1396=SPECIAL_LBL)*(INC_SPECIALS="Y"))=0,"",'Dvd Calendar'!$AC$1394)))</f>
        <v/>
      </c>
      <c r="AB141" s="106">
        <f>IF(FD141="","",IF(ISNUMBER('Dvd Calendar'!$AD$1394)=FALSE,"",IF((('Dvd Calendar'!$AD$1396=TYPE1)*(TYPE1&lt;&gt;"")+('Dvd Calendar'!$AD$1396=TYPE2)*(TYPE2&lt;&gt;"")+('Dvd Calendar'!$AD$1396=TYPE3)*(TYPE3&lt;&gt;"")+('Dvd Calendar'!$AD$1396=TYPE4)*(TYPE4&lt;&gt;"")+('Dvd Calendar'!$AD$1396=SPECIAL_LBL)*(INC_SPECIALS="Y"))=0,"",'Dvd Calendar'!$AD$1394)))</f>
        <v/>
      </c>
      <c r="AC141" s="106">
        <f>IF(FE141="","",IF(ISNUMBER('Dvd Calendar'!$AE$1394)=FALSE,"",IF((('Dvd Calendar'!$AE$1396=TYPE1)*(TYPE1&lt;&gt;"")+('Dvd Calendar'!$AE$1396=TYPE2)*(TYPE2&lt;&gt;"")+('Dvd Calendar'!$AE$1396=TYPE3)*(TYPE3&lt;&gt;"")+('Dvd Calendar'!$AE$1396=TYPE4)*(TYPE4&lt;&gt;"")+('Dvd Calendar'!$AE$1396=SPECIAL_LBL)*(INC_SPECIALS="Y"))=0,"",'Dvd Calendar'!$AE$1394)))</f>
        <v/>
      </c>
      <c r="AD141" s="106">
        <f>IF(FF141="","",IF(ISNUMBER('Dvd Calendar'!$AF$1394)=FALSE,"",IF((('Dvd Calendar'!$AF$1396=TYPE1)*(TYPE1&lt;&gt;"")+('Dvd Calendar'!$AF$1396=TYPE2)*(TYPE2&lt;&gt;"")+('Dvd Calendar'!$AF$1396=TYPE3)*(TYPE3&lt;&gt;"")+('Dvd Calendar'!$AF$1396=TYPE4)*(TYPE4&lt;&gt;"")+('Dvd Calendar'!$AF$1396=SPECIAL_LBL)*(INC_SPECIALS="Y"))=0,"",'Dvd Calendar'!$AF$1394)))</f>
        <v/>
      </c>
      <c r="AE141" s="106">
        <f>IF(FG141="","",IF(ISNUMBER('Dvd Calendar'!$AG$1394)=FALSE,"",IF((('Dvd Calendar'!$AG$1396=TYPE1)*(TYPE1&lt;&gt;"")+('Dvd Calendar'!$AG$1396=TYPE2)*(TYPE2&lt;&gt;"")+('Dvd Calendar'!$AG$1396=TYPE3)*(TYPE3&lt;&gt;"")+('Dvd Calendar'!$AG$1396=TYPE4)*(TYPE4&lt;&gt;"")+('Dvd Calendar'!$AG$1396=SPECIAL_LBL)*(INC_SPECIALS="Y"))=0,"",'Dvd Calendar'!$AG$1394)))</f>
        <v/>
      </c>
      <c r="AF141" s="106">
        <f>IF(FH141="","",IF(ISNUMBER('Dvd Calendar'!$AH$1394)=FALSE,"",IF((('Dvd Calendar'!$AH$1396=TYPE1)*(TYPE1&lt;&gt;"")+('Dvd Calendar'!$AH$1396=TYPE2)*(TYPE2&lt;&gt;"")+('Dvd Calendar'!$AH$1396=TYPE3)*(TYPE3&lt;&gt;"")+('Dvd Calendar'!$AH$1396=TYPE4)*(TYPE4&lt;&gt;"")+('Dvd Calendar'!$AH$1396=SPECIAL_LBL)*(INC_SPECIALS="Y"))=0,"",'Dvd Calendar'!$AH$1394)))</f>
        <v/>
      </c>
      <c r="AG141" s="106">
        <f>IF(FI141="","",IF(ISNUMBER('Dvd Calendar'!$AI$1394)=FALSE,"",IF((('Dvd Calendar'!$AI$1396=TYPE1)*(TYPE1&lt;&gt;"")+('Dvd Calendar'!$AI$1396=TYPE2)*(TYPE2&lt;&gt;"")+('Dvd Calendar'!$AI$1396=TYPE3)*(TYPE3&lt;&gt;"")+('Dvd Calendar'!$AI$1396=TYPE4)*(TYPE4&lt;&gt;"")+('Dvd Calendar'!$AI$1396=SPECIAL_LBL)*(INC_SPECIALS="Y"))=0,"",'Dvd Calendar'!$AI$1394)))</f>
        <v/>
      </c>
      <c r="AH141" s="106">
        <f>IF(FJ141="","",IF(ISNUMBER('Dvd Calendar'!$AJ$1394)=FALSE,"",IF((('Dvd Calendar'!$AJ$1396=TYPE1)*(TYPE1&lt;&gt;"")+('Dvd Calendar'!$AJ$1396=TYPE2)*(TYPE2&lt;&gt;"")+('Dvd Calendar'!$AJ$1396=TYPE3)*(TYPE3&lt;&gt;"")+('Dvd Calendar'!$AJ$1396=TYPE4)*(TYPE4&lt;&gt;"")+('Dvd Calendar'!$AJ$1396=SPECIAL_LBL)*(INC_SPECIALS="Y"))=0,"",'Dvd Calendar'!$AJ$1394)))</f>
        <v/>
      </c>
      <c r="AI141" s="106">
        <f>IF(FK141="","",IF(ISNUMBER('Dvd Calendar'!$AK$1394)=FALSE,"",IF((('Dvd Calendar'!$AK$1396=TYPE1)*(TYPE1&lt;&gt;"")+('Dvd Calendar'!$AK$1396=TYPE2)*(TYPE2&lt;&gt;"")+('Dvd Calendar'!$AK$1396=TYPE3)*(TYPE3&lt;&gt;"")+('Dvd Calendar'!$AK$1396=TYPE4)*(TYPE4&lt;&gt;"")+('Dvd Calendar'!$AK$1396=SPECIAL_LBL)*(INC_SPECIALS="Y"))=0,"",'Dvd Calendar'!$AK$1394)))</f>
        <v/>
      </c>
      <c r="AJ141" s="106">
        <f>IF(FL141="","",IF(ISNUMBER('Dvd Calendar'!$AL$1394)=FALSE,"",IF((('Dvd Calendar'!$AL$1396=TYPE1)*(TYPE1&lt;&gt;"")+('Dvd Calendar'!$AL$1396=TYPE2)*(TYPE2&lt;&gt;"")+('Dvd Calendar'!$AL$1396=TYPE3)*(TYPE3&lt;&gt;"")+('Dvd Calendar'!$AL$1396=TYPE4)*(TYPE4&lt;&gt;"")+('Dvd Calendar'!$AL$1396=SPECIAL_LBL)*(INC_SPECIALS="Y"))=0,"",'Dvd Calendar'!$AL$1394)))</f>
        <v/>
      </c>
      <c r="AK141" s="106">
        <f>IF(FM141="","",IF(ISNUMBER('Dvd Calendar'!$AM$1394)=FALSE,"",IF((('Dvd Calendar'!$AM$1396=TYPE1)*(TYPE1&lt;&gt;"")+('Dvd Calendar'!$AM$1396=TYPE2)*(TYPE2&lt;&gt;"")+('Dvd Calendar'!$AM$1396=TYPE3)*(TYPE3&lt;&gt;"")+('Dvd Calendar'!$AM$1396=TYPE4)*(TYPE4&lt;&gt;"")+('Dvd Calendar'!$AM$1396=SPECIAL_LBL)*(INC_SPECIALS="Y"))=0,"",'Dvd Calendar'!$AM$1394)))</f>
        <v/>
      </c>
      <c r="AL141" s="106">
        <f>IF(FN141="","",IF(ISNUMBER('Dvd Calendar'!$AN$1394)=FALSE,"",IF((('Dvd Calendar'!$AN$1396=TYPE1)*(TYPE1&lt;&gt;"")+('Dvd Calendar'!$AN$1396=TYPE2)*(TYPE2&lt;&gt;"")+('Dvd Calendar'!$AN$1396=TYPE3)*(TYPE3&lt;&gt;"")+('Dvd Calendar'!$AN$1396=TYPE4)*(TYPE4&lt;&gt;"")+('Dvd Calendar'!$AN$1396=SPECIAL_LBL)*(INC_SPECIALS="Y"))=0,"",'Dvd Calendar'!$AN$1394)))</f>
        <v/>
      </c>
      <c r="AM141" s="106">
        <f>IF(FO141="","",IF(ISNUMBER('Dvd Calendar'!$AO$1394)=FALSE,"",IF((('Dvd Calendar'!$AO$1396=TYPE1)*(TYPE1&lt;&gt;"")+('Dvd Calendar'!$AO$1396=TYPE2)*(TYPE2&lt;&gt;"")+('Dvd Calendar'!$AO$1396=TYPE3)*(TYPE3&lt;&gt;"")+('Dvd Calendar'!$AO$1396=TYPE4)*(TYPE4&lt;&gt;"")+('Dvd Calendar'!$AO$1396=SPECIAL_LBL)*(INC_SPECIALS="Y"))=0,"",'Dvd Calendar'!$AO$1394)))</f>
        <v/>
      </c>
      <c r="AN141" s="106">
        <f>IF(FP141="","",IF(ISNUMBER('Dvd Calendar'!$AP$1394)=FALSE,"",IF((('Dvd Calendar'!$AP$1396=TYPE1)*(TYPE1&lt;&gt;"")+('Dvd Calendar'!$AP$1396=TYPE2)*(TYPE2&lt;&gt;"")+('Dvd Calendar'!$AP$1396=TYPE3)*(TYPE3&lt;&gt;"")+('Dvd Calendar'!$AP$1396=TYPE4)*(TYPE4&lt;&gt;"")+('Dvd Calendar'!$AP$1396=SPECIAL_LBL)*(INC_SPECIALS="Y"))=0,"",'Dvd Calendar'!$AP$1394)))</f>
        <v/>
      </c>
      <c r="AO141" s="106">
        <f>IF(FQ141="","",IF(ISNUMBER('Dvd Calendar'!$AQ$1394)=FALSE,"",IF((('Dvd Calendar'!$AQ$1396=TYPE1)*(TYPE1&lt;&gt;"")+('Dvd Calendar'!$AQ$1396=TYPE2)*(TYPE2&lt;&gt;"")+('Dvd Calendar'!$AQ$1396=TYPE3)*(TYPE3&lt;&gt;"")+('Dvd Calendar'!$AQ$1396=TYPE4)*(TYPE4&lt;&gt;"")+('Dvd Calendar'!$AQ$1396=SPECIAL_LBL)*(INC_SPECIALS="Y"))=0,"",'Dvd Calendar'!$AQ$1394)))</f>
        <v/>
      </c>
      <c r="AP141" s="106">
        <f>IF(FR141="","",IF(ISNUMBER('Dvd Calendar'!$AR$1394)=FALSE,"",IF((('Dvd Calendar'!$AR$1396=TYPE1)*(TYPE1&lt;&gt;"")+('Dvd Calendar'!$AR$1396=TYPE2)*(TYPE2&lt;&gt;"")+('Dvd Calendar'!$AR$1396=TYPE3)*(TYPE3&lt;&gt;"")+('Dvd Calendar'!$AR$1396=TYPE4)*(TYPE4&lt;&gt;"")+('Dvd Calendar'!$AR$1396=SPECIAL_LBL)*(INC_SPECIALS="Y"))=0,"",'Dvd Calendar'!$AR$1394)))</f>
        <v/>
      </c>
      <c r="AQ141" s="106">
        <f>IF(FS141="","",IF(ISNUMBER('Dvd Calendar'!$E$1399)=FALSE,"",'Dvd Calendar'!$E$1399))</f>
        <v/>
      </c>
      <c r="AR141" s="106">
        <f>IF(FT141="","",IF(ISNUMBER('Dvd Calendar'!$F$1399)=FALSE,"",'Dvd Calendar'!$F$1399))</f>
        <v/>
      </c>
      <c r="AS141" s="106">
        <f>IF(FU141="","",IF(ISNUMBER('Dvd Calendar'!$G$1399)=FALSE,"",'Dvd Calendar'!$G$1399))</f>
        <v/>
      </c>
      <c r="AT141" s="106">
        <f>IF(FV141="","",IF(ISNUMBER('Dvd Calendar'!$H$1399)=FALSE,"",'Dvd Calendar'!$H$1399))</f>
        <v/>
      </c>
      <c r="AU141" s="106">
        <f>IF(FW141="","",IF(ISNUMBER('Dvd Calendar'!$I$1399)=FALSE,"",'Dvd Calendar'!$I$1399))</f>
        <v/>
      </c>
      <c r="AV141" s="106">
        <f>IF(FX141="","",IF(ISNUMBER('Dvd Calendar'!$J$1399)=FALSE,"",'Dvd Calendar'!$J$1399))</f>
        <v/>
      </c>
      <c r="AW141" s="106">
        <f>IF(FY141="","",IF(ISNUMBER('Dvd Calendar'!$K$1399)=FALSE,"",'Dvd Calendar'!$K$1399))</f>
        <v/>
      </c>
      <c r="AX141" s="106">
        <f>IF(FZ141="","",IF(ISNUMBER('Dvd Calendar'!$L$1399)=FALSE,"",'Dvd Calendar'!$L$1399))</f>
        <v/>
      </c>
      <c r="AY141" s="106">
        <f>IF(GA141="","",IF(ISNUMBER('Dvd Calendar'!$M$1399)=FALSE,"",'Dvd Calendar'!$M$1399))</f>
        <v/>
      </c>
      <c r="AZ141" s="106">
        <f>IF(GB141="","",IF(ISNUMBER('Dvd Calendar'!$N$1399)=FALSE,"",'Dvd Calendar'!$N$1399))</f>
        <v/>
      </c>
      <c r="BA141" s="106">
        <f>IF(GC141="","",IF(ISNUMBER('Dvd Calendar'!$O$1399)=FALSE,"",'Dvd Calendar'!$O$1399))</f>
        <v/>
      </c>
      <c r="BB141" s="106">
        <f>IF(GD141="","",IF(ISNUMBER('Dvd Calendar'!$P$1399)=FALSE,"",'Dvd Calendar'!$P$1399))</f>
        <v/>
      </c>
      <c r="BC141" s="106">
        <f>IF(GE141="","",IF(ISNUMBER('Dvd Calendar'!$Q$1399)=FALSE,"",'Dvd Calendar'!$Q$1399))</f>
        <v/>
      </c>
      <c r="BD141" s="106">
        <f>IF(GF141="","",IF(ISNUMBER('Dvd Calendar'!$R$1399)=FALSE,"",'Dvd Calendar'!$R$1399))</f>
        <v/>
      </c>
      <c r="BE141" s="106">
        <f>IF(GG141="","",IF(ISNUMBER('Dvd Calendar'!$S$1399)=FALSE,"",'Dvd Calendar'!$S$1399))</f>
        <v/>
      </c>
      <c r="BF141" s="106">
        <f>IF(GH141="","",IF(ISNUMBER('Dvd Calendar'!$T$1399)=FALSE,"",'Dvd Calendar'!$T$1399))</f>
        <v/>
      </c>
      <c r="BG141" s="106">
        <f>IF(GI141="","",IF(ISNUMBER('Dvd Calendar'!$U$1399)=FALSE,"",'Dvd Calendar'!$U$1399))</f>
        <v/>
      </c>
      <c r="BH141" s="106">
        <f>IF(GJ141="","",IF(ISNUMBER('Dvd Calendar'!$V$1399)=FALSE,"",'Dvd Calendar'!$V$1399))</f>
        <v/>
      </c>
      <c r="BI141" s="106">
        <f>IF(GK141="","",IF(ISNUMBER('Dvd Calendar'!$W$1399)=FALSE,"",'Dvd Calendar'!$W$1399))</f>
        <v/>
      </c>
      <c r="BJ141" s="106">
        <f>IF(GL141="","",IF(ISNUMBER('Dvd Calendar'!$X$1399)=FALSE,"",'Dvd Calendar'!$X$1399))</f>
        <v/>
      </c>
      <c r="BK141" s="106">
        <f>IF(GM141="","",IF(ISNUMBER('Dvd Calendar'!$Y$1399)=FALSE,"",'Dvd Calendar'!$Y$1399))</f>
        <v/>
      </c>
      <c r="BL141" s="106">
        <f>IF(GN141="","",IF(ISNUMBER('Dvd Calendar'!$Z$1399)=FALSE,"",'Dvd Calendar'!$Z$1399))</f>
        <v/>
      </c>
      <c r="BM141" s="106">
        <f>IF(GO141="","",IF(ISNUMBER('Dvd Calendar'!$AA$1399)=FALSE,"",'Dvd Calendar'!$AA$1399))</f>
        <v/>
      </c>
      <c r="BN141" s="106">
        <f>IF(GP141="","",IF(ISNUMBER('Dvd Calendar'!$AB$1399)=FALSE,"",'Dvd Calendar'!$AB$1399))</f>
        <v/>
      </c>
      <c r="BO141" s="106">
        <f>IF(GQ141="","",IF(ISNUMBER('Dvd Calendar'!$AC$1399)=FALSE,"",'Dvd Calendar'!$AC$1399))</f>
        <v/>
      </c>
      <c r="BQ141" s="106">
        <f>IF(C141="","",IFERROR(C141*HSTECH!$B$32*HSTECH!$G$32/HSTECH!$B$3,""))</f>
        <v/>
      </c>
      <c r="BR141" s="106">
        <f>IF(D141="","",IFERROR(D141*HSTECH!$B$32*HSTECH!$G$32/HSTECH!$B$3,""))</f>
        <v/>
      </c>
      <c r="BS141" s="106">
        <f>IF(E141="","",IFERROR(E141*HSTECH!$B$32*HSTECH!$G$32/HSTECH!$B$3,""))</f>
        <v/>
      </c>
      <c r="BT141" s="106">
        <f>IF(F141="","",IFERROR(F141*HSTECH!$B$32*HSTECH!$G$32/HSTECH!$B$3,""))</f>
        <v/>
      </c>
      <c r="BU141" s="106">
        <f>IF(G141="","",IFERROR(G141*HSTECH!$B$32*HSTECH!$G$32/HSTECH!$B$3,""))</f>
        <v/>
      </c>
      <c r="BV141" s="106">
        <f>IF(H141="","",IFERROR(H141*HSTECH!$B$32*HSTECH!$G$32/HSTECH!$B$3,""))</f>
        <v/>
      </c>
      <c r="BW141" s="106">
        <f>IF(I141="","",IFERROR(I141*HSTECH!$B$32*HSTECH!$G$32/HSTECH!$B$3,""))</f>
        <v/>
      </c>
      <c r="BX141" s="106">
        <f>IF(J141="","",IFERROR(J141*HSTECH!$B$32*HSTECH!$G$32/HSTECH!$B$3,""))</f>
        <v/>
      </c>
      <c r="BY141" s="106">
        <f>IF(K141="","",IFERROR(K141*HSTECH!$B$32*HSTECH!$G$32/HSTECH!$B$3,""))</f>
        <v/>
      </c>
      <c r="BZ141" s="106">
        <f>IF(L141="","",IFERROR(L141*HSTECH!$B$32*HSTECH!$G$32/HSTECH!$B$3,""))</f>
        <v/>
      </c>
      <c r="CA141" s="106">
        <f>IF(M141="","",IFERROR(M141*HSTECH!$B$32*HSTECH!$G$32/HSTECH!$B$3,""))</f>
        <v/>
      </c>
      <c r="CB141" s="106">
        <f>IF(N141="","",IFERROR(N141*HSTECH!$B$32*HSTECH!$G$32/HSTECH!$B$3,""))</f>
        <v/>
      </c>
      <c r="CC141" s="106">
        <f>IF(O141="","",IFERROR(O141*HSTECH!$B$32*HSTECH!$G$32/HSTECH!$B$3,""))</f>
        <v/>
      </c>
      <c r="CD141" s="106">
        <f>IF(P141="","",IFERROR(P141*HSTECH!$B$32*HSTECH!$G$32/HSTECH!$B$3,""))</f>
        <v/>
      </c>
      <c r="CE141" s="106">
        <f>IF(Q141="","",IFERROR(Q141*HSTECH!$B$32*HSTECH!$G$32/HSTECH!$B$3,""))</f>
        <v/>
      </c>
      <c r="CF141" s="106">
        <f>IF(R141="","",IFERROR(R141*HSTECH!$B$32*HSTECH!$G$32/HSTECH!$B$3,""))</f>
        <v/>
      </c>
      <c r="CG141" s="106">
        <f>IF(S141="","",IFERROR(S141*HSTECH!$B$32*HSTECH!$G$32/HSTECH!$B$3,""))</f>
        <v/>
      </c>
      <c r="CH141" s="106">
        <f>IF(T141="","",IFERROR(T141*HSTECH!$B$32*HSTECH!$G$32/HSTECH!$B$3,""))</f>
        <v/>
      </c>
      <c r="CI141" s="106">
        <f>IF(U141="","",IFERROR(U141*HSTECH!$B$32*HSTECH!$G$32/HSTECH!$B$3,""))</f>
        <v/>
      </c>
      <c r="CJ141" s="106">
        <f>IF(V141="","",IFERROR(V141*HSTECH!$B$32*HSTECH!$G$32/HSTECH!$B$3,""))</f>
        <v/>
      </c>
      <c r="CK141" s="106">
        <f>IF(W141="","",IFERROR(W141*HSTECH!$B$32*HSTECH!$G$32/HSTECH!$B$3,""))</f>
        <v/>
      </c>
      <c r="CL141" s="106">
        <f>IF(X141="","",IFERROR(X141*HSTECH!$B$32*HSTECH!$G$32/HSTECH!$B$3,""))</f>
        <v/>
      </c>
      <c r="CM141" s="106">
        <f>IF(Y141="","",IFERROR(Y141*HSTECH!$B$32*HSTECH!$G$32/HSTECH!$B$3,""))</f>
        <v/>
      </c>
      <c r="CN141" s="106">
        <f>IF(Z141="","",IFERROR(Z141*HSTECH!$B$32*HSTECH!$G$32/HSTECH!$B$3,""))</f>
        <v/>
      </c>
      <c r="CO141" s="106">
        <f>IF(AA141="","",IFERROR(AA141*HSTECH!$B$32*HSTECH!$G$32/HSTECH!$B$3,""))</f>
        <v/>
      </c>
      <c r="CP141" s="106">
        <f>IF(AB141="","",IFERROR(AB141*HSTECH!$B$32*HSTECH!$G$32/HSTECH!$B$3,""))</f>
        <v/>
      </c>
      <c r="CQ141" s="106">
        <f>IF(AC141="","",IFERROR(AC141*HSTECH!$B$32*HSTECH!$G$32/HSTECH!$B$3,""))</f>
        <v/>
      </c>
      <c r="CR141" s="106">
        <f>IF(AD141="","",IFERROR(AD141*HSTECH!$B$32*HSTECH!$G$32/HSTECH!$B$3,""))</f>
        <v/>
      </c>
      <c r="CS141" s="106">
        <f>IF(AE141="","",IFERROR(AE141*HSTECH!$B$32*HSTECH!$G$32/HSTECH!$B$3,""))</f>
        <v/>
      </c>
      <c r="CT141" s="106">
        <f>IF(AF141="","",IFERROR(AF141*HSTECH!$B$32*HSTECH!$G$32/HSTECH!$B$3,""))</f>
        <v/>
      </c>
      <c r="CU141" s="106">
        <f>IF(AG141="","",IFERROR(AG141*HSTECH!$B$32*HSTECH!$G$32/HSTECH!$B$3,""))</f>
        <v/>
      </c>
      <c r="CV141" s="106">
        <f>IF(AH141="","",IFERROR(AH141*HSTECH!$B$32*HSTECH!$G$32/HSTECH!$B$3,""))</f>
        <v/>
      </c>
      <c r="CW141" s="106">
        <f>IF(AI141="","",IFERROR(AI141*HSTECH!$B$32*HSTECH!$G$32/HSTECH!$B$3,""))</f>
        <v/>
      </c>
      <c r="CX141" s="106">
        <f>IF(AJ141="","",IFERROR(AJ141*HSTECH!$B$32*HSTECH!$G$32/HSTECH!$B$3,""))</f>
        <v/>
      </c>
      <c r="CY141" s="106">
        <f>IF(AK141="","",IFERROR(AK141*HSTECH!$B$32*HSTECH!$G$32/HSTECH!$B$3,""))</f>
        <v/>
      </c>
      <c r="CZ141" s="106">
        <f>IF(AL141="","",IFERROR(AL141*HSTECH!$B$32*HSTECH!$G$32/HSTECH!$B$3,""))</f>
        <v/>
      </c>
      <c r="DA141" s="106">
        <f>IF(AM141="","",IFERROR(AM141*HSTECH!$B$32*HSTECH!$G$32/HSTECH!$B$3,""))</f>
        <v/>
      </c>
      <c r="DB141" s="106">
        <f>IF(AN141="","",IFERROR(AN141*HSTECH!$B$32*HSTECH!$G$32/HSTECH!$B$3,""))</f>
        <v/>
      </c>
      <c r="DC141" s="106">
        <f>IF(AO141="","",IFERROR(AO141*HSTECH!$B$32*HSTECH!$G$32/HSTECH!$B$3,""))</f>
        <v/>
      </c>
      <c r="DD141" s="106">
        <f>IF(AP141="","",IFERROR(AP141*HSTECH!$B$32*HSTECH!$G$32/HSTECH!$B$3,""))</f>
        <v/>
      </c>
      <c r="DE141" s="106">
        <f>IF(AQ141="","",IFERROR(AQ141*HSTECH!$B$32*HSTECH!$G$32/HSTECH!$B$3,""))</f>
        <v/>
      </c>
      <c r="DF141" s="106">
        <f>IF(AR141="","",IFERROR(AR141*HSTECH!$B$32*HSTECH!$G$32/HSTECH!$B$3,""))</f>
        <v/>
      </c>
      <c r="DG141" s="106">
        <f>IF(AS141="","",IFERROR(AS141*HSTECH!$B$32*HSTECH!$G$32/HSTECH!$B$3,""))</f>
        <v/>
      </c>
      <c r="DH141" s="106">
        <f>IF(AT141="","",IFERROR(AT141*HSTECH!$B$32*HSTECH!$G$32/HSTECH!$B$3,""))</f>
        <v/>
      </c>
      <c r="DI141" s="106">
        <f>IF(AU141="","",IFERROR(AU141*HSTECH!$B$32*HSTECH!$G$32/HSTECH!$B$3,""))</f>
        <v/>
      </c>
      <c r="DJ141" s="106">
        <f>IF(AV141="","",IFERROR(AV141*HSTECH!$B$32*HSTECH!$G$32/HSTECH!$B$3,""))</f>
        <v/>
      </c>
      <c r="DK141" s="106">
        <f>IF(AW141="","",IFERROR(AW141*HSTECH!$B$32*HSTECH!$G$32/HSTECH!$B$3,""))</f>
        <v/>
      </c>
      <c r="DL141" s="106">
        <f>IF(AX141="","",IFERROR(AX141*HSTECH!$B$32*HSTECH!$G$32/HSTECH!$B$3,""))</f>
        <v/>
      </c>
      <c r="DM141" s="106">
        <f>IF(AY141="","",IFERROR(AY141*HSTECH!$B$32*HSTECH!$G$32/HSTECH!$B$3,""))</f>
        <v/>
      </c>
      <c r="DN141" s="106">
        <f>IF(AZ141="","",IFERROR(AZ141*HSTECH!$B$32*HSTECH!$G$32/HSTECH!$B$3,""))</f>
        <v/>
      </c>
      <c r="DO141" s="106">
        <f>IF(BA141="","",IFERROR(BA141*HSTECH!$B$32*HSTECH!$G$32/HSTECH!$B$3,""))</f>
        <v/>
      </c>
      <c r="DP141" s="106">
        <f>IF(BB141="","",IFERROR(BB141*HSTECH!$B$32*HSTECH!$G$32/HSTECH!$B$3,""))</f>
        <v/>
      </c>
      <c r="DQ141" s="106">
        <f>IF(BC141="","",IFERROR(BC141*HSTECH!$B$32*HSTECH!$G$32/HSTECH!$B$3,""))</f>
        <v/>
      </c>
      <c r="DR141" s="106">
        <f>IF(BD141="","",IFERROR(BD141*HSTECH!$B$32*HSTECH!$G$32/HSTECH!$B$3,""))</f>
        <v/>
      </c>
      <c r="DS141" s="106">
        <f>IF(BE141="","",IFERROR(BE141*HSTECH!$B$32*HSTECH!$G$32/HSTECH!$B$3,""))</f>
        <v/>
      </c>
      <c r="DT141" s="106">
        <f>IF(BF141="","",IFERROR(BF141*HSTECH!$B$32*HSTECH!$G$32/HSTECH!$B$3,""))</f>
        <v/>
      </c>
      <c r="DU141" s="106">
        <f>IF(BG141="","",IFERROR(BG141*HSTECH!$B$32*HSTECH!$G$32/HSTECH!$B$3,""))</f>
        <v/>
      </c>
      <c r="DV141" s="106">
        <f>IF(BH141="","",IFERROR(BH141*HSTECH!$B$32*HSTECH!$G$32/HSTECH!$B$3,""))</f>
        <v/>
      </c>
      <c r="DW141" s="106">
        <f>IF(BI141="","",IFERROR(BI141*HSTECH!$B$32*HSTECH!$G$32/HSTECH!$B$3,""))</f>
        <v/>
      </c>
      <c r="DX141" s="106">
        <f>IF(BJ141="","",IFERROR(BJ141*HSTECH!$B$32*HSTECH!$G$32/HSTECH!$B$3,""))</f>
        <v/>
      </c>
      <c r="DY141" s="106">
        <f>IF(BK141="","",IFERROR(BK141*HSTECH!$B$32*HSTECH!$G$32/HSTECH!$B$3,""))</f>
        <v/>
      </c>
      <c r="DZ141" s="106">
        <f>IF(BL141="","",IFERROR(BL141*HSTECH!$B$32*HSTECH!$G$32/HSTECH!$B$3,""))</f>
        <v/>
      </c>
      <c r="EA141" s="106">
        <f>IF(BM141="","",IFERROR(BM141*HSTECH!$B$32*HSTECH!$G$32/HSTECH!$B$3,""))</f>
        <v/>
      </c>
      <c r="EB141" s="106">
        <f>IF(BN141="","",IFERROR(BN141*HSTECH!$B$32*HSTECH!$G$32/HSTECH!$B$3,""))</f>
        <v/>
      </c>
      <c r="EC141" s="106">
        <f>IF(BO141="","",IFERROR(BO141*HSTECH!$B$32*HSTECH!$G$32/HSTECH!$B$3,""))</f>
        <v/>
      </c>
      <c r="EE141" s="35">
        <f>IF(N('Dvd Calendar'!$E$1391)=0,"",IF(('Dvd Calendar'!$E$1391&gt;=GRID_FROM)*('Dvd Calendar'!$E$1391&lt;=GRID_TO)*('Dvd Calendar'!$E$1391&lt;=VAL_DATE)=0,"",'Dvd Calendar'!$E$1391*1000000000+ISNUMBER('Dvd Calendar'!$E$1394)*100000000+('Dvd Calendar'!$E$1396=SPECIAL_LBL)*10000000+0*1000000+26*1000+1))</f>
        <v/>
      </c>
      <c r="EF141" s="35">
        <f>IF(N('Dvd Calendar'!$F$1391)=0,"",IF(('Dvd Calendar'!$F$1391&gt;=GRID_FROM)*('Dvd Calendar'!$F$1391&lt;=GRID_TO)*('Dvd Calendar'!$F$1391&lt;=VAL_DATE)=0,"",'Dvd Calendar'!$F$1391*1000000000+ISNUMBER('Dvd Calendar'!$F$1394)*100000000+('Dvd Calendar'!$F$1396=SPECIAL_LBL)*10000000+0*1000000+26*1000+2))</f>
        <v/>
      </c>
      <c r="EG141" s="35">
        <f>IF(N('Dvd Calendar'!$G$1391)=0,"",IF(('Dvd Calendar'!$G$1391&gt;=GRID_FROM)*('Dvd Calendar'!$G$1391&lt;=GRID_TO)*('Dvd Calendar'!$G$1391&lt;=VAL_DATE)=0,"",'Dvd Calendar'!$G$1391*1000000000+ISNUMBER('Dvd Calendar'!$G$1394)*100000000+('Dvd Calendar'!$G$1396=SPECIAL_LBL)*10000000+0*1000000+26*1000+3))</f>
        <v/>
      </c>
      <c r="EH141" s="35">
        <f>IF(N('Dvd Calendar'!$H$1391)=0,"",IF(('Dvd Calendar'!$H$1391&gt;=GRID_FROM)*('Dvd Calendar'!$H$1391&lt;=GRID_TO)*('Dvd Calendar'!$H$1391&lt;=VAL_DATE)=0,"",'Dvd Calendar'!$H$1391*1000000000+ISNUMBER('Dvd Calendar'!$H$1394)*100000000+('Dvd Calendar'!$H$1396=SPECIAL_LBL)*10000000+0*1000000+26*1000+4))</f>
        <v/>
      </c>
      <c r="EI141" s="35">
        <f>IF(N('Dvd Calendar'!$I$1391)=0,"",IF(('Dvd Calendar'!$I$1391&gt;=GRID_FROM)*('Dvd Calendar'!$I$1391&lt;=GRID_TO)*('Dvd Calendar'!$I$1391&lt;=VAL_DATE)=0,"",'Dvd Calendar'!$I$1391*1000000000+ISNUMBER('Dvd Calendar'!$I$1394)*100000000+('Dvd Calendar'!$I$1396=SPECIAL_LBL)*10000000+0*1000000+26*1000+5))</f>
        <v/>
      </c>
      <c r="EJ141" s="35">
        <f>IF(N('Dvd Calendar'!$J$1391)=0,"",IF(('Dvd Calendar'!$J$1391&gt;=GRID_FROM)*('Dvd Calendar'!$J$1391&lt;=GRID_TO)*('Dvd Calendar'!$J$1391&lt;=VAL_DATE)=0,"",'Dvd Calendar'!$J$1391*1000000000+ISNUMBER('Dvd Calendar'!$J$1394)*100000000+('Dvd Calendar'!$J$1396=SPECIAL_LBL)*10000000+0*1000000+26*1000+6))</f>
        <v/>
      </c>
      <c r="EK141" s="35">
        <f>IF(N('Dvd Calendar'!$K$1391)=0,"",IF(('Dvd Calendar'!$K$1391&gt;=GRID_FROM)*('Dvd Calendar'!$K$1391&lt;=GRID_TO)*('Dvd Calendar'!$K$1391&lt;=VAL_DATE)=0,"",'Dvd Calendar'!$K$1391*1000000000+ISNUMBER('Dvd Calendar'!$K$1394)*100000000+('Dvd Calendar'!$K$1396=SPECIAL_LBL)*10000000+0*1000000+26*1000+7))</f>
        <v/>
      </c>
      <c r="EL141" s="35">
        <f>IF(N('Dvd Calendar'!$L$1391)=0,"",IF(('Dvd Calendar'!$L$1391&gt;=GRID_FROM)*('Dvd Calendar'!$L$1391&lt;=GRID_TO)*('Dvd Calendar'!$L$1391&lt;=VAL_DATE)=0,"",'Dvd Calendar'!$L$1391*1000000000+ISNUMBER('Dvd Calendar'!$L$1394)*100000000+('Dvd Calendar'!$L$1396=SPECIAL_LBL)*10000000+0*1000000+26*1000+8))</f>
        <v/>
      </c>
      <c r="EM141" s="35">
        <f>IF(N('Dvd Calendar'!$M$1391)=0,"",IF(('Dvd Calendar'!$M$1391&gt;=GRID_FROM)*('Dvd Calendar'!$M$1391&lt;=GRID_TO)*('Dvd Calendar'!$M$1391&lt;=VAL_DATE)=0,"",'Dvd Calendar'!$M$1391*1000000000+ISNUMBER('Dvd Calendar'!$M$1394)*100000000+('Dvd Calendar'!$M$1396=SPECIAL_LBL)*10000000+0*1000000+26*1000+9))</f>
        <v/>
      </c>
      <c r="EN141" s="35">
        <f>IF(N('Dvd Calendar'!$N$1391)=0,"",IF(('Dvd Calendar'!$N$1391&gt;=GRID_FROM)*('Dvd Calendar'!$N$1391&lt;=GRID_TO)*('Dvd Calendar'!$N$1391&lt;=VAL_DATE)=0,"",'Dvd Calendar'!$N$1391*1000000000+ISNUMBER('Dvd Calendar'!$N$1394)*100000000+('Dvd Calendar'!$N$1396=SPECIAL_LBL)*10000000+0*1000000+26*1000+10))</f>
        <v/>
      </c>
      <c r="EO141" s="35">
        <f>IF(N('Dvd Calendar'!$O$1391)=0,"",IF(('Dvd Calendar'!$O$1391&gt;=GRID_FROM)*('Dvd Calendar'!$O$1391&lt;=GRID_TO)*('Dvd Calendar'!$O$1391&lt;=VAL_DATE)=0,"",'Dvd Calendar'!$O$1391*1000000000+ISNUMBER('Dvd Calendar'!$O$1394)*100000000+('Dvd Calendar'!$O$1396=SPECIAL_LBL)*10000000+0*1000000+26*1000+11))</f>
        <v/>
      </c>
      <c r="EP141" s="35">
        <f>IF(N('Dvd Calendar'!$P$1391)=0,"",IF(('Dvd Calendar'!$P$1391&gt;=GRID_FROM)*('Dvd Calendar'!$P$1391&lt;=GRID_TO)*('Dvd Calendar'!$P$1391&lt;=VAL_DATE)=0,"",'Dvd Calendar'!$P$1391*1000000000+ISNUMBER('Dvd Calendar'!$P$1394)*100000000+('Dvd Calendar'!$P$1396=SPECIAL_LBL)*10000000+0*1000000+26*1000+12))</f>
        <v/>
      </c>
      <c r="EQ141" s="35">
        <f>IF(N('Dvd Calendar'!$Q$1391)=0,"",IF(('Dvd Calendar'!$Q$1391&gt;=GRID_FROM)*('Dvd Calendar'!$Q$1391&lt;=GRID_TO)*('Dvd Calendar'!$Q$1391&lt;=VAL_DATE)=0,"",'Dvd Calendar'!$Q$1391*1000000000+ISNUMBER('Dvd Calendar'!$Q$1394)*100000000+('Dvd Calendar'!$Q$1396=SPECIAL_LBL)*10000000+0*1000000+26*1000+13))</f>
        <v/>
      </c>
      <c r="ER141" s="35">
        <f>IF(N('Dvd Calendar'!$R$1391)=0,"",IF(('Dvd Calendar'!$R$1391&gt;=GRID_FROM)*('Dvd Calendar'!$R$1391&lt;=GRID_TO)*('Dvd Calendar'!$R$1391&lt;=VAL_DATE)=0,"",'Dvd Calendar'!$R$1391*1000000000+ISNUMBER('Dvd Calendar'!$R$1394)*100000000+('Dvd Calendar'!$R$1396=SPECIAL_LBL)*10000000+0*1000000+26*1000+14))</f>
        <v/>
      </c>
      <c r="ES141" s="35">
        <f>IF(N('Dvd Calendar'!$S$1391)=0,"",IF(('Dvd Calendar'!$S$1391&gt;=GRID_FROM)*('Dvd Calendar'!$S$1391&lt;=GRID_TO)*('Dvd Calendar'!$S$1391&lt;=VAL_DATE)=0,"",'Dvd Calendar'!$S$1391*1000000000+ISNUMBER('Dvd Calendar'!$S$1394)*100000000+('Dvd Calendar'!$S$1396=SPECIAL_LBL)*10000000+0*1000000+26*1000+15))</f>
        <v/>
      </c>
      <c r="ET141" s="35">
        <f>IF(N('Dvd Calendar'!$T$1391)=0,"",IF(('Dvd Calendar'!$T$1391&gt;=GRID_FROM)*('Dvd Calendar'!$T$1391&lt;=GRID_TO)*('Dvd Calendar'!$T$1391&lt;=VAL_DATE)=0,"",'Dvd Calendar'!$T$1391*1000000000+ISNUMBER('Dvd Calendar'!$T$1394)*100000000+('Dvd Calendar'!$T$1396=SPECIAL_LBL)*10000000+0*1000000+26*1000+16))</f>
        <v/>
      </c>
      <c r="EU141" s="35">
        <f>IF(N('Dvd Calendar'!$U$1391)=0,"",IF(('Dvd Calendar'!$U$1391&gt;=GRID_FROM)*('Dvd Calendar'!$U$1391&lt;=GRID_TO)*('Dvd Calendar'!$U$1391&lt;=VAL_DATE)=0,"",'Dvd Calendar'!$U$1391*1000000000+ISNUMBER('Dvd Calendar'!$U$1394)*100000000+('Dvd Calendar'!$U$1396=SPECIAL_LBL)*10000000+0*1000000+26*1000+17))</f>
        <v/>
      </c>
      <c r="EV141" s="35">
        <f>IF(N('Dvd Calendar'!$V$1391)=0,"",IF(('Dvd Calendar'!$V$1391&gt;=GRID_FROM)*('Dvd Calendar'!$V$1391&lt;=GRID_TO)*('Dvd Calendar'!$V$1391&lt;=VAL_DATE)=0,"",'Dvd Calendar'!$V$1391*1000000000+ISNUMBER('Dvd Calendar'!$V$1394)*100000000+('Dvd Calendar'!$V$1396=SPECIAL_LBL)*10000000+0*1000000+26*1000+18))</f>
        <v/>
      </c>
      <c r="EW141" s="35">
        <f>IF(N('Dvd Calendar'!$W$1391)=0,"",IF(('Dvd Calendar'!$W$1391&gt;=GRID_FROM)*('Dvd Calendar'!$W$1391&lt;=GRID_TO)*('Dvd Calendar'!$W$1391&lt;=VAL_DATE)=0,"",'Dvd Calendar'!$W$1391*1000000000+ISNUMBER('Dvd Calendar'!$W$1394)*100000000+('Dvd Calendar'!$W$1396=SPECIAL_LBL)*10000000+0*1000000+26*1000+19))</f>
        <v/>
      </c>
      <c r="EX141" s="35">
        <f>IF(N('Dvd Calendar'!$X$1391)=0,"",IF(('Dvd Calendar'!$X$1391&gt;=GRID_FROM)*('Dvd Calendar'!$X$1391&lt;=GRID_TO)*('Dvd Calendar'!$X$1391&lt;=VAL_DATE)=0,"",'Dvd Calendar'!$X$1391*1000000000+ISNUMBER('Dvd Calendar'!$X$1394)*100000000+('Dvd Calendar'!$X$1396=SPECIAL_LBL)*10000000+0*1000000+26*1000+20))</f>
        <v/>
      </c>
      <c r="EY141" s="35">
        <f>IF(N('Dvd Calendar'!$Y$1391)=0,"",IF(('Dvd Calendar'!$Y$1391&gt;=GRID_FROM)*('Dvd Calendar'!$Y$1391&lt;=GRID_TO)*('Dvd Calendar'!$Y$1391&lt;=VAL_DATE)=0,"",'Dvd Calendar'!$Y$1391*1000000000+ISNUMBER('Dvd Calendar'!$Y$1394)*100000000+('Dvd Calendar'!$Y$1396=SPECIAL_LBL)*10000000+0*1000000+26*1000+21))</f>
        <v/>
      </c>
      <c r="EZ141" s="35">
        <f>IF(N('Dvd Calendar'!$Z$1391)=0,"",IF(('Dvd Calendar'!$Z$1391&gt;=GRID_FROM)*('Dvd Calendar'!$Z$1391&lt;=GRID_TO)*('Dvd Calendar'!$Z$1391&lt;=VAL_DATE)=0,"",'Dvd Calendar'!$Z$1391*1000000000+ISNUMBER('Dvd Calendar'!$Z$1394)*100000000+('Dvd Calendar'!$Z$1396=SPECIAL_LBL)*10000000+0*1000000+26*1000+22))</f>
        <v/>
      </c>
      <c r="FA141" s="35">
        <f>IF(N('Dvd Calendar'!$AA$1391)=0,"",IF(('Dvd Calendar'!$AA$1391&gt;=GRID_FROM)*('Dvd Calendar'!$AA$1391&lt;=GRID_TO)*('Dvd Calendar'!$AA$1391&lt;=VAL_DATE)=0,"",'Dvd Calendar'!$AA$1391*1000000000+ISNUMBER('Dvd Calendar'!$AA$1394)*100000000+('Dvd Calendar'!$AA$1396=SPECIAL_LBL)*10000000+0*1000000+26*1000+23))</f>
        <v/>
      </c>
      <c r="FB141" s="35">
        <f>IF(N('Dvd Calendar'!$AB$1391)=0,"",IF(('Dvd Calendar'!$AB$1391&gt;=GRID_FROM)*('Dvd Calendar'!$AB$1391&lt;=GRID_TO)*('Dvd Calendar'!$AB$1391&lt;=VAL_DATE)=0,"",'Dvd Calendar'!$AB$1391*1000000000+ISNUMBER('Dvd Calendar'!$AB$1394)*100000000+('Dvd Calendar'!$AB$1396=SPECIAL_LBL)*10000000+0*1000000+26*1000+24))</f>
        <v/>
      </c>
      <c r="FC141" s="35">
        <f>IF(N('Dvd Calendar'!$AC$1391)=0,"",IF(('Dvd Calendar'!$AC$1391&gt;=GRID_FROM)*('Dvd Calendar'!$AC$1391&lt;=GRID_TO)*('Dvd Calendar'!$AC$1391&lt;=VAL_DATE)=0,"",'Dvd Calendar'!$AC$1391*1000000000+ISNUMBER('Dvd Calendar'!$AC$1394)*100000000+('Dvd Calendar'!$AC$1396=SPECIAL_LBL)*10000000+0*1000000+26*1000+25))</f>
        <v/>
      </c>
      <c r="FD141" s="35">
        <f>IF(N('Dvd Calendar'!$AD$1391)=0,"",IF(('Dvd Calendar'!$AD$1391&gt;=GRID_FROM)*('Dvd Calendar'!$AD$1391&lt;=GRID_TO)*('Dvd Calendar'!$AD$1391&lt;=VAL_DATE)=0,"",'Dvd Calendar'!$AD$1391*1000000000+ISNUMBER('Dvd Calendar'!$AD$1394)*100000000+('Dvd Calendar'!$AD$1396=SPECIAL_LBL)*10000000+0*1000000+26*1000+26))</f>
        <v/>
      </c>
      <c r="FE141" s="35">
        <f>IF(N('Dvd Calendar'!$AE$1391)=0,"",IF(('Dvd Calendar'!$AE$1391&gt;=GRID_FROM)*('Dvd Calendar'!$AE$1391&lt;=GRID_TO)*('Dvd Calendar'!$AE$1391&lt;=VAL_DATE)=0,"",'Dvd Calendar'!$AE$1391*1000000000+ISNUMBER('Dvd Calendar'!$AE$1394)*100000000+('Dvd Calendar'!$AE$1396=SPECIAL_LBL)*10000000+0*1000000+26*1000+27))</f>
        <v/>
      </c>
      <c r="FF141" s="35">
        <f>IF(N('Dvd Calendar'!$AF$1391)=0,"",IF(('Dvd Calendar'!$AF$1391&gt;=GRID_FROM)*('Dvd Calendar'!$AF$1391&lt;=GRID_TO)*('Dvd Calendar'!$AF$1391&lt;=VAL_DATE)=0,"",'Dvd Calendar'!$AF$1391*1000000000+ISNUMBER('Dvd Calendar'!$AF$1394)*100000000+('Dvd Calendar'!$AF$1396=SPECIAL_LBL)*10000000+0*1000000+26*1000+28))</f>
        <v/>
      </c>
      <c r="FG141" s="35">
        <f>IF(N('Dvd Calendar'!$AG$1391)=0,"",IF(('Dvd Calendar'!$AG$1391&gt;=GRID_FROM)*('Dvd Calendar'!$AG$1391&lt;=GRID_TO)*('Dvd Calendar'!$AG$1391&lt;=VAL_DATE)=0,"",'Dvd Calendar'!$AG$1391*1000000000+ISNUMBER('Dvd Calendar'!$AG$1394)*100000000+('Dvd Calendar'!$AG$1396=SPECIAL_LBL)*10000000+0*1000000+26*1000+29))</f>
        <v/>
      </c>
      <c r="FH141" s="35">
        <f>IF(N('Dvd Calendar'!$AH$1391)=0,"",IF(('Dvd Calendar'!$AH$1391&gt;=GRID_FROM)*('Dvd Calendar'!$AH$1391&lt;=GRID_TO)*('Dvd Calendar'!$AH$1391&lt;=VAL_DATE)=0,"",'Dvd Calendar'!$AH$1391*1000000000+ISNUMBER('Dvd Calendar'!$AH$1394)*100000000+('Dvd Calendar'!$AH$1396=SPECIAL_LBL)*10000000+0*1000000+26*1000+30))</f>
        <v/>
      </c>
      <c r="FI141" s="35">
        <f>IF(N('Dvd Calendar'!$AI$1391)=0,"",IF(('Dvd Calendar'!$AI$1391&gt;=GRID_FROM)*('Dvd Calendar'!$AI$1391&lt;=GRID_TO)*('Dvd Calendar'!$AI$1391&lt;=VAL_DATE)=0,"",'Dvd Calendar'!$AI$1391*1000000000+ISNUMBER('Dvd Calendar'!$AI$1394)*100000000+('Dvd Calendar'!$AI$1396=SPECIAL_LBL)*10000000+0*1000000+26*1000+31))</f>
        <v/>
      </c>
      <c r="FJ141" s="35">
        <f>IF(N('Dvd Calendar'!$AJ$1391)=0,"",IF(('Dvd Calendar'!$AJ$1391&gt;=GRID_FROM)*('Dvd Calendar'!$AJ$1391&lt;=GRID_TO)*('Dvd Calendar'!$AJ$1391&lt;=VAL_DATE)=0,"",'Dvd Calendar'!$AJ$1391*1000000000+ISNUMBER('Dvd Calendar'!$AJ$1394)*100000000+('Dvd Calendar'!$AJ$1396=SPECIAL_LBL)*10000000+0*1000000+26*1000+32))</f>
        <v/>
      </c>
      <c r="FK141" s="35">
        <f>IF(N('Dvd Calendar'!$AK$1391)=0,"",IF(('Dvd Calendar'!$AK$1391&gt;=GRID_FROM)*('Dvd Calendar'!$AK$1391&lt;=GRID_TO)*('Dvd Calendar'!$AK$1391&lt;=VAL_DATE)=0,"",'Dvd Calendar'!$AK$1391*1000000000+ISNUMBER('Dvd Calendar'!$AK$1394)*100000000+('Dvd Calendar'!$AK$1396=SPECIAL_LBL)*10000000+0*1000000+26*1000+33))</f>
        <v/>
      </c>
      <c r="FL141" s="35">
        <f>IF(N('Dvd Calendar'!$AL$1391)=0,"",IF(('Dvd Calendar'!$AL$1391&gt;=GRID_FROM)*('Dvd Calendar'!$AL$1391&lt;=GRID_TO)*('Dvd Calendar'!$AL$1391&lt;=VAL_DATE)=0,"",'Dvd Calendar'!$AL$1391*1000000000+ISNUMBER('Dvd Calendar'!$AL$1394)*100000000+('Dvd Calendar'!$AL$1396=SPECIAL_LBL)*10000000+0*1000000+26*1000+34))</f>
        <v/>
      </c>
      <c r="FM141" s="35">
        <f>IF(N('Dvd Calendar'!$AM$1391)=0,"",IF(('Dvd Calendar'!$AM$1391&gt;=GRID_FROM)*('Dvd Calendar'!$AM$1391&lt;=GRID_TO)*('Dvd Calendar'!$AM$1391&lt;=VAL_DATE)=0,"",'Dvd Calendar'!$AM$1391*1000000000+ISNUMBER('Dvd Calendar'!$AM$1394)*100000000+('Dvd Calendar'!$AM$1396=SPECIAL_LBL)*10000000+0*1000000+26*1000+35))</f>
        <v/>
      </c>
      <c r="FN141" s="35">
        <f>IF(N('Dvd Calendar'!$AN$1391)=0,"",IF(('Dvd Calendar'!$AN$1391&gt;=GRID_FROM)*('Dvd Calendar'!$AN$1391&lt;=GRID_TO)*('Dvd Calendar'!$AN$1391&lt;=VAL_DATE)=0,"",'Dvd Calendar'!$AN$1391*1000000000+ISNUMBER('Dvd Calendar'!$AN$1394)*100000000+('Dvd Calendar'!$AN$1396=SPECIAL_LBL)*10000000+0*1000000+26*1000+36))</f>
        <v/>
      </c>
      <c r="FO141" s="35">
        <f>IF(N('Dvd Calendar'!$AO$1391)=0,"",IF(('Dvd Calendar'!$AO$1391&gt;=GRID_FROM)*('Dvd Calendar'!$AO$1391&lt;=GRID_TO)*('Dvd Calendar'!$AO$1391&lt;=VAL_DATE)=0,"",'Dvd Calendar'!$AO$1391*1000000000+ISNUMBER('Dvd Calendar'!$AO$1394)*100000000+('Dvd Calendar'!$AO$1396=SPECIAL_LBL)*10000000+0*1000000+26*1000+37))</f>
        <v/>
      </c>
      <c r="FP141" s="35">
        <f>IF(N('Dvd Calendar'!$AP$1391)=0,"",IF(('Dvd Calendar'!$AP$1391&gt;=GRID_FROM)*('Dvd Calendar'!$AP$1391&lt;=GRID_TO)*('Dvd Calendar'!$AP$1391&lt;=VAL_DATE)=0,"",'Dvd Calendar'!$AP$1391*1000000000+ISNUMBER('Dvd Calendar'!$AP$1394)*100000000+('Dvd Calendar'!$AP$1396=SPECIAL_LBL)*10000000+0*1000000+26*1000+38))</f>
        <v/>
      </c>
      <c r="FQ141" s="35">
        <f>IF(N('Dvd Calendar'!$AQ$1391)=0,"",IF(('Dvd Calendar'!$AQ$1391&gt;=GRID_FROM)*('Dvd Calendar'!$AQ$1391&lt;=GRID_TO)*('Dvd Calendar'!$AQ$1391&lt;=VAL_DATE)=0,"",'Dvd Calendar'!$AQ$1391*1000000000+ISNUMBER('Dvd Calendar'!$AQ$1394)*100000000+('Dvd Calendar'!$AQ$1396=SPECIAL_LBL)*10000000+0*1000000+26*1000+39))</f>
        <v/>
      </c>
      <c r="FR141" s="35">
        <f>IF(N('Dvd Calendar'!$AR$1391)=0,"",IF(('Dvd Calendar'!$AR$1391&gt;=GRID_FROM)*('Dvd Calendar'!$AR$1391&lt;=GRID_TO)*('Dvd Calendar'!$AR$1391&lt;=VAL_DATE)=0,"",'Dvd Calendar'!$AR$1391*1000000000+ISNUMBER('Dvd Calendar'!$AR$1394)*100000000+('Dvd Calendar'!$AR$1396=SPECIAL_LBL)*10000000+0*1000000+26*1000+40))</f>
        <v/>
      </c>
      <c r="FS141" s="35">
        <f>IF(N('Dvd Calendar'!$E$1398)=0,"",IF(('Dvd Calendar'!$E$1398&gt;=GRID_FROM)*('Dvd Calendar'!$E$1398&lt;=GRID_TO)*('Dvd Calendar'!$E$1398&gt;VAL_DATE)=0,"",'Dvd Calendar'!$E$1398*1000000000+ISNUMBER('Dvd Calendar'!$E$1399)*100000000+0*10000000+(N('Dvd Calendar'!$E$1397)&gt;0)*(N('Dvd Calendar'!$E$1397)&lt;=VAL_SERIAL)*1000000+26*1000+41))</f>
        <v/>
      </c>
      <c r="FT141" s="35">
        <f>IF(N('Dvd Calendar'!$F$1398)=0,"",IF(('Dvd Calendar'!$F$1398&gt;=GRID_FROM)*('Dvd Calendar'!$F$1398&lt;=GRID_TO)*('Dvd Calendar'!$F$1398&gt;VAL_DATE)=0,"",'Dvd Calendar'!$F$1398*1000000000+ISNUMBER('Dvd Calendar'!$F$1399)*100000000+0*10000000+(N('Dvd Calendar'!$F$1397)&gt;0)*(N('Dvd Calendar'!$F$1397)&lt;=VAL_SERIAL)*1000000+26*1000+42))</f>
        <v/>
      </c>
      <c r="FU141" s="35">
        <f>IF(N('Dvd Calendar'!$G$1398)=0,"",IF(('Dvd Calendar'!$G$1398&gt;=GRID_FROM)*('Dvd Calendar'!$G$1398&lt;=GRID_TO)*('Dvd Calendar'!$G$1398&gt;VAL_DATE)=0,"",'Dvd Calendar'!$G$1398*1000000000+ISNUMBER('Dvd Calendar'!$G$1399)*100000000+0*10000000+(N('Dvd Calendar'!$G$1397)&gt;0)*(N('Dvd Calendar'!$G$1397)&lt;=VAL_SERIAL)*1000000+26*1000+43))</f>
        <v/>
      </c>
      <c r="FV141" s="35">
        <f>IF(N('Dvd Calendar'!$H$1398)=0,"",IF(('Dvd Calendar'!$H$1398&gt;=GRID_FROM)*('Dvd Calendar'!$H$1398&lt;=GRID_TO)*('Dvd Calendar'!$H$1398&gt;VAL_DATE)=0,"",'Dvd Calendar'!$H$1398*1000000000+ISNUMBER('Dvd Calendar'!$H$1399)*100000000+0*10000000+(N('Dvd Calendar'!$H$1397)&gt;0)*(N('Dvd Calendar'!$H$1397)&lt;=VAL_SERIAL)*1000000+26*1000+44))</f>
        <v/>
      </c>
      <c r="FW141" s="35">
        <f>IF(N('Dvd Calendar'!$I$1398)=0,"",IF(('Dvd Calendar'!$I$1398&gt;=GRID_FROM)*('Dvd Calendar'!$I$1398&lt;=GRID_TO)*('Dvd Calendar'!$I$1398&gt;VAL_DATE)=0,"",'Dvd Calendar'!$I$1398*1000000000+ISNUMBER('Dvd Calendar'!$I$1399)*100000000+0*10000000+(N('Dvd Calendar'!$I$1397)&gt;0)*(N('Dvd Calendar'!$I$1397)&lt;=VAL_SERIAL)*1000000+26*1000+45))</f>
        <v/>
      </c>
      <c r="FX141" s="35">
        <f>IF(N('Dvd Calendar'!$J$1398)=0,"",IF(('Dvd Calendar'!$J$1398&gt;=GRID_FROM)*('Dvd Calendar'!$J$1398&lt;=GRID_TO)*('Dvd Calendar'!$J$1398&gt;VAL_DATE)=0,"",'Dvd Calendar'!$J$1398*1000000000+ISNUMBER('Dvd Calendar'!$J$1399)*100000000+0*10000000+(N('Dvd Calendar'!$J$1397)&gt;0)*(N('Dvd Calendar'!$J$1397)&lt;=VAL_SERIAL)*1000000+26*1000+46))</f>
        <v/>
      </c>
      <c r="FY141" s="35">
        <f>IF(N('Dvd Calendar'!$K$1398)=0,"",IF(('Dvd Calendar'!$K$1398&gt;=GRID_FROM)*('Dvd Calendar'!$K$1398&lt;=GRID_TO)*('Dvd Calendar'!$K$1398&gt;VAL_DATE)=0,"",'Dvd Calendar'!$K$1398*1000000000+ISNUMBER('Dvd Calendar'!$K$1399)*100000000+0*10000000+(N('Dvd Calendar'!$K$1397)&gt;0)*(N('Dvd Calendar'!$K$1397)&lt;=VAL_SERIAL)*1000000+26*1000+47))</f>
        <v/>
      </c>
      <c r="FZ141" s="35">
        <f>IF(N('Dvd Calendar'!$L$1398)=0,"",IF(('Dvd Calendar'!$L$1398&gt;=GRID_FROM)*('Dvd Calendar'!$L$1398&lt;=GRID_TO)*('Dvd Calendar'!$L$1398&gt;VAL_DATE)=0,"",'Dvd Calendar'!$L$1398*1000000000+ISNUMBER('Dvd Calendar'!$L$1399)*100000000+0*10000000+(N('Dvd Calendar'!$L$1397)&gt;0)*(N('Dvd Calendar'!$L$1397)&lt;=VAL_SERIAL)*1000000+26*1000+48))</f>
        <v/>
      </c>
      <c r="GA141" s="35">
        <f>IF(N('Dvd Calendar'!$M$1398)=0,"",IF(('Dvd Calendar'!$M$1398&gt;=GRID_FROM)*('Dvd Calendar'!$M$1398&lt;=GRID_TO)*('Dvd Calendar'!$M$1398&gt;VAL_DATE)=0,"",'Dvd Calendar'!$M$1398*1000000000+ISNUMBER('Dvd Calendar'!$M$1399)*100000000+0*10000000+(N('Dvd Calendar'!$M$1397)&gt;0)*(N('Dvd Calendar'!$M$1397)&lt;=VAL_SERIAL)*1000000+26*1000+49))</f>
        <v/>
      </c>
      <c r="GB141" s="35">
        <f>IF(N('Dvd Calendar'!$N$1398)=0,"",IF(('Dvd Calendar'!$N$1398&gt;=GRID_FROM)*('Dvd Calendar'!$N$1398&lt;=GRID_TO)*('Dvd Calendar'!$N$1398&gt;VAL_DATE)=0,"",'Dvd Calendar'!$N$1398*1000000000+ISNUMBER('Dvd Calendar'!$N$1399)*100000000+0*10000000+(N('Dvd Calendar'!$N$1397)&gt;0)*(N('Dvd Calendar'!$N$1397)&lt;=VAL_SERIAL)*1000000+26*1000+50))</f>
        <v/>
      </c>
      <c r="GC141" s="35">
        <f>IF(N('Dvd Calendar'!$O$1398)=0,"",IF(('Dvd Calendar'!$O$1398&gt;=GRID_FROM)*('Dvd Calendar'!$O$1398&lt;=GRID_TO)*('Dvd Calendar'!$O$1398&gt;VAL_DATE)=0,"",'Dvd Calendar'!$O$1398*1000000000+ISNUMBER('Dvd Calendar'!$O$1399)*100000000+0*10000000+(N('Dvd Calendar'!$O$1397)&gt;0)*(N('Dvd Calendar'!$O$1397)&lt;=VAL_SERIAL)*1000000+26*1000+51))</f>
        <v/>
      </c>
      <c r="GD141" s="35">
        <f>IF(N('Dvd Calendar'!$P$1398)=0,"",IF(('Dvd Calendar'!$P$1398&gt;=GRID_FROM)*('Dvd Calendar'!$P$1398&lt;=GRID_TO)*('Dvd Calendar'!$P$1398&gt;VAL_DATE)=0,"",'Dvd Calendar'!$P$1398*1000000000+ISNUMBER('Dvd Calendar'!$P$1399)*100000000+0*10000000+(N('Dvd Calendar'!$P$1397)&gt;0)*(N('Dvd Calendar'!$P$1397)&lt;=VAL_SERIAL)*1000000+26*1000+52))</f>
        <v/>
      </c>
      <c r="GE141" s="35">
        <f>IF(N('Dvd Calendar'!$Q$1398)=0,"",IF(('Dvd Calendar'!$Q$1398&gt;=GRID_FROM)*('Dvd Calendar'!$Q$1398&lt;=GRID_TO)*('Dvd Calendar'!$Q$1398&gt;VAL_DATE)=0,"",'Dvd Calendar'!$Q$1398*1000000000+ISNUMBER('Dvd Calendar'!$Q$1399)*100000000+0*10000000+(N('Dvd Calendar'!$Q$1397)&gt;0)*(N('Dvd Calendar'!$Q$1397)&lt;=VAL_SERIAL)*1000000+26*1000+53))</f>
        <v/>
      </c>
      <c r="GF141" s="35">
        <f>IF(N('Dvd Calendar'!$R$1398)=0,"",IF(('Dvd Calendar'!$R$1398&gt;=GRID_FROM)*('Dvd Calendar'!$R$1398&lt;=GRID_TO)*('Dvd Calendar'!$R$1398&gt;VAL_DATE)=0,"",'Dvd Calendar'!$R$1398*1000000000+ISNUMBER('Dvd Calendar'!$R$1399)*100000000+0*10000000+(N('Dvd Calendar'!$R$1397)&gt;0)*(N('Dvd Calendar'!$R$1397)&lt;=VAL_SERIAL)*1000000+26*1000+54))</f>
        <v/>
      </c>
      <c r="GG141" s="35">
        <f>IF(N('Dvd Calendar'!$S$1398)=0,"",IF(('Dvd Calendar'!$S$1398&gt;=GRID_FROM)*('Dvd Calendar'!$S$1398&lt;=GRID_TO)*('Dvd Calendar'!$S$1398&gt;VAL_DATE)=0,"",'Dvd Calendar'!$S$1398*1000000000+ISNUMBER('Dvd Calendar'!$S$1399)*100000000+0*10000000+(N('Dvd Calendar'!$S$1397)&gt;0)*(N('Dvd Calendar'!$S$1397)&lt;=VAL_SERIAL)*1000000+26*1000+55))</f>
        <v/>
      </c>
      <c r="GH141" s="35">
        <f>IF(N('Dvd Calendar'!$T$1398)=0,"",IF(('Dvd Calendar'!$T$1398&gt;=GRID_FROM)*('Dvd Calendar'!$T$1398&lt;=GRID_TO)*('Dvd Calendar'!$T$1398&gt;VAL_DATE)=0,"",'Dvd Calendar'!$T$1398*1000000000+ISNUMBER('Dvd Calendar'!$T$1399)*100000000+0*10000000+(N('Dvd Calendar'!$T$1397)&gt;0)*(N('Dvd Calendar'!$T$1397)&lt;=VAL_SERIAL)*1000000+26*1000+56))</f>
        <v/>
      </c>
      <c r="GI141" s="35">
        <f>IF(N('Dvd Calendar'!$U$1398)=0,"",IF(('Dvd Calendar'!$U$1398&gt;=GRID_FROM)*('Dvd Calendar'!$U$1398&lt;=GRID_TO)*('Dvd Calendar'!$U$1398&gt;VAL_DATE)=0,"",'Dvd Calendar'!$U$1398*1000000000+ISNUMBER('Dvd Calendar'!$U$1399)*100000000+0*10000000+(N('Dvd Calendar'!$U$1397)&gt;0)*(N('Dvd Calendar'!$U$1397)&lt;=VAL_SERIAL)*1000000+26*1000+57))</f>
        <v/>
      </c>
      <c r="GJ141" s="35">
        <f>IF(N('Dvd Calendar'!$V$1398)=0,"",IF(('Dvd Calendar'!$V$1398&gt;=GRID_FROM)*('Dvd Calendar'!$V$1398&lt;=GRID_TO)*('Dvd Calendar'!$V$1398&gt;VAL_DATE)=0,"",'Dvd Calendar'!$V$1398*1000000000+ISNUMBER('Dvd Calendar'!$V$1399)*100000000+0*10000000+(N('Dvd Calendar'!$V$1397)&gt;0)*(N('Dvd Calendar'!$V$1397)&lt;=VAL_SERIAL)*1000000+26*1000+58))</f>
        <v/>
      </c>
      <c r="GK141" s="35">
        <f>IF(N('Dvd Calendar'!$W$1398)=0,"",IF(('Dvd Calendar'!$W$1398&gt;=GRID_FROM)*('Dvd Calendar'!$W$1398&lt;=GRID_TO)*('Dvd Calendar'!$W$1398&gt;VAL_DATE)=0,"",'Dvd Calendar'!$W$1398*1000000000+ISNUMBER('Dvd Calendar'!$W$1399)*100000000+0*10000000+(N('Dvd Calendar'!$W$1397)&gt;0)*(N('Dvd Calendar'!$W$1397)&lt;=VAL_SERIAL)*1000000+26*1000+59))</f>
        <v/>
      </c>
      <c r="GL141" s="35">
        <f>IF(N('Dvd Calendar'!$X$1398)=0,"",IF(('Dvd Calendar'!$X$1398&gt;=GRID_FROM)*('Dvd Calendar'!$X$1398&lt;=GRID_TO)*('Dvd Calendar'!$X$1398&gt;VAL_DATE)=0,"",'Dvd Calendar'!$X$1398*1000000000+ISNUMBER('Dvd Calendar'!$X$1399)*100000000+0*10000000+(N('Dvd Calendar'!$X$1397)&gt;0)*(N('Dvd Calendar'!$X$1397)&lt;=VAL_SERIAL)*1000000+26*1000+60))</f>
        <v/>
      </c>
      <c r="GM141" s="35">
        <f>IF(N('Dvd Calendar'!$Y$1398)=0,"",IF(('Dvd Calendar'!$Y$1398&gt;=GRID_FROM)*('Dvd Calendar'!$Y$1398&lt;=GRID_TO)*('Dvd Calendar'!$Y$1398&gt;VAL_DATE)=0,"",'Dvd Calendar'!$Y$1398*1000000000+ISNUMBER('Dvd Calendar'!$Y$1399)*100000000+0*10000000+(N('Dvd Calendar'!$Y$1397)&gt;0)*(N('Dvd Calendar'!$Y$1397)&lt;=VAL_SERIAL)*1000000+26*1000+61))</f>
        <v/>
      </c>
      <c r="GN141" s="35">
        <f>IF(N('Dvd Calendar'!$Z$1398)=0,"",IF(('Dvd Calendar'!$Z$1398&gt;=GRID_FROM)*('Dvd Calendar'!$Z$1398&lt;=GRID_TO)*('Dvd Calendar'!$Z$1398&gt;VAL_DATE)=0,"",'Dvd Calendar'!$Z$1398*1000000000+ISNUMBER('Dvd Calendar'!$Z$1399)*100000000+0*10000000+(N('Dvd Calendar'!$Z$1397)&gt;0)*(N('Dvd Calendar'!$Z$1397)&lt;=VAL_SERIAL)*1000000+26*1000+62))</f>
        <v/>
      </c>
      <c r="GO141" s="35">
        <f>IF(N('Dvd Calendar'!$AA$1398)=0,"",IF(('Dvd Calendar'!$AA$1398&gt;=GRID_FROM)*('Dvd Calendar'!$AA$1398&lt;=GRID_TO)*('Dvd Calendar'!$AA$1398&gt;VAL_DATE)=0,"",'Dvd Calendar'!$AA$1398*1000000000+ISNUMBER('Dvd Calendar'!$AA$1399)*100000000+0*10000000+(N('Dvd Calendar'!$AA$1397)&gt;0)*(N('Dvd Calendar'!$AA$1397)&lt;=VAL_SERIAL)*1000000+26*1000+63))</f>
        <v/>
      </c>
      <c r="GP141" s="35">
        <f>IF(N('Dvd Calendar'!$AB$1398)=0,"",IF(('Dvd Calendar'!$AB$1398&gt;=GRID_FROM)*('Dvd Calendar'!$AB$1398&lt;=GRID_TO)*('Dvd Calendar'!$AB$1398&gt;VAL_DATE)=0,"",'Dvd Calendar'!$AB$1398*1000000000+ISNUMBER('Dvd Calendar'!$AB$1399)*100000000+0*10000000+(N('Dvd Calendar'!$AB$1397)&gt;0)*(N('Dvd Calendar'!$AB$1397)&lt;=VAL_SERIAL)*1000000+26*1000+64))</f>
        <v/>
      </c>
      <c r="GQ141" s="35">
        <f>IF(N('Dvd Calendar'!$AC$1398)=0,"",IF(('Dvd Calendar'!$AC$1398&gt;=GRID_FROM)*('Dvd Calendar'!$AC$1398&lt;=GRID_TO)*('Dvd Calendar'!$AC$1398&gt;VAL_DATE)=0,"",'Dvd Calendar'!$AC$1398*1000000000+ISNUMBER('Dvd Calendar'!$AC$1399)*100000000+0*10000000+(N('Dvd Calendar'!$AC$1397)&gt;0)*(N('Dvd Calendar'!$AC$1397)&lt;=VAL_SERIAL)*1000000+26*1000+65))</f>
        <v/>
      </c>
    </row>
    <row r="142">
      <c r="B142" s="2">
        <f>IF(HSTECH!$C$33="","",HSTECH!$C$33)</f>
        <v/>
      </c>
      <c r="C142" s="106">
        <f>IF(EE142="","",IF(ISNUMBER('Dvd Calendar'!$E$1405)=FALSE,"",IF((('Dvd Calendar'!$E$1407=TYPE1)*(TYPE1&lt;&gt;"")+('Dvd Calendar'!$E$1407=TYPE2)*(TYPE2&lt;&gt;"")+('Dvd Calendar'!$E$1407=TYPE3)*(TYPE3&lt;&gt;"")+('Dvd Calendar'!$E$1407=TYPE4)*(TYPE4&lt;&gt;"")+('Dvd Calendar'!$E$1407=SPECIAL_LBL)*(INC_SPECIALS="Y"))=0,"",'Dvd Calendar'!$E$1405)))</f>
        <v/>
      </c>
      <c r="D142" s="106">
        <f>IF(EF142="","",IF(ISNUMBER('Dvd Calendar'!$F$1405)=FALSE,"",IF((('Dvd Calendar'!$F$1407=TYPE1)*(TYPE1&lt;&gt;"")+('Dvd Calendar'!$F$1407=TYPE2)*(TYPE2&lt;&gt;"")+('Dvd Calendar'!$F$1407=TYPE3)*(TYPE3&lt;&gt;"")+('Dvd Calendar'!$F$1407=TYPE4)*(TYPE4&lt;&gt;"")+('Dvd Calendar'!$F$1407=SPECIAL_LBL)*(INC_SPECIALS="Y"))=0,"",'Dvd Calendar'!$F$1405)))</f>
        <v/>
      </c>
      <c r="E142" s="106">
        <f>IF(EG142="","",IF(ISNUMBER('Dvd Calendar'!$G$1405)=FALSE,"",IF((('Dvd Calendar'!$G$1407=TYPE1)*(TYPE1&lt;&gt;"")+('Dvd Calendar'!$G$1407=TYPE2)*(TYPE2&lt;&gt;"")+('Dvd Calendar'!$G$1407=TYPE3)*(TYPE3&lt;&gt;"")+('Dvd Calendar'!$G$1407=TYPE4)*(TYPE4&lt;&gt;"")+('Dvd Calendar'!$G$1407=SPECIAL_LBL)*(INC_SPECIALS="Y"))=0,"",'Dvd Calendar'!$G$1405)))</f>
        <v/>
      </c>
      <c r="F142" s="106">
        <f>IF(EH142="","",IF(ISNUMBER('Dvd Calendar'!$H$1405)=FALSE,"",IF((('Dvd Calendar'!$H$1407=TYPE1)*(TYPE1&lt;&gt;"")+('Dvd Calendar'!$H$1407=TYPE2)*(TYPE2&lt;&gt;"")+('Dvd Calendar'!$H$1407=TYPE3)*(TYPE3&lt;&gt;"")+('Dvd Calendar'!$H$1407=TYPE4)*(TYPE4&lt;&gt;"")+('Dvd Calendar'!$H$1407=SPECIAL_LBL)*(INC_SPECIALS="Y"))=0,"",'Dvd Calendar'!$H$1405)))</f>
        <v/>
      </c>
      <c r="G142" s="106">
        <f>IF(EI142="","",IF(ISNUMBER('Dvd Calendar'!$I$1405)=FALSE,"",IF((('Dvd Calendar'!$I$1407=TYPE1)*(TYPE1&lt;&gt;"")+('Dvd Calendar'!$I$1407=TYPE2)*(TYPE2&lt;&gt;"")+('Dvd Calendar'!$I$1407=TYPE3)*(TYPE3&lt;&gt;"")+('Dvd Calendar'!$I$1407=TYPE4)*(TYPE4&lt;&gt;"")+('Dvd Calendar'!$I$1407=SPECIAL_LBL)*(INC_SPECIALS="Y"))=0,"",'Dvd Calendar'!$I$1405)))</f>
        <v/>
      </c>
      <c r="H142" s="106">
        <f>IF(EJ142="","",IF(ISNUMBER('Dvd Calendar'!$J$1405)=FALSE,"",IF((('Dvd Calendar'!$J$1407=TYPE1)*(TYPE1&lt;&gt;"")+('Dvd Calendar'!$J$1407=TYPE2)*(TYPE2&lt;&gt;"")+('Dvd Calendar'!$J$1407=TYPE3)*(TYPE3&lt;&gt;"")+('Dvd Calendar'!$J$1407=TYPE4)*(TYPE4&lt;&gt;"")+('Dvd Calendar'!$J$1407=SPECIAL_LBL)*(INC_SPECIALS="Y"))=0,"",'Dvd Calendar'!$J$1405)))</f>
        <v/>
      </c>
      <c r="I142" s="106">
        <f>IF(EK142="","",IF(ISNUMBER('Dvd Calendar'!$K$1405)=FALSE,"",IF((('Dvd Calendar'!$K$1407=TYPE1)*(TYPE1&lt;&gt;"")+('Dvd Calendar'!$K$1407=TYPE2)*(TYPE2&lt;&gt;"")+('Dvd Calendar'!$K$1407=TYPE3)*(TYPE3&lt;&gt;"")+('Dvd Calendar'!$K$1407=TYPE4)*(TYPE4&lt;&gt;"")+('Dvd Calendar'!$K$1407=SPECIAL_LBL)*(INC_SPECIALS="Y"))=0,"",'Dvd Calendar'!$K$1405)))</f>
        <v/>
      </c>
      <c r="J142" s="106">
        <f>IF(EL142="","",IF(ISNUMBER('Dvd Calendar'!$L$1405)=FALSE,"",IF((('Dvd Calendar'!$L$1407=TYPE1)*(TYPE1&lt;&gt;"")+('Dvd Calendar'!$L$1407=TYPE2)*(TYPE2&lt;&gt;"")+('Dvd Calendar'!$L$1407=TYPE3)*(TYPE3&lt;&gt;"")+('Dvd Calendar'!$L$1407=TYPE4)*(TYPE4&lt;&gt;"")+('Dvd Calendar'!$L$1407=SPECIAL_LBL)*(INC_SPECIALS="Y"))=0,"",'Dvd Calendar'!$L$1405)))</f>
        <v/>
      </c>
      <c r="K142" s="106">
        <f>IF(EM142="","",IF(ISNUMBER('Dvd Calendar'!$M$1405)=FALSE,"",IF((('Dvd Calendar'!$M$1407=TYPE1)*(TYPE1&lt;&gt;"")+('Dvd Calendar'!$M$1407=TYPE2)*(TYPE2&lt;&gt;"")+('Dvd Calendar'!$M$1407=TYPE3)*(TYPE3&lt;&gt;"")+('Dvd Calendar'!$M$1407=TYPE4)*(TYPE4&lt;&gt;"")+('Dvd Calendar'!$M$1407=SPECIAL_LBL)*(INC_SPECIALS="Y"))=0,"",'Dvd Calendar'!$M$1405)))</f>
        <v/>
      </c>
      <c r="L142" s="106">
        <f>IF(EN142="","",IF(ISNUMBER('Dvd Calendar'!$N$1405)=FALSE,"",IF((('Dvd Calendar'!$N$1407=TYPE1)*(TYPE1&lt;&gt;"")+('Dvd Calendar'!$N$1407=TYPE2)*(TYPE2&lt;&gt;"")+('Dvd Calendar'!$N$1407=TYPE3)*(TYPE3&lt;&gt;"")+('Dvd Calendar'!$N$1407=TYPE4)*(TYPE4&lt;&gt;"")+('Dvd Calendar'!$N$1407=SPECIAL_LBL)*(INC_SPECIALS="Y"))=0,"",'Dvd Calendar'!$N$1405)))</f>
        <v/>
      </c>
      <c r="M142" s="106">
        <f>IF(EO142="","",IF(ISNUMBER('Dvd Calendar'!$O$1405)=FALSE,"",IF((('Dvd Calendar'!$O$1407=TYPE1)*(TYPE1&lt;&gt;"")+('Dvd Calendar'!$O$1407=TYPE2)*(TYPE2&lt;&gt;"")+('Dvd Calendar'!$O$1407=TYPE3)*(TYPE3&lt;&gt;"")+('Dvd Calendar'!$O$1407=TYPE4)*(TYPE4&lt;&gt;"")+('Dvd Calendar'!$O$1407=SPECIAL_LBL)*(INC_SPECIALS="Y"))=0,"",'Dvd Calendar'!$O$1405)))</f>
        <v/>
      </c>
      <c r="N142" s="106">
        <f>IF(EP142="","",IF(ISNUMBER('Dvd Calendar'!$P$1405)=FALSE,"",IF((('Dvd Calendar'!$P$1407=TYPE1)*(TYPE1&lt;&gt;"")+('Dvd Calendar'!$P$1407=TYPE2)*(TYPE2&lt;&gt;"")+('Dvd Calendar'!$P$1407=TYPE3)*(TYPE3&lt;&gt;"")+('Dvd Calendar'!$P$1407=TYPE4)*(TYPE4&lt;&gt;"")+('Dvd Calendar'!$P$1407=SPECIAL_LBL)*(INC_SPECIALS="Y"))=0,"",'Dvd Calendar'!$P$1405)))</f>
        <v/>
      </c>
      <c r="O142" s="106">
        <f>IF(EQ142="","",IF(ISNUMBER('Dvd Calendar'!$Q$1405)=FALSE,"",IF((('Dvd Calendar'!$Q$1407=TYPE1)*(TYPE1&lt;&gt;"")+('Dvd Calendar'!$Q$1407=TYPE2)*(TYPE2&lt;&gt;"")+('Dvd Calendar'!$Q$1407=TYPE3)*(TYPE3&lt;&gt;"")+('Dvd Calendar'!$Q$1407=TYPE4)*(TYPE4&lt;&gt;"")+('Dvd Calendar'!$Q$1407=SPECIAL_LBL)*(INC_SPECIALS="Y"))=0,"",'Dvd Calendar'!$Q$1405)))</f>
        <v/>
      </c>
      <c r="P142" s="106">
        <f>IF(ER142="","",IF(ISNUMBER('Dvd Calendar'!$R$1405)=FALSE,"",IF((('Dvd Calendar'!$R$1407=TYPE1)*(TYPE1&lt;&gt;"")+('Dvd Calendar'!$R$1407=TYPE2)*(TYPE2&lt;&gt;"")+('Dvd Calendar'!$R$1407=TYPE3)*(TYPE3&lt;&gt;"")+('Dvd Calendar'!$R$1407=TYPE4)*(TYPE4&lt;&gt;"")+('Dvd Calendar'!$R$1407=SPECIAL_LBL)*(INC_SPECIALS="Y"))=0,"",'Dvd Calendar'!$R$1405)))</f>
        <v/>
      </c>
      <c r="Q142" s="106">
        <f>IF(ES142="","",IF(ISNUMBER('Dvd Calendar'!$S$1405)=FALSE,"",IF((('Dvd Calendar'!$S$1407=TYPE1)*(TYPE1&lt;&gt;"")+('Dvd Calendar'!$S$1407=TYPE2)*(TYPE2&lt;&gt;"")+('Dvd Calendar'!$S$1407=TYPE3)*(TYPE3&lt;&gt;"")+('Dvd Calendar'!$S$1407=TYPE4)*(TYPE4&lt;&gt;"")+('Dvd Calendar'!$S$1407=SPECIAL_LBL)*(INC_SPECIALS="Y"))=0,"",'Dvd Calendar'!$S$1405)))</f>
        <v/>
      </c>
      <c r="R142" s="106">
        <f>IF(ET142="","",IF(ISNUMBER('Dvd Calendar'!$T$1405)=FALSE,"",IF((('Dvd Calendar'!$T$1407=TYPE1)*(TYPE1&lt;&gt;"")+('Dvd Calendar'!$T$1407=TYPE2)*(TYPE2&lt;&gt;"")+('Dvd Calendar'!$T$1407=TYPE3)*(TYPE3&lt;&gt;"")+('Dvd Calendar'!$T$1407=TYPE4)*(TYPE4&lt;&gt;"")+('Dvd Calendar'!$T$1407=SPECIAL_LBL)*(INC_SPECIALS="Y"))=0,"",'Dvd Calendar'!$T$1405)))</f>
        <v/>
      </c>
      <c r="S142" s="106">
        <f>IF(EU142="","",IF(ISNUMBER('Dvd Calendar'!$U$1405)=FALSE,"",IF((('Dvd Calendar'!$U$1407=TYPE1)*(TYPE1&lt;&gt;"")+('Dvd Calendar'!$U$1407=TYPE2)*(TYPE2&lt;&gt;"")+('Dvd Calendar'!$U$1407=TYPE3)*(TYPE3&lt;&gt;"")+('Dvd Calendar'!$U$1407=TYPE4)*(TYPE4&lt;&gt;"")+('Dvd Calendar'!$U$1407=SPECIAL_LBL)*(INC_SPECIALS="Y"))=0,"",'Dvd Calendar'!$U$1405)))</f>
        <v/>
      </c>
      <c r="T142" s="106">
        <f>IF(EV142="","",IF(ISNUMBER('Dvd Calendar'!$V$1405)=FALSE,"",IF((('Dvd Calendar'!$V$1407=TYPE1)*(TYPE1&lt;&gt;"")+('Dvd Calendar'!$V$1407=TYPE2)*(TYPE2&lt;&gt;"")+('Dvd Calendar'!$V$1407=TYPE3)*(TYPE3&lt;&gt;"")+('Dvd Calendar'!$V$1407=TYPE4)*(TYPE4&lt;&gt;"")+('Dvd Calendar'!$V$1407=SPECIAL_LBL)*(INC_SPECIALS="Y"))=0,"",'Dvd Calendar'!$V$1405)))</f>
        <v/>
      </c>
      <c r="U142" s="106">
        <f>IF(EW142="","",IF(ISNUMBER('Dvd Calendar'!$W$1405)=FALSE,"",IF((('Dvd Calendar'!$W$1407=TYPE1)*(TYPE1&lt;&gt;"")+('Dvd Calendar'!$W$1407=TYPE2)*(TYPE2&lt;&gt;"")+('Dvd Calendar'!$W$1407=TYPE3)*(TYPE3&lt;&gt;"")+('Dvd Calendar'!$W$1407=TYPE4)*(TYPE4&lt;&gt;"")+('Dvd Calendar'!$W$1407=SPECIAL_LBL)*(INC_SPECIALS="Y"))=0,"",'Dvd Calendar'!$W$1405)))</f>
        <v/>
      </c>
      <c r="V142" s="106">
        <f>IF(EX142="","",IF(ISNUMBER('Dvd Calendar'!$X$1405)=FALSE,"",IF((('Dvd Calendar'!$X$1407=TYPE1)*(TYPE1&lt;&gt;"")+('Dvd Calendar'!$X$1407=TYPE2)*(TYPE2&lt;&gt;"")+('Dvd Calendar'!$X$1407=TYPE3)*(TYPE3&lt;&gt;"")+('Dvd Calendar'!$X$1407=TYPE4)*(TYPE4&lt;&gt;"")+('Dvd Calendar'!$X$1407=SPECIAL_LBL)*(INC_SPECIALS="Y"))=0,"",'Dvd Calendar'!$X$1405)))</f>
        <v/>
      </c>
      <c r="W142" s="106">
        <f>IF(EY142="","",IF(ISNUMBER('Dvd Calendar'!$Y$1405)=FALSE,"",IF((('Dvd Calendar'!$Y$1407=TYPE1)*(TYPE1&lt;&gt;"")+('Dvd Calendar'!$Y$1407=TYPE2)*(TYPE2&lt;&gt;"")+('Dvd Calendar'!$Y$1407=TYPE3)*(TYPE3&lt;&gt;"")+('Dvd Calendar'!$Y$1407=TYPE4)*(TYPE4&lt;&gt;"")+('Dvd Calendar'!$Y$1407=SPECIAL_LBL)*(INC_SPECIALS="Y"))=0,"",'Dvd Calendar'!$Y$1405)))</f>
        <v/>
      </c>
      <c r="X142" s="106">
        <f>IF(EZ142="","",IF(ISNUMBER('Dvd Calendar'!$Z$1405)=FALSE,"",IF((('Dvd Calendar'!$Z$1407=TYPE1)*(TYPE1&lt;&gt;"")+('Dvd Calendar'!$Z$1407=TYPE2)*(TYPE2&lt;&gt;"")+('Dvd Calendar'!$Z$1407=TYPE3)*(TYPE3&lt;&gt;"")+('Dvd Calendar'!$Z$1407=TYPE4)*(TYPE4&lt;&gt;"")+('Dvd Calendar'!$Z$1407=SPECIAL_LBL)*(INC_SPECIALS="Y"))=0,"",'Dvd Calendar'!$Z$1405)))</f>
        <v/>
      </c>
      <c r="Y142" s="106">
        <f>IF(FA142="","",IF(ISNUMBER('Dvd Calendar'!$AA$1405)=FALSE,"",IF((('Dvd Calendar'!$AA$1407=TYPE1)*(TYPE1&lt;&gt;"")+('Dvd Calendar'!$AA$1407=TYPE2)*(TYPE2&lt;&gt;"")+('Dvd Calendar'!$AA$1407=TYPE3)*(TYPE3&lt;&gt;"")+('Dvd Calendar'!$AA$1407=TYPE4)*(TYPE4&lt;&gt;"")+('Dvd Calendar'!$AA$1407=SPECIAL_LBL)*(INC_SPECIALS="Y"))=0,"",'Dvd Calendar'!$AA$1405)))</f>
        <v/>
      </c>
      <c r="Z142" s="106">
        <f>IF(FB142="","",IF(ISNUMBER('Dvd Calendar'!$AB$1405)=FALSE,"",IF((('Dvd Calendar'!$AB$1407=TYPE1)*(TYPE1&lt;&gt;"")+('Dvd Calendar'!$AB$1407=TYPE2)*(TYPE2&lt;&gt;"")+('Dvd Calendar'!$AB$1407=TYPE3)*(TYPE3&lt;&gt;"")+('Dvd Calendar'!$AB$1407=TYPE4)*(TYPE4&lt;&gt;"")+('Dvd Calendar'!$AB$1407=SPECIAL_LBL)*(INC_SPECIALS="Y"))=0,"",'Dvd Calendar'!$AB$1405)))</f>
        <v/>
      </c>
      <c r="AA142" s="106">
        <f>IF(FC142="","",IF(ISNUMBER('Dvd Calendar'!$AC$1405)=FALSE,"",IF((('Dvd Calendar'!$AC$1407=TYPE1)*(TYPE1&lt;&gt;"")+('Dvd Calendar'!$AC$1407=TYPE2)*(TYPE2&lt;&gt;"")+('Dvd Calendar'!$AC$1407=TYPE3)*(TYPE3&lt;&gt;"")+('Dvd Calendar'!$AC$1407=TYPE4)*(TYPE4&lt;&gt;"")+('Dvd Calendar'!$AC$1407=SPECIAL_LBL)*(INC_SPECIALS="Y"))=0,"",'Dvd Calendar'!$AC$1405)))</f>
        <v/>
      </c>
      <c r="AB142" s="106">
        <f>IF(FD142="","",IF(ISNUMBER('Dvd Calendar'!$AD$1405)=FALSE,"",IF((('Dvd Calendar'!$AD$1407=TYPE1)*(TYPE1&lt;&gt;"")+('Dvd Calendar'!$AD$1407=TYPE2)*(TYPE2&lt;&gt;"")+('Dvd Calendar'!$AD$1407=TYPE3)*(TYPE3&lt;&gt;"")+('Dvd Calendar'!$AD$1407=TYPE4)*(TYPE4&lt;&gt;"")+('Dvd Calendar'!$AD$1407=SPECIAL_LBL)*(INC_SPECIALS="Y"))=0,"",'Dvd Calendar'!$AD$1405)))</f>
        <v/>
      </c>
      <c r="AC142" s="106">
        <f>IF(FE142="","",IF(ISNUMBER('Dvd Calendar'!$AE$1405)=FALSE,"",IF((('Dvd Calendar'!$AE$1407=TYPE1)*(TYPE1&lt;&gt;"")+('Dvd Calendar'!$AE$1407=TYPE2)*(TYPE2&lt;&gt;"")+('Dvd Calendar'!$AE$1407=TYPE3)*(TYPE3&lt;&gt;"")+('Dvd Calendar'!$AE$1407=TYPE4)*(TYPE4&lt;&gt;"")+('Dvd Calendar'!$AE$1407=SPECIAL_LBL)*(INC_SPECIALS="Y"))=0,"",'Dvd Calendar'!$AE$1405)))</f>
        <v/>
      </c>
      <c r="AD142" s="106">
        <f>IF(FF142="","",IF(ISNUMBER('Dvd Calendar'!$AF$1405)=FALSE,"",IF((('Dvd Calendar'!$AF$1407=TYPE1)*(TYPE1&lt;&gt;"")+('Dvd Calendar'!$AF$1407=TYPE2)*(TYPE2&lt;&gt;"")+('Dvd Calendar'!$AF$1407=TYPE3)*(TYPE3&lt;&gt;"")+('Dvd Calendar'!$AF$1407=TYPE4)*(TYPE4&lt;&gt;"")+('Dvd Calendar'!$AF$1407=SPECIAL_LBL)*(INC_SPECIALS="Y"))=0,"",'Dvd Calendar'!$AF$1405)))</f>
        <v/>
      </c>
      <c r="AE142" s="106">
        <f>IF(FG142="","",IF(ISNUMBER('Dvd Calendar'!$AG$1405)=FALSE,"",IF((('Dvd Calendar'!$AG$1407=TYPE1)*(TYPE1&lt;&gt;"")+('Dvd Calendar'!$AG$1407=TYPE2)*(TYPE2&lt;&gt;"")+('Dvd Calendar'!$AG$1407=TYPE3)*(TYPE3&lt;&gt;"")+('Dvd Calendar'!$AG$1407=TYPE4)*(TYPE4&lt;&gt;"")+('Dvd Calendar'!$AG$1407=SPECIAL_LBL)*(INC_SPECIALS="Y"))=0,"",'Dvd Calendar'!$AG$1405)))</f>
        <v/>
      </c>
      <c r="AF142" s="106">
        <f>IF(FH142="","",IF(ISNUMBER('Dvd Calendar'!$AH$1405)=FALSE,"",IF((('Dvd Calendar'!$AH$1407=TYPE1)*(TYPE1&lt;&gt;"")+('Dvd Calendar'!$AH$1407=TYPE2)*(TYPE2&lt;&gt;"")+('Dvd Calendar'!$AH$1407=TYPE3)*(TYPE3&lt;&gt;"")+('Dvd Calendar'!$AH$1407=TYPE4)*(TYPE4&lt;&gt;"")+('Dvd Calendar'!$AH$1407=SPECIAL_LBL)*(INC_SPECIALS="Y"))=0,"",'Dvd Calendar'!$AH$1405)))</f>
        <v/>
      </c>
      <c r="AG142" s="106">
        <f>IF(FI142="","",IF(ISNUMBER('Dvd Calendar'!$AI$1405)=FALSE,"",IF((('Dvd Calendar'!$AI$1407=TYPE1)*(TYPE1&lt;&gt;"")+('Dvd Calendar'!$AI$1407=TYPE2)*(TYPE2&lt;&gt;"")+('Dvd Calendar'!$AI$1407=TYPE3)*(TYPE3&lt;&gt;"")+('Dvd Calendar'!$AI$1407=TYPE4)*(TYPE4&lt;&gt;"")+('Dvd Calendar'!$AI$1407=SPECIAL_LBL)*(INC_SPECIALS="Y"))=0,"",'Dvd Calendar'!$AI$1405)))</f>
        <v/>
      </c>
      <c r="AH142" s="106">
        <f>IF(FJ142="","",IF(ISNUMBER('Dvd Calendar'!$AJ$1405)=FALSE,"",IF((('Dvd Calendar'!$AJ$1407=TYPE1)*(TYPE1&lt;&gt;"")+('Dvd Calendar'!$AJ$1407=TYPE2)*(TYPE2&lt;&gt;"")+('Dvd Calendar'!$AJ$1407=TYPE3)*(TYPE3&lt;&gt;"")+('Dvd Calendar'!$AJ$1407=TYPE4)*(TYPE4&lt;&gt;"")+('Dvd Calendar'!$AJ$1407=SPECIAL_LBL)*(INC_SPECIALS="Y"))=0,"",'Dvd Calendar'!$AJ$1405)))</f>
        <v/>
      </c>
      <c r="AI142" s="106">
        <f>IF(FK142="","",IF(ISNUMBER('Dvd Calendar'!$AK$1405)=FALSE,"",IF((('Dvd Calendar'!$AK$1407=TYPE1)*(TYPE1&lt;&gt;"")+('Dvd Calendar'!$AK$1407=TYPE2)*(TYPE2&lt;&gt;"")+('Dvd Calendar'!$AK$1407=TYPE3)*(TYPE3&lt;&gt;"")+('Dvd Calendar'!$AK$1407=TYPE4)*(TYPE4&lt;&gt;"")+('Dvd Calendar'!$AK$1407=SPECIAL_LBL)*(INC_SPECIALS="Y"))=0,"",'Dvd Calendar'!$AK$1405)))</f>
        <v/>
      </c>
      <c r="AJ142" s="106">
        <f>IF(FL142="","",IF(ISNUMBER('Dvd Calendar'!$AL$1405)=FALSE,"",IF((('Dvd Calendar'!$AL$1407=TYPE1)*(TYPE1&lt;&gt;"")+('Dvd Calendar'!$AL$1407=TYPE2)*(TYPE2&lt;&gt;"")+('Dvd Calendar'!$AL$1407=TYPE3)*(TYPE3&lt;&gt;"")+('Dvd Calendar'!$AL$1407=TYPE4)*(TYPE4&lt;&gt;"")+('Dvd Calendar'!$AL$1407=SPECIAL_LBL)*(INC_SPECIALS="Y"))=0,"",'Dvd Calendar'!$AL$1405)))</f>
        <v/>
      </c>
      <c r="AK142" s="106">
        <f>IF(FM142="","",IF(ISNUMBER('Dvd Calendar'!$AM$1405)=FALSE,"",IF((('Dvd Calendar'!$AM$1407=TYPE1)*(TYPE1&lt;&gt;"")+('Dvd Calendar'!$AM$1407=TYPE2)*(TYPE2&lt;&gt;"")+('Dvd Calendar'!$AM$1407=TYPE3)*(TYPE3&lt;&gt;"")+('Dvd Calendar'!$AM$1407=TYPE4)*(TYPE4&lt;&gt;"")+('Dvd Calendar'!$AM$1407=SPECIAL_LBL)*(INC_SPECIALS="Y"))=0,"",'Dvd Calendar'!$AM$1405)))</f>
        <v/>
      </c>
      <c r="AL142" s="106">
        <f>IF(FN142="","",IF(ISNUMBER('Dvd Calendar'!$AN$1405)=FALSE,"",IF((('Dvd Calendar'!$AN$1407=TYPE1)*(TYPE1&lt;&gt;"")+('Dvd Calendar'!$AN$1407=TYPE2)*(TYPE2&lt;&gt;"")+('Dvd Calendar'!$AN$1407=TYPE3)*(TYPE3&lt;&gt;"")+('Dvd Calendar'!$AN$1407=TYPE4)*(TYPE4&lt;&gt;"")+('Dvd Calendar'!$AN$1407=SPECIAL_LBL)*(INC_SPECIALS="Y"))=0,"",'Dvd Calendar'!$AN$1405)))</f>
        <v/>
      </c>
      <c r="AM142" s="106">
        <f>IF(FO142="","",IF(ISNUMBER('Dvd Calendar'!$AO$1405)=FALSE,"",IF((('Dvd Calendar'!$AO$1407=TYPE1)*(TYPE1&lt;&gt;"")+('Dvd Calendar'!$AO$1407=TYPE2)*(TYPE2&lt;&gt;"")+('Dvd Calendar'!$AO$1407=TYPE3)*(TYPE3&lt;&gt;"")+('Dvd Calendar'!$AO$1407=TYPE4)*(TYPE4&lt;&gt;"")+('Dvd Calendar'!$AO$1407=SPECIAL_LBL)*(INC_SPECIALS="Y"))=0,"",'Dvd Calendar'!$AO$1405)))</f>
        <v/>
      </c>
      <c r="AN142" s="106">
        <f>IF(FP142="","",IF(ISNUMBER('Dvd Calendar'!$AP$1405)=FALSE,"",IF((('Dvd Calendar'!$AP$1407=TYPE1)*(TYPE1&lt;&gt;"")+('Dvd Calendar'!$AP$1407=TYPE2)*(TYPE2&lt;&gt;"")+('Dvd Calendar'!$AP$1407=TYPE3)*(TYPE3&lt;&gt;"")+('Dvd Calendar'!$AP$1407=TYPE4)*(TYPE4&lt;&gt;"")+('Dvd Calendar'!$AP$1407=SPECIAL_LBL)*(INC_SPECIALS="Y"))=0,"",'Dvd Calendar'!$AP$1405)))</f>
        <v/>
      </c>
      <c r="AO142" s="106">
        <f>IF(FQ142="","",IF(ISNUMBER('Dvd Calendar'!$AQ$1405)=FALSE,"",IF((('Dvd Calendar'!$AQ$1407=TYPE1)*(TYPE1&lt;&gt;"")+('Dvd Calendar'!$AQ$1407=TYPE2)*(TYPE2&lt;&gt;"")+('Dvd Calendar'!$AQ$1407=TYPE3)*(TYPE3&lt;&gt;"")+('Dvd Calendar'!$AQ$1407=TYPE4)*(TYPE4&lt;&gt;"")+('Dvd Calendar'!$AQ$1407=SPECIAL_LBL)*(INC_SPECIALS="Y"))=0,"",'Dvd Calendar'!$AQ$1405)))</f>
        <v/>
      </c>
      <c r="AP142" s="106">
        <f>IF(FR142="","",IF(ISNUMBER('Dvd Calendar'!$AR$1405)=FALSE,"",IF((('Dvd Calendar'!$AR$1407=TYPE1)*(TYPE1&lt;&gt;"")+('Dvd Calendar'!$AR$1407=TYPE2)*(TYPE2&lt;&gt;"")+('Dvd Calendar'!$AR$1407=TYPE3)*(TYPE3&lt;&gt;"")+('Dvd Calendar'!$AR$1407=TYPE4)*(TYPE4&lt;&gt;"")+('Dvd Calendar'!$AR$1407=SPECIAL_LBL)*(INC_SPECIALS="Y"))=0,"",'Dvd Calendar'!$AR$1405)))</f>
        <v/>
      </c>
      <c r="AQ142" s="106">
        <f>IF(FS142="","",IF(ISNUMBER('Dvd Calendar'!$E$1410)=FALSE,"",'Dvd Calendar'!$E$1410))</f>
        <v/>
      </c>
      <c r="AR142" s="106">
        <f>IF(FT142="","",IF(ISNUMBER('Dvd Calendar'!$F$1410)=FALSE,"",'Dvd Calendar'!$F$1410))</f>
        <v/>
      </c>
      <c r="AS142" s="106">
        <f>IF(FU142="","",IF(ISNUMBER('Dvd Calendar'!$G$1410)=FALSE,"",'Dvd Calendar'!$G$1410))</f>
        <v/>
      </c>
      <c r="AT142" s="106">
        <f>IF(FV142="","",IF(ISNUMBER('Dvd Calendar'!$H$1410)=FALSE,"",'Dvd Calendar'!$H$1410))</f>
        <v/>
      </c>
      <c r="AU142" s="106">
        <f>IF(FW142="","",IF(ISNUMBER('Dvd Calendar'!$I$1410)=FALSE,"",'Dvd Calendar'!$I$1410))</f>
        <v/>
      </c>
      <c r="AV142" s="106">
        <f>IF(FX142="","",IF(ISNUMBER('Dvd Calendar'!$J$1410)=FALSE,"",'Dvd Calendar'!$J$1410))</f>
        <v/>
      </c>
      <c r="AW142" s="106">
        <f>IF(FY142="","",IF(ISNUMBER('Dvd Calendar'!$K$1410)=FALSE,"",'Dvd Calendar'!$K$1410))</f>
        <v/>
      </c>
      <c r="AX142" s="106">
        <f>IF(FZ142="","",IF(ISNUMBER('Dvd Calendar'!$L$1410)=FALSE,"",'Dvd Calendar'!$L$1410))</f>
        <v/>
      </c>
      <c r="AY142" s="106">
        <f>IF(GA142="","",IF(ISNUMBER('Dvd Calendar'!$M$1410)=FALSE,"",'Dvd Calendar'!$M$1410))</f>
        <v/>
      </c>
      <c r="AZ142" s="106">
        <f>IF(GB142="","",IF(ISNUMBER('Dvd Calendar'!$N$1410)=FALSE,"",'Dvd Calendar'!$N$1410))</f>
        <v/>
      </c>
      <c r="BA142" s="106">
        <f>IF(GC142="","",IF(ISNUMBER('Dvd Calendar'!$O$1410)=FALSE,"",'Dvd Calendar'!$O$1410))</f>
        <v/>
      </c>
      <c r="BB142" s="106">
        <f>IF(GD142="","",IF(ISNUMBER('Dvd Calendar'!$P$1410)=FALSE,"",'Dvd Calendar'!$P$1410))</f>
        <v/>
      </c>
      <c r="BC142" s="106">
        <f>IF(GE142="","",IF(ISNUMBER('Dvd Calendar'!$Q$1410)=FALSE,"",'Dvd Calendar'!$Q$1410))</f>
        <v/>
      </c>
      <c r="BD142" s="106">
        <f>IF(GF142="","",IF(ISNUMBER('Dvd Calendar'!$R$1410)=FALSE,"",'Dvd Calendar'!$R$1410))</f>
        <v/>
      </c>
      <c r="BE142" s="106">
        <f>IF(GG142="","",IF(ISNUMBER('Dvd Calendar'!$S$1410)=FALSE,"",'Dvd Calendar'!$S$1410))</f>
        <v/>
      </c>
      <c r="BF142" s="106">
        <f>IF(GH142="","",IF(ISNUMBER('Dvd Calendar'!$T$1410)=FALSE,"",'Dvd Calendar'!$T$1410))</f>
        <v/>
      </c>
      <c r="BG142" s="106">
        <f>IF(GI142="","",IF(ISNUMBER('Dvd Calendar'!$U$1410)=FALSE,"",'Dvd Calendar'!$U$1410))</f>
        <v/>
      </c>
      <c r="BH142" s="106">
        <f>IF(GJ142="","",IF(ISNUMBER('Dvd Calendar'!$V$1410)=FALSE,"",'Dvd Calendar'!$V$1410))</f>
        <v/>
      </c>
      <c r="BI142" s="106">
        <f>IF(GK142="","",IF(ISNUMBER('Dvd Calendar'!$W$1410)=FALSE,"",'Dvd Calendar'!$W$1410))</f>
        <v/>
      </c>
      <c r="BJ142" s="106">
        <f>IF(GL142="","",IF(ISNUMBER('Dvd Calendar'!$X$1410)=FALSE,"",'Dvd Calendar'!$X$1410))</f>
        <v/>
      </c>
      <c r="BK142" s="106">
        <f>IF(GM142="","",IF(ISNUMBER('Dvd Calendar'!$Y$1410)=FALSE,"",'Dvd Calendar'!$Y$1410))</f>
        <v/>
      </c>
      <c r="BL142" s="106">
        <f>IF(GN142="","",IF(ISNUMBER('Dvd Calendar'!$Z$1410)=FALSE,"",'Dvd Calendar'!$Z$1410))</f>
        <v/>
      </c>
      <c r="BM142" s="106">
        <f>IF(GO142="","",IF(ISNUMBER('Dvd Calendar'!$AA$1410)=FALSE,"",'Dvd Calendar'!$AA$1410))</f>
        <v/>
      </c>
      <c r="BN142" s="106">
        <f>IF(GP142="","",IF(ISNUMBER('Dvd Calendar'!$AB$1410)=FALSE,"",'Dvd Calendar'!$AB$1410))</f>
        <v/>
      </c>
      <c r="BO142" s="106">
        <f>IF(GQ142="","",IF(ISNUMBER('Dvd Calendar'!$AC$1410)=FALSE,"",'Dvd Calendar'!$AC$1410))</f>
        <v/>
      </c>
      <c r="BQ142" s="106">
        <f>IF(C142="","",IFERROR(C142*HSTECH!$B$33*HSTECH!$G$33/HSTECH!$B$3,""))</f>
        <v/>
      </c>
      <c r="BR142" s="106">
        <f>IF(D142="","",IFERROR(D142*HSTECH!$B$33*HSTECH!$G$33/HSTECH!$B$3,""))</f>
        <v/>
      </c>
      <c r="BS142" s="106">
        <f>IF(E142="","",IFERROR(E142*HSTECH!$B$33*HSTECH!$G$33/HSTECH!$B$3,""))</f>
        <v/>
      </c>
      <c r="BT142" s="106">
        <f>IF(F142="","",IFERROR(F142*HSTECH!$B$33*HSTECH!$G$33/HSTECH!$B$3,""))</f>
        <v/>
      </c>
      <c r="BU142" s="106">
        <f>IF(G142="","",IFERROR(G142*HSTECH!$B$33*HSTECH!$G$33/HSTECH!$B$3,""))</f>
        <v/>
      </c>
      <c r="BV142" s="106">
        <f>IF(H142="","",IFERROR(H142*HSTECH!$B$33*HSTECH!$G$33/HSTECH!$B$3,""))</f>
        <v/>
      </c>
      <c r="BW142" s="106">
        <f>IF(I142="","",IFERROR(I142*HSTECH!$B$33*HSTECH!$G$33/HSTECH!$B$3,""))</f>
        <v/>
      </c>
      <c r="BX142" s="106">
        <f>IF(J142="","",IFERROR(J142*HSTECH!$B$33*HSTECH!$G$33/HSTECH!$B$3,""))</f>
        <v/>
      </c>
      <c r="BY142" s="106">
        <f>IF(K142="","",IFERROR(K142*HSTECH!$B$33*HSTECH!$G$33/HSTECH!$B$3,""))</f>
        <v/>
      </c>
      <c r="BZ142" s="106">
        <f>IF(L142="","",IFERROR(L142*HSTECH!$B$33*HSTECH!$G$33/HSTECH!$B$3,""))</f>
        <v/>
      </c>
      <c r="CA142" s="106">
        <f>IF(M142="","",IFERROR(M142*HSTECH!$B$33*HSTECH!$G$33/HSTECH!$B$3,""))</f>
        <v/>
      </c>
      <c r="CB142" s="106">
        <f>IF(N142="","",IFERROR(N142*HSTECH!$B$33*HSTECH!$G$33/HSTECH!$B$3,""))</f>
        <v/>
      </c>
      <c r="CC142" s="106">
        <f>IF(O142="","",IFERROR(O142*HSTECH!$B$33*HSTECH!$G$33/HSTECH!$B$3,""))</f>
        <v/>
      </c>
      <c r="CD142" s="106">
        <f>IF(P142="","",IFERROR(P142*HSTECH!$B$33*HSTECH!$G$33/HSTECH!$B$3,""))</f>
        <v/>
      </c>
      <c r="CE142" s="106">
        <f>IF(Q142="","",IFERROR(Q142*HSTECH!$B$33*HSTECH!$G$33/HSTECH!$B$3,""))</f>
        <v/>
      </c>
      <c r="CF142" s="106">
        <f>IF(R142="","",IFERROR(R142*HSTECH!$B$33*HSTECH!$G$33/HSTECH!$B$3,""))</f>
        <v/>
      </c>
      <c r="CG142" s="106">
        <f>IF(S142="","",IFERROR(S142*HSTECH!$B$33*HSTECH!$G$33/HSTECH!$B$3,""))</f>
        <v/>
      </c>
      <c r="CH142" s="106">
        <f>IF(T142="","",IFERROR(T142*HSTECH!$B$33*HSTECH!$G$33/HSTECH!$B$3,""))</f>
        <v/>
      </c>
      <c r="CI142" s="106">
        <f>IF(U142="","",IFERROR(U142*HSTECH!$B$33*HSTECH!$G$33/HSTECH!$B$3,""))</f>
        <v/>
      </c>
      <c r="CJ142" s="106">
        <f>IF(V142="","",IFERROR(V142*HSTECH!$B$33*HSTECH!$G$33/HSTECH!$B$3,""))</f>
        <v/>
      </c>
      <c r="CK142" s="106">
        <f>IF(W142="","",IFERROR(W142*HSTECH!$B$33*HSTECH!$G$33/HSTECH!$B$3,""))</f>
        <v/>
      </c>
      <c r="CL142" s="106">
        <f>IF(X142="","",IFERROR(X142*HSTECH!$B$33*HSTECH!$G$33/HSTECH!$B$3,""))</f>
        <v/>
      </c>
      <c r="CM142" s="106">
        <f>IF(Y142="","",IFERROR(Y142*HSTECH!$B$33*HSTECH!$G$33/HSTECH!$B$3,""))</f>
        <v/>
      </c>
      <c r="CN142" s="106">
        <f>IF(Z142="","",IFERROR(Z142*HSTECH!$B$33*HSTECH!$G$33/HSTECH!$B$3,""))</f>
        <v/>
      </c>
      <c r="CO142" s="106">
        <f>IF(AA142="","",IFERROR(AA142*HSTECH!$B$33*HSTECH!$G$33/HSTECH!$B$3,""))</f>
        <v/>
      </c>
      <c r="CP142" s="106">
        <f>IF(AB142="","",IFERROR(AB142*HSTECH!$B$33*HSTECH!$G$33/HSTECH!$B$3,""))</f>
        <v/>
      </c>
      <c r="CQ142" s="106">
        <f>IF(AC142="","",IFERROR(AC142*HSTECH!$B$33*HSTECH!$G$33/HSTECH!$B$3,""))</f>
        <v/>
      </c>
      <c r="CR142" s="106">
        <f>IF(AD142="","",IFERROR(AD142*HSTECH!$B$33*HSTECH!$G$33/HSTECH!$B$3,""))</f>
        <v/>
      </c>
      <c r="CS142" s="106">
        <f>IF(AE142="","",IFERROR(AE142*HSTECH!$B$33*HSTECH!$G$33/HSTECH!$B$3,""))</f>
        <v/>
      </c>
      <c r="CT142" s="106">
        <f>IF(AF142="","",IFERROR(AF142*HSTECH!$B$33*HSTECH!$G$33/HSTECH!$B$3,""))</f>
        <v/>
      </c>
      <c r="CU142" s="106">
        <f>IF(AG142="","",IFERROR(AG142*HSTECH!$B$33*HSTECH!$G$33/HSTECH!$B$3,""))</f>
        <v/>
      </c>
      <c r="CV142" s="106">
        <f>IF(AH142="","",IFERROR(AH142*HSTECH!$B$33*HSTECH!$G$33/HSTECH!$B$3,""))</f>
        <v/>
      </c>
      <c r="CW142" s="106">
        <f>IF(AI142="","",IFERROR(AI142*HSTECH!$B$33*HSTECH!$G$33/HSTECH!$B$3,""))</f>
        <v/>
      </c>
      <c r="CX142" s="106">
        <f>IF(AJ142="","",IFERROR(AJ142*HSTECH!$B$33*HSTECH!$G$33/HSTECH!$B$3,""))</f>
        <v/>
      </c>
      <c r="CY142" s="106">
        <f>IF(AK142="","",IFERROR(AK142*HSTECH!$B$33*HSTECH!$G$33/HSTECH!$B$3,""))</f>
        <v/>
      </c>
      <c r="CZ142" s="106">
        <f>IF(AL142="","",IFERROR(AL142*HSTECH!$B$33*HSTECH!$G$33/HSTECH!$B$3,""))</f>
        <v/>
      </c>
      <c r="DA142" s="106">
        <f>IF(AM142="","",IFERROR(AM142*HSTECH!$B$33*HSTECH!$G$33/HSTECH!$B$3,""))</f>
        <v/>
      </c>
      <c r="DB142" s="106">
        <f>IF(AN142="","",IFERROR(AN142*HSTECH!$B$33*HSTECH!$G$33/HSTECH!$B$3,""))</f>
        <v/>
      </c>
      <c r="DC142" s="106">
        <f>IF(AO142="","",IFERROR(AO142*HSTECH!$B$33*HSTECH!$G$33/HSTECH!$B$3,""))</f>
        <v/>
      </c>
      <c r="DD142" s="106">
        <f>IF(AP142="","",IFERROR(AP142*HSTECH!$B$33*HSTECH!$G$33/HSTECH!$B$3,""))</f>
        <v/>
      </c>
      <c r="DE142" s="106">
        <f>IF(AQ142="","",IFERROR(AQ142*HSTECH!$B$33*HSTECH!$G$33/HSTECH!$B$3,""))</f>
        <v/>
      </c>
      <c r="DF142" s="106">
        <f>IF(AR142="","",IFERROR(AR142*HSTECH!$B$33*HSTECH!$G$33/HSTECH!$B$3,""))</f>
        <v/>
      </c>
      <c r="DG142" s="106">
        <f>IF(AS142="","",IFERROR(AS142*HSTECH!$B$33*HSTECH!$G$33/HSTECH!$B$3,""))</f>
        <v/>
      </c>
      <c r="DH142" s="106">
        <f>IF(AT142="","",IFERROR(AT142*HSTECH!$B$33*HSTECH!$G$33/HSTECH!$B$3,""))</f>
        <v/>
      </c>
      <c r="DI142" s="106">
        <f>IF(AU142="","",IFERROR(AU142*HSTECH!$B$33*HSTECH!$G$33/HSTECH!$B$3,""))</f>
        <v/>
      </c>
      <c r="DJ142" s="106">
        <f>IF(AV142="","",IFERROR(AV142*HSTECH!$B$33*HSTECH!$G$33/HSTECH!$B$3,""))</f>
        <v/>
      </c>
      <c r="DK142" s="106">
        <f>IF(AW142="","",IFERROR(AW142*HSTECH!$B$33*HSTECH!$G$33/HSTECH!$B$3,""))</f>
        <v/>
      </c>
      <c r="DL142" s="106">
        <f>IF(AX142="","",IFERROR(AX142*HSTECH!$B$33*HSTECH!$G$33/HSTECH!$B$3,""))</f>
        <v/>
      </c>
      <c r="DM142" s="106">
        <f>IF(AY142="","",IFERROR(AY142*HSTECH!$B$33*HSTECH!$G$33/HSTECH!$B$3,""))</f>
        <v/>
      </c>
      <c r="DN142" s="106">
        <f>IF(AZ142="","",IFERROR(AZ142*HSTECH!$B$33*HSTECH!$G$33/HSTECH!$B$3,""))</f>
        <v/>
      </c>
      <c r="DO142" s="106">
        <f>IF(BA142="","",IFERROR(BA142*HSTECH!$B$33*HSTECH!$G$33/HSTECH!$B$3,""))</f>
        <v/>
      </c>
      <c r="DP142" s="106">
        <f>IF(BB142="","",IFERROR(BB142*HSTECH!$B$33*HSTECH!$G$33/HSTECH!$B$3,""))</f>
        <v/>
      </c>
      <c r="DQ142" s="106">
        <f>IF(BC142="","",IFERROR(BC142*HSTECH!$B$33*HSTECH!$G$33/HSTECH!$B$3,""))</f>
        <v/>
      </c>
      <c r="DR142" s="106">
        <f>IF(BD142="","",IFERROR(BD142*HSTECH!$B$33*HSTECH!$G$33/HSTECH!$B$3,""))</f>
        <v/>
      </c>
      <c r="DS142" s="106">
        <f>IF(BE142="","",IFERROR(BE142*HSTECH!$B$33*HSTECH!$G$33/HSTECH!$B$3,""))</f>
        <v/>
      </c>
      <c r="DT142" s="106">
        <f>IF(BF142="","",IFERROR(BF142*HSTECH!$B$33*HSTECH!$G$33/HSTECH!$B$3,""))</f>
        <v/>
      </c>
      <c r="DU142" s="106">
        <f>IF(BG142="","",IFERROR(BG142*HSTECH!$B$33*HSTECH!$G$33/HSTECH!$B$3,""))</f>
        <v/>
      </c>
      <c r="DV142" s="106">
        <f>IF(BH142="","",IFERROR(BH142*HSTECH!$B$33*HSTECH!$G$33/HSTECH!$B$3,""))</f>
        <v/>
      </c>
      <c r="DW142" s="106">
        <f>IF(BI142="","",IFERROR(BI142*HSTECH!$B$33*HSTECH!$G$33/HSTECH!$B$3,""))</f>
        <v/>
      </c>
      <c r="DX142" s="106">
        <f>IF(BJ142="","",IFERROR(BJ142*HSTECH!$B$33*HSTECH!$G$33/HSTECH!$B$3,""))</f>
        <v/>
      </c>
      <c r="DY142" s="106">
        <f>IF(BK142="","",IFERROR(BK142*HSTECH!$B$33*HSTECH!$G$33/HSTECH!$B$3,""))</f>
        <v/>
      </c>
      <c r="DZ142" s="106">
        <f>IF(BL142="","",IFERROR(BL142*HSTECH!$B$33*HSTECH!$G$33/HSTECH!$B$3,""))</f>
        <v/>
      </c>
      <c r="EA142" s="106">
        <f>IF(BM142="","",IFERROR(BM142*HSTECH!$B$33*HSTECH!$G$33/HSTECH!$B$3,""))</f>
        <v/>
      </c>
      <c r="EB142" s="106">
        <f>IF(BN142="","",IFERROR(BN142*HSTECH!$B$33*HSTECH!$G$33/HSTECH!$B$3,""))</f>
        <v/>
      </c>
      <c r="EC142" s="106">
        <f>IF(BO142="","",IFERROR(BO142*HSTECH!$B$33*HSTECH!$G$33/HSTECH!$B$3,""))</f>
        <v/>
      </c>
      <c r="EE142" s="35">
        <f>IF(N('Dvd Calendar'!$E$1402)=0,"",IF(('Dvd Calendar'!$E$1402&gt;=GRID_FROM)*('Dvd Calendar'!$E$1402&lt;=GRID_TO)*('Dvd Calendar'!$E$1402&lt;=VAL_DATE)=0,"",'Dvd Calendar'!$E$1402*1000000000+ISNUMBER('Dvd Calendar'!$E$1405)*100000000+('Dvd Calendar'!$E$1407=SPECIAL_LBL)*10000000+0*1000000+27*1000+1))</f>
        <v/>
      </c>
      <c r="EF142" s="35">
        <f>IF(N('Dvd Calendar'!$F$1402)=0,"",IF(('Dvd Calendar'!$F$1402&gt;=GRID_FROM)*('Dvd Calendar'!$F$1402&lt;=GRID_TO)*('Dvd Calendar'!$F$1402&lt;=VAL_DATE)=0,"",'Dvd Calendar'!$F$1402*1000000000+ISNUMBER('Dvd Calendar'!$F$1405)*100000000+('Dvd Calendar'!$F$1407=SPECIAL_LBL)*10000000+0*1000000+27*1000+2))</f>
        <v/>
      </c>
      <c r="EG142" s="35">
        <f>IF(N('Dvd Calendar'!$G$1402)=0,"",IF(('Dvd Calendar'!$G$1402&gt;=GRID_FROM)*('Dvd Calendar'!$G$1402&lt;=GRID_TO)*('Dvd Calendar'!$G$1402&lt;=VAL_DATE)=0,"",'Dvd Calendar'!$G$1402*1000000000+ISNUMBER('Dvd Calendar'!$G$1405)*100000000+('Dvd Calendar'!$G$1407=SPECIAL_LBL)*10000000+0*1000000+27*1000+3))</f>
        <v/>
      </c>
      <c r="EH142" s="35">
        <f>IF(N('Dvd Calendar'!$H$1402)=0,"",IF(('Dvd Calendar'!$H$1402&gt;=GRID_FROM)*('Dvd Calendar'!$H$1402&lt;=GRID_TO)*('Dvd Calendar'!$H$1402&lt;=VAL_DATE)=0,"",'Dvd Calendar'!$H$1402*1000000000+ISNUMBER('Dvd Calendar'!$H$1405)*100000000+('Dvd Calendar'!$H$1407=SPECIAL_LBL)*10000000+0*1000000+27*1000+4))</f>
        <v/>
      </c>
      <c r="EI142" s="35">
        <f>IF(N('Dvd Calendar'!$I$1402)=0,"",IF(('Dvd Calendar'!$I$1402&gt;=GRID_FROM)*('Dvd Calendar'!$I$1402&lt;=GRID_TO)*('Dvd Calendar'!$I$1402&lt;=VAL_DATE)=0,"",'Dvd Calendar'!$I$1402*1000000000+ISNUMBER('Dvd Calendar'!$I$1405)*100000000+('Dvd Calendar'!$I$1407=SPECIAL_LBL)*10000000+0*1000000+27*1000+5))</f>
        <v/>
      </c>
      <c r="EJ142" s="35">
        <f>IF(N('Dvd Calendar'!$J$1402)=0,"",IF(('Dvd Calendar'!$J$1402&gt;=GRID_FROM)*('Dvd Calendar'!$J$1402&lt;=GRID_TO)*('Dvd Calendar'!$J$1402&lt;=VAL_DATE)=0,"",'Dvd Calendar'!$J$1402*1000000000+ISNUMBER('Dvd Calendar'!$J$1405)*100000000+('Dvd Calendar'!$J$1407=SPECIAL_LBL)*10000000+0*1000000+27*1000+6))</f>
        <v/>
      </c>
      <c r="EK142" s="35">
        <f>IF(N('Dvd Calendar'!$K$1402)=0,"",IF(('Dvd Calendar'!$K$1402&gt;=GRID_FROM)*('Dvd Calendar'!$K$1402&lt;=GRID_TO)*('Dvd Calendar'!$K$1402&lt;=VAL_DATE)=0,"",'Dvd Calendar'!$K$1402*1000000000+ISNUMBER('Dvd Calendar'!$K$1405)*100000000+('Dvd Calendar'!$K$1407=SPECIAL_LBL)*10000000+0*1000000+27*1000+7))</f>
        <v/>
      </c>
      <c r="EL142" s="35">
        <f>IF(N('Dvd Calendar'!$L$1402)=0,"",IF(('Dvd Calendar'!$L$1402&gt;=GRID_FROM)*('Dvd Calendar'!$L$1402&lt;=GRID_TO)*('Dvd Calendar'!$L$1402&lt;=VAL_DATE)=0,"",'Dvd Calendar'!$L$1402*1000000000+ISNUMBER('Dvd Calendar'!$L$1405)*100000000+('Dvd Calendar'!$L$1407=SPECIAL_LBL)*10000000+0*1000000+27*1000+8))</f>
        <v/>
      </c>
      <c r="EM142" s="35">
        <f>IF(N('Dvd Calendar'!$M$1402)=0,"",IF(('Dvd Calendar'!$M$1402&gt;=GRID_FROM)*('Dvd Calendar'!$M$1402&lt;=GRID_TO)*('Dvd Calendar'!$M$1402&lt;=VAL_DATE)=0,"",'Dvd Calendar'!$M$1402*1000000000+ISNUMBER('Dvd Calendar'!$M$1405)*100000000+('Dvd Calendar'!$M$1407=SPECIAL_LBL)*10000000+0*1000000+27*1000+9))</f>
        <v/>
      </c>
      <c r="EN142" s="35">
        <f>IF(N('Dvd Calendar'!$N$1402)=0,"",IF(('Dvd Calendar'!$N$1402&gt;=GRID_FROM)*('Dvd Calendar'!$N$1402&lt;=GRID_TO)*('Dvd Calendar'!$N$1402&lt;=VAL_DATE)=0,"",'Dvd Calendar'!$N$1402*1000000000+ISNUMBER('Dvd Calendar'!$N$1405)*100000000+('Dvd Calendar'!$N$1407=SPECIAL_LBL)*10000000+0*1000000+27*1000+10))</f>
        <v/>
      </c>
      <c r="EO142" s="35">
        <f>IF(N('Dvd Calendar'!$O$1402)=0,"",IF(('Dvd Calendar'!$O$1402&gt;=GRID_FROM)*('Dvd Calendar'!$O$1402&lt;=GRID_TO)*('Dvd Calendar'!$O$1402&lt;=VAL_DATE)=0,"",'Dvd Calendar'!$O$1402*1000000000+ISNUMBER('Dvd Calendar'!$O$1405)*100000000+('Dvd Calendar'!$O$1407=SPECIAL_LBL)*10000000+0*1000000+27*1000+11))</f>
        <v/>
      </c>
      <c r="EP142" s="35">
        <f>IF(N('Dvd Calendar'!$P$1402)=0,"",IF(('Dvd Calendar'!$P$1402&gt;=GRID_FROM)*('Dvd Calendar'!$P$1402&lt;=GRID_TO)*('Dvd Calendar'!$P$1402&lt;=VAL_DATE)=0,"",'Dvd Calendar'!$P$1402*1000000000+ISNUMBER('Dvd Calendar'!$P$1405)*100000000+('Dvd Calendar'!$P$1407=SPECIAL_LBL)*10000000+0*1000000+27*1000+12))</f>
        <v/>
      </c>
      <c r="EQ142" s="35">
        <f>IF(N('Dvd Calendar'!$Q$1402)=0,"",IF(('Dvd Calendar'!$Q$1402&gt;=GRID_FROM)*('Dvd Calendar'!$Q$1402&lt;=GRID_TO)*('Dvd Calendar'!$Q$1402&lt;=VAL_DATE)=0,"",'Dvd Calendar'!$Q$1402*1000000000+ISNUMBER('Dvd Calendar'!$Q$1405)*100000000+('Dvd Calendar'!$Q$1407=SPECIAL_LBL)*10000000+0*1000000+27*1000+13))</f>
        <v/>
      </c>
      <c r="ER142" s="35">
        <f>IF(N('Dvd Calendar'!$R$1402)=0,"",IF(('Dvd Calendar'!$R$1402&gt;=GRID_FROM)*('Dvd Calendar'!$R$1402&lt;=GRID_TO)*('Dvd Calendar'!$R$1402&lt;=VAL_DATE)=0,"",'Dvd Calendar'!$R$1402*1000000000+ISNUMBER('Dvd Calendar'!$R$1405)*100000000+('Dvd Calendar'!$R$1407=SPECIAL_LBL)*10000000+0*1000000+27*1000+14))</f>
        <v/>
      </c>
      <c r="ES142" s="35">
        <f>IF(N('Dvd Calendar'!$S$1402)=0,"",IF(('Dvd Calendar'!$S$1402&gt;=GRID_FROM)*('Dvd Calendar'!$S$1402&lt;=GRID_TO)*('Dvd Calendar'!$S$1402&lt;=VAL_DATE)=0,"",'Dvd Calendar'!$S$1402*1000000000+ISNUMBER('Dvd Calendar'!$S$1405)*100000000+('Dvd Calendar'!$S$1407=SPECIAL_LBL)*10000000+0*1000000+27*1000+15))</f>
        <v/>
      </c>
      <c r="ET142" s="35">
        <f>IF(N('Dvd Calendar'!$T$1402)=0,"",IF(('Dvd Calendar'!$T$1402&gt;=GRID_FROM)*('Dvd Calendar'!$T$1402&lt;=GRID_TO)*('Dvd Calendar'!$T$1402&lt;=VAL_DATE)=0,"",'Dvd Calendar'!$T$1402*1000000000+ISNUMBER('Dvd Calendar'!$T$1405)*100000000+('Dvd Calendar'!$T$1407=SPECIAL_LBL)*10000000+0*1000000+27*1000+16))</f>
        <v/>
      </c>
      <c r="EU142" s="35">
        <f>IF(N('Dvd Calendar'!$U$1402)=0,"",IF(('Dvd Calendar'!$U$1402&gt;=GRID_FROM)*('Dvd Calendar'!$U$1402&lt;=GRID_TO)*('Dvd Calendar'!$U$1402&lt;=VAL_DATE)=0,"",'Dvd Calendar'!$U$1402*1000000000+ISNUMBER('Dvd Calendar'!$U$1405)*100000000+('Dvd Calendar'!$U$1407=SPECIAL_LBL)*10000000+0*1000000+27*1000+17))</f>
        <v/>
      </c>
      <c r="EV142" s="35">
        <f>IF(N('Dvd Calendar'!$V$1402)=0,"",IF(('Dvd Calendar'!$V$1402&gt;=GRID_FROM)*('Dvd Calendar'!$V$1402&lt;=GRID_TO)*('Dvd Calendar'!$V$1402&lt;=VAL_DATE)=0,"",'Dvd Calendar'!$V$1402*1000000000+ISNUMBER('Dvd Calendar'!$V$1405)*100000000+('Dvd Calendar'!$V$1407=SPECIAL_LBL)*10000000+0*1000000+27*1000+18))</f>
        <v/>
      </c>
      <c r="EW142" s="35">
        <f>IF(N('Dvd Calendar'!$W$1402)=0,"",IF(('Dvd Calendar'!$W$1402&gt;=GRID_FROM)*('Dvd Calendar'!$W$1402&lt;=GRID_TO)*('Dvd Calendar'!$W$1402&lt;=VAL_DATE)=0,"",'Dvd Calendar'!$W$1402*1000000000+ISNUMBER('Dvd Calendar'!$W$1405)*100000000+('Dvd Calendar'!$W$1407=SPECIAL_LBL)*10000000+0*1000000+27*1000+19))</f>
        <v/>
      </c>
      <c r="EX142" s="35">
        <f>IF(N('Dvd Calendar'!$X$1402)=0,"",IF(('Dvd Calendar'!$X$1402&gt;=GRID_FROM)*('Dvd Calendar'!$X$1402&lt;=GRID_TO)*('Dvd Calendar'!$X$1402&lt;=VAL_DATE)=0,"",'Dvd Calendar'!$X$1402*1000000000+ISNUMBER('Dvd Calendar'!$X$1405)*100000000+('Dvd Calendar'!$X$1407=SPECIAL_LBL)*10000000+0*1000000+27*1000+20))</f>
        <v/>
      </c>
      <c r="EY142" s="35">
        <f>IF(N('Dvd Calendar'!$Y$1402)=0,"",IF(('Dvd Calendar'!$Y$1402&gt;=GRID_FROM)*('Dvd Calendar'!$Y$1402&lt;=GRID_TO)*('Dvd Calendar'!$Y$1402&lt;=VAL_DATE)=0,"",'Dvd Calendar'!$Y$1402*1000000000+ISNUMBER('Dvd Calendar'!$Y$1405)*100000000+('Dvd Calendar'!$Y$1407=SPECIAL_LBL)*10000000+0*1000000+27*1000+21))</f>
        <v/>
      </c>
      <c r="EZ142" s="35">
        <f>IF(N('Dvd Calendar'!$Z$1402)=0,"",IF(('Dvd Calendar'!$Z$1402&gt;=GRID_FROM)*('Dvd Calendar'!$Z$1402&lt;=GRID_TO)*('Dvd Calendar'!$Z$1402&lt;=VAL_DATE)=0,"",'Dvd Calendar'!$Z$1402*1000000000+ISNUMBER('Dvd Calendar'!$Z$1405)*100000000+('Dvd Calendar'!$Z$1407=SPECIAL_LBL)*10000000+0*1000000+27*1000+22))</f>
        <v/>
      </c>
      <c r="FA142" s="35">
        <f>IF(N('Dvd Calendar'!$AA$1402)=0,"",IF(('Dvd Calendar'!$AA$1402&gt;=GRID_FROM)*('Dvd Calendar'!$AA$1402&lt;=GRID_TO)*('Dvd Calendar'!$AA$1402&lt;=VAL_DATE)=0,"",'Dvd Calendar'!$AA$1402*1000000000+ISNUMBER('Dvd Calendar'!$AA$1405)*100000000+('Dvd Calendar'!$AA$1407=SPECIAL_LBL)*10000000+0*1000000+27*1000+23))</f>
        <v/>
      </c>
      <c r="FB142" s="35">
        <f>IF(N('Dvd Calendar'!$AB$1402)=0,"",IF(('Dvd Calendar'!$AB$1402&gt;=GRID_FROM)*('Dvd Calendar'!$AB$1402&lt;=GRID_TO)*('Dvd Calendar'!$AB$1402&lt;=VAL_DATE)=0,"",'Dvd Calendar'!$AB$1402*1000000000+ISNUMBER('Dvd Calendar'!$AB$1405)*100000000+('Dvd Calendar'!$AB$1407=SPECIAL_LBL)*10000000+0*1000000+27*1000+24))</f>
        <v/>
      </c>
      <c r="FC142" s="35">
        <f>IF(N('Dvd Calendar'!$AC$1402)=0,"",IF(('Dvd Calendar'!$AC$1402&gt;=GRID_FROM)*('Dvd Calendar'!$AC$1402&lt;=GRID_TO)*('Dvd Calendar'!$AC$1402&lt;=VAL_DATE)=0,"",'Dvd Calendar'!$AC$1402*1000000000+ISNUMBER('Dvd Calendar'!$AC$1405)*100000000+('Dvd Calendar'!$AC$1407=SPECIAL_LBL)*10000000+0*1000000+27*1000+25))</f>
        <v/>
      </c>
      <c r="FD142" s="35">
        <f>IF(N('Dvd Calendar'!$AD$1402)=0,"",IF(('Dvd Calendar'!$AD$1402&gt;=GRID_FROM)*('Dvd Calendar'!$AD$1402&lt;=GRID_TO)*('Dvd Calendar'!$AD$1402&lt;=VAL_DATE)=0,"",'Dvd Calendar'!$AD$1402*1000000000+ISNUMBER('Dvd Calendar'!$AD$1405)*100000000+('Dvd Calendar'!$AD$1407=SPECIAL_LBL)*10000000+0*1000000+27*1000+26))</f>
        <v/>
      </c>
      <c r="FE142" s="35">
        <f>IF(N('Dvd Calendar'!$AE$1402)=0,"",IF(('Dvd Calendar'!$AE$1402&gt;=GRID_FROM)*('Dvd Calendar'!$AE$1402&lt;=GRID_TO)*('Dvd Calendar'!$AE$1402&lt;=VAL_DATE)=0,"",'Dvd Calendar'!$AE$1402*1000000000+ISNUMBER('Dvd Calendar'!$AE$1405)*100000000+('Dvd Calendar'!$AE$1407=SPECIAL_LBL)*10000000+0*1000000+27*1000+27))</f>
        <v/>
      </c>
      <c r="FF142" s="35">
        <f>IF(N('Dvd Calendar'!$AF$1402)=0,"",IF(('Dvd Calendar'!$AF$1402&gt;=GRID_FROM)*('Dvd Calendar'!$AF$1402&lt;=GRID_TO)*('Dvd Calendar'!$AF$1402&lt;=VAL_DATE)=0,"",'Dvd Calendar'!$AF$1402*1000000000+ISNUMBER('Dvd Calendar'!$AF$1405)*100000000+('Dvd Calendar'!$AF$1407=SPECIAL_LBL)*10000000+0*1000000+27*1000+28))</f>
        <v/>
      </c>
      <c r="FG142" s="35">
        <f>IF(N('Dvd Calendar'!$AG$1402)=0,"",IF(('Dvd Calendar'!$AG$1402&gt;=GRID_FROM)*('Dvd Calendar'!$AG$1402&lt;=GRID_TO)*('Dvd Calendar'!$AG$1402&lt;=VAL_DATE)=0,"",'Dvd Calendar'!$AG$1402*1000000000+ISNUMBER('Dvd Calendar'!$AG$1405)*100000000+('Dvd Calendar'!$AG$1407=SPECIAL_LBL)*10000000+0*1000000+27*1000+29))</f>
        <v/>
      </c>
      <c r="FH142" s="35">
        <f>IF(N('Dvd Calendar'!$AH$1402)=0,"",IF(('Dvd Calendar'!$AH$1402&gt;=GRID_FROM)*('Dvd Calendar'!$AH$1402&lt;=GRID_TO)*('Dvd Calendar'!$AH$1402&lt;=VAL_DATE)=0,"",'Dvd Calendar'!$AH$1402*1000000000+ISNUMBER('Dvd Calendar'!$AH$1405)*100000000+('Dvd Calendar'!$AH$1407=SPECIAL_LBL)*10000000+0*1000000+27*1000+30))</f>
        <v/>
      </c>
      <c r="FI142" s="35">
        <f>IF(N('Dvd Calendar'!$AI$1402)=0,"",IF(('Dvd Calendar'!$AI$1402&gt;=GRID_FROM)*('Dvd Calendar'!$AI$1402&lt;=GRID_TO)*('Dvd Calendar'!$AI$1402&lt;=VAL_DATE)=0,"",'Dvd Calendar'!$AI$1402*1000000000+ISNUMBER('Dvd Calendar'!$AI$1405)*100000000+('Dvd Calendar'!$AI$1407=SPECIAL_LBL)*10000000+0*1000000+27*1000+31))</f>
        <v/>
      </c>
      <c r="FJ142" s="35">
        <f>IF(N('Dvd Calendar'!$AJ$1402)=0,"",IF(('Dvd Calendar'!$AJ$1402&gt;=GRID_FROM)*('Dvd Calendar'!$AJ$1402&lt;=GRID_TO)*('Dvd Calendar'!$AJ$1402&lt;=VAL_DATE)=0,"",'Dvd Calendar'!$AJ$1402*1000000000+ISNUMBER('Dvd Calendar'!$AJ$1405)*100000000+('Dvd Calendar'!$AJ$1407=SPECIAL_LBL)*10000000+0*1000000+27*1000+32))</f>
        <v/>
      </c>
      <c r="FK142" s="35">
        <f>IF(N('Dvd Calendar'!$AK$1402)=0,"",IF(('Dvd Calendar'!$AK$1402&gt;=GRID_FROM)*('Dvd Calendar'!$AK$1402&lt;=GRID_TO)*('Dvd Calendar'!$AK$1402&lt;=VAL_DATE)=0,"",'Dvd Calendar'!$AK$1402*1000000000+ISNUMBER('Dvd Calendar'!$AK$1405)*100000000+('Dvd Calendar'!$AK$1407=SPECIAL_LBL)*10000000+0*1000000+27*1000+33))</f>
        <v/>
      </c>
      <c r="FL142" s="35">
        <f>IF(N('Dvd Calendar'!$AL$1402)=0,"",IF(('Dvd Calendar'!$AL$1402&gt;=GRID_FROM)*('Dvd Calendar'!$AL$1402&lt;=GRID_TO)*('Dvd Calendar'!$AL$1402&lt;=VAL_DATE)=0,"",'Dvd Calendar'!$AL$1402*1000000000+ISNUMBER('Dvd Calendar'!$AL$1405)*100000000+('Dvd Calendar'!$AL$1407=SPECIAL_LBL)*10000000+0*1000000+27*1000+34))</f>
        <v/>
      </c>
      <c r="FM142" s="35">
        <f>IF(N('Dvd Calendar'!$AM$1402)=0,"",IF(('Dvd Calendar'!$AM$1402&gt;=GRID_FROM)*('Dvd Calendar'!$AM$1402&lt;=GRID_TO)*('Dvd Calendar'!$AM$1402&lt;=VAL_DATE)=0,"",'Dvd Calendar'!$AM$1402*1000000000+ISNUMBER('Dvd Calendar'!$AM$1405)*100000000+('Dvd Calendar'!$AM$1407=SPECIAL_LBL)*10000000+0*1000000+27*1000+35))</f>
        <v/>
      </c>
      <c r="FN142" s="35">
        <f>IF(N('Dvd Calendar'!$AN$1402)=0,"",IF(('Dvd Calendar'!$AN$1402&gt;=GRID_FROM)*('Dvd Calendar'!$AN$1402&lt;=GRID_TO)*('Dvd Calendar'!$AN$1402&lt;=VAL_DATE)=0,"",'Dvd Calendar'!$AN$1402*1000000000+ISNUMBER('Dvd Calendar'!$AN$1405)*100000000+('Dvd Calendar'!$AN$1407=SPECIAL_LBL)*10000000+0*1000000+27*1000+36))</f>
        <v/>
      </c>
      <c r="FO142" s="35">
        <f>IF(N('Dvd Calendar'!$AO$1402)=0,"",IF(('Dvd Calendar'!$AO$1402&gt;=GRID_FROM)*('Dvd Calendar'!$AO$1402&lt;=GRID_TO)*('Dvd Calendar'!$AO$1402&lt;=VAL_DATE)=0,"",'Dvd Calendar'!$AO$1402*1000000000+ISNUMBER('Dvd Calendar'!$AO$1405)*100000000+('Dvd Calendar'!$AO$1407=SPECIAL_LBL)*10000000+0*1000000+27*1000+37))</f>
        <v/>
      </c>
      <c r="FP142" s="35">
        <f>IF(N('Dvd Calendar'!$AP$1402)=0,"",IF(('Dvd Calendar'!$AP$1402&gt;=GRID_FROM)*('Dvd Calendar'!$AP$1402&lt;=GRID_TO)*('Dvd Calendar'!$AP$1402&lt;=VAL_DATE)=0,"",'Dvd Calendar'!$AP$1402*1000000000+ISNUMBER('Dvd Calendar'!$AP$1405)*100000000+('Dvd Calendar'!$AP$1407=SPECIAL_LBL)*10000000+0*1000000+27*1000+38))</f>
        <v/>
      </c>
      <c r="FQ142" s="35">
        <f>IF(N('Dvd Calendar'!$AQ$1402)=0,"",IF(('Dvd Calendar'!$AQ$1402&gt;=GRID_FROM)*('Dvd Calendar'!$AQ$1402&lt;=GRID_TO)*('Dvd Calendar'!$AQ$1402&lt;=VAL_DATE)=0,"",'Dvd Calendar'!$AQ$1402*1000000000+ISNUMBER('Dvd Calendar'!$AQ$1405)*100000000+('Dvd Calendar'!$AQ$1407=SPECIAL_LBL)*10000000+0*1000000+27*1000+39))</f>
        <v/>
      </c>
      <c r="FR142" s="35">
        <f>IF(N('Dvd Calendar'!$AR$1402)=0,"",IF(('Dvd Calendar'!$AR$1402&gt;=GRID_FROM)*('Dvd Calendar'!$AR$1402&lt;=GRID_TO)*('Dvd Calendar'!$AR$1402&lt;=VAL_DATE)=0,"",'Dvd Calendar'!$AR$1402*1000000000+ISNUMBER('Dvd Calendar'!$AR$1405)*100000000+('Dvd Calendar'!$AR$1407=SPECIAL_LBL)*10000000+0*1000000+27*1000+40))</f>
        <v/>
      </c>
      <c r="FS142" s="35">
        <f>IF(N('Dvd Calendar'!$E$1409)=0,"",IF(('Dvd Calendar'!$E$1409&gt;=GRID_FROM)*('Dvd Calendar'!$E$1409&lt;=GRID_TO)*('Dvd Calendar'!$E$1409&gt;VAL_DATE)=0,"",'Dvd Calendar'!$E$1409*1000000000+ISNUMBER('Dvd Calendar'!$E$1410)*100000000+0*10000000+(N('Dvd Calendar'!$E$1408)&gt;0)*(N('Dvd Calendar'!$E$1408)&lt;=VAL_SERIAL)*1000000+27*1000+41))</f>
        <v/>
      </c>
      <c r="FT142" s="35">
        <f>IF(N('Dvd Calendar'!$F$1409)=0,"",IF(('Dvd Calendar'!$F$1409&gt;=GRID_FROM)*('Dvd Calendar'!$F$1409&lt;=GRID_TO)*('Dvd Calendar'!$F$1409&gt;VAL_DATE)=0,"",'Dvd Calendar'!$F$1409*1000000000+ISNUMBER('Dvd Calendar'!$F$1410)*100000000+0*10000000+(N('Dvd Calendar'!$F$1408)&gt;0)*(N('Dvd Calendar'!$F$1408)&lt;=VAL_SERIAL)*1000000+27*1000+42))</f>
        <v/>
      </c>
      <c r="FU142" s="35">
        <f>IF(N('Dvd Calendar'!$G$1409)=0,"",IF(('Dvd Calendar'!$G$1409&gt;=GRID_FROM)*('Dvd Calendar'!$G$1409&lt;=GRID_TO)*('Dvd Calendar'!$G$1409&gt;VAL_DATE)=0,"",'Dvd Calendar'!$G$1409*1000000000+ISNUMBER('Dvd Calendar'!$G$1410)*100000000+0*10000000+(N('Dvd Calendar'!$G$1408)&gt;0)*(N('Dvd Calendar'!$G$1408)&lt;=VAL_SERIAL)*1000000+27*1000+43))</f>
        <v/>
      </c>
      <c r="FV142" s="35">
        <f>IF(N('Dvd Calendar'!$H$1409)=0,"",IF(('Dvd Calendar'!$H$1409&gt;=GRID_FROM)*('Dvd Calendar'!$H$1409&lt;=GRID_TO)*('Dvd Calendar'!$H$1409&gt;VAL_DATE)=0,"",'Dvd Calendar'!$H$1409*1000000000+ISNUMBER('Dvd Calendar'!$H$1410)*100000000+0*10000000+(N('Dvd Calendar'!$H$1408)&gt;0)*(N('Dvd Calendar'!$H$1408)&lt;=VAL_SERIAL)*1000000+27*1000+44))</f>
        <v/>
      </c>
      <c r="FW142" s="35">
        <f>IF(N('Dvd Calendar'!$I$1409)=0,"",IF(('Dvd Calendar'!$I$1409&gt;=GRID_FROM)*('Dvd Calendar'!$I$1409&lt;=GRID_TO)*('Dvd Calendar'!$I$1409&gt;VAL_DATE)=0,"",'Dvd Calendar'!$I$1409*1000000000+ISNUMBER('Dvd Calendar'!$I$1410)*100000000+0*10000000+(N('Dvd Calendar'!$I$1408)&gt;0)*(N('Dvd Calendar'!$I$1408)&lt;=VAL_SERIAL)*1000000+27*1000+45))</f>
        <v/>
      </c>
      <c r="FX142" s="35">
        <f>IF(N('Dvd Calendar'!$J$1409)=0,"",IF(('Dvd Calendar'!$J$1409&gt;=GRID_FROM)*('Dvd Calendar'!$J$1409&lt;=GRID_TO)*('Dvd Calendar'!$J$1409&gt;VAL_DATE)=0,"",'Dvd Calendar'!$J$1409*1000000000+ISNUMBER('Dvd Calendar'!$J$1410)*100000000+0*10000000+(N('Dvd Calendar'!$J$1408)&gt;0)*(N('Dvd Calendar'!$J$1408)&lt;=VAL_SERIAL)*1000000+27*1000+46))</f>
        <v/>
      </c>
      <c r="FY142" s="35">
        <f>IF(N('Dvd Calendar'!$K$1409)=0,"",IF(('Dvd Calendar'!$K$1409&gt;=GRID_FROM)*('Dvd Calendar'!$K$1409&lt;=GRID_TO)*('Dvd Calendar'!$K$1409&gt;VAL_DATE)=0,"",'Dvd Calendar'!$K$1409*1000000000+ISNUMBER('Dvd Calendar'!$K$1410)*100000000+0*10000000+(N('Dvd Calendar'!$K$1408)&gt;0)*(N('Dvd Calendar'!$K$1408)&lt;=VAL_SERIAL)*1000000+27*1000+47))</f>
        <v/>
      </c>
      <c r="FZ142" s="35">
        <f>IF(N('Dvd Calendar'!$L$1409)=0,"",IF(('Dvd Calendar'!$L$1409&gt;=GRID_FROM)*('Dvd Calendar'!$L$1409&lt;=GRID_TO)*('Dvd Calendar'!$L$1409&gt;VAL_DATE)=0,"",'Dvd Calendar'!$L$1409*1000000000+ISNUMBER('Dvd Calendar'!$L$1410)*100000000+0*10000000+(N('Dvd Calendar'!$L$1408)&gt;0)*(N('Dvd Calendar'!$L$1408)&lt;=VAL_SERIAL)*1000000+27*1000+48))</f>
        <v/>
      </c>
      <c r="GA142" s="35">
        <f>IF(N('Dvd Calendar'!$M$1409)=0,"",IF(('Dvd Calendar'!$M$1409&gt;=GRID_FROM)*('Dvd Calendar'!$M$1409&lt;=GRID_TO)*('Dvd Calendar'!$M$1409&gt;VAL_DATE)=0,"",'Dvd Calendar'!$M$1409*1000000000+ISNUMBER('Dvd Calendar'!$M$1410)*100000000+0*10000000+(N('Dvd Calendar'!$M$1408)&gt;0)*(N('Dvd Calendar'!$M$1408)&lt;=VAL_SERIAL)*1000000+27*1000+49))</f>
        <v/>
      </c>
      <c r="GB142" s="35">
        <f>IF(N('Dvd Calendar'!$N$1409)=0,"",IF(('Dvd Calendar'!$N$1409&gt;=GRID_FROM)*('Dvd Calendar'!$N$1409&lt;=GRID_TO)*('Dvd Calendar'!$N$1409&gt;VAL_DATE)=0,"",'Dvd Calendar'!$N$1409*1000000000+ISNUMBER('Dvd Calendar'!$N$1410)*100000000+0*10000000+(N('Dvd Calendar'!$N$1408)&gt;0)*(N('Dvd Calendar'!$N$1408)&lt;=VAL_SERIAL)*1000000+27*1000+50))</f>
        <v/>
      </c>
      <c r="GC142" s="35">
        <f>IF(N('Dvd Calendar'!$O$1409)=0,"",IF(('Dvd Calendar'!$O$1409&gt;=GRID_FROM)*('Dvd Calendar'!$O$1409&lt;=GRID_TO)*('Dvd Calendar'!$O$1409&gt;VAL_DATE)=0,"",'Dvd Calendar'!$O$1409*1000000000+ISNUMBER('Dvd Calendar'!$O$1410)*100000000+0*10000000+(N('Dvd Calendar'!$O$1408)&gt;0)*(N('Dvd Calendar'!$O$1408)&lt;=VAL_SERIAL)*1000000+27*1000+51))</f>
        <v/>
      </c>
      <c r="GD142" s="35">
        <f>IF(N('Dvd Calendar'!$P$1409)=0,"",IF(('Dvd Calendar'!$P$1409&gt;=GRID_FROM)*('Dvd Calendar'!$P$1409&lt;=GRID_TO)*('Dvd Calendar'!$P$1409&gt;VAL_DATE)=0,"",'Dvd Calendar'!$P$1409*1000000000+ISNUMBER('Dvd Calendar'!$P$1410)*100000000+0*10000000+(N('Dvd Calendar'!$P$1408)&gt;0)*(N('Dvd Calendar'!$P$1408)&lt;=VAL_SERIAL)*1000000+27*1000+52))</f>
        <v/>
      </c>
      <c r="GE142" s="35">
        <f>IF(N('Dvd Calendar'!$Q$1409)=0,"",IF(('Dvd Calendar'!$Q$1409&gt;=GRID_FROM)*('Dvd Calendar'!$Q$1409&lt;=GRID_TO)*('Dvd Calendar'!$Q$1409&gt;VAL_DATE)=0,"",'Dvd Calendar'!$Q$1409*1000000000+ISNUMBER('Dvd Calendar'!$Q$1410)*100000000+0*10000000+(N('Dvd Calendar'!$Q$1408)&gt;0)*(N('Dvd Calendar'!$Q$1408)&lt;=VAL_SERIAL)*1000000+27*1000+53))</f>
        <v/>
      </c>
      <c r="GF142" s="35">
        <f>IF(N('Dvd Calendar'!$R$1409)=0,"",IF(('Dvd Calendar'!$R$1409&gt;=GRID_FROM)*('Dvd Calendar'!$R$1409&lt;=GRID_TO)*('Dvd Calendar'!$R$1409&gt;VAL_DATE)=0,"",'Dvd Calendar'!$R$1409*1000000000+ISNUMBER('Dvd Calendar'!$R$1410)*100000000+0*10000000+(N('Dvd Calendar'!$R$1408)&gt;0)*(N('Dvd Calendar'!$R$1408)&lt;=VAL_SERIAL)*1000000+27*1000+54))</f>
        <v/>
      </c>
      <c r="GG142" s="35">
        <f>IF(N('Dvd Calendar'!$S$1409)=0,"",IF(('Dvd Calendar'!$S$1409&gt;=GRID_FROM)*('Dvd Calendar'!$S$1409&lt;=GRID_TO)*('Dvd Calendar'!$S$1409&gt;VAL_DATE)=0,"",'Dvd Calendar'!$S$1409*1000000000+ISNUMBER('Dvd Calendar'!$S$1410)*100000000+0*10000000+(N('Dvd Calendar'!$S$1408)&gt;0)*(N('Dvd Calendar'!$S$1408)&lt;=VAL_SERIAL)*1000000+27*1000+55))</f>
        <v/>
      </c>
      <c r="GH142" s="35">
        <f>IF(N('Dvd Calendar'!$T$1409)=0,"",IF(('Dvd Calendar'!$T$1409&gt;=GRID_FROM)*('Dvd Calendar'!$T$1409&lt;=GRID_TO)*('Dvd Calendar'!$T$1409&gt;VAL_DATE)=0,"",'Dvd Calendar'!$T$1409*1000000000+ISNUMBER('Dvd Calendar'!$T$1410)*100000000+0*10000000+(N('Dvd Calendar'!$T$1408)&gt;0)*(N('Dvd Calendar'!$T$1408)&lt;=VAL_SERIAL)*1000000+27*1000+56))</f>
        <v/>
      </c>
      <c r="GI142" s="35">
        <f>IF(N('Dvd Calendar'!$U$1409)=0,"",IF(('Dvd Calendar'!$U$1409&gt;=GRID_FROM)*('Dvd Calendar'!$U$1409&lt;=GRID_TO)*('Dvd Calendar'!$U$1409&gt;VAL_DATE)=0,"",'Dvd Calendar'!$U$1409*1000000000+ISNUMBER('Dvd Calendar'!$U$1410)*100000000+0*10000000+(N('Dvd Calendar'!$U$1408)&gt;0)*(N('Dvd Calendar'!$U$1408)&lt;=VAL_SERIAL)*1000000+27*1000+57))</f>
        <v/>
      </c>
      <c r="GJ142" s="35">
        <f>IF(N('Dvd Calendar'!$V$1409)=0,"",IF(('Dvd Calendar'!$V$1409&gt;=GRID_FROM)*('Dvd Calendar'!$V$1409&lt;=GRID_TO)*('Dvd Calendar'!$V$1409&gt;VAL_DATE)=0,"",'Dvd Calendar'!$V$1409*1000000000+ISNUMBER('Dvd Calendar'!$V$1410)*100000000+0*10000000+(N('Dvd Calendar'!$V$1408)&gt;0)*(N('Dvd Calendar'!$V$1408)&lt;=VAL_SERIAL)*1000000+27*1000+58))</f>
        <v/>
      </c>
      <c r="GK142" s="35">
        <f>IF(N('Dvd Calendar'!$W$1409)=0,"",IF(('Dvd Calendar'!$W$1409&gt;=GRID_FROM)*('Dvd Calendar'!$W$1409&lt;=GRID_TO)*('Dvd Calendar'!$W$1409&gt;VAL_DATE)=0,"",'Dvd Calendar'!$W$1409*1000000000+ISNUMBER('Dvd Calendar'!$W$1410)*100000000+0*10000000+(N('Dvd Calendar'!$W$1408)&gt;0)*(N('Dvd Calendar'!$W$1408)&lt;=VAL_SERIAL)*1000000+27*1000+59))</f>
        <v/>
      </c>
      <c r="GL142" s="35">
        <f>IF(N('Dvd Calendar'!$X$1409)=0,"",IF(('Dvd Calendar'!$X$1409&gt;=GRID_FROM)*('Dvd Calendar'!$X$1409&lt;=GRID_TO)*('Dvd Calendar'!$X$1409&gt;VAL_DATE)=0,"",'Dvd Calendar'!$X$1409*1000000000+ISNUMBER('Dvd Calendar'!$X$1410)*100000000+0*10000000+(N('Dvd Calendar'!$X$1408)&gt;0)*(N('Dvd Calendar'!$X$1408)&lt;=VAL_SERIAL)*1000000+27*1000+60))</f>
        <v/>
      </c>
      <c r="GM142" s="35">
        <f>IF(N('Dvd Calendar'!$Y$1409)=0,"",IF(('Dvd Calendar'!$Y$1409&gt;=GRID_FROM)*('Dvd Calendar'!$Y$1409&lt;=GRID_TO)*('Dvd Calendar'!$Y$1409&gt;VAL_DATE)=0,"",'Dvd Calendar'!$Y$1409*1000000000+ISNUMBER('Dvd Calendar'!$Y$1410)*100000000+0*10000000+(N('Dvd Calendar'!$Y$1408)&gt;0)*(N('Dvd Calendar'!$Y$1408)&lt;=VAL_SERIAL)*1000000+27*1000+61))</f>
        <v/>
      </c>
      <c r="GN142" s="35">
        <f>IF(N('Dvd Calendar'!$Z$1409)=0,"",IF(('Dvd Calendar'!$Z$1409&gt;=GRID_FROM)*('Dvd Calendar'!$Z$1409&lt;=GRID_TO)*('Dvd Calendar'!$Z$1409&gt;VAL_DATE)=0,"",'Dvd Calendar'!$Z$1409*1000000000+ISNUMBER('Dvd Calendar'!$Z$1410)*100000000+0*10000000+(N('Dvd Calendar'!$Z$1408)&gt;0)*(N('Dvd Calendar'!$Z$1408)&lt;=VAL_SERIAL)*1000000+27*1000+62))</f>
        <v/>
      </c>
      <c r="GO142" s="35">
        <f>IF(N('Dvd Calendar'!$AA$1409)=0,"",IF(('Dvd Calendar'!$AA$1409&gt;=GRID_FROM)*('Dvd Calendar'!$AA$1409&lt;=GRID_TO)*('Dvd Calendar'!$AA$1409&gt;VAL_DATE)=0,"",'Dvd Calendar'!$AA$1409*1000000000+ISNUMBER('Dvd Calendar'!$AA$1410)*100000000+0*10000000+(N('Dvd Calendar'!$AA$1408)&gt;0)*(N('Dvd Calendar'!$AA$1408)&lt;=VAL_SERIAL)*1000000+27*1000+63))</f>
        <v/>
      </c>
      <c r="GP142" s="35">
        <f>IF(N('Dvd Calendar'!$AB$1409)=0,"",IF(('Dvd Calendar'!$AB$1409&gt;=GRID_FROM)*('Dvd Calendar'!$AB$1409&lt;=GRID_TO)*('Dvd Calendar'!$AB$1409&gt;VAL_DATE)=0,"",'Dvd Calendar'!$AB$1409*1000000000+ISNUMBER('Dvd Calendar'!$AB$1410)*100000000+0*10000000+(N('Dvd Calendar'!$AB$1408)&gt;0)*(N('Dvd Calendar'!$AB$1408)&lt;=VAL_SERIAL)*1000000+27*1000+64))</f>
        <v/>
      </c>
      <c r="GQ142" s="35">
        <f>IF(N('Dvd Calendar'!$AC$1409)=0,"",IF(('Dvd Calendar'!$AC$1409&gt;=GRID_FROM)*('Dvd Calendar'!$AC$1409&lt;=GRID_TO)*('Dvd Calendar'!$AC$1409&gt;VAL_DATE)=0,"",'Dvd Calendar'!$AC$1409*1000000000+ISNUMBER('Dvd Calendar'!$AC$1410)*100000000+0*10000000+(N('Dvd Calendar'!$AC$1408)&gt;0)*(N('Dvd Calendar'!$AC$1408)&lt;=VAL_SERIAL)*1000000+27*1000+65))</f>
        <v/>
      </c>
    </row>
    <row r="143">
      <c r="B143" s="2">
        <f>IF(HSTECH!$C$34="","",HSTECH!$C$34)</f>
        <v/>
      </c>
      <c r="C143" s="106">
        <f>IF(EE143="","",IF(ISNUMBER('Dvd Calendar'!$E$1416)=FALSE,"",IF((('Dvd Calendar'!$E$1418=TYPE1)*(TYPE1&lt;&gt;"")+('Dvd Calendar'!$E$1418=TYPE2)*(TYPE2&lt;&gt;"")+('Dvd Calendar'!$E$1418=TYPE3)*(TYPE3&lt;&gt;"")+('Dvd Calendar'!$E$1418=TYPE4)*(TYPE4&lt;&gt;"")+('Dvd Calendar'!$E$1418=SPECIAL_LBL)*(INC_SPECIALS="Y"))=0,"",'Dvd Calendar'!$E$1416)))</f>
        <v/>
      </c>
      <c r="D143" s="106">
        <f>IF(EF143="","",IF(ISNUMBER('Dvd Calendar'!$F$1416)=FALSE,"",IF((('Dvd Calendar'!$F$1418=TYPE1)*(TYPE1&lt;&gt;"")+('Dvd Calendar'!$F$1418=TYPE2)*(TYPE2&lt;&gt;"")+('Dvd Calendar'!$F$1418=TYPE3)*(TYPE3&lt;&gt;"")+('Dvd Calendar'!$F$1418=TYPE4)*(TYPE4&lt;&gt;"")+('Dvd Calendar'!$F$1418=SPECIAL_LBL)*(INC_SPECIALS="Y"))=0,"",'Dvd Calendar'!$F$1416)))</f>
        <v/>
      </c>
      <c r="E143" s="106">
        <f>IF(EG143="","",IF(ISNUMBER('Dvd Calendar'!$G$1416)=FALSE,"",IF((('Dvd Calendar'!$G$1418=TYPE1)*(TYPE1&lt;&gt;"")+('Dvd Calendar'!$G$1418=TYPE2)*(TYPE2&lt;&gt;"")+('Dvd Calendar'!$G$1418=TYPE3)*(TYPE3&lt;&gt;"")+('Dvd Calendar'!$G$1418=TYPE4)*(TYPE4&lt;&gt;"")+('Dvd Calendar'!$G$1418=SPECIAL_LBL)*(INC_SPECIALS="Y"))=0,"",'Dvd Calendar'!$G$1416)))</f>
        <v/>
      </c>
      <c r="F143" s="106">
        <f>IF(EH143="","",IF(ISNUMBER('Dvd Calendar'!$H$1416)=FALSE,"",IF((('Dvd Calendar'!$H$1418=TYPE1)*(TYPE1&lt;&gt;"")+('Dvd Calendar'!$H$1418=TYPE2)*(TYPE2&lt;&gt;"")+('Dvd Calendar'!$H$1418=TYPE3)*(TYPE3&lt;&gt;"")+('Dvd Calendar'!$H$1418=TYPE4)*(TYPE4&lt;&gt;"")+('Dvd Calendar'!$H$1418=SPECIAL_LBL)*(INC_SPECIALS="Y"))=0,"",'Dvd Calendar'!$H$1416)))</f>
        <v/>
      </c>
      <c r="G143" s="106">
        <f>IF(EI143="","",IF(ISNUMBER('Dvd Calendar'!$I$1416)=FALSE,"",IF((('Dvd Calendar'!$I$1418=TYPE1)*(TYPE1&lt;&gt;"")+('Dvd Calendar'!$I$1418=TYPE2)*(TYPE2&lt;&gt;"")+('Dvd Calendar'!$I$1418=TYPE3)*(TYPE3&lt;&gt;"")+('Dvd Calendar'!$I$1418=TYPE4)*(TYPE4&lt;&gt;"")+('Dvd Calendar'!$I$1418=SPECIAL_LBL)*(INC_SPECIALS="Y"))=0,"",'Dvd Calendar'!$I$1416)))</f>
        <v/>
      </c>
      <c r="H143" s="106">
        <f>IF(EJ143="","",IF(ISNUMBER('Dvd Calendar'!$J$1416)=FALSE,"",IF((('Dvd Calendar'!$J$1418=TYPE1)*(TYPE1&lt;&gt;"")+('Dvd Calendar'!$J$1418=TYPE2)*(TYPE2&lt;&gt;"")+('Dvd Calendar'!$J$1418=TYPE3)*(TYPE3&lt;&gt;"")+('Dvd Calendar'!$J$1418=TYPE4)*(TYPE4&lt;&gt;"")+('Dvd Calendar'!$J$1418=SPECIAL_LBL)*(INC_SPECIALS="Y"))=0,"",'Dvd Calendar'!$J$1416)))</f>
        <v/>
      </c>
      <c r="I143" s="106">
        <f>IF(EK143="","",IF(ISNUMBER('Dvd Calendar'!$K$1416)=FALSE,"",IF((('Dvd Calendar'!$K$1418=TYPE1)*(TYPE1&lt;&gt;"")+('Dvd Calendar'!$K$1418=TYPE2)*(TYPE2&lt;&gt;"")+('Dvd Calendar'!$K$1418=TYPE3)*(TYPE3&lt;&gt;"")+('Dvd Calendar'!$K$1418=TYPE4)*(TYPE4&lt;&gt;"")+('Dvd Calendar'!$K$1418=SPECIAL_LBL)*(INC_SPECIALS="Y"))=0,"",'Dvd Calendar'!$K$1416)))</f>
        <v/>
      </c>
      <c r="J143" s="106">
        <f>IF(EL143="","",IF(ISNUMBER('Dvd Calendar'!$L$1416)=FALSE,"",IF((('Dvd Calendar'!$L$1418=TYPE1)*(TYPE1&lt;&gt;"")+('Dvd Calendar'!$L$1418=TYPE2)*(TYPE2&lt;&gt;"")+('Dvd Calendar'!$L$1418=TYPE3)*(TYPE3&lt;&gt;"")+('Dvd Calendar'!$L$1418=TYPE4)*(TYPE4&lt;&gt;"")+('Dvd Calendar'!$L$1418=SPECIAL_LBL)*(INC_SPECIALS="Y"))=0,"",'Dvd Calendar'!$L$1416)))</f>
        <v/>
      </c>
      <c r="K143" s="106">
        <f>IF(EM143="","",IF(ISNUMBER('Dvd Calendar'!$M$1416)=FALSE,"",IF((('Dvd Calendar'!$M$1418=TYPE1)*(TYPE1&lt;&gt;"")+('Dvd Calendar'!$M$1418=TYPE2)*(TYPE2&lt;&gt;"")+('Dvd Calendar'!$M$1418=TYPE3)*(TYPE3&lt;&gt;"")+('Dvd Calendar'!$M$1418=TYPE4)*(TYPE4&lt;&gt;"")+('Dvd Calendar'!$M$1418=SPECIAL_LBL)*(INC_SPECIALS="Y"))=0,"",'Dvd Calendar'!$M$1416)))</f>
        <v/>
      </c>
      <c r="L143" s="106">
        <f>IF(EN143="","",IF(ISNUMBER('Dvd Calendar'!$N$1416)=FALSE,"",IF((('Dvd Calendar'!$N$1418=TYPE1)*(TYPE1&lt;&gt;"")+('Dvd Calendar'!$N$1418=TYPE2)*(TYPE2&lt;&gt;"")+('Dvd Calendar'!$N$1418=TYPE3)*(TYPE3&lt;&gt;"")+('Dvd Calendar'!$N$1418=TYPE4)*(TYPE4&lt;&gt;"")+('Dvd Calendar'!$N$1418=SPECIAL_LBL)*(INC_SPECIALS="Y"))=0,"",'Dvd Calendar'!$N$1416)))</f>
        <v/>
      </c>
      <c r="M143" s="106">
        <f>IF(EO143="","",IF(ISNUMBER('Dvd Calendar'!$O$1416)=FALSE,"",IF((('Dvd Calendar'!$O$1418=TYPE1)*(TYPE1&lt;&gt;"")+('Dvd Calendar'!$O$1418=TYPE2)*(TYPE2&lt;&gt;"")+('Dvd Calendar'!$O$1418=TYPE3)*(TYPE3&lt;&gt;"")+('Dvd Calendar'!$O$1418=TYPE4)*(TYPE4&lt;&gt;"")+('Dvd Calendar'!$O$1418=SPECIAL_LBL)*(INC_SPECIALS="Y"))=0,"",'Dvd Calendar'!$O$1416)))</f>
        <v/>
      </c>
      <c r="N143" s="106">
        <f>IF(EP143="","",IF(ISNUMBER('Dvd Calendar'!$P$1416)=FALSE,"",IF((('Dvd Calendar'!$P$1418=TYPE1)*(TYPE1&lt;&gt;"")+('Dvd Calendar'!$P$1418=TYPE2)*(TYPE2&lt;&gt;"")+('Dvd Calendar'!$P$1418=TYPE3)*(TYPE3&lt;&gt;"")+('Dvd Calendar'!$P$1418=TYPE4)*(TYPE4&lt;&gt;"")+('Dvd Calendar'!$P$1418=SPECIAL_LBL)*(INC_SPECIALS="Y"))=0,"",'Dvd Calendar'!$P$1416)))</f>
        <v/>
      </c>
      <c r="O143" s="106">
        <f>IF(EQ143="","",IF(ISNUMBER('Dvd Calendar'!$Q$1416)=FALSE,"",IF((('Dvd Calendar'!$Q$1418=TYPE1)*(TYPE1&lt;&gt;"")+('Dvd Calendar'!$Q$1418=TYPE2)*(TYPE2&lt;&gt;"")+('Dvd Calendar'!$Q$1418=TYPE3)*(TYPE3&lt;&gt;"")+('Dvd Calendar'!$Q$1418=TYPE4)*(TYPE4&lt;&gt;"")+('Dvd Calendar'!$Q$1418=SPECIAL_LBL)*(INC_SPECIALS="Y"))=0,"",'Dvd Calendar'!$Q$1416)))</f>
        <v/>
      </c>
      <c r="P143" s="106">
        <f>IF(ER143="","",IF(ISNUMBER('Dvd Calendar'!$R$1416)=FALSE,"",IF((('Dvd Calendar'!$R$1418=TYPE1)*(TYPE1&lt;&gt;"")+('Dvd Calendar'!$R$1418=TYPE2)*(TYPE2&lt;&gt;"")+('Dvd Calendar'!$R$1418=TYPE3)*(TYPE3&lt;&gt;"")+('Dvd Calendar'!$R$1418=TYPE4)*(TYPE4&lt;&gt;"")+('Dvd Calendar'!$R$1418=SPECIAL_LBL)*(INC_SPECIALS="Y"))=0,"",'Dvd Calendar'!$R$1416)))</f>
        <v/>
      </c>
      <c r="Q143" s="106">
        <f>IF(ES143="","",IF(ISNUMBER('Dvd Calendar'!$S$1416)=FALSE,"",IF((('Dvd Calendar'!$S$1418=TYPE1)*(TYPE1&lt;&gt;"")+('Dvd Calendar'!$S$1418=TYPE2)*(TYPE2&lt;&gt;"")+('Dvd Calendar'!$S$1418=TYPE3)*(TYPE3&lt;&gt;"")+('Dvd Calendar'!$S$1418=TYPE4)*(TYPE4&lt;&gt;"")+('Dvd Calendar'!$S$1418=SPECIAL_LBL)*(INC_SPECIALS="Y"))=0,"",'Dvd Calendar'!$S$1416)))</f>
        <v/>
      </c>
      <c r="R143" s="106">
        <f>IF(ET143="","",IF(ISNUMBER('Dvd Calendar'!$T$1416)=FALSE,"",IF((('Dvd Calendar'!$T$1418=TYPE1)*(TYPE1&lt;&gt;"")+('Dvd Calendar'!$T$1418=TYPE2)*(TYPE2&lt;&gt;"")+('Dvd Calendar'!$T$1418=TYPE3)*(TYPE3&lt;&gt;"")+('Dvd Calendar'!$T$1418=TYPE4)*(TYPE4&lt;&gt;"")+('Dvd Calendar'!$T$1418=SPECIAL_LBL)*(INC_SPECIALS="Y"))=0,"",'Dvd Calendar'!$T$1416)))</f>
        <v/>
      </c>
      <c r="S143" s="106">
        <f>IF(EU143="","",IF(ISNUMBER('Dvd Calendar'!$U$1416)=FALSE,"",IF((('Dvd Calendar'!$U$1418=TYPE1)*(TYPE1&lt;&gt;"")+('Dvd Calendar'!$U$1418=TYPE2)*(TYPE2&lt;&gt;"")+('Dvd Calendar'!$U$1418=TYPE3)*(TYPE3&lt;&gt;"")+('Dvd Calendar'!$U$1418=TYPE4)*(TYPE4&lt;&gt;"")+('Dvd Calendar'!$U$1418=SPECIAL_LBL)*(INC_SPECIALS="Y"))=0,"",'Dvd Calendar'!$U$1416)))</f>
        <v/>
      </c>
      <c r="T143" s="106">
        <f>IF(EV143="","",IF(ISNUMBER('Dvd Calendar'!$V$1416)=FALSE,"",IF((('Dvd Calendar'!$V$1418=TYPE1)*(TYPE1&lt;&gt;"")+('Dvd Calendar'!$V$1418=TYPE2)*(TYPE2&lt;&gt;"")+('Dvd Calendar'!$V$1418=TYPE3)*(TYPE3&lt;&gt;"")+('Dvd Calendar'!$V$1418=TYPE4)*(TYPE4&lt;&gt;"")+('Dvd Calendar'!$V$1418=SPECIAL_LBL)*(INC_SPECIALS="Y"))=0,"",'Dvd Calendar'!$V$1416)))</f>
        <v/>
      </c>
      <c r="U143" s="106">
        <f>IF(EW143="","",IF(ISNUMBER('Dvd Calendar'!$W$1416)=FALSE,"",IF((('Dvd Calendar'!$W$1418=TYPE1)*(TYPE1&lt;&gt;"")+('Dvd Calendar'!$W$1418=TYPE2)*(TYPE2&lt;&gt;"")+('Dvd Calendar'!$W$1418=TYPE3)*(TYPE3&lt;&gt;"")+('Dvd Calendar'!$W$1418=TYPE4)*(TYPE4&lt;&gt;"")+('Dvd Calendar'!$W$1418=SPECIAL_LBL)*(INC_SPECIALS="Y"))=0,"",'Dvd Calendar'!$W$1416)))</f>
        <v/>
      </c>
      <c r="V143" s="106">
        <f>IF(EX143="","",IF(ISNUMBER('Dvd Calendar'!$X$1416)=FALSE,"",IF((('Dvd Calendar'!$X$1418=TYPE1)*(TYPE1&lt;&gt;"")+('Dvd Calendar'!$X$1418=TYPE2)*(TYPE2&lt;&gt;"")+('Dvd Calendar'!$X$1418=TYPE3)*(TYPE3&lt;&gt;"")+('Dvd Calendar'!$X$1418=TYPE4)*(TYPE4&lt;&gt;"")+('Dvd Calendar'!$X$1418=SPECIAL_LBL)*(INC_SPECIALS="Y"))=0,"",'Dvd Calendar'!$X$1416)))</f>
        <v/>
      </c>
      <c r="W143" s="106">
        <f>IF(EY143="","",IF(ISNUMBER('Dvd Calendar'!$Y$1416)=FALSE,"",IF((('Dvd Calendar'!$Y$1418=TYPE1)*(TYPE1&lt;&gt;"")+('Dvd Calendar'!$Y$1418=TYPE2)*(TYPE2&lt;&gt;"")+('Dvd Calendar'!$Y$1418=TYPE3)*(TYPE3&lt;&gt;"")+('Dvd Calendar'!$Y$1418=TYPE4)*(TYPE4&lt;&gt;"")+('Dvd Calendar'!$Y$1418=SPECIAL_LBL)*(INC_SPECIALS="Y"))=0,"",'Dvd Calendar'!$Y$1416)))</f>
        <v/>
      </c>
      <c r="X143" s="106">
        <f>IF(EZ143="","",IF(ISNUMBER('Dvd Calendar'!$Z$1416)=FALSE,"",IF((('Dvd Calendar'!$Z$1418=TYPE1)*(TYPE1&lt;&gt;"")+('Dvd Calendar'!$Z$1418=TYPE2)*(TYPE2&lt;&gt;"")+('Dvd Calendar'!$Z$1418=TYPE3)*(TYPE3&lt;&gt;"")+('Dvd Calendar'!$Z$1418=TYPE4)*(TYPE4&lt;&gt;"")+('Dvd Calendar'!$Z$1418=SPECIAL_LBL)*(INC_SPECIALS="Y"))=0,"",'Dvd Calendar'!$Z$1416)))</f>
        <v/>
      </c>
      <c r="Y143" s="106">
        <f>IF(FA143="","",IF(ISNUMBER('Dvd Calendar'!$AA$1416)=FALSE,"",IF((('Dvd Calendar'!$AA$1418=TYPE1)*(TYPE1&lt;&gt;"")+('Dvd Calendar'!$AA$1418=TYPE2)*(TYPE2&lt;&gt;"")+('Dvd Calendar'!$AA$1418=TYPE3)*(TYPE3&lt;&gt;"")+('Dvd Calendar'!$AA$1418=TYPE4)*(TYPE4&lt;&gt;"")+('Dvd Calendar'!$AA$1418=SPECIAL_LBL)*(INC_SPECIALS="Y"))=0,"",'Dvd Calendar'!$AA$1416)))</f>
        <v/>
      </c>
      <c r="Z143" s="106">
        <f>IF(FB143="","",IF(ISNUMBER('Dvd Calendar'!$AB$1416)=FALSE,"",IF((('Dvd Calendar'!$AB$1418=TYPE1)*(TYPE1&lt;&gt;"")+('Dvd Calendar'!$AB$1418=TYPE2)*(TYPE2&lt;&gt;"")+('Dvd Calendar'!$AB$1418=TYPE3)*(TYPE3&lt;&gt;"")+('Dvd Calendar'!$AB$1418=TYPE4)*(TYPE4&lt;&gt;"")+('Dvd Calendar'!$AB$1418=SPECIAL_LBL)*(INC_SPECIALS="Y"))=0,"",'Dvd Calendar'!$AB$1416)))</f>
        <v/>
      </c>
      <c r="AA143" s="106">
        <f>IF(FC143="","",IF(ISNUMBER('Dvd Calendar'!$AC$1416)=FALSE,"",IF((('Dvd Calendar'!$AC$1418=TYPE1)*(TYPE1&lt;&gt;"")+('Dvd Calendar'!$AC$1418=TYPE2)*(TYPE2&lt;&gt;"")+('Dvd Calendar'!$AC$1418=TYPE3)*(TYPE3&lt;&gt;"")+('Dvd Calendar'!$AC$1418=TYPE4)*(TYPE4&lt;&gt;"")+('Dvd Calendar'!$AC$1418=SPECIAL_LBL)*(INC_SPECIALS="Y"))=0,"",'Dvd Calendar'!$AC$1416)))</f>
        <v/>
      </c>
      <c r="AB143" s="106">
        <f>IF(FD143="","",IF(ISNUMBER('Dvd Calendar'!$AD$1416)=FALSE,"",IF((('Dvd Calendar'!$AD$1418=TYPE1)*(TYPE1&lt;&gt;"")+('Dvd Calendar'!$AD$1418=TYPE2)*(TYPE2&lt;&gt;"")+('Dvd Calendar'!$AD$1418=TYPE3)*(TYPE3&lt;&gt;"")+('Dvd Calendar'!$AD$1418=TYPE4)*(TYPE4&lt;&gt;"")+('Dvd Calendar'!$AD$1418=SPECIAL_LBL)*(INC_SPECIALS="Y"))=0,"",'Dvd Calendar'!$AD$1416)))</f>
        <v/>
      </c>
      <c r="AC143" s="106">
        <f>IF(FE143="","",IF(ISNUMBER('Dvd Calendar'!$AE$1416)=FALSE,"",IF((('Dvd Calendar'!$AE$1418=TYPE1)*(TYPE1&lt;&gt;"")+('Dvd Calendar'!$AE$1418=TYPE2)*(TYPE2&lt;&gt;"")+('Dvd Calendar'!$AE$1418=TYPE3)*(TYPE3&lt;&gt;"")+('Dvd Calendar'!$AE$1418=TYPE4)*(TYPE4&lt;&gt;"")+('Dvd Calendar'!$AE$1418=SPECIAL_LBL)*(INC_SPECIALS="Y"))=0,"",'Dvd Calendar'!$AE$1416)))</f>
        <v/>
      </c>
      <c r="AD143" s="106">
        <f>IF(FF143="","",IF(ISNUMBER('Dvd Calendar'!$AF$1416)=FALSE,"",IF((('Dvd Calendar'!$AF$1418=TYPE1)*(TYPE1&lt;&gt;"")+('Dvd Calendar'!$AF$1418=TYPE2)*(TYPE2&lt;&gt;"")+('Dvd Calendar'!$AF$1418=TYPE3)*(TYPE3&lt;&gt;"")+('Dvd Calendar'!$AF$1418=TYPE4)*(TYPE4&lt;&gt;"")+('Dvd Calendar'!$AF$1418=SPECIAL_LBL)*(INC_SPECIALS="Y"))=0,"",'Dvd Calendar'!$AF$1416)))</f>
        <v/>
      </c>
      <c r="AE143" s="106">
        <f>IF(FG143="","",IF(ISNUMBER('Dvd Calendar'!$AG$1416)=FALSE,"",IF((('Dvd Calendar'!$AG$1418=TYPE1)*(TYPE1&lt;&gt;"")+('Dvd Calendar'!$AG$1418=TYPE2)*(TYPE2&lt;&gt;"")+('Dvd Calendar'!$AG$1418=TYPE3)*(TYPE3&lt;&gt;"")+('Dvd Calendar'!$AG$1418=TYPE4)*(TYPE4&lt;&gt;"")+('Dvd Calendar'!$AG$1418=SPECIAL_LBL)*(INC_SPECIALS="Y"))=0,"",'Dvd Calendar'!$AG$1416)))</f>
        <v/>
      </c>
      <c r="AF143" s="106">
        <f>IF(FH143="","",IF(ISNUMBER('Dvd Calendar'!$AH$1416)=FALSE,"",IF((('Dvd Calendar'!$AH$1418=TYPE1)*(TYPE1&lt;&gt;"")+('Dvd Calendar'!$AH$1418=TYPE2)*(TYPE2&lt;&gt;"")+('Dvd Calendar'!$AH$1418=TYPE3)*(TYPE3&lt;&gt;"")+('Dvd Calendar'!$AH$1418=TYPE4)*(TYPE4&lt;&gt;"")+('Dvd Calendar'!$AH$1418=SPECIAL_LBL)*(INC_SPECIALS="Y"))=0,"",'Dvd Calendar'!$AH$1416)))</f>
        <v/>
      </c>
      <c r="AG143" s="106">
        <f>IF(FI143="","",IF(ISNUMBER('Dvd Calendar'!$AI$1416)=FALSE,"",IF((('Dvd Calendar'!$AI$1418=TYPE1)*(TYPE1&lt;&gt;"")+('Dvd Calendar'!$AI$1418=TYPE2)*(TYPE2&lt;&gt;"")+('Dvd Calendar'!$AI$1418=TYPE3)*(TYPE3&lt;&gt;"")+('Dvd Calendar'!$AI$1418=TYPE4)*(TYPE4&lt;&gt;"")+('Dvd Calendar'!$AI$1418=SPECIAL_LBL)*(INC_SPECIALS="Y"))=0,"",'Dvd Calendar'!$AI$1416)))</f>
        <v/>
      </c>
      <c r="AH143" s="106">
        <f>IF(FJ143="","",IF(ISNUMBER('Dvd Calendar'!$AJ$1416)=FALSE,"",IF((('Dvd Calendar'!$AJ$1418=TYPE1)*(TYPE1&lt;&gt;"")+('Dvd Calendar'!$AJ$1418=TYPE2)*(TYPE2&lt;&gt;"")+('Dvd Calendar'!$AJ$1418=TYPE3)*(TYPE3&lt;&gt;"")+('Dvd Calendar'!$AJ$1418=TYPE4)*(TYPE4&lt;&gt;"")+('Dvd Calendar'!$AJ$1418=SPECIAL_LBL)*(INC_SPECIALS="Y"))=0,"",'Dvd Calendar'!$AJ$1416)))</f>
        <v/>
      </c>
      <c r="AI143" s="106">
        <f>IF(FK143="","",IF(ISNUMBER('Dvd Calendar'!$AK$1416)=FALSE,"",IF((('Dvd Calendar'!$AK$1418=TYPE1)*(TYPE1&lt;&gt;"")+('Dvd Calendar'!$AK$1418=TYPE2)*(TYPE2&lt;&gt;"")+('Dvd Calendar'!$AK$1418=TYPE3)*(TYPE3&lt;&gt;"")+('Dvd Calendar'!$AK$1418=TYPE4)*(TYPE4&lt;&gt;"")+('Dvd Calendar'!$AK$1418=SPECIAL_LBL)*(INC_SPECIALS="Y"))=0,"",'Dvd Calendar'!$AK$1416)))</f>
        <v/>
      </c>
      <c r="AJ143" s="106">
        <f>IF(FL143="","",IF(ISNUMBER('Dvd Calendar'!$AL$1416)=FALSE,"",IF((('Dvd Calendar'!$AL$1418=TYPE1)*(TYPE1&lt;&gt;"")+('Dvd Calendar'!$AL$1418=TYPE2)*(TYPE2&lt;&gt;"")+('Dvd Calendar'!$AL$1418=TYPE3)*(TYPE3&lt;&gt;"")+('Dvd Calendar'!$AL$1418=TYPE4)*(TYPE4&lt;&gt;"")+('Dvd Calendar'!$AL$1418=SPECIAL_LBL)*(INC_SPECIALS="Y"))=0,"",'Dvd Calendar'!$AL$1416)))</f>
        <v/>
      </c>
      <c r="AK143" s="106">
        <f>IF(FM143="","",IF(ISNUMBER('Dvd Calendar'!$AM$1416)=FALSE,"",IF((('Dvd Calendar'!$AM$1418=TYPE1)*(TYPE1&lt;&gt;"")+('Dvd Calendar'!$AM$1418=TYPE2)*(TYPE2&lt;&gt;"")+('Dvd Calendar'!$AM$1418=TYPE3)*(TYPE3&lt;&gt;"")+('Dvd Calendar'!$AM$1418=TYPE4)*(TYPE4&lt;&gt;"")+('Dvd Calendar'!$AM$1418=SPECIAL_LBL)*(INC_SPECIALS="Y"))=0,"",'Dvd Calendar'!$AM$1416)))</f>
        <v/>
      </c>
      <c r="AL143" s="106">
        <f>IF(FN143="","",IF(ISNUMBER('Dvd Calendar'!$AN$1416)=FALSE,"",IF((('Dvd Calendar'!$AN$1418=TYPE1)*(TYPE1&lt;&gt;"")+('Dvd Calendar'!$AN$1418=TYPE2)*(TYPE2&lt;&gt;"")+('Dvd Calendar'!$AN$1418=TYPE3)*(TYPE3&lt;&gt;"")+('Dvd Calendar'!$AN$1418=TYPE4)*(TYPE4&lt;&gt;"")+('Dvd Calendar'!$AN$1418=SPECIAL_LBL)*(INC_SPECIALS="Y"))=0,"",'Dvd Calendar'!$AN$1416)))</f>
        <v/>
      </c>
      <c r="AM143" s="106">
        <f>IF(FO143="","",IF(ISNUMBER('Dvd Calendar'!$AO$1416)=FALSE,"",IF((('Dvd Calendar'!$AO$1418=TYPE1)*(TYPE1&lt;&gt;"")+('Dvd Calendar'!$AO$1418=TYPE2)*(TYPE2&lt;&gt;"")+('Dvd Calendar'!$AO$1418=TYPE3)*(TYPE3&lt;&gt;"")+('Dvd Calendar'!$AO$1418=TYPE4)*(TYPE4&lt;&gt;"")+('Dvd Calendar'!$AO$1418=SPECIAL_LBL)*(INC_SPECIALS="Y"))=0,"",'Dvd Calendar'!$AO$1416)))</f>
        <v/>
      </c>
      <c r="AN143" s="106">
        <f>IF(FP143="","",IF(ISNUMBER('Dvd Calendar'!$AP$1416)=FALSE,"",IF((('Dvd Calendar'!$AP$1418=TYPE1)*(TYPE1&lt;&gt;"")+('Dvd Calendar'!$AP$1418=TYPE2)*(TYPE2&lt;&gt;"")+('Dvd Calendar'!$AP$1418=TYPE3)*(TYPE3&lt;&gt;"")+('Dvd Calendar'!$AP$1418=TYPE4)*(TYPE4&lt;&gt;"")+('Dvd Calendar'!$AP$1418=SPECIAL_LBL)*(INC_SPECIALS="Y"))=0,"",'Dvd Calendar'!$AP$1416)))</f>
        <v/>
      </c>
      <c r="AO143" s="106">
        <f>IF(FQ143="","",IF(ISNUMBER('Dvd Calendar'!$AQ$1416)=FALSE,"",IF((('Dvd Calendar'!$AQ$1418=TYPE1)*(TYPE1&lt;&gt;"")+('Dvd Calendar'!$AQ$1418=TYPE2)*(TYPE2&lt;&gt;"")+('Dvd Calendar'!$AQ$1418=TYPE3)*(TYPE3&lt;&gt;"")+('Dvd Calendar'!$AQ$1418=TYPE4)*(TYPE4&lt;&gt;"")+('Dvd Calendar'!$AQ$1418=SPECIAL_LBL)*(INC_SPECIALS="Y"))=0,"",'Dvd Calendar'!$AQ$1416)))</f>
        <v/>
      </c>
      <c r="AP143" s="106">
        <f>IF(FR143="","",IF(ISNUMBER('Dvd Calendar'!$AR$1416)=FALSE,"",IF((('Dvd Calendar'!$AR$1418=TYPE1)*(TYPE1&lt;&gt;"")+('Dvd Calendar'!$AR$1418=TYPE2)*(TYPE2&lt;&gt;"")+('Dvd Calendar'!$AR$1418=TYPE3)*(TYPE3&lt;&gt;"")+('Dvd Calendar'!$AR$1418=TYPE4)*(TYPE4&lt;&gt;"")+('Dvd Calendar'!$AR$1418=SPECIAL_LBL)*(INC_SPECIALS="Y"))=0,"",'Dvd Calendar'!$AR$1416)))</f>
        <v/>
      </c>
      <c r="AQ143" s="106">
        <f>IF(FS143="","",IF(ISNUMBER('Dvd Calendar'!$E$1421)=FALSE,"",'Dvd Calendar'!$E$1421))</f>
        <v/>
      </c>
      <c r="AR143" s="106">
        <f>IF(FT143="","",IF(ISNUMBER('Dvd Calendar'!$F$1421)=FALSE,"",'Dvd Calendar'!$F$1421))</f>
        <v/>
      </c>
      <c r="AS143" s="106">
        <f>IF(FU143="","",IF(ISNUMBER('Dvd Calendar'!$G$1421)=FALSE,"",'Dvd Calendar'!$G$1421))</f>
        <v/>
      </c>
      <c r="AT143" s="106">
        <f>IF(FV143="","",IF(ISNUMBER('Dvd Calendar'!$H$1421)=FALSE,"",'Dvd Calendar'!$H$1421))</f>
        <v/>
      </c>
      <c r="AU143" s="106">
        <f>IF(FW143="","",IF(ISNUMBER('Dvd Calendar'!$I$1421)=FALSE,"",'Dvd Calendar'!$I$1421))</f>
        <v/>
      </c>
      <c r="AV143" s="106">
        <f>IF(FX143="","",IF(ISNUMBER('Dvd Calendar'!$J$1421)=FALSE,"",'Dvd Calendar'!$J$1421))</f>
        <v/>
      </c>
      <c r="AW143" s="106">
        <f>IF(FY143="","",IF(ISNUMBER('Dvd Calendar'!$K$1421)=FALSE,"",'Dvd Calendar'!$K$1421))</f>
        <v/>
      </c>
      <c r="AX143" s="106">
        <f>IF(FZ143="","",IF(ISNUMBER('Dvd Calendar'!$L$1421)=FALSE,"",'Dvd Calendar'!$L$1421))</f>
        <v/>
      </c>
      <c r="AY143" s="106">
        <f>IF(GA143="","",IF(ISNUMBER('Dvd Calendar'!$M$1421)=FALSE,"",'Dvd Calendar'!$M$1421))</f>
        <v/>
      </c>
      <c r="AZ143" s="106">
        <f>IF(GB143="","",IF(ISNUMBER('Dvd Calendar'!$N$1421)=FALSE,"",'Dvd Calendar'!$N$1421))</f>
        <v/>
      </c>
      <c r="BA143" s="106">
        <f>IF(GC143="","",IF(ISNUMBER('Dvd Calendar'!$O$1421)=FALSE,"",'Dvd Calendar'!$O$1421))</f>
        <v/>
      </c>
      <c r="BB143" s="106">
        <f>IF(GD143="","",IF(ISNUMBER('Dvd Calendar'!$P$1421)=FALSE,"",'Dvd Calendar'!$P$1421))</f>
        <v/>
      </c>
      <c r="BC143" s="106">
        <f>IF(GE143="","",IF(ISNUMBER('Dvd Calendar'!$Q$1421)=FALSE,"",'Dvd Calendar'!$Q$1421))</f>
        <v/>
      </c>
      <c r="BD143" s="106">
        <f>IF(GF143="","",IF(ISNUMBER('Dvd Calendar'!$R$1421)=FALSE,"",'Dvd Calendar'!$R$1421))</f>
        <v/>
      </c>
      <c r="BE143" s="106">
        <f>IF(GG143="","",IF(ISNUMBER('Dvd Calendar'!$S$1421)=FALSE,"",'Dvd Calendar'!$S$1421))</f>
        <v/>
      </c>
      <c r="BF143" s="106">
        <f>IF(GH143="","",IF(ISNUMBER('Dvd Calendar'!$T$1421)=FALSE,"",'Dvd Calendar'!$T$1421))</f>
        <v/>
      </c>
      <c r="BG143" s="106">
        <f>IF(GI143="","",IF(ISNUMBER('Dvd Calendar'!$U$1421)=FALSE,"",'Dvd Calendar'!$U$1421))</f>
        <v/>
      </c>
      <c r="BH143" s="106">
        <f>IF(GJ143="","",IF(ISNUMBER('Dvd Calendar'!$V$1421)=FALSE,"",'Dvd Calendar'!$V$1421))</f>
        <v/>
      </c>
      <c r="BI143" s="106">
        <f>IF(GK143="","",IF(ISNUMBER('Dvd Calendar'!$W$1421)=FALSE,"",'Dvd Calendar'!$W$1421))</f>
        <v/>
      </c>
      <c r="BJ143" s="106">
        <f>IF(GL143="","",IF(ISNUMBER('Dvd Calendar'!$X$1421)=FALSE,"",'Dvd Calendar'!$X$1421))</f>
        <v/>
      </c>
      <c r="BK143" s="106">
        <f>IF(GM143="","",IF(ISNUMBER('Dvd Calendar'!$Y$1421)=FALSE,"",'Dvd Calendar'!$Y$1421))</f>
        <v/>
      </c>
      <c r="BL143" s="106">
        <f>IF(GN143="","",IF(ISNUMBER('Dvd Calendar'!$Z$1421)=FALSE,"",'Dvd Calendar'!$Z$1421))</f>
        <v/>
      </c>
      <c r="BM143" s="106">
        <f>IF(GO143="","",IF(ISNUMBER('Dvd Calendar'!$AA$1421)=FALSE,"",'Dvd Calendar'!$AA$1421))</f>
        <v/>
      </c>
      <c r="BN143" s="106">
        <f>IF(GP143="","",IF(ISNUMBER('Dvd Calendar'!$AB$1421)=FALSE,"",'Dvd Calendar'!$AB$1421))</f>
        <v/>
      </c>
      <c r="BO143" s="106">
        <f>IF(GQ143="","",IF(ISNUMBER('Dvd Calendar'!$AC$1421)=FALSE,"",'Dvd Calendar'!$AC$1421))</f>
        <v/>
      </c>
      <c r="BQ143" s="106">
        <f>IF(C143="","",IFERROR(C143*HSTECH!$B$34*HSTECH!$G$34/HSTECH!$B$3,""))</f>
        <v/>
      </c>
      <c r="BR143" s="106">
        <f>IF(D143="","",IFERROR(D143*HSTECH!$B$34*HSTECH!$G$34/HSTECH!$B$3,""))</f>
        <v/>
      </c>
      <c r="BS143" s="106">
        <f>IF(E143="","",IFERROR(E143*HSTECH!$B$34*HSTECH!$G$34/HSTECH!$B$3,""))</f>
        <v/>
      </c>
      <c r="BT143" s="106">
        <f>IF(F143="","",IFERROR(F143*HSTECH!$B$34*HSTECH!$G$34/HSTECH!$B$3,""))</f>
        <v/>
      </c>
      <c r="BU143" s="106">
        <f>IF(G143="","",IFERROR(G143*HSTECH!$B$34*HSTECH!$G$34/HSTECH!$B$3,""))</f>
        <v/>
      </c>
      <c r="BV143" s="106">
        <f>IF(H143="","",IFERROR(H143*HSTECH!$B$34*HSTECH!$G$34/HSTECH!$B$3,""))</f>
        <v/>
      </c>
      <c r="BW143" s="106">
        <f>IF(I143="","",IFERROR(I143*HSTECH!$B$34*HSTECH!$G$34/HSTECH!$B$3,""))</f>
        <v/>
      </c>
      <c r="BX143" s="106">
        <f>IF(J143="","",IFERROR(J143*HSTECH!$B$34*HSTECH!$G$34/HSTECH!$B$3,""))</f>
        <v/>
      </c>
      <c r="BY143" s="106">
        <f>IF(K143="","",IFERROR(K143*HSTECH!$B$34*HSTECH!$G$34/HSTECH!$B$3,""))</f>
        <v/>
      </c>
      <c r="BZ143" s="106">
        <f>IF(L143="","",IFERROR(L143*HSTECH!$B$34*HSTECH!$G$34/HSTECH!$B$3,""))</f>
        <v/>
      </c>
      <c r="CA143" s="106">
        <f>IF(M143="","",IFERROR(M143*HSTECH!$B$34*HSTECH!$G$34/HSTECH!$B$3,""))</f>
        <v/>
      </c>
      <c r="CB143" s="106">
        <f>IF(N143="","",IFERROR(N143*HSTECH!$B$34*HSTECH!$G$34/HSTECH!$B$3,""))</f>
        <v/>
      </c>
      <c r="CC143" s="106">
        <f>IF(O143="","",IFERROR(O143*HSTECH!$B$34*HSTECH!$G$34/HSTECH!$B$3,""))</f>
        <v/>
      </c>
      <c r="CD143" s="106">
        <f>IF(P143="","",IFERROR(P143*HSTECH!$B$34*HSTECH!$G$34/HSTECH!$B$3,""))</f>
        <v/>
      </c>
      <c r="CE143" s="106">
        <f>IF(Q143="","",IFERROR(Q143*HSTECH!$B$34*HSTECH!$G$34/HSTECH!$B$3,""))</f>
        <v/>
      </c>
      <c r="CF143" s="106">
        <f>IF(R143="","",IFERROR(R143*HSTECH!$B$34*HSTECH!$G$34/HSTECH!$B$3,""))</f>
        <v/>
      </c>
      <c r="CG143" s="106">
        <f>IF(S143="","",IFERROR(S143*HSTECH!$B$34*HSTECH!$G$34/HSTECH!$B$3,""))</f>
        <v/>
      </c>
      <c r="CH143" s="106">
        <f>IF(T143="","",IFERROR(T143*HSTECH!$B$34*HSTECH!$G$34/HSTECH!$B$3,""))</f>
        <v/>
      </c>
      <c r="CI143" s="106">
        <f>IF(U143="","",IFERROR(U143*HSTECH!$B$34*HSTECH!$G$34/HSTECH!$B$3,""))</f>
        <v/>
      </c>
      <c r="CJ143" s="106">
        <f>IF(V143="","",IFERROR(V143*HSTECH!$B$34*HSTECH!$G$34/HSTECH!$B$3,""))</f>
        <v/>
      </c>
      <c r="CK143" s="106">
        <f>IF(W143="","",IFERROR(W143*HSTECH!$B$34*HSTECH!$G$34/HSTECH!$B$3,""))</f>
        <v/>
      </c>
      <c r="CL143" s="106">
        <f>IF(X143="","",IFERROR(X143*HSTECH!$B$34*HSTECH!$G$34/HSTECH!$B$3,""))</f>
        <v/>
      </c>
      <c r="CM143" s="106">
        <f>IF(Y143="","",IFERROR(Y143*HSTECH!$B$34*HSTECH!$G$34/HSTECH!$B$3,""))</f>
        <v/>
      </c>
      <c r="CN143" s="106">
        <f>IF(Z143="","",IFERROR(Z143*HSTECH!$B$34*HSTECH!$G$34/HSTECH!$B$3,""))</f>
        <v/>
      </c>
      <c r="CO143" s="106">
        <f>IF(AA143="","",IFERROR(AA143*HSTECH!$B$34*HSTECH!$G$34/HSTECH!$B$3,""))</f>
        <v/>
      </c>
      <c r="CP143" s="106">
        <f>IF(AB143="","",IFERROR(AB143*HSTECH!$B$34*HSTECH!$G$34/HSTECH!$B$3,""))</f>
        <v/>
      </c>
      <c r="CQ143" s="106">
        <f>IF(AC143="","",IFERROR(AC143*HSTECH!$B$34*HSTECH!$G$34/HSTECH!$B$3,""))</f>
        <v/>
      </c>
      <c r="CR143" s="106">
        <f>IF(AD143="","",IFERROR(AD143*HSTECH!$B$34*HSTECH!$G$34/HSTECH!$B$3,""))</f>
        <v/>
      </c>
      <c r="CS143" s="106">
        <f>IF(AE143="","",IFERROR(AE143*HSTECH!$B$34*HSTECH!$G$34/HSTECH!$B$3,""))</f>
        <v/>
      </c>
      <c r="CT143" s="106">
        <f>IF(AF143="","",IFERROR(AF143*HSTECH!$B$34*HSTECH!$G$34/HSTECH!$B$3,""))</f>
        <v/>
      </c>
      <c r="CU143" s="106">
        <f>IF(AG143="","",IFERROR(AG143*HSTECH!$B$34*HSTECH!$G$34/HSTECH!$B$3,""))</f>
        <v/>
      </c>
      <c r="CV143" s="106">
        <f>IF(AH143="","",IFERROR(AH143*HSTECH!$B$34*HSTECH!$G$34/HSTECH!$B$3,""))</f>
        <v/>
      </c>
      <c r="CW143" s="106">
        <f>IF(AI143="","",IFERROR(AI143*HSTECH!$B$34*HSTECH!$G$34/HSTECH!$B$3,""))</f>
        <v/>
      </c>
      <c r="CX143" s="106">
        <f>IF(AJ143="","",IFERROR(AJ143*HSTECH!$B$34*HSTECH!$G$34/HSTECH!$B$3,""))</f>
        <v/>
      </c>
      <c r="CY143" s="106">
        <f>IF(AK143="","",IFERROR(AK143*HSTECH!$B$34*HSTECH!$G$34/HSTECH!$B$3,""))</f>
        <v/>
      </c>
      <c r="CZ143" s="106">
        <f>IF(AL143="","",IFERROR(AL143*HSTECH!$B$34*HSTECH!$G$34/HSTECH!$B$3,""))</f>
        <v/>
      </c>
      <c r="DA143" s="106">
        <f>IF(AM143="","",IFERROR(AM143*HSTECH!$B$34*HSTECH!$G$34/HSTECH!$B$3,""))</f>
        <v/>
      </c>
      <c r="DB143" s="106">
        <f>IF(AN143="","",IFERROR(AN143*HSTECH!$B$34*HSTECH!$G$34/HSTECH!$B$3,""))</f>
        <v/>
      </c>
      <c r="DC143" s="106">
        <f>IF(AO143="","",IFERROR(AO143*HSTECH!$B$34*HSTECH!$G$34/HSTECH!$B$3,""))</f>
        <v/>
      </c>
      <c r="DD143" s="106">
        <f>IF(AP143="","",IFERROR(AP143*HSTECH!$B$34*HSTECH!$G$34/HSTECH!$B$3,""))</f>
        <v/>
      </c>
      <c r="DE143" s="106">
        <f>IF(AQ143="","",IFERROR(AQ143*HSTECH!$B$34*HSTECH!$G$34/HSTECH!$B$3,""))</f>
        <v/>
      </c>
      <c r="DF143" s="106">
        <f>IF(AR143="","",IFERROR(AR143*HSTECH!$B$34*HSTECH!$G$34/HSTECH!$B$3,""))</f>
        <v/>
      </c>
      <c r="DG143" s="106">
        <f>IF(AS143="","",IFERROR(AS143*HSTECH!$B$34*HSTECH!$G$34/HSTECH!$B$3,""))</f>
        <v/>
      </c>
      <c r="DH143" s="106">
        <f>IF(AT143="","",IFERROR(AT143*HSTECH!$B$34*HSTECH!$G$34/HSTECH!$B$3,""))</f>
        <v/>
      </c>
      <c r="DI143" s="106">
        <f>IF(AU143="","",IFERROR(AU143*HSTECH!$B$34*HSTECH!$G$34/HSTECH!$B$3,""))</f>
        <v/>
      </c>
      <c r="DJ143" s="106">
        <f>IF(AV143="","",IFERROR(AV143*HSTECH!$B$34*HSTECH!$G$34/HSTECH!$B$3,""))</f>
        <v/>
      </c>
      <c r="DK143" s="106">
        <f>IF(AW143="","",IFERROR(AW143*HSTECH!$B$34*HSTECH!$G$34/HSTECH!$B$3,""))</f>
        <v/>
      </c>
      <c r="DL143" s="106">
        <f>IF(AX143="","",IFERROR(AX143*HSTECH!$B$34*HSTECH!$G$34/HSTECH!$B$3,""))</f>
        <v/>
      </c>
      <c r="DM143" s="106">
        <f>IF(AY143="","",IFERROR(AY143*HSTECH!$B$34*HSTECH!$G$34/HSTECH!$B$3,""))</f>
        <v/>
      </c>
      <c r="DN143" s="106">
        <f>IF(AZ143="","",IFERROR(AZ143*HSTECH!$B$34*HSTECH!$G$34/HSTECH!$B$3,""))</f>
        <v/>
      </c>
      <c r="DO143" s="106">
        <f>IF(BA143="","",IFERROR(BA143*HSTECH!$B$34*HSTECH!$G$34/HSTECH!$B$3,""))</f>
        <v/>
      </c>
      <c r="DP143" s="106">
        <f>IF(BB143="","",IFERROR(BB143*HSTECH!$B$34*HSTECH!$G$34/HSTECH!$B$3,""))</f>
        <v/>
      </c>
      <c r="DQ143" s="106">
        <f>IF(BC143="","",IFERROR(BC143*HSTECH!$B$34*HSTECH!$G$34/HSTECH!$B$3,""))</f>
        <v/>
      </c>
      <c r="DR143" s="106">
        <f>IF(BD143="","",IFERROR(BD143*HSTECH!$B$34*HSTECH!$G$34/HSTECH!$B$3,""))</f>
        <v/>
      </c>
      <c r="DS143" s="106">
        <f>IF(BE143="","",IFERROR(BE143*HSTECH!$B$34*HSTECH!$G$34/HSTECH!$B$3,""))</f>
        <v/>
      </c>
      <c r="DT143" s="106">
        <f>IF(BF143="","",IFERROR(BF143*HSTECH!$B$34*HSTECH!$G$34/HSTECH!$B$3,""))</f>
        <v/>
      </c>
      <c r="DU143" s="106">
        <f>IF(BG143="","",IFERROR(BG143*HSTECH!$B$34*HSTECH!$G$34/HSTECH!$B$3,""))</f>
        <v/>
      </c>
      <c r="DV143" s="106">
        <f>IF(BH143="","",IFERROR(BH143*HSTECH!$B$34*HSTECH!$G$34/HSTECH!$B$3,""))</f>
        <v/>
      </c>
      <c r="DW143" s="106">
        <f>IF(BI143="","",IFERROR(BI143*HSTECH!$B$34*HSTECH!$G$34/HSTECH!$B$3,""))</f>
        <v/>
      </c>
      <c r="DX143" s="106">
        <f>IF(BJ143="","",IFERROR(BJ143*HSTECH!$B$34*HSTECH!$G$34/HSTECH!$B$3,""))</f>
        <v/>
      </c>
      <c r="DY143" s="106">
        <f>IF(BK143="","",IFERROR(BK143*HSTECH!$B$34*HSTECH!$G$34/HSTECH!$B$3,""))</f>
        <v/>
      </c>
      <c r="DZ143" s="106">
        <f>IF(BL143="","",IFERROR(BL143*HSTECH!$B$34*HSTECH!$G$34/HSTECH!$B$3,""))</f>
        <v/>
      </c>
      <c r="EA143" s="106">
        <f>IF(BM143="","",IFERROR(BM143*HSTECH!$B$34*HSTECH!$G$34/HSTECH!$B$3,""))</f>
        <v/>
      </c>
      <c r="EB143" s="106">
        <f>IF(BN143="","",IFERROR(BN143*HSTECH!$B$34*HSTECH!$G$34/HSTECH!$B$3,""))</f>
        <v/>
      </c>
      <c r="EC143" s="106">
        <f>IF(BO143="","",IFERROR(BO143*HSTECH!$B$34*HSTECH!$G$34/HSTECH!$B$3,""))</f>
        <v/>
      </c>
      <c r="EE143" s="35">
        <f>IF(N('Dvd Calendar'!$E$1413)=0,"",IF(('Dvd Calendar'!$E$1413&gt;=GRID_FROM)*('Dvd Calendar'!$E$1413&lt;=GRID_TO)*('Dvd Calendar'!$E$1413&lt;=VAL_DATE)=0,"",'Dvd Calendar'!$E$1413*1000000000+ISNUMBER('Dvd Calendar'!$E$1416)*100000000+('Dvd Calendar'!$E$1418=SPECIAL_LBL)*10000000+0*1000000+28*1000+1))</f>
        <v/>
      </c>
      <c r="EF143" s="35">
        <f>IF(N('Dvd Calendar'!$F$1413)=0,"",IF(('Dvd Calendar'!$F$1413&gt;=GRID_FROM)*('Dvd Calendar'!$F$1413&lt;=GRID_TO)*('Dvd Calendar'!$F$1413&lt;=VAL_DATE)=0,"",'Dvd Calendar'!$F$1413*1000000000+ISNUMBER('Dvd Calendar'!$F$1416)*100000000+('Dvd Calendar'!$F$1418=SPECIAL_LBL)*10000000+0*1000000+28*1000+2))</f>
        <v/>
      </c>
      <c r="EG143" s="35">
        <f>IF(N('Dvd Calendar'!$G$1413)=0,"",IF(('Dvd Calendar'!$G$1413&gt;=GRID_FROM)*('Dvd Calendar'!$G$1413&lt;=GRID_TO)*('Dvd Calendar'!$G$1413&lt;=VAL_DATE)=0,"",'Dvd Calendar'!$G$1413*1000000000+ISNUMBER('Dvd Calendar'!$G$1416)*100000000+('Dvd Calendar'!$G$1418=SPECIAL_LBL)*10000000+0*1000000+28*1000+3))</f>
        <v/>
      </c>
      <c r="EH143" s="35">
        <f>IF(N('Dvd Calendar'!$H$1413)=0,"",IF(('Dvd Calendar'!$H$1413&gt;=GRID_FROM)*('Dvd Calendar'!$H$1413&lt;=GRID_TO)*('Dvd Calendar'!$H$1413&lt;=VAL_DATE)=0,"",'Dvd Calendar'!$H$1413*1000000000+ISNUMBER('Dvd Calendar'!$H$1416)*100000000+('Dvd Calendar'!$H$1418=SPECIAL_LBL)*10000000+0*1000000+28*1000+4))</f>
        <v/>
      </c>
      <c r="EI143" s="35">
        <f>IF(N('Dvd Calendar'!$I$1413)=0,"",IF(('Dvd Calendar'!$I$1413&gt;=GRID_FROM)*('Dvd Calendar'!$I$1413&lt;=GRID_TO)*('Dvd Calendar'!$I$1413&lt;=VAL_DATE)=0,"",'Dvd Calendar'!$I$1413*1000000000+ISNUMBER('Dvd Calendar'!$I$1416)*100000000+('Dvd Calendar'!$I$1418=SPECIAL_LBL)*10000000+0*1000000+28*1000+5))</f>
        <v/>
      </c>
      <c r="EJ143" s="35">
        <f>IF(N('Dvd Calendar'!$J$1413)=0,"",IF(('Dvd Calendar'!$J$1413&gt;=GRID_FROM)*('Dvd Calendar'!$J$1413&lt;=GRID_TO)*('Dvd Calendar'!$J$1413&lt;=VAL_DATE)=0,"",'Dvd Calendar'!$J$1413*1000000000+ISNUMBER('Dvd Calendar'!$J$1416)*100000000+('Dvd Calendar'!$J$1418=SPECIAL_LBL)*10000000+0*1000000+28*1000+6))</f>
        <v/>
      </c>
      <c r="EK143" s="35">
        <f>IF(N('Dvd Calendar'!$K$1413)=0,"",IF(('Dvd Calendar'!$K$1413&gt;=GRID_FROM)*('Dvd Calendar'!$K$1413&lt;=GRID_TO)*('Dvd Calendar'!$K$1413&lt;=VAL_DATE)=0,"",'Dvd Calendar'!$K$1413*1000000000+ISNUMBER('Dvd Calendar'!$K$1416)*100000000+('Dvd Calendar'!$K$1418=SPECIAL_LBL)*10000000+0*1000000+28*1000+7))</f>
        <v/>
      </c>
      <c r="EL143" s="35">
        <f>IF(N('Dvd Calendar'!$L$1413)=0,"",IF(('Dvd Calendar'!$L$1413&gt;=GRID_FROM)*('Dvd Calendar'!$L$1413&lt;=GRID_TO)*('Dvd Calendar'!$L$1413&lt;=VAL_DATE)=0,"",'Dvd Calendar'!$L$1413*1000000000+ISNUMBER('Dvd Calendar'!$L$1416)*100000000+('Dvd Calendar'!$L$1418=SPECIAL_LBL)*10000000+0*1000000+28*1000+8))</f>
        <v/>
      </c>
      <c r="EM143" s="35">
        <f>IF(N('Dvd Calendar'!$M$1413)=0,"",IF(('Dvd Calendar'!$M$1413&gt;=GRID_FROM)*('Dvd Calendar'!$M$1413&lt;=GRID_TO)*('Dvd Calendar'!$M$1413&lt;=VAL_DATE)=0,"",'Dvd Calendar'!$M$1413*1000000000+ISNUMBER('Dvd Calendar'!$M$1416)*100000000+('Dvd Calendar'!$M$1418=SPECIAL_LBL)*10000000+0*1000000+28*1000+9))</f>
        <v/>
      </c>
      <c r="EN143" s="35">
        <f>IF(N('Dvd Calendar'!$N$1413)=0,"",IF(('Dvd Calendar'!$N$1413&gt;=GRID_FROM)*('Dvd Calendar'!$N$1413&lt;=GRID_TO)*('Dvd Calendar'!$N$1413&lt;=VAL_DATE)=0,"",'Dvd Calendar'!$N$1413*1000000000+ISNUMBER('Dvd Calendar'!$N$1416)*100000000+('Dvd Calendar'!$N$1418=SPECIAL_LBL)*10000000+0*1000000+28*1000+10))</f>
        <v/>
      </c>
      <c r="EO143" s="35">
        <f>IF(N('Dvd Calendar'!$O$1413)=0,"",IF(('Dvd Calendar'!$O$1413&gt;=GRID_FROM)*('Dvd Calendar'!$O$1413&lt;=GRID_TO)*('Dvd Calendar'!$O$1413&lt;=VAL_DATE)=0,"",'Dvd Calendar'!$O$1413*1000000000+ISNUMBER('Dvd Calendar'!$O$1416)*100000000+('Dvd Calendar'!$O$1418=SPECIAL_LBL)*10000000+0*1000000+28*1000+11))</f>
        <v/>
      </c>
      <c r="EP143" s="35">
        <f>IF(N('Dvd Calendar'!$P$1413)=0,"",IF(('Dvd Calendar'!$P$1413&gt;=GRID_FROM)*('Dvd Calendar'!$P$1413&lt;=GRID_TO)*('Dvd Calendar'!$P$1413&lt;=VAL_DATE)=0,"",'Dvd Calendar'!$P$1413*1000000000+ISNUMBER('Dvd Calendar'!$P$1416)*100000000+('Dvd Calendar'!$P$1418=SPECIAL_LBL)*10000000+0*1000000+28*1000+12))</f>
        <v/>
      </c>
      <c r="EQ143" s="35">
        <f>IF(N('Dvd Calendar'!$Q$1413)=0,"",IF(('Dvd Calendar'!$Q$1413&gt;=GRID_FROM)*('Dvd Calendar'!$Q$1413&lt;=GRID_TO)*('Dvd Calendar'!$Q$1413&lt;=VAL_DATE)=0,"",'Dvd Calendar'!$Q$1413*1000000000+ISNUMBER('Dvd Calendar'!$Q$1416)*100000000+('Dvd Calendar'!$Q$1418=SPECIAL_LBL)*10000000+0*1000000+28*1000+13))</f>
        <v/>
      </c>
      <c r="ER143" s="35">
        <f>IF(N('Dvd Calendar'!$R$1413)=0,"",IF(('Dvd Calendar'!$R$1413&gt;=GRID_FROM)*('Dvd Calendar'!$R$1413&lt;=GRID_TO)*('Dvd Calendar'!$R$1413&lt;=VAL_DATE)=0,"",'Dvd Calendar'!$R$1413*1000000000+ISNUMBER('Dvd Calendar'!$R$1416)*100000000+('Dvd Calendar'!$R$1418=SPECIAL_LBL)*10000000+0*1000000+28*1000+14))</f>
        <v/>
      </c>
      <c r="ES143" s="35">
        <f>IF(N('Dvd Calendar'!$S$1413)=0,"",IF(('Dvd Calendar'!$S$1413&gt;=GRID_FROM)*('Dvd Calendar'!$S$1413&lt;=GRID_TO)*('Dvd Calendar'!$S$1413&lt;=VAL_DATE)=0,"",'Dvd Calendar'!$S$1413*1000000000+ISNUMBER('Dvd Calendar'!$S$1416)*100000000+('Dvd Calendar'!$S$1418=SPECIAL_LBL)*10000000+0*1000000+28*1000+15))</f>
        <v/>
      </c>
      <c r="ET143" s="35">
        <f>IF(N('Dvd Calendar'!$T$1413)=0,"",IF(('Dvd Calendar'!$T$1413&gt;=GRID_FROM)*('Dvd Calendar'!$T$1413&lt;=GRID_TO)*('Dvd Calendar'!$T$1413&lt;=VAL_DATE)=0,"",'Dvd Calendar'!$T$1413*1000000000+ISNUMBER('Dvd Calendar'!$T$1416)*100000000+('Dvd Calendar'!$T$1418=SPECIAL_LBL)*10000000+0*1000000+28*1000+16))</f>
        <v/>
      </c>
      <c r="EU143" s="35">
        <f>IF(N('Dvd Calendar'!$U$1413)=0,"",IF(('Dvd Calendar'!$U$1413&gt;=GRID_FROM)*('Dvd Calendar'!$U$1413&lt;=GRID_TO)*('Dvd Calendar'!$U$1413&lt;=VAL_DATE)=0,"",'Dvd Calendar'!$U$1413*1000000000+ISNUMBER('Dvd Calendar'!$U$1416)*100000000+('Dvd Calendar'!$U$1418=SPECIAL_LBL)*10000000+0*1000000+28*1000+17))</f>
        <v/>
      </c>
      <c r="EV143" s="35">
        <f>IF(N('Dvd Calendar'!$V$1413)=0,"",IF(('Dvd Calendar'!$V$1413&gt;=GRID_FROM)*('Dvd Calendar'!$V$1413&lt;=GRID_TO)*('Dvd Calendar'!$V$1413&lt;=VAL_DATE)=0,"",'Dvd Calendar'!$V$1413*1000000000+ISNUMBER('Dvd Calendar'!$V$1416)*100000000+('Dvd Calendar'!$V$1418=SPECIAL_LBL)*10000000+0*1000000+28*1000+18))</f>
        <v/>
      </c>
      <c r="EW143" s="35">
        <f>IF(N('Dvd Calendar'!$W$1413)=0,"",IF(('Dvd Calendar'!$W$1413&gt;=GRID_FROM)*('Dvd Calendar'!$W$1413&lt;=GRID_TO)*('Dvd Calendar'!$W$1413&lt;=VAL_DATE)=0,"",'Dvd Calendar'!$W$1413*1000000000+ISNUMBER('Dvd Calendar'!$W$1416)*100000000+('Dvd Calendar'!$W$1418=SPECIAL_LBL)*10000000+0*1000000+28*1000+19))</f>
        <v/>
      </c>
      <c r="EX143" s="35">
        <f>IF(N('Dvd Calendar'!$X$1413)=0,"",IF(('Dvd Calendar'!$X$1413&gt;=GRID_FROM)*('Dvd Calendar'!$X$1413&lt;=GRID_TO)*('Dvd Calendar'!$X$1413&lt;=VAL_DATE)=0,"",'Dvd Calendar'!$X$1413*1000000000+ISNUMBER('Dvd Calendar'!$X$1416)*100000000+('Dvd Calendar'!$X$1418=SPECIAL_LBL)*10000000+0*1000000+28*1000+20))</f>
        <v/>
      </c>
      <c r="EY143" s="35">
        <f>IF(N('Dvd Calendar'!$Y$1413)=0,"",IF(('Dvd Calendar'!$Y$1413&gt;=GRID_FROM)*('Dvd Calendar'!$Y$1413&lt;=GRID_TO)*('Dvd Calendar'!$Y$1413&lt;=VAL_DATE)=0,"",'Dvd Calendar'!$Y$1413*1000000000+ISNUMBER('Dvd Calendar'!$Y$1416)*100000000+('Dvd Calendar'!$Y$1418=SPECIAL_LBL)*10000000+0*1000000+28*1000+21))</f>
        <v/>
      </c>
      <c r="EZ143" s="35">
        <f>IF(N('Dvd Calendar'!$Z$1413)=0,"",IF(('Dvd Calendar'!$Z$1413&gt;=GRID_FROM)*('Dvd Calendar'!$Z$1413&lt;=GRID_TO)*('Dvd Calendar'!$Z$1413&lt;=VAL_DATE)=0,"",'Dvd Calendar'!$Z$1413*1000000000+ISNUMBER('Dvd Calendar'!$Z$1416)*100000000+('Dvd Calendar'!$Z$1418=SPECIAL_LBL)*10000000+0*1000000+28*1000+22))</f>
        <v/>
      </c>
      <c r="FA143" s="35">
        <f>IF(N('Dvd Calendar'!$AA$1413)=0,"",IF(('Dvd Calendar'!$AA$1413&gt;=GRID_FROM)*('Dvd Calendar'!$AA$1413&lt;=GRID_TO)*('Dvd Calendar'!$AA$1413&lt;=VAL_DATE)=0,"",'Dvd Calendar'!$AA$1413*1000000000+ISNUMBER('Dvd Calendar'!$AA$1416)*100000000+('Dvd Calendar'!$AA$1418=SPECIAL_LBL)*10000000+0*1000000+28*1000+23))</f>
        <v/>
      </c>
      <c r="FB143" s="35">
        <f>IF(N('Dvd Calendar'!$AB$1413)=0,"",IF(('Dvd Calendar'!$AB$1413&gt;=GRID_FROM)*('Dvd Calendar'!$AB$1413&lt;=GRID_TO)*('Dvd Calendar'!$AB$1413&lt;=VAL_DATE)=0,"",'Dvd Calendar'!$AB$1413*1000000000+ISNUMBER('Dvd Calendar'!$AB$1416)*100000000+('Dvd Calendar'!$AB$1418=SPECIAL_LBL)*10000000+0*1000000+28*1000+24))</f>
        <v/>
      </c>
      <c r="FC143" s="35">
        <f>IF(N('Dvd Calendar'!$AC$1413)=0,"",IF(('Dvd Calendar'!$AC$1413&gt;=GRID_FROM)*('Dvd Calendar'!$AC$1413&lt;=GRID_TO)*('Dvd Calendar'!$AC$1413&lt;=VAL_DATE)=0,"",'Dvd Calendar'!$AC$1413*1000000000+ISNUMBER('Dvd Calendar'!$AC$1416)*100000000+('Dvd Calendar'!$AC$1418=SPECIAL_LBL)*10000000+0*1000000+28*1000+25))</f>
        <v/>
      </c>
      <c r="FD143" s="35">
        <f>IF(N('Dvd Calendar'!$AD$1413)=0,"",IF(('Dvd Calendar'!$AD$1413&gt;=GRID_FROM)*('Dvd Calendar'!$AD$1413&lt;=GRID_TO)*('Dvd Calendar'!$AD$1413&lt;=VAL_DATE)=0,"",'Dvd Calendar'!$AD$1413*1000000000+ISNUMBER('Dvd Calendar'!$AD$1416)*100000000+('Dvd Calendar'!$AD$1418=SPECIAL_LBL)*10000000+0*1000000+28*1000+26))</f>
        <v/>
      </c>
      <c r="FE143" s="35">
        <f>IF(N('Dvd Calendar'!$AE$1413)=0,"",IF(('Dvd Calendar'!$AE$1413&gt;=GRID_FROM)*('Dvd Calendar'!$AE$1413&lt;=GRID_TO)*('Dvd Calendar'!$AE$1413&lt;=VAL_DATE)=0,"",'Dvd Calendar'!$AE$1413*1000000000+ISNUMBER('Dvd Calendar'!$AE$1416)*100000000+('Dvd Calendar'!$AE$1418=SPECIAL_LBL)*10000000+0*1000000+28*1000+27))</f>
        <v/>
      </c>
      <c r="FF143" s="35">
        <f>IF(N('Dvd Calendar'!$AF$1413)=0,"",IF(('Dvd Calendar'!$AF$1413&gt;=GRID_FROM)*('Dvd Calendar'!$AF$1413&lt;=GRID_TO)*('Dvd Calendar'!$AF$1413&lt;=VAL_DATE)=0,"",'Dvd Calendar'!$AF$1413*1000000000+ISNUMBER('Dvd Calendar'!$AF$1416)*100000000+('Dvd Calendar'!$AF$1418=SPECIAL_LBL)*10000000+0*1000000+28*1000+28))</f>
        <v/>
      </c>
      <c r="FG143" s="35">
        <f>IF(N('Dvd Calendar'!$AG$1413)=0,"",IF(('Dvd Calendar'!$AG$1413&gt;=GRID_FROM)*('Dvd Calendar'!$AG$1413&lt;=GRID_TO)*('Dvd Calendar'!$AG$1413&lt;=VAL_DATE)=0,"",'Dvd Calendar'!$AG$1413*1000000000+ISNUMBER('Dvd Calendar'!$AG$1416)*100000000+('Dvd Calendar'!$AG$1418=SPECIAL_LBL)*10000000+0*1000000+28*1000+29))</f>
        <v/>
      </c>
      <c r="FH143" s="35">
        <f>IF(N('Dvd Calendar'!$AH$1413)=0,"",IF(('Dvd Calendar'!$AH$1413&gt;=GRID_FROM)*('Dvd Calendar'!$AH$1413&lt;=GRID_TO)*('Dvd Calendar'!$AH$1413&lt;=VAL_DATE)=0,"",'Dvd Calendar'!$AH$1413*1000000000+ISNUMBER('Dvd Calendar'!$AH$1416)*100000000+('Dvd Calendar'!$AH$1418=SPECIAL_LBL)*10000000+0*1000000+28*1000+30))</f>
        <v/>
      </c>
      <c r="FI143" s="35">
        <f>IF(N('Dvd Calendar'!$AI$1413)=0,"",IF(('Dvd Calendar'!$AI$1413&gt;=GRID_FROM)*('Dvd Calendar'!$AI$1413&lt;=GRID_TO)*('Dvd Calendar'!$AI$1413&lt;=VAL_DATE)=0,"",'Dvd Calendar'!$AI$1413*1000000000+ISNUMBER('Dvd Calendar'!$AI$1416)*100000000+('Dvd Calendar'!$AI$1418=SPECIAL_LBL)*10000000+0*1000000+28*1000+31))</f>
        <v/>
      </c>
      <c r="FJ143" s="35">
        <f>IF(N('Dvd Calendar'!$AJ$1413)=0,"",IF(('Dvd Calendar'!$AJ$1413&gt;=GRID_FROM)*('Dvd Calendar'!$AJ$1413&lt;=GRID_TO)*('Dvd Calendar'!$AJ$1413&lt;=VAL_DATE)=0,"",'Dvd Calendar'!$AJ$1413*1000000000+ISNUMBER('Dvd Calendar'!$AJ$1416)*100000000+('Dvd Calendar'!$AJ$1418=SPECIAL_LBL)*10000000+0*1000000+28*1000+32))</f>
        <v/>
      </c>
      <c r="FK143" s="35">
        <f>IF(N('Dvd Calendar'!$AK$1413)=0,"",IF(('Dvd Calendar'!$AK$1413&gt;=GRID_FROM)*('Dvd Calendar'!$AK$1413&lt;=GRID_TO)*('Dvd Calendar'!$AK$1413&lt;=VAL_DATE)=0,"",'Dvd Calendar'!$AK$1413*1000000000+ISNUMBER('Dvd Calendar'!$AK$1416)*100000000+('Dvd Calendar'!$AK$1418=SPECIAL_LBL)*10000000+0*1000000+28*1000+33))</f>
        <v/>
      </c>
      <c r="FL143" s="35">
        <f>IF(N('Dvd Calendar'!$AL$1413)=0,"",IF(('Dvd Calendar'!$AL$1413&gt;=GRID_FROM)*('Dvd Calendar'!$AL$1413&lt;=GRID_TO)*('Dvd Calendar'!$AL$1413&lt;=VAL_DATE)=0,"",'Dvd Calendar'!$AL$1413*1000000000+ISNUMBER('Dvd Calendar'!$AL$1416)*100000000+('Dvd Calendar'!$AL$1418=SPECIAL_LBL)*10000000+0*1000000+28*1000+34))</f>
        <v/>
      </c>
      <c r="FM143" s="35">
        <f>IF(N('Dvd Calendar'!$AM$1413)=0,"",IF(('Dvd Calendar'!$AM$1413&gt;=GRID_FROM)*('Dvd Calendar'!$AM$1413&lt;=GRID_TO)*('Dvd Calendar'!$AM$1413&lt;=VAL_DATE)=0,"",'Dvd Calendar'!$AM$1413*1000000000+ISNUMBER('Dvd Calendar'!$AM$1416)*100000000+('Dvd Calendar'!$AM$1418=SPECIAL_LBL)*10000000+0*1000000+28*1000+35))</f>
        <v/>
      </c>
      <c r="FN143" s="35">
        <f>IF(N('Dvd Calendar'!$AN$1413)=0,"",IF(('Dvd Calendar'!$AN$1413&gt;=GRID_FROM)*('Dvd Calendar'!$AN$1413&lt;=GRID_TO)*('Dvd Calendar'!$AN$1413&lt;=VAL_DATE)=0,"",'Dvd Calendar'!$AN$1413*1000000000+ISNUMBER('Dvd Calendar'!$AN$1416)*100000000+('Dvd Calendar'!$AN$1418=SPECIAL_LBL)*10000000+0*1000000+28*1000+36))</f>
        <v/>
      </c>
      <c r="FO143" s="35">
        <f>IF(N('Dvd Calendar'!$AO$1413)=0,"",IF(('Dvd Calendar'!$AO$1413&gt;=GRID_FROM)*('Dvd Calendar'!$AO$1413&lt;=GRID_TO)*('Dvd Calendar'!$AO$1413&lt;=VAL_DATE)=0,"",'Dvd Calendar'!$AO$1413*1000000000+ISNUMBER('Dvd Calendar'!$AO$1416)*100000000+('Dvd Calendar'!$AO$1418=SPECIAL_LBL)*10000000+0*1000000+28*1000+37))</f>
        <v/>
      </c>
      <c r="FP143" s="35">
        <f>IF(N('Dvd Calendar'!$AP$1413)=0,"",IF(('Dvd Calendar'!$AP$1413&gt;=GRID_FROM)*('Dvd Calendar'!$AP$1413&lt;=GRID_TO)*('Dvd Calendar'!$AP$1413&lt;=VAL_DATE)=0,"",'Dvd Calendar'!$AP$1413*1000000000+ISNUMBER('Dvd Calendar'!$AP$1416)*100000000+('Dvd Calendar'!$AP$1418=SPECIAL_LBL)*10000000+0*1000000+28*1000+38))</f>
        <v/>
      </c>
      <c r="FQ143" s="35">
        <f>IF(N('Dvd Calendar'!$AQ$1413)=0,"",IF(('Dvd Calendar'!$AQ$1413&gt;=GRID_FROM)*('Dvd Calendar'!$AQ$1413&lt;=GRID_TO)*('Dvd Calendar'!$AQ$1413&lt;=VAL_DATE)=0,"",'Dvd Calendar'!$AQ$1413*1000000000+ISNUMBER('Dvd Calendar'!$AQ$1416)*100000000+('Dvd Calendar'!$AQ$1418=SPECIAL_LBL)*10000000+0*1000000+28*1000+39))</f>
        <v/>
      </c>
      <c r="FR143" s="35">
        <f>IF(N('Dvd Calendar'!$AR$1413)=0,"",IF(('Dvd Calendar'!$AR$1413&gt;=GRID_FROM)*('Dvd Calendar'!$AR$1413&lt;=GRID_TO)*('Dvd Calendar'!$AR$1413&lt;=VAL_DATE)=0,"",'Dvd Calendar'!$AR$1413*1000000000+ISNUMBER('Dvd Calendar'!$AR$1416)*100000000+('Dvd Calendar'!$AR$1418=SPECIAL_LBL)*10000000+0*1000000+28*1000+40))</f>
        <v/>
      </c>
      <c r="FS143" s="35">
        <f>IF(N('Dvd Calendar'!$E$1420)=0,"",IF(('Dvd Calendar'!$E$1420&gt;=GRID_FROM)*('Dvd Calendar'!$E$1420&lt;=GRID_TO)*('Dvd Calendar'!$E$1420&gt;VAL_DATE)=0,"",'Dvd Calendar'!$E$1420*1000000000+ISNUMBER('Dvd Calendar'!$E$1421)*100000000+0*10000000+(N('Dvd Calendar'!$E$1419)&gt;0)*(N('Dvd Calendar'!$E$1419)&lt;=VAL_SERIAL)*1000000+28*1000+41))</f>
        <v/>
      </c>
      <c r="FT143" s="35">
        <f>IF(N('Dvd Calendar'!$F$1420)=0,"",IF(('Dvd Calendar'!$F$1420&gt;=GRID_FROM)*('Dvd Calendar'!$F$1420&lt;=GRID_TO)*('Dvd Calendar'!$F$1420&gt;VAL_DATE)=0,"",'Dvd Calendar'!$F$1420*1000000000+ISNUMBER('Dvd Calendar'!$F$1421)*100000000+0*10000000+(N('Dvd Calendar'!$F$1419)&gt;0)*(N('Dvd Calendar'!$F$1419)&lt;=VAL_SERIAL)*1000000+28*1000+42))</f>
        <v/>
      </c>
      <c r="FU143" s="35">
        <f>IF(N('Dvd Calendar'!$G$1420)=0,"",IF(('Dvd Calendar'!$G$1420&gt;=GRID_FROM)*('Dvd Calendar'!$G$1420&lt;=GRID_TO)*('Dvd Calendar'!$G$1420&gt;VAL_DATE)=0,"",'Dvd Calendar'!$G$1420*1000000000+ISNUMBER('Dvd Calendar'!$G$1421)*100000000+0*10000000+(N('Dvd Calendar'!$G$1419)&gt;0)*(N('Dvd Calendar'!$G$1419)&lt;=VAL_SERIAL)*1000000+28*1000+43))</f>
        <v/>
      </c>
      <c r="FV143" s="35">
        <f>IF(N('Dvd Calendar'!$H$1420)=0,"",IF(('Dvd Calendar'!$H$1420&gt;=GRID_FROM)*('Dvd Calendar'!$H$1420&lt;=GRID_TO)*('Dvd Calendar'!$H$1420&gt;VAL_DATE)=0,"",'Dvd Calendar'!$H$1420*1000000000+ISNUMBER('Dvd Calendar'!$H$1421)*100000000+0*10000000+(N('Dvd Calendar'!$H$1419)&gt;0)*(N('Dvd Calendar'!$H$1419)&lt;=VAL_SERIAL)*1000000+28*1000+44))</f>
        <v/>
      </c>
      <c r="FW143" s="35">
        <f>IF(N('Dvd Calendar'!$I$1420)=0,"",IF(('Dvd Calendar'!$I$1420&gt;=GRID_FROM)*('Dvd Calendar'!$I$1420&lt;=GRID_TO)*('Dvd Calendar'!$I$1420&gt;VAL_DATE)=0,"",'Dvd Calendar'!$I$1420*1000000000+ISNUMBER('Dvd Calendar'!$I$1421)*100000000+0*10000000+(N('Dvd Calendar'!$I$1419)&gt;0)*(N('Dvd Calendar'!$I$1419)&lt;=VAL_SERIAL)*1000000+28*1000+45))</f>
        <v/>
      </c>
      <c r="FX143" s="35">
        <f>IF(N('Dvd Calendar'!$J$1420)=0,"",IF(('Dvd Calendar'!$J$1420&gt;=GRID_FROM)*('Dvd Calendar'!$J$1420&lt;=GRID_TO)*('Dvd Calendar'!$J$1420&gt;VAL_DATE)=0,"",'Dvd Calendar'!$J$1420*1000000000+ISNUMBER('Dvd Calendar'!$J$1421)*100000000+0*10000000+(N('Dvd Calendar'!$J$1419)&gt;0)*(N('Dvd Calendar'!$J$1419)&lt;=VAL_SERIAL)*1000000+28*1000+46))</f>
        <v/>
      </c>
      <c r="FY143" s="35">
        <f>IF(N('Dvd Calendar'!$K$1420)=0,"",IF(('Dvd Calendar'!$K$1420&gt;=GRID_FROM)*('Dvd Calendar'!$K$1420&lt;=GRID_TO)*('Dvd Calendar'!$K$1420&gt;VAL_DATE)=0,"",'Dvd Calendar'!$K$1420*1000000000+ISNUMBER('Dvd Calendar'!$K$1421)*100000000+0*10000000+(N('Dvd Calendar'!$K$1419)&gt;0)*(N('Dvd Calendar'!$K$1419)&lt;=VAL_SERIAL)*1000000+28*1000+47))</f>
        <v/>
      </c>
      <c r="FZ143" s="35">
        <f>IF(N('Dvd Calendar'!$L$1420)=0,"",IF(('Dvd Calendar'!$L$1420&gt;=GRID_FROM)*('Dvd Calendar'!$L$1420&lt;=GRID_TO)*('Dvd Calendar'!$L$1420&gt;VAL_DATE)=0,"",'Dvd Calendar'!$L$1420*1000000000+ISNUMBER('Dvd Calendar'!$L$1421)*100000000+0*10000000+(N('Dvd Calendar'!$L$1419)&gt;0)*(N('Dvd Calendar'!$L$1419)&lt;=VAL_SERIAL)*1000000+28*1000+48))</f>
        <v/>
      </c>
      <c r="GA143" s="35">
        <f>IF(N('Dvd Calendar'!$M$1420)=0,"",IF(('Dvd Calendar'!$M$1420&gt;=GRID_FROM)*('Dvd Calendar'!$M$1420&lt;=GRID_TO)*('Dvd Calendar'!$M$1420&gt;VAL_DATE)=0,"",'Dvd Calendar'!$M$1420*1000000000+ISNUMBER('Dvd Calendar'!$M$1421)*100000000+0*10000000+(N('Dvd Calendar'!$M$1419)&gt;0)*(N('Dvd Calendar'!$M$1419)&lt;=VAL_SERIAL)*1000000+28*1000+49))</f>
        <v/>
      </c>
      <c r="GB143" s="35">
        <f>IF(N('Dvd Calendar'!$N$1420)=0,"",IF(('Dvd Calendar'!$N$1420&gt;=GRID_FROM)*('Dvd Calendar'!$N$1420&lt;=GRID_TO)*('Dvd Calendar'!$N$1420&gt;VAL_DATE)=0,"",'Dvd Calendar'!$N$1420*1000000000+ISNUMBER('Dvd Calendar'!$N$1421)*100000000+0*10000000+(N('Dvd Calendar'!$N$1419)&gt;0)*(N('Dvd Calendar'!$N$1419)&lt;=VAL_SERIAL)*1000000+28*1000+50))</f>
        <v/>
      </c>
      <c r="GC143" s="35">
        <f>IF(N('Dvd Calendar'!$O$1420)=0,"",IF(('Dvd Calendar'!$O$1420&gt;=GRID_FROM)*('Dvd Calendar'!$O$1420&lt;=GRID_TO)*('Dvd Calendar'!$O$1420&gt;VAL_DATE)=0,"",'Dvd Calendar'!$O$1420*1000000000+ISNUMBER('Dvd Calendar'!$O$1421)*100000000+0*10000000+(N('Dvd Calendar'!$O$1419)&gt;0)*(N('Dvd Calendar'!$O$1419)&lt;=VAL_SERIAL)*1000000+28*1000+51))</f>
        <v/>
      </c>
      <c r="GD143" s="35">
        <f>IF(N('Dvd Calendar'!$P$1420)=0,"",IF(('Dvd Calendar'!$P$1420&gt;=GRID_FROM)*('Dvd Calendar'!$P$1420&lt;=GRID_TO)*('Dvd Calendar'!$P$1420&gt;VAL_DATE)=0,"",'Dvd Calendar'!$P$1420*1000000000+ISNUMBER('Dvd Calendar'!$P$1421)*100000000+0*10000000+(N('Dvd Calendar'!$P$1419)&gt;0)*(N('Dvd Calendar'!$P$1419)&lt;=VAL_SERIAL)*1000000+28*1000+52))</f>
        <v/>
      </c>
      <c r="GE143" s="35">
        <f>IF(N('Dvd Calendar'!$Q$1420)=0,"",IF(('Dvd Calendar'!$Q$1420&gt;=GRID_FROM)*('Dvd Calendar'!$Q$1420&lt;=GRID_TO)*('Dvd Calendar'!$Q$1420&gt;VAL_DATE)=0,"",'Dvd Calendar'!$Q$1420*1000000000+ISNUMBER('Dvd Calendar'!$Q$1421)*100000000+0*10000000+(N('Dvd Calendar'!$Q$1419)&gt;0)*(N('Dvd Calendar'!$Q$1419)&lt;=VAL_SERIAL)*1000000+28*1000+53))</f>
        <v/>
      </c>
      <c r="GF143" s="35">
        <f>IF(N('Dvd Calendar'!$R$1420)=0,"",IF(('Dvd Calendar'!$R$1420&gt;=GRID_FROM)*('Dvd Calendar'!$R$1420&lt;=GRID_TO)*('Dvd Calendar'!$R$1420&gt;VAL_DATE)=0,"",'Dvd Calendar'!$R$1420*1000000000+ISNUMBER('Dvd Calendar'!$R$1421)*100000000+0*10000000+(N('Dvd Calendar'!$R$1419)&gt;0)*(N('Dvd Calendar'!$R$1419)&lt;=VAL_SERIAL)*1000000+28*1000+54))</f>
        <v/>
      </c>
      <c r="GG143" s="35">
        <f>IF(N('Dvd Calendar'!$S$1420)=0,"",IF(('Dvd Calendar'!$S$1420&gt;=GRID_FROM)*('Dvd Calendar'!$S$1420&lt;=GRID_TO)*('Dvd Calendar'!$S$1420&gt;VAL_DATE)=0,"",'Dvd Calendar'!$S$1420*1000000000+ISNUMBER('Dvd Calendar'!$S$1421)*100000000+0*10000000+(N('Dvd Calendar'!$S$1419)&gt;0)*(N('Dvd Calendar'!$S$1419)&lt;=VAL_SERIAL)*1000000+28*1000+55))</f>
        <v/>
      </c>
      <c r="GH143" s="35">
        <f>IF(N('Dvd Calendar'!$T$1420)=0,"",IF(('Dvd Calendar'!$T$1420&gt;=GRID_FROM)*('Dvd Calendar'!$T$1420&lt;=GRID_TO)*('Dvd Calendar'!$T$1420&gt;VAL_DATE)=0,"",'Dvd Calendar'!$T$1420*1000000000+ISNUMBER('Dvd Calendar'!$T$1421)*100000000+0*10000000+(N('Dvd Calendar'!$T$1419)&gt;0)*(N('Dvd Calendar'!$T$1419)&lt;=VAL_SERIAL)*1000000+28*1000+56))</f>
        <v/>
      </c>
      <c r="GI143" s="35">
        <f>IF(N('Dvd Calendar'!$U$1420)=0,"",IF(('Dvd Calendar'!$U$1420&gt;=GRID_FROM)*('Dvd Calendar'!$U$1420&lt;=GRID_TO)*('Dvd Calendar'!$U$1420&gt;VAL_DATE)=0,"",'Dvd Calendar'!$U$1420*1000000000+ISNUMBER('Dvd Calendar'!$U$1421)*100000000+0*10000000+(N('Dvd Calendar'!$U$1419)&gt;0)*(N('Dvd Calendar'!$U$1419)&lt;=VAL_SERIAL)*1000000+28*1000+57))</f>
        <v/>
      </c>
      <c r="GJ143" s="35">
        <f>IF(N('Dvd Calendar'!$V$1420)=0,"",IF(('Dvd Calendar'!$V$1420&gt;=GRID_FROM)*('Dvd Calendar'!$V$1420&lt;=GRID_TO)*('Dvd Calendar'!$V$1420&gt;VAL_DATE)=0,"",'Dvd Calendar'!$V$1420*1000000000+ISNUMBER('Dvd Calendar'!$V$1421)*100000000+0*10000000+(N('Dvd Calendar'!$V$1419)&gt;0)*(N('Dvd Calendar'!$V$1419)&lt;=VAL_SERIAL)*1000000+28*1000+58))</f>
        <v/>
      </c>
      <c r="GK143" s="35">
        <f>IF(N('Dvd Calendar'!$W$1420)=0,"",IF(('Dvd Calendar'!$W$1420&gt;=GRID_FROM)*('Dvd Calendar'!$W$1420&lt;=GRID_TO)*('Dvd Calendar'!$W$1420&gt;VAL_DATE)=0,"",'Dvd Calendar'!$W$1420*1000000000+ISNUMBER('Dvd Calendar'!$W$1421)*100000000+0*10000000+(N('Dvd Calendar'!$W$1419)&gt;0)*(N('Dvd Calendar'!$W$1419)&lt;=VAL_SERIAL)*1000000+28*1000+59))</f>
        <v/>
      </c>
      <c r="GL143" s="35">
        <f>IF(N('Dvd Calendar'!$X$1420)=0,"",IF(('Dvd Calendar'!$X$1420&gt;=GRID_FROM)*('Dvd Calendar'!$X$1420&lt;=GRID_TO)*('Dvd Calendar'!$X$1420&gt;VAL_DATE)=0,"",'Dvd Calendar'!$X$1420*1000000000+ISNUMBER('Dvd Calendar'!$X$1421)*100000000+0*10000000+(N('Dvd Calendar'!$X$1419)&gt;0)*(N('Dvd Calendar'!$X$1419)&lt;=VAL_SERIAL)*1000000+28*1000+60))</f>
        <v/>
      </c>
      <c r="GM143" s="35">
        <f>IF(N('Dvd Calendar'!$Y$1420)=0,"",IF(('Dvd Calendar'!$Y$1420&gt;=GRID_FROM)*('Dvd Calendar'!$Y$1420&lt;=GRID_TO)*('Dvd Calendar'!$Y$1420&gt;VAL_DATE)=0,"",'Dvd Calendar'!$Y$1420*1000000000+ISNUMBER('Dvd Calendar'!$Y$1421)*100000000+0*10000000+(N('Dvd Calendar'!$Y$1419)&gt;0)*(N('Dvd Calendar'!$Y$1419)&lt;=VAL_SERIAL)*1000000+28*1000+61))</f>
        <v/>
      </c>
      <c r="GN143" s="35">
        <f>IF(N('Dvd Calendar'!$Z$1420)=0,"",IF(('Dvd Calendar'!$Z$1420&gt;=GRID_FROM)*('Dvd Calendar'!$Z$1420&lt;=GRID_TO)*('Dvd Calendar'!$Z$1420&gt;VAL_DATE)=0,"",'Dvd Calendar'!$Z$1420*1000000000+ISNUMBER('Dvd Calendar'!$Z$1421)*100000000+0*10000000+(N('Dvd Calendar'!$Z$1419)&gt;0)*(N('Dvd Calendar'!$Z$1419)&lt;=VAL_SERIAL)*1000000+28*1000+62))</f>
        <v/>
      </c>
      <c r="GO143" s="35">
        <f>IF(N('Dvd Calendar'!$AA$1420)=0,"",IF(('Dvd Calendar'!$AA$1420&gt;=GRID_FROM)*('Dvd Calendar'!$AA$1420&lt;=GRID_TO)*('Dvd Calendar'!$AA$1420&gt;VAL_DATE)=0,"",'Dvd Calendar'!$AA$1420*1000000000+ISNUMBER('Dvd Calendar'!$AA$1421)*100000000+0*10000000+(N('Dvd Calendar'!$AA$1419)&gt;0)*(N('Dvd Calendar'!$AA$1419)&lt;=VAL_SERIAL)*1000000+28*1000+63))</f>
        <v/>
      </c>
      <c r="GP143" s="35">
        <f>IF(N('Dvd Calendar'!$AB$1420)=0,"",IF(('Dvd Calendar'!$AB$1420&gt;=GRID_FROM)*('Dvd Calendar'!$AB$1420&lt;=GRID_TO)*('Dvd Calendar'!$AB$1420&gt;VAL_DATE)=0,"",'Dvd Calendar'!$AB$1420*1000000000+ISNUMBER('Dvd Calendar'!$AB$1421)*100000000+0*10000000+(N('Dvd Calendar'!$AB$1419)&gt;0)*(N('Dvd Calendar'!$AB$1419)&lt;=VAL_SERIAL)*1000000+28*1000+64))</f>
        <v/>
      </c>
      <c r="GQ143" s="35">
        <f>IF(N('Dvd Calendar'!$AC$1420)=0,"",IF(('Dvd Calendar'!$AC$1420&gt;=GRID_FROM)*('Dvd Calendar'!$AC$1420&lt;=GRID_TO)*('Dvd Calendar'!$AC$1420&gt;VAL_DATE)=0,"",'Dvd Calendar'!$AC$1420*1000000000+ISNUMBER('Dvd Calendar'!$AC$1421)*100000000+0*10000000+(N('Dvd Calendar'!$AC$1419)&gt;0)*(N('Dvd Calendar'!$AC$1419)&lt;=VAL_SERIAL)*1000000+28*1000+65))</f>
        <v/>
      </c>
    </row>
    <row r="144">
      <c r="B144" s="2">
        <f>IF(HSTECH!$C$35="","",HSTECH!$C$35)</f>
        <v/>
      </c>
      <c r="C144" s="106">
        <f>IF(EE144="","",IF(ISNUMBER('Dvd Calendar'!$E$1427)=FALSE,"",IF((('Dvd Calendar'!$E$1429=TYPE1)*(TYPE1&lt;&gt;"")+('Dvd Calendar'!$E$1429=TYPE2)*(TYPE2&lt;&gt;"")+('Dvd Calendar'!$E$1429=TYPE3)*(TYPE3&lt;&gt;"")+('Dvd Calendar'!$E$1429=TYPE4)*(TYPE4&lt;&gt;"")+('Dvd Calendar'!$E$1429=SPECIAL_LBL)*(INC_SPECIALS="Y"))=0,"",'Dvd Calendar'!$E$1427)))</f>
        <v/>
      </c>
      <c r="D144" s="106">
        <f>IF(EF144="","",IF(ISNUMBER('Dvd Calendar'!$F$1427)=FALSE,"",IF((('Dvd Calendar'!$F$1429=TYPE1)*(TYPE1&lt;&gt;"")+('Dvd Calendar'!$F$1429=TYPE2)*(TYPE2&lt;&gt;"")+('Dvd Calendar'!$F$1429=TYPE3)*(TYPE3&lt;&gt;"")+('Dvd Calendar'!$F$1429=TYPE4)*(TYPE4&lt;&gt;"")+('Dvd Calendar'!$F$1429=SPECIAL_LBL)*(INC_SPECIALS="Y"))=0,"",'Dvd Calendar'!$F$1427)))</f>
        <v/>
      </c>
      <c r="E144" s="106">
        <f>IF(EG144="","",IF(ISNUMBER('Dvd Calendar'!$G$1427)=FALSE,"",IF((('Dvd Calendar'!$G$1429=TYPE1)*(TYPE1&lt;&gt;"")+('Dvd Calendar'!$G$1429=TYPE2)*(TYPE2&lt;&gt;"")+('Dvd Calendar'!$G$1429=TYPE3)*(TYPE3&lt;&gt;"")+('Dvd Calendar'!$G$1429=TYPE4)*(TYPE4&lt;&gt;"")+('Dvd Calendar'!$G$1429=SPECIAL_LBL)*(INC_SPECIALS="Y"))=0,"",'Dvd Calendar'!$G$1427)))</f>
        <v/>
      </c>
      <c r="F144" s="106">
        <f>IF(EH144="","",IF(ISNUMBER('Dvd Calendar'!$H$1427)=FALSE,"",IF((('Dvd Calendar'!$H$1429=TYPE1)*(TYPE1&lt;&gt;"")+('Dvd Calendar'!$H$1429=TYPE2)*(TYPE2&lt;&gt;"")+('Dvd Calendar'!$H$1429=TYPE3)*(TYPE3&lt;&gt;"")+('Dvd Calendar'!$H$1429=TYPE4)*(TYPE4&lt;&gt;"")+('Dvd Calendar'!$H$1429=SPECIAL_LBL)*(INC_SPECIALS="Y"))=0,"",'Dvd Calendar'!$H$1427)))</f>
        <v/>
      </c>
      <c r="G144" s="106">
        <f>IF(EI144="","",IF(ISNUMBER('Dvd Calendar'!$I$1427)=FALSE,"",IF((('Dvd Calendar'!$I$1429=TYPE1)*(TYPE1&lt;&gt;"")+('Dvd Calendar'!$I$1429=TYPE2)*(TYPE2&lt;&gt;"")+('Dvd Calendar'!$I$1429=TYPE3)*(TYPE3&lt;&gt;"")+('Dvd Calendar'!$I$1429=TYPE4)*(TYPE4&lt;&gt;"")+('Dvd Calendar'!$I$1429=SPECIAL_LBL)*(INC_SPECIALS="Y"))=0,"",'Dvd Calendar'!$I$1427)))</f>
        <v/>
      </c>
      <c r="H144" s="106">
        <f>IF(EJ144="","",IF(ISNUMBER('Dvd Calendar'!$J$1427)=FALSE,"",IF((('Dvd Calendar'!$J$1429=TYPE1)*(TYPE1&lt;&gt;"")+('Dvd Calendar'!$J$1429=TYPE2)*(TYPE2&lt;&gt;"")+('Dvd Calendar'!$J$1429=TYPE3)*(TYPE3&lt;&gt;"")+('Dvd Calendar'!$J$1429=TYPE4)*(TYPE4&lt;&gt;"")+('Dvd Calendar'!$J$1429=SPECIAL_LBL)*(INC_SPECIALS="Y"))=0,"",'Dvd Calendar'!$J$1427)))</f>
        <v/>
      </c>
      <c r="I144" s="106">
        <f>IF(EK144="","",IF(ISNUMBER('Dvd Calendar'!$K$1427)=FALSE,"",IF((('Dvd Calendar'!$K$1429=TYPE1)*(TYPE1&lt;&gt;"")+('Dvd Calendar'!$K$1429=TYPE2)*(TYPE2&lt;&gt;"")+('Dvd Calendar'!$K$1429=TYPE3)*(TYPE3&lt;&gt;"")+('Dvd Calendar'!$K$1429=TYPE4)*(TYPE4&lt;&gt;"")+('Dvd Calendar'!$K$1429=SPECIAL_LBL)*(INC_SPECIALS="Y"))=0,"",'Dvd Calendar'!$K$1427)))</f>
        <v/>
      </c>
      <c r="J144" s="106">
        <f>IF(EL144="","",IF(ISNUMBER('Dvd Calendar'!$L$1427)=FALSE,"",IF((('Dvd Calendar'!$L$1429=TYPE1)*(TYPE1&lt;&gt;"")+('Dvd Calendar'!$L$1429=TYPE2)*(TYPE2&lt;&gt;"")+('Dvd Calendar'!$L$1429=TYPE3)*(TYPE3&lt;&gt;"")+('Dvd Calendar'!$L$1429=TYPE4)*(TYPE4&lt;&gt;"")+('Dvd Calendar'!$L$1429=SPECIAL_LBL)*(INC_SPECIALS="Y"))=0,"",'Dvd Calendar'!$L$1427)))</f>
        <v/>
      </c>
      <c r="K144" s="106">
        <f>IF(EM144="","",IF(ISNUMBER('Dvd Calendar'!$M$1427)=FALSE,"",IF((('Dvd Calendar'!$M$1429=TYPE1)*(TYPE1&lt;&gt;"")+('Dvd Calendar'!$M$1429=TYPE2)*(TYPE2&lt;&gt;"")+('Dvd Calendar'!$M$1429=TYPE3)*(TYPE3&lt;&gt;"")+('Dvd Calendar'!$M$1429=TYPE4)*(TYPE4&lt;&gt;"")+('Dvd Calendar'!$M$1429=SPECIAL_LBL)*(INC_SPECIALS="Y"))=0,"",'Dvd Calendar'!$M$1427)))</f>
        <v/>
      </c>
      <c r="L144" s="106">
        <f>IF(EN144="","",IF(ISNUMBER('Dvd Calendar'!$N$1427)=FALSE,"",IF((('Dvd Calendar'!$N$1429=TYPE1)*(TYPE1&lt;&gt;"")+('Dvd Calendar'!$N$1429=TYPE2)*(TYPE2&lt;&gt;"")+('Dvd Calendar'!$N$1429=TYPE3)*(TYPE3&lt;&gt;"")+('Dvd Calendar'!$N$1429=TYPE4)*(TYPE4&lt;&gt;"")+('Dvd Calendar'!$N$1429=SPECIAL_LBL)*(INC_SPECIALS="Y"))=0,"",'Dvd Calendar'!$N$1427)))</f>
        <v/>
      </c>
      <c r="M144" s="106">
        <f>IF(EO144="","",IF(ISNUMBER('Dvd Calendar'!$O$1427)=FALSE,"",IF((('Dvd Calendar'!$O$1429=TYPE1)*(TYPE1&lt;&gt;"")+('Dvd Calendar'!$O$1429=TYPE2)*(TYPE2&lt;&gt;"")+('Dvd Calendar'!$O$1429=TYPE3)*(TYPE3&lt;&gt;"")+('Dvd Calendar'!$O$1429=TYPE4)*(TYPE4&lt;&gt;"")+('Dvd Calendar'!$O$1429=SPECIAL_LBL)*(INC_SPECIALS="Y"))=0,"",'Dvd Calendar'!$O$1427)))</f>
        <v/>
      </c>
      <c r="N144" s="106">
        <f>IF(EP144="","",IF(ISNUMBER('Dvd Calendar'!$P$1427)=FALSE,"",IF((('Dvd Calendar'!$P$1429=TYPE1)*(TYPE1&lt;&gt;"")+('Dvd Calendar'!$P$1429=TYPE2)*(TYPE2&lt;&gt;"")+('Dvd Calendar'!$P$1429=TYPE3)*(TYPE3&lt;&gt;"")+('Dvd Calendar'!$P$1429=TYPE4)*(TYPE4&lt;&gt;"")+('Dvd Calendar'!$P$1429=SPECIAL_LBL)*(INC_SPECIALS="Y"))=0,"",'Dvd Calendar'!$P$1427)))</f>
        <v/>
      </c>
      <c r="O144" s="106">
        <f>IF(EQ144="","",IF(ISNUMBER('Dvd Calendar'!$Q$1427)=FALSE,"",IF((('Dvd Calendar'!$Q$1429=TYPE1)*(TYPE1&lt;&gt;"")+('Dvd Calendar'!$Q$1429=TYPE2)*(TYPE2&lt;&gt;"")+('Dvd Calendar'!$Q$1429=TYPE3)*(TYPE3&lt;&gt;"")+('Dvd Calendar'!$Q$1429=TYPE4)*(TYPE4&lt;&gt;"")+('Dvd Calendar'!$Q$1429=SPECIAL_LBL)*(INC_SPECIALS="Y"))=0,"",'Dvd Calendar'!$Q$1427)))</f>
        <v/>
      </c>
      <c r="P144" s="106">
        <f>IF(ER144="","",IF(ISNUMBER('Dvd Calendar'!$R$1427)=FALSE,"",IF((('Dvd Calendar'!$R$1429=TYPE1)*(TYPE1&lt;&gt;"")+('Dvd Calendar'!$R$1429=TYPE2)*(TYPE2&lt;&gt;"")+('Dvd Calendar'!$R$1429=TYPE3)*(TYPE3&lt;&gt;"")+('Dvd Calendar'!$R$1429=TYPE4)*(TYPE4&lt;&gt;"")+('Dvd Calendar'!$R$1429=SPECIAL_LBL)*(INC_SPECIALS="Y"))=0,"",'Dvd Calendar'!$R$1427)))</f>
        <v/>
      </c>
      <c r="Q144" s="106">
        <f>IF(ES144="","",IF(ISNUMBER('Dvd Calendar'!$S$1427)=FALSE,"",IF((('Dvd Calendar'!$S$1429=TYPE1)*(TYPE1&lt;&gt;"")+('Dvd Calendar'!$S$1429=TYPE2)*(TYPE2&lt;&gt;"")+('Dvd Calendar'!$S$1429=TYPE3)*(TYPE3&lt;&gt;"")+('Dvd Calendar'!$S$1429=TYPE4)*(TYPE4&lt;&gt;"")+('Dvd Calendar'!$S$1429=SPECIAL_LBL)*(INC_SPECIALS="Y"))=0,"",'Dvd Calendar'!$S$1427)))</f>
        <v/>
      </c>
      <c r="R144" s="106">
        <f>IF(ET144="","",IF(ISNUMBER('Dvd Calendar'!$T$1427)=FALSE,"",IF((('Dvd Calendar'!$T$1429=TYPE1)*(TYPE1&lt;&gt;"")+('Dvd Calendar'!$T$1429=TYPE2)*(TYPE2&lt;&gt;"")+('Dvd Calendar'!$T$1429=TYPE3)*(TYPE3&lt;&gt;"")+('Dvd Calendar'!$T$1429=TYPE4)*(TYPE4&lt;&gt;"")+('Dvd Calendar'!$T$1429=SPECIAL_LBL)*(INC_SPECIALS="Y"))=0,"",'Dvd Calendar'!$T$1427)))</f>
        <v/>
      </c>
      <c r="S144" s="106">
        <f>IF(EU144="","",IF(ISNUMBER('Dvd Calendar'!$U$1427)=FALSE,"",IF((('Dvd Calendar'!$U$1429=TYPE1)*(TYPE1&lt;&gt;"")+('Dvd Calendar'!$U$1429=TYPE2)*(TYPE2&lt;&gt;"")+('Dvd Calendar'!$U$1429=TYPE3)*(TYPE3&lt;&gt;"")+('Dvd Calendar'!$U$1429=TYPE4)*(TYPE4&lt;&gt;"")+('Dvd Calendar'!$U$1429=SPECIAL_LBL)*(INC_SPECIALS="Y"))=0,"",'Dvd Calendar'!$U$1427)))</f>
        <v/>
      </c>
      <c r="T144" s="106">
        <f>IF(EV144="","",IF(ISNUMBER('Dvd Calendar'!$V$1427)=FALSE,"",IF((('Dvd Calendar'!$V$1429=TYPE1)*(TYPE1&lt;&gt;"")+('Dvd Calendar'!$V$1429=TYPE2)*(TYPE2&lt;&gt;"")+('Dvd Calendar'!$V$1429=TYPE3)*(TYPE3&lt;&gt;"")+('Dvd Calendar'!$V$1429=TYPE4)*(TYPE4&lt;&gt;"")+('Dvd Calendar'!$V$1429=SPECIAL_LBL)*(INC_SPECIALS="Y"))=0,"",'Dvd Calendar'!$V$1427)))</f>
        <v/>
      </c>
      <c r="U144" s="106">
        <f>IF(EW144="","",IF(ISNUMBER('Dvd Calendar'!$W$1427)=FALSE,"",IF((('Dvd Calendar'!$W$1429=TYPE1)*(TYPE1&lt;&gt;"")+('Dvd Calendar'!$W$1429=TYPE2)*(TYPE2&lt;&gt;"")+('Dvd Calendar'!$W$1429=TYPE3)*(TYPE3&lt;&gt;"")+('Dvd Calendar'!$W$1429=TYPE4)*(TYPE4&lt;&gt;"")+('Dvd Calendar'!$W$1429=SPECIAL_LBL)*(INC_SPECIALS="Y"))=0,"",'Dvd Calendar'!$W$1427)))</f>
        <v/>
      </c>
      <c r="V144" s="106">
        <f>IF(EX144="","",IF(ISNUMBER('Dvd Calendar'!$X$1427)=FALSE,"",IF((('Dvd Calendar'!$X$1429=TYPE1)*(TYPE1&lt;&gt;"")+('Dvd Calendar'!$X$1429=TYPE2)*(TYPE2&lt;&gt;"")+('Dvd Calendar'!$X$1429=TYPE3)*(TYPE3&lt;&gt;"")+('Dvd Calendar'!$X$1429=TYPE4)*(TYPE4&lt;&gt;"")+('Dvd Calendar'!$X$1429=SPECIAL_LBL)*(INC_SPECIALS="Y"))=0,"",'Dvd Calendar'!$X$1427)))</f>
        <v/>
      </c>
      <c r="W144" s="106">
        <f>IF(EY144="","",IF(ISNUMBER('Dvd Calendar'!$Y$1427)=FALSE,"",IF((('Dvd Calendar'!$Y$1429=TYPE1)*(TYPE1&lt;&gt;"")+('Dvd Calendar'!$Y$1429=TYPE2)*(TYPE2&lt;&gt;"")+('Dvd Calendar'!$Y$1429=TYPE3)*(TYPE3&lt;&gt;"")+('Dvd Calendar'!$Y$1429=TYPE4)*(TYPE4&lt;&gt;"")+('Dvd Calendar'!$Y$1429=SPECIAL_LBL)*(INC_SPECIALS="Y"))=0,"",'Dvd Calendar'!$Y$1427)))</f>
        <v/>
      </c>
      <c r="X144" s="106">
        <f>IF(EZ144="","",IF(ISNUMBER('Dvd Calendar'!$Z$1427)=FALSE,"",IF((('Dvd Calendar'!$Z$1429=TYPE1)*(TYPE1&lt;&gt;"")+('Dvd Calendar'!$Z$1429=TYPE2)*(TYPE2&lt;&gt;"")+('Dvd Calendar'!$Z$1429=TYPE3)*(TYPE3&lt;&gt;"")+('Dvd Calendar'!$Z$1429=TYPE4)*(TYPE4&lt;&gt;"")+('Dvd Calendar'!$Z$1429=SPECIAL_LBL)*(INC_SPECIALS="Y"))=0,"",'Dvd Calendar'!$Z$1427)))</f>
        <v/>
      </c>
      <c r="Y144" s="106">
        <f>IF(FA144="","",IF(ISNUMBER('Dvd Calendar'!$AA$1427)=FALSE,"",IF((('Dvd Calendar'!$AA$1429=TYPE1)*(TYPE1&lt;&gt;"")+('Dvd Calendar'!$AA$1429=TYPE2)*(TYPE2&lt;&gt;"")+('Dvd Calendar'!$AA$1429=TYPE3)*(TYPE3&lt;&gt;"")+('Dvd Calendar'!$AA$1429=TYPE4)*(TYPE4&lt;&gt;"")+('Dvd Calendar'!$AA$1429=SPECIAL_LBL)*(INC_SPECIALS="Y"))=0,"",'Dvd Calendar'!$AA$1427)))</f>
        <v/>
      </c>
      <c r="Z144" s="106">
        <f>IF(FB144="","",IF(ISNUMBER('Dvd Calendar'!$AB$1427)=FALSE,"",IF((('Dvd Calendar'!$AB$1429=TYPE1)*(TYPE1&lt;&gt;"")+('Dvd Calendar'!$AB$1429=TYPE2)*(TYPE2&lt;&gt;"")+('Dvd Calendar'!$AB$1429=TYPE3)*(TYPE3&lt;&gt;"")+('Dvd Calendar'!$AB$1429=TYPE4)*(TYPE4&lt;&gt;"")+('Dvd Calendar'!$AB$1429=SPECIAL_LBL)*(INC_SPECIALS="Y"))=0,"",'Dvd Calendar'!$AB$1427)))</f>
        <v/>
      </c>
      <c r="AA144" s="106">
        <f>IF(FC144="","",IF(ISNUMBER('Dvd Calendar'!$AC$1427)=FALSE,"",IF((('Dvd Calendar'!$AC$1429=TYPE1)*(TYPE1&lt;&gt;"")+('Dvd Calendar'!$AC$1429=TYPE2)*(TYPE2&lt;&gt;"")+('Dvd Calendar'!$AC$1429=TYPE3)*(TYPE3&lt;&gt;"")+('Dvd Calendar'!$AC$1429=TYPE4)*(TYPE4&lt;&gt;"")+('Dvd Calendar'!$AC$1429=SPECIAL_LBL)*(INC_SPECIALS="Y"))=0,"",'Dvd Calendar'!$AC$1427)))</f>
        <v/>
      </c>
      <c r="AB144" s="106">
        <f>IF(FD144="","",IF(ISNUMBER('Dvd Calendar'!$AD$1427)=FALSE,"",IF((('Dvd Calendar'!$AD$1429=TYPE1)*(TYPE1&lt;&gt;"")+('Dvd Calendar'!$AD$1429=TYPE2)*(TYPE2&lt;&gt;"")+('Dvd Calendar'!$AD$1429=TYPE3)*(TYPE3&lt;&gt;"")+('Dvd Calendar'!$AD$1429=TYPE4)*(TYPE4&lt;&gt;"")+('Dvd Calendar'!$AD$1429=SPECIAL_LBL)*(INC_SPECIALS="Y"))=0,"",'Dvd Calendar'!$AD$1427)))</f>
        <v/>
      </c>
      <c r="AC144" s="106">
        <f>IF(FE144="","",IF(ISNUMBER('Dvd Calendar'!$AE$1427)=FALSE,"",IF((('Dvd Calendar'!$AE$1429=TYPE1)*(TYPE1&lt;&gt;"")+('Dvd Calendar'!$AE$1429=TYPE2)*(TYPE2&lt;&gt;"")+('Dvd Calendar'!$AE$1429=TYPE3)*(TYPE3&lt;&gt;"")+('Dvd Calendar'!$AE$1429=TYPE4)*(TYPE4&lt;&gt;"")+('Dvd Calendar'!$AE$1429=SPECIAL_LBL)*(INC_SPECIALS="Y"))=0,"",'Dvd Calendar'!$AE$1427)))</f>
        <v/>
      </c>
      <c r="AD144" s="106">
        <f>IF(FF144="","",IF(ISNUMBER('Dvd Calendar'!$AF$1427)=FALSE,"",IF((('Dvd Calendar'!$AF$1429=TYPE1)*(TYPE1&lt;&gt;"")+('Dvd Calendar'!$AF$1429=TYPE2)*(TYPE2&lt;&gt;"")+('Dvd Calendar'!$AF$1429=TYPE3)*(TYPE3&lt;&gt;"")+('Dvd Calendar'!$AF$1429=TYPE4)*(TYPE4&lt;&gt;"")+('Dvd Calendar'!$AF$1429=SPECIAL_LBL)*(INC_SPECIALS="Y"))=0,"",'Dvd Calendar'!$AF$1427)))</f>
        <v/>
      </c>
      <c r="AE144" s="106">
        <f>IF(FG144="","",IF(ISNUMBER('Dvd Calendar'!$AG$1427)=FALSE,"",IF((('Dvd Calendar'!$AG$1429=TYPE1)*(TYPE1&lt;&gt;"")+('Dvd Calendar'!$AG$1429=TYPE2)*(TYPE2&lt;&gt;"")+('Dvd Calendar'!$AG$1429=TYPE3)*(TYPE3&lt;&gt;"")+('Dvd Calendar'!$AG$1429=TYPE4)*(TYPE4&lt;&gt;"")+('Dvd Calendar'!$AG$1429=SPECIAL_LBL)*(INC_SPECIALS="Y"))=0,"",'Dvd Calendar'!$AG$1427)))</f>
        <v/>
      </c>
      <c r="AF144" s="106">
        <f>IF(FH144="","",IF(ISNUMBER('Dvd Calendar'!$AH$1427)=FALSE,"",IF((('Dvd Calendar'!$AH$1429=TYPE1)*(TYPE1&lt;&gt;"")+('Dvd Calendar'!$AH$1429=TYPE2)*(TYPE2&lt;&gt;"")+('Dvd Calendar'!$AH$1429=TYPE3)*(TYPE3&lt;&gt;"")+('Dvd Calendar'!$AH$1429=TYPE4)*(TYPE4&lt;&gt;"")+('Dvd Calendar'!$AH$1429=SPECIAL_LBL)*(INC_SPECIALS="Y"))=0,"",'Dvd Calendar'!$AH$1427)))</f>
        <v/>
      </c>
      <c r="AG144" s="106">
        <f>IF(FI144="","",IF(ISNUMBER('Dvd Calendar'!$AI$1427)=FALSE,"",IF((('Dvd Calendar'!$AI$1429=TYPE1)*(TYPE1&lt;&gt;"")+('Dvd Calendar'!$AI$1429=TYPE2)*(TYPE2&lt;&gt;"")+('Dvd Calendar'!$AI$1429=TYPE3)*(TYPE3&lt;&gt;"")+('Dvd Calendar'!$AI$1429=TYPE4)*(TYPE4&lt;&gt;"")+('Dvd Calendar'!$AI$1429=SPECIAL_LBL)*(INC_SPECIALS="Y"))=0,"",'Dvd Calendar'!$AI$1427)))</f>
        <v/>
      </c>
      <c r="AH144" s="106">
        <f>IF(FJ144="","",IF(ISNUMBER('Dvd Calendar'!$AJ$1427)=FALSE,"",IF((('Dvd Calendar'!$AJ$1429=TYPE1)*(TYPE1&lt;&gt;"")+('Dvd Calendar'!$AJ$1429=TYPE2)*(TYPE2&lt;&gt;"")+('Dvd Calendar'!$AJ$1429=TYPE3)*(TYPE3&lt;&gt;"")+('Dvd Calendar'!$AJ$1429=TYPE4)*(TYPE4&lt;&gt;"")+('Dvd Calendar'!$AJ$1429=SPECIAL_LBL)*(INC_SPECIALS="Y"))=0,"",'Dvd Calendar'!$AJ$1427)))</f>
        <v/>
      </c>
      <c r="AI144" s="106">
        <f>IF(FK144="","",IF(ISNUMBER('Dvd Calendar'!$AK$1427)=FALSE,"",IF((('Dvd Calendar'!$AK$1429=TYPE1)*(TYPE1&lt;&gt;"")+('Dvd Calendar'!$AK$1429=TYPE2)*(TYPE2&lt;&gt;"")+('Dvd Calendar'!$AK$1429=TYPE3)*(TYPE3&lt;&gt;"")+('Dvd Calendar'!$AK$1429=TYPE4)*(TYPE4&lt;&gt;"")+('Dvd Calendar'!$AK$1429=SPECIAL_LBL)*(INC_SPECIALS="Y"))=0,"",'Dvd Calendar'!$AK$1427)))</f>
        <v/>
      </c>
      <c r="AJ144" s="106">
        <f>IF(FL144="","",IF(ISNUMBER('Dvd Calendar'!$AL$1427)=FALSE,"",IF((('Dvd Calendar'!$AL$1429=TYPE1)*(TYPE1&lt;&gt;"")+('Dvd Calendar'!$AL$1429=TYPE2)*(TYPE2&lt;&gt;"")+('Dvd Calendar'!$AL$1429=TYPE3)*(TYPE3&lt;&gt;"")+('Dvd Calendar'!$AL$1429=TYPE4)*(TYPE4&lt;&gt;"")+('Dvd Calendar'!$AL$1429=SPECIAL_LBL)*(INC_SPECIALS="Y"))=0,"",'Dvd Calendar'!$AL$1427)))</f>
        <v/>
      </c>
      <c r="AK144" s="106">
        <f>IF(FM144="","",IF(ISNUMBER('Dvd Calendar'!$AM$1427)=FALSE,"",IF((('Dvd Calendar'!$AM$1429=TYPE1)*(TYPE1&lt;&gt;"")+('Dvd Calendar'!$AM$1429=TYPE2)*(TYPE2&lt;&gt;"")+('Dvd Calendar'!$AM$1429=TYPE3)*(TYPE3&lt;&gt;"")+('Dvd Calendar'!$AM$1429=TYPE4)*(TYPE4&lt;&gt;"")+('Dvd Calendar'!$AM$1429=SPECIAL_LBL)*(INC_SPECIALS="Y"))=0,"",'Dvd Calendar'!$AM$1427)))</f>
        <v/>
      </c>
      <c r="AL144" s="106">
        <f>IF(FN144="","",IF(ISNUMBER('Dvd Calendar'!$AN$1427)=FALSE,"",IF((('Dvd Calendar'!$AN$1429=TYPE1)*(TYPE1&lt;&gt;"")+('Dvd Calendar'!$AN$1429=TYPE2)*(TYPE2&lt;&gt;"")+('Dvd Calendar'!$AN$1429=TYPE3)*(TYPE3&lt;&gt;"")+('Dvd Calendar'!$AN$1429=TYPE4)*(TYPE4&lt;&gt;"")+('Dvd Calendar'!$AN$1429=SPECIAL_LBL)*(INC_SPECIALS="Y"))=0,"",'Dvd Calendar'!$AN$1427)))</f>
        <v/>
      </c>
      <c r="AM144" s="106">
        <f>IF(FO144="","",IF(ISNUMBER('Dvd Calendar'!$AO$1427)=FALSE,"",IF((('Dvd Calendar'!$AO$1429=TYPE1)*(TYPE1&lt;&gt;"")+('Dvd Calendar'!$AO$1429=TYPE2)*(TYPE2&lt;&gt;"")+('Dvd Calendar'!$AO$1429=TYPE3)*(TYPE3&lt;&gt;"")+('Dvd Calendar'!$AO$1429=TYPE4)*(TYPE4&lt;&gt;"")+('Dvd Calendar'!$AO$1429=SPECIAL_LBL)*(INC_SPECIALS="Y"))=0,"",'Dvd Calendar'!$AO$1427)))</f>
        <v/>
      </c>
      <c r="AN144" s="106">
        <f>IF(FP144="","",IF(ISNUMBER('Dvd Calendar'!$AP$1427)=FALSE,"",IF((('Dvd Calendar'!$AP$1429=TYPE1)*(TYPE1&lt;&gt;"")+('Dvd Calendar'!$AP$1429=TYPE2)*(TYPE2&lt;&gt;"")+('Dvd Calendar'!$AP$1429=TYPE3)*(TYPE3&lt;&gt;"")+('Dvd Calendar'!$AP$1429=TYPE4)*(TYPE4&lt;&gt;"")+('Dvd Calendar'!$AP$1429=SPECIAL_LBL)*(INC_SPECIALS="Y"))=0,"",'Dvd Calendar'!$AP$1427)))</f>
        <v/>
      </c>
      <c r="AO144" s="106">
        <f>IF(FQ144="","",IF(ISNUMBER('Dvd Calendar'!$AQ$1427)=FALSE,"",IF((('Dvd Calendar'!$AQ$1429=TYPE1)*(TYPE1&lt;&gt;"")+('Dvd Calendar'!$AQ$1429=TYPE2)*(TYPE2&lt;&gt;"")+('Dvd Calendar'!$AQ$1429=TYPE3)*(TYPE3&lt;&gt;"")+('Dvd Calendar'!$AQ$1429=TYPE4)*(TYPE4&lt;&gt;"")+('Dvd Calendar'!$AQ$1429=SPECIAL_LBL)*(INC_SPECIALS="Y"))=0,"",'Dvd Calendar'!$AQ$1427)))</f>
        <v/>
      </c>
      <c r="AP144" s="106">
        <f>IF(FR144="","",IF(ISNUMBER('Dvd Calendar'!$AR$1427)=FALSE,"",IF((('Dvd Calendar'!$AR$1429=TYPE1)*(TYPE1&lt;&gt;"")+('Dvd Calendar'!$AR$1429=TYPE2)*(TYPE2&lt;&gt;"")+('Dvd Calendar'!$AR$1429=TYPE3)*(TYPE3&lt;&gt;"")+('Dvd Calendar'!$AR$1429=TYPE4)*(TYPE4&lt;&gt;"")+('Dvd Calendar'!$AR$1429=SPECIAL_LBL)*(INC_SPECIALS="Y"))=0,"",'Dvd Calendar'!$AR$1427)))</f>
        <v/>
      </c>
      <c r="AQ144" s="106">
        <f>IF(FS144="","",IF(ISNUMBER('Dvd Calendar'!$E$1432)=FALSE,"",'Dvd Calendar'!$E$1432))</f>
        <v/>
      </c>
      <c r="AR144" s="106">
        <f>IF(FT144="","",IF(ISNUMBER('Dvd Calendar'!$F$1432)=FALSE,"",'Dvd Calendar'!$F$1432))</f>
        <v/>
      </c>
      <c r="AS144" s="106">
        <f>IF(FU144="","",IF(ISNUMBER('Dvd Calendar'!$G$1432)=FALSE,"",'Dvd Calendar'!$G$1432))</f>
        <v/>
      </c>
      <c r="AT144" s="106">
        <f>IF(FV144="","",IF(ISNUMBER('Dvd Calendar'!$H$1432)=FALSE,"",'Dvd Calendar'!$H$1432))</f>
        <v/>
      </c>
      <c r="AU144" s="106">
        <f>IF(FW144="","",IF(ISNUMBER('Dvd Calendar'!$I$1432)=FALSE,"",'Dvd Calendar'!$I$1432))</f>
        <v/>
      </c>
      <c r="AV144" s="106">
        <f>IF(FX144="","",IF(ISNUMBER('Dvd Calendar'!$J$1432)=FALSE,"",'Dvd Calendar'!$J$1432))</f>
        <v/>
      </c>
      <c r="AW144" s="106">
        <f>IF(FY144="","",IF(ISNUMBER('Dvd Calendar'!$K$1432)=FALSE,"",'Dvd Calendar'!$K$1432))</f>
        <v/>
      </c>
      <c r="AX144" s="106">
        <f>IF(FZ144="","",IF(ISNUMBER('Dvd Calendar'!$L$1432)=FALSE,"",'Dvd Calendar'!$L$1432))</f>
        <v/>
      </c>
      <c r="AY144" s="106">
        <f>IF(GA144="","",IF(ISNUMBER('Dvd Calendar'!$M$1432)=FALSE,"",'Dvd Calendar'!$M$1432))</f>
        <v/>
      </c>
      <c r="AZ144" s="106">
        <f>IF(GB144="","",IF(ISNUMBER('Dvd Calendar'!$N$1432)=FALSE,"",'Dvd Calendar'!$N$1432))</f>
        <v/>
      </c>
      <c r="BA144" s="106">
        <f>IF(GC144="","",IF(ISNUMBER('Dvd Calendar'!$O$1432)=FALSE,"",'Dvd Calendar'!$O$1432))</f>
        <v/>
      </c>
      <c r="BB144" s="106">
        <f>IF(GD144="","",IF(ISNUMBER('Dvd Calendar'!$P$1432)=FALSE,"",'Dvd Calendar'!$P$1432))</f>
        <v/>
      </c>
      <c r="BC144" s="106">
        <f>IF(GE144="","",IF(ISNUMBER('Dvd Calendar'!$Q$1432)=FALSE,"",'Dvd Calendar'!$Q$1432))</f>
        <v/>
      </c>
      <c r="BD144" s="106">
        <f>IF(GF144="","",IF(ISNUMBER('Dvd Calendar'!$R$1432)=FALSE,"",'Dvd Calendar'!$R$1432))</f>
        <v/>
      </c>
      <c r="BE144" s="106">
        <f>IF(GG144="","",IF(ISNUMBER('Dvd Calendar'!$S$1432)=FALSE,"",'Dvd Calendar'!$S$1432))</f>
        <v/>
      </c>
      <c r="BF144" s="106">
        <f>IF(GH144="","",IF(ISNUMBER('Dvd Calendar'!$T$1432)=FALSE,"",'Dvd Calendar'!$T$1432))</f>
        <v/>
      </c>
      <c r="BG144" s="106">
        <f>IF(GI144="","",IF(ISNUMBER('Dvd Calendar'!$U$1432)=FALSE,"",'Dvd Calendar'!$U$1432))</f>
        <v/>
      </c>
      <c r="BH144" s="106">
        <f>IF(GJ144="","",IF(ISNUMBER('Dvd Calendar'!$V$1432)=FALSE,"",'Dvd Calendar'!$V$1432))</f>
        <v/>
      </c>
      <c r="BI144" s="106">
        <f>IF(GK144="","",IF(ISNUMBER('Dvd Calendar'!$W$1432)=FALSE,"",'Dvd Calendar'!$W$1432))</f>
        <v/>
      </c>
      <c r="BJ144" s="106">
        <f>IF(GL144="","",IF(ISNUMBER('Dvd Calendar'!$X$1432)=FALSE,"",'Dvd Calendar'!$X$1432))</f>
        <v/>
      </c>
      <c r="BK144" s="106">
        <f>IF(GM144="","",IF(ISNUMBER('Dvd Calendar'!$Y$1432)=FALSE,"",'Dvd Calendar'!$Y$1432))</f>
        <v/>
      </c>
      <c r="BL144" s="106">
        <f>IF(GN144="","",IF(ISNUMBER('Dvd Calendar'!$Z$1432)=FALSE,"",'Dvd Calendar'!$Z$1432))</f>
        <v/>
      </c>
      <c r="BM144" s="106">
        <f>IF(GO144="","",IF(ISNUMBER('Dvd Calendar'!$AA$1432)=FALSE,"",'Dvd Calendar'!$AA$1432))</f>
        <v/>
      </c>
      <c r="BN144" s="106">
        <f>IF(GP144="","",IF(ISNUMBER('Dvd Calendar'!$AB$1432)=FALSE,"",'Dvd Calendar'!$AB$1432))</f>
        <v/>
      </c>
      <c r="BO144" s="106">
        <f>IF(GQ144="","",IF(ISNUMBER('Dvd Calendar'!$AC$1432)=FALSE,"",'Dvd Calendar'!$AC$1432))</f>
        <v/>
      </c>
      <c r="BQ144" s="106">
        <f>IF(C144="","",IFERROR(C144*HSTECH!$B$35*HSTECH!$G$35/HSTECH!$B$3,""))</f>
        <v/>
      </c>
      <c r="BR144" s="106">
        <f>IF(D144="","",IFERROR(D144*HSTECH!$B$35*HSTECH!$G$35/HSTECH!$B$3,""))</f>
        <v/>
      </c>
      <c r="BS144" s="106">
        <f>IF(E144="","",IFERROR(E144*HSTECH!$B$35*HSTECH!$G$35/HSTECH!$B$3,""))</f>
        <v/>
      </c>
      <c r="BT144" s="106">
        <f>IF(F144="","",IFERROR(F144*HSTECH!$B$35*HSTECH!$G$35/HSTECH!$B$3,""))</f>
        <v/>
      </c>
      <c r="BU144" s="106">
        <f>IF(G144="","",IFERROR(G144*HSTECH!$B$35*HSTECH!$G$35/HSTECH!$B$3,""))</f>
        <v/>
      </c>
      <c r="BV144" s="106">
        <f>IF(H144="","",IFERROR(H144*HSTECH!$B$35*HSTECH!$G$35/HSTECH!$B$3,""))</f>
        <v/>
      </c>
      <c r="BW144" s="106">
        <f>IF(I144="","",IFERROR(I144*HSTECH!$B$35*HSTECH!$G$35/HSTECH!$B$3,""))</f>
        <v/>
      </c>
      <c r="BX144" s="106">
        <f>IF(J144="","",IFERROR(J144*HSTECH!$B$35*HSTECH!$G$35/HSTECH!$B$3,""))</f>
        <v/>
      </c>
      <c r="BY144" s="106">
        <f>IF(K144="","",IFERROR(K144*HSTECH!$B$35*HSTECH!$G$35/HSTECH!$B$3,""))</f>
        <v/>
      </c>
      <c r="BZ144" s="106">
        <f>IF(L144="","",IFERROR(L144*HSTECH!$B$35*HSTECH!$G$35/HSTECH!$B$3,""))</f>
        <v/>
      </c>
      <c r="CA144" s="106">
        <f>IF(M144="","",IFERROR(M144*HSTECH!$B$35*HSTECH!$G$35/HSTECH!$B$3,""))</f>
        <v/>
      </c>
      <c r="CB144" s="106">
        <f>IF(N144="","",IFERROR(N144*HSTECH!$B$35*HSTECH!$G$35/HSTECH!$B$3,""))</f>
        <v/>
      </c>
      <c r="CC144" s="106">
        <f>IF(O144="","",IFERROR(O144*HSTECH!$B$35*HSTECH!$G$35/HSTECH!$B$3,""))</f>
        <v/>
      </c>
      <c r="CD144" s="106">
        <f>IF(P144="","",IFERROR(P144*HSTECH!$B$35*HSTECH!$G$35/HSTECH!$B$3,""))</f>
        <v/>
      </c>
      <c r="CE144" s="106">
        <f>IF(Q144="","",IFERROR(Q144*HSTECH!$B$35*HSTECH!$G$35/HSTECH!$B$3,""))</f>
        <v/>
      </c>
      <c r="CF144" s="106">
        <f>IF(R144="","",IFERROR(R144*HSTECH!$B$35*HSTECH!$G$35/HSTECH!$B$3,""))</f>
        <v/>
      </c>
      <c r="CG144" s="106">
        <f>IF(S144="","",IFERROR(S144*HSTECH!$B$35*HSTECH!$G$35/HSTECH!$B$3,""))</f>
        <v/>
      </c>
      <c r="CH144" s="106">
        <f>IF(T144="","",IFERROR(T144*HSTECH!$B$35*HSTECH!$G$35/HSTECH!$B$3,""))</f>
        <v/>
      </c>
      <c r="CI144" s="106">
        <f>IF(U144="","",IFERROR(U144*HSTECH!$B$35*HSTECH!$G$35/HSTECH!$B$3,""))</f>
        <v/>
      </c>
      <c r="CJ144" s="106">
        <f>IF(V144="","",IFERROR(V144*HSTECH!$B$35*HSTECH!$G$35/HSTECH!$B$3,""))</f>
        <v/>
      </c>
      <c r="CK144" s="106">
        <f>IF(W144="","",IFERROR(W144*HSTECH!$B$35*HSTECH!$G$35/HSTECH!$B$3,""))</f>
        <v/>
      </c>
      <c r="CL144" s="106">
        <f>IF(X144="","",IFERROR(X144*HSTECH!$B$35*HSTECH!$G$35/HSTECH!$B$3,""))</f>
        <v/>
      </c>
      <c r="CM144" s="106">
        <f>IF(Y144="","",IFERROR(Y144*HSTECH!$B$35*HSTECH!$G$35/HSTECH!$B$3,""))</f>
        <v/>
      </c>
      <c r="CN144" s="106">
        <f>IF(Z144="","",IFERROR(Z144*HSTECH!$B$35*HSTECH!$G$35/HSTECH!$B$3,""))</f>
        <v/>
      </c>
      <c r="CO144" s="106">
        <f>IF(AA144="","",IFERROR(AA144*HSTECH!$B$35*HSTECH!$G$35/HSTECH!$B$3,""))</f>
        <v/>
      </c>
      <c r="CP144" s="106">
        <f>IF(AB144="","",IFERROR(AB144*HSTECH!$B$35*HSTECH!$G$35/HSTECH!$B$3,""))</f>
        <v/>
      </c>
      <c r="CQ144" s="106">
        <f>IF(AC144="","",IFERROR(AC144*HSTECH!$B$35*HSTECH!$G$35/HSTECH!$B$3,""))</f>
        <v/>
      </c>
      <c r="CR144" s="106">
        <f>IF(AD144="","",IFERROR(AD144*HSTECH!$B$35*HSTECH!$G$35/HSTECH!$B$3,""))</f>
        <v/>
      </c>
      <c r="CS144" s="106">
        <f>IF(AE144="","",IFERROR(AE144*HSTECH!$B$35*HSTECH!$G$35/HSTECH!$B$3,""))</f>
        <v/>
      </c>
      <c r="CT144" s="106">
        <f>IF(AF144="","",IFERROR(AF144*HSTECH!$B$35*HSTECH!$G$35/HSTECH!$B$3,""))</f>
        <v/>
      </c>
      <c r="CU144" s="106">
        <f>IF(AG144="","",IFERROR(AG144*HSTECH!$B$35*HSTECH!$G$35/HSTECH!$B$3,""))</f>
        <v/>
      </c>
      <c r="CV144" s="106">
        <f>IF(AH144="","",IFERROR(AH144*HSTECH!$B$35*HSTECH!$G$35/HSTECH!$B$3,""))</f>
        <v/>
      </c>
      <c r="CW144" s="106">
        <f>IF(AI144="","",IFERROR(AI144*HSTECH!$B$35*HSTECH!$G$35/HSTECH!$B$3,""))</f>
        <v/>
      </c>
      <c r="CX144" s="106">
        <f>IF(AJ144="","",IFERROR(AJ144*HSTECH!$B$35*HSTECH!$G$35/HSTECH!$B$3,""))</f>
        <v/>
      </c>
      <c r="CY144" s="106">
        <f>IF(AK144="","",IFERROR(AK144*HSTECH!$B$35*HSTECH!$G$35/HSTECH!$B$3,""))</f>
        <v/>
      </c>
      <c r="CZ144" s="106">
        <f>IF(AL144="","",IFERROR(AL144*HSTECH!$B$35*HSTECH!$G$35/HSTECH!$B$3,""))</f>
        <v/>
      </c>
      <c r="DA144" s="106">
        <f>IF(AM144="","",IFERROR(AM144*HSTECH!$B$35*HSTECH!$G$35/HSTECH!$B$3,""))</f>
        <v/>
      </c>
      <c r="DB144" s="106">
        <f>IF(AN144="","",IFERROR(AN144*HSTECH!$B$35*HSTECH!$G$35/HSTECH!$B$3,""))</f>
        <v/>
      </c>
      <c r="DC144" s="106">
        <f>IF(AO144="","",IFERROR(AO144*HSTECH!$B$35*HSTECH!$G$35/HSTECH!$B$3,""))</f>
        <v/>
      </c>
      <c r="DD144" s="106">
        <f>IF(AP144="","",IFERROR(AP144*HSTECH!$B$35*HSTECH!$G$35/HSTECH!$B$3,""))</f>
        <v/>
      </c>
      <c r="DE144" s="106">
        <f>IF(AQ144="","",IFERROR(AQ144*HSTECH!$B$35*HSTECH!$G$35/HSTECH!$B$3,""))</f>
        <v/>
      </c>
      <c r="DF144" s="106">
        <f>IF(AR144="","",IFERROR(AR144*HSTECH!$B$35*HSTECH!$G$35/HSTECH!$B$3,""))</f>
        <v/>
      </c>
      <c r="DG144" s="106">
        <f>IF(AS144="","",IFERROR(AS144*HSTECH!$B$35*HSTECH!$G$35/HSTECH!$B$3,""))</f>
        <v/>
      </c>
      <c r="DH144" s="106">
        <f>IF(AT144="","",IFERROR(AT144*HSTECH!$B$35*HSTECH!$G$35/HSTECH!$B$3,""))</f>
        <v/>
      </c>
      <c r="DI144" s="106">
        <f>IF(AU144="","",IFERROR(AU144*HSTECH!$B$35*HSTECH!$G$35/HSTECH!$B$3,""))</f>
        <v/>
      </c>
      <c r="DJ144" s="106">
        <f>IF(AV144="","",IFERROR(AV144*HSTECH!$B$35*HSTECH!$G$35/HSTECH!$B$3,""))</f>
        <v/>
      </c>
      <c r="DK144" s="106">
        <f>IF(AW144="","",IFERROR(AW144*HSTECH!$B$35*HSTECH!$G$35/HSTECH!$B$3,""))</f>
        <v/>
      </c>
      <c r="DL144" s="106">
        <f>IF(AX144="","",IFERROR(AX144*HSTECH!$B$35*HSTECH!$G$35/HSTECH!$B$3,""))</f>
        <v/>
      </c>
      <c r="DM144" s="106">
        <f>IF(AY144="","",IFERROR(AY144*HSTECH!$B$35*HSTECH!$G$35/HSTECH!$B$3,""))</f>
        <v/>
      </c>
      <c r="DN144" s="106">
        <f>IF(AZ144="","",IFERROR(AZ144*HSTECH!$B$35*HSTECH!$G$35/HSTECH!$B$3,""))</f>
        <v/>
      </c>
      <c r="DO144" s="106">
        <f>IF(BA144="","",IFERROR(BA144*HSTECH!$B$35*HSTECH!$G$35/HSTECH!$B$3,""))</f>
        <v/>
      </c>
      <c r="DP144" s="106">
        <f>IF(BB144="","",IFERROR(BB144*HSTECH!$B$35*HSTECH!$G$35/HSTECH!$B$3,""))</f>
        <v/>
      </c>
      <c r="DQ144" s="106">
        <f>IF(BC144="","",IFERROR(BC144*HSTECH!$B$35*HSTECH!$G$35/HSTECH!$B$3,""))</f>
        <v/>
      </c>
      <c r="DR144" s="106">
        <f>IF(BD144="","",IFERROR(BD144*HSTECH!$B$35*HSTECH!$G$35/HSTECH!$B$3,""))</f>
        <v/>
      </c>
      <c r="DS144" s="106">
        <f>IF(BE144="","",IFERROR(BE144*HSTECH!$B$35*HSTECH!$G$35/HSTECH!$B$3,""))</f>
        <v/>
      </c>
      <c r="DT144" s="106">
        <f>IF(BF144="","",IFERROR(BF144*HSTECH!$B$35*HSTECH!$G$35/HSTECH!$B$3,""))</f>
        <v/>
      </c>
      <c r="DU144" s="106">
        <f>IF(BG144="","",IFERROR(BG144*HSTECH!$B$35*HSTECH!$G$35/HSTECH!$B$3,""))</f>
        <v/>
      </c>
      <c r="DV144" s="106">
        <f>IF(BH144="","",IFERROR(BH144*HSTECH!$B$35*HSTECH!$G$35/HSTECH!$B$3,""))</f>
        <v/>
      </c>
      <c r="DW144" s="106">
        <f>IF(BI144="","",IFERROR(BI144*HSTECH!$B$35*HSTECH!$G$35/HSTECH!$B$3,""))</f>
        <v/>
      </c>
      <c r="DX144" s="106">
        <f>IF(BJ144="","",IFERROR(BJ144*HSTECH!$B$35*HSTECH!$G$35/HSTECH!$B$3,""))</f>
        <v/>
      </c>
      <c r="DY144" s="106">
        <f>IF(BK144="","",IFERROR(BK144*HSTECH!$B$35*HSTECH!$G$35/HSTECH!$B$3,""))</f>
        <v/>
      </c>
      <c r="DZ144" s="106">
        <f>IF(BL144="","",IFERROR(BL144*HSTECH!$B$35*HSTECH!$G$35/HSTECH!$B$3,""))</f>
        <v/>
      </c>
      <c r="EA144" s="106">
        <f>IF(BM144="","",IFERROR(BM144*HSTECH!$B$35*HSTECH!$G$35/HSTECH!$B$3,""))</f>
        <v/>
      </c>
      <c r="EB144" s="106">
        <f>IF(BN144="","",IFERROR(BN144*HSTECH!$B$35*HSTECH!$G$35/HSTECH!$B$3,""))</f>
        <v/>
      </c>
      <c r="EC144" s="106">
        <f>IF(BO144="","",IFERROR(BO144*HSTECH!$B$35*HSTECH!$G$35/HSTECH!$B$3,""))</f>
        <v/>
      </c>
      <c r="EE144" s="35">
        <f>IF(N('Dvd Calendar'!$E$1424)=0,"",IF(('Dvd Calendar'!$E$1424&gt;=GRID_FROM)*('Dvd Calendar'!$E$1424&lt;=GRID_TO)*('Dvd Calendar'!$E$1424&lt;=VAL_DATE)=0,"",'Dvd Calendar'!$E$1424*1000000000+ISNUMBER('Dvd Calendar'!$E$1427)*100000000+('Dvd Calendar'!$E$1429=SPECIAL_LBL)*10000000+0*1000000+29*1000+1))</f>
        <v/>
      </c>
      <c r="EF144" s="35">
        <f>IF(N('Dvd Calendar'!$F$1424)=0,"",IF(('Dvd Calendar'!$F$1424&gt;=GRID_FROM)*('Dvd Calendar'!$F$1424&lt;=GRID_TO)*('Dvd Calendar'!$F$1424&lt;=VAL_DATE)=0,"",'Dvd Calendar'!$F$1424*1000000000+ISNUMBER('Dvd Calendar'!$F$1427)*100000000+('Dvd Calendar'!$F$1429=SPECIAL_LBL)*10000000+0*1000000+29*1000+2))</f>
        <v/>
      </c>
      <c r="EG144" s="35">
        <f>IF(N('Dvd Calendar'!$G$1424)=0,"",IF(('Dvd Calendar'!$G$1424&gt;=GRID_FROM)*('Dvd Calendar'!$G$1424&lt;=GRID_TO)*('Dvd Calendar'!$G$1424&lt;=VAL_DATE)=0,"",'Dvd Calendar'!$G$1424*1000000000+ISNUMBER('Dvd Calendar'!$G$1427)*100000000+('Dvd Calendar'!$G$1429=SPECIAL_LBL)*10000000+0*1000000+29*1000+3))</f>
        <v/>
      </c>
      <c r="EH144" s="35">
        <f>IF(N('Dvd Calendar'!$H$1424)=0,"",IF(('Dvd Calendar'!$H$1424&gt;=GRID_FROM)*('Dvd Calendar'!$H$1424&lt;=GRID_TO)*('Dvd Calendar'!$H$1424&lt;=VAL_DATE)=0,"",'Dvd Calendar'!$H$1424*1000000000+ISNUMBER('Dvd Calendar'!$H$1427)*100000000+('Dvd Calendar'!$H$1429=SPECIAL_LBL)*10000000+0*1000000+29*1000+4))</f>
        <v/>
      </c>
      <c r="EI144" s="35">
        <f>IF(N('Dvd Calendar'!$I$1424)=0,"",IF(('Dvd Calendar'!$I$1424&gt;=GRID_FROM)*('Dvd Calendar'!$I$1424&lt;=GRID_TO)*('Dvd Calendar'!$I$1424&lt;=VAL_DATE)=0,"",'Dvd Calendar'!$I$1424*1000000000+ISNUMBER('Dvd Calendar'!$I$1427)*100000000+('Dvd Calendar'!$I$1429=SPECIAL_LBL)*10000000+0*1000000+29*1000+5))</f>
        <v/>
      </c>
      <c r="EJ144" s="35">
        <f>IF(N('Dvd Calendar'!$J$1424)=0,"",IF(('Dvd Calendar'!$J$1424&gt;=GRID_FROM)*('Dvd Calendar'!$J$1424&lt;=GRID_TO)*('Dvd Calendar'!$J$1424&lt;=VAL_DATE)=0,"",'Dvd Calendar'!$J$1424*1000000000+ISNUMBER('Dvd Calendar'!$J$1427)*100000000+('Dvd Calendar'!$J$1429=SPECIAL_LBL)*10000000+0*1000000+29*1000+6))</f>
        <v/>
      </c>
      <c r="EK144" s="35">
        <f>IF(N('Dvd Calendar'!$K$1424)=0,"",IF(('Dvd Calendar'!$K$1424&gt;=GRID_FROM)*('Dvd Calendar'!$K$1424&lt;=GRID_TO)*('Dvd Calendar'!$K$1424&lt;=VAL_DATE)=0,"",'Dvd Calendar'!$K$1424*1000000000+ISNUMBER('Dvd Calendar'!$K$1427)*100000000+('Dvd Calendar'!$K$1429=SPECIAL_LBL)*10000000+0*1000000+29*1000+7))</f>
        <v/>
      </c>
      <c r="EL144" s="35">
        <f>IF(N('Dvd Calendar'!$L$1424)=0,"",IF(('Dvd Calendar'!$L$1424&gt;=GRID_FROM)*('Dvd Calendar'!$L$1424&lt;=GRID_TO)*('Dvd Calendar'!$L$1424&lt;=VAL_DATE)=0,"",'Dvd Calendar'!$L$1424*1000000000+ISNUMBER('Dvd Calendar'!$L$1427)*100000000+('Dvd Calendar'!$L$1429=SPECIAL_LBL)*10000000+0*1000000+29*1000+8))</f>
        <v/>
      </c>
      <c r="EM144" s="35">
        <f>IF(N('Dvd Calendar'!$M$1424)=0,"",IF(('Dvd Calendar'!$M$1424&gt;=GRID_FROM)*('Dvd Calendar'!$M$1424&lt;=GRID_TO)*('Dvd Calendar'!$M$1424&lt;=VAL_DATE)=0,"",'Dvd Calendar'!$M$1424*1000000000+ISNUMBER('Dvd Calendar'!$M$1427)*100000000+('Dvd Calendar'!$M$1429=SPECIAL_LBL)*10000000+0*1000000+29*1000+9))</f>
        <v/>
      </c>
      <c r="EN144" s="35">
        <f>IF(N('Dvd Calendar'!$N$1424)=0,"",IF(('Dvd Calendar'!$N$1424&gt;=GRID_FROM)*('Dvd Calendar'!$N$1424&lt;=GRID_TO)*('Dvd Calendar'!$N$1424&lt;=VAL_DATE)=0,"",'Dvd Calendar'!$N$1424*1000000000+ISNUMBER('Dvd Calendar'!$N$1427)*100000000+('Dvd Calendar'!$N$1429=SPECIAL_LBL)*10000000+0*1000000+29*1000+10))</f>
        <v/>
      </c>
      <c r="EO144" s="35">
        <f>IF(N('Dvd Calendar'!$O$1424)=0,"",IF(('Dvd Calendar'!$O$1424&gt;=GRID_FROM)*('Dvd Calendar'!$O$1424&lt;=GRID_TO)*('Dvd Calendar'!$O$1424&lt;=VAL_DATE)=0,"",'Dvd Calendar'!$O$1424*1000000000+ISNUMBER('Dvd Calendar'!$O$1427)*100000000+('Dvd Calendar'!$O$1429=SPECIAL_LBL)*10000000+0*1000000+29*1000+11))</f>
        <v/>
      </c>
      <c r="EP144" s="35">
        <f>IF(N('Dvd Calendar'!$P$1424)=0,"",IF(('Dvd Calendar'!$P$1424&gt;=GRID_FROM)*('Dvd Calendar'!$P$1424&lt;=GRID_TO)*('Dvd Calendar'!$P$1424&lt;=VAL_DATE)=0,"",'Dvd Calendar'!$P$1424*1000000000+ISNUMBER('Dvd Calendar'!$P$1427)*100000000+('Dvd Calendar'!$P$1429=SPECIAL_LBL)*10000000+0*1000000+29*1000+12))</f>
        <v/>
      </c>
      <c r="EQ144" s="35">
        <f>IF(N('Dvd Calendar'!$Q$1424)=0,"",IF(('Dvd Calendar'!$Q$1424&gt;=GRID_FROM)*('Dvd Calendar'!$Q$1424&lt;=GRID_TO)*('Dvd Calendar'!$Q$1424&lt;=VAL_DATE)=0,"",'Dvd Calendar'!$Q$1424*1000000000+ISNUMBER('Dvd Calendar'!$Q$1427)*100000000+('Dvd Calendar'!$Q$1429=SPECIAL_LBL)*10000000+0*1000000+29*1000+13))</f>
        <v/>
      </c>
      <c r="ER144" s="35">
        <f>IF(N('Dvd Calendar'!$R$1424)=0,"",IF(('Dvd Calendar'!$R$1424&gt;=GRID_FROM)*('Dvd Calendar'!$R$1424&lt;=GRID_TO)*('Dvd Calendar'!$R$1424&lt;=VAL_DATE)=0,"",'Dvd Calendar'!$R$1424*1000000000+ISNUMBER('Dvd Calendar'!$R$1427)*100000000+('Dvd Calendar'!$R$1429=SPECIAL_LBL)*10000000+0*1000000+29*1000+14))</f>
        <v/>
      </c>
      <c r="ES144" s="35">
        <f>IF(N('Dvd Calendar'!$S$1424)=0,"",IF(('Dvd Calendar'!$S$1424&gt;=GRID_FROM)*('Dvd Calendar'!$S$1424&lt;=GRID_TO)*('Dvd Calendar'!$S$1424&lt;=VAL_DATE)=0,"",'Dvd Calendar'!$S$1424*1000000000+ISNUMBER('Dvd Calendar'!$S$1427)*100000000+('Dvd Calendar'!$S$1429=SPECIAL_LBL)*10000000+0*1000000+29*1000+15))</f>
        <v/>
      </c>
      <c r="ET144" s="35">
        <f>IF(N('Dvd Calendar'!$T$1424)=0,"",IF(('Dvd Calendar'!$T$1424&gt;=GRID_FROM)*('Dvd Calendar'!$T$1424&lt;=GRID_TO)*('Dvd Calendar'!$T$1424&lt;=VAL_DATE)=0,"",'Dvd Calendar'!$T$1424*1000000000+ISNUMBER('Dvd Calendar'!$T$1427)*100000000+('Dvd Calendar'!$T$1429=SPECIAL_LBL)*10000000+0*1000000+29*1000+16))</f>
        <v/>
      </c>
      <c r="EU144" s="35">
        <f>IF(N('Dvd Calendar'!$U$1424)=0,"",IF(('Dvd Calendar'!$U$1424&gt;=GRID_FROM)*('Dvd Calendar'!$U$1424&lt;=GRID_TO)*('Dvd Calendar'!$U$1424&lt;=VAL_DATE)=0,"",'Dvd Calendar'!$U$1424*1000000000+ISNUMBER('Dvd Calendar'!$U$1427)*100000000+('Dvd Calendar'!$U$1429=SPECIAL_LBL)*10000000+0*1000000+29*1000+17))</f>
        <v/>
      </c>
      <c r="EV144" s="35">
        <f>IF(N('Dvd Calendar'!$V$1424)=0,"",IF(('Dvd Calendar'!$V$1424&gt;=GRID_FROM)*('Dvd Calendar'!$V$1424&lt;=GRID_TO)*('Dvd Calendar'!$V$1424&lt;=VAL_DATE)=0,"",'Dvd Calendar'!$V$1424*1000000000+ISNUMBER('Dvd Calendar'!$V$1427)*100000000+('Dvd Calendar'!$V$1429=SPECIAL_LBL)*10000000+0*1000000+29*1000+18))</f>
        <v/>
      </c>
      <c r="EW144" s="35">
        <f>IF(N('Dvd Calendar'!$W$1424)=0,"",IF(('Dvd Calendar'!$W$1424&gt;=GRID_FROM)*('Dvd Calendar'!$W$1424&lt;=GRID_TO)*('Dvd Calendar'!$W$1424&lt;=VAL_DATE)=0,"",'Dvd Calendar'!$W$1424*1000000000+ISNUMBER('Dvd Calendar'!$W$1427)*100000000+('Dvd Calendar'!$W$1429=SPECIAL_LBL)*10000000+0*1000000+29*1000+19))</f>
        <v/>
      </c>
      <c r="EX144" s="35">
        <f>IF(N('Dvd Calendar'!$X$1424)=0,"",IF(('Dvd Calendar'!$X$1424&gt;=GRID_FROM)*('Dvd Calendar'!$X$1424&lt;=GRID_TO)*('Dvd Calendar'!$X$1424&lt;=VAL_DATE)=0,"",'Dvd Calendar'!$X$1424*1000000000+ISNUMBER('Dvd Calendar'!$X$1427)*100000000+('Dvd Calendar'!$X$1429=SPECIAL_LBL)*10000000+0*1000000+29*1000+20))</f>
        <v/>
      </c>
      <c r="EY144" s="35">
        <f>IF(N('Dvd Calendar'!$Y$1424)=0,"",IF(('Dvd Calendar'!$Y$1424&gt;=GRID_FROM)*('Dvd Calendar'!$Y$1424&lt;=GRID_TO)*('Dvd Calendar'!$Y$1424&lt;=VAL_DATE)=0,"",'Dvd Calendar'!$Y$1424*1000000000+ISNUMBER('Dvd Calendar'!$Y$1427)*100000000+('Dvd Calendar'!$Y$1429=SPECIAL_LBL)*10000000+0*1000000+29*1000+21))</f>
        <v/>
      </c>
      <c r="EZ144" s="35">
        <f>IF(N('Dvd Calendar'!$Z$1424)=0,"",IF(('Dvd Calendar'!$Z$1424&gt;=GRID_FROM)*('Dvd Calendar'!$Z$1424&lt;=GRID_TO)*('Dvd Calendar'!$Z$1424&lt;=VAL_DATE)=0,"",'Dvd Calendar'!$Z$1424*1000000000+ISNUMBER('Dvd Calendar'!$Z$1427)*100000000+('Dvd Calendar'!$Z$1429=SPECIAL_LBL)*10000000+0*1000000+29*1000+22))</f>
        <v/>
      </c>
      <c r="FA144" s="35">
        <f>IF(N('Dvd Calendar'!$AA$1424)=0,"",IF(('Dvd Calendar'!$AA$1424&gt;=GRID_FROM)*('Dvd Calendar'!$AA$1424&lt;=GRID_TO)*('Dvd Calendar'!$AA$1424&lt;=VAL_DATE)=0,"",'Dvd Calendar'!$AA$1424*1000000000+ISNUMBER('Dvd Calendar'!$AA$1427)*100000000+('Dvd Calendar'!$AA$1429=SPECIAL_LBL)*10000000+0*1000000+29*1000+23))</f>
        <v/>
      </c>
      <c r="FB144" s="35">
        <f>IF(N('Dvd Calendar'!$AB$1424)=0,"",IF(('Dvd Calendar'!$AB$1424&gt;=GRID_FROM)*('Dvd Calendar'!$AB$1424&lt;=GRID_TO)*('Dvd Calendar'!$AB$1424&lt;=VAL_DATE)=0,"",'Dvd Calendar'!$AB$1424*1000000000+ISNUMBER('Dvd Calendar'!$AB$1427)*100000000+('Dvd Calendar'!$AB$1429=SPECIAL_LBL)*10000000+0*1000000+29*1000+24))</f>
        <v/>
      </c>
      <c r="FC144" s="35">
        <f>IF(N('Dvd Calendar'!$AC$1424)=0,"",IF(('Dvd Calendar'!$AC$1424&gt;=GRID_FROM)*('Dvd Calendar'!$AC$1424&lt;=GRID_TO)*('Dvd Calendar'!$AC$1424&lt;=VAL_DATE)=0,"",'Dvd Calendar'!$AC$1424*1000000000+ISNUMBER('Dvd Calendar'!$AC$1427)*100000000+('Dvd Calendar'!$AC$1429=SPECIAL_LBL)*10000000+0*1000000+29*1000+25))</f>
        <v/>
      </c>
      <c r="FD144" s="35">
        <f>IF(N('Dvd Calendar'!$AD$1424)=0,"",IF(('Dvd Calendar'!$AD$1424&gt;=GRID_FROM)*('Dvd Calendar'!$AD$1424&lt;=GRID_TO)*('Dvd Calendar'!$AD$1424&lt;=VAL_DATE)=0,"",'Dvd Calendar'!$AD$1424*1000000000+ISNUMBER('Dvd Calendar'!$AD$1427)*100000000+('Dvd Calendar'!$AD$1429=SPECIAL_LBL)*10000000+0*1000000+29*1000+26))</f>
        <v/>
      </c>
      <c r="FE144" s="35">
        <f>IF(N('Dvd Calendar'!$AE$1424)=0,"",IF(('Dvd Calendar'!$AE$1424&gt;=GRID_FROM)*('Dvd Calendar'!$AE$1424&lt;=GRID_TO)*('Dvd Calendar'!$AE$1424&lt;=VAL_DATE)=0,"",'Dvd Calendar'!$AE$1424*1000000000+ISNUMBER('Dvd Calendar'!$AE$1427)*100000000+('Dvd Calendar'!$AE$1429=SPECIAL_LBL)*10000000+0*1000000+29*1000+27))</f>
        <v/>
      </c>
      <c r="FF144" s="35">
        <f>IF(N('Dvd Calendar'!$AF$1424)=0,"",IF(('Dvd Calendar'!$AF$1424&gt;=GRID_FROM)*('Dvd Calendar'!$AF$1424&lt;=GRID_TO)*('Dvd Calendar'!$AF$1424&lt;=VAL_DATE)=0,"",'Dvd Calendar'!$AF$1424*1000000000+ISNUMBER('Dvd Calendar'!$AF$1427)*100000000+('Dvd Calendar'!$AF$1429=SPECIAL_LBL)*10000000+0*1000000+29*1000+28))</f>
        <v/>
      </c>
      <c r="FG144" s="35">
        <f>IF(N('Dvd Calendar'!$AG$1424)=0,"",IF(('Dvd Calendar'!$AG$1424&gt;=GRID_FROM)*('Dvd Calendar'!$AG$1424&lt;=GRID_TO)*('Dvd Calendar'!$AG$1424&lt;=VAL_DATE)=0,"",'Dvd Calendar'!$AG$1424*1000000000+ISNUMBER('Dvd Calendar'!$AG$1427)*100000000+('Dvd Calendar'!$AG$1429=SPECIAL_LBL)*10000000+0*1000000+29*1000+29))</f>
        <v/>
      </c>
      <c r="FH144" s="35">
        <f>IF(N('Dvd Calendar'!$AH$1424)=0,"",IF(('Dvd Calendar'!$AH$1424&gt;=GRID_FROM)*('Dvd Calendar'!$AH$1424&lt;=GRID_TO)*('Dvd Calendar'!$AH$1424&lt;=VAL_DATE)=0,"",'Dvd Calendar'!$AH$1424*1000000000+ISNUMBER('Dvd Calendar'!$AH$1427)*100000000+('Dvd Calendar'!$AH$1429=SPECIAL_LBL)*10000000+0*1000000+29*1000+30))</f>
        <v/>
      </c>
      <c r="FI144" s="35">
        <f>IF(N('Dvd Calendar'!$AI$1424)=0,"",IF(('Dvd Calendar'!$AI$1424&gt;=GRID_FROM)*('Dvd Calendar'!$AI$1424&lt;=GRID_TO)*('Dvd Calendar'!$AI$1424&lt;=VAL_DATE)=0,"",'Dvd Calendar'!$AI$1424*1000000000+ISNUMBER('Dvd Calendar'!$AI$1427)*100000000+('Dvd Calendar'!$AI$1429=SPECIAL_LBL)*10000000+0*1000000+29*1000+31))</f>
        <v/>
      </c>
      <c r="FJ144" s="35">
        <f>IF(N('Dvd Calendar'!$AJ$1424)=0,"",IF(('Dvd Calendar'!$AJ$1424&gt;=GRID_FROM)*('Dvd Calendar'!$AJ$1424&lt;=GRID_TO)*('Dvd Calendar'!$AJ$1424&lt;=VAL_DATE)=0,"",'Dvd Calendar'!$AJ$1424*1000000000+ISNUMBER('Dvd Calendar'!$AJ$1427)*100000000+('Dvd Calendar'!$AJ$1429=SPECIAL_LBL)*10000000+0*1000000+29*1000+32))</f>
        <v/>
      </c>
      <c r="FK144" s="35">
        <f>IF(N('Dvd Calendar'!$AK$1424)=0,"",IF(('Dvd Calendar'!$AK$1424&gt;=GRID_FROM)*('Dvd Calendar'!$AK$1424&lt;=GRID_TO)*('Dvd Calendar'!$AK$1424&lt;=VAL_DATE)=0,"",'Dvd Calendar'!$AK$1424*1000000000+ISNUMBER('Dvd Calendar'!$AK$1427)*100000000+('Dvd Calendar'!$AK$1429=SPECIAL_LBL)*10000000+0*1000000+29*1000+33))</f>
        <v/>
      </c>
      <c r="FL144" s="35">
        <f>IF(N('Dvd Calendar'!$AL$1424)=0,"",IF(('Dvd Calendar'!$AL$1424&gt;=GRID_FROM)*('Dvd Calendar'!$AL$1424&lt;=GRID_TO)*('Dvd Calendar'!$AL$1424&lt;=VAL_DATE)=0,"",'Dvd Calendar'!$AL$1424*1000000000+ISNUMBER('Dvd Calendar'!$AL$1427)*100000000+('Dvd Calendar'!$AL$1429=SPECIAL_LBL)*10000000+0*1000000+29*1000+34))</f>
        <v/>
      </c>
      <c r="FM144" s="35">
        <f>IF(N('Dvd Calendar'!$AM$1424)=0,"",IF(('Dvd Calendar'!$AM$1424&gt;=GRID_FROM)*('Dvd Calendar'!$AM$1424&lt;=GRID_TO)*('Dvd Calendar'!$AM$1424&lt;=VAL_DATE)=0,"",'Dvd Calendar'!$AM$1424*1000000000+ISNUMBER('Dvd Calendar'!$AM$1427)*100000000+('Dvd Calendar'!$AM$1429=SPECIAL_LBL)*10000000+0*1000000+29*1000+35))</f>
        <v/>
      </c>
      <c r="FN144" s="35">
        <f>IF(N('Dvd Calendar'!$AN$1424)=0,"",IF(('Dvd Calendar'!$AN$1424&gt;=GRID_FROM)*('Dvd Calendar'!$AN$1424&lt;=GRID_TO)*('Dvd Calendar'!$AN$1424&lt;=VAL_DATE)=0,"",'Dvd Calendar'!$AN$1424*1000000000+ISNUMBER('Dvd Calendar'!$AN$1427)*100000000+('Dvd Calendar'!$AN$1429=SPECIAL_LBL)*10000000+0*1000000+29*1000+36))</f>
        <v/>
      </c>
      <c r="FO144" s="35">
        <f>IF(N('Dvd Calendar'!$AO$1424)=0,"",IF(('Dvd Calendar'!$AO$1424&gt;=GRID_FROM)*('Dvd Calendar'!$AO$1424&lt;=GRID_TO)*('Dvd Calendar'!$AO$1424&lt;=VAL_DATE)=0,"",'Dvd Calendar'!$AO$1424*1000000000+ISNUMBER('Dvd Calendar'!$AO$1427)*100000000+('Dvd Calendar'!$AO$1429=SPECIAL_LBL)*10000000+0*1000000+29*1000+37))</f>
        <v/>
      </c>
      <c r="FP144" s="35">
        <f>IF(N('Dvd Calendar'!$AP$1424)=0,"",IF(('Dvd Calendar'!$AP$1424&gt;=GRID_FROM)*('Dvd Calendar'!$AP$1424&lt;=GRID_TO)*('Dvd Calendar'!$AP$1424&lt;=VAL_DATE)=0,"",'Dvd Calendar'!$AP$1424*1000000000+ISNUMBER('Dvd Calendar'!$AP$1427)*100000000+('Dvd Calendar'!$AP$1429=SPECIAL_LBL)*10000000+0*1000000+29*1000+38))</f>
        <v/>
      </c>
      <c r="FQ144" s="35">
        <f>IF(N('Dvd Calendar'!$AQ$1424)=0,"",IF(('Dvd Calendar'!$AQ$1424&gt;=GRID_FROM)*('Dvd Calendar'!$AQ$1424&lt;=GRID_TO)*('Dvd Calendar'!$AQ$1424&lt;=VAL_DATE)=0,"",'Dvd Calendar'!$AQ$1424*1000000000+ISNUMBER('Dvd Calendar'!$AQ$1427)*100000000+('Dvd Calendar'!$AQ$1429=SPECIAL_LBL)*10000000+0*1000000+29*1000+39))</f>
        <v/>
      </c>
      <c r="FR144" s="35">
        <f>IF(N('Dvd Calendar'!$AR$1424)=0,"",IF(('Dvd Calendar'!$AR$1424&gt;=GRID_FROM)*('Dvd Calendar'!$AR$1424&lt;=GRID_TO)*('Dvd Calendar'!$AR$1424&lt;=VAL_DATE)=0,"",'Dvd Calendar'!$AR$1424*1000000000+ISNUMBER('Dvd Calendar'!$AR$1427)*100000000+('Dvd Calendar'!$AR$1429=SPECIAL_LBL)*10000000+0*1000000+29*1000+40))</f>
        <v/>
      </c>
      <c r="FS144" s="35">
        <f>IF(N('Dvd Calendar'!$E$1431)=0,"",IF(('Dvd Calendar'!$E$1431&gt;=GRID_FROM)*('Dvd Calendar'!$E$1431&lt;=GRID_TO)*('Dvd Calendar'!$E$1431&gt;VAL_DATE)=0,"",'Dvd Calendar'!$E$1431*1000000000+ISNUMBER('Dvd Calendar'!$E$1432)*100000000+0*10000000+(N('Dvd Calendar'!$E$1430)&gt;0)*(N('Dvd Calendar'!$E$1430)&lt;=VAL_SERIAL)*1000000+29*1000+41))</f>
        <v/>
      </c>
      <c r="FT144" s="35">
        <f>IF(N('Dvd Calendar'!$F$1431)=0,"",IF(('Dvd Calendar'!$F$1431&gt;=GRID_FROM)*('Dvd Calendar'!$F$1431&lt;=GRID_TO)*('Dvd Calendar'!$F$1431&gt;VAL_DATE)=0,"",'Dvd Calendar'!$F$1431*1000000000+ISNUMBER('Dvd Calendar'!$F$1432)*100000000+0*10000000+(N('Dvd Calendar'!$F$1430)&gt;0)*(N('Dvd Calendar'!$F$1430)&lt;=VAL_SERIAL)*1000000+29*1000+42))</f>
        <v/>
      </c>
      <c r="FU144" s="35">
        <f>IF(N('Dvd Calendar'!$G$1431)=0,"",IF(('Dvd Calendar'!$G$1431&gt;=GRID_FROM)*('Dvd Calendar'!$G$1431&lt;=GRID_TO)*('Dvd Calendar'!$G$1431&gt;VAL_DATE)=0,"",'Dvd Calendar'!$G$1431*1000000000+ISNUMBER('Dvd Calendar'!$G$1432)*100000000+0*10000000+(N('Dvd Calendar'!$G$1430)&gt;0)*(N('Dvd Calendar'!$G$1430)&lt;=VAL_SERIAL)*1000000+29*1000+43))</f>
        <v/>
      </c>
      <c r="FV144" s="35">
        <f>IF(N('Dvd Calendar'!$H$1431)=0,"",IF(('Dvd Calendar'!$H$1431&gt;=GRID_FROM)*('Dvd Calendar'!$H$1431&lt;=GRID_TO)*('Dvd Calendar'!$H$1431&gt;VAL_DATE)=0,"",'Dvd Calendar'!$H$1431*1000000000+ISNUMBER('Dvd Calendar'!$H$1432)*100000000+0*10000000+(N('Dvd Calendar'!$H$1430)&gt;0)*(N('Dvd Calendar'!$H$1430)&lt;=VAL_SERIAL)*1000000+29*1000+44))</f>
        <v/>
      </c>
      <c r="FW144" s="35">
        <f>IF(N('Dvd Calendar'!$I$1431)=0,"",IF(('Dvd Calendar'!$I$1431&gt;=GRID_FROM)*('Dvd Calendar'!$I$1431&lt;=GRID_TO)*('Dvd Calendar'!$I$1431&gt;VAL_DATE)=0,"",'Dvd Calendar'!$I$1431*1000000000+ISNUMBER('Dvd Calendar'!$I$1432)*100000000+0*10000000+(N('Dvd Calendar'!$I$1430)&gt;0)*(N('Dvd Calendar'!$I$1430)&lt;=VAL_SERIAL)*1000000+29*1000+45))</f>
        <v/>
      </c>
      <c r="FX144" s="35">
        <f>IF(N('Dvd Calendar'!$J$1431)=0,"",IF(('Dvd Calendar'!$J$1431&gt;=GRID_FROM)*('Dvd Calendar'!$J$1431&lt;=GRID_TO)*('Dvd Calendar'!$J$1431&gt;VAL_DATE)=0,"",'Dvd Calendar'!$J$1431*1000000000+ISNUMBER('Dvd Calendar'!$J$1432)*100000000+0*10000000+(N('Dvd Calendar'!$J$1430)&gt;0)*(N('Dvd Calendar'!$J$1430)&lt;=VAL_SERIAL)*1000000+29*1000+46))</f>
        <v/>
      </c>
      <c r="FY144" s="35">
        <f>IF(N('Dvd Calendar'!$K$1431)=0,"",IF(('Dvd Calendar'!$K$1431&gt;=GRID_FROM)*('Dvd Calendar'!$K$1431&lt;=GRID_TO)*('Dvd Calendar'!$K$1431&gt;VAL_DATE)=0,"",'Dvd Calendar'!$K$1431*1000000000+ISNUMBER('Dvd Calendar'!$K$1432)*100000000+0*10000000+(N('Dvd Calendar'!$K$1430)&gt;0)*(N('Dvd Calendar'!$K$1430)&lt;=VAL_SERIAL)*1000000+29*1000+47))</f>
        <v/>
      </c>
      <c r="FZ144" s="35">
        <f>IF(N('Dvd Calendar'!$L$1431)=0,"",IF(('Dvd Calendar'!$L$1431&gt;=GRID_FROM)*('Dvd Calendar'!$L$1431&lt;=GRID_TO)*('Dvd Calendar'!$L$1431&gt;VAL_DATE)=0,"",'Dvd Calendar'!$L$1431*1000000000+ISNUMBER('Dvd Calendar'!$L$1432)*100000000+0*10000000+(N('Dvd Calendar'!$L$1430)&gt;0)*(N('Dvd Calendar'!$L$1430)&lt;=VAL_SERIAL)*1000000+29*1000+48))</f>
        <v/>
      </c>
      <c r="GA144" s="35">
        <f>IF(N('Dvd Calendar'!$M$1431)=0,"",IF(('Dvd Calendar'!$M$1431&gt;=GRID_FROM)*('Dvd Calendar'!$M$1431&lt;=GRID_TO)*('Dvd Calendar'!$M$1431&gt;VAL_DATE)=0,"",'Dvd Calendar'!$M$1431*1000000000+ISNUMBER('Dvd Calendar'!$M$1432)*100000000+0*10000000+(N('Dvd Calendar'!$M$1430)&gt;0)*(N('Dvd Calendar'!$M$1430)&lt;=VAL_SERIAL)*1000000+29*1000+49))</f>
        <v/>
      </c>
      <c r="GB144" s="35">
        <f>IF(N('Dvd Calendar'!$N$1431)=0,"",IF(('Dvd Calendar'!$N$1431&gt;=GRID_FROM)*('Dvd Calendar'!$N$1431&lt;=GRID_TO)*('Dvd Calendar'!$N$1431&gt;VAL_DATE)=0,"",'Dvd Calendar'!$N$1431*1000000000+ISNUMBER('Dvd Calendar'!$N$1432)*100000000+0*10000000+(N('Dvd Calendar'!$N$1430)&gt;0)*(N('Dvd Calendar'!$N$1430)&lt;=VAL_SERIAL)*1000000+29*1000+50))</f>
        <v/>
      </c>
      <c r="GC144" s="35">
        <f>IF(N('Dvd Calendar'!$O$1431)=0,"",IF(('Dvd Calendar'!$O$1431&gt;=GRID_FROM)*('Dvd Calendar'!$O$1431&lt;=GRID_TO)*('Dvd Calendar'!$O$1431&gt;VAL_DATE)=0,"",'Dvd Calendar'!$O$1431*1000000000+ISNUMBER('Dvd Calendar'!$O$1432)*100000000+0*10000000+(N('Dvd Calendar'!$O$1430)&gt;0)*(N('Dvd Calendar'!$O$1430)&lt;=VAL_SERIAL)*1000000+29*1000+51))</f>
        <v/>
      </c>
      <c r="GD144" s="35">
        <f>IF(N('Dvd Calendar'!$P$1431)=0,"",IF(('Dvd Calendar'!$P$1431&gt;=GRID_FROM)*('Dvd Calendar'!$P$1431&lt;=GRID_TO)*('Dvd Calendar'!$P$1431&gt;VAL_DATE)=0,"",'Dvd Calendar'!$P$1431*1000000000+ISNUMBER('Dvd Calendar'!$P$1432)*100000000+0*10000000+(N('Dvd Calendar'!$P$1430)&gt;0)*(N('Dvd Calendar'!$P$1430)&lt;=VAL_SERIAL)*1000000+29*1000+52))</f>
        <v/>
      </c>
      <c r="GE144" s="35">
        <f>IF(N('Dvd Calendar'!$Q$1431)=0,"",IF(('Dvd Calendar'!$Q$1431&gt;=GRID_FROM)*('Dvd Calendar'!$Q$1431&lt;=GRID_TO)*('Dvd Calendar'!$Q$1431&gt;VAL_DATE)=0,"",'Dvd Calendar'!$Q$1431*1000000000+ISNUMBER('Dvd Calendar'!$Q$1432)*100000000+0*10000000+(N('Dvd Calendar'!$Q$1430)&gt;0)*(N('Dvd Calendar'!$Q$1430)&lt;=VAL_SERIAL)*1000000+29*1000+53))</f>
        <v/>
      </c>
      <c r="GF144" s="35">
        <f>IF(N('Dvd Calendar'!$R$1431)=0,"",IF(('Dvd Calendar'!$R$1431&gt;=GRID_FROM)*('Dvd Calendar'!$R$1431&lt;=GRID_TO)*('Dvd Calendar'!$R$1431&gt;VAL_DATE)=0,"",'Dvd Calendar'!$R$1431*1000000000+ISNUMBER('Dvd Calendar'!$R$1432)*100000000+0*10000000+(N('Dvd Calendar'!$R$1430)&gt;0)*(N('Dvd Calendar'!$R$1430)&lt;=VAL_SERIAL)*1000000+29*1000+54))</f>
        <v/>
      </c>
      <c r="GG144" s="35">
        <f>IF(N('Dvd Calendar'!$S$1431)=0,"",IF(('Dvd Calendar'!$S$1431&gt;=GRID_FROM)*('Dvd Calendar'!$S$1431&lt;=GRID_TO)*('Dvd Calendar'!$S$1431&gt;VAL_DATE)=0,"",'Dvd Calendar'!$S$1431*1000000000+ISNUMBER('Dvd Calendar'!$S$1432)*100000000+0*10000000+(N('Dvd Calendar'!$S$1430)&gt;0)*(N('Dvd Calendar'!$S$1430)&lt;=VAL_SERIAL)*1000000+29*1000+55))</f>
        <v/>
      </c>
      <c r="GH144" s="35">
        <f>IF(N('Dvd Calendar'!$T$1431)=0,"",IF(('Dvd Calendar'!$T$1431&gt;=GRID_FROM)*('Dvd Calendar'!$T$1431&lt;=GRID_TO)*('Dvd Calendar'!$T$1431&gt;VAL_DATE)=0,"",'Dvd Calendar'!$T$1431*1000000000+ISNUMBER('Dvd Calendar'!$T$1432)*100000000+0*10000000+(N('Dvd Calendar'!$T$1430)&gt;0)*(N('Dvd Calendar'!$T$1430)&lt;=VAL_SERIAL)*1000000+29*1000+56))</f>
        <v/>
      </c>
      <c r="GI144" s="35">
        <f>IF(N('Dvd Calendar'!$U$1431)=0,"",IF(('Dvd Calendar'!$U$1431&gt;=GRID_FROM)*('Dvd Calendar'!$U$1431&lt;=GRID_TO)*('Dvd Calendar'!$U$1431&gt;VAL_DATE)=0,"",'Dvd Calendar'!$U$1431*1000000000+ISNUMBER('Dvd Calendar'!$U$1432)*100000000+0*10000000+(N('Dvd Calendar'!$U$1430)&gt;0)*(N('Dvd Calendar'!$U$1430)&lt;=VAL_SERIAL)*1000000+29*1000+57))</f>
        <v/>
      </c>
      <c r="GJ144" s="35">
        <f>IF(N('Dvd Calendar'!$V$1431)=0,"",IF(('Dvd Calendar'!$V$1431&gt;=GRID_FROM)*('Dvd Calendar'!$V$1431&lt;=GRID_TO)*('Dvd Calendar'!$V$1431&gt;VAL_DATE)=0,"",'Dvd Calendar'!$V$1431*1000000000+ISNUMBER('Dvd Calendar'!$V$1432)*100000000+0*10000000+(N('Dvd Calendar'!$V$1430)&gt;0)*(N('Dvd Calendar'!$V$1430)&lt;=VAL_SERIAL)*1000000+29*1000+58))</f>
        <v/>
      </c>
      <c r="GK144" s="35">
        <f>IF(N('Dvd Calendar'!$W$1431)=0,"",IF(('Dvd Calendar'!$W$1431&gt;=GRID_FROM)*('Dvd Calendar'!$W$1431&lt;=GRID_TO)*('Dvd Calendar'!$W$1431&gt;VAL_DATE)=0,"",'Dvd Calendar'!$W$1431*1000000000+ISNUMBER('Dvd Calendar'!$W$1432)*100000000+0*10000000+(N('Dvd Calendar'!$W$1430)&gt;0)*(N('Dvd Calendar'!$W$1430)&lt;=VAL_SERIAL)*1000000+29*1000+59))</f>
        <v/>
      </c>
      <c r="GL144" s="35">
        <f>IF(N('Dvd Calendar'!$X$1431)=0,"",IF(('Dvd Calendar'!$X$1431&gt;=GRID_FROM)*('Dvd Calendar'!$X$1431&lt;=GRID_TO)*('Dvd Calendar'!$X$1431&gt;VAL_DATE)=0,"",'Dvd Calendar'!$X$1431*1000000000+ISNUMBER('Dvd Calendar'!$X$1432)*100000000+0*10000000+(N('Dvd Calendar'!$X$1430)&gt;0)*(N('Dvd Calendar'!$X$1430)&lt;=VAL_SERIAL)*1000000+29*1000+60))</f>
        <v/>
      </c>
      <c r="GM144" s="35">
        <f>IF(N('Dvd Calendar'!$Y$1431)=0,"",IF(('Dvd Calendar'!$Y$1431&gt;=GRID_FROM)*('Dvd Calendar'!$Y$1431&lt;=GRID_TO)*('Dvd Calendar'!$Y$1431&gt;VAL_DATE)=0,"",'Dvd Calendar'!$Y$1431*1000000000+ISNUMBER('Dvd Calendar'!$Y$1432)*100000000+0*10000000+(N('Dvd Calendar'!$Y$1430)&gt;0)*(N('Dvd Calendar'!$Y$1430)&lt;=VAL_SERIAL)*1000000+29*1000+61))</f>
        <v/>
      </c>
      <c r="GN144" s="35">
        <f>IF(N('Dvd Calendar'!$Z$1431)=0,"",IF(('Dvd Calendar'!$Z$1431&gt;=GRID_FROM)*('Dvd Calendar'!$Z$1431&lt;=GRID_TO)*('Dvd Calendar'!$Z$1431&gt;VAL_DATE)=0,"",'Dvd Calendar'!$Z$1431*1000000000+ISNUMBER('Dvd Calendar'!$Z$1432)*100000000+0*10000000+(N('Dvd Calendar'!$Z$1430)&gt;0)*(N('Dvd Calendar'!$Z$1430)&lt;=VAL_SERIAL)*1000000+29*1000+62))</f>
        <v/>
      </c>
      <c r="GO144" s="35">
        <f>IF(N('Dvd Calendar'!$AA$1431)=0,"",IF(('Dvd Calendar'!$AA$1431&gt;=GRID_FROM)*('Dvd Calendar'!$AA$1431&lt;=GRID_TO)*('Dvd Calendar'!$AA$1431&gt;VAL_DATE)=0,"",'Dvd Calendar'!$AA$1431*1000000000+ISNUMBER('Dvd Calendar'!$AA$1432)*100000000+0*10000000+(N('Dvd Calendar'!$AA$1430)&gt;0)*(N('Dvd Calendar'!$AA$1430)&lt;=VAL_SERIAL)*1000000+29*1000+63))</f>
        <v/>
      </c>
      <c r="GP144" s="35">
        <f>IF(N('Dvd Calendar'!$AB$1431)=0,"",IF(('Dvd Calendar'!$AB$1431&gt;=GRID_FROM)*('Dvd Calendar'!$AB$1431&lt;=GRID_TO)*('Dvd Calendar'!$AB$1431&gt;VAL_DATE)=0,"",'Dvd Calendar'!$AB$1431*1000000000+ISNUMBER('Dvd Calendar'!$AB$1432)*100000000+0*10000000+(N('Dvd Calendar'!$AB$1430)&gt;0)*(N('Dvd Calendar'!$AB$1430)&lt;=VAL_SERIAL)*1000000+29*1000+64))</f>
        <v/>
      </c>
      <c r="GQ144" s="35">
        <f>IF(N('Dvd Calendar'!$AC$1431)=0,"",IF(('Dvd Calendar'!$AC$1431&gt;=GRID_FROM)*('Dvd Calendar'!$AC$1431&lt;=GRID_TO)*('Dvd Calendar'!$AC$1431&gt;VAL_DATE)=0,"",'Dvd Calendar'!$AC$1431*1000000000+ISNUMBER('Dvd Calendar'!$AC$1432)*100000000+0*10000000+(N('Dvd Calendar'!$AC$1430)&gt;0)*(N('Dvd Calendar'!$AC$1430)&lt;=VAL_SERIAL)*1000000+29*1000+65))</f>
        <v/>
      </c>
    </row>
    <row r="145">
      <c r="B145" s="2">
        <f>IF(HSTECH!$C$36="","",HSTECH!$C$36)</f>
        <v/>
      </c>
      <c r="C145" s="106">
        <f>IF(EE145="","",IF(ISNUMBER('Dvd Calendar'!$E$1438)=FALSE,"",IF((('Dvd Calendar'!$E$1440=TYPE1)*(TYPE1&lt;&gt;"")+('Dvd Calendar'!$E$1440=TYPE2)*(TYPE2&lt;&gt;"")+('Dvd Calendar'!$E$1440=TYPE3)*(TYPE3&lt;&gt;"")+('Dvd Calendar'!$E$1440=TYPE4)*(TYPE4&lt;&gt;"")+('Dvd Calendar'!$E$1440=SPECIAL_LBL)*(INC_SPECIALS="Y"))=0,"",'Dvd Calendar'!$E$1438)))</f>
        <v/>
      </c>
      <c r="D145" s="106">
        <f>IF(EF145="","",IF(ISNUMBER('Dvd Calendar'!$F$1438)=FALSE,"",IF((('Dvd Calendar'!$F$1440=TYPE1)*(TYPE1&lt;&gt;"")+('Dvd Calendar'!$F$1440=TYPE2)*(TYPE2&lt;&gt;"")+('Dvd Calendar'!$F$1440=TYPE3)*(TYPE3&lt;&gt;"")+('Dvd Calendar'!$F$1440=TYPE4)*(TYPE4&lt;&gt;"")+('Dvd Calendar'!$F$1440=SPECIAL_LBL)*(INC_SPECIALS="Y"))=0,"",'Dvd Calendar'!$F$1438)))</f>
        <v/>
      </c>
      <c r="E145" s="106">
        <f>IF(EG145="","",IF(ISNUMBER('Dvd Calendar'!$G$1438)=FALSE,"",IF((('Dvd Calendar'!$G$1440=TYPE1)*(TYPE1&lt;&gt;"")+('Dvd Calendar'!$G$1440=TYPE2)*(TYPE2&lt;&gt;"")+('Dvd Calendar'!$G$1440=TYPE3)*(TYPE3&lt;&gt;"")+('Dvd Calendar'!$G$1440=TYPE4)*(TYPE4&lt;&gt;"")+('Dvd Calendar'!$G$1440=SPECIAL_LBL)*(INC_SPECIALS="Y"))=0,"",'Dvd Calendar'!$G$1438)))</f>
        <v/>
      </c>
      <c r="F145" s="106">
        <f>IF(EH145="","",IF(ISNUMBER('Dvd Calendar'!$H$1438)=FALSE,"",IF((('Dvd Calendar'!$H$1440=TYPE1)*(TYPE1&lt;&gt;"")+('Dvd Calendar'!$H$1440=TYPE2)*(TYPE2&lt;&gt;"")+('Dvd Calendar'!$H$1440=TYPE3)*(TYPE3&lt;&gt;"")+('Dvd Calendar'!$H$1440=TYPE4)*(TYPE4&lt;&gt;"")+('Dvd Calendar'!$H$1440=SPECIAL_LBL)*(INC_SPECIALS="Y"))=0,"",'Dvd Calendar'!$H$1438)))</f>
        <v/>
      </c>
      <c r="G145" s="106">
        <f>IF(EI145="","",IF(ISNUMBER('Dvd Calendar'!$I$1438)=FALSE,"",IF((('Dvd Calendar'!$I$1440=TYPE1)*(TYPE1&lt;&gt;"")+('Dvd Calendar'!$I$1440=TYPE2)*(TYPE2&lt;&gt;"")+('Dvd Calendar'!$I$1440=TYPE3)*(TYPE3&lt;&gt;"")+('Dvd Calendar'!$I$1440=TYPE4)*(TYPE4&lt;&gt;"")+('Dvd Calendar'!$I$1440=SPECIAL_LBL)*(INC_SPECIALS="Y"))=0,"",'Dvd Calendar'!$I$1438)))</f>
        <v/>
      </c>
      <c r="H145" s="106">
        <f>IF(EJ145="","",IF(ISNUMBER('Dvd Calendar'!$J$1438)=FALSE,"",IF((('Dvd Calendar'!$J$1440=TYPE1)*(TYPE1&lt;&gt;"")+('Dvd Calendar'!$J$1440=TYPE2)*(TYPE2&lt;&gt;"")+('Dvd Calendar'!$J$1440=TYPE3)*(TYPE3&lt;&gt;"")+('Dvd Calendar'!$J$1440=TYPE4)*(TYPE4&lt;&gt;"")+('Dvd Calendar'!$J$1440=SPECIAL_LBL)*(INC_SPECIALS="Y"))=0,"",'Dvd Calendar'!$J$1438)))</f>
        <v/>
      </c>
      <c r="I145" s="106">
        <f>IF(EK145="","",IF(ISNUMBER('Dvd Calendar'!$K$1438)=FALSE,"",IF((('Dvd Calendar'!$K$1440=TYPE1)*(TYPE1&lt;&gt;"")+('Dvd Calendar'!$K$1440=TYPE2)*(TYPE2&lt;&gt;"")+('Dvd Calendar'!$K$1440=TYPE3)*(TYPE3&lt;&gt;"")+('Dvd Calendar'!$K$1440=TYPE4)*(TYPE4&lt;&gt;"")+('Dvd Calendar'!$K$1440=SPECIAL_LBL)*(INC_SPECIALS="Y"))=0,"",'Dvd Calendar'!$K$1438)))</f>
        <v/>
      </c>
      <c r="J145" s="106">
        <f>IF(EL145="","",IF(ISNUMBER('Dvd Calendar'!$L$1438)=FALSE,"",IF((('Dvd Calendar'!$L$1440=TYPE1)*(TYPE1&lt;&gt;"")+('Dvd Calendar'!$L$1440=TYPE2)*(TYPE2&lt;&gt;"")+('Dvd Calendar'!$L$1440=TYPE3)*(TYPE3&lt;&gt;"")+('Dvd Calendar'!$L$1440=TYPE4)*(TYPE4&lt;&gt;"")+('Dvd Calendar'!$L$1440=SPECIAL_LBL)*(INC_SPECIALS="Y"))=0,"",'Dvd Calendar'!$L$1438)))</f>
        <v/>
      </c>
      <c r="K145" s="106">
        <f>IF(EM145="","",IF(ISNUMBER('Dvd Calendar'!$M$1438)=FALSE,"",IF((('Dvd Calendar'!$M$1440=TYPE1)*(TYPE1&lt;&gt;"")+('Dvd Calendar'!$M$1440=TYPE2)*(TYPE2&lt;&gt;"")+('Dvd Calendar'!$M$1440=TYPE3)*(TYPE3&lt;&gt;"")+('Dvd Calendar'!$M$1440=TYPE4)*(TYPE4&lt;&gt;"")+('Dvd Calendar'!$M$1440=SPECIAL_LBL)*(INC_SPECIALS="Y"))=0,"",'Dvd Calendar'!$M$1438)))</f>
        <v/>
      </c>
      <c r="L145" s="106">
        <f>IF(EN145="","",IF(ISNUMBER('Dvd Calendar'!$N$1438)=FALSE,"",IF((('Dvd Calendar'!$N$1440=TYPE1)*(TYPE1&lt;&gt;"")+('Dvd Calendar'!$N$1440=TYPE2)*(TYPE2&lt;&gt;"")+('Dvd Calendar'!$N$1440=TYPE3)*(TYPE3&lt;&gt;"")+('Dvd Calendar'!$N$1440=TYPE4)*(TYPE4&lt;&gt;"")+('Dvd Calendar'!$N$1440=SPECIAL_LBL)*(INC_SPECIALS="Y"))=0,"",'Dvd Calendar'!$N$1438)))</f>
        <v/>
      </c>
      <c r="M145" s="106">
        <f>IF(EO145="","",IF(ISNUMBER('Dvd Calendar'!$O$1438)=FALSE,"",IF((('Dvd Calendar'!$O$1440=TYPE1)*(TYPE1&lt;&gt;"")+('Dvd Calendar'!$O$1440=TYPE2)*(TYPE2&lt;&gt;"")+('Dvd Calendar'!$O$1440=TYPE3)*(TYPE3&lt;&gt;"")+('Dvd Calendar'!$O$1440=TYPE4)*(TYPE4&lt;&gt;"")+('Dvd Calendar'!$O$1440=SPECIAL_LBL)*(INC_SPECIALS="Y"))=0,"",'Dvd Calendar'!$O$1438)))</f>
        <v/>
      </c>
      <c r="N145" s="106">
        <f>IF(EP145="","",IF(ISNUMBER('Dvd Calendar'!$P$1438)=FALSE,"",IF((('Dvd Calendar'!$P$1440=TYPE1)*(TYPE1&lt;&gt;"")+('Dvd Calendar'!$P$1440=TYPE2)*(TYPE2&lt;&gt;"")+('Dvd Calendar'!$P$1440=TYPE3)*(TYPE3&lt;&gt;"")+('Dvd Calendar'!$P$1440=TYPE4)*(TYPE4&lt;&gt;"")+('Dvd Calendar'!$P$1440=SPECIAL_LBL)*(INC_SPECIALS="Y"))=0,"",'Dvd Calendar'!$P$1438)))</f>
        <v/>
      </c>
      <c r="O145" s="106">
        <f>IF(EQ145="","",IF(ISNUMBER('Dvd Calendar'!$Q$1438)=FALSE,"",IF((('Dvd Calendar'!$Q$1440=TYPE1)*(TYPE1&lt;&gt;"")+('Dvd Calendar'!$Q$1440=TYPE2)*(TYPE2&lt;&gt;"")+('Dvd Calendar'!$Q$1440=TYPE3)*(TYPE3&lt;&gt;"")+('Dvd Calendar'!$Q$1440=TYPE4)*(TYPE4&lt;&gt;"")+('Dvd Calendar'!$Q$1440=SPECIAL_LBL)*(INC_SPECIALS="Y"))=0,"",'Dvd Calendar'!$Q$1438)))</f>
        <v/>
      </c>
      <c r="P145" s="106">
        <f>IF(ER145="","",IF(ISNUMBER('Dvd Calendar'!$R$1438)=FALSE,"",IF((('Dvd Calendar'!$R$1440=TYPE1)*(TYPE1&lt;&gt;"")+('Dvd Calendar'!$R$1440=TYPE2)*(TYPE2&lt;&gt;"")+('Dvd Calendar'!$R$1440=TYPE3)*(TYPE3&lt;&gt;"")+('Dvd Calendar'!$R$1440=TYPE4)*(TYPE4&lt;&gt;"")+('Dvd Calendar'!$R$1440=SPECIAL_LBL)*(INC_SPECIALS="Y"))=0,"",'Dvd Calendar'!$R$1438)))</f>
        <v/>
      </c>
      <c r="Q145" s="106">
        <f>IF(ES145="","",IF(ISNUMBER('Dvd Calendar'!$S$1438)=FALSE,"",IF((('Dvd Calendar'!$S$1440=TYPE1)*(TYPE1&lt;&gt;"")+('Dvd Calendar'!$S$1440=TYPE2)*(TYPE2&lt;&gt;"")+('Dvd Calendar'!$S$1440=TYPE3)*(TYPE3&lt;&gt;"")+('Dvd Calendar'!$S$1440=TYPE4)*(TYPE4&lt;&gt;"")+('Dvd Calendar'!$S$1440=SPECIAL_LBL)*(INC_SPECIALS="Y"))=0,"",'Dvd Calendar'!$S$1438)))</f>
        <v/>
      </c>
      <c r="R145" s="106">
        <f>IF(ET145="","",IF(ISNUMBER('Dvd Calendar'!$T$1438)=FALSE,"",IF((('Dvd Calendar'!$T$1440=TYPE1)*(TYPE1&lt;&gt;"")+('Dvd Calendar'!$T$1440=TYPE2)*(TYPE2&lt;&gt;"")+('Dvd Calendar'!$T$1440=TYPE3)*(TYPE3&lt;&gt;"")+('Dvd Calendar'!$T$1440=TYPE4)*(TYPE4&lt;&gt;"")+('Dvd Calendar'!$T$1440=SPECIAL_LBL)*(INC_SPECIALS="Y"))=0,"",'Dvd Calendar'!$T$1438)))</f>
        <v/>
      </c>
      <c r="S145" s="106">
        <f>IF(EU145="","",IF(ISNUMBER('Dvd Calendar'!$U$1438)=FALSE,"",IF((('Dvd Calendar'!$U$1440=TYPE1)*(TYPE1&lt;&gt;"")+('Dvd Calendar'!$U$1440=TYPE2)*(TYPE2&lt;&gt;"")+('Dvd Calendar'!$U$1440=TYPE3)*(TYPE3&lt;&gt;"")+('Dvd Calendar'!$U$1440=TYPE4)*(TYPE4&lt;&gt;"")+('Dvd Calendar'!$U$1440=SPECIAL_LBL)*(INC_SPECIALS="Y"))=0,"",'Dvd Calendar'!$U$1438)))</f>
        <v/>
      </c>
      <c r="T145" s="106">
        <f>IF(EV145="","",IF(ISNUMBER('Dvd Calendar'!$V$1438)=FALSE,"",IF((('Dvd Calendar'!$V$1440=TYPE1)*(TYPE1&lt;&gt;"")+('Dvd Calendar'!$V$1440=TYPE2)*(TYPE2&lt;&gt;"")+('Dvd Calendar'!$V$1440=TYPE3)*(TYPE3&lt;&gt;"")+('Dvd Calendar'!$V$1440=TYPE4)*(TYPE4&lt;&gt;"")+('Dvd Calendar'!$V$1440=SPECIAL_LBL)*(INC_SPECIALS="Y"))=0,"",'Dvd Calendar'!$V$1438)))</f>
        <v/>
      </c>
      <c r="U145" s="106">
        <f>IF(EW145="","",IF(ISNUMBER('Dvd Calendar'!$W$1438)=FALSE,"",IF((('Dvd Calendar'!$W$1440=TYPE1)*(TYPE1&lt;&gt;"")+('Dvd Calendar'!$W$1440=TYPE2)*(TYPE2&lt;&gt;"")+('Dvd Calendar'!$W$1440=TYPE3)*(TYPE3&lt;&gt;"")+('Dvd Calendar'!$W$1440=TYPE4)*(TYPE4&lt;&gt;"")+('Dvd Calendar'!$W$1440=SPECIAL_LBL)*(INC_SPECIALS="Y"))=0,"",'Dvd Calendar'!$W$1438)))</f>
        <v/>
      </c>
      <c r="V145" s="106">
        <f>IF(EX145="","",IF(ISNUMBER('Dvd Calendar'!$X$1438)=FALSE,"",IF((('Dvd Calendar'!$X$1440=TYPE1)*(TYPE1&lt;&gt;"")+('Dvd Calendar'!$X$1440=TYPE2)*(TYPE2&lt;&gt;"")+('Dvd Calendar'!$X$1440=TYPE3)*(TYPE3&lt;&gt;"")+('Dvd Calendar'!$X$1440=TYPE4)*(TYPE4&lt;&gt;"")+('Dvd Calendar'!$X$1440=SPECIAL_LBL)*(INC_SPECIALS="Y"))=0,"",'Dvd Calendar'!$X$1438)))</f>
        <v/>
      </c>
      <c r="W145" s="106">
        <f>IF(EY145="","",IF(ISNUMBER('Dvd Calendar'!$Y$1438)=FALSE,"",IF((('Dvd Calendar'!$Y$1440=TYPE1)*(TYPE1&lt;&gt;"")+('Dvd Calendar'!$Y$1440=TYPE2)*(TYPE2&lt;&gt;"")+('Dvd Calendar'!$Y$1440=TYPE3)*(TYPE3&lt;&gt;"")+('Dvd Calendar'!$Y$1440=TYPE4)*(TYPE4&lt;&gt;"")+('Dvd Calendar'!$Y$1440=SPECIAL_LBL)*(INC_SPECIALS="Y"))=0,"",'Dvd Calendar'!$Y$1438)))</f>
        <v/>
      </c>
      <c r="X145" s="106">
        <f>IF(EZ145="","",IF(ISNUMBER('Dvd Calendar'!$Z$1438)=FALSE,"",IF((('Dvd Calendar'!$Z$1440=TYPE1)*(TYPE1&lt;&gt;"")+('Dvd Calendar'!$Z$1440=TYPE2)*(TYPE2&lt;&gt;"")+('Dvd Calendar'!$Z$1440=TYPE3)*(TYPE3&lt;&gt;"")+('Dvd Calendar'!$Z$1440=TYPE4)*(TYPE4&lt;&gt;"")+('Dvd Calendar'!$Z$1440=SPECIAL_LBL)*(INC_SPECIALS="Y"))=0,"",'Dvd Calendar'!$Z$1438)))</f>
        <v/>
      </c>
      <c r="Y145" s="106">
        <f>IF(FA145="","",IF(ISNUMBER('Dvd Calendar'!$AA$1438)=FALSE,"",IF((('Dvd Calendar'!$AA$1440=TYPE1)*(TYPE1&lt;&gt;"")+('Dvd Calendar'!$AA$1440=TYPE2)*(TYPE2&lt;&gt;"")+('Dvd Calendar'!$AA$1440=TYPE3)*(TYPE3&lt;&gt;"")+('Dvd Calendar'!$AA$1440=TYPE4)*(TYPE4&lt;&gt;"")+('Dvd Calendar'!$AA$1440=SPECIAL_LBL)*(INC_SPECIALS="Y"))=0,"",'Dvd Calendar'!$AA$1438)))</f>
        <v/>
      </c>
      <c r="Z145" s="106">
        <f>IF(FB145="","",IF(ISNUMBER('Dvd Calendar'!$AB$1438)=FALSE,"",IF((('Dvd Calendar'!$AB$1440=TYPE1)*(TYPE1&lt;&gt;"")+('Dvd Calendar'!$AB$1440=TYPE2)*(TYPE2&lt;&gt;"")+('Dvd Calendar'!$AB$1440=TYPE3)*(TYPE3&lt;&gt;"")+('Dvd Calendar'!$AB$1440=TYPE4)*(TYPE4&lt;&gt;"")+('Dvd Calendar'!$AB$1440=SPECIAL_LBL)*(INC_SPECIALS="Y"))=0,"",'Dvd Calendar'!$AB$1438)))</f>
        <v/>
      </c>
      <c r="AA145" s="106">
        <f>IF(FC145="","",IF(ISNUMBER('Dvd Calendar'!$AC$1438)=FALSE,"",IF((('Dvd Calendar'!$AC$1440=TYPE1)*(TYPE1&lt;&gt;"")+('Dvd Calendar'!$AC$1440=TYPE2)*(TYPE2&lt;&gt;"")+('Dvd Calendar'!$AC$1440=TYPE3)*(TYPE3&lt;&gt;"")+('Dvd Calendar'!$AC$1440=TYPE4)*(TYPE4&lt;&gt;"")+('Dvd Calendar'!$AC$1440=SPECIAL_LBL)*(INC_SPECIALS="Y"))=0,"",'Dvd Calendar'!$AC$1438)))</f>
        <v/>
      </c>
      <c r="AB145" s="106">
        <f>IF(FD145="","",IF(ISNUMBER('Dvd Calendar'!$AD$1438)=FALSE,"",IF((('Dvd Calendar'!$AD$1440=TYPE1)*(TYPE1&lt;&gt;"")+('Dvd Calendar'!$AD$1440=TYPE2)*(TYPE2&lt;&gt;"")+('Dvd Calendar'!$AD$1440=TYPE3)*(TYPE3&lt;&gt;"")+('Dvd Calendar'!$AD$1440=TYPE4)*(TYPE4&lt;&gt;"")+('Dvd Calendar'!$AD$1440=SPECIAL_LBL)*(INC_SPECIALS="Y"))=0,"",'Dvd Calendar'!$AD$1438)))</f>
        <v/>
      </c>
      <c r="AC145" s="106">
        <f>IF(FE145="","",IF(ISNUMBER('Dvd Calendar'!$AE$1438)=FALSE,"",IF((('Dvd Calendar'!$AE$1440=TYPE1)*(TYPE1&lt;&gt;"")+('Dvd Calendar'!$AE$1440=TYPE2)*(TYPE2&lt;&gt;"")+('Dvd Calendar'!$AE$1440=TYPE3)*(TYPE3&lt;&gt;"")+('Dvd Calendar'!$AE$1440=TYPE4)*(TYPE4&lt;&gt;"")+('Dvd Calendar'!$AE$1440=SPECIAL_LBL)*(INC_SPECIALS="Y"))=0,"",'Dvd Calendar'!$AE$1438)))</f>
        <v/>
      </c>
      <c r="AD145" s="106">
        <f>IF(FF145="","",IF(ISNUMBER('Dvd Calendar'!$AF$1438)=FALSE,"",IF((('Dvd Calendar'!$AF$1440=TYPE1)*(TYPE1&lt;&gt;"")+('Dvd Calendar'!$AF$1440=TYPE2)*(TYPE2&lt;&gt;"")+('Dvd Calendar'!$AF$1440=TYPE3)*(TYPE3&lt;&gt;"")+('Dvd Calendar'!$AF$1440=TYPE4)*(TYPE4&lt;&gt;"")+('Dvd Calendar'!$AF$1440=SPECIAL_LBL)*(INC_SPECIALS="Y"))=0,"",'Dvd Calendar'!$AF$1438)))</f>
        <v/>
      </c>
      <c r="AE145" s="106">
        <f>IF(FG145="","",IF(ISNUMBER('Dvd Calendar'!$AG$1438)=FALSE,"",IF((('Dvd Calendar'!$AG$1440=TYPE1)*(TYPE1&lt;&gt;"")+('Dvd Calendar'!$AG$1440=TYPE2)*(TYPE2&lt;&gt;"")+('Dvd Calendar'!$AG$1440=TYPE3)*(TYPE3&lt;&gt;"")+('Dvd Calendar'!$AG$1440=TYPE4)*(TYPE4&lt;&gt;"")+('Dvd Calendar'!$AG$1440=SPECIAL_LBL)*(INC_SPECIALS="Y"))=0,"",'Dvd Calendar'!$AG$1438)))</f>
        <v/>
      </c>
      <c r="AF145" s="106">
        <f>IF(FH145="","",IF(ISNUMBER('Dvd Calendar'!$AH$1438)=FALSE,"",IF((('Dvd Calendar'!$AH$1440=TYPE1)*(TYPE1&lt;&gt;"")+('Dvd Calendar'!$AH$1440=TYPE2)*(TYPE2&lt;&gt;"")+('Dvd Calendar'!$AH$1440=TYPE3)*(TYPE3&lt;&gt;"")+('Dvd Calendar'!$AH$1440=TYPE4)*(TYPE4&lt;&gt;"")+('Dvd Calendar'!$AH$1440=SPECIAL_LBL)*(INC_SPECIALS="Y"))=0,"",'Dvd Calendar'!$AH$1438)))</f>
        <v/>
      </c>
      <c r="AG145" s="106">
        <f>IF(FI145="","",IF(ISNUMBER('Dvd Calendar'!$AI$1438)=FALSE,"",IF((('Dvd Calendar'!$AI$1440=TYPE1)*(TYPE1&lt;&gt;"")+('Dvd Calendar'!$AI$1440=TYPE2)*(TYPE2&lt;&gt;"")+('Dvd Calendar'!$AI$1440=TYPE3)*(TYPE3&lt;&gt;"")+('Dvd Calendar'!$AI$1440=TYPE4)*(TYPE4&lt;&gt;"")+('Dvd Calendar'!$AI$1440=SPECIAL_LBL)*(INC_SPECIALS="Y"))=0,"",'Dvd Calendar'!$AI$1438)))</f>
        <v/>
      </c>
      <c r="AH145" s="106">
        <f>IF(FJ145="","",IF(ISNUMBER('Dvd Calendar'!$AJ$1438)=FALSE,"",IF((('Dvd Calendar'!$AJ$1440=TYPE1)*(TYPE1&lt;&gt;"")+('Dvd Calendar'!$AJ$1440=TYPE2)*(TYPE2&lt;&gt;"")+('Dvd Calendar'!$AJ$1440=TYPE3)*(TYPE3&lt;&gt;"")+('Dvd Calendar'!$AJ$1440=TYPE4)*(TYPE4&lt;&gt;"")+('Dvd Calendar'!$AJ$1440=SPECIAL_LBL)*(INC_SPECIALS="Y"))=0,"",'Dvd Calendar'!$AJ$1438)))</f>
        <v/>
      </c>
      <c r="AI145" s="106">
        <f>IF(FK145="","",IF(ISNUMBER('Dvd Calendar'!$AK$1438)=FALSE,"",IF((('Dvd Calendar'!$AK$1440=TYPE1)*(TYPE1&lt;&gt;"")+('Dvd Calendar'!$AK$1440=TYPE2)*(TYPE2&lt;&gt;"")+('Dvd Calendar'!$AK$1440=TYPE3)*(TYPE3&lt;&gt;"")+('Dvd Calendar'!$AK$1440=TYPE4)*(TYPE4&lt;&gt;"")+('Dvd Calendar'!$AK$1440=SPECIAL_LBL)*(INC_SPECIALS="Y"))=0,"",'Dvd Calendar'!$AK$1438)))</f>
        <v/>
      </c>
      <c r="AJ145" s="106">
        <f>IF(FL145="","",IF(ISNUMBER('Dvd Calendar'!$AL$1438)=FALSE,"",IF((('Dvd Calendar'!$AL$1440=TYPE1)*(TYPE1&lt;&gt;"")+('Dvd Calendar'!$AL$1440=TYPE2)*(TYPE2&lt;&gt;"")+('Dvd Calendar'!$AL$1440=TYPE3)*(TYPE3&lt;&gt;"")+('Dvd Calendar'!$AL$1440=TYPE4)*(TYPE4&lt;&gt;"")+('Dvd Calendar'!$AL$1440=SPECIAL_LBL)*(INC_SPECIALS="Y"))=0,"",'Dvd Calendar'!$AL$1438)))</f>
        <v/>
      </c>
      <c r="AK145" s="106">
        <f>IF(FM145="","",IF(ISNUMBER('Dvd Calendar'!$AM$1438)=FALSE,"",IF((('Dvd Calendar'!$AM$1440=TYPE1)*(TYPE1&lt;&gt;"")+('Dvd Calendar'!$AM$1440=TYPE2)*(TYPE2&lt;&gt;"")+('Dvd Calendar'!$AM$1440=TYPE3)*(TYPE3&lt;&gt;"")+('Dvd Calendar'!$AM$1440=TYPE4)*(TYPE4&lt;&gt;"")+('Dvd Calendar'!$AM$1440=SPECIAL_LBL)*(INC_SPECIALS="Y"))=0,"",'Dvd Calendar'!$AM$1438)))</f>
        <v/>
      </c>
      <c r="AL145" s="106">
        <f>IF(FN145="","",IF(ISNUMBER('Dvd Calendar'!$AN$1438)=FALSE,"",IF((('Dvd Calendar'!$AN$1440=TYPE1)*(TYPE1&lt;&gt;"")+('Dvd Calendar'!$AN$1440=TYPE2)*(TYPE2&lt;&gt;"")+('Dvd Calendar'!$AN$1440=TYPE3)*(TYPE3&lt;&gt;"")+('Dvd Calendar'!$AN$1440=TYPE4)*(TYPE4&lt;&gt;"")+('Dvd Calendar'!$AN$1440=SPECIAL_LBL)*(INC_SPECIALS="Y"))=0,"",'Dvd Calendar'!$AN$1438)))</f>
        <v/>
      </c>
      <c r="AM145" s="106">
        <f>IF(FO145="","",IF(ISNUMBER('Dvd Calendar'!$AO$1438)=FALSE,"",IF((('Dvd Calendar'!$AO$1440=TYPE1)*(TYPE1&lt;&gt;"")+('Dvd Calendar'!$AO$1440=TYPE2)*(TYPE2&lt;&gt;"")+('Dvd Calendar'!$AO$1440=TYPE3)*(TYPE3&lt;&gt;"")+('Dvd Calendar'!$AO$1440=TYPE4)*(TYPE4&lt;&gt;"")+('Dvd Calendar'!$AO$1440=SPECIAL_LBL)*(INC_SPECIALS="Y"))=0,"",'Dvd Calendar'!$AO$1438)))</f>
        <v/>
      </c>
      <c r="AN145" s="106">
        <f>IF(FP145="","",IF(ISNUMBER('Dvd Calendar'!$AP$1438)=FALSE,"",IF((('Dvd Calendar'!$AP$1440=TYPE1)*(TYPE1&lt;&gt;"")+('Dvd Calendar'!$AP$1440=TYPE2)*(TYPE2&lt;&gt;"")+('Dvd Calendar'!$AP$1440=TYPE3)*(TYPE3&lt;&gt;"")+('Dvd Calendar'!$AP$1440=TYPE4)*(TYPE4&lt;&gt;"")+('Dvd Calendar'!$AP$1440=SPECIAL_LBL)*(INC_SPECIALS="Y"))=0,"",'Dvd Calendar'!$AP$1438)))</f>
        <v/>
      </c>
      <c r="AO145" s="106">
        <f>IF(FQ145="","",IF(ISNUMBER('Dvd Calendar'!$AQ$1438)=FALSE,"",IF((('Dvd Calendar'!$AQ$1440=TYPE1)*(TYPE1&lt;&gt;"")+('Dvd Calendar'!$AQ$1440=TYPE2)*(TYPE2&lt;&gt;"")+('Dvd Calendar'!$AQ$1440=TYPE3)*(TYPE3&lt;&gt;"")+('Dvd Calendar'!$AQ$1440=TYPE4)*(TYPE4&lt;&gt;"")+('Dvd Calendar'!$AQ$1440=SPECIAL_LBL)*(INC_SPECIALS="Y"))=0,"",'Dvd Calendar'!$AQ$1438)))</f>
        <v/>
      </c>
      <c r="AP145" s="106">
        <f>IF(FR145="","",IF(ISNUMBER('Dvd Calendar'!$AR$1438)=FALSE,"",IF((('Dvd Calendar'!$AR$1440=TYPE1)*(TYPE1&lt;&gt;"")+('Dvd Calendar'!$AR$1440=TYPE2)*(TYPE2&lt;&gt;"")+('Dvd Calendar'!$AR$1440=TYPE3)*(TYPE3&lt;&gt;"")+('Dvd Calendar'!$AR$1440=TYPE4)*(TYPE4&lt;&gt;"")+('Dvd Calendar'!$AR$1440=SPECIAL_LBL)*(INC_SPECIALS="Y"))=0,"",'Dvd Calendar'!$AR$1438)))</f>
        <v/>
      </c>
      <c r="AQ145" s="106">
        <f>IF(FS145="","",IF(ISNUMBER('Dvd Calendar'!$E$1443)=FALSE,"",'Dvd Calendar'!$E$1443))</f>
        <v/>
      </c>
      <c r="AR145" s="106">
        <f>IF(FT145="","",IF(ISNUMBER('Dvd Calendar'!$F$1443)=FALSE,"",'Dvd Calendar'!$F$1443))</f>
        <v/>
      </c>
      <c r="AS145" s="106">
        <f>IF(FU145="","",IF(ISNUMBER('Dvd Calendar'!$G$1443)=FALSE,"",'Dvd Calendar'!$G$1443))</f>
        <v/>
      </c>
      <c r="AT145" s="106">
        <f>IF(FV145="","",IF(ISNUMBER('Dvd Calendar'!$H$1443)=FALSE,"",'Dvd Calendar'!$H$1443))</f>
        <v/>
      </c>
      <c r="AU145" s="106">
        <f>IF(FW145="","",IF(ISNUMBER('Dvd Calendar'!$I$1443)=FALSE,"",'Dvd Calendar'!$I$1443))</f>
        <v/>
      </c>
      <c r="AV145" s="106">
        <f>IF(FX145="","",IF(ISNUMBER('Dvd Calendar'!$J$1443)=FALSE,"",'Dvd Calendar'!$J$1443))</f>
        <v/>
      </c>
      <c r="AW145" s="106">
        <f>IF(FY145="","",IF(ISNUMBER('Dvd Calendar'!$K$1443)=FALSE,"",'Dvd Calendar'!$K$1443))</f>
        <v/>
      </c>
      <c r="AX145" s="106">
        <f>IF(FZ145="","",IF(ISNUMBER('Dvd Calendar'!$L$1443)=FALSE,"",'Dvd Calendar'!$L$1443))</f>
        <v/>
      </c>
      <c r="AY145" s="106">
        <f>IF(GA145="","",IF(ISNUMBER('Dvd Calendar'!$M$1443)=FALSE,"",'Dvd Calendar'!$M$1443))</f>
        <v/>
      </c>
      <c r="AZ145" s="106">
        <f>IF(GB145="","",IF(ISNUMBER('Dvd Calendar'!$N$1443)=FALSE,"",'Dvd Calendar'!$N$1443))</f>
        <v/>
      </c>
      <c r="BA145" s="106">
        <f>IF(GC145="","",IF(ISNUMBER('Dvd Calendar'!$O$1443)=FALSE,"",'Dvd Calendar'!$O$1443))</f>
        <v/>
      </c>
      <c r="BB145" s="106">
        <f>IF(GD145="","",IF(ISNUMBER('Dvd Calendar'!$P$1443)=FALSE,"",'Dvd Calendar'!$P$1443))</f>
        <v/>
      </c>
      <c r="BC145" s="106">
        <f>IF(GE145="","",IF(ISNUMBER('Dvd Calendar'!$Q$1443)=FALSE,"",'Dvd Calendar'!$Q$1443))</f>
        <v/>
      </c>
      <c r="BD145" s="106">
        <f>IF(GF145="","",IF(ISNUMBER('Dvd Calendar'!$R$1443)=FALSE,"",'Dvd Calendar'!$R$1443))</f>
        <v/>
      </c>
      <c r="BE145" s="106">
        <f>IF(GG145="","",IF(ISNUMBER('Dvd Calendar'!$S$1443)=FALSE,"",'Dvd Calendar'!$S$1443))</f>
        <v/>
      </c>
      <c r="BF145" s="106">
        <f>IF(GH145="","",IF(ISNUMBER('Dvd Calendar'!$T$1443)=FALSE,"",'Dvd Calendar'!$T$1443))</f>
        <v/>
      </c>
      <c r="BG145" s="106">
        <f>IF(GI145="","",IF(ISNUMBER('Dvd Calendar'!$U$1443)=FALSE,"",'Dvd Calendar'!$U$1443))</f>
        <v/>
      </c>
      <c r="BH145" s="106">
        <f>IF(GJ145="","",IF(ISNUMBER('Dvd Calendar'!$V$1443)=FALSE,"",'Dvd Calendar'!$V$1443))</f>
        <v/>
      </c>
      <c r="BI145" s="106">
        <f>IF(GK145="","",IF(ISNUMBER('Dvd Calendar'!$W$1443)=FALSE,"",'Dvd Calendar'!$W$1443))</f>
        <v/>
      </c>
      <c r="BJ145" s="106">
        <f>IF(GL145="","",IF(ISNUMBER('Dvd Calendar'!$X$1443)=FALSE,"",'Dvd Calendar'!$X$1443))</f>
        <v/>
      </c>
      <c r="BK145" s="106">
        <f>IF(GM145="","",IF(ISNUMBER('Dvd Calendar'!$Y$1443)=FALSE,"",'Dvd Calendar'!$Y$1443))</f>
        <v/>
      </c>
      <c r="BL145" s="106">
        <f>IF(GN145="","",IF(ISNUMBER('Dvd Calendar'!$Z$1443)=FALSE,"",'Dvd Calendar'!$Z$1443))</f>
        <v/>
      </c>
      <c r="BM145" s="106">
        <f>IF(GO145="","",IF(ISNUMBER('Dvd Calendar'!$AA$1443)=FALSE,"",'Dvd Calendar'!$AA$1443))</f>
        <v/>
      </c>
      <c r="BN145" s="106">
        <f>IF(GP145="","",IF(ISNUMBER('Dvd Calendar'!$AB$1443)=FALSE,"",'Dvd Calendar'!$AB$1443))</f>
        <v/>
      </c>
      <c r="BO145" s="106">
        <f>IF(GQ145="","",IF(ISNUMBER('Dvd Calendar'!$AC$1443)=FALSE,"",'Dvd Calendar'!$AC$1443))</f>
        <v/>
      </c>
      <c r="BQ145" s="106">
        <f>IF(C145="","",IFERROR(C145*HSTECH!$B$36*HSTECH!$G$36/HSTECH!$B$3,""))</f>
        <v/>
      </c>
      <c r="BR145" s="106">
        <f>IF(D145="","",IFERROR(D145*HSTECH!$B$36*HSTECH!$G$36/HSTECH!$B$3,""))</f>
        <v/>
      </c>
      <c r="BS145" s="106">
        <f>IF(E145="","",IFERROR(E145*HSTECH!$B$36*HSTECH!$G$36/HSTECH!$B$3,""))</f>
        <v/>
      </c>
      <c r="BT145" s="106">
        <f>IF(F145="","",IFERROR(F145*HSTECH!$B$36*HSTECH!$G$36/HSTECH!$B$3,""))</f>
        <v/>
      </c>
      <c r="BU145" s="106">
        <f>IF(G145="","",IFERROR(G145*HSTECH!$B$36*HSTECH!$G$36/HSTECH!$B$3,""))</f>
        <v/>
      </c>
      <c r="BV145" s="106">
        <f>IF(H145="","",IFERROR(H145*HSTECH!$B$36*HSTECH!$G$36/HSTECH!$B$3,""))</f>
        <v/>
      </c>
      <c r="BW145" s="106">
        <f>IF(I145="","",IFERROR(I145*HSTECH!$B$36*HSTECH!$G$36/HSTECH!$B$3,""))</f>
        <v/>
      </c>
      <c r="BX145" s="106">
        <f>IF(J145="","",IFERROR(J145*HSTECH!$B$36*HSTECH!$G$36/HSTECH!$B$3,""))</f>
        <v/>
      </c>
      <c r="BY145" s="106">
        <f>IF(K145="","",IFERROR(K145*HSTECH!$B$36*HSTECH!$G$36/HSTECH!$B$3,""))</f>
        <v/>
      </c>
      <c r="BZ145" s="106">
        <f>IF(L145="","",IFERROR(L145*HSTECH!$B$36*HSTECH!$G$36/HSTECH!$B$3,""))</f>
        <v/>
      </c>
      <c r="CA145" s="106">
        <f>IF(M145="","",IFERROR(M145*HSTECH!$B$36*HSTECH!$G$36/HSTECH!$B$3,""))</f>
        <v/>
      </c>
      <c r="CB145" s="106">
        <f>IF(N145="","",IFERROR(N145*HSTECH!$B$36*HSTECH!$G$36/HSTECH!$B$3,""))</f>
        <v/>
      </c>
      <c r="CC145" s="106">
        <f>IF(O145="","",IFERROR(O145*HSTECH!$B$36*HSTECH!$G$36/HSTECH!$B$3,""))</f>
        <v/>
      </c>
      <c r="CD145" s="106">
        <f>IF(P145="","",IFERROR(P145*HSTECH!$B$36*HSTECH!$G$36/HSTECH!$B$3,""))</f>
        <v/>
      </c>
      <c r="CE145" s="106">
        <f>IF(Q145="","",IFERROR(Q145*HSTECH!$B$36*HSTECH!$G$36/HSTECH!$B$3,""))</f>
        <v/>
      </c>
      <c r="CF145" s="106">
        <f>IF(R145="","",IFERROR(R145*HSTECH!$B$36*HSTECH!$G$36/HSTECH!$B$3,""))</f>
        <v/>
      </c>
      <c r="CG145" s="106">
        <f>IF(S145="","",IFERROR(S145*HSTECH!$B$36*HSTECH!$G$36/HSTECH!$B$3,""))</f>
        <v/>
      </c>
      <c r="CH145" s="106">
        <f>IF(T145="","",IFERROR(T145*HSTECH!$B$36*HSTECH!$G$36/HSTECH!$B$3,""))</f>
        <v/>
      </c>
      <c r="CI145" s="106">
        <f>IF(U145="","",IFERROR(U145*HSTECH!$B$36*HSTECH!$G$36/HSTECH!$B$3,""))</f>
        <v/>
      </c>
      <c r="CJ145" s="106">
        <f>IF(V145="","",IFERROR(V145*HSTECH!$B$36*HSTECH!$G$36/HSTECH!$B$3,""))</f>
        <v/>
      </c>
      <c r="CK145" s="106">
        <f>IF(W145="","",IFERROR(W145*HSTECH!$B$36*HSTECH!$G$36/HSTECH!$B$3,""))</f>
        <v/>
      </c>
      <c r="CL145" s="106">
        <f>IF(X145="","",IFERROR(X145*HSTECH!$B$36*HSTECH!$G$36/HSTECH!$B$3,""))</f>
        <v/>
      </c>
      <c r="CM145" s="106">
        <f>IF(Y145="","",IFERROR(Y145*HSTECH!$B$36*HSTECH!$G$36/HSTECH!$B$3,""))</f>
        <v/>
      </c>
      <c r="CN145" s="106">
        <f>IF(Z145="","",IFERROR(Z145*HSTECH!$B$36*HSTECH!$G$36/HSTECH!$B$3,""))</f>
        <v/>
      </c>
      <c r="CO145" s="106">
        <f>IF(AA145="","",IFERROR(AA145*HSTECH!$B$36*HSTECH!$G$36/HSTECH!$B$3,""))</f>
        <v/>
      </c>
      <c r="CP145" s="106">
        <f>IF(AB145="","",IFERROR(AB145*HSTECH!$B$36*HSTECH!$G$36/HSTECH!$B$3,""))</f>
        <v/>
      </c>
      <c r="CQ145" s="106">
        <f>IF(AC145="","",IFERROR(AC145*HSTECH!$B$36*HSTECH!$G$36/HSTECH!$B$3,""))</f>
        <v/>
      </c>
      <c r="CR145" s="106">
        <f>IF(AD145="","",IFERROR(AD145*HSTECH!$B$36*HSTECH!$G$36/HSTECH!$B$3,""))</f>
        <v/>
      </c>
      <c r="CS145" s="106">
        <f>IF(AE145="","",IFERROR(AE145*HSTECH!$B$36*HSTECH!$G$36/HSTECH!$B$3,""))</f>
        <v/>
      </c>
      <c r="CT145" s="106">
        <f>IF(AF145="","",IFERROR(AF145*HSTECH!$B$36*HSTECH!$G$36/HSTECH!$B$3,""))</f>
        <v/>
      </c>
      <c r="CU145" s="106">
        <f>IF(AG145="","",IFERROR(AG145*HSTECH!$B$36*HSTECH!$G$36/HSTECH!$B$3,""))</f>
        <v/>
      </c>
      <c r="CV145" s="106">
        <f>IF(AH145="","",IFERROR(AH145*HSTECH!$B$36*HSTECH!$G$36/HSTECH!$B$3,""))</f>
        <v/>
      </c>
      <c r="CW145" s="106">
        <f>IF(AI145="","",IFERROR(AI145*HSTECH!$B$36*HSTECH!$G$36/HSTECH!$B$3,""))</f>
        <v/>
      </c>
      <c r="CX145" s="106">
        <f>IF(AJ145="","",IFERROR(AJ145*HSTECH!$B$36*HSTECH!$G$36/HSTECH!$B$3,""))</f>
        <v/>
      </c>
      <c r="CY145" s="106">
        <f>IF(AK145="","",IFERROR(AK145*HSTECH!$B$36*HSTECH!$G$36/HSTECH!$B$3,""))</f>
        <v/>
      </c>
      <c r="CZ145" s="106">
        <f>IF(AL145="","",IFERROR(AL145*HSTECH!$B$36*HSTECH!$G$36/HSTECH!$B$3,""))</f>
        <v/>
      </c>
      <c r="DA145" s="106">
        <f>IF(AM145="","",IFERROR(AM145*HSTECH!$B$36*HSTECH!$G$36/HSTECH!$B$3,""))</f>
        <v/>
      </c>
      <c r="DB145" s="106">
        <f>IF(AN145="","",IFERROR(AN145*HSTECH!$B$36*HSTECH!$G$36/HSTECH!$B$3,""))</f>
        <v/>
      </c>
      <c r="DC145" s="106">
        <f>IF(AO145="","",IFERROR(AO145*HSTECH!$B$36*HSTECH!$G$36/HSTECH!$B$3,""))</f>
        <v/>
      </c>
      <c r="DD145" s="106">
        <f>IF(AP145="","",IFERROR(AP145*HSTECH!$B$36*HSTECH!$G$36/HSTECH!$B$3,""))</f>
        <v/>
      </c>
      <c r="DE145" s="106">
        <f>IF(AQ145="","",IFERROR(AQ145*HSTECH!$B$36*HSTECH!$G$36/HSTECH!$B$3,""))</f>
        <v/>
      </c>
      <c r="DF145" s="106">
        <f>IF(AR145="","",IFERROR(AR145*HSTECH!$B$36*HSTECH!$G$36/HSTECH!$B$3,""))</f>
        <v/>
      </c>
      <c r="DG145" s="106">
        <f>IF(AS145="","",IFERROR(AS145*HSTECH!$B$36*HSTECH!$G$36/HSTECH!$B$3,""))</f>
        <v/>
      </c>
      <c r="DH145" s="106">
        <f>IF(AT145="","",IFERROR(AT145*HSTECH!$B$36*HSTECH!$G$36/HSTECH!$B$3,""))</f>
        <v/>
      </c>
      <c r="DI145" s="106">
        <f>IF(AU145="","",IFERROR(AU145*HSTECH!$B$36*HSTECH!$G$36/HSTECH!$B$3,""))</f>
        <v/>
      </c>
      <c r="DJ145" s="106">
        <f>IF(AV145="","",IFERROR(AV145*HSTECH!$B$36*HSTECH!$G$36/HSTECH!$B$3,""))</f>
        <v/>
      </c>
      <c r="DK145" s="106">
        <f>IF(AW145="","",IFERROR(AW145*HSTECH!$B$36*HSTECH!$G$36/HSTECH!$B$3,""))</f>
        <v/>
      </c>
      <c r="DL145" s="106">
        <f>IF(AX145="","",IFERROR(AX145*HSTECH!$B$36*HSTECH!$G$36/HSTECH!$B$3,""))</f>
        <v/>
      </c>
      <c r="DM145" s="106">
        <f>IF(AY145="","",IFERROR(AY145*HSTECH!$B$36*HSTECH!$G$36/HSTECH!$B$3,""))</f>
        <v/>
      </c>
      <c r="DN145" s="106">
        <f>IF(AZ145="","",IFERROR(AZ145*HSTECH!$B$36*HSTECH!$G$36/HSTECH!$B$3,""))</f>
        <v/>
      </c>
      <c r="DO145" s="106">
        <f>IF(BA145="","",IFERROR(BA145*HSTECH!$B$36*HSTECH!$G$36/HSTECH!$B$3,""))</f>
        <v/>
      </c>
      <c r="DP145" s="106">
        <f>IF(BB145="","",IFERROR(BB145*HSTECH!$B$36*HSTECH!$G$36/HSTECH!$B$3,""))</f>
        <v/>
      </c>
      <c r="DQ145" s="106">
        <f>IF(BC145="","",IFERROR(BC145*HSTECH!$B$36*HSTECH!$G$36/HSTECH!$B$3,""))</f>
        <v/>
      </c>
      <c r="DR145" s="106">
        <f>IF(BD145="","",IFERROR(BD145*HSTECH!$B$36*HSTECH!$G$36/HSTECH!$B$3,""))</f>
        <v/>
      </c>
      <c r="DS145" s="106">
        <f>IF(BE145="","",IFERROR(BE145*HSTECH!$B$36*HSTECH!$G$36/HSTECH!$B$3,""))</f>
        <v/>
      </c>
      <c r="DT145" s="106">
        <f>IF(BF145="","",IFERROR(BF145*HSTECH!$B$36*HSTECH!$G$36/HSTECH!$B$3,""))</f>
        <v/>
      </c>
      <c r="DU145" s="106">
        <f>IF(BG145="","",IFERROR(BG145*HSTECH!$B$36*HSTECH!$G$36/HSTECH!$B$3,""))</f>
        <v/>
      </c>
      <c r="DV145" s="106">
        <f>IF(BH145="","",IFERROR(BH145*HSTECH!$B$36*HSTECH!$G$36/HSTECH!$B$3,""))</f>
        <v/>
      </c>
      <c r="DW145" s="106">
        <f>IF(BI145="","",IFERROR(BI145*HSTECH!$B$36*HSTECH!$G$36/HSTECH!$B$3,""))</f>
        <v/>
      </c>
      <c r="DX145" s="106">
        <f>IF(BJ145="","",IFERROR(BJ145*HSTECH!$B$36*HSTECH!$G$36/HSTECH!$B$3,""))</f>
        <v/>
      </c>
      <c r="DY145" s="106">
        <f>IF(BK145="","",IFERROR(BK145*HSTECH!$B$36*HSTECH!$G$36/HSTECH!$B$3,""))</f>
        <v/>
      </c>
      <c r="DZ145" s="106">
        <f>IF(BL145="","",IFERROR(BL145*HSTECH!$B$36*HSTECH!$G$36/HSTECH!$B$3,""))</f>
        <v/>
      </c>
      <c r="EA145" s="106">
        <f>IF(BM145="","",IFERROR(BM145*HSTECH!$B$36*HSTECH!$G$36/HSTECH!$B$3,""))</f>
        <v/>
      </c>
      <c r="EB145" s="106">
        <f>IF(BN145="","",IFERROR(BN145*HSTECH!$B$36*HSTECH!$G$36/HSTECH!$B$3,""))</f>
        <v/>
      </c>
      <c r="EC145" s="106">
        <f>IF(BO145="","",IFERROR(BO145*HSTECH!$B$36*HSTECH!$G$36/HSTECH!$B$3,""))</f>
        <v/>
      </c>
      <c r="EE145" s="35">
        <f>IF(N('Dvd Calendar'!$E$1435)=0,"",IF(('Dvd Calendar'!$E$1435&gt;=GRID_FROM)*('Dvd Calendar'!$E$1435&lt;=GRID_TO)*('Dvd Calendar'!$E$1435&lt;=VAL_DATE)=0,"",'Dvd Calendar'!$E$1435*1000000000+ISNUMBER('Dvd Calendar'!$E$1438)*100000000+('Dvd Calendar'!$E$1440=SPECIAL_LBL)*10000000+0*1000000+30*1000+1))</f>
        <v/>
      </c>
      <c r="EF145" s="35">
        <f>IF(N('Dvd Calendar'!$F$1435)=0,"",IF(('Dvd Calendar'!$F$1435&gt;=GRID_FROM)*('Dvd Calendar'!$F$1435&lt;=GRID_TO)*('Dvd Calendar'!$F$1435&lt;=VAL_DATE)=0,"",'Dvd Calendar'!$F$1435*1000000000+ISNUMBER('Dvd Calendar'!$F$1438)*100000000+('Dvd Calendar'!$F$1440=SPECIAL_LBL)*10000000+0*1000000+30*1000+2))</f>
        <v/>
      </c>
      <c r="EG145" s="35">
        <f>IF(N('Dvd Calendar'!$G$1435)=0,"",IF(('Dvd Calendar'!$G$1435&gt;=GRID_FROM)*('Dvd Calendar'!$G$1435&lt;=GRID_TO)*('Dvd Calendar'!$G$1435&lt;=VAL_DATE)=0,"",'Dvd Calendar'!$G$1435*1000000000+ISNUMBER('Dvd Calendar'!$G$1438)*100000000+('Dvd Calendar'!$G$1440=SPECIAL_LBL)*10000000+0*1000000+30*1000+3))</f>
        <v/>
      </c>
      <c r="EH145" s="35">
        <f>IF(N('Dvd Calendar'!$H$1435)=0,"",IF(('Dvd Calendar'!$H$1435&gt;=GRID_FROM)*('Dvd Calendar'!$H$1435&lt;=GRID_TO)*('Dvd Calendar'!$H$1435&lt;=VAL_DATE)=0,"",'Dvd Calendar'!$H$1435*1000000000+ISNUMBER('Dvd Calendar'!$H$1438)*100000000+('Dvd Calendar'!$H$1440=SPECIAL_LBL)*10000000+0*1000000+30*1000+4))</f>
        <v/>
      </c>
      <c r="EI145" s="35">
        <f>IF(N('Dvd Calendar'!$I$1435)=0,"",IF(('Dvd Calendar'!$I$1435&gt;=GRID_FROM)*('Dvd Calendar'!$I$1435&lt;=GRID_TO)*('Dvd Calendar'!$I$1435&lt;=VAL_DATE)=0,"",'Dvd Calendar'!$I$1435*1000000000+ISNUMBER('Dvd Calendar'!$I$1438)*100000000+('Dvd Calendar'!$I$1440=SPECIAL_LBL)*10000000+0*1000000+30*1000+5))</f>
        <v/>
      </c>
      <c r="EJ145" s="35">
        <f>IF(N('Dvd Calendar'!$J$1435)=0,"",IF(('Dvd Calendar'!$J$1435&gt;=GRID_FROM)*('Dvd Calendar'!$J$1435&lt;=GRID_TO)*('Dvd Calendar'!$J$1435&lt;=VAL_DATE)=0,"",'Dvd Calendar'!$J$1435*1000000000+ISNUMBER('Dvd Calendar'!$J$1438)*100000000+('Dvd Calendar'!$J$1440=SPECIAL_LBL)*10000000+0*1000000+30*1000+6))</f>
        <v/>
      </c>
      <c r="EK145" s="35">
        <f>IF(N('Dvd Calendar'!$K$1435)=0,"",IF(('Dvd Calendar'!$K$1435&gt;=GRID_FROM)*('Dvd Calendar'!$K$1435&lt;=GRID_TO)*('Dvd Calendar'!$K$1435&lt;=VAL_DATE)=0,"",'Dvd Calendar'!$K$1435*1000000000+ISNUMBER('Dvd Calendar'!$K$1438)*100000000+('Dvd Calendar'!$K$1440=SPECIAL_LBL)*10000000+0*1000000+30*1000+7))</f>
        <v/>
      </c>
      <c r="EL145" s="35">
        <f>IF(N('Dvd Calendar'!$L$1435)=0,"",IF(('Dvd Calendar'!$L$1435&gt;=GRID_FROM)*('Dvd Calendar'!$L$1435&lt;=GRID_TO)*('Dvd Calendar'!$L$1435&lt;=VAL_DATE)=0,"",'Dvd Calendar'!$L$1435*1000000000+ISNUMBER('Dvd Calendar'!$L$1438)*100000000+('Dvd Calendar'!$L$1440=SPECIAL_LBL)*10000000+0*1000000+30*1000+8))</f>
        <v/>
      </c>
      <c r="EM145" s="35">
        <f>IF(N('Dvd Calendar'!$M$1435)=0,"",IF(('Dvd Calendar'!$M$1435&gt;=GRID_FROM)*('Dvd Calendar'!$M$1435&lt;=GRID_TO)*('Dvd Calendar'!$M$1435&lt;=VAL_DATE)=0,"",'Dvd Calendar'!$M$1435*1000000000+ISNUMBER('Dvd Calendar'!$M$1438)*100000000+('Dvd Calendar'!$M$1440=SPECIAL_LBL)*10000000+0*1000000+30*1000+9))</f>
        <v/>
      </c>
      <c r="EN145" s="35">
        <f>IF(N('Dvd Calendar'!$N$1435)=0,"",IF(('Dvd Calendar'!$N$1435&gt;=GRID_FROM)*('Dvd Calendar'!$N$1435&lt;=GRID_TO)*('Dvd Calendar'!$N$1435&lt;=VAL_DATE)=0,"",'Dvd Calendar'!$N$1435*1000000000+ISNUMBER('Dvd Calendar'!$N$1438)*100000000+('Dvd Calendar'!$N$1440=SPECIAL_LBL)*10000000+0*1000000+30*1000+10))</f>
        <v/>
      </c>
      <c r="EO145" s="35">
        <f>IF(N('Dvd Calendar'!$O$1435)=0,"",IF(('Dvd Calendar'!$O$1435&gt;=GRID_FROM)*('Dvd Calendar'!$O$1435&lt;=GRID_TO)*('Dvd Calendar'!$O$1435&lt;=VAL_DATE)=0,"",'Dvd Calendar'!$O$1435*1000000000+ISNUMBER('Dvd Calendar'!$O$1438)*100000000+('Dvd Calendar'!$O$1440=SPECIAL_LBL)*10000000+0*1000000+30*1000+11))</f>
        <v/>
      </c>
      <c r="EP145" s="35">
        <f>IF(N('Dvd Calendar'!$P$1435)=0,"",IF(('Dvd Calendar'!$P$1435&gt;=GRID_FROM)*('Dvd Calendar'!$P$1435&lt;=GRID_TO)*('Dvd Calendar'!$P$1435&lt;=VAL_DATE)=0,"",'Dvd Calendar'!$P$1435*1000000000+ISNUMBER('Dvd Calendar'!$P$1438)*100000000+('Dvd Calendar'!$P$1440=SPECIAL_LBL)*10000000+0*1000000+30*1000+12))</f>
        <v/>
      </c>
      <c r="EQ145" s="35">
        <f>IF(N('Dvd Calendar'!$Q$1435)=0,"",IF(('Dvd Calendar'!$Q$1435&gt;=GRID_FROM)*('Dvd Calendar'!$Q$1435&lt;=GRID_TO)*('Dvd Calendar'!$Q$1435&lt;=VAL_DATE)=0,"",'Dvd Calendar'!$Q$1435*1000000000+ISNUMBER('Dvd Calendar'!$Q$1438)*100000000+('Dvd Calendar'!$Q$1440=SPECIAL_LBL)*10000000+0*1000000+30*1000+13))</f>
        <v/>
      </c>
      <c r="ER145" s="35">
        <f>IF(N('Dvd Calendar'!$R$1435)=0,"",IF(('Dvd Calendar'!$R$1435&gt;=GRID_FROM)*('Dvd Calendar'!$R$1435&lt;=GRID_TO)*('Dvd Calendar'!$R$1435&lt;=VAL_DATE)=0,"",'Dvd Calendar'!$R$1435*1000000000+ISNUMBER('Dvd Calendar'!$R$1438)*100000000+('Dvd Calendar'!$R$1440=SPECIAL_LBL)*10000000+0*1000000+30*1000+14))</f>
        <v/>
      </c>
      <c r="ES145" s="35">
        <f>IF(N('Dvd Calendar'!$S$1435)=0,"",IF(('Dvd Calendar'!$S$1435&gt;=GRID_FROM)*('Dvd Calendar'!$S$1435&lt;=GRID_TO)*('Dvd Calendar'!$S$1435&lt;=VAL_DATE)=0,"",'Dvd Calendar'!$S$1435*1000000000+ISNUMBER('Dvd Calendar'!$S$1438)*100000000+('Dvd Calendar'!$S$1440=SPECIAL_LBL)*10000000+0*1000000+30*1000+15))</f>
        <v/>
      </c>
      <c r="ET145" s="35">
        <f>IF(N('Dvd Calendar'!$T$1435)=0,"",IF(('Dvd Calendar'!$T$1435&gt;=GRID_FROM)*('Dvd Calendar'!$T$1435&lt;=GRID_TO)*('Dvd Calendar'!$T$1435&lt;=VAL_DATE)=0,"",'Dvd Calendar'!$T$1435*1000000000+ISNUMBER('Dvd Calendar'!$T$1438)*100000000+('Dvd Calendar'!$T$1440=SPECIAL_LBL)*10000000+0*1000000+30*1000+16))</f>
        <v/>
      </c>
      <c r="EU145" s="35">
        <f>IF(N('Dvd Calendar'!$U$1435)=0,"",IF(('Dvd Calendar'!$U$1435&gt;=GRID_FROM)*('Dvd Calendar'!$U$1435&lt;=GRID_TO)*('Dvd Calendar'!$U$1435&lt;=VAL_DATE)=0,"",'Dvd Calendar'!$U$1435*1000000000+ISNUMBER('Dvd Calendar'!$U$1438)*100000000+('Dvd Calendar'!$U$1440=SPECIAL_LBL)*10000000+0*1000000+30*1000+17))</f>
        <v/>
      </c>
      <c r="EV145" s="35">
        <f>IF(N('Dvd Calendar'!$V$1435)=0,"",IF(('Dvd Calendar'!$V$1435&gt;=GRID_FROM)*('Dvd Calendar'!$V$1435&lt;=GRID_TO)*('Dvd Calendar'!$V$1435&lt;=VAL_DATE)=0,"",'Dvd Calendar'!$V$1435*1000000000+ISNUMBER('Dvd Calendar'!$V$1438)*100000000+('Dvd Calendar'!$V$1440=SPECIAL_LBL)*10000000+0*1000000+30*1000+18))</f>
        <v/>
      </c>
      <c r="EW145" s="35">
        <f>IF(N('Dvd Calendar'!$W$1435)=0,"",IF(('Dvd Calendar'!$W$1435&gt;=GRID_FROM)*('Dvd Calendar'!$W$1435&lt;=GRID_TO)*('Dvd Calendar'!$W$1435&lt;=VAL_DATE)=0,"",'Dvd Calendar'!$W$1435*1000000000+ISNUMBER('Dvd Calendar'!$W$1438)*100000000+('Dvd Calendar'!$W$1440=SPECIAL_LBL)*10000000+0*1000000+30*1000+19))</f>
        <v/>
      </c>
      <c r="EX145" s="35">
        <f>IF(N('Dvd Calendar'!$X$1435)=0,"",IF(('Dvd Calendar'!$X$1435&gt;=GRID_FROM)*('Dvd Calendar'!$X$1435&lt;=GRID_TO)*('Dvd Calendar'!$X$1435&lt;=VAL_DATE)=0,"",'Dvd Calendar'!$X$1435*1000000000+ISNUMBER('Dvd Calendar'!$X$1438)*100000000+('Dvd Calendar'!$X$1440=SPECIAL_LBL)*10000000+0*1000000+30*1000+20))</f>
        <v/>
      </c>
      <c r="EY145" s="35">
        <f>IF(N('Dvd Calendar'!$Y$1435)=0,"",IF(('Dvd Calendar'!$Y$1435&gt;=GRID_FROM)*('Dvd Calendar'!$Y$1435&lt;=GRID_TO)*('Dvd Calendar'!$Y$1435&lt;=VAL_DATE)=0,"",'Dvd Calendar'!$Y$1435*1000000000+ISNUMBER('Dvd Calendar'!$Y$1438)*100000000+('Dvd Calendar'!$Y$1440=SPECIAL_LBL)*10000000+0*1000000+30*1000+21))</f>
        <v/>
      </c>
      <c r="EZ145" s="35">
        <f>IF(N('Dvd Calendar'!$Z$1435)=0,"",IF(('Dvd Calendar'!$Z$1435&gt;=GRID_FROM)*('Dvd Calendar'!$Z$1435&lt;=GRID_TO)*('Dvd Calendar'!$Z$1435&lt;=VAL_DATE)=0,"",'Dvd Calendar'!$Z$1435*1000000000+ISNUMBER('Dvd Calendar'!$Z$1438)*100000000+('Dvd Calendar'!$Z$1440=SPECIAL_LBL)*10000000+0*1000000+30*1000+22))</f>
        <v/>
      </c>
      <c r="FA145" s="35">
        <f>IF(N('Dvd Calendar'!$AA$1435)=0,"",IF(('Dvd Calendar'!$AA$1435&gt;=GRID_FROM)*('Dvd Calendar'!$AA$1435&lt;=GRID_TO)*('Dvd Calendar'!$AA$1435&lt;=VAL_DATE)=0,"",'Dvd Calendar'!$AA$1435*1000000000+ISNUMBER('Dvd Calendar'!$AA$1438)*100000000+('Dvd Calendar'!$AA$1440=SPECIAL_LBL)*10000000+0*1000000+30*1000+23))</f>
        <v/>
      </c>
      <c r="FB145" s="35">
        <f>IF(N('Dvd Calendar'!$AB$1435)=0,"",IF(('Dvd Calendar'!$AB$1435&gt;=GRID_FROM)*('Dvd Calendar'!$AB$1435&lt;=GRID_TO)*('Dvd Calendar'!$AB$1435&lt;=VAL_DATE)=0,"",'Dvd Calendar'!$AB$1435*1000000000+ISNUMBER('Dvd Calendar'!$AB$1438)*100000000+('Dvd Calendar'!$AB$1440=SPECIAL_LBL)*10000000+0*1000000+30*1000+24))</f>
        <v/>
      </c>
      <c r="FC145" s="35">
        <f>IF(N('Dvd Calendar'!$AC$1435)=0,"",IF(('Dvd Calendar'!$AC$1435&gt;=GRID_FROM)*('Dvd Calendar'!$AC$1435&lt;=GRID_TO)*('Dvd Calendar'!$AC$1435&lt;=VAL_DATE)=0,"",'Dvd Calendar'!$AC$1435*1000000000+ISNUMBER('Dvd Calendar'!$AC$1438)*100000000+('Dvd Calendar'!$AC$1440=SPECIAL_LBL)*10000000+0*1000000+30*1000+25))</f>
        <v/>
      </c>
      <c r="FD145" s="35">
        <f>IF(N('Dvd Calendar'!$AD$1435)=0,"",IF(('Dvd Calendar'!$AD$1435&gt;=GRID_FROM)*('Dvd Calendar'!$AD$1435&lt;=GRID_TO)*('Dvd Calendar'!$AD$1435&lt;=VAL_DATE)=0,"",'Dvd Calendar'!$AD$1435*1000000000+ISNUMBER('Dvd Calendar'!$AD$1438)*100000000+('Dvd Calendar'!$AD$1440=SPECIAL_LBL)*10000000+0*1000000+30*1000+26))</f>
        <v/>
      </c>
      <c r="FE145" s="35">
        <f>IF(N('Dvd Calendar'!$AE$1435)=0,"",IF(('Dvd Calendar'!$AE$1435&gt;=GRID_FROM)*('Dvd Calendar'!$AE$1435&lt;=GRID_TO)*('Dvd Calendar'!$AE$1435&lt;=VAL_DATE)=0,"",'Dvd Calendar'!$AE$1435*1000000000+ISNUMBER('Dvd Calendar'!$AE$1438)*100000000+('Dvd Calendar'!$AE$1440=SPECIAL_LBL)*10000000+0*1000000+30*1000+27))</f>
        <v/>
      </c>
      <c r="FF145" s="35">
        <f>IF(N('Dvd Calendar'!$AF$1435)=0,"",IF(('Dvd Calendar'!$AF$1435&gt;=GRID_FROM)*('Dvd Calendar'!$AF$1435&lt;=GRID_TO)*('Dvd Calendar'!$AF$1435&lt;=VAL_DATE)=0,"",'Dvd Calendar'!$AF$1435*1000000000+ISNUMBER('Dvd Calendar'!$AF$1438)*100000000+('Dvd Calendar'!$AF$1440=SPECIAL_LBL)*10000000+0*1000000+30*1000+28))</f>
        <v/>
      </c>
      <c r="FG145" s="35">
        <f>IF(N('Dvd Calendar'!$AG$1435)=0,"",IF(('Dvd Calendar'!$AG$1435&gt;=GRID_FROM)*('Dvd Calendar'!$AG$1435&lt;=GRID_TO)*('Dvd Calendar'!$AG$1435&lt;=VAL_DATE)=0,"",'Dvd Calendar'!$AG$1435*1000000000+ISNUMBER('Dvd Calendar'!$AG$1438)*100000000+('Dvd Calendar'!$AG$1440=SPECIAL_LBL)*10000000+0*1000000+30*1000+29))</f>
        <v/>
      </c>
      <c r="FH145" s="35">
        <f>IF(N('Dvd Calendar'!$AH$1435)=0,"",IF(('Dvd Calendar'!$AH$1435&gt;=GRID_FROM)*('Dvd Calendar'!$AH$1435&lt;=GRID_TO)*('Dvd Calendar'!$AH$1435&lt;=VAL_DATE)=0,"",'Dvd Calendar'!$AH$1435*1000000000+ISNUMBER('Dvd Calendar'!$AH$1438)*100000000+('Dvd Calendar'!$AH$1440=SPECIAL_LBL)*10000000+0*1000000+30*1000+30))</f>
        <v/>
      </c>
      <c r="FI145" s="35">
        <f>IF(N('Dvd Calendar'!$AI$1435)=0,"",IF(('Dvd Calendar'!$AI$1435&gt;=GRID_FROM)*('Dvd Calendar'!$AI$1435&lt;=GRID_TO)*('Dvd Calendar'!$AI$1435&lt;=VAL_DATE)=0,"",'Dvd Calendar'!$AI$1435*1000000000+ISNUMBER('Dvd Calendar'!$AI$1438)*100000000+('Dvd Calendar'!$AI$1440=SPECIAL_LBL)*10000000+0*1000000+30*1000+31))</f>
        <v/>
      </c>
      <c r="FJ145" s="35">
        <f>IF(N('Dvd Calendar'!$AJ$1435)=0,"",IF(('Dvd Calendar'!$AJ$1435&gt;=GRID_FROM)*('Dvd Calendar'!$AJ$1435&lt;=GRID_TO)*('Dvd Calendar'!$AJ$1435&lt;=VAL_DATE)=0,"",'Dvd Calendar'!$AJ$1435*1000000000+ISNUMBER('Dvd Calendar'!$AJ$1438)*100000000+('Dvd Calendar'!$AJ$1440=SPECIAL_LBL)*10000000+0*1000000+30*1000+32))</f>
        <v/>
      </c>
      <c r="FK145" s="35">
        <f>IF(N('Dvd Calendar'!$AK$1435)=0,"",IF(('Dvd Calendar'!$AK$1435&gt;=GRID_FROM)*('Dvd Calendar'!$AK$1435&lt;=GRID_TO)*('Dvd Calendar'!$AK$1435&lt;=VAL_DATE)=0,"",'Dvd Calendar'!$AK$1435*1000000000+ISNUMBER('Dvd Calendar'!$AK$1438)*100000000+('Dvd Calendar'!$AK$1440=SPECIAL_LBL)*10000000+0*1000000+30*1000+33))</f>
        <v/>
      </c>
      <c r="FL145" s="35">
        <f>IF(N('Dvd Calendar'!$AL$1435)=0,"",IF(('Dvd Calendar'!$AL$1435&gt;=GRID_FROM)*('Dvd Calendar'!$AL$1435&lt;=GRID_TO)*('Dvd Calendar'!$AL$1435&lt;=VAL_DATE)=0,"",'Dvd Calendar'!$AL$1435*1000000000+ISNUMBER('Dvd Calendar'!$AL$1438)*100000000+('Dvd Calendar'!$AL$1440=SPECIAL_LBL)*10000000+0*1000000+30*1000+34))</f>
        <v/>
      </c>
      <c r="FM145" s="35">
        <f>IF(N('Dvd Calendar'!$AM$1435)=0,"",IF(('Dvd Calendar'!$AM$1435&gt;=GRID_FROM)*('Dvd Calendar'!$AM$1435&lt;=GRID_TO)*('Dvd Calendar'!$AM$1435&lt;=VAL_DATE)=0,"",'Dvd Calendar'!$AM$1435*1000000000+ISNUMBER('Dvd Calendar'!$AM$1438)*100000000+('Dvd Calendar'!$AM$1440=SPECIAL_LBL)*10000000+0*1000000+30*1000+35))</f>
        <v/>
      </c>
      <c r="FN145" s="35">
        <f>IF(N('Dvd Calendar'!$AN$1435)=0,"",IF(('Dvd Calendar'!$AN$1435&gt;=GRID_FROM)*('Dvd Calendar'!$AN$1435&lt;=GRID_TO)*('Dvd Calendar'!$AN$1435&lt;=VAL_DATE)=0,"",'Dvd Calendar'!$AN$1435*1000000000+ISNUMBER('Dvd Calendar'!$AN$1438)*100000000+('Dvd Calendar'!$AN$1440=SPECIAL_LBL)*10000000+0*1000000+30*1000+36))</f>
        <v/>
      </c>
      <c r="FO145" s="35">
        <f>IF(N('Dvd Calendar'!$AO$1435)=0,"",IF(('Dvd Calendar'!$AO$1435&gt;=GRID_FROM)*('Dvd Calendar'!$AO$1435&lt;=GRID_TO)*('Dvd Calendar'!$AO$1435&lt;=VAL_DATE)=0,"",'Dvd Calendar'!$AO$1435*1000000000+ISNUMBER('Dvd Calendar'!$AO$1438)*100000000+('Dvd Calendar'!$AO$1440=SPECIAL_LBL)*10000000+0*1000000+30*1000+37))</f>
        <v/>
      </c>
      <c r="FP145" s="35">
        <f>IF(N('Dvd Calendar'!$AP$1435)=0,"",IF(('Dvd Calendar'!$AP$1435&gt;=GRID_FROM)*('Dvd Calendar'!$AP$1435&lt;=GRID_TO)*('Dvd Calendar'!$AP$1435&lt;=VAL_DATE)=0,"",'Dvd Calendar'!$AP$1435*1000000000+ISNUMBER('Dvd Calendar'!$AP$1438)*100000000+('Dvd Calendar'!$AP$1440=SPECIAL_LBL)*10000000+0*1000000+30*1000+38))</f>
        <v/>
      </c>
      <c r="FQ145" s="35">
        <f>IF(N('Dvd Calendar'!$AQ$1435)=0,"",IF(('Dvd Calendar'!$AQ$1435&gt;=GRID_FROM)*('Dvd Calendar'!$AQ$1435&lt;=GRID_TO)*('Dvd Calendar'!$AQ$1435&lt;=VAL_DATE)=0,"",'Dvd Calendar'!$AQ$1435*1000000000+ISNUMBER('Dvd Calendar'!$AQ$1438)*100000000+('Dvd Calendar'!$AQ$1440=SPECIAL_LBL)*10000000+0*1000000+30*1000+39))</f>
        <v/>
      </c>
      <c r="FR145" s="35">
        <f>IF(N('Dvd Calendar'!$AR$1435)=0,"",IF(('Dvd Calendar'!$AR$1435&gt;=GRID_FROM)*('Dvd Calendar'!$AR$1435&lt;=GRID_TO)*('Dvd Calendar'!$AR$1435&lt;=VAL_DATE)=0,"",'Dvd Calendar'!$AR$1435*1000000000+ISNUMBER('Dvd Calendar'!$AR$1438)*100000000+('Dvd Calendar'!$AR$1440=SPECIAL_LBL)*10000000+0*1000000+30*1000+40))</f>
        <v/>
      </c>
      <c r="FS145" s="35">
        <f>IF(N('Dvd Calendar'!$E$1442)=0,"",IF(('Dvd Calendar'!$E$1442&gt;=GRID_FROM)*('Dvd Calendar'!$E$1442&lt;=GRID_TO)*('Dvd Calendar'!$E$1442&gt;VAL_DATE)=0,"",'Dvd Calendar'!$E$1442*1000000000+ISNUMBER('Dvd Calendar'!$E$1443)*100000000+0*10000000+(N('Dvd Calendar'!$E$1441)&gt;0)*(N('Dvd Calendar'!$E$1441)&lt;=VAL_SERIAL)*1000000+30*1000+41))</f>
        <v/>
      </c>
      <c r="FT145" s="35">
        <f>IF(N('Dvd Calendar'!$F$1442)=0,"",IF(('Dvd Calendar'!$F$1442&gt;=GRID_FROM)*('Dvd Calendar'!$F$1442&lt;=GRID_TO)*('Dvd Calendar'!$F$1442&gt;VAL_DATE)=0,"",'Dvd Calendar'!$F$1442*1000000000+ISNUMBER('Dvd Calendar'!$F$1443)*100000000+0*10000000+(N('Dvd Calendar'!$F$1441)&gt;0)*(N('Dvd Calendar'!$F$1441)&lt;=VAL_SERIAL)*1000000+30*1000+42))</f>
        <v/>
      </c>
      <c r="FU145" s="35">
        <f>IF(N('Dvd Calendar'!$G$1442)=0,"",IF(('Dvd Calendar'!$G$1442&gt;=GRID_FROM)*('Dvd Calendar'!$G$1442&lt;=GRID_TO)*('Dvd Calendar'!$G$1442&gt;VAL_DATE)=0,"",'Dvd Calendar'!$G$1442*1000000000+ISNUMBER('Dvd Calendar'!$G$1443)*100000000+0*10000000+(N('Dvd Calendar'!$G$1441)&gt;0)*(N('Dvd Calendar'!$G$1441)&lt;=VAL_SERIAL)*1000000+30*1000+43))</f>
        <v/>
      </c>
      <c r="FV145" s="35">
        <f>IF(N('Dvd Calendar'!$H$1442)=0,"",IF(('Dvd Calendar'!$H$1442&gt;=GRID_FROM)*('Dvd Calendar'!$H$1442&lt;=GRID_TO)*('Dvd Calendar'!$H$1442&gt;VAL_DATE)=0,"",'Dvd Calendar'!$H$1442*1000000000+ISNUMBER('Dvd Calendar'!$H$1443)*100000000+0*10000000+(N('Dvd Calendar'!$H$1441)&gt;0)*(N('Dvd Calendar'!$H$1441)&lt;=VAL_SERIAL)*1000000+30*1000+44))</f>
        <v/>
      </c>
      <c r="FW145" s="35">
        <f>IF(N('Dvd Calendar'!$I$1442)=0,"",IF(('Dvd Calendar'!$I$1442&gt;=GRID_FROM)*('Dvd Calendar'!$I$1442&lt;=GRID_TO)*('Dvd Calendar'!$I$1442&gt;VAL_DATE)=0,"",'Dvd Calendar'!$I$1442*1000000000+ISNUMBER('Dvd Calendar'!$I$1443)*100000000+0*10000000+(N('Dvd Calendar'!$I$1441)&gt;0)*(N('Dvd Calendar'!$I$1441)&lt;=VAL_SERIAL)*1000000+30*1000+45))</f>
        <v/>
      </c>
      <c r="FX145" s="35">
        <f>IF(N('Dvd Calendar'!$J$1442)=0,"",IF(('Dvd Calendar'!$J$1442&gt;=GRID_FROM)*('Dvd Calendar'!$J$1442&lt;=GRID_TO)*('Dvd Calendar'!$J$1442&gt;VAL_DATE)=0,"",'Dvd Calendar'!$J$1442*1000000000+ISNUMBER('Dvd Calendar'!$J$1443)*100000000+0*10000000+(N('Dvd Calendar'!$J$1441)&gt;0)*(N('Dvd Calendar'!$J$1441)&lt;=VAL_SERIAL)*1000000+30*1000+46))</f>
        <v/>
      </c>
      <c r="FY145" s="35">
        <f>IF(N('Dvd Calendar'!$K$1442)=0,"",IF(('Dvd Calendar'!$K$1442&gt;=GRID_FROM)*('Dvd Calendar'!$K$1442&lt;=GRID_TO)*('Dvd Calendar'!$K$1442&gt;VAL_DATE)=0,"",'Dvd Calendar'!$K$1442*1000000000+ISNUMBER('Dvd Calendar'!$K$1443)*100000000+0*10000000+(N('Dvd Calendar'!$K$1441)&gt;0)*(N('Dvd Calendar'!$K$1441)&lt;=VAL_SERIAL)*1000000+30*1000+47))</f>
        <v/>
      </c>
      <c r="FZ145" s="35">
        <f>IF(N('Dvd Calendar'!$L$1442)=0,"",IF(('Dvd Calendar'!$L$1442&gt;=GRID_FROM)*('Dvd Calendar'!$L$1442&lt;=GRID_TO)*('Dvd Calendar'!$L$1442&gt;VAL_DATE)=0,"",'Dvd Calendar'!$L$1442*1000000000+ISNUMBER('Dvd Calendar'!$L$1443)*100000000+0*10000000+(N('Dvd Calendar'!$L$1441)&gt;0)*(N('Dvd Calendar'!$L$1441)&lt;=VAL_SERIAL)*1000000+30*1000+48))</f>
        <v/>
      </c>
      <c r="GA145" s="35">
        <f>IF(N('Dvd Calendar'!$M$1442)=0,"",IF(('Dvd Calendar'!$M$1442&gt;=GRID_FROM)*('Dvd Calendar'!$M$1442&lt;=GRID_TO)*('Dvd Calendar'!$M$1442&gt;VAL_DATE)=0,"",'Dvd Calendar'!$M$1442*1000000000+ISNUMBER('Dvd Calendar'!$M$1443)*100000000+0*10000000+(N('Dvd Calendar'!$M$1441)&gt;0)*(N('Dvd Calendar'!$M$1441)&lt;=VAL_SERIAL)*1000000+30*1000+49))</f>
        <v/>
      </c>
      <c r="GB145" s="35">
        <f>IF(N('Dvd Calendar'!$N$1442)=0,"",IF(('Dvd Calendar'!$N$1442&gt;=GRID_FROM)*('Dvd Calendar'!$N$1442&lt;=GRID_TO)*('Dvd Calendar'!$N$1442&gt;VAL_DATE)=0,"",'Dvd Calendar'!$N$1442*1000000000+ISNUMBER('Dvd Calendar'!$N$1443)*100000000+0*10000000+(N('Dvd Calendar'!$N$1441)&gt;0)*(N('Dvd Calendar'!$N$1441)&lt;=VAL_SERIAL)*1000000+30*1000+50))</f>
        <v/>
      </c>
      <c r="GC145" s="35">
        <f>IF(N('Dvd Calendar'!$O$1442)=0,"",IF(('Dvd Calendar'!$O$1442&gt;=GRID_FROM)*('Dvd Calendar'!$O$1442&lt;=GRID_TO)*('Dvd Calendar'!$O$1442&gt;VAL_DATE)=0,"",'Dvd Calendar'!$O$1442*1000000000+ISNUMBER('Dvd Calendar'!$O$1443)*100000000+0*10000000+(N('Dvd Calendar'!$O$1441)&gt;0)*(N('Dvd Calendar'!$O$1441)&lt;=VAL_SERIAL)*1000000+30*1000+51))</f>
        <v/>
      </c>
      <c r="GD145" s="35">
        <f>IF(N('Dvd Calendar'!$P$1442)=0,"",IF(('Dvd Calendar'!$P$1442&gt;=GRID_FROM)*('Dvd Calendar'!$P$1442&lt;=GRID_TO)*('Dvd Calendar'!$P$1442&gt;VAL_DATE)=0,"",'Dvd Calendar'!$P$1442*1000000000+ISNUMBER('Dvd Calendar'!$P$1443)*100000000+0*10000000+(N('Dvd Calendar'!$P$1441)&gt;0)*(N('Dvd Calendar'!$P$1441)&lt;=VAL_SERIAL)*1000000+30*1000+52))</f>
        <v/>
      </c>
      <c r="GE145" s="35">
        <f>IF(N('Dvd Calendar'!$Q$1442)=0,"",IF(('Dvd Calendar'!$Q$1442&gt;=GRID_FROM)*('Dvd Calendar'!$Q$1442&lt;=GRID_TO)*('Dvd Calendar'!$Q$1442&gt;VAL_DATE)=0,"",'Dvd Calendar'!$Q$1442*1000000000+ISNUMBER('Dvd Calendar'!$Q$1443)*100000000+0*10000000+(N('Dvd Calendar'!$Q$1441)&gt;0)*(N('Dvd Calendar'!$Q$1441)&lt;=VAL_SERIAL)*1000000+30*1000+53))</f>
        <v/>
      </c>
      <c r="GF145" s="35">
        <f>IF(N('Dvd Calendar'!$R$1442)=0,"",IF(('Dvd Calendar'!$R$1442&gt;=GRID_FROM)*('Dvd Calendar'!$R$1442&lt;=GRID_TO)*('Dvd Calendar'!$R$1442&gt;VAL_DATE)=0,"",'Dvd Calendar'!$R$1442*1000000000+ISNUMBER('Dvd Calendar'!$R$1443)*100000000+0*10000000+(N('Dvd Calendar'!$R$1441)&gt;0)*(N('Dvd Calendar'!$R$1441)&lt;=VAL_SERIAL)*1000000+30*1000+54))</f>
        <v/>
      </c>
      <c r="GG145" s="35">
        <f>IF(N('Dvd Calendar'!$S$1442)=0,"",IF(('Dvd Calendar'!$S$1442&gt;=GRID_FROM)*('Dvd Calendar'!$S$1442&lt;=GRID_TO)*('Dvd Calendar'!$S$1442&gt;VAL_DATE)=0,"",'Dvd Calendar'!$S$1442*1000000000+ISNUMBER('Dvd Calendar'!$S$1443)*100000000+0*10000000+(N('Dvd Calendar'!$S$1441)&gt;0)*(N('Dvd Calendar'!$S$1441)&lt;=VAL_SERIAL)*1000000+30*1000+55))</f>
        <v/>
      </c>
      <c r="GH145" s="35">
        <f>IF(N('Dvd Calendar'!$T$1442)=0,"",IF(('Dvd Calendar'!$T$1442&gt;=GRID_FROM)*('Dvd Calendar'!$T$1442&lt;=GRID_TO)*('Dvd Calendar'!$T$1442&gt;VAL_DATE)=0,"",'Dvd Calendar'!$T$1442*1000000000+ISNUMBER('Dvd Calendar'!$T$1443)*100000000+0*10000000+(N('Dvd Calendar'!$T$1441)&gt;0)*(N('Dvd Calendar'!$T$1441)&lt;=VAL_SERIAL)*1000000+30*1000+56))</f>
        <v/>
      </c>
      <c r="GI145" s="35">
        <f>IF(N('Dvd Calendar'!$U$1442)=0,"",IF(('Dvd Calendar'!$U$1442&gt;=GRID_FROM)*('Dvd Calendar'!$U$1442&lt;=GRID_TO)*('Dvd Calendar'!$U$1442&gt;VAL_DATE)=0,"",'Dvd Calendar'!$U$1442*1000000000+ISNUMBER('Dvd Calendar'!$U$1443)*100000000+0*10000000+(N('Dvd Calendar'!$U$1441)&gt;0)*(N('Dvd Calendar'!$U$1441)&lt;=VAL_SERIAL)*1000000+30*1000+57))</f>
        <v/>
      </c>
      <c r="GJ145" s="35">
        <f>IF(N('Dvd Calendar'!$V$1442)=0,"",IF(('Dvd Calendar'!$V$1442&gt;=GRID_FROM)*('Dvd Calendar'!$V$1442&lt;=GRID_TO)*('Dvd Calendar'!$V$1442&gt;VAL_DATE)=0,"",'Dvd Calendar'!$V$1442*1000000000+ISNUMBER('Dvd Calendar'!$V$1443)*100000000+0*10000000+(N('Dvd Calendar'!$V$1441)&gt;0)*(N('Dvd Calendar'!$V$1441)&lt;=VAL_SERIAL)*1000000+30*1000+58))</f>
        <v/>
      </c>
      <c r="GK145" s="35">
        <f>IF(N('Dvd Calendar'!$W$1442)=0,"",IF(('Dvd Calendar'!$W$1442&gt;=GRID_FROM)*('Dvd Calendar'!$W$1442&lt;=GRID_TO)*('Dvd Calendar'!$W$1442&gt;VAL_DATE)=0,"",'Dvd Calendar'!$W$1442*1000000000+ISNUMBER('Dvd Calendar'!$W$1443)*100000000+0*10000000+(N('Dvd Calendar'!$W$1441)&gt;0)*(N('Dvd Calendar'!$W$1441)&lt;=VAL_SERIAL)*1000000+30*1000+59))</f>
        <v/>
      </c>
      <c r="GL145" s="35">
        <f>IF(N('Dvd Calendar'!$X$1442)=0,"",IF(('Dvd Calendar'!$X$1442&gt;=GRID_FROM)*('Dvd Calendar'!$X$1442&lt;=GRID_TO)*('Dvd Calendar'!$X$1442&gt;VAL_DATE)=0,"",'Dvd Calendar'!$X$1442*1000000000+ISNUMBER('Dvd Calendar'!$X$1443)*100000000+0*10000000+(N('Dvd Calendar'!$X$1441)&gt;0)*(N('Dvd Calendar'!$X$1441)&lt;=VAL_SERIAL)*1000000+30*1000+60))</f>
        <v/>
      </c>
      <c r="GM145" s="35">
        <f>IF(N('Dvd Calendar'!$Y$1442)=0,"",IF(('Dvd Calendar'!$Y$1442&gt;=GRID_FROM)*('Dvd Calendar'!$Y$1442&lt;=GRID_TO)*('Dvd Calendar'!$Y$1442&gt;VAL_DATE)=0,"",'Dvd Calendar'!$Y$1442*1000000000+ISNUMBER('Dvd Calendar'!$Y$1443)*100000000+0*10000000+(N('Dvd Calendar'!$Y$1441)&gt;0)*(N('Dvd Calendar'!$Y$1441)&lt;=VAL_SERIAL)*1000000+30*1000+61))</f>
        <v/>
      </c>
      <c r="GN145" s="35">
        <f>IF(N('Dvd Calendar'!$Z$1442)=0,"",IF(('Dvd Calendar'!$Z$1442&gt;=GRID_FROM)*('Dvd Calendar'!$Z$1442&lt;=GRID_TO)*('Dvd Calendar'!$Z$1442&gt;VAL_DATE)=0,"",'Dvd Calendar'!$Z$1442*1000000000+ISNUMBER('Dvd Calendar'!$Z$1443)*100000000+0*10000000+(N('Dvd Calendar'!$Z$1441)&gt;0)*(N('Dvd Calendar'!$Z$1441)&lt;=VAL_SERIAL)*1000000+30*1000+62))</f>
        <v/>
      </c>
      <c r="GO145" s="35">
        <f>IF(N('Dvd Calendar'!$AA$1442)=0,"",IF(('Dvd Calendar'!$AA$1442&gt;=GRID_FROM)*('Dvd Calendar'!$AA$1442&lt;=GRID_TO)*('Dvd Calendar'!$AA$1442&gt;VAL_DATE)=0,"",'Dvd Calendar'!$AA$1442*1000000000+ISNUMBER('Dvd Calendar'!$AA$1443)*100000000+0*10000000+(N('Dvd Calendar'!$AA$1441)&gt;0)*(N('Dvd Calendar'!$AA$1441)&lt;=VAL_SERIAL)*1000000+30*1000+63))</f>
        <v/>
      </c>
      <c r="GP145" s="35">
        <f>IF(N('Dvd Calendar'!$AB$1442)=0,"",IF(('Dvd Calendar'!$AB$1442&gt;=GRID_FROM)*('Dvd Calendar'!$AB$1442&lt;=GRID_TO)*('Dvd Calendar'!$AB$1442&gt;VAL_DATE)=0,"",'Dvd Calendar'!$AB$1442*1000000000+ISNUMBER('Dvd Calendar'!$AB$1443)*100000000+0*10000000+(N('Dvd Calendar'!$AB$1441)&gt;0)*(N('Dvd Calendar'!$AB$1441)&lt;=VAL_SERIAL)*1000000+30*1000+64))</f>
        <v/>
      </c>
      <c r="GQ145" s="35">
        <f>IF(N('Dvd Calendar'!$AC$1442)=0,"",IF(('Dvd Calendar'!$AC$1442&gt;=GRID_FROM)*('Dvd Calendar'!$AC$1442&lt;=GRID_TO)*('Dvd Calendar'!$AC$1442&gt;VAL_DATE)=0,"",'Dvd Calendar'!$AC$1442*1000000000+ISNUMBER('Dvd Calendar'!$AC$1443)*100000000+0*10000000+(N('Dvd Calendar'!$AC$1441)&gt;0)*(N('Dvd Calendar'!$AC$1441)&lt;=VAL_SERIAL)*1000000+30*1000+65))</f>
        <v/>
      </c>
    </row>
    <row r="146">
      <c r="B146" s="2">
        <f>IF(HSTECH!$C$37="","",HSTECH!$C$37)</f>
        <v/>
      </c>
      <c r="C146" s="106">
        <f>IF(EE146="","",IF(ISNUMBER('Dvd Calendar'!$E$1449)=FALSE,"",IF((('Dvd Calendar'!$E$1451=TYPE1)*(TYPE1&lt;&gt;"")+('Dvd Calendar'!$E$1451=TYPE2)*(TYPE2&lt;&gt;"")+('Dvd Calendar'!$E$1451=TYPE3)*(TYPE3&lt;&gt;"")+('Dvd Calendar'!$E$1451=TYPE4)*(TYPE4&lt;&gt;"")+('Dvd Calendar'!$E$1451=SPECIAL_LBL)*(INC_SPECIALS="Y"))=0,"",'Dvd Calendar'!$E$1449)))</f>
        <v/>
      </c>
      <c r="D146" s="106">
        <f>IF(EF146="","",IF(ISNUMBER('Dvd Calendar'!$F$1449)=FALSE,"",IF((('Dvd Calendar'!$F$1451=TYPE1)*(TYPE1&lt;&gt;"")+('Dvd Calendar'!$F$1451=TYPE2)*(TYPE2&lt;&gt;"")+('Dvd Calendar'!$F$1451=TYPE3)*(TYPE3&lt;&gt;"")+('Dvd Calendar'!$F$1451=TYPE4)*(TYPE4&lt;&gt;"")+('Dvd Calendar'!$F$1451=SPECIAL_LBL)*(INC_SPECIALS="Y"))=0,"",'Dvd Calendar'!$F$1449)))</f>
        <v/>
      </c>
      <c r="E146" s="106">
        <f>IF(EG146="","",IF(ISNUMBER('Dvd Calendar'!$G$1449)=FALSE,"",IF((('Dvd Calendar'!$G$1451=TYPE1)*(TYPE1&lt;&gt;"")+('Dvd Calendar'!$G$1451=TYPE2)*(TYPE2&lt;&gt;"")+('Dvd Calendar'!$G$1451=TYPE3)*(TYPE3&lt;&gt;"")+('Dvd Calendar'!$G$1451=TYPE4)*(TYPE4&lt;&gt;"")+('Dvd Calendar'!$G$1451=SPECIAL_LBL)*(INC_SPECIALS="Y"))=0,"",'Dvd Calendar'!$G$1449)))</f>
        <v/>
      </c>
      <c r="F146" s="106">
        <f>IF(EH146="","",IF(ISNUMBER('Dvd Calendar'!$H$1449)=FALSE,"",IF((('Dvd Calendar'!$H$1451=TYPE1)*(TYPE1&lt;&gt;"")+('Dvd Calendar'!$H$1451=TYPE2)*(TYPE2&lt;&gt;"")+('Dvd Calendar'!$H$1451=TYPE3)*(TYPE3&lt;&gt;"")+('Dvd Calendar'!$H$1451=TYPE4)*(TYPE4&lt;&gt;"")+('Dvd Calendar'!$H$1451=SPECIAL_LBL)*(INC_SPECIALS="Y"))=0,"",'Dvd Calendar'!$H$1449)))</f>
        <v/>
      </c>
      <c r="G146" s="106">
        <f>IF(EI146="","",IF(ISNUMBER('Dvd Calendar'!$I$1449)=FALSE,"",IF((('Dvd Calendar'!$I$1451=TYPE1)*(TYPE1&lt;&gt;"")+('Dvd Calendar'!$I$1451=TYPE2)*(TYPE2&lt;&gt;"")+('Dvd Calendar'!$I$1451=TYPE3)*(TYPE3&lt;&gt;"")+('Dvd Calendar'!$I$1451=TYPE4)*(TYPE4&lt;&gt;"")+('Dvd Calendar'!$I$1451=SPECIAL_LBL)*(INC_SPECIALS="Y"))=0,"",'Dvd Calendar'!$I$1449)))</f>
        <v/>
      </c>
      <c r="H146" s="106">
        <f>IF(EJ146="","",IF(ISNUMBER('Dvd Calendar'!$J$1449)=FALSE,"",IF((('Dvd Calendar'!$J$1451=TYPE1)*(TYPE1&lt;&gt;"")+('Dvd Calendar'!$J$1451=TYPE2)*(TYPE2&lt;&gt;"")+('Dvd Calendar'!$J$1451=TYPE3)*(TYPE3&lt;&gt;"")+('Dvd Calendar'!$J$1451=TYPE4)*(TYPE4&lt;&gt;"")+('Dvd Calendar'!$J$1451=SPECIAL_LBL)*(INC_SPECIALS="Y"))=0,"",'Dvd Calendar'!$J$1449)))</f>
        <v/>
      </c>
      <c r="I146" s="106">
        <f>IF(EK146="","",IF(ISNUMBER('Dvd Calendar'!$K$1449)=FALSE,"",IF((('Dvd Calendar'!$K$1451=TYPE1)*(TYPE1&lt;&gt;"")+('Dvd Calendar'!$K$1451=TYPE2)*(TYPE2&lt;&gt;"")+('Dvd Calendar'!$K$1451=TYPE3)*(TYPE3&lt;&gt;"")+('Dvd Calendar'!$K$1451=TYPE4)*(TYPE4&lt;&gt;"")+('Dvd Calendar'!$K$1451=SPECIAL_LBL)*(INC_SPECIALS="Y"))=0,"",'Dvd Calendar'!$K$1449)))</f>
        <v/>
      </c>
      <c r="J146" s="106">
        <f>IF(EL146="","",IF(ISNUMBER('Dvd Calendar'!$L$1449)=FALSE,"",IF((('Dvd Calendar'!$L$1451=TYPE1)*(TYPE1&lt;&gt;"")+('Dvd Calendar'!$L$1451=TYPE2)*(TYPE2&lt;&gt;"")+('Dvd Calendar'!$L$1451=TYPE3)*(TYPE3&lt;&gt;"")+('Dvd Calendar'!$L$1451=TYPE4)*(TYPE4&lt;&gt;"")+('Dvd Calendar'!$L$1451=SPECIAL_LBL)*(INC_SPECIALS="Y"))=0,"",'Dvd Calendar'!$L$1449)))</f>
        <v/>
      </c>
      <c r="K146" s="106">
        <f>IF(EM146="","",IF(ISNUMBER('Dvd Calendar'!$M$1449)=FALSE,"",IF((('Dvd Calendar'!$M$1451=TYPE1)*(TYPE1&lt;&gt;"")+('Dvd Calendar'!$M$1451=TYPE2)*(TYPE2&lt;&gt;"")+('Dvd Calendar'!$M$1451=TYPE3)*(TYPE3&lt;&gt;"")+('Dvd Calendar'!$M$1451=TYPE4)*(TYPE4&lt;&gt;"")+('Dvd Calendar'!$M$1451=SPECIAL_LBL)*(INC_SPECIALS="Y"))=0,"",'Dvd Calendar'!$M$1449)))</f>
        <v/>
      </c>
      <c r="L146" s="106">
        <f>IF(EN146="","",IF(ISNUMBER('Dvd Calendar'!$N$1449)=FALSE,"",IF((('Dvd Calendar'!$N$1451=TYPE1)*(TYPE1&lt;&gt;"")+('Dvd Calendar'!$N$1451=TYPE2)*(TYPE2&lt;&gt;"")+('Dvd Calendar'!$N$1451=TYPE3)*(TYPE3&lt;&gt;"")+('Dvd Calendar'!$N$1451=TYPE4)*(TYPE4&lt;&gt;"")+('Dvd Calendar'!$N$1451=SPECIAL_LBL)*(INC_SPECIALS="Y"))=0,"",'Dvd Calendar'!$N$1449)))</f>
        <v/>
      </c>
      <c r="M146" s="106">
        <f>IF(EO146="","",IF(ISNUMBER('Dvd Calendar'!$O$1449)=FALSE,"",IF((('Dvd Calendar'!$O$1451=TYPE1)*(TYPE1&lt;&gt;"")+('Dvd Calendar'!$O$1451=TYPE2)*(TYPE2&lt;&gt;"")+('Dvd Calendar'!$O$1451=TYPE3)*(TYPE3&lt;&gt;"")+('Dvd Calendar'!$O$1451=TYPE4)*(TYPE4&lt;&gt;"")+('Dvd Calendar'!$O$1451=SPECIAL_LBL)*(INC_SPECIALS="Y"))=0,"",'Dvd Calendar'!$O$1449)))</f>
        <v/>
      </c>
      <c r="N146" s="106">
        <f>IF(EP146="","",IF(ISNUMBER('Dvd Calendar'!$P$1449)=FALSE,"",IF((('Dvd Calendar'!$P$1451=TYPE1)*(TYPE1&lt;&gt;"")+('Dvd Calendar'!$P$1451=TYPE2)*(TYPE2&lt;&gt;"")+('Dvd Calendar'!$P$1451=TYPE3)*(TYPE3&lt;&gt;"")+('Dvd Calendar'!$P$1451=TYPE4)*(TYPE4&lt;&gt;"")+('Dvd Calendar'!$P$1451=SPECIAL_LBL)*(INC_SPECIALS="Y"))=0,"",'Dvd Calendar'!$P$1449)))</f>
        <v/>
      </c>
      <c r="O146" s="106">
        <f>IF(EQ146="","",IF(ISNUMBER('Dvd Calendar'!$Q$1449)=FALSE,"",IF((('Dvd Calendar'!$Q$1451=TYPE1)*(TYPE1&lt;&gt;"")+('Dvd Calendar'!$Q$1451=TYPE2)*(TYPE2&lt;&gt;"")+('Dvd Calendar'!$Q$1451=TYPE3)*(TYPE3&lt;&gt;"")+('Dvd Calendar'!$Q$1451=TYPE4)*(TYPE4&lt;&gt;"")+('Dvd Calendar'!$Q$1451=SPECIAL_LBL)*(INC_SPECIALS="Y"))=0,"",'Dvd Calendar'!$Q$1449)))</f>
        <v/>
      </c>
      <c r="P146" s="106">
        <f>IF(ER146="","",IF(ISNUMBER('Dvd Calendar'!$R$1449)=FALSE,"",IF((('Dvd Calendar'!$R$1451=TYPE1)*(TYPE1&lt;&gt;"")+('Dvd Calendar'!$R$1451=TYPE2)*(TYPE2&lt;&gt;"")+('Dvd Calendar'!$R$1451=TYPE3)*(TYPE3&lt;&gt;"")+('Dvd Calendar'!$R$1451=TYPE4)*(TYPE4&lt;&gt;"")+('Dvd Calendar'!$R$1451=SPECIAL_LBL)*(INC_SPECIALS="Y"))=0,"",'Dvd Calendar'!$R$1449)))</f>
        <v/>
      </c>
      <c r="Q146" s="106">
        <f>IF(ES146="","",IF(ISNUMBER('Dvd Calendar'!$S$1449)=FALSE,"",IF((('Dvd Calendar'!$S$1451=TYPE1)*(TYPE1&lt;&gt;"")+('Dvd Calendar'!$S$1451=TYPE2)*(TYPE2&lt;&gt;"")+('Dvd Calendar'!$S$1451=TYPE3)*(TYPE3&lt;&gt;"")+('Dvd Calendar'!$S$1451=TYPE4)*(TYPE4&lt;&gt;"")+('Dvd Calendar'!$S$1451=SPECIAL_LBL)*(INC_SPECIALS="Y"))=0,"",'Dvd Calendar'!$S$1449)))</f>
        <v/>
      </c>
      <c r="R146" s="106">
        <f>IF(ET146="","",IF(ISNUMBER('Dvd Calendar'!$T$1449)=FALSE,"",IF((('Dvd Calendar'!$T$1451=TYPE1)*(TYPE1&lt;&gt;"")+('Dvd Calendar'!$T$1451=TYPE2)*(TYPE2&lt;&gt;"")+('Dvd Calendar'!$T$1451=TYPE3)*(TYPE3&lt;&gt;"")+('Dvd Calendar'!$T$1451=TYPE4)*(TYPE4&lt;&gt;"")+('Dvd Calendar'!$T$1451=SPECIAL_LBL)*(INC_SPECIALS="Y"))=0,"",'Dvd Calendar'!$T$1449)))</f>
        <v/>
      </c>
      <c r="S146" s="106">
        <f>IF(EU146="","",IF(ISNUMBER('Dvd Calendar'!$U$1449)=FALSE,"",IF((('Dvd Calendar'!$U$1451=TYPE1)*(TYPE1&lt;&gt;"")+('Dvd Calendar'!$U$1451=TYPE2)*(TYPE2&lt;&gt;"")+('Dvd Calendar'!$U$1451=TYPE3)*(TYPE3&lt;&gt;"")+('Dvd Calendar'!$U$1451=TYPE4)*(TYPE4&lt;&gt;"")+('Dvd Calendar'!$U$1451=SPECIAL_LBL)*(INC_SPECIALS="Y"))=0,"",'Dvd Calendar'!$U$1449)))</f>
        <v/>
      </c>
      <c r="T146" s="106">
        <f>IF(EV146="","",IF(ISNUMBER('Dvd Calendar'!$V$1449)=FALSE,"",IF((('Dvd Calendar'!$V$1451=TYPE1)*(TYPE1&lt;&gt;"")+('Dvd Calendar'!$V$1451=TYPE2)*(TYPE2&lt;&gt;"")+('Dvd Calendar'!$V$1451=TYPE3)*(TYPE3&lt;&gt;"")+('Dvd Calendar'!$V$1451=TYPE4)*(TYPE4&lt;&gt;"")+('Dvd Calendar'!$V$1451=SPECIAL_LBL)*(INC_SPECIALS="Y"))=0,"",'Dvd Calendar'!$V$1449)))</f>
        <v/>
      </c>
      <c r="U146" s="106">
        <f>IF(EW146="","",IF(ISNUMBER('Dvd Calendar'!$W$1449)=FALSE,"",IF((('Dvd Calendar'!$W$1451=TYPE1)*(TYPE1&lt;&gt;"")+('Dvd Calendar'!$W$1451=TYPE2)*(TYPE2&lt;&gt;"")+('Dvd Calendar'!$W$1451=TYPE3)*(TYPE3&lt;&gt;"")+('Dvd Calendar'!$W$1451=TYPE4)*(TYPE4&lt;&gt;"")+('Dvd Calendar'!$W$1451=SPECIAL_LBL)*(INC_SPECIALS="Y"))=0,"",'Dvd Calendar'!$W$1449)))</f>
        <v/>
      </c>
      <c r="V146" s="106">
        <f>IF(EX146="","",IF(ISNUMBER('Dvd Calendar'!$X$1449)=FALSE,"",IF((('Dvd Calendar'!$X$1451=TYPE1)*(TYPE1&lt;&gt;"")+('Dvd Calendar'!$X$1451=TYPE2)*(TYPE2&lt;&gt;"")+('Dvd Calendar'!$X$1451=TYPE3)*(TYPE3&lt;&gt;"")+('Dvd Calendar'!$X$1451=TYPE4)*(TYPE4&lt;&gt;"")+('Dvd Calendar'!$X$1451=SPECIAL_LBL)*(INC_SPECIALS="Y"))=0,"",'Dvd Calendar'!$X$1449)))</f>
        <v/>
      </c>
      <c r="W146" s="106">
        <f>IF(EY146="","",IF(ISNUMBER('Dvd Calendar'!$Y$1449)=FALSE,"",IF((('Dvd Calendar'!$Y$1451=TYPE1)*(TYPE1&lt;&gt;"")+('Dvd Calendar'!$Y$1451=TYPE2)*(TYPE2&lt;&gt;"")+('Dvd Calendar'!$Y$1451=TYPE3)*(TYPE3&lt;&gt;"")+('Dvd Calendar'!$Y$1451=TYPE4)*(TYPE4&lt;&gt;"")+('Dvd Calendar'!$Y$1451=SPECIAL_LBL)*(INC_SPECIALS="Y"))=0,"",'Dvd Calendar'!$Y$1449)))</f>
        <v/>
      </c>
      <c r="X146" s="106">
        <f>IF(EZ146="","",IF(ISNUMBER('Dvd Calendar'!$Z$1449)=FALSE,"",IF((('Dvd Calendar'!$Z$1451=TYPE1)*(TYPE1&lt;&gt;"")+('Dvd Calendar'!$Z$1451=TYPE2)*(TYPE2&lt;&gt;"")+('Dvd Calendar'!$Z$1451=TYPE3)*(TYPE3&lt;&gt;"")+('Dvd Calendar'!$Z$1451=TYPE4)*(TYPE4&lt;&gt;"")+('Dvd Calendar'!$Z$1451=SPECIAL_LBL)*(INC_SPECIALS="Y"))=0,"",'Dvd Calendar'!$Z$1449)))</f>
        <v/>
      </c>
      <c r="Y146" s="106">
        <f>IF(FA146="","",IF(ISNUMBER('Dvd Calendar'!$AA$1449)=FALSE,"",IF((('Dvd Calendar'!$AA$1451=TYPE1)*(TYPE1&lt;&gt;"")+('Dvd Calendar'!$AA$1451=TYPE2)*(TYPE2&lt;&gt;"")+('Dvd Calendar'!$AA$1451=TYPE3)*(TYPE3&lt;&gt;"")+('Dvd Calendar'!$AA$1451=TYPE4)*(TYPE4&lt;&gt;"")+('Dvd Calendar'!$AA$1451=SPECIAL_LBL)*(INC_SPECIALS="Y"))=0,"",'Dvd Calendar'!$AA$1449)))</f>
        <v/>
      </c>
      <c r="Z146" s="106">
        <f>IF(FB146="","",IF(ISNUMBER('Dvd Calendar'!$AB$1449)=FALSE,"",IF((('Dvd Calendar'!$AB$1451=TYPE1)*(TYPE1&lt;&gt;"")+('Dvd Calendar'!$AB$1451=TYPE2)*(TYPE2&lt;&gt;"")+('Dvd Calendar'!$AB$1451=TYPE3)*(TYPE3&lt;&gt;"")+('Dvd Calendar'!$AB$1451=TYPE4)*(TYPE4&lt;&gt;"")+('Dvd Calendar'!$AB$1451=SPECIAL_LBL)*(INC_SPECIALS="Y"))=0,"",'Dvd Calendar'!$AB$1449)))</f>
        <v/>
      </c>
      <c r="AA146" s="106">
        <f>IF(FC146="","",IF(ISNUMBER('Dvd Calendar'!$AC$1449)=FALSE,"",IF((('Dvd Calendar'!$AC$1451=TYPE1)*(TYPE1&lt;&gt;"")+('Dvd Calendar'!$AC$1451=TYPE2)*(TYPE2&lt;&gt;"")+('Dvd Calendar'!$AC$1451=TYPE3)*(TYPE3&lt;&gt;"")+('Dvd Calendar'!$AC$1451=TYPE4)*(TYPE4&lt;&gt;"")+('Dvd Calendar'!$AC$1451=SPECIAL_LBL)*(INC_SPECIALS="Y"))=0,"",'Dvd Calendar'!$AC$1449)))</f>
        <v/>
      </c>
      <c r="AB146" s="106">
        <f>IF(FD146="","",IF(ISNUMBER('Dvd Calendar'!$AD$1449)=FALSE,"",IF((('Dvd Calendar'!$AD$1451=TYPE1)*(TYPE1&lt;&gt;"")+('Dvd Calendar'!$AD$1451=TYPE2)*(TYPE2&lt;&gt;"")+('Dvd Calendar'!$AD$1451=TYPE3)*(TYPE3&lt;&gt;"")+('Dvd Calendar'!$AD$1451=TYPE4)*(TYPE4&lt;&gt;"")+('Dvd Calendar'!$AD$1451=SPECIAL_LBL)*(INC_SPECIALS="Y"))=0,"",'Dvd Calendar'!$AD$1449)))</f>
        <v/>
      </c>
      <c r="AC146" s="106">
        <f>IF(FE146="","",IF(ISNUMBER('Dvd Calendar'!$AE$1449)=FALSE,"",IF((('Dvd Calendar'!$AE$1451=TYPE1)*(TYPE1&lt;&gt;"")+('Dvd Calendar'!$AE$1451=TYPE2)*(TYPE2&lt;&gt;"")+('Dvd Calendar'!$AE$1451=TYPE3)*(TYPE3&lt;&gt;"")+('Dvd Calendar'!$AE$1451=TYPE4)*(TYPE4&lt;&gt;"")+('Dvd Calendar'!$AE$1451=SPECIAL_LBL)*(INC_SPECIALS="Y"))=0,"",'Dvd Calendar'!$AE$1449)))</f>
        <v/>
      </c>
      <c r="AD146" s="106">
        <f>IF(FF146="","",IF(ISNUMBER('Dvd Calendar'!$AF$1449)=FALSE,"",IF((('Dvd Calendar'!$AF$1451=TYPE1)*(TYPE1&lt;&gt;"")+('Dvd Calendar'!$AF$1451=TYPE2)*(TYPE2&lt;&gt;"")+('Dvd Calendar'!$AF$1451=TYPE3)*(TYPE3&lt;&gt;"")+('Dvd Calendar'!$AF$1451=TYPE4)*(TYPE4&lt;&gt;"")+('Dvd Calendar'!$AF$1451=SPECIAL_LBL)*(INC_SPECIALS="Y"))=0,"",'Dvd Calendar'!$AF$1449)))</f>
        <v/>
      </c>
      <c r="AE146" s="106">
        <f>IF(FG146="","",IF(ISNUMBER('Dvd Calendar'!$AG$1449)=FALSE,"",IF((('Dvd Calendar'!$AG$1451=TYPE1)*(TYPE1&lt;&gt;"")+('Dvd Calendar'!$AG$1451=TYPE2)*(TYPE2&lt;&gt;"")+('Dvd Calendar'!$AG$1451=TYPE3)*(TYPE3&lt;&gt;"")+('Dvd Calendar'!$AG$1451=TYPE4)*(TYPE4&lt;&gt;"")+('Dvd Calendar'!$AG$1451=SPECIAL_LBL)*(INC_SPECIALS="Y"))=0,"",'Dvd Calendar'!$AG$1449)))</f>
        <v/>
      </c>
      <c r="AF146" s="106">
        <f>IF(FH146="","",IF(ISNUMBER('Dvd Calendar'!$AH$1449)=FALSE,"",IF((('Dvd Calendar'!$AH$1451=TYPE1)*(TYPE1&lt;&gt;"")+('Dvd Calendar'!$AH$1451=TYPE2)*(TYPE2&lt;&gt;"")+('Dvd Calendar'!$AH$1451=TYPE3)*(TYPE3&lt;&gt;"")+('Dvd Calendar'!$AH$1451=TYPE4)*(TYPE4&lt;&gt;"")+('Dvd Calendar'!$AH$1451=SPECIAL_LBL)*(INC_SPECIALS="Y"))=0,"",'Dvd Calendar'!$AH$1449)))</f>
        <v/>
      </c>
      <c r="AG146" s="106">
        <f>IF(FI146="","",IF(ISNUMBER('Dvd Calendar'!$AI$1449)=FALSE,"",IF((('Dvd Calendar'!$AI$1451=TYPE1)*(TYPE1&lt;&gt;"")+('Dvd Calendar'!$AI$1451=TYPE2)*(TYPE2&lt;&gt;"")+('Dvd Calendar'!$AI$1451=TYPE3)*(TYPE3&lt;&gt;"")+('Dvd Calendar'!$AI$1451=TYPE4)*(TYPE4&lt;&gt;"")+('Dvd Calendar'!$AI$1451=SPECIAL_LBL)*(INC_SPECIALS="Y"))=0,"",'Dvd Calendar'!$AI$1449)))</f>
        <v/>
      </c>
      <c r="AH146" s="106">
        <f>IF(FJ146="","",IF(ISNUMBER('Dvd Calendar'!$AJ$1449)=FALSE,"",IF((('Dvd Calendar'!$AJ$1451=TYPE1)*(TYPE1&lt;&gt;"")+('Dvd Calendar'!$AJ$1451=TYPE2)*(TYPE2&lt;&gt;"")+('Dvd Calendar'!$AJ$1451=TYPE3)*(TYPE3&lt;&gt;"")+('Dvd Calendar'!$AJ$1451=TYPE4)*(TYPE4&lt;&gt;"")+('Dvd Calendar'!$AJ$1451=SPECIAL_LBL)*(INC_SPECIALS="Y"))=0,"",'Dvd Calendar'!$AJ$1449)))</f>
        <v/>
      </c>
      <c r="AI146" s="106">
        <f>IF(FK146="","",IF(ISNUMBER('Dvd Calendar'!$AK$1449)=FALSE,"",IF((('Dvd Calendar'!$AK$1451=TYPE1)*(TYPE1&lt;&gt;"")+('Dvd Calendar'!$AK$1451=TYPE2)*(TYPE2&lt;&gt;"")+('Dvd Calendar'!$AK$1451=TYPE3)*(TYPE3&lt;&gt;"")+('Dvd Calendar'!$AK$1451=TYPE4)*(TYPE4&lt;&gt;"")+('Dvd Calendar'!$AK$1451=SPECIAL_LBL)*(INC_SPECIALS="Y"))=0,"",'Dvd Calendar'!$AK$1449)))</f>
        <v/>
      </c>
      <c r="AJ146" s="106">
        <f>IF(FL146="","",IF(ISNUMBER('Dvd Calendar'!$AL$1449)=FALSE,"",IF((('Dvd Calendar'!$AL$1451=TYPE1)*(TYPE1&lt;&gt;"")+('Dvd Calendar'!$AL$1451=TYPE2)*(TYPE2&lt;&gt;"")+('Dvd Calendar'!$AL$1451=TYPE3)*(TYPE3&lt;&gt;"")+('Dvd Calendar'!$AL$1451=TYPE4)*(TYPE4&lt;&gt;"")+('Dvd Calendar'!$AL$1451=SPECIAL_LBL)*(INC_SPECIALS="Y"))=0,"",'Dvd Calendar'!$AL$1449)))</f>
        <v/>
      </c>
      <c r="AK146" s="106">
        <f>IF(FM146="","",IF(ISNUMBER('Dvd Calendar'!$AM$1449)=FALSE,"",IF((('Dvd Calendar'!$AM$1451=TYPE1)*(TYPE1&lt;&gt;"")+('Dvd Calendar'!$AM$1451=TYPE2)*(TYPE2&lt;&gt;"")+('Dvd Calendar'!$AM$1451=TYPE3)*(TYPE3&lt;&gt;"")+('Dvd Calendar'!$AM$1451=TYPE4)*(TYPE4&lt;&gt;"")+('Dvd Calendar'!$AM$1451=SPECIAL_LBL)*(INC_SPECIALS="Y"))=0,"",'Dvd Calendar'!$AM$1449)))</f>
        <v/>
      </c>
      <c r="AL146" s="106">
        <f>IF(FN146="","",IF(ISNUMBER('Dvd Calendar'!$AN$1449)=FALSE,"",IF((('Dvd Calendar'!$AN$1451=TYPE1)*(TYPE1&lt;&gt;"")+('Dvd Calendar'!$AN$1451=TYPE2)*(TYPE2&lt;&gt;"")+('Dvd Calendar'!$AN$1451=TYPE3)*(TYPE3&lt;&gt;"")+('Dvd Calendar'!$AN$1451=TYPE4)*(TYPE4&lt;&gt;"")+('Dvd Calendar'!$AN$1451=SPECIAL_LBL)*(INC_SPECIALS="Y"))=0,"",'Dvd Calendar'!$AN$1449)))</f>
        <v/>
      </c>
      <c r="AM146" s="106">
        <f>IF(FO146="","",IF(ISNUMBER('Dvd Calendar'!$AO$1449)=FALSE,"",IF((('Dvd Calendar'!$AO$1451=TYPE1)*(TYPE1&lt;&gt;"")+('Dvd Calendar'!$AO$1451=TYPE2)*(TYPE2&lt;&gt;"")+('Dvd Calendar'!$AO$1451=TYPE3)*(TYPE3&lt;&gt;"")+('Dvd Calendar'!$AO$1451=TYPE4)*(TYPE4&lt;&gt;"")+('Dvd Calendar'!$AO$1451=SPECIAL_LBL)*(INC_SPECIALS="Y"))=0,"",'Dvd Calendar'!$AO$1449)))</f>
        <v/>
      </c>
      <c r="AN146" s="106">
        <f>IF(FP146="","",IF(ISNUMBER('Dvd Calendar'!$AP$1449)=FALSE,"",IF((('Dvd Calendar'!$AP$1451=TYPE1)*(TYPE1&lt;&gt;"")+('Dvd Calendar'!$AP$1451=TYPE2)*(TYPE2&lt;&gt;"")+('Dvd Calendar'!$AP$1451=TYPE3)*(TYPE3&lt;&gt;"")+('Dvd Calendar'!$AP$1451=TYPE4)*(TYPE4&lt;&gt;"")+('Dvd Calendar'!$AP$1451=SPECIAL_LBL)*(INC_SPECIALS="Y"))=0,"",'Dvd Calendar'!$AP$1449)))</f>
        <v/>
      </c>
      <c r="AO146" s="106">
        <f>IF(FQ146="","",IF(ISNUMBER('Dvd Calendar'!$AQ$1449)=FALSE,"",IF((('Dvd Calendar'!$AQ$1451=TYPE1)*(TYPE1&lt;&gt;"")+('Dvd Calendar'!$AQ$1451=TYPE2)*(TYPE2&lt;&gt;"")+('Dvd Calendar'!$AQ$1451=TYPE3)*(TYPE3&lt;&gt;"")+('Dvd Calendar'!$AQ$1451=TYPE4)*(TYPE4&lt;&gt;"")+('Dvd Calendar'!$AQ$1451=SPECIAL_LBL)*(INC_SPECIALS="Y"))=0,"",'Dvd Calendar'!$AQ$1449)))</f>
        <v/>
      </c>
      <c r="AP146" s="106">
        <f>IF(FR146="","",IF(ISNUMBER('Dvd Calendar'!$AR$1449)=FALSE,"",IF((('Dvd Calendar'!$AR$1451=TYPE1)*(TYPE1&lt;&gt;"")+('Dvd Calendar'!$AR$1451=TYPE2)*(TYPE2&lt;&gt;"")+('Dvd Calendar'!$AR$1451=TYPE3)*(TYPE3&lt;&gt;"")+('Dvd Calendar'!$AR$1451=TYPE4)*(TYPE4&lt;&gt;"")+('Dvd Calendar'!$AR$1451=SPECIAL_LBL)*(INC_SPECIALS="Y"))=0,"",'Dvd Calendar'!$AR$1449)))</f>
        <v/>
      </c>
      <c r="AQ146" s="106">
        <f>IF(FS146="","",IF(ISNUMBER('Dvd Calendar'!$E$1454)=FALSE,"",'Dvd Calendar'!$E$1454))</f>
        <v/>
      </c>
      <c r="AR146" s="106">
        <f>IF(FT146="","",IF(ISNUMBER('Dvd Calendar'!$F$1454)=FALSE,"",'Dvd Calendar'!$F$1454))</f>
        <v/>
      </c>
      <c r="AS146" s="106">
        <f>IF(FU146="","",IF(ISNUMBER('Dvd Calendar'!$G$1454)=FALSE,"",'Dvd Calendar'!$G$1454))</f>
        <v/>
      </c>
      <c r="AT146" s="106">
        <f>IF(FV146="","",IF(ISNUMBER('Dvd Calendar'!$H$1454)=FALSE,"",'Dvd Calendar'!$H$1454))</f>
        <v/>
      </c>
      <c r="AU146" s="106">
        <f>IF(FW146="","",IF(ISNUMBER('Dvd Calendar'!$I$1454)=FALSE,"",'Dvd Calendar'!$I$1454))</f>
        <v/>
      </c>
      <c r="AV146" s="106">
        <f>IF(FX146="","",IF(ISNUMBER('Dvd Calendar'!$J$1454)=FALSE,"",'Dvd Calendar'!$J$1454))</f>
        <v/>
      </c>
      <c r="AW146" s="106">
        <f>IF(FY146="","",IF(ISNUMBER('Dvd Calendar'!$K$1454)=FALSE,"",'Dvd Calendar'!$K$1454))</f>
        <v/>
      </c>
      <c r="AX146" s="106">
        <f>IF(FZ146="","",IF(ISNUMBER('Dvd Calendar'!$L$1454)=FALSE,"",'Dvd Calendar'!$L$1454))</f>
        <v/>
      </c>
      <c r="AY146" s="106">
        <f>IF(GA146="","",IF(ISNUMBER('Dvd Calendar'!$M$1454)=FALSE,"",'Dvd Calendar'!$M$1454))</f>
        <v/>
      </c>
      <c r="AZ146" s="106">
        <f>IF(GB146="","",IF(ISNUMBER('Dvd Calendar'!$N$1454)=FALSE,"",'Dvd Calendar'!$N$1454))</f>
        <v/>
      </c>
      <c r="BA146" s="106">
        <f>IF(GC146="","",IF(ISNUMBER('Dvd Calendar'!$O$1454)=FALSE,"",'Dvd Calendar'!$O$1454))</f>
        <v/>
      </c>
      <c r="BB146" s="106">
        <f>IF(GD146="","",IF(ISNUMBER('Dvd Calendar'!$P$1454)=FALSE,"",'Dvd Calendar'!$P$1454))</f>
        <v/>
      </c>
      <c r="BC146" s="106">
        <f>IF(GE146="","",IF(ISNUMBER('Dvd Calendar'!$Q$1454)=FALSE,"",'Dvd Calendar'!$Q$1454))</f>
        <v/>
      </c>
      <c r="BD146" s="106">
        <f>IF(GF146="","",IF(ISNUMBER('Dvd Calendar'!$R$1454)=FALSE,"",'Dvd Calendar'!$R$1454))</f>
        <v/>
      </c>
      <c r="BE146" s="106">
        <f>IF(GG146="","",IF(ISNUMBER('Dvd Calendar'!$S$1454)=FALSE,"",'Dvd Calendar'!$S$1454))</f>
        <v/>
      </c>
      <c r="BF146" s="106">
        <f>IF(GH146="","",IF(ISNUMBER('Dvd Calendar'!$T$1454)=FALSE,"",'Dvd Calendar'!$T$1454))</f>
        <v/>
      </c>
      <c r="BG146" s="106">
        <f>IF(GI146="","",IF(ISNUMBER('Dvd Calendar'!$U$1454)=FALSE,"",'Dvd Calendar'!$U$1454))</f>
        <v/>
      </c>
      <c r="BH146" s="106">
        <f>IF(GJ146="","",IF(ISNUMBER('Dvd Calendar'!$V$1454)=FALSE,"",'Dvd Calendar'!$V$1454))</f>
        <v/>
      </c>
      <c r="BI146" s="106">
        <f>IF(GK146="","",IF(ISNUMBER('Dvd Calendar'!$W$1454)=FALSE,"",'Dvd Calendar'!$W$1454))</f>
        <v/>
      </c>
      <c r="BJ146" s="106">
        <f>IF(GL146="","",IF(ISNUMBER('Dvd Calendar'!$X$1454)=FALSE,"",'Dvd Calendar'!$X$1454))</f>
        <v/>
      </c>
      <c r="BK146" s="106">
        <f>IF(GM146="","",IF(ISNUMBER('Dvd Calendar'!$Y$1454)=FALSE,"",'Dvd Calendar'!$Y$1454))</f>
        <v/>
      </c>
      <c r="BL146" s="106">
        <f>IF(GN146="","",IF(ISNUMBER('Dvd Calendar'!$Z$1454)=FALSE,"",'Dvd Calendar'!$Z$1454))</f>
        <v/>
      </c>
      <c r="BM146" s="106">
        <f>IF(GO146="","",IF(ISNUMBER('Dvd Calendar'!$AA$1454)=FALSE,"",'Dvd Calendar'!$AA$1454))</f>
        <v/>
      </c>
      <c r="BN146" s="106">
        <f>IF(GP146="","",IF(ISNUMBER('Dvd Calendar'!$AB$1454)=FALSE,"",'Dvd Calendar'!$AB$1454))</f>
        <v/>
      </c>
      <c r="BO146" s="106">
        <f>IF(GQ146="","",IF(ISNUMBER('Dvd Calendar'!$AC$1454)=FALSE,"",'Dvd Calendar'!$AC$1454))</f>
        <v/>
      </c>
      <c r="BQ146" s="106">
        <f>IF(C146="","",IFERROR(C146*HSTECH!$B$37*HSTECH!$G$37/HSTECH!$B$3,""))</f>
        <v/>
      </c>
      <c r="BR146" s="106">
        <f>IF(D146="","",IFERROR(D146*HSTECH!$B$37*HSTECH!$G$37/HSTECH!$B$3,""))</f>
        <v/>
      </c>
      <c r="BS146" s="106">
        <f>IF(E146="","",IFERROR(E146*HSTECH!$B$37*HSTECH!$G$37/HSTECH!$B$3,""))</f>
        <v/>
      </c>
      <c r="BT146" s="106">
        <f>IF(F146="","",IFERROR(F146*HSTECH!$B$37*HSTECH!$G$37/HSTECH!$B$3,""))</f>
        <v/>
      </c>
      <c r="BU146" s="106">
        <f>IF(G146="","",IFERROR(G146*HSTECH!$B$37*HSTECH!$G$37/HSTECH!$B$3,""))</f>
        <v/>
      </c>
      <c r="BV146" s="106">
        <f>IF(H146="","",IFERROR(H146*HSTECH!$B$37*HSTECH!$G$37/HSTECH!$B$3,""))</f>
        <v/>
      </c>
      <c r="BW146" s="106">
        <f>IF(I146="","",IFERROR(I146*HSTECH!$B$37*HSTECH!$G$37/HSTECH!$B$3,""))</f>
        <v/>
      </c>
      <c r="BX146" s="106">
        <f>IF(J146="","",IFERROR(J146*HSTECH!$B$37*HSTECH!$G$37/HSTECH!$B$3,""))</f>
        <v/>
      </c>
      <c r="BY146" s="106">
        <f>IF(K146="","",IFERROR(K146*HSTECH!$B$37*HSTECH!$G$37/HSTECH!$B$3,""))</f>
        <v/>
      </c>
      <c r="BZ146" s="106">
        <f>IF(L146="","",IFERROR(L146*HSTECH!$B$37*HSTECH!$G$37/HSTECH!$B$3,""))</f>
        <v/>
      </c>
      <c r="CA146" s="106">
        <f>IF(M146="","",IFERROR(M146*HSTECH!$B$37*HSTECH!$G$37/HSTECH!$B$3,""))</f>
        <v/>
      </c>
      <c r="CB146" s="106">
        <f>IF(N146="","",IFERROR(N146*HSTECH!$B$37*HSTECH!$G$37/HSTECH!$B$3,""))</f>
        <v/>
      </c>
      <c r="CC146" s="106">
        <f>IF(O146="","",IFERROR(O146*HSTECH!$B$37*HSTECH!$G$37/HSTECH!$B$3,""))</f>
        <v/>
      </c>
      <c r="CD146" s="106">
        <f>IF(P146="","",IFERROR(P146*HSTECH!$B$37*HSTECH!$G$37/HSTECH!$B$3,""))</f>
        <v/>
      </c>
      <c r="CE146" s="106">
        <f>IF(Q146="","",IFERROR(Q146*HSTECH!$B$37*HSTECH!$G$37/HSTECH!$B$3,""))</f>
        <v/>
      </c>
      <c r="CF146" s="106">
        <f>IF(R146="","",IFERROR(R146*HSTECH!$B$37*HSTECH!$G$37/HSTECH!$B$3,""))</f>
        <v/>
      </c>
      <c r="CG146" s="106">
        <f>IF(S146="","",IFERROR(S146*HSTECH!$B$37*HSTECH!$G$37/HSTECH!$B$3,""))</f>
        <v/>
      </c>
      <c r="CH146" s="106">
        <f>IF(T146="","",IFERROR(T146*HSTECH!$B$37*HSTECH!$G$37/HSTECH!$B$3,""))</f>
        <v/>
      </c>
      <c r="CI146" s="106">
        <f>IF(U146="","",IFERROR(U146*HSTECH!$B$37*HSTECH!$G$37/HSTECH!$B$3,""))</f>
        <v/>
      </c>
      <c r="CJ146" s="106">
        <f>IF(V146="","",IFERROR(V146*HSTECH!$B$37*HSTECH!$G$37/HSTECH!$B$3,""))</f>
        <v/>
      </c>
      <c r="CK146" s="106">
        <f>IF(W146="","",IFERROR(W146*HSTECH!$B$37*HSTECH!$G$37/HSTECH!$B$3,""))</f>
        <v/>
      </c>
      <c r="CL146" s="106">
        <f>IF(X146="","",IFERROR(X146*HSTECH!$B$37*HSTECH!$G$37/HSTECH!$B$3,""))</f>
        <v/>
      </c>
      <c r="CM146" s="106">
        <f>IF(Y146="","",IFERROR(Y146*HSTECH!$B$37*HSTECH!$G$37/HSTECH!$B$3,""))</f>
        <v/>
      </c>
      <c r="CN146" s="106">
        <f>IF(Z146="","",IFERROR(Z146*HSTECH!$B$37*HSTECH!$G$37/HSTECH!$B$3,""))</f>
        <v/>
      </c>
      <c r="CO146" s="106">
        <f>IF(AA146="","",IFERROR(AA146*HSTECH!$B$37*HSTECH!$G$37/HSTECH!$B$3,""))</f>
        <v/>
      </c>
      <c r="CP146" s="106">
        <f>IF(AB146="","",IFERROR(AB146*HSTECH!$B$37*HSTECH!$G$37/HSTECH!$B$3,""))</f>
        <v/>
      </c>
      <c r="CQ146" s="106">
        <f>IF(AC146="","",IFERROR(AC146*HSTECH!$B$37*HSTECH!$G$37/HSTECH!$B$3,""))</f>
        <v/>
      </c>
      <c r="CR146" s="106">
        <f>IF(AD146="","",IFERROR(AD146*HSTECH!$B$37*HSTECH!$G$37/HSTECH!$B$3,""))</f>
        <v/>
      </c>
      <c r="CS146" s="106">
        <f>IF(AE146="","",IFERROR(AE146*HSTECH!$B$37*HSTECH!$G$37/HSTECH!$B$3,""))</f>
        <v/>
      </c>
      <c r="CT146" s="106">
        <f>IF(AF146="","",IFERROR(AF146*HSTECH!$B$37*HSTECH!$G$37/HSTECH!$B$3,""))</f>
        <v/>
      </c>
      <c r="CU146" s="106">
        <f>IF(AG146="","",IFERROR(AG146*HSTECH!$B$37*HSTECH!$G$37/HSTECH!$B$3,""))</f>
        <v/>
      </c>
      <c r="CV146" s="106">
        <f>IF(AH146="","",IFERROR(AH146*HSTECH!$B$37*HSTECH!$G$37/HSTECH!$B$3,""))</f>
        <v/>
      </c>
      <c r="CW146" s="106">
        <f>IF(AI146="","",IFERROR(AI146*HSTECH!$B$37*HSTECH!$G$37/HSTECH!$B$3,""))</f>
        <v/>
      </c>
      <c r="CX146" s="106">
        <f>IF(AJ146="","",IFERROR(AJ146*HSTECH!$B$37*HSTECH!$G$37/HSTECH!$B$3,""))</f>
        <v/>
      </c>
      <c r="CY146" s="106">
        <f>IF(AK146="","",IFERROR(AK146*HSTECH!$B$37*HSTECH!$G$37/HSTECH!$B$3,""))</f>
        <v/>
      </c>
      <c r="CZ146" s="106">
        <f>IF(AL146="","",IFERROR(AL146*HSTECH!$B$37*HSTECH!$G$37/HSTECH!$B$3,""))</f>
        <v/>
      </c>
      <c r="DA146" s="106">
        <f>IF(AM146="","",IFERROR(AM146*HSTECH!$B$37*HSTECH!$G$37/HSTECH!$B$3,""))</f>
        <v/>
      </c>
      <c r="DB146" s="106">
        <f>IF(AN146="","",IFERROR(AN146*HSTECH!$B$37*HSTECH!$G$37/HSTECH!$B$3,""))</f>
        <v/>
      </c>
      <c r="DC146" s="106">
        <f>IF(AO146="","",IFERROR(AO146*HSTECH!$B$37*HSTECH!$G$37/HSTECH!$B$3,""))</f>
        <v/>
      </c>
      <c r="DD146" s="106">
        <f>IF(AP146="","",IFERROR(AP146*HSTECH!$B$37*HSTECH!$G$37/HSTECH!$B$3,""))</f>
        <v/>
      </c>
      <c r="DE146" s="106">
        <f>IF(AQ146="","",IFERROR(AQ146*HSTECH!$B$37*HSTECH!$G$37/HSTECH!$B$3,""))</f>
        <v/>
      </c>
      <c r="DF146" s="106">
        <f>IF(AR146="","",IFERROR(AR146*HSTECH!$B$37*HSTECH!$G$37/HSTECH!$B$3,""))</f>
        <v/>
      </c>
      <c r="DG146" s="106">
        <f>IF(AS146="","",IFERROR(AS146*HSTECH!$B$37*HSTECH!$G$37/HSTECH!$B$3,""))</f>
        <v/>
      </c>
      <c r="DH146" s="106">
        <f>IF(AT146="","",IFERROR(AT146*HSTECH!$B$37*HSTECH!$G$37/HSTECH!$B$3,""))</f>
        <v/>
      </c>
      <c r="DI146" s="106">
        <f>IF(AU146="","",IFERROR(AU146*HSTECH!$B$37*HSTECH!$G$37/HSTECH!$B$3,""))</f>
        <v/>
      </c>
      <c r="DJ146" s="106">
        <f>IF(AV146="","",IFERROR(AV146*HSTECH!$B$37*HSTECH!$G$37/HSTECH!$B$3,""))</f>
        <v/>
      </c>
      <c r="DK146" s="106">
        <f>IF(AW146="","",IFERROR(AW146*HSTECH!$B$37*HSTECH!$G$37/HSTECH!$B$3,""))</f>
        <v/>
      </c>
      <c r="DL146" s="106">
        <f>IF(AX146="","",IFERROR(AX146*HSTECH!$B$37*HSTECH!$G$37/HSTECH!$B$3,""))</f>
        <v/>
      </c>
      <c r="DM146" s="106">
        <f>IF(AY146="","",IFERROR(AY146*HSTECH!$B$37*HSTECH!$G$37/HSTECH!$B$3,""))</f>
        <v/>
      </c>
      <c r="DN146" s="106">
        <f>IF(AZ146="","",IFERROR(AZ146*HSTECH!$B$37*HSTECH!$G$37/HSTECH!$B$3,""))</f>
        <v/>
      </c>
      <c r="DO146" s="106">
        <f>IF(BA146="","",IFERROR(BA146*HSTECH!$B$37*HSTECH!$G$37/HSTECH!$B$3,""))</f>
        <v/>
      </c>
      <c r="DP146" s="106">
        <f>IF(BB146="","",IFERROR(BB146*HSTECH!$B$37*HSTECH!$G$37/HSTECH!$B$3,""))</f>
        <v/>
      </c>
      <c r="DQ146" s="106">
        <f>IF(BC146="","",IFERROR(BC146*HSTECH!$B$37*HSTECH!$G$37/HSTECH!$B$3,""))</f>
        <v/>
      </c>
      <c r="DR146" s="106">
        <f>IF(BD146="","",IFERROR(BD146*HSTECH!$B$37*HSTECH!$G$37/HSTECH!$B$3,""))</f>
        <v/>
      </c>
      <c r="DS146" s="106">
        <f>IF(BE146="","",IFERROR(BE146*HSTECH!$B$37*HSTECH!$G$37/HSTECH!$B$3,""))</f>
        <v/>
      </c>
      <c r="DT146" s="106">
        <f>IF(BF146="","",IFERROR(BF146*HSTECH!$B$37*HSTECH!$G$37/HSTECH!$B$3,""))</f>
        <v/>
      </c>
      <c r="DU146" s="106">
        <f>IF(BG146="","",IFERROR(BG146*HSTECH!$B$37*HSTECH!$G$37/HSTECH!$B$3,""))</f>
        <v/>
      </c>
      <c r="DV146" s="106">
        <f>IF(BH146="","",IFERROR(BH146*HSTECH!$B$37*HSTECH!$G$37/HSTECH!$B$3,""))</f>
        <v/>
      </c>
      <c r="DW146" s="106">
        <f>IF(BI146="","",IFERROR(BI146*HSTECH!$B$37*HSTECH!$G$37/HSTECH!$B$3,""))</f>
        <v/>
      </c>
      <c r="DX146" s="106">
        <f>IF(BJ146="","",IFERROR(BJ146*HSTECH!$B$37*HSTECH!$G$37/HSTECH!$B$3,""))</f>
        <v/>
      </c>
      <c r="DY146" s="106">
        <f>IF(BK146="","",IFERROR(BK146*HSTECH!$B$37*HSTECH!$G$37/HSTECH!$B$3,""))</f>
        <v/>
      </c>
      <c r="DZ146" s="106">
        <f>IF(BL146="","",IFERROR(BL146*HSTECH!$B$37*HSTECH!$G$37/HSTECH!$B$3,""))</f>
        <v/>
      </c>
      <c r="EA146" s="106">
        <f>IF(BM146="","",IFERROR(BM146*HSTECH!$B$37*HSTECH!$G$37/HSTECH!$B$3,""))</f>
        <v/>
      </c>
      <c r="EB146" s="106">
        <f>IF(BN146="","",IFERROR(BN146*HSTECH!$B$37*HSTECH!$G$37/HSTECH!$B$3,""))</f>
        <v/>
      </c>
      <c r="EC146" s="106">
        <f>IF(BO146="","",IFERROR(BO146*HSTECH!$B$37*HSTECH!$G$37/HSTECH!$B$3,""))</f>
        <v/>
      </c>
      <c r="EE146" s="35">
        <f>IF(N('Dvd Calendar'!$E$1446)=0,"",IF(('Dvd Calendar'!$E$1446&gt;=GRID_FROM)*('Dvd Calendar'!$E$1446&lt;=GRID_TO)*('Dvd Calendar'!$E$1446&lt;=VAL_DATE)=0,"",'Dvd Calendar'!$E$1446*1000000000+ISNUMBER('Dvd Calendar'!$E$1449)*100000000+('Dvd Calendar'!$E$1451=SPECIAL_LBL)*10000000+0*1000000+31*1000+1))</f>
        <v/>
      </c>
      <c r="EF146" s="35">
        <f>IF(N('Dvd Calendar'!$F$1446)=0,"",IF(('Dvd Calendar'!$F$1446&gt;=GRID_FROM)*('Dvd Calendar'!$F$1446&lt;=GRID_TO)*('Dvd Calendar'!$F$1446&lt;=VAL_DATE)=0,"",'Dvd Calendar'!$F$1446*1000000000+ISNUMBER('Dvd Calendar'!$F$1449)*100000000+('Dvd Calendar'!$F$1451=SPECIAL_LBL)*10000000+0*1000000+31*1000+2))</f>
        <v/>
      </c>
      <c r="EG146" s="35">
        <f>IF(N('Dvd Calendar'!$G$1446)=0,"",IF(('Dvd Calendar'!$G$1446&gt;=GRID_FROM)*('Dvd Calendar'!$G$1446&lt;=GRID_TO)*('Dvd Calendar'!$G$1446&lt;=VAL_DATE)=0,"",'Dvd Calendar'!$G$1446*1000000000+ISNUMBER('Dvd Calendar'!$G$1449)*100000000+('Dvd Calendar'!$G$1451=SPECIAL_LBL)*10000000+0*1000000+31*1000+3))</f>
        <v/>
      </c>
      <c r="EH146" s="35">
        <f>IF(N('Dvd Calendar'!$H$1446)=0,"",IF(('Dvd Calendar'!$H$1446&gt;=GRID_FROM)*('Dvd Calendar'!$H$1446&lt;=GRID_TO)*('Dvd Calendar'!$H$1446&lt;=VAL_DATE)=0,"",'Dvd Calendar'!$H$1446*1000000000+ISNUMBER('Dvd Calendar'!$H$1449)*100000000+('Dvd Calendar'!$H$1451=SPECIAL_LBL)*10000000+0*1000000+31*1000+4))</f>
        <v/>
      </c>
      <c r="EI146" s="35">
        <f>IF(N('Dvd Calendar'!$I$1446)=0,"",IF(('Dvd Calendar'!$I$1446&gt;=GRID_FROM)*('Dvd Calendar'!$I$1446&lt;=GRID_TO)*('Dvd Calendar'!$I$1446&lt;=VAL_DATE)=0,"",'Dvd Calendar'!$I$1446*1000000000+ISNUMBER('Dvd Calendar'!$I$1449)*100000000+('Dvd Calendar'!$I$1451=SPECIAL_LBL)*10000000+0*1000000+31*1000+5))</f>
        <v/>
      </c>
      <c r="EJ146" s="35">
        <f>IF(N('Dvd Calendar'!$J$1446)=0,"",IF(('Dvd Calendar'!$J$1446&gt;=GRID_FROM)*('Dvd Calendar'!$J$1446&lt;=GRID_TO)*('Dvd Calendar'!$J$1446&lt;=VAL_DATE)=0,"",'Dvd Calendar'!$J$1446*1000000000+ISNUMBER('Dvd Calendar'!$J$1449)*100000000+('Dvd Calendar'!$J$1451=SPECIAL_LBL)*10000000+0*1000000+31*1000+6))</f>
        <v/>
      </c>
      <c r="EK146" s="35">
        <f>IF(N('Dvd Calendar'!$K$1446)=0,"",IF(('Dvd Calendar'!$K$1446&gt;=GRID_FROM)*('Dvd Calendar'!$K$1446&lt;=GRID_TO)*('Dvd Calendar'!$K$1446&lt;=VAL_DATE)=0,"",'Dvd Calendar'!$K$1446*1000000000+ISNUMBER('Dvd Calendar'!$K$1449)*100000000+('Dvd Calendar'!$K$1451=SPECIAL_LBL)*10000000+0*1000000+31*1000+7))</f>
        <v/>
      </c>
      <c r="EL146" s="35">
        <f>IF(N('Dvd Calendar'!$L$1446)=0,"",IF(('Dvd Calendar'!$L$1446&gt;=GRID_FROM)*('Dvd Calendar'!$L$1446&lt;=GRID_TO)*('Dvd Calendar'!$L$1446&lt;=VAL_DATE)=0,"",'Dvd Calendar'!$L$1446*1000000000+ISNUMBER('Dvd Calendar'!$L$1449)*100000000+('Dvd Calendar'!$L$1451=SPECIAL_LBL)*10000000+0*1000000+31*1000+8))</f>
        <v/>
      </c>
      <c r="EM146" s="35">
        <f>IF(N('Dvd Calendar'!$M$1446)=0,"",IF(('Dvd Calendar'!$M$1446&gt;=GRID_FROM)*('Dvd Calendar'!$M$1446&lt;=GRID_TO)*('Dvd Calendar'!$M$1446&lt;=VAL_DATE)=0,"",'Dvd Calendar'!$M$1446*1000000000+ISNUMBER('Dvd Calendar'!$M$1449)*100000000+('Dvd Calendar'!$M$1451=SPECIAL_LBL)*10000000+0*1000000+31*1000+9))</f>
        <v/>
      </c>
      <c r="EN146" s="35">
        <f>IF(N('Dvd Calendar'!$N$1446)=0,"",IF(('Dvd Calendar'!$N$1446&gt;=GRID_FROM)*('Dvd Calendar'!$N$1446&lt;=GRID_TO)*('Dvd Calendar'!$N$1446&lt;=VAL_DATE)=0,"",'Dvd Calendar'!$N$1446*1000000000+ISNUMBER('Dvd Calendar'!$N$1449)*100000000+('Dvd Calendar'!$N$1451=SPECIAL_LBL)*10000000+0*1000000+31*1000+10))</f>
        <v/>
      </c>
      <c r="EO146" s="35">
        <f>IF(N('Dvd Calendar'!$O$1446)=0,"",IF(('Dvd Calendar'!$O$1446&gt;=GRID_FROM)*('Dvd Calendar'!$O$1446&lt;=GRID_TO)*('Dvd Calendar'!$O$1446&lt;=VAL_DATE)=0,"",'Dvd Calendar'!$O$1446*1000000000+ISNUMBER('Dvd Calendar'!$O$1449)*100000000+('Dvd Calendar'!$O$1451=SPECIAL_LBL)*10000000+0*1000000+31*1000+11))</f>
        <v/>
      </c>
      <c r="EP146" s="35">
        <f>IF(N('Dvd Calendar'!$P$1446)=0,"",IF(('Dvd Calendar'!$P$1446&gt;=GRID_FROM)*('Dvd Calendar'!$P$1446&lt;=GRID_TO)*('Dvd Calendar'!$P$1446&lt;=VAL_DATE)=0,"",'Dvd Calendar'!$P$1446*1000000000+ISNUMBER('Dvd Calendar'!$P$1449)*100000000+('Dvd Calendar'!$P$1451=SPECIAL_LBL)*10000000+0*1000000+31*1000+12))</f>
        <v/>
      </c>
      <c r="EQ146" s="35">
        <f>IF(N('Dvd Calendar'!$Q$1446)=0,"",IF(('Dvd Calendar'!$Q$1446&gt;=GRID_FROM)*('Dvd Calendar'!$Q$1446&lt;=GRID_TO)*('Dvd Calendar'!$Q$1446&lt;=VAL_DATE)=0,"",'Dvd Calendar'!$Q$1446*1000000000+ISNUMBER('Dvd Calendar'!$Q$1449)*100000000+('Dvd Calendar'!$Q$1451=SPECIAL_LBL)*10000000+0*1000000+31*1000+13))</f>
        <v/>
      </c>
      <c r="ER146" s="35">
        <f>IF(N('Dvd Calendar'!$R$1446)=0,"",IF(('Dvd Calendar'!$R$1446&gt;=GRID_FROM)*('Dvd Calendar'!$R$1446&lt;=GRID_TO)*('Dvd Calendar'!$R$1446&lt;=VAL_DATE)=0,"",'Dvd Calendar'!$R$1446*1000000000+ISNUMBER('Dvd Calendar'!$R$1449)*100000000+('Dvd Calendar'!$R$1451=SPECIAL_LBL)*10000000+0*1000000+31*1000+14))</f>
        <v/>
      </c>
      <c r="ES146" s="35">
        <f>IF(N('Dvd Calendar'!$S$1446)=0,"",IF(('Dvd Calendar'!$S$1446&gt;=GRID_FROM)*('Dvd Calendar'!$S$1446&lt;=GRID_TO)*('Dvd Calendar'!$S$1446&lt;=VAL_DATE)=0,"",'Dvd Calendar'!$S$1446*1000000000+ISNUMBER('Dvd Calendar'!$S$1449)*100000000+('Dvd Calendar'!$S$1451=SPECIAL_LBL)*10000000+0*1000000+31*1000+15))</f>
        <v/>
      </c>
      <c r="ET146" s="35">
        <f>IF(N('Dvd Calendar'!$T$1446)=0,"",IF(('Dvd Calendar'!$T$1446&gt;=GRID_FROM)*('Dvd Calendar'!$T$1446&lt;=GRID_TO)*('Dvd Calendar'!$T$1446&lt;=VAL_DATE)=0,"",'Dvd Calendar'!$T$1446*1000000000+ISNUMBER('Dvd Calendar'!$T$1449)*100000000+('Dvd Calendar'!$T$1451=SPECIAL_LBL)*10000000+0*1000000+31*1000+16))</f>
        <v/>
      </c>
      <c r="EU146" s="35">
        <f>IF(N('Dvd Calendar'!$U$1446)=0,"",IF(('Dvd Calendar'!$U$1446&gt;=GRID_FROM)*('Dvd Calendar'!$U$1446&lt;=GRID_TO)*('Dvd Calendar'!$U$1446&lt;=VAL_DATE)=0,"",'Dvd Calendar'!$U$1446*1000000000+ISNUMBER('Dvd Calendar'!$U$1449)*100000000+('Dvd Calendar'!$U$1451=SPECIAL_LBL)*10000000+0*1000000+31*1000+17))</f>
        <v/>
      </c>
      <c r="EV146" s="35">
        <f>IF(N('Dvd Calendar'!$V$1446)=0,"",IF(('Dvd Calendar'!$V$1446&gt;=GRID_FROM)*('Dvd Calendar'!$V$1446&lt;=GRID_TO)*('Dvd Calendar'!$V$1446&lt;=VAL_DATE)=0,"",'Dvd Calendar'!$V$1446*1000000000+ISNUMBER('Dvd Calendar'!$V$1449)*100000000+('Dvd Calendar'!$V$1451=SPECIAL_LBL)*10000000+0*1000000+31*1000+18))</f>
        <v/>
      </c>
      <c r="EW146" s="35">
        <f>IF(N('Dvd Calendar'!$W$1446)=0,"",IF(('Dvd Calendar'!$W$1446&gt;=GRID_FROM)*('Dvd Calendar'!$W$1446&lt;=GRID_TO)*('Dvd Calendar'!$W$1446&lt;=VAL_DATE)=0,"",'Dvd Calendar'!$W$1446*1000000000+ISNUMBER('Dvd Calendar'!$W$1449)*100000000+('Dvd Calendar'!$W$1451=SPECIAL_LBL)*10000000+0*1000000+31*1000+19))</f>
        <v/>
      </c>
      <c r="EX146" s="35">
        <f>IF(N('Dvd Calendar'!$X$1446)=0,"",IF(('Dvd Calendar'!$X$1446&gt;=GRID_FROM)*('Dvd Calendar'!$X$1446&lt;=GRID_TO)*('Dvd Calendar'!$X$1446&lt;=VAL_DATE)=0,"",'Dvd Calendar'!$X$1446*1000000000+ISNUMBER('Dvd Calendar'!$X$1449)*100000000+('Dvd Calendar'!$X$1451=SPECIAL_LBL)*10000000+0*1000000+31*1000+20))</f>
        <v/>
      </c>
      <c r="EY146" s="35">
        <f>IF(N('Dvd Calendar'!$Y$1446)=0,"",IF(('Dvd Calendar'!$Y$1446&gt;=GRID_FROM)*('Dvd Calendar'!$Y$1446&lt;=GRID_TO)*('Dvd Calendar'!$Y$1446&lt;=VAL_DATE)=0,"",'Dvd Calendar'!$Y$1446*1000000000+ISNUMBER('Dvd Calendar'!$Y$1449)*100000000+('Dvd Calendar'!$Y$1451=SPECIAL_LBL)*10000000+0*1000000+31*1000+21))</f>
        <v/>
      </c>
      <c r="EZ146" s="35">
        <f>IF(N('Dvd Calendar'!$Z$1446)=0,"",IF(('Dvd Calendar'!$Z$1446&gt;=GRID_FROM)*('Dvd Calendar'!$Z$1446&lt;=GRID_TO)*('Dvd Calendar'!$Z$1446&lt;=VAL_DATE)=0,"",'Dvd Calendar'!$Z$1446*1000000000+ISNUMBER('Dvd Calendar'!$Z$1449)*100000000+('Dvd Calendar'!$Z$1451=SPECIAL_LBL)*10000000+0*1000000+31*1000+22))</f>
        <v/>
      </c>
      <c r="FA146" s="35">
        <f>IF(N('Dvd Calendar'!$AA$1446)=0,"",IF(('Dvd Calendar'!$AA$1446&gt;=GRID_FROM)*('Dvd Calendar'!$AA$1446&lt;=GRID_TO)*('Dvd Calendar'!$AA$1446&lt;=VAL_DATE)=0,"",'Dvd Calendar'!$AA$1446*1000000000+ISNUMBER('Dvd Calendar'!$AA$1449)*100000000+('Dvd Calendar'!$AA$1451=SPECIAL_LBL)*10000000+0*1000000+31*1000+23))</f>
        <v/>
      </c>
      <c r="FB146" s="35">
        <f>IF(N('Dvd Calendar'!$AB$1446)=0,"",IF(('Dvd Calendar'!$AB$1446&gt;=GRID_FROM)*('Dvd Calendar'!$AB$1446&lt;=GRID_TO)*('Dvd Calendar'!$AB$1446&lt;=VAL_DATE)=0,"",'Dvd Calendar'!$AB$1446*1000000000+ISNUMBER('Dvd Calendar'!$AB$1449)*100000000+('Dvd Calendar'!$AB$1451=SPECIAL_LBL)*10000000+0*1000000+31*1000+24))</f>
        <v/>
      </c>
      <c r="FC146" s="35">
        <f>IF(N('Dvd Calendar'!$AC$1446)=0,"",IF(('Dvd Calendar'!$AC$1446&gt;=GRID_FROM)*('Dvd Calendar'!$AC$1446&lt;=GRID_TO)*('Dvd Calendar'!$AC$1446&lt;=VAL_DATE)=0,"",'Dvd Calendar'!$AC$1446*1000000000+ISNUMBER('Dvd Calendar'!$AC$1449)*100000000+('Dvd Calendar'!$AC$1451=SPECIAL_LBL)*10000000+0*1000000+31*1000+25))</f>
        <v/>
      </c>
      <c r="FD146" s="35">
        <f>IF(N('Dvd Calendar'!$AD$1446)=0,"",IF(('Dvd Calendar'!$AD$1446&gt;=GRID_FROM)*('Dvd Calendar'!$AD$1446&lt;=GRID_TO)*('Dvd Calendar'!$AD$1446&lt;=VAL_DATE)=0,"",'Dvd Calendar'!$AD$1446*1000000000+ISNUMBER('Dvd Calendar'!$AD$1449)*100000000+('Dvd Calendar'!$AD$1451=SPECIAL_LBL)*10000000+0*1000000+31*1000+26))</f>
        <v/>
      </c>
      <c r="FE146" s="35">
        <f>IF(N('Dvd Calendar'!$AE$1446)=0,"",IF(('Dvd Calendar'!$AE$1446&gt;=GRID_FROM)*('Dvd Calendar'!$AE$1446&lt;=GRID_TO)*('Dvd Calendar'!$AE$1446&lt;=VAL_DATE)=0,"",'Dvd Calendar'!$AE$1446*1000000000+ISNUMBER('Dvd Calendar'!$AE$1449)*100000000+('Dvd Calendar'!$AE$1451=SPECIAL_LBL)*10000000+0*1000000+31*1000+27))</f>
        <v/>
      </c>
      <c r="FF146" s="35">
        <f>IF(N('Dvd Calendar'!$AF$1446)=0,"",IF(('Dvd Calendar'!$AF$1446&gt;=GRID_FROM)*('Dvd Calendar'!$AF$1446&lt;=GRID_TO)*('Dvd Calendar'!$AF$1446&lt;=VAL_DATE)=0,"",'Dvd Calendar'!$AF$1446*1000000000+ISNUMBER('Dvd Calendar'!$AF$1449)*100000000+('Dvd Calendar'!$AF$1451=SPECIAL_LBL)*10000000+0*1000000+31*1000+28))</f>
        <v/>
      </c>
      <c r="FG146" s="35">
        <f>IF(N('Dvd Calendar'!$AG$1446)=0,"",IF(('Dvd Calendar'!$AG$1446&gt;=GRID_FROM)*('Dvd Calendar'!$AG$1446&lt;=GRID_TO)*('Dvd Calendar'!$AG$1446&lt;=VAL_DATE)=0,"",'Dvd Calendar'!$AG$1446*1000000000+ISNUMBER('Dvd Calendar'!$AG$1449)*100000000+('Dvd Calendar'!$AG$1451=SPECIAL_LBL)*10000000+0*1000000+31*1000+29))</f>
        <v/>
      </c>
      <c r="FH146" s="35">
        <f>IF(N('Dvd Calendar'!$AH$1446)=0,"",IF(('Dvd Calendar'!$AH$1446&gt;=GRID_FROM)*('Dvd Calendar'!$AH$1446&lt;=GRID_TO)*('Dvd Calendar'!$AH$1446&lt;=VAL_DATE)=0,"",'Dvd Calendar'!$AH$1446*1000000000+ISNUMBER('Dvd Calendar'!$AH$1449)*100000000+('Dvd Calendar'!$AH$1451=SPECIAL_LBL)*10000000+0*1000000+31*1000+30))</f>
        <v/>
      </c>
      <c r="FI146" s="35">
        <f>IF(N('Dvd Calendar'!$AI$1446)=0,"",IF(('Dvd Calendar'!$AI$1446&gt;=GRID_FROM)*('Dvd Calendar'!$AI$1446&lt;=GRID_TO)*('Dvd Calendar'!$AI$1446&lt;=VAL_DATE)=0,"",'Dvd Calendar'!$AI$1446*1000000000+ISNUMBER('Dvd Calendar'!$AI$1449)*100000000+('Dvd Calendar'!$AI$1451=SPECIAL_LBL)*10000000+0*1000000+31*1000+31))</f>
        <v/>
      </c>
      <c r="FJ146" s="35">
        <f>IF(N('Dvd Calendar'!$AJ$1446)=0,"",IF(('Dvd Calendar'!$AJ$1446&gt;=GRID_FROM)*('Dvd Calendar'!$AJ$1446&lt;=GRID_TO)*('Dvd Calendar'!$AJ$1446&lt;=VAL_DATE)=0,"",'Dvd Calendar'!$AJ$1446*1000000000+ISNUMBER('Dvd Calendar'!$AJ$1449)*100000000+('Dvd Calendar'!$AJ$1451=SPECIAL_LBL)*10000000+0*1000000+31*1000+32))</f>
        <v/>
      </c>
      <c r="FK146" s="35">
        <f>IF(N('Dvd Calendar'!$AK$1446)=0,"",IF(('Dvd Calendar'!$AK$1446&gt;=GRID_FROM)*('Dvd Calendar'!$AK$1446&lt;=GRID_TO)*('Dvd Calendar'!$AK$1446&lt;=VAL_DATE)=0,"",'Dvd Calendar'!$AK$1446*1000000000+ISNUMBER('Dvd Calendar'!$AK$1449)*100000000+('Dvd Calendar'!$AK$1451=SPECIAL_LBL)*10000000+0*1000000+31*1000+33))</f>
        <v/>
      </c>
      <c r="FL146" s="35">
        <f>IF(N('Dvd Calendar'!$AL$1446)=0,"",IF(('Dvd Calendar'!$AL$1446&gt;=GRID_FROM)*('Dvd Calendar'!$AL$1446&lt;=GRID_TO)*('Dvd Calendar'!$AL$1446&lt;=VAL_DATE)=0,"",'Dvd Calendar'!$AL$1446*1000000000+ISNUMBER('Dvd Calendar'!$AL$1449)*100000000+('Dvd Calendar'!$AL$1451=SPECIAL_LBL)*10000000+0*1000000+31*1000+34))</f>
        <v/>
      </c>
      <c r="FM146" s="35">
        <f>IF(N('Dvd Calendar'!$AM$1446)=0,"",IF(('Dvd Calendar'!$AM$1446&gt;=GRID_FROM)*('Dvd Calendar'!$AM$1446&lt;=GRID_TO)*('Dvd Calendar'!$AM$1446&lt;=VAL_DATE)=0,"",'Dvd Calendar'!$AM$1446*1000000000+ISNUMBER('Dvd Calendar'!$AM$1449)*100000000+('Dvd Calendar'!$AM$1451=SPECIAL_LBL)*10000000+0*1000000+31*1000+35))</f>
        <v/>
      </c>
      <c r="FN146" s="35">
        <f>IF(N('Dvd Calendar'!$AN$1446)=0,"",IF(('Dvd Calendar'!$AN$1446&gt;=GRID_FROM)*('Dvd Calendar'!$AN$1446&lt;=GRID_TO)*('Dvd Calendar'!$AN$1446&lt;=VAL_DATE)=0,"",'Dvd Calendar'!$AN$1446*1000000000+ISNUMBER('Dvd Calendar'!$AN$1449)*100000000+('Dvd Calendar'!$AN$1451=SPECIAL_LBL)*10000000+0*1000000+31*1000+36))</f>
        <v/>
      </c>
      <c r="FO146" s="35">
        <f>IF(N('Dvd Calendar'!$AO$1446)=0,"",IF(('Dvd Calendar'!$AO$1446&gt;=GRID_FROM)*('Dvd Calendar'!$AO$1446&lt;=GRID_TO)*('Dvd Calendar'!$AO$1446&lt;=VAL_DATE)=0,"",'Dvd Calendar'!$AO$1446*1000000000+ISNUMBER('Dvd Calendar'!$AO$1449)*100000000+('Dvd Calendar'!$AO$1451=SPECIAL_LBL)*10000000+0*1000000+31*1000+37))</f>
        <v/>
      </c>
      <c r="FP146" s="35">
        <f>IF(N('Dvd Calendar'!$AP$1446)=0,"",IF(('Dvd Calendar'!$AP$1446&gt;=GRID_FROM)*('Dvd Calendar'!$AP$1446&lt;=GRID_TO)*('Dvd Calendar'!$AP$1446&lt;=VAL_DATE)=0,"",'Dvd Calendar'!$AP$1446*1000000000+ISNUMBER('Dvd Calendar'!$AP$1449)*100000000+('Dvd Calendar'!$AP$1451=SPECIAL_LBL)*10000000+0*1000000+31*1000+38))</f>
        <v/>
      </c>
      <c r="FQ146" s="35">
        <f>IF(N('Dvd Calendar'!$AQ$1446)=0,"",IF(('Dvd Calendar'!$AQ$1446&gt;=GRID_FROM)*('Dvd Calendar'!$AQ$1446&lt;=GRID_TO)*('Dvd Calendar'!$AQ$1446&lt;=VAL_DATE)=0,"",'Dvd Calendar'!$AQ$1446*1000000000+ISNUMBER('Dvd Calendar'!$AQ$1449)*100000000+('Dvd Calendar'!$AQ$1451=SPECIAL_LBL)*10000000+0*1000000+31*1000+39))</f>
        <v/>
      </c>
      <c r="FR146" s="35">
        <f>IF(N('Dvd Calendar'!$AR$1446)=0,"",IF(('Dvd Calendar'!$AR$1446&gt;=GRID_FROM)*('Dvd Calendar'!$AR$1446&lt;=GRID_TO)*('Dvd Calendar'!$AR$1446&lt;=VAL_DATE)=0,"",'Dvd Calendar'!$AR$1446*1000000000+ISNUMBER('Dvd Calendar'!$AR$1449)*100000000+('Dvd Calendar'!$AR$1451=SPECIAL_LBL)*10000000+0*1000000+31*1000+40))</f>
        <v/>
      </c>
      <c r="FS146" s="35">
        <f>IF(N('Dvd Calendar'!$E$1453)=0,"",IF(('Dvd Calendar'!$E$1453&gt;=GRID_FROM)*('Dvd Calendar'!$E$1453&lt;=GRID_TO)*('Dvd Calendar'!$E$1453&gt;VAL_DATE)=0,"",'Dvd Calendar'!$E$1453*1000000000+ISNUMBER('Dvd Calendar'!$E$1454)*100000000+0*10000000+(N('Dvd Calendar'!$E$1452)&gt;0)*(N('Dvd Calendar'!$E$1452)&lt;=VAL_SERIAL)*1000000+31*1000+41))</f>
        <v/>
      </c>
      <c r="FT146" s="35">
        <f>IF(N('Dvd Calendar'!$F$1453)=0,"",IF(('Dvd Calendar'!$F$1453&gt;=GRID_FROM)*('Dvd Calendar'!$F$1453&lt;=GRID_TO)*('Dvd Calendar'!$F$1453&gt;VAL_DATE)=0,"",'Dvd Calendar'!$F$1453*1000000000+ISNUMBER('Dvd Calendar'!$F$1454)*100000000+0*10000000+(N('Dvd Calendar'!$F$1452)&gt;0)*(N('Dvd Calendar'!$F$1452)&lt;=VAL_SERIAL)*1000000+31*1000+42))</f>
        <v/>
      </c>
      <c r="FU146" s="35">
        <f>IF(N('Dvd Calendar'!$G$1453)=0,"",IF(('Dvd Calendar'!$G$1453&gt;=GRID_FROM)*('Dvd Calendar'!$G$1453&lt;=GRID_TO)*('Dvd Calendar'!$G$1453&gt;VAL_DATE)=0,"",'Dvd Calendar'!$G$1453*1000000000+ISNUMBER('Dvd Calendar'!$G$1454)*100000000+0*10000000+(N('Dvd Calendar'!$G$1452)&gt;0)*(N('Dvd Calendar'!$G$1452)&lt;=VAL_SERIAL)*1000000+31*1000+43))</f>
        <v/>
      </c>
      <c r="FV146" s="35">
        <f>IF(N('Dvd Calendar'!$H$1453)=0,"",IF(('Dvd Calendar'!$H$1453&gt;=GRID_FROM)*('Dvd Calendar'!$H$1453&lt;=GRID_TO)*('Dvd Calendar'!$H$1453&gt;VAL_DATE)=0,"",'Dvd Calendar'!$H$1453*1000000000+ISNUMBER('Dvd Calendar'!$H$1454)*100000000+0*10000000+(N('Dvd Calendar'!$H$1452)&gt;0)*(N('Dvd Calendar'!$H$1452)&lt;=VAL_SERIAL)*1000000+31*1000+44))</f>
        <v/>
      </c>
      <c r="FW146" s="35">
        <f>IF(N('Dvd Calendar'!$I$1453)=0,"",IF(('Dvd Calendar'!$I$1453&gt;=GRID_FROM)*('Dvd Calendar'!$I$1453&lt;=GRID_TO)*('Dvd Calendar'!$I$1453&gt;VAL_DATE)=0,"",'Dvd Calendar'!$I$1453*1000000000+ISNUMBER('Dvd Calendar'!$I$1454)*100000000+0*10000000+(N('Dvd Calendar'!$I$1452)&gt;0)*(N('Dvd Calendar'!$I$1452)&lt;=VAL_SERIAL)*1000000+31*1000+45))</f>
        <v/>
      </c>
      <c r="FX146" s="35">
        <f>IF(N('Dvd Calendar'!$J$1453)=0,"",IF(('Dvd Calendar'!$J$1453&gt;=GRID_FROM)*('Dvd Calendar'!$J$1453&lt;=GRID_TO)*('Dvd Calendar'!$J$1453&gt;VAL_DATE)=0,"",'Dvd Calendar'!$J$1453*1000000000+ISNUMBER('Dvd Calendar'!$J$1454)*100000000+0*10000000+(N('Dvd Calendar'!$J$1452)&gt;0)*(N('Dvd Calendar'!$J$1452)&lt;=VAL_SERIAL)*1000000+31*1000+46))</f>
        <v/>
      </c>
      <c r="FY146" s="35">
        <f>IF(N('Dvd Calendar'!$K$1453)=0,"",IF(('Dvd Calendar'!$K$1453&gt;=GRID_FROM)*('Dvd Calendar'!$K$1453&lt;=GRID_TO)*('Dvd Calendar'!$K$1453&gt;VAL_DATE)=0,"",'Dvd Calendar'!$K$1453*1000000000+ISNUMBER('Dvd Calendar'!$K$1454)*100000000+0*10000000+(N('Dvd Calendar'!$K$1452)&gt;0)*(N('Dvd Calendar'!$K$1452)&lt;=VAL_SERIAL)*1000000+31*1000+47))</f>
        <v/>
      </c>
      <c r="FZ146" s="35">
        <f>IF(N('Dvd Calendar'!$L$1453)=0,"",IF(('Dvd Calendar'!$L$1453&gt;=GRID_FROM)*('Dvd Calendar'!$L$1453&lt;=GRID_TO)*('Dvd Calendar'!$L$1453&gt;VAL_DATE)=0,"",'Dvd Calendar'!$L$1453*1000000000+ISNUMBER('Dvd Calendar'!$L$1454)*100000000+0*10000000+(N('Dvd Calendar'!$L$1452)&gt;0)*(N('Dvd Calendar'!$L$1452)&lt;=VAL_SERIAL)*1000000+31*1000+48))</f>
        <v/>
      </c>
      <c r="GA146" s="35">
        <f>IF(N('Dvd Calendar'!$M$1453)=0,"",IF(('Dvd Calendar'!$M$1453&gt;=GRID_FROM)*('Dvd Calendar'!$M$1453&lt;=GRID_TO)*('Dvd Calendar'!$M$1453&gt;VAL_DATE)=0,"",'Dvd Calendar'!$M$1453*1000000000+ISNUMBER('Dvd Calendar'!$M$1454)*100000000+0*10000000+(N('Dvd Calendar'!$M$1452)&gt;0)*(N('Dvd Calendar'!$M$1452)&lt;=VAL_SERIAL)*1000000+31*1000+49))</f>
        <v/>
      </c>
      <c r="GB146" s="35">
        <f>IF(N('Dvd Calendar'!$N$1453)=0,"",IF(('Dvd Calendar'!$N$1453&gt;=GRID_FROM)*('Dvd Calendar'!$N$1453&lt;=GRID_TO)*('Dvd Calendar'!$N$1453&gt;VAL_DATE)=0,"",'Dvd Calendar'!$N$1453*1000000000+ISNUMBER('Dvd Calendar'!$N$1454)*100000000+0*10000000+(N('Dvd Calendar'!$N$1452)&gt;0)*(N('Dvd Calendar'!$N$1452)&lt;=VAL_SERIAL)*1000000+31*1000+50))</f>
        <v/>
      </c>
      <c r="GC146" s="35">
        <f>IF(N('Dvd Calendar'!$O$1453)=0,"",IF(('Dvd Calendar'!$O$1453&gt;=GRID_FROM)*('Dvd Calendar'!$O$1453&lt;=GRID_TO)*('Dvd Calendar'!$O$1453&gt;VAL_DATE)=0,"",'Dvd Calendar'!$O$1453*1000000000+ISNUMBER('Dvd Calendar'!$O$1454)*100000000+0*10000000+(N('Dvd Calendar'!$O$1452)&gt;0)*(N('Dvd Calendar'!$O$1452)&lt;=VAL_SERIAL)*1000000+31*1000+51))</f>
        <v/>
      </c>
      <c r="GD146" s="35">
        <f>IF(N('Dvd Calendar'!$P$1453)=0,"",IF(('Dvd Calendar'!$P$1453&gt;=GRID_FROM)*('Dvd Calendar'!$P$1453&lt;=GRID_TO)*('Dvd Calendar'!$P$1453&gt;VAL_DATE)=0,"",'Dvd Calendar'!$P$1453*1000000000+ISNUMBER('Dvd Calendar'!$P$1454)*100000000+0*10000000+(N('Dvd Calendar'!$P$1452)&gt;0)*(N('Dvd Calendar'!$P$1452)&lt;=VAL_SERIAL)*1000000+31*1000+52))</f>
        <v/>
      </c>
      <c r="GE146" s="35">
        <f>IF(N('Dvd Calendar'!$Q$1453)=0,"",IF(('Dvd Calendar'!$Q$1453&gt;=GRID_FROM)*('Dvd Calendar'!$Q$1453&lt;=GRID_TO)*('Dvd Calendar'!$Q$1453&gt;VAL_DATE)=0,"",'Dvd Calendar'!$Q$1453*1000000000+ISNUMBER('Dvd Calendar'!$Q$1454)*100000000+0*10000000+(N('Dvd Calendar'!$Q$1452)&gt;0)*(N('Dvd Calendar'!$Q$1452)&lt;=VAL_SERIAL)*1000000+31*1000+53))</f>
        <v/>
      </c>
      <c r="GF146" s="35">
        <f>IF(N('Dvd Calendar'!$R$1453)=0,"",IF(('Dvd Calendar'!$R$1453&gt;=GRID_FROM)*('Dvd Calendar'!$R$1453&lt;=GRID_TO)*('Dvd Calendar'!$R$1453&gt;VAL_DATE)=0,"",'Dvd Calendar'!$R$1453*1000000000+ISNUMBER('Dvd Calendar'!$R$1454)*100000000+0*10000000+(N('Dvd Calendar'!$R$1452)&gt;0)*(N('Dvd Calendar'!$R$1452)&lt;=VAL_SERIAL)*1000000+31*1000+54))</f>
        <v/>
      </c>
      <c r="GG146" s="35">
        <f>IF(N('Dvd Calendar'!$S$1453)=0,"",IF(('Dvd Calendar'!$S$1453&gt;=GRID_FROM)*('Dvd Calendar'!$S$1453&lt;=GRID_TO)*('Dvd Calendar'!$S$1453&gt;VAL_DATE)=0,"",'Dvd Calendar'!$S$1453*1000000000+ISNUMBER('Dvd Calendar'!$S$1454)*100000000+0*10000000+(N('Dvd Calendar'!$S$1452)&gt;0)*(N('Dvd Calendar'!$S$1452)&lt;=VAL_SERIAL)*1000000+31*1000+55))</f>
        <v/>
      </c>
      <c r="GH146" s="35">
        <f>IF(N('Dvd Calendar'!$T$1453)=0,"",IF(('Dvd Calendar'!$T$1453&gt;=GRID_FROM)*('Dvd Calendar'!$T$1453&lt;=GRID_TO)*('Dvd Calendar'!$T$1453&gt;VAL_DATE)=0,"",'Dvd Calendar'!$T$1453*1000000000+ISNUMBER('Dvd Calendar'!$T$1454)*100000000+0*10000000+(N('Dvd Calendar'!$T$1452)&gt;0)*(N('Dvd Calendar'!$T$1452)&lt;=VAL_SERIAL)*1000000+31*1000+56))</f>
        <v/>
      </c>
      <c r="GI146" s="35">
        <f>IF(N('Dvd Calendar'!$U$1453)=0,"",IF(('Dvd Calendar'!$U$1453&gt;=GRID_FROM)*('Dvd Calendar'!$U$1453&lt;=GRID_TO)*('Dvd Calendar'!$U$1453&gt;VAL_DATE)=0,"",'Dvd Calendar'!$U$1453*1000000000+ISNUMBER('Dvd Calendar'!$U$1454)*100000000+0*10000000+(N('Dvd Calendar'!$U$1452)&gt;0)*(N('Dvd Calendar'!$U$1452)&lt;=VAL_SERIAL)*1000000+31*1000+57))</f>
        <v/>
      </c>
      <c r="GJ146" s="35">
        <f>IF(N('Dvd Calendar'!$V$1453)=0,"",IF(('Dvd Calendar'!$V$1453&gt;=GRID_FROM)*('Dvd Calendar'!$V$1453&lt;=GRID_TO)*('Dvd Calendar'!$V$1453&gt;VAL_DATE)=0,"",'Dvd Calendar'!$V$1453*1000000000+ISNUMBER('Dvd Calendar'!$V$1454)*100000000+0*10000000+(N('Dvd Calendar'!$V$1452)&gt;0)*(N('Dvd Calendar'!$V$1452)&lt;=VAL_SERIAL)*1000000+31*1000+58))</f>
        <v/>
      </c>
      <c r="GK146" s="35">
        <f>IF(N('Dvd Calendar'!$W$1453)=0,"",IF(('Dvd Calendar'!$W$1453&gt;=GRID_FROM)*('Dvd Calendar'!$W$1453&lt;=GRID_TO)*('Dvd Calendar'!$W$1453&gt;VAL_DATE)=0,"",'Dvd Calendar'!$W$1453*1000000000+ISNUMBER('Dvd Calendar'!$W$1454)*100000000+0*10000000+(N('Dvd Calendar'!$W$1452)&gt;0)*(N('Dvd Calendar'!$W$1452)&lt;=VAL_SERIAL)*1000000+31*1000+59))</f>
        <v/>
      </c>
      <c r="GL146" s="35">
        <f>IF(N('Dvd Calendar'!$X$1453)=0,"",IF(('Dvd Calendar'!$X$1453&gt;=GRID_FROM)*('Dvd Calendar'!$X$1453&lt;=GRID_TO)*('Dvd Calendar'!$X$1453&gt;VAL_DATE)=0,"",'Dvd Calendar'!$X$1453*1000000000+ISNUMBER('Dvd Calendar'!$X$1454)*100000000+0*10000000+(N('Dvd Calendar'!$X$1452)&gt;0)*(N('Dvd Calendar'!$X$1452)&lt;=VAL_SERIAL)*1000000+31*1000+60))</f>
        <v/>
      </c>
      <c r="GM146" s="35">
        <f>IF(N('Dvd Calendar'!$Y$1453)=0,"",IF(('Dvd Calendar'!$Y$1453&gt;=GRID_FROM)*('Dvd Calendar'!$Y$1453&lt;=GRID_TO)*('Dvd Calendar'!$Y$1453&gt;VAL_DATE)=0,"",'Dvd Calendar'!$Y$1453*1000000000+ISNUMBER('Dvd Calendar'!$Y$1454)*100000000+0*10000000+(N('Dvd Calendar'!$Y$1452)&gt;0)*(N('Dvd Calendar'!$Y$1452)&lt;=VAL_SERIAL)*1000000+31*1000+61))</f>
        <v/>
      </c>
      <c r="GN146" s="35">
        <f>IF(N('Dvd Calendar'!$Z$1453)=0,"",IF(('Dvd Calendar'!$Z$1453&gt;=GRID_FROM)*('Dvd Calendar'!$Z$1453&lt;=GRID_TO)*('Dvd Calendar'!$Z$1453&gt;VAL_DATE)=0,"",'Dvd Calendar'!$Z$1453*1000000000+ISNUMBER('Dvd Calendar'!$Z$1454)*100000000+0*10000000+(N('Dvd Calendar'!$Z$1452)&gt;0)*(N('Dvd Calendar'!$Z$1452)&lt;=VAL_SERIAL)*1000000+31*1000+62))</f>
        <v/>
      </c>
      <c r="GO146" s="35">
        <f>IF(N('Dvd Calendar'!$AA$1453)=0,"",IF(('Dvd Calendar'!$AA$1453&gt;=GRID_FROM)*('Dvd Calendar'!$AA$1453&lt;=GRID_TO)*('Dvd Calendar'!$AA$1453&gt;VAL_DATE)=0,"",'Dvd Calendar'!$AA$1453*1000000000+ISNUMBER('Dvd Calendar'!$AA$1454)*100000000+0*10000000+(N('Dvd Calendar'!$AA$1452)&gt;0)*(N('Dvd Calendar'!$AA$1452)&lt;=VAL_SERIAL)*1000000+31*1000+63))</f>
        <v/>
      </c>
      <c r="GP146" s="35">
        <f>IF(N('Dvd Calendar'!$AB$1453)=0,"",IF(('Dvd Calendar'!$AB$1453&gt;=GRID_FROM)*('Dvd Calendar'!$AB$1453&lt;=GRID_TO)*('Dvd Calendar'!$AB$1453&gt;VAL_DATE)=0,"",'Dvd Calendar'!$AB$1453*1000000000+ISNUMBER('Dvd Calendar'!$AB$1454)*100000000+0*10000000+(N('Dvd Calendar'!$AB$1452)&gt;0)*(N('Dvd Calendar'!$AB$1452)&lt;=VAL_SERIAL)*1000000+31*1000+64))</f>
        <v/>
      </c>
      <c r="GQ146" s="35">
        <f>IF(N('Dvd Calendar'!$AC$1453)=0,"",IF(('Dvd Calendar'!$AC$1453&gt;=GRID_FROM)*('Dvd Calendar'!$AC$1453&lt;=GRID_TO)*('Dvd Calendar'!$AC$1453&gt;VAL_DATE)=0,"",'Dvd Calendar'!$AC$1453*1000000000+ISNUMBER('Dvd Calendar'!$AC$1454)*100000000+0*10000000+(N('Dvd Calendar'!$AC$1452)&gt;0)*(N('Dvd Calendar'!$AC$1452)&lt;=VAL_SERIAL)*1000000+31*1000+65))</f>
        <v/>
      </c>
    </row>
    <row r="147">
      <c r="B147" s="2">
        <f>IF(HSTECH!$C$38="","",HSTECH!$C$38)</f>
        <v/>
      </c>
      <c r="C147" s="106">
        <f>IF(EE147="","",IF(ISNUMBER('Dvd Calendar'!$E$1460)=FALSE,"",IF((('Dvd Calendar'!$E$1462=TYPE1)*(TYPE1&lt;&gt;"")+('Dvd Calendar'!$E$1462=TYPE2)*(TYPE2&lt;&gt;"")+('Dvd Calendar'!$E$1462=TYPE3)*(TYPE3&lt;&gt;"")+('Dvd Calendar'!$E$1462=TYPE4)*(TYPE4&lt;&gt;"")+('Dvd Calendar'!$E$1462=SPECIAL_LBL)*(INC_SPECIALS="Y"))=0,"",'Dvd Calendar'!$E$1460)))</f>
        <v/>
      </c>
      <c r="D147" s="106">
        <f>IF(EF147="","",IF(ISNUMBER('Dvd Calendar'!$F$1460)=FALSE,"",IF((('Dvd Calendar'!$F$1462=TYPE1)*(TYPE1&lt;&gt;"")+('Dvd Calendar'!$F$1462=TYPE2)*(TYPE2&lt;&gt;"")+('Dvd Calendar'!$F$1462=TYPE3)*(TYPE3&lt;&gt;"")+('Dvd Calendar'!$F$1462=TYPE4)*(TYPE4&lt;&gt;"")+('Dvd Calendar'!$F$1462=SPECIAL_LBL)*(INC_SPECIALS="Y"))=0,"",'Dvd Calendar'!$F$1460)))</f>
        <v/>
      </c>
      <c r="E147" s="106">
        <f>IF(EG147="","",IF(ISNUMBER('Dvd Calendar'!$G$1460)=FALSE,"",IF((('Dvd Calendar'!$G$1462=TYPE1)*(TYPE1&lt;&gt;"")+('Dvd Calendar'!$G$1462=TYPE2)*(TYPE2&lt;&gt;"")+('Dvd Calendar'!$G$1462=TYPE3)*(TYPE3&lt;&gt;"")+('Dvd Calendar'!$G$1462=TYPE4)*(TYPE4&lt;&gt;"")+('Dvd Calendar'!$G$1462=SPECIAL_LBL)*(INC_SPECIALS="Y"))=0,"",'Dvd Calendar'!$G$1460)))</f>
        <v/>
      </c>
      <c r="F147" s="106">
        <f>IF(EH147="","",IF(ISNUMBER('Dvd Calendar'!$H$1460)=FALSE,"",IF((('Dvd Calendar'!$H$1462=TYPE1)*(TYPE1&lt;&gt;"")+('Dvd Calendar'!$H$1462=TYPE2)*(TYPE2&lt;&gt;"")+('Dvd Calendar'!$H$1462=TYPE3)*(TYPE3&lt;&gt;"")+('Dvd Calendar'!$H$1462=TYPE4)*(TYPE4&lt;&gt;"")+('Dvd Calendar'!$H$1462=SPECIAL_LBL)*(INC_SPECIALS="Y"))=0,"",'Dvd Calendar'!$H$1460)))</f>
        <v/>
      </c>
      <c r="G147" s="106">
        <f>IF(EI147="","",IF(ISNUMBER('Dvd Calendar'!$I$1460)=FALSE,"",IF((('Dvd Calendar'!$I$1462=TYPE1)*(TYPE1&lt;&gt;"")+('Dvd Calendar'!$I$1462=TYPE2)*(TYPE2&lt;&gt;"")+('Dvd Calendar'!$I$1462=TYPE3)*(TYPE3&lt;&gt;"")+('Dvd Calendar'!$I$1462=TYPE4)*(TYPE4&lt;&gt;"")+('Dvd Calendar'!$I$1462=SPECIAL_LBL)*(INC_SPECIALS="Y"))=0,"",'Dvd Calendar'!$I$1460)))</f>
        <v/>
      </c>
      <c r="H147" s="106">
        <f>IF(EJ147="","",IF(ISNUMBER('Dvd Calendar'!$J$1460)=FALSE,"",IF((('Dvd Calendar'!$J$1462=TYPE1)*(TYPE1&lt;&gt;"")+('Dvd Calendar'!$J$1462=TYPE2)*(TYPE2&lt;&gt;"")+('Dvd Calendar'!$J$1462=TYPE3)*(TYPE3&lt;&gt;"")+('Dvd Calendar'!$J$1462=TYPE4)*(TYPE4&lt;&gt;"")+('Dvd Calendar'!$J$1462=SPECIAL_LBL)*(INC_SPECIALS="Y"))=0,"",'Dvd Calendar'!$J$1460)))</f>
        <v/>
      </c>
      <c r="I147" s="106">
        <f>IF(EK147="","",IF(ISNUMBER('Dvd Calendar'!$K$1460)=FALSE,"",IF((('Dvd Calendar'!$K$1462=TYPE1)*(TYPE1&lt;&gt;"")+('Dvd Calendar'!$K$1462=TYPE2)*(TYPE2&lt;&gt;"")+('Dvd Calendar'!$K$1462=TYPE3)*(TYPE3&lt;&gt;"")+('Dvd Calendar'!$K$1462=TYPE4)*(TYPE4&lt;&gt;"")+('Dvd Calendar'!$K$1462=SPECIAL_LBL)*(INC_SPECIALS="Y"))=0,"",'Dvd Calendar'!$K$1460)))</f>
        <v/>
      </c>
      <c r="J147" s="106">
        <f>IF(EL147="","",IF(ISNUMBER('Dvd Calendar'!$L$1460)=FALSE,"",IF((('Dvd Calendar'!$L$1462=TYPE1)*(TYPE1&lt;&gt;"")+('Dvd Calendar'!$L$1462=TYPE2)*(TYPE2&lt;&gt;"")+('Dvd Calendar'!$L$1462=TYPE3)*(TYPE3&lt;&gt;"")+('Dvd Calendar'!$L$1462=TYPE4)*(TYPE4&lt;&gt;"")+('Dvd Calendar'!$L$1462=SPECIAL_LBL)*(INC_SPECIALS="Y"))=0,"",'Dvd Calendar'!$L$1460)))</f>
        <v/>
      </c>
      <c r="K147" s="106">
        <f>IF(EM147="","",IF(ISNUMBER('Dvd Calendar'!$M$1460)=FALSE,"",IF((('Dvd Calendar'!$M$1462=TYPE1)*(TYPE1&lt;&gt;"")+('Dvd Calendar'!$M$1462=TYPE2)*(TYPE2&lt;&gt;"")+('Dvd Calendar'!$M$1462=TYPE3)*(TYPE3&lt;&gt;"")+('Dvd Calendar'!$M$1462=TYPE4)*(TYPE4&lt;&gt;"")+('Dvd Calendar'!$M$1462=SPECIAL_LBL)*(INC_SPECIALS="Y"))=0,"",'Dvd Calendar'!$M$1460)))</f>
        <v/>
      </c>
      <c r="L147" s="106">
        <f>IF(EN147="","",IF(ISNUMBER('Dvd Calendar'!$N$1460)=FALSE,"",IF((('Dvd Calendar'!$N$1462=TYPE1)*(TYPE1&lt;&gt;"")+('Dvd Calendar'!$N$1462=TYPE2)*(TYPE2&lt;&gt;"")+('Dvd Calendar'!$N$1462=TYPE3)*(TYPE3&lt;&gt;"")+('Dvd Calendar'!$N$1462=TYPE4)*(TYPE4&lt;&gt;"")+('Dvd Calendar'!$N$1462=SPECIAL_LBL)*(INC_SPECIALS="Y"))=0,"",'Dvd Calendar'!$N$1460)))</f>
        <v/>
      </c>
      <c r="M147" s="106">
        <f>IF(EO147="","",IF(ISNUMBER('Dvd Calendar'!$O$1460)=FALSE,"",IF((('Dvd Calendar'!$O$1462=TYPE1)*(TYPE1&lt;&gt;"")+('Dvd Calendar'!$O$1462=TYPE2)*(TYPE2&lt;&gt;"")+('Dvd Calendar'!$O$1462=TYPE3)*(TYPE3&lt;&gt;"")+('Dvd Calendar'!$O$1462=TYPE4)*(TYPE4&lt;&gt;"")+('Dvd Calendar'!$O$1462=SPECIAL_LBL)*(INC_SPECIALS="Y"))=0,"",'Dvd Calendar'!$O$1460)))</f>
        <v/>
      </c>
      <c r="N147" s="106">
        <f>IF(EP147="","",IF(ISNUMBER('Dvd Calendar'!$P$1460)=FALSE,"",IF((('Dvd Calendar'!$P$1462=TYPE1)*(TYPE1&lt;&gt;"")+('Dvd Calendar'!$P$1462=TYPE2)*(TYPE2&lt;&gt;"")+('Dvd Calendar'!$P$1462=TYPE3)*(TYPE3&lt;&gt;"")+('Dvd Calendar'!$P$1462=TYPE4)*(TYPE4&lt;&gt;"")+('Dvd Calendar'!$P$1462=SPECIAL_LBL)*(INC_SPECIALS="Y"))=0,"",'Dvd Calendar'!$P$1460)))</f>
        <v/>
      </c>
      <c r="O147" s="106">
        <f>IF(EQ147="","",IF(ISNUMBER('Dvd Calendar'!$Q$1460)=FALSE,"",IF((('Dvd Calendar'!$Q$1462=TYPE1)*(TYPE1&lt;&gt;"")+('Dvd Calendar'!$Q$1462=TYPE2)*(TYPE2&lt;&gt;"")+('Dvd Calendar'!$Q$1462=TYPE3)*(TYPE3&lt;&gt;"")+('Dvd Calendar'!$Q$1462=TYPE4)*(TYPE4&lt;&gt;"")+('Dvd Calendar'!$Q$1462=SPECIAL_LBL)*(INC_SPECIALS="Y"))=0,"",'Dvd Calendar'!$Q$1460)))</f>
        <v/>
      </c>
      <c r="P147" s="106">
        <f>IF(ER147="","",IF(ISNUMBER('Dvd Calendar'!$R$1460)=FALSE,"",IF((('Dvd Calendar'!$R$1462=TYPE1)*(TYPE1&lt;&gt;"")+('Dvd Calendar'!$R$1462=TYPE2)*(TYPE2&lt;&gt;"")+('Dvd Calendar'!$R$1462=TYPE3)*(TYPE3&lt;&gt;"")+('Dvd Calendar'!$R$1462=TYPE4)*(TYPE4&lt;&gt;"")+('Dvd Calendar'!$R$1462=SPECIAL_LBL)*(INC_SPECIALS="Y"))=0,"",'Dvd Calendar'!$R$1460)))</f>
        <v/>
      </c>
      <c r="Q147" s="106">
        <f>IF(ES147="","",IF(ISNUMBER('Dvd Calendar'!$S$1460)=FALSE,"",IF((('Dvd Calendar'!$S$1462=TYPE1)*(TYPE1&lt;&gt;"")+('Dvd Calendar'!$S$1462=TYPE2)*(TYPE2&lt;&gt;"")+('Dvd Calendar'!$S$1462=TYPE3)*(TYPE3&lt;&gt;"")+('Dvd Calendar'!$S$1462=TYPE4)*(TYPE4&lt;&gt;"")+('Dvd Calendar'!$S$1462=SPECIAL_LBL)*(INC_SPECIALS="Y"))=0,"",'Dvd Calendar'!$S$1460)))</f>
        <v/>
      </c>
      <c r="R147" s="106">
        <f>IF(ET147="","",IF(ISNUMBER('Dvd Calendar'!$T$1460)=FALSE,"",IF((('Dvd Calendar'!$T$1462=TYPE1)*(TYPE1&lt;&gt;"")+('Dvd Calendar'!$T$1462=TYPE2)*(TYPE2&lt;&gt;"")+('Dvd Calendar'!$T$1462=TYPE3)*(TYPE3&lt;&gt;"")+('Dvd Calendar'!$T$1462=TYPE4)*(TYPE4&lt;&gt;"")+('Dvd Calendar'!$T$1462=SPECIAL_LBL)*(INC_SPECIALS="Y"))=0,"",'Dvd Calendar'!$T$1460)))</f>
        <v/>
      </c>
      <c r="S147" s="106">
        <f>IF(EU147="","",IF(ISNUMBER('Dvd Calendar'!$U$1460)=FALSE,"",IF((('Dvd Calendar'!$U$1462=TYPE1)*(TYPE1&lt;&gt;"")+('Dvd Calendar'!$U$1462=TYPE2)*(TYPE2&lt;&gt;"")+('Dvd Calendar'!$U$1462=TYPE3)*(TYPE3&lt;&gt;"")+('Dvd Calendar'!$U$1462=TYPE4)*(TYPE4&lt;&gt;"")+('Dvd Calendar'!$U$1462=SPECIAL_LBL)*(INC_SPECIALS="Y"))=0,"",'Dvd Calendar'!$U$1460)))</f>
        <v/>
      </c>
      <c r="T147" s="106">
        <f>IF(EV147="","",IF(ISNUMBER('Dvd Calendar'!$V$1460)=FALSE,"",IF((('Dvd Calendar'!$V$1462=TYPE1)*(TYPE1&lt;&gt;"")+('Dvd Calendar'!$V$1462=TYPE2)*(TYPE2&lt;&gt;"")+('Dvd Calendar'!$V$1462=TYPE3)*(TYPE3&lt;&gt;"")+('Dvd Calendar'!$V$1462=TYPE4)*(TYPE4&lt;&gt;"")+('Dvd Calendar'!$V$1462=SPECIAL_LBL)*(INC_SPECIALS="Y"))=0,"",'Dvd Calendar'!$V$1460)))</f>
        <v/>
      </c>
      <c r="U147" s="106">
        <f>IF(EW147="","",IF(ISNUMBER('Dvd Calendar'!$W$1460)=FALSE,"",IF((('Dvd Calendar'!$W$1462=TYPE1)*(TYPE1&lt;&gt;"")+('Dvd Calendar'!$W$1462=TYPE2)*(TYPE2&lt;&gt;"")+('Dvd Calendar'!$W$1462=TYPE3)*(TYPE3&lt;&gt;"")+('Dvd Calendar'!$W$1462=TYPE4)*(TYPE4&lt;&gt;"")+('Dvd Calendar'!$W$1462=SPECIAL_LBL)*(INC_SPECIALS="Y"))=0,"",'Dvd Calendar'!$W$1460)))</f>
        <v/>
      </c>
      <c r="V147" s="106">
        <f>IF(EX147="","",IF(ISNUMBER('Dvd Calendar'!$X$1460)=FALSE,"",IF((('Dvd Calendar'!$X$1462=TYPE1)*(TYPE1&lt;&gt;"")+('Dvd Calendar'!$X$1462=TYPE2)*(TYPE2&lt;&gt;"")+('Dvd Calendar'!$X$1462=TYPE3)*(TYPE3&lt;&gt;"")+('Dvd Calendar'!$X$1462=TYPE4)*(TYPE4&lt;&gt;"")+('Dvd Calendar'!$X$1462=SPECIAL_LBL)*(INC_SPECIALS="Y"))=0,"",'Dvd Calendar'!$X$1460)))</f>
        <v/>
      </c>
      <c r="W147" s="106">
        <f>IF(EY147="","",IF(ISNUMBER('Dvd Calendar'!$Y$1460)=FALSE,"",IF((('Dvd Calendar'!$Y$1462=TYPE1)*(TYPE1&lt;&gt;"")+('Dvd Calendar'!$Y$1462=TYPE2)*(TYPE2&lt;&gt;"")+('Dvd Calendar'!$Y$1462=TYPE3)*(TYPE3&lt;&gt;"")+('Dvd Calendar'!$Y$1462=TYPE4)*(TYPE4&lt;&gt;"")+('Dvd Calendar'!$Y$1462=SPECIAL_LBL)*(INC_SPECIALS="Y"))=0,"",'Dvd Calendar'!$Y$1460)))</f>
        <v/>
      </c>
      <c r="X147" s="106">
        <f>IF(EZ147="","",IF(ISNUMBER('Dvd Calendar'!$Z$1460)=FALSE,"",IF((('Dvd Calendar'!$Z$1462=TYPE1)*(TYPE1&lt;&gt;"")+('Dvd Calendar'!$Z$1462=TYPE2)*(TYPE2&lt;&gt;"")+('Dvd Calendar'!$Z$1462=TYPE3)*(TYPE3&lt;&gt;"")+('Dvd Calendar'!$Z$1462=TYPE4)*(TYPE4&lt;&gt;"")+('Dvd Calendar'!$Z$1462=SPECIAL_LBL)*(INC_SPECIALS="Y"))=0,"",'Dvd Calendar'!$Z$1460)))</f>
        <v/>
      </c>
      <c r="Y147" s="106">
        <f>IF(FA147="","",IF(ISNUMBER('Dvd Calendar'!$AA$1460)=FALSE,"",IF((('Dvd Calendar'!$AA$1462=TYPE1)*(TYPE1&lt;&gt;"")+('Dvd Calendar'!$AA$1462=TYPE2)*(TYPE2&lt;&gt;"")+('Dvd Calendar'!$AA$1462=TYPE3)*(TYPE3&lt;&gt;"")+('Dvd Calendar'!$AA$1462=TYPE4)*(TYPE4&lt;&gt;"")+('Dvd Calendar'!$AA$1462=SPECIAL_LBL)*(INC_SPECIALS="Y"))=0,"",'Dvd Calendar'!$AA$1460)))</f>
        <v/>
      </c>
      <c r="Z147" s="106">
        <f>IF(FB147="","",IF(ISNUMBER('Dvd Calendar'!$AB$1460)=FALSE,"",IF((('Dvd Calendar'!$AB$1462=TYPE1)*(TYPE1&lt;&gt;"")+('Dvd Calendar'!$AB$1462=TYPE2)*(TYPE2&lt;&gt;"")+('Dvd Calendar'!$AB$1462=TYPE3)*(TYPE3&lt;&gt;"")+('Dvd Calendar'!$AB$1462=TYPE4)*(TYPE4&lt;&gt;"")+('Dvd Calendar'!$AB$1462=SPECIAL_LBL)*(INC_SPECIALS="Y"))=0,"",'Dvd Calendar'!$AB$1460)))</f>
        <v/>
      </c>
      <c r="AA147" s="106">
        <f>IF(FC147="","",IF(ISNUMBER('Dvd Calendar'!$AC$1460)=FALSE,"",IF((('Dvd Calendar'!$AC$1462=TYPE1)*(TYPE1&lt;&gt;"")+('Dvd Calendar'!$AC$1462=TYPE2)*(TYPE2&lt;&gt;"")+('Dvd Calendar'!$AC$1462=TYPE3)*(TYPE3&lt;&gt;"")+('Dvd Calendar'!$AC$1462=TYPE4)*(TYPE4&lt;&gt;"")+('Dvd Calendar'!$AC$1462=SPECIAL_LBL)*(INC_SPECIALS="Y"))=0,"",'Dvd Calendar'!$AC$1460)))</f>
        <v/>
      </c>
      <c r="AB147" s="106">
        <f>IF(FD147="","",IF(ISNUMBER('Dvd Calendar'!$AD$1460)=FALSE,"",IF((('Dvd Calendar'!$AD$1462=TYPE1)*(TYPE1&lt;&gt;"")+('Dvd Calendar'!$AD$1462=TYPE2)*(TYPE2&lt;&gt;"")+('Dvd Calendar'!$AD$1462=TYPE3)*(TYPE3&lt;&gt;"")+('Dvd Calendar'!$AD$1462=TYPE4)*(TYPE4&lt;&gt;"")+('Dvd Calendar'!$AD$1462=SPECIAL_LBL)*(INC_SPECIALS="Y"))=0,"",'Dvd Calendar'!$AD$1460)))</f>
        <v/>
      </c>
      <c r="AC147" s="106">
        <f>IF(FE147="","",IF(ISNUMBER('Dvd Calendar'!$AE$1460)=FALSE,"",IF((('Dvd Calendar'!$AE$1462=TYPE1)*(TYPE1&lt;&gt;"")+('Dvd Calendar'!$AE$1462=TYPE2)*(TYPE2&lt;&gt;"")+('Dvd Calendar'!$AE$1462=TYPE3)*(TYPE3&lt;&gt;"")+('Dvd Calendar'!$AE$1462=TYPE4)*(TYPE4&lt;&gt;"")+('Dvd Calendar'!$AE$1462=SPECIAL_LBL)*(INC_SPECIALS="Y"))=0,"",'Dvd Calendar'!$AE$1460)))</f>
        <v/>
      </c>
      <c r="AD147" s="106">
        <f>IF(FF147="","",IF(ISNUMBER('Dvd Calendar'!$AF$1460)=FALSE,"",IF((('Dvd Calendar'!$AF$1462=TYPE1)*(TYPE1&lt;&gt;"")+('Dvd Calendar'!$AF$1462=TYPE2)*(TYPE2&lt;&gt;"")+('Dvd Calendar'!$AF$1462=TYPE3)*(TYPE3&lt;&gt;"")+('Dvd Calendar'!$AF$1462=TYPE4)*(TYPE4&lt;&gt;"")+('Dvd Calendar'!$AF$1462=SPECIAL_LBL)*(INC_SPECIALS="Y"))=0,"",'Dvd Calendar'!$AF$1460)))</f>
        <v/>
      </c>
      <c r="AE147" s="106">
        <f>IF(FG147="","",IF(ISNUMBER('Dvd Calendar'!$AG$1460)=FALSE,"",IF((('Dvd Calendar'!$AG$1462=TYPE1)*(TYPE1&lt;&gt;"")+('Dvd Calendar'!$AG$1462=TYPE2)*(TYPE2&lt;&gt;"")+('Dvd Calendar'!$AG$1462=TYPE3)*(TYPE3&lt;&gt;"")+('Dvd Calendar'!$AG$1462=TYPE4)*(TYPE4&lt;&gt;"")+('Dvd Calendar'!$AG$1462=SPECIAL_LBL)*(INC_SPECIALS="Y"))=0,"",'Dvd Calendar'!$AG$1460)))</f>
        <v/>
      </c>
      <c r="AF147" s="106">
        <f>IF(FH147="","",IF(ISNUMBER('Dvd Calendar'!$AH$1460)=FALSE,"",IF((('Dvd Calendar'!$AH$1462=TYPE1)*(TYPE1&lt;&gt;"")+('Dvd Calendar'!$AH$1462=TYPE2)*(TYPE2&lt;&gt;"")+('Dvd Calendar'!$AH$1462=TYPE3)*(TYPE3&lt;&gt;"")+('Dvd Calendar'!$AH$1462=TYPE4)*(TYPE4&lt;&gt;"")+('Dvd Calendar'!$AH$1462=SPECIAL_LBL)*(INC_SPECIALS="Y"))=0,"",'Dvd Calendar'!$AH$1460)))</f>
        <v/>
      </c>
      <c r="AG147" s="106">
        <f>IF(FI147="","",IF(ISNUMBER('Dvd Calendar'!$AI$1460)=FALSE,"",IF((('Dvd Calendar'!$AI$1462=TYPE1)*(TYPE1&lt;&gt;"")+('Dvd Calendar'!$AI$1462=TYPE2)*(TYPE2&lt;&gt;"")+('Dvd Calendar'!$AI$1462=TYPE3)*(TYPE3&lt;&gt;"")+('Dvd Calendar'!$AI$1462=TYPE4)*(TYPE4&lt;&gt;"")+('Dvd Calendar'!$AI$1462=SPECIAL_LBL)*(INC_SPECIALS="Y"))=0,"",'Dvd Calendar'!$AI$1460)))</f>
        <v/>
      </c>
      <c r="AH147" s="106">
        <f>IF(FJ147="","",IF(ISNUMBER('Dvd Calendar'!$AJ$1460)=FALSE,"",IF((('Dvd Calendar'!$AJ$1462=TYPE1)*(TYPE1&lt;&gt;"")+('Dvd Calendar'!$AJ$1462=TYPE2)*(TYPE2&lt;&gt;"")+('Dvd Calendar'!$AJ$1462=TYPE3)*(TYPE3&lt;&gt;"")+('Dvd Calendar'!$AJ$1462=TYPE4)*(TYPE4&lt;&gt;"")+('Dvd Calendar'!$AJ$1462=SPECIAL_LBL)*(INC_SPECIALS="Y"))=0,"",'Dvd Calendar'!$AJ$1460)))</f>
        <v/>
      </c>
      <c r="AI147" s="106">
        <f>IF(FK147="","",IF(ISNUMBER('Dvd Calendar'!$AK$1460)=FALSE,"",IF((('Dvd Calendar'!$AK$1462=TYPE1)*(TYPE1&lt;&gt;"")+('Dvd Calendar'!$AK$1462=TYPE2)*(TYPE2&lt;&gt;"")+('Dvd Calendar'!$AK$1462=TYPE3)*(TYPE3&lt;&gt;"")+('Dvd Calendar'!$AK$1462=TYPE4)*(TYPE4&lt;&gt;"")+('Dvd Calendar'!$AK$1462=SPECIAL_LBL)*(INC_SPECIALS="Y"))=0,"",'Dvd Calendar'!$AK$1460)))</f>
        <v/>
      </c>
      <c r="AJ147" s="106">
        <f>IF(FL147="","",IF(ISNUMBER('Dvd Calendar'!$AL$1460)=FALSE,"",IF((('Dvd Calendar'!$AL$1462=TYPE1)*(TYPE1&lt;&gt;"")+('Dvd Calendar'!$AL$1462=TYPE2)*(TYPE2&lt;&gt;"")+('Dvd Calendar'!$AL$1462=TYPE3)*(TYPE3&lt;&gt;"")+('Dvd Calendar'!$AL$1462=TYPE4)*(TYPE4&lt;&gt;"")+('Dvd Calendar'!$AL$1462=SPECIAL_LBL)*(INC_SPECIALS="Y"))=0,"",'Dvd Calendar'!$AL$1460)))</f>
        <v/>
      </c>
      <c r="AK147" s="106">
        <f>IF(FM147="","",IF(ISNUMBER('Dvd Calendar'!$AM$1460)=FALSE,"",IF((('Dvd Calendar'!$AM$1462=TYPE1)*(TYPE1&lt;&gt;"")+('Dvd Calendar'!$AM$1462=TYPE2)*(TYPE2&lt;&gt;"")+('Dvd Calendar'!$AM$1462=TYPE3)*(TYPE3&lt;&gt;"")+('Dvd Calendar'!$AM$1462=TYPE4)*(TYPE4&lt;&gt;"")+('Dvd Calendar'!$AM$1462=SPECIAL_LBL)*(INC_SPECIALS="Y"))=0,"",'Dvd Calendar'!$AM$1460)))</f>
        <v/>
      </c>
      <c r="AL147" s="106">
        <f>IF(FN147="","",IF(ISNUMBER('Dvd Calendar'!$AN$1460)=FALSE,"",IF((('Dvd Calendar'!$AN$1462=TYPE1)*(TYPE1&lt;&gt;"")+('Dvd Calendar'!$AN$1462=TYPE2)*(TYPE2&lt;&gt;"")+('Dvd Calendar'!$AN$1462=TYPE3)*(TYPE3&lt;&gt;"")+('Dvd Calendar'!$AN$1462=TYPE4)*(TYPE4&lt;&gt;"")+('Dvd Calendar'!$AN$1462=SPECIAL_LBL)*(INC_SPECIALS="Y"))=0,"",'Dvd Calendar'!$AN$1460)))</f>
        <v/>
      </c>
      <c r="AM147" s="106">
        <f>IF(FO147="","",IF(ISNUMBER('Dvd Calendar'!$AO$1460)=FALSE,"",IF((('Dvd Calendar'!$AO$1462=TYPE1)*(TYPE1&lt;&gt;"")+('Dvd Calendar'!$AO$1462=TYPE2)*(TYPE2&lt;&gt;"")+('Dvd Calendar'!$AO$1462=TYPE3)*(TYPE3&lt;&gt;"")+('Dvd Calendar'!$AO$1462=TYPE4)*(TYPE4&lt;&gt;"")+('Dvd Calendar'!$AO$1462=SPECIAL_LBL)*(INC_SPECIALS="Y"))=0,"",'Dvd Calendar'!$AO$1460)))</f>
        <v/>
      </c>
      <c r="AN147" s="106">
        <f>IF(FP147="","",IF(ISNUMBER('Dvd Calendar'!$AP$1460)=FALSE,"",IF((('Dvd Calendar'!$AP$1462=TYPE1)*(TYPE1&lt;&gt;"")+('Dvd Calendar'!$AP$1462=TYPE2)*(TYPE2&lt;&gt;"")+('Dvd Calendar'!$AP$1462=TYPE3)*(TYPE3&lt;&gt;"")+('Dvd Calendar'!$AP$1462=TYPE4)*(TYPE4&lt;&gt;"")+('Dvd Calendar'!$AP$1462=SPECIAL_LBL)*(INC_SPECIALS="Y"))=0,"",'Dvd Calendar'!$AP$1460)))</f>
        <v/>
      </c>
      <c r="AO147" s="106">
        <f>IF(FQ147="","",IF(ISNUMBER('Dvd Calendar'!$AQ$1460)=FALSE,"",IF((('Dvd Calendar'!$AQ$1462=TYPE1)*(TYPE1&lt;&gt;"")+('Dvd Calendar'!$AQ$1462=TYPE2)*(TYPE2&lt;&gt;"")+('Dvd Calendar'!$AQ$1462=TYPE3)*(TYPE3&lt;&gt;"")+('Dvd Calendar'!$AQ$1462=TYPE4)*(TYPE4&lt;&gt;"")+('Dvd Calendar'!$AQ$1462=SPECIAL_LBL)*(INC_SPECIALS="Y"))=0,"",'Dvd Calendar'!$AQ$1460)))</f>
        <v/>
      </c>
      <c r="AP147" s="106">
        <f>IF(FR147="","",IF(ISNUMBER('Dvd Calendar'!$AR$1460)=FALSE,"",IF((('Dvd Calendar'!$AR$1462=TYPE1)*(TYPE1&lt;&gt;"")+('Dvd Calendar'!$AR$1462=TYPE2)*(TYPE2&lt;&gt;"")+('Dvd Calendar'!$AR$1462=TYPE3)*(TYPE3&lt;&gt;"")+('Dvd Calendar'!$AR$1462=TYPE4)*(TYPE4&lt;&gt;"")+('Dvd Calendar'!$AR$1462=SPECIAL_LBL)*(INC_SPECIALS="Y"))=0,"",'Dvd Calendar'!$AR$1460)))</f>
        <v/>
      </c>
      <c r="AQ147" s="106">
        <f>IF(FS147="","",IF(ISNUMBER('Dvd Calendar'!$E$1465)=FALSE,"",'Dvd Calendar'!$E$1465))</f>
        <v/>
      </c>
      <c r="AR147" s="106">
        <f>IF(FT147="","",IF(ISNUMBER('Dvd Calendar'!$F$1465)=FALSE,"",'Dvd Calendar'!$F$1465))</f>
        <v/>
      </c>
      <c r="AS147" s="106">
        <f>IF(FU147="","",IF(ISNUMBER('Dvd Calendar'!$G$1465)=FALSE,"",'Dvd Calendar'!$G$1465))</f>
        <v/>
      </c>
      <c r="AT147" s="106">
        <f>IF(FV147="","",IF(ISNUMBER('Dvd Calendar'!$H$1465)=FALSE,"",'Dvd Calendar'!$H$1465))</f>
        <v/>
      </c>
      <c r="AU147" s="106">
        <f>IF(FW147="","",IF(ISNUMBER('Dvd Calendar'!$I$1465)=FALSE,"",'Dvd Calendar'!$I$1465))</f>
        <v/>
      </c>
      <c r="AV147" s="106">
        <f>IF(FX147="","",IF(ISNUMBER('Dvd Calendar'!$J$1465)=FALSE,"",'Dvd Calendar'!$J$1465))</f>
        <v/>
      </c>
      <c r="AW147" s="106">
        <f>IF(FY147="","",IF(ISNUMBER('Dvd Calendar'!$K$1465)=FALSE,"",'Dvd Calendar'!$K$1465))</f>
        <v/>
      </c>
      <c r="AX147" s="106">
        <f>IF(FZ147="","",IF(ISNUMBER('Dvd Calendar'!$L$1465)=FALSE,"",'Dvd Calendar'!$L$1465))</f>
        <v/>
      </c>
      <c r="AY147" s="106">
        <f>IF(GA147="","",IF(ISNUMBER('Dvd Calendar'!$M$1465)=FALSE,"",'Dvd Calendar'!$M$1465))</f>
        <v/>
      </c>
      <c r="AZ147" s="106">
        <f>IF(GB147="","",IF(ISNUMBER('Dvd Calendar'!$N$1465)=FALSE,"",'Dvd Calendar'!$N$1465))</f>
        <v/>
      </c>
      <c r="BA147" s="106">
        <f>IF(GC147="","",IF(ISNUMBER('Dvd Calendar'!$O$1465)=FALSE,"",'Dvd Calendar'!$O$1465))</f>
        <v/>
      </c>
      <c r="BB147" s="106">
        <f>IF(GD147="","",IF(ISNUMBER('Dvd Calendar'!$P$1465)=FALSE,"",'Dvd Calendar'!$P$1465))</f>
        <v/>
      </c>
      <c r="BC147" s="106">
        <f>IF(GE147="","",IF(ISNUMBER('Dvd Calendar'!$Q$1465)=FALSE,"",'Dvd Calendar'!$Q$1465))</f>
        <v/>
      </c>
      <c r="BD147" s="106">
        <f>IF(GF147="","",IF(ISNUMBER('Dvd Calendar'!$R$1465)=FALSE,"",'Dvd Calendar'!$R$1465))</f>
        <v/>
      </c>
      <c r="BE147" s="106">
        <f>IF(GG147="","",IF(ISNUMBER('Dvd Calendar'!$S$1465)=FALSE,"",'Dvd Calendar'!$S$1465))</f>
        <v/>
      </c>
      <c r="BF147" s="106">
        <f>IF(GH147="","",IF(ISNUMBER('Dvd Calendar'!$T$1465)=FALSE,"",'Dvd Calendar'!$T$1465))</f>
        <v/>
      </c>
      <c r="BG147" s="106">
        <f>IF(GI147="","",IF(ISNUMBER('Dvd Calendar'!$U$1465)=FALSE,"",'Dvd Calendar'!$U$1465))</f>
        <v/>
      </c>
      <c r="BH147" s="106">
        <f>IF(GJ147="","",IF(ISNUMBER('Dvd Calendar'!$V$1465)=FALSE,"",'Dvd Calendar'!$V$1465))</f>
        <v/>
      </c>
      <c r="BI147" s="106">
        <f>IF(GK147="","",IF(ISNUMBER('Dvd Calendar'!$W$1465)=FALSE,"",'Dvd Calendar'!$W$1465))</f>
        <v/>
      </c>
      <c r="BJ147" s="106">
        <f>IF(GL147="","",IF(ISNUMBER('Dvd Calendar'!$X$1465)=FALSE,"",'Dvd Calendar'!$X$1465))</f>
        <v/>
      </c>
      <c r="BK147" s="106">
        <f>IF(GM147="","",IF(ISNUMBER('Dvd Calendar'!$Y$1465)=FALSE,"",'Dvd Calendar'!$Y$1465))</f>
        <v/>
      </c>
      <c r="BL147" s="106">
        <f>IF(GN147="","",IF(ISNUMBER('Dvd Calendar'!$Z$1465)=FALSE,"",'Dvd Calendar'!$Z$1465))</f>
        <v/>
      </c>
      <c r="BM147" s="106">
        <f>IF(GO147="","",IF(ISNUMBER('Dvd Calendar'!$AA$1465)=FALSE,"",'Dvd Calendar'!$AA$1465))</f>
        <v/>
      </c>
      <c r="BN147" s="106">
        <f>IF(GP147="","",IF(ISNUMBER('Dvd Calendar'!$AB$1465)=FALSE,"",'Dvd Calendar'!$AB$1465))</f>
        <v/>
      </c>
      <c r="BO147" s="106">
        <f>IF(GQ147="","",IF(ISNUMBER('Dvd Calendar'!$AC$1465)=FALSE,"",'Dvd Calendar'!$AC$1465))</f>
        <v/>
      </c>
      <c r="BQ147" s="106">
        <f>IF(C147="","",IFERROR(C147*HSTECH!$B$38*HSTECH!$G$38/HSTECH!$B$3,""))</f>
        <v/>
      </c>
      <c r="BR147" s="106">
        <f>IF(D147="","",IFERROR(D147*HSTECH!$B$38*HSTECH!$G$38/HSTECH!$B$3,""))</f>
        <v/>
      </c>
      <c r="BS147" s="106">
        <f>IF(E147="","",IFERROR(E147*HSTECH!$B$38*HSTECH!$G$38/HSTECH!$B$3,""))</f>
        <v/>
      </c>
      <c r="BT147" s="106">
        <f>IF(F147="","",IFERROR(F147*HSTECH!$B$38*HSTECH!$G$38/HSTECH!$B$3,""))</f>
        <v/>
      </c>
      <c r="BU147" s="106">
        <f>IF(G147="","",IFERROR(G147*HSTECH!$B$38*HSTECH!$G$38/HSTECH!$B$3,""))</f>
        <v/>
      </c>
      <c r="BV147" s="106">
        <f>IF(H147="","",IFERROR(H147*HSTECH!$B$38*HSTECH!$G$38/HSTECH!$B$3,""))</f>
        <v/>
      </c>
      <c r="BW147" s="106">
        <f>IF(I147="","",IFERROR(I147*HSTECH!$B$38*HSTECH!$G$38/HSTECH!$B$3,""))</f>
        <v/>
      </c>
      <c r="BX147" s="106">
        <f>IF(J147="","",IFERROR(J147*HSTECH!$B$38*HSTECH!$G$38/HSTECH!$B$3,""))</f>
        <v/>
      </c>
      <c r="BY147" s="106">
        <f>IF(K147="","",IFERROR(K147*HSTECH!$B$38*HSTECH!$G$38/HSTECH!$B$3,""))</f>
        <v/>
      </c>
      <c r="BZ147" s="106">
        <f>IF(L147="","",IFERROR(L147*HSTECH!$B$38*HSTECH!$G$38/HSTECH!$B$3,""))</f>
        <v/>
      </c>
      <c r="CA147" s="106">
        <f>IF(M147="","",IFERROR(M147*HSTECH!$B$38*HSTECH!$G$38/HSTECH!$B$3,""))</f>
        <v/>
      </c>
      <c r="CB147" s="106">
        <f>IF(N147="","",IFERROR(N147*HSTECH!$B$38*HSTECH!$G$38/HSTECH!$B$3,""))</f>
        <v/>
      </c>
      <c r="CC147" s="106">
        <f>IF(O147="","",IFERROR(O147*HSTECH!$B$38*HSTECH!$G$38/HSTECH!$B$3,""))</f>
        <v/>
      </c>
      <c r="CD147" s="106">
        <f>IF(P147="","",IFERROR(P147*HSTECH!$B$38*HSTECH!$G$38/HSTECH!$B$3,""))</f>
        <v/>
      </c>
      <c r="CE147" s="106">
        <f>IF(Q147="","",IFERROR(Q147*HSTECH!$B$38*HSTECH!$G$38/HSTECH!$B$3,""))</f>
        <v/>
      </c>
      <c r="CF147" s="106">
        <f>IF(R147="","",IFERROR(R147*HSTECH!$B$38*HSTECH!$G$38/HSTECH!$B$3,""))</f>
        <v/>
      </c>
      <c r="CG147" s="106">
        <f>IF(S147="","",IFERROR(S147*HSTECH!$B$38*HSTECH!$G$38/HSTECH!$B$3,""))</f>
        <v/>
      </c>
      <c r="CH147" s="106">
        <f>IF(T147="","",IFERROR(T147*HSTECH!$B$38*HSTECH!$G$38/HSTECH!$B$3,""))</f>
        <v/>
      </c>
      <c r="CI147" s="106">
        <f>IF(U147="","",IFERROR(U147*HSTECH!$B$38*HSTECH!$G$38/HSTECH!$B$3,""))</f>
        <v/>
      </c>
      <c r="CJ147" s="106">
        <f>IF(V147="","",IFERROR(V147*HSTECH!$B$38*HSTECH!$G$38/HSTECH!$B$3,""))</f>
        <v/>
      </c>
      <c r="CK147" s="106">
        <f>IF(W147="","",IFERROR(W147*HSTECH!$B$38*HSTECH!$G$38/HSTECH!$B$3,""))</f>
        <v/>
      </c>
      <c r="CL147" s="106">
        <f>IF(X147="","",IFERROR(X147*HSTECH!$B$38*HSTECH!$G$38/HSTECH!$B$3,""))</f>
        <v/>
      </c>
      <c r="CM147" s="106">
        <f>IF(Y147="","",IFERROR(Y147*HSTECH!$B$38*HSTECH!$G$38/HSTECH!$B$3,""))</f>
        <v/>
      </c>
      <c r="CN147" s="106">
        <f>IF(Z147="","",IFERROR(Z147*HSTECH!$B$38*HSTECH!$G$38/HSTECH!$B$3,""))</f>
        <v/>
      </c>
      <c r="CO147" s="106">
        <f>IF(AA147="","",IFERROR(AA147*HSTECH!$B$38*HSTECH!$G$38/HSTECH!$B$3,""))</f>
        <v/>
      </c>
      <c r="CP147" s="106">
        <f>IF(AB147="","",IFERROR(AB147*HSTECH!$B$38*HSTECH!$G$38/HSTECH!$B$3,""))</f>
        <v/>
      </c>
      <c r="CQ147" s="106">
        <f>IF(AC147="","",IFERROR(AC147*HSTECH!$B$38*HSTECH!$G$38/HSTECH!$B$3,""))</f>
        <v/>
      </c>
      <c r="CR147" s="106">
        <f>IF(AD147="","",IFERROR(AD147*HSTECH!$B$38*HSTECH!$G$38/HSTECH!$B$3,""))</f>
        <v/>
      </c>
      <c r="CS147" s="106">
        <f>IF(AE147="","",IFERROR(AE147*HSTECH!$B$38*HSTECH!$G$38/HSTECH!$B$3,""))</f>
        <v/>
      </c>
      <c r="CT147" s="106">
        <f>IF(AF147="","",IFERROR(AF147*HSTECH!$B$38*HSTECH!$G$38/HSTECH!$B$3,""))</f>
        <v/>
      </c>
      <c r="CU147" s="106">
        <f>IF(AG147="","",IFERROR(AG147*HSTECH!$B$38*HSTECH!$G$38/HSTECH!$B$3,""))</f>
        <v/>
      </c>
      <c r="CV147" s="106">
        <f>IF(AH147="","",IFERROR(AH147*HSTECH!$B$38*HSTECH!$G$38/HSTECH!$B$3,""))</f>
        <v/>
      </c>
      <c r="CW147" s="106">
        <f>IF(AI147="","",IFERROR(AI147*HSTECH!$B$38*HSTECH!$G$38/HSTECH!$B$3,""))</f>
        <v/>
      </c>
      <c r="CX147" s="106">
        <f>IF(AJ147="","",IFERROR(AJ147*HSTECH!$B$38*HSTECH!$G$38/HSTECH!$B$3,""))</f>
        <v/>
      </c>
      <c r="CY147" s="106">
        <f>IF(AK147="","",IFERROR(AK147*HSTECH!$B$38*HSTECH!$G$38/HSTECH!$B$3,""))</f>
        <v/>
      </c>
      <c r="CZ147" s="106">
        <f>IF(AL147="","",IFERROR(AL147*HSTECH!$B$38*HSTECH!$G$38/HSTECH!$B$3,""))</f>
        <v/>
      </c>
      <c r="DA147" s="106">
        <f>IF(AM147="","",IFERROR(AM147*HSTECH!$B$38*HSTECH!$G$38/HSTECH!$B$3,""))</f>
        <v/>
      </c>
      <c r="DB147" s="106">
        <f>IF(AN147="","",IFERROR(AN147*HSTECH!$B$38*HSTECH!$G$38/HSTECH!$B$3,""))</f>
        <v/>
      </c>
      <c r="DC147" s="106">
        <f>IF(AO147="","",IFERROR(AO147*HSTECH!$B$38*HSTECH!$G$38/HSTECH!$B$3,""))</f>
        <v/>
      </c>
      <c r="DD147" s="106">
        <f>IF(AP147="","",IFERROR(AP147*HSTECH!$B$38*HSTECH!$G$38/HSTECH!$B$3,""))</f>
        <v/>
      </c>
      <c r="DE147" s="106">
        <f>IF(AQ147="","",IFERROR(AQ147*HSTECH!$B$38*HSTECH!$G$38/HSTECH!$B$3,""))</f>
        <v/>
      </c>
      <c r="DF147" s="106">
        <f>IF(AR147="","",IFERROR(AR147*HSTECH!$B$38*HSTECH!$G$38/HSTECH!$B$3,""))</f>
        <v/>
      </c>
      <c r="DG147" s="106">
        <f>IF(AS147="","",IFERROR(AS147*HSTECH!$B$38*HSTECH!$G$38/HSTECH!$B$3,""))</f>
        <v/>
      </c>
      <c r="DH147" s="106">
        <f>IF(AT147="","",IFERROR(AT147*HSTECH!$B$38*HSTECH!$G$38/HSTECH!$B$3,""))</f>
        <v/>
      </c>
      <c r="DI147" s="106">
        <f>IF(AU147="","",IFERROR(AU147*HSTECH!$B$38*HSTECH!$G$38/HSTECH!$B$3,""))</f>
        <v/>
      </c>
      <c r="DJ147" s="106">
        <f>IF(AV147="","",IFERROR(AV147*HSTECH!$B$38*HSTECH!$G$38/HSTECH!$B$3,""))</f>
        <v/>
      </c>
      <c r="DK147" s="106">
        <f>IF(AW147="","",IFERROR(AW147*HSTECH!$B$38*HSTECH!$G$38/HSTECH!$B$3,""))</f>
        <v/>
      </c>
      <c r="DL147" s="106">
        <f>IF(AX147="","",IFERROR(AX147*HSTECH!$B$38*HSTECH!$G$38/HSTECH!$B$3,""))</f>
        <v/>
      </c>
      <c r="DM147" s="106">
        <f>IF(AY147="","",IFERROR(AY147*HSTECH!$B$38*HSTECH!$G$38/HSTECH!$B$3,""))</f>
        <v/>
      </c>
      <c r="DN147" s="106">
        <f>IF(AZ147="","",IFERROR(AZ147*HSTECH!$B$38*HSTECH!$G$38/HSTECH!$B$3,""))</f>
        <v/>
      </c>
      <c r="DO147" s="106">
        <f>IF(BA147="","",IFERROR(BA147*HSTECH!$B$38*HSTECH!$G$38/HSTECH!$B$3,""))</f>
        <v/>
      </c>
      <c r="DP147" s="106">
        <f>IF(BB147="","",IFERROR(BB147*HSTECH!$B$38*HSTECH!$G$38/HSTECH!$B$3,""))</f>
        <v/>
      </c>
      <c r="DQ147" s="106">
        <f>IF(BC147="","",IFERROR(BC147*HSTECH!$B$38*HSTECH!$G$38/HSTECH!$B$3,""))</f>
        <v/>
      </c>
      <c r="DR147" s="106">
        <f>IF(BD147="","",IFERROR(BD147*HSTECH!$B$38*HSTECH!$G$38/HSTECH!$B$3,""))</f>
        <v/>
      </c>
      <c r="DS147" s="106">
        <f>IF(BE147="","",IFERROR(BE147*HSTECH!$B$38*HSTECH!$G$38/HSTECH!$B$3,""))</f>
        <v/>
      </c>
      <c r="DT147" s="106">
        <f>IF(BF147="","",IFERROR(BF147*HSTECH!$B$38*HSTECH!$G$38/HSTECH!$B$3,""))</f>
        <v/>
      </c>
      <c r="DU147" s="106">
        <f>IF(BG147="","",IFERROR(BG147*HSTECH!$B$38*HSTECH!$G$38/HSTECH!$B$3,""))</f>
        <v/>
      </c>
      <c r="DV147" s="106">
        <f>IF(BH147="","",IFERROR(BH147*HSTECH!$B$38*HSTECH!$G$38/HSTECH!$B$3,""))</f>
        <v/>
      </c>
      <c r="DW147" s="106">
        <f>IF(BI147="","",IFERROR(BI147*HSTECH!$B$38*HSTECH!$G$38/HSTECH!$B$3,""))</f>
        <v/>
      </c>
      <c r="DX147" s="106">
        <f>IF(BJ147="","",IFERROR(BJ147*HSTECH!$B$38*HSTECH!$G$38/HSTECH!$B$3,""))</f>
        <v/>
      </c>
      <c r="DY147" s="106">
        <f>IF(BK147="","",IFERROR(BK147*HSTECH!$B$38*HSTECH!$G$38/HSTECH!$B$3,""))</f>
        <v/>
      </c>
      <c r="DZ147" s="106">
        <f>IF(BL147="","",IFERROR(BL147*HSTECH!$B$38*HSTECH!$G$38/HSTECH!$B$3,""))</f>
        <v/>
      </c>
      <c r="EA147" s="106">
        <f>IF(BM147="","",IFERROR(BM147*HSTECH!$B$38*HSTECH!$G$38/HSTECH!$B$3,""))</f>
        <v/>
      </c>
      <c r="EB147" s="106">
        <f>IF(BN147="","",IFERROR(BN147*HSTECH!$B$38*HSTECH!$G$38/HSTECH!$B$3,""))</f>
        <v/>
      </c>
      <c r="EC147" s="106">
        <f>IF(BO147="","",IFERROR(BO147*HSTECH!$B$38*HSTECH!$G$38/HSTECH!$B$3,""))</f>
        <v/>
      </c>
      <c r="EE147" s="35">
        <f>IF(N('Dvd Calendar'!$E$1457)=0,"",IF(('Dvd Calendar'!$E$1457&gt;=GRID_FROM)*('Dvd Calendar'!$E$1457&lt;=GRID_TO)*('Dvd Calendar'!$E$1457&lt;=VAL_DATE)=0,"",'Dvd Calendar'!$E$1457*1000000000+ISNUMBER('Dvd Calendar'!$E$1460)*100000000+('Dvd Calendar'!$E$1462=SPECIAL_LBL)*10000000+0*1000000+32*1000+1))</f>
        <v/>
      </c>
      <c r="EF147" s="35">
        <f>IF(N('Dvd Calendar'!$F$1457)=0,"",IF(('Dvd Calendar'!$F$1457&gt;=GRID_FROM)*('Dvd Calendar'!$F$1457&lt;=GRID_TO)*('Dvd Calendar'!$F$1457&lt;=VAL_DATE)=0,"",'Dvd Calendar'!$F$1457*1000000000+ISNUMBER('Dvd Calendar'!$F$1460)*100000000+('Dvd Calendar'!$F$1462=SPECIAL_LBL)*10000000+0*1000000+32*1000+2))</f>
        <v/>
      </c>
      <c r="EG147" s="35">
        <f>IF(N('Dvd Calendar'!$G$1457)=0,"",IF(('Dvd Calendar'!$G$1457&gt;=GRID_FROM)*('Dvd Calendar'!$G$1457&lt;=GRID_TO)*('Dvd Calendar'!$G$1457&lt;=VAL_DATE)=0,"",'Dvd Calendar'!$G$1457*1000000000+ISNUMBER('Dvd Calendar'!$G$1460)*100000000+('Dvd Calendar'!$G$1462=SPECIAL_LBL)*10000000+0*1000000+32*1000+3))</f>
        <v/>
      </c>
      <c r="EH147" s="35">
        <f>IF(N('Dvd Calendar'!$H$1457)=0,"",IF(('Dvd Calendar'!$H$1457&gt;=GRID_FROM)*('Dvd Calendar'!$H$1457&lt;=GRID_TO)*('Dvd Calendar'!$H$1457&lt;=VAL_DATE)=0,"",'Dvd Calendar'!$H$1457*1000000000+ISNUMBER('Dvd Calendar'!$H$1460)*100000000+('Dvd Calendar'!$H$1462=SPECIAL_LBL)*10000000+0*1000000+32*1000+4))</f>
        <v/>
      </c>
      <c r="EI147" s="35">
        <f>IF(N('Dvd Calendar'!$I$1457)=0,"",IF(('Dvd Calendar'!$I$1457&gt;=GRID_FROM)*('Dvd Calendar'!$I$1457&lt;=GRID_TO)*('Dvd Calendar'!$I$1457&lt;=VAL_DATE)=0,"",'Dvd Calendar'!$I$1457*1000000000+ISNUMBER('Dvd Calendar'!$I$1460)*100000000+('Dvd Calendar'!$I$1462=SPECIAL_LBL)*10000000+0*1000000+32*1000+5))</f>
        <v/>
      </c>
      <c r="EJ147" s="35">
        <f>IF(N('Dvd Calendar'!$J$1457)=0,"",IF(('Dvd Calendar'!$J$1457&gt;=GRID_FROM)*('Dvd Calendar'!$J$1457&lt;=GRID_TO)*('Dvd Calendar'!$J$1457&lt;=VAL_DATE)=0,"",'Dvd Calendar'!$J$1457*1000000000+ISNUMBER('Dvd Calendar'!$J$1460)*100000000+('Dvd Calendar'!$J$1462=SPECIAL_LBL)*10000000+0*1000000+32*1000+6))</f>
        <v/>
      </c>
      <c r="EK147" s="35">
        <f>IF(N('Dvd Calendar'!$K$1457)=0,"",IF(('Dvd Calendar'!$K$1457&gt;=GRID_FROM)*('Dvd Calendar'!$K$1457&lt;=GRID_TO)*('Dvd Calendar'!$K$1457&lt;=VAL_DATE)=0,"",'Dvd Calendar'!$K$1457*1000000000+ISNUMBER('Dvd Calendar'!$K$1460)*100000000+('Dvd Calendar'!$K$1462=SPECIAL_LBL)*10000000+0*1000000+32*1000+7))</f>
        <v/>
      </c>
      <c r="EL147" s="35">
        <f>IF(N('Dvd Calendar'!$L$1457)=0,"",IF(('Dvd Calendar'!$L$1457&gt;=GRID_FROM)*('Dvd Calendar'!$L$1457&lt;=GRID_TO)*('Dvd Calendar'!$L$1457&lt;=VAL_DATE)=0,"",'Dvd Calendar'!$L$1457*1000000000+ISNUMBER('Dvd Calendar'!$L$1460)*100000000+('Dvd Calendar'!$L$1462=SPECIAL_LBL)*10000000+0*1000000+32*1000+8))</f>
        <v/>
      </c>
      <c r="EM147" s="35">
        <f>IF(N('Dvd Calendar'!$M$1457)=0,"",IF(('Dvd Calendar'!$M$1457&gt;=GRID_FROM)*('Dvd Calendar'!$M$1457&lt;=GRID_TO)*('Dvd Calendar'!$M$1457&lt;=VAL_DATE)=0,"",'Dvd Calendar'!$M$1457*1000000000+ISNUMBER('Dvd Calendar'!$M$1460)*100000000+('Dvd Calendar'!$M$1462=SPECIAL_LBL)*10000000+0*1000000+32*1000+9))</f>
        <v/>
      </c>
      <c r="EN147" s="35">
        <f>IF(N('Dvd Calendar'!$N$1457)=0,"",IF(('Dvd Calendar'!$N$1457&gt;=GRID_FROM)*('Dvd Calendar'!$N$1457&lt;=GRID_TO)*('Dvd Calendar'!$N$1457&lt;=VAL_DATE)=0,"",'Dvd Calendar'!$N$1457*1000000000+ISNUMBER('Dvd Calendar'!$N$1460)*100000000+('Dvd Calendar'!$N$1462=SPECIAL_LBL)*10000000+0*1000000+32*1000+10))</f>
        <v/>
      </c>
      <c r="EO147" s="35">
        <f>IF(N('Dvd Calendar'!$O$1457)=0,"",IF(('Dvd Calendar'!$O$1457&gt;=GRID_FROM)*('Dvd Calendar'!$O$1457&lt;=GRID_TO)*('Dvd Calendar'!$O$1457&lt;=VAL_DATE)=0,"",'Dvd Calendar'!$O$1457*1000000000+ISNUMBER('Dvd Calendar'!$O$1460)*100000000+('Dvd Calendar'!$O$1462=SPECIAL_LBL)*10000000+0*1000000+32*1000+11))</f>
        <v/>
      </c>
      <c r="EP147" s="35">
        <f>IF(N('Dvd Calendar'!$P$1457)=0,"",IF(('Dvd Calendar'!$P$1457&gt;=GRID_FROM)*('Dvd Calendar'!$P$1457&lt;=GRID_TO)*('Dvd Calendar'!$P$1457&lt;=VAL_DATE)=0,"",'Dvd Calendar'!$P$1457*1000000000+ISNUMBER('Dvd Calendar'!$P$1460)*100000000+('Dvd Calendar'!$P$1462=SPECIAL_LBL)*10000000+0*1000000+32*1000+12))</f>
        <v/>
      </c>
      <c r="EQ147" s="35">
        <f>IF(N('Dvd Calendar'!$Q$1457)=0,"",IF(('Dvd Calendar'!$Q$1457&gt;=GRID_FROM)*('Dvd Calendar'!$Q$1457&lt;=GRID_TO)*('Dvd Calendar'!$Q$1457&lt;=VAL_DATE)=0,"",'Dvd Calendar'!$Q$1457*1000000000+ISNUMBER('Dvd Calendar'!$Q$1460)*100000000+('Dvd Calendar'!$Q$1462=SPECIAL_LBL)*10000000+0*1000000+32*1000+13))</f>
        <v/>
      </c>
      <c r="ER147" s="35">
        <f>IF(N('Dvd Calendar'!$R$1457)=0,"",IF(('Dvd Calendar'!$R$1457&gt;=GRID_FROM)*('Dvd Calendar'!$R$1457&lt;=GRID_TO)*('Dvd Calendar'!$R$1457&lt;=VAL_DATE)=0,"",'Dvd Calendar'!$R$1457*1000000000+ISNUMBER('Dvd Calendar'!$R$1460)*100000000+('Dvd Calendar'!$R$1462=SPECIAL_LBL)*10000000+0*1000000+32*1000+14))</f>
        <v/>
      </c>
      <c r="ES147" s="35">
        <f>IF(N('Dvd Calendar'!$S$1457)=0,"",IF(('Dvd Calendar'!$S$1457&gt;=GRID_FROM)*('Dvd Calendar'!$S$1457&lt;=GRID_TO)*('Dvd Calendar'!$S$1457&lt;=VAL_DATE)=0,"",'Dvd Calendar'!$S$1457*1000000000+ISNUMBER('Dvd Calendar'!$S$1460)*100000000+('Dvd Calendar'!$S$1462=SPECIAL_LBL)*10000000+0*1000000+32*1000+15))</f>
        <v/>
      </c>
      <c r="ET147" s="35">
        <f>IF(N('Dvd Calendar'!$T$1457)=0,"",IF(('Dvd Calendar'!$T$1457&gt;=GRID_FROM)*('Dvd Calendar'!$T$1457&lt;=GRID_TO)*('Dvd Calendar'!$T$1457&lt;=VAL_DATE)=0,"",'Dvd Calendar'!$T$1457*1000000000+ISNUMBER('Dvd Calendar'!$T$1460)*100000000+('Dvd Calendar'!$T$1462=SPECIAL_LBL)*10000000+0*1000000+32*1000+16))</f>
        <v/>
      </c>
      <c r="EU147" s="35">
        <f>IF(N('Dvd Calendar'!$U$1457)=0,"",IF(('Dvd Calendar'!$U$1457&gt;=GRID_FROM)*('Dvd Calendar'!$U$1457&lt;=GRID_TO)*('Dvd Calendar'!$U$1457&lt;=VAL_DATE)=0,"",'Dvd Calendar'!$U$1457*1000000000+ISNUMBER('Dvd Calendar'!$U$1460)*100000000+('Dvd Calendar'!$U$1462=SPECIAL_LBL)*10000000+0*1000000+32*1000+17))</f>
        <v/>
      </c>
      <c r="EV147" s="35">
        <f>IF(N('Dvd Calendar'!$V$1457)=0,"",IF(('Dvd Calendar'!$V$1457&gt;=GRID_FROM)*('Dvd Calendar'!$V$1457&lt;=GRID_TO)*('Dvd Calendar'!$V$1457&lt;=VAL_DATE)=0,"",'Dvd Calendar'!$V$1457*1000000000+ISNUMBER('Dvd Calendar'!$V$1460)*100000000+('Dvd Calendar'!$V$1462=SPECIAL_LBL)*10000000+0*1000000+32*1000+18))</f>
        <v/>
      </c>
      <c r="EW147" s="35">
        <f>IF(N('Dvd Calendar'!$W$1457)=0,"",IF(('Dvd Calendar'!$W$1457&gt;=GRID_FROM)*('Dvd Calendar'!$W$1457&lt;=GRID_TO)*('Dvd Calendar'!$W$1457&lt;=VAL_DATE)=0,"",'Dvd Calendar'!$W$1457*1000000000+ISNUMBER('Dvd Calendar'!$W$1460)*100000000+('Dvd Calendar'!$W$1462=SPECIAL_LBL)*10000000+0*1000000+32*1000+19))</f>
        <v/>
      </c>
      <c r="EX147" s="35">
        <f>IF(N('Dvd Calendar'!$X$1457)=0,"",IF(('Dvd Calendar'!$X$1457&gt;=GRID_FROM)*('Dvd Calendar'!$X$1457&lt;=GRID_TO)*('Dvd Calendar'!$X$1457&lt;=VAL_DATE)=0,"",'Dvd Calendar'!$X$1457*1000000000+ISNUMBER('Dvd Calendar'!$X$1460)*100000000+('Dvd Calendar'!$X$1462=SPECIAL_LBL)*10000000+0*1000000+32*1000+20))</f>
        <v/>
      </c>
      <c r="EY147" s="35">
        <f>IF(N('Dvd Calendar'!$Y$1457)=0,"",IF(('Dvd Calendar'!$Y$1457&gt;=GRID_FROM)*('Dvd Calendar'!$Y$1457&lt;=GRID_TO)*('Dvd Calendar'!$Y$1457&lt;=VAL_DATE)=0,"",'Dvd Calendar'!$Y$1457*1000000000+ISNUMBER('Dvd Calendar'!$Y$1460)*100000000+('Dvd Calendar'!$Y$1462=SPECIAL_LBL)*10000000+0*1000000+32*1000+21))</f>
        <v/>
      </c>
      <c r="EZ147" s="35">
        <f>IF(N('Dvd Calendar'!$Z$1457)=0,"",IF(('Dvd Calendar'!$Z$1457&gt;=GRID_FROM)*('Dvd Calendar'!$Z$1457&lt;=GRID_TO)*('Dvd Calendar'!$Z$1457&lt;=VAL_DATE)=0,"",'Dvd Calendar'!$Z$1457*1000000000+ISNUMBER('Dvd Calendar'!$Z$1460)*100000000+('Dvd Calendar'!$Z$1462=SPECIAL_LBL)*10000000+0*1000000+32*1000+22))</f>
        <v/>
      </c>
      <c r="FA147" s="35">
        <f>IF(N('Dvd Calendar'!$AA$1457)=0,"",IF(('Dvd Calendar'!$AA$1457&gt;=GRID_FROM)*('Dvd Calendar'!$AA$1457&lt;=GRID_TO)*('Dvd Calendar'!$AA$1457&lt;=VAL_DATE)=0,"",'Dvd Calendar'!$AA$1457*1000000000+ISNUMBER('Dvd Calendar'!$AA$1460)*100000000+('Dvd Calendar'!$AA$1462=SPECIAL_LBL)*10000000+0*1000000+32*1000+23))</f>
        <v/>
      </c>
      <c r="FB147" s="35">
        <f>IF(N('Dvd Calendar'!$AB$1457)=0,"",IF(('Dvd Calendar'!$AB$1457&gt;=GRID_FROM)*('Dvd Calendar'!$AB$1457&lt;=GRID_TO)*('Dvd Calendar'!$AB$1457&lt;=VAL_DATE)=0,"",'Dvd Calendar'!$AB$1457*1000000000+ISNUMBER('Dvd Calendar'!$AB$1460)*100000000+('Dvd Calendar'!$AB$1462=SPECIAL_LBL)*10000000+0*1000000+32*1000+24))</f>
        <v/>
      </c>
      <c r="FC147" s="35">
        <f>IF(N('Dvd Calendar'!$AC$1457)=0,"",IF(('Dvd Calendar'!$AC$1457&gt;=GRID_FROM)*('Dvd Calendar'!$AC$1457&lt;=GRID_TO)*('Dvd Calendar'!$AC$1457&lt;=VAL_DATE)=0,"",'Dvd Calendar'!$AC$1457*1000000000+ISNUMBER('Dvd Calendar'!$AC$1460)*100000000+('Dvd Calendar'!$AC$1462=SPECIAL_LBL)*10000000+0*1000000+32*1000+25))</f>
        <v/>
      </c>
      <c r="FD147" s="35">
        <f>IF(N('Dvd Calendar'!$AD$1457)=0,"",IF(('Dvd Calendar'!$AD$1457&gt;=GRID_FROM)*('Dvd Calendar'!$AD$1457&lt;=GRID_TO)*('Dvd Calendar'!$AD$1457&lt;=VAL_DATE)=0,"",'Dvd Calendar'!$AD$1457*1000000000+ISNUMBER('Dvd Calendar'!$AD$1460)*100000000+('Dvd Calendar'!$AD$1462=SPECIAL_LBL)*10000000+0*1000000+32*1000+26))</f>
        <v/>
      </c>
      <c r="FE147" s="35">
        <f>IF(N('Dvd Calendar'!$AE$1457)=0,"",IF(('Dvd Calendar'!$AE$1457&gt;=GRID_FROM)*('Dvd Calendar'!$AE$1457&lt;=GRID_TO)*('Dvd Calendar'!$AE$1457&lt;=VAL_DATE)=0,"",'Dvd Calendar'!$AE$1457*1000000000+ISNUMBER('Dvd Calendar'!$AE$1460)*100000000+('Dvd Calendar'!$AE$1462=SPECIAL_LBL)*10000000+0*1000000+32*1000+27))</f>
        <v/>
      </c>
      <c r="FF147" s="35">
        <f>IF(N('Dvd Calendar'!$AF$1457)=0,"",IF(('Dvd Calendar'!$AF$1457&gt;=GRID_FROM)*('Dvd Calendar'!$AF$1457&lt;=GRID_TO)*('Dvd Calendar'!$AF$1457&lt;=VAL_DATE)=0,"",'Dvd Calendar'!$AF$1457*1000000000+ISNUMBER('Dvd Calendar'!$AF$1460)*100000000+('Dvd Calendar'!$AF$1462=SPECIAL_LBL)*10000000+0*1000000+32*1000+28))</f>
        <v/>
      </c>
      <c r="FG147" s="35">
        <f>IF(N('Dvd Calendar'!$AG$1457)=0,"",IF(('Dvd Calendar'!$AG$1457&gt;=GRID_FROM)*('Dvd Calendar'!$AG$1457&lt;=GRID_TO)*('Dvd Calendar'!$AG$1457&lt;=VAL_DATE)=0,"",'Dvd Calendar'!$AG$1457*1000000000+ISNUMBER('Dvd Calendar'!$AG$1460)*100000000+('Dvd Calendar'!$AG$1462=SPECIAL_LBL)*10000000+0*1000000+32*1000+29))</f>
        <v/>
      </c>
      <c r="FH147" s="35">
        <f>IF(N('Dvd Calendar'!$AH$1457)=0,"",IF(('Dvd Calendar'!$AH$1457&gt;=GRID_FROM)*('Dvd Calendar'!$AH$1457&lt;=GRID_TO)*('Dvd Calendar'!$AH$1457&lt;=VAL_DATE)=0,"",'Dvd Calendar'!$AH$1457*1000000000+ISNUMBER('Dvd Calendar'!$AH$1460)*100000000+('Dvd Calendar'!$AH$1462=SPECIAL_LBL)*10000000+0*1000000+32*1000+30))</f>
        <v/>
      </c>
      <c r="FI147" s="35">
        <f>IF(N('Dvd Calendar'!$AI$1457)=0,"",IF(('Dvd Calendar'!$AI$1457&gt;=GRID_FROM)*('Dvd Calendar'!$AI$1457&lt;=GRID_TO)*('Dvd Calendar'!$AI$1457&lt;=VAL_DATE)=0,"",'Dvd Calendar'!$AI$1457*1000000000+ISNUMBER('Dvd Calendar'!$AI$1460)*100000000+('Dvd Calendar'!$AI$1462=SPECIAL_LBL)*10000000+0*1000000+32*1000+31))</f>
        <v/>
      </c>
      <c r="FJ147" s="35">
        <f>IF(N('Dvd Calendar'!$AJ$1457)=0,"",IF(('Dvd Calendar'!$AJ$1457&gt;=GRID_FROM)*('Dvd Calendar'!$AJ$1457&lt;=GRID_TO)*('Dvd Calendar'!$AJ$1457&lt;=VAL_DATE)=0,"",'Dvd Calendar'!$AJ$1457*1000000000+ISNUMBER('Dvd Calendar'!$AJ$1460)*100000000+('Dvd Calendar'!$AJ$1462=SPECIAL_LBL)*10000000+0*1000000+32*1000+32))</f>
        <v/>
      </c>
      <c r="FK147" s="35">
        <f>IF(N('Dvd Calendar'!$AK$1457)=0,"",IF(('Dvd Calendar'!$AK$1457&gt;=GRID_FROM)*('Dvd Calendar'!$AK$1457&lt;=GRID_TO)*('Dvd Calendar'!$AK$1457&lt;=VAL_DATE)=0,"",'Dvd Calendar'!$AK$1457*1000000000+ISNUMBER('Dvd Calendar'!$AK$1460)*100000000+('Dvd Calendar'!$AK$1462=SPECIAL_LBL)*10000000+0*1000000+32*1000+33))</f>
        <v/>
      </c>
      <c r="FL147" s="35">
        <f>IF(N('Dvd Calendar'!$AL$1457)=0,"",IF(('Dvd Calendar'!$AL$1457&gt;=GRID_FROM)*('Dvd Calendar'!$AL$1457&lt;=GRID_TO)*('Dvd Calendar'!$AL$1457&lt;=VAL_DATE)=0,"",'Dvd Calendar'!$AL$1457*1000000000+ISNUMBER('Dvd Calendar'!$AL$1460)*100000000+('Dvd Calendar'!$AL$1462=SPECIAL_LBL)*10000000+0*1000000+32*1000+34))</f>
        <v/>
      </c>
      <c r="FM147" s="35">
        <f>IF(N('Dvd Calendar'!$AM$1457)=0,"",IF(('Dvd Calendar'!$AM$1457&gt;=GRID_FROM)*('Dvd Calendar'!$AM$1457&lt;=GRID_TO)*('Dvd Calendar'!$AM$1457&lt;=VAL_DATE)=0,"",'Dvd Calendar'!$AM$1457*1000000000+ISNUMBER('Dvd Calendar'!$AM$1460)*100000000+('Dvd Calendar'!$AM$1462=SPECIAL_LBL)*10000000+0*1000000+32*1000+35))</f>
        <v/>
      </c>
      <c r="FN147" s="35">
        <f>IF(N('Dvd Calendar'!$AN$1457)=0,"",IF(('Dvd Calendar'!$AN$1457&gt;=GRID_FROM)*('Dvd Calendar'!$AN$1457&lt;=GRID_TO)*('Dvd Calendar'!$AN$1457&lt;=VAL_DATE)=0,"",'Dvd Calendar'!$AN$1457*1000000000+ISNUMBER('Dvd Calendar'!$AN$1460)*100000000+('Dvd Calendar'!$AN$1462=SPECIAL_LBL)*10000000+0*1000000+32*1000+36))</f>
        <v/>
      </c>
      <c r="FO147" s="35">
        <f>IF(N('Dvd Calendar'!$AO$1457)=0,"",IF(('Dvd Calendar'!$AO$1457&gt;=GRID_FROM)*('Dvd Calendar'!$AO$1457&lt;=GRID_TO)*('Dvd Calendar'!$AO$1457&lt;=VAL_DATE)=0,"",'Dvd Calendar'!$AO$1457*1000000000+ISNUMBER('Dvd Calendar'!$AO$1460)*100000000+('Dvd Calendar'!$AO$1462=SPECIAL_LBL)*10000000+0*1000000+32*1000+37))</f>
        <v/>
      </c>
      <c r="FP147" s="35">
        <f>IF(N('Dvd Calendar'!$AP$1457)=0,"",IF(('Dvd Calendar'!$AP$1457&gt;=GRID_FROM)*('Dvd Calendar'!$AP$1457&lt;=GRID_TO)*('Dvd Calendar'!$AP$1457&lt;=VAL_DATE)=0,"",'Dvd Calendar'!$AP$1457*1000000000+ISNUMBER('Dvd Calendar'!$AP$1460)*100000000+('Dvd Calendar'!$AP$1462=SPECIAL_LBL)*10000000+0*1000000+32*1000+38))</f>
        <v/>
      </c>
      <c r="FQ147" s="35">
        <f>IF(N('Dvd Calendar'!$AQ$1457)=0,"",IF(('Dvd Calendar'!$AQ$1457&gt;=GRID_FROM)*('Dvd Calendar'!$AQ$1457&lt;=GRID_TO)*('Dvd Calendar'!$AQ$1457&lt;=VAL_DATE)=0,"",'Dvd Calendar'!$AQ$1457*1000000000+ISNUMBER('Dvd Calendar'!$AQ$1460)*100000000+('Dvd Calendar'!$AQ$1462=SPECIAL_LBL)*10000000+0*1000000+32*1000+39))</f>
        <v/>
      </c>
      <c r="FR147" s="35">
        <f>IF(N('Dvd Calendar'!$AR$1457)=0,"",IF(('Dvd Calendar'!$AR$1457&gt;=GRID_FROM)*('Dvd Calendar'!$AR$1457&lt;=GRID_TO)*('Dvd Calendar'!$AR$1457&lt;=VAL_DATE)=0,"",'Dvd Calendar'!$AR$1457*1000000000+ISNUMBER('Dvd Calendar'!$AR$1460)*100000000+('Dvd Calendar'!$AR$1462=SPECIAL_LBL)*10000000+0*1000000+32*1000+40))</f>
        <v/>
      </c>
      <c r="FS147" s="35">
        <f>IF(N('Dvd Calendar'!$E$1464)=0,"",IF(('Dvd Calendar'!$E$1464&gt;=GRID_FROM)*('Dvd Calendar'!$E$1464&lt;=GRID_TO)*('Dvd Calendar'!$E$1464&gt;VAL_DATE)=0,"",'Dvd Calendar'!$E$1464*1000000000+ISNUMBER('Dvd Calendar'!$E$1465)*100000000+0*10000000+(N('Dvd Calendar'!$E$1463)&gt;0)*(N('Dvd Calendar'!$E$1463)&lt;=VAL_SERIAL)*1000000+32*1000+41))</f>
        <v/>
      </c>
      <c r="FT147" s="35">
        <f>IF(N('Dvd Calendar'!$F$1464)=0,"",IF(('Dvd Calendar'!$F$1464&gt;=GRID_FROM)*('Dvd Calendar'!$F$1464&lt;=GRID_TO)*('Dvd Calendar'!$F$1464&gt;VAL_DATE)=0,"",'Dvd Calendar'!$F$1464*1000000000+ISNUMBER('Dvd Calendar'!$F$1465)*100000000+0*10000000+(N('Dvd Calendar'!$F$1463)&gt;0)*(N('Dvd Calendar'!$F$1463)&lt;=VAL_SERIAL)*1000000+32*1000+42))</f>
        <v/>
      </c>
      <c r="FU147" s="35">
        <f>IF(N('Dvd Calendar'!$G$1464)=0,"",IF(('Dvd Calendar'!$G$1464&gt;=GRID_FROM)*('Dvd Calendar'!$G$1464&lt;=GRID_TO)*('Dvd Calendar'!$G$1464&gt;VAL_DATE)=0,"",'Dvd Calendar'!$G$1464*1000000000+ISNUMBER('Dvd Calendar'!$G$1465)*100000000+0*10000000+(N('Dvd Calendar'!$G$1463)&gt;0)*(N('Dvd Calendar'!$G$1463)&lt;=VAL_SERIAL)*1000000+32*1000+43))</f>
        <v/>
      </c>
      <c r="FV147" s="35">
        <f>IF(N('Dvd Calendar'!$H$1464)=0,"",IF(('Dvd Calendar'!$H$1464&gt;=GRID_FROM)*('Dvd Calendar'!$H$1464&lt;=GRID_TO)*('Dvd Calendar'!$H$1464&gt;VAL_DATE)=0,"",'Dvd Calendar'!$H$1464*1000000000+ISNUMBER('Dvd Calendar'!$H$1465)*100000000+0*10000000+(N('Dvd Calendar'!$H$1463)&gt;0)*(N('Dvd Calendar'!$H$1463)&lt;=VAL_SERIAL)*1000000+32*1000+44))</f>
        <v/>
      </c>
      <c r="FW147" s="35">
        <f>IF(N('Dvd Calendar'!$I$1464)=0,"",IF(('Dvd Calendar'!$I$1464&gt;=GRID_FROM)*('Dvd Calendar'!$I$1464&lt;=GRID_TO)*('Dvd Calendar'!$I$1464&gt;VAL_DATE)=0,"",'Dvd Calendar'!$I$1464*1000000000+ISNUMBER('Dvd Calendar'!$I$1465)*100000000+0*10000000+(N('Dvd Calendar'!$I$1463)&gt;0)*(N('Dvd Calendar'!$I$1463)&lt;=VAL_SERIAL)*1000000+32*1000+45))</f>
        <v/>
      </c>
      <c r="FX147" s="35">
        <f>IF(N('Dvd Calendar'!$J$1464)=0,"",IF(('Dvd Calendar'!$J$1464&gt;=GRID_FROM)*('Dvd Calendar'!$J$1464&lt;=GRID_TO)*('Dvd Calendar'!$J$1464&gt;VAL_DATE)=0,"",'Dvd Calendar'!$J$1464*1000000000+ISNUMBER('Dvd Calendar'!$J$1465)*100000000+0*10000000+(N('Dvd Calendar'!$J$1463)&gt;0)*(N('Dvd Calendar'!$J$1463)&lt;=VAL_SERIAL)*1000000+32*1000+46))</f>
        <v/>
      </c>
      <c r="FY147" s="35">
        <f>IF(N('Dvd Calendar'!$K$1464)=0,"",IF(('Dvd Calendar'!$K$1464&gt;=GRID_FROM)*('Dvd Calendar'!$K$1464&lt;=GRID_TO)*('Dvd Calendar'!$K$1464&gt;VAL_DATE)=0,"",'Dvd Calendar'!$K$1464*1000000000+ISNUMBER('Dvd Calendar'!$K$1465)*100000000+0*10000000+(N('Dvd Calendar'!$K$1463)&gt;0)*(N('Dvd Calendar'!$K$1463)&lt;=VAL_SERIAL)*1000000+32*1000+47))</f>
        <v/>
      </c>
      <c r="FZ147" s="35">
        <f>IF(N('Dvd Calendar'!$L$1464)=0,"",IF(('Dvd Calendar'!$L$1464&gt;=GRID_FROM)*('Dvd Calendar'!$L$1464&lt;=GRID_TO)*('Dvd Calendar'!$L$1464&gt;VAL_DATE)=0,"",'Dvd Calendar'!$L$1464*1000000000+ISNUMBER('Dvd Calendar'!$L$1465)*100000000+0*10000000+(N('Dvd Calendar'!$L$1463)&gt;0)*(N('Dvd Calendar'!$L$1463)&lt;=VAL_SERIAL)*1000000+32*1000+48))</f>
        <v/>
      </c>
      <c r="GA147" s="35">
        <f>IF(N('Dvd Calendar'!$M$1464)=0,"",IF(('Dvd Calendar'!$M$1464&gt;=GRID_FROM)*('Dvd Calendar'!$M$1464&lt;=GRID_TO)*('Dvd Calendar'!$M$1464&gt;VAL_DATE)=0,"",'Dvd Calendar'!$M$1464*1000000000+ISNUMBER('Dvd Calendar'!$M$1465)*100000000+0*10000000+(N('Dvd Calendar'!$M$1463)&gt;0)*(N('Dvd Calendar'!$M$1463)&lt;=VAL_SERIAL)*1000000+32*1000+49))</f>
        <v/>
      </c>
      <c r="GB147" s="35">
        <f>IF(N('Dvd Calendar'!$N$1464)=0,"",IF(('Dvd Calendar'!$N$1464&gt;=GRID_FROM)*('Dvd Calendar'!$N$1464&lt;=GRID_TO)*('Dvd Calendar'!$N$1464&gt;VAL_DATE)=0,"",'Dvd Calendar'!$N$1464*1000000000+ISNUMBER('Dvd Calendar'!$N$1465)*100000000+0*10000000+(N('Dvd Calendar'!$N$1463)&gt;0)*(N('Dvd Calendar'!$N$1463)&lt;=VAL_SERIAL)*1000000+32*1000+50))</f>
        <v/>
      </c>
      <c r="GC147" s="35">
        <f>IF(N('Dvd Calendar'!$O$1464)=0,"",IF(('Dvd Calendar'!$O$1464&gt;=GRID_FROM)*('Dvd Calendar'!$O$1464&lt;=GRID_TO)*('Dvd Calendar'!$O$1464&gt;VAL_DATE)=0,"",'Dvd Calendar'!$O$1464*1000000000+ISNUMBER('Dvd Calendar'!$O$1465)*100000000+0*10000000+(N('Dvd Calendar'!$O$1463)&gt;0)*(N('Dvd Calendar'!$O$1463)&lt;=VAL_SERIAL)*1000000+32*1000+51))</f>
        <v/>
      </c>
      <c r="GD147" s="35">
        <f>IF(N('Dvd Calendar'!$P$1464)=0,"",IF(('Dvd Calendar'!$P$1464&gt;=GRID_FROM)*('Dvd Calendar'!$P$1464&lt;=GRID_TO)*('Dvd Calendar'!$P$1464&gt;VAL_DATE)=0,"",'Dvd Calendar'!$P$1464*1000000000+ISNUMBER('Dvd Calendar'!$P$1465)*100000000+0*10000000+(N('Dvd Calendar'!$P$1463)&gt;0)*(N('Dvd Calendar'!$P$1463)&lt;=VAL_SERIAL)*1000000+32*1000+52))</f>
        <v/>
      </c>
      <c r="GE147" s="35">
        <f>IF(N('Dvd Calendar'!$Q$1464)=0,"",IF(('Dvd Calendar'!$Q$1464&gt;=GRID_FROM)*('Dvd Calendar'!$Q$1464&lt;=GRID_TO)*('Dvd Calendar'!$Q$1464&gt;VAL_DATE)=0,"",'Dvd Calendar'!$Q$1464*1000000000+ISNUMBER('Dvd Calendar'!$Q$1465)*100000000+0*10000000+(N('Dvd Calendar'!$Q$1463)&gt;0)*(N('Dvd Calendar'!$Q$1463)&lt;=VAL_SERIAL)*1000000+32*1000+53))</f>
        <v/>
      </c>
      <c r="GF147" s="35">
        <f>IF(N('Dvd Calendar'!$R$1464)=0,"",IF(('Dvd Calendar'!$R$1464&gt;=GRID_FROM)*('Dvd Calendar'!$R$1464&lt;=GRID_TO)*('Dvd Calendar'!$R$1464&gt;VAL_DATE)=0,"",'Dvd Calendar'!$R$1464*1000000000+ISNUMBER('Dvd Calendar'!$R$1465)*100000000+0*10000000+(N('Dvd Calendar'!$R$1463)&gt;0)*(N('Dvd Calendar'!$R$1463)&lt;=VAL_SERIAL)*1000000+32*1000+54))</f>
        <v/>
      </c>
      <c r="GG147" s="35">
        <f>IF(N('Dvd Calendar'!$S$1464)=0,"",IF(('Dvd Calendar'!$S$1464&gt;=GRID_FROM)*('Dvd Calendar'!$S$1464&lt;=GRID_TO)*('Dvd Calendar'!$S$1464&gt;VAL_DATE)=0,"",'Dvd Calendar'!$S$1464*1000000000+ISNUMBER('Dvd Calendar'!$S$1465)*100000000+0*10000000+(N('Dvd Calendar'!$S$1463)&gt;0)*(N('Dvd Calendar'!$S$1463)&lt;=VAL_SERIAL)*1000000+32*1000+55))</f>
        <v/>
      </c>
      <c r="GH147" s="35">
        <f>IF(N('Dvd Calendar'!$T$1464)=0,"",IF(('Dvd Calendar'!$T$1464&gt;=GRID_FROM)*('Dvd Calendar'!$T$1464&lt;=GRID_TO)*('Dvd Calendar'!$T$1464&gt;VAL_DATE)=0,"",'Dvd Calendar'!$T$1464*1000000000+ISNUMBER('Dvd Calendar'!$T$1465)*100000000+0*10000000+(N('Dvd Calendar'!$T$1463)&gt;0)*(N('Dvd Calendar'!$T$1463)&lt;=VAL_SERIAL)*1000000+32*1000+56))</f>
        <v/>
      </c>
      <c r="GI147" s="35">
        <f>IF(N('Dvd Calendar'!$U$1464)=0,"",IF(('Dvd Calendar'!$U$1464&gt;=GRID_FROM)*('Dvd Calendar'!$U$1464&lt;=GRID_TO)*('Dvd Calendar'!$U$1464&gt;VAL_DATE)=0,"",'Dvd Calendar'!$U$1464*1000000000+ISNUMBER('Dvd Calendar'!$U$1465)*100000000+0*10000000+(N('Dvd Calendar'!$U$1463)&gt;0)*(N('Dvd Calendar'!$U$1463)&lt;=VAL_SERIAL)*1000000+32*1000+57))</f>
        <v/>
      </c>
      <c r="GJ147" s="35">
        <f>IF(N('Dvd Calendar'!$V$1464)=0,"",IF(('Dvd Calendar'!$V$1464&gt;=GRID_FROM)*('Dvd Calendar'!$V$1464&lt;=GRID_TO)*('Dvd Calendar'!$V$1464&gt;VAL_DATE)=0,"",'Dvd Calendar'!$V$1464*1000000000+ISNUMBER('Dvd Calendar'!$V$1465)*100000000+0*10000000+(N('Dvd Calendar'!$V$1463)&gt;0)*(N('Dvd Calendar'!$V$1463)&lt;=VAL_SERIAL)*1000000+32*1000+58))</f>
        <v/>
      </c>
      <c r="GK147" s="35">
        <f>IF(N('Dvd Calendar'!$W$1464)=0,"",IF(('Dvd Calendar'!$W$1464&gt;=GRID_FROM)*('Dvd Calendar'!$W$1464&lt;=GRID_TO)*('Dvd Calendar'!$W$1464&gt;VAL_DATE)=0,"",'Dvd Calendar'!$W$1464*1000000000+ISNUMBER('Dvd Calendar'!$W$1465)*100000000+0*10000000+(N('Dvd Calendar'!$W$1463)&gt;0)*(N('Dvd Calendar'!$W$1463)&lt;=VAL_SERIAL)*1000000+32*1000+59))</f>
        <v/>
      </c>
      <c r="GL147" s="35">
        <f>IF(N('Dvd Calendar'!$X$1464)=0,"",IF(('Dvd Calendar'!$X$1464&gt;=GRID_FROM)*('Dvd Calendar'!$X$1464&lt;=GRID_TO)*('Dvd Calendar'!$X$1464&gt;VAL_DATE)=0,"",'Dvd Calendar'!$X$1464*1000000000+ISNUMBER('Dvd Calendar'!$X$1465)*100000000+0*10000000+(N('Dvd Calendar'!$X$1463)&gt;0)*(N('Dvd Calendar'!$X$1463)&lt;=VAL_SERIAL)*1000000+32*1000+60))</f>
        <v/>
      </c>
      <c r="GM147" s="35">
        <f>IF(N('Dvd Calendar'!$Y$1464)=0,"",IF(('Dvd Calendar'!$Y$1464&gt;=GRID_FROM)*('Dvd Calendar'!$Y$1464&lt;=GRID_TO)*('Dvd Calendar'!$Y$1464&gt;VAL_DATE)=0,"",'Dvd Calendar'!$Y$1464*1000000000+ISNUMBER('Dvd Calendar'!$Y$1465)*100000000+0*10000000+(N('Dvd Calendar'!$Y$1463)&gt;0)*(N('Dvd Calendar'!$Y$1463)&lt;=VAL_SERIAL)*1000000+32*1000+61))</f>
        <v/>
      </c>
      <c r="GN147" s="35">
        <f>IF(N('Dvd Calendar'!$Z$1464)=0,"",IF(('Dvd Calendar'!$Z$1464&gt;=GRID_FROM)*('Dvd Calendar'!$Z$1464&lt;=GRID_TO)*('Dvd Calendar'!$Z$1464&gt;VAL_DATE)=0,"",'Dvd Calendar'!$Z$1464*1000000000+ISNUMBER('Dvd Calendar'!$Z$1465)*100000000+0*10000000+(N('Dvd Calendar'!$Z$1463)&gt;0)*(N('Dvd Calendar'!$Z$1463)&lt;=VAL_SERIAL)*1000000+32*1000+62))</f>
        <v/>
      </c>
      <c r="GO147" s="35">
        <f>IF(N('Dvd Calendar'!$AA$1464)=0,"",IF(('Dvd Calendar'!$AA$1464&gt;=GRID_FROM)*('Dvd Calendar'!$AA$1464&lt;=GRID_TO)*('Dvd Calendar'!$AA$1464&gt;VAL_DATE)=0,"",'Dvd Calendar'!$AA$1464*1000000000+ISNUMBER('Dvd Calendar'!$AA$1465)*100000000+0*10000000+(N('Dvd Calendar'!$AA$1463)&gt;0)*(N('Dvd Calendar'!$AA$1463)&lt;=VAL_SERIAL)*1000000+32*1000+63))</f>
        <v/>
      </c>
      <c r="GP147" s="35">
        <f>IF(N('Dvd Calendar'!$AB$1464)=0,"",IF(('Dvd Calendar'!$AB$1464&gt;=GRID_FROM)*('Dvd Calendar'!$AB$1464&lt;=GRID_TO)*('Dvd Calendar'!$AB$1464&gt;VAL_DATE)=0,"",'Dvd Calendar'!$AB$1464*1000000000+ISNUMBER('Dvd Calendar'!$AB$1465)*100000000+0*10000000+(N('Dvd Calendar'!$AB$1463)&gt;0)*(N('Dvd Calendar'!$AB$1463)&lt;=VAL_SERIAL)*1000000+32*1000+64))</f>
        <v/>
      </c>
      <c r="GQ147" s="35">
        <f>IF(N('Dvd Calendar'!$AC$1464)=0,"",IF(('Dvd Calendar'!$AC$1464&gt;=GRID_FROM)*('Dvd Calendar'!$AC$1464&lt;=GRID_TO)*('Dvd Calendar'!$AC$1464&gt;VAL_DATE)=0,"",'Dvd Calendar'!$AC$1464*1000000000+ISNUMBER('Dvd Calendar'!$AC$1465)*100000000+0*10000000+(N('Dvd Calendar'!$AC$1463)&gt;0)*(N('Dvd Calendar'!$AC$1463)&lt;=VAL_SERIAL)*1000000+32*1000+65))</f>
        <v/>
      </c>
    </row>
    <row r="148">
      <c r="B148" s="2">
        <f>IF(HSTECH!$C$39="","",HSTECH!$C$39)</f>
        <v/>
      </c>
      <c r="C148" s="106">
        <f>IF(EE148="","",IF(ISNUMBER('Dvd Calendar'!$E$1471)=FALSE,"",IF((('Dvd Calendar'!$E$1473=TYPE1)*(TYPE1&lt;&gt;"")+('Dvd Calendar'!$E$1473=TYPE2)*(TYPE2&lt;&gt;"")+('Dvd Calendar'!$E$1473=TYPE3)*(TYPE3&lt;&gt;"")+('Dvd Calendar'!$E$1473=TYPE4)*(TYPE4&lt;&gt;"")+('Dvd Calendar'!$E$1473=SPECIAL_LBL)*(INC_SPECIALS="Y"))=0,"",'Dvd Calendar'!$E$1471)))</f>
        <v/>
      </c>
      <c r="D148" s="106">
        <f>IF(EF148="","",IF(ISNUMBER('Dvd Calendar'!$F$1471)=FALSE,"",IF((('Dvd Calendar'!$F$1473=TYPE1)*(TYPE1&lt;&gt;"")+('Dvd Calendar'!$F$1473=TYPE2)*(TYPE2&lt;&gt;"")+('Dvd Calendar'!$F$1473=TYPE3)*(TYPE3&lt;&gt;"")+('Dvd Calendar'!$F$1473=TYPE4)*(TYPE4&lt;&gt;"")+('Dvd Calendar'!$F$1473=SPECIAL_LBL)*(INC_SPECIALS="Y"))=0,"",'Dvd Calendar'!$F$1471)))</f>
        <v/>
      </c>
      <c r="E148" s="106">
        <f>IF(EG148="","",IF(ISNUMBER('Dvd Calendar'!$G$1471)=FALSE,"",IF((('Dvd Calendar'!$G$1473=TYPE1)*(TYPE1&lt;&gt;"")+('Dvd Calendar'!$G$1473=TYPE2)*(TYPE2&lt;&gt;"")+('Dvd Calendar'!$G$1473=TYPE3)*(TYPE3&lt;&gt;"")+('Dvd Calendar'!$G$1473=TYPE4)*(TYPE4&lt;&gt;"")+('Dvd Calendar'!$G$1473=SPECIAL_LBL)*(INC_SPECIALS="Y"))=0,"",'Dvd Calendar'!$G$1471)))</f>
        <v/>
      </c>
      <c r="F148" s="106">
        <f>IF(EH148="","",IF(ISNUMBER('Dvd Calendar'!$H$1471)=FALSE,"",IF((('Dvd Calendar'!$H$1473=TYPE1)*(TYPE1&lt;&gt;"")+('Dvd Calendar'!$H$1473=TYPE2)*(TYPE2&lt;&gt;"")+('Dvd Calendar'!$H$1473=TYPE3)*(TYPE3&lt;&gt;"")+('Dvd Calendar'!$H$1473=TYPE4)*(TYPE4&lt;&gt;"")+('Dvd Calendar'!$H$1473=SPECIAL_LBL)*(INC_SPECIALS="Y"))=0,"",'Dvd Calendar'!$H$1471)))</f>
        <v/>
      </c>
      <c r="G148" s="106">
        <f>IF(EI148="","",IF(ISNUMBER('Dvd Calendar'!$I$1471)=FALSE,"",IF((('Dvd Calendar'!$I$1473=TYPE1)*(TYPE1&lt;&gt;"")+('Dvd Calendar'!$I$1473=TYPE2)*(TYPE2&lt;&gt;"")+('Dvd Calendar'!$I$1473=TYPE3)*(TYPE3&lt;&gt;"")+('Dvd Calendar'!$I$1473=TYPE4)*(TYPE4&lt;&gt;"")+('Dvd Calendar'!$I$1473=SPECIAL_LBL)*(INC_SPECIALS="Y"))=0,"",'Dvd Calendar'!$I$1471)))</f>
        <v/>
      </c>
      <c r="H148" s="106">
        <f>IF(EJ148="","",IF(ISNUMBER('Dvd Calendar'!$J$1471)=FALSE,"",IF((('Dvd Calendar'!$J$1473=TYPE1)*(TYPE1&lt;&gt;"")+('Dvd Calendar'!$J$1473=TYPE2)*(TYPE2&lt;&gt;"")+('Dvd Calendar'!$J$1473=TYPE3)*(TYPE3&lt;&gt;"")+('Dvd Calendar'!$J$1473=TYPE4)*(TYPE4&lt;&gt;"")+('Dvd Calendar'!$J$1473=SPECIAL_LBL)*(INC_SPECIALS="Y"))=0,"",'Dvd Calendar'!$J$1471)))</f>
        <v/>
      </c>
      <c r="I148" s="106">
        <f>IF(EK148="","",IF(ISNUMBER('Dvd Calendar'!$K$1471)=FALSE,"",IF((('Dvd Calendar'!$K$1473=TYPE1)*(TYPE1&lt;&gt;"")+('Dvd Calendar'!$K$1473=TYPE2)*(TYPE2&lt;&gt;"")+('Dvd Calendar'!$K$1473=TYPE3)*(TYPE3&lt;&gt;"")+('Dvd Calendar'!$K$1473=TYPE4)*(TYPE4&lt;&gt;"")+('Dvd Calendar'!$K$1473=SPECIAL_LBL)*(INC_SPECIALS="Y"))=0,"",'Dvd Calendar'!$K$1471)))</f>
        <v/>
      </c>
      <c r="J148" s="106">
        <f>IF(EL148="","",IF(ISNUMBER('Dvd Calendar'!$L$1471)=FALSE,"",IF((('Dvd Calendar'!$L$1473=TYPE1)*(TYPE1&lt;&gt;"")+('Dvd Calendar'!$L$1473=TYPE2)*(TYPE2&lt;&gt;"")+('Dvd Calendar'!$L$1473=TYPE3)*(TYPE3&lt;&gt;"")+('Dvd Calendar'!$L$1473=TYPE4)*(TYPE4&lt;&gt;"")+('Dvd Calendar'!$L$1473=SPECIAL_LBL)*(INC_SPECIALS="Y"))=0,"",'Dvd Calendar'!$L$1471)))</f>
        <v/>
      </c>
      <c r="K148" s="106">
        <f>IF(EM148="","",IF(ISNUMBER('Dvd Calendar'!$M$1471)=FALSE,"",IF((('Dvd Calendar'!$M$1473=TYPE1)*(TYPE1&lt;&gt;"")+('Dvd Calendar'!$M$1473=TYPE2)*(TYPE2&lt;&gt;"")+('Dvd Calendar'!$M$1473=TYPE3)*(TYPE3&lt;&gt;"")+('Dvd Calendar'!$M$1473=TYPE4)*(TYPE4&lt;&gt;"")+('Dvd Calendar'!$M$1473=SPECIAL_LBL)*(INC_SPECIALS="Y"))=0,"",'Dvd Calendar'!$M$1471)))</f>
        <v/>
      </c>
      <c r="L148" s="106">
        <f>IF(EN148="","",IF(ISNUMBER('Dvd Calendar'!$N$1471)=FALSE,"",IF((('Dvd Calendar'!$N$1473=TYPE1)*(TYPE1&lt;&gt;"")+('Dvd Calendar'!$N$1473=TYPE2)*(TYPE2&lt;&gt;"")+('Dvd Calendar'!$N$1473=TYPE3)*(TYPE3&lt;&gt;"")+('Dvd Calendar'!$N$1473=TYPE4)*(TYPE4&lt;&gt;"")+('Dvd Calendar'!$N$1473=SPECIAL_LBL)*(INC_SPECIALS="Y"))=0,"",'Dvd Calendar'!$N$1471)))</f>
        <v/>
      </c>
      <c r="M148" s="106">
        <f>IF(EO148="","",IF(ISNUMBER('Dvd Calendar'!$O$1471)=FALSE,"",IF((('Dvd Calendar'!$O$1473=TYPE1)*(TYPE1&lt;&gt;"")+('Dvd Calendar'!$O$1473=TYPE2)*(TYPE2&lt;&gt;"")+('Dvd Calendar'!$O$1473=TYPE3)*(TYPE3&lt;&gt;"")+('Dvd Calendar'!$O$1473=TYPE4)*(TYPE4&lt;&gt;"")+('Dvd Calendar'!$O$1473=SPECIAL_LBL)*(INC_SPECIALS="Y"))=0,"",'Dvd Calendar'!$O$1471)))</f>
        <v/>
      </c>
      <c r="N148" s="106">
        <f>IF(EP148="","",IF(ISNUMBER('Dvd Calendar'!$P$1471)=FALSE,"",IF((('Dvd Calendar'!$P$1473=TYPE1)*(TYPE1&lt;&gt;"")+('Dvd Calendar'!$P$1473=TYPE2)*(TYPE2&lt;&gt;"")+('Dvd Calendar'!$P$1473=TYPE3)*(TYPE3&lt;&gt;"")+('Dvd Calendar'!$P$1473=TYPE4)*(TYPE4&lt;&gt;"")+('Dvd Calendar'!$P$1473=SPECIAL_LBL)*(INC_SPECIALS="Y"))=0,"",'Dvd Calendar'!$P$1471)))</f>
        <v/>
      </c>
      <c r="O148" s="106">
        <f>IF(EQ148="","",IF(ISNUMBER('Dvd Calendar'!$Q$1471)=FALSE,"",IF((('Dvd Calendar'!$Q$1473=TYPE1)*(TYPE1&lt;&gt;"")+('Dvd Calendar'!$Q$1473=TYPE2)*(TYPE2&lt;&gt;"")+('Dvd Calendar'!$Q$1473=TYPE3)*(TYPE3&lt;&gt;"")+('Dvd Calendar'!$Q$1473=TYPE4)*(TYPE4&lt;&gt;"")+('Dvd Calendar'!$Q$1473=SPECIAL_LBL)*(INC_SPECIALS="Y"))=0,"",'Dvd Calendar'!$Q$1471)))</f>
        <v/>
      </c>
      <c r="P148" s="106">
        <f>IF(ER148="","",IF(ISNUMBER('Dvd Calendar'!$R$1471)=FALSE,"",IF((('Dvd Calendar'!$R$1473=TYPE1)*(TYPE1&lt;&gt;"")+('Dvd Calendar'!$R$1473=TYPE2)*(TYPE2&lt;&gt;"")+('Dvd Calendar'!$R$1473=TYPE3)*(TYPE3&lt;&gt;"")+('Dvd Calendar'!$R$1473=TYPE4)*(TYPE4&lt;&gt;"")+('Dvd Calendar'!$R$1473=SPECIAL_LBL)*(INC_SPECIALS="Y"))=0,"",'Dvd Calendar'!$R$1471)))</f>
        <v/>
      </c>
      <c r="Q148" s="106">
        <f>IF(ES148="","",IF(ISNUMBER('Dvd Calendar'!$S$1471)=FALSE,"",IF((('Dvd Calendar'!$S$1473=TYPE1)*(TYPE1&lt;&gt;"")+('Dvd Calendar'!$S$1473=TYPE2)*(TYPE2&lt;&gt;"")+('Dvd Calendar'!$S$1473=TYPE3)*(TYPE3&lt;&gt;"")+('Dvd Calendar'!$S$1473=TYPE4)*(TYPE4&lt;&gt;"")+('Dvd Calendar'!$S$1473=SPECIAL_LBL)*(INC_SPECIALS="Y"))=0,"",'Dvd Calendar'!$S$1471)))</f>
        <v/>
      </c>
      <c r="R148" s="106">
        <f>IF(ET148="","",IF(ISNUMBER('Dvd Calendar'!$T$1471)=FALSE,"",IF((('Dvd Calendar'!$T$1473=TYPE1)*(TYPE1&lt;&gt;"")+('Dvd Calendar'!$T$1473=TYPE2)*(TYPE2&lt;&gt;"")+('Dvd Calendar'!$T$1473=TYPE3)*(TYPE3&lt;&gt;"")+('Dvd Calendar'!$T$1473=TYPE4)*(TYPE4&lt;&gt;"")+('Dvd Calendar'!$T$1473=SPECIAL_LBL)*(INC_SPECIALS="Y"))=0,"",'Dvd Calendar'!$T$1471)))</f>
        <v/>
      </c>
      <c r="S148" s="106">
        <f>IF(EU148="","",IF(ISNUMBER('Dvd Calendar'!$U$1471)=FALSE,"",IF((('Dvd Calendar'!$U$1473=TYPE1)*(TYPE1&lt;&gt;"")+('Dvd Calendar'!$U$1473=TYPE2)*(TYPE2&lt;&gt;"")+('Dvd Calendar'!$U$1473=TYPE3)*(TYPE3&lt;&gt;"")+('Dvd Calendar'!$U$1473=TYPE4)*(TYPE4&lt;&gt;"")+('Dvd Calendar'!$U$1473=SPECIAL_LBL)*(INC_SPECIALS="Y"))=0,"",'Dvd Calendar'!$U$1471)))</f>
        <v/>
      </c>
      <c r="T148" s="106">
        <f>IF(EV148="","",IF(ISNUMBER('Dvd Calendar'!$V$1471)=FALSE,"",IF((('Dvd Calendar'!$V$1473=TYPE1)*(TYPE1&lt;&gt;"")+('Dvd Calendar'!$V$1473=TYPE2)*(TYPE2&lt;&gt;"")+('Dvd Calendar'!$V$1473=TYPE3)*(TYPE3&lt;&gt;"")+('Dvd Calendar'!$V$1473=TYPE4)*(TYPE4&lt;&gt;"")+('Dvd Calendar'!$V$1473=SPECIAL_LBL)*(INC_SPECIALS="Y"))=0,"",'Dvd Calendar'!$V$1471)))</f>
        <v/>
      </c>
      <c r="U148" s="106">
        <f>IF(EW148="","",IF(ISNUMBER('Dvd Calendar'!$W$1471)=FALSE,"",IF((('Dvd Calendar'!$W$1473=TYPE1)*(TYPE1&lt;&gt;"")+('Dvd Calendar'!$W$1473=TYPE2)*(TYPE2&lt;&gt;"")+('Dvd Calendar'!$W$1473=TYPE3)*(TYPE3&lt;&gt;"")+('Dvd Calendar'!$W$1473=TYPE4)*(TYPE4&lt;&gt;"")+('Dvd Calendar'!$W$1473=SPECIAL_LBL)*(INC_SPECIALS="Y"))=0,"",'Dvd Calendar'!$W$1471)))</f>
        <v/>
      </c>
      <c r="V148" s="106">
        <f>IF(EX148="","",IF(ISNUMBER('Dvd Calendar'!$X$1471)=FALSE,"",IF((('Dvd Calendar'!$X$1473=TYPE1)*(TYPE1&lt;&gt;"")+('Dvd Calendar'!$X$1473=TYPE2)*(TYPE2&lt;&gt;"")+('Dvd Calendar'!$X$1473=TYPE3)*(TYPE3&lt;&gt;"")+('Dvd Calendar'!$X$1473=TYPE4)*(TYPE4&lt;&gt;"")+('Dvd Calendar'!$X$1473=SPECIAL_LBL)*(INC_SPECIALS="Y"))=0,"",'Dvd Calendar'!$X$1471)))</f>
        <v/>
      </c>
      <c r="W148" s="106">
        <f>IF(EY148="","",IF(ISNUMBER('Dvd Calendar'!$Y$1471)=FALSE,"",IF((('Dvd Calendar'!$Y$1473=TYPE1)*(TYPE1&lt;&gt;"")+('Dvd Calendar'!$Y$1473=TYPE2)*(TYPE2&lt;&gt;"")+('Dvd Calendar'!$Y$1473=TYPE3)*(TYPE3&lt;&gt;"")+('Dvd Calendar'!$Y$1473=TYPE4)*(TYPE4&lt;&gt;"")+('Dvd Calendar'!$Y$1473=SPECIAL_LBL)*(INC_SPECIALS="Y"))=0,"",'Dvd Calendar'!$Y$1471)))</f>
        <v/>
      </c>
      <c r="X148" s="106">
        <f>IF(EZ148="","",IF(ISNUMBER('Dvd Calendar'!$Z$1471)=FALSE,"",IF((('Dvd Calendar'!$Z$1473=TYPE1)*(TYPE1&lt;&gt;"")+('Dvd Calendar'!$Z$1473=TYPE2)*(TYPE2&lt;&gt;"")+('Dvd Calendar'!$Z$1473=TYPE3)*(TYPE3&lt;&gt;"")+('Dvd Calendar'!$Z$1473=TYPE4)*(TYPE4&lt;&gt;"")+('Dvd Calendar'!$Z$1473=SPECIAL_LBL)*(INC_SPECIALS="Y"))=0,"",'Dvd Calendar'!$Z$1471)))</f>
        <v/>
      </c>
      <c r="Y148" s="106">
        <f>IF(FA148="","",IF(ISNUMBER('Dvd Calendar'!$AA$1471)=FALSE,"",IF((('Dvd Calendar'!$AA$1473=TYPE1)*(TYPE1&lt;&gt;"")+('Dvd Calendar'!$AA$1473=TYPE2)*(TYPE2&lt;&gt;"")+('Dvd Calendar'!$AA$1473=TYPE3)*(TYPE3&lt;&gt;"")+('Dvd Calendar'!$AA$1473=TYPE4)*(TYPE4&lt;&gt;"")+('Dvd Calendar'!$AA$1473=SPECIAL_LBL)*(INC_SPECIALS="Y"))=0,"",'Dvd Calendar'!$AA$1471)))</f>
        <v/>
      </c>
      <c r="Z148" s="106">
        <f>IF(FB148="","",IF(ISNUMBER('Dvd Calendar'!$AB$1471)=FALSE,"",IF((('Dvd Calendar'!$AB$1473=TYPE1)*(TYPE1&lt;&gt;"")+('Dvd Calendar'!$AB$1473=TYPE2)*(TYPE2&lt;&gt;"")+('Dvd Calendar'!$AB$1473=TYPE3)*(TYPE3&lt;&gt;"")+('Dvd Calendar'!$AB$1473=TYPE4)*(TYPE4&lt;&gt;"")+('Dvd Calendar'!$AB$1473=SPECIAL_LBL)*(INC_SPECIALS="Y"))=0,"",'Dvd Calendar'!$AB$1471)))</f>
        <v/>
      </c>
      <c r="AA148" s="106">
        <f>IF(FC148="","",IF(ISNUMBER('Dvd Calendar'!$AC$1471)=FALSE,"",IF((('Dvd Calendar'!$AC$1473=TYPE1)*(TYPE1&lt;&gt;"")+('Dvd Calendar'!$AC$1473=TYPE2)*(TYPE2&lt;&gt;"")+('Dvd Calendar'!$AC$1473=TYPE3)*(TYPE3&lt;&gt;"")+('Dvd Calendar'!$AC$1473=TYPE4)*(TYPE4&lt;&gt;"")+('Dvd Calendar'!$AC$1473=SPECIAL_LBL)*(INC_SPECIALS="Y"))=0,"",'Dvd Calendar'!$AC$1471)))</f>
        <v/>
      </c>
      <c r="AB148" s="106">
        <f>IF(FD148="","",IF(ISNUMBER('Dvd Calendar'!$AD$1471)=FALSE,"",IF((('Dvd Calendar'!$AD$1473=TYPE1)*(TYPE1&lt;&gt;"")+('Dvd Calendar'!$AD$1473=TYPE2)*(TYPE2&lt;&gt;"")+('Dvd Calendar'!$AD$1473=TYPE3)*(TYPE3&lt;&gt;"")+('Dvd Calendar'!$AD$1473=TYPE4)*(TYPE4&lt;&gt;"")+('Dvd Calendar'!$AD$1473=SPECIAL_LBL)*(INC_SPECIALS="Y"))=0,"",'Dvd Calendar'!$AD$1471)))</f>
        <v/>
      </c>
      <c r="AC148" s="106">
        <f>IF(FE148="","",IF(ISNUMBER('Dvd Calendar'!$AE$1471)=FALSE,"",IF((('Dvd Calendar'!$AE$1473=TYPE1)*(TYPE1&lt;&gt;"")+('Dvd Calendar'!$AE$1473=TYPE2)*(TYPE2&lt;&gt;"")+('Dvd Calendar'!$AE$1473=TYPE3)*(TYPE3&lt;&gt;"")+('Dvd Calendar'!$AE$1473=TYPE4)*(TYPE4&lt;&gt;"")+('Dvd Calendar'!$AE$1473=SPECIAL_LBL)*(INC_SPECIALS="Y"))=0,"",'Dvd Calendar'!$AE$1471)))</f>
        <v/>
      </c>
      <c r="AD148" s="106">
        <f>IF(FF148="","",IF(ISNUMBER('Dvd Calendar'!$AF$1471)=FALSE,"",IF((('Dvd Calendar'!$AF$1473=TYPE1)*(TYPE1&lt;&gt;"")+('Dvd Calendar'!$AF$1473=TYPE2)*(TYPE2&lt;&gt;"")+('Dvd Calendar'!$AF$1473=TYPE3)*(TYPE3&lt;&gt;"")+('Dvd Calendar'!$AF$1473=TYPE4)*(TYPE4&lt;&gt;"")+('Dvd Calendar'!$AF$1473=SPECIAL_LBL)*(INC_SPECIALS="Y"))=0,"",'Dvd Calendar'!$AF$1471)))</f>
        <v/>
      </c>
      <c r="AE148" s="106">
        <f>IF(FG148="","",IF(ISNUMBER('Dvd Calendar'!$AG$1471)=FALSE,"",IF((('Dvd Calendar'!$AG$1473=TYPE1)*(TYPE1&lt;&gt;"")+('Dvd Calendar'!$AG$1473=TYPE2)*(TYPE2&lt;&gt;"")+('Dvd Calendar'!$AG$1473=TYPE3)*(TYPE3&lt;&gt;"")+('Dvd Calendar'!$AG$1473=TYPE4)*(TYPE4&lt;&gt;"")+('Dvd Calendar'!$AG$1473=SPECIAL_LBL)*(INC_SPECIALS="Y"))=0,"",'Dvd Calendar'!$AG$1471)))</f>
        <v/>
      </c>
      <c r="AF148" s="106">
        <f>IF(FH148="","",IF(ISNUMBER('Dvd Calendar'!$AH$1471)=FALSE,"",IF((('Dvd Calendar'!$AH$1473=TYPE1)*(TYPE1&lt;&gt;"")+('Dvd Calendar'!$AH$1473=TYPE2)*(TYPE2&lt;&gt;"")+('Dvd Calendar'!$AH$1473=TYPE3)*(TYPE3&lt;&gt;"")+('Dvd Calendar'!$AH$1473=TYPE4)*(TYPE4&lt;&gt;"")+('Dvd Calendar'!$AH$1473=SPECIAL_LBL)*(INC_SPECIALS="Y"))=0,"",'Dvd Calendar'!$AH$1471)))</f>
        <v/>
      </c>
      <c r="AG148" s="106">
        <f>IF(FI148="","",IF(ISNUMBER('Dvd Calendar'!$AI$1471)=FALSE,"",IF((('Dvd Calendar'!$AI$1473=TYPE1)*(TYPE1&lt;&gt;"")+('Dvd Calendar'!$AI$1473=TYPE2)*(TYPE2&lt;&gt;"")+('Dvd Calendar'!$AI$1473=TYPE3)*(TYPE3&lt;&gt;"")+('Dvd Calendar'!$AI$1473=TYPE4)*(TYPE4&lt;&gt;"")+('Dvd Calendar'!$AI$1473=SPECIAL_LBL)*(INC_SPECIALS="Y"))=0,"",'Dvd Calendar'!$AI$1471)))</f>
        <v/>
      </c>
      <c r="AH148" s="106">
        <f>IF(FJ148="","",IF(ISNUMBER('Dvd Calendar'!$AJ$1471)=FALSE,"",IF((('Dvd Calendar'!$AJ$1473=TYPE1)*(TYPE1&lt;&gt;"")+('Dvd Calendar'!$AJ$1473=TYPE2)*(TYPE2&lt;&gt;"")+('Dvd Calendar'!$AJ$1473=TYPE3)*(TYPE3&lt;&gt;"")+('Dvd Calendar'!$AJ$1473=TYPE4)*(TYPE4&lt;&gt;"")+('Dvd Calendar'!$AJ$1473=SPECIAL_LBL)*(INC_SPECIALS="Y"))=0,"",'Dvd Calendar'!$AJ$1471)))</f>
        <v/>
      </c>
      <c r="AI148" s="106">
        <f>IF(FK148="","",IF(ISNUMBER('Dvd Calendar'!$AK$1471)=FALSE,"",IF((('Dvd Calendar'!$AK$1473=TYPE1)*(TYPE1&lt;&gt;"")+('Dvd Calendar'!$AK$1473=TYPE2)*(TYPE2&lt;&gt;"")+('Dvd Calendar'!$AK$1473=TYPE3)*(TYPE3&lt;&gt;"")+('Dvd Calendar'!$AK$1473=TYPE4)*(TYPE4&lt;&gt;"")+('Dvd Calendar'!$AK$1473=SPECIAL_LBL)*(INC_SPECIALS="Y"))=0,"",'Dvd Calendar'!$AK$1471)))</f>
        <v/>
      </c>
      <c r="AJ148" s="106">
        <f>IF(FL148="","",IF(ISNUMBER('Dvd Calendar'!$AL$1471)=FALSE,"",IF((('Dvd Calendar'!$AL$1473=TYPE1)*(TYPE1&lt;&gt;"")+('Dvd Calendar'!$AL$1473=TYPE2)*(TYPE2&lt;&gt;"")+('Dvd Calendar'!$AL$1473=TYPE3)*(TYPE3&lt;&gt;"")+('Dvd Calendar'!$AL$1473=TYPE4)*(TYPE4&lt;&gt;"")+('Dvd Calendar'!$AL$1473=SPECIAL_LBL)*(INC_SPECIALS="Y"))=0,"",'Dvd Calendar'!$AL$1471)))</f>
        <v/>
      </c>
      <c r="AK148" s="106">
        <f>IF(FM148="","",IF(ISNUMBER('Dvd Calendar'!$AM$1471)=FALSE,"",IF((('Dvd Calendar'!$AM$1473=TYPE1)*(TYPE1&lt;&gt;"")+('Dvd Calendar'!$AM$1473=TYPE2)*(TYPE2&lt;&gt;"")+('Dvd Calendar'!$AM$1473=TYPE3)*(TYPE3&lt;&gt;"")+('Dvd Calendar'!$AM$1473=TYPE4)*(TYPE4&lt;&gt;"")+('Dvd Calendar'!$AM$1473=SPECIAL_LBL)*(INC_SPECIALS="Y"))=0,"",'Dvd Calendar'!$AM$1471)))</f>
        <v/>
      </c>
      <c r="AL148" s="106">
        <f>IF(FN148="","",IF(ISNUMBER('Dvd Calendar'!$AN$1471)=FALSE,"",IF((('Dvd Calendar'!$AN$1473=TYPE1)*(TYPE1&lt;&gt;"")+('Dvd Calendar'!$AN$1473=TYPE2)*(TYPE2&lt;&gt;"")+('Dvd Calendar'!$AN$1473=TYPE3)*(TYPE3&lt;&gt;"")+('Dvd Calendar'!$AN$1473=TYPE4)*(TYPE4&lt;&gt;"")+('Dvd Calendar'!$AN$1473=SPECIAL_LBL)*(INC_SPECIALS="Y"))=0,"",'Dvd Calendar'!$AN$1471)))</f>
        <v/>
      </c>
      <c r="AM148" s="106">
        <f>IF(FO148="","",IF(ISNUMBER('Dvd Calendar'!$AO$1471)=FALSE,"",IF((('Dvd Calendar'!$AO$1473=TYPE1)*(TYPE1&lt;&gt;"")+('Dvd Calendar'!$AO$1473=TYPE2)*(TYPE2&lt;&gt;"")+('Dvd Calendar'!$AO$1473=TYPE3)*(TYPE3&lt;&gt;"")+('Dvd Calendar'!$AO$1473=TYPE4)*(TYPE4&lt;&gt;"")+('Dvd Calendar'!$AO$1473=SPECIAL_LBL)*(INC_SPECIALS="Y"))=0,"",'Dvd Calendar'!$AO$1471)))</f>
        <v/>
      </c>
      <c r="AN148" s="106">
        <f>IF(FP148="","",IF(ISNUMBER('Dvd Calendar'!$AP$1471)=FALSE,"",IF((('Dvd Calendar'!$AP$1473=TYPE1)*(TYPE1&lt;&gt;"")+('Dvd Calendar'!$AP$1473=TYPE2)*(TYPE2&lt;&gt;"")+('Dvd Calendar'!$AP$1473=TYPE3)*(TYPE3&lt;&gt;"")+('Dvd Calendar'!$AP$1473=TYPE4)*(TYPE4&lt;&gt;"")+('Dvd Calendar'!$AP$1473=SPECIAL_LBL)*(INC_SPECIALS="Y"))=0,"",'Dvd Calendar'!$AP$1471)))</f>
        <v/>
      </c>
      <c r="AO148" s="106">
        <f>IF(FQ148="","",IF(ISNUMBER('Dvd Calendar'!$AQ$1471)=FALSE,"",IF((('Dvd Calendar'!$AQ$1473=TYPE1)*(TYPE1&lt;&gt;"")+('Dvd Calendar'!$AQ$1473=TYPE2)*(TYPE2&lt;&gt;"")+('Dvd Calendar'!$AQ$1473=TYPE3)*(TYPE3&lt;&gt;"")+('Dvd Calendar'!$AQ$1473=TYPE4)*(TYPE4&lt;&gt;"")+('Dvd Calendar'!$AQ$1473=SPECIAL_LBL)*(INC_SPECIALS="Y"))=0,"",'Dvd Calendar'!$AQ$1471)))</f>
        <v/>
      </c>
      <c r="AP148" s="106">
        <f>IF(FR148="","",IF(ISNUMBER('Dvd Calendar'!$AR$1471)=FALSE,"",IF((('Dvd Calendar'!$AR$1473=TYPE1)*(TYPE1&lt;&gt;"")+('Dvd Calendar'!$AR$1473=TYPE2)*(TYPE2&lt;&gt;"")+('Dvd Calendar'!$AR$1473=TYPE3)*(TYPE3&lt;&gt;"")+('Dvd Calendar'!$AR$1473=TYPE4)*(TYPE4&lt;&gt;"")+('Dvd Calendar'!$AR$1473=SPECIAL_LBL)*(INC_SPECIALS="Y"))=0,"",'Dvd Calendar'!$AR$1471)))</f>
        <v/>
      </c>
      <c r="AQ148" s="106">
        <f>IF(FS148="","",IF(ISNUMBER('Dvd Calendar'!$E$1476)=FALSE,"",'Dvd Calendar'!$E$1476))</f>
        <v/>
      </c>
      <c r="AR148" s="106">
        <f>IF(FT148="","",IF(ISNUMBER('Dvd Calendar'!$F$1476)=FALSE,"",'Dvd Calendar'!$F$1476))</f>
        <v/>
      </c>
      <c r="AS148" s="106">
        <f>IF(FU148="","",IF(ISNUMBER('Dvd Calendar'!$G$1476)=FALSE,"",'Dvd Calendar'!$G$1476))</f>
        <v/>
      </c>
      <c r="AT148" s="106">
        <f>IF(FV148="","",IF(ISNUMBER('Dvd Calendar'!$H$1476)=FALSE,"",'Dvd Calendar'!$H$1476))</f>
        <v/>
      </c>
      <c r="AU148" s="106">
        <f>IF(FW148="","",IF(ISNUMBER('Dvd Calendar'!$I$1476)=FALSE,"",'Dvd Calendar'!$I$1476))</f>
        <v/>
      </c>
      <c r="AV148" s="106">
        <f>IF(FX148="","",IF(ISNUMBER('Dvd Calendar'!$J$1476)=FALSE,"",'Dvd Calendar'!$J$1476))</f>
        <v/>
      </c>
      <c r="AW148" s="106">
        <f>IF(FY148="","",IF(ISNUMBER('Dvd Calendar'!$K$1476)=FALSE,"",'Dvd Calendar'!$K$1476))</f>
        <v/>
      </c>
      <c r="AX148" s="106">
        <f>IF(FZ148="","",IF(ISNUMBER('Dvd Calendar'!$L$1476)=FALSE,"",'Dvd Calendar'!$L$1476))</f>
        <v/>
      </c>
      <c r="AY148" s="106">
        <f>IF(GA148="","",IF(ISNUMBER('Dvd Calendar'!$M$1476)=FALSE,"",'Dvd Calendar'!$M$1476))</f>
        <v/>
      </c>
      <c r="AZ148" s="106">
        <f>IF(GB148="","",IF(ISNUMBER('Dvd Calendar'!$N$1476)=FALSE,"",'Dvd Calendar'!$N$1476))</f>
        <v/>
      </c>
      <c r="BA148" s="106">
        <f>IF(GC148="","",IF(ISNUMBER('Dvd Calendar'!$O$1476)=FALSE,"",'Dvd Calendar'!$O$1476))</f>
        <v/>
      </c>
      <c r="BB148" s="106">
        <f>IF(GD148="","",IF(ISNUMBER('Dvd Calendar'!$P$1476)=FALSE,"",'Dvd Calendar'!$P$1476))</f>
        <v/>
      </c>
      <c r="BC148" s="106">
        <f>IF(GE148="","",IF(ISNUMBER('Dvd Calendar'!$Q$1476)=FALSE,"",'Dvd Calendar'!$Q$1476))</f>
        <v/>
      </c>
      <c r="BD148" s="106">
        <f>IF(GF148="","",IF(ISNUMBER('Dvd Calendar'!$R$1476)=FALSE,"",'Dvd Calendar'!$R$1476))</f>
        <v/>
      </c>
      <c r="BE148" s="106">
        <f>IF(GG148="","",IF(ISNUMBER('Dvd Calendar'!$S$1476)=FALSE,"",'Dvd Calendar'!$S$1476))</f>
        <v/>
      </c>
      <c r="BF148" s="106">
        <f>IF(GH148="","",IF(ISNUMBER('Dvd Calendar'!$T$1476)=FALSE,"",'Dvd Calendar'!$T$1476))</f>
        <v/>
      </c>
      <c r="BG148" s="106">
        <f>IF(GI148="","",IF(ISNUMBER('Dvd Calendar'!$U$1476)=FALSE,"",'Dvd Calendar'!$U$1476))</f>
        <v/>
      </c>
      <c r="BH148" s="106">
        <f>IF(GJ148="","",IF(ISNUMBER('Dvd Calendar'!$V$1476)=FALSE,"",'Dvd Calendar'!$V$1476))</f>
        <v/>
      </c>
      <c r="BI148" s="106">
        <f>IF(GK148="","",IF(ISNUMBER('Dvd Calendar'!$W$1476)=FALSE,"",'Dvd Calendar'!$W$1476))</f>
        <v/>
      </c>
      <c r="BJ148" s="106">
        <f>IF(GL148="","",IF(ISNUMBER('Dvd Calendar'!$X$1476)=FALSE,"",'Dvd Calendar'!$X$1476))</f>
        <v/>
      </c>
      <c r="BK148" s="106">
        <f>IF(GM148="","",IF(ISNUMBER('Dvd Calendar'!$Y$1476)=FALSE,"",'Dvd Calendar'!$Y$1476))</f>
        <v/>
      </c>
      <c r="BL148" s="106">
        <f>IF(GN148="","",IF(ISNUMBER('Dvd Calendar'!$Z$1476)=FALSE,"",'Dvd Calendar'!$Z$1476))</f>
        <v/>
      </c>
      <c r="BM148" s="106">
        <f>IF(GO148="","",IF(ISNUMBER('Dvd Calendar'!$AA$1476)=FALSE,"",'Dvd Calendar'!$AA$1476))</f>
        <v/>
      </c>
      <c r="BN148" s="106">
        <f>IF(GP148="","",IF(ISNUMBER('Dvd Calendar'!$AB$1476)=FALSE,"",'Dvd Calendar'!$AB$1476))</f>
        <v/>
      </c>
      <c r="BO148" s="106">
        <f>IF(GQ148="","",IF(ISNUMBER('Dvd Calendar'!$AC$1476)=FALSE,"",'Dvd Calendar'!$AC$1476))</f>
        <v/>
      </c>
      <c r="BQ148" s="106">
        <f>IF(C148="","",IFERROR(C148*HSTECH!$B$39*HSTECH!$G$39/HSTECH!$B$3,""))</f>
        <v/>
      </c>
      <c r="BR148" s="106">
        <f>IF(D148="","",IFERROR(D148*HSTECH!$B$39*HSTECH!$G$39/HSTECH!$B$3,""))</f>
        <v/>
      </c>
      <c r="BS148" s="106">
        <f>IF(E148="","",IFERROR(E148*HSTECH!$B$39*HSTECH!$G$39/HSTECH!$B$3,""))</f>
        <v/>
      </c>
      <c r="BT148" s="106">
        <f>IF(F148="","",IFERROR(F148*HSTECH!$B$39*HSTECH!$G$39/HSTECH!$B$3,""))</f>
        <v/>
      </c>
      <c r="BU148" s="106">
        <f>IF(G148="","",IFERROR(G148*HSTECH!$B$39*HSTECH!$G$39/HSTECH!$B$3,""))</f>
        <v/>
      </c>
      <c r="BV148" s="106">
        <f>IF(H148="","",IFERROR(H148*HSTECH!$B$39*HSTECH!$G$39/HSTECH!$B$3,""))</f>
        <v/>
      </c>
      <c r="BW148" s="106">
        <f>IF(I148="","",IFERROR(I148*HSTECH!$B$39*HSTECH!$G$39/HSTECH!$B$3,""))</f>
        <v/>
      </c>
      <c r="BX148" s="106">
        <f>IF(J148="","",IFERROR(J148*HSTECH!$B$39*HSTECH!$G$39/HSTECH!$B$3,""))</f>
        <v/>
      </c>
      <c r="BY148" s="106">
        <f>IF(K148="","",IFERROR(K148*HSTECH!$B$39*HSTECH!$G$39/HSTECH!$B$3,""))</f>
        <v/>
      </c>
      <c r="BZ148" s="106">
        <f>IF(L148="","",IFERROR(L148*HSTECH!$B$39*HSTECH!$G$39/HSTECH!$B$3,""))</f>
        <v/>
      </c>
      <c r="CA148" s="106">
        <f>IF(M148="","",IFERROR(M148*HSTECH!$B$39*HSTECH!$G$39/HSTECH!$B$3,""))</f>
        <v/>
      </c>
      <c r="CB148" s="106">
        <f>IF(N148="","",IFERROR(N148*HSTECH!$B$39*HSTECH!$G$39/HSTECH!$B$3,""))</f>
        <v/>
      </c>
      <c r="CC148" s="106">
        <f>IF(O148="","",IFERROR(O148*HSTECH!$B$39*HSTECH!$G$39/HSTECH!$B$3,""))</f>
        <v/>
      </c>
      <c r="CD148" s="106">
        <f>IF(P148="","",IFERROR(P148*HSTECH!$B$39*HSTECH!$G$39/HSTECH!$B$3,""))</f>
        <v/>
      </c>
      <c r="CE148" s="106">
        <f>IF(Q148="","",IFERROR(Q148*HSTECH!$B$39*HSTECH!$G$39/HSTECH!$B$3,""))</f>
        <v/>
      </c>
      <c r="CF148" s="106">
        <f>IF(R148="","",IFERROR(R148*HSTECH!$B$39*HSTECH!$G$39/HSTECH!$B$3,""))</f>
        <v/>
      </c>
      <c r="CG148" s="106">
        <f>IF(S148="","",IFERROR(S148*HSTECH!$B$39*HSTECH!$G$39/HSTECH!$B$3,""))</f>
        <v/>
      </c>
      <c r="CH148" s="106">
        <f>IF(T148="","",IFERROR(T148*HSTECH!$B$39*HSTECH!$G$39/HSTECH!$B$3,""))</f>
        <v/>
      </c>
      <c r="CI148" s="106">
        <f>IF(U148="","",IFERROR(U148*HSTECH!$B$39*HSTECH!$G$39/HSTECH!$B$3,""))</f>
        <v/>
      </c>
      <c r="CJ148" s="106">
        <f>IF(V148="","",IFERROR(V148*HSTECH!$B$39*HSTECH!$G$39/HSTECH!$B$3,""))</f>
        <v/>
      </c>
      <c r="CK148" s="106">
        <f>IF(W148="","",IFERROR(W148*HSTECH!$B$39*HSTECH!$G$39/HSTECH!$B$3,""))</f>
        <v/>
      </c>
      <c r="CL148" s="106">
        <f>IF(X148="","",IFERROR(X148*HSTECH!$B$39*HSTECH!$G$39/HSTECH!$B$3,""))</f>
        <v/>
      </c>
      <c r="CM148" s="106">
        <f>IF(Y148="","",IFERROR(Y148*HSTECH!$B$39*HSTECH!$G$39/HSTECH!$B$3,""))</f>
        <v/>
      </c>
      <c r="CN148" s="106">
        <f>IF(Z148="","",IFERROR(Z148*HSTECH!$B$39*HSTECH!$G$39/HSTECH!$B$3,""))</f>
        <v/>
      </c>
      <c r="CO148" s="106">
        <f>IF(AA148="","",IFERROR(AA148*HSTECH!$B$39*HSTECH!$G$39/HSTECH!$B$3,""))</f>
        <v/>
      </c>
      <c r="CP148" s="106">
        <f>IF(AB148="","",IFERROR(AB148*HSTECH!$B$39*HSTECH!$G$39/HSTECH!$B$3,""))</f>
        <v/>
      </c>
      <c r="CQ148" s="106">
        <f>IF(AC148="","",IFERROR(AC148*HSTECH!$B$39*HSTECH!$G$39/HSTECH!$B$3,""))</f>
        <v/>
      </c>
      <c r="CR148" s="106">
        <f>IF(AD148="","",IFERROR(AD148*HSTECH!$B$39*HSTECH!$G$39/HSTECH!$B$3,""))</f>
        <v/>
      </c>
      <c r="CS148" s="106">
        <f>IF(AE148="","",IFERROR(AE148*HSTECH!$B$39*HSTECH!$G$39/HSTECH!$B$3,""))</f>
        <v/>
      </c>
      <c r="CT148" s="106">
        <f>IF(AF148="","",IFERROR(AF148*HSTECH!$B$39*HSTECH!$G$39/HSTECH!$B$3,""))</f>
        <v/>
      </c>
      <c r="CU148" s="106">
        <f>IF(AG148="","",IFERROR(AG148*HSTECH!$B$39*HSTECH!$G$39/HSTECH!$B$3,""))</f>
        <v/>
      </c>
      <c r="CV148" s="106">
        <f>IF(AH148="","",IFERROR(AH148*HSTECH!$B$39*HSTECH!$G$39/HSTECH!$B$3,""))</f>
        <v/>
      </c>
      <c r="CW148" s="106">
        <f>IF(AI148="","",IFERROR(AI148*HSTECH!$B$39*HSTECH!$G$39/HSTECH!$B$3,""))</f>
        <v/>
      </c>
      <c r="CX148" s="106">
        <f>IF(AJ148="","",IFERROR(AJ148*HSTECH!$B$39*HSTECH!$G$39/HSTECH!$B$3,""))</f>
        <v/>
      </c>
      <c r="CY148" s="106">
        <f>IF(AK148="","",IFERROR(AK148*HSTECH!$B$39*HSTECH!$G$39/HSTECH!$B$3,""))</f>
        <v/>
      </c>
      <c r="CZ148" s="106">
        <f>IF(AL148="","",IFERROR(AL148*HSTECH!$B$39*HSTECH!$G$39/HSTECH!$B$3,""))</f>
        <v/>
      </c>
      <c r="DA148" s="106">
        <f>IF(AM148="","",IFERROR(AM148*HSTECH!$B$39*HSTECH!$G$39/HSTECH!$B$3,""))</f>
        <v/>
      </c>
      <c r="DB148" s="106">
        <f>IF(AN148="","",IFERROR(AN148*HSTECH!$B$39*HSTECH!$G$39/HSTECH!$B$3,""))</f>
        <v/>
      </c>
      <c r="DC148" s="106">
        <f>IF(AO148="","",IFERROR(AO148*HSTECH!$B$39*HSTECH!$G$39/HSTECH!$B$3,""))</f>
        <v/>
      </c>
      <c r="DD148" s="106">
        <f>IF(AP148="","",IFERROR(AP148*HSTECH!$B$39*HSTECH!$G$39/HSTECH!$B$3,""))</f>
        <v/>
      </c>
      <c r="DE148" s="106">
        <f>IF(AQ148="","",IFERROR(AQ148*HSTECH!$B$39*HSTECH!$G$39/HSTECH!$B$3,""))</f>
        <v/>
      </c>
      <c r="DF148" s="106">
        <f>IF(AR148="","",IFERROR(AR148*HSTECH!$B$39*HSTECH!$G$39/HSTECH!$B$3,""))</f>
        <v/>
      </c>
      <c r="DG148" s="106">
        <f>IF(AS148="","",IFERROR(AS148*HSTECH!$B$39*HSTECH!$G$39/HSTECH!$B$3,""))</f>
        <v/>
      </c>
      <c r="DH148" s="106">
        <f>IF(AT148="","",IFERROR(AT148*HSTECH!$B$39*HSTECH!$G$39/HSTECH!$B$3,""))</f>
        <v/>
      </c>
      <c r="DI148" s="106">
        <f>IF(AU148="","",IFERROR(AU148*HSTECH!$B$39*HSTECH!$G$39/HSTECH!$B$3,""))</f>
        <v/>
      </c>
      <c r="DJ148" s="106">
        <f>IF(AV148="","",IFERROR(AV148*HSTECH!$B$39*HSTECH!$G$39/HSTECH!$B$3,""))</f>
        <v/>
      </c>
      <c r="DK148" s="106">
        <f>IF(AW148="","",IFERROR(AW148*HSTECH!$B$39*HSTECH!$G$39/HSTECH!$B$3,""))</f>
        <v/>
      </c>
      <c r="DL148" s="106">
        <f>IF(AX148="","",IFERROR(AX148*HSTECH!$B$39*HSTECH!$G$39/HSTECH!$B$3,""))</f>
        <v/>
      </c>
      <c r="DM148" s="106">
        <f>IF(AY148="","",IFERROR(AY148*HSTECH!$B$39*HSTECH!$G$39/HSTECH!$B$3,""))</f>
        <v/>
      </c>
      <c r="DN148" s="106">
        <f>IF(AZ148="","",IFERROR(AZ148*HSTECH!$B$39*HSTECH!$G$39/HSTECH!$B$3,""))</f>
        <v/>
      </c>
      <c r="DO148" s="106">
        <f>IF(BA148="","",IFERROR(BA148*HSTECH!$B$39*HSTECH!$G$39/HSTECH!$B$3,""))</f>
        <v/>
      </c>
      <c r="DP148" s="106">
        <f>IF(BB148="","",IFERROR(BB148*HSTECH!$B$39*HSTECH!$G$39/HSTECH!$B$3,""))</f>
        <v/>
      </c>
      <c r="DQ148" s="106">
        <f>IF(BC148="","",IFERROR(BC148*HSTECH!$B$39*HSTECH!$G$39/HSTECH!$B$3,""))</f>
        <v/>
      </c>
      <c r="DR148" s="106">
        <f>IF(BD148="","",IFERROR(BD148*HSTECH!$B$39*HSTECH!$G$39/HSTECH!$B$3,""))</f>
        <v/>
      </c>
      <c r="DS148" s="106">
        <f>IF(BE148="","",IFERROR(BE148*HSTECH!$B$39*HSTECH!$G$39/HSTECH!$B$3,""))</f>
        <v/>
      </c>
      <c r="DT148" s="106">
        <f>IF(BF148="","",IFERROR(BF148*HSTECH!$B$39*HSTECH!$G$39/HSTECH!$B$3,""))</f>
        <v/>
      </c>
      <c r="DU148" s="106">
        <f>IF(BG148="","",IFERROR(BG148*HSTECH!$B$39*HSTECH!$G$39/HSTECH!$B$3,""))</f>
        <v/>
      </c>
      <c r="DV148" s="106">
        <f>IF(BH148="","",IFERROR(BH148*HSTECH!$B$39*HSTECH!$G$39/HSTECH!$B$3,""))</f>
        <v/>
      </c>
      <c r="DW148" s="106">
        <f>IF(BI148="","",IFERROR(BI148*HSTECH!$B$39*HSTECH!$G$39/HSTECH!$B$3,""))</f>
        <v/>
      </c>
      <c r="DX148" s="106">
        <f>IF(BJ148="","",IFERROR(BJ148*HSTECH!$B$39*HSTECH!$G$39/HSTECH!$B$3,""))</f>
        <v/>
      </c>
      <c r="DY148" s="106">
        <f>IF(BK148="","",IFERROR(BK148*HSTECH!$B$39*HSTECH!$G$39/HSTECH!$B$3,""))</f>
        <v/>
      </c>
      <c r="DZ148" s="106">
        <f>IF(BL148="","",IFERROR(BL148*HSTECH!$B$39*HSTECH!$G$39/HSTECH!$B$3,""))</f>
        <v/>
      </c>
      <c r="EA148" s="106">
        <f>IF(BM148="","",IFERROR(BM148*HSTECH!$B$39*HSTECH!$G$39/HSTECH!$B$3,""))</f>
        <v/>
      </c>
      <c r="EB148" s="106">
        <f>IF(BN148="","",IFERROR(BN148*HSTECH!$B$39*HSTECH!$G$39/HSTECH!$B$3,""))</f>
        <v/>
      </c>
      <c r="EC148" s="106">
        <f>IF(BO148="","",IFERROR(BO148*HSTECH!$B$39*HSTECH!$G$39/HSTECH!$B$3,""))</f>
        <v/>
      </c>
      <c r="EE148" s="35">
        <f>IF(N('Dvd Calendar'!$E$1468)=0,"",IF(('Dvd Calendar'!$E$1468&gt;=GRID_FROM)*('Dvd Calendar'!$E$1468&lt;=GRID_TO)*('Dvd Calendar'!$E$1468&lt;=VAL_DATE)=0,"",'Dvd Calendar'!$E$1468*1000000000+ISNUMBER('Dvd Calendar'!$E$1471)*100000000+('Dvd Calendar'!$E$1473=SPECIAL_LBL)*10000000+0*1000000+33*1000+1))</f>
        <v/>
      </c>
      <c r="EF148" s="35">
        <f>IF(N('Dvd Calendar'!$F$1468)=0,"",IF(('Dvd Calendar'!$F$1468&gt;=GRID_FROM)*('Dvd Calendar'!$F$1468&lt;=GRID_TO)*('Dvd Calendar'!$F$1468&lt;=VAL_DATE)=0,"",'Dvd Calendar'!$F$1468*1000000000+ISNUMBER('Dvd Calendar'!$F$1471)*100000000+('Dvd Calendar'!$F$1473=SPECIAL_LBL)*10000000+0*1000000+33*1000+2))</f>
        <v/>
      </c>
      <c r="EG148" s="35">
        <f>IF(N('Dvd Calendar'!$G$1468)=0,"",IF(('Dvd Calendar'!$G$1468&gt;=GRID_FROM)*('Dvd Calendar'!$G$1468&lt;=GRID_TO)*('Dvd Calendar'!$G$1468&lt;=VAL_DATE)=0,"",'Dvd Calendar'!$G$1468*1000000000+ISNUMBER('Dvd Calendar'!$G$1471)*100000000+('Dvd Calendar'!$G$1473=SPECIAL_LBL)*10000000+0*1000000+33*1000+3))</f>
        <v/>
      </c>
      <c r="EH148" s="35">
        <f>IF(N('Dvd Calendar'!$H$1468)=0,"",IF(('Dvd Calendar'!$H$1468&gt;=GRID_FROM)*('Dvd Calendar'!$H$1468&lt;=GRID_TO)*('Dvd Calendar'!$H$1468&lt;=VAL_DATE)=0,"",'Dvd Calendar'!$H$1468*1000000000+ISNUMBER('Dvd Calendar'!$H$1471)*100000000+('Dvd Calendar'!$H$1473=SPECIAL_LBL)*10000000+0*1000000+33*1000+4))</f>
        <v/>
      </c>
      <c r="EI148" s="35">
        <f>IF(N('Dvd Calendar'!$I$1468)=0,"",IF(('Dvd Calendar'!$I$1468&gt;=GRID_FROM)*('Dvd Calendar'!$I$1468&lt;=GRID_TO)*('Dvd Calendar'!$I$1468&lt;=VAL_DATE)=0,"",'Dvd Calendar'!$I$1468*1000000000+ISNUMBER('Dvd Calendar'!$I$1471)*100000000+('Dvd Calendar'!$I$1473=SPECIAL_LBL)*10000000+0*1000000+33*1000+5))</f>
        <v/>
      </c>
      <c r="EJ148" s="35">
        <f>IF(N('Dvd Calendar'!$J$1468)=0,"",IF(('Dvd Calendar'!$J$1468&gt;=GRID_FROM)*('Dvd Calendar'!$J$1468&lt;=GRID_TO)*('Dvd Calendar'!$J$1468&lt;=VAL_DATE)=0,"",'Dvd Calendar'!$J$1468*1000000000+ISNUMBER('Dvd Calendar'!$J$1471)*100000000+('Dvd Calendar'!$J$1473=SPECIAL_LBL)*10000000+0*1000000+33*1000+6))</f>
        <v/>
      </c>
      <c r="EK148" s="35">
        <f>IF(N('Dvd Calendar'!$K$1468)=0,"",IF(('Dvd Calendar'!$K$1468&gt;=GRID_FROM)*('Dvd Calendar'!$K$1468&lt;=GRID_TO)*('Dvd Calendar'!$K$1468&lt;=VAL_DATE)=0,"",'Dvd Calendar'!$K$1468*1000000000+ISNUMBER('Dvd Calendar'!$K$1471)*100000000+('Dvd Calendar'!$K$1473=SPECIAL_LBL)*10000000+0*1000000+33*1000+7))</f>
        <v/>
      </c>
      <c r="EL148" s="35">
        <f>IF(N('Dvd Calendar'!$L$1468)=0,"",IF(('Dvd Calendar'!$L$1468&gt;=GRID_FROM)*('Dvd Calendar'!$L$1468&lt;=GRID_TO)*('Dvd Calendar'!$L$1468&lt;=VAL_DATE)=0,"",'Dvd Calendar'!$L$1468*1000000000+ISNUMBER('Dvd Calendar'!$L$1471)*100000000+('Dvd Calendar'!$L$1473=SPECIAL_LBL)*10000000+0*1000000+33*1000+8))</f>
        <v/>
      </c>
      <c r="EM148" s="35">
        <f>IF(N('Dvd Calendar'!$M$1468)=0,"",IF(('Dvd Calendar'!$M$1468&gt;=GRID_FROM)*('Dvd Calendar'!$M$1468&lt;=GRID_TO)*('Dvd Calendar'!$M$1468&lt;=VAL_DATE)=0,"",'Dvd Calendar'!$M$1468*1000000000+ISNUMBER('Dvd Calendar'!$M$1471)*100000000+('Dvd Calendar'!$M$1473=SPECIAL_LBL)*10000000+0*1000000+33*1000+9))</f>
        <v/>
      </c>
      <c r="EN148" s="35">
        <f>IF(N('Dvd Calendar'!$N$1468)=0,"",IF(('Dvd Calendar'!$N$1468&gt;=GRID_FROM)*('Dvd Calendar'!$N$1468&lt;=GRID_TO)*('Dvd Calendar'!$N$1468&lt;=VAL_DATE)=0,"",'Dvd Calendar'!$N$1468*1000000000+ISNUMBER('Dvd Calendar'!$N$1471)*100000000+('Dvd Calendar'!$N$1473=SPECIAL_LBL)*10000000+0*1000000+33*1000+10))</f>
        <v/>
      </c>
      <c r="EO148" s="35">
        <f>IF(N('Dvd Calendar'!$O$1468)=0,"",IF(('Dvd Calendar'!$O$1468&gt;=GRID_FROM)*('Dvd Calendar'!$O$1468&lt;=GRID_TO)*('Dvd Calendar'!$O$1468&lt;=VAL_DATE)=0,"",'Dvd Calendar'!$O$1468*1000000000+ISNUMBER('Dvd Calendar'!$O$1471)*100000000+('Dvd Calendar'!$O$1473=SPECIAL_LBL)*10000000+0*1000000+33*1000+11))</f>
        <v/>
      </c>
      <c r="EP148" s="35">
        <f>IF(N('Dvd Calendar'!$P$1468)=0,"",IF(('Dvd Calendar'!$P$1468&gt;=GRID_FROM)*('Dvd Calendar'!$P$1468&lt;=GRID_TO)*('Dvd Calendar'!$P$1468&lt;=VAL_DATE)=0,"",'Dvd Calendar'!$P$1468*1000000000+ISNUMBER('Dvd Calendar'!$P$1471)*100000000+('Dvd Calendar'!$P$1473=SPECIAL_LBL)*10000000+0*1000000+33*1000+12))</f>
        <v/>
      </c>
      <c r="EQ148" s="35">
        <f>IF(N('Dvd Calendar'!$Q$1468)=0,"",IF(('Dvd Calendar'!$Q$1468&gt;=GRID_FROM)*('Dvd Calendar'!$Q$1468&lt;=GRID_TO)*('Dvd Calendar'!$Q$1468&lt;=VAL_DATE)=0,"",'Dvd Calendar'!$Q$1468*1000000000+ISNUMBER('Dvd Calendar'!$Q$1471)*100000000+('Dvd Calendar'!$Q$1473=SPECIAL_LBL)*10000000+0*1000000+33*1000+13))</f>
        <v/>
      </c>
      <c r="ER148" s="35">
        <f>IF(N('Dvd Calendar'!$R$1468)=0,"",IF(('Dvd Calendar'!$R$1468&gt;=GRID_FROM)*('Dvd Calendar'!$R$1468&lt;=GRID_TO)*('Dvd Calendar'!$R$1468&lt;=VAL_DATE)=0,"",'Dvd Calendar'!$R$1468*1000000000+ISNUMBER('Dvd Calendar'!$R$1471)*100000000+('Dvd Calendar'!$R$1473=SPECIAL_LBL)*10000000+0*1000000+33*1000+14))</f>
        <v/>
      </c>
      <c r="ES148" s="35">
        <f>IF(N('Dvd Calendar'!$S$1468)=0,"",IF(('Dvd Calendar'!$S$1468&gt;=GRID_FROM)*('Dvd Calendar'!$S$1468&lt;=GRID_TO)*('Dvd Calendar'!$S$1468&lt;=VAL_DATE)=0,"",'Dvd Calendar'!$S$1468*1000000000+ISNUMBER('Dvd Calendar'!$S$1471)*100000000+('Dvd Calendar'!$S$1473=SPECIAL_LBL)*10000000+0*1000000+33*1000+15))</f>
        <v/>
      </c>
      <c r="ET148" s="35">
        <f>IF(N('Dvd Calendar'!$T$1468)=0,"",IF(('Dvd Calendar'!$T$1468&gt;=GRID_FROM)*('Dvd Calendar'!$T$1468&lt;=GRID_TO)*('Dvd Calendar'!$T$1468&lt;=VAL_DATE)=0,"",'Dvd Calendar'!$T$1468*1000000000+ISNUMBER('Dvd Calendar'!$T$1471)*100000000+('Dvd Calendar'!$T$1473=SPECIAL_LBL)*10000000+0*1000000+33*1000+16))</f>
        <v/>
      </c>
      <c r="EU148" s="35">
        <f>IF(N('Dvd Calendar'!$U$1468)=0,"",IF(('Dvd Calendar'!$U$1468&gt;=GRID_FROM)*('Dvd Calendar'!$U$1468&lt;=GRID_TO)*('Dvd Calendar'!$U$1468&lt;=VAL_DATE)=0,"",'Dvd Calendar'!$U$1468*1000000000+ISNUMBER('Dvd Calendar'!$U$1471)*100000000+('Dvd Calendar'!$U$1473=SPECIAL_LBL)*10000000+0*1000000+33*1000+17))</f>
        <v/>
      </c>
      <c r="EV148" s="35">
        <f>IF(N('Dvd Calendar'!$V$1468)=0,"",IF(('Dvd Calendar'!$V$1468&gt;=GRID_FROM)*('Dvd Calendar'!$V$1468&lt;=GRID_TO)*('Dvd Calendar'!$V$1468&lt;=VAL_DATE)=0,"",'Dvd Calendar'!$V$1468*1000000000+ISNUMBER('Dvd Calendar'!$V$1471)*100000000+('Dvd Calendar'!$V$1473=SPECIAL_LBL)*10000000+0*1000000+33*1000+18))</f>
        <v/>
      </c>
      <c r="EW148" s="35">
        <f>IF(N('Dvd Calendar'!$W$1468)=0,"",IF(('Dvd Calendar'!$W$1468&gt;=GRID_FROM)*('Dvd Calendar'!$W$1468&lt;=GRID_TO)*('Dvd Calendar'!$W$1468&lt;=VAL_DATE)=0,"",'Dvd Calendar'!$W$1468*1000000000+ISNUMBER('Dvd Calendar'!$W$1471)*100000000+('Dvd Calendar'!$W$1473=SPECIAL_LBL)*10000000+0*1000000+33*1000+19))</f>
        <v/>
      </c>
      <c r="EX148" s="35">
        <f>IF(N('Dvd Calendar'!$X$1468)=0,"",IF(('Dvd Calendar'!$X$1468&gt;=GRID_FROM)*('Dvd Calendar'!$X$1468&lt;=GRID_TO)*('Dvd Calendar'!$X$1468&lt;=VAL_DATE)=0,"",'Dvd Calendar'!$X$1468*1000000000+ISNUMBER('Dvd Calendar'!$X$1471)*100000000+('Dvd Calendar'!$X$1473=SPECIAL_LBL)*10000000+0*1000000+33*1000+20))</f>
        <v/>
      </c>
      <c r="EY148" s="35">
        <f>IF(N('Dvd Calendar'!$Y$1468)=0,"",IF(('Dvd Calendar'!$Y$1468&gt;=GRID_FROM)*('Dvd Calendar'!$Y$1468&lt;=GRID_TO)*('Dvd Calendar'!$Y$1468&lt;=VAL_DATE)=0,"",'Dvd Calendar'!$Y$1468*1000000000+ISNUMBER('Dvd Calendar'!$Y$1471)*100000000+('Dvd Calendar'!$Y$1473=SPECIAL_LBL)*10000000+0*1000000+33*1000+21))</f>
        <v/>
      </c>
      <c r="EZ148" s="35">
        <f>IF(N('Dvd Calendar'!$Z$1468)=0,"",IF(('Dvd Calendar'!$Z$1468&gt;=GRID_FROM)*('Dvd Calendar'!$Z$1468&lt;=GRID_TO)*('Dvd Calendar'!$Z$1468&lt;=VAL_DATE)=0,"",'Dvd Calendar'!$Z$1468*1000000000+ISNUMBER('Dvd Calendar'!$Z$1471)*100000000+('Dvd Calendar'!$Z$1473=SPECIAL_LBL)*10000000+0*1000000+33*1000+22))</f>
        <v/>
      </c>
      <c r="FA148" s="35">
        <f>IF(N('Dvd Calendar'!$AA$1468)=0,"",IF(('Dvd Calendar'!$AA$1468&gt;=GRID_FROM)*('Dvd Calendar'!$AA$1468&lt;=GRID_TO)*('Dvd Calendar'!$AA$1468&lt;=VAL_DATE)=0,"",'Dvd Calendar'!$AA$1468*1000000000+ISNUMBER('Dvd Calendar'!$AA$1471)*100000000+('Dvd Calendar'!$AA$1473=SPECIAL_LBL)*10000000+0*1000000+33*1000+23))</f>
        <v/>
      </c>
      <c r="FB148" s="35">
        <f>IF(N('Dvd Calendar'!$AB$1468)=0,"",IF(('Dvd Calendar'!$AB$1468&gt;=GRID_FROM)*('Dvd Calendar'!$AB$1468&lt;=GRID_TO)*('Dvd Calendar'!$AB$1468&lt;=VAL_DATE)=0,"",'Dvd Calendar'!$AB$1468*1000000000+ISNUMBER('Dvd Calendar'!$AB$1471)*100000000+('Dvd Calendar'!$AB$1473=SPECIAL_LBL)*10000000+0*1000000+33*1000+24))</f>
        <v/>
      </c>
      <c r="FC148" s="35">
        <f>IF(N('Dvd Calendar'!$AC$1468)=0,"",IF(('Dvd Calendar'!$AC$1468&gt;=GRID_FROM)*('Dvd Calendar'!$AC$1468&lt;=GRID_TO)*('Dvd Calendar'!$AC$1468&lt;=VAL_DATE)=0,"",'Dvd Calendar'!$AC$1468*1000000000+ISNUMBER('Dvd Calendar'!$AC$1471)*100000000+('Dvd Calendar'!$AC$1473=SPECIAL_LBL)*10000000+0*1000000+33*1000+25))</f>
        <v/>
      </c>
      <c r="FD148" s="35">
        <f>IF(N('Dvd Calendar'!$AD$1468)=0,"",IF(('Dvd Calendar'!$AD$1468&gt;=GRID_FROM)*('Dvd Calendar'!$AD$1468&lt;=GRID_TO)*('Dvd Calendar'!$AD$1468&lt;=VAL_DATE)=0,"",'Dvd Calendar'!$AD$1468*1000000000+ISNUMBER('Dvd Calendar'!$AD$1471)*100000000+('Dvd Calendar'!$AD$1473=SPECIAL_LBL)*10000000+0*1000000+33*1000+26))</f>
        <v/>
      </c>
      <c r="FE148" s="35">
        <f>IF(N('Dvd Calendar'!$AE$1468)=0,"",IF(('Dvd Calendar'!$AE$1468&gt;=GRID_FROM)*('Dvd Calendar'!$AE$1468&lt;=GRID_TO)*('Dvd Calendar'!$AE$1468&lt;=VAL_DATE)=0,"",'Dvd Calendar'!$AE$1468*1000000000+ISNUMBER('Dvd Calendar'!$AE$1471)*100000000+('Dvd Calendar'!$AE$1473=SPECIAL_LBL)*10000000+0*1000000+33*1000+27))</f>
        <v/>
      </c>
      <c r="FF148" s="35">
        <f>IF(N('Dvd Calendar'!$AF$1468)=0,"",IF(('Dvd Calendar'!$AF$1468&gt;=GRID_FROM)*('Dvd Calendar'!$AF$1468&lt;=GRID_TO)*('Dvd Calendar'!$AF$1468&lt;=VAL_DATE)=0,"",'Dvd Calendar'!$AF$1468*1000000000+ISNUMBER('Dvd Calendar'!$AF$1471)*100000000+('Dvd Calendar'!$AF$1473=SPECIAL_LBL)*10000000+0*1000000+33*1000+28))</f>
        <v/>
      </c>
      <c r="FG148" s="35">
        <f>IF(N('Dvd Calendar'!$AG$1468)=0,"",IF(('Dvd Calendar'!$AG$1468&gt;=GRID_FROM)*('Dvd Calendar'!$AG$1468&lt;=GRID_TO)*('Dvd Calendar'!$AG$1468&lt;=VAL_DATE)=0,"",'Dvd Calendar'!$AG$1468*1000000000+ISNUMBER('Dvd Calendar'!$AG$1471)*100000000+('Dvd Calendar'!$AG$1473=SPECIAL_LBL)*10000000+0*1000000+33*1000+29))</f>
        <v/>
      </c>
      <c r="FH148" s="35">
        <f>IF(N('Dvd Calendar'!$AH$1468)=0,"",IF(('Dvd Calendar'!$AH$1468&gt;=GRID_FROM)*('Dvd Calendar'!$AH$1468&lt;=GRID_TO)*('Dvd Calendar'!$AH$1468&lt;=VAL_DATE)=0,"",'Dvd Calendar'!$AH$1468*1000000000+ISNUMBER('Dvd Calendar'!$AH$1471)*100000000+('Dvd Calendar'!$AH$1473=SPECIAL_LBL)*10000000+0*1000000+33*1000+30))</f>
        <v/>
      </c>
      <c r="FI148" s="35">
        <f>IF(N('Dvd Calendar'!$AI$1468)=0,"",IF(('Dvd Calendar'!$AI$1468&gt;=GRID_FROM)*('Dvd Calendar'!$AI$1468&lt;=GRID_TO)*('Dvd Calendar'!$AI$1468&lt;=VAL_DATE)=0,"",'Dvd Calendar'!$AI$1468*1000000000+ISNUMBER('Dvd Calendar'!$AI$1471)*100000000+('Dvd Calendar'!$AI$1473=SPECIAL_LBL)*10000000+0*1000000+33*1000+31))</f>
        <v/>
      </c>
      <c r="FJ148" s="35">
        <f>IF(N('Dvd Calendar'!$AJ$1468)=0,"",IF(('Dvd Calendar'!$AJ$1468&gt;=GRID_FROM)*('Dvd Calendar'!$AJ$1468&lt;=GRID_TO)*('Dvd Calendar'!$AJ$1468&lt;=VAL_DATE)=0,"",'Dvd Calendar'!$AJ$1468*1000000000+ISNUMBER('Dvd Calendar'!$AJ$1471)*100000000+('Dvd Calendar'!$AJ$1473=SPECIAL_LBL)*10000000+0*1000000+33*1000+32))</f>
        <v/>
      </c>
      <c r="FK148" s="35">
        <f>IF(N('Dvd Calendar'!$AK$1468)=0,"",IF(('Dvd Calendar'!$AK$1468&gt;=GRID_FROM)*('Dvd Calendar'!$AK$1468&lt;=GRID_TO)*('Dvd Calendar'!$AK$1468&lt;=VAL_DATE)=0,"",'Dvd Calendar'!$AK$1468*1000000000+ISNUMBER('Dvd Calendar'!$AK$1471)*100000000+('Dvd Calendar'!$AK$1473=SPECIAL_LBL)*10000000+0*1000000+33*1000+33))</f>
        <v/>
      </c>
      <c r="FL148" s="35">
        <f>IF(N('Dvd Calendar'!$AL$1468)=0,"",IF(('Dvd Calendar'!$AL$1468&gt;=GRID_FROM)*('Dvd Calendar'!$AL$1468&lt;=GRID_TO)*('Dvd Calendar'!$AL$1468&lt;=VAL_DATE)=0,"",'Dvd Calendar'!$AL$1468*1000000000+ISNUMBER('Dvd Calendar'!$AL$1471)*100000000+('Dvd Calendar'!$AL$1473=SPECIAL_LBL)*10000000+0*1000000+33*1000+34))</f>
        <v/>
      </c>
      <c r="FM148" s="35">
        <f>IF(N('Dvd Calendar'!$AM$1468)=0,"",IF(('Dvd Calendar'!$AM$1468&gt;=GRID_FROM)*('Dvd Calendar'!$AM$1468&lt;=GRID_TO)*('Dvd Calendar'!$AM$1468&lt;=VAL_DATE)=0,"",'Dvd Calendar'!$AM$1468*1000000000+ISNUMBER('Dvd Calendar'!$AM$1471)*100000000+('Dvd Calendar'!$AM$1473=SPECIAL_LBL)*10000000+0*1000000+33*1000+35))</f>
        <v/>
      </c>
      <c r="FN148" s="35">
        <f>IF(N('Dvd Calendar'!$AN$1468)=0,"",IF(('Dvd Calendar'!$AN$1468&gt;=GRID_FROM)*('Dvd Calendar'!$AN$1468&lt;=GRID_TO)*('Dvd Calendar'!$AN$1468&lt;=VAL_DATE)=0,"",'Dvd Calendar'!$AN$1468*1000000000+ISNUMBER('Dvd Calendar'!$AN$1471)*100000000+('Dvd Calendar'!$AN$1473=SPECIAL_LBL)*10000000+0*1000000+33*1000+36))</f>
        <v/>
      </c>
      <c r="FO148" s="35">
        <f>IF(N('Dvd Calendar'!$AO$1468)=0,"",IF(('Dvd Calendar'!$AO$1468&gt;=GRID_FROM)*('Dvd Calendar'!$AO$1468&lt;=GRID_TO)*('Dvd Calendar'!$AO$1468&lt;=VAL_DATE)=0,"",'Dvd Calendar'!$AO$1468*1000000000+ISNUMBER('Dvd Calendar'!$AO$1471)*100000000+('Dvd Calendar'!$AO$1473=SPECIAL_LBL)*10000000+0*1000000+33*1000+37))</f>
        <v/>
      </c>
      <c r="FP148" s="35">
        <f>IF(N('Dvd Calendar'!$AP$1468)=0,"",IF(('Dvd Calendar'!$AP$1468&gt;=GRID_FROM)*('Dvd Calendar'!$AP$1468&lt;=GRID_TO)*('Dvd Calendar'!$AP$1468&lt;=VAL_DATE)=0,"",'Dvd Calendar'!$AP$1468*1000000000+ISNUMBER('Dvd Calendar'!$AP$1471)*100000000+('Dvd Calendar'!$AP$1473=SPECIAL_LBL)*10000000+0*1000000+33*1000+38))</f>
        <v/>
      </c>
      <c r="FQ148" s="35">
        <f>IF(N('Dvd Calendar'!$AQ$1468)=0,"",IF(('Dvd Calendar'!$AQ$1468&gt;=GRID_FROM)*('Dvd Calendar'!$AQ$1468&lt;=GRID_TO)*('Dvd Calendar'!$AQ$1468&lt;=VAL_DATE)=0,"",'Dvd Calendar'!$AQ$1468*1000000000+ISNUMBER('Dvd Calendar'!$AQ$1471)*100000000+('Dvd Calendar'!$AQ$1473=SPECIAL_LBL)*10000000+0*1000000+33*1000+39))</f>
        <v/>
      </c>
      <c r="FR148" s="35">
        <f>IF(N('Dvd Calendar'!$AR$1468)=0,"",IF(('Dvd Calendar'!$AR$1468&gt;=GRID_FROM)*('Dvd Calendar'!$AR$1468&lt;=GRID_TO)*('Dvd Calendar'!$AR$1468&lt;=VAL_DATE)=0,"",'Dvd Calendar'!$AR$1468*1000000000+ISNUMBER('Dvd Calendar'!$AR$1471)*100000000+('Dvd Calendar'!$AR$1473=SPECIAL_LBL)*10000000+0*1000000+33*1000+40))</f>
        <v/>
      </c>
      <c r="FS148" s="35">
        <f>IF(N('Dvd Calendar'!$E$1475)=0,"",IF(('Dvd Calendar'!$E$1475&gt;=GRID_FROM)*('Dvd Calendar'!$E$1475&lt;=GRID_TO)*('Dvd Calendar'!$E$1475&gt;VAL_DATE)=0,"",'Dvd Calendar'!$E$1475*1000000000+ISNUMBER('Dvd Calendar'!$E$1476)*100000000+0*10000000+(N('Dvd Calendar'!$E$1474)&gt;0)*(N('Dvd Calendar'!$E$1474)&lt;=VAL_SERIAL)*1000000+33*1000+41))</f>
        <v/>
      </c>
      <c r="FT148" s="35">
        <f>IF(N('Dvd Calendar'!$F$1475)=0,"",IF(('Dvd Calendar'!$F$1475&gt;=GRID_FROM)*('Dvd Calendar'!$F$1475&lt;=GRID_TO)*('Dvd Calendar'!$F$1475&gt;VAL_DATE)=0,"",'Dvd Calendar'!$F$1475*1000000000+ISNUMBER('Dvd Calendar'!$F$1476)*100000000+0*10000000+(N('Dvd Calendar'!$F$1474)&gt;0)*(N('Dvd Calendar'!$F$1474)&lt;=VAL_SERIAL)*1000000+33*1000+42))</f>
        <v/>
      </c>
      <c r="FU148" s="35">
        <f>IF(N('Dvd Calendar'!$G$1475)=0,"",IF(('Dvd Calendar'!$G$1475&gt;=GRID_FROM)*('Dvd Calendar'!$G$1475&lt;=GRID_TO)*('Dvd Calendar'!$G$1475&gt;VAL_DATE)=0,"",'Dvd Calendar'!$G$1475*1000000000+ISNUMBER('Dvd Calendar'!$G$1476)*100000000+0*10000000+(N('Dvd Calendar'!$G$1474)&gt;0)*(N('Dvd Calendar'!$G$1474)&lt;=VAL_SERIAL)*1000000+33*1000+43))</f>
        <v/>
      </c>
      <c r="FV148" s="35">
        <f>IF(N('Dvd Calendar'!$H$1475)=0,"",IF(('Dvd Calendar'!$H$1475&gt;=GRID_FROM)*('Dvd Calendar'!$H$1475&lt;=GRID_TO)*('Dvd Calendar'!$H$1475&gt;VAL_DATE)=0,"",'Dvd Calendar'!$H$1475*1000000000+ISNUMBER('Dvd Calendar'!$H$1476)*100000000+0*10000000+(N('Dvd Calendar'!$H$1474)&gt;0)*(N('Dvd Calendar'!$H$1474)&lt;=VAL_SERIAL)*1000000+33*1000+44))</f>
        <v/>
      </c>
      <c r="FW148" s="35">
        <f>IF(N('Dvd Calendar'!$I$1475)=0,"",IF(('Dvd Calendar'!$I$1475&gt;=GRID_FROM)*('Dvd Calendar'!$I$1475&lt;=GRID_TO)*('Dvd Calendar'!$I$1475&gt;VAL_DATE)=0,"",'Dvd Calendar'!$I$1475*1000000000+ISNUMBER('Dvd Calendar'!$I$1476)*100000000+0*10000000+(N('Dvd Calendar'!$I$1474)&gt;0)*(N('Dvd Calendar'!$I$1474)&lt;=VAL_SERIAL)*1000000+33*1000+45))</f>
        <v/>
      </c>
      <c r="FX148" s="35">
        <f>IF(N('Dvd Calendar'!$J$1475)=0,"",IF(('Dvd Calendar'!$J$1475&gt;=GRID_FROM)*('Dvd Calendar'!$J$1475&lt;=GRID_TO)*('Dvd Calendar'!$J$1475&gt;VAL_DATE)=0,"",'Dvd Calendar'!$J$1475*1000000000+ISNUMBER('Dvd Calendar'!$J$1476)*100000000+0*10000000+(N('Dvd Calendar'!$J$1474)&gt;0)*(N('Dvd Calendar'!$J$1474)&lt;=VAL_SERIAL)*1000000+33*1000+46))</f>
        <v/>
      </c>
      <c r="FY148" s="35">
        <f>IF(N('Dvd Calendar'!$K$1475)=0,"",IF(('Dvd Calendar'!$K$1475&gt;=GRID_FROM)*('Dvd Calendar'!$K$1475&lt;=GRID_TO)*('Dvd Calendar'!$K$1475&gt;VAL_DATE)=0,"",'Dvd Calendar'!$K$1475*1000000000+ISNUMBER('Dvd Calendar'!$K$1476)*100000000+0*10000000+(N('Dvd Calendar'!$K$1474)&gt;0)*(N('Dvd Calendar'!$K$1474)&lt;=VAL_SERIAL)*1000000+33*1000+47))</f>
        <v/>
      </c>
      <c r="FZ148" s="35">
        <f>IF(N('Dvd Calendar'!$L$1475)=0,"",IF(('Dvd Calendar'!$L$1475&gt;=GRID_FROM)*('Dvd Calendar'!$L$1475&lt;=GRID_TO)*('Dvd Calendar'!$L$1475&gt;VAL_DATE)=0,"",'Dvd Calendar'!$L$1475*1000000000+ISNUMBER('Dvd Calendar'!$L$1476)*100000000+0*10000000+(N('Dvd Calendar'!$L$1474)&gt;0)*(N('Dvd Calendar'!$L$1474)&lt;=VAL_SERIAL)*1000000+33*1000+48))</f>
        <v/>
      </c>
      <c r="GA148" s="35">
        <f>IF(N('Dvd Calendar'!$M$1475)=0,"",IF(('Dvd Calendar'!$M$1475&gt;=GRID_FROM)*('Dvd Calendar'!$M$1475&lt;=GRID_TO)*('Dvd Calendar'!$M$1475&gt;VAL_DATE)=0,"",'Dvd Calendar'!$M$1475*1000000000+ISNUMBER('Dvd Calendar'!$M$1476)*100000000+0*10000000+(N('Dvd Calendar'!$M$1474)&gt;0)*(N('Dvd Calendar'!$M$1474)&lt;=VAL_SERIAL)*1000000+33*1000+49))</f>
        <v/>
      </c>
      <c r="GB148" s="35">
        <f>IF(N('Dvd Calendar'!$N$1475)=0,"",IF(('Dvd Calendar'!$N$1475&gt;=GRID_FROM)*('Dvd Calendar'!$N$1475&lt;=GRID_TO)*('Dvd Calendar'!$N$1475&gt;VAL_DATE)=0,"",'Dvd Calendar'!$N$1475*1000000000+ISNUMBER('Dvd Calendar'!$N$1476)*100000000+0*10000000+(N('Dvd Calendar'!$N$1474)&gt;0)*(N('Dvd Calendar'!$N$1474)&lt;=VAL_SERIAL)*1000000+33*1000+50))</f>
        <v/>
      </c>
      <c r="GC148" s="35">
        <f>IF(N('Dvd Calendar'!$O$1475)=0,"",IF(('Dvd Calendar'!$O$1475&gt;=GRID_FROM)*('Dvd Calendar'!$O$1475&lt;=GRID_TO)*('Dvd Calendar'!$O$1475&gt;VAL_DATE)=0,"",'Dvd Calendar'!$O$1475*1000000000+ISNUMBER('Dvd Calendar'!$O$1476)*100000000+0*10000000+(N('Dvd Calendar'!$O$1474)&gt;0)*(N('Dvd Calendar'!$O$1474)&lt;=VAL_SERIAL)*1000000+33*1000+51))</f>
        <v/>
      </c>
      <c r="GD148" s="35">
        <f>IF(N('Dvd Calendar'!$P$1475)=0,"",IF(('Dvd Calendar'!$P$1475&gt;=GRID_FROM)*('Dvd Calendar'!$P$1475&lt;=GRID_TO)*('Dvd Calendar'!$P$1475&gt;VAL_DATE)=0,"",'Dvd Calendar'!$P$1475*1000000000+ISNUMBER('Dvd Calendar'!$P$1476)*100000000+0*10000000+(N('Dvd Calendar'!$P$1474)&gt;0)*(N('Dvd Calendar'!$P$1474)&lt;=VAL_SERIAL)*1000000+33*1000+52))</f>
        <v/>
      </c>
      <c r="GE148" s="35">
        <f>IF(N('Dvd Calendar'!$Q$1475)=0,"",IF(('Dvd Calendar'!$Q$1475&gt;=GRID_FROM)*('Dvd Calendar'!$Q$1475&lt;=GRID_TO)*('Dvd Calendar'!$Q$1475&gt;VAL_DATE)=0,"",'Dvd Calendar'!$Q$1475*1000000000+ISNUMBER('Dvd Calendar'!$Q$1476)*100000000+0*10000000+(N('Dvd Calendar'!$Q$1474)&gt;0)*(N('Dvd Calendar'!$Q$1474)&lt;=VAL_SERIAL)*1000000+33*1000+53))</f>
        <v/>
      </c>
      <c r="GF148" s="35">
        <f>IF(N('Dvd Calendar'!$R$1475)=0,"",IF(('Dvd Calendar'!$R$1475&gt;=GRID_FROM)*('Dvd Calendar'!$R$1475&lt;=GRID_TO)*('Dvd Calendar'!$R$1475&gt;VAL_DATE)=0,"",'Dvd Calendar'!$R$1475*1000000000+ISNUMBER('Dvd Calendar'!$R$1476)*100000000+0*10000000+(N('Dvd Calendar'!$R$1474)&gt;0)*(N('Dvd Calendar'!$R$1474)&lt;=VAL_SERIAL)*1000000+33*1000+54))</f>
        <v/>
      </c>
      <c r="GG148" s="35">
        <f>IF(N('Dvd Calendar'!$S$1475)=0,"",IF(('Dvd Calendar'!$S$1475&gt;=GRID_FROM)*('Dvd Calendar'!$S$1475&lt;=GRID_TO)*('Dvd Calendar'!$S$1475&gt;VAL_DATE)=0,"",'Dvd Calendar'!$S$1475*1000000000+ISNUMBER('Dvd Calendar'!$S$1476)*100000000+0*10000000+(N('Dvd Calendar'!$S$1474)&gt;0)*(N('Dvd Calendar'!$S$1474)&lt;=VAL_SERIAL)*1000000+33*1000+55))</f>
        <v/>
      </c>
      <c r="GH148" s="35">
        <f>IF(N('Dvd Calendar'!$T$1475)=0,"",IF(('Dvd Calendar'!$T$1475&gt;=GRID_FROM)*('Dvd Calendar'!$T$1475&lt;=GRID_TO)*('Dvd Calendar'!$T$1475&gt;VAL_DATE)=0,"",'Dvd Calendar'!$T$1475*1000000000+ISNUMBER('Dvd Calendar'!$T$1476)*100000000+0*10000000+(N('Dvd Calendar'!$T$1474)&gt;0)*(N('Dvd Calendar'!$T$1474)&lt;=VAL_SERIAL)*1000000+33*1000+56))</f>
        <v/>
      </c>
      <c r="GI148" s="35">
        <f>IF(N('Dvd Calendar'!$U$1475)=0,"",IF(('Dvd Calendar'!$U$1475&gt;=GRID_FROM)*('Dvd Calendar'!$U$1475&lt;=GRID_TO)*('Dvd Calendar'!$U$1475&gt;VAL_DATE)=0,"",'Dvd Calendar'!$U$1475*1000000000+ISNUMBER('Dvd Calendar'!$U$1476)*100000000+0*10000000+(N('Dvd Calendar'!$U$1474)&gt;0)*(N('Dvd Calendar'!$U$1474)&lt;=VAL_SERIAL)*1000000+33*1000+57))</f>
        <v/>
      </c>
      <c r="GJ148" s="35">
        <f>IF(N('Dvd Calendar'!$V$1475)=0,"",IF(('Dvd Calendar'!$V$1475&gt;=GRID_FROM)*('Dvd Calendar'!$V$1475&lt;=GRID_TO)*('Dvd Calendar'!$V$1475&gt;VAL_DATE)=0,"",'Dvd Calendar'!$V$1475*1000000000+ISNUMBER('Dvd Calendar'!$V$1476)*100000000+0*10000000+(N('Dvd Calendar'!$V$1474)&gt;0)*(N('Dvd Calendar'!$V$1474)&lt;=VAL_SERIAL)*1000000+33*1000+58))</f>
        <v/>
      </c>
      <c r="GK148" s="35">
        <f>IF(N('Dvd Calendar'!$W$1475)=0,"",IF(('Dvd Calendar'!$W$1475&gt;=GRID_FROM)*('Dvd Calendar'!$W$1475&lt;=GRID_TO)*('Dvd Calendar'!$W$1475&gt;VAL_DATE)=0,"",'Dvd Calendar'!$W$1475*1000000000+ISNUMBER('Dvd Calendar'!$W$1476)*100000000+0*10000000+(N('Dvd Calendar'!$W$1474)&gt;0)*(N('Dvd Calendar'!$W$1474)&lt;=VAL_SERIAL)*1000000+33*1000+59))</f>
        <v/>
      </c>
      <c r="GL148" s="35">
        <f>IF(N('Dvd Calendar'!$X$1475)=0,"",IF(('Dvd Calendar'!$X$1475&gt;=GRID_FROM)*('Dvd Calendar'!$X$1475&lt;=GRID_TO)*('Dvd Calendar'!$X$1475&gt;VAL_DATE)=0,"",'Dvd Calendar'!$X$1475*1000000000+ISNUMBER('Dvd Calendar'!$X$1476)*100000000+0*10000000+(N('Dvd Calendar'!$X$1474)&gt;0)*(N('Dvd Calendar'!$X$1474)&lt;=VAL_SERIAL)*1000000+33*1000+60))</f>
        <v/>
      </c>
      <c r="GM148" s="35">
        <f>IF(N('Dvd Calendar'!$Y$1475)=0,"",IF(('Dvd Calendar'!$Y$1475&gt;=GRID_FROM)*('Dvd Calendar'!$Y$1475&lt;=GRID_TO)*('Dvd Calendar'!$Y$1475&gt;VAL_DATE)=0,"",'Dvd Calendar'!$Y$1475*1000000000+ISNUMBER('Dvd Calendar'!$Y$1476)*100000000+0*10000000+(N('Dvd Calendar'!$Y$1474)&gt;0)*(N('Dvd Calendar'!$Y$1474)&lt;=VAL_SERIAL)*1000000+33*1000+61))</f>
        <v/>
      </c>
      <c r="GN148" s="35">
        <f>IF(N('Dvd Calendar'!$Z$1475)=0,"",IF(('Dvd Calendar'!$Z$1475&gt;=GRID_FROM)*('Dvd Calendar'!$Z$1475&lt;=GRID_TO)*('Dvd Calendar'!$Z$1475&gt;VAL_DATE)=0,"",'Dvd Calendar'!$Z$1475*1000000000+ISNUMBER('Dvd Calendar'!$Z$1476)*100000000+0*10000000+(N('Dvd Calendar'!$Z$1474)&gt;0)*(N('Dvd Calendar'!$Z$1474)&lt;=VAL_SERIAL)*1000000+33*1000+62))</f>
        <v/>
      </c>
      <c r="GO148" s="35">
        <f>IF(N('Dvd Calendar'!$AA$1475)=0,"",IF(('Dvd Calendar'!$AA$1475&gt;=GRID_FROM)*('Dvd Calendar'!$AA$1475&lt;=GRID_TO)*('Dvd Calendar'!$AA$1475&gt;VAL_DATE)=0,"",'Dvd Calendar'!$AA$1475*1000000000+ISNUMBER('Dvd Calendar'!$AA$1476)*100000000+0*10000000+(N('Dvd Calendar'!$AA$1474)&gt;0)*(N('Dvd Calendar'!$AA$1474)&lt;=VAL_SERIAL)*1000000+33*1000+63))</f>
        <v/>
      </c>
      <c r="GP148" s="35">
        <f>IF(N('Dvd Calendar'!$AB$1475)=0,"",IF(('Dvd Calendar'!$AB$1475&gt;=GRID_FROM)*('Dvd Calendar'!$AB$1475&lt;=GRID_TO)*('Dvd Calendar'!$AB$1475&gt;VAL_DATE)=0,"",'Dvd Calendar'!$AB$1475*1000000000+ISNUMBER('Dvd Calendar'!$AB$1476)*100000000+0*10000000+(N('Dvd Calendar'!$AB$1474)&gt;0)*(N('Dvd Calendar'!$AB$1474)&lt;=VAL_SERIAL)*1000000+33*1000+64))</f>
        <v/>
      </c>
      <c r="GQ148" s="35">
        <f>IF(N('Dvd Calendar'!$AC$1475)=0,"",IF(('Dvd Calendar'!$AC$1475&gt;=GRID_FROM)*('Dvd Calendar'!$AC$1475&lt;=GRID_TO)*('Dvd Calendar'!$AC$1475&gt;VAL_DATE)=0,"",'Dvd Calendar'!$AC$1475*1000000000+ISNUMBER('Dvd Calendar'!$AC$1476)*100000000+0*10000000+(N('Dvd Calendar'!$AC$1474)&gt;0)*(N('Dvd Calendar'!$AC$1474)&lt;=VAL_SERIAL)*1000000+33*1000+65))</f>
        <v/>
      </c>
    </row>
    <row r="149">
      <c r="B149" s="2">
        <f>IF(HSTECH!$C$40="","",HSTECH!$C$40)</f>
        <v/>
      </c>
      <c r="C149" s="106">
        <f>IF(EE149="","",IF(ISNUMBER('Dvd Calendar'!$E$1482)=FALSE,"",IF((('Dvd Calendar'!$E$1484=TYPE1)*(TYPE1&lt;&gt;"")+('Dvd Calendar'!$E$1484=TYPE2)*(TYPE2&lt;&gt;"")+('Dvd Calendar'!$E$1484=TYPE3)*(TYPE3&lt;&gt;"")+('Dvd Calendar'!$E$1484=TYPE4)*(TYPE4&lt;&gt;"")+('Dvd Calendar'!$E$1484=SPECIAL_LBL)*(INC_SPECIALS="Y"))=0,"",'Dvd Calendar'!$E$1482)))</f>
        <v/>
      </c>
      <c r="D149" s="106">
        <f>IF(EF149="","",IF(ISNUMBER('Dvd Calendar'!$F$1482)=FALSE,"",IF((('Dvd Calendar'!$F$1484=TYPE1)*(TYPE1&lt;&gt;"")+('Dvd Calendar'!$F$1484=TYPE2)*(TYPE2&lt;&gt;"")+('Dvd Calendar'!$F$1484=TYPE3)*(TYPE3&lt;&gt;"")+('Dvd Calendar'!$F$1484=TYPE4)*(TYPE4&lt;&gt;"")+('Dvd Calendar'!$F$1484=SPECIAL_LBL)*(INC_SPECIALS="Y"))=0,"",'Dvd Calendar'!$F$1482)))</f>
        <v/>
      </c>
      <c r="E149" s="106">
        <f>IF(EG149="","",IF(ISNUMBER('Dvd Calendar'!$G$1482)=FALSE,"",IF((('Dvd Calendar'!$G$1484=TYPE1)*(TYPE1&lt;&gt;"")+('Dvd Calendar'!$G$1484=TYPE2)*(TYPE2&lt;&gt;"")+('Dvd Calendar'!$G$1484=TYPE3)*(TYPE3&lt;&gt;"")+('Dvd Calendar'!$G$1484=TYPE4)*(TYPE4&lt;&gt;"")+('Dvd Calendar'!$G$1484=SPECIAL_LBL)*(INC_SPECIALS="Y"))=0,"",'Dvd Calendar'!$G$1482)))</f>
        <v/>
      </c>
      <c r="F149" s="106">
        <f>IF(EH149="","",IF(ISNUMBER('Dvd Calendar'!$H$1482)=FALSE,"",IF((('Dvd Calendar'!$H$1484=TYPE1)*(TYPE1&lt;&gt;"")+('Dvd Calendar'!$H$1484=TYPE2)*(TYPE2&lt;&gt;"")+('Dvd Calendar'!$H$1484=TYPE3)*(TYPE3&lt;&gt;"")+('Dvd Calendar'!$H$1484=TYPE4)*(TYPE4&lt;&gt;"")+('Dvd Calendar'!$H$1484=SPECIAL_LBL)*(INC_SPECIALS="Y"))=0,"",'Dvd Calendar'!$H$1482)))</f>
        <v/>
      </c>
      <c r="G149" s="106">
        <f>IF(EI149="","",IF(ISNUMBER('Dvd Calendar'!$I$1482)=FALSE,"",IF((('Dvd Calendar'!$I$1484=TYPE1)*(TYPE1&lt;&gt;"")+('Dvd Calendar'!$I$1484=TYPE2)*(TYPE2&lt;&gt;"")+('Dvd Calendar'!$I$1484=TYPE3)*(TYPE3&lt;&gt;"")+('Dvd Calendar'!$I$1484=TYPE4)*(TYPE4&lt;&gt;"")+('Dvd Calendar'!$I$1484=SPECIAL_LBL)*(INC_SPECIALS="Y"))=0,"",'Dvd Calendar'!$I$1482)))</f>
        <v/>
      </c>
      <c r="H149" s="106">
        <f>IF(EJ149="","",IF(ISNUMBER('Dvd Calendar'!$J$1482)=FALSE,"",IF((('Dvd Calendar'!$J$1484=TYPE1)*(TYPE1&lt;&gt;"")+('Dvd Calendar'!$J$1484=TYPE2)*(TYPE2&lt;&gt;"")+('Dvd Calendar'!$J$1484=TYPE3)*(TYPE3&lt;&gt;"")+('Dvd Calendar'!$J$1484=TYPE4)*(TYPE4&lt;&gt;"")+('Dvd Calendar'!$J$1484=SPECIAL_LBL)*(INC_SPECIALS="Y"))=0,"",'Dvd Calendar'!$J$1482)))</f>
        <v/>
      </c>
      <c r="I149" s="106">
        <f>IF(EK149="","",IF(ISNUMBER('Dvd Calendar'!$K$1482)=FALSE,"",IF((('Dvd Calendar'!$K$1484=TYPE1)*(TYPE1&lt;&gt;"")+('Dvd Calendar'!$K$1484=TYPE2)*(TYPE2&lt;&gt;"")+('Dvd Calendar'!$K$1484=TYPE3)*(TYPE3&lt;&gt;"")+('Dvd Calendar'!$K$1484=TYPE4)*(TYPE4&lt;&gt;"")+('Dvd Calendar'!$K$1484=SPECIAL_LBL)*(INC_SPECIALS="Y"))=0,"",'Dvd Calendar'!$K$1482)))</f>
        <v/>
      </c>
      <c r="J149" s="106">
        <f>IF(EL149="","",IF(ISNUMBER('Dvd Calendar'!$L$1482)=FALSE,"",IF((('Dvd Calendar'!$L$1484=TYPE1)*(TYPE1&lt;&gt;"")+('Dvd Calendar'!$L$1484=TYPE2)*(TYPE2&lt;&gt;"")+('Dvd Calendar'!$L$1484=TYPE3)*(TYPE3&lt;&gt;"")+('Dvd Calendar'!$L$1484=TYPE4)*(TYPE4&lt;&gt;"")+('Dvd Calendar'!$L$1484=SPECIAL_LBL)*(INC_SPECIALS="Y"))=0,"",'Dvd Calendar'!$L$1482)))</f>
        <v/>
      </c>
      <c r="K149" s="106">
        <f>IF(EM149="","",IF(ISNUMBER('Dvd Calendar'!$M$1482)=FALSE,"",IF((('Dvd Calendar'!$M$1484=TYPE1)*(TYPE1&lt;&gt;"")+('Dvd Calendar'!$M$1484=TYPE2)*(TYPE2&lt;&gt;"")+('Dvd Calendar'!$M$1484=TYPE3)*(TYPE3&lt;&gt;"")+('Dvd Calendar'!$M$1484=TYPE4)*(TYPE4&lt;&gt;"")+('Dvd Calendar'!$M$1484=SPECIAL_LBL)*(INC_SPECIALS="Y"))=0,"",'Dvd Calendar'!$M$1482)))</f>
        <v/>
      </c>
      <c r="L149" s="106">
        <f>IF(EN149="","",IF(ISNUMBER('Dvd Calendar'!$N$1482)=FALSE,"",IF((('Dvd Calendar'!$N$1484=TYPE1)*(TYPE1&lt;&gt;"")+('Dvd Calendar'!$N$1484=TYPE2)*(TYPE2&lt;&gt;"")+('Dvd Calendar'!$N$1484=TYPE3)*(TYPE3&lt;&gt;"")+('Dvd Calendar'!$N$1484=TYPE4)*(TYPE4&lt;&gt;"")+('Dvd Calendar'!$N$1484=SPECIAL_LBL)*(INC_SPECIALS="Y"))=0,"",'Dvd Calendar'!$N$1482)))</f>
        <v/>
      </c>
      <c r="M149" s="106">
        <f>IF(EO149="","",IF(ISNUMBER('Dvd Calendar'!$O$1482)=FALSE,"",IF((('Dvd Calendar'!$O$1484=TYPE1)*(TYPE1&lt;&gt;"")+('Dvd Calendar'!$O$1484=TYPE2)*(TYPE2&lt;&gt;"")+('Dvd Calendar'!$O$1484=TYPE3)*(TYPE3&lt;&gt;"")+('Dvd Calendar'!$O$1484=TYPE4)*(TYPE4&lt;&gt;"")+('Dvd Calendar'!$O$1484=SPECIAL_LBL)*(INC_SPECIALS="Y"))=0,"",'Dvd Calendar'!$O$1482)))</f>
        <v/>
      </c>
      <c r="N149" s="106">
        <f>IF(EP149="","",IF(ISNUMBER('Dvd Calendar'!$P$1482)=FALSE,"",IF((('Dvd Calendar'!$P$1484=TYPE1)*(TYPE1&lt;&gt;"")+('Dvd Calendar'!$P$1484=TYPE2)*(TYPE2&lt;&gt;"")+('Dvd Calendar'!$P$1484=TYPE3)*(TYPE3&lt;&gt;"")+('Dvd Calendar'!$P$1484=TYPE4)*(TYPE4&lt;&gt;"")+('Dvd Calendar'!$P$1484=SPECIAL_LBL)*(INC_SPECIALS="Y"))=0,"",'Dvd Calendar'!$P$1482)))</f>
        <v/>
      </c>
      <c r="O149" s="106">
        <f>IF(EQ149="","",IF(ISNUMBER('Dvd Calendar'!$Q$1482)=FALSE,"",IF((('Dvd Calendar'!$Q$1484=TYPE1)*(TYPE1&lt;&gt;"")+('Dvd Calendar'!$Q$1484=TYPE2)*(TYPE2&lt;&gt;"")+('Dvd Calendar'!$Q$1484=TYPE3)*(TYPE3&lt;&gt;"")+('Dvd Calendar'!$Q$1484=TYPE4)*(TYPE4&lt;&gt;"")+('Dvd Calendar'!$Q$1484=SPECIAL_LBL)*(INC_SPECIALS="Y"))=0,"",'Dvd Calendar'!$Q$1482)))</f>
        <v/>
      </c>
      <c r="P149" s="106">
        <f>IF(ER149="","",IF(ISNUMBER('Dvd Calendar'!$R$1482)=FALSE,"",IF((('Dvd Calendar'!$R$1484=TYPE1)*(TYPE1&lt;&gt;"")+('Dvd Calendar'!$R$1484=TYPE2)*(TYPE2&lt;&gt;"")+('Dvd Calendar'!$R$1484=TYPE3)*(TYPE3&lt;&gt;"")+('Dvd Calendar'!$R$1484=TYPE4)*(TYPE4&lt;&gt;"")+('Dvd Calendar'!$R$1484=SPECIAL_LBL)*(INC_SPECIALS="Y"))=0,"",'Dvd Calendar'!$R$1482)))</f>
        <v/>
      </c>
      <c r="Q149" s="106">
        <f>IF(ES149="","",IF(ISNUMBER('Dvd Calendar'!$S$1482)=FALSE,"",IF((('Dvd Calendar'!$S$1484=TYPE1)*(TYPE1&lt;&gt;"")+('Dvd Calendar'!$S$1484=TYPE2)*(TYPE2&lt;&gt;"")+('Dvd Calendar'!$S$1484=TYPE3)*(TYPE3&lt;&gt;"")+('Dvd Calendar'!$S$1484=TYPE4)*(TYPE4&lt;&gt;"")+('Dvd Calendar'!$S$1484=SPECIAL_LBL)*(INC_SPECIALS="Y"))=0,"",'Dvd Calendar'!$S$1482)))</f>
        <v/>
      </c>
      <c r="R149" s="106">
        <f>IF(ET149="","",IF(ISNUMBER('Dvd Calendar'!$T$1482)=FALSE,"",IF((('Dvd Calendar'!$T$1484=TYPE1)*(TYPE1&lt;&gt;"")+('Dvd Calendar'!$T$1484=TYPE2)*(TYPE2&lt;&gt;"")+('Dvd Calendar'!$T$1484=TYPE3)*(TYPE3&lt;&gt;"")+('Dvd Calendar'!$T$1484=TYPE4)*(TYPE4&lt;&gt;"")+('Dvd Calendar'!$T$1484=SPECIAL_LBL)*(INC_SPECIALS="Y"))=0,"",'Dvd Calendar'!$T$1482)))</f>
        <v/>
      </c>
      <c r="S149" s="106">
        <f>IF(EU149="","",IF(ISNUMBER('Dvd Calendar'!$U$1482)=FALSE,"",IF((('Dvd Calendar'!$U$1484=TYPE1)*(TYPE1&lt;&gt;"")+('Dvd Calendar'!$U$1484=TYPE2)*(TYPE2&lt;&gt;"")+('Dvd Calendar'!$U$1484=TYPE3)*(TYPE3&lt;&gt;"")+('Dvd Calendar'!$U$1484=TYPE4)*(TYPE4&lt;&gt;"")+('Dvd Calendar'!$U$1484=SPECIAL_LBL)*(INC_SPECIALS="Y"))=0,"",'Dvd Calendar'!$U$1482)))</f>
        <v/>
      </c>
      <c r="T149" s="106">
        <f>IF(EV149="","",IF(ISNUMBER('Dvd Calendar'!$V$1482)=FALSE,"",IF((('Dvd Calendar'!$V$1484=TYPE1)*(TYPE1&lt;&gt;"")+('Dvd Calendar'!$V$1484=TYPE2)*(TYPE2&lt;&gt;"")+('Dvd Calendar'!$V$1484=TYPE3)*(TYPE3&lt;&gt;"")+('Dvd Calendar'!$V$1484=TYPE4)*(TYPE4&lt;&gt;"")+('Dvd Calendar'!$V$1484=SPECIAL_LBL)*(INC_SPECIALS="Y"))=0,"",'Dvd Calendar'!$V$1482)))</f>
        <v/>
      </c>
      <c r="U149" s="106">
        <f>IF(EW149="","",IF(ISNUMBER('Dvd Calendar'!$W$1482)=FALSE,"",IF((('Dvd Calendar'!$W$1484=TYPE1)*(TYPE1&lt;&gt;"")+('Dvd Calendar'!$W$1484=TYPE2)*(TYPE2&lt;&gt;"")+('Dvd Calendar'!$W$1484=TYPE3)*(TYPE3&lt;&gt;"")+('Dvd Calendar'!$W$1484=TYPE4)*(TYPE4&lt;&gt;"")+('Dvd Calendar'!$W$1484=SPECIAL_LBL)*(INC_SPECIALS="Y"))=0,"",'Dvd Calendar'!$W$1482)))</f>
        <v/>
      </c>
      <c r="V149" s="106">
        <f>IF(EX149="","",IF(ISNUMBER('Dvd Calendar'!$X$1482)=FALSE,"",IF((('Dvd Calendar'!$X$1484=TYPE1)*(TYPE1&lt;&gt;"")+('Dvd Calendar'!$X$1484=TYPE2)*(TYPE2&lt;&gt;"")+('Dvd Calendar'!$X$1484=TYPE3)*(TYPE3&lt;&gt;"")+('Dvd Calendar'!$X$1484=TYPE4)*(TYPE4&lt;&gt;"")+('Dvd Calendar'!$X$1484=SPECIAL_LBL)*(INC_SPECIALS="Y"))=0,"",'Dvd Calendar'!$X$1482)))</f>
        <v/>
      </c>
      <c r="W149" s="106">
        <f>IF(EY149="","",IF(ISNUMBER('Dvd Calendar'!$Y$1482)=FALSE,"",IF((('Dvd Calendar'!$Y$1484=TYPE1)*(TYPE1&lt;&gt;"")+('Dvd Calendar'!$Y$1484=TYPE2)*(TYPE2&lt;&gt;"")+('Dvd Calendar'!$Y$1484=TYPE3)*(TYPE3&lt;&gt;"")+('Dvd Calendar'!$Y$1484=TYPE4)*(TYPE4&lt;&gt;"")+('Dvd Calendar'!$Y$1484=SPECIAL_LBL)*(INC_SPECIALS="Y"))=0,"",'Dvd Calendar'!$Y$1482)))</f>
        <v/>
      </c>
      <c r="X149" s="106">
        <f>IF(EZ149="","",IF(ISNUMBER('Dvd Calendar'!$Z$1482)=FALSE,"",IF((('Dvd Calendar'!$Z$1484=TYPE1)*(TYPE1&lt;&gt;"")+('Dvd Calendar'!$Z$1484=TYPE2)*(TYPE2&lt;&gt;"")+('Dvd Calendar'!$Z$1484=TYPE3)*(TYPE3&lt;&gt;"")+('Dvd Calendar'!$Z$1484=TYPE4)*(TYPE4&lt;&gt;"")+('Dvd Calendar'!$Z$1484=SPECIAL_LBL)*(INC_SPECIALS="Y"))=0,"",'Dvd Calendar'!$Z$1482)))</f>
        <v/>
      </c>
      <c r="Y149" s="106">
        <f>IF(FA149="","",IF(ISNUMBER('Dvd Calendar'!$AA$1482)=FALSE,"",IF((('Dvd Calendar'!$AA$1484=TYPE1)*(TYPE1&lt;&gt;"")+('Dvd Calendar'!$AA$1484=TYPE2)*(TYPE2&lt;&gt;"")+('Dvd Calendar'!$AA$1484=TYPE3)*(TYPE3&lt;&gt;"")+('Dvd Calendar'!$AA$1484=TYPE4)*(TYPE4&lt;&gt;"")+('Dvd Calendar'!$AA$1484=SPECIAL_LBL)*(INC_SPECIALS="Y"))=0,"",'Dvd Calendar'!$AA$1482)))</f>
        <v/>
      </c>
      <c r="Z149" s="106">
        <f>IF(FB149="","",IF(ISNUMBER('Dvd Calendar'!$AB$1482)=FALSE,"",IF((('Dvd Calendar'!$AB$1484=TYPE1)*(TYPE1&lt;&gt;"")+('Dvd Calendar'!$AB$1484=TYPE2)*(TYPE2&lt;&gt;"")+('Dvd Calendar'!$AB$1484=TYPE3)*(TYPE3&lt;&gt;"")+('Dvd Calendar'!$AB$1484=TYPE4)*(TYPE4&lt;&gt;"")+('Dvd Calendar'!$AB$1484=SPECIAL_LBL)*(INC_SPECIALS="Y"))=0,"",'Dvd Calendar'!$AB$1482)))</f>
        <v/>
      </c>
      <c r="AA149" s="106">
        <f>IF(FC149="","",IF(ISNUMBER('Dvd Calendar'!$AC$1482)=FALSE,"",IF((('Dvd Calendar'!$AC$1484=TYPE1)*(TYPE1&lt;&gt;"")+('Dvd Calendar'!$AC$1484=TYPE2)*(TYPE2&lt;&gt;"")+('Dvd Calendar'!$AC$1484=TYPE3)*(TYPE3&lt;&gt;"")+('Dvd Calendar'!$AC$1484=TYPE4)*(TYPE4&lt;&gt;"")+('Dvd Calendar'!$AC$1484=SPECIAL_LBL)*(INC_SPECIALS="Y"))=0,"",'Dvd Calendar'!$AC$1482)))</f>
        <v/>
      </c>
      <c r="AB149" s="106">
        <f>IF(FD149="","",IF(ISNUMBER('Dvd Calendar'!$AD$1482)=FALSE,"",IF((('Dvd Calendar'!$AD$1484=TYPE1)*(TYPE1&lt;&gt;"")+('Dvd Calendar'!$AD$1484=TYPE2)*(TYPE2&lt;&gt;"")+('Dvd Calendar'!$AD$1484=TYPE3)*(TYPE3&lt;&gt;"")+('Dvd Calendar'!$AD$1484=TYPE4)*(TYPE4&lt;&gt;"")+('Dvd Calendar'!$AD$1484=SPECIAL_LBL)*(INC_SPECIALS="Y"))=0,"",'Dvd Calendar'!$AD$1482)))</f>
        <v/>
      </c>
      <c r="AC149" s="106">
        <f>IF(FE149="","",IF(ISNUMBER('Dvd Calendar'!$AE$1482)=FALSE,"",IF((('Dvd Calendar'!$AE$1484=TYPE1)*(TYPE1&lt;&gt;"")+('Dvd Calendar'!$AE$1484=TYPE2)*(TYPE2&lt;&gt;"")+('Dvd Calendar'!$AE$1484=TYPE3)*(TYPE3&lt;&gt;"")+('Dvd Calendar'!$AE$1484=TYPE4)*(TYPE4&lt;&gt;"")+('Dvd Calendar'!$AE$1484=SPECIAL_LBL)*(INC_SPECIALS="Y"))=0,"",'Dvd Calendar'!$AE$1482)))</f>
        <v/>
      </c>
      <c r="AD149" s="106">
        <f>IF(FF149="","",IF(ISNUMBER('Dvd Calendar'!$AF$1482)=FALSE,"",IF((('Dvd Calendar'!$AF$1484=TYPE1)*(TYPE1&lt;&gt;"")+('Dvd Calendar'!$AF$1484=TYPE2)*(TYPE2&lt;&gt;"")+('Dvd Calendar'!$AF$1484=TYPE3)*(TYPE3&lt;&gt;"")+('Dvd Calendar'!$AF$1484=TYPE4)*(TYPE4&lt;&gt;"")+('Dvd Calendar'!$AF$1484=SPECIAL_LBL)*(INC_SPECIALS="Y"))=0,"",'Dvd Calendar'!$AF$1482)))</f>
        <v/>
      </c>
      <c r="AE149" s="106">
        <f>IF(FG149="","",IF(ISNUMBER('Dvd Calendar'!$AG$1482)=FALSE,"",IF((('Dvd Calendar'!$AG$1484=TYPE1)*(TYPE1&lt;&gt;"")+('Dvd Calendar'!$AG$1484=TYPE2)*(TYPE2&lt;&gt;"")+('Dvd Calendar'!$AG$1484=TYPE3)*(TYPE3&lt;&gt;"")+('Dvd Calendar'!$AG$1484=TYPE4)*(TYPE4&lt;&gt;"")+('Dvd Calendar'!$AG$1484=SPECIAL_LBL)*(INC_SPECIALS="Y"))=0,"",'Dvd Calendar'!$AG$1482)))</f>
        <v/>
      </c>
      <c r="AF149" s="106">
        <f>IF(FH149="","",IF(ISNUMBER('Dvd Calendar'!$AH$1482)=FALSE,"",IF((('Dvd Calendar'!$AH$1484=TYPE1)*(TYPE1&lt;&gt;"")+('Dvd Calendar'!$AH$1484=TYPE2)*(TYPE2&lt;&gt;"")+('Dvd Calendar'!$AH$1484=TYPE3)*(TYPE3&lt;&gt;"")+('Dvd Calendar'!$AH$1484=TYPE4)*(TYPE4&lt;&gt;"")+('Dvd Calendar'!$AH$1484=SPECIAL_LBL)*(INC_SPECIALS="Y"))=0,"",'Dvd Calendar'!$AH$1482)))</f>
        <v/>
      </c>
      <c r="AG149" s="106">
        <f>IF(FI149="","",IF(ISNUMBER('Dvd Calendar'!$AI$1482)=FALSE,"",IF((('Dvd Calendar'!$AI$1484=TYPE1)*(TYPE1&lt;&gt;"")+('Dvd Calendar'!$AI$1484=TYPE2)*(TYPE2&lt;&gt;"")+('Dvd Calendar'!$AI$1484=TYPE3)*(TYPE3&lt;&gt;"")+('Dvd Calendar'!$AI$1484=TYPE4)*(TYPE4&lt;&gt;"")+('Dvd Calendar'!$AI$1484=SPECIAL_LBL)*(INC_SPECIALS="Y"))=0,"",'Dvd Calendar'!$AI$1482)))</f>
        <v/>
      </c>
      <c r="AH149" s="106">
        <f>IF(FJ149="","",IF(ISNUMBER('Dvd Calendar'!$AJ$1482)=FALSE,"",IF((('Dvd Calendar'!$AJ$1484=TYPE1)*(TYPE1&lt;&gt;"")+('Dvd Calendar'!$AJ$1484=TYPE2)*(TYPE2&lt;&gt;"")+('Dvd Calendar'!$AJ$1484=TYPE3)*(TYPE3&lt;&gt;"")+('Dvd Calendar'!$AJ$1484=TYPE4)*(TYPE4&lt;&gt;"")+('Dvd Calendar'!$AJ$1484=SPECIAL_LBL)*(INC_SPECIALS="Y"))=0,"",'Dvd Calendar'!$AJ$1482)))</f>
        <v/>
      </c>
      <c r="AI149" s="106">
        <f>IF(FK149="","",IF(ISNUMBER('Dvd Calendar'!$AK$1482)=FALSE,"",IF((('Dvd Calendar'!$AK$1484=TYPE1)*(TYPE1&lt;&gt;"")+('Dvd Calendar'!$AK$1484=TYPE2)*(TYPE2&lt;&gt;"")+('Dvd Calendar'!$AK$1484=TYPE3)*(TYPE3&lt;&gt;"")+('Dvd Calendar'!$AK$1484=TYPE4)*(TYPE4&lt;&gt;"")+('Dvd Calendar'!$AK$1484=SPECIAL_LBL)*(INC_SPECIALS="Y"))=0,"",'Dvd Calendar'!$AK$1482)))</f>
        <v/>
      </c>
      <c r="AJ149" s="106">
        <f>IF(FL149="","",IF(ISNUMBER('Dvd Calendar'!$AL$1482)=FALSE,"",IF((('Dvd Calendar'!$AL$1484=TYPE1)*(TYPE1&lt;&gt;"")+('Dvd Calendar'!$AL$1484=TYPE2)*(TYPE2&lt;&gt;"")+('Dvd Calendar'!$AL$1484=TYPE3)*(TYPE3&lt;&gt;"")+('Dvd Calendar'!$AL$1484=TYPE4)*(TYPE4&lt;&gt;"")+('Dvd Calendar'!$AL$1484=SPECIAL_LBL)*(INC_SPECIALS="Y"))=0,"",'Dvd Calendar'!$AL$1482)))</f>
        <v/>
      </c>
      <c r="AK149" s="106">
        <f>IF(FM149="","",IF(ISNUMBER('Dvd Calendar'!$AM$1482)=FALSE,"",IF((('Dvd Calendar'!$AM$1484=TYPE1)*(TYPE1&lt;&gt;"")+('Dvd Calendar'!$AM$1484=TYPE2)*(TYPE2&lt;&gt;"")+('Dvd Calendar'!$AM$1484=TYPE3)*(TYPE3&lt;&gt;"")+('Dvd Calendar'!$AM$1484=TYPE4)*(TYPE4&lt;&gt;"")+('Dvd Calendar'!$AM$1484=SPECIAL_LBL)*(INC_SPECIALS="Y"))=0,"",'Dvd Calendar'!$AM$1482)))</f>
        <v/>
      </c>
      <c r="AL149" s="106">
        <f>IF(FN149="","",IF(ISNUMBER('Dvd Calendar'!$AN$1482)=FALSE,"",IF((('Dvd Calendar'!$AN$1484=TYPE1)*(TYPE1&lt;&gt;"")+('Dvd Calendar'!$AN$1484=TYPE2)*(TYPE2&lt;&gt;"")+('Dvd Calendar'!$AN$1484=TYPE3)*(TYPE3&lt;&gt;"")+('Dvd Calendar'!$AN$1484=TYPE4)*(TYPE4&lt;&gt;"")+('Dvd Calendar'!$AN$1484=SPECIAL_LBL)*(INC_SPECIALS="Y"))=0,"",'Dvd Calendar'!$AN$1482)))</f>
        <v/>
      </c>
      <c r="AM149" s="106">
        <f>IF(FO149="","",IF(ISNUMBER('Dvd Calendar'!$AO$1482)=FALSE,"",IF((('Dvd Calendar'!$AO$1484=TYPE1)*(TYPE1&lt;&gt;"")+('Dvd Calendar'!$AO$1484=TYPE2)*(TYPE2&lt;&gt;"")+('Dvd Calendar'!$AO$1484=TYPE3)*(TYPE3&lt;&gt;"")+('Dvd Calendar'!$AO$1484=TYPE4)*(TYPE4&lt;&gt;"")+('Dvd Calendar'!$AO$1484=SPECIAL_LBL)*(INC_SPECIALS="Y"))=0,"",'Dvd Calendar'!$AO$1482)))</f>
        <v/>
      </c>
      <c r="AN149" s="106">
        <f>IF(FP149="","",IF(ISNUMBER('Dvd Calendar'!$AP$1482)=FALSE,"",IF((('Dvd Calendar'!$AP$1484=TYPE1)*(TYPE1&lt;&gt;"")+('Dvd Calendar'!$AP$1484=TYPE2)*(TYPE2&lt;&gt;"")+('Dvd Calendar'!$AP$1484=TYPE3)*(TYPE3&lt;&gt;"")+('Dvd Calendar'!$AP$1484=TYPE4)*(TYPE4&lt;&gt;"")+('Dvd Calendar'!$AP$1484=SPECIAL_LBL)*(INC_SPECIALS="Y"))=0,"",'Dvd Calendar'!$AP$1482)))</f>
        <v/>
      </c>
      <c r="AO149" s="106">
        <f>IF(FQ149="","",IF(ISNUMBER('Dvd Calendar'!$AQ$1482)=FALSE,"",IF((('Dvd Calendar'!$AQ$1484=TYPE1)*(TYPE1&lt;&gt;"")+('Dvd Calendar'!$AQ$1484=TYPE2)*(TYPE2&lt;&gt;"")+('Dvd Calendar'!$AQ$1484=TYPE3)*(TYPE3&lt;&gt;"")+('Dvd Calendar'!$AQ$1484=TYPE4)*(TYPE4&lt;&gt;"")+('Dvd Calendar'!$AQ$1484=SPECIAL_LBL)*(INC_SPECIALS="Y"))=0,"",'Dvd Calendar'!$AQ$1482)))</f>
        <v/>
      </c>
      <c r="AP149" s="106">
        <f>IF(FR149="","",IF(ISNUMBER('Dvd Calendar'!$AR$1482)=FALSE,"",IF((('Dvd Calendar'!$AR$1484=TYPE1)*(TYPE1&lt;&gt;"")+('Dvd Calendar'!$AR$1484=TYPE2)*(TYPE2&lt;&gt;"")+('Dvd Calendar'!$AR$1484=TYPE3)*(TYPE3&lt;&gt;"")+('Dvd Calendar'!$AR$1484=TYPE4)*(TYPE4&lt;&gt;"")+('Dvd Calendar'!$AR$1484=SPECIAL_LBL)*(INC_SPECIALS="Y"))=0,"",'Dvd Calendar'!$AR$1482)))</f>
        <v/>
      </c>
      <c r="AQ149" s="106">
        <f>IF(FS149="","",IF(ISNUMBER('Dvd Calendar'!$E$1487)=FALSE,"",'Dvd Calendar'!$E$1487))</f>
        <v/>
      </c>
      <c r="AR149" s="106">
        <f>IF(FT149="","",IF(ISNUMBER('Dvd Calendar'!$F$1487)=FALSE,"",'Dvd Calendar'!$F$1487))</f>
        <v/>
      </c>
      <c r="AS149" s="106">
        <f>IF(FU149="","",IF(ISNUMBER('Dvd Calendar'!$G$1487)=FALSE,"",'Dvd Calendar'!$G$1487))</f>
        <v/>
      </c>
      <c r="AT149" s="106">
        <f>IF(FV149="","",IF(ISNUMBER('Dvd Calendar'!$H$1487)=FALSE,"",'Dvd Calendar'!$H$1487))</f>
        <v/>
      </c>
      <c r="AU149" s="106">
        <f>IF(FW149="","",IF(ISNUMBER('Dvd Calendar'!$I$1487)=FALSE,"",'Dvd Calendar'!$I$1487))</f>
        <v/>
      </c>
      <c r="AV149" s="106">
        <f>IF(FX149="","",IF(ISNUMBER('Dvd Calendar'!$J$1487)=FALSE,"",'Dvd Calendar'!$J$1487))</f>
        <v/>
      </c>
      <c r="AW149" s="106">
        <f>IF(FY149="","",IF(ISNUMBER('Dvd Calendar'!$K$1487)=FALSE,"",'Dvd Calendar'!$K$1487))</f>
        <v/>
      </c>
      <c r="AX149" s="106">
        <f>IF(FZ149="","",IF(ISNUMBER('Dvd Calendar'!$L$1487)=FALSE,"",'Dvd Calendar'!$L$1487))</f>
        <v/>
      </c>
      <c r="AY149" s="106">
        <f>IF(GA149="","",IF(ISNUMBER('Dvd Calendar'!$M$1487)=FALSE,"",'Dvd Calendar'!$M$1487))</f>
        <v/>
      </c>
      <c r="AZ149" s="106">
        <f>IF(GB149="","",IF(ISNUMBER('Dvd Calendar'!$N$1487)=FALSE,"",'Dvd Calendar'!$N$1487))</f>
        <v/>
      </c>
      <c r="BA149" s="106">
        <f>IF(GC149="","",IF(ISNUMBER('Dvd Calendar'!$O$1487)=FALSE,"",'Dvd Calendar'!$O$1487))</f>
        <v/>
      </c>
      <c r="BB149" s="106">
        <f>IF(GD149="","",IF(ISNUMBER('Dvd Calendar'!$P$1487)=FALSE,"",'Dvd Calendar'!$P$1487))</f>
        <v/>
      </c>
      <c r="BC149" s="106">
        <f>IF(GE149="","",IF(ISNUMBER('Dvd Calendar'!$Q$1487)=FALSE,"",'Dvd Calendar'!$Q$1487))</f>
        <v/>
      </c>
      <c r="BD149" s="106">
        <f>IF(GF149="","",IF(ISNUMBER('Dvd Calendar'!$R$1487)=FALSE,"",'Dvd Calendar'!$R$1487))</f>
        <v/>
      </c>
      <c r="BE149" s="106">
        <f>IF(GG149="","",IF(ISNUMBER('Dvd Calendar'!$S$1487)=FALSE,"",'Dvd Calendar'!$S$1487))</f>
        <v/>
      </c>
      <c r="BF149" s="106">
        <f>IF(GH149="","",IF(ISNUMBER('Dvd Calendar'!$T$1487)=FALSE,"",'Dvd Calendar'!$T$1487))</f>
        <v/>
      </c>
      <c r="BG149" s="106">
        <f>IF(GI149="","",IF(ISNUMBER('Dvd Calendar'!$U$1487)=FALSE,"",'Dvd Calendar'!$U$1487))</f>
        <v/>
      </c>
      <c r="BH149" s="106">
        <f>IF(GJ149="","",IF(ISNUMBER('Dvd Calendar'!$V$1487)=FALSE,"",'Dvd Calendar'!$V$1487))</f>
        <v/>
      </c>
      <c r="BI149" s="106">
        <f>IF(GK149="","",IF(ISNUMBER('Dvd Calendar'!$W$1487)=FALSE,"",'Dvd Calendar'!$W$1487))</f>
        <v/>
      </c>
      <c r="BJ149" s="106">
        <f>IF(GL149="","",IF(ISNUMBER('Dvd Calendar'!$X$1487)=FALSE,"",'Dvd Calendar'!$X$1487))</f>
        <v/>
      </c>
      <c r="BK149" s="106">
        <f>IF(GM149="","",IF(ISNUMBER('Dvd Calendar'!$Y$1487)=FALSE,"",'Dvd Calendar'!$Y$1487))</f>
        <v/>
      </c>
      <c r="BL149" s="106">
        <f>IF(GN149="","",IF(ISNUMBER('Dvd Calendar'!$Z$1487)=FALSE,"",'Dvd Calendar'!$Z$1487))</f>
        <v/>
      </c>
      <c r="BM149" s="106">
        <f>IF(GO149="","",IF(ISNUMBER('Dvd Calendar'!$AA$1487)=FALSE,"",'Dvd Calendar'!$AA$1487))</f>
        <v/>
      </c>
      <c r="BN149" s="106">
        <f>IF(GP149="","",IF(ISNUMBER('Dvd Calendar'!$AB$1487)=FALSE,"",'Dvd Calendar'!$AB$1487))</f>
        <v/>
      </c>
      <c r="BO149" s="106">
        <f>IF(GQ149="","",IF(ISNUMBER('Dvd Calendar'!$AC$1487)=FALSE,"",'Dvd Calendar'!$AC$1487))</f>
        <v/>
      </c>
      <c r="BQ149" s="106">
        <f>IF(C149="","",IFERROR(C149*HSTECH!$B$40*HSTECH!$G$40/HSTECH!$B$3,""))</f>
        <v/>
      </c>
      <c r="BR149" s="106">
        <f>IF(D149="","",IFERROR(D149*HSTECH!$B$40*HSTECH!$G$40/HSTECH!$B$3,""))</f>
        <v/>
      </c>
      <c r="BS149" s="106">
        <f>IF(E149="","",IFERROR(E149*HSTECH!$B$40*HSTECH!$G$40/HSTECH!$B$3,""))</f>
        <v/>
      </c>
      <c r="BT149" s="106">
        <f>IF(F149="","",IFERROR(F149*HSTECH!$B$40*HSTECH!$G$40/HSTECH!$B$3,""))</f>
        <v/>
      </c>
      <c r="BU149" s="106">
        <f>IF(G149="","",IFERROR(G149*HSTECH!$B$40*HSTECH!$G$40/HSTECH!$B$3,""))</f>
        <v/>
      </c>
      <c r="BV149" s="106">
        <f>IF(H149="","",IFERROR(H149*HSTECH!$B$40*HSTECH!$G$40/HSTECH!$B$3,""))</f>
        <v/>
      </c>
      <c r="BW149" s="106">
        <f>IF(I149="","",IFERROR(I149*HSTECH!$B$40*HSTECH!$G$40/HSTECH!$B$3,""))</f>
        <v/>
      </c>
      <c r="BX149" s="106">
        <f>IF(J149="","",IFERROR(J149*HSTECH!$B$40*HSTECH!$G$40/HSTECH!$B$3,""))</f>
        <v/>
      </c>
      <c r="BY149" s="106">
        <f>IF(K149="","",IFERROR(K149*HSTECH!$B$40*HSTECH!$G$40/HSTECH!$B$3,""))</f>
        <v/>
      </c>
      <c r="BZ149" s="106">
        <f>IF(L149="","",IFERROR(L149*HSTECH!$B$40*HSTECH!$G$40/HSTECH!$B$3,""))</f>
        <v/>
      </c>
      <c r="CA149" s="106">
        <f>IF(M149="","",IFERROR(M149*HSTECH!$B$40*HSTECH!$G$40/HSTECH!$B$3,""))</f>
        <v/>
      </c>
      <c r="CB149" s="106">
        <f>IF(N149="","",IFERROR(N149*HSTECH!$B$40*HSTECH!$G$40/HSTECH!$B$3,""))</f>
        <v/>
      </c>
      <c r="CC149" s="106">
        <f>IF(O149="","",IFERROR(O149*HSTECH!$B$40*HSTECH!$G$40/HSTECH!$B$3,""))</f>
        <v/>
      </c>
      <c r="CD149" s="106">
        <f>IF(P149="","",IFERROR(P149*HSTECH!$B$40*HSTECH!$G$40/HSTECH!$B$3,""))</f>
        <v/>
      </c>
      <c r="CE149" s="106">
        <f>IF(Q149="","",IFERROR(Q149*HSTECH!$B$40*HSTECH!$G$40/HSTECH!$B$3,""))</f>
        <v/>
      </c>
      <c r="CF149" s="106">
        <f>IF(R149="","",IFERROR(R149*HSTECH!$B$40*HSTECH!$G$40/HSTECH!$B$3,""))</f>
        <v/>
      </c>
      <c r="CG149" s="106">
        <f>IF(S149="","",IFERROR(S149*HSTECH!$B$40*HSTECH!$G$40/HSTECH!$B$3,""))</f>
        <v/>
      </c>
      <c r="CH149" s="106">
        <f>IF(T149="","",IFERROR(T149*HSTECH!$B$40*HSTECH!$G$40/HSTECH!$B$3,""))</f>
        <v/>
      </c>
      <c r="CI149" s="106">
        <f>IF(U149="","",IFERROR(U149*HSTECH!$B$40*HSTECH!$G$40/HSTECH!$B$3,""))</f>
        <v/>
      </c>
      <c r="CJ149" s="106">
        <f>IF(V149="","",IFERROR(V149*HSTECH!$B$40*HSTECH!$G$40/HSTECH!$B$3,""))</f>
        <v/>
      </c>
      <c r="CK149" s="106">
        <f>IF(W149="","",IFERROR(W149*HSTECH!$B$40*HSTECH!$G$40/HSTECH!$B$3,""))</f>
        <v/>
      </c>
      <c r="CL149" s="106">
        <f>IF(X149="","",IFERROR(X149*HSTECH!$B$40*HSTECH!$G$40/HSTECH!$B$3,""))</f>
        <v/>
      </c>
      <c r="CM149" s="106">
        <f>IF(Y149="","",IFERROR(Y149*HSTECH!$B$40*HSTECH!$G$40/HSTECH!$B$3,""))</f>
        <v/>
      </c>
      <c r="CN149" s="106">
        <f>IF(Z149="","",IFERROR(Z149*HSTECH!$B$40*HSTECH!$G$40/HSTECH!$B$3,""))</f>
        <v/>
      </c>
      <c r="CO149" s="106">
        <f>IF(AA149="","",IFERROR(AA149*HSTECH!$B$40*HSTECH!$G$40/HSTECH!$B$3,""))</f>
        <v/>
      </c>
      <c r="CP149" s="106">
        <f>IF(AB149="","",IFERROR(AB149*HSTECH!$B$40*HSTECH!$G$40/HSTECH!$B$3,""))</f>
        <v/>
      </c>
      <c r="CQ149" s="106">
        <f>IF(AC149="","",IFERROR(AC149*HSTECH!$B$40*HSTECH!$G$40/HSTECH!$B$3,""))</f>
        <v/>
      </c>
      <c r="CR149" s="106">
        <f>IF(AD149="","",IFERROR(AD149*HSTECH!$B$40*HSTECH!$G$40/HSTECH!$B$3,""))</f>
        <v/>
      </c>
      <c r="CS149" s="106">
        <f>IF(AE149="","",IFERROR(AE149*HSTECH!$B$40*HSTECH!$G$40/HSTECH!$B$3,""))</f>
        <v/>
      </c>
      <c r="CT149" s="106">
        <f>IF(AF149="","",IFERROR(AF149*HSTECH!$B$40*HSTECH!$G$40/HSTECH!$B$3,""))</f>
        <v/>
      </c>
      <c r="CU149" s="106">
        <f>IF(AG149="","",IFERROR(AG149*HSTECH!$B$40*HSTECH!$G$40/HSTECH!$B$3,""))</f>
        <v/>
      </c>
      <c r="CV149" s="106">
        <f>IF(AH149="","",IFERROR(AH149*HSTECH!$B$40*HSTECH!$G$40/HSTECH!$B$3,""))</f>
        <v/>
      </c>
      <c r="CW149" s="106">
        <f>IF(AI149="","",IFERROR(AI149*HSTECH!$B$40*HSTECH!$G$40/HSTECH!$B$3,""))</f>
        <v/>
      </c>
      <c r="CX149" s="106">
        <f>IF(AJ149="","",IFERROR(AJ149*HSTECH!$B$40*HSTECH!$G$40/HSTECH!$B$3,""))</f>
        <v/>
      </c>
      <c r="CY149" s="106">
        <f>IF(AK149="","",IFERROR(AK149*HSTECH!$B$40*HSTECH!$G$40/HSTECH!$B$3,""))</f>
        <v/>
      </c>
      <c r="CZ149" s="106">
        <f>IF(AL149="","",IFERROR(AL149*HSTECH!$B$40*HSTECH!$G$40/HSTECH!$B$3,""))</f>
        <v/>
      </c>
      <c r="DA149" s="106">
        <f>IF(AM149="","",IFERROR(AM149*HSTECH!$B$40*HSTECH!$G$40/HSTECH!$B$3,""))</f>
        <v/>
      </c>
      <c r="DB149" s="106">
        <f>IF(AN149="","",IFERROR(AN149*HSTECH!$B$40*HSTECH!$G$40/HSTECH!$B$3,""))</f>
        <v/>
      </c>
      <c r="DC149" s="106">
        <f>IF(AO149="","",IFERROR(AO149*HSTECH!$B$40*HSTECH!$G$40/HSTECH!$B$3,""))</f>
        <v/>
      </c>
      <c r="DD149" s="106">
        <f>IF(AP149="","",IFERROR(AP149*HSTECH!$B$40*HSTECH!$G$40/HSTECH!$B$3,""))</f>
        <v/>
      </c>
      <c r="DE149" s="106">
        <f>IF(AQ149="","",IFERROR(AQ149*HSTECH!$B$40*HSTECH!$G$40/HSTECH!$B$3,""))</f>
        <v/>
      </c>
      <c r="DF149" s="106">
        <f>IF(AR149="","",IFERROR(AR149*HSTECH!$B$40*HSTECH!$G$40/HSTECH!$B$3,""))</f>
        <v/>
      </c>
      <c r="DG149" s="106">
        <f>IF(AS149="","",IFERROR(AS149*HSTECH!$B$40*HSTECH!$G$40/HSTECH!$B$3,""))</f>
        <v/>
      </c>
      <c r="DH149" s="106">
        <f>IF(AT149="","",IFERROR(AT149*HSTECH!$B$40*HSTECH!$G$40/HSTECH!$B$3,""))</f>
        <v/>
      </c>
      <c r="DI149" s="106">
        <f>IF(AU149="","",IFERROR(AU149*HSTECH!$B$40*HSTECH!$G$40/HSTECH!$B$3,""))</f>
        <v/>
      </c>
      <c r="DJ149" s="106">
        <f>IF(AV149="","",IFERROR(AV149*HSTECH!$B$40*HSTECH!$G$40/HSTECH!$B$3,""))</f>
        <v/>
      </c>
      <c r="DK149" s="106">
        <f>IF(AW149="","",IFERROR(AW149*HSTECH!$B$40*HSTECH!$G$40/HSTECH!$B$3,""))</f>
        <v/>
      </c>
      <c r="DL149" s="106">
        <f>IF(AX149="","",IFERROR(AX149*HSTECH!$B$40*HSTECH!$G$40/HSTECH!$B$3,""))</f>
        <v/>
      </c>
      <c r="DM149" s="106">
        <f>IF(AY149="","",IFERROR(AY149*HSTECH!$B$40*HSTECH!$G$40/HSTECH!$B$3,""))</f>
        <v/>
      </c>
      <c r="DN149" s="106">
        <f>IF(AZ149="","",IFERROR(AZ149*HSTECH!$B$40*HSTECH!$G$40/HSTECH!$B$3,""))</f>
        <v/>
      </c>
      <c r="DO149" s="106">
        <f>IF(BA149="","",IFERROR(BA149*HSTECH!$B$40*HSTECH!$G$40/HSTECH!$B$3,""))</f>
        <v/>
      </c>
      <c r="DP149" s="106">
        <f>IF(BB149="","",IFERROR(BB149*HSTECH!$B$40*HSTECH!$G$40/HSTECH!$B$3,""))</f>
        <v/>
      </c>
      <c r="DQ149" s="106">
        <f>IF(BC149="","",IFERROR(BC149*HSTECH!$B$40*HSTECH!$G$40/HSTECH!$B$3,""))</f>
        <v/>
      </c>
      <c r="DR149" s="106">
        <f>IF(BD149="","",IFERROR(BD149*HSTECH!$B$40*HSTECH!$G$40/HSTECH!$B$3,""))</f>
        <v/>
      </c>
      <c r="DS149" s="106">
        <f>IF(BE149="","",IFERROR(BE149*HSTECH!$B$40*HSTECH!$G$40/HSTECH!$B$3,""))</f>
        <v/>
      </c>
      <c r="DT149" s="106">
        <f>IF(BF149="","",IFERROR(BF149*HSTECH!$B$40*HSTECH!$G$40/HSTECH!$B$3,""))</f>
        <v/>
      </c>
      <c r="DU149" s="106">
        <f>IF(BG149="","",IFERROR(BG149*HSTECH!$B$40*HSTECH!$G$40/HSTECH!$B$3,""))</f>
        <v/>
      </c>
      <c r="DV149" s="106">
        <f>IF(BH149="","",IFERROR(BH149*HSTECH!$B$40*HSTECH!$G$40/HSTECH!$B$3,""))</f>
        <v/>
      </c>
      <c r="DW149" s="106">
        <f>IF(BI149="","",IFERROR(BI149*HSTECH!$B$40*HSTECH!$G$40/HSTECH!$B$3,""))</f>
        <v/>
      </c>
      <c r="DX149" s="106">
        <f>IF(BJ149="","",IFERROR(BJ149*HSTECH!$B$40*HSTECH!$G$40/HSTECH!$B$3,""))</f>
        <v/>
      </c>
      <c r="DY149" s="106">
        <f>IF(BK149="","",IFERROR(BK149*HSTECH!$B$40*HSTECH!$G$40/HSTECH!$B$3,""))</f>
        <v/>
      </c>
      <c r="DZ149" s="106">
        <f>IF(BL149="","",IFERROR(BL149*HSTECH!$B$40*HSTECH!$G$40/HSTECH!$B$3,""))</f>
        <v/>
      </c>
      <c r="EA149" s="106">
        <f>IF(BM149="","",IFERROR(BM149*HSTECH!$B$40*HSTECH!$G$40/HSTECH!$B$3,""))</f>
        <v/>
      </c>
      <c r="EB149" s="106">
        <f>IF(BN149="","",IFERROR(BN149*HSTECH!$B$40*HSTECH!$G$40/HSTECH!$B$3,""))</f>
        <v/>
      </c>
      <c r="EC149" s="106">
        <f>IF(BO149="","",IFERROR(BO149*HSTECH!$B$40*HSTECH!$G$40/HSTECH!$B$3,""))</f>
        <v/>
      </c>
      <c r="EE149" s="35">
        <f>IF(N('Dvd Calendar'!$E$1479)=0,"",IF(('Dvd Calendar'!$E$1479&gt;=GRID_FROM)*('Dvd Calendar'!$E$1479&lt;=GRID_TO)*('Dvd Calendar'!$E$1479&lt;=VAL_DATE)=0,"",'Dvd Calendar'!$E$1479*1000000000+ISNUMBER('Dvd Calendar'!$E$1482)*100000000+('Dvd Calendar'!$E$1484=SPECIAL_LBL)*10000000+0*1000000+34*1000+1))</f>
        <v/>
      </c>
      <c r="EF149" s="35">
        <f>IF(N('Dvd Calendar'!$F$1479)=0,"",IF(('Dvd Calendar'!$F$1479&gt;=GRID_FROM)*('Dvd Calendar'!$F$1479&lt;=GRID_TO)*('Dvd Calendar'!$F$1479&lt;=VAL_DATE)=0,"",'Dvd Calendar'!$F$1479*1000000000+ISNUMBER('Dvd Calendar'!$F$1482)*100000000+('Dvd Calendar'!$F$1484=SPECIAL_LBL)*10000000+0*1000000+34*1000+2))</f>
        <v/>
      </c>
      <c r="EG149" s="35">
        <f>IF(N('Dvd Calendar'!$G$1479)=0,"",IF(('Dvd Calendar'!$G$1479&gt;=GRID_FROM)*('Dvd Calendar'!$G$1479&lt;=GRID_TO)*('Dvd Calendar'!$G$1479&lt;=VAL_DATE)=0,"",'Dvd Calendar'!$G$1479*1000000000+ISNUMBER('Dvd Calendar'!$G$1482)*100000000+('Dvd Calendar'!$G$1484=SPECIAL_LBL)*10000000+0*1000000+34*1000+3))</f>
        <v/>
      </c>
      <c r="EH149" s="35">
        <f>IF(N('Dvd Calendar'!$H$1479)=0,"",IF(('Dvd Calendar'!$H$1479&gt;=GRID_FROM)*('Dvd Calendar'!$H$1479&lt;=GRID_TO)*('Dvd Calendar'!$H$1479&lt;=VAL_DATE)=0,"",'Dvd Calendar'!$H$1479*1000000000+ISNUMBER('Dvd Calendar'!$H$1482)*100000000+('Dvd Calendar'!$H$1484=SPECIAL_LBL)*10000000+0*1000000+34*1000+4))</f>
        <v/>
      </c>
      <c r="EI149" s="35">
        <f>IF(N('Dvd Calendar'!$I$1479)=0,"",IF(('Dvd Calendar'!$I$1479&gt;=GRID_FROM)*('Dvd Calendar'!$I$1479&lt;=GRID_TO)*('Dvd Calendar'!$I$1479&lt;=VAL_DATE)=0,"",'Dvd Calendar'!$I$1479*1000000000+ISNUMBER('Dvd Calendar'!$I$1482)*100000000+('Dvd Calendar'!$I$1484=SPECIAL_LBL)*10000000+0*1000000+34*1000+5))</f>
        <v/>
      </c>
      <c r="EJ149" s="35">
        <f>IF(N('Dvd Calendar'!$J$1479)=0,"",IF(('Dvd Calendar'!$J$1479&gt;=GRID_FROM)*('Dvd Calendar'!$J$1479&lt;=GRID_TO)*('Dvd Calendar'!$J$1479&lt;=VAL_DATE)=0,"",'Dvd Calendar'!$J$1479*1000000000+ISNUMBER('Dvd Calendar'!$J$1482)*100000000+('Dvd Calendar'!$J$1484=SPECIAL_LBL)*10000000+0*1000000+34*1000+6))</f>
        <v/>
      </c>
      <c r="EK149" s="35">
        <f>IF(N('Dvd Calendar'!$K$1479)=0,"",IF(('Dvd Calendar'!$K$1479&gt;=GRID_FROM)*('Dvd Calendar'!$K$1479&lt;=GRID_TO)*('Dvd Calendar'!$K$1479&lt;=VAL_DATE)=0,"",'Dvd Calendar'!$K$1479*1000000000+ISNUMBER('Dvd Calendar'!$K$1482)*100000000+('Dvd Calendar'!$K$1484=SPECIAL_LBL)*10000000+0*1000000+34*1000+7))</f>
        <v/>
      </c>
      <c r="EL149" s="35">
        <f>IF(N('Dvd Calendar'!$L$1479)=0,"",IF(('Dvd Calendar'!$L$1479&gt;=GRID_FROM)*('Dvd Calendar'!$L$1479&lt;=GRID_TO)*('Dvd Calendar'!$L$1479&lt;=VAL_DATE)=0,"",'Dvd Calendar'!$L$1479*1000000000+ISNUMBER('Dvd Calendar'!$L$1482)*100000000+('Dvd Calendar'!$L$1484=SPECIAL_LBL)*10000000+0*1000000+34*1000+8))</f>
        <v/>
      </c>
      <c r="EM149" s="35">
        <f>IF(N('Dvd Calendar'!$M$1479)=0,"",IF(('Dvd Calendar'!$M$1479&gt;=GRID_FROM)*('Dvd Calendar'!$M$1479&lt;=GRID_TO)*('Dvd Calendar'!$M$1479&lt;=VAL_DATE)=0,"",'Dvd Calendar'!$M$1479*1000000000+ISNUMBER('Dvd Calendar'!$M$1482)*100000000+('Dvd Calendar'!$M$1484=SPECIAL_LBL)*10000000+0*1000000+34*1000+9))</f>
        <v/>
      </c>
      <c r="EN149" s="35">
        <f>IF(N('Dvd Calendar'!$N$1479)=0,"",IF(('Dvd Calendar'!$N$1479&gt;=GRID_FROM)*('Dvd Calendar'!$N$1479&lt;=GRID_TO)*('Dvd Calendar'!$N$1479&lt;=VAL_DATE)=0,"",'Dvd Calendar'!$N$1479*1000000000+ISNUMBER('Dvd Calendar'!$N$1482)*100000000+('Dvd Calendar'!$N$1484=SPECIAL_LBL)*10000000+0*1000000+34*1000+10))</f>
        <v/>
      </c>
      <c r="EO149" s="35">
        <f>IF(N('Dvd Calendar'!$O$1479)=0,"",IF(('Dvd Calendar'!$O$1479&gt;=GRID_FROM)*('Dvd Calendar'!$O$1479&lt;=GRID_TO)*('Dvd Calendar'!$O$1479&lt;=VAL_DATE)=0,"",'Dvd Calendar'!$O$1479*1000000000+ISNUMBER('Dvd Calendar'!$O$1482)*100000000+('Dvd Calendar'!$O$1484=SPECIAL_LBL)*10000000+0*1000000+34*1000+11))</f>
        <v/>
      </c>
      <c r="EP149" s="35">
        <f>IF(N('Dvd Calendar'!$P$1479)=0,"",IF(('Dvd Calendar'!$P$1479&gt;=GRID_FROM)*('Dvd Calendar'!$P$1479&lt;=GRID_TO)*('Dvd Calendar'!$P$1479&lt;=VAL_DATE)=0,"",'Dvd Calendar'!$P$1479*1000000000+ISNUMBER('Dvd Calendar'!$P$1482)*100000000+('Dvd Calendar'!$P$1484=SPECIAL_LBL)*10000000+0*1000000+34*1000+12))</f>
        <v/>
      </c>
      <c r="EQ149" s="35">
        <f>IF(N('Dvd Calendar'!$Q$1479)=0,"",IF(('Dvd Calendar'!$Q$1479&gt;=GRID_FROM)*('Dvd Calendar'!$Q$1479&lt;=GRID_TO)*('Dvd Calendar'!$Q$1479&lt;=VAL_DATE)=0,"",'Dvd Calendar'!$Q$1479*1000000000+ISNUMBER('Dvd Calendar'!$Q$1482)*100000000+('Dvd Calendar'!$Q$1484=SPECIAL_LBL)*10000000+0*1000000+34*1000+13))</f>
        <v/>
      </c>
      <c r="ER149" s="35">
        <f>IF(N('Dvd Calendar'!$R$1479)=0,"",IF(('Dvd Calendar'!$R$1479&gt;=GRID_FROM)*('Dvd Calendar'!$R$1479&lt;=GRID_TO)*('Dvd Calendar'!$R$1479&lt;=VAL_DATE)=0,"",'Dvd Calendar'!$R$1479*1000000000+ISNUMBER('Dvd Calendar'!$R$1482)*100000000+('Dvd Calendar'!$R$1484=SPECIAL_LBL)*10000000+0*1000000+34*1000+14))</f>
        <v/>
      </c>
      <c r="ES149" s="35">
        <f>IF(N('Dvd Calendar'!$S$1479)=0,"",IF(('Dvd Calendar'!$S$1479&gt;=GRID_FROM)*('Dvd Calendar'!$S$1479&lt;=GRID_TO)*('Dvd Calendar'!$S$1479&lt;=VAL_DATE)=0,"",'Dvd Calendar'!$S$1479*1000000000+ISNUMBER('Dvd Calendar'!$S$1482)*100000000+('Dvd Calendar'!$S$1484=SPECIAL_LBL)*10000000+0*1000000+34*1000+15))</f>
        <v/>
      </c>
      <c r="ET149" s="35">
        <f>IF(N('Dvd Calendar'!$T$1479)=0,"",IF(('Dvd Calendar'!$T$1479&gt;=GRID_FROM)*('Dvd Calendar'!$T$1479&lt;=GRID_TO)*('Dvd Calendar'!$T$1479&lt;=VAL_DATE)=0,"",'Dvd Calendar'!$T$1479*1000000000+ISNUMBER('Dvd Calendar'!$T$1482)*100000000+('Dvd Calendar'!$T$1484=SPECIAL_LBL)*10000000+0*1000000+34*1000+16))</f>
        <v/>
      </c>
      <c r="EU149" s="35">
        <f>IF(N('Dvd Calendar'!$U$1479)=0,"",IF(('Dvd Calendar'!$U$1479&gt;=GRID_FROM)*('Dvd Calendar'!$U$1479&lt;=GRID_TO)*('Dvd Calendar'!$U$1479&lt;=VAL_DATE)=0,"",'Dvd Calendar'!$U$1479*1000000000+ISNUMBER('Dvd Calendar'!$U$1482)*100000000+('Dvd Calendar'!$U$1484=SPECIAL_LBL)*10000000+0*1000000+34*1000+17))</f>
        <v/>
      </c>
      <c r="EV149" s="35">
        <f>IF(N('Dvd Calendar'!$V$1479)=0,"",IF(('Dvd Calendar'!$V$1479&gt;=GRID_FROM)*('Dvd Calendar'!$V$1479&lt;=GRID_TO)*('Dvd Calendar'!$V$1479&lt;=VAL_DATE)=0,"",'Dvd Calendar'!$V$1479*1000000000+ISNUMBER('Dvd Calendar'!$V$1482)*100000000+('Dvd Calendar'!$V$1484=SPECIAL_LBL)*10000000+0*1000000+34*1000+18))</f>
        <v/>
      </c>
      <c r="EW149" s="35">
        <f>IF(N('Dvd Calendar'!$W$1479)=0,"",IF(('Dvd Calendar'!$W$1479&gt;=GRID_FROM)*('Dvd Calendar'!$W$1479&lt;=GRID_TO)*('Dvd Calendar'!$W$1479&lt;=VAL_DATE)=0,"",'Dvd Calendar'!$W$1479*1000000000+ISNUMBER('Dvd Calendar'!$W$1482)*100000000+('Dvd Calendar'!$W$1484=SPECIAL_LBL)*10000000+0*1000000+34*1000+19))</f>
        <v/>
      </c>
      <c r="EX149" s="35">
        <f>IF(N('Dvd Calendar'!$X$1479)=0,"",IF(('Dvd Calendar'!$X$1479&gt;=GRID_FROM)*('Dvd Calendar'!$X$1479&lt;=GRID_TO)*('Dvd Calendar'!$X$1479&lt;=VAL_DATE)=0,"",'Dvd Calendar'!$X$1479*1000000000+ISNUMBER('Dvd Calendar'!$X$1482)*100000000+('Dvd Calendar'!$X$1484=SPECIAL_LBL)*10000000+0*1000000+34*1000+20))</f>
        <v/>
      </c>
      <c r="EY149" s="35">
        <f>IF(N('Dvd Calendar'!$Y$1479)=0,"",IF(('Dvd Calendar'!$Y$1479&gt;=GRID_FROM)*('Dvd Calendar'!$Y$1479&lt;=GRID_TO)*('Dvd Calendar'!$Y$1479&lt;=VAL_DATE)=0,"",'Dvd Calendar'!$Y$1479*1000000000+ISNUMBER('Dvd Calendar'!$Y$1482)*100000000+('Dvd Calendar'!$Y$1484=SPECIAL_LBL)*10000000+0*1000000+34*1000+21))</f>
        <v/>
      </c>
      <c r="EZ149" s="35">
        <f>IF(N('Dvd Calendar'!$Z$1479)=0,"",IF(('Dvd Calendar'!$Z$1479&gt;=GRID_FROM)*('Dvd Calendar'!$Z$1479&lt;=GRID_TO)*('Dvd Calendar'!$Z$1479&lt;=VAL_DATE)=0,"",'Dvd Calendar'!$Z$1479*1000000000+ISNUMBER('Dvd Calendar'!$Z$1482)*100000000+('Dvd Calendar'!$Z$1484=SPECIAL_LBL)*10000000+0*1000000+34*1000+22))</f>
        <v/>
      </c>
      <c r="FA149" s="35">
        <f>IF(N('Dvd Calendar'!$AA$1479)=0,"",IF(('Dvd Calendar'!$AA$1479&gt;=GRID_FROM)*('Dvd Calendar'!$AA$1479&lt;=GRID_TO)*('Dvd Calendar'!$AA$1479&lt;=VAL_DATE)=0,"",'Dvd Calendar'!$AA$1479*1000000000+ISNUMBER('Dvd Calendar'!$AA$1482)*100000000+('Dvd Calendar'!$AA$1484=SPECIAL_LBL)*10000000+0*1000000+34*1000+23))</f>
        <v/>
      </c>
      <c r="FB149" s="35">
        <f>IF(N('Dvd Calendar'!$AB$1479)=0,"",IF(('Dvd Calendar'!$AB$1479&gt;=GRID_FROM)*('Dvd Calendar'!$AB$1479&lt;=GRID_TO)*('Dvd Calendar'!$AB$1479&lt;=VAL_DATE)=0,"",'Dvd Calendar'!$AB$1479*1000000000+ISNUMBER('Dvd Calendar'!$AB$1482)*100000000+('Dvd Calendar'!$AB$1484=SPECIAL_LBL)*10000000+0*1000000+34*1000+24))</f>
        <v/>
      </c>
      <c r="FC149" s="35">
        <f>IF(N('Dvd Calendar'!$AC$1479)=0,"",IF(('Dvd Calendar'!$AC$1479&gt;=GRID_FROM)*('Dvd Calendar'!$AC$1479&lt;=GRID_TO)*('Dvd Calendar'!$AC$1479&lt;=VAL_DATE)=0,"",'Dvd Calendar'!$AC$1479*1000000000+ISNUMBER('Dvd Calendar'!$AC$1482)*100000000+('Dvd Calendar'!$AC$1484=SPECIAL_LBL)*10000000+0*1000000+34*1000+25))</f>
        <v/>
      </c>
      <c r="FD149" s="35">
        <f>IF(N('Dvd Calendar'!$AD$1479)=0,"",IF(('Dvd Calendar'!$AD$1479&gt;=GRID_FROM)*('Dvd Calendar'!$AD$1479&lt;=GRID_TO)*('Dvd Calendar'!$AD$1479&lt;=VAL_DATE)=0,"",'Dvd Calendar'!$AD$1479*1000000000+ISNUMBER('Dvd Calendar'!$AD$1482)*100000000+('Dvd Calendar'!$AD$1484=SPECIAL_LBL)*10000000+0*1000000+34*1000+26))</f>
        <v/>
      </c>
      <c r="FE149" s="35">
        <f>IF(N('Dvd Calendar'!$AE$1479)=0,"",IF(('Dvd Calendar'!$AE$1479&gt;=GRID_FROM)*('Dvd Calendar'!$AE$1479&lt;=GRID_TO)*('Dvd Calendar'!$AE$1479&lt;=VAL_DATE)=0,"",'Dvd Calendar'!$AE$1479*1000000000+ISNUMBER('Dvd Calendar'!$AE$1482)*100000000+('Dvd Calendar'!$AE$1484=SPECIAL_LBL)*10000000+0*1000000+34*1000+27))</f>
        <v/>
      </c>
      <c r="FF149" s="35">
        <f>IF(N('Dvd Calendar'!$AF$1479)=0,"",IF(('Dvd Calendar'!$AF$1479&gt;=GRID_FROM)*('Dvd Calendar'!$AF$1479&lt;=GRID_TO)*('Dvd Calendar'!$AF$1479&lt;=VAL_DATE)=0,"",'Dvd Calendar'!$AF$1479*1000000000+ISNUMBER('Dvd Calendar'!$AF$1482)*100000000+('Dvd Calendar'!$AF$1484=SPECIAL_LBL)*10000000+0*1000000+34*1000+28))</f>
        <v/>
      </c>
      <c r="FG149" s="35">
        <f>IF(N('Dvd Calendar'!$AG$1479)=0,"",IF(('Dvd Calendar'!$AG$1479&gt;=GRID_FROM)*('Dvd Calendar'!$AG$1479&lt;=GRID_TO)*('Dvd Calendar'!$AG$1479&lt;=VAL_DATE)=0,"",'Dvd Calendar'!$AG$1479*1000000000+ISNUMBER('Dvd Calendar'!$AG$1482)*100000000+('Dvd Calendar'!$AG$1484=SPECIAL_LBL)*10000000+0*1000000+34*1000+29))</f>
        <v/>
      </c>
      <c r="FH149" s="35">
        <f>IF(N('Dvd Calendar'!$AH$1479)=0,"",IF(('Dvd Calendar'!$AH$1479&gt;=GRID_FROM)*('Dvd Calendar'!$AH$1479&lt;=GRID_TO)*('Dvd Calendar'!$AH$1479&lt;=VAL_DATE)=0,"",'Dvd Calendar'!$AH$1479*1000000000+ISNUMBER('Dvd Calendar'!$AH$1482)*100000000+('Dvd Calendar'!$AH$1484=SPECIAL_LBL)*10000000+0*1000000+34*1000+30))</f>
        <v/>
      </c>
      <c r="FI149" s="35">
        <f>IF(N('Dvd Calendar'!$AI$1479)=0,"",IF(('Dvd Calendar'!$AI$1479&gt;=GRID_FROM)*('Dvd Calendar'!$AI$1479&lt;=GRID_TO)*('Dvd Calendar'!$AI$1479&lt;=VAL_DATE)=0,"",'Dvd Calendar'!$AI$1479*1000000000+ISNUMBER('Dvd Calendar'!$AI$1482)*100000000+('Dvd Calendar'!$AI$1484=SPECIAL_LBL)*10000000+0*1000000+34*1000+31))</f>
        <v/>
      </c>
      <c r="FJ149" s="35">
        <f>IF(N('Dvd Calendar'!$AJ$1479)=0,"",IF(('Dvd Calendar'!$AJ$1479&gt;=GRID_FROM)*('Dvd Calendar'!$AJ$1479&lt;=GRID_TO)*('Dvd Calendar'!$AJ$1479&lt;=VAL_DATE)=0,"",'Dvd Calendar'!$AJ$1479*1000000000+ISNUMBER('Dvd Calendar'!$AJ$1482)*100000000+('Dvd Calendar'!$AJ$1484=SPECIAL_LBL)*10000000+0*1000000+34*1000+32))</f>
        <v/>
      </c>
      <c r="FK149" s="35">
        <f>IF(N('Dvd Calendar'!$AK$1479)=0,"",IF(('Dvd Calendar'!$AK$1479&gt;=GRID_FROM)*('Dvd Calendar'!$AK$1479&lt;=GRID_TO)*('Dvd Calendar'!$AK$1479&lt;=VAL_DATE)=0,"",'Dvd Calendar'!$AK$1479*1000000000+ISNUMBER('Dvd Calendar'!$AK$1482)*100000000+('Dvd Calendar'!$AK$1484=SPECIAL_LBL)*10000000+0*1000000+34*1000+33))</f>
        <v/>
      </c>
      <c r="FL149" s="35">
        <f>IF(N('Dvd Calendar'!$AL$1479)=0,"",IF(('Dvd Calendar'!$AL$1479&gt;=GRID_FROM)*('Dvd Calendar'!$AL$1479&lt;=GRID_TO)*('Dvd Calendar'!$AL$1479&lt;=VAL_DATE)=0,"",'Dvd Calendar'!$AL$1479*1000000000+ISNUMBER('Dvd Calendar'!$AL$1482)*100000000+('Dvd Calendar'!$AL$1484=SPECIAL_LBL)*10000000+0*1000000+34*1000+34))</f>
        <v/>
      </c>
      <c r="FM149" s="35">
        <f>IF(N('Dvd Calendar'!$AM$1479)=0,"",IF(('Dvd Calendar'!$AM$1479&gt;=GRID_FROM)*('Dvd Calendar'!$AM$1479&lt;=GRID_TO)*('Dvd Calendar'!$AM$1479&lt;=VAL_DATE)=0,"",'Dvd Calendar'!$AM$1479*1000000000+ISNUMBER('Dvd Calendar'!$AM$1482)*100000000+('Dvd Calendar'!$AM$1484=SPECIAL_LBL)*10000000+0*1000000+34*1000+35))</f>
        <v/>
      </c>
      <c r="FN149" s="35">
        <f>IF(N('Dvd Calendar'!$AN$1479)=0,"",IF(('Dvd Calendar'!$AN$1479&gt;=GRID_FROM)*('Dvd Calendar'!$AN$1479&lt;=GRID_TO)*('Dvd Calendar'!$AN$1479&lt;=VAL_DATE)=0,"",'Dvd Calendar'!$AN$1479*1000000000+ISNUMBER('Dvd Calendar'!$AN$1482)*100000000+('Dvd Calendar'!$AN$1484=SPECIAL_LBL)*10000000+0*1000000+34*1000+36))</f>
        <v/>
      </c>
      <c r="FO149" s="35">
        <f>IF(N('Dvd Calendar'!$AO$1479)=0,"",IF(('Dvd Calendar'!$AO$1479&gt;=GRID_FROM)*('Dvd Calendar'!$AO$1479&lt;=GRID_TO)*('Dvd Calendar'!$AO$1479&lt;=VAL_DATE)=0,"",'Dvd Calendar'!$AO$1479*1000000000+ISNUMBER('Dvd Calendar'!$AO$1482)*100000000+('Dvd Calendar'!$AO$1484=SPECIAL_LBL)*10000000+0*1000000+34*1000+37))</f>
        <v/>
      </c>
      <c r="FP149" s="35">
        <f>IF(N('Dvd Calendar'!$AP$1479)=0,"",IF(('Dvd Calendar'!$AP$1479&gt;=GRID_FROM)*('Dvd Calendar'!$AP$1479&lt;=GRID_TO)*('Dvd Calendar'!$AP$1479&lt;=VAL_DATE)=0,"",'Dvd Calendar'!$AP$1479*1000000000+ISNUMBER('Dvd Calendar'!$AP$1482)*100000000+('Dvd Calendar'!$AP$1484=SPECIAL_LBL)*10000000+0*1000000+34*1000+38))</f>
        <v/>
      </c>
      <c r="FQ149" s="35">
        <f>IF(N('Dvd Calendar'!$AQ$1479)=0,"",IF(('Dvd Calendar'!$AQ$1479&gt;=GRID_FROM)*('Dvd Calendar'!$AQ$1479&lt;=GRID_TO)*('Dvd Calendar'!$AQ$1479&lt;=VAL_DATE)=0,"",'Dvd Calendar'!$AQ$1479*1000000000+ISNUMBER('Dvd Calendar'!$AQ$1482)*100000000+('Dvd Calendar'!$AQ$1484=SPECIAL_LBL)*10000000+0*1000000+34*1000+39))</f>
        <v/>
      </c>
      <c r="FR149" s="35">
        <f>IF(N('Dvd Calendar'!$AR$1479)=0,"",IF(('Dvd Calendar'!$AR$1479&gt;=GRID_FROM)*('Dvd Calendar'!$AR$1479&lt;=GRID_TO)*('Dvd Calendar'!$AR$1479&lt;=VAL_DATE)=0,"",'Dvd Calendar'!$AR$1479*1000000000+ISNUMBER('Dvd Calendar'!$AR$1482)*100000000+('Dvd Calendar'!$AR$1484=SPECIAL_LBL)*10000000+0*1000000+34*1000+40))</f>
        <v/>
      </c>
      <c r="FS149" s="35">
        <f>IF(N('Dvd Calendar'!$E$1486)=0,"",IF(('Dvd Calendar'!$E$1486&gt;=GRID_FROM)*('Dvd Calendar'!$E$1486&lt;=GRID_TO)*('Dvd Calendar'!$E$1486&gt;VAL_DATE)=0,"",'Dvd Calendar'!$E$1486*1000000000+ISNUMBER('Dvd Calendar'!$E$1487)*100000000+0*10000000+(N('Dvd Calendar'!$E$1485)&gt;0)*(N('Dvd Calendar'!$E$1485)&lt;=VAL_SERIAL)*1000000+34*1000+41))</f>
        <v/>
      </c>
      <c r="FT149" s="35">
        <f>IF(N('Dvd Calendar'!$F$1486)=0,"",IF(('Dvd Calendar'!$F$1486&gt;=GRID_FROM)*('Dvd Calendar'!$F$1486&lt;=GRID_TO)*('Dvd Calendar'!$F$1486&gt;VAL_DATE)=0,"",'Dvd Calendar'!$F$1486*1000000000+ISNUMBER('Dvd Calendar'!$F$1487)*100000000+0*10000000+(N('Dvd Calendar'!$F$1485)&gt;0)*(N('Dvd Calendar'!$F$1485)&lt;=VAL_SERIAL)*1000000+34*1000+42))</f>
        <v/>
      </c>
      <c r="FU149" s="35">
        <f>IF(N('Dvd Calendar'!$G$1486)=0,"",IF(('Dvd Calendar'!$G$1486&gt;=GRID_FROM)*('Dvd Calendar'!$G$1486&lt;=GRID_TO)*('Dvd Calendar'!$G$1486&gt;VAL_DATE)=0,"",'Dvd Calendar'!$G$1486*1000000000+ISNUMBER('Dvd Calendar'!$G$1487)*100000000+0*10000000+(N('Dvd Calendar'!$G$1485)&gt;0)*(N('Dvd Calendar'!$G$1485)&lt;=VAL_SERIAL)*1000000+34*1000+43))</f>
        <v/>
      </c>
      <c r="FV149" s="35">
        <f>IF(N('Dvd Calendar'!$H$1486)=0,"",IF(('Dvd Calendar'!$H$1486&gt;=GRID_FROM)*('Dvd Calendar'!$H$1486&lt;=GRID_TO)*('Dvd Calendar'!$H$1486&gt;VAL_DATE)=0,"",'Dvd Calendar'!$H$1486*1000000000+ISNUMBER('Dvd Calendar'!$H$1487)*100000000+0*10000000+(N('Dvd Calendar'!$H$1485)&gt;0)*(N('Dvd Calendar'!$H$1485)&lt;=VAL_SERIAL)*1000000+34*1000+44))</f>
        <v/>
      </c>
      <c r="FW149" s="35">
        <f>IF(N('Dvd Calendar'!$I$1486)=0,"",IF(('Dvd Calendar'!$I$1486&gt;=GRID_FROM)*('Dvd Calendar'!$I$1486&lt;=GRID_TO)*('Dvd Calendar'!$I$1486&gt;VAL_DATE)=0,"",'Dvd Calendar'!$I$1486*1000000000+ISNUMBER('Dvd Calendar'!$I$1487)*100000000+0*10000000+(N('Dvd Calendar'!$I$1485)&gt;0)*(N('Dvd Calendar'!$I$1485)&lt;=VAL_SERIAL)*1000000+34*1000+45))</f>
        <v/>
      </c>
      <c r="FX149" s="35">
        <f>IF(N('Dvd Calendar'!$J$1486)=0,"",IF(('Dvd Calendar'!$J$1486&gt;=GRID_FROM)*('Dvd Calendar'!$J$1486&lt;=GRID_TO)*('Dvd Calendar'!$J$1486&gt;VAL_DATE)=0,"",'Dvd Calendar'!$J$1486*1000000000+ISNUMBER('Dvd Calendar'!$J$1487)*100000000+0*10000000+(N('Dvd Calendar'!$J$1485)&gt;0)*(N('Dvd Calendar'!$J$1485)&lt;=VAL_SERIAL)*1000000+34*1000+46))</f>
        <v/>
      </c>
      <c r="FY149" s="35">
        <f>IF(N('Dvd Calendar'!$K$1486)=0,"",IF(('Dvd Calendar'!$K$1486&gt;=GRID_FROM)*('Dvd Calendar'!$K$1486&lt;=GRID_TO)*('Dvd Calendar'!$K$1486&gt;VAL_DATE)=0,"",'Dvd Calendar'!$K$1486*1000000000+ISNUMBER('Dvd Calendar'!$K$1487)*100000000+0*10000000+(N('Dvd Calendar'!$K$1485)&gt;0)*(N('Dvd Calendar'!$K$1485)&lt;=VAL_SERIAL)*1000000+34*1000+47))</f>
        <v/>
      </c>
      <c r="FZ149" s="35">
        <f>IF(N('Dvd Calendar'!$L$1486)=0,"",IF(('Dvd Calendar'!$L$1486&gt;=GRID_FROM)*('Dvd Calendar'!$L$1486&lt;=GRID_TO)*('Dvd Calendar'!$L$1486&gt;VAL_DATE)=0,"",'Dvd Calendar'!$L$1486*1000000000+ISNUMBER('Dvd Calendar'!$L$1487)*100000000+0*10000000+(N('Dvd Calendar'!$L$1485)&gt;0)*(N('Dvd Calendar'!$L$1485)&lt;=VAL_SERIAL)*1000000+34*1000+48))</f>
        <v/>
      </c>
      <c r="GA149" s="35">
        <f>IF(N('Dvd Calendar'!$M$1486)=0,"",IF(('Dvd Calendar'!$M$1486&gt;=GRID_FROM)*('Dvd Calendar'!$M$1486&lt;=GRID_TO)*('Dvd Calendar'!$M$1486&gt;VAL_DATE)=0,"",'Dvd Calendar'!$M$1486*1000000000+ISNUMBER('Dvd Calendar'!$M$1487)*100000000+0*10000000+(N('Dvd Calendar'!$M$1485)&gt;0)*(N('Dvd Calendar'!$M$1485)&lt;=VAL_SERIAL)*1000000+34*1000+49))</f>
        <v/>
      </c>
      <c r="GB149" s="35">
        <f>IF(N('Dvd Calendar'!$N$1486)=0,"",IF(('Dvd Calendar'!$N$1486&gt;=GRID_FROM)*('Dvd Calendar'!$N$1486&lt;=GRID_TO)*('Dvd Calendar'!$N$1486&gt;VAL_DATE)=0,"",'Dvd Calendar'!$N$1486*1000000000+ISNUMBER('Dvd Calendar'!$N$1487)*100000000+0*10000000+(N('Dvd Calendar'!$N$1485)&gt;0)*(N('Dvd Calendar'!$N$1485)&lt;=VAL_SERIAL)*1000000+34*1000+50))</f>
        <v/>
      </c>
      <c r="GC149" s="35">
        <f>IF(N('Dvd Calendar'!$O$1486)=0,"",IF(('Dvd Calendar'!$O$1486&gt;=GRID_FROM)*('Dvd Calendar'!$O$1486&lt;=GRID_TO)*('Dvd Calendar'!$O$1486&gt;VAL_DATE)=0,"",'Dvd Calendar'!$O$1486*1000000000+ISNUMBER('Dvd Calendar'!$O$1487)*100000000+0*10000000+(N('Dvd Calendar'!$O$1485)&gt;0)*(N('Dvd Calendar'!$O$1485)&lt;=VAL_SERIAL)*1000000+34*1000+51))</f>
        <v/>
      </c>
      <c r="GD149" s="35">
        <f>IF(N('Dvd Calendar'!$P$1486)=0,"",IF(('Dvd Calendar'!$P$1486&gt;=GRID_FROM)*('Dvd Calendar'!$P$1486&lt;=GRID_TO)*('Dvd Calendar'!$P$1486&gt;VAL_DATE)=0,"",'Dvd Calendar'!$P$1486*1000000000+ISNUMBER('Dvd Calendar'!$P$1487)*100000000+0*10000000+(N('Dvd Calendar'!$P$1485)&gt;0)*(N('Dvd Calendar'!$P$1485)&lt;=VAL_SERIAL)*1000000+34*1000+52))</f>
        <v/>
      </c>
      <c r="GE149" s="35">
        <f>IF(N('Dvd Calendar'!$Q$1486)=0,"",IF(('Dvd Calendar'!$Q$1486&gt;=GRID_FROM)*('Dvd Calendar'!$Q$1486&lt;=GRID_TO)*('Dvd Calendar'!$Q$1486&gt;VAL_DATE)=0,"",'Dvd Calendar'!$Q$1486*1000000000+ISNUMBER('Dvd Calendar'!$Q$1487)*100000000+0*10000000+(N('Dvd Calendar'!$Q$1485)&gt;0)*(N('Dvd Calendar'!$Q$1485)&lt;=VAL_SERIAL)*1000000+34*1000+53))</f>
        <v/>
      </c>
      <c r="GF149" s="35">
        <f>IF(N('Dvd Calendar'!$R$1486)=0,"",IF(('Dvd Calendar'!$R$1486&gt;=GRID_FROM)*('Dvd Calendar'!$R$1486&lt;=GRID_TO)*('Dvd Calendar'!$R$1486&gt;VAL_DATE)=0,"",'Dvd Calendar'!$R$1486*1000000000+ISNUMBER('Dvd Calendar'!$R$1487)*100000000+0*10000000+(N('Dvd Calendar'!$R$1485)&gt;0)*(N('Dvd Calendar'!$R$1485)&lt;=VAL_SERIAL)*1000000+34*1000+54))</f>
        <v/>
      </c>
      <c r="GG149" s="35">
        <f>IF(N('Dvd Calendar'!$S$1486)=0,"",IF(('Dvd Calendar'!$S$1486&gt;=GRID_FROM)*('Dvd Calendar'!$S$1486&lt;=GRID_TO)*('Dvd Calendar'!$S$1486&gt;VAL_DATE)=0,"",'Dvd Calendar'!$S$1486*1000000000+ISNUMBER('Dvd Calendar'!$S$1487)*100000000+0*10000000+(N('Dvd Calendar'!$S$1485)&gt;0)*(N('Dvd Calendar'!$S$1485)&lt;=VAL_SERIAL)*1000000+34*1000+55))</f>
        <v/>
      </c>
      <c r="GH149" s="35">
        <f>IF(N('Dvd Calendar'!$T$1486)=0,"",IF(('Dvd Calendar'!$T$1486&gt;=GRID_FROM)*('Dvd Calendar'!$T$1486&lt;=GRID_TO)*('Dvd Calendar'!$T$1486&gt;VAL_DATE)=0,"",'Dvd Calendar'!$T$1486*1000000000+ISNUMBER('Dvd Calendar'!$T$1487)*100000000+0*10000000+(N('Dvd Calendar'!$T$1485)&gt;0)*(N('Dvd Calendar'!$T$1485)&lt;=VAL_SERIAL)*1000000+34*1000+56))</f>
        <v/>
      </c>
      <c r="GI149" s="35">
        <f>IF(N('Dvd Calendar'!$U$1486)=0,"",IF(('Dvd Calendar'!$U$1486&gt;=GRID_FROM)*('Dvd Calendar'!$U$1486&lt;=GRID_TO)*('Dvd Calendar'!$U$1486&gt;VAL_DATE)=0,"",'Dvd Calendar'!$U$1486*1000000000+ISNUMBER('Dvd Calendar'!$U$1487)*100000000+0*10000000+(N('Dvd Calendar'!$U$1485)&gt;0)*(N('Dvd Calendar'!$U$1485)&lt;=VAL_SERIAL)*1000000+34*1000+57))</f>
        <v/>
      </c>
      <c r="GJ149" s="35">
        <f>IF(N('Dvd Calendar'!$V$1486)=0,"",IF(('Dvd Calendar'!$V$1486&gt;=GRID_FROM)*('Dvd Calendar'!$V$1486&lt;=GRID_TO)*('Dvd Calendar'!$V$1486&gt;VAL_DATE)=0,"",'Dvd Calendar'!$V$1486*1000000000+ISNUMBER('Dvd Calendar'!$V$1487)*100000000+0*10000000+(N('Dvd Calendar'!$V$1485)&gt;0)*(N('Dvd Calendar'!$V$1485)&lt;=VAL_SERIAL)*1000000+34*1000+58))</f>
        <v/>
      </c>
      <c r="GK149" s="35">
        <f>IF(N('Dvd Calendar'!$W$1486)=0,"",IF(('Dvd Calendar'!$W$1486&gt;=GRID_FROM)*('Dvd Calendar'!$W$1486&lt;=GRID_TO)*('Dvd Calendar'!$W$1486&gt;VAL_DATE)=0,"",'Dvd Calendar'!$W$1486*1000000000+ISNUMBER('Dvd Calendar'!$W$1487)*100000000+0*10000000+(N('Dvd Calendar'!$W$1485)&gt;0)*(N('Dvd Calendar'!$W$1485)&lt;=VAL_SERIAL)*1000000+34*1000+59))</f>
        <v/>
      </c>
      <c r="GL149" s="35">
        <f>IF(N('Dvd Calendar'!$X$1486)=0,"",IF(('Dvd Calendar'!$X$1486&gt;=GRID_FROM)*('Dvd Calendar'!$X$1486&lt;=GRID_TO)*('Dvd Calendar'!$X$1486&gt;VAL_DATE)=0,"",'Dvd Calendar'!$X$1486*1000000000+ISNUMBER('Dvd Calendar'!$X$1487)*100000000+0*10000000+(N('Dvd Calendar'!$X$1485)&gt;0)*(N('Dvd Calendar'!$X$1485)&lt;=VAL_SERIAL)*1000000+34*1000+60))</f>
        <v/>
      </c>
      <c r="GM149" s="35">
        <f>IF(N('Dvd Calendar'!$Y$1486)=0,"",IF(('Dvd Calendar'!$Y$1486&gt;=GRID_FROM)*('Dvd Calendar'!$Y$1486&lt;=GRID_TO)*('Dvd Calendar'!$Y$1486&gt;VAL_DATE)=0,"",'Dvd Calendar'!$Y$1486*1000000000+ISNUMBER('Dvd Calendar'!$Y$1487)*100000000+0*10000000+(N('Dvd Calendar'!$Y$1485)&gt;0)*(N('Dvd Calendar'!$Y$1485)&lt;=VAL_SERIAL)*1000000+34*1000+61))</f>
        <v/>
      </c>
      <c r="GN149" s="35">
        <f>IF(N('Dvd Calendar'!$Z$1486)=0,"",IF(('Dvd Calendar'!$Z$1486&gt;=GRID_FROM)*('Dvd Calendar'!$Z$1486&lt;=GRID_TO)*('Dvd Calendar'!$Z$1486&gt;VAL_DATE)=0,"",'Dvd Calendar'!$Z$1486*1000000000+ISNUMBER('Dvd Calendar'!$Z$1487)*100000000+0*10000000+(N('Dvd Calendar'!$Z$1485)&gt;0)*(N('Dvd Calendar'!$Z$1485)&lt;=VAL_SERIAL)*1000000+34*1000+62))</f>
        <v/>
      </c>
      <c r="GO149" s="35">
        <f>IF(N('Dvd Calendar'!$AA$1486)=0,"",IF(('Dvd Calendar'!$AA$1486&gt;=GRID_FROM)*('Dvd Calendar'!$AA$1486&lt;=GRID_TO)*('Dvd Calendar'!$AA$1486&gt;VAL_DATE)=0,"",'Dvd Calendar'!$AA$1486*1000000000+ISNUMBER('Dvd Calendar'!$AA$1487)*100000000+0*10000000+(N('Dvd Calendar'!$AA$1485)&gt;0)*(N('Dvd Calendar'!$AA$1485)&lt;=VAL_SERIAL)*1000000+34*1000+63))</f>
        <v/>
      </c>
      <c r="GP149" s="35">
        <f>IF(N('Dvd Calendar'!$AB$1486)=0,"",IF(('Dvd Calendar'!$AB$1486&gt;=GRID_FROM)*('Dvd Calendar'!$AB$1486&lt;=GRID_TO)*('Dvd Calendar'!$AB$1486&gt;VAL_DATE)=0,"",'Dvd Calendar'!$AB$1486*1000000000+ISNUMBER('Dvd Calendar'!$AB$1487)*100000000+0*10000000+(N('Dvd Calendar'!$AB$1485)&gt;0)*(N('Dvd Calendar'!$AB$1485)&lt;=VAL_SERIAL)*1000000+34*1000+64))</f>
        <v/>
      </c>
      <c r="GQ149" s="35">
        <f>IF(N('Dvd Calendar'!$AC$1486)=0,"",IF(('Dvd Calendar'!$AC$1486&gt;=GRID_FROM)*('Dvd Calendar'!$AC$1486&lt;=GRID_TO)*('Dvd Calendar'!$AC$1486&gt;VAL_DATE)=0,"",'Dvd Calendar'!$AC$1486*1000000000+ISNUMBER('Dvd Calendar'!$AC$1487)*100000000+0*10000000+(N('Dvd Calendar'!$AC$1485)&gt;0)*(N('Dvd Calendar'!$AC$1485)&lt;=VAL_SERIAL)*1000000+34*1000+65))</f>
        <v/>
      </c>
    </row>
    <row r="150">
      <c r="B150" s="2">
        <f>IF(HSTECH!$C$41="","",HSTECH!$C$41)</f>
        <v/>
      </c>
      <c r="C150" s="106">
        <f>IF(EE150="","",IF(ISNUMBER('Dvd Calendar'!$E$1493)=FALSE,"",IF((('Dvd Calendar'!$E$1495=TYPE1)*(TYPE1&lt;&gt;"")+('Dvd Calendar'!$E$1495=TYPE2)*(TYPE2&lt;&gt;"")+('Dvd Calendar'!$E$1495=TYPE3)*(TYPE3&lt;&gt;"")+('Dvd Calendar'!$E$1495=TYPE4)*(TYPE4&lt;&gt;"")+('Dvd Calendar'!$E$1495=SPECIAL_LBL)*(INC_SPECIALS="Y"))=0,"",'Dvd Calendar'!$E$1493)))</f>
        <v/>
      </c>
      <c r="D150" s="106">
        <f>IF(EF150="","",IF(ISNUMBER('Dvd Calendar'!$F$1493)=FALSE,"",IF((('Dvd Calendar'!$F$1495=TYPE1)*(TYPE1&lt;&gt;"")+('Dvd Calendar'!$F$1495=TYPE2)*(TYPE2&lt;&gt;"")+('Dvd Calendar'!$F$1495=TYPE3)*(TYPE3&lt;&gt;"")+('Dvd Calendar'!$F$1495=TYPE4)*(TYPE4&lt;&gt;"")+('Dvd Calendar'!$F$1495=SPECIAL_LBL)*(INC_SPECIALS="Y"))=0,"",'Dvd Calendar'!$F$1493)))</f>
        <v/>
      </c>
      <c r="E150" s="106">
        <f>IF(EG150="","",IF(ISNUMBER('Dvd Calendar'!$G$1493)=FALSE,"",IF((('Dvd Calendar'!$G$1495=TYPE1)*(TYPE1&lt;&gt;"")+('Dvd Calendar'!$G$1495=TYPE2)*(TYPE2&lt;&gt;"")+('Dvd Calendar'!$G$1495=TYPE3)*(TYPE3&lt;&gt;"")+('Dvd Calendar'!$G$1495=TYPE4)*(TYPE4&lt;&gt;"")+('Dvd Calendar'!$G$1495=SPECIAL_LBL)*(INC_SPECIALS="Y"))=0,"",'Dvd Calendar'!$G$1493)))</f>
        <v/>
      </c>
      <c r="F150" s="106">
        <f>IF(EH150="","",IF(ISNUMBER('Dvd Calendar'!$H$1493)=FALSE,"",IF((('Dvd Calendar'!$H$1495=TYPE1)*(TYPE1&lt;&gt;"")+('Dvd Calendar'!$H$1495=TYPE2)*(TYPE2&lt;&gt;"")+('Dvd Calendar'!$H$1495=TYPE3)*(TYPE3&lt;&gt;"")+('Dvd Calendar'!$H$1495=TYPE4)*(TYPE4&lt;&gt;"")+('Dvd Calendar'!$H$1495=SPECIAL_LBL)*(INC_SPECIALS="Y"))=0,"",'Dvd Calendar'!$H$1493)))</f>
        <v/>
      </c>
      <c r="G150" s="106">
        <f>IF(EI150="","",IF(ISNUMBER('Dvd Calendar'!$I$1493)=FALSE,"",IF((('Dvd Calendar'!$I$1495=TYPE1)*(TYPE1&lt;&gt;"")+('Dvd Calendar'!$I$1495=TYPE2)*(TYPE2&lt;&gt;"")+('Dvd Calendar'!$I$1495=TYPE3)*(TYPE3&lt;&gt;"")+('Dvd Calendar'!$I$1495=TYPE4)*(TYPE4&lt;&gt;"")+('Dvd Calendar'!$I$1495=SPECIAL_LBL)*(INC_SPECIALS="Y"))=0,"",'Dvd Calendar'!$I$1493)))</f>
        <v/>
      </c>
      <c r="H150" s="106">
        <f>IF(EJ150="","",IF(ISNUMBER('Dvd Calendar'!$J$1493)=FALSE,"",IF((('Dvd Calendar'!$J$1495=TYPE1)*(TYPE1&lt;&gt;"")+('Dvd Calendar'!$J$1495=TYPE2)*(TYPE2&lt;&gt;"")+('Dvd Calendar'!$J$1495=TYPE3)*(TYPE3&lt;&gt;"")+('Dvd Calendar'!$J$1495=TYPE4)*(TYPE4&lt;&gt;"")+('Dvd Calendar'!$J$1495=SPECIAL_LBL)*(INC_SPECIALS="Y"))=0,"",'Dvd Calendar'!$J$1493)))</f>
        <v/>
      </c>
      <c r="I150" s="106">
        <f>IF(EK150="","",IF(ISNUMBER('Dvd Calendar'!$K$1493)=FALSE,"",IF((('Dvd Calendar'!$K$1495=TYPE1)*(TYPE1&lt;&gt;"")+('Dvd Calendar'!$K$1495=TYPE2)*(TYPE2&lt;&gt;"")+('Dvd Calendar'!$K$1495=TYPE3)*(TYPE3&lt;&gt;"")+('Dvd Calendar'!$K$1495=TYPE4)*(TYPE4&lt;&gt;"")+('Dvd Calendar'!$K$1495=SPECIAL_LBL)*(INC_SPECIALS="Y"))=0,"",'Dvd Calendar'!$K$1493)))</f>
        <v/>
      </c>
      <c r="J150" s="106">
        <f>IF(EL150="","",IF(ISNUMBER('Dvd Calendar'!$L$1493)=FALSE,"",IF((('Dvd Calendar'!$L$1495=TYPE1)*(TYPE1&lt;&gt;"")+('Dvd Calendar'!$L$1495=TYPE2)*(TYPE2&lt;&gt;"")+('Dvd Calendar'!$L$1495=TYPE3)*(TYPE3&lt;&gt;"")+('Dvd Calendar'!$L$1495=TYPE4)*(TYPE4&lt;&gt;"")+('Dvd Calendar'!$L$1495=SPECIAL_LBL)*(INC_SPECIALS="Y"))=0,"",'Dvd Calendar'!$L$1493)))</f>
        <v/>
      </c>
      <c r="K150" s="106">
        <f>IF(EM150="","",IF(ISNUMBER('Dvd Calendar'!$M$1493)=FALSE,"",IF((('Dvd Calendar'!$M$1495=TYPE1)*(TYPE1&lt;&gt;"")+('Dvd Calendar'!$M$1495=TYPE2)*(TYPE2&lt;&gt;"")+('Dvd Calendar'!$M$1495=TYPE3)*(TYPE3&lt;&gt;"")+('Dvd Calendar'!$M$1495=TYPE4)*(TYPE4&lt;&gt;"")+('Dvd Calendar'!$M$1495=SPECIAL_LBL)*(INC_SPECIALS="Y"))=0,"",'Dvd Calendar'!$M$1493)))</f>
        <v/>
      </c>
      <c r="L150" s="106">
        <f>IF(EN150="","",IF(ISNUMBER('Dvd Calendar'!$N$1493)=FALSE,"",IF((('Dvd Calendar'!$N$1495=TYPE1)*(TYPE1&lt;&gt;"")+('Dvd Calendar'!$N$1495=TYPE2)*(TYPE2&lt;&gt;"")+('Dvd Calendar'!$N$1495=TYPE3)*(TYPE3&lt;&gt;"")+('Dvd Calendar'!$N$1495=TYPE4)*(TYPE4&lt;&gt;"")+('Dvd Calendar'!$N$1495=SPECIAL_LBL)*(INC_SPECIALS="Y"))=0,"",'Dvd Calendar'!$N$1493)))</f>
        <v/>
      </c>
      <c r="M150" s="106">
        <f>IF(EO150="","",IF(ISNUMBER('Dvd Calendar'!$O$1493)=FALSE,"",IF((('Dvd Calendar'!$O$1495=TYPE1)*(TYPE1&lt;&gt;"")+('Dvd Calendar'!$O$1495=TYPE2)*(TYPE2&lt;&gt;"")+('Dvd Calendar'!$O$1495=TYPE3)*(TYPE3&lt;&gt;"")+('Dvd Calendar'!$O$1495=TYPE4)*(TYPE4&lt;&gt;"")+('Dvd Calendar'!$O$1495=SPECIAL_LBL)*(INC_SPECIALS="Y"))=0,"",'Dvd Calendar'!$O$1493)))</f>
        <v/>
      </c>
      <c r="N150" s="106">
        <f>IF(EP150="","",IF(ISNUMBER('Dvd Calendar'!$P$1493)=FALSE,"",IF((('Dvd Calendar'!$P$1495=TYPE1)*(TYPE1&lt;&gt;"")+('Dvd Calendar'!$P$1495=TYPE2)*(TYPE2&lt;&gt;"")+('Dvd Calendar'!$P$1495=TYPE3)*(TYPE3&lt;&gt;"")+('Dvd Calendar'!$P$1495=TYPE4)*(TYPE4&lt;&gt;"")+('Dvd Calendar'!$P$1495=SPECIAL_LBL)*(INC_SPECIALS="Y"))=0,"",'Dvd Calendar'!$P$1493)))</f>
        <v/>
      </c>
      <c r="O150" s="106">
        <f>IF(EQ150="","",IF(ISNUMBER('Dvd Calendar'!$Q$1493)=FALSE,"",IF((('Dvd Calendar'!$Q$1495=TYPE1)*(TYPE1&lt;&gt;"")+('Dvd Calendar'!$Q$1495=TYPE2)*(TYPE2&lt;&gt;"")+('Dvd Calendar'!$Q$1495=TYPE3)*(TYPE3&lt;&gt;"")+('Dvd Calendar'!$Q$1495=TYPE4)*(TYPE4&lt;&gt;"")+('Dvd Calendar'!$Q$1495=SPECIAL_LBL)*(INC_SPECIALS="Y"))=0,"",'Dvd Calendar'!$Q$1493)))</f>
        <v/>
      </c>
      <c r="P150" s="106">
        <f>IF(ER150="","",IF(ISNUMBER('Dvd Calendar'!$R$1493)=FALSE,"",IF((('Dvd Calendar'!$R$1495=TYPE1)*(TYPE1&lt;&gt;"")+('Dvd Calendar'!$R$1495=TYPE2)*(TYPE2&lt;&gt;"")+('Dvd Calendar'!$R$1495=TYPE3)*(TYPE3&lt;&gt;"")+('Dvd Calendar'!$R$1495=TYPE4)*(TYPE4&lt;&gt;"")+('Dvd Calendar'!$R$1495=SPECIAL_LBL)*(INC_SPECIALS="Y"))=0,"",'Dvd Calendar'!$R$1493)))</f>
        <v/>
      </c>
      <c r="Q150" s="106">
        <f>IF(ES150="","",IF(ISNUMBER('Dvd Calendar'!$S$1493)=FALSE,"",IF((('Dvd Calendar'!$S$1495=TYPE1)*(TYPE1&lt;&gt;"")+('Dvd Calendar'!$S$1495=TYPE2)*(TYPE2&lt;&gt;"")+('Dvd Calendar'!$S$1495=TYPE3)*(TYPE3&lt;&gt;"")+('Dvd Calendar'!$S$1495=TYPE4)*(TYPE4&lt;&gt;"")+('Dvd Calendar'!$S$1495=SPECIAL_LBL)*(INC_SPECIALS="Y"))=0,"",'Dvd Calendar'!$S$1493)))</f>
        <v/>
      </c>
      <c r="R150" s="106">
        <f>IF(ET150="","",IF(ISNUMBER('Dvd Calendar'!$T$1493)=FALSE,"",IF((('Dvd Calendar'!$T$1495=TYPE1)*(TYPE1&lt;&gt;"")+('Dvd Calendar'!$T$1495=TYPE2)*(TYPE2&lt;&gt;"")+('Dvd Calendar'!$T$1495=TYPE3)*(TYPE3&lt;&gt;"")+('Dvd Calendar'!$T$1495=TYPE4)*(TYPE4&lt;&gt;"")+('Dvd Calendar'!$T$1495=SPECIAL_LBL)*(INC_SPECIALS="Y"))=0,"",'Dvd Calendar'!$T$1493)))</f>
        <v/>
      </c>
      <c r="S150" s="106">
        <f>IF(EU150="","",IF(ISNUMBER('Dvd Calendar'!$U$1493)=FALSE,"",IF((('Dvd Calendar'!$U$1495=TYPE1)*(TYPE1&lt;&gt;"")+('Dvd Calendar'!$U$1495=TYPE2)*(TYPE2&lt;&gt;"")+('Dvd Calendar'!$U$1495=TYPE3)*(TYPE3&lt;&gt;"")+('Dvd Calendar'!$U$1495=TYPE4)*(TYPE4&lt;&gt;"")+('Dvd Calendar'!$U$1495=SPECIAL_LBL)*(INC_SPECIALS="Y"))=0,"",'Dvd Calendar'!$U$1493)))</f>
        <v/>
      </c>
      <c r="T150" s="106">
        <f>IF(EV150="","",IF(ISNUMBER('Dvd Calendar'!$V$1493)=FALSE,"",IF((('Dvd Calendar'!$V$1495=TYPE1)*(TYPE1&lt;&gt;"")+('Dvd Calendar'!$V$1495=TYPE2)*(TYPE2&lt;&gt;"")+('Dvd Calendar'!$V$1495=TYPE3)*(TYPE3&lt;&gt;"")+('Dvd Calendar'!$V$1495=TYPE4)*(TYPE4&lt;&gt;"")+('Dvd Calendar'!$V$1495=SPECIAL_LBL)*(INC_SPECIALS="Y"))=0,"",'Dvd Calendar'!$V$1493)))</f>
        <v/>
      </c>
      <c r="U150" s="106">
        <f>IF(EW150="","",IF(ISNUMBER('Dvd Calendar'!$W$1493)=FALSE,"",IF((('Dvd Calendar'!$W$1495=TYPE1)*(TYPE1&lt;&gt;"")+('Dvd Calendar'!$W$1495=TYPE2)*(TYPE2&lt;&gt;"")+('Dvd Calendar'!$W$1495=TYPE3)*(TYPE3&lt;&gt;"")+('Dvd Calendar'!$W$1495=TYPE4)*(TYPE4&lt;&gt;"")+('Dvd Calendar'!$W$1495=SPECIAL_LBL)*(INC_SPECIALS="Y"))=0,"",'Dvd Calendar'!$W$1493)))</f>
        <v/>
      </c>
      <c r="V150" s="106">
        <f>IF(EX150="","",IF(ISNUMBER('Dvd Calendar'!$X$1493)=FALSE,"",IF((('Dvd Calendar'!$X$1495=TYPE1)*(TYPE1&lt;&gt;"")+('Dvd Calendar'!$X$1495=TYPE2)*(TYPE2&lt;&gt;"")+('Dvd Calendar'!$X$1495=TYPE3)*(TYPE3&lt;&gt;"")+('Dvd Calendar'!$X$1495=TYPE4)*(TYPE4&lt;&gt;"")+('Dvd Calendar'!$X$1495=SPECIAL_LBL)*(INC_SPECIALS="Y"))=0,"",'Dvd Calendar'!$X$1493)))</f>
        <v/>
      </c>
      <c r="W150" s="106">
        <f>IF(EY150="","",IF(ISNUMBER('Dvd Calendar'!$Y$1493)=FALSE,"",IF((('Dvd Calendar'!$Y$1495=TYPE1)*(TYPE1&lt;&gt;"")+('Dvd Calendar'!$Y$1495=TYPE2)*(TYPE2&lt;&gt;"")+('Dvd Calendar'!$Y$1495=TYPE3)*(TYPE3&lt;&gt;"")+('Dvd Calendar'!$Y$1495=TYPE4)*(TYPE4&lt;&gt;"")+('Dvd Calendar'!$Y$1495=SPECIAL_LBL)*(INC_SPECIALS="Y"))=0,"",'Dvd Calendar'!$Y$1493)))</f>
        <v/>
      </c>
      <c r="X150" s="106">
        <f>IF(EZ150="","",IF(ISNUMBER('Dvd Calendar'!$Z$1493)=FALSE,"",IF((('Dvd Calendar'!$Z$1495=TYPE1)*(TYPE1&lt;&gt;"")+('Dvd Calendar'!$Z$1495=TYPE2)*(TYPE2&lt;&gt;"")+('Dvd Calendar'!$Z$1495=TYPE3)*(TYPE3&lt;&gt;"")+('Dvd Calendar'!$Z$1495=TYPE4)*(TYPE4&lt;&gt;"")+('Dvd Calendar'!$Z$1495=SPECIAL_LBL)*(INC_SPECIALS="Y"))=0,"",'Dvd Calendar'!$Z$1493)))</f>
        <v/>
      </c>
      <c r="Y150" s="106">
        <f>IF(FA150="","",IF(ISNUMBER('Dvd Calendar'!$AA$1493)=FALSE,"",IF((('Dvd Calendar'!$AA$1495=TYPE1)*(TYPE1&lt;&gt;"")+('Dvd Calendar'!$AA$1495=TYPE2)*(TYPE2&lt;&gt;"")+('Dvd Calendar'!$AA$1495=TYPE3)*(TYPE3&lt;&gt;"")+('Dvd Calendar'!$AA$1495=TYPE4)*(TYPE4&lt;&gt;"")+('Dvd Calendar'!$AA$1495=SPECIAL_LBL)*(INC_SPECIALS="Y"))=0,"",'Dvd Calendar'!$AA$1493)))</f>
        <v/>
      </c>
      <c r="Z150" s="106">
        <f>IF(FB150="","",IF(ISNUMBER('Dvd Calendar'!$AB$1493)=FALSE,"",IF((('Dvd Calendar'!$AB$1495=TYPE1)*(TYPE1&lt;&gt;"")+('Dvd Calendar'!$AB$1495=TYPE2)*(TYPE2&lt;&gt;"")+('Dvd Calendar'!$AB$1495=TYPE3)*(TYPE3&lt;&gt;"")+('Dvd Calendar'!$AB$1495=TYPE4)*(TYPE4&lt;&gt;"")+('Dvd Calendar'!$AB$1495=SPECIAL_LBL)*(INC_SPECIALS="Y"))=0,"",'Dvd Calendar'!$AB$1493)))</f>
        <v/>
      </c>
      <c r="AA150" s="106">
        <f>IF(FC150="","",IF(ISNUMBER('Dvd Calendar'!$AC$1493)=FALSE,"",IF((('Dvd Calendar'!$AC$1495=TYPE1)*(TYPE1&lt;&gt;"")+('Dvd Calendar'!$AC$1495=TYPE2)*(TYPE2&lt;&gt;"")+('Dvd Calendar'!$AC$1495=TYPE3)*(TYPE3&lt;&gt;"")+('Dvd Calendar'!$AC$1495=TYPE4)*(TYPE4&lt;&gt;"")+('Dvd Calendar'!$AC$1495=SPECIAL_LBL)*(INC_SPECIALS="Y"))=0,"",'Dvd Calendar'!$AC$1493)))</f>
        <v/>
      </c>
      <c r="AB150" s="106">
        <f>IF(FD150="","",IF(ISNUMBER('Dvd Calendar'!$AD$1493)=FALSE,"",IF((('Dvd Calendar'!$AD$1495=TYPE1)*(TYPE1&lt;&gt;"")+('Dvd Calendar'!$AD$1495=TYPE2)*(TYPE2&lt;&gt;"")+('Dvd Calendar'!$AD$1495=TYPE3)*(TYPE3&lt;&gt;"")+('Dvd Calendar'!$AD$1495=TYPE4)*(TYPE4&lt;&gt;"")+('Dvd Calendar'!$AD$1495=SPECIAL_LBL)*(INC_SPECIALS="Y"))=0,"",'Dvd Calendar'!$AD$1493)))</f>
        <v/>
      </c>
      <c r="AC150" s="106">
        <f>IF(FE150="","",IF(ISNUMBER('Dvd Calendar'!$AE$1493)=FALSE,"",IF((('Dvd Calendar'!$AE$1495=TYPE1)*(TYPE1&lt;&gt;"")+('Dvd Calendar'!$AE$1495=TYPE2)*(TYPE2&lt;&gt;"")+('Dvd Calendar'!$AE$1495=TYPE3)*(TYPE3&lt;&gt;"")+('Dvd Calendar'!$AE$1495=TYPE4)*(TYPE4&lt;&gt;"")+('Dvd Calendar'!$AE$1495=SPECIAL_LBL)*(INC_SPECIALS="Y"))=0,"",'Dvd Calendar'!$AE$1493)))</f>
        <v/>
      </c>
      <c r="AD150" s="106">
        <f>IF(FF150="","",IF(ISNUMBER('Dvd Calendar'!$AF$1493)=FALSE,"",IF((('Dvd Calendar'!$AF$1495=TYPE1)*(TYPE1&lt;&gt;"")+('Dvd Calendar'!$AF$1495=TYPE2)*(TYPE2&lt;&gt;"")+('Dvd Calendar'!$AF$1495=TYPE3)*(TYPE3&lt;&gt;"")+('Dvd Calendar'!$AF$1495=TYPE4)*(TYPE4&lt;&gt;"")+('Dvd Calendar'!$AF$1495=SPECIAL_LBL)*(INC_SPECIALS="Y"))=0,"",'Dvd Calendar'!$AF$1493)))</f>
        <v/>
      </c>
      <c r="AE150" s="106">
        <f>IF(FG150="","",IF(ISNUMBER('Dvd Calendar'!$AG$1493)=FALSE,"",IF((('Dvd Calendar'!$AG$1495=TYPE1)*(TYPE1&lt;&gt;"")+('Dvd Calendar'!$AG$1495=TYPE2)*(TYPE2&lt;&gt;"")+('Dvd Calendar'!$AG$1495=TYPE3)*(TYPE3&lt;&gt;"")+('Dvd Calendar'!$AG$1495=TYPE4)*(TYPE4&lt;&gt;"")+('Dvd Calendar'!$AG$1495=SPECIAL_LBL)*(INC_SPECIALS="Y"))=0,"",'Dvd Calendar'!$AG$1493)))</f>
        <v/>
      </c>
      <c r="AF150" s="106">
        <f>IF(FH150="","",IF(ISNUMBER('Dvd Calendar'!$AH$1493)=FALSE,"",IF((('Dvd Calendar'!$AH$1495=TYPE1)*(TYPE1&lt;&gt;"")+('Dvd Calendar'!$AH$1495=TYPE2)*(TYPE2&lt;&gt;"")+('Dvd Calendar'!$AH$1495=TYPE3)*(TYPE3&lt;&gt;"")+('Dvd Calendar'!$AH$1495=TYPE4)*(TYPE4&lt;&gt;"")+('Dvd Calendar'!$AH$1495=SPECIAL_LBL)*(INC_SPECIALS="Y"))=0,"",'Dvd Calendar'!$AH$1493)))</f>
        <v/>
      </c>
      <c r="AG150" s="106">
        <f>IF(FI150="","",IF(ISNUMBER('Dvd Calendar'!$AI$1493)=FALSE,"",IF((('Dvd Calendar'!$AI$1495=TYPE1)*(TYPE1&lt;&gt;"")+('Dvd Calendar'!$AI$1495=TYPE2)*(TYPE2&lt;&gt;"")+('Dvd Calendar'!$AI$1495=TYPE3)*(TYPE3&lt;&gt;"")+('Dvd Calendar'!$AI$1495=TYPE4)*(TYPE4&lt;&gt;"")+('Dvd Calendar'!$AI$1495=SPECIAL_LBL)*(INC_SPECIALS="Y"))=0,"",'Dvd Calendar'!$AI$1493)))</f>
        <v/>
      </c>
      <c r="AH150" s="106">
        <f>IF(FJ150="","",IF(ISNUMBER('Dvd Calendar'!$AJ$1493)=FALSE,"",IF((('Dvd Calendar'!$AJ$1495=TYPE1)*(TYPE1&lt;&gt;"")+('Dvd Calendar'!$AJ$1495=TYPE2)*(TYPE2&lt;&gt;"")+('Dvd Calendar'!$AJ$1495=TYPE3)*(TYPE3&lt;&gt;"")+('Dvd Calendar'!$AJ$1495=TYPE4)*(TYPE4&lt;&gt;"")+('Dvd Calendar'!$AJ$1495=SPECIAL_LBL)*(INC_SPECIALS="Y"))=0,"",'Dvd Calendar'!$AJ$1493)))</f>
        <v/>
      </c>
      <c r="AI150" s="106">
        <f>IF(FK150="","",IF(ISNUMBER('Dvd Calendar'!$AK$1493)=FALSE,"",IF((('Dvd Calendar'!$AK$1495=TYPE1)*(TYPE1&lt;&gt;"")+('Dvd Calendar'!$AK$1495=TYPE2)*(TYPE2&lt;&gt;"")+('Dvd Calendar'!$AK$1495=TYPE3)*(TYPE3&lt;&gt;"")+('Dvd Calendar'!$AK$1495=TYPE4)*(TYPE4&lt;&gt;"")+('Dvd Calendar'!$AK$1495=SPECIAL_LBL)*(INC_SPECIALS="Y"))=0,"",'Dvd Calendar'!$AK$1493)))</f>
        <v/>
      </c>
      <c r="AJ150" s="106">
        <f>IF(FL150="","",IF(ISNUMBER('Dvd Calendar'!$AL$1493)=FALSE,"",IF((('Dvd Calendar'!$AL$1495=TYPE1)*(TYPE1&lt;&gt;"")+('Dvd Calendar'!$AL$1495=TYPE2)*(TYPE2&lt;&gt;"")+('Dvd Calendar'!$AL$1495=TYPE3)*(TYPE3&lt;&gt;"")+('Dvd Calendar'!$AL$1495=TYPE4)*(TYPE4&lt;&gt;"")+('Dvd Calendar'!$AL$1495=SPECIAL_LBL)*(INC_SPECIALS="Y"))=0,"",'Dvd Calendar'!$AL$1493)))</f>
        <v/>
      </c>
      <c r="AK150" s="106">
        <f>IF(FM150="","",IF(ISNUMBER('Dvd Calendar'!$AM$1493)=FALSE,"",IF((('Dvd Calendar'!$AM$1495=TYPE1)*(TYPE1&lt;&gt;"")+('Dvd Calendar'!$AM$1495=TYPE2)*(TYPE2&lt;&gt;"")+('Dvd Calendar'!$AM$1495=TYPE3)*(TYPE3&lt;&gt;"")+('Dvd Calendar'!$AM$1495=TYPE4)*(TYPE4&lt;&gt;"")+('Dvd Calendar'!$AM$1495=SPECIAL_LBL)*(INC_SPECIALS="Y"))=0,"",'Dvd Calendar'!$AM$1493)))</f>
        <v/>
      </c>
      <c r="AL150" s="106">
        <f>IF(FN150="","",IF(ISNUMBER('Dvd Calendar'!$AN$1493)=FALSE,"",IF((('Dvd Calendar'!$AN$1495=TYPE1)*(TYPE1&lt;&gt;"")+('Dvd Calendar'!$AN$1495=TYPE2)*(TYPE2&lt;&gt;"")+('Dvd Calendar'!$AN$1495=TYPE3)*(TYPE3&lt;&gt;"")+('Dvd Calendar'!$AN$1495=TYPE4)*(TYPE4&lt;&gt;"")+('Dvd Calendar'!$AN$1495=SPECIAL_LBL)*(INC_SPECIALS="Y"))=0,"",'Dvd Calendar'!$AN$1493)))</f>
        <v/>
      </c>
      <c r="AM150" s="106">
        <f>IF(FO150="","",IF(ISNUMBER('Dvd Calendar'!$AO$1493)=FALSE,"",IF((('Dvd Calendar'!$AO$1495=TYPE1)*(TYPE1&lt;&gt;"")+('Dvd Calendar'!$AO$1495=TYPE2)*(TYPE2&lt;&gt;"")+('Dvd Calendar'!$AO$1495=TYPE3)*(TYPE3&lt;&gt;"")+('Dvd Calendar'!$AO$1495=TYPE4)*(TYPE4&lt;&gt;"")+('Dvd Calendar'!$AO$1495=SPECIAL_LBL)*(INC_SPECIALS="Y"))=0,"",'Dvd Calendar'!$AO$1493)))</f>
        <v/>
      </c>
      <c r="AN150" s="106">
        <f>IF(FP150="","",IF(ISNUMBER('Dvd Calendar'!$AP$1493)=FALSE,"",IF((('Dvd Calendar'!$AP$1495=TYPE1)*(TYPE1&lt;&gt;"")+('Dvd Calendar'!$AP$1495=TYPE2)*(TYPE2&lt;&gt;"")+('Dvd Calendar'!$AP$1495=TYPE3)*(TYPE3&lt;&gt;"")+('Dvd Calendar'!$AP$1495=TYPE4)*(TYPE4&lt;&gt;"")+('Dvd Calendar'!$AP$1495=SPECIAL_LBL)*(INC_SPECIALS="Y"))=0,"",'Dvd Calendar'!$AP$1493)))</f>
        <v/>
      </c>
      <c r="AO150" s="106">
        <f>IF(FQ150="","",IF(ISNUMBER('Dvd Calendar'!$AQ$1493)=FALSE,"",IF((('Dvd Calendar'!$AQ$1495=TYPE1)*(TYPE1&lt;&gt;"")+('Dvd Calendar'!$AQ$1495=TYPE2)*(TYPE2&lt;&gt;"")+('Dvd Calendar'!$AQ$1495=TYPE3)*(TYPE3&lt;&gt;"")+('Dvd Calendar'!$AQ$1495=TYPE4)*(TYPE4&lt;&gt;"")+('Dvd Calendar'!$AQ$1495=SPECIAL_LBL)*(INC_SPECIALS="Y"))=0,"",'Dvd Calendar'!$AQ$1493)))</f>
        <v/>
      </c>
      <c r="AP150" s="106">
        <f>IF(FR150="","",IF(ISNUMBER('Dvd Calendar'!$AR$1493)=FALSE,"",IF((('Dvd Calendar'!$AR$1495=TYPE1)*(TYPE1&lt;&gt;"")+('Dvd Calendar'!$AR$1495=TYPE2)*(TYPE2&lt;&gt;"")+('Dvd Calendar'!$AR$1495=TYPE3)*(TYPE3&lt;&gt;"")+('Dvd Calendar'!$AR$1495=TYPE4)*(TYPE4&lt;&gt;"")+('Dvd Calendar'!$AR$1495=SPECIAL_LBL)*(INC_SPECIALS="Y"))=0,"",'Dvd Calendar'!$AR$1493)))</f>
        <v/>
      </c>
      <c r="AQ150" s="106">
        <f>IF(FS150="","",IF(ISNUMBER('Dvd Calendar'!$E$1498)=FALSE,"",'Dvd Calendar'!$E$1498))</f>
        <v/>
      </c>
      <c r="AR150" s="106">
        <f>IF(FT150="","",IF(ISNUMBER('Dvd Calendar'!$F$1498)=FALSE,"",'Dvd Calendar'!$F$1498))</f>
        <v/>
      </c>
      <c r="AS150" s="106">
        <f>IF(FU150="","",IF(ISNUMBER('Dvd Calendar'!$G$1498)=FALSE,"",'Dvd Calendar'!$G$1498))</f>
        <v/>
      </c>
      <c r="AT150" s="106">
        <f>IF(FV150="","",IF(ISNUMBER('Dvd Calendar'!$H$1498)=FALSE,"",'Dvd Calendar'!$H$1498))</f>
        <v/>
      </c>
      <c r="AU150" s="106">
        <f>IF(FW150="","",IF(ISNUMBER('Dvd Calendar'!$I$1498)=FALSE,"",'Dvd Calendar'!$I$1498))</f>
        <v/>
      </c>
      <c r="AV150" s="106">
        <f>IF(FX150="","",IF(ISNUMBER('Dvd Calendar'!$J$1498)=FALSE,"",'Dvd Calendar'!$J$1498))</f>
        <v/>
      </c>
      <c r="AW150" s="106">
        <f>IF(FY150="","",IF(ISNUMBER('Dvd Calendar'!$K$1498)=FALSE,"",'Dvd Calendar'!$K$1498))</f>
        <v/>
      </c>
      <c r="AX150" s="106">
        <f>IF(FZ150="","",IF(ISNUMBER('Dvd Calendar'!$L$1498)=FALSE,"",'Dvd Calendar'!$L$1498))</f>
        <v/>
      </c>
      <c r="AY150" s="106">
        <f>IF(GA150="","",IF(ISNUMBER('Dvd Calendar'!$M$1498)=FALSE,"",'Dvd Calendar'!$M$1498))</f>
        <v/>
      </c>
      <c r="AZ150" s="106">
        <f>IF(GB150="","",IF(ISNUMBER('Dvd Calendar'!$N$1498)=FALSE,"",'Dvd Calendar'!$N$1498))</f>
        <v/>
      </c>
      <c r="BA150" s="106">
        <f>IF(GC150="","",IF(ISNUMBER('Dvd Calendar'!$O$1498)=FALSE,"",'Dvd Calendar'!$O$1498))</f>
        <v/>
      </c>
      <c r="BB150" s="106">
        <f>IF(GD150="","",IF(ISNUMBER('Dvd Calendar'!$P$1498)=FALSE,"",'Dvd Calendar'!$P$1498))</f>
        <v/>
      </c>
      <c r="BC150" s="106">
        <f>IF(GE150="","",IF(ISNUMBER('Dvd Calendar'!$Q$1498)=FALSE,"",'Dvd Calendar'!$Q$1498))</f>
        <v/>
      </c>
      <c r="BD150" s="106">
        <f>IF(GF150="","",IF(ISNUMBER('Dvd Calendar'!$R$1498)=FALSE,"",'Dvd Calendar'!$R$1498))</f>
        <v/>
      </c>
      <c r="BE150" s="106">
        <f>IF(GG150="","",IF(ISNUMBER('Dvd Calendar'!$S$1498)=FALSE,"",'Dvd Calendar'!$S$1498))</f>
        <v/>
      </c>
      <c r="BF150" s="106">
        <f>IF(GH150="","",IF(ISNUMBER('Dvd Calendar'!$T$1498)=FALSE,"",'Dvd Calendar'!$T$1498))</f>
        <v/>
      </c>
      <c r="BG150" s="106">
        <f>IF(GI150="","",IF(ISNUMBER('Dvd Calendar'!$U$1498)=FALSE,"",'Dvd Calendar'!$U$1498))</f>
        <v/>
      </c>
      <c r="BH150" s="106">
        <f>IF(GJ150="","",IF(ISNUMBER('Dvd Calendar'!$V$1498)=FALSE,"",'Dvd Calendar'!$V$1498))</f>
        <v/>
      </c>
      <c r="BI150" s="106">
        <f>IF(GK150="","",IF(ISNUMBER('Dvd Calendar'!$W$1498)=FALSE,"",'Dvd Calendar'!$W$1498))</f>
        <v/>
      </c>
      <c r="BJ150" s="106">
        <f>IF(GL150="","",IF(ISNUMBER('Dvd Calendar'!$X$1498)=FALSE,"",'Dvd Calendar'!$X$1498))</f>
        <v/>
      </c>
      <c r="BK150" s="106">
        <f>IF(GM150="","",IF(ISNUMBER('Dvd Calendar'!$Y$1498)=FALSE,"",'Dvd Calendar'!$Y$1498))</f>
        <v/>
      </c>
      <c r="BL150" s="106">
        <f>IF(GN150="","",IF(ISNUMBER('Dvd Calendar'!$Z$1498)=FALSE,"",'Dvd Calendar'!$Z$1498))</f>
        <v/>
      </c>
      <c r="BM150" s="106">
        <f>IF(GO150="","",IF(ISNUMBER('Dvd Calendar'!$AA$1498)=FALSE,"",'Dvd Calendar'!$AA$1498))</f>
        <v/>
      </c>
      <c r="BN150" s="106">
        <f>IF(GP150="","",IF(ISNUMBER('Dvd Calendar'!$AB$1498)=FALSE,"",'Dvd Calendar'!$AB$1498))</f>
        <v/>
      </c>
      <c r="BO150" s="106">
        <f>IF(GQ150="","",IF(ISNUMBER('Dvd Calendar'!$AC$1498)=FALSE,"",'Dvd Calendar'!$AC$1498))</f>
        <v/>
      </c>
      <c r="BQ150" s="106">
        <f>IF(C150="","",IFERROR(C150*HSTECH!$B$41*HSTECH!$G$41/HSTECH!$B$3,""))</f>
        <v/>
      </c>
      <c r="BR150" s="106">
        <f>IF(D150="","",IFERROR(D150*HSTECH!$B$41*HSTECH!$G$41/HSTECH!$B$3,""))</f>
        <v/>
      </c>
      <c r="BS150" s="106">
        <f>IF(E150="","",IFERROR(E150*HSTECH!$B$41*HSTECH!$G$41/HSTECH!$B$3,""))</f>
        <v/>
      </c>
      <c r="BT150" s="106">
        <f>IF(F150="","",IFERROR(F150*HSTECH!$B$41*HSTECH!$G$41/HSTECH!$B$3,""))</f>
        <v/>
      </c>
      <c r="BU150" s="106">
        <f>IF(G150="","",IFERROR(G150*HSTECH!$B$41*HSTECH!$G$41/HSTECH!$B$3,""))</f>
        <v/>
      </c>
      <c r="BV150" s="106">
        <f>IF(H150="","",IFERROR(H150*HSTECH!$B$41*HSTECH!$G$41/HSTECH!$B$3,""))</f>
        <v/>
      </c>
      <c r="BW150" s="106">
        <f>IF(I150="","",IFERROR(I150*HSTECH!$B$41*HSTECH!$G$41/HSTECH!$B$3,""))</f>
        <v/>
      </c>
      <c r="BX150" s="106">
        <f>IF(J150="","",IFERROR(J150*HSTECH!$B$41*HSTECH!$G$41/HSTECH!$B$3,""))</f>
        <v/>
      </c>
      <c r="BY150" s="106">
        <f>IF(K150="","",IFERROR(K150*HSTECH!$B$41*HSTECH!$G$41/HSTECH!$B$3,""))</f>
        <v/>
      </c>
      <c r="BZ150" s="106">
        <f>IF(L150="","",IFERROR(L150*HSTECH!$B$41*HSTECH!$G$41/HSTECH!$B$3,""))</f>
        <v/>
      </c>
      <c r="CA150" s="106">
        <f>IF(M150="","",IFERROR(M150*HSTECH!$B$41*HSTECH!$G$41/HSTECH!$B$3,""))</f>
        <v/>
      </c>
      <c r="CB150" s="106">
        <f>IF(N150="","",IFERROR(N150*HSTECH!$B$41*HSTECH!$G$41/HSTECH!$B$3,""))</f>
        <v/>
      </c>
      <c r="CC150" s="106">
        <f>IF(O150="","",IFERROR(O150*HSTECH!$B$41*HSTECH!$G$41/HSTECH!$B$3,""))</f>
        <v/>
      </c>
      <c r="CD150" s="106">
        <f>IF(P150="","",IFERROR(P150*HSTECH!$B$41*HSTECH!$G$41/HSTECH!$B$3,""))</f>
        <v/>
      </c>
      <c r="CE150" s="106">
        <f>IF(Q150="","",IFERROR(Q150*HSTECH!$B$41*HSTECH!$G$41/HSTECH!$B$3,""))</f>
        <v/>
      </c>
      <c r="CF150" s="106">
        <f>IF(R150="","",IFERROR(R150*HSTECH!$B$41*HSTECH!$G$41/HSTECH!$B$3,""))</f>
        <v/>
      </c>
      <c r="CG150" s="106">
        <f>IF(S150="","",IFERROR(S150*HSTECH!$B$41*HSTECH!$G$41/HSTECH!$B$3,""))</f>
        <v/>
      </c>
      <c r="CH150" s="106">
        <f>IF(T150="","",IFERROR(T150*HSTECH!$B$41*HSTECH!$G$41/HSTECH!$B$3,""))</f>
        <v/>
      </c>
      <c r="CI150" s="106">
        <f>IF(U150="","",IFERROR(U150*HSTECH!$B$41*HSTECH!$G$41/HSTECH!$B$3,""))</f>
        <v/>
      </c>
      <c r="CJ150" s="106">
        <f>IF(V150="","",IFERROR(V150*HSTECH!$B$41*HSTECH!$G$41/HSTECH!$B$3,""))</f>
        <v/>
      </c>
      <c r="CK150" s="106">
        <f>IF(W150="","",IFERROR(W150*HSTECH!$B$41*HSTECH!$G$41/HSTECH!$B$3,""))</f>
        <v/>
      </c>
      <c r="CL150" s="106">
        <f>IF(X150="","",IFERROR(X150*HSTECH!$B$41*HSTECH!$G$41/HSTECH!$B$3,""))</f>
        <v/>
      </c>
      <c r="CM150" s="106">
        <f>IF(Y150="","",IFERROR(Y150*HSTECH!$B$41*HSTECH!$G$41/HSTECH!$B$3,""))</f>
        <v/>
      </c>
      <c r="CN150" s="106">
        <f>IF(Z150="","",IFERROR(Z150*HSTECH!$B$41*HSTECH!$G$41/HSTECH!$B$3,""))</f>
        <v/>
      </c>
      <c r="CO150" s="106">
        <f>IF(AA150="","",IFERROR(AA150*HSTECH!$B$41*HSTECH!$G$41/HSTECH!$B$3,""))</f>
        <v/>
      </c>
      <c r="CP150" s="106">
        <f>IF(AB150="","",IFERROR(AB150*HSTECH!$B$41*HSTECH!$G$41/HSTECH!$B$3,""))</f>
        <v/>
      </c>
      <c r="CQ150" s="106">
        <f>IF(AC150="","",IFERROR(AC150*HSTECH!$B$41*HSTECH!$G$41/HSTECH!$B$3,""))</f>
        <v/>
      </c>
      <c r="CR150" s="106">
        <f>IF(AD150="","",IFERROR(AD150*HSTECH!$B$41*HSTECH!$G$41/HSTECH!$B$3,""))</f>
        <v/>
      </c>
      <c r="CS150" s="106">
        <f>IF(AE150="","",IFERROR(AE150*HSTECH!$B$41*HSTECH!$G$41/HSTECH!$B$3,""))</f>
        <v/>
      </c>
      <c r="CT150" s="106">
        <f>IF(AF150="","",IFERROR(AF150*HSTECH!$B$41*HSTECH!$G$41/HSTECH!$B$3,""))</f>
        <v/>
      </c>
      <c r="CU150" s="106">
        <f>IF(AG150="","",IFERROR(AG150*HSTECH!$B$41*HSTECH!$G$41/HSTECH!$B$3,""))</f>
        <v/>
      </c>
      <c r="CV150" s="106">
        <f>IF(AH150="","",IFERROR(AH150*HSTECH!$B$41*HSTECH!$G$41/HSTECH!$B$3,""))</f>
        <v/>
      </c>
      <c r="CW150" s="106">
        <f>IF(AI150="","",IFERROR(AI150*HSTECH!$B$41*HSTECH!$G$41/HSTECH!$B$3,""))</f>
        <v/>
      </c>
      <c r="CX150" s="106">
        <f>IF(AJ150="","",IFERROR(AJ150*HSTECH!$B$41*HSTECH!$G$41/HSTECH!$B$3,""))</f>
        <v/>
      </c>
      <c r="CY150" s="106">
        <f>IF(AK150="","",IFERROR(AK150*HSTECH!$B$41*HSTECH!$G$41/HSTECH!$B$3,""))</f>
        <v/>
      </c>
      <c r="CZ150" s="106">
        <f>IF(AL150="","",IFERROR(AL150*HSTECH!$B$41*HSTECH!$G$41/HSTECH!$B$3,""))</f>
        <v/>
      </c>
      <c r="DA150" s="106">
        <f>IF(AM150="","",IFERROR(AM150*HSTECH!$B$41*HSTECH!$G$41/HSTECH!$B$3,""))</f>
        <v/>
      </c>
      <c r="DB150" s="106">
        <f>IF(AN150="","",IFERROR(AN150*HSTECH!$B$41*HSTECH!$G$41/HSTECH!$B$3,""))</f>
        <v/>
      </c>
      <c r="DC150" s="106">
        <f>IF(AO150="","",IFERROR(AO150*HSTECH!$B$41*HSTECH!$G$41/HSTECH!$B$3,""))</f>
        <v/>
      </c>
      <c r="DD150" s="106">
        <f>IF(AP150="","",IFERROR(AP150*HSTECH!$B$41*HSTECH!$G$41/HSTECH!$B$3,""))</f>
        <v/>
      </c>
      <c r="DE150" s="106">
        <f>IF(AQ150="","",IFERROR(AQ150*HSTECH!$B$41*HSTECH!$G$41/HSTECH!$B$3,""))</f>
        <v/>
      </c>
      <c r="DF150" s="106">
        <f>IF(AR150="","",IFERROR(AR150*HSTECH!$B$41*HSTECH!$G$41/HSTECH!$B$3,""))</f>
        <v/>
      </c>
      <c r="DG150" s="106">
        <f>IF(AS150="","",IFERROR(AS150*HSTECH!$B$41*HSTECH!$G$41/HSTECH!$B$3,""))</f>
        <v/>
      </c>
      <c r="DH150" s="106">
        <f>IF(AT150="","",IFERROR(AT150*HSTECH!$B$41*HSTECH!$G$41/HSTECH!$B$3,""))</f>
        <v/>
      </c>
      <c r="DI150" s="106">
        <f>IF(AU150="","",IFERROR(AU150*HSTECH!$B$41*HSTECH!$G$41/HSTECH!$B$3,""))</f>
        <v/>
      </c>
      <c r="DJ150" s="106">
        <f>IF(AV150="","",IFERROR(AV150*HSTECH!$B$41*HSTECH!$G$41/HSTECH!$B$3,""))</f>
        <v/>
      </c>
      <c r="DK150" s="106">
        <f>IF(AW150="","",IFERROR(AW150*HSTECH!$B$41*HSTECH!$G$41/HSTECH!$B$3,""))</f>
        <v/>
      </c>
      <c r="DL150" s="106">
        <f>IF(AX150="","",IFERROR(AX150*HSTECH!$B$41*HSTECH!$G$41/HSTECH!$B$3,""))</f>
        <v/>
      </c>
      <c r="DM150" s="106">
        <f>IF(AY150="","",IFERROR(AY150*HSTECH!$B$41*HSTECH!$G$41/HSTECH!$B$3,""))</f>
        <v/>
      </c>
      <c r="DN150" s="106">
        <f>IF(AZ150="","",IFERROR(AZ150*HSTECH!$B$41*HSTECH!$G$41/HSTECH!$B$3,""))</f>
        <v/>
      </c>
      <c r="DO150" s="106">
        <f>IF(BA150="","",IFERROR(BA150*HSTECH!$B$41*HSTECH!$G$41/HSTECH!$B$3,""))</f>
        <v/>
      </c>
      <c r="DP150" s="106">
        <f>IF(BB150="","",IFERROR(BB150*HSTECH!$B$41*HSTECH!$G$41/HSTECH!$B$3,""))</f>
        <v/>
      </c>
      <c r="DQ150" s="106">
        <f>IF(BC150="","",IFERROR(BC150*HSTECH!$B$41*HSTECH!$G$41/HSTECH!$B$3,""))</f>
        <v/>
      </c>
      <c r="DR150" s="106">
        <f>IF(BD150="","",IFERROR(BD150*HSTECH!$B$41*HSTECH!$G$41/HSTECH!$B$3,""))</f>
        <v/>
      </c>
      <c r="DS150" s="106">
        <f>IF(BE150="","",IFERROR(BE150*HSTECH!$B$41*HSTECH!$G$41/HSTECH!$B$3,""))</f>
        <v/>
      </c>
      <c r="DT150" s="106">
        <f>IF(BF150="","",IFERROR(BF150*HSTECH!$B$41*HSTECH!$G$41/HSTECH!$B$3,""))</f>
        <v/>
      </c>
      <c r="DU150" s="106">
        <f>IF(BG150="","",IFERROR(BG150*HSTECH!$B$41*HSTECH!$G$41/HSTECH!$B$3,""))</f>
        <v/>
      </c>
      <c r="DV150" s="106">
        <f>IF(BH150="","",IFERROR(BH150*HSTECH!$B$41*HSTECH!$G$41/HSTECH!$B$3,""))</f>
        <v/>
      </c>
      <c r="DW150" s="106">
        <f>IF(BI150="","",IFERROR(BI150*HSTECH!$B$41*HSTECH!$G$41/HSTECH!$B$3,""))</f>
        <v/>
      </c>
      <c r="DX150" s="106">
        <f>IF(BJ150="","",IFERROR(BJ150*HSTECH!$B$41*HSTECH!$G$41/HSTECH!$B$3,""))</f>
        <v/>
      </c>
      <c r="DY150" s="106">
        <f>IF(BK150="","",IFERROR(BK150*HSTECH!$B$41*HSTECH!$G$41/HSTECH!$B$3,""))</f>
        <v/>
      </c>
      <c r="DZ150" s="106">
        <f>IF(BL150="","",IFERROR(BL150*HSTECH!$B$41*HSTECH!$G$41/HSTECH!$B$3,""))</f>
        <v/>
      </c>
      <c r="EA150" s="106">
        <f>IF(BM150="","",IFERROR(BM150*HSTECH!$B$41*HSTECH!$G$41/HSTECH!$B$3,""))</f>
        <v/>
      </c>
      <c r="EB150" s="106">
        <f>IF(BN150="","",IFERROR(BN150*HSTECH!$B$41*HSTECH!$G$41/HSTECH!$B$3,""))</f>
        <v/>
      </c>
      <c r="EC150" s="106">
        <f>IF(BO150="","",IFERROR(BO150*HSTECH!$B$41*HSTECH!$G$41/HSTECH!$B$3,""))</f>
        <v/>
      </c>
      <c r="EE150" s="35">
        <f>IF(N('Dvd Calendar'!$E$1490)=0,"",IF(('Dvd Calendar'!$E$1490&gt;=GRID_FROM)*('Dvd Calendar'!$E$1490&lt;=GRID_TO)*('Dvd Calendar'!$E$1490&lt;=VAL_DATE)=0,"",'Dvd Calendar'!$E$1490*1000000000+ISNUMBER('Dvd Calendar'!$E$1493)*100000000+('Dvd Calendar'!$E$1495=SPECIAL_LBL)*10000000+0*1000000+35*1000+1))</f>
        <v/>
      </c>
      <c r="EF150" s="35">
        <f>IF(N('Dvd Calendar'!$F$1490)=0,"",IF(('Dvd Calendar'!$F$1490&gt;=GRID_FROM)*('Dvd Calendar'!$F$1490&lt;=GRID_TO)*('Dvd Calendar'!$F$1490&lt;=VAL_DATE)=0,"",'Dvd Calendar'!$F$1490*1000000000+ISNUMBER('Dvd Calendar'!$F$1493)*100000000+('Dvd Calendar'!$F$1495=SPECIAL_LBL)*10000000+0*1000000+35*1000+2))</f>
        <v/>
      </c>
      <c r="EG150" s="35">
        <f>IF(N('Dvd Calendar'!$G$1490)=0,"",IF(('Dvd Calendar'!$G$1490&gt;=GRID_FROM)*('Dvd Calendar'!$G$1490&lt;=GRID_TO)*('Dvd Calendar'!$G$1490&lt;=VAL_DATE)=0,"",'Dvd Calendar'!$G$1490*1000000000+ISNUMBER('Dvd Calendar'!$G$1493)*100000000+('Dvd Calendar'!$G$1495=SPECIAL_LBL)*10000000+0*1000000+35*1000+3))</f>
        <v/>
      </c>
      <c r="EH150" s="35">
        <f>IF(N('Dvd Calendar'!$H$1490)=0,"",IF(('Dvd Calendar'!$H$1490&gt;=GRID_FROM)*('Dvd Calendar'!$H$1490&lt;=GRID_TO)*('Dvd Calendar'!$H$1490&lt;=VAL_DATE)=0,"",'Dvd Calendar'!$H$1490*1000000000+ISNUMBER('Dvd Calendar'!$H$1493)*100000000+('Dvd Calendar'!$H$1495=SPECIAL_LBL)*10000000+0*1000000+35*1000+4))</f>
        <v/>
      </c>
      <c r="EI150" s="35">
        <f>IF(N('Dvd Calendar'!$I$1490)=0,"",IF(('Dvd Calendar'!$I$1490&gt;=GRID_FROM)*('Dvd Calendar'!$I$1490&lt;=GRID_TO)*('Dvd Calendar'!$I$1490&lt;=VAL_DATE)=0,"",'Dvd Calendar'!$I$1490*1000000000+ISNUMBER('Dvd Calendar'!$I$1493)*100000000+('Dvd Calendar'!$I$1495=SPECIAL_LBL)*10000000+0*1000000+35*1000+5))</f>
        <v/>
      </c>
      <c r="EJ150" s="35">
        <f>IF(N('Dvd Calendar'!$J$1490)=0,"",IF(('Dvd Calendar'!$J$1490&gt;=GRID_FROM)*('Dvd Calendar'!$J$1490&lt;=GRID_TO)*('Dvd Calendar'!$J$1490&lt;=VAL_DATE)=0,"",'Dvd Calendar'!$J$1490*1000000000+ISNUMBER('Dvd Calendar'!$J$1493)*100000000+('Dvd Calendar'!$J$1495=SPECIAL_LBL)*10000000+0*1000000+35*1000+6))</f>
        <v/>
      </c>
      <c r="EK150" s="35">
        <f>IF(N('Dvd Calendar'!$K$1490)=0,"",IF(('Dvd Calendar'!$K$1490&gt;=GRID_FROM)*('Dvd Calendar'!$K$1490&lt;=GRID_TO)*('Dvd Calendar'!$K$1490&lt;=VAL_DATE)=0,"",'Dvd Calendar'!$K$1490*1000000000+ISNUMBER('Dvd Calendar'!$K$1493)*100000000+('Dvd Calendar'!$K$1495=SPECIAL_LBL)*10000000+0*1000000+35*1000+7))</f>
        <v/>
      </c>
      <c r="EL150" s="35">
        <f>IF(N('Dvd Calendar'!$L$1490)=0,"",IF(('Dvd Calendar'!$L$1490&gt;=GRID_FROM)*('Dvd Calendar'!$L$1490&lt;=GRID_TO)*('Dvd Calendar'!$L$1490&lt;=VAL_DATE)=0,"",'Dvd Calendar'!$L$1490*1000000000+ISNUMBER('Dvd Calendar'!$L$1493)*100000000+('Dvd Calendar'!$L$1495=SPECIAL_LBL)*10000000+0*1000000+35*1000+8))</f>
        <v/>
      </c>
      <c r="EM150" s="35">
        <f>IF(N('Dvd Calendar'!$M$1490)=0,"",IF(('Dvd Calendar'!$M$1490&gt;=GRID_FROM)*('Dvd Calendar'!$M$1490&lt;=GRID_TO)*('Dvd Calendar'!$M$1490&lt;=VAL_DATE)=0,"",'Dvd Calendar'!$M$1490*1000000000+ISNUMBER('Dvd Calendar'!$M$1493)*100000000+('Dvd Calendar'!$M$1495=SPECIAL_LBL)*10000000+0*1000000+35*1000+9))</f>
        <v/>
      </c>
      <c r="EN150" s="35">
        <f>IF(N('Dvd Calendar'!$N$1490)=0,"",IF(('Dvd Calendar'!$N$1490&gt;=GRID_FROM)*('Dvd Calendar'!$N$1490&lt;=GRID_TO)*('Dvd Calendar'!$N$1490&lt;=VAL_DATE)=0,"",'Dvd Calendar'!$N$1490*1000000000+ISNUMBER('Dvd Calendar'!$N$1493)*100000000+('Dvd Calendar'!$N$1495=SPECIAL_LBL)*10000000+0*1000000+35*1000+10))</f>
        <v/>
      </c>
      <c r="EO150" s="35">
        <f>IF(N('Dvd Calendar'!$O$1490)=0,"",IF(('Dvd Calendar'!$O$1490&gt;=GRID_FROM)*('Dvd Calendar'!$O$1490&lt;=GRID_TO)*('Dvd Calendar'!$O$1490&lt;=VAL_DATE)=0,"",'Dvd Calendar'!$O$1490*1000000000+ISNUMBER('Dvd Calendar'!$O$1493)*100000000+('Dvd Calendar'!$O$1495=SPECIAL_LBL)*10000000+0*1000000+35*1000+11))</f>
        <v/>
      </c>
      <c r="EP150" s="35">
        <f>IF(N('Dvd Calendar'!$P$1490)=0,"",IF(('Dvd Calendar'!$P$1490&gt;=GRID_FROM)*('Dvd Calendar'!$P$1490&lt;=GRID_TO)*('Dvd Calendar'!$P$1490&lt;=VAL_DATE)=0,"",'Dvd Calendar'!$P$1490*1000000000+ISNUMBER('Dvd Calendar'!$P$1493)*100000000+('Dvd Calendar'!$P$1495=SPECIAL_LBL)*10000000+0*1000000+35*1000+12))</f>
        <v/>
      </c>
      <c r="EQ150" s="35">
        <f>IF(N('Dvd Calendar'!$Q$1490)=0,"",IF(('Dvd Calendar'!$Q$1490&gt;=GRID_FROM)*('Dvd Calendar'!$Q$1490&lt;=GRID_TO)*('Dvd Calendar'!$Q$1490&lt;=VAL_DATE)=0,"",'Dvd Calendar'!$Q$1490*1000000000+ISNUMBER('Dvd Calendar'!$Q$1493)*100000000+('Dvd Calendar'!$Q$1495=SPECIAL_LBL)*10000000+0*1000000+35*1000+13))</f>
        <v/>
      </c>
      <c r="ER150" s="35">
        <f>IF(N('Dvd Calendar'!$R$1490)=0,"",IF(('Dvd Calendar'!$R$1490&gt;=GRID_FROM)*('Dvd Calendar'!$R$1490&lt;=GRID_TO)*('Dvd Calendar'!$R$1490&lt;=VAL_DATE)=0,"",'Dvd Calendar'!$R$1490*1000000000+ISNUMBER('Dvd Calendar'!$R$1493)*100000000+('Dvd Calendar'!$R$1495=SPECIAL_LBL)*10000000+0*1000000+35*1000+14))</f>
        <v/>
      </c>
      <c r="ES150" s="35">
        <f>IF(N('Dvd Calendar'!$S$1490)=0,"",IF(('Dvd Calendar'!$S$1490&gt;=GRID_FROM)*('Dvd Calendar'!$S$1490&lt;=GRID_TO)*('Dvd Calendar'!$S$1490&lt;=VAL_DATE)=0,"",'Dvd Calendar'!$S$1490*1000000000+ISNUMBER('Dvd Calendar'!$S$1493)*100000000+('Dvd Calendar'!$S$1495=SPECIAL_LBL)*10000000+0*1000000+35*1000+15))</f>
        <v/>
      </c>
      <c r="ET150" s="35">
        <f>IF(N('Dvd Calendar'!$T$1490)=0,"",IF(('Dvd Calendar'!$T$1490&gt;=GRID_FROM)*('Dvd Calendar'!$T$1490&lt;=GRID_TO)*('Dvd Calendar'!$T$1490&lt;=VAL_DATE)=0,"",'Dvd Calendar'!$T$1490*1000000000+ISNUMBER('Dvd Calendar'!$T$1493)*100000000+('Dvd Calendar'!$T$1495=SPECIAL_LBL)*10000000+0*1000000+35*1000+16))</f>
        <v/>
      </c>
      <c r="EU150" s="35">
        <f>IF(N('Dvd Calendar'!$U$1490)=0,"",IF(('Dvd Calendar'!$U$1490&gt;=GRID_FROM)*('Dvd Calendar'!$U$1490&lt;=GRID_TO)*('Dvd Calendar'!$U$1490&lt;=VAL_DATE)=0,"",'Dvd Calendar'!$U$1490*1000000000+ISNUMBER('Dvd Calendar'!$U$1493)*100000000+('Dvd Calendar'!$U$1495=SPECIAL_LBL)*10000000+0*1000000+35*1000+17))</f>
        <v/>
      </c>
      <c r="EV150" s="35">
        <f>IF(N('Dvd Calendar'!$V$1490)=0,"",IF(('Dvd Calendar'!$V$1490&gt;=GRID_FROM)*('Dvd Calendar'!$V$1490&lt;=GRID_TO)*('Dvd Calendar'!$V$1490&lt;=VAL_DATE)=0,"",'Dvd Calendar'!$V$1490*1000000000+ISNUMBER('Dvd Calendar'!$V$1493)*100000000+('Dvd Calendar'!$V$1495=SPECIAL_LBL)*10000000+0*1000000+35*1000+18))</f>
        <v/>
      </c>
      <c r="EW150" s="35">
        <f>IF(N('Dvd Calendar'!$W$1490)=0,"",IF(('Dvd Calendar'!$W$1490&gt;=GRID_FROM)*('Dvd Calendar'!$W$1490&lt;=GRID_TO)*('Dvd Calendar'!$W$1490&lt;=VAL_DATE)=0,"",'Dvd Calendar'!$W$1490*1000000000+ISNUMBER('Dvd Calendar'!$W$1493)*100000000+('Dvd Calendar'!$W$1495=SPECIAL_LBL)*10000000+0*1000000+35*1000+19))</f>
        <v/>
      </c>
      <c r="EX150" s="35">
        <f>IF(N('Dvd Calendar'!$X$1490)=0,"",IF(('Dvd Calendar'!$X$1490&gt;=GRID_FROM)*('Dvd Calendar'!$X$1490&lt;=GRID_TO)*('Dvd Calendar'!$X$1490&lt;=VAL_DATE)=0,"",'Dvd Calendar'!$X$1490*1000000000+ISNUMBER('Dvd Calendar'!$X$1493)*100000000+('Dvd Calendar'!$X$1495=SPECIAL_LBL)*10000000+0*1000000+35*1000+20))</f>
        <v/>
      </c>
      <c r="EY150" s="35">
        <f>IF(N('Dvd Calendar'!$Y$1490)=0,"",IF(('Dvd Calendar'!$Y$1490&gt;=GRID_FROM)*('Dvd Calendar'!$Y$1490&lt;=GRID_TO)*('Dvd Calendar'!$Y$1490&lt;=VAL_DATE)=0,"",'Dvd Calendar'!$Y$1490*1000000000+ISNUMBER('Dvd Calendar'!$Y$1493)*100000000+('Dvd Calendar'!$Y$1495=SPECIAL_LBL)*10000000+0*1000000+35*1000+21))</f>
        <v/>
      </c>
      <c r="EZ150" s="35">
        <f>IF(N('Dvd Calendar'!$Z$1490)=0,"",IF(('Dvd Calendar'!$Z$1490&gt;=GRID_FROM)*('Dvd Calendar'!$Z$1490&lt;=GRID_TO)*('Dvd Calendar'!$Z$1490&lt;=VAL_DATE)=0,"",'Dvd Calendar'!$Z$1490*1000000000+ISNUMBER('Dvd Calendar'!$Z$1493)*100000000+('Dvd Calendar'!$Z$1495=SPECIAL_LBL)*10000000+0*1000000+35*1000+22))</f>
        <v/>
      </c>
      <c r="FA150" s="35">
        <f>IF(N('Dvd Calendar'!$AA$1490)=0,"",IF(('Dvd Calendar'!$AA$1490&gt;=GRID_FROM)*('Dvd Calendar'!$AA$1490&lt;=GRID_TO)*('Dvd Calendar'!$AA$1490&lt;=VAL_DATE)=0,"",'Dvd Calendar'!$AA$1490*1000000000+ISNUMBER('Dvd Calendar'!$AA$1493)*100000000+('Dvd Calendar'!$AA$1495=SPECIAL_LBL)*10000000+0*1000000+35*1000+23))</f>
        <v/>
      </c>
      <c r="FB150" s="35">
        <f>IF(N('Dvd Calendar'!$AB$1490)=0,"",IF(('Dvd Calendar'!$AB$1490&gt;=GRID_FROM)*('Dvd Calendar'!$AB$1490&lt;=GRID_TO)*('Dvd Calendar'!$AB$1490&lt;=VAL_DATE)=0,"",'Dvd Calendar'!$AB$1490*1000000000+ISNUMBER('Dvd Calendar'!$AB$1493)*100000000+('Dvd Calendar'!$AB$1495=SPECIAL_LBL)*10000000+0*1000000+35*1000+24))</f>
        <v/>
      </c>
      <c r="FC150" s="35">
        <f>IF(N('Dvd Calendar'!$AC$1490)=0,"",IF(('Dvd Calendar'!$AC$1490&gt;=GRID_FROM)*('Dvd Calendar'!$AC$1490&lt;=GRID_TO)*('Dvd Calendar'!$AC$1490&lt;=VAL_DATE)=0,"",'Dvd Calendar'!$AC$1490*1000000000+ISNUMBER('Dvd Calendar'!$AC$1493)*100000000+('Dvd Calendar'!$AC$1495=SPECIAL_LBL)*10000000+0*1000000+35*1000+25))</f>
        <v/>
      </c>
      <c r="FD150" s="35">
        <f>IF(N('Dvd Calendar'!$AD$1490)=0,"",IF(('Dvd Calendar'!$AD$1490&gt;=GRID_FROM)*('Dvd Calendar'!$AD$1490&lt;=GRID_TO)*('Dvd Calendar'!$AD$1490&lt;=VAL_DATE)=0,"",'Dvd Calendar'!$AD$1490*1000000000+ISNUMBER('Dvd Calendar'!$AD$1493)*100000000+('Dvd Calendar'!$AD$1495=SPECIAL_LBL)*10000000+0*1000000+35*1000+26))</f>
        <v/>
      </c>
      <c r="FE150" s="35">
        <f>IF(N('Dvd Calendar'!$AE$1490)=0,"",IF(('Dvd Calendar'!$AE$1490&gt;=GRID_FROM)*('Dvd Calendar'!$AE$1490&lt;=GRID_TO)*('Dvd Calendar'!$AE$1490&lt;=VAL_DATE)=0,"",'Dvd Calendar'!$AE$1490*1000000000+ISNUMBER('Dvd Calendar'!$AE$1493)*100000000+('Dvd Calendar'!$AE$1495=SPECIAL_LBL)*10000000+0*1000000+35*1000+27))</f>
        <v/>
      </c>
      <c r="FF150" s="35">
        <f>IF(N('Dvd Calendar'!$AF$1490)=0,"",IF(('Dvd Calendar'!$AF$1490&gt;=GRID_FROM)*('Dvd Calendar'!$AF$1490&lt;=GRID_TO)*('Dvd Calendar'!$AF$1490&lt;=VAL_DATE)=0,"",'Dvd Calendar'!$AF$1490*1000000000+ISNUMBER('Dvd Calendar'!$AF$1493)*100000000+('Dvd Calendar'!$AF$1495=SPECIAL_LBL)*10000000+0*1000000+35*1000+28))</f>
        <v/>
      </c>
      <c r="FG150" s="35">
        <f>IF(N('Dvd Calendar'!$AG$1490)=0,"",IF(('Dvd Calendar'!$AG$1490&gt;=GRID_FROM)*('Dvd Calendar'!$AG$1490&lt;=GRID_TO)*('Dvd Calendar'!$AG$1490&lt;=VAL_DATE)=0,"",'Dvd Calendar'!$AG$1490*1000000000+ISNUMBER('Dvd Calendar'!$AG$1493)*100000000+('Dvd Calendar'!$AG$1495=SPECIAL_LBL)*10000000+0*1000000+35*1000+29))</f>
        <v/>
      </c>
      <c r="FH150" s="35">
        <f>IF(N('Dvd Calendar'!$AH$1490)=0,"",IF(('Dvd Calendar'!$AH$1490&gt;=GRID_FROM)*('Dvd Calendar'!$AH$1490&lt;=GRID_TO)*('Dvd Calendar'!$AH$1490&lt;=VAL_DATE)=0,"",'Dvd Calendar'!$AH$1490*1000000000+ISNUMBER('Dvd Calendar'!$AH$1493)*100000000+('Dvd Calendar'!$AH$1495=SPECIAL_LBL)*10000000+0*1000000+35*1000+30))</f>
        <v/>
      </c>
      <c r="FI150" s="35">
        <f>IF(N('Dvd Calendar'!$AI$1490)=0,"",IF(('Dvd Calendar'!$AI$1490&gt;=GRID_FROM)*('Dvd Calendar'!$AI$1490&lt;=GRID_TO)*('Dvd Calendar'!$AI$1490&lt;=VAL_DATE)=0,"",'Dvd Calendar'!$AI$1490*1000000000+ISNUMBER('Dvd Calendar'!$AI$1493)*100000000+('Dvd Calendar'!$AI$1495=SPECIAL_LBL)*10000000+0*1000000+35*1000+31))</f>
        <v/>
      </c>
      <c r="FJ150" s="35">
        <f>IF(N('Dvd Calendar'!$AJ$1490)=0,"",IF(('Dvd Calendar'!$AJ$1490&gt;=GRID_FROM)*('Dvd Calendar'!$AJ$1490&lt;=GRID_TO)*('Dvd Calendar'!$AJ$1490&lt;=VAL_DATE)=0,"",'Dvd Calendar'!$AJ$1490*1000000000+ISNUMBER('Dvd Calendar'!$AJ$1493)*100000000+('Dvd Calendar'!$AJ$1495=SPECIAL_LBL)*10000000+0*1000000+35*1000+32))</f>
        <v/>
      </c>
      <c r="FK150" s="35">
        <f>IF(N('Dvd Calendar'!$AK$1490)=0,"",IF(('Dvd Calendar'!$AK$1490&gt;=GRID_FROM)*('Dvd Calendar'!$AK$1490&lt;=GRID_TO)*('Dvd Calendar'!$AK$1490&lt;=VAL_DATE)=0,"",'Dvd Calendar'!$AK$1490*1000000000+ISNUMBER('Dvd Calendar'!$AK$1493)*100000000+('Dvd Calendar'!$AK$1495=SPECIAL_LBL)*10000000+0*1000000+35*1000+33))</f>
        <v/>
      </c>
      <c r="FL150" s="35">
        <f>IF(N('Dvd Calendar'!$AL$1490)=0,"",IF(('Dvd Calendar'!$AL$1490&gt;=GRID_FROM)*('Dvd Calendar'!$AL$1490&lt;=GRID_TO)*('Dvd Calendar'!$AL$1490&lt;=VAL_DATE)=0,"",'Dvd Calendar'!$AL$1490*1000000000+ISNUMBER('Dvd Calendar'!$AL$1493)*100000000+('Dvd Calendar'!$AL$1495=SPECIAL_LBL)*10000000+0*1000000+35*1000+34))</f>
        <v/>
      </c>
      <c r="FM150" s="35">
        <f>IF(N('Dvd Calendar'!$AM$1490)=0,"",IF(('Dvd Calendar'!$AM$1490&gt;=GRID_FROM)*('Dvd Calendar'!$AM$1490&lt;=GRID_TO)*('Dvd Calendar'!$AM$1490&lt;=VAL_DATE)=0,"",'Dvd Calendar'!$AM$1490*1000000000+ISNUMBER('Dvd Calendar'!$AM$1493)*100000000+('Dvd Calendar'!$AM$1495=SPECIAL_LBL)*10000000+0*1000000+35*1000+35))</f>
        <v/>
      </c>
      <c r="FN150" s="35">
        <f>IF(N('Dvd Calendar'!$AN$1490)=0,"",IF(('Dvd Calendar'!$AN$1490&gt;=GRID_FROM)*('Dvd Calendar'!$AN$1490&lt;=GRID_TO)*('Dvd Calendar'!$AN$1490&lt;=VAL_DATE)=0,"",'Dvd Calendar'!$AN$1490*1000000000+ISNUMBER('Dvd Calendar'!$AN$1493)*100000000+('Dvd Calendar'!$AN$1495=SPECIAL_LBL)*10000000+0*1000000+35*1000+36))</f>
        <v/>
      </c>
      <c r="FO150" s="35">
        <f>IF(N('Dvd Calendar'!$AO$1490)=0,"",IF(('Dvd Calendar'!$AO$1490&gt;=GRID_FROM)*('Dvd Calendar'!$AO$1490&lt;=GRID_TO)*('Dvd Calendar'!$AO$1490&lt;=VAL_DATE)=0,"",'Dvd Calendar'!$AO$1490*1000000000+ISNUMBER('Dvd Calendar'!$AO$1493)*100000000+('Dvd Calendar'!$AO$1495=SPECIAL_LBL)*10000000+0*1000000+35*1000+37))</f>
        <v/>
      </c>
      <c r="FP150" s="35">
        <f>IF(N('Dvd Calendar'!$AP$1490)=0,"",IF(('Dvd Calendar'!$AP$1490&gt;=GRID_FROM)*('Dvd Calendar'!$AP$1490&lt;=GRID_TO)*('Dvd Calendar'!$AP$1490&lt;=VAL_DATE)=0,"",'Dvd Calendar'!$AP$1490*1000000000+ISNUMBER('Dvd Calendar'!$AP$1493)*100000000+('Dvd Calendar'!$AP$1495=SPECIAL_LBL)*10000000+0*1000000+35*1000+38))</f>
        <v/>
      </c>
      <c r="FQ150" s="35">
        <f>IF(N('Dvd Calendar'!$AQ$1490)=0,"",IF(('Dvd Calendar'!$AQ$1490&gt;=GRID_FROM)*('Dvd Calendar'!$AQ$1490&lt;=GRID_TO)*('Dvd Calendar'!$AQ$1490&lt;=VAL_DATE)=0,"",'Dvd Calendar'!$AQ$1490*1000000000+ISNUMBER('Dvd Calendar'!$AQ$1493)*100000000+('Dvd Calendar'!$AQ$1495=SPECIAL_LBL)*10000000+0*1000000+35*1000+39))</f>
        <v/>
      </c>
      <c r="FR150" s="35">
        <f>IF(N('Dvd Calendar'!$AR$1490)=0,"",IF(('Dvd Calendar'!$AR$1490&gt;=GRID_FROM)*('Dvd Calendar'!$AR$1490&lt;=GRID_TO)*('Dvd Calendar'!$AR$1490&lt;=VAL_DATE)=0,"",'Dvd Calendar'!$AR$1490*1000000000+ISNUMBER('Dvd Calendar'!$AR$1493)*100000000+('Dvd Calendar'!$AR$1495=SPECIAL_LBL)*10000000+0*1000000+35*1000+40))</f>
        <v/>
      </c>
      <c r="FS150" s="35">
        <f>IF(N('Dvd Calendar'!$E$1497)=0,"",IF(('Dvd Calendar'!$E$1497&gt;=GRID_FROM)*('Dvd Calendar'!$E$1497&lt;=GRID_TO)*('Dvd Calendar'!$E$1497&gt;VAL_DATE)=0,"",'Dvd Calendar'!$E$1497*1000000000+ISNUMBER('Dvd Calendar'!$E$1498)*100000000+0*10000000+(N('Dvd Calendar'!$E$1496)&gt;0)*(N('Dvd Calendar'!$E$1496)&lt;=VAL_SERIAL)*1000000+35*1000+41))</f>
        <v/>
      </c>
      <c r="FT150" s="35">
        <f>IF(N('Dvd Calendar'!$F$1497)=0,"",IF(('Dvd Calendar'!$F$1497&gt;=GRID_FROM)*('Dvd Calendar'!$F$1497&lt;=GRID_TO)*('Dvd Calendar'!$F$1497&gt;VAL_DATE)=0,"",'Dvd Calendar'!$F$1497*1000000000+ISNUMBER('Dvd Calendar'!$F$1498)*100000000+0*10000000+(N('Dvd Calendar'!$F$1496)&gt;0)*(N('Dvd Calendar'!$F$1496)&lt;=VAL_SERIAL)*1000000+35*1000+42))</f>
        <v/>
      </c>
      <c r="FU150" s="35">
        <f>IF(N('Dvd Calendar'!$G$1497)=0,"",IF(('Dvd Calendar'!$G$1497&gt;=GRID_FROM)*('Dvd Calendar'!$G$1497&lt;=GRID_TO)*('Dvd Calendar'!$G$1497&gt;VAL_DATE)=0,"",'Dvd Calendar'!$G$1497*1000000000+ISNUMBER('Dvd Calendar'!$G$1498)*100000000+0*10000000+(N('Dvd Calendar'!$G$1496)&gt;0)*(N('Dvd Calendar'!$G$1496)&lt;=VAL_SERIAL)*1000000+35*1000+43))</f>
        <v/>
      </c>
      <c r="FV150" s="35">
        <f>IF(N('Dvd Calendar'!$H$1497)=0,"",IF(('Dvd Calendar'!$H$1497&gt;=GRID_FROM)*('Dvd Calendar'!$H$1497&lt;=GRID_TO)*('Dvd Calendar'!$H$1497&gt;VAL_DATE)=0,"",'Dvd Calendar'!$H$1497*1000000000+ISNUMBER('Dvd Calendar'!$H$1498)*100000000+0*10000000+(N('Dvd Calendar'!$H$1496)&gt;0)*(N('Dvd Calendar'!$H$1496)&lt;=VAL_SERIAL)*1000000+35*1000+44))</f>
        <v/>
      </c>
      <c r="FW150" s="35">
        <f>IF(N('Dvd Calendar'!$I$1497)=0,"",IF(('Dvd Calendar'!$I$1497&gt;=GRID_FROM)*('Dvd Calendar'!$I$1497&lt;=GRID_TO)*('Dvd Calendar'!$I$1497&gt;VAL_DATE)=0,"",'Dvd Calendar'!$I$1497*1000000000+ISNUMBER('Dvd Calendar'!$I$1498)*100000000+0*10000000+(N('Dvd Calendar'!$I$1496)&gt;0)*(N('Dvd Calendar'!$I$1496)&lt;=VAL_SERIAL)*1000000+35*1000+45))</f>
        <v/>
      </c>
      <c r="FX150" s="35">
        <f>IF(N('Dvd Calendar'!$J$1497)=0,"",IF(('Dvd Calendar'!$J$1497&gt;=GRID_FROM)*('Dvd Calendar'!$J$1497&lt;=GRID_TO)*('Dvd Calendar'!$J$1497&gt;VAL_DATE)=0,"",'Dvd Calendar'!$J$1497*1000000000+ISNUMBER('Dvd Calendar'!$J$1498)*100000000+0*10000000+(N('Dvd Calendar'!$J$1496)&gt;0)*(N('Dvd Calendar'!$J$1496)&lt;=VAL_SERIAL)*1000000+35*1000+46))</f>
        <v/>
      </c>
      <c r="FY150" s="35">
        <f>IF(N('Dvd Calendar'!$K$1497)=0,"",IF(('Dvd Calendar'!$K$1497&gt;=GRID_FROM)*('Dvd Calendar'!$K$1497&lt;=GRID_TO)*('Dvd Calendar'!$K$1497&gt;VAL_DATE)=0,"",'Dvd Calendar'!$K$1497*1000000000+ISNUMBER('Dvd Calendar'!$K$1498)*100000000+0*10000000+(N('Dvd Calendar'!$K$1496)&gt;0)*(N('Dvd Calendar'!$K$1496)&lt;=VAL_SERIAL)*1000000+35*1000+47))</f>
        <v/>
      </c>
      <c r="FZ150" s="35">
        <f>IF(N('Dvd Calendar'!$L$1497)=0,"",IF(('Dvd Calendar'!$L$1497&gt;=GRID_FROM)*('Dvd Calendar'!$L$1497&lt;=GRID_TO)*('Dvd Calendar'!$L$1497&gt;VAL_DATE)=0,"",'Dvd Calendar'!$L$1497*1000000000+ISNUMBER('Dvd Calendar'!$L$1498)*100000000+0*10000000+(N('Dvd Calendar'!$L$1496)&gt;0)*(N('Dvd Calendar'!$L$1496)&lt;=VAL_SERIAL)*1000000+35*1000+48))</f>
        <v/>
      </c>
      <c r="GA150" s="35">
        <f>IF(N('Dvd Calendar'!$M$1497)=0,"",IF(('Dvd Calendar'!$M$1497&gt;=GRID_FROM)*('Dvd Calendar'!$M$1497&lt;=GRID_TO)*('Dvd Calendar'!$M$1497&gt;VAL_DATE)=0,"",'Dvd Calendar'!$M$1497*1000000000+ISNUMBER('Dvd Calendar'!$M$1498)*100000000+0*10000000+(N('Dvd Calendar'!$M$1496)&gt;0)*(N('Dvd Calendar'!$M$1496)&lt;=VAL_SERIAL)*1000000+35*1000+49))</f>
        <v/>
      </c>
      <c r="GB150" s="35">
        <f>IF(N('Dvd Calendar'!$N$1497)=0,"",IF(('Dvd Calendar'!$N$1497&gt;=GRID_FROM)*('Dvd Calendar'!$N$1497&lt;=GRID_TO)*('Dvd Calendar'!$N$1497&gt;VAL_DATE)=0,"",'Dvd Calendar'!$N$1497*1000000000+ISNUMBER('Dvd Calendar'!$N$1498)*100000000+0*10000000+(N('Dvd Calendar'!$N$1496)&gt;0)*(N('Dvd Calendar'!$N$1496)&lt;=VAL_SERIAL)*1000000+35*1000+50))</f>
        <v/>
      </c>
      <c r="GC150" s="35">
        <f>IF(N('Dvd Calendar'!$O$1497)=0,"",IF(('Dvd Calendar'!$O$1497&gt;=GRID_FROM)*('Dvd Calendar'!$O$1497&lt;=GRID_TO)*('Dvd Calendar'!$O$1497&gt;VAL_DATE)=0,"",'Dvd Calendar'!$O$1497*1000000000+ISNUMBER('Dvd Calendar'!$O$1498)*100000000+0*10000000+(N('Dvd Calendar'!$O$1496)&gt;0)*(N('Dvd Calendar'!$O$1496)&lt;=VAL_SERIAL)*1000000+35*1000+51))</f>
        <v/>
      </c>
      <c r="GD150" s="35">
        <f>IF(N('Dvd Calendar'!$P$1497)=0,"",IF(('Dvd Calendar'!$P$1497&gt;=GRID_FROM)*('Dvd Calendar'!$P$1497&lt;=GRID_TO)*('Dvd Calendar'!$P$1497&gt;VAL_DATE)=0,"",'Dvd Calendar'!$P$1497*1000000000+ISNUMBER('Dvd Calendar'!$P$1498)*100000000+0*10000000+(N('Dvd Calendar'!$P$1496)&gt;0)*(N('Dvd Calendar'!$P$1496)&lt;=VAL_SERIAL)*1000000+35*1000+52))</f>
        <v/>
      </c>
      <c r="GE150" s="35">
        <f>IF(N('Dvd Calendar'!$Q$1497)=0,"",IF(('Dvd Calendar'!$Q$1497&gt;=GRID_FROM)*('Dvd Calendar'!$Q$1497&lt;=GRID_TO)*('Dvd Calendar'!$Q$1497&gt;VAL_DATE)=0,"",'Dvd Calendar'!$Q$1497*1000000000+ISNUMBER('Dvd Calendar'!$Q$1498)*100000000+0*10000000+(N('Dvd Calendar'!$Q$1496)&gt;0)*(N('Dvd Calendar'!$Q$1496)&lt;=VAL_SERIAL)*1000000+35*1000+53))</f>
        <v/>
      </c>
      <c r="GF150" s="35">
        <f>IF(N('Dvd Calendar'!$R$1497)=0,"",IF(('Dvd Calendar'!$R$1497&gt;=GRID_FROM)*('Dvd Calendar'!$R$1497&lt;=GRID_TO)*('Dvd Calendar'!$R$1497&gt;VAL_DATE)=0,"",'Dvd Calendar'!$R$1497*1000000000+ISNUMBER('Dvd Calendar'!$R$1498)*100000000+0*10000000+(N('Dvd Calendar'!$R$1496)&gt;0)*(N('Dvd Calendar'!$R$1496)&lt;=VAL_SERIAL)*1000000+35*1000+54))</f>
        <v/>
      </c>
      <c r="GG150" s="35">
        <f>IF(N('Dvd Calendar'!$S$1497)=0,"",IF(('Dvd Calendar'!$S$1497&gt;=GRID_FROM)*('Dvd Calendar'!$S$1497&lt;=GRID_TO)*('Dvd Calendar'!$S$1497&gt;VAL_DATE)=0,"",'Dvd Calendar'!$S$1497*1000000000+ISNUMBER('Dvd Calendar'!$S$1498)*100000000+0*10000000+(N('Dvd Calendar'!$S$1496)&gt;0)*(N('Dvd Calendar'!$S$1496)&lt;=VAL_SERIAL)*1000000+35*1000+55))</f>
        <v/>
      </c>
      <c r="GH150" s="35">
        <f>IF(N('Dvd Calendar'!$T$1497)=0,"",IF(('Dvd Calendar'!$T$1497&gt;=GRID_FROM)*('Dvd Calendar'!$T$1497&lt;=GRID_TO)*('Dvd Calendar'!$T$1497&gt;VAL_DATE)=0,"",'Dvd Calendar'!$T$1497*1000000000+ISNUMBER('Dvd Calendar'!$T$1498)*100000000+0*10000000+(N('Dvd Calendar'!$T$1496)&gt;0)*(N('Dvd Calendar'!$T$1496)&lt;=VAL_SERIAL)*1000000+35*1000+56))</f>
        <v/>
      </c>
      <c r="GI150" s="35">
        <f>IF(N('Dvd Calendar'!$U$1497)=0,"",IF(('Dvd Calendar'!$U$1497&gt;=GRID_FROM)*('Dvd Calendar'!$U$1497&lt;=GRID_TO)*('Dvd Calendar'!$U$1497&gt;VAL_DATE)=0,"",'Dvd Calendar'!$U$1497*1000000000+ISNUMBER('Dvd Calendar'!$U$1498)*100000000+0*10000000+(N('Dvd Calendar'!$U$1496)&gt;0)*(N('Dvd Calendar'!$U$1496)&lt;=VAL_SERIAL)*1000000+35*1000+57))</f>
        <v/>
      </c>
      <c r="GJ150" s="35">
        <f>IF(N('Dvd Calendar'!$V$1497)=0,"",IF(('Dvd Calendar'!$V$1497&gt;=GRID_FROM)*('Dvd Calendar'!$V$1497&lt;=GRID_TO)*('Dvd Calendar'!$V$1497&gt;VAL_DATE)=0,"",'Dvd Calendar'!$V$1497*1000000000+ISNUMBER('Dvd Calendar'!$V$1498)*100000000+0*10000000+(N('Dvd Calendar'!$V$1496)&gt;0)*(N('Dvd Calendar'!$V$1496)&lt;=VAL_SERIAL)*1000000+35*1000+58))</f>
        <v/>
      </c>
      <c r="GK150" s="35">
        <f>IF(N('Dvd Calendar'!$W$1497)=0,"",IF(('Dvd Calendar'!$W$1497&gt;=GRID_FROM)*('Dvd Calendar'!$W$1497&lt;=GRID_TO)*('Dvd Calendar'!$W$1497&gt;VAL_DATE)=0,"",'Dvd Calendar'!$W$1497*1000000000+ISNUMBER('Dvd Calendar'!$W$1498)*100000000+0*10000000+(N('Dvd Calendar'!$W$1496)&gt;0)*(N('Dvd Calendar'!$W$1496)&lt;=VAL_SERIAL)*1000000+35*1000+59))</f>
        <v/>
      </c>
      <c r="GL150" s="35">
        <f>IF(N('Dvd Calendar'!$X$1497)=0,"",IF(('Dvd Calendar'!$X$1497&gt;=GRID_FROM)*('Dvd Calendar'!$X$1497&lt;=GRID_TO)*('Dvd Calendar'!$X$1497&gt;VAL_DATE)=0,"",'Dvd Calendar'!$X$1497*1000000000+ISNUMBER('Dvd Calendar'!$X$1498)*100000000+0*10000000+(N('Dvd Calendar'!$X$1496)&gt;0)*(N('Dvd Calendar'!$X$1496)&lt;=VAL_SERIAL)*1000000+35*1000+60))</f>
        <v/>
      </c>
      <c r="GM150" s="35">
        <f>IF(N('Dvd Calendar'!$Y$1497)=0,"",IF(('Dvd Calendar'!$Y$1497&gt;=GRID_FROM)*('Dvd Calendar'!$Y$1497&lt;=GRID_TO)*('Dvd Calendar'!$Y$1497&gt;VAL_DATE)=0,"",'Dvd Calendar'!$Y$1497*1000000000+ISNUMBER('Dvd Calendar'!$Y$1498)*100000000+0*10000000+(N('Dvd Calendar'!$Y$1496)&gt;0)*(N('Dvd Calendar'!$Y$1496)&lt;=VAL_SERIAL)*1000000+35*1000+61))</f>
        <v/>
      </c>
      <c r="GN150" s="35">
        <f>IF(N('Dvd Calendar'!$Z$1497)=0,"",IF(('Dvd Calendar'!$Z$1497&gt;=GRID_FROM)*('Dvd Calendar'!$Z$1497&lt;=GRID_TO)*('Dvd Calendar'!$Z$1497&gt;VAL_DATE)=0,"",'Dvd Calendar'!$Z$1497*1000000000+ISNUMBER('Dvd Calendar'!$Z$1498)*100000000+0*10000000+(N('Dvd Calendar'!$Z$1496)&gt;0)*(N('Dvd Calendar'!$Z$1496)&lt;=VAL_SERIAL)*1000000+35*1000+62))</f>
        <v/>
      </c>
      <c r="GO150" s="35">
        <f>IF(N('Dvd Calendar'!$AA$1497)=0,"",IF(('Dvd Calendar'!$AA$1497&gt;=GRID_FROM)*('Dvd Calendar'!$AA$1497&lt;=GRID_TO)*('Dvd Calendar'!$AA$1497&gt;VAL_DATE)=0,"",'Dvd Calendar'!$AA$1497*1000000000+ISNUMBER('Dvd Calendar'!$AA$1498)*100000000+0*10000000+(N('Dvd Calendar'!$AA$1496)&gt;0)*(N('Dvd Calendar'!$AA$1496)&lt;=VAL_SERIAL)*1000000+35*1000+63))</f>
        <v/>
      </c>
      <c r="GP150" s="35">
        <f>IF(N('Dvd Calendar'!$AB$1497)=0,"",IF(('Dvd Calendar'!$AB$1497&gt;=GRID_FROM)*('Dvd Calendar'!$AB$1497&lt;=GRID_TO)*('Dvd Calendar'!$AB$1497&gt;VAL_DATE)=0,"",'Dvd Calendar'!$AB$1497*1000000000+ISNUMBER('Dvd Calendar'!$AB$1498)*100000000+0*10000000+(N('Dvd Calendar'!$AB$1496)&gt;0)*(N('Dvd Calendar'!$AB$1496)&lt;=VAL_SERIAL)*1000000+35*1000+64))</f>
        <v/>
      </c>
      <c r="GQ150" s="35">
        <f>IF(N('Dvd Calendar'!$AC$1497)=0,"",IF(('Dvd Calendar'!$AC$1497&gt;=GRID_FROM)*('Dvd Calendar'!$AC$1497&lt;=GRID_TO)*('Dvd Calendar'!$AC$1497&gt;VAL_DATE)=0,"",'Dvd Calendar'!$AC$1497*1000000000+ISNUMBER('Dvd Calendar'!$AC$1498)*100000000+0*10000000+(N('Dvd Calendar'!$AC$1496)&gt;0)*(N('Dvd Calendar'!$AC$1496)&lt;=VAL_SERIAL)*1000000+35*1000+65))</f>
        <v/>
      </c>
    </row>
    <row r="151">
      <c r="B151" s="2">
        <f>IF(HSTECH!$C$42="","",HSTECH!$C$42)</f>
        <v/>
      </c>
      <c r="C151" s="106">
        <f>IF(EE151="","",IF(ISNUMBER('Dvd Calendar'!$E$1504)=FALSE,"",IF((('Dvd Calendar'!$E$1506=TYPE1)*(TYPE1&lt;&gt;"")+('Dvd Calendar'!$E$1506=TYPE2)*(TYPE2&lt;&gt;"")+('Dvd Calendar'!$E$1506=TYPE3)*(TYPE3&lt;&gt;"")+('Dvd Calendar'!$E$1506=TYPE4)*(TYPE4&lt;&gt;"")+('Dvd Calendar'!$E$1506=SPECIAL_LBL)*(INC_SPECIALS="Y"))=0,"",'Dvd Calendar'!$E$1504)))</f>
        <v/>
      </c>
      <c r="D151" s="106">
        <f>IF(EF151="","",IF(ISNUMBER('Dvd Calendar'!$F$1504)=FALSE,"",IF((('Dvd Calendar'!$F$1506=TYPE1)*(TYPE1&lt;&gt;"")+('Dvd Calendar'!$F$1506=TYPE2)*(TYPE2&lt;&gt;"")+('Dvd Calendar'!$F$1506=TYPE3)*(TYPE3&lt;&gt;"")+('Dvd Calendar'!$F$1506=TYPE4)*(TYPE4&lt;&gt;"")+('Dvd Calendar'!$F$1506=SPECIAL_LBL)*(INC_SPECIALS="Y"))=0,"",'Dvd Calendar'!$F$1504)))</f>
        <v/>
      </c>
      <c r="E151" s="106">
        <f>IF(EG151="","",IF(ISNUMBER('Dvd Calendar'!$G$1504)=FALSE,"",IF((('Dvd Calendar'!$G$1506=TYPE1)*(TYPE1&lt;&gt;"")+('Dvd Calendar'!$G$1506=TYPE2)*(TYPE2&lt;&gt;"")+('Dvd Calendar'!$G$1506=TYPE3)*(TYPE3&lt;&gt;"")+('Dvd Calendar'!$G$1506=TYPE4)*(TYPE4&lt;&gt;"")+('Dvd Calendar'!$G$1506=SPECIAL_LBL)*(INC_SPECIALS="Y"))=0,"",'Dvd Calendar'!$G$1504)))</f>
        <v/>
      </c>
      <c r="F151" s="106">
        <f>IF(EH151="","",IF(ISNUMBER('Dvd Calendar'!$H$1504)=FALSE,"",IF((('Dvd Calendar'!$H$1506=TYPE1)*(TYPE1&lt;&gt;"")+('Dvd Calendar'!$H$1506=TYPE2)*(TYPE2&lt;&gt;"")+('Dvd Calendar'!$H$1506=TYPE3)*(TYPE3&lt;&gt;"")+('Dvd Calendar'!$H$1506=TYPE4)*(TYPE4&lt;&gt;"")+('Dvd Calendar'!$H$1506=SPECIAL_LBL)*(INC_SPECIALS="Y"))=0,"",'Dvd Calendar'!$H$1504)))</f>
        <v/>
      </c>
      <c r="G151" s="106">
        <f>IF(EI151="","",IF(ISNUMBER('Dvd Calendar'!$I$1504)=FALSE,"",IF((('Dvd Calendar'!$I$1506=TYPE1)*(TYPE1&lt;&gt;"")+('Dvd Calendar'!$I$1506=TYPE2)*(TYPE2&lt;&gt;"")+('Dvd Calendar'!$I$1506=TYPE3)*(TYPE3&lt;&gt;"")+('Dvd Calendar'!$I$1506=TYPE4)*(TYPE4&lt;&gt;"")+('Dvd Calendar'!$I$1506=SPECIAL_LBL)*(INC_SPECIALS="Y"))=0,"",'Dvd Calendar'!$I$1504)))</f>
        <v/>
      </c>
      <c r="H151" s="106">
        <f>IF(EJ151="","",IF(ISNUMBER('Dvd Calendar'!$J$1504)=FALSE,"",IF((('Dvd Calendar'!$J$1506=TYPE1)*(TYPE1&lt;&gt;"")+('Dvd Calendar'!$J$1506=TYPE2)*(TYPE2&lt;&gt;"")+('Dvd Calendar'!$J$1506=TYPE3)*(TYPE3&lt;&gt;"")+('Dvd Calendar'!$J$1506=TYPE4)*(TYPE4&lt;&gt;"")+('Dvd Calendar'!$J$1506=SPECIAL_LBL)*(INC_SPECIALS="Y"))=0,"",'Dvd Calendar'!$J$1504)))</f>
        <v/>
      </c>
      <c r="I151" s="106">
        <f>IF(EK151="","",IF(ISNUMBER('Dvd Calendar'!$K$1504)=FALSE,"",IF((('Dvd Calendar'!$K$1506=TYPE1)*(TYPE1&lt;&gt;"")+('Dvd Calendar'!$K$1506=TYPE2)*(TYPE2&lt;&gt;"")+('Dvd Calendar'!$K$1506=TYPE3)*(TYPE3&lt;&gt;"")+('Dvd Calendar'!$K$1506=TYPE4)*(TYPE4&lt;&gt;"")+('Dvd Calendar'!$K$1506=SPECIAL_LBL)*(INC_SPECIALS="Y"))=0,"",'Dvd Calendar'!$K$1504)))</f>
        <v/>
      </c>
      <c r="J151" s="106">
        <f>IF(EL151="","",IF(ISNUMBER('Dvd Calendar'!$L$1504)=FALSE,"",IF((('Dvd Calendar'!$L$1506=TYPE1)*(TYPE1&lt;&gt;"")+('Dvd Calendar'!$L$1506=TYPE2)*(TYPE2&lt;&gt;"")+('Dvd Calendar'!$L$1506=TYPE3)*(TYPE3&lt;&gt;"")+('Dvd Calendar'!$L$1506=TYPE4)*(TYPE4&lt;&gt;"")+('Dvd Calendar'!$L$1506=SPECIAL_LBL)*(INC_SPECIALS="Y"))=0,"",'Dvd Calendar'!$L$1504)))</f>
        <v/>
      </c>
      <c r="K151" s="106">
        <f>IF(EM151="","",IF(ISNUMBER('Dvd Calendar'!$M$1504)=FALSE,"",IF((('Dvd Calendar'!$M$1506=TYPE1)*(TYPE1&lt;&gt;"")+('Dvd Calendar'!$M$1506=TYPE2)*(TYPE2&lt;&gt;"")+('Dvd Calendar'!$M$1506=TYPE3)*(TYPE3&lt;&gt;"")+('Dvd Calendar'!$M$1506=TYPE4)*(TYPE4&lt;&gt;"")+('Dvd Calendar'!$M$1506=SPECIAL_LBL)*(INC_SPECIALS="Y"))=0,"",'Dvd Calendar'!$M$1504)))</f>
        <v/>
      </c>
      <c r="L151" s="106">
        <f>IF(EN151="","",IF(ISNUMBER('Dvd Calendar'!$N$1504)=FALSE,"",IF((('Dvd Calendar'!$N$1506=TYPE1)*(TYPE1&lt;&gt;"")+('Dvd Calendar'!$N$1506=TYPE2)*(TYPE2&lt;&gt;"")+('Dvd Calendar'!$N$1506=TYPE3)*(TYPE3&lt;&gt;"")+('Dvd Calendar'!$N$1506=TYPE4)*(TYPE4&lt;&gt;"")+('Dvd Calendar'!$N$1506=SPECIAL_LBL)*(INC_SPECIALS="Y"))=0,"",'Dvd Calendar'!$N$1504)))</f>
        <v/>
      </c>
      <c r="M151" s="106">
        <f>IF(EO151="","",IF(ISNUMBER('Dvd Calendar'!$O$1504)=FALSE,"",IF((('Dvd Calendar'!$O$1506=TYPE1)*(TYPE1&lt;&gt;"")+('Dvd Calendar'!$O$1506=TYPE2)*(TYPE2&lt;&gt;"")+('Dvd Calendar'!$O$1506=TYPE3)*(TYPE3&lt;&gt;"")+('Dvd Calendar'!$O$1506=TYPE4)*(TYPE4&lt;&gt;"")+('Dvd Calendar'!$O$1506=SPECIAL_LBL)*(INC_SPECIALS="Y"))=0,"",'Dvd Calendar'!$O$1504)))</f>
        <v/>
      </c>
      <c r="N151" s="106">
        <f>IF(EP151="","",IF(ISNUMBER('Dvd Calendar'!$P$1504)=FALSE,"",IF((('Dvd Calendar'!$P$1506=TYPE1)*(TYPE1&lt;&gt;"")+('Dvd Calendar'!$P$1506=TYPE2)*(TYPE2&lt;&gt;"")+('Dvd Calendar'!$P$1506=TYPE3)*(TYPE3&lt;&gt;"")+('Dvd Calendar'!$P$1506=TYPE4)*(TYPE4&lt;&gt;"")+('Dvd Calendar'!$P$1506=SPECIAL_LBL)*(INC_SPECIALS="Y"))=0,"",'Dvd Calendar'!$P$1504)))</f>
        <v/>
      </c>
      <c r="O151" s="106">
        <f>IF(EQ151="","",IF(ISNUMBER('Dvd Calendar'!$Q$1504)=FALSE,"",IF((('Dvd Calendar'!$Q$1506=TYPE1)*(TYPE1&lt;&gt;"")+('Dvd Calendar'!$Q$1506=TYPE2)*(TYPE2&lt;&gt;"")+('Dvd Calendar'!$Q$1506=TYPE3)*(TYPE3&lt;&gt;"")+('Dvd Calendar'!$Q$1506=TYPE4)*(TYPE4&lt;&gt;"")+('Dvd Calendar'!$Q$1506=SPECIAL_LBL)*(INC_SPECIALS="Y"))=0,"",'Dvd Calendar'!$Q$1504)))</f>
        <v/>
      </c>
      <c r="P151" s="106">
        <f>IF(ER151="","",IF(ISNUMBER('Dvd Calendar'!$R$1504)=FALSE,"",IF((('Dvd Calendar'!$R$1506=TYPE1)*(TYPE1&lt;&gt;"")+('Dvd Calendar'!$R$1506=TYPE2)*(TYPE2&lt;&gt;"")+('Dvd Calendar'!$R$1506=TYPE3)*(TYPE3&lt;&gt;"")+('Dvd Calendar'!$R$1506=TYPE4)*(TYPE4&lt;&gt;"")+('Dvd Calendar'!$R$1506=SPECIAL_LBL)*(INC_SPECIALS="Y"))=0,"",'Dvd Calendar'!$R$1504)))</f>
        <v/>
      </c>
      <c r="Q151" s="106">
        <f>IF(ES151="","",IF(ISNUMBER('Dvd Calendar'!$S$1504)=FALSE,"",IF((('Dvd Calendar'!$S$1506=TYPE1)*(TYPE1&lt;&gt;"")+('Dvd Calendar'!$S$1506=TYPE2)*(TYPE2&lt;&gt;"")+('Dvd Calendar'!$S$1506=TYPE3)*(TYPE3&lt;&gt;"")+('Dvd Calendar'!$S$1506=TYPE4)*(TYPE4&lt;&gt;"")+('Dvd Calendar'!$S$1506=SPECIAL_LBL)*(INC_SPECIALS="Y"))=0,"",'Dvd Calendar'!$S$1504)))</f>
        <v/>
      </c>
      <c r="R151" s="106">
        <f>IF(ET151="","",IF(ISNUMBER('Dvd Calendar'!$T$1504)=FALSE,"",IF((('Dvd Calendar'!$T$1506=TYPE1)*(TYPE1&lt;&gt;"")+('Dvd Calendar'!$T$1506=TYPE2)*(TYPE2&lt;&gt;"")+('Dvd Calendar'!$T$1506=TYPE3)*(TYPE3&lt;&gt;"")+('Dvd Calendar'!$T$1506=TYPE4)*(TYPE4&lt;&gt;"")+('Dvd Calendar'!$T$1506=SPECIAL_LBL)*(INC_SPECIALS="Y"))=0,"",'Dvd Calendar'!$T$1504)))</f>
        <v/>
      </c>
      <c r="S151" s="106">
        <f>IF(EU151="","",IF(ISNUMBER('Dvd Calendar'!$U$1504)=FALSE,"",IF((('Dvd Calendar'!$U$1506=TYPE1)*(TYPE1&lt;&gt;"")+('Dvd Calendar'!$U$1506=TYPE2)*(TYPE2&lt;&gt;"")+('Dvd Calendar'!$U$1506=TYPE3)*(TYPE3&lt;&gt;"")+('Dvd Calendar'!$U$1506=TYPE4)*(TYPE4&lt;&gt;"")+('Dvd Calendar'!$U$1506=SPECIAL_LBL)*(INC_SPECIALS="Y"))=0,"",'Dvd Calendar'!$U$1504)))</f>
        <v/>
      </c>
      <c r="T151" s="106">
        <f>IF(EV151="","",IF(ISNUMBER('Dvd Calendar'!$V$1504)=FALSE,"",IF((('Dvd Calendar'!$V$1506=TYPE1)*(TYPE1&lt;&gt;"")+('Dvd Calendar'!$V$1506=TYPE2)*(TYPE2&lt;&gt;"")+('Dvd Calendar'!$V$1506=TYPE3)*(TYPE3&lt;&gt;"")+('Dvd Calendar'!$V$1506=TYPE4)*(TYPE4&lt;&gt;"")+('Dvd Calendar'!$V$1506=SPECIAL_LBL)*(INC_SPECIALS="Y"))=0,"",'Dvd Calendar'!$V$1504)))</f>
        <v/>
      </c>
      <c r="U151" s="106">
        <f>IF(EW151="","",IF(ISNUMBER('Dvd Calendar'!$W$1504)=FALSE,"",IF((('Dvd Calendar'!$W$1506=TYPE1)*(TYPE1&lt;&gt;"")+('Dvd Calendar'!$W$1506=TYPE2)*(TYPE2&lt;&gt;"")+('Dvd Calendar'!$W$1506=TYPE3)*(TYPE3&lt;&gt;"")+('Dvd Calendar'!$W$1506=TYPE4)*(TYPE4&lt;&gt;"")+('Dvd Calendar'!$W$1506=SPECIAL_LBL)*(INC_SPECIALS="Y"))=0,"",'Dvd Calendar'!$W$1504)))</f>
        <v/>
      </c>
      <c r="V151" s="106">
        <f>IF(EX151="","",IF(ISNUMBER('Dvd Calendar'!$X$1504)=FALSE,"",IF((('Dvd Calendar'!$X$1506=TYPE1)*(TYPE1&lt;&gt;"")+('Dvd Calendar'!$X$1506=TYPE2)*(TYPE2&lt;&gt;"")+('Dvd Calendar'!$X$1506=TYPE3)*(TYPE3&lt;&gt;"")+('Dvd Calendar'!$X$1506=TYPE4)*(TYPE4&lt;&gt;"")+('Dvd Calendar'!$X$1506=SPECIAL_LBL)*(INC_SPECIALS="Y"))=0,"",'Dvd Calendar'!$X$1504)))</f>
        <v/>
      </c>
      <c r="W151" s="106">
        <f>IF(EY151="","",IF(ISNUMBER('Dvd Calendar'!$Y$1504)=FALSE,"",IF((('Dvd Calendar'!$Y$1506=TYPE1)*(TYPE1&lt;&gt;"")+('Dvd Calendar'!$Y$1506=TYPE2)*(TYPE2&lt;&gt;"")+('Dvd Calendar'!$Y$1506=TYPE3)*(TYPE3&lt;&gt;"")+('Dvd Calendar'!$Y$1506=TYPE4)*(TYPE4&lt;&gt;"")+('Dvd Calendar'!$Y$1506=SPECIAL_LBL)*(INC_SPECIALS="Y"))=0,"",'Dvd Calendar'!$Y$1504)))</f>
        <v/>
      </c>
      <c r="X151" s="106">
        <f>IF(EZ151="","",IF(ISNUMBER('Dvd Calendar'!$Z$1504)=FALSE,"",IF((('Dvd Calendar'!$Z$1506=TYPE1)*(TYPE1&lt;&gt;"")+('Dvd Calendar'!$Z$1506=TYPE2)*(TYPE2&lt;&gt;"")+('Dvd Calendar'!$Z$1506=TYPE3)*(TYPE3&lt;&gt;"")+('Dvd Calendar'!$Z$1506=TYPE4)*(TYPE4&lt;&gt;"")+('Dvd Calendar'!$Z$1506=SPECIAL_LBL)*(INC_SPECIALS="Y"))=0,"",'Dvd Calendar'!$Z$1504)))</f>
        <v/>
      </c>
      <c r="Y151" s="106">
        <f>IF(FA151="","",IF(ISNUMBER('Dvd Calendar'!$AA$1504)=FALSE,"",IF((('Dvd Calendar'!$AA$1506=TYPE1)*(TYPE1&lt;&gt;"")+('Dvd Calendar'!$AA$1506=TYPE2)*(TYPE2&lt;&gt;"")+('Dvd Calendar'!$AA$1506=TYPE3)*(TYPE3&lt;&gt;"")+('Dvd Calendar'!$AA$1506=TYPE4)*(TYPE4&lt;&gt;"")+('Dvd Calendar'!$AA$1506=SPECIAL_LBL)*(INC_SPECIALS="Y"))=0,"",'Dvd Calendar'!$AA$1504)))</f>
        <v/>
      </c>
      <c r="Z151" s="106">
        <f>IF(FB151="","",IF(ISNUMBER('Dvd Calendar'!$AB$1504)=FALSE,"",IF((('Dvd Calendar'!$AB$1506=TYPE1)*(TYPE1&lt;&gt;"")+('Dvd Calendar'!$AB$1506=TYPE2)*(TYPE2&lt;&gt;"")+('Dvd Calendar'!$AB$1506=TYPE3)*(TYPE3&lt;&gt;"")+('Dvd Calendar'!$AB$1506=TYPE4)*(TYPE4&lt;&gt;"")+('Dvd Calendar'!$AB$1506=SPECIAL_LBL)*(INC_SPECIALS="Y"))=0,"",'Dvd Calendar'!$AB$1504)))</f>
        <v/>
      </c>
      <c r="AA151" s="106">
        <f>IF(FC151="","",IF(ISNUMBER('Dvd Calendar'!$AC$1504)=FALSE,"",IF((('Dvd Calendar'!$AC$1506=TYPE1)*(TYPE1&lt;&gt;"")+('Dvd Calendar'!$AC$1506=TYPE2)*(TYPE2&lt;&gt;"")+('Dvd Calendar'!$AC$1506=TYPE3)*(TYPE3&lt;&gt;"")+('Dvd Calendar'!$AC$1506=TYPE4)*(TYPE4&lt;&gt;"")+('Dvd Calendar'!$AC$1506=SPECIAL_LBL)*(INC_SPECIALS="Y"))=0,"",'Dvd Calendar'!$AC$1504)))</f>
        <v/>
      </c>
      <c r="AB151" s="106">
        <f>IF(FD151="","",IF(ISNUMBER('Dvd Calendar'!$AD$1504)=FALSE,"",IF((('Dvd Calendar'!$AD$1506=TYPE1)*(TYPE1&lt;&gt;"")+('Dvd Calendar'!$AD$1506=TYPE2)*(TYPE2&lt;&gt;"")+('Dvd Calendar'!$AD$1506=TYPE3)*(TYPE3&lt;&gt;"")+('Dvd Calendar'!$AD$1506=TYPE4)*(TYPE4&lt;&gt;"")+('Dvd Calendar'!$AD$1506=SPECIAL_LBL)*(INC_SPECIALS="Y"))=0,"",'Dvd Calendar'!$AD$1504)))</f>
        <v/>
      </c>
      <c r="AC151" s="106">
        <f>IF(FE151="","",IF(ISNUMBER('Dvd Calendar'!$AE$1504)=FALSE,"",IF((('Dvd Calendar'!$AE$1506=TYPE1)*(TYPE1&lt;&gt;"")+('Dvd Calendar'!$AE$1506=TYPE2)*(TYPE2&lt;&gt;"")+('Dvd Calendar'!$AE$1506=TYPE3)*(TYPE3&lt;&gt;"")+('Dvd Calendar'!$AE$1506=TYPE4)*(TYPE4&lt;&gt;"")+('Dvd Calendar'!$AE$1506=SPECIAL_LBL)*(INC_SPECIALS="Y"))=0,"",'Dvd Calendar'!$AE$1504)))</f>
        <v/>
      </c>
      <c r="AD151" s="106">
        <f>IF(FF151="","",IF(ISNUMBER('Dvd Calendar'!$AF$1504)=FALSE,"",IF((('Dvd Calendar'!$AF$1506=TYPE1)*(TYPE1&lt;&gt;"")+('Dvd Calendar'!$AF$1506=TYPE2)*(TYPE2&lt;&gt;"")+('Dvd Calendar'!$AF$1506=TYPE3)*(TYPE3&lt;&gt;"")+('Dvd Calendar'!$AF$1506=TYPE4)*(TYPE4&lt;&gt;"")+('Dvd Calendar'!$AF$1506=SPECIAL_LBL)*(INC_SPECIALS="Y"))=0,"",'Dvd Calendar'!$AF$1504)))</f>
        <v/>
      </c>
      <c r="AE151" s="106">
        <f>IF(FG151="","",IF(ISNUMBER('Dvd Calendar'!$AG$1504)=FALSE,"",IF((('Dvd Calendar'!$AG$1506=TYPE1)*(TYPE1&lt;&gt;"")+('Dvd Calendar'!$AG$1506=TYPE2)*(TYPE2&lt;&gt;"")+('Dvd Calendar'!$AG$1506=TYPE3)*(TYPE3&lt;&gt;"")+('Dvd Calendar'!$AG$1506=TYPE4)*(TYPE4&lt;&gt;"")+('Dvd Calendar'!$AG$1506=SPECIAL_LBL)*(INC_SPECIALS="Y"))=0,"",'Dvd Calendar'!$AG$1504)))</f>
        <v/>
      </c>
      <c r="AF151" s="106">
        <f>IF(FH151="","",IF(ISNUMBER('Dvd Calendar'!$AH$1504)=FALSE,"",IF((('Dvd Calendar'!$AH$1506=TYPE1)*(TYPE1&lt;&gt;"")+('Dvd Calendar'!$AH$1506=TYPE2)*(TYPE2&lt;&gt;"")+('Dvd Calendar'!$AH$1506=TYPE3)*(TYPE3&lt;&gt;"")+('Dvd Calendar'!$AH$1506=TYPE4)*(TYPE4&lt;&gt;"")+('Dvd Calendar'!$AH$1506=SPECIAL_LBL)*(INC_SPECIALS="Y"))=0,"",'Dvd Calendar'!$AH$1504)))</f>
        <v/>
      </c>
      <c r="AG151" s="106">
        <f>IF(FI151="","",IF(ISNUMBER('Dvd Calendar'!$AI$1504)=FALSE,"",IF((('Dvd Calendar'!$AI$1506=TYPE1)*(TYPE1&lt;&gt;"")+('Dvd Calendar'!$AI$1506=TYPE2)*(TYPE2&lt;&gt;"")+('Dvd Calendar'!$AI$1506=TYPE3)*(TYPE3&lt;&gt;"")+('Dvd Calendar'!$AI$1506=TYPE4)*(TYPE4&lt;&gt;"")+('Dvd Calendar'!$AI$1506=SPECIAL_LBL)*(INC_SPECIALS="Y"))=0,"",'Dvd Calendar'!$AI$1504)))</f>
        <v/>
      </c>
      <c r="AH151" s="106">
        <f>IF(FJ151="","",IF(ISNUMBER('Dvd Calendar'!$AJ$1504)=FALSE,"",IF((('Dvd Calendar'!$AJ$1506=TYPE1)*(TYPE1&lt;&gt;"")+('Dvd Calendar'!$AJ$1506=TYPE2)*(TYPE2&lt;&gt;"")+('Dvd Calendar'!$AJ$1506=TYPE3)*(TYPE3&lt;&gt;"")+('Dvd Calendar'!$AJ$1506=TYPE4)*(TYPE4&lt;&gt;"")+('Dvd Calendar'!$AJ$1506=SPECIAL_LBL)*(INC_SPECIALS="Y"))=0,"",'Dvd Calendar'!$AJ$1504)))</f>
        <v/>
      </c>
      <c r="AI151" s="106">
        <f>IF(FK151="","",IF(ISNUMBER('Dvd Calendar'!$AK$1504)=FALSE,"",IF((('Dvd Calendar'!$AK$1506=TYPE1)*(TYPE1&lt;&gt;"")+('Dvd Calendar'!$AK$1506=TYPE2)*(TYPE2&lt;&gt;"")+('Dvd Calendar'!$AK$1506=TYPE3)*(TYPE3&lt;&gt;"")+('Dvd Calendar'!$AK$1506=TYPE4)*(TYPE4&lt;&gt;"")+('Dvd Calendar'!$AK$1506=SPECIAL_LBL)*(INC_SPECIALS="Y"))=0,"",'Dvd Calendar'!$AK$1504)))</f>
        <v/>
      </c>
      <c r="AJ151" s="106">
        <f>IF(FL151="","",IF(ISNUMBER('Dvd Calendar'!$AL$1504)=FALSE,"",IF((('Dvd Calendar'!$AL$1506=TYPE1)*(TYPE1&lt;&gt;"")+('Dvd Calendar'!$AL$1506=TYPE2)*(TYPE2&lt;&gt;"")+('Dvd Calendar'!$AL$1506=TYPE3)*(TYPE3&lt;&gt;"")+('Dvd Calendar'!$AL$1506=TYPE4)*(TYPE4&lt;&gt;"")+('Dvd Calendar'!$AL$1506=SPECIAL_LBL)*(INC_SPECIALS="Y"))=0,"",'Dvd Calendar'!$AL$1504)))</f>
        <v/>
      </c>
      <c r="AK151" s="106">
        <f>IF(FM151="","",IF(ISNUMBER('Dvd Calendar'!$AM$1504)=FALSE,"",IF((('Dvd Calendar'!$AM$1506=TYPE1)*(TYPE1&lt;&gt;"")+('Dvd Calendar'!$AM$1506=TYPE2)*(TYPE2&lt;&gt;"")+('Dvd Calendar'!$AM$1506=TYPE3)*(TYPE3&lt;&gt;"")+('Dvd Calendar'!$AM$1506=TYPE4)*(TYPE4&lt;&gt;"")+('Dvd Calendar'!$AM$1506=SPECIAL_LBL)*(INC_SPECIALS="Y"))=0,"",'Dvd Calendar'!$AM$1504)))</f>
        <v/>
      </c>
      <c r="AL151" s="106">
        <f>IF(FN151="","",IF(ISNUMBER('Dvd Calendar'!$AN$1504)=FALSE,"",IF((('Dvd Calendar'!$AN$1506=TYPE1)*(TYPE1&lt;&gt;"")+('Dvd Calendar'!$AN$1506=TYPE2)*(TYPE2&lt;&gt;"")+('Dvd Calendar'!$AN$1506=TYPE3)*(TYPE3&lt;&gt;"")+('Dvd Calendar'!$AN$1506=TYPE4)*(TYPE4&lt;&gt;"")+('Dvd Calendar'!$AN$1506=SPECIAL_LBL)*(INC_SPECIALS="Y"))=0,"",'Dvd Calendar'!$AN$1504)))</f>
        <v/>
      </c>
      <c r="AM151" s="106">
        <f>IF(FO151="","",IF(ISNUMBER('Dvd Calendar'!$AO$1504)=FALSE,"",IF((('Dvd Calendar'!$AO$1506=TYPE1)*(TYPE1&lt;&gt;"")+('Dvd Calendar'!$AO$1506=TYPE2)*(TYPE2&lt;&gt;"")+('Dvd Calendar'!$AO$1506=TYPE3)*(TYPE3&lt;&gt;"")+('Dvd Calendar'!$AO$1506=TYPE4)*(TYPE4&lt;&gt;"")+('Dvd Calendar'!$AO$1506=SPECIAL_LBL)*(INC_SPECIALS="Y"))=0,"",'Dvd Calendar'!$AO$1504)))</f>
        <v/>
      </c>
      <c r="AN151" s="106">
        <f>IF(FP151="","",IF(ISNUMBER('Dvd Calendar'!$AP$1504)=FALSE,"",IF((('Dvd Calendar'!$AP$1506=TYPE1)*(TYPE1&lt;&gt;"")+('Dvd Calendar'!$AP$1506=TYPE2)*(TYPE2&lt;&gt;"")+('Dvd Calendar'!$AP$1506=TYPE3)*(TYPE3&lt;&gt;"")+('Dvd Calendar'!$AP$1506=TYPE4)*(TYPE4&lt;&gt;"")+('Dvd Calendar'!$AP$1506=SPECIAL_LBL)*(INC_SPECIALS="Y"))=0,"",'Dvd Calendar'!$AP$1504)))</f>
        <v/>
      </c>
      <c r="AO151" s="106">
        <f>IF(FQ151="","",IF(ISNUMBER('Dvd Calendar'!$AQ$1504)=FALSE,"",IF((('Dvd Calendar'!$AQ$1506=TYPE1)*(TYPE1&lt;&gt;"")+('Dvd Calendar'!$AQ$1506=TYPE2)*(TYPE2&lt;&gt;"")+('Dvd Calendar'!$AQ$1506=TYPE3)*(TYPE3&lt;&gt;"")+('Dvd Calendar'!$AQ$1506=TYPE4)*(TYPE4&lt;&gt;"")+('Dvd Calendar'!$AQ$1506=SPECIAL_LBL)*(INC_SPECIALS="Y"))=0,"",'Dvd Calendar'!$AQ$1504)))</f>
        <v/>
      </c>
      <c r="AP151" s="106">
        <f>IF(FR151="","",IF(ISNUMBER('Dvd Calendar'!$AR$1504)=FALSE,"",IF((('Dvd Calendar'!$AR$1506=TYPE1)*(TYPE1&lt;&gt;"")+('Dvd Calendar'!$AR$1506=TYPE2)*(TYPE2&lt;&gt;"")+('Dvd Calendar'!$AR$1506=TYPE3)*(TYPE3&lt;&gt;"")+('Dvd Calendar'!$AR$1506=TYPE4)*(TYPE4&lt;&gt;"")+('Dvd Calendar'!$AR$1506=SPECIAL_LBL)*(INC_SPECIALS="Y"))=0,"",'Dvd Calendar'!$AR$1504)))</f>
        <v/>
      </c>
      <c r="AQ151" s="106">
        <f>IF(FS151="","",IF(ISNUMBER('Dvd Calendar'!$E$1509)=FALSE,"",'Dvd Calendar'!$E$1509))</f>
        <v/>
      </c>
      <c r="AR151" s="106">
        <f>IF(FT151="","",IF(ISNUMBER('Dvd Calendar'!$F$1509)=FALSE,"",'Dvd Calendar'!$F$1509))</f>
        <v/>
      </c>
      <c r="AS151" s="106">
        <f>IF(FU151="","",IF(ISNUMBER('Dvd Calendar'!$G$1509)=FALSE,"",'Dvd Calendar'!$G$1509))</f>
        <v/>
      </c>
      <c r="AT151" s="106">
        <f>IF(FV151="","",IF(ISNUMBER('Dvd Calendar'!$H$1509)=FALSE,"",'Dvd Calendar'!$H$1509))</f>
        <v/>
      </c>
      <c r="AU151" s="106">
        <f>IF(FW151="","",IF(ISNUMBER('Dvd Calendar'!$I$1509)=FALSE,"",'Dvd Calendar'!$I$1509))</f>
        <v/>
      </c>
      <c r="AV151" s="106">
        <f>IF(FX151="","",IF(ISNUMBER('Dvd Calendar'!$J$1509)=FALSE,"",'Dvd Calendar'!$J$1509))</f>
        <v/>
      </c>
      <c r="AW151" s="106">
        <f>IF(FY151="","",IF(ISNUMBER('Dvd Calendar'!$K$1509)=FALSE,"",'Dvd Calendar'!$K$1509))</f>
        <v/>
      </c>
      <c r="AX151" s="106">
        <f>IF(FZ151="","",IF(ISNUMBER('Dvd Calendar'!$L$1509)=FALSE,"",'Dvd Calendar'!$L$1509))</f>
        <v/>
      </c>
      <c r="AY151" s="106">
        <f>IF(GA151="","",IF(ISNUMBER('Dvd Calendar'!$M$1509)=FALSE,"",'Dvd Calendar'!$M$1509))</f>
        <v/>
      </c>
      <c r="AZ151" s="106">
        <f>IF(GB151="","",IF(ISNUMBER('Dvd Calendar'!$N$1509)=FALSE,"",'Dvd Calendar'!$N$1509))</f>
        <v/>
      </c>
      <c r="BA151" s="106">
        <f>IF(GC151="","",IF(ISNUMBER('Dvd Calendar'!$O$1509)=FALSE,"",'Dvd Calendar'!$O$1509))</f>
        <v/>
      </c>
      <c r="BB151" s="106">
        <f>IF(GD151="","",IF(ISNUMBER('Dvd Calendar'!$P$1509)=FALSE,"",'Dvd Calendar'!$P$1509))</f>
        <v/>
      </c>
      <c r="BC151" s="106">
        <f>IF(GE151="","",IF(ISNUMBER('Dvd Calendar'!$Q$1509)=FALSE,"",'Dvd Calendar'!$Q$1509))</f>
        <v/>
      </c>
      <c r="BD151" s="106">
        <f>IF(GF151="","",IF(ISNUMBER('Dvd Calendar'!$R$1509)=FALSE,"",'Dvd Calendar'!$R$1509))</f>
        <v/>
      </c>
      <c r="BE151" s="106">
        <f>IF(GG151="","",IF(ISNUMBER('Dvd Calendar'!$S$1509)=FALSE,"",'Dvd Calendar'!$S$1509))</f>
        <v/>
      </c>
      <c r="BF151" s="106">
        <f>IF(GH151="","",IF(ISNUMBER('Dvd Calendar'!$T$1509)=FALSE,"",'Dvd Calendar'!$T$1509))</f>
        <v/>
      </c>
      <c r="BG151" s="106">
        <f>IF(GI151="","",IF(ISNUMBER('Dvd Calendar'!$U$1509)=FALSE,"",'Dvd Calendar'!$U$1509))</f>
        <v/>
      </c>
      <c r="BH151" s="106">
        <f>IF(GJ151="","",IF(ISNUMBER('Dvd Calendar'!$V$1509)=FALSE,"",'Dvd Calendar'!$V$1509))</f>
        <v/>
      </c>
      <c r="BI151" s="106">
        <f>IF(GK151="","",IF(ISNUMBER('Dvd Calendar'!$W$1509)=FALSE,"",'Dvd Calendar'!$W$1509))</f>
        <v/>
      </c>
      <c r="BJ151" s="106">
        <f>IF(GL151="","",IF(ISNUMBER('Dvd Calendar'!$X$1509)=FALSE,"",'Dvd Calendar'!$X$1509))</f>
        <v/>
      </c>
      <c r="BK151" s="106">
        <f>IF(GM151="","",IF(ISNUMBER('Dvd Calendar'!$Y$1509)=FALSE,"",'Dvd Calendar'!$Y$1509))</f>
        <v/>
      </c>
      <c r="BL151" s="106">
        <f>IF(GN151="","",IF(ISNUMBER('Dvd Calendar'!$Z$1509)=FALSE,"",'Dvd Calendar'!$Z$1509))</f>
        <v/>
      </c>
      <c r="BM151" s="106">
        <f>IF(GO151="","",IF(ISNUMBER('Dvd Calendar'!$AA$1509)=FALSE,"",'Dvd Calendar'!$AA$1509))</f>
        <v/>
      </c>
      <c r="BN151" s="106">
        <f>IF(GP151="","",IF(ISNUMBER('Dvd Calendar'!$AB$1509)=FALSE,"",'Dvd Calendar'!$AB$1509))</f>
        <v/>
      </c>
      <c r="BO151" s="106">
        <f>IF(GQ151="","",IF(ISNUMBER('Dvd Calendar'!$AC$1509)=FALSE,"",'Dvd Calendar'!$AC$1509))</f>
        <v/>
      </c>
      <c r="BQ151" s="106">
        <f>IF(C151="","",IFERROR(C151*HSTECH!$B$42*HSTECH!$G$42/HSTECH!$B$3,""))</f>
        <v/>
      </c>
      <c r="BR151" s="106">
        <f>IF(D151="","",IFERROR(D151*HSTECH!$B$42*HSTECH!$G$42/HSTECH!$B$3,""))</f>
        <v/>
      </c>
      <c r="BS151" s="106">
        <f>IF(E151="","",IFERROR(E151*HSTECH!$B$42*HSTECH!$G$42/HSTECH!$B$3,""))</f>
        <v/>
      </c>
      <c r="BT151" s="106">
        <f>IF(F151="","",IFERROR(F151*HSTECH!$B$42*HSTECH!$G$42/HSTECH!$B$3,""))</f>
        <v/>
      </c>
      <c r="BU151" s="106">
        <f>IF(G151="","",IFERROR(G151*HSTECH!$B$42*HSTECH!$G$42/HSTECH!$B$3,""))</f>
        <v/>
      </c>
      <c r="BV151" s="106">
        <f>IF(H151="","",IFERROR(H151*HSTECH!$B$42*HSTECH!$G$42/HSTECH!$B$3,""))</f>
        <v/>
      </c>
      <c r="BW151" s="106">
        <f>IF(I151="","",IFERROR(I151*HSTECH!$B$42*HSTECH!$G$42/HSTECH!$B$3,""))</f>
        <v/>
      </c>
      <c r="BX151" s="106">
        <f>IF(J151="","",IFERROR(J151*HSTECH!$B$42*HSTECH!$G$42/HSTECH!$B$3,""))</f>
        <v/>
      </c>
      <c r="BY151" s="106">
        <f>IF(K151="","",IFERROR(K151*HSTECH!$B$42*HSTECH!$G$42/HSTECH!$B$3,""))</f>
        <v/>
      </c>
      <c r="BZ151" s="106">
        <f>IF(L151="","",IFERROR(L151*HSTECH!$B$42*HSTECH!$G$42/HSTECH!$B$3,""))</f>
        <v/>
      </c>
      <c r="CA151" s="106">
        <f>IF(M151="","",IFERROR(M151*HSTECH!$B$42*HSTECH!$G$42/HSTECH!$B$3,""))</f>
        <v/>
      </c>
      <c r="CB151" s="106">
        <f>IF(N151="","",IFERROR(N151*HSTECH!$B$42*HSTECH!$G$42/HSTECH!$B$3,""))</f>
        <v/>
      </c>
      <c r="CC151" s="106">
        <f>IF(O151="","",IFERROR(O151*HSTECH!$B$42*HSTECH!$G$42/HSTECH!$B$3,""))</f>
        <v/>
      </c>
      <c r="CD151" s="106">
        <f>IF(P151="","",IFERROR(P151*HSTECH!$B$42*HSTECH!$G$42/HSTECH!$B$3,""))</f>
        <v/>
      </c>
      <c r="CE151" s="106">
        <f>IF(Q151="","",IFERROR(Q151*HSTECH!$B$42*HSTECH!$G$42/HSTECH!$B$3,""))</f>
        <v/>
      </c>
      <c r="CF151" s="106">
        <f>IF(R151="","",IFERROR(R151*HSTECH!$B$42*HSTECH!$G$42/HSTECH!$B$3,""))</f>
        <v/>
      </c>
      <c r="CG151" s="106">
        <f>IF(S151="","",IFERROR(S151*HSTECH!$B$42*HSTECH!$G$42/HSTECH!$B$3,""))</f>
        <v/>
      </c>
      <c r="CH151" s="106">
        <f>IF(T151="","",IFERROR(T151*HSTECH!$B$42*HSTECH!$G$42/HSTECH!$B$3,""))</f>
        <v/>
      </c>
      <c r="CI151" s="106">
        <f>IF(U151="","",IFERROR(U151*HSTECH!$B$42*HSTECH!$G$42/HSTECH!$B$3,""))</f>
        <v/>
      </c>
      <c r="CJ151" s="106">
        <f>IF(V151="","",IFERROR(V151*HSTECH!$B$42*HSTECH!$G$42/HSTECH!$B$3,""))</f>
        <v/>
      </c>
      <c r="CK151" s="106">
        <f>IF(W151="","",IFERROR(W151*HSTECH!$B$42*HSTECH!$G$42/HSTECH!$B$3,""))</f>
        <v/>
      </c>
      <c r="CL151" s="106">
        <f>IF(X151="","",IFERROR(X151*HSTECH!$B$42*HSTECH!$G$42/HSTECH!$B$3,""))</f>
        <v/>
      </c>
      <c r="CM151" s="106">
        <f>IF(Y151="","",IFERROR(Y151*HSTECH!$B$42*HSTECH!$G$42/HSTECH!$B$3,""))</f>
        <v/>
      </c>
      <c r="CN151" s="106">
        <f>IF(Z151="","",IFERROR(Z151*HSTECH!$B$42*HSTECH!$G$42/HSTECH!$B$3,""))</f>
        <v/>
      </c>
      <c r="CO151" s="106">
        <f>IF(AA151="","",IFERROR(AA151*HSTECH!$B$42*HSTECH!$G$42/HSTECH!$B$3,""))</f>
        <v/>
      </c>
      <c r="CP151" s="106">
        <f>IF(AB151="","",IFERROR(AB151*HSTECH!$B$42*HSTECH!$G$42/HSTECH!$B$3,""))</f>
        <v/>
      </c>
      <c r="CQ151" s="106">
        <f>IF(AC151="","",IFERROR(AC151*HSTECH!$B$42*HSTECH!$G$42/HSTECH!$B$3,""))</f>
        <v/>
      </c>
      <c r="CR151" s="106">
        <f>IF(AD151="","",IFERROR(AD151*HSTECH!$B$42*HSTECH!$G$42/HSTECH!$B$3,""))</f>
        <v/>
      </c>
      <c r="CS151" s="106">
        <f>IF(AE151="","",IFERROR(AE151*HSTECH!$B$42*HSTECH!$G$42/HSTECH!$B$3,""))</f>
        <v/>
      </c>
      <c r="CT151" s="106">
        <f>IF(AF151="","",IFERROR(AF151*HSTECH!$B$42*HSTECH!$G$42/HSTECH!$B$3,""))</f>
        <v/>
      </c>
      <c r="CU151" s="106">
        <f>IF(AG151="","",IFERROR(AG151*HSTECH!$B$42*HSTECH!$G$42/HSTECH!$B$3,""))</f>
        <v/>
      </c>
      <c r="CV151" s="106">
        <f>IF(AH151="","",IFERROR(AH151*HSTECH!$B$42*HSTECH!$G$42/HSTECH!$B$3,""))</f>
        <v/>
      </c>
      <c r="CW151" s="106">
        <f>IF(AI151="","",IFERROR(AI151*HSTECH!$B$42*HSTECH!$G$42/HSTECH!$B$3,""))</f>
        <v/>
      </c>
      <c r="CX151" s="106">
        <f>IF(AJ151="","",IFERROR(AJ151*HSTECH!$B$42*HSTECH!$G$42/HSTECH!$B$3,""))</f>
        <v/>
      </c>
      <c r="CY151" s="106">
        <f>IF(AK151="","",IFERROR(AK151*HSTECH!$B$42*HSTECH!$G$42/HSTECH!$B$3,""))</f>
        <v/>
      </c>
      <c r="CZ151" s="106">
        <f>IF(AL151="","",IFERROR(AL151*HSTECH!$B$42*HSTECH!$G$42/HSTECH!$B$3,""))</f>
        <v/>
      </c>
      <c r="DA151" s="106">
        <f>IF(AM151="","",IFERROR(AM151*HSTECH!$B$42*HSTECH!$G$42/HSTECH!$B$3,""))</f>
        <v/>
      </c>
      <c r="DB151" s="106">
        <f>IF(AN151="","",IFERROR(AN151*HSTECH!$B$42*HSTECH!$G$42/HSTECH!$B$3,""))</f>
        <v/>
      </c>
      <c r="DC151" s="106">
        <f>IF(AO151="","",IFERROR(AO151*HSTECH!$B$42*HSTECH!$G$42/HSTECH!$B$3,""))</f>
        <v/>
      </c>
      <c r="DD151" s="106">
        <f>IF(AP151="","",IFERROR(AP151*HSTECH!$B$42*HSTECH!$G$42/HSTECH!$B$3,""))</f>
        <v/>
      </c>
      <c r="DE151" s="106">
        <f>IF(AQ151="","",IFERROR(AQ151*HSTECH!$B$42*HSTECH!$G$42/HSTECH!$B$3,""))</f>
        <v/>
      </c>
      <c r="DF151" s="106">
        <f>IF(AR151="","",IFERROR(AR151*HSTECH!$B$42*HSTECH!$G$42/HSTECH!$B$3,""))</f>
        <v/>
      </c>
      <c r="DG151" s="106">
        <f>IF(AS151="","",IFERROR(AS151*HSTECH!$B$42*HSTECH!$G$42/HSTECH!$B$3,""))</f>
        <v/>
      </c>
      <c r="DH151" s="106">
        <f>IF(AT151="","",IFERROR(AT151*HSTECH!$B$42*HSTECH!$G$42/HSTECH!$B$3,""))</f>
        <v/>
      </c>
      <c r="DI151" s="106">
        <f>IF(AU151="","",IFERROR(AU151*HSTECH!$B$42*HSTECH!$G$42/HSTECH!$B$3,""))</f>
        <v/>
      </c>
      <c r="DJ151" s="106">
        <f>IF(AV151="","",IFERROR(AV151*HSTECH!$B$42*HSTECH!$G$42/HSTECH!$B$3,""))</f>
        <v/>
      </c>
      <c r="DK151" s="106">
        <f>IF(AW151="","",IFERROR(AW151*HSTECH!$B$42*HSTECH!$G$42/HSTECH!$B$3,""))</f>
        <v/>
      </c>
      <c r="DL151" s="106">
        <f>IF(AX151="","",IFERROR(AX151*HSTECH!$B$42*HSTECH!$G$42/HSTECH!$B$3,""))</f>
        <v/>
      </c>
      <c r="DM151" s="106">
        <f>IF(AY151="","",IFERROR(AY151*HSTECH!$B$42*HSTECH!$G$42/HSTECH!$B$3,""))</f>
        <v/>
      </c>
      <c r="DN151" s="106">
        <f>IF(AZ151="","",IFERROR(AZ151*HSTECH!$B$42*HSTECH!$G$42/HSTECH!$B$3,""))</f>
        <v/>
      </c>
      <c r="DO151" s="106">
        <f>IF(BA151="","",IFERROR(BA151*HSTECH!$B$42*HSTECH!$G$42/HSTECH!$B$3,""))</f>
        <v/>
      </c>
      <c r="DP151" s="106">
        <f>IF(BB151="","",IFERROR(BB151*HSTECH!$B$42*HSTECH!$G$42/HSTECH!$B$3,""))</f>
        <v/>
      </c>
      <c r="DQ151" s="106">
        <f>IF(BC151="","",IFERROR(BC151*HSTECH!$B$42*HSTECH!$G$42/HSTECH!$B$3,""))</f>
        <v/>
      </c>
      <c r="DR151" s="106">
        <f>IF(BD151="","",IFERROR(BD151*HSTECH!$B$42*HSTECH!$G$42/HSTECH!$B$3,""))</f>
        <v/>
      </c>
      <c r="DS151" s="106">
        <f>IF(BE151="","",IFERROR(BE151*HSTECH!$B$42*HSTECH!$G$42/HSTECH!$B$3,""))</f>
        <v/>
      </c>
      <c r="DT151" s="106">
        <f>IF(BF151="","",IFERROR(BF151*HSTECH!$B$42*HSTECH!$G$42/HSTECH!$B$3,""))</f>
        <v/>
      </c>
      <c r="DU151" s="106">
        <f>IF(BG151="","",IFERROR(BG151*HSTECH!$B$42*HSTECH!$G$42/HSTECH!$B$3,""))</f>
        <v/>
      </c>
      <c r="DV151" s="106">
        <f>IF(BH151="","",IFERROR(BH151*HSTECH!$B$42*HSTECH!$G$42/HSTECH!$B$3,""))</f>
        <v/>
      </c>
      <c r="DW151" s="106">
        <f>IF(BI151="","",IFERROR(BI151*HSTECH!$B$42*HSTECH!$G$42/HSTECH!$B$3,""))</f>
        <v/>
      </c>
      <c r="DX151" s="106">
        <f>IF(BJ151="","",IFERROR(BJ151*HSTECH!$B$42*HSTECH!$G$42/HSTECH!$B$3,""))</f>
        <v/>
      </c>
      <c r="DY151" s="106">
        <f>IF(BK151="","",IFERROR(BK151*HSTECH!$B$42*HSTECH!$G$42/HSTECH!$B$3,""))</f>
        <v/>
      </c>
      <c r="DZ151" s="106">
        <f>IF(BL151="","",IFERROR(BL151*HSTECH!$B$42*HSTECH!$G$42/HSTECH!$B$3,""))</f>
        <v/>
      </c>
      <c r="EA151" s="106">
        <f>IF(BM151="","",IFERROR(BM151*HSTECH!$B$42*HSTECH!$G$42/HSTECH!$B$3,""))</f>
        <v/>
      </c>
      <c r="EB151" s="106">
        <f>IF(BN151="","",IFERROR(BN151*HSTECH!$B$42*HSTECH!$G$42/HSTECH!$B$3,""))</f>
        <v/>
      </c>
      <c r="EC151" s="106">
        <f>IF(BO151="","",IFERROR(BO151*HSTECH!$B$42*HSTECH!$G$42/HSTECH!$B$3,""))</f>
        <v/>
      </c>
      <c r="EE151" s="35">
        <f>IF(N('Dvd Calendar'!$E$1501)=0,"",IF(('Dvd Calendar'!$E$1501&gt;=GRID_FROM)*('Dvd Calendar'!$E$1501&lt;=GRID_TO)*('Dvd Calendar'!$E$1501&lt;=VAL_DATE)=0,"",'Dvd Calendar'!$E$1501*1000000000+ISNUMBER('Dvd Calendar'!$E$1504)*100000000+('Dvd Calendar'!$E$1506=SPECIAL_LBL)*10000000+0*1000000+36*1000+1))</f>
        <v/>
      </c>
      <c r="EF151" s="35">
        <f>IF(N('Dvd Calendar'!$F$1501)=0,"",IF(('Dvd Calendar'!$F$1501&gt;=GRID_FROM)*('Dvd Calendar'!$F$1501&lt;=GRID_TO)*('Dvd Calendar'!$F$1501&lt;=VAL_DATE)=0,"",'Dvd Calendar'!$F$1501*1000000000+ISNUMBER('Dvd Calendar'!$F$1504)*100000000+('Dvd Calendar'!$F$1506=SPECIAL_LBL)*10000000+0*1000000+36*1000+2))</f>
        <v/>
      </c>
      <c r="EG151" s="35">
        <f>IF(N('Dvd Calendar'!$G$1501)=0,"",IF(('Dvd Calendar'!$G$1501&gt;=GRID_FROM)*('Dvd Calendar'!$G$1501&lt;=GRID_TO)*('Dvd Calendar'!$G$1501&lt;=VAL_DATE)=0,"",'Dvd Calendar'!$G$1501*1000000000+ISNUMBER('Dvd Calendar'!$G$1504)*100000000+('Dvd Calendar'!$G$1506=SPECIAL_LBL)*10000000+0*1000000+36*1000+3))</f>
        <v/>
      </c>
      <c r="EH151" s="35">
        <f>IF(N('Dvd Calendar'!$H$1501)=0,"",IF(('Dvd Calendar'!$H$1501&gt;=GRID_FROM)*('Dvd Calendar'!$H$1501&lt;=GRID_TO)*('Dvd Calendar'!$H$1501&lt;=VAL_DATE)=0,"",'Dvd Calendar'!$H$1501*1000000000+ISNUMBER('Dvd Calendar'!$H$1504)*100000000+('Dvd Calendar'!$H$1506=SPECIAL_LBL)*10000000+0*1000000+36*1000+4))</f>
        <v/>
      </c>
      <c r="EI151" s="35">
        <f>IF(N('Dvd Calendar'!$I$1501)=0,"",IF(('Dvd Calendar'!$I$1501&gt;=GRID_FROM)*('Dvd Calendar'!$I$1501&lt;=GRID_TO)*('Dvd Calendar'!$I$1501&lt;=VAL_DATE)=0,"",'Dvd Calendar'!$I$1501*1000000000+ISNUMBER('Dvd Calendar'!$I$1504)*100000000+('Dvd Calendar'!$I$1506=SPECIAL_LBL)*10000000+0*1000000+36*1000+5))</f>
        <v/>
      </c>
      <c r="EJ151" s="35">
        <f>IF(N('Dvd Calendar'!$J$1501)=0,"",IF(('Dvd Calendar'!$J$1501&gt;=GRID_FROM)*('Dvd Calendar'!$J$1501&lt;=GRID_TO)*('Dvd Calendar'!$J$1501&lt;=VAL_DATE)=0,"",'Dvd Calendar'!$J$1501*1000000000+ISNUMBER('Dvd Calendar'!$J$1504)*100000000+('Dvd Calendar'!$J$1506=SPECIAL_LBL)*10000000+0*1000000+36*1000+6))</f>
        <v/>
      </c>
      <c r="EK151" s="35">
        <f>IF(N('Dvd Calendar'!$K$1501)=0,"",IF(('Dvd Calendar'!$K$1501&gt;=GRID_FROM)*('Dvd Calendar'!$K$1501&lt;=GRID_TO)*('Dvd Calendar'!$K$1501&lt;=VAL_DATE)=0,"",'Dvd Calendar'!$K$1501*1000000000+ISNUMBER('Dvd Calendar'!$K$1504)*100000000+('Dvd Calendar'!$K$1506=SPECIAL_LBL)*10000000+0*1000000+36*1000+7))</f>
        <v/>
      </c>
      <c r="EL151" s="35">
        <f>IF(N('Dvd Calendar'!$L$1501)=0,"",IF(('Dvd Calendar'!$L$1501&gt;=GRID_FROM)*('Dvd Calendar'!$L$1501&lt;=GRID_TO)*('Dvd Calendar'!$L$1501&lt;=VAL_DATE)=0,"",'Dvd Calendar'!$L$1501*1000000000+ISNUMBER('Dvd Calendar'!$L$1504)*100000000+('Dvd Calendar'!$L$1506=SPECIAL_LBL)*10000000+0*1000000+36*1000+8))</f>
        <v/>
      </c>
      <c r="EM151" s="35">
        <f>IF(N('Dvd Calendar'!$M$1501)=0,"",IF(('Dvd Calendar'!$M$1501&gt;=GRID_FROM)*('Dvd Calendar'!$M$1501&lt;=GRID_TO)*('Dvd Calendar'!$M$1501&lt;=VAL_DATE)=0,"",'Dvd Calendar'!$M$1501*1000000000+ISNUMBER('Dvd Calendar'!$M$1504)*100000000+('Dvd Calendar'!$M$1506=SPECIAL_LBL)*10000000+0*1000000+36*1000+9))</f>
        <v/>
      </c>
      <c r="EN151" s="35">
        <f>IF(N('Dvd Calendar'!$N$1501)=0,"",IF(('Dvd Calendar'!$N$1501&gt;=GRID_FROM)*('Dvd Calendar'!$N$1501&lt;=GRID_TO)*('Dvd Calendar'!$N$1501&lt;=VAL_DATE)=0,"",'Dvd Calendar'!$N$1501*1000000000+ISNUMBER('Dvd Calendar'!$N$1504)*100000000+('Dvd Calendar'!$N$1506=SPECIAL_LBL)*10000000+0*1000000+36*1000+10))</f>
        <v/>
      </c>
      <c r="EO151" s="35">
        <f>IF(N('Dvd Calendar'!$O$1501)=0,"",IF(('Dvd Calendar'!$O$1501&gt;=GRID_FROM)*('Dvd Calendar'!$O$1501&lt;=GRID_TO)*('Dvd Calendar'!$O$1501&lt;=VAL_DATE)=0,"",'Dvd Calendar'!$O$1501*1000000000+ISNUMBER('Dvd Calendar'!$O$1504)*100000000+('Dvd Calendar'!$O$1506=SPECIAL_LBL)*10000000+0*1000000+36*1000+11))</f>
        <v/>
      </c>
      <c r="EP151" s="35">
        <f>IF(N('Dvd Calendar'!$P$1501)=0,"",IF(('Dvd Calendar'!$P$1501&gt;=GRID_FROM)*('Dvd Calendar'!$P$1501&lt;=GRID_TO)*('Dvd Calendar'!$P$1501&lt;=VAL_DATE)=0,"",'Dvd Calendar'!$P$1501*1000000000+ISNUMBER('Dvd Calendar'!$P$1504)*100000000+('Dvd Calendar'!$P$1506=SPECIAL_LBL)*10000000+0*1000000+36*1000+12))</f>
        <v/>
      </c>
      <c r="EQ151" s="35">
        <f>IF(N('Dvd Calendar'!$Q$1501)=0,"",IF(('Dvd Calendar'!$Q$1501&gt;=GRID_FROM)*('Dvd Calendar'!$Q$1501&lt;=GRID_TO)*('Dvd Calendar'!$Q$1501&lt;=VAL_DATE)=0,"",'Dvd Calendar'!$Q$1501*1000000000+ISNUMBER('Dvd Calendar'!$Q$1504)*100000000+('Dvd Calendar'!$Q$1506=SPECIAL_LBL)*10000000+0*1000000+36*1000+13))</f>
        <v/>
      </c>
      <c r="ER151" s="35">
        <f>IF(N('Dvd Calendar'!$R$1501)=0,"",IF(('Dvd Calendar'!$R$1501&gt;=GRID_FROM)*('Dvd Calendar'!$R$1501&lt;=GRID_TO)*('Dvd Calendar'!$R$1501&lt;=VAL_DATE)=0,"",'Dvd Calendar'!$R$1501*1000000000+ISNUMBER('Dvd Calendar'!$R$1504)*100000000+('Dvd Calendar'!$R$1506=SPECIAL_LBL)*10000000+0*1000000+36*1000+14))</f>
        <v/>
      </c>
      <c r="ES151" s="35">
        <f>IF(N('Dvd Calendar'!$S$1501)=0,"",IF(('Dvd Calendar'!$S$1501&gt;=GRID_FROM)*('Dvd Calendar'!$S$1501&lt;=GRID_TO)*('Dvd Calendar'!$S$1501&lt;=VAL_DATE)=0,"",'Dvd Calendar'!$S$1501*1000000000+ISNUMBER('Dvd Calendar'!$S$1504)*100000000+('Dvd Calendar'!$S$1506=SPECIAL_LBL)*10000000+0*1000000+36*1000+15))</f>
        <v/>
      </c>
      <c r="ET151" s="35">
        <f>IF(N('Dvd Calendar'!$T$1501)=0,"",IF(('Dvd Calendar'!$T$1501&gt;=GRID_FROM)*('Dvd Calendar'!$T$1501&lt;=GRID_TO)*('Dvd Calendar'!$T$1501&lt;=VAL_DATE)=0,"",'Dvd Calendar'!$T$1501*1000000000+ISNUMBER('Dvd Calendar'!$T$1504)*100000000+('Dvd Calendar'!$T$1506=SPECIAL_LBL)*10000000+0*1000000+36*1000+16))</f>
        <v/>
      </c>
      <c r="EU151" s="35">
        <f>IF(N('Dvd Calendar'!$U$1501)=0,"",IF(('Dvd Calendar'!$U$1501&gt;=GRID_FROM)*('Dvd Calendar'!$U$1501&lt;=GRID_TO)*('Dvd Calendar'!$U$1501&lt;=VAL_DATE)=0,"",'Dvd Calendar'!$U$1501*1000000000+ISNUMBER('Dvd Calendar'!$U$1504)*100000000+('Dvd Calendar'!$U$1506=SPECIAL_LBL)*10000000+0*1000000+36*1000+17))</f>
        <v/>
      </c>
      <c r="EV151" s="35">
        <f>IF(N('Dvd Calendar'!$V$1501)=0,"",IF(('Dvd Calendar'!$V$1501&gt;=GRID_FROM)*('Dvd Calendar'!$V$1501&lt;=GRID_TO)*('Dvd Calendar'!$V$1501&lt;=VAL_DATE)=0,"",'Dvd Calendar'!$V$1501*1000000000+ISNUMBER('Dvd Calendar'!$V$1504)*100000000+('Dvd Calendar'!$V$1506=SPECIAL_LBL)*10000000+0*1000000+36*1000+18))</f>
        <v/>
      </c>
      <c r="EW151" s="35">
        <f>IF(N('Dvd Calendar'!$W$1501)=0,"",IF(('Dvd Calendar'!$W$1501&gt;=GRID_FROM)*('Dvd Calendar'!$W$1501&lt;=GRID_TO)*('Dvd Calendar'!$W$1501&lt;=VAL_DATE)=0,"",'Dvd Calendar'!$W$1501*1000000000+ISNUMBER('Dvd Calendar'!$W$1504)*100000000+('Dvd Calendar'!$W$1506=SPECIAL_LBL)*10000000+0*1000000+36*1000+19))</f>
        <v/>
      </c>
      <c r="EX151" s="35">
        <f>IF(N('Dvd Calendar'!$X$1501)=0,"",IF(('Dvd Calendar'!$X$1501&gt;=GRID_FROM)*('Dvd Calendar'!$X$1501&lt;=GRID_TO)*('Dvd Calendar'!$X$1501&lt;=VAL_DATE)=0,"",'Dvd Calendar'!$X$1501*1000000000+ISNUMBER('Dvd Calendar'!$X$1504)*100000000+('Dvd Calendar'!$X$1506=SPECIAL_LBL)*10000000+0*1000000+36*1000+20))</f>
        <v/>
      </c>
      <c r="EY151" s="35">
        <f>IF(N('Dvd Calendar'!$Y$1501)=0,"",IF(('Dvd Calendar'!$Y$1501&gt;=GRID_FROM)*('Dvd Calendar'!$Y$1501&lt;=GRID_TO)*('Dvd Calendar'!$Y$1501&lt;=VAL_DATE)=0,"",'Dvd Calendar'!$Y$1501*1000000000+ISNUMBER('Dvd Calendar'!$Y$1504)*100000000+('Dvd Calendar'!$Y$1506=SPECIAL_LBL)*10000000+0*1000000+36*1000+21))</f>
        <v/>
      </c>
      <c r="EZ151" s="35">
        <f>IF(N('Dvd Calendar'!$Z$1501)=0,"",IF(('Dvd Calendar'!$Z$1501&gt;=GRID_FROM)*('Dvd Calendar'!$Z$1501&lt;=GRID_TO)*('Dvd Calendar'!$Z$1501&lt;=VAL_DATE)=0,"",'Dvd Calendar'!$Z$1501*1000000000+ISNUMBER('Dvd Calendar'!$Z$1504)*100000000+('Dvd Calendar'!$Z$1506=SPECIAL_LBL)*10000000+0*1000000+36*1000+22))</f>
        <v/>
      </c>
      <c r="FA151" s="35">
        <f>IF(N('Dvd Calendar'!$AA$1501)=0,"",IF(('Dvd Calendar'!$AA$1501&gt;=GRID_FROM)*('Dvd Calendar'!$AA$1501&lt;=GRID_TO)*('Dvd Calendar'!$AA$1501&lt;=VAL_DATE)=0,"",'Dvd Calendar'!$AA$1501*1000000000+ISNUMBER('Dvd Calendar'!$AA$1504)*100000000+('Dvd Calendar'!$AA$1506=SPECIAL_LBL)*10000000+0*1000000+36*1000+23))</f>
        <v/>
      </c>
      <c r="FB151" s="35">
        <f>IF(N('Dvd Calendar'!$AB$1501)=0,"",IF(('Dvd Calendar'!$AB$1501&gt;=GRID_FROM)*('Dvd Calendar'!$AB$1501&lt;=GRID_TO)*('Dvd Calendar'!$AB$1501&lt;=VAL_DATE)=0,"",'Dvd Calendar'!$AB$1501*1000000000+ISNUMBER('Dvd Calendar'!$AB$1504)*100000000+('Dvd Calendar'!$AB$1506=SPECIAL_LBL)*10000000+0*1000000+36*1000+24))</f>
        <v/>
      </c>
      <c r="FC151" s="35">
        <f>IF(N('Dvd Calendar'!$AC$1501)=0,"",IF(('Dvd Calendar'!$AC$1501&gt;=GRID_FROM)*('Dvd Calendar'!$AC$1501&lt;=GRID_TO)*('Dvd Calendar'!$AC$1501&lt;=VAL_DATE)=0,"",'Dvd Calendar'!$AC$1501*1000000000+ISNUMBER('Dvd Calendar'!$AC$1504)*100000000+('Dvd Calendar'!$AC$1506=SPECIAL_LBL)*10000000+0*1000000+36*1000+25))</f>
        <v/>
      </c>
      <c r="FD151" s="35">
        <f>IF(N('Dvd Calendar'!$AD$1501)=0,"",IF(('Dvd Calendar'!$AD$1501&gt;=GRID_FROM)*('Dvd Calendar'!$AD$1501&lt;=GRID_TO)*('Dvd Calendar'!$AD$1501&lt;=VAL_DATE)=0,"",'Dvd Calendar'!$AD$1501*1000000000+ISNUMBER('Dvd Calendar'!$AD$1504)*100000000+('Dvd Calendar'!$AD$1506=SPECIAL_LBL)*10000000+0*1000000+36*1000+26))</f>
        <v/>
      </c>
      <c r="FE151" s="35">
        <f>IF(N('Dvd Calendar'!$AE$1501)=0,"",IF(('Dvd Calendar'!$AE$1501&gt;=GRID_FROM)*('Dvd Calendar'!$AE$1501&lt;=GRID_TO)*('Dvd Calendar'!$AE$1501&lt;=VAL_DATE)=0,"",'Dvd Calendar'!$AE$1501*1000000000+ISNUMBER('Dvd Calendar'!$AE$1504)*100000000+('Dvd Calendar'!$AE$1506=SPECIAL_LBL)*10000000+0*1000000+36*1000+27))</f>
        <v/>
      </c>
      <c r="FF151" s="35">
        <f>IF(N('Dvd Calendar'!$AF$1501)=0,"",IF(('Dvd Calendar'!$AF$1501&gt;=GRID_FROM)*('Dvd Calendar'!$AF$1501&lt;=GRID_TO)*('Dvd Calendar'!$AF$1501&lt;=VAL_DATE)=0,"",'Dvd Calendar'!$AF$1501*1000000000+ISNUMBER('Dvd Calendar'!$AF$1504)*100000000+('Dvd Calendar'!$AF$1506=SPECIAL_LBL)*10000000+0*1000000+36*1000+28))</f>
        <v/>
      </c>
      <c r="FG151" s="35">
        <f>IF(N('Dvd Calendar'!$AG$1501)=0,"",IF(('Dvd Calendar'!$AG$1501&gt;=GRID_FROM)*('Dvd Calendar'!$AG$1501&lt;=GRID_TO)*('Dvd Calendar'!$AG$1501&lt;=VAL_DATE)=0,"",'Dvd Calendar'!$AG$1501*1000000000+ISNUMBER('Dvd Calendar'!$AG$1504)*100000000+('Dvd Calendar'!$AG$1506=SPECIAL_LBL)*10000000+0*1000000+36*1000+29))</f>
        <v/>
      </c>
      <c r="FH151" s="35">
        <f>IF(N('Dvd Calendar'!$AH$1501)=0,"",IF(('Dvd Calendar'!$AH$1501&gt;=GRID_FROM)*('Dvd Calendar'!$AH$1501&lt;=GRID_TO)*('Dvd Calendar'!$AH$1501&lt;=VAL_DATE)=0,"",'Dvd Calendar'!$AH$1501*1000000000+ISNUMBER('Dvd Calendar'!$AH$1504)*100000000+('Dvd Calendar'!$AH$1506=SPECIAL_LBL)*10000000+0*1000000+36*1000+30))</f>
        <v/>
      </c>
      <c r="FI151" s="35">
        <f>IF(N('Dvd Calendar'!$AI$1501)=0,"",IF(('Dvd Calendar'!$AI$1501&gt;=GRID_FROM)*('Dvd Calendar'!$AI$1501&lt;=GRID_TO)*('Dvd Calendar'!$AI$1501&lt;=VAL_DATE)=0,"",'Dvd Calendar'!$AI$1501*1000000000+ISNUMBER('Dvd Calendar'!$AI$1504)*100000000+('Dvd Calendar'!$AI$1506=SPECIAL_LBL)*10000000+0*1000000+36*1000+31))</f>
        <v/>
      </c>
      <c r="FJ151" s="35">
        <f>IF(N('Dvd Calendar'!$AJ$1501)=0,"",IF(('Dvd Calendar'!$AJ$1501&gt;=GRID_FROM)*('Dvd Calendar'!$AJ$1501&lt;=GRID_TO)*('Dvd Calendar'!$AJ$1501&lt;=VAL_DATE)=0,"",'Dvd Calendar'!$AJ$1501*1000000000+ISNUMBER('Dvd Calendar'!$AJ$1504)*100000000+('Dvd Calendar'!$AJ$1506=SPECIAL_LBL)*10000000+0*1000000+36*1000+32))</f>
        <v/>
      </c>
      <c r="FK151" s="35">
        <f>IF(N('Dvd Calendar'!$AK$1501)=0,"",IF(('Dvd Calendar'!$AK$1501&gt;=GRID_FROM)*('Dvd Calendar'!$AK$1501&lt;=GRID_TO)*('Dvd Calendar'!$AK$1501&lt;=VAL_DATE)=0,"",'Dvd Calendar'!$AK$1501*1000000000+ISNUMBER('Dvd Calendar'!$AK$1504)*100000000+('Dvd Calendar'!$AK$1506=SPECIAL_LBL)*10000000+0*1000000+36*1000+33))</f>
        <v/>
      </c>
      <c r="FL151" s="35">
        <f>IF(N('Dvd Calendar'!$AL$1501)=0,"",IF(('Dvd Calendar'!$AL$1501&gt;=GRID_FROM)*('Dvd Calendar'!$AL$1501&lt;=GRID_TO)*('Dvd Calendar'!$AL$1501&lt;=VAL_DATE)=0,"",'Dvd Calendar'!$AL$1501*1000000000+ISNUMBER('Dvd Calendar'!$AL$1504)*100000000+('Dvd Calendar'!$AL$1506=SPECIAL_LBL)*10000000+0*1000000+36*1000+34))</f>
        <v/>
      </c>
      <c r="FM151" s="35">
        <f>IF(N('Dvd Calendar'!$AM$1501)=0,"",IF(('Dvd Calendar'!$AM$1501&gt;=GRID_FROM)*('Dvd Calendar'!$AM$1501&lt;=GRID_TO)*('Dvd Calendar'!$AM$1501&lt;=VAL_DATE)=0,"",'Dvd Calendar'!$AM$1501*1000000000+ISNUMBER('Dvd Calendar'!$AM$1504)*100000000+('Dvd Calendar'!$AM$1506=SPECIAL_LBL)*10000000+0*1000000+36*1000+35))</f>
        <v/>
      </c>
      <c r="FN151" s="35">
        <f>IF(N('Dvd Calendar'!$AN$1501)=0,"",IF(('Dvd Calendar'!$AN$1501&gt;=GRID_FROM)*('Dvd Calendar'!$AN$1501&lt;=GRID_TO)*('Dvd Calendar'!$AN$1501&lt;=VAL_DATE)=0,"",'Dvd Calendar'!$AN$1501*1000000000+ISNUMBER('Dvd Calendar'!$AN$1504)*100000000+('Dvd Calendar'!$AN$1506=SPECIAL_LBL)*10000000+0*1000000+36*1000+36))</f>
        <v/>
      </c>
      <c r="FO151" s="35">
        <f>IF(N('Dvd Calendar'!$AO$1501)=0,"",IF(('Dvd Calendar'!$AO$1501&gt;=GRID_FROM)*('Dvd Calendar'!$AO$1501&lt;=GRID_TO)*('Dvd Calendar'!$AO$1501&lt;=VAL_DATE)=0,"",'Dvd Calendar'!$AO$1501*1000000000+ISNUMBER('Dvd Calendar'!$AO$1504)*100000000+('Dvd Calendar'!$AO$1506=SPECIAL_LBL)*10000000+0*1000000+36*1000+37))</f>
        <v/>
      </c>
      <c r="FP151" s="35">
        <f>IF(N('Dvd Calendar'!$AP$1501)=0,"",IF(('Dvd Calendar'!$AP$1501&gt;=GRID_FROM)*('Dvd Calendar'!$AP$1501&lt;=GRID_TO)*('Dvd Calendar'!$AP$1501&lt;=VAL_DATE)=0,"",'Dvd Calendar'!$AP$1501*1000000000+ISNUMBER('Dvd Calendar'!$AP$1504)*100000000+('Dvd Calendar'!$AP$1506=SPECIAL_LBL)*10000000+0*1000000+36*1000+38))</f>
        <v/>
      </c>
      <c r="FQ151" s="35">
        <f>IF(N('Dvd Calendar'!$AQ$1501)=0,"",IF(('Dvd Calendar'!$AQ$1501&gt;=GRID_FROM)*('Dvd Calendar'!$AQ$1501&lt;=GRID_TO)*('Dvd Calendar'!$AQ$1501&lt;=VAL_DATE)=0,"",'Dvd Calendar'!$AQ$1501*1000000000+ISNUMBER('Dvd Calendar'!$AQ$1504)*100000000+('Dvd Calendar'!$AQ$1506=SPECIAL_LBL)*10000000+0*1000000+36*1000+39))</f>
        <v/>
      </c>
      <c r="FR151" s="35">
        <f>IF(N('Dvd Calendar'!$AR$1501)=0,"",IF(('Dvd Calendar'!$AR$1501&gt;=GRID_FROM)*('Dvd Calendar'!$AR$1501&lt;=GRID_TO)*('Dvd Calendar'!$AR$1501&lt;=VAL_DATE)=0,"",'Dvd Calendar'!$AR$1501*1000000000+ISNUMBER('Dvd Calendar'!$AR$1504)*100000000+('Dvd Calendar'!$AR$1506=SPECIAL_LBL)*10000000+0*1000000+36*1000+40))</f>
        <v/>
      </c>
      <c r="FS151" s="35">
        <f>IF(N('Dvd Calendar'!$E$1508)=0,"",IF(('Dvd Calendar'!$E$1508&gt;=GRID_FROM)*('Dvd Calendar'!$E$1508&lt;=GRID_TO)*('Dvd Calendar'!$E$1508&gt;VAL_DATE)=0,"",'Dvd Calendar'!$E$1508*1000000000+ISNUMBER('Dvd Calendar'!$E$1509)*100000000+0*10000000+(N('Dvd Calendar'!$E$1507)&gt;0)*(N('Dvd Calendar'!$E$1507)&lt;=VAL_SERIAL)*1000000+36*1000+41))</f>
        <v/>
      </c>
      <c r="FT151" s="35">
        <f>IF(N('Dvd Calendar'!$F$1508)=0,"",IF(('Dvd Calendar'!$F$1508&gt;=GRID_FROM)*('Dvd Calendar'!$F$1508&lt;=GRID_TO)*('Dvd Calendar'!$F$1508&gt;VAL_DATE)=0,"",'Dvd Calendar'!$F$1508*1000000000+ISNUMBER('Dvd Calendar'!$F$1509)*100000000+0*10000000+(N('Dvd Calendar'!$F$1507)&gt;0)*(N('Dvd Calendar'!$F$1507)&lt;=VAL_SERIAL)*1000000+36*1000+42))</f>
        <v/>
      </c>
      <c r="FU151" s="35">
        <f>IF(N('Dvd Calendar'!$G$1508)=0,"",IF(('Dvd Calendar'!$G$1508&gt;=GRID_FROM)*('Dvd Calendar'!$G$1508&lt;=GRID_TO)*('Dvd Calendar'!$G$1508&gt;VAL_DATE)=0,"",'Dvd Calendar'!$G$1508*1000000000+ISNUMBER('Dvd Calendar'!$G$1509)*100000000+0*10000000+(N('Dvd Calendar'!$G$1507)&gt;0)*(N('Dvd Calendar'!$G$1507)&lt;=VAL_SERIAL)*1000000+36*1000+43))</f>
        <v/>
      </c>
      <c r="FV151" s="35">
        <f>IF(N('Dvd Calendar'!$H$1508)=0,"",IF(('Dvd Calendar'!$H$1508&gt;=GRID_FROM)*('Dvd Calendar'!$H$1508&lt;=GRID_TO)*('Dvd Calendar'!$H$1508&gt;VAL_DATE)=0,"",'Dvd Calendar'!$H$1508*1000000000+ISNUMBER('Dvd Calendar'!$H$1509)*100000000+0*10000000+(N('Dvd Calendar'!$H$1507)&gt;0)*(N('Dvd Calendar'!$H$1507)&lt;=VAL_SERIAL)*1000000+36*1000+44))</f>
        <v/>
      </c>
      <c r="FW151" s="35">
        <f>IF(N('Dvd Calendar'!$I$1508)=0,"",IF(('Dvd Calendar'!$I$1508&gt;=GRID_FROM)*('Dvd Calendar'!$I$1508&lt;=GRID_TO)*('Dvd Calendar'!$I$1508&gt;VAL_DATE)=0,"",'Dvd Calendar'!$I$1508*1000000000+ISNUMBER('Dvd Calendar'!$I$1509)*100000000+0*10000000+(N('Dvd Calendar'!$I$1507)&gt;0)*(N('Dvd Calendar'!$I$1507)&lt;=VAL_SERIAL)*1000000+36*1000+45))</f>
        <v/>
      </c>
      <c r="FX151" s="35">
        <f>IF(N('Dvd Calendar'!$J$1508)=0,"",IF(('Dvd Calendar'!$J$1508&gt;=GRID_FROM)*('Dvd Calendar'!$J$1508&lt;=GRID_TO)*('Dvd Calendar'!$J$1508&gt;VAL_DATE)=0,"",'Dvd Calendar'!$J$1508*1000000000+ISNUMBER('Dvd Calendar'!$J$1509)*100000000+0*10000000+(N('Dvd Calendar'!$J$1507)&gt;0)*(N('Dvd Calendar'!$J$1507)&lt;=VAL_SERIAL)*1000000+36*1000+46))</f>
        <v/>
      </c>
      <c r="FY151" s="35">
        <f>IF(N('Dvd Calendar'!$K$1508)=0,"",IF(('Dvd Calendar'!$K$1508&gt;=GRID_FROM)*('Dvd Calendar'!$K$1508&lt;=GRID_TO)*('Dvd Calendar'!$K$1508&gt;VAL_DATE)=0,"",'Dvd Calendar'!$K$1508*1000000000+ISNUMBER('Dvd Calendar'!$K$1509)*100000000+0*10000000+(N('Dvd Calendar'!$K$1507)&gt;0)*(N('Dvd Calendar'!$K$1507)&lt;=VAL_SERIAL)*1000000+36*1000+47))</f>
        <v/>
      </c>
      <c r="FZ151" s="35">
        <f>IF(N('Dvd Calendar'!$L$1508)=0,"",IF(('Dvd Calendar'!$L$1508&gt;=GRID_FROM)*('Dvd Calendar'!$L$1508&lt;=GRID_TO)*('Dvd Calendar'!$L$1508&gt;VAL_DATE)=0,"",'Dvd Calendar'!$L$1508*1000000000+ISNUMBER('Dvd Calendar'!$L$1509)*100000000+0*10000000+(N('Dvd Calendar'!$L$1507)&gt;0)*(N('Dvd Calendar'!$L$1507)&lt;=VAL_SERIAL)*1000000+36*1000+48))</f>
        <v/>
      </c>
      <c r="GA151" s="35">
        <f>IF(N('Dvd Calendar'!$M$1508)=0,"",IF(('Dvd Calendar'!$M$1508&gt;=GRID_FROM)*('Dvd Calendar'!$M$1508&lt;=GRID_TO)*('Dvd Calendar'!$M$1508&gt;VAL_DATE)=0,"",'Dvd Calendar'!$M$1508*1000000000+ISNUMBER('Dvd Calendar'!$M$1509)*100000000+0*10000000+(N('Dvd Calendar'!$M$1507)&gt;0)*(N('Dvd Calendar'!$M$1507)&lt;=VAL_SERIAL)*1000000+36*1000+49))</f>
        <v/>
      </c>
      <c r="GB151" s="35">
        <f>IF(N('Dvd Calendar'!$N$1508)=0,"",IF(('Dvd Calendar'!$N$1508&gt;=GRID_FROM)*('Dvd Calendar'!$N$1508&lt;=GRID_TO)*('Dvd Calendar'!$N$1508&gt;VAL_DATE)=0,"",'Dvd Calendar'!$N$1508*1000000000+ISNUMBER('Dvd Calendar'!$N$1509)*100000000+0*10000000+(N('Dvd Calendar'!$N$1507)&gt;0)*(N('Dvd Calendar'!$N$1507)&lt;=VAL_SERIAL)*1000000+36*1000+50))</f>
        <v/>
      </c>
      <c r="GC151" s="35">
        <f>IF(N('Dvd Calendar'!$O$1508)=0,"",IF(('Dvd Calendar'!$O$1508&gt;=GRID_FROM)*('Dvd Calendar'!$O$1508&lt;=GRID_TO)*('Dvd Calendar'!$O$1508&gt;VAL_DATE)=0,"",'Dvd Calendar'!$O$1508*1000000000+ISNUMBER('Dvd Calendar'!$O$1509)*100000000+0*10000000+(N('Dvd Calendar'!$O$1507)&gt;0)*(N('Dvd Calendar'!$O$1507)&lt;=VAL_SERIAL)*1000000+36*1000+51))</f>
        <v/>
      </c>
      <c r="GD151" s="35">
        <f>IF(N('Dvd Calendar'!$P$1508)=0,"",IF(('Dvd Calendar'!$P$1508&gt;=GRID_FROM)*('Dvd Calendar'!$P$1508&lt;=GRID_TO)*('Dvd Calendar'!$P$1508&gt;VAL_DATE)=0,"",'Dvd Calendar'!$P$1508*1000000000+ISNUMBER('Dvd Calendar'!$P$1509)*100000000+0*10000000+(N('Dvd Calendar'!$P$1507)&gt;0)*(N('Dvd Calendar'!$P$1507)&lt;=VAL_SERIAL)*1000000+36*1000+52))</f>
        <v/>
      </c>
      <c r="GE151" s="35">
        <f>IF(N('Dvd Calendar'!$Q$1508)=0,"",IF(('Dvd Calendar'!$Q$1508&gt;=GRID_FROM)*('Dvd Calendar'!$Q$1508&lt;=GRID_TO)*('Dvd Calendar'!$Q$1508&gt;VAL_DATE)=0,"",'Dvd Calendar'!$Q$1508*1000000000+ISNUMBER('Dvd Calendar'!$Q$1509)*100000000+0*10000000+(N('Dvd Calendar'!$Q$1507)&gt;0)*(N('Dvd Calendar'!$Q$1507)&lt;=VAL_SERIAL)*1000000+36*1000+53))</f>
        <v/>
      </c>
      <c r="GF151" s="35">
        <f>IF(N('Dvd Calendar'!$R$1508)=0,"",IF(('Dvd Calendar'!$R$1508&gt;=GRID_FROM)*('Dvd Calendar'!$R$1508&lt;=GRID_TO)*('Dvd Calendar'!$R$1508&gt;VAL_DATE)=0,"",'Dvd Calendar'!$R$1508*1000000000+ISNUMBER('Dvd Calendar'!$R$1509)*100000000+0*10000000+(N('Dvd Calendar'!$R$1507)&gt;0)*(N('Dvd Calendar'!$R$1507)&lt;=VAL_SERIAL)*1000000+36*1000+54))</f>
        <v/>
      </c>
      <c r="GG151" s="35">
        <f>IF(N('Dvd Calendar'!$S$1508)=0,"",IF(('Dvd Calendar'!$S$1508&gt;=GRID_FROM)*('Dvd Calendar'!$S$1508&lt;=GRID_TO)*('Dvd Calendar'!$S$1508&gt;VAL_DATE)=0,"",'Dvd Calendar'!$S$1508*1000000000+ISNUMBER('Dvd Calendar'!$S$1509)*100000000+0*10000000+(N('Dvd Calendar'!$S$1507)&gt;0)*(N('Dvd Calendar'!$S$1507)&lt;=VAL_SERIAL)*1000000+36*1000+55))</f>
        <v/>
      </c>
      <c r="GH151" s="35">
        <f>IF(N('Dvd Calendar'!$T$1508)=0,"",IF(('Dvd Calendar'!$T$1508&gt;=GRID_FROM)*('Dvd Calendar'!$T$1508&lt;=GRID_TO)*('Dvd Calendar'!$T$1508&gt;VAL_DATE)=0,"",'Dvd Calendar'!$T$1508*1000000000+ISNUMBER('Dvd Calendar'!$T$1509)*100000000+0*10000000+(N('Dvd Calendar'!$T$1507)&gt;0)*(N('Dvd Calendar'!$T$1507)&lt;=VAL_SERIAL)*1000000+36*1000+56))</f>
        <v/>
      </c>
      <c r="GI151" s="35">
        <f>IF(N('Dvd Calendar'!$U$1508)=0,"",IF(('Dvd Calendar'!$U$1508&gt;=GRID_FROM)*('Dvd Calendar'!$U$1508&lt;=GRID_TO)*('Dvd Calendar'!$U$1508&gt;VAL_DATE)=0,"",'Dvd Calendar'!$U$1508*1000000000+ISNUMBER('Dvd Calendar'!$U$1509)*100000000+0*10000000+(N('Dvd Calendar'!$U$1507)&gt;0)*(N('Dvd Calendar'!$U$1507)&lt;=VAL_SERIAL)*1000000+36*1000+57))</f>
        <v/>
      </c>
      <c r="GJ151" s="35">
        <f>IF(N('Dvd Calendar'!$V$1508)=0,"",IF(('Dvd Calendar'!$V$1508&gt;=GRID_FROM)*('Dvd Calendar'!$V$1508&lt;=GRID_TO)*('Dvd Calendar'!$V$1508&gt;VAL_DATE)=0,"",'Dvd Calendar'!$V$1508*1000000000+ISNUMBER('Dvd Calendar'!$V$1509)*100000000+0*10000000+(N('Dvd Calendar'!$V$1507)&gt;0)*(N('Dvd Calendar'!$V$1507)&lt;=VAL_SERIAL)*1000000+36*1000+58))</f>
        <v/>
      </c>
      <c r="GK151" s="35">
        <f>IF(N('Dvd Calendar'!$W$1508)=0,"",IF(('Dvd Calendar'!$W$1508&gt;=GRID_FROM)*('Dvd Calendar'!$W$1508&lt;=GRID_TO)*('Dvd Calendar'!$W$1508&gt;VAL_DATE)=0,"",'Dvd Calendar'!$W$1508*1000000000+ISNUMBER('Dvd Calendar'!$W$1509)*100000000+0*10000000+(N('Dvd Calendar'!$W$1507)&gt;0)*(N('Dvd Calendar'!$W$1507)&lt;=VAL_SERIAL)*1000000+36*1000+59))</f>
        <v/>
      </c>
      <c r="GL151" s="35">
        <f>IF(N('Dvd Calendar'!$X$1508)=0,"",IF(('Dvd Calendar'!$X$1508&gt;=GRID_FROM)*('Dvd Calendar'!$X$1508&lt;=GRID_TO)*('Dvd Calendar'!$X$1508&gt;VAL_DATE)=0,"",'Dvd Calendar'!$X$1508*1000000000+ISNUMBER('Dvd Calendar'!$X$1509)*100000000+0*10000000+(N('Dvd Calendar'!$X$1507)&gt;0)*(N('Dvd Calendar'!$X$1507)&lt;=VAL_SERIAL)*1000000+36*1000+60))</f>
        <v/>
      </c>
      <c r="GM151" s="35">
        <f>IF(N('Dvd Calendar'!$Y$1508)=0,"",IF(('Dvd Calendar'!$Y$1508&gt;=GRID_FROM)*('Dvd Calendar'!$Y$1508&lt;=GRID_TO)*('Dvd Calendar'!$Y$1508&gt;VAL_DATE)=0,"",'Dvd Calendar'!$Y$1508*1000000000+ISNUMBER('Dvd Calendar'!$Y$1509)*100000000+0*10000000+(N('Dvd Calendar'!$Y$1507)&gt;0)*(N('Dvd Calendar'!$Y$1507)&lt;=VAL_SERIAL)*1000000+36*1000+61))</f>
        <v/>
      </c>
      <c r="GN151" s="35">
        <f>IF(N('Dvd Calendar'!$Z$1508)=0,"",IF(('Dvd Calendar'!$Z$1508&gt;=GRID_FROM)*('Dvd Calendar'!$Z$1508&lt;=GRID_TO)*('Dvd Calendar'!$Z$1508&gt;VAL_DATE)=0,"",'Dvd Calendar'!$Z$1508*1000000000+ISNUMBER('Dvd Calendar'!$Z$1509)*100000000+0*10000000+(N('Dvd Calendar'!$Z$1507)&gt;0)*(N('Dvd Calendar'!$Z$1507)&lt;=VAL_SERIAL)*1000000+36*1000+62))</f>
        <v/>
      </c>
      <c r="GO151" s="35">
        <f>IF(N('Dvd Calendar'!$AA$1508)=0,"",IF(('Dvd Calendar'!$AA$1508&gt;=GRID_FROM)*('Dvd Calendar'!$AA$1508&lt;=GRID_TO)*('Dvd Calendar'!$AA$1508&gt;VAL_DATE)=0,"",'Dvd Calendar'!$AA$1508*1000000000+ISNUMBER('Dvd Calendar'!$AA$1509)*100000000+0*10000000+(N('Dvd Calendar'!$AA$1507)&gt;0)*(N('Dvd Calendar'!$AA$1507)&lt;=VAL_SERIAL)*1000000+36*1000+63))</f>
        <v/>
      </c>
      <c r="GP151" s="35">
        <f>IF(N('Dvd Calendar'!$AB$1508)=0,"",IF(('Dvd Calendar'!$AB$1508&gt;=GRID_FROM)*('Dvd Calendar'!$AB$1508&lt;=GRID_TO)*('Dvd Calendar'!$AB$1508&gt;VAL_DATE)=0,"",'Dvd Calendar'!$AB$1508*1000000000+ISNUMBER('Dvd Calendar'!$AB$1509)*100000000+0*10000000+(N('Dvd Calendar'!$AB$1507)&gt;0)*(N('Dvd Calendar'!$AB$1507)&lt;=VAL_SERIAL)*1000000+36*1000+64))</f>
        <v/>
      </c>
      <c r="GQ151" s="35">
        <f>IF(N('Dvd Calendar'!$AC$1508)=0,"",IF(('Dvd Calendar'!$AC$1508&gt;=GRID_FROM)*('Dvd Calendar'!$AC$1508&lt;=GRID_TO)*('Dvd Calendar'!$AC$1508&gt;VAL_DATE)=0,"",'Dvd Calendar'!$AC$1508*1000000000+ISNUMBER('Dvd Calendar'!$AC$1509)*100000000+0*10000000+(N('Dvd Calendar'!$AC$1507)&gt;0)*(N('Dvd Calendar'!$AC$1507)&lt;=VAL_SERIAL)*1000000+36*1000+65))</f>
        <v/>
      </c>
    </row>
    <row r="152">
      <c r="B152" s="2">
        <f>IF(HSTECH!$C$43="","",HSTECH!$C$43)</f>
        <v/>
      </c>
      <c r="C152" s="106">
        <f>IF(EE152="","",IF(ISNUMBER('Dvd Calendar'!$E$1515)=FALSE,"",IF((('Dvd Calendar'!$E$1517=TYPE1)*(TYPE1&lt;&gt;"")+('Dvd Calendar'!$E$1517=TYPE2)*(TYPE2&lt;&gt;"")+('Dvd Calendar'!$E$1517=TYPE3)*(TYPE3&lt;&gt;"")+('Dvd Calendar'!$E$1517=TYPE4)*(TYPE4&lt;&gt;"")+('Dvd Calendar'!$E$1517=SPECIAL_LBL)*(INC_SPECIALS="Y"))=0,"",'Dvd Calendar'!$E$1515)))</f>
        <v/>
      </c>
      <c r="D152" s="106">
        <f>IF(EF152="","",IF(ISNUMBER('Dvd Calendar'!$F$1515)=FALSE,"",IF((('Dvd Calendar'!$F$1517=TYPE1)*(TYPE1&lt;&gt;"")+('Dvd Calendar'!$F$1517=TYPE2)*(TYPE2&lt;&gt;"")+('Dvd Calendar'!$F$1517=TYPE3)*(TYPE3&lt;&gt;"")+('Dvd Calendar'!$F$1517=TYPE4)*(TYPE4&lt;&gt;"")+('Dvd Calendar'!$F$1517=SPECIAL_LBL)*(INC_SPECIALS="Y"))=0,"",'Dvd Calendar'!$F$1515)))</f>
        <v/>
      </c>
      <c r="E152" s="106">
        <f>IF(EG152="","",IF(ISNUMBER('Dvd Calendar'!$G$1515)=FALSE,"",IF((('Dvd Calendar'!$G$1517=TYPE1)*(TYPE1&lt;&gt;"")+('Dvd Calendar'!$G$1517=TYPE2)*(TYPE2&lt;&gt;"")+('Dvd Calendar'!$G$1517=TYPE3)*(TYPE3&lt;&gt;"")+('Dvd Calendar'!$G$1517=TYPE4)*(TYPE4&lt;&gt;"")+('Dvd Calendar'!$G$1517=SPECIAL_LBL)*(INC_SPECIALS="Y"))=0,"",'Dvd Calendar'!$G$1515)))</f>
        <v/>
      </c>
      <c r="F152" s="106">
        <f>IF(EH152="","",IF(ISNUMBER('Dvd Calendar'!$H$1515)=FALSE,"",IF((('Dvd Calendar'!$H$1517=TYPE1)*(TYPE1&lt;&gt;"")+('Dvd Calendar'!$H$1517=TYPE2)*(TYPE2&lt;&gt;"")+('Dvd Calendar'!$H$1517=TYPE3)*(TYPE3&lt;&gt;"")+('Dvd Calendar'!$H$1517=TYPE4)*(TYPE4&lt;&gt;"")+('Dvd Calendar'!$H$1517=SPECIAL_LBL)*(INC_SPECIALS="Y"))=0,"",'Dvd Calendar'!$H$1515)))</f>
        <v/>
      </c>
      <c r="G152" s="106">
        <f>IF(EI152="","",IF(ISNUMBER('Dvd Calendar'!$I$1515)=FALSE,"",IF((('Dvd Calendar'!$I$1517=TYPE1)*(TYPE1&lt;&gt;"")+('Dvd Calendar'!$I$1517=TYPE2)*(TYPE2&lt;&gt;"")+('Dvd Calendar'!$I$1517=TYPE3)*(TYPE3&lt;&gt;"")+('Dvd Calendar'!$I$1517=TYPE4)*(TYPE4&lt;&gt;"")+('Dvd Calendar'!$I$1517=SPECIAL_LBL)*(INC_SPECIALS="Y"))=0,"",'Dvd Calendar'!$I$1515)))</f>
        <v/>
      </c>
      <c r="H152" s="106">
        <f>IF(EJ152="","",IF(ISNUMBER('Dvd Calendar'!$J$1515)=FALSE,"",IF((('Dvd Calendar'!$J$1517=TYPE1)*(TYPE1&lt;&gt;"")+('Dvd Calendar'!$J$1517=TYPE2)*(TYPE2&lt;&gt;"")+('Dvd Calendar'!$J$1517=TYPE3)*(TYPE3&lt;&gt;"")+('Dvd Calendar'!$J$1517=TYPE4)*(TYPE4&lt;&gt;"")+('Dvd Calendar'!$J$1517=SPECIAL_LBL)*(INC_SPECIALS="Y"))=0,"",'Dvd Calendar'!$J$1515)))</f>
        <v/>
      </c>
      <c r="I152" s="106">
        <f>IF(EK152="","",IF(ISNUMBER('Dvd Calendar'!$K$1515)=FALSE,"",IF((('Dvd Calendar'!$K$1517=TYPE1)*(TYPE1&lt;&gt;"")+('Dvd Calendar'!$K$1517=TYPE2)*(TYPE2&lt;&gt;"")+('Dvd Calendar'!$K$1517=TYPE3)*(TYPE3&lt;&gt;"")+('Dvd Calendar'!$K$1517=TYPE4)*(TYPE4&lt;&gt;"")+('Dvd Calendar'!$K$1517=SPECIAL_LBL)*(INC_SPECIALS="Y"))=0,"",'Dvd Calendar'!$K$1515)))</f>
        <v/>
      </c>
      <c r="J152" s="106">
        <f>IF(EL152="","",IF(ISNUMBER('Dvd Calendar'!$L$1515)=FALSE,"",IF((('Dvd Calendar'!$L$1517=TYPE1)*(TYPE1&lt;&gt;"")+('Dvd Calendar'!$L$1517=TYPE2)*(TYPE2&lt;&gt;"")+('Dvd Calendar'!$L$1517=TYPE3)*(TYPE3&lt;&gt;"")+('Dvd Calendar'!$L$1517=TYPE4)*(TYPE4&lt;&gt;"")+('Dvd Calendar'!$L$1517=SPECIAL_LBL)*(INC_SPECIALS="Y"))=0,"",'Dvd Calendar'!$L$1515)))</f>
        <v/>
      </c>
      <c r="K152" s="106">
        <f>IF(EM152="","",IF(ISNUMBER('Dvd Calendar'!$M$1515)=FALSE,"",IF((('Dvd Calendar'!$M$1517=TYPE1)*(TYPE1&lt;&gt;"")+('Dvd Calendar'!$M$1517=TYPE2)*(TYPE2&lt;&gt;"")+('Dvd Calendar'!$M$1517=TYPE3)*(TYPE3&lt;&gt;"")+('Dvd Calendar'!$M$1517=TYPE4)*(TYPE4&lt;&gt;"")+('Dvd Calendar'!$M$1517=SPECIAL_LBL)*(INC_SPECIALS="Y"))=0,"",'Dvd Calendar'!$M$1515)))</f>
        <v/>
      </c>
      <c r="L152" s="106">
        <f>IF(EN152="","",IF(ISNUMBER('Dvd Calendar'!$N$1515)=FALSE,"",IF((('Dvd Calendar'!$N$1517=TYPE1)*(TYPE1&lt;&gt;"")+('Dvd Calendar'!$N$1517=TYPE2)*(TYPE2&lt;&gt;"")+('Dvd Calendar'!$N$1517=TYPE3)*(TYPE3&lt;&gt;"")+('Dvd Calendar'!$N$1517=TYPE4)*(TYPE4&lt;&gt;"")+('Dvd Calendar'!$N$1517=SPECIAL_LBL)*(INC_SPECIALS="Y"))=0,"",'Dvd Calendar'!$N$1515)))</f>
        <v/>
      </c>
      <c r="M152" s="106">
        <f>IF(EO152="","",IF(ISNUMBER('Dvd Calendar'!$O$1515)=FALSE,"",IF((('Dvd Calendar'!$O$1517=TYPE1)*(TYPE1&lt;&gt;"")+('Dvd Calendar'!$O$1517=TYPE2)*(TYPE2&lt;&gt;"")+('Dvd Calendar'!$O$1517=TYPE3)*(TYPE3&lt;&gt;"")+('Dvd Calendar'!$O$1517=TYPE4)*(TYPE4&lt;&gt;"")+('Dvd Calendar'!$O$1517=SPECIAL_LBL)*(INC_SPECIALS="Y"))=0,"",'Dvd Calendar'!$O$1515)))</f>
        <v/>
      </c>
      <c r="N152" s="106">
        <f>IF(EP152="","",IF(ISNUMBER('Dvd Calendar'!$P$1515)=FALSE,"",IF((('Dvd Calendar'!$P$1517=TYPE1)*(TYPE1&lt;&gt;"")+('Dvd Calendar'!$P$1517=TYPE2)*(TYPE2&lt;&gt;"")+('Dvd Calendar'!$P$1517=TYPE3)*(TYPE3&lt;&gt;"")+('Dvd Calendar'!$P$1517=TYPE4)*(TYPE4&lt;&gt;"")+('Dvd Calendar'!$P$1517=SPECIAL_LBL)*(INC_SPECIALS="Y"))=0,"",'Dvd Calendar'!$P$1515)))</f>
        <v/>
      </c>
      <c r="O152" s="106">
        <f>IF(EQ152="","",IF(ISNUMBER('Dvd Calendar'!$Q$1515)=FALSE,"",IF((('Dvd Calendar'!$Q$1517=TYPE1)*(TYPE1&lt;&gt;"")+('Dvd Calendar'!$Q$1517=TYPE2)*(TYPE2&lt;&gt;"")+('Dvd Calendar'!$Q$1517=TYPE3)*(TYPE3&lt;&gt;"")+('Dvd Calendar'!$Q$1517=TYPE4)*(TYPE4&lt;&gt;"")+('Dvd Calendar'!$Q$1517=SPECIAL_LBL)*(INC_SPECIALS="Y"))=0,"",'Dvd Calendar'!$Q$1515)))</f>
        <v/>
      </c>
      <c r="P152" s="106">
        <f>IF(ER152="","",IF(ISNUMBER('Dvd Calendar'!$R$1515)=FALSE,"",IF((('Dvd Calendar'!$R$1517=TYPE1)*(TYPE1&lt;&gt;"")+('Dvd Calendar'!$R$1517=TYPE2)*(TYPE2&lt;&gt;"")+('Dvd Calendar'!$R$1517=TYPE3)*(TYPE3&lt;&gt;"")+('Dvd Calendar'!$R$1517=TYPE4)*(TYPE4&lt;&gt;"")+('Dvd Calendar'!$R$1517=SPECIAL_LBL)*(INC_SPECIALS="Y"))=0,"",'Dvd Calendar'!$R$1515)))</f>
        <v/>
      </c>
      <c r="Q152" s="106">
        <f>IF(ES152="","",IF(ISNUMBER('Dvd Calendar'!$S$1515)=FALSE,"",IF((('Dvd Calendar'!$S$1517=TYPE1)*(TYPE1&lt;&gt;"")+('Dvd Calendar'!$S$1517=TYPE2)*(TYPE2&lt;&gt;"")+('Dvd Calendar'!$S$1517=TYPE3)*(TYPE3&lt;&gt;"")+('Dvd Calendar'!$S$1517=TYPE4)*(TYPE4&lt;&gt;"")+('Dvd Calendar'!$S$1517=SPECIAL_LBL)*(INC_SPECIALS="Y"))=0,"",'Dvd Calendar'!$S$1515)))</f>
        <v/>
      </c>
      <c r="R152" s="106">
        <f>IF(ET152="","",IF(ISNUMBER('Dvd Calendar'!$T$1515)=FALSE,"",IF((('Dvd Calendar'!$T$1517=TYPE1)*(TYPE1&lt;&gt;"")+('Dvd Calendar'!$T$1517=TYPE2)*(TYPE2&lt;&gt;"")+('Dvd Calendar'!$T$1517=TYPE3)*(TYPE3&lt;&gt;"")+('Dvd Calendar'!$T$1517=TYPE4)*(TYPE4&lt;&gt;"")+('Dvd Calendar'!$T$1517=SPECIAL_LBL)*(INC_SPECIALS="Y"))=0,"",'Dvd Calendar'!$T$1515)))</f>
        <v/>
      </c>
      <c r="S152" s="106">
        <f>IF(EU152="","",IF(ISNUMBER('Dvd Calendar'!$U$1515)=FALSE,"",IF((('Dvd Calendar'!$U$1517=TYPE1)*(TYPE1&lt;&gt;"")+('Dvd Calendar'!$U$1517=TYPE2)*(TYPE2&lt;&gt;"")+('Dvd Calendar'!$U$1517=TYPE3)*(TYPE3&lt;&gt;"")+('Dvd Calendar'!$U$1517=TYPE4)*(TYPE4&lt;&gt;"")+('Dvd Calendar'!$U$1517=SPECIAL_LBL)*(INC_SPECIALS="Y"))=0,"",'Dvd Calendar'!$U$1515)))</f>
        <v/>
      </c>
      <c r="T152" s="106">
        <f>IF(EV152="","",IF(ISNUMBER('Dvd Calendar'!$V$1515)=FALSE,"",IF((('Dvd Calendar'!$V$1517=TYPE1)*(TYPE1&lt;&gt;"")+('Dvd Calendar'!$V$1517=TYPE2)*(TYPE2&lt;&gt;"")+('Dvd Calendar'!$V$1517=TYPE3)*(TYPE3&lt;&gt;"")+('Dvd Calendar'!$V$1517=TYPE4)*(TYPE4&lt;&gt;"")+('Dvd Calendar'!$V$1517=SPECIAL_LBL)*(INC_SPECIALS="Y"))=0,"",'Dvd Calendar'!$V$1515)))</f>
        <v/>
      </c>
      <c r="U152" s="106">
        <f>IF(EW152="","",IF(ISNUMBER('Dvd Calendar'!$W$1515)=FALSE,"",IF((('Dvd Calendar'!$W$1517=TYPE1)*(TYPE1&lt;&gt;"")+('Dvd Calendar'!$W$1517=TYPE2)*(TYPE2&lt;&gt;"")+('Dvd Calendar'!$W$1517=TYPE3)*(TYPE3&lt;&gt;"")+('Dvd Calendar'!$W$1517=TYPE4)*(TYPE4&lt;&gt;"")+('Dvd Calendar'!$W$1517=SPECIAL_LBL)*(INC_SPECIALS="Y"))=0,"",'Dvd Calendar'!$W$1515)))</f>
        <v/>
      </c>
      <c r="V152" s="106">
        <f>IF(EX152="","",IF(ISNUMBER('Dvd Calendar'!$X$1515)=FALSE,"",IF((('Dvd Calendar'!$X$1517=TYPE1)*(TYPE1&lt;&gt;"")+('Dvd Calendar'!$X$1517=TYPE2)*(TYPE2&lt;&gt;"")+('Dvd Calendar'!$X$1517=TYPE3)*(TYPE3&lt;&gt;"")+('Dvd Calendar'!$X$1517=TYPE4)*(TYPE4&lt;&gt;"")+('Dvd Calendar'!$X$1517=SPECIAL_LBL)*(INC_SPECIALS="Y"))=0,"",'Dvd Calendar'!$X$1515)))</f>
        <v/>
      </c>
      <c r="W152" s="106">
        <f>IF(EY152="","",IF(ISNUMBER('Dvd Calendar'!$Y$1515)=FALSE,"",IF((('Dvd Calendar'!$Y$1517=TYPE1)*(TYPE1&lt;&gt;"")+('Dvd Calendar'!$Y$1517=TYPE2)*(TYPE2&lt;&gt;"")+('Dvd Calendar'!$Y$1517=TYPE3)*(TYPE3&lt;&gt;"")+('Dvd Calendar'!$Y$1517=TYPE4)*(TYPE4&lt;&gt;"")+('Dvd Calendar'!$Y$1517=SPECIAL_LBL)*(INC_SPECIALS="Y"))=0,"",'Dvd Calendar'!$Y$1515)))</f>
        <v/>
      </c>
      <c r="X152" s="106">
        <f>IF(EZ152="","",IF(ISNUMBER('Dvd Calendar'!$Z$1515)=FALSE,"",IF((('Dvd Calendar'!$Z$1517=TYPE1)*(TYPE1&lt;&gt;"")+('Dvd Calendar'!$Z$1517=TYPE2)*(TYPE2&lt;&gt;"")+('Dvd Calendar'!$Z$1517=TYPE3)*(TYPE3&lt;&gt;"")+('Dvd Calendar'!$Z$1517=TYPE4)*(TYPE4&lt;&gt;"")+('Dvd Calendar'!$Z$1517=SPECIAL_LBL)*(INC_SPECIALS="Y"))=0,"",'Dvd Calendar'!$Z$1515)))</f>
        <v/>
      </c>
      <c r="Y152" s="106">
        <f>IF(FA152="","",IF(ISNUMBER('Dvd Calendar'!$AA$1515)=FALSE,"",IF((('Dvd Calendar'!$AA$1517=TYPE1)*(TYPE1&lt;&gt;"")+('Dvd Calendar'!$AA$1517=TYPE2)*(TYPE2&lt;&gt;"")+('Dvd Calendar'!$AA$1517=TYPE3)*(TYPE3&lt;&gt;"")+('Dvd Calendar'!$AA$1517=TYPE4)*(TYPE4&lt;&gt;"")+('Dvd Calendar'!$AA$1517=SPECIAL_LBL)*(INC_SPECIALS="Y"))=0,"",'Dvd Calendar'!$AA$1515)))</f>
        <v/>
      </c>
      <c r="Z152" s="106">
        <f>IF(FB152="","",IF(ISNUMBER('Dvd Calendar'!$AB$1515)=FALSE,"",IF((('Dvd Calendar'!$AB$1517=TYPE1)*(TYPE1&lt;&gt;"")+('Dvd Calendar'!$AB$1517=TYPE2)*(TYPE2&lt;&gt;"")+('Dvd Calendar'!$AB$1517=TYPE3)*(TYPE3&lt;&gt;"")+('Dvd Calendar'!$AB$1517=TYPE4)*(TYPE4&lt;&gt;"")+('Dvd Calendar'!$AB$1517=SPECIAL_LBL)*(INC_SPECIALS="Y"))=0,"",'Dvd Calendar'!$AB$1515)))</f>
        <v/>
      </c>
      <c r="AA152" s="106">
        <f>IF(FC152="","",IF(ISNUMBER('Dvd Calendar'!$AC$1515)=FALSE,"",IF((('Dvd Calendar'!$AC$1517=TYPE1)*(TYPE1&lt;&gt;"")+('Dvd Calendar'!$AC$1517=TYPE2)*(TYPE2&lt;&gt;"")+('Dvd Calendar'!$AC$1517=TYPE3)*(TYPE3&lt;&gt;"")+('Dvd Calendar'!$AC$1517=TYPE4)*(TYPE4&lt;&gt;"")+('Dvd Calendar'!$AC$1517=SPECIAL_LBL)*(INC_SPECIALS="Y"))=0,"",'Dvd Calendar'!$AC$1515)))</f>
        <v/>
      </c>
      <c r="AB152" s="106">
        <f>IF(FD152="","",IF(ISNUMBER('Dvd Calendar'!$AD$1515)=FALSE,"",IF((('Dvd Calendar'!$AD$1517=TYPE1)*(TYPE1&lt;&gt;"")+('Dvd Calendar'!$AD$1517=TYPE2)*(TYPE2&lt;&gt;"")+('Dvd Calendar'!$AD$1517=TYPE3)*(TYPE3&lt;&gt;"")+('Dvd Calendar'!$AD$1517=TYPE4)*(TYPE4&lt;&gt;"")+('Dvd Calendar'!$AD$1517=SPECIAL_LBL)*(INC_SPECIALS="Y"))=0,"",'Dvd Calendar'!$AD$1515)))</f>
        <v/>
      </c>
      <c r="AC152" s="106">
        <f>IF(FE152="","",IF(ISNUMBER('Dvd Calendar'!$AE$1515)=FALSE,"",IF((('Dvd Calendar'!$AE$1517=TYPE1)*(TYPE1&lt;&gt;"")+('Dvd Calendar'!$AE$1517=TYPE2)*(TYPE2&lt;&gt;"")+('Dvd Calendar'!$AE$1517=TYPE3)*(TYPE3&lt;&gt;"")+('Dvd Calendar'!$AE$1517=TYPE4)*(TYPE4&lt;&gt;"")+('Dvd Calendar'!$AE$1517=SPECIAL_LBL)*(INC_SPECIALS="Y"))=0,"",'Dvd Calendar'!$AE$1515)))</f>
        <v/>
      </c>
      <c r="AD152" s="106">
        <f>IF(FF152="","",IF(ISNUMBER('Dvd Calendar'!$AF$1515)=FALSE,"",IF((('Dvd Calendar'!$AF$1517=TYPE1)*(TYPE1&lt;&gt;"")+('Dvd Calendar'!$AF$1517=TYPE2)*(TYPE2&lt;&gt;"")+('Dvd Calendar'!$AF$1517=TYPE3)*(TYPE3&lt;&gt;"")+('Dvd Calendar'!$AF$1517=TYPE4)*(TYPE4&lt;&gt;"")+('Dvd Calendar'!$AF$1517=SPECIAL_LBL)*(INC_SPECIALS="Y"))=0,"",'Dvd Calendar'!$AF$1515)))</f>
        <v/>
      </c>
      <c r="AE152" s="106">
        <f>IF(FG152="","",IF(ISNUMBER('Dvd Calendar'!$AG$1515)=FALSE,"",IF((('Dvd Calendar'!$AG$1517=TYPE1)*(TYPE1&lt;&gt;"")+('Dvd Calendar'!$AG$1517=TYPE2)*(TYPE2&lt;&gt;"")+('Dvd Calendar'!$AG$1517=TYPE3)*(TYPE3&lt;&gt;"")+('Dvd Calendar'!$AG$1517=TYPE4)*(TYPE4&lt;&gt;"")+('Dvd Calendar'!$AG$1517=SPECIAL_LBL)*(INC_SPECIALS="Y"))=0,"",'Dvd Calendar'!$AG$1515)))</f>
        <v/>
      </c>
      <c r="AF152" s="106">
        <f>IF(FH152="","",IF(ISNUMBER('Dvd Calendar'!$AH$1515)=FALSE,"",IF((('Dvd Calendar'!$AH$1517=TYPE1)*(TYPE1&lt;&gt;"")+('Dvd Calendar'!$AH$1517=TYPE2)*(TYPE2&lt;&gt;"")+('Dvd Calendar'!$AH$1517=TYPE3)*(TYPE3&lt;&gt;"")+('Dvd Calendar'!$AH$1517=TYPE4)*(TYPE4&lt;&gt;"")+('Dvd Calendar'!$AH$1517=SPECIAL_LBL)*(INC_SPECIALS="Y"))=0,"",'Dvd Calendar'!$AH$1515)))</f>
        <v/>
      </c>
      <c r="AG152" s="106">
        <f>IF(FI152="","",IF(ISNUMBER('Dvd Calendar'!$AI$1515)=FALSE,"",IF((('Dvd Calendar'!$AI$1517=TYPE1)*(TYPE1&lt;&gt;"")+('Dvd Calendar'!$AI$1517=TYPE2)*(TYPE2&lt;&gt;"")+('Dvd Calendar'!$AI$1517=TYPE3)*(TYPE3&lt;&gt;"")+('Dvd Calendar'!$AI$1517=TYPE4)*(TYPE4&lt;&gt;"")+('Dvd Calendar'!$AI$1517=SPECIAL_LBL)*(INC_SPECIALS="Y"))=0,"",'Dvd Calendar'!$AI$1515)))</f>
        <v/>
      </c>
      <c r="AH152" s="106">
        <f>IF(FJ152="","",IF(ISNUMBER('Dvd Calendar'!$AJ$1515)=FALSE,"",IF((('Dvd Calendar'!$AJ$1517=TYPE1)*(TYPE1&lt;&gt;"")+('Dvd Calendar'!$AJ$1517=TYPE2)*(TYPE2&lt;&gt;"")+('Dvd Calendar'!$AJ$1517=TYPE3)*(TYPE3&lt;&gt;"")+('Dvd Calendar'!$AJ$1517=TYPE4)*(TYPE4&lt;&gt;"")+('Dvd Calendar'!$AJ$1517=SPECIAL_LBL)*(INC_SPECIALS="Y"))=0,"",'Dvd Calendar'!$AJ$1515)))</f>
        <v/>
      </c>
      <c r="AI152" s="106">
        <f>IF(FK152="","",IF(ISNUMBER('Dvd Calendar'!$AK$1515)=FALSE,"",IF((('Dvd Calendar'!$AK$1517=TYPE1)*(TYPE1&lt;&gt;"")+('Dvd Calendar'!$AK$1517=TYPE2)*(TYPE2&lt;&gt;"")+('Dvd Calendar'!$AK$1517=TYPE3)*(TYPE3&lt;&gt;"")+('Dvd Calendar'!$AK$1517=TYPE4)*(TYPE4&lt;&gt;"")+('Dvd Calendar'!$AK$1517=SPECIAL_LBL)*(INC_SPECIALS="Y"))=0,"",'Dvd Calendar'!$AK$1515)))</f>
        <v/>
      </c>
      <c r="AJ152" s="106">
        <f>IF(FL152="","",IF(ISNUMBER('Dvd Calendar'!$AL$1515)=FALSE,"",IF((('Dvd Calendar'!$AL$1517=TYPE1)*(TYPE1&lt;&gt;"")+('Dvd Calendar'!$AL$1517=TYPE2)*(TYPE2&lt;&gt;"")+('Dvd Calendar'!$AL$1517=TYPE3)*(TYPE3&lt;&gt;"")+('Dvd Calendar'!$AL$1517=TYPE4)*(TYPE4&lt;&gt;"")+('Dvd Calendar'!$AL$1517=SPECIAL_LBL)*(INC_SPECIALS="Y"))=0,"",'Dvd Calendar'!$AL$1515)))</f>
        <v/>
      </c>
      <c r="AK152" s="106">
        <f>IF(FM152="","",IF(ISNUMBER('Dvd Calendar'!$AM$1515)=FALSE,"",IF((('Dvd Calendar'!$AM$1517=TYPE1)*(TYPE1&lt;&gt;"")+('Dvd Calendar'!$AM$1517=TYPE2)*(TYPE2&lt;&gt;"")+('Dvd Calendar'!$AM$1517=TYPE3)*(TYPE3&lt;&gt;"")+('Dvd Calendar'!$AM$1517=TYPE4)*(TYPE4&lt;&gt;"")+('Dvd Calendar'!$AM$1517=SPECIAL_LBL)*(INC_SPECIALS="Y"))=0,"",'Dvd Calendar'!$AM$1515)))</f>
        <v/>
      </c>
      <c r="AL152" s="106">
        <f>IF(FN152="","",IF(ISNUMBER('Dvd Calendar'!$AN$1515)=FALSE,"",IF((('Dvd Calendar'!$AN$1517=TYPE1)*(TYPE1&lt;&gt;"")+('Dvd Calendar'!$AN$1517=TYPE2)*(TYPE2&lt;&gt;"")+('Dvd Calendar'!$AN$1517=TYPE3)*(TYPE3&lt;&gt;"")+('Dvd Calendar'!$AN$1517=TYPE4)*(TYPE4&lt;&gt;"")+('Dvd Calendar'!$AN$1517=SPECIAL_LBL)*(INC_SPECIALS="Y"))=0,"",'Dvd Calendar'!$AN$1515)))</f>
        <v/>
      </c>
      <c r="AM152" s="106">
        <f>IF(FO152="","",IF(ISNUMBER('Dvd Calendar'!$AO$1515)=FALSE,"",IF((('Dvd Calendar'!$AO$1517=TYPE1)*(TYPE1&lt;&gt;"")+('Dvd Calendar'!$AO$1517=TYPE2)*(TYPE2&lt;&gt;"")+('Dvd Calendar'!$AO$1517=TYPE3)*(TYPE3&lt;&gt;"")+('Dvd Calendar'!$AO$1517=TYPE4)*(TYPE4&lt;&gt;"")+('Dvd Calendar'!$AO$1517=SPECIAL_LBL)*(INC_SPECIALS="Y"))=0,"",'Dvd Calendar'!$AO$1515)))</f>
        <v/>
      </c>
      <c r="AN152" s="106">
        <f>IF(FP152="","",IF(ISNUMBER('Dvd Calendar'!$AP$1515)=FALSE,"",IF((('Dvd Calendar'!$AP$1517=TYPE1)*(TYPE1&lt;&gt;"")+('Dvd Calendar'!$AP$1517=TYPE2)*(TYPE2&lt;&gt;"")+('Dvd Calendar'!$AP$1517=TYPE3)*(TYPE3&lt;&gt;"")+('Dvd Calendar'!$AP$1517=TYPE4)*(TYPE4&lt;&gt;"")+('Dvd Calendar'!$AP$1517=SPECIAL_LBL)*(INC_SPECIALS="Y"))=0,"",'Dvd Calendar'!$AP$1515)))</f>
        <v/>
      </c>
      <c r="AO152" s="106">
        <f>IF(FQ152="","",IF(ISNUMBER('Dvd Calendar'!$AQ$1515)=FALSE,"",IF((('Dvd Calendar'!$AQ$1517=TYPE1)*(TYPE1&lt;&gt;"")+('Dvd Calendar'!$AQ$1517=TYPE2)*(TYPE2&lt;&gt;"")+('Dvd Calendar'!$AQ$1517=TYPE3)*(TYPE3&lt;&gt;"")+('Dvd Calendar'!$AQ$1517=TYPE4)*(TYPE4&lt;&gt;"")+('Dvd Calendar'!$AQ$1517=SPECIAL_LBL)*(INC_SPECIALS="Y"))=0,"",'Dvd Calendar'!$AQ$1515)))</f>
        <v/>
      </c>
      <c r="AP152" s="106">
        <f>IF(FR152="","",IF(ISNUMBER('Dvd Calendar'!$AR$1515)=FALSE,"",IF((('Dvd Calendar'!$AR$1517=TYPE1)*(TYPE1&lt;&gt;"")+('Dvd Calendar'!$AR$1517=TYPE2)*(TYPE2&lt;&gt;"")+('Dvd Calendar'!$AR$1517=TYPE3)*(TYPE3&lt;&gt;"")+('Dvd Calendar'!$AR$1517=TYPE4)*(TYPE4&lt;&gt;"")+('Dvd Calendar'!$AR$1517=SPECIAL_LBL)*(INC_SPECIALS="Y"))=0,"",'Dvd Calendar'!$AR$1515)))</f>
        <v/>
      </c>
      <c r="AQ152" s="106">
        <f>IF(FS152="","",IF(ISNUMBER('Dvd Calendar'!$E$1520)=FALSE,"",'Dvd Calendar'!$E$1520))</f>
        <v/>
      </c>
      <c r="AR152" s="106">
        <f>IF(FT152="","",IF(ISNUMBER('Dvd Calendar'!$F$1520)=FALSE,"",'Dvd Calendar'!$F$1520))</f>
        <v/>
      </c>
      <c r="AS152" s="106">
        <f>IF(FU152="","",IF(ISNUMBER('Dvd Calendar'!$G$1520)=FALSE,"",'Dvd Calendar'!$G$1520))</f>
        <v/>
      </c>
      <c r="AT152" s="106">
        <f>IF(FV152="","",IF(ISNUMBER('Dvd Calendar'!$H$1520)=FALSE,"",'Dvd Calendar'!$H$1520))</f>
        <v/>
      </c>
      <c r="AU152" s="106">
        <f>IF(FW152="","",IF(ISNUMBER('Dvd Calendar'!$I$1520)=FALSE,"",'Dvd Calendar'!$I$1520))</f>
        <v/>
      </c>
      <c r="AV152" s="106">
        <f>IF(FX152="","",IF(ISNUMBER('Dvd Calendar'!$J$1520)=FALSE,"",'Dvd Calendar'!$J$1520))</f>
        <v/>
      </c>
      <c r="AW152" s="106">
        <f>IF(FY152="","",IF(ISNUMBER('Dvd Calendar'!$K$1520)=FALSE,"",'Dvd Calendar'!$K$1520))</f>
        <v/>
      </c>
      <c r="AX152" s="106">
        <f>IF(FZ152="","",IF(ISNUMBER('Dvd Calendar'!$L$1520)=FALSE,"",'Dvd Calendar'!$L$1520))</f>
        <v/>
      </c>
      <c r="AY152" s="106">
        <f>IF(GA152="","",IF(ISNUMBER('Dvd Calendar'!$M$1520)=FALSE,"",'Dvd Calendar'!$M$1520))</f>
        <v/>
      </c>
      <c r="AZ152" s="106">
        <f>IF(GB152="","",IF(ISNUMBER('Dvd Calendar'!$N$1520)=FALSE,"",'Dvd Calendar'!$N$1520))</f>
        <v/>
      </c>
      <c r="BA152" s="106">
        <f>IF(GC152="","",IF(ISNUMBER('Dvd Calendar'!$O$1520)=FALSE,"",'Dvd Calendar'!$O$1520))</f>
        <v/>
      </c>
      <c r="BB152" s="106">
        <f>IF(GD152="","",IF(ISNUMBER('Dvd Calendar'!$P$1520)=FALSE,"",'Dvd Calendar'!$P$1520))</f>
        <v/>
      </c>
      <c r="BC152" s="106">
        <f>IF(GE152="","",IF(ISNUMBER('Dvd Calendar'!$Q$1520)=FALSE,"",'Dvd Calendar'!$Q$1520))</f>
        <v/>
      </c>
      <c r="BD152" s="106">
        <f>IF(GF152="","",IF(ISNUMBER('Dvd Calendar'!$R$1520)=FALSE,"",'Dvd Calendar'!$R$1520))</f>
        <v/>
      </c>
      <c r="BE152" s="106">
        <f>IF(GG152="","",IF(ISNUMBER('Dvd Calendar'!$S$1520)=FALSE,"",'Dvd Calendar'!$S$1520))</f>
        <v/>
      </c>
      <c r="BF152" s="106">
        <f>IF(GH152="","",IF(ISNUMBER('Dvd Calendar'!$T$1520)=FALSE,"",'Dvd Calendar'!$T$1520))</f>
        <v/>
      </c>
      <c r="BG152" s="106">
        <f>IF(GI152="","",IF(ISNUMBER('Dvd Calendar'!$U$1520)=FALSE,"",'Dvd Calendar'!$U$1520))</f>
        <v/>
      </c>
      <c r="BH152" s="106">
        <f>IF(GJ152="","",IF(ISNUMBER('Dvd Calendar'!$V$1520)=FALSE,"",'Dvd Calendar'!$V$1520))</f>
        <v/>
      </c>
      <c r="BI152" s="106">
        <f>IF(GK152="","",IF(ISNUMBER('Dvd Calendar'!$W$1520)=FALSE,"",'Dvd Calendar'!$W$1520))</f>
        <v/>
      </c>
      <c r="BJ152" s="106">
        <f>IF(GL152="","",IF(ISNUMBER('Dvd Calendar'!$X$1520)=FALSE,"",'Dvd Calendar'!$X$1520))</f>
        <v/>
      </c>
      <c r="BK152" s="106">
        <f>IF(GM152="","",IF(ISNUMBER('Dvd Calendar'!$Y$1520)=FALSE,"",'Dvd Calendar'!$Y$1520))</f>
        <v/>
      </c>
      <c r="BL152" s="106">
        <f>IF(GN152="","",IF(ISNUMBER('Dvd Calendar'!$Z$1520)=FALSE,"",'Dvd Calendar'!$Z$1520))</f>
        <v/>
      </c>
      <c r="BM152" s="106">
        <f>IF(GO152="","",IF(ISNUMBER('Dvd Calendar'!$AA$1520)=FALSE,"",'Dvd Calendar'!$AA$1520))</f>
        <v/>
      </c>
      <c r="BN152" s="106">
        <f>IF(GP152="","",IF(ISNUMBER('Dvd Calendar'!$AB$1520)=FALSE,"",'Dvd Calendar'!$AB$1520))</f>
        <v/>
      </c>
      <c r="BO152" s="106">
        <f>IF(GQ152="","",IF(ISNUMBER('Dvd Calendar'!$AC$1520)=FALSE,"",'Dvd Calendar'!$AC$1520))</f>
        <v/>
      </c>
      <c r="BQ152" s="106">
        <f>IF(C152="","",IFERROR(C152*HSTECH!$B$43*HSTECH!$G$43/HSTECH!$B$3,""))</f>
        <v/>
      </c>
      <c r="BR152" s="106">
        <f>IF(D152="","",IFERROR(D152*HSTECH!$B$43*HSTECH!$G$43/HSTECH!$B$3,""))</f>
        <v/>
      </c>
      <c r="BS152" s="106">
        <f>IF(E152="","",IFERROR(E152*HSTECH!$B$43*HSTECH!$G$43/HSTECH!$B$3,""))</f>
        <v/>
      </c>
      <c r="BT152" s="106">
        <f>IF(F152="","",IFERROR(F152*HSTECH!$B$43*HSTECH!$G$43/HSTECH!$B$3,""))</f>
        <v/>
      </c>
      <c r="BU152" s="106">
        <f>IF(G152="","",IFERROR(G152*HSTECH!$B$43*HSTECH!$G$43/HSTECH!$B$3,""))</f>
        <v/>
      </c>
      <c r="BV152" s="106">
        <f>IF(H152="","",IFERROR(H152*HSTECH!$B$43*HSTECH!$G$43/HSTECH!$B$3,""))</f>
        <v/>
      </c>
      <c r="BW152" s="106">
        <f>IF(I152="","",IFERROR(I152*HSTECH!$B$43*HSTECH!$G$43/HSTECH!$B$3,""))</f>
        <v/>
      </c>
      <c r="BX152" s="106">
        <f>IF(J152="","",IFERROR(J152*HSTECH!$B$43*HSTECH!$G$43/HSTECH!$B$3,""))</f>
        <v/>
      </c>
      <c r="BY152" s="106">
        <f>IF(K152="","",IFERROR(K152*HSTECH!$B$43*HSTECH!$G$43/HSTECH!$B$3,""))</f>
        <v/>
      </c>
      <c r="BZ152" s="106">
        <f>IF(L152="","",IFERROR(L152*HSTECH!$B$43*HSTECH!$G$43/HSTECH!$B$3,""))</f>
        <v/>
      </c>
      <c r="CA152" s="106">
        <f>IF(M152="","",IFERROR(M152*HSTECH!$B$43*HSTECH!$G$43/HSTECH!$B$3,""))</f>
        <v/>
      </c>
      <c r="CB152" s="106">
        <f>IF(N152="","",IFERROR(N152*HSTECH!$B$43*HSTECH!$G$43/HSTECH!$B$3,""))</f>
        <v/>
      </c>
      <c r="CC152" s="106">
        <f>IF(O152="","",IFERROR(O152*HSTECH!$B$43*HSTECH!$G$43/HSTECH!$B$3,""))</f>
        <v/>
      </c>
      <c r="CD152" s="106">
        <f>IF(P152="","",IFERROR(P152*HSTECH!$B$43*HSTECH!$G$43/HSTECH!$B$3,""))</f>
        <v/>
      </c>
      <c r="CE152" s="106">
        <f>IF(Q152="","",IFERROR(Q152*HSTECH!$B$43*HSTECH!$G$43/HSTECH!$B$3,""))</f>
        <v/>
      </c>
      <c r="CF152" s="106">
        <f>IF(R152="","",IFERROR(R152*HSTECH!$B$43*HSTECH!$G$43/HSTECH!$B$3,""))</f>
        <v/>
      </c>
      <c r="CG152" s="106">
        <f>IF(S152="","",IFERROR(S152*HSTECH!$B$43*HSTECH!$G$43/HSTECH!$B$3,""))</f>
        <v/>
      </c>
      <c r="CH152" s="106">
        <f>IF(T152="","",IFERROR(T152*HSTECH!$B$43*HSTECH!$G$43/HSTECH!$B$3,""))</f>
        <v/>
      </c>
      <c r="CI152" s="106">
        <f>IF(U152="","",IFERROR(U152*HSTECH!$B$43*HSTECH!$G$43/HSTECH!$B$3,""))</f>
        <v/>
      </c>
      <c r="CJ152" s="106">
        <f>IF(V152="","",IFERROR(V152*HSTECH!$B$43*HSTECH!$G$43/HSTECH!$B$3,""))</f>
        <v/>
      </c>
      <c r="CK152" s="106">
        <f>IF(W152="","",IFERROR(W152*HSTECH!$B$43*HSTECH!$G$43/HSTECH!$B$3,""))</f>
        <v/>
      </c>
      <c r="CL152" s="106">
        <f>IF(X152="","",IFERROR(X152*HSTECH!$B$43*HSTECH!$G$43/HSTECH!$B$3,""))</f>
        <v/>
      </c>
      <c r="CM152" s="106">
        <f>IF(Y152="","",IFERROR(Y152*HSTECH!$B$43*HSTECH!$G$43/HSTECH!$B$3,""))</f>
        <v/>
      </c>
      <c r="CN152" s="106">
        <f>IF(Z152="","",IFERROR(Z152*HSTECH!$B$43*HSTECH!$G$43/HSTECH!$B$3,""))</f>
        <v/>
      </c>
      <c r="CO152" s="106">
        <f>IF(AA152="","",IFERROR(AA152*HSTECH!$B$43*HSTECH!$G$43/HSTECH!$B$3,""))</f>
        <v/>
      </c>
      <c r="CP152" s="106">
        <f>IF(AB152="","",IFERROR(AB152*HSTECH!$B$43*HSTECH!$G$43/HSTECH!$B$3,""))</f>
        <v/>
      </c>
      <c r="CQ152" s="106">
        <f>IF(AC152="","",IFERROR(AC152*HSTECH!$B$43*HSTECH!$G$43/HSTECH!$B$3,""))</f>
        <v/>
      </c>
      <c r="CR152" s="106">
        <f>IF(AD152="","",IFERROR(AD152*HSTECH!$B$43*HSTECH!$G$43/HSTECH!$B$3,""))</f>
        <v/>
      </c>
      <c r="CS152" s="106">
        <f>IF(AE152="","",IFERROR(AE152*HSTECH!$B$43*HSTECH!$G$43/HSTECH!$B$3,""))</f>
        <v/>
      </c>
      <c r="CT152" s="106">
        <f>IF(AF152="","",IFERROR(AF152*HSTECH!$B$43*HSTECH!$G$43/HSTECH!$B$3,""))</f>
        <v/>
      </c>
      <c r="CU152" s="106">
        <f>IF(AG152="","",IFERROR(AG152*HSTECH!$B$43*HSTECH!$G$43/HSTECH!$B$3,""))</f>
        <v/>
      </c>
      <c r="CV152" s="106">
        <f>IF(AH152="","",IFERROR(AH152*HSTECH!$B$43*HSTECH!$G$43/HSTECH!$B$3,""))</f>
        <v/>
      </c>
      <c r="CW152" s="106">
        <f>IF(AI152="","",IFERROR(AI152*HSTECH!$B$43*HSTECH!$G$43/HSTECH!$B$3,""))</f>
        <v/>
      </c>
      <c r="CX152" s="106">
        <f>IF(AJ152="","",IFERROR(AJ152*HSTECH!$B$43*HSTECH!$G$43/HSTECH!$B$3,""))</f>
        <v/>
      </c>
      <c r="CY152" s="106">
        <f>IF(AK152="","",IFERROR(AK152*HSTECH!$B$43*HSTECH!$G$43/HSTECH!$B$3,""))</f>
        <v/>
      </c>
      <c r="CZ152" s="106">
        <f>IF(AL152="","",IFERROR(AL152*HSTECH!$B$43*HSTECH!$G$43/HSTECH!$B$3,""))</f>
        <v/>
      </c>
      <c r="DA152" s="106">
        <f>IF(AM152="","",IFERROR(AM152*HSTECH!$B$43*HSTECH!$G$43/HSTECH!$B$3,""))</f>
        <v/>
      </c>
      <c r="DB152" s="106">
        <f>IF(AN152="","",IFERROR(AN152*HSTECH!$B$43*HSTECH!$G$43/HSTECH!$B$3,""))</f>
        <v/>
      </c>
      <c r="DC152" s="106">
        <f>IF(AO152="","",IFERROR(AO152*HSTECH!$B$43*HSTECH!$G$43/HSTECH!$B$3,""))</f>
        <v/>
      </c>
      <c r="DD152" s="106">
        <f>IF(AP152="","",IFERROR(AP152*HSTECH!$B$43*HSTECH!$G$43/HSTECH!$B$3,""))</f>
        <v/>
      </c>
      <c r="DE152" s="106">
        <f>IF(AQ152="","",IFERROR(AQ152*HSTECH!$B$43*HSTECH!$G$43/HSTECH!$B$3,""))</f>
        <v/>
      </c>
      <c r="DF152" s="106">
        <f>IF(AR152="","",IFERROR(AR152*HSTECH!$B$43*HSTECH!$G$43/HSTECH!$B$3,""))</f>
        <v/>
      </c>
      <c r="DG152" s="106">
        <f>IF(AS152="","",IFERROR(AS152*HSTECH!$B$43*HSTECH!$G$43/HSTECH!$B$3,""))</f>
        <v/>
      </c>
      <c r="DH152" s="106">
        <f>IF(AT152="","",IFERROR(AT152*HSTECH!$B$43*HSTECH!$G$43/HSTECH!$B$3,""))</f>
        <v/>
      </c>
      <c r="DI152" s="106">
        <f>IF(AU152="","",IFERROR(AU152*HSTECH!$B$43*HSTECH!$G$43/HSTECH!$B$3,""))</f>
        <v/>
      </c>
      <c r="DJ152" s="106">
        <f>IF(AV152="","",IFERROR(AV152*HSTECH!$B$43*HSTECH!$G$43/HSTECH!$B$3,""))</f>
        <v/>
      </c>
      <c r="DK152" s="106">
        <f>IF(AW152="","",IFERROR(AW152*HSTECH!$B$43*HSTECH!$G$43/HSTECH!$B$3,""))</f>
        <v/>
      </c>
      <c r="DL152" s="106">
        <f>IF(AX152="","",IFERROR(AX152*HSTECH!$B$43*HSTECH!$G$43/HSTECH!$B$3,""))</f>
        <v/>
      </c>
      <c r="DM152" s="106">
        <f>IF(AY152="","",IFERROR(AY152*HSTECH!$B$43*HSTECH!$G$43/HSTECH!$B$3,""))</f>
        <v/>
      </c>
      <c r="DN152" s="106">
        <f>IF(AZ152="","",IFERROR(AZ152*HSTECH!$B$43*HSTECH!$G$43/HSTECH!$B$3,""))</f>
        <v/>
      </c>
      <c r="DO152" s="106">
        <f>IF(BA152="","",IFERROR(BA152*HSTECH!$B$43*HSTECH!$G$43/HSTECH!$B$3,""))</f>
        <v/>
      </c>
      <c r="DP152" s="106">
        <f>IF(BB152="","",IFERROR(BB152*HSTECH!$B$43*HSTECH!$G$43/HSTECH!$B$3,""))</f>
        <v/>
      </c>
      <c r="DQ152" s="106">
        <f>IF(BC152="","",IFERROR(BC152*HSTECH!$B$43*HSTECH!$G$43/HSTECH!$B$3,""))</f>
        <v/>
      </c>
      <c r="DR152" s="106">
        <f>IF(BD152="","",IFERROR(BD152*HSTECH!$B$43*HSTECH!$G$43/HSTECH!$B$3,""))</f>
        <v/>
      </c>
      <c r="DS152" s="106">
        <f>IF(BE152="","",IFERROR(BE152*HSTECH!$B$43*HSTECH!$G$43/HSTECH!$B$3,""))</f>
        <v/>
      </c>
      <c r="DT152" s="106">
        <f>IF(BF152="","",IFERROR(BF152*HSTECH!$B$43*HSTECH!$G$43/HSTECH!$B$3,""))</f>
        <v/>
      </c>
      <c r="DU152" s="106">
        <f>IF(BG152="","",IFERROR(BG152*HSTECH!$B$43*HSTECH!$G$43/HSTECH!$B$3,""))</f>
        <v/>
      </c>
      <c r="DV152" s="106">
        <f>IF(BH152="","",IFERROR(BH152*HSTECH!$B$43*HSTECH!$G$43/HSTECH!$B$3,""))</f>
        <v/>
      </c>
      <c r="DW152" s="106">
        <f>IF(BI152="","",IFERROR(BI152*HSTECH!$B$43*HSTECH!$G$43/HSTECH!$B$3,""))</f>
        <v/>
      </c>
      <c r="DX152" s="106">
        <f>IF(BJ152="","",IFERROR(BJ152*HSTECH!$B$43*HSTECH!$G$43/HSTECH!$B$3,""))</f>
        <v/>
      </c>
      <c r="DY152" s="106">
        <f>IF(BK152="","",IFERROR(BK152*HSTECH!$B$43*HSTECH!$G$43/HSTECH!$B$3,""))</f>
        <v/>
      </c>
      <c r="DZ152" s="106">
        <f>IF(BL152="","",IFERROR(BL152*HSTECH!$B$43*HSTECH!$G$43/HSTECH!$B$3,""))</f>
        <v/>
      </c>
      <c r="EA152" s="106">
        <f>IF(BM152="","",IFERROR(BM152*HSTECH!$B$43*HSTECH!$G$43/HSTECH!$B$3,""))</f>
        <v/>
      </c>
      <c r="EB152" s="106">
        <f>IF(BN152="","",IFERROR(BN152*HSTECH!$B$43*HSTECH!$G$43/HSTECH!$B$3,""))</f>
        <v/>
      </c>
      <c r="EC152" s="106">
        <f>IF(BO152="","",IFERROR(BO152*HSTECH!$B$43*HSTECH!$G$43/HSTECH!$B$3,""))</f>
        <v/>
      </c>
      <c r="EE152" s="35">
        <f>IF(N('Dvd Calendar'!$E$1512)=0,"",IF(('Dvd Calendar'!$E$1512&gt;=GRID_FROM)*('Dvd Calendar'!$E$1512&lt;=GRID_TO)*('Dvd Calendar'!$E$1512&lt;=VAL_DATE)=0,"",'Dvd Calendar'!$E$1512*1000000000+ISNUMBER('Dvd Calendar'!$E$1515)*100000000+('Dvd Calendar'!$E$1517=SPECIAL_LBL)*10000000+0*1000000+37*1000+1))</f>
        <v/>
      </c>
      <c r="EF152" s="35">
        <f>IF(N('Dvd Calendar'!$F$1512)=0,"",IF(('Dvd Calendar'!$F$1512&gt;=GRID_FROM)*('Dvd Calendar'!$F$1512&lt;=GRID_TO)*('Dvd Calendar'!$F$1512&lt;=VAL_DATE)=0,"",'Dvd Calendar'!$F$1512*1000000000+ISNUMBER('Dvd Calendar'!$F$1515)*100000000+('Dvd Calendar'!$F$1517=SPECIAL_LBL)*10000000+0*1000000+37*1000+2))</f>
        <v/>
      </c>
      <c r="EG152" s="35">
        <f>IF(N('Dvd Calendar'!$G$1512)=0,"",IF(('Dvd Calendar'!$G$1512&gt;=GRID_FROM)*('Dvd Calendar'!$G$1512&lt;=GRID_TO)*('Dvd Calendar'!$G$1512&lt;=VAL_DATE)=0,"",'Dvd Calendar'!$G$1512*1000000000+ISNUMBER('Dvd Calendar'!$G$1515)*100000000+('Dvd Calendar'!$G$1517=SPECIAL_LBL)*10000000+0*1000000+37*1000+3))</f>
        <v/>
      </c>
      <c r="EH152" s="35">
        <f>IF(N('Dvd Calendar'!$H$1512)=0,"",IF(('Dvd Calendar'!$H$1512&gt;=GRID_FROM)*('Dvd Calendar'!$H$1512&lt;=GRID_TO)*('Dvd Calendar'!$H$1512&lt;=VAL_DATE)=0,"",'Dvd Calendar'!$H$1512*1000000000+ISNUMBER('Dvd Calendar'!$H$1515)*100000000+('Dvd Calendar'!$H$1517=SPECIAL_LBL)*10000000+0*1000000+37*1000+4))</f>
        <v/>
      </c>
      <c r="EI152" s="35">
        <f>IF(N('Dvd Calendar'!$I$1512)=0,"",IF(('Dvd Calendar'!$I$1512&gt;=GRID_FROM)*('Dvd Calendar'!$I$1512&lt;=GRID_TO)*('Dvd Calendar'!$I$1512&lt;=VAL_DATE)=0,"",'Dvd Calendar'!$I$1512*1000000000+ISNUMBER('Dvd Calendar'!$I$1515)*100000000+('Dvd Calendar'!$I$1517=SPECIAL_LBL)*10000000+0*1000000+37*1000+5))</f>
        <v/>
      </c>
      <c r="EJ152" s="35">
        <f>IF(N('Dvd Calendar'!$J$1512)=0,"",IF(('Dvd Calendar'!$J$1512&gt;=GRID_FROM)*('Dvd Calendar'!$J$1512&lt;=GRID_TO)*('Dvd Calendar'!$J$1512&lt;=VAL_DATE)=0,"",'Dvd Calendar'!$J$1512*1000000000+ISNUMBER('Dvd Calendar'!$J$1515)*100000000+('Dvd Calendar'!$J$1517=SPECIAL_LBL)*10000000+0*1000000+37*1000+6))</f>
        <v/>
      </c>
      <c r="EK152" s="35">
        <f>IF(N('Dvd Calendar'!$K$1512)=0,"",IF(('Dvd Calendar'!$K$1512&gt;=GRID_FROM)*('Dvd Calendar'!$K$1512&lt;=GRID_TO)*('Dvd Calendar'!$K$1512&lt;=VAL_DATE)=0,"",'Dvd Calendar'!$K$1512*1000000000+ISNUMBER('Dvd Calendar'!$K$1515)*100000000+('Dvd Calendar'!$K$1517=SPECIAL_LBL)*10000000+0*1000000+37*1000+7))</f>
        <v/>
      </c>
      <c r="EL152" s="35">
        <f>IF(N('Dvd Calendar'!$L$1512)=0,"",IF(('Dvd Calendar'!$L$1512&gt;=GRID_FROM)*('Dvd Calendar'!$L$1512&lt;=GRID_TO)*('Dvd Calendar'!$L$1512&lt;=VAL_DATE)=0,"",'Dvd Calendar'!$L$1512*1000000000+ISNUMBER('Dvd Calendar'!$L$1515)*100000000+('Dvd Calendar'!$L$1517=SPECIAL_LBL)*10000000+0*1000000+37*1000+8))</f>
        <v/>
      </c>
      <c r="EM152" s="35">
        <f>IF(N('Dvd Calendar'!$M$1512)=0,"",IF(('Dvd Calendar'!$M$1512&gt;=GRID_FROM)*('Dvd Calendar'!$M$1512&lt;=GRID_TO)*('Dvd Calendar'!$M$1512&lt;=VAL_DATE)=0,"",'Dvd Calendar'!$M$1512*1000000000+ISNUMBER('Dvd Calendar'!$M$1515)*100000000+('Dvd Calendar'!$M$1517=SPECIAL_LBL)*10000000+0*1000000+37*1000+9))</f>
        <v/>
      </c>
      <c r="EN152" s="35">
        <f>IF(N('Dvd Calendar'!$N$1512)=0,"",IF(('Dvd Calendar'!$N$1512&gt;=GRID_FROM)*('Dvd Calendar'!$N$1512&lt;=GRID_TO)*('Dvd Calendar'!$N$1512&lt;=VAL_DATE)=0,"",'Dvd Calendar'!$N$1512*1000000000+ISNUMBER('Dvd Calendar'!$N$1515)*100000000+('Dvd Calendar'!$N$1517=SPECIAL_LBL)*10000000+0*1000000+37*1000+10))</f>
        <v/>
      </c>
      <c r="EO152" s="35">
        <f>IF(N('Dvd Calendar'!$O$1512)=0,"",IF(('Dvd Calendar'!$O$1512&gt;=GRID_FROM)*('Dvd Calendar'!$O$1512&lt;=GRID_TO)*('Dvd Calendar'!$O$1512&lt;=VAL_DATE)=0,"",'Dvd Calendar'!$O$1512*1000000000+ISNUMBER('Dvd Calendar'!$O$1515)*100000000+('Dvd Calendar'!$O$1517=SPECIAL_LBL)*10000000+0*1000000+37*1000+11))</f>
        <v/>
      </c>
      <c r="EP152" s="35">
        <f>IF(N('Dvd Calendar'!$P$1512)=0,"",IF(('Dvd Calendar'!$P$1512&gt;=GRID_FROM)*('Dvd Calendar'!$P$1512&lt;=GRID_TO)*('Dvd Calendar'!$P$1512&lt;=VAL_DATE)=0,"",'Dvd Calendar'!$P$1512*1000000000+ISNUMBER('Dvd Calendar'!$P$1515)*100000000+('Dvd Calendar'!$P$1517=SPECIAL_LBL)*10000000+0*1000000+37*1000+12))</f>
        <v/>
      </c>
      <c r="EQ152" s="35">
        <f>IF(N('Dvd Calendar'!$Q$1512)=0,"",IF(('Dvd Calendar'!$Q$1512&gt;=GRID_FROM)*('Dvd Calendar'!$Q$1512&lt;=GRID_TO)*('Dvd Calendar'!$Q$1512&lt;=VAL_DATE)=0,"",'Dvd Calendar'!$Q$1512*1000000000+ISNUMBER('Dvd Calendar'!$Q$1515)*100000000+('Dvd Calendar'!$Q$1517=SPECIAL_LBL)*10000000+0*1000000+37*1000+13))</f>
        <v/>
      </c>
      <c r="ER152" s="35">
        <f>IF(N('Dvd Calendar'!$R$1512)=0,"",IF(('Dvd Calendar'!$R$1512&gt;=GRID_FROM)*('Dvd Calendar'!$R$1512&lt;=GRID_TO)*('Dvd Calendar'!$R$1512&lt;=VAL_DATE)=0,"",'Dvd Calendar'!$R$1512*1000000000+ISNUMBER('Dvd Calendar'!$R$1515)*100000000+('Dvd Calendar'!$R$1517=SPECIAL_LBL)*10000000+0*1000000+37*1000+14))</f>
        <v/>
      </c>
      <c r="ES152" s="35">
        <f>IF(N('Dvd Calendar'!$S$1512)=0,"",IF(('Dvd Calendar'!$S$1512&gt;=GRID_FROM)*('Dvd Calendar'!$S$1512&lt;=GRID_TO)*('Dvd Calendar'!$S$1512&lt;=VAL_DATE)=0,"",'Dvd Calendar'!$S$1512*1000000000+ISNUMBER('Dvd Calendar'!$S$1515)*100000000+('Dvd Calendar'!$S$1517=SPECIAL_LBL)*10000000+0*1000000+37*1000+15))</f>
        <v/>
      </c>
      <c r="ET152" s="35">
        <f>IF(N('Dvd Calendar'!$T$1512)=0,"",IF(('Dvd Calendar'!$T$1512&gt;=GRID_FROM)*('Dvd Calendar'!$T$1512&lt;=GRID_TO)*('Dvd Calendar'!$T$1512&lt;=VAL_DATE)=0,"",'Dvd Calendar'!$T$1512*1000000000+ISNUMBER('Dvd Calendar'!$T$1515)*100000000+('Dvd Calendar'!$T$1517=SPECIAL_LBL)*10000000+0*1000000+37*1000+16))</f>
        <v/>
      </c>
      <c r="EU152" s="35">
        <f>IF(N('Dvd Calendar'!$U$1512)=0,"",IF(('Dvd Calendar'!$U$1512&gt;=GRID_FROM)*('Dvd Calendar'!$U$1512&lt;=GRID_TO)*('Dvd Calendar'!$U$1512&lt;=VAL_DATE)=0,"",'Dvd Calendar'!$U$1512*1000000000+ISNUMBER('Dvd Calendar'!$U$1515)*100000000+('Dvd Calendar'!$U$1517=SPECIAL_LBL)*10000000+0*1000000+37*1000+17))</f>
        <v/>
      </c>
      <c r="EV152" s="35">
        <f>IF(N('Dvd Calendar'!$V$1512)=0,"",IF(('Dvd Calendar'!$V$1512&gt;=GRID_FROM)*('Dvd Calendar'!$V$1512&lt;=GRID_TO)*('Dvd Calendar'!$V$1512&lt;=VAL_DATE)=0,"",'Dvd Calendar'!$V$1512*1000000000+ISNUMBER('Dvd Calendar'!$V$1515)*100000000+('Dvd Calendar'!$V$1517=SPECIAL_LBL)*10000000+0*1000000+37*1000+18))</f>
        <v/>
      </c>
      <c r="EW152" s="35">
        <f>IF(N('Dvd Calendar'!$W$1512)=0,"",IF(('Dvd Calendar'!$W$1512&gt;=GRID_FROM)*('Dvd Calendar'!$W$1512&lt;=GRID_TO)*('Dvd Calendar'!$W$1512&lt;=VAL_DATE)=0,"",'Dvd Calendar'!$W$1512*1000000000+ISNUMBER('Dvd Calendar'!$W$1515)*100000000+('Dvd Calendar'!$W$1517=SPECIAL_LBL)*10000000+0*1000000+37*1000+19))</f>
        <v/>
      </c>
      <c r="EX152" s="35">
        <f>IF(N('Dvd Calendar'!$X$1512)=0,"",IF(('Dvd Calendar'!$X$1512&gt;=GRID_FROM)*('Dvd Calendar'!$X$1512&lt;=GRID_TO)*('Dvd Calendar'!$X$1512&lt;=VAL_DATE)=0,"",'Dvd Calendar'!$X$1512*1000000000+ISNUMBER('Dvd Calendar'!$X$1515)*100000000+('Dvd Calendar'!$X$1517=SPECIAL_LBL)*10000000+0*1000000+37*1000+20))</f>
        <v/>
      </c>
      <c r="EY152" s="35">
        <f>IF(N('Dvd Calendar'!$Y$1512)=0,"",IF(('Dvd Calendar'!$Y$1512&gt;=GRID_FROM)*('Dvd Calendar'!$Y$1512&lt;=GRID_TO)*('Dvd Calendar'!$Y$1512&lt;=VAL_DATE)=0,"",'Dvd Calendar'!$Y$1512*1000000000+ISNUMBER('Dvd Calendar'!$Y$1515)*100000000+('Dvd Calendar'!$Y$1517=SPECIAL_LBL)*10000000+0*1000000+37*1000+21))</f>
        <v/>
      </c>
      <c r="EZ152" s="35">
        <f>IF(N('Dvd Calendar'!$Z$1512)=0,"",IF(('Dvd Calendar'!$Z$1512&gt;=GRID_FROM)*('Dvd Calendar'!$Z$1512&lt;=GRID_TO)*('Dvd Calendar'!$Z$1512&lt;=VAL_DATE)=0,"",'Dvd Calendar'!$Z$1512*1000000000+ISNUMBER('Dvd Calendar'!$Z$1515)*100000000+('Dvd Calendar'!$Z$1517=SPECIAL_LBL)*10000000+0*1000000+37*1000+22))</f>
        <v/>
      </c>
      <c r="FA152" s="35">
        <f>IF(N('Dvd Calendar'!$AA$1512)=0,"",IF(('Dvd Calendar'!$AA$1512&gt;=GRID_FROM)*('Dvd Calendar'!$AA$1512&lt;=GRID_TO)*('Dvd Calendar'!$AA$1512&lt;=VAL_DATE)=0,"",'Dvd Calendar'!$AA$1512*1000000000+ISNUMBER('Dvd Calendar'!$AA$1515)*100000000+('Dvd Calendar'!$AA$1517=SPECIAL_LBL)*10000000+0*1000000+37*1000+23))</f>
        <v/>
      </c>
      <c r="FB152" s="35">
        <f>IF(N('Dvd Calendar'!$AB$1512)=0,"",IF(('Dvd Calendar'!$AB$1512&gt;=GRID_FROM)*('Dvd Calendar'!$AB$1512&lt;=GRID_TO)*('Dvd Calendar'!$AB$1512&lt;=VAL_DATE)=0,"",'Dvd Calendar'!$AB$1512*1000000000+ISNUMBER('Dvd Calendar'!$AB$1515)*100000000+('Dvd Calendar'!$AB$1517=SPECIAL_LBL)*10000000+0*1000000+37*1000+24))</f>
        <v/>
      </c>
      <c r="FC152" s="35">
        <f>IF(N('Dvd Calendar'!$AC$1512)=0,"",IF(('Dvd Calendar'!$AC$1512&gt;=GRID_FROM)*('Dvd Calendar'!$AC$1512&lt;=GRID_TO)*('Dvd Calendar'!$AC$1512&lt;=VAL_DATE)=0,"",'Dvd Calendar'!$AC$1512*1000000000+ISNUMBER('Dvd Calendar'!$AC$1515)*100000000+('Dvd Calendar'!$AC$1517=SPECIAL_LBL)*10000000+0*1000000+37*1000+25))</f>
        <v/>
      </c>
      <c r="FD152" s="35">
        <f>IF(N('Dvd Calendar'!$AD$1512)=0,"",IF(('Dvd Calendar'!$AD$1512&gt;=GRID_FROM)*('Dvd Calendar'!$AD$1512&lt;=GRID_TO)*('Dvd Calendar'!$AD$1512&lt;=VAL_DATE)=0,"",'Dvd Calendar'!$AD$1512*1000000000+ISNUMBER('Dvd Calendar'!$AD$1515)*100000000+('Dvd Calendar'!$AD$1517=SPECIAL_LBL)*10000000+0*1000000+37*1000+26))</f>
        <v/>
      </c>
      <c r="FE152" s="35">
        <f>IF(N('Dvd Calendar'!$AE$1512)=0,"",IF(('Dvd Calendar'!$AE$1512&gt;=GRID_FROM)*('Dvd Calendar'!$AE$1512&lt;=GRID_TO)*('Dvd Calendar'!$AE$1512&lt;=VAL_DATE)=0,"",'Dvd Calendar'!$AE$1512*1000000000+ISNUMBER('Dvd Calendar'!$AE$1515)*100000000+('Dvd Calendar'!$AE$1517=SPECIAL_LBL)*10000000+0*1000000+37*1000+27))</f>
        <v/>
      </c>
      <c r="FF152" s="35">
        <f>IF(N('Dvd Calendar'!$AF$1512)=0,"",IF(('Dvd Calendar'!$AF$1512&gt;=GRID_FROM)*('Dvd Calendar'!$AF$1512&lt;=GRID_TO)*('Dvd Calendar'!$AF$1512&lt;=VAL_DATE)=0,"",'Dvd Calendar'!$AF$1512*1000000000+ISNUMBER('Dvd Calendar'!$AF$1515)*100000000+('Dvd Calendar'!$AF$1517=SPECIAL_LBL)*10000000+0*1000000+37*1000+28))</f>
        <v/>
      </c>
      <c r="FG152" s="35">
        <f>IF(N('Dvd Calendar'!$AG$1512)=0,"",IF(('Dvd Calendar'!$AG$1512&gt;=GRID_FROM)*('Dvd Calendar'!$AG$1512&lt;=GRID_TO)*('Dvd Calendar'!$AG$1512&lt;=VAL_DATE)=0,"",'Dvd Calendar'!$AG$1512*1000000000+ISNUMBER('Dvd Calendar'!$AG$1515)*100000000+('Dvd Calendar'!$AG$1517=SPECIAL_LBL)*10000000+0*1000000+37*1000+29))</f>
        <v/>
      </c>
      <c r="FH152" s="35">
        <f>IF(N('Dvd Calendar'!$AH$1512)=0,"",IF(('Dvd Calendar'!$AH$1512&gt;=GRID_FROM)*('Dvd Calendar'!$AH$1512&lt;=GRID_TO)*('Dvd Calendar'!$AH$1512&lt;=VAL_DATE)=0,"",'Dvd Calendar'!$AH$1512*1000000000+ISNUMBER('Dvd Calendar'!$AH$1515)*100000000+('Dvd Calendar'!$AH$1517=SPECIAL_LBL)*10000000+0*1000000+37*1000+30))</f>
        <v/>
      </c>
      <c r="FI152" s="35">
        <f>IF(N('Dvd Calendar'!$AI$1512)=0,"",IF(('Dvd Calendar'!$AI$1512&gt;=GRID_FROM)*('Dvd Calendar'!$AI$1512&lt;=GRID_TO)*('Dvd Calendar'!$AI$1512&lt;=VAL_DATE)=0,"",'Dvd Calendar'!$AI$1512*1000000000+ISNUMBER('Dvd Calendar'!$AI$1515)*100000000+('Dvd Calendar'!$AI$1517=SPECIAL_LBL)*10000000+0*1000000+37*1000+31))</f>
        <v/>
      </c>
      <c r="FJ152" s="35">
        <f>IF(N('Dvd Calendar'!$AJ$1512)=0,"",IF(('Dvd Calendar'!$AJ$1512&gt;=GRID_FROM)*('Dvd Calendar'!$AJ$1512&lt;=GRID_TO)*('Dvd Calendar'!$AJ$1512&lt;=VAL_DATE)=0,"",'Dvd Calendar'!$AJ$1512*1000000000+ISNUMBER('Dvd Calendar'!$AJ$1515)*100000000+('Dvd Calendar'!$AJ$1517=SPECIAL_LBL)*10000000+0*1000000+37*1000+32))</f>
        <v/>
      </c>
      <c r="FK152" s="35">
        <f>IF(N('Dvd Calendar'!$AK$1512)=0,"",IF(('Dvd Calendar'!$AK$1512&gt;=GRID_FROM)*('Dvd Calendar'!$AK$1512&lt;=GRID_TO)*('Dvd Calendar'!$AK$1512&lt;=VAL_DATE)=0,"",'Dvd Calendar'!$AK$1512*1000000000+ISNUMBER('Dvd Calendar'!$AK$1515)*100000000+('Dvd Calendar'!$AK$1517=SPECIAL_LBL)*10000000+0*1000000+37*1000+33))</f>
        <v/>
      </c>
      <c r="FL152" s="35">
        <f>IF(N('Dvd Calendar'!$AL$1512)=0,"",IF(('Dvd Calendar'!$AL$1512&gt;=GRID_FROM)*('Dvd Calendar'!$AL$1512&lt;=GRID_TO)*('Dvd Calendar'!$AL$1512&lt;=VAL_DATE)=0,"",'Dvd Calendar'!$AL$1512*1000000000+ISNUMBER('Dvd Calendar'!$AL$1515)*100000000+('Dvd Calendar'!$AL$1517=SPECIAL_LBL)*10000000+0*1000000+37*1000+34))</f>
        <v/>
      </c>
      <c r="FM152" s="35">
        <f>IF(N('Dvd Calendar'!$AM$1512)=0,"",IF(('Dvd Calendar'!$AM$1512&gt;=GRID_FROM)*('Dvd Calendar'!$AM$1512&lt;=GRID_TO)*('Dvd Calendar'!$AM$1512&lt;=VAL_DATE)=0,"",'Dvd Calendar'!$AM$1512*1000000000+ISNUMBER('Dvd Calendar'!$AM$1515)*100000000+('Dvd Calendar'!$AM$1517=SPECIAL_LBL)*10000000+0*1000000+37*1000+35))</f>
        <v/>
      </c>
      <c r="FN152" s="35">
        <f>IF(N('Dvd Calendar'!$AN$1512)=0,"",IF(('Dvd Calendar'!$AN$1512&gt;=GRID_FROM)*('Dvd Calendar'!$AN$1512&lt;=GRID_TO)*('Dvd Calendar'!$AN$1512&lt;=VAL_DATE)=0,"",'Dvd Calendar'!$AN$1512*1000000000+ISNUMBER('Dvd Calendar'!$AN$1515)*100000000+('Dvd Calendar'!$AN$1517=SPECIAL_LBL)*10000000+0*1000000+37*1000+36))</f>
        <v/>
      </c>
      <c r="FO152" s="35">
        <f>IF(N('Dvd Calendar'!$AO$1512)=0,"",IF(('Dvd Calendar'!$AO$1512&gt;=GRID_FROM)*('Dvd Calendar'!$AO$1512&lt;=GRID_TO)*('Dvd Calendar'!$AO$1512&lt;=VAL_DATE)=0,"",'Dvd Calendar'!$AO$1512*1000000000+ISNUMBER('Dvd Calendar'!$AO$1515)*100000000+('Dvd Calendar'!$AO$1517=SPECIAL_LBL)*10000000+0*1000000+37*1000+37))</f>
        <v/>
      </c>
      <c r="FP152" s="35">
        <f>IF(N('Dvd Calendar'!$AP$1512)=0,"",IF(('Dvd Calendar'!$AP$1512&gt;=GRID_FROM)*('Dvd Calendar'!$AP$1512&lt;=GRID_TO)*('Dvd Calendar'!$AP$1512&lt;=VAL_DATE)=0,"",'Dvd Calendar'!$AP$1512*1000000000+ISNUMBER('Dvd Calendar'!$AP$1515)*100000000+('Dvd Calendar'!$AP$1517=SPECIAL_LBL)*10000000+0*1000000+37*1000+38))</f>
        <v/>
      </c>
      <c r="FQ152" s="35">
        <f>IF(N('Dvd Calendar'!$AQ$1512)=0,"",IF(('Dvd Calendar'!$AQ$1512&gt;=GRID_FROM)*('Dvd Calendar'!$AQ$1512&lt;=GRID_TO)*('Dvd Calendar'!$AQ$1512&lt;=VAL_DATE)=0,"",'Dvd Calendar'!$AQ$1512*1000000000+ISNUMBER('Dvd Calendar'!$AQ$1515)*100000000+('Dvd Calendar'!$AQ$1517=SPECIAL_LBL)*10000000+0*1000000+37*1000+39))</f>
        <v/>
      </c>
      <c r="FR152" s="35">
        <f>IF(N('Dvd Calendar'!$AR$1512)=0,"",IF(('Dvd Calendar'!$AR$1512&gt;=GRID_FROM)*('Dvd Calendar'!$AR$1512&lt;=GRID_TO)*('Dvd Calendar'!$AR$1512&lt;=VAL_DATE)=0,"",'Dvd Calendar'!$AR$1512*1000000000+ISNUMBER('Dvd Calendar'!$AR$1515)*100000000+('Dvd Calendar'!$AR$1517=SPECIAL_LBL)*10000000+0*1000000+37*1000+40))</f>
        <v/>
      </c>
      <c r="FS152" s="35">
        <f>IF(N('Dvd Calendar'!$E$1519)=0,"",IF(('Dvd Calendar'!$E$1519&gt;=GRID_FROM)*('Dvd Calendar'!$E$1519&lt;=GRID_TO)*('Dvd Calendar'!$E$1519&gt;VAL_DATE)=0,"",'Dvd Calendar'!$E$1519*1000000000+ISNUMBER('Dvd Calendar'!$E$1520)*100000000+0*10000000+(N('Dvd Calendar'!$E$1518)&gt;0)*(N('Dvd Calendar'!$E$1518)&lt;=VAL_SERIAL)*1000000+37*1000+41))</f>
        <v/>
      </c>
      <c r="FT152" s="35">
        <f>IF(N('Dvd Calendar'!$F$1519)=0,"",IF(('Dvd Calendar'!$F$1519&gt;=GRID_FROM)*('Dvd Calendar'!$F$1519&lt;=GRID_TO)*('Dvd Calendar'!$F$1519&gt;VAL_DATE)=0,"",'Dvd Calendar'!$F$1519*1000000000+ISNUMBER('Dvd Calendar'!$F$1520)*100000000+0*10000000+(N('Dvd Calendar'!$F$1518)&gt;0)*(N('Dvd Calendar'!$F$1518)&lt;=VAL_SERIAL)*1000000+37*1000+42))</f>
        <v/>
      </c>
      <c r="FU152" s="35">
        <f>IF(N('Dvd Calendar'!$G$1519)=0,"",IF(('Dvd Calendar'!$G$1519&gt;=GRID_FROM)*('Dvd Calendar'!$G$1519&lt;=GRID_TO)*('Dvd Calendar'!$G$1519&gt;VAL_DATE)=0,"",'Dvd Calendar'!$G$1519*1000000000+ISNUMBER('Dvd Calendar'!$G$1520)*100000000+0*10000000+(N('Dvd Calendar'!$G$1518)&gt;0)*(N('Dvd Calendar'!$G$1518)&lt;=VAL_SERIAL)*1000000+37*1000+43))</f>
        <v/>
      </c>
      <c r="FV152" s="35">
        <f>IF(N('Dvd Calendar'!$H$1519)=0,"",IF(('Dvd Calendar'!$H$1519&gt;=GRID_FROM)*('Dvd Calendar'!$H$1519&lt;=GRID_TO)*('Dvd Calendar'!$H$1519&gt;VAL_DATE)=0,"",'Dvd Calendar'!$H$1519*1000000000+ISNUMBER('Dvd Calendar'!$H$1520)*100000000+0*10000000+(N('Dvd Calendar'!$H$1518)&gt;0)*(N('Dvd Calendar'!$H$1518)&lt;=VAL_SERIAL)*1000000+37*1000+44))</f>
        <v/>
      </c>
      <c r="FW152" s="35">
        <f>IF(N('Dvd Calendar'!$I$1519)=0,"",IF(('Dvd Calendar'!$I$1519&gt;=GRID_FROM)*('Dvd Calendar'!$I$1519&lt;=GRID_TO)*('Dvd Calendar'!$I$1519&gt;VAL_DATE)=0,"",'Dvd Calendar'!$I$1519*1000000000+ISNUMBER('Dvd Calendar'!$I$1520)*100000000+0*10000000+(N('Dvd Calendar'!$I$1518)&gt;0)*(N('Dvd Calendar'!$I$1518)&lt;=VAL_SERIAL)*1000000+37*1000+45))</f>
        <v/>
      </c>
      <c r="FX152" s="35">
        <f>IF(N('Dvd Calendar'!$J$1519)=0,"",IF(('Dvd Calendar'!$J$1519&gt;=GRID_FROM)*('Dvd Calendar'!$J$1519&lt;=GRID_TO)*('Dvd Calendar'!$J$1519&gt;VAL_DATE)=0,"",'Dvd Calendar'!$J$1519*1000000000+ISNUMBER('Dvd Calendar'!$J$1520)*100000000+0*10000000+(N('Dvd Calendar'!$J$1518)&gt;0)*(N('Dvd Calendar'!$J$1518)&lt;=VAL_SERIAL)*1000000+37*1000+46))</f>
        <v/>
      </c>
      <c r="FY152" s="35">
        <f>IF(N('Dvd Calendar'!$K$1519)=0,"",IF(('Dvd Calendar'!$K$1519&gt;=GRID_FROM)*('Dvd Calendar'!$K$1519&lt;=GRID_TO)*('Dvd Calendar'!$K$1519&gt;VAL_DATE)=0,"",'Dvd Calendar'!$K$1519*1000000000+ISNUMBER('Dvd Calendar'!$K$1520)*100000000+0*10000000+(N('Dvd Calendar'!$K$1518)&gt;0)*(N('Dvd Calendar'!$K$1518)&lt;=VAL_SERIAL)*1000000+37*1000+47))</f>
        <v/>
      </c>
      <c r="FZ152" s="35">
        <f>IF(N('Dvd Calendar'!$L$1519)=0,"",IF(('Dvd Calendar'!$L$1519&gt;=GRID_FROM)*('Dvd Calendar'!$L$1519&lt;=GRID_TO)*('Dvd Calendar'!$L$1519&gt;VAL_DATE)=0,"",'Dvd Calendar'!$L$1519*1000000000+ISNUMBER('Dvd Calendar'!$L$1520)*100000000+0*10000000+(N('Dvd Calendar'!$L$1518)&gt;0)*(N('Dvd Calendar'!$L$1518)&lt;=VAL_SERIAL)*1000000+37*1000+48))</f>
        <v/>
      </c>
      <c r="GA152" s="35">
        <f>IF(N('Dvd Calendar'!$M$1519)=0,"",IF(('Dvd Calendar'!$M$1519&gt;=GRID_FROM)*('Dvd Calendar'!$M$1519&lt;=GRID_TO)*('Dvd Calendar'!$M$1519&gt;VAL_DATE)=0,"",'Dvd Calendar'!$M$1519*1000000000+ISNUMBER('Dvd Calendar'!$M$1520)*100000000+0*10000000+(N('Dvd Calendar'!$M$1518)&gt;0)*(N('Dvd Calendar'!$M$1518)&lt;=VAL_SERIAL)*1000000+37*1000+49))</f>
        <v/>
      </c>
      <c r="GB152" s="35">
        <f>IF(N('Dvd Calendar'!$N$1519)=0,"",IF(('Dvd Calendar'!$N$1519&gt;=GRID_FROM)*('Dvd Calendar'!$N$1519&lt;=GRID_TO)*('Dvd Calendar'!$N$1519&gt;VAL_DATE)=0,"",'Dvd Calendar'!$N$1519*1000000000+ISNUMBER('Dvd Calendar'!$N$1520)*100000000+0*10000000+(N('Dvd Calendar'!$N$1518)&gt;0)*(N('Dvd Calendar'!$N$1518)&lt;=VAL_SERIAL)*1000000+37*1000+50))</f>
        <v/>
      </c>
      <c r="GC152" s="35">
        <f>IF(N('Dvd Calendar'!$O$1519)=0,"",IF(('Dvd Calendar'!$O$1519&gt;=GRID_FROM)*('Dvd Calendar'!$O$1519&lt;=GRID_TO)*('Dvd Calendar'!$O$1519&gt;VAL_DATE)=0,"",'Dvd Calendar'!$O$1519*1000000000+ISNUMBER('Dvd Calendar'!$O$1520)*100000000+0*10000000+(N('Dvd Calendar'!$O$1518)&gt;0)*(N('Dvd Calendar'!$O$1518)&lt;=VAL_SERIAL)*1000000+37*1000+51))</f>
        <v/>
      </c>
      <c r="GD152" s="35">
        <f>IF(N('Dvd Calendar'!$P$1519)=0,"",IF(('Dvd Calendar'!$P$1519&gt;=GRID_FROM)*('Dvd Calendar'!$P$1519&lt;=GRID_TO)*('Dvd Calendar'!$P$1519&gt;VAL_DATE)=0,"",'Dvd Calendar'!$P$1519*1000000000+ISNUMBER('Dvd Calendar'!$P$1520)*100000000+0*10000000+(N('Dvd Calendar'!$P$1518)&gt;0)*(N('Dvd Calendar'!$P$1518)&lt;=VAL_SERIAL)*1000000+37*1000+52))</f>
        <v/>
      </c>
      <c r="GE152" s="35">
        <f>IF(N('Dvd Calendar'!$Q$1519)=0,"",IF(('Dvd Calendar'!$Q$1519&gt;=GRID_FROM)*('Dvd Calendar'!$Q$1519&lt;=GRID_TO)*('Dvd Calendar'!$Q$1519&gt;VAL_DATE)=0,"",'Dvd Calendar'!$Q$1519*1000000000+ISNUMBER('Dvd Calendar'!$Q$1520)*100000000+0*10000000+(N('Dvd Calendar'!$Q$1518)&gt;0)*(N('Dvd Calendar'!$Q$1518)&lt;=VAL_SERIAL)*1000000+37*1000+53))</f>
        <v/>
      </c>
      <c r="GF152" s="35">
        <f>IF(N('Dvd Calendar'!$R$1519)=0,"",IF(('Dvd Calendar'!$R$1519&gt;=GRID_FROM)*('Dvd Calendar'!$R$1519&lt;=GRID_TO)*('Dvd Calendar'!$R$1519&gt;VAL_DATE)=0,"",'Dvd Calendar'!$R$1519*1000000000+ISNUMBER('Dvd Calendar'!$R$1520)*100000000+0*10000000+(N('Dvd Calendar'!$R$1518)&gt;0)*(N('Dvd Calendar'!$R$1518)&lt;=VAL_SERIAL)*1000000+37*1000+54))</f>
        <v/>
      </c>
      <c r="GG152" s="35">
        <f>IF(N('Dvd Calendar'!$S$1519)=0,"",IF(('Dvd Calendar'!$S$1519&gt;=GRID_FROM)*('Dvd Calendar'!$S$1519&lt;=GRID_TO)*('Dvd Calendar'!$S$1519&gt;VAL_DATE)=0,"",'Dvd Calendar'!$S$1519*1000000000+ISNUMBER('Dvd Calendar'!$S$1520)*100000000+0*10000000+(N('Dvd Calendar'!$S$1518)&gt;0)*(N('Dvd Calendar'!$S$1518)&lt;=VAL_SERIAL)*1000000+37*1000+55))</f>
        <v/>
      </c>
      <c r="GH152" s="35">
        <f>IF(N('Dvd Calendar'!$T$1519)=0,"",IF(('Dvd Calendar'!$T$1519&gt;=GRID_FROM)*('Dvd Calendar'!$T$1519&lt;=GRID_TO)*('Dvd Calendar'!$T$1519&gt;VAL_DATE)=0,"",'Dvd Calendar'!$T$1519*1000000000+ISNUMBER('Dvd Calendar'!$T$1520)*100000000+0*10000000+(N('Dvd Calendar'!$T$1518)&gt;0)*(N('Dvd Calendar'!$T$1518)&lt;=VAL_SERIAL)*1000000+37*1000+56))</f>
        <v/>
      </c>
      <c r="GI152" s="35">
        <f>IF(N('Dvd Calendar'!$U$1519)=0,"",IF(('Dvd Calendar'!$U$1519&gt;=GRID_FROM)*('Dvd Calendar'!$U$1519&lt;=GRID_TO)*('Dvd Calendar'!$U$1519&gt;VAL_DATE)=0,"",'Dvd Calendar'!$U$1519*1000000000+ISNUMBER('Dvd Calendar'!$U$1520)*100000000+0*10000000+(N('Dvd Calendar'!$U$1518)&gt;0)*(N('Dvd Calendar'!$U$1518)&lt;=VAL_SERIAL)*1000000+37*1000+57))</f>
        <v/>
      </c>
      <c r="GJ152" s="35">
        <f>IF(N('Dvd Calendar'!$V$1519)=0,"",IF(('Dvd Calendar'!$V$1519&gt;=GRID_FROM)*('Dvd Calendar'!$V$1519&lt;=GRID_TO)*('Dvd Calendar'!$V$1519&gt;VAL_DATE)=0,"",'Dvd Calendar'!$V$1519*1000000000+ISNUMBER('Dvd Calendar'!$V$1520)*100000000+0*10000000+(N('Dvd Calendar'!$V$1518)&gt;0)*(N('Dvd Calendar'!$V$1518)&lt;=VAL_SERIAL)*1000000+37*1000+58))</f>
        <v/>
      </c>
      <c r="GK152" s="35">
        <f>IF(N('Dvd Calendar'!$W$1519)=0,"",IF(('Dvd Calendar'!$W$1519&gt;=GRID_FROM)*('Dvd Calendar'!$W$1519&lt;=GRID_TO)*('Dvd Calendar'!$W$1519&gt;VAL_DATE)=0,"",'Dvd Calendar'!$W$1519*1000000000+ISNUMBER('Dvd Calendar'!$W$1520)*100000000+0*10000000+(N('Dvd Calendar'!$W$1518)&gt;0)*(N('Dvd Calendar'!$W$1518)&lt;=VAL_SERIAL)*1000000+37*1000+59))</f>
        <v/>
      </c>
      <c r="GL152" s="35">
        <f>IF(N('Dvd Calendar'!$X$1519)=0,"",IF(('Dvd Calendar'!$X$1519&gt;=GRID_FROM)*('Dvd Calendar'!$X$1519&lt;=GRID_TO)*('Dvd Calendar'!$X$1519&gt;VAL_DATE)=0,"",'Dvd Calendar'!$X$1519*1000000000+ISNUMBER('Dvd Calendar'!$X$1520)*100000000+0*10000000+(N('Dvd Calendar'!$X$1518)&gt;0)*(N('Dvd Calendar'!$X$1518)&lt;=VAL_SERIAL)*1000000+37*1000+60))</f>
        <v/>
      </c>
      <c r="GM152" s="35">
        <f>IF(N('Dvd Calendar'!$Y$1519)=0,"",IF(('Dvd Calendar'!$Y$1519&gt;=GRID_FROM)*('Dvd Calendar'!$Y$1519&lt;=GRID_TO)*('Dvd Calendar'!$Y$1519&gt;VAL_DATE)=0,"",'Dvd Calendar'!$Y$1519*1000000000+ISNUMBER('Dvd Calendar'!$Y$1520)*100000000+0*10000000+(N('Dvd Calendar'!$Y$1518)&gt;0)*(N('Dvd Calendar'!$Y$1518)&lt;=VAL_SERIAL)*1000000+37*1000+61))</f>
        <v/>
      </c>
      <c r="GN152" s="35">
        <f>IF(N('Dvd Calendar'!$Z$1519)=0,"",IF(('Dvd Calendar'!$Z$1519&gt;=GRID_FROM)*('Dvd Calendar'!$Z$1519&lt;=GRID_TO)*('Dvd Calendar'!$Z$1519&gt;VAL_DATE)=0,"",'Dvd Calendar'!$Z$1519*1000000000+ISNUMBER('Dvd Calendar'!$Z$1520)*100000000+0*10000000+(N('Dvd Calendar'!$Z$1518)&gt;0)*(N('Dvd Calendar'!$Z$1518)&lt;=VAL_SERIAL)*1000000+37*1000+62))</f>
        <v/>
      </c>
      <c r="GO152" s="35">
        <f>IF(N('Dvd Calendar'!$AA$1519)=0,"",IF(('Dvd Calendar'!$AA$1519&gt;=GRID_FROM)*('Dvd Calendar'!$AA$1519&lt;=GRID_TO)*('Dvd Calendar'!$AA$1519&gt;VAL_DATE)=0,"",'Dvd Calendar'!$AA$1519*1000000000+ISNUMBER('Dvd Calendar'!$AA$1520)*100000000+0*10000000+(N('Dvd Calendar'!$AA$1518)&gt;0)*(N('Dvd Calendar'!$AA$1518)&lt;=VAL_SERIAL)*1000000+37*1000+63))</f>
        <v/>
      </c>
      <c r="GP152" s="35">
        <f>IF(N('Dvd Calendar'!$AB$1519)=0,"",IF(('Dvd Calendar'!$AB$1519&gt;=GRID_FROM)*('Dvd Calendar'!$AB$1519&lt;=GRID_TO)*('Dvd Calendar'!$AB$1519&gt;VAL_DATE)=0,"",'Dvd Calendar'!$AB$1519*1000000000+ISNUMBER('Dvd Calendar'!$AB$1520)*100000000+0*10000000+(N('Dvd Calendar'!$AB$1518)&gt;0)*(N('Dvd Calendar'!$AB$1518)&lt;=VAL_SERIAL)*1000000+37*1000+64))</f>
        <v/>
      </c>
      <c r="GQ152" s="35">
        <f>IF(N('Dvd Calendar'!$AC$1519)=0,"",IF(('Dvd Calendar'!$AC$1519&gt;=GRID_FROM)*('Dvd Calendar'!$AC$1519&lt;=GRID_TO)*('Dvd Calendar'!$AC$1519&gt;VAL_DATE)=0,"",'Dvd Calendar'!$AC$1519*1000000000+ISNUMBER('Dvd Calendar'!$AC$1520)*100000000+0*10000000+(N('Dvd Calendar'!$AC$1518)&gt;0)*(N('Dvd Calendar'!$AC$1518)&lt;=VAL_SERIAL)*1000000+37*1000+65))</f>
        <v/>
      </c>
    </row>
    <row r="153">
      <c r="B153" s="2">
        <f>IF(HSTECH!$C$44="","",HSTECH!$C$44)</f>
        <v/>
      </c>
      <c r="C153" s="106">
        <f>IF(EE153="","",IF(ISNUMBER('Dvd Calendar'!$E$1526)=FALSE,"",IF((('Dvd Calendar'!$E$1528=TYPE1)*(TYPE1&lt;&gt;"")+('Dvd Calendar'!$E$1528=TYPE2)*(TYPE2&lt;&gt;"")+('Dvd Calendar'!$E$1528=TYPE3)*(TYPE3&lt;&gt;"")+('Dvd Calendar'!$E$1528=TYPE4)*(TYPE4&lt;&gt;"")+('Dvd Calendar'!$E$1528=SPECIAL_LBL)*(INC_SPECIALS="Y"))=0,"",'Dvd Calendar'!$E$1526)))</f>
        <v/>
      </c>
      <c r="D153" s="106">
        <f>IF(EF153="","",IF(ISNUMBER('Dvd Calendar'!$F$1526)=FALSE,"",IF((('Dvd Calendar'!$F$1528=TYPE1)*(TYPE1&lt;&gt;"")+('Dvd Calendar'!$F$1528=TYPE2)*(TYPE2&lt;&gt;"")+('Dvd Calendar'!$F$1528=TYPE3)*(TYPE3&lt;&gt;"")+('Dvd Calendar'!$F$1528=TYPE4)*(TYPE4&lt;&gt;"")+('Dvd Calendar'!$F$1528=SPECIAL_LBL)*(INC_SPECIALS="Y"))=0,"",'Dvd Calendar'!$F$1526)))</f>
        <v/>
      </c>
      <c r="E153" s="106">
        <f>IF(EG153="","",IF(ISNUMBER('Dvd Calendar'!$G$1526)=FALSE,"",IF((('Dvd Calendar'!$G$1528=TYPE1)*(TYPE1&lt;&gt;"")+('Dvd Calendar'!$G$1528=TYPE2)*(TYPE2&lt;&gt;"")+('Dvd Calendar'!$G$1528=TYPE3)*(TYPE3&lt;&gt;"")+('Dvd Calendar'!$G$1528=TYPE4)*(TYPE4&lt;&gt;"")+('Dvd Calendar'!$G$1528=SPECIAL_LBL)*(INC_SPECIALS="Y"))=0,"",'Dvd Calendar'!$G$1526)))</f>
        <v/>
      </c>
      <c r="F153" s="106">
        <f>IF(EH153="","",IF(ISNUMBER('Dvd Calendar'!$H$1526)=FALSE,"",IF((('Dvd Calendar'!$H$1528=TYPE1)*(TYPE1&lt;&gt;"")+('Dvd Calendar'!$H$1528=TYPE2)*(TYPE2&lt;&gt;"")+('Dvd Calendar'!$H$1528=TYPE3)*(TYPE3&lt;&gt;"")+('Dvd Calendar'!$H$1528=TYPE4)*(TYPE4&lt;&gt;"")+('Dvd Calendar'!$H$1528=SPECIAL_LBL)*(INC_SPECIALS="Y"))=0,"",'Dvd Calendar'!$H$1526)))</f>
        <v/>
      </c>
      <c r="G153" s="106">
        <f>IF(EI153="","",IF(ISNUMBER('Dvd Calendar'!$I$1526)=FALSE,"",IF((('Dvd Calendar'!$I$1528=TYPE1)*(TYPE1&lt;&gt;"")+('Dvd Calendar'!$I$1528=TYPE2)*(TYPE2&lt;&gt;"")+('Dvd Calendar'!$I$1528=TYPE3)*(TYPE3&lt;&gt;"")+('Dvd Calendar'!$I$1528=TYPE4)*(TYPE4&lt;&gt;"")+('Dvd Calendar'!$I$1528=SPECIAL_LBL)*(INC_SPECIALS="Y"))=0,"",'Dvd Calendar'!$I$1526)))</f>
        <v/>
      </c>
      <c r="H153" s="106">
        <f>IF(EJ153="","",IF(ISNUMBER('Dvd Calendar'!$J$1526)=FALSE,"",IF((('Dvd Calendar'!$J$1528=TYPE1)*(TYPE1&lt;&gt;"")+('Dvd Calendar'!$J$1528=TYPE2)*(TYPE2&lt;&gt;"")+('Dvd Calendar'!$J$1528=TYPE3)*(TYPE3&lt;&gt;"")+('Dvd Calendar'!$J$1528=TYPE4)*(TYPE4&lt;&gt;"")+('Dvd Calendar'!$J$1528=SPECIAL_LBL)*(INC_SPECIALS="Y"))=0,"",'Dvd Calendar'!$J$1526)))</f>
        <v/>
      </c>
      <c r="I153" s="106">
        <f>IF(EK153="","",IF(ISNUMBER('Dvd Calendar'!$K$1526)=FALSE,"",IF((('Dvd Calendar'!$K$1528=TYPE1)*(TYPE1&lt;&gt;"")+('Dvd Calendar'!$K$1528=TYPE2)*(TYPE2&lt;&gt;"")+('Dvd Calendar'!$K$1528=TYPE3)*(TYPE3&lt;&gt;"")+('Dvd Calendar'!$K$1528=TYPE4)*(TYPE4&lt;&gt;"")+('Dvd Calendar'!$K$1528=SPECIAL_LBL)*(INC_SPECIALS="Y"))=0,"",'Dvd Calendar'!$K$1526)))</f>
        <v/>
      </c>
      <c r="J153" s="106">
        <f>IF(EL153="","",IF(ISNUMBER('Dvd Calendar'!$L$1526)=FALSE,"",IF((('Dvd Calendar'!$L$1528=TYPE1)*(TYPE1&lt;&gt;"")+('Dvd Calendar'!$L$1528=TYPE2)*(TYPE2&lt;&gt;"")+('Dvd Calendar'!$L$1528=TYPE3)*(TYPE3&lt;&gt;"")+('Dvd Calendar'!$L$1528=TYPE4)*(TYPE4&lt;&gt;"")+('Dvd Calendar'!$L$1528=SPECIAL_LBL)*(INC_SPECIALS="Y"))=0,"",'Dvd Calendar'!$L$1526)))</f>
        <v/>
      </c>
      <c r="K153" s="106">
        <f>IF(EM153="","",IF(ISNUMBER('Dvd Calendar'!$M$1526)=FALSE,"",IF((('Dvd Calendar'!$M$1528=TYPE1)*(TYPE1&lt;&gt;"")+('Dvd Calendar'!$M$1528=TYPE2)*(TYPE2&lt;&gt;"")+('Dvd Calendar'!$M$1528=TYPE3)*(TYPE3&lt;&gt;"")+('Dvd Calendar'!$M$1528=TYPE4)*(TYPE4&lt;&gt;"")+('Dvd Calendar'!$M$1528=SPECIAL_LBL)*(INC_SPECIALS="Y"))=0,"",'Dvd Calendar'!$M$1526)))</f>
        <v/>
      </c>
      <c r="L153" s="106">
        <f>IF(EN153="","",IF(ISNUMBER('Dvd Calendar'!$N$1526)=FALSE,"",IF((('Dvd Calendar'!$N$1528=TYPE1)*(TYPE1&lt;&gt;"")+('Dvd Calendar'!$N$1528=TYPE2)*(TYPE2&lt;&gt;"")+('Dvd Calendar'!$N$1528=TYPE3)*(TYPE3&lt;&gt;"")+('Dvd Calendar'!$N$1528=TYPE4)*(TYPE4&lt;&gt;"")+('Dvd Calendar'!$N$1528=SPECIAL_LBL)*(INC_SPECIALS="Y"))=0,"",'Dvd Calendar'!$N$1526)))</f>
        <v/>
      </c>
      <c r="M153" s="106">
        <f>IF(EO153="","",IF(ISNUMBER('Dvd Calendar'!$O$1526)=FALSE,"",IF((('Dvd Calendar'!$O$1528=TYPE1)*(TYPE1&lt;&gt;"")+('Dvd Calendar'!$O$1528=TYPE2)*(TYPE2&lt;&gt;"")+('Dvd Calendar'!$O$1528=TYPE3)*(TYPE3&lt;&gt;"")+('Dvd Calendar'!$O$1528=TYPE4)*(TYPE4&lt;&gt;"")+('Dvd Calendar'!$O$1528=SPECIAL_LBL)*(INC_SPECIALS="Y"))=0,"",'Dvd Calendar'!$O$1526)))</f>
        <v/>
      </c>
      <c r="N153" s="106">
        <f>IF(EP153="","",IF(ISNUMBER('Dvd Calendar'!$P$1526)=FALSE,"",IF((('Dvd Calendar'!$P$1528=TYPE1)*(TYPE1&lt;&gt;"")+('Dvd Calendar'!$P$1528=TYPE2)*(TYPE2&lt;&gt;"")+('Dvd Calendar'!$P$1528=TYPE3)*(TYPE3&lt;&gt;"")+('Dvd Calendar'!$P$1528=TYPE4)*(TYPE4&lt;&gt;"")+('Dvd Calendar'!$P$1528=SPECIAL_LBL)*(INC_SPECIALS="Y"))=0,"",'Dvd Calendar'!$P$1526)))</f>
        <v/>
      </c>
      <c r="O153" s="106">
        <f>IF(EQ153="","",IF(ISNUMBER('Dvd Calendar'!$Q$1526)=FALSE,"",IF((('Dvd Calendar'!$Q$1528=TYPE1)*(TYPE1&lt;&gt;"")+('Dvd Calendar'!$Q$1528=TYPE2)*(TYPE2&lt;&gt;"")+('Dvd Calendar'!$Q$1528=TYPE3)*(TYPE3&lt;&gt;"")+('Dvd Calendar'!$Q$1528=TYPE4)*(TYPE4&lt;&gt;"")+('Dvd Calendar'!$Q$1528=SPECIAL_LBL)*(INC_SPECIALS="Y"))=0,"",'Dvd Calendar'!$Q$1526)))</f>
        <v/>
      </c>
      <c r="P153" s="106">
        <f>IF(ER153="","",IF(ISNUMBER('Dvd Calendar'!$R$1526)=FALSE,"",IF((('Dvd Calendar'!$R$1528=TYPE1)*(TYPE1&lt;&gt;"")+('Dvd Calendar'!$R$1528=TYPE2)*(TYPE2&lt;&gt;"")+('Dvd Calendar'!$R$1528=TYPE3)*(TYPE3&lt;&gt;"")+('Dvd Calendar'!$R$1528=TYPE4)*(TYPE4&lt;&gt;"")+('Dvd Calendar'!$R$1528=SPECIAL_LBL)*(INC_SPECIALS="Y"))=0,"",'Dvd Calendar'!$R$1526)))</f>
        <v/>
      </c>
      <c r="Q153" s="106">
        <f>IF(ES153="","",IF(ISNUMBER('Dvd Calendar'!$S$1526)=FALSE,"",IF((('Dvd Calendar'!$S$1528=TYPE1)*(TYPE1&lt;&gt;"")+('Dvd Calendar'!$S$1528=TYPE2)*(TYPE2&lt;&gt;"")+('Dvd Calendar'!$S$1528=TYPE3)*(TYPE3&lt;&gt;"")+('Dvd Calendar'!$S$1528=TYPE4)*(TYPE4&lt;&gt;"")+('Dvd Calendar'!$S$1528=SPECIAL_LBL)*(INC_SPECIALS="Y"))=0,"",'Dvd Calendar'!$S$1526)))</f>
        <v/>
      </c>
      <c r="R153" s="106">
        <f>IF(ET153="","",IF(ISNUMBER('Dvd Calendar'!$T$1526)=FALSE,"",IF((('Dvd Calendar'!$T$1528=TYPE1)*(TYPE1&lt;&gt;"")+('Dvd Calendar'!$T$1528=TYPE2)*(TYPE2&lt;&gt;"")+('Dvd Calendar'!$T$1528=TYPE3)*(TYPE3&lt;&gt;"")+('Dvd Calendar'!$T$1528=TYPE4)*(TYPE4&lt;&gt;"")+('Dvd Calendar'!$T$1528=SPECIAL_LBL)*(INC_SPECIALS="Y"))=0,"",'Dvd Calendar'!$T$1526)))</f>
        <v/>
      </c>
      <c r="S153" s="106">
        <f>IF(EU153="","",IF(ISNUMBER('Dvd Calendar'!$U$1526)=FALSE,"",IF((('Dvd Calendar'!$U$1528=TYPE1)*(TYPE1&lt;&gt;"")+('Dvd Calendar'!$U$1528=TYPE2)*(TYPE2&lt;&gt;"")+('Dvd Calendar'!$U$1528=TYPE3)*(TYPE3&lt;&gt;"")+('Dvd Calendar'!$U$1528=TYPE4)*(TYPE4&lt;&gt;"")+('Dvd Calendar'!$U$1528=SPECIAL_LBL)*(INC_SPECIALS="Y"))=0,"",'Dvd Calendar'!$U$1526)))</f>
        <v/>
      </c>
      <c r="T153" s="106">
        <f>IF(EV153="","",IF(ISNUMBER('Dvd Calendar'!$V$1526)=FALSE,"",IF((('Dvd Calendar'!$V$1528=TYPE1)*(TYPE1&lt;&gt;"")+('Dvd Calendar'!$V$1528=TYPE2)*(TYPE2&lt;&gt;"")+('Dvd Calendar'!$V$1528=TYPE3)*(TYPE3&lt;&gt;"")+('Dvd Calendar'!$V$1528=TYPE4)*(TYPE4&lt;&gt;"")+('Dvd Calendar'!$V$1528=SPECIAL_LBL)*(INC_SPECIALS="Y"))=0,"",'Dvd Calendar'!$V$1526)))</f>
        <v/>
      </c>
      <c r="U153" s="106">
        <f>IF(EW153="","",IF(ISNUMBER('Dvd Calendar'!$W$1526)=FALSE,"",IF((('Dvd Calendar'!$W$1528=TYPE1)*(TYPE1&lt;&gt;"")+('Dvd Calendar'!$W$1528=TYPE2)*(TYPE2&lt;&gt;"")+('Dvd Calendar'!$W$1528=TYPE3)*(TYPE3&lt;&gt;"")+('Dvd Calendar'!$W$1528=TYPE4)*(TYPE4&lt;&gt;"")+('Dvd Calendar'!$W$1528=SPECIAL_LBL)*(INC_SPECIALS="Y"))=0,"",'Dvd Calendar'!$W$1526)))</f>
        <v/>
      </c>
      <c r="V153" s="106">
        <f>IF(EX153="","",IF(ISNUMBER('Dvd Calendar'!$X$1526)=FALSE,"",IF((('Dvd Calendar'!$X$1528=TYPE1)*(TYPE1&lt;&gt;"")+('Dvd Calendar'!$X$1528=TYPE2)*(TYPE2&lt;&gt;"")+('Dvd Calendar'!$X$1528=TYPE3)*(TYPE3&lt;&gt;"")+('Dvd Calendar'!$X$1528=TYPE4)*(TYPE4&lt;&gt;"")+('Dvd Calendar'!$X$1528=SPECIAL_LBL)*(INC_SPECIALS="Y"))=0,"",'Dvd Calendar'!$X$1526)))</f>
        <v/>
      </c>
      <c r="W153" s="106">
        <f>IF(EY153="","",IF(ISNUMBER('Dvd Calendar'!$Y$1526)=FALSE,"",IF((('Dvd Calendar'!$Y$1528=TYPE1)*(TYPE1&lt;&gt;"")+('Dvd Calendar'!$Y$1528=TYPE2)*(TYPE2&lt;&gt;"")+('Dvd Calendar'!$Y$1528=TYPE3)*(TYPE3&lt;&gt;"")+('Dvd Calendar'!$Y$1528=TYPE4)*(TYPE4&lt;&gt;"")+('Dvd Calendar'!$Y$1528=SPECIAL_LBL)*(INC_SPECIALS="Y"))=0,"",'Dvd Calendar'!$Y$1526)))</f>
        <v/>
      </c>
      <c r="X153" s="106">
        <f>IF(EZ153="","",IF(ISNUMBER('Dvd Calendar'!$Z$1526)=FALSE,"",IF((('Dvd Calendar'!$Z$1528=TYPE1)*(TYPE1&lt;&gt;"")+('Dvd Calendar'!$Z$1528=TYPE2)*(TYPE2&lt;&gt;"")+('Dvd Calendar'!$Z$1528=TYPE3)*(TYPE3&lt;&gt;"")+('Dvd Calendar'!$Z$1528=TYPE4)*(TYPE4&lt;&gt;"")+('Dvd Calendar'!$Z$1528=SPECIAL_LBL)*(INC_SPECIALS="Y"))=0,"",'Dvd Calendar'!$Z$1526)))</f>
        <v/>
      </c>
      <c r="Y153" s="106">
        <f>IF(FA153="","",IF(ISNUMBER('Dvd Calendar'!$AA$1526)=FALSE,"",IF((('Dvd Calendar'!$AA$1528=TYPE1)*(TYPE1&lt;&gt;"")+('Dvd Calendar'!$AA$1528=TYPE2)*(TYPE2&lt;&gt;"")+('Dvd Calendar'!$AA$1528=TYPE3)*(TYPE3&lt;&gt;"")+('Dvd Calendar'!$AA$1528=TYPE4)*(TYPE4&lt;&gt;"")+('Dvd Calendar'!$AA$1528=SPECIAL_LBL)*(INC_SPECIALS="Y"))=0,"",'Dvd Calendar'!$AA$1526)))</f>
        <v/>
      </c>
      <c r="Z153" s="106">
        <f>IF(FB153="","",IF(ISNUMBER('Dvd Calendar'!$AB$1526)=FALSE,"",IF((('Dvd Calendar'!$AB$1528=TYPE1)*(TYPE1&lt;&gt;"")+('Dvd Calendar'!$AB$1528=TYPE2)*(TYPE2&lt;&gt;"")+('Dvd Calendar'!$AB$1528=TYPE3)*(TYPE3&lt;&gt;"")+('Dvd Calendar'!$AB$1528=TYPE4)*(TYPE4&lt;&gt;"")+('Dvd Calendar'!$AB$1528=SPECIAL_LBL)*(INC_SPECIALS="Y"))=0,"",'Dvd Calendar'!$AB$1526)))</f>
        <v/>
      </c>
      <c r="AA153" s="106">
        <f>IF(FC153="","",IF(ISNUMBER('Dvd Calendar'!$AC$1526)=FALSE,"",IF((('Dvd Calendar'!$AC$1528=TYPE1)*(TYPE1&lt;&gt;"")+('Dvd Calendar'!$AC$1528=TYPE2)*(TYPE2&lt;&gt;"")+('Dvd Calendar'!$AC$1528=TYPE3)*(TYPE3&lt;&gt;"")+('Dvd Calendar'!$AC$1528=TYPE4)*(TYPE4&lt;&gt;"")+('Dvd Calendar'!$AC$1528=SPECIAL_LBL)*(INC_SPECIALS="Y"))=0,"",'Dvd Calendar'!$AC$1526)))</f>
        <v/>
      </c>
      <c r="AB153" s="106">
        <f>IF(FD153="","",IF(ISNUMBER('Dvd Calendar'!$AD$1526)=FALSE,"",IF((('Dvd Calendar'!$AD$1528=TYPE1)*(TYPE1&lt;&gt;"")+('Dvd Calendar'!$AD$1528=TYPE2)*(TYPE2&lt;&gt;"")+('Dvd Calendar'!$AD$1528=TYPE3)*(TYPE3&lt;&gt;"")+('Dvd Calendar'!$AD$1528=TYPE4)*(TYPE4&lt;&gt;"")+('Dvd Calendar'!$AD$1528=SPECIAL_LBL)*(INC_SPECIALS="Y"))=0,"",'Dvd Calendar'!$AD$1526)))</f>
        <v/>
      </c>
      <c r="AC153" s="106">
        <f>IF(FE153="","",IF(ISNUMBER('Dvd Calendar'!$AE$1526)=FALSE,"",IF((('Dvd Calendar'!$AE$1528=TYPE1)*(TYPE1&lt;&gt;"")+('Dvd Calendar'!$AE$1528=TYPE2)*(TYPE2&lt;&gt;"")+('Dvd Calendar'!$AE$1528=TYPE3)*(TYPE3&lt;&gt;"")+('Dvd Calendar'!$AE$1528=TYPE4)*(TYPE4&lt;&gt;"")+('Dvd Calendar'!$AE$1528=SPECIAL_LBL)*(INC_SPECIALS="Y"))=0,"",'Dvd Calendar'!$AE$1526)))</f>
        <v/>
      </c>
      <c r="AD153" s="106">
        <f>IF(FF153="","",IF(ISNUMBER('Dvd Calendar'!$AF$1526)=FALSE,"",IF((('Dvd Calendar'!$AF$1528=TYPE1)*(TYPE1&lt;&gt;"")+('Dvd Calendar'!$AF$1528=TYPE2)*(TYPE2&lt;&gt;"")+('Dvd Calendar'!$AF$1528=TYPE3)*(TYPE3&lt;&gt;"")+('Dvd Calendar'!$AF$1528=TYPE4)*(TYPE4&lt;&gt;"")+('Dvd Calendar'!$AF$1528=SPECIAL_LBL)*(INC_SPECIALS="Y"))=0,"",'Dvd Calendar'!$AF$1526)))</f>
        <v/>
      </c>
      <c r="AE153" s="106">
        <f>IF(FG153="","",IF(ISNUMBER('Dvd Calendar'!$AG$1526)=FALSE,"",IF((('Dvd Calendar'!$AG$1528=TYPE1)*(TYPE1&lt;&gt;"")+('Dvd Calendar'!$AG$1528=TYPE2)*(TYPE2&lt;&gt;"")+('Dvd Calendar'!$AG$1528=TYPE3)*(TYPE3&lt;&gt;"")+('Dvd Calendar'!$AG$1528=TYPE4)*(TYPE4&lt;&gt;"")+('Dvd Calendar'!$AG$1528=SPECIAL_LBL)*(INC_SPECIALS="Y"))=0,"",'Dvd Calendar'!$AG$1526)))</f>
        <v/>
      </c>
      <c r="AF153" s="106">
        <f>IF(FH153="","",IF(ISNUMBER('Dvd Calendar'!$AH$1526)=FALSE,"",IF((('Dvd Calendar'!$AH$1528=TYPE1)*(TYPE1&lt;&gt;"")+('Dvd Calendar'!$AH$1528=TYPE2)*(TYPE2&lt;&gt;"")+('Dvd Calendar'!$AH$1528=TYPE3)*(TYPE3&lt;&gt;"")+('Dvd Calendar'!$AH$1528=TYPE4)*(TYPE4&lt;&gt;"")+('Dvd Calendar'!$AH$1528=SPECIAL_LBL)*(INC_SPECIALS="Y"))=0,"",'Dvd Calendar'!$AH$1526)))</f>
        <v/>
      </c>
      <c r="AG153" s="106">
        <f>IF(FI153="","",IF(ISNUMBER('Dvd Calendar'!$AI$1526)=FALSE,"",IF((('Dvd Calendar'!$AI$1528=TYPE1)*(TYPE1&lt;&gt;"")+('Dvd Calendar'!$AI$1528=TYPE2)*(TYPE2&lt;&gt;"")+('Dvd Calendar'!$AI$1528=TYPE3)*(TYPE3&lt;&gt;"")+('Dvd Calendar'!$AI$1528=TYPE4)*(TYPE4&lt;&gt;"")+('Dvd Calendar'!$AI$1528=SPECIAL_LBL)*(INC_SPECIALS="Y"))=0,"",'Dvd Calendar'!$AI$1526)))</f>
        <v/>
      </c>
      <c r="AH153" s="106">
        <f>IF(FJ153="","",IF(ISNUMBER('Dvd Calendar'!$AJ$1526)=FALSE,"",IF((('Dvd Calendar'!$AJ$1528=TYPE1)*(TYPE1&lt;&gt;"")+('Dvd Calendar'!$AJ$1528=TYPE2)*(TYPE2&lt;&gt;"")+('Dvd Calendar'!$AJ$1528=TYPE3)*(TYPE3&lt;&gt;"")+('Dvd Calendar'!$AJ$1528=TYPE4)*(TYPE4&lt;&gt;"")+('Dvd Calendar'!$AJ$1528=SPECIAL_LBL)*(INC_SPECIALS="Y"))=0,"",'Dvd Calendar'!$AJ$1526)))</f>
        <v/>
      </c>
      <c r="AI153" s="106">
        <f>IF(FK153="","",IF(ISNUMBER('Dvd Calendar'!$AK$1526)=FALSE,"",IF((('Dvd Calendar'!$AK$1528=TYPE1)*(TYPE1&lt;&gt;"")+('Dvd Calendar'!$AK$1528=TYPE2)*(TYPE2&lt;&gt;"")+('Dvd Calendar'!$AK$1528=TYPE3)*(TYPE3&lt;&gt;"")+('Dvd Calendar'!$AK$1528=TYPE4)*(TYPE4&lt;&gt;"")+('Dvd Calendar'!$AK$1528=SPECIAL_LBL)*(INC_SPECIALS="Y"))=0,"",'Dvd Calendar'!$AK$1526)))</f>
        <v/>
      </c>
      <c r="AJ153" s="106">
        <f>IF(FL153="","",IF(ISNUMBER('Dvd Calendar'!$AL$1526)=FALSE,"",IF((('Dvd Calendar'!$AL$1528=TYPE1)*(TYPE1&lt;&gt;"")+('Dvd Calendar'!$AL$1528=TYPE2)*(TYPE2&lt;&gt;"")+('Dvd Calendar'!$AL$1528=TYPE3)*(TYPE3&lt;&gt;"")+('Dvd Calendar'!$AL$1528=TYPE4)*(TYPE4&lt;&gt;"")+('Dvd Calendar'!$AL$1528=SPECIAL_LBL)*(INC_SPECIALS="Y"))=0,"",'Dvd Calendar'!$AL$1526)))</f>
        <v/>
      </c>
      <c r="AK153" s="106">
        <f>IF(FM153="","",IF(ISNUMBER('Dvd Calendar'!$AM$1526)=FALSE,"",IF((('Dvd Calendar'!$AM$1528=TYPE1)*(TYPE1&lt;&gt;"")+('Dvd Calendar'!$AM$1528=TYPE2)*(TYPE2&lt;&gt;"")+('Dvd Calendar'!$AM$1528=TYPE3)*(TYPE3&lt;&gt;"")+('Dvd Calendar'!$AM$1528=TYPE4)*(TYPE4&lt;&gt;"")+('Dvd Calendar'!$AM$1528=SPECIAL_LBL)*(INC_SPECIALS="Y"))=0,"",'Dvd Calendar'!$AM$1526)))</f>
        <v/>
      </c>
      <c r="AL153" s="106">
        <f>IF(FN153="","",IF(ISNUMBER('Dvd Calendar'!$AN$1526)=FALSE,"",IF((('Dvd Calendar'!$AN$1528=TYPE1)*(TYPE1&lt;&gt;"")+('Dvd Calendar'!$AN$1528=TYPE2)*(TYPE2&lt;&gt;"")+('Dvd Calendar'!$AN$1528=TYPE3)*(TYPE3&lt;&gt;"")+('Dvd Calendar'!$AN$1528=TYPE4)*(TYPE4&lt;&gt;"")+('Dvd Calendar'!$AN$1528=SPECIAL_LBL)*(INC_SPECIALS="Y"))=0,"",'Dvd Calendar'!$AN$1526)))</f>
        <v/>
      </c>
      <c r="AM153" s="106">
        <f>IF(FO153="","",IF(ISNUMBER('Dvd Calendar'!$AO$1526)=FALSE,"",IF((('Dvd Calendar'!$AO$1528=TYPE1)*(TYPE1&lt;&gt;"")+('Dvd Calendar'!$AO$1528=TYPE2)*(TYPE2&lt;&gt;"")+('Dvd Calendar'!$AO$1528=TYPE3)*(TYPE3&lt;&gt;"")+('Dvd Calendar'!$AO$1528=TYPE4)*(TYPE4&lt;&gt;"")+('Dvd Calendar'!$AO$1528=SPECIAL_LBL)*(INC_SPECIALS="Y"))=0,"",'Dvd Calendar'!$AO$1526)))</f>
        <v/>
      </c>
      <c r="AN153" s="106">
        <f>IF(FP153="","",IF(ISNUMBER('Dvd Calendar'!$AP$1526)=FALSE,"",IF((('Dvd Calendar'!$AP$1528=TYPE1)*(TYPE1&lt;&gt;"")+('Dvd Calendar'!$AP$1528=TYPE2)*(TYPE2&lt;&gt;"")+('Dvd Calendar'!$AP$1528=TYPE3)*(TYPE3&lt;&gt;"")+('Dvd Calendar'!$AP$1528=TYPE4)*(TYPE4&lt;&gt;"")+('Dvd Calendar'!$AP$1528=SPECIAL_LBL)*(INC_SPECIALS="Y"))=0,"",'Dvd Calendar'!$AP$1526)))</f>
        <v/>
      </c>
      <c r="AO153" s="106">
        <f>IF(FQ153="","",IF(ISNUMBER('Dvd Calendar'!$AQ$1526)=FALSE,"",IF((('Dvd Calendar'!$AQ$1528=TYPE1)*(TYPE1&lt;&gt;"")+('Dvd Calendar'!$AQ$1528=TYPE2)*(TYPE2&lt;&gt;"")+('Dvd Calendar'!$AQ$1528=TYPE3)*(TYPE3&lt;&gt;"")+('Dvd Calendar'!$AQ$1528=TYPE4)*(TYPE4&lt;&gt;"")+('Dvd Calendar'!$AQ$1528=SPECIAL_LBL)*(INC_SPECIALS="Y"))=0,"",'Dvd Calendar'!$AQ$1526)))</f>
        <v/>
      </c>
      <c r="AP153" s="106">
        <f>IF(FR153="","",IF(ISNUMBER('Dvd Calendar'!$AR$1526)=FALSE,"",IF((('Dvd Calendar'!$AR$1528=TYPE1)*(TYPE1&lt;&gt;"")+('Dvd Calendar'!$AR$1528=TYPE2)*(TYPE2&lt;&gt;"")+('Dvd Calendar'!$AR$1528=TYPE3)*(TYPE3&lt;&gt;"")+('Dvd Calendar'!$AR$1528=TYPE4)*(TYPE4&lt;&gt;"")+('Dvd Calendar'!$AR$1528=SPECIAL_LBL)*(INC_SPECIALS="Y"))=0,"",'Dvd Calendar'!$AR$1526)))</f>
        <v/>
      </c>
      <c r="AQ153" s="106">
        <f>IF(FS153="","",IF(ISNUMBER('Dvd Calendar'!$E$1531)=FALSE,"",'Dvd Calendar'!$E$1531))</f>
        <v/>
      </c>
      <c r="AR153" s="106">
        <f>IF(FT153="","",IF(ISNUMBER('Dvd Calendar'!$F$1531)=FALSE,"",'Dvd Calendar'!$F$1531))</f>
        <v/>
      </c>
      <c r="AS153" s="106">
        <f>IF(FU153="","",IF(ISNUMBER('Dvd Calendar'!$G$1531)=FALSE,"",'Dvd Calendar'!$G$1531))</f>
        <v/>
      </c>
      <c r="AT153" s="106">
        <f>IF(FV153="","",IF(ISNUMBER('Dvd Calendar'!$H$1531)=FALSE,"",'Dvd Calendar'!$H$1531))</f>
        <v/>
      </c>
      <c r="AU153" s="106">
        <f>IF(FW153="","",IF(ISNUMBER('Dvd Calendar'!$I$1531)=FALSE,"",'Dvd Calendar'!$I$1531))</f>
        <v/>
      </c>
      <c r="AV153" s="106">
        <f>IF(FX153="","",IF(ISNUMBER('Dvd Calendar'!$J$1531)=FALSE,"",'Dvd Calendar'!$J$1531))</f>
        <v/>
      </c>
      <c r="AW153" s="106">
        <f>IF(FY153="","",IF(ISNUMBER('Dvd Calendar'!$K$1531)=FALSE,"",'Dvd Calendar'!$K$1531))</f>
        <v/>
      </c>
      <c r="AX153" s="106">
        <f>IF(FZ153="","",IF(ISNUMBER('Dvd Calendar'!$L$1531)=FALSE,"",'Dvd Calendar'!$L$1531))</f>
        <v/>
      </c>
      <c r="AY153" s="106">
        <f>IF(GA153="","",IF(ISNUMBER('Dvd Calendar'!$M$1531)=FALSE,"",'Dvd Calendar'!$M$1531))</f>
        <v/>
      </c>
      <c r="AZ153" s="106">
        <f>IF(GB153="","",IF(ISNUMBER('Dvd Calendar'!$N$1531)=FALSE,"",'Dvd Calendar'!$N$1531))</f>
        <v/>
      </c>
      <c r="BA153" s="106">
        <f>IF(GC153="","",IF(ISNUMBER('Dvd Calendar'!$O$1531)=FALSE,"",'Dvd Calendar'!$O$1531))</f>
        <v/>
      </c>
      <c r="BB153" s="106">
        <f>IF(GD153="","",IF(ISNUMBER('Dvd Calendar'!$P$1531)=FALSE,"",'Dvd Calendar'!$P$1531))</f>
        <v/>
      </c>
      <c r="BC153" s="106">
        <f>IF(GE153="","",IF(ISNUMBER('Dvd Calendar'!$Q$1531)=FALSE,"",'Dvd Calendar'!$Q$1531))</f>
        <v/>
      </c>
      <c r="BD153" s="106">
        <f>IF(GF153="","",IF(ISNUMBER('Dvd Calendar'!$R$1531)=FALSE,"",'Dvd Calendar'!$R$1531))</f>
        <v/>
      </c>
      <c r="BE153" s="106">
        <f>IF(GG153="","",IF(ISNUMBER('Dvd Calendar'!$S$1531)=FALSE,"",'Dvd Calendar'!$S$1531))</f>
        <v/>
      </c>
      <c r="BF153" s="106">
        <f>IF(GH153="","",IF(ISNUMBER('Dvd Calendar'!$T$1531)=FALSE,"",'Dvd Calendar'!$T$1531))</f>
        <v/>
      </c>
      <c r="BG153" s="106">
        <f>IF(GI153="","",IF(ISNUMBER('Dvd Calendar'!$U$1531)=FALSE,"",'Dvd Calendar'!$U$1531))</f>
        <v/>
      </c>
      <c r="BH153" s="106">
        <f>IF(GJ153="","",IF(ISNUMBER('Dvd Calendar'!$V$1531)=FALSE,"",'Dvd Calendar'!$V$1531))</f>
        <v/>
      </c>
      <c r="BI153" s="106">
        <f>IF(GK153="","",IF(ISNUMBER('Dvd Calendar'!$W$1531)=FALSE,"",'Dvd Calendar'!$W$1531))</f>
        <v/>
      </c>
      <c r="BJ153" s="106">
        <f>IF(GL153="","",IF(ISNUMBER('Dvd Calendar'!$X$1531)=FALSE,"",'Dvd Calendar'!$X$1531))</f>
        <v/>
      </c>
      <c r="BK153" s="106">
        <f>IF(GM153="","",IF(ISNUMBER('Dvd Calendar'!$Y$1531)=FALSE,"",'Dvd Calendar'!$Y$1531))</f>
        <v/>
      </c>
      <c r="BL153" s="106">
        <f>IF(GN153="","",IF(ISNUMBER('Dvd Calendar'!$Z$1531)=FALSE,"",'Dvd Calendar'!$Z$1531))</f>
        <v/>
      </c>
      <c r="BM153" s="106">
        <f>IF(GO153="","",IF(ISNUMBER('Dvd Calendar'!$AA$1531)=FALSE,"",'Dvd Calendar'!$AA$1531))</f>
        <v/>
      </c>
      <c r="BN153" s="106">
        <f>IF(GP153="","",IF(ISNUMBER('Dvd Calendar'!$AB$1531)=FALSE,"",'Dvd Calendar'!$AB$1531))</f>
        <v/>
      </c>
      <c r="BO153" s="106">
        <f>IF(GQ153="","",IF(ISNUMBER('Dvd Calendar'!$AC$1531)=FALSE,"",'Dvd Calendar'!$AC$1531))</f>
        <v/>
      </c>
      <c r="BQ153" s="106">
        <f>IF(C153="","",IFERROR(C153*HSTECH!$B$44*HSTECH!$G$44/HSTECH!$B$3,""))</f>
        <v/>
      </c>
      <c r="BR153" s="106">
        <f>IF(D153="","",IFERROR(D153*HSTECH!$B$44*HSTECH!$G$44/HSTECH!$B$3,""))</f>
        <v/>
      </c>
      <c r="BS153" s="106">
        <f>IF(E153="","",IFERROR(E153*HSTECH!$B$44*HSTECH!$G$44/HSTECH!$B$3,""))</f>
        <v/>
      </c>
      <c r="BT153" s="106">
        <f>IF(F153="","",IFERROR(F153*HSTECH!$B$44*HSTECH!$G$44/HSTECH!$B$3,""))</f>
        <v/>
      </c>
      <c r="BU153" s="106">
        <f>IF(G153="","",IFERROR(G153*HSTECH!$B$44*HSTECH!$G$44/HSTECH!$B$3,""))</f>
        <v/>
      </c>
      <c r="BV153" s="106">
        <f>IF(H153="","",IFERROR(H153*HSTECH!$B$44*HSTECH!$G$44/HSTECH!$B$3,""))</f>
        <v/>
      </c>
      <c r="BW153" s="106">
        <f>IF(I153="","",IFERROR(I153*HSTECH!$B$44*HSTECH!$G$44/HSTECH!$B$3,""))</f>
        <v/>
      </c>
      <c r="BX153" s="106">
        <f>IF(J153="","",IFERROR(J153*HSTECH!$B$44*HSTECH!$G$44/HSTECH!$B$3,""))</f>
        <v/>
      </c>
      <c r="BY153" s="106">
        <f>IF(K153="","",IFERROR(K153*HSTECH!$B$44*HSTECH!$G$44/HSTECH!$B$3,""))</f>
        <v/>
      </c>
      <c r="BZ153" s="106">
        <f>IF(L153="","",IFERROR(L153*HSTECH!$B$44*HSTECH!$G$44/HSTECH!$B$3,""))</f>
        <v/>
      </c>
      <c r="CA153" s="106">
        <f>IF(M153="","",IFERROR(M153*HSTECH!$B$44*HSTECH!$G$44/HSTECH!$B$3,""))</f>
        <v/>
      </c>
      <c r="CB153" s="106">
        <f>IF(N153="","",IFERROR(N153*HSTECH!$B$44*HSTECH!$G$44/HSTECH!$B$3,""))</f>
        <v/>
      </c>
      <c r="CC153" s="106">
        <f>IF(O153="","",IFERROR(O153*HSTECH!$B$44*HSTECH!$G$44/HSTECH!$B$3,""))</f>
        <v/>
      </c>
      <c r="CD153" s="106">
        <f>IF(P153="","",IFERROR(P153*HSTECH!$B$44*HSTECH!$G$44/HSTECH!$B$3,""))</f>
        <v/>
      </c>
      <c r="CE153" s="106">
        <f>IF(Q153="","",IFERROR(Q153*HSTECH!$B$44*HSTECH!$G$44/HSTECH!$B$3,""))</f>
        <v/>
      </c>
      <c r="CF153" s="106">
        <f>IF(R153="","",IFERROR(R153*HSTECH!$B$44*HSTECH!$G$44/HSTECH!$B$3,""))</f>
        <v/>
      </c>
      <c r="CG153" s="106">
        <f>IF(S153="","",IFERROR(S153*HSTECH!$B$44*HSTECH!$G$44/HSTECH!$B$3,""))</f>
        <v/>
      </c>
      <c r="CH153" s="106">
        <f>IF(T153="","",IFERROR(T153*HSTECH!$B$44*HSTECH!$G$44/HSTECH!$B$3,""))</f>
        <v/>
      </c>
      <c r="CI153" s="106">
        <f>IF(U153="","",IFERROR(U153*HSTECH!$B$44*HSTECH!$G$44/HSTECH!$B$3,""))</f>
        <v/>
      </c>
      <c r="CJ153" s="106">
        <f>IF(V153="","",IFERROR(V153*HSTECH!$B$44*HSTECH!$G$44/HSTECH!$B$3,""))</f>
        <v/>
      </c>
      <c r="CK153" s="106">
        <f>IF(W153="","",IFERROR(W153*HSTECH!$B$44*HSTECH!$G$44/HSTECH!$B$3,""))</f>
        <v/>
      </c>
      <c r="CL153" s="106">
        <f>IF(X153="","",IFERROR(X153*HSTECH!$B$44*HSTECH!$G$44/HSTECH!$B$3,""))</f>
        <v/>
      </c>
      <c r="CM153" s="106">
        <f>IF(Y153="","",IFERROR(Y153*HSTECH!$B$44*HSTECH!$G$44/HSTECH!$B$3,""))</f>
        <v/>
      </c>
      <c r="CN153" s="106">
        <f>IF(Z153="","",IFERROR(Z153*HSTECH!$B$44*HSTECH!$G$44/HSTECH!$B$3,""))</f>
        <v/>
      </c>
      <c r="CO153" s="106">
        <f>IF(AA153="","",IFERROR(AA153*HSTECH!$B$44*HSTECH!$G$44/HSTECH!$B$3,""))</f>
        <v/>
      </c>
      <c r="CP153" s="106">
        <f>IF(AB153="","",IFERROR(AB153*HSTECH!$B$44*HSTECH!$G$44/HSTECH!$B$3,""))</f>
        <v/>
      </c>
      <c r="CQ153" s="106">
        <f>IF(AC153="","",IFERROR(AC153*HSTECH!$B$44*HSTECH!$G$44/HSTECH!$B$3,""))</f>
        <v/>
      </c>
      <c r="CR153" s="106">
        <f>IF(AD153="","",IFERROR(AD153*HSTECH!$B$44*HSTECH!$G$44/HSTECH!$B$3,""))</f>
        <v/>
      </c>
      <c r="CS153" s="106">
        <f>IF(AE153="","",IFERROR(AE153*HSTECH!$B$44*HSTECH!$G$44/HSTECH!$B$3,""))</f>
        <v/>
      </c>
      <c r="CT153" s="106">
        <f>IF(AF153="","",IFERROR(AF153*HSTECH!$B$44*HSTECH!$G$44/HSTECH!$B$3,""))</f>
        <v/>
      </c>
      <c r="CU153" s="106">
        <f>IF(AG153="","",IFERROR(AG153*HSTECH!$B$44*HSTECH!$G$44/HSTECH!$B$3,""))</f>
        <v/>
      </c>
      <c r="CV153" s="106">
        <f>IF(AH153="","",IFERROR(AH153*HSTECH!$B$44*HSTECH!$G$44/HSTECH!$B$3,""))</f>
        <v/>
      </c>
      <c r="CW153" s="106">
        <f>IF(AI153="","",IFERROR(AI153*HSTECH!$B$44*HSTECH!$G$44/HSTECH!$B$3,""))</f>
        <v/>
      </c>
      <c r="CX153" s="106">
        <f>IF(AJ153="","",IFERROR(AJ153*HSTECH!$B$44*HSTECH!$G$44/HSTECH!$B$3,""))</f>
        <v/>
      </c>
      <c r="CY153" s="106">
        <f>IF(AK153="","",IFERROR(AK153*HSTECH!$B$44*HSTECH!$G$44/HSTECH!$B$3,""))</f>
        <v/>
      </c>
      <c r="CZ153" s="106">
        <f>IF(AL153="","",IFERROR(AL153*HSTECH!$B$44*HSTECH!$G$44/HSTECH!$B$3,""))</f>
        <v/>
      </c>
      <c r="DA153" s="106">
        <f>IF(AM153="","",IFERROR(AM153*HSTECH!$B$44*HSTECH!$G$44/HSTECH!$B$3,""))</f>
        <v/>
      </c>
      <c r="DB153" s="106">
        <f>IF(AN153="","",IFERROR(AN153*HSTECH!$B$44*HSTECH!$G$44/HSTECH!$B$3,""))</f>
        <v/>
      </c>
      <c r="DC153" s="106">
        <f>IF(AO153="","",IFERROR(AO153*HSTECH!$B$44*HSTECH!$G$44/HSTECH!$B$3,""))</f>
        <v/>
      </c>
      <c r="DD153" s="106">
        <f>IF(AP153="","",IFERROR(AP153*HSTECH!$B$44*HSTECH!$G$44/HSTECH!$B$3,""))</f>
        <v/>
      </c>
      <c r="DE153" s="106">
        <f>IF(AQ153="","",IFERROR(AQ153*HSTECH!$B$44*HSTECH!$G$44/HSTECH!$B$3,""))</f>
        <v/>
      </c>
      <c r="DF153" s="106">
        <f>IF(AR153="","",IFERROR(AR153*HSTECH!$B$44*HSTECH!$G$44/HSTECH!$B$3,""))</f>
        <v/>
      </c>
      <c r="DG153" s="106">
        <f>IF(AS153="","",IFERROR(AS153*HSTECH!$B$44*HSTECH!$G$44/HSTECH!$B$3,""))</f>
        <v/>
      </c>
      <c r="DH153" s="106">
        <f>IF(AT153="","",IFERROR(AT153*HSTECH!$B$44*HSTECH!$G$44/HSTECH!$B$3,""))</f>
        <v/>
      </c>
      <c r="DI153" s="106">
        <f>IF(AU153="","",IFERROR(AU153*HSTECH!$B$44*HSTECH!$G$44/HSTECH!$B$3,""))</f>
        <v/>
      </c>
      <c r="DJ153" s="106">
        <f>IF(AV153="","",IFERROR(AV153*HSTECH!$B$44*HSTECH!$G$44/HSTECH!$B$3,""))</f>
        <v/>
      </c>
      <c r="DK153" s="106">
        <f>IF(AW153="","",IFERROR(AW153*HSTECH!$B$44*HSTECH!$G$44/HSTECH!$B$3,""))</f>
        <v/>
      </c>
      <c r="DL153" s="106">
        <f>IF(AX153="","",IFERROR(AX153*HSTECH!$B$44*HSTECH!$G$44/HSTECH!$B$3,""))</f>
        <v/>
      </c>
      <c r="DM153" s="106">
        <f>IF(AY153="","",IFERROR(AY153*HSTECH!$B$44*HSTECH!$G$44/HSTECH!$B$3,""))</f>
        <v/>
      </c>
      <c r="DN153" s="106">
        <f>IF(AZ153="","",IFERROR(AZ153*HSTECH!$B$44*HSTECH!$G$44/HSTECH!$B$3,""))</f>
        <v/>
      </c>
      <c r="DO153" s="106">
        <f>IF(BA153="","",IFERROR(BA153*HSTECH!$B$44*HSTECH!$G$44/HSTECH!$B$3,""))</f>
        <v/>
      </c>
      <c r="DP153" s="106">
        <f>IF(BB153="","",IFERROR(BB153*HSTECH!$B$44*HSTECH!$G$44/HSTECH!$B$3,""))</f>
        <v/>
      </c>
      <c r="DQ153" s="106">
        <f>IF(BC153="","",IFERROR(BC153*HSTECH!$B$44*HSTECH!$G$44/HSTECH!$B$3,""))</f>
        <v/>
      </c>
      <c r="DR153" s="106">
        <f>IF(BD153="","",IFERROR(BD153*HSTECH!$B$44*HSTECH!$G$44/HSTECH!$B$3,""))</f>
        <v/>
      </c>
      <c r="DS153" s="106">
        <f>IF(BE153="","",IFERROR(BE153*HSTECH!$B$44*HSTECH!$G$44/HSTECH!$B$3,""))</f>
        <v/>
      </c>
      <c r="DT153" s="106">
        <f>IF(BF153="","",IFERROR(BF153*HSTECH!$B$44*HSTECH!$G$44/HSTECH!$B$3,""))</f>
        <v/>
      </c>
      <c r="DU153" s="106">
        <f>IF(BG153="","",IFERROR(BG153*HSTECH!$B$44*HSTECH!$G$44/HSTECH!$B$3,""))</f>
        <v/>
      </c>
      <c r="DV153" s="106">
        <f>IF(BH153="","",IFERROR(BH153*HSTECH!$B$44*HSTECH!$G$44/HSTECH!$B$3,""))</f>
        <v/>
      </c>
      <c r="DW153" s="106">
        <f>IF(BI153="","",IFERROR(BI153*HSTECH!$B$44*HSTECH!$G$44/HSTECH!$B$3,""))</f>
        <v/>
      </c>
      <c r="DX153" s="106">
        <f>IF(BJ153="","",IFERROR(BJ153*HSTECH!$B$44*HSTECH!$G$44/HSTECH!$B$3,""))</f>
        <v/>
      </c>
      <c r="DY153" s="106">
        <f>IF(BK153="","",IFERROR(BK153*HSTECH!$B$44*HSTECH!$G$44/HSTECH!$B$3,""))</f>
        <v/>
      </c>
      <c r="DZ153" s="106">
        <f>IF(BL153="","",IFERROR(BL153*HSTECH!$B$44*HSTECH!$G$44/HSTECH!$B$3,""))</f>
        <v/>
      </c>
      <c r="EA153" s="106">
        <f>IF(BM153="","",IFERROR(BM153*HSTECH!$B$44*HSTECH!$G$44/HSTECH!$B$3,""))</f>
        <v/>
      </c>
      <c r="EB153" s="106">
        <f>IF(BN153="","",IFERROR(BN153*HSTECH!$B$44*HSTECH!$G$44/HSTECH!$B$3,""))</f>
        <v/>
      </c>
      <c r="EC153" s="106">
        <f>IF(BO153="","",IFERROR(BO153*HSTECH!$B$44*HSTECH!$G$44/HSTECH!$B$3,""))</f>
        <v/>
      </c>
      <c r="EE153" s="35">
        <f>IF(N('Dvd Calendar'!$E$1523)=0,"",IF(('Dvd Calendar'!$E$1523&gt;=GRID_FROM)*('Dvd Calendar'!$E$1523&lt;=GRID_TO)*('Dvd Calendar'!$E$1523&lt;=VAL_DATE)=0,"",'Dvd Calendar'!$E$1523*1000000000+ISNUMBER('Dvd Calendar'!$E$1526)*100000000+('Dvd Calendar'!$E$1528=SPECIAL_LBL)*10000000+0*1000000+38*1000+1))</f>
        <v/>
      </c>
      <c r="EF153" s="35">
        <f>IF(N('Dvd Calendar'!$F$1523)=0,"",IF(('Dvd Calendar'!$F$1523&gt;=GRID_FROM)*('Dvd Calendar'!$F$1523&lt;=GRID_TO)*('Dvd Calendar'!$F$1523&lt;=VAL_DATE)=0,"",'Dvd Calendar'!$F$1523*1000000000+ISNUMBER('Dvd Calendar'!$F$1526)*100000000+('Dvd Calendar'!$F$1528=SPECIAL_LBL)*10000000+0*1000000+38*1000+2))</f>
        <v/>
      </c>
      <c r="EG153" s="35">
        <f>IF(N('Dvd Calendar'!$G$1523)=0,"",IF(('Dvd Calendar'!$G$1523&gt;=GRID_FROM)*('Dvd Calendar'!$G$1523&lt;=GRID_TO)*('Dvd Calendar'!$G$1523&lt;=VAL_DATE)=0,"",'Dvd Calendar'!$G$1523*1000000000+ISNUMBER('Dvd Calendar'!$G$1526)*100000000+('Dvd Calendar'!$G$1528=SPECIAL_LBL)*10000000+0*1000000+38*1000+3))</f>
        <v/>
      </c>
      <c r="EH153" s="35">
        <f>IF(N('Dvd Calendar'!$H$1523)=0,"",IF(('Dvd Calendar'!$H$1523&gt;=GRID_FROM)*('Dvd Calendar'!$H$1523&lt;=GRID_TO)*('Dvd Calendar'!$H$1523&lt;=VAL_DATE)=0,"",'Dvd Calendar'!$H$1523*1000000000+ISNUMBER('Dvd Calendar'!$H$1526)*100000000+('Dvd Calendar'!$H$1528=SPECIAL_LBL)*10000000+0*1000000+38*1000+4))</f>
        <v/>
      </c>
      <c r="EI153" s="35">
        <f>IF(N('Dvd Calendar'!$I$1523)=0,"",IF(('Dvd Calendar'!$I$1523&gt;=GRID_FROM)*('Dvd Calendar'!$I$1523&lt;=GRID_TO)*('Dvd Calendar'!$I$1523&lt;=VAL_DATE)=0,"",'Dvd Calendar'!$I$1523*1000000000+ISNUMBER('Dvd Calendar'!$I$1526)*100000000+('Dvd Calendar'!$I$1528=SPECIAL_LBL)*10000000+0*1000000+38*1000+5))</f>
        <v/>
      </c>
      <c r="EJ153" s="35">
        <f>IF(N('Dvd Calendar'!$J$1523)=0,"",IF(('Dvd Calendar'!$J$1523&gt;=GRID_FROM)*('Dvd Calendar'!$J$1523&lt;=GRID_TO)*('Dvd Calendar'!$J$1523&lt;=VAL_DATE)=0,"",'Dvd Calendar'!$J$1523*1000000000+ISNUMBER('Dvd Calendar'!$J$1526)*100000000+('Dvd Calendar'!$J$1528=SPECIAL_LBL)*10000000+0*1000000+38*1000+6))</f>
        <v/>
      </c>
      <c r="EK153" s="35">
        <f>IF(N('Dvd Calendar'!$K$1523)=0,"",IF(('Dvd Calendar'!$K$1523&gt;=GRID_FROM)*('Dvd Calendar'!$K$1523&lt;=GRID_TO)*('Dvd Calendar'!$K$1523&lt;=VAL_DATE)=0,"",'Dvd Calendar'!$K$1523*1000000000+ISNUMBER('Dvd Calendar'!$K$1526)*100000000+('Dvd Calendar'!$K$1528=SPECIAL_LBL)*10000000+0*1000000+38*1000+7))</f>
        <v/>
      </c>
      <c r="EL153" s="35">
        <f>IF(N('Dvd Calendar'!$L$1523)=0,"",IF(('Dvd Calendar'!$L$1523&gt;=GRID_FROM)*('Dvd Calendar'!$L$1523&lt;=GRID_TO)*('Dvd Calendar'!$L$1523&lt;=VAL_DATE)=0,"",'Dvd Calendar'!$L$1523*1000000000+ISNUMBER('Dvd Calendar'!$L$1526)*100000000+('Dvd Calendar'!$L$1528=SPECIAL_LBL)*10000000+0*1000000+38*1000+8))</f>
        <v/>
      </c>
      <c r="EM153" s="35">
        <f>IF(N('Dvd Calendar'!$M$1523)=0,"",IF(('Dvd Calendar'!$M$1523&gt;=GRID_FROM)*('Dvd Calendar'!$M$1523&lt;=GRID_TO)*('Dvd Calendar'!$M$1523&lt;=VAL_DATE)=0,"",'Dvd Calendar'!$M$1523*1000000000+ISNUMBER('Dvd Calendar'!$M$1526)*100000000+('Dvd Calendar'!$M$1528=SPECIAL_LBL)*10000000+0*1000000+38*1000+9))</f>
        <v/>
      </c>
      <c r="EN153" s="35">
        <f>IF(N('Dvd Calendar'!$N$1523)=0,"",IF(('Dvd Calendar'!$N$1523&gt;=GRID_FROM)*('Dvd Calendar'!$N$1523&lt;=GRID_TO)*('Dvd Calendar'!$N$1523&lt;=VAL_DATE)=0,"",'Dvd Calendar'!$N$1523*1000000000+ISNUMBER('Dvd Calendar'!$N$1526)*100000000+('Dvd Calendar'!$N$1528=SPECIAL_LBL)*10000000+0*1000000+38*1000+10))</f>
        <v/>
      </c>
      <c r="EO153" s="35">
        <f>IF(N('Dvd Calendar'!$O$1523)=0,"",IF(('Dvd Calendar'!$O$1523&gt;=GRID_FROM)*('Dvd Calendar'!$O$1523&lt;=GRID_TO)*('Dvd Calendar'!$O$1523&lt;=VAL_DATE)=0,"",'Dvd Calendar'!$O$1523*1000000000+ISNUMBER('Dvd Calendar'!$O$1526)*100000000+('Dvd Calendar'!$O$1528=SPECIAL_LBL)*10000000+0*1000000+38*1000+11))</f>
        <v/>
      </c>
      <c r="EP153" s="35">
        <f>IF(N('Dvd Calendar'!$P$1523)=0,"",IF(('Dvd Calendar'!$P$1523&gt;=GRID_FROM)*('Dvd Calendar'!$P$1523&lt;=GRID_TO)*('Dvd Calendar'!$P$1523&lt;=VAL_DATE)=0,"",'Dvd Calendar'!$P$1523*1000000000+ISNUMBER('Dvd Calendar'!$P$1526)*100000000+('Dvd Calendar'!$P$1528=SPECIAL_LBL)*10000000+0*1000000+38*1000+12))</f>
        <v/>
      </c>
      <c r="EQ153" s="35">
        <f>IF(N('Dvd Calendar'!$Q$1523)=0,"",IF(('Dvd Calendar'!$Q$1523&gt;=GRID_FROM)*('Dvd Calendar'!$Q$1523&lt;=GRID_TO)*('Dvd Calendar'!$Q$1523&lt;=VAL_DATE)=0,"",'Dvd Calendar'!$Q$1523*1000000000+ISNUMBER('Dvd Calendar'!$Q$1526)*100000000+('Dvd Calendar'!$Q$1528=SPECIAL_LBL)*10000000+0*1000000+38*1000+13))</f>
        <v/>
      </c>
      <c r="ER153" s="35">
        <f>IF(N('Dvd Calendar'!$R$1523)=0,"",IF(('Dvd Calendar'!$R$1523&gt;=GRID_FROM)*('Dvd Calendar'!$R$1523&lt;=GRID_TO)*('Dvd Calendar'!$R$1523&lt;=VAL_DATE)=0,"",'Dvd Calendar'!$R$1523*1000000000+ISNUMBER('Dvd Calendar'!$R$1526)*100000000+('Dvd Calendar'!$R$1528=SPECIAL_LBL)*10000000+0*1000000+38*1000+14))</f>
        <v/>
      </c>
      <c r="ES153" s="35">
        <f>IF(N('Dvd Calendar'!$S$1523)=0,"",IF(('Dvd Calendar'!$S$1523&gt;=GRID_FROM)*('Dvd Calendar'!$S$1523&lt;=GRID_TO)*('Dvd Calendar'!$S$1523&lt;=VAL_DATE)=0,"",'Dvd Calendar'!$S$1523*1000000000+ISNUMBER('Dvd Calendar'!$S$1526)*100000000+('Dvd Calendar'!$S$1528=SPECIAL_LBL)*10000000+0*1000000+38*1000+15))</f>
        <v/>
      </c>
      <c r="ET153" s="35">
        <f>IF(N('Dvd Calendar'!$T$1523)=0,"",IF(('Dvd Calendar'!$T$1523&gt;=GRID_FROM)*('Dvd Calendar'!$T$1523&lt;=GRID_TO)*('Dvd Calendar'!$T$1523&lt;=VAL_DATE)=0,"",'Dvd Calendar'!$T$1523*1000000000+ISNUMBER('Dvd Calendar'!$T$1526)*100000000+('Dvd Calendar'!$T$1528=SPECIAL_LBL)*10000000+0*1000000+38*1000+16))</f>
        <v/>
      </c>
      <c r="EU153" s="35">
        <f>IF(N('Dvd Calendar'!$U$1523)=0,"",IF(('Dvd Calendar'!$U$1523&gt;=GRID_FROM)*('Dvd Calendar'!$U$1523&lt;=GRID_TO)*('Dvd Calendar'!$U$1523&lt;=VAL_DATE)=0,"",'Dvd Calendar'!$U$1523*1000000000+ISNUMBER('Dvd Calendar'!$U$1526)*100000000+('Dvd Calendar'!$U$1528=SPECIAL_LBL)*10000000+0*1000000+38*1000+17))</f>
        <v/>
      </c>
      <c r="EV153" s="35">
        <f>IF(N('Dvd Calendar'!$V$1523)=0,"",IF(('Dvd Calendar'!$V$1523&gt;=GRID_FROM)*('Dvd Calendar'!$V$1523&lt;=GRID_TO)*('Dvd Calendar'!$V$1523&lt;=VAL_DATE)=0,"",'Dvd Calendar'!$V$1523*1000000000+ISNUMBER('Dvd Calendar'!$V$1526)*100000000+('Dvd Calendar'!$V$1528=SPECIAL_LBL)*10000000+0*1000000+38*1000+18))</f>
        <v/>
      </c>
      <c r="EW153" s="35">
        <f>IF(N('Dvd Calendar'!$W$1523)=0,"",IF(('Dvd Calendar'!$W$1523&gt;=GRID_FROM)*('Dvd Calendar'!$W$1523&lt;=GRID_TO)*('Dvd Calendar'!$W$1523&lt;=VAL_DATE)=0,"",'Dvd Calendar'!$W$1523*1000000000+ISNUMBER('Dvd Calendar'!$W$1526)*100000000+('Dvd Calendar'!$W$1528=SPECIAL_LBL)*10000000+0*1000000+38*1000+19))</f>
        <v/>
      </c>
      <c r="EX153" s="35">
        <f>IF(N('Dvd Calendar'!$X$1523)=0,"",IF(('Dvd Calendar'!$X$1523&gt;=GRID_FROM)*('Dvd Calendar'!$X$1523&lt;=GRID_TO)*('Dvd Calendar'!$X$1523&lt;=VAL_DATE)=0,"",'Dvd Calendar'!$X$1523*1000000000+ISNUMBER('Dvd Calendar'!$X$1526)*100000000+('Dvd Calendar'!$X$1528=SPECIAL_LBL)*10000000+0*1000000+38*1000+20))</f>
        <v/>
      </c>
      <c r="EY153" s="35">
        <f>IF(N('Dvd Calendar'!$Y$1523)=0,"",IF(('Dvd Calendar'!$Y$1523&gt;=GRID_FROM)*('Dvd Calendar'!$Y$1523&lt;=GRID_TO)*('Dvd Calendar'!$Y$1523&lt;=VAL_DATE)=0,"",'Dvd Calendar'!$Y$1523*1000000000+ISNUMBER('Dvd Calendar'!$Y$1526)*100000000+('Dvd Calendar'!$Y$1528=SPECIAL_LBL)*10000000+0*1000000+38*1000+21))</f>
        <v/>
      </c>
      <c r="EZ153" s="35">
        <f>IF(N('Dvd Calendar'!$Z$1523)=0,"",IF(('Dvd Calendar'!$Z$1523&gt;=GRID_FROM)*('Dvd Calendar'!$Z$1523&lt;=GRID_TO)*('Dvd Calendar'!$Z$1523&lt;=VAL_DATE)=0,"",'Dvd Calendar'!$Z$1523*1000000000+ISNUMBER('Dvd Calendar'!$Z$1526)*100000000+('Dvd Calendar'!$Z$1528=SPECIAL_LBL)*10000000+0*1000000+38*1000+22))</f>
        <v/>
      </c>
      <c r="FA153" s="35">
        <f>IF(N('Dvd Calendar'!$AA$1523)=0,"",IF(('Dvd Calendar'!$AA$1523&gt;=GRID_FROM)*('Dvd Calendar'!$AA$1523&lt;=GRID_TO)*('Dvd Calendar'!$AA$1523&lt;=VAL_DATE)=0,"",'Dvd Calendar'!$AA$1523*1000000000+ISNUMBER('Dvd Calendar'!$AA$1526)*100000000+('Dvd Calendar'!$AA$1528=SPECIAL_LBL)*10000000+0*1000000+38*1000+23))</f>
        <v/>
      </c>
      <c r="FB153" s="35">
        <f>IF(N('Dvd Calendar'!$AB$1523)=0,"",IF(('Dvd Calendar'!$AB$1523&gt;=GRID_FROM)*('Dvd Calendar'!$AB$1523&lt;=GRID_TO)*('Dvd Calendar'!$AB$1523&lt;=VAL_DATE)=0,"",'Dvd Calendar'!$AB$1523*1000000000+ISNUMBER('Dvd Calendar'!$AB$1526)*100000000+('Dvd Calendar'!$AB$1528=SPECIAL_LBL)*10000000+0*1000000+38*1000+24))</f>
        <v/>
      </c>
      <c r="FC153" s="35">
        <f>IF(N('Dvd Calendar'!$AC$1523)=0,"",IF(('Dvd Calendar'!$AC$1523&gt;=GRID_FROM)*('Dvd Calendar'!$AC$1523&lt;=GRID_TO)*('Dvd Calendar'!$AC$1523&lt;=VAL_DATE)=0,"",'Dvd Calendar'!$AC$1523*1000000000+ISNUMBER('Dvd Calendar'!$AC$1526)*100000000+('Dvd Calendar'!$AC$1528=SPECIAL_LBL)*10000000+0*1000000+38*1000+25))</f>
        <v/>
      </c>
      <c r="FD153" s="35">
        <f>IF(N('Dvd Calendar'!$AD$1523)=0,"",IF(('Dvd Calendar'!$AD$1523&gt;=GRID_FROM)*('Dvd Calendar'!$AD$1523&lt;=GRID_TO)*('Dvd Calendar'!$AD$1523&lt;=VAL_DATE)=0,"",'Dvd Calendar'!$AD$1523*1000000000+ISNUMBER('Dvd Calendar'!$AD$1526)*100000000+('Dvd Calendar'!$AD$1528=SPECIAL_LBL)*10000000+0*1000000+38*1000+26))</f>
        <v/>
      </c>
      <c r="FE153" s="35">
        <f>IF(N('Dvd Calendar'!$AE$1523)=0,"",IF(('Dvd Calendar'!$AE$1523&gt;=GRID_FROM)*('Dvd Calendar'!$AE$1523&lt;=GRID_TO)*('Dvd Calendar'!$AE$1523&lt;=VAL_DATE)=0,"",'Dvd Calendar'!$AE$1523*1000000000+ISNUMBER('Dvd Calendar'!$AE$1526)*100000000+('Dvd Calendar'!$AE$1528=SPECIAL_LBL)*10000000+0*1000000+38*1000+27))</f>
        <v/>
      </c>
      <c r="FF153" s="35">
        <f>IF(N('Dvd Calendar'!$AF$1523)=0,"",IF(('Dvd Calendar'!$AF$1523&gt;=GRID_FROM)*('Dvd Calendar'!$AF$1523&lt;=GRID_TO)*('Dvd Calendar'!$AF$1523&lt;=VAL_DATE)=0,"",'Dvd Calendar'!$AF$1523*1000000000+ISNUMBER('Dvd Calendar'!$AF$1526)*100000000+('Dvd Calendar'!$AF$1528=SPECIAL_LBL)*10000000+0*1000000+38*1000+28))</f>
        <v/>
      </c>
      <c r="FG153" s="35">
        <f>IF(N('Dvd Calendar'!$AG$1523)=0,"",IF(('Dvd Calendar'!$AG$1523&gt;=GRID_FROM)*('Dvd Calendar'!$AG$1523&lt;=GRID_TO)*('Dvd Calendar'!$AG$1523&lt;=VAL_DATE)=0,"",'Dvd Calendar'!$AG$1523*1000000000+ISNUMBER('Dvd Calendar'!$AG$1526)*100000000+('Dvd Calendar'!$AG$1528=SPECIAL_LBL)*10000000+0*1000000+38*1000+29))</f>
        <v/>
      </c>
      <c r="FH153" s="35">
        <f>IF(N('Dvd Calendar'!$AH$1523)=0,"",IF(('Dvd Calendar'!$AH$1523&gt;=GRID_FROM)*('Dvd Calendar'!$AH$1523&lt;=GRID_TO)*('Dvd Calendar'!$AH$1523&lt;=VAL_DATE)=0,"",'Dvd Calendar'!$AH$1523*1000000000+ISNUMBER('Dvd Calendar'!$AH$1526)*100000000+('Dvd Calendar'!$AH$1528=SPECIAL_LBL)*10000000+0*1000000+38*1000+30))</f>
        <v/>
      </c>
      <c r="FI153" s="35">
        <f>IF(N('Dvd Calendar'!$AI$1523)=0,"",IF(('Dvd Calendar'!$AI$1523&gt;=GRID_FROM)*('Dvd Calendar'!$AI$1523&lt;=GRID_TO)*('Dvd Calendar'!$AI$1523&lt;=VAL_DATE)=0,"",'Dvd Calendar'!$AI$1523*1000000000+ISNUMBER('Dvd Calendar'!$AI$1526)*100000000+('Dvd Calendar'!$AI$1528=SPECIAL_LBL)*10000000+0*1000000+38*1000+31))</f>
        <v/>
      </c>
      <c r="FJ153" s="35">
        <f>IF(N('Dvd Calendar'!$AJ$1523)=0,"",IF(('Dvd Calendar'!$AJ$1523&gt;=GRID_FROM)*('Dvd Calendar'!$AJ$1523&lt;=GRID_TO)*('Dvd Calendar'!$AJ$1523&lt;=VAL_DATE)=0,"",'Dvd Calendar'!$AJ$1523*1000000000+ISNUMBER('Dvd Calendar'!$AJ$1526)*100000000+('Dvd Calendar'!$AJ$1528=SPECIAL_LBL)*10000000+0*1000000+38*1000+32))</f>
        <v/>
      </c>
      <c r="FK153" s="35">
        <f>IF(N('Dvd Calendar'!$AK$1523)=0,"",IF(('Dvd Calendar'!$AK$1523&gt;=GRID_FROM)*('Dvd Calendar'!$AK$1523&lt;=GRID_TO)*('Dvd Calendar'!$AK$1523&lt;=VAL_DATE)=0,"",'Dvd Calendar'!$AK$1523*1000000000+ISNUMBER('Dvd Calendar'!$AK$1526)*100000000+('Dvd Calendar'!$AK$1528=SPECIAL_LBL)*10000000+0*1000000+38*1000+33))</f>
        <v/>
      </c>
      <c r="FL153" s="35">
        <f>IF(N('Dvd Calendar'!$AL$1523)=0,"",IF(('Dvd Calendar'!$AL$1523&gt;=GRID_FROM)*('Dvd Calendar'!$AL$1523&lt;=GRID_TO)*('Dvd Calendar'!$AL$1523&lt;=VAL_DATE)=0,"",'Dvd Calendar'!$AL$1523*1000000000+ISNUMBER('Dvd Calendar'!$AL$1526)*100000000+('Dvd Calendar'!$AL$1528=SPECIAL_LBL)*10000000+0*1000000+38*1000+34))</f>
        <v/>
      </c>
      <c r="FM153" s="35">
        <f>IF(N('Dvd Calendar'!$AM$1523)=0,"",IF(('Dvd Calendar'!$AM$1523&gt;=GRID_FROM)*('Dvd Calendar'!$AM$1523&lt;=GRID_TO)*('Dvd Calendar'!$AM$1523&lt;=VAL_DATE)=0,"",'Dvd Calendar'!$AM$1523*1000000000+ISNUMBER('Dvd Calendar'!$AM$1526)*100000000+('Dvd Calendar'!$AM$1528=SPECIAL_LBL)*10000000+0*1000000+38*1000+35))</f>
        <v/>
      </c>
      <c r="FN153" s="35">
        <f>IF(N('Dvd Calendar'!$AN$1523)=0,"",IF(('Dvd Calendar'!$AN$1523&gt;=GRID_FROM)*('Dvd Calendar'!$AN$1523&lt;=GRID_TO)*('Dvd Calendar'!$AN$1523&lt;=VAL_DATE)=0,"",'Dvd Calendar'!$AN$1523*1000000000+ISNUMBER('Dvd Calendar'!$AN$1526)*100000000+('Dvd Calendar'!$AN$1528=SPECIAL_LBL)*10000000+0*1000000+38*1000+36))</f>
        <v/>
      </c>
      <c r="FO153" s="35">
        <f>IF(N('Dvd Calendar'!$AO$1523)=0,"",IF(('Dvd Calendar'!$AO$1523&gt;=GRID_FROM)*('Dvd Calendar'!$AO$1523&lt;=GRID_TO)*('Dvd Calendar'!$AO$1523&lt;=VAL_DATE)=0,"",'Dvd Calendar'!$AO$1523*1000000000+ISNUMBER('Dvd Calendar'!$AO$1526)*100000000+('Dvd Calendar'!$AO$1528=SPECIAL_LBL)*10000000+0*1000000+38*1000+37))</f>
        <v/>
      </c>
      <c r="FP153" s="35">
        <f>IF(N('Dvd Calendar'!$AP$1523)=0,"",IF(('Dvd Calendar'!$AP$1523&gt;=GRID_FROM)*('Dvd Calendar'!$AP$1523&lt;=GRID_TO)*('Dvd Calendar'!$AP$1523&lt;=VAL_DATE)=0,"",'Dvd Calendar'!$AP$1523*1000000000+ISNUMBER('Dvd Calendar'!$AP$1526)*100000000+('Dvd Calendar'!$AP$1528=SPECIAL_LBL)*10000000+0*1000000+38*1000+38))</f>
        <v/>
      </c>
      <c r="FQ153" s="35">
        <f>IF(N('Dvd Calendar'!$AQ$1523)=0,"",IF(('Dvd Calendar'!$AQ$1523&gt;=GRID_FROM)*('Dvd Calendar'!$AQ$1523&lt;=GRID_TO)*('Dvd Calendar'!$AQ$1523&lt;=VAL_DATE)=0,"",'Dvd Calendar'!$AQ$1523*1000000000+ISNUMBER('Dvd Calendar'!$AQ$1526)*100000000+('Dvd Calendar'!$AQ$1528=SPECIAL_LBL)*10000000+0*1000000+38*1000+39))</f>
        <v/>
      </c>
      <c r="FR153" s="35">
        <f>IF(N('Dvd Calendar'!$AR$1523)=0,"",IF(('Dvd Calendar'!$AR$1523&gt;=GRID_FROM)*('Dvd Calendar'!$AR$1523&lt;=GRID_TO)*('Dvd Calendar'!$AR$1523&lt;=VAL_DATE)=0,"",'Dvd Calendar'!$AR$1523*1000000000+ISNUMBER('Dvd Calendar'!$AR$1526)*100000000+('Dvd Calendar'!$AR$1528=SPECIAL_LBL)*10000000+0*1000000+38*1000+40))</f>
        <v/>
      </c>
      <c r="FS153" s="35">
        <f>IF(N('Dvd Calendar'!$E$1530)=0,"",IF(('Dvd Calendar'!$E$1530&gt;=GRID_FROM)*('Dvd Calendar'!$E$1530&lt;=GRID_TO)*('Dvd Calendar'!$E$1530&gt;VAL_DATE)=0,"",'Dvd Calendar'!$E$1530*1000000000+ISNUMBER('Dvd Calendar'!$E$1531)*100000000+0*10000000+(N('Dvd Calendar'!$E$1529)&gt;0)*(N('Dvd Calendar'!$E$1529)&lt;=VAL_SERIAL)*1000000+38*1000+41))</f>
        <v/>
      </c>
      <c r="FT153" s="35">
        <f>IF(N('Dvd Calendar'!$F$1530)=0,"",IF(('Dvd Calendar'!$F$1530&gt;=GRID_FROM)*('Dvd Calendar'!$F$1530&lt;=GRID_TO)*('Dvd Calendar'!$F$1530&gt;VAL_DATE)=0,"",'Dvd Calendar'!$F$1530*1000000000+ISNUMBER('Dvd Calendar'!$F$1531)*100000000+0*10000000+(N('Dvd Calendar'!$F$1529)&gt;0)*(N('Dvd Calendar'!$F$1529)&lt;=VAL_SERIAL)*1000000+38*1000+42))</f>
        <v/>
      </c>
      <c r="FU153" s="35">
        <f>IF(N('Dvd Calendar'!$G$1530)=0,"",IF(('Dvd Calendar'!$G$1530&gt;=GRID_FROM)*('Dvd Calendar'!$G$1530&lt;=GRID_TO)*('Dvd Calendar'!$G$1530&gt;VAL_DATE)=0,"",'Dvd Calendar'!$G$1530*1000000000+ISNUMBER('Dvd Calendar'!$G$1531)*100000000+0*10000000+(N('Dvd Calendar'!$G$1529)&gt;0)*(N('Dvd Calendar'!$G$1529)&lt;=VAL_SERIAL)*1000000+38*1000+43))</f>
        <v/>
      </c>
      <c r="FV153" s="35">
        <f>IF(N('Dvd Calendar'!$H$1530)=0,"",IF(('Dvd Calendar'!$H$1530&gt;=GRID_FROM)*('Dvd Calendar'!$H$1530&lt;=GRID_TO)*('Dvd Calendar'!$H$1530&gt;VAL_DATE)=0,"",'Dvd Calendar'!$H$1530*1000000000+ISNUMBER('Dvd Calendar'!$H$1531)*100000000+0*10000000+(N('Dvd Calendar'!$H$1529)&gt;0)*(N('Dvd Calendar'!$H$1529)&lt;=VAL_SERIAL)*1000000+38*1000+44))</f>
        <v/>
      </c>
      <c r="FW153" s="35">
        <f>IF(N('Dvd Calendar'!$I$1530)=0,"",IF(('Dvd Calendar'!$I$1530&gt;=GRID_FROM)*('Dvd Calendar'!$I$1530&lt;=GRID_TO)*('Dvd Calendar'!$I$1530&gt;VAL_DATE)=0,"",'Dvd Calendar'!$I$1530*1000000000+ISNUMBER('Dvd Calendar'!$I$1531)*100000000+0*10000000+(N('Dvd Calendar'!$I$1529)&gt;0)*(N('Dvd Calendar'!$I$1529)&lt;=VAL_SERIAL)*1000000+38*1000+45))</f>
        <v/>
      </c>
      <c r="FX153" s="35">
        <f>IF(N('Dvd Calendar'!$J$1530)=0,"",IF(('Dvd Calendar'!$J$1530&gt;=GRID_FROM)*('Dvd Calendar'!$J$1530&lt;=GRID_TO)*('Dvd Calendar'!$J$1530&gt;VAL_DATE)=0,"",'Dvd Calendar'!$J$1530*1000000000+ISNUMBER('Dvd Calendar'!$J$1531)*100000000+0*10000000+(N('Dvd Calendar'!$J$1529)&gt;0)*(N('Dvd Calendar'!$J$1529)&lt;=VAL_SERIAL)*1000000+38*1000+46))</f>
        <v/>
      </c>
      <c r="FY153" s="35">
        <f>IF(N('Dvd Calendar'!$K$1530)=0,"",IF(('Dvd Calendar'!$K$1530&gt;=GRID_FROM)*('Dvd Calendar'!$K$1530&lt;=GRID_TO)*('Dvd Calendar'!$K$1530&gt;VAL_DATE)=0,"",'Dvd Calendar'!$K$1530*1000000000+ISNUMBER('Dvd Calendar'!$K$1531)*100000000+0*10000000+(N('Dvd Calendar'!$K$1529)&gt;0)*(N('Dvd Calendar'!$K$1529)&lt;=VAL_SERIAL)*1000000+38*1000+47))</f>
        <v/>
      </c>
      <c r="FZ153" s="35">
        <f>IF(N('Dvd Calendar'!$L$1530)=0,"",IF(('Dvd Calendar'!$L$1530&gt;=GRID_FROM)*('Dvd Calendar'!$L$1530&lt;=GRID_TO)*('Dvd Calendar'!$L$1530&gt;VAL_DATE)=0,"",'Dvd Calendar'!$L$1530*1000000000+ISNUMBER('Dvd Calendar'!$L$1531)*100000000+0*10000000+(N('Dvd Calendar'!$L$1529)&gt;0)*(N('Dvd Calendar'!$L$1529)&lt;=VAL_SERIAL)*1000000+38*1000+48))</f>
        <v/>
      </c>
      <c r="GA153" s="35">
        <f>IF(N('Dvd Calendar'!$M$1530)=0,"",IF(('Dvd Calendar'!$M$1530&gt;=GRID_FROM)*('Dvd Calendar'!$M$1530&lt;=GRID_TO)*('Dvd Calendar'!$M$1530&gt;VAL_DATE)=0,"",'Dvd Calendar'!$M$1530*1000000000+ISNUMBER('Dvd Calendar'!$M$1531)*100000000+0*10000000+(N('Dvd Calendar'!$M$1529)&gt;0)*(N('Dvd Calendar'!$M$1529)&lt;=VAL_SERIAL)*1000000+38*1000+49))</f>
        <v/>
      </c>
      <c r="GB153" s="35">
        <f>IF(N('Dvd Calendar'!$N$1530)=0,"",IF(('Dvd Calendar'!$N$1530&gt;=GRID_FROM)*('Dvd Calendar'!$N$1530&lt;=GRID_TO)*('Dvd Calendar'!$N$1530&gt;VAL_DATE)=0,"",'Dvd Calendar'!$N$1530*1000000000+ISNUMBER('Dvd Calendar'!$N$1531)*100000000+0*10000000+(N('Dvd Calendar'!$N$1529)&gt;0)*(N('Dvd Calendar'!$N$1529)&lt;=VAL_SERIAL)*1000000+38*1000+50))</f>
        <v/>
      </c>
      <c r="GC153" s="35">
        <f>IF(N('Dvd Calendar'!$O$1530)=0,"",IF(('Dvd Calendar'!$O$1530&gt;=GRID_FROM)*('Dvd Calendar'!$O$1530&lt;=GRID_TO)*('Dvd Calendar'!$O$1530&gt;VAL_DATE)=0,"",'Dvd Calendar'!$O$1530*1000000000+ISNUMBER('Dvd Calendar'!$O$1531)*100000000+0*10000000+(N('Dvd Calendar'!$O$1529)&gt;0)*(N('Dvd Calendar'!$O$1529)&lt;=VAL_SERIAL)*1000000+38*1000+51))</f>
        <v/>
      </c>
      <c r="GD153" s="35">
        <f>IF(N('Dvd Calendar'!$P$1530)=0,"",IF(('Dvd Calendar'!$P$1530&gt;=GRID_FROM)*('Dvd Calendar'!$P$1530&lt;=GRID_TO)*('Dvd Calendar'!$P$1530&gt;VAL_DATE)=0,"",'Dvd Calendar'!$P$1530*1000000000+ISNUMBER('Dvd Calendar'!$P$1531)*100000000+0*10000000+(N('Dvd Calendar'!$P$1529)&gt;0)*(N('Dvd Calendar'!$P$1529)&lt;=VAL_SERIAL)*1000000+38*1000+52))</f>
        <v/>
      </c>
      <c r="GE153" s="35">
        <f>IF(N('Dvd Calendar'!$Q$1530)=0,"",IF(('Dvd Calendar'!$Q$1530&gt;=GRID_FROM)*('Dvd Calendar'!$Q$1530&lt;=GRID_TO)*('Dvd Calendar'!$Q$1530&gt;VAL_DATE)=0,"",'Dvd Calendar'!$Q$1530*1000000000+ISNUMBER('Dvd Calendar'!$Q$1531)*100000000+0*10000000+(N('Dvd Calendar'!$Q$1529)&gt;0)*(N('Dvd Calendar'!$Q$1529)&lt;=VAL_SERIAL)*1000000+38*1000+53))</f>
        <v/>
      </c>
      <c r="GF153" s="35">
        <f>IF(N('Dvd Calendar'!$R$1530)=0,"",IF(('Dvd Calendar'!$R$1530&gt;=GRID_FROM)*('Dvd Calendar'!$R$1530&lt;=GRID_TO)*('Dvd Calendar'!$R$1530&gt;VAL_DATE)=0,"",'Dvd Calendar'!$R$1530*1000000000+ISNUMBER('Dvd Calendar'!$R$1531)*100000000+0*10000000+(N('Dvd Calendar'!$R$1529)&gt;0)*(N('Dvd Calendar'!$R$1529)&lt;=VAL_SERIAL)*1000000+38*1000+54))</f>
        <v/>
      </c>
      <c r="GG153" s="35">
        <f>IF(N('Dvd Calendar'!$S$1530)=0,"",IF(('Dvd Calendar'!$S$1530&gt;=GRID_FROM)*('Dvd Calendar'!$S$1530&lt;=GRID_TO)*('Dvd Calendar'!$S$1530&gt;VAL_DATE)=0,"",'Dvd Calendar'!$S$1530*1000000000+ISNUMBER('Dvd Calendar'!$S$1531)*100000000+0*10000000+(N('Dvd Calendar'!$S$1529)&gt;0)*(N('Dvd Calendar'!$S$1529)&lt;=VAL_SERIAL)*1000000+38*1000+55))</f>
        <v/>
      </c>
      <c r="GH153" s="35">
        <f>IF(N('Dvd Calendar'!$T$1530)=0,"",IF(('Dvd Calendar'!$T$1530&gt;=GRID_FROM)*('Dvd Calendar'!$T$1530&lt;=GRID_TO)*('Dvd Calendar'!$T$1530&gt;VAL_DATE)=0,"",'Dvd Calendar'!$T$1530*1000000000+ISNUMBER('Dvd Calendar'!$T$1531)*100000000+0*10000000+(N('Dvd Calendar'!$T$1529)&gt;0)*(N('Dvd Calendar'!$T$1529)&lt;=VAL_SERIAL)*1000000+38*1000+56))</f>
        <v/>
      </c>
      <c r="GI153" s="35">
        <f>IF(N('Dvd Calendar'!$U$1530)=0,"",IF(('Dvd Calendar'!$U$1530&gt;=GRID_FROM)*('Dvd Calendar'!$U$1530&lt;=GRID_TO)*('Dvd Calendar'!$U$1530&gt;VAL_DATE)=0,"",'Dvd Calendar'!$U$1530*1000000000+ISNUMBER('Dvd Calendar'!$U$1531)*100000000+0*10000000+(N('Dvd Calendar'!$U$1529)&gt;0)*(N('Dvd Calendar'!$U$1529)&lt;=VAL_SERIAL)*1000000+38*1000+57))</f>
        <v/>
      </c>
      <c r="GJ153" s="35">
        <f>IF(N('Dvd Calendar'!$V$1530)=0,"",IF(('Dvd Calendar'!$V$1530&gt;=GRID_FROM)*('Dvd Calendar'!$V$1530&lt;=GRID_TO)*('Dvd Calendar'!$V$1530&gt;VAL_DATE)=0,"",'Dvd Calendar'!$V$1530*1000000000+ISNUMBER('Dvd Calendar'!$V$1531)*100000000+0*10000000+(N('Dvd Calendar'!$V$1529)&gt;0)*(N('Dvd Calendar'!$V$1529)&lt;=VAL_SERIAL)*1000000+38*1000+58))</f>
        <v/>
      </c>
      <c r="GK153" s="35">
        <f>IF(N('Dvd Calendar'!$W$1530)=0,"",IF(('Dvd Calendar'!$W$1530&gt;=GRID_FROM)*('Dvd Calendar'!$W$1530&lt;=GRID_TO)*('Dvd Calendar'!$W$1530&gt;VAL_DATE)=0,"",'Dvd Calendar'!$W$1530*1000000000+ISNUMBER('Dvd Calendar'!$W$1531)*100000000+0*10000000+(N('Dvd Calendar'!$W$1529)&gt;0)*(N('Dvd Calendar'!$W$1529)&lt;=VAL_SERIAL)*1000000+38*1000+59))</f>
        <v/>
      </c>
      <c r="GL153" s="35">
        <f>IF(N('Dvd Calendar'!$X$1530)=0,"",IF(('Dvd Calendar'!$X$1530&gt;=GRID_FROM)*('Dvd Calendar'!$X$1530&lt;=GRID_TO)*('Dvd Calendar'!$X$1530&gt;VAL_DATE)=0,"",'Dvd Calendar'!$X$1530*1000000000+ISNUMBER('Dvd Calendar'!$X$1531)*100000000+0*10000000+(N('Dvd Calendar'!$X$1529)&gt;0)*(N('Dvd Calendar'!$X$1529)&lt;=VAL_SERIAL)*1000000+38*1000+60))</f>
        <v/>
      </c>
      <c r="GM153" s="35">
        <f>IF(N('Dvd Calendar'!$Y$1530)=0,"",IF(('Dvd Calendar'!$Y$1530&gt;=GRID_FROM)*('Dvd Calendar'!$Y$1530&lt;=GRID_TO)*('Dvd Calendar'!$Y$1530&gt;VAL_DATE)=0,"",'Dvd Calendar'!$Y$1530*1000000000+ISNUMBER('Dvd Calendar'!$Y$1531)*100000000+0*10000000+(N('Dvd Calendar'!$Y$1529)&gt;0)*(N('Dvd Calendar'!$Y$1529)&lt;=VAL_SERIAL)*1000000+38*1000+61))</f>
        <v/>
      </c>
      <c r="GN153" s="35">
        <f>IF(N('Dvd Calendar'!$Z$1530)=0,"",IF(('Dvd Calendar'!$Z$1530&gt;=GRID_FROM)*('Dvd Calendar'!$Z$1530&lt;=GRID_TO)*('Dvd Calendar'!$Z$1530&gt;VAL_DATE)=0,"",'Dvd Calendar'!$Z$1530*1000000000+ISNUMBER('Dvd Calendar'!$Z$1531)*100000000+0*10000000+(N('Dvd Calendar'!$Z$1529)&gt;0)*(N('Dvd Calendar'!$Z$1529)&lt;=VAL_SERIAL)*1000000+38*1000+62))</f>
        <v/>
      </c>
      <c r="GO153" s="35">
        <f>IF(N('Dvd Calendar'!$AA$1530)=0,"",IF(('Dvd Calendar'!$AA$1530&gt;=GRID_FROM)*('Dvd Calendar'!$AA$1530&lt;=GRID_TO)*('Dvd Calendar'!$AA$1530&gt;VAL_DATE)=0,"",'Dvd Calendar'!$AA$1530*1000000000+ISNUMBER('Dvd Calendar'!$AA$1531)*100000000+0*10000000+(N('Dvd Calendar'!$AA$1529)&gt;0)*(N('Dvd Calendar'!$AA$1529)&lt;=VAL_SERIAL)*1000000+38*1000+63))</f>
        <v/>
      </c>
      <c r="GP153" s="35">
        <f>IF(N('Dvd Calendar'!$AB$1530)=0,"",IF(('Dvd Calendar'!$AB$1530&gt;=GRID_FROM)*('Dvd Calendar'!$AB$1530&lt;=GRID_TO)*('Dvd Calendar'!$AB$1530&gt;VAL_DATE)=0,"",'Dvd Calendar'!$AB$1530*1000000000+ISNUMBER('Dvd Calendar'!$AB$1531)*100000000+0*10000000+(N('Dvd Calendar'!$AB$1529)&gt;0)*(N('Dvd Calendar'!$AB$1529)&lt;=VAL_SERIAL)*1000000+38*1000+64))</f>
        <v/>
      </c>
      <c r="GQ153" s="35">
        <f>IF(N('Dvd Calendar'!$AC$1530)=0,"",IF(('Dvd Calendar'!$AC$1530&gt;=GRID_FROM)*('Dvd Calendar'!$AC$1530&lt;=GRID_TO)*('Dvd Calendar'!$AC$1530&gt;VAL_DATE)=0,"",'Dvd Calendar'!$AC$1530*1000000000+ISNUMBER('Dvd Calendar'!$AC$1531)*100000000+0*10000000+(N('Dvd Calendar'!$AC$1529)&gt;0)*(N('Dvd Calendar'!$AC$1529)&lt;=VAL_SERIAL)*1000000+38*1000+65))</f>
        <v/>
      </c>
    </row>
    <row r="154">
      <c r="B154" s="2">
        <f>IF(HSTECH!$C$45="","",HSTECH!$C$45)</f>
        <v/>
      </c>
      <c r="C154" s="106">
        <f>IF(EE154="","",IF(ISNUMBER('Dvd Calendar'!$E$1537)=FALSE,"",IF((('Dvd Calendar'!$E$1539=TYPE1)*(TYPE1&lt;&gt;"")+('Dvd Calendar'!$E$1539=TYPE2)*(TYPE2&lt;&gt;"")+('Dvd Calendar'!$E$1539=TYPE3)*(TYPE3&lt;&gt;"")+('Dvd Calendar'!$E$1539=TYPE4)*(TYPE4&lt;&gt;"")+('Dvd Calendar'!$E$1539=SPECIAL_LBL)*(INC_SPECIALS="Y"))=0,"",'Dvd Calendar'!$E$1537)))</f>
        <v/>
      </c>
      <c r="D154" s="106">
        <f>IF(EF154="","",IF(ISNUMBER('Dvd Calendar'!$F$1537)=FALSE,"",IF((('Dvd Calendar'!$F$1539=TYPE1)*(TYPE1&lt;&gt;"")+('Dvd Calendar'!$F$1539=TYPE2)*(TYPE2&lt;&gt;"")+('Dvd Calendar'!$F$1539=TYPE3)*(TYPE3&lt;&gt;"")+('Dvd Calendar'!$F$1539=TYPE4)*(TYPE4&lt;&gt;"")+('Dvd Calendar'!$F$1539=SPECIAL_LBL)*(INC_SPECIALS="Y"))=0,"",'Dvd Calendar'!$F$1537)))</f>
        <v/>
      </c>
      <c r="E154" s="106">
        <f>IF(EG154="","",IF(ISNUMBER('Dvd Calendar'!$G$1537)=FALSE,"",IF((('Dvd Calendar'!$G$1539=TYPE1)*(TYPE1&lt;&gt;"")+('Dvd Calendar'!$G$1539=TYPE2)*(TYPE2&lt;&gt;"")+('Dvd Calendar'!$G$1539=TYPE3)*(TYPE3&lt;&gt;"")+('Dvd Calendar'!$G$1539=TYPE4)*(TYPE4&lt;&gt;"")+('Dvd Calendar'!$G$1539=SPECIAL_LBL)*(INC_SPECIALS="Y"))=0,"",'Dvd Calendar'!$G$1537)))</f>
        <v/>
      </c>
      <c r="F154" s="106">
        <f>IF(EH154="","",IF(ISNUMBER('Dvd Calendar'!$H$1537)=FALSE,"",IF((('Dvd Calendar'!$H$1539=TYPE1)*(TYPE1&lt;&gt;"")+('Dvd Calendar'!$H$1539=TYPE2)*(TYPE2&lt;&gt;"")+('Dvd Calendar'!$H$1539=TYPE3)*(TYPE3&lt;&gt;"")+('Dvd Calendar'!$H$1539=TYPE4)*(TYPE4&lt;&gt;"")+('Dvd Calendar'!$H$1539=SPECIAL_LBL)*(INC_SPECIALS="Y"))=0,"",'Dvd Calendar'!$H$1537)))</f>
        <v/>
      </c>
      <c r="G154" s="106">
        <f>IF(EI154="","",IF(ISNUMBER('Dvd Calendar'!$I$1537)=FALSE,"",IF((('Dvd Calendar'!$I$1539=TYPE1)*(TYPE1&lt;&gt;"")+('Dvd Calendar'!$I$1539=TYPE2)*(TYPE2&lt;&gt;"")+('Dvd Calendar'!$I$1539=TYPE3)*(TYPE3&lt;&gt;"")+('Dvd Calendar'!$I$1539=TYPE4)*(TYPE4&lt;&gt;"")+('Dvd Calendar'!$I$1539=SPECIAL_LBL)*(INC_SPECIALS="Y"))=0,"",'Dvd Calendar'!$I$1537)))</f>
        <v/>
      </c>
      <c r="H154" s="106">
        <f>IF(EJ154="","",IF(ISNUMBER('Dvd Calendar'!$J$1537)=FALSE,"",IF((('Dvd Calendar'!$J$1539=TYPE1)*(TYPE1&lt;&gt;"")+('Dvd Calendar'!$J$1539=TYPE2)*(TYPE2&lt;&gt;"")+('Dvd Calendar'!$J$1539=TYPE3)*(TYPE3&lt;&gt;"")+('Dvd Calendar'!$J$1539=TYPE4)*(TYPE4&lt;&gt;"")+('Dvd Calendar'!$J$1539=SPECIAL_LBL)*(INC_SPECIALS="Y"))=0,"",'Dvd Calendar'!$J$1537)))</f>
        <v/>
      </c>
      <c r="I154" s="106">
        <f>IF(EK154="","",IF(ISNUMBER('Dvd Calendar'!$K$1537)=FALSE,"",IF((('Dvd Calendar'!$K$1539=TYPE1)*(TYPE1&lt;&gt;"")+('Dvd Calendar'!$K$1539=TYPE2)*(TYPE2&lt;&gt;"")+('Dvd Calendar'!$K$1539=TYPE3)*(TYPE3&lt;&gt;"")+('Dvd Calendar'!$K$1539=TYPE4)*(TYPE4&lt;&gt;"")+('Dvd Calendar'!$K$1539=SPECIAL_LBL)*(INC_SPECIALS="Y"))=0,"",'Dvd Calendar'!$K$1537)))</f>
        <v/>
      </c>
      <c r="J154" s="106">
        <f>IF(EL154="","",IF(ISNUMBER('Dvd Calendar'!$L$1537)=FALSE,"",IF((('Dvd Calendar'!$L$1539=TYPE1)*(TYPE1&lt;&gt;"")+('Dvd Calendar'!$L$1539=TYPE2)*(TYPE2&lt;&gt;"")+('Dvd Calendar'!$L$1539=TYPE3)*(TYPE3&lt;&gt;"")+('Dvd Calendar'!$L$1539=TYPE4)*(TYPE4&lt;&gt;"")+('Dvd Calendar'!$L$1539=SPECIAL_LBL)*(INC_SPECIALS="Y"))=0,"",'Dvd Calendar'!$L$1537)))</f>
        <v/>
      </c>
      <c r="K154" s="106">
        <f>IF(EM154="","",IF(ISNUMBER('Dvd Calendar'!$M$1537)=FALSE,"",IF((('Dvd Calendar'!$M$1539=TYPE1)*(TYPE1&lt;&gt;"")+('Dvd Calendar'!$M$1539=TYPE2)*(TYPE2&lt;&gt;"")+('Dvd Calendar'!$M$1539=TYPE3)*(TYPE3&lt;&gt;"")+('Dvd Calendar'!$M$1539=TYPE4)*(TYPE4&lt;&gt;"")+('Dvd Calendar'!$M$1539=SPECIAL_LBL)*(INC_SPECIALS="Y"))=0,"",'Dvd Calendar'!$M$1537)))</f>
        <v/>
      </c>
      <c r="L154" s="106">
        <f>IF(EN154="","",IF(ISNUMBER('Dvd Calendar'!$N$1537)=FALSE,"",IF((('Dvd Calendar'!$N$1539=TYPE1)*(TYPE1&lt;&gt;"")+('Dvd Calendar'!$N$1539=TYPE2)*(TYPE2&lt;&gt;"")+('Dvd Calendar'!$N$1539=TYPE3)*(TYPE3&lt;&gt;"")+('Dvd Calendar'!$N$1539=TYPE4)*(TYPE4&lt;&gt;"")+('Dvd Calendar'!$N$1539=SPECIAL_LBL)*(INC_SPECIALS="Y"))=0,"",'Dvd Calendar'!$N$1537)))</f>
        <v/>
      </c>
      <c r="M154" s="106">
        <f>IF(EO154="","",IF(ISNUMBER('Dvd Calendar'!$O$1537)=FALSE,"",IF((('Dvd Calendar'!$O$1539=TYPE1)*(TYPE1&lt;&gt;"")+('Dvd Calendar'!$O$1539=TYPE2)*(TYPE2&lt;&gt;"")+('Dvd Calendar'!$O$1539=TYPE3)*(TYPE3&lt;&gt;"")+('Dvd Calendar'!$O$1539=TYPE4)*(TYPE4&lt;&gt;"")+('Dvd Calendar'!$O$1539=SPECIAL_LBL)*(INC_SPECIALS="Y"))=0,"",'Dvd Calendar'!$O$1537)))</f>
        <v/>
      </c>
      <c r="N154" s="106">
        <f>IF(EP154="","",IF(ISNUMBER('Dvd Calendar'!$P$1537)=FALSE,"",IF((('Dvd Calendar'!$P$1539=TYPE1)*(TYPE1&lt;&gt;"")+('Dvd Calendar'!$P$1539=TYPE2)*(TYPE2&lt;&gt;"")+('Dvd Calendar'!$P$1539=TYPE3)*(TYPE3&lt;&gt;"")+('Dvd Calendar'!$P$1539=TYPE4)*(TYPE4&lt;&gt;"")+('Dvd Calendar'!$P$1539=SPECIAL_LBL)*(INC_SPECIALS="Y"))=0,"",'Dvd Calendar'!$P$1537)))</f>
        <v/>
      </c>
      <c r="O154" s="106">
        <f>IF(EQ154="","",IF(ISNUMBER('Dvd Calendar'!$Q$1537)=FALSE,"",IF((('Dvd Calendar'!$Q$1539=TYPE1)*(TYPE1&lt;&gt;"")+('Dvd Calendar'!$Q$1539=TYPE2)*(TYPE2&lt;&gt;"")+('Dvd Calendar'!$Q$1539=TYPE3)*(TYPE3&lt;&gt;"")+('Dvd Calendar'!$Q$1539=TYPE4)*(TYPE4&lt;&gt;"")+('Dvd Calendar'!$Q$1539=SPECIAL_LBL)*(INC_SPECIALS="Y"))=0,"",'Dvd Calendar'!$Q$1537)))</f>
        <v/>
      </c>
      <c r="P154" s="106">
        <f>IF(ER154="","",IF(ISNUMBER('Dvd Calendar'!$R$1537)=FALSE,"",IF((('Dvd Calendar'!$R$1539=TYPE1)*(TYPE1&lt;&gt;"")+('Dvd Calendar'!$R$1539=TYPE2)*(TYPE2&lt;&gt;"")+('Dvd Calendar'!$R$1539=TYPE3)*(TYPE3&lt;&gt;"")+('Dvd Calendar'!$R$1539=TYPE4)*(TYPE4&lt;&gt;"")+('Dvd Calendar'!$R$1539=SPECIAL_LBL)*(INC_SPECIALS="Y"))=0,"",'Dvd Calendar'!$R$1537)))</f>
        <v/>
      </c>
      <c r="Q154" s="106">
        <f>IF(ES154="","",IF(ISNUMBER('Dvd Calendar'!$S$1537)=FALSE,"",IF((('Dvd Calendar'!$S$1539=TYPE1)*(TYPE1&lt;&gt;"")+('Dvd Calendar'!$S$1539=TYPE2)*(TYPE2&lt;&gt;"")+('Dvd Calendar'!$S$1539=TYPE3)*(TYPE3&lt;&gt;"")+('Dvd Calendar'!$S$1539=TYPE4)*(TYPE4&lt;&gt;"")+('Dvd Calendar'!$S$1539=SPECIAL_LBL)*(INC_SPECIALS="Y"))=0,"",'Dvd Calendar'!$S$1537)))</f>
        <v/>
      </c>
      <c r="R154" s="106">
        <f>IF(ET154="","",IF(ISNUMBER('Dvd Calendar'!$T$1537)=FALSE,"",IF((('Dvd Calendar'!$T$1539=TYPE1)*(TYPE1&lt;&gt;"")+('Dvd Calendar'!$T$1539=TYPE2)*(TYPE2&lt;&gt;"")+('Dvd Calendar'!$T$1539=TYPE3)*(TYPE3&lt;&gt;"")+('Dvd Calendar'!$T$1539=TYPE4)*(TYPE4&lt;&gt;"")+('Dvd Calendar'!$T$1539=SPECIAL_LBL)*(INC_SPECIALS="Y"))=0,"",'Dvd Calendar'!$T$1537)))</f>
        <v/>
      </c>
      <c r="S154" s="106">
        <f>IF(EU154="","",IF(ISNUMBER('Dvd Calendar'!$U$1537)=FALSE,"",IF((('Dvd Calendar'!$U$1539=TYPE1)*(TYPE1&lt;&gt;"")+('Dvd Calendar'!$U$1539=TYPE2)*(TYPE2&lt;&gt;"")+('Dvd Calendar'!$U$1539=TYPE3)*(TYPE3&lt;&gt;"")+('Dvd Calendar'!$U$1539=TYPE4)*(TYPE4&lt;&gt;"")+('Dvd Calendar'!$U$1539=SPECIAL_LBL)*(INC_SPECIALS="Y"))=0,"",'Dvd Calendar'!$U$1537)))</f>
        <v/>
      </c>
      <c r="T154" s="106">
        <f>IF(EV154="","",IF(ISNUMBER('Dvd Calendar'!$V$1537)=FALSE,"",IF((('Dvd Calendar'!$V$1539=TYPE1)*(TYPE1&lt;&gt;"")+('Dvd Calendar'!$V$1539=TYPE2)*(TYPE2&lt;&gt;"")+('Dvd Calendar'!$V$1539=TYPE3)*(TYPE3&lt;&gt;"")+('Dvd Calendar'!$V$1539=TYPE4)*(TYPE4&lt;&gt;"")+('Dvd Calendar'!$V$1539=SPECIAL_LBL)*(INC_SPECIALS="Y"))=0,"",'Dvd Calendar'!$V$1537)))</f>
        <v/>
      </c>
      <c r="U154" s="106">
        <f>IF(EW154="","",IF(ISNUMBER('Dvd Calendar'!$W$1537)=FALSE,"",IF((('Dvd Calendar'!$W$1539=TYPE1)*(TYPE1&lt;&gt;"")+('Dvd Calendar'!$W$1539=TYPE2)*(TYPE2&lt;&gt;"")+('Dvd Calendar'!$W$1539=TYPE3)*(TYPE3&lt;&gt;"")+('Dvd Calendar'!$W$1539=TYPE4)*(TYPE4&lt;&gt;"")+('Dvd Calendar'!$W$1539=SPECIAL_LBL)*(INC_SPECIALS="Y"))=0,"",'Dvd Calendar'!$W$1537)))</f>
        <v/>
      </c>
      <c r="V154" s="106">
        <f>IF(EX154="","",IF(ISNUMBER('Dvd Calendar'!$X$1537)=FALSE,"",IF((('Dvd Calendar'!$X$1539=TYPE1)*(TYPE1&lt;&gt;"")+('Dvd Calendar'!$X$1539=TYPE2)*(TYPE2&lt;&gt;"")+('Dvd Calendar'!$X$1539=TYPE3)*(TYPE3&lt;&gt;"")+('Dvd Calendar'!$X$1539=TYPE4)*(TYPE4&lt;&gt;"")+('Dvd Calendar'!$X$1539=SPECIAL_LBL)*(INC_SPECIALS="Y"))=0,"",'Dvd Calendar'!$X$1537)))</f>
        <v/>
      </c>
      <c r="W154" s="106">
        <f>IF(EY154="","",IF(ISNUMBER('Dvd Calendar'!$Y$1537)=FALSE,"",IF((('Dvd Calendar'!$Y$1539=TYPE1)*(TYPE1&lt;&gt;"")+('Dvd Calendar'!$Y$1539=TYPE2)*(TYPE2&lt;&gt;"")+('Dvd Calendar'!$Y$1539=TYPE3)*(TYPE3&lt;&gt;"")+('Dvd Calendar'!$Y$1539=TYPE4)*(TYPE4&lt;&gt;"")+('Dvd Calendar'!$Y$1539=SPECIAL_LBL)*(INC_SPECIALS="Y"))=0,"",'Dvd Calendar'!$Y$1537)))</f>
        <v/>
      </c>
      <c r="X154" s="106">
        <f>IF(EZ154="","",IF(ISNUMBER('Dvd Calendar'!$Z$1537)=FALSE,"",IF((('Dvd Calendar'!$Z$1539=TYPE1)*(TYPE1&lt;&gt;"")+('Dvd Calendar'!$Z$1539=TYPE2)*(TYPE2&lt;&gt;"")+('Dvd Calendar'!$Z$1539=TYPE3)*(TYPE3&lt;&gt;"")+('Dvd Calendar'!$Z$1539=TYPE4)*(TYPE4&lt;&gt;"")+('Dvd Calendar'!$Z$1539=SPECIAL_LBL)*(INC_SPECIALS="Y"))=0,"",'Dvd Calendar'!$Z$1537)))</f>
        <v/>
      </c>
      <c r="Y154" s="106">
        <f>IF(FA154="","",IF(ISNUMBER('Dvd Calendar'!$AA$1537)=FALSE,"",IF((('Dvd Calendar'!$AA$1539=TYPE1)*(TYPE1&lt;&gt;"")+('Dvd Calendar'!$AA$1539=TYPE2)*(TYPE2&lt;&gt;"")+('Dvd Calendar'!$AA$1539=TYPE3)*(TYPE3&lt;&gt;"")+('Dvd Calendar'!$AA$1539=TYPE4)*(TYPE4&lt;&gt;"")+('Dvd Calendar'!$AA$1539=SPECIAL_LBL)*(INC_SPECIALS="Y"))=0,"",'Dvd Calendar'!$AA$1537)))</f>
        <v/>
      </c>
      <c r="Z154" s="106">
        <f>IF(FB154="","",IF(ISNUMBER('Dvd Calendar'!$AB$1537)=FALSE,"",IF((('Dvd Calendar'!$AB$1539=TYPE1)*(TYPE1&lt;&gt;"")+('Dvd Calendar'!$AB$1539=TYPE2)*(TYPE2&lt;&gt;"")+('Dvd Calendar'!$AB$1539=TYPE3)*(TYPE3&lt;&gt;"")+('Dvd Calendar'!$AB$1539=TYPE4)*(TYPE4&lt;&gt;"")+('Dvd Calendar'!$AB$1539=SPECIAL_LBL)*(INC_SPECIALS="Y"))=0,"",'Dvd Calendar'!$AB$1537)))</f>
        <v/>
      </c>
      <c r="AA154" s="106">
        <f>IF(FC154="","",IF(ISNUMBER('Dvd Calendar'!$AC$1537)=FALSE,"",IF((('Dvd Calendar'!$AC$1539=TYPE1)*(TYPE1&lt;&gt;"")+('Dvd Calendar'!$AC$1539=TYPE2)*(TYPE2&lt;&gt;"")+('Dvd Calendar'!$AC$1539=TYPE3)*(TYPE3&lt;&gt;"")+('Dvd Calendar'!$AC$1539=TYPE4)*(TYPE4&lt;&gt;"")+('Dvd Calendar'!$AC$1539=SPECIAL_LBL)*(INC_SPECIALS="Y"))=0,"",'Dvd Calendar'!$AC$1537)))</f>
        <v/>
      </c>
      <c r="AB154" s="106">
        <f>IF(FD154="","",IF(ISNUMBER('Dvd Calendar'!$AD$1537)=FALSE,"",IF((('Dvd Calendar'!$AD$1539=TYPE1)*(TYPE1&lt;&gt;"")+('Dvd Calendar'!$AD$1539=TYPE2)*(TYPE2&lt;&gt;"")+('Dvd Calendar'!$AD$1539=TYPE3)*(TYPE3&lt;&gt;"")+('Dvd Calendar'!$AD$1539=TYPE4)*(TYPE4&lt;&gt;"")+('Dvd Calendar'!$AD$1539=SPECIAL_LBL)*(INC_SPECIALS="Y"))=0,"",'Dvd Calendar'!$AD$1537)))</f>
        <v/>
      </c>
      <c r="AC154" s="106">
        <f>IF(FE154="","",IF(ISNUMBER('Dvd Calendar'!$AE$1537)=FALSE,"",IF((('Dvd Calendar'!$AE$1539=TYPE1)*(TYPE1&lt;&gt;"")+('Dvd Calendar'!$AE$1539=TYPE2)*(TYPE2&lt;&gt;"")+('Dvd Calendar'!$AE$1539=TYPE3)*(TYPE3&lt;&gt;"")+('Dvd Calendar'!$AE$1539=TYPE4)*(TYPE4&lt;&gt;"")+('Dvd Calendar'!$AE$1539=SPECIAL_LBL)*(INC_SPECIALS="Y"))=0,"",'Dvd Calendar'!$AE$1537)))</f>
        <v/>
      </c>
      <c r="AD154" s="106">
        <f>IF(FF154="","",IF(ISNUMBER('Dvd Calendar'!$AF$1537)=FALSE,"",IF((('Dvd Calendar'!$AF$1539=TYPE1)*(TYPE1&lt;&gt;"")+('Dvd Calendar'!$AF$1539=TYPE2)*(TYPE2&lt;&gt;"")+('Dvd Calendar'!$AF$1539=TYPE3)*(TYPE3&lt;&gt;"")+('Dvd Calendar'!$AF$1539=TYPE4)*(TYPE4&lt;&gt;"")+('Dvd Calendar'!$AF$1539=SPECIAL_LBL)*(INC_SPECIALS="Y"))=0,"",'Dvd Calendar'!$AF$1537)))</f>
        <v/>
      </c>
      <c r="AE154" s="106">
        <f>IF(FG154="","",IF(ISNUMBER('Dvd Calendar'!$AG$1537)=FALSE,"",IF((('Dvd Calendar'!$AG$1539=TYPE1)*(TYPE1&lt;&gt;"")+('Dvd Calendar'!$AG$1539=TYPE2)*(TYPE2&lt;&gt;"")+('Dvd Calendar'!$AG$1539=TYPE3)*(TYPE3&lt;&gt;"")+('Dvd Calendar'!$AG$1539=TYPE4)*(TYPE4&lt;&gt;"")+('Dvd Calendar'!$AG$1539=SPECIAL_LBL)*(INC_SPECIALS="Y"))=0,"",'Dvd Calendar'!$AG$1537)))</f>
        <v/>
      </c>
      <c r="AF154" s="106">
        <f>IF(FH154="","",IF(ISNUMBER('Dvd Calendar'!$AH$1537)=FALSE,"",IF((('Dvd Calendar'!$AH$1539=TYPE1)*(TYPE1&lt;&gt;"")+('Dvd Calendar'!$AH$1539=TYPE2)*(TYPE2&lt;&gt;"")+('Dvd Calendar'!$AH$1539=TYPE3)*(TYPE3&lt;&gt;"")+('Dvd Calendar'!$AH$1539=TYPE4)*(TYPE4&lt;&gt;"")+('Dvd Calendar'!$AH$1539=SPECIAL_LBL)*(INC_SPECIALS="Y"))=0,"",'Dvd Calendar'!$AH$1537)))</f>
        <v/>
      </c>
      <c r="AG154" s="106">
        <f>IF(FI154="","",IF(ISNUMBER('Dvd Calendar'!$AI$1537)=FALSE,"",IF((('Dvd Calendar'!$AI$1539=TYPE1)*(TYPE1&lt;&gt;"")+('Dvd Calendar'!$AI$1539=TYPE2)*(TYPE2&lt;&gt;"")+('Dvd Calendar'!$AI$1539=TYPE3)*(TYPE3&lt;&gt;"")+('Dvd Calendar'!$AI$1539=TYPE4)*(TYPE4&lt;&gt;"")+('Dvd Calendar'!$AI$1539=SPECIAL_LBL)*(INC_SPECIALS="Y"))=0,"",'Dvd Calendar'!$AI$1537)))</f>
        <v/>
      </c>
      <c r="AH154" s="106">
        <f>IF(FJ154="","",IF(ISNUMBER('Dvd Calendar'!$AJ$1537)=FALSE,"",IF((('Dvd Calendar'!$AJ$1539=TYPE1)*(TYPE1&lt;&gt;"")+('Dvd Calendar'!$AJ$1539=TYPE2)*(TYPE2&lt;&gt;"")+('Dvd Calendar'!$AJ$1539=TYPE3)*(TYPE3&lt;&gt;"")+('Dvd Calendar'!$AJ$1539=TYPE4)*(TYPE4&lt;&gt;"")+('Dvd Calendar'!$AJ$1539=SPECIAL_LBL)*(INC_SPECIALS="Y"))=0,"",'Dvd Calendar'!$AJ$1537)))</f>
        <v/>
      </c>
      <c r="AI154" s="106">
        <f>IF(FK154="","",IF(ISNUMBER('Dvd Calendar'!$AK$1537)=FALSE,"",IF((('Dvd Calendar'!$AK$1539=TYPE1)*(TYPE1&lt;&gt;"")+('Dvd Calendar'!$AK$1539=TYPE2)*(TYPE2&lt;&gt;"")+('Dvd Calendar'!$AK$1539=TYPE3)*(TYPE3&lt;&gt;"")+('Dvd Calendar'!$AK$1539=TYPE4)*(TYPE4&lt;&gt;"")+('Dvd Calendar'!$AK$1539=SPECIAL_LBL)*(INC_SPECIALS="Y"))=0,"",'Dvd Calendar'!$AK$1537)))</f>
        <v/>
      </c>
      <c r="AJ154" s="106">
        <f>IF(FL154="","",IF(ISNUMBER('Dvd Calendar'!$AL$1537)=FALSE,"",IF((('Dvd Calendar'!$AL$1539=TYPE1)*(TYPE1&lt;&gt;"")+('Dvd Calendar'!$AL$1539=TYPE2)*(TYPE2&lt;&gt;"")+('Dvd Calendar'!$AL$1539=TYPE3)*(TYPE3&lt;&gt;"")+('Dvd Calendar'!$AL$1539=TYPE4)*(TYPE4&lt;&gt;"")+('Dvd Calendar'!$AL$1539=SPECIAL_LBL)*(INC_SPECIALS="Y"))=0,"",'Dvd Calendar'!$AL$1537)))</f>
        <v/>
      </c>
      <c r="AK154" s="106">
        <f>IF(FM154="","",IF(ISNUMBER('Dvd Calendar'!$AM$1537)=FALSE,"",IF((('Dvd Calendar'!$AM$1539=TYPE1)*(TYPE1&lt;&gt;"")+('Dvd Calendar'!$AM$1539=TYPE2)*(TYPE2&lt;&gt;"")+('Dvd Calendar'!$AM$1539=TYPE3)*(TYPE3&lt;&gt;"")+('Dvd Calendar'!$AM$1539=TYPE4)*(TYPE4&lt;&gt;"")+('Dvd Calendar'!$AM$1539=SPECIAL_LBL)*(INC_SPECIALS="Y"))=0,"",'Dvd Calendar'!$AM$1537)))</f>
        <v/>
      </c>
      <c r="AL154" s="106">
        <f>IF(FN154="","",IF(ISNUMBER('Dvd Calendar'!$AN$1537)=FALSE,"",IF((('Dvd Calendar'!$AN$1539=TYPE1)*(TYPE1&lt;&gt;"")+('Dvd Calendar'!$AN$1539=TYPE2)*(TYPE2&lt;&gt;"")+('Dvd Calendar'!$AN$1539=TYPE3)*(TYPE3&lt;&gt;"")+('Dvd Calendar'!$AN$1539=TYPE4)*(TYPE4&lt;&gt;"")+('Dvd Calendar'!$AN$1539=SPECIAL_LBL)*(INC_SPECIALS="Y"))=0,"",'Dvd Calendar'!$AN$1537)))</f>
        <v/>
      </c>
      <c r="AM154" s="106">
        <f>IF(FO154="","",IF(ISNUMBER('Dvd Calendar'!$AO$1537)=FALSE,"",IF((('Dvd Calendar'!$AO$1539=TYPE1)*(TYPE1&lt;&gt;"")+('Dvd Calendar'!$AO$1539=TYPE2)*(TYPE2&lt;&gt;"")+('Dvd Calendar'!$AO$1539=TYPE3)*(TYPE3&lt;&gt;"")+('Dvd Calendar'!$AO$1539=TYPE4)*(TYPE4&lt;&gt;"")+('Dvd Calendar'!$AO$1539=SPECIAL_LBL)*(INC_SPECIALS="Y"))=0,"",'Dvd Calendar'!$AO$1537)))</f>
        <v/>
      </c>
      <c r="AN154" s="106">
        <f>IF(FP154="","",IF(ISNUMBER('Dvd Calendar'!$AP$1537)=FALSE,"",IF((('Dvd Calendar'!$AP$1539=TYPE1)*(TYPE1&lt;&gt;"")+('Dvd Calendar'!$AP$1539=TYPE2)*(TYPE2&lt;&gt;"")+('Dvd Calendar'!$AP$1539=TYPE3)*(TYPE3&lt;&gt;"")+('Dvd Calendar'!$AP$1539=TYPE4)*(TYPE4&lt;&gt;"")+('Dvd Calendar'!$AP$1539=SPECIAL_LBL)*(INC_SPECIALS="Y"))=0,"",'Dvd Calendar'!$AP$1537)))</f>
        <v/>
      </c>
      <c r="AO154" s="106">
        <f>IF(FQ154="","",IF(ISNUMBER('Dvd Calendar'!$AQ$1537)=FALSE,"",IF((('Dvd Calendar'!$AQ$1539=TYPE1)*(TYPE1&lt;&gt;"")+('Dvd Calendar'!$AQ$1539=TYPE2)*(TYPE2&lt;&gt;"")+('Dvd Calendar'!$AQ$1539=TYPE3)*(TYPE3&lt;&gt;"")+('Dvd Calendar'!$AQ$1539=TYPE4)*(TYPE4&lt;&gt;"")+('Dvd Calendar'!$AQ$1539=SPECIAL_LBL)*(INC_SPECIALS="Y"))=0,"",'Dvd Calendar'!$AQ$1537)))</f>
        <v/>
      </c>
      <c r="AP154" s="106">
        <f>IF(FR154="","",IF(ISNUMBER('Dvd Calendar'!$AR$1537)=FALSE,"",IF((('Dvd Calendar'!$AR$1539=TYPE1)*(TYPE1&lt;&gt;"")+('Dvd Calendar'!$AR$1539=TYPE2)*(TYPE2&lt;&gt;"")+('Dvd Calendar'!$AR$1539=TYPE3)*(TYPE3&lt;&gt;"")+('Dvd Calendar'!$AR$1539=TYPE4)*(TYPE4&lt;&gt;"")+('Dvd Calendar'!$AR$1539=SPECIAL_LBL)*(INC_SPECIALS="Y"))=0,"",'Dvd Calendar'!$AR$1537)))</f>
        <v/>
      </c>
      <c r="AQ154" s="106">
        <f>IF(FS154="","",IF(ISNUMBER('Dvd Calendar'!$E$1542)=FALSE,"",'Dvd Calendar'!$E$1542))</f>
        <v/>
      </c>
      <c r="AR154" s="106">
        <f>IF(FT154="","",IF(ISNUMBER('Dvd Calendar'!$F$1542)=FALSE,"",'Dvd Calendar'!$F$1542))</f>
        <v/>
      </c>
      <c r="AS154" s="106">
        <f>IF(FU154="","",IF(ISNUMBER('Dvd Calendar'!$G$1542)=FALSE,"",'Dvd Calendar'!$G$1542))</f>
        <v/>
      </c>
      <c r="AT154" s="106">
        <f>IF(FV154="","",IF(ISNUMBER('Dvd Calendar'!$H$1542)=FALSE,"",'Dvd Calendar'!$H$1542))</f>
        <v/>
      </c>
      <c r="AU154" s="106">
        <f>IF(FW154="","",IF(ISNUMBER('Dvd Calendar'!$I$1542)=FALSE,"",'Dvd Calendar'!$I$1542))</f>
        <v/>
      </c>
      <c r="AV154" s="106">
        <f>IF(FX154="","",IF(ISNUMBER('Dvd Calendar'!$J$1542)=FALSE,"",'Dvd Calendar'!$J$1542))</f>
        <v/>
      </c>
      <c r="AW154" s="106">
        <f>IF(FY154="","",IF(ISNUMBER('Dvd Calendar'!$K$1542)=FALSE,"",'Dvd Calendar'!$K$1542))</f>
        <v/>
      </c>
      <c r="AX154" s="106">
        <f>IF(FZ154="","",IF(ISNUMBER('Dvd Calendar'!$L$1542)=FALSE,"",'Dvd Calendar'!$L$1542))</f>
        <v/>
      </c>
      <c r="AY154" s="106">
        <f>IF(GA154="","",IF(ISNUMBER('Dvd Calendar'!$M$1542)=FALSE,"",'Dvd Calendar'!$M$1542))</f>
        <v/>
      </c>
      <c r="AZ154" s="106">
        <f>IF(GB154="","",IF(ISNUMBER('Dvd Calendar'!$N$1542)=FALSE,"",'Dvd Calendar'!$N$1542))</f>
        <v/>
      </c>
      <c r="BA154" s="106">
        <f>IF(GC154="","",IF(ISNUMBER('Dvd Calendar'!$O$1542)=FALSE,"",'Dvd Calendar'!$O$1542))</f>
        <v/>
      </c>
      <c r="BB154" s="106">
        <f>IF(GD154="","",IF(ISNUMBER('Dvd Calendar'!$P$1542)=FALSE,"",'Dvd Calendar'!$P$1542))</f>
        <v/>
      </c>
      <c r="BC154" s="106">
        <f>IF(GE154="","",IF(ISNUMBER('Dvd Calendar'!$Q$1542)=FALSE,"",'Dvd Calendar'!$Q$1542))</f>
        <v/>
      </c>
      <c r="BD154" s="106">
        <f>IF(GF154="","",IF(ISNUMBER('Dvd Calendar'!$R$1542)=FALSE,"",'Dvd Calendar'!$R$1542))</f>
        <v/>
      </c>
      <c r="BE154" s="106">
        <f>IF(GG154="","",IF(ISNUMBER('Dvd Calendar'!$S$1542)=FALSE,"",'Dvd Calendar'!$S$1542))</f>
        <v/>
      </c>
      <c r="BF154" s="106">
        <f>IF(GH154="","",IF(ISNUMBER('Dvd Calendar'!$T$1542)=FALSE,"",'Dvd Calendar'!$T$1542))</f>
        <v/>
      </c>
      <c r="BG154" s="106">
        <f>IF(GI154="","",IF(ISNUMBER('Dvd Calendar'!$U$1542)=FALSE,"",'Dvd Calendar'!$U$1542))</f>
        <v/>
      </c>
      <c r="BH154" s="106">
        <f>IF(GJ154="","",IF(ISNUMBER('Dvd Calendar'!$V$1542)=FALSE,"",'Dvd Calendar'!$V$1542))</f>
        <v/>
      </c>
      <c r="BI154" s="106">
        <f>IF(GK154="","",IF(ISNUMBER('Dvd Calendar'!$W$1542)=FALSE,"",'Dvd Calendar'!$W$1542))</f>
        <v/>
      </c>
      <c r="BJ154" s="106">
        <f>IF(GL154="","",IF(ISNUMBER('Dvd Calendar'!$X$1542)=FALSE,"",'Dvd Calendar'!$X$1542))</f>
        <v/>
      </c>
      <c r="BK154" s="106">
        <f>IF(GM154="","",IF(ISNUMBER('Dvd Calendar'!$Y$1542)=FALSE,"",'Dvd Calendar'!$Y$1542))</f>
        <v/>
      </c>
      <c r="BL154" s="106">
        <f>IF(GN154="","",IF(ISNUMBER('Dvd Calendar'!$Z$1542)=FALSE,"",'Dvd Calendar'!$Z$1542))</f>
        <v/>
      </c>
      <c r="BM154" s="106">
        <f>IF(GO154="","",IF(ISNUMBER('Dvd Calendar'!$AA$1542)=FALSE,"",'Dvd Calendar'!$AA$1542))</f>
        <v/>
      </c>
      <c r="BN154" s="106">
        <f>IF(GP154="","",IF(ISNUMBER('Dvd Calendar'!$AB$1542)=FALSE,"",'Dvd Calendar'!$AB$1542))</f>
        <v/>
      </c>
      <c r="BO154" s="106">
        <f>IF(GQ154="","",IF(ISNUMBER('Dvd Calendar'!$AC$1542)=FALSE,"",'Dvd Calendar'!$AC$1542))</f>
        <v/>
      </c>
      <c r="BQ154" s="106">
        <f>IF(C154="","",IFERROR(C154*HSTECH!$B$45*HSTECH!$G$45/HSTECH!$B$3,""))</f>
        <v/>
      </c>
      <c r="BR154" s="106">
        <f>IF(D154="","",IFERROR(D154*HSTECH!$B$45*HSTECH!$G$45/HSTECH!$B$3,""))</f>
        <v/>
      </c>
      <c r="BS154" s="106">
        <f>IF(E154="","",IFERROR(E154*HSTECH!$B$45*HSTECH!$G$45/HSTECH!$B$3,""))</f>
        <v/>
      </c>
      <c r="BT154" s="106">
        <f>IF(F154="","",IFERROR(F154*HSTECH!$B$45*HSTECH!$G$45/HSTECH!$B$3,""))</f>
        <v/>
      </c>
      <c r="BU154" s="106">
        <f>IF(G154="","",IFERROR(G154*HSTECH!$B$45*HSTECH!$G$45/HSTECH!$B$3,""))</f>
        <v/>
      </c>
      <c r="BV154" s="106">
        <f>IF(H154="","",IFERROR(H154*HSTECH!$B$45*HSTECH!$G$45/HSTECH!$B$3,""))</f>
        <v/>
      </c>
      <c r="BW154" s="106">
        <f>IF(I154="","",IFERROR(I154*HSTECH!$B$45*HSTECH!$G$45/HSTECH!$B$3,""))</f>
        <v/>
      </c>
      <c r="BX154" s="106">
        <f>IF(J154="","",IFERROR(J154*HSTECH!$B$45*HSTECH!$G$45/HSTECH!$B$3,""))</f>
        <v/>
      </c>
      <c r="BY154" s="106">
        <f>IF(K154="","",IFERROR(K154*HSTECH!$B$45*HSTECH!$G$45/HSTECH!$B$3,""))</f>
        <v/>
      </c>
      <c r="BZ154" s="106">
        <f>IF(L154="","",IFERROR(L154*HSTECH!$B$45*HSTECH!$G$45/HSTECH!$B$3,""))</f>
        <v/>
      </c>
      <c r="CA154" s="106">
        <f>IF(M154="","",IFERROR(M154*HSTECH!$B$45*HSTECH!$G$45/HSTECH!$B$3,""))</f>
        <v/>
      </c>
      <c r="CB154" s="106">
        <f>IF(N154="","",IFERROR(N154*HSTECH!$B$45*HSTECH!$G$45/HSTECH!$B$3,""))</f>
        <v/>
      </c>
      <c r="CC154" s="106">
        <f>IF(O154="","",IFERROR(O154*HSTECH!$B$45*HSTECH!$G$45/HSTECH!$B$3,""))</f>
        <v/>
      </c>
      <c r="CD154" s="106">
        <f>IF(P154="","",IFERROR(P154*HSTECH!$B$45*HSTECH!$G$45/HSTECH!$B$3,""))</f>
        <v/>
      </c>
      <c r="CE154" s="106">
        <f>IF(Q154="","",IFERROR(Q154*HSTECH!$B$45*HSTECH!$G$45/HSTECH!$B$3,""))</f>
        <v/>
      </c>
      <c r="CF154" s="106">
        <f>IF(R154="","",IFERROR(R154*HSTECH!$B$45*HSTECH!$G$45/HSTECH!$B$3,""))</f>
        <v/>
      </c>
      <c r="CG154" s="106">
        <f>IF(S154="","",IFERROR(S154*HSTECH!$B$45*HSTECH!$G$45/HSTECH!$B$3,""))</f>
        <v/>
      </c>
      <c r="CH154" s="106">
        <f>IF(T154="","",IFERROR(T154*HSTECH!$B$45*HSTECH!$G$45/HSTECH!$B$3,""))</f>
        <v/>
      </c>
      <c r="CI154" s="106">
        <f>IF(U154="","",IFERROR(U154*HSTECH!$B$45*HSTECH!$G$45/HSTECH!$B$3,""))</f>
        <v/>
      </c>
      <c r="CJ154" s="106">
        <f>IF(V154="","",IFERROR(V154*HSTECH!$B$45*HSTECH!$G$45/HSTECH!$B$3,""))</f>
        <v/>
      </c>
      <c r="CK154" s="106">
        <f>IF(W154="","",IFERROR(W154*HSTECH!$B$45*HSTECH!$G$45/HSTECH!$B$3,""))</f>
        <v/>
      </c>
      <c r="CL154" s="106">
        <f>IF(X154="","",IFERROR(X154*HSTECH!$B$45*HSTECH!$G$45/HSTECH!$B$3,""))</f>
        <v/>
      </c>
      <c r="CM154" s="106">
        <f>IF(Y154="","",IFERROR(Y154*HSTECH!$B$45*HSTECH!$G$45/HSTECH!$B$3,""))</f>
        <v/>
      </c>
      <c r="CN154" s="106">
        <f>IF(Z154="","",IFERROR(Z154*HSTECH!$B$45*HSTECH!$G$45/HSTECH!$B$3,""))</f>
        <v/>
      </c>
      <c r="CO154" s="106">
        <f>IF(AA154="","",IFERROR(AA154*HSTECH!$B$45*HSTECH!$G$45/HSTECH!$B$3,""))</f>
        <v/>
      </c>
      <c r="CP154" s="106">
        <f>IF(AB154="","",IFERROR(AB154*HSTECH!$B$45*HSTECH!$G$45/HSTECH!$B$3,""))</f>
        <v/>
      </c>
      <c r="CQ154" s="106">
        <f>IF(AC154="","",IFERROR(AC154*HSTECH!$B$45*HSTECH!$G$45/HSTECH!$B$3,""))</f>
        <v/>
      </c>
      <c r="CR154" s="106">
        <f>IF(AD154="","",IFERROR(AD154*HSTECH!$B$45*HSTECH!$G$45/HSTECH!$B$3,""))</f>
        <v/>
      </c>
      <c r="CS154" s="106">
        <f>IF(AE154="","",IFERROR(AE154*HSTECH!$B$45*HSTECH!$G$45/HSTECH!$B$3,""))</f>
        <v/>
      </c>
      <c r="CT154" s="106">
        <f>IF(AF154="","",IFERROR(AF154*HSTECH!$B$45*HSTECH!$G$45/HSTECH!$B$3,""))</f>
        <v/>
      </c>
      <c r="CU154" s="106">
        <f>IF(AG154="","",IFERROR(AG154*HSTECH!$B$45*HSTECH!$G$45/HSTECH!$B$3,""))</f>
        <v/>
      </c>
      <c r="CV154" s="106">
        <f>IF(AH154="","",IFERROR(AH154*HSTECH!$B$45*HSTECH!$G$45/HSTECH!$B$3,""))</f>
        <v/>
      </c>
      <c r="CW154" s="106">
        <f>IF(AI154="","",IFERROR(AI154*HSTECH!$B$45*HSTECH!$G$45/HSTECH!$B$3,""))</f>
        <v/>
      </c>
      <c r="CX154" s="106">
        <f>IF(AJ154="","",IFERROR(AJ154*HSTECH!$B$45*HSTECH!$G$45/HSTECH!$B$3,""))</f>
        <v/>
      </c>
      <c r="CY154" s="106">
        <f>IF(AK154="","",IFERROR(AK154*HSTECH!$B$45*HSTECH!$G$45/HSTECH!$B$3,""))</f>
        <v/>
      </c>
      <c r="CZ154" s="106">
        <f>IF(AL154="","",IFERROR(AL154*HSTECH!$B$45*HSTECH!$G$45/HSTECH!$B$3,""))</f>
        <v/>
      </c>
      <c r="DA154" s="106">
        <f>IF(AM154="","",IFERROR(AM154*HSTECH!$B$45*HSTECH!$G$45/HSTECH!$B$3,""))</f>
        <v/>
      </c>
      <c r="DB154" s="106">
        <f>IF(AN154="","",IFERROR(AN154*HSTECH!$B$45*HSTECH!$G$45/HSTECH!$B$3,""))</f>
        <v/>
      </c>
      <c r="DC154" s="106">
        <f>IF(AO154="","",IFERROR(AO154*HSTECH!$B$45*HSTECH!$G$45/HSTECH!$B$3,""))</f>
        <v/>
      </c>
      <c r="DD154" s="106">
        <f>IF(AP154="","",IFERROR(AP154*HSTECH!$B$45*HSTECH!$G$45/HSTECH!$B$3,""))</f>
        <v/>
      </c>
      <c r="DE154" s="106">
        <f>IF(AQ154="","",IFERROR(AQ154*HSTECH!$B$45*HSTECH!$G$45/HSTECH!$B$3,""))</f>
        <v/>
      </c>
      <c r="DF154" s="106">
        <f>IF(AR154="","",IFERROR(AR154*HSTECH!$B$45*HSTECH!$G$45/HSTECH!$B$3,""))</f>
        <v/>
      </c>
      <c r="DG154" s="106">
        <f>IF(AS154="","",IFERROR(AS154*HSTECH!$B$45*HSTECH!$G$45/HSTECH!$B$3,""))</f>
        <v/>
      </c>
      <c r="DH154" s="106">
        <f>IF(AT154="","",IFERROR(AT154*HSTECH!$B$45*HSTECH!$G$45/HSTECH!$B$3,""))</f>
        <v/>
      </c>
      <c r="DI154" s="106">
        <f>IF(AU154="","",IFERROR(AU154*HSTECH!$B$45*HSTECH!$G$45/HSTECH!$B$3,""))</f>
        <v/>
      </c>
      <c r="DJ154" s="106">
        <f>IF(AV154="","",IFERROR(AV154*HSTECH!$B$45*HSTECH!$G$45/HSTECH!$B$3,""))</f>
        <v/>
      </c>
      <c r="DK154" s="106">
        <f>IF(AW154="","",IFERROR(AW154*HSTECH!$B$45*HSTECH!$G$45/HSTECH!$B$3,""))</f>
        <v/>
      </c>
      <c r="DL154" s="106">
        <f>IF(AX154="","",IFERROR(AX154*HSTECH!$B$45*HSTECH!$G$45/HSTECH!$B$3,""))</f>
        <v/>
      </c>
      <c r="DM154" s="106">
        <f>IF(AY154="","",IFERROR(AY154*HSTECH!$B$45*HSTECH!$G$45/HSTECH!$B$3,""))</f>
        <v/>
      </c>
      <c r="DN154" s="106">
        <f>IF(AZ154="","",IFERROR(AZ154*HSTECH!$B$45*HSTECH!$G$45/HSTECH!$B$3,""))</f>
        <v/>
      </c>
      <c r="DO154" s="106">
        <f>IF(BA154="","",IFERROR(BA154*HSTECH!$B$45*HSTECH!$G$45/HSTECH!$B$3,""))</f>
        <v/>
      </c>
      <c r="DP154" s="106">
        <f>IF(BB154="","",IFERROR(BB154*HSTECH!$B$45*HSTECH!$G$45/HSTECH!$B$3,""))</f>
        <v/>
      </c>
      <c r="DQ154" s="106">
        <f>IF(BC154="","",IFERROR(BC154*HSTECH!$B$45*HSTECH!$G$45/HSTECH!$B$3,""))</f>
        <v/>
      </c>
      <c r="DR154" s="106">
        <f>IF(BD154="","",IFERROR(BD154*HSTECH!$B$45*HSTECH!$G$45/HSTECH!$B$3,""))</f>
        <v/>
      </c>
      <c r="DS154" s="106">
        <f>IF(BE154="","",IFERROR(BE154*HSTECH!$B$45*HSTECH!$G$45/HSTECH!$B$3,""))</f>
        <v/>
      </c>
      <c r="DT154" s="106">
        <f>IF(BF154="","",IFERROR(BF154*HSTECH!$B$45*HSTECH!$G$45/HSTECH!$B$3,""))</f>
        <v/>
      </c>
      <c r="DU154" s="106">
        <f>IF(BG154="","",IFERROR(BG154*HSTECH!$B$45*HSTECH!$G$45/HSTECH!$B$3,""))</f>
        <v/>
      </c>
      <c r="DV154" s="106">
        <f>IF(BH154="","",IFERROR(BH154*HSTECH!$B$45*HSTECH!$G$45/HSTECH!$B$3,""))</f>
        <v/>
      </c>
      <c r="DW154" s="106">
        <f>IF(BI154="","",IFERROR(BI154*HSTECH!$B$45*HSTECH!$G$45/HSTECH!$B$3,""))</f>
        <v/>
      </c>
      <c r="DX154" s="106">
        <f>IF(BJ154="","",IFERROR(BJ154*HSTECH!$B$45*HSTECH!$G$45/HSTECH!$B$3,""))</f>
        <v/>
      </c>
      <c r="DY154" s="106">
        <f>IF(BK154="","",IFERROR(BK154*HSTECH!$B$45*HSTECH!$G$45/HSTECH!$B$3,""))</f>
        <v/>
      </c>
      <c r="DZ154" s="106">
        <f>IF(BL154="","",IFERROR(BL154*HSTECH!$B$45*HSTECH!$G$45/HSTECH!$B$3,""))</f>
        <v/>
      </c>
      <c r="EA154" s="106">
        <f>IF(BM154="","",IFERROR(BM154*HSTECH!$B$45*HSTECH!$G$45/HSTECH!$B$3,""))</f>
        <v/>
      </c>
      <c r="EB154" s="106">
        <f>IF(BN154="","",IFERROR(BN154*HSTECH!$B$45*HSTECH!$G$45/HSTECH!$B$3,""))</f>
        <v/>
      </c>
      <c r="EC154" s="106">
        <f>IF(BO154="","",IFERROR(BO154*HSTECH!$B$45*HSTECH!$G$45/HSTECH!$B$3,""))</f>
        <v/>
      </c>
      <c r="EE154" s="35">
        <f>IF(N('Dvd Calendar'!$E$1534)=0,"",IF(('Dvd Calendar'!$E$1534&gt;=GRID_FROM)*('Dvd Calendar'!$E$1534&lt;=GRID_TO)*('Dvd Calendar'!$E$1534&lt;=VAL_DATE)=0,"",'Dvd Calendar'!$E$1534*1000000000+ISNUMBER('Dvd Calendar'!$E$1537)*100000000+('Dvd Calendar'!$E$1539=SPECIAL_LBL)*10000000+0*1000000+39*1000+1))</f>
        <v/>
      </c>
      <c r="EF154" s="35">
        <f>IF(N('Dvd Calendar'!$F$1534)=0,"",IF(('Dvd Calendar'!$F$1534&gt;=GRID_FROM)*('Dvd Calendar'!$F$1534&lt;=GRID_TO)*('Dvd Calendar'!$F$1534&lt;=VAL_DATE)=0,"",'Dvd Calendar'!$F$1534*1000000000+ISNUMBER('Dvd Calendar'!$F$1537)*100000000+('Dvd Calendar'!$F$1539=SPECIAL_LBL)*10000000+0*1000000+39*1000+2))</f>
        <v/>
      </c>
      <c r="EG154" s="35">
        <f>IF(N('Dvd Calendar'!$G$1534)=0,"",IF(('Dvd Calendar'!$G$1534&gt;=GRID_FROM)*('Dvd Calendar'!$G$1534&lt;=GRID_TO)*('Dvd Calendar'!$G$1534&lt;=VAL_DATE)=0,"",'Dvd Calendar'!$G$1534*1000000000+ISNUMBER('Dvd Calendar'!$G$1537)*100000000+('Dvd Calendar'!$G$1539=SPECIAL_LBL)*10000000+0*1000000+39*1000+3))</f>
        <v/>
      </c>
      <c r="EH154" s="35">
        <f>IF(N('Dvd Calendar'!$H$1534)=0,"",IF(('Dvd Calendar'!$H$1534&gt;=GRID_FROM)*('Dvd Calendar'!$H$1534&lt;=GRID_TO)*('Dvd Calendar'!$H$1534&lt;=VAL_DATE)=0,"",'Dvd Calendar'!$H$1534*1000000000+ISNUMBER('Dvd Calendar'!$H$1537)*100000000+('Dvd Calendar'!$H$1539=SPECIAL_LBL)*10000000+0*1000000+39*1000+4))</f>
        <v/>
      </c>
      <c r="EI154" s="35">
        <f>IF(N('Dvd Calendar'!$I$1534)=0,"",IF(('Dvd Calendar'!$I$1534&gt;=GRID_FROM)*('Dvd Calendar'!$I$1534&lt;=GRID_TO)*('Dvd Calendar'!$I$1534&lt;=VAL_DATE)=0,"",'Dvd Calendar'!$I$1534*1000000000+ISNUMBER('Dvd Calendar'!$I$1537)*100000000+('Dvd Calendar'!$I$1539=SPECIAL_LBL)*10000000+0*1000000+39*1000+5))</f>
        <v/>
      </c>
      <c r="EJ154" s="35">
        <f>IF(N('Dvd Calendar'!$J$1534)=0,"",IF(('Dvd Calendar'!$J$1534&gt;=GRID_FROM)*('Dvd Calendar'!$J$1534&lt;=GRID_TO)*('Dvd Calendar'!$J$1534&lt;=VAL_DATE)=0,"",'Dvd Calendar'!$J$1534*1000000000+ISNUMBER('Dvd Calendar'!$J$1537)*100000000+('Dvd Calendar'!$J$1539=SPECIAL_LBL)*10000000+0*1000000+39*1000+6))</f>
        <v/>
      </c>
      <c r="EK154" s="35">
        <f>IF(N('Dvd Calendar'!$K$1534)=0,"",IF(('Dvd Calendar'!$K$1534&gt;=GRID_FROM)*('Dvd Calendar'!$K$1534&lt;=GRID_TO)*('Dvd Calendar'!$K$1534&lt;=VAL_DATE)=0,"",'Dvd Calendar'!$K$1534*1000000000+ISNUMBER('Dvd Calendar'!$K$1537)*100000000+('Dvd Calendar'!$K$1539=SPECIAL_LBL)*10000000+0*1000000+39*1000+7))</f>
        <v/>
      </c>
      <c r="EL154" s="35">
        <f>IF(N('Dvd Calendar'!$L$1534)=0,"",IF(('Dvd Calendar'!$L$1534&gt;=GRID_FROM)*('Dvd Calendar'!$L$1534&lt;=GRID_TO)*('Dvd Calendar'!$L$1534&lt;=VAL_DATE)=0,"",'Dvd Calendar'!$L$1534*1000000000+ISNUMBER('Dvd Calendar'!$L$1537)*100000000+('Dvd Calendar'!$L$1539=SPECIAL_LBL)*10000000+0*1000000+39*1000+8))</f>
        <v/>
      </c>
      <c r="EM154" s="35">
        <f>IF(N('Dvd Calendar'!$M$1534)=0,"",IF(('Dvd Calendar'!$M$1534&gt;=GRID_FROM)*('Dvd Calendar'!$M$1534&lt;=GRID_TO)*('Dvd Calendar'!$M$1534&lt;=VAL_DATE)=0,"",'Dvd Calendar'!$M$1534*1000000000+ISNUMBER('Dvd Calendar'!$M$1537)*100000000+('Dvd Calendar'!$M$1539=SPECIAL_LBL)*10000000+0*1000000+39*1000+9))</f>
        <v/>
      </c>
      <c r="EN154" s="35">
        <f>IF(N('Dvd Calendar'!$N$1534)=0,"",IF(('Dvd Calendar'!$N$1534&gt;=GRID_FROM)*('Dvd Calendar'!$N$1534&lt;=GRID_TO)*('Dvd Calendar'!$N$1534&lt;=VAL_DATE)=0,"",'Dvd Calendar'!$N$1534*1000000000+ISNUMBER('Dvd Calendar'!$N$1537)*100000000+('Dvd Calendar'!$N$1539=SPECIAL_LBL)*10000000+0*1000000+39*1000+10))</f>
        <v/>
      </c>
      <c r="EO154" s="35">
        <f>IF(N('Dvd Calendar'!$O$1534)=0,"",IF(('Dvd Calendar'!$O$1534&gt;=GRID_FROM)*('Dvd Calendar'!$O$1534&lt;=GRID_TO)*('Dvd Calendar'!$O$1534&lt;=VAL_DATE)=0,"",'Dvd Calendar'!$O$1534*1000000000+ISNUMBER('Dvd Calendar'!$O$1537)*100000000+('Dvd Calendar'!$O$1539=SPECIAL_LBL)*10000000+0*1000000+39*1000+11))</f>
        <v/>
      </c>
      <c r="EP154" s="35">
        <f>IF(N('Dvd Calendar'!$P$1534)=0,"",IF(('Dvd Calendar'!$P$1534&gt;=GRID_FROM)*('Dvd Calendar'!$P$1534&lt;=GRID_TO)*('Dvd Calendar'!$P$1534&lt;=VAL_DATE)=0,"",'Dvd Calendar'!$P$1534*1000000000+ISNUMBER('Dvd Calendar'!$P$1537)*100000000+('Dvd Calendar'!$P$1539=SPECIAL_LBL)*10000000+0*1000000+39*1000+12))</f>
        <v/>
      </c>
      <c r="EQ154" s="35">
        <f>IF(N('Dvd Calendar'!$Q$1534)=0,"",IF(('Dvd Calendar'!$Q$1534&gt;=GRID_FROM)*('Dvd Calendar'!$Q$1534&lt;=GRID_TO)*('Dvd Calendar'!$Q$1534&lt;=VAL_DATE)=0,"",'Dvd Calendar'!$Q$1534*1000000000+ISNUMBER('Dvd Calendar'!$Q$1537)*100000000+('Dvd Calendar'!$Q$1539=SPECIAL_LBL)*10000000+0*1000000+39*1000+13))</f>
        <v/>
      </c>
      <c r="ER154" s="35">
        <f>IF(N('Dvd Calendar'!$R$1534)=0,"",IF(('Dvd Calendar'!$R$1534&gt;=GRID_FROM)*('Dvd Calendar'!$R$1534&lt;=GRID_TO)*('Dvd Calendar'!$R$1534&lt;=VAL_DATE)=0,"",'Dvd Calendar'!$R$1534*1000000000+ISNUMBER('Dvd Calendar'!$R$1537)*100000000+('Dvd Calendar'!$R$1539=SPECIAL_LBL)*10000000+0*1000000+39*1000+14))</f>
        <v/>
      </c>
      <c r="ES154" s="35">
        <f>IF(N('Dvd Calendar'!$S$1534)=0,"",IF(('Dvd Calendar'!$S$1534&gt;=GRID_FROM)*('Dvd Calendar'!$S$1534&lt;=GRID_TO)*('Dvd Calendar'!$S$1534&lt;=VAL_DATE)=0,"",'Dvd Calendar'!$S$1534*1000000000+ISNUMBER('Dvd Calendar'!$S$1537)*100000000+('Dvd Calendar'!$S$1539=SPECIAL_LBL)*10000000+0*1000000+39*1000+15))</f>
        <v/>
      </c>
      <c r="ET154" s="35">
        <f>IF(N('Dvd Calendar'!$T$1534)=0,"",IF(('Dvd Calendar'!$T$1534&gt;=GRID_FROM)*('Dvd Calendar'!$T$1534&lt;=GRID_TO)*('Dvd Calendar'!$T$1534&lt;=VAL_DATE)=0,"",'Dvd Calendar'!$T$1534*1000000000+ISNUMBER('Dvd Calendar'!$T$1537)*100000000+('Dvd Calendar'!$T$1539=SPECIAL_LBL)*10000000+0*1000000+39*1000+16))</f>
        <v/>
      </c>
      <c r="EU154" s="35">
        <f>IF(N('Dvd Calendar'!$U$1534)=0,"",IF(('Dvd Calendar'!$U$1534&gt;=GRID_FROM)*('Dvd Calendar'!$U$1534&lt;=GRID_TO)*('Dvd Calendar'!$U$1534&lt;=VAL_DATE)=0,"",'Dvd Calendar'!$U$1534*1000000000+ISNUMBER('Dvd Calendar'!$U$1537)*100000000+('Dvd Calendar'!$U$1539=SPECIAL_LBL)*10000000+0*1000000+39*1000+17))</f>
        <v/>
      </c>
      <c r="EV154" s="35">
        <f>IF(N('Dvd Calendar'!$V$1534)=0,"",IF(('Dvd Calendar'!$V$1534&gt;=GRID_FROM)*('Dvd Calendar'!$V$1534&lt;=GRID_TO)*('Dvd Calendar'!$V$1534&lt;=VAL_DATE)=0,"",'Dvd Calendar'!$V$1534*1000000000+ISNUMBER('Dvd Calendar'!$V$1537)*100000000+('Dvd Calendar'!$V$1539=SPECIAL_LBL)*10000000+0*1000000+39*1000+18))</f>
        <v/>
      </c>
      <c r="EW154" s="35">
        <f>IF(N('Dvd Calendar'!$W$1534)=0,"",IF(('Dvd Calendar'!$W$1534&gt;=GRID_FROM)*('Dvd Calendar'!$W$1534&lt;=GRID_TO)*('Dvd Calendar'!$W$1534&lt;=VAL_DATE)=0,"",'Dvd Calendar'!$W$1534*1000000000+ISNUMBER('Dvd Calendar'!$W$1537)*100000000+('Dvd Calendar'!$W$1539=SPECIAL_LBL)*10000000+0*1000000+39*1000+19))</f>
        <v/>
      </c>
      <c r="EX154" s="35">
        <f>IF(N('Dvd Calendar'!$X$1534)=0,"",IF(('Dvd Calendar'!$X$1534&gt;=GRID_FROM)*('Dvd Calendar'!$X$1534&lt;=GRID_TO)*('Dvd Calendar'!$X$1534&lt;=VAL_DATE)=0,"",'Dvd Calendar'!$X$1534*1000000000+ISNUMBER('Dvd Calendar'!$X$1537)*100000000+('Dvd Calendar'!$X$1539=SPECIAL_LBL)*10000000+0*1000000+39*1000+20))</f>
        <v/>
      </c>
      <c r="EY154" s="35">
        <f>IF(N('Dvd Calendar'!$Y$1534)=0,"",IF(('Dvd Calendar'!$Y$1534&gt;=GRID_FROM)*('Dvd Calendar'!$Y$1534&lt;=GRID_TO)*('Dvd Calendar'!$Y$1534&lt;=VAL_DATE)=0,"",'Dvd Calendar'!$Y$1534*1000000000+ISNUMBER('Dvd Calendar'!$Y$1537)*100000000+('Dvd Calendar'!$Y$1539=SPECIAL_LBL)*10000000+0*1000000+39*1000+21))</f>
        <v/>
      </c>
      <c r="EZ154" s="35">
        <f>IF(N('Dvd Calendar'!$Z$1534)=0,"",IF(('Dvd Calendar'!$Z$1534&gt;=GRID_FROM)*('Dvd Calendar'!$Z$1534&lt;=GRID_TO)*('Dvd Calendar'!$Z$1534&lt;=VAL_DATE)=0,"",'Dvd Calendar'!$Z$1534*1000000000+ISNUMBER('Dvd Calendar'!$Z$1537)*100000000+('Dvd Calendar'!$Z$1539=SPECIAL_LBL)*10000000+0*1000000+39*1000+22))</f>
        <v/>
      </c>
      <c r="FA154" s="35">
        <f>IF(N('Dvd Calendar'!$AA$1534)=0,"",IF(('Dvd Calendar'!$AA$1534&gt;=GRID_FROM)*('Dvd Calendar'!$AA$1534&lt;=GRID_TO)*('Dvd Calendar'!$AA$1534&lt;=VAL_DATE)=0,"",'Dvd Calendar'!$AA$1534*1000000000+ISNUMBER('Dvd Calendar'!$AA$1537)*100000000+('Dvd Calendar'!$AA$1539=SPECIAL_LBL)*10000000+0*1000000+39*1000+23))</f>
        <v/>
      </c>
      <c r="FB154" s="35">
        <f>IF(N('Dvd Calendar'!$AB$1534)=0,"",IF(('Dvd Calendar'!$AB$1534&gt;=GRID_FROM)*('Dvd Calendar'!$AB$1534&lt;=GRID_TO)*('Dvd Calendar'!$AB$1534&lt;=VAL_DATE)=0,"",'Dvd Calendar'!$AB$1534*1000000000+ISNUMBER('Dvd Calendar'!$AB$1537)*100000000+('Dvd Calendar'!$AB$1539=SPECIAL_LBL)*10000000+0*1000000+39*1000+24))</f>
        <v/>
      </c>
      <c r="FC154" s="35">
        <f>IF(N('Dvd Calendar'!$AC$1534)=0,"",IF(('Dvd Calendar'!$AC$1534&gt;=GRID_FROM)*('Dvd Calendar'!$AC$1534&lt;=GRID_TO)*('Dvd Calendar'!$AC$1534&lt;=VAL_DATE)=0,"",'Dvd Calendar'!$AC$1534*1000000000+ISNUMBER('Dvd Calendar'!$AC$1537)*100000000+('Dvd Calendar'!$AC$1539=SPECIAL_LBL)*10000000+0*1000000+39*1000+25))</f>
        <v/>
      </c>
      <c r="FD154" s="35">
        <f>IF(N('Dvd Calendar'!$AD$1534)=0,"",IF(('Dvd Calendar'!$AD$1534&gt;=GRID_FROM)*('Dvd Calendar'!$AD$1534&lt;=GRID_TO)*('Dvd Calendar'!$AD$1534&lt;=VAL_DATE)=0,"",'Dvd Calendar'!$AD$1534*1000000000+ISNUMBER('Dvd Calendar'!$AD$1537)*100000000+('Dvd Calendar'!$AD$1539=SPECIAL_LBL)*10000000+0*1000000+39*1000+26))</f>
        <v/>
      </c>
      <c r="FE154" s="35">
        <f>IF(N('Dvd Calendar'!$AE$1534)=0,"",IF(('Dvd Calendar'!$AE$1534&gt;=GRID_FROM)*('Dvd Calendar'!$AE$1534&lt;=GRID_TO)*('Dvd Calendar'!$AE$1534&lt;=VAL_DATE)=0,"",'Dvd Calendar'!$AE$1534*1000000000+ISNUMBER('Dvd Calendar'!$AE$1537)*100000000+('Dvd Calendar'!$AE$1539=SPECIAL_LBL)*10000000+0*1000000+39*1000+27))</f>
        <v/>
      </c>
      <c r="FF154" s="35">
        <f>IF(N('Dvd Calendar'!$AF$1534)=0,"",IF(('Dvd Calendar'!$AF$1534&gt;=GRID_FROM)*('Dvd Calendar'!$AF$1534&lt;=GRID_TO)*('Dvd Calendar'!$AF$1534&lt;=VAL_DATE)=0,"",'Dvd Calendar'!$AF$1534*1000000000+ISNUMBER('Dvd Calendar'!$AF$1537)*100000000+('Dvd Calendar'!$AF$1539=SPECIAL_LBL)*10000000+0*1000000+39*1000+28))</f>
        <v/>
      </c>
      <c r="FG154" s="35">
        <f>IF(N('Dvd Calendar'!$AG$1534)=0,"",IF(('Dvd Calendar'!$AG$1534&gt;=GRID_FROM)*('Dvd Calendar'!$AG$1534&lt;=GRID_TO)*('Dvd Calendar'!$AG$1534&lt;=VAL_DATE)=0,"",'Dvd Calendar'!$AG$1534*1000000000+ISNUMBER('Dvd Calendar'!$AG$1537)*100000000+('Dvd Calendar'!$AG$1539=SPECIAL_LBL)*10000000+0*1000000+39*1000+29))</f>
        <v/>
      </c>
      <c r="FH154" s="35">
        <f>IF(N('Dvd Calendar'!$AH$1534)=0,"",IF(('Dvd Calendar'!$AH$1534&gt;=GRID_FROM)*('Dvd Calendar'!$AH$1534&lt;=GRID_TO)*('Dvd Calendar'!$AH$1534&lt;=VAL_DATE)=0,"",'Dvd Calendar'!$AH$1534*1000000000+ISNUMBER('Dvd Calendar'!$AH$1537)*100000000+('Dvd Calendar'!$AH$1539=SPECIAL_LBL)*10000000+0*1000000+39*1000+30))</f>
        <v/>
      </c>
      <c r="FI154" s="35">
        <f>IF(N('Dvd Calendar'!$AI$1534)=0,"",IF(('Dvd Calendar'!$AI$1534&gt;=GRID_FROM)*('Dvd Calendar'!$AI$1534&lt;=GRID_TO)*('Dvd Calendar'!$AI$1534&lt;=VAL_DATE)=0,"",'Dvd Calendar'!$AI$1534*1000000000+ISNUMBER('Dvd Calendar'!$AI$1537)*100000000+('Dvd Calendar'!$AI$1539=SPECIAL_LBL)*10000000+0*1000000+39*1000+31))</f>
        <v/>
      </c>
      <c r="FJ154" s="35">
        <f>IF(N('Dvd Calendar'!$AJ$1534)=0,"",IF(('Dvd Calendar'!$AJ$1534&gt;=GRID_FROM)*('Dvd Calendar'!$AJ$1534&lt;=GRID_TO)*('Dvd Calendar'!$AJ$1534&lt;=VAL_DATE)=0,"",'Dvd Calendar'!$AJ$1534*1000000000+ISNUMBER('Dvd Calendar'!$AJ$1537)*100000000+('Dvd Calendar'!$AJ$1539=SPECIAL_LBL)*10000000+0*1000000+39*1000+32))</f>
        <v/>
      </c>
      <c r="FK154" s="35">
        <f>IF(N('Dvd Calendar'!$AK$1534)=0,"",IF(('Dvd Calendar'!$AK$1534&gt;=GRID_FROM)*('Dvd Calendar'!$AK$1534&lt;=GRID_TO)*('Dvd Calendar'!$AK$1534&lt;=VAL_DATE)=0,"",'Dvd Calendar'!$AK$1534*1000000000+ISNUMBER('Dvd Calendar'!$AK$1537)*100000000+('Dvd Calendar'!$AK$1539=SPECIAL_LBL)*10000000+0*1000000+39*1000+33))</f>
        <v/>
      </c>
      <c r="FL154" s="35">
        <f>IF(N('Dvd Calendar'!$AL$1534)=0,"",IF(('Dvd Calendar'!$AL$1534&gt;=GRID_FROM)*('Dvd Calendar'!$AL$1534&lt;=GRID_TO)*('Dvd Calendar'!$AL$1534&lt;=VAL_DATE)=0,"",'Dvd Calendar'!$AL$1534*1000000000+ISNUMBER('Dvd Calendar'!$AL$1537)*100000000+('Dvd Calendar'!$AL$1539=SPECIAL_LBL)*10000000+0*1000000+39*1000+34))</f>
        <v/>
      </c>
      <c r="FM154" s="35">
        <f>IF(N('Dvd Calendar'!$AM$1534)=0,"",IF(('Dvd Calendar'!$AM$1534&gt;=GRID_FROM)*('Dvd Calendar'!$AM$1534&lt;=GRID_TO)*('Dvd Calendar'!$AM$1534&lt;=VAL_DATE)=0,"",'Dvd Calendar'!$AM$1534*1000000000+ISNUMBER('Dvd Calendar'!$AM$1537)*100000000+('Dvd Calendar'!$AM$1539=SPECIAL_LBL)*10000000+0*1000000+39*1000+35))</f>
        <v/>
      </c>
      <c r="FN154" s="35">
        <f>IF(N('Dvd Calendar'!$AN$1534)=0,"",IF(('Dvd Calendar'!$AN$1534&gt;=GRID_FROM)*('Dvd Calendar'!$AN$1534&lt;=GRID_TO)*('Dvd Calendar'!$AN$1534&lt;=VAL_DATE)=0,"",'Dvd Calendar'!$AN$1534*1000000000+ISNUMBER('Dvd Calendar'!$AN$1537)*100000000+('Dvd Calendar'!$AN$1539=SPECIAL_LBL)*10000000+0*1000000+39*1000+36))</f>
        <v/>
      </c>
      <c r="FO154" s="35">
        <f>IF(N('Dvd Calendar'!$AO$1534)=0,"",IF(('Dvd Calendar'!$AO$1534&gt;=GRID_FROM)*('Dvd Calendar'!$AO$1534&lt;=GRID_TO)*('Dvd Calendar'!$AO$1534&lt;=VAL_DATE)=0,"",'Dvd Calendar'!$AO$1534*1000000000+ISNUMBER('Dvd Calendar'!$AO$1537)*100000000+('Dvd Calendar'!$AO$1539=SPECIAL_LBL)*10000000+0*1000000+39*1000+37))</f>
        <v/>
      </c>
      <c r="FP154" s="35">
        <f>IF(N('Dvd Calendar'!$AP$1534)=0,"",IF(('Dvd Calendar'!$AP$1534&gt;=GRID_FROM)*('Dvd Calendar'!$AP$1534&lt;=GRID_TO)*('Dvd Calendar'!$AP$1534&lt;=VAL_DATE)=0,"",'Dvd Calendar'!$AP$1534*1000000000+ISNUMBER('Dvd Calendar'!$AP$1537)*100000000+('Dvd Calendar'!$AP$1539=SPECIAL_LBL)*10000000+0*1000000+39*1000+38))</f>
        <v/>
      </c>
      <c r="FQ154" s="35">
        <f>IF(N('Dvd Calendar'!$AQ$1534)=0,"",IF(('Dvd Calendar'!$AQ$1534&gt;=GRID_FROM)*('Dvd Calendar'!$AQ$1534&lt;=GRID_TO)*('Dvd Calendar'!$AQ$1534&lt;=VAL_DATE)=0,"",'Dvd Calendar'!$AQ$1534*1000000000+ISNUMBER('Dvd Calendar'!$AQ$1537)*100000000+('Dvd Calendar'!$AQ$1539=SPECIAL_LBL)*10000000+0*1000000+39*1000+39))</f>
        <v/>
      </c>
      <c r="FR154" s="35">
        <f>IF(N('Dvd Calendar'!$AR$1534)=0,"",IF(('Dvd Calendar'!$AR$1534&gt;=GRID_FROM)*('Dvd Calendar'!$AR$1534&lt;=GRID_TO)*('Dvd Calendar'!$AR$1534&lt;=VAL_DATE)=0,"",'Dvd Calendar'!$AR$1534*1000000000+ISNUMBER('Dvd Calendar'!$AR$1537)*100000000+('Dvd Calendar'!$AR$1539=SPECIAL_LBL)*10000000+0*1000000+39*1000+40))</f>
        <v/>
      </c>
      <c r="FS154" s="35">
        <f>IF(N('Dvd Calendar'!$E$1541)=0,"",IF(('Dvd Calendar'!$E$1541&gt;=GRID_FROM)*('Dvd Calendar'!$E$1541&lt;=GRID_TO)*('Dvd Calendar'!$E$1541&gt;VAL_DATE)=0,"",'Dvd Calendar'!$E$1541*1000000000+ISNUMBER('Dvd Calendar'!$E$1542)*100000000+0*10000000+(N('Dvd Calendar'!$E$1540)&gt;0)*(N('Dvd Calendar'!$E$1540)&lt;=VAL_SERIAL)*1000000+39*1000+41))</f>
        <v/>
      </c>
      <c r="FT154" s="35">
        <f>IF(N('Dvd Calendar'!$F$1541)=0,"",IF(('Dvd Calendar'!$F$1541&gt;=GRID_FROM)*('Dvd Calendar'!$F$1541&lt;=GRID_TO)*('Dvd Calendar'!$F$1541&gt;VAL_DATE)=0,"",'Dvd Calendar'!$F$1541*1000000000+ISNUMBER('Dvd Calendar'!$F$1542)*100000000+0*10000000+(N('Dvd Calendar'!$F$1540)&gt;0)*(N('Dvd Calendar'!$F$1540)&lt;=VAL_SERIAL)*1000000+39*1000+42))</f>
        <v/>
      </c>
      <c r="FU154" s="35">
        <f>IF(N('Dvd Calendar'!$G$1541)=0,"",IF(('Dvd Calendar'!$G$1541&gt;=GRID_FROM)*('Dvd Calendar'!$G$1541&lt;=GRID_TO)*('Dvd Calendar'!$G$1541&gt;VAL_DATE)=0,"",'Dvd Calendar'!$G$1541*1000000000+ISNUMBER('Dvd Calendar'!$G$1542)*100000000+0*10000000+(N('Dvd Calendar'!$G$1540)&gt;0)*(N('Dvd Calendar'!$G$1540)&lt;=VAL_SERIAL)*1000000+39*1000+43))</f>
        <v/>
      </c>
      <c r="FV154" s="35">
        <f>IF(N('Dvd Calendar'!$H$1541)=0,"",IF(('Dvd Calendar'!$H$1541&gt;=GRID_FROM)*('Dvd Calendar'!$H$1541&lt;=GRID_TO)*('Dvd Calendar'!$H$1541&gt;VAL_DATE)=0,"",'Dvd Calendar'!$H$1541*1000000000+ISNUMBER('Dvd Calendar'!$H$1542)*100000000+0*10000000+(N('Dvd Calendar'!$H$1540)&gt;0)*(N('Dvd Calendar'!$H$1540)&lt;=VAL_SERIAL)*1000000+39*1000+44))</f>
        <v/>
      </c>
      <c r="FW154" s="35">
        <f>IF(N('Dvd Calendar'!$I$1541)=0,"",IF(('Dvd Calendar'!$I$1541&gt;=GRID_FROM)*('Dvd Calendar'!$I$1541&lt;=GRID_TO)*('Dvd Calendar'!$I$1541&gt;VAL_DATE)=0,"",'Dvd Calendar'!$I$1541*1000000000+ISNUMBER('Dvd Calendar'!$I$1542)*100000000+0*10000000+(N('Dvd Calendar'!$I$1540)&gt;0)*(N('Dvd Calendar'!$I$1540)&lt;=VAL_SERIAL)*1000000+39*1000+45))</f>
        <v/>
      </c>
      <c r="FX154" s="35">
        <f>IF(N('Dvd Calendar'!$J$1541)=0,"",IF(('Dvd Calendar'!$J$1541&gt;=GRID_FROM)*('Dvd Calendar'!$J$1541&lt;=GRID_TO)*('Dvd Calendar'!$J$1541&gt;VAL_DATE)=0,"",'Dvd Calendar'!$J$1541*1000000000+ISNUMBER('Dvd Calendar'!$J$1542)*100000000+0*10000000+(N('Dvd Calendar'!$J$1540)&gt;0)*(N('Dvd Calendar'!$J$1540)&lt;=VAL_SERIAL)*1000000+39*1000+46))</f>
        <v/>
      </c>
      <c r="FY154" s="35">
        <f>IF(N('Dvd Calendar'!$K$1541)=0,"",IF(('Dvd Calendar'!$K$1541&gt;=GRID_FROM)*('Dvd Calendar'!$K$1541&lt;=GRID_TO)*('Dvd Calendar'!$K$1541&gt;VAL_DATE)=0,"",'Dvd Calendar'!$K$1541*1000000000+ISNUMBER('Dvd Calendar'!$K$1542)*100000000+0*10000000+(N('Dvd Calendar'!$K$1540)&gt;0)*(N('Dvd Calendar'!$K$1540)&lt;=VAL_SERIAL)*1000000+39*1000+47))</f>
        <v/>
      </c>
      <c r="FZ154" s="35">
        <f>IF(N('Dvd Calendar'!$L$1541)=0,"",IF(('Dvd Calendar'!$L$1541&gt;=GRID_FROM)*('Dvd Calendar'!$L$1541&lt;=GRID_TO)*('Dvd Calendar'!$L$1541&gt;VAL_DATE)=0,"",'Dvd Calendar'!$L$1541*1000000000+ISNUMBER('Dvd Calendar'!$L$1542)*100000000+0*10000000+(N('Dvd Calendar'!$L$1540)&gt;0)*(N('Dvd Calendar'!$L$1540)&lt;=VAL_SERIAL)*1000000+39*1000+48))</f>
        <v/>
      </c>
      <c r="GA154" s="35">
        <f>IF(N('Dvd Calendar'!$M$1541)=0,"",IF(('Dvd Calendar'!$M$1541&gt;=GRID_FROM)*('Dvd Calendar'!$M$1541&lt;=GRID_TO)*('Dvd Calendar'!$M$1541&gt;VAL_DATE)=0,"",'Dvd Calendar'!$M$1541*1000000000+ISNUMBER('Dvd Calendar'!$M$1542)*100000000+0*10000000+(N('Dvd Calendar'!$M$1540)&gt;0)*(N('Dvd Calendar'!$M$1540)&lt;=VAL_SERIAL)*1000000+39*1000+49))</f>
        <v/>
      </c>
      <c r="GB154" s="35">
        <f>IF(N('Dvd Calendar'!$N$1541)=0,"",IF(('Dvd Calendar'!$N$1541&gt;=GRID_FROM)*('Dvd Calendar'!$N$1541&lt;=GRID_TO)*('Dvd Calendar'!$N$1541&gt;VAL_DATE)=0,"",'Dvd Calendar'!$N$1541*1000000000+ISNUMBER('Dvd Calendar'!$N$1542)*100000000+0*10000000+(N('Dvd Calendar'!$N$1540)&gt;0)*(N('Dvd Calendar'!$N$1540)&lt;=VAL_SERIAL)*1000000+39*1000+50))</f>
        <v/>
      </c>
      <c r="GC154" s="35">
        <f>IF(N('Dvd Calendar'!$O$1541)=0,"",IF(('Dvd Calendar'!$O$1541&gt;=GRID_FROM)*('Dvd Calendar'!$O$1541&lt;=GRID_TO)*('Dvd Calendar'!$O$1541&gt;VAL_DATE)=0,"",'Dvd Calendar'!$O$1541*1000000000+ISNUMBER('Dvd Calendar'!$O$1542)*100000000+0*10000000+(N('Dvd Calendar'!$O$1540)&gt;0)*(N('Dvd Calendar'!$O$1540)&lt;=VAL_SERIAL)*1000000+39*1000+51))</f>
        <v/>
      </c>
      <c r="GD154" s="35">
        <f>IF(N('Dvd Calendar'!$P$1541)=0,"",IF(('Dvd Calendar'!$P$1541&gt;=GRID_FROM)*('Dvd Calendar'!$P$1541&lt;=GRID_TO)*('Dvd Calendar'!$P$1541&gt;VAL_DATE)=0,"",'Dvd Calendar'!$P$1541*1000000000+ISNUMBER('Dvd Calendar'!$P$1542)*100000000+0*10000000+(N('Dvd Calendar'!$P$1540)&gt;0)*(N('Dvd Calendar'!$P$1540)&lt;=VAL_SERIAL)*1000000+39*1000+52))</f>
        <v/>
      </c>
      <c r="GE154" s="35">
        <f>IF(N('Dvd Calendar'!$Q$1541)=0,"",IF(('Dvd Calendar'!$Q$1541&gt;=GRID_FROM)*('Dvd Calendar'!$Q$1541&lt;=GRID_TO)*('Dvd Calendar'!$Q$1541&gt;VAL_DATE)=0,"",'Dvd Calendar'!$Q$1541*1000000000+ISNUMBER('Dvd Calendar'!$Q$1542)*100000000+0*10000000+(N('Dvd Calendar'!$Q$1540)&gt;0)*(N('Dvd Calendar'!$Q$1540)&lt;=VAL_SERIAL)*1000000+39*1000+53))</f>
        <v/>
      </c>
      <c r="GF154" s="35">
        <f>IF(N('Dvd Calendar'!$R$1541)=0,"",IF(('Dvd Calendar'!$R$1541&gt;=GRID_FROM)*('Dvd Calendar'!$R$1541&lt;=GRID_TO)*('Dvd Calendar'!$R$1541&gt;VAL_DATE)=0,"",'Dvd Calendar'!$R$1541*1000000000+ISNUMBER('Dvd Calendar'!$R$1542)*100000000+0*10000000+(N('Dvd Calendar'!$R$1540)&gt;0)*(N('Dvd Calendar'!$R$1540)&lt;=VAL_SERIAL)*1000000+39*1000+54))</f>
        <v/>
      </c>
      <c r="GG154" s="35">
        <f>IF(N('Dvd Calendar'!$S$1541)=0,"",IF(('Dvd Calendar'!$S$1541&gt;=GRID_FROM)*('Dvd Calendar'!$S$1541&lt;=GRID_TO)*('Dvd Calendar'!$S$1541&gt;VAL_DATE)=0,"",'Dvd Calendar'!$S$1541*1000000000+ISNUMBER('Dvd Calendar'!$S$1542)*100000000+0*10000000+(N('Dvd Calendar'!$S$1540)&gt;0)*(N('Dvd Calendar'!$S$1540)&lt;=VAL_SERIAL)*1000000+39*1000+55))</f>
        <v/>
      </c>
      <c r="GH154" s="35">
        <f>IF(N('Dvd Calendar'!$T$1541)=0,"",IF(('Dvd Calendar'!$T$1541&gt;=GRID_FROM)*('Dvd Calendar'!$T$1541&lt;=GRID_TO)*('Dvd Calendar'!$T$1541&gt;VAL_DATE)=0,"",'Dvd Calendar'!$T$1541*1000000000+ISNUMBER('Dvd Calendar'!$T$1542)*100000000+0*10000000+(N('Dvd Calendar'!$T$1540)&gt;0)*(N('Dvd Calendar'!$T$1540)&lt;=VAL_SERIAL)*1000000+39*1000+56))</f>
        <v/>
      </c>
      <c r="GI154" s="35">
        <f>IF(N('Dvd Calendar'!$U$1541)=0,"",IF(('Dvd Calendar'!$U$1541&gt;=GRID_FROM)*('Dvd Calendar'!$U$1541&lt;=GRID_TO)*('Dvd Calendar'!$U$1541&gt;VAL_DATE)=0,"",'Dvd Calendar'!$U$1541*1000000000+ISNUMBER('Dvd Calendar'!$U$1542)*100000000+0*10000000+(N('Dvd Calendar'!$U$1540)&gt;0)*(N('Dvd Calendar'!$U$1540)&lt;=VAL_SERIAL)*1000000+39*1000+57))</f>
        <v/>
      </c>
      <c r="GJ154" s="35">
        <f>IF(N('Dvd Calendar'!$V$1541)=0,"",IF(('Dvd Calendar'!$V$1541&gt;=GRID_FROM)*('Dvd Calendar'!$V$1541&lt;=GRID_TO)*('Dvd Calendar'!$V$1541&gt;VAL_DATE)=0,"",'Dvd Calendar'!$V$1541*1000000000+ISNUMBER('Dvd Calendar'!$V$1542)*100000000+0*10000000+(N('Dvd Calendar'!$V$1540)&gt;0)*(N('Dvd Calendar'!$V$1540)&lt;=VAL_SERIAL)*1000000+39*1000+58))</f>
        <v/>
      </c>
      <c r="GK154" s="35">
        <f>IF(N('Dvd Calendar'!$W$1541)=0,"",IF(('Dvd Calendar'!$W$1541&gt;=GRID_FROM)*('Dvd Calendar'!$W$1541&lt;=GRID_TO)*('Dvd Calendar'!$W$1541&gt;VAL_DATE)=0,"",'Dvd Calendar'!$W$1541*1000000000+ISNUMBER('Dvd Calendar'!$W$1542)*100000000+0*10000000+(N('Dvd Calendar'!$W$1540)&gt;0)*(N('Dvd Calendar'!$W$1540)&lt;=VAL_SERIAL)*1000000+39*1000+59))</f>
        <v/>
      </c>
      <c r="GL154" s="35">
        <f>IF(N('Dvd Calendar'!$X$1541)=0,"",IF(('Dvd Calendar'!$X$1541&gt;=GRID_FROM)*('Dvd Calendar'!$X$1541&lt;=GRID_TO)*('Dvd Calendar'!$X$1541&gt;VAL_DATE)=0,"",'Dvd Calendar'!$X$1541*1000000000+ISNUMBER('Dvd Calendar'!$X$1542)*100000000+0*10000000+(N('Dvd Calendar'!$X$1540)&gt;0)*(N('Dvd Calendar'!$X$1540)&lt;=VAL_SERIAL)*1000000+39*1000+60))</f>
        <v/>
      </c>
      <c r="GM154" s="35">
        <f>IF(N('Dvd Calendar'!$Y$1541)=0,"",IF(('Dvd Calendar'!$Y$1541&gt;=GRID_FROM)*('Dvd Calendar'!$Y$1541&lt;=GRID_TO)*('Dvd Calendar'!$Y$1541&gt;VAL_DATE)=0,"",'Dvd Calendar'!$Y$1541*1000000000+ISNUMBER('Dvd Calendar'!$Y$1542)*100000000+0*10000000+(N('Dvd Calendar'!$Y$1540)&gt;0)*(N('Dvd Calendar'!$Y$1540)&lt;=VAL_SERIAL)*1000000+39*1000+61))</f>
        <v/>
      </c>
      <c r="GN154" s="35">
        <f>IF(N('Dvd Calendar'!$Z$1541)=0,"",IF(('Dvd Calendar'!$Z$1541&gt;=GRID_FROM)*('Dvd Calendar'!$Z$1541&lt;=GRID_TO)*('Dvd Calendar'!$Z$1541&gt;VAL_DATE)=0,"",'Dvd Calendar'!$Z$1541*1000000000+ISNUMBER('Dvd Calendar'!$Z$1542)*100000000+0*10000000+(N('Dvd Calendar'!$Z$1540)&gt;0)*(N('Dvd Calendar'!$Z$1540)&lt;=VAL_SERIAL)*1000000+39*1000+62))</f>
        <v/>
      </c>
      <c r="GO154" s="35">
        <f>IF(N('Dvd Calendar'!$AA$1541)=0,"",IF(('Dvd Calendar'!$AA$1541&gt;=GRID_FROM)*('Dvd Calendar'!$AA$1541&lt;=GRID_TO)*('Dvd Calendar'!$AA$1541&gt;VAL_DATE)=0,"",'Dvd Calendar'!$AA$1541*1000000000+ISNUMBER('Dvd Calendar'!$AA$1542)*100000000+0*10000000+(N('Dvd Calendar'!$AA$1540)&gt;0)*(N('Dvd Calendar'!$AA$1540)&lt;=VAL_SERIAL)*1000000+39*1000+63))</f>
        <v/>
      </c>
      <c r="GP154" s="35">
        <f>IF(N('Dvd Calendar'!$AB$1541)=0,"",IF(('Dvd Calendar'!$AB$1541&gt;=GRID_FROM)*('Dvd Calendar'!$AB$1541&lt;=GRID_TO)*('Dvd Calendar'!$AB$1541&gt;VAL_DATE)=0,"",'Dvd Calendar'!$AB$1541*1000000000+ISNUMBER('Dvd Calendar'!$AB$1542)*100000000+0*10000000+(N('Dvd Calendar'!$AB$1540)&gt;0)*(N('Dvd Calendar'!$AB$1540)&lt;=VAL_SERIAL)*1000000+39*1000+64))</f>
        <v/>
      </c>
      <c r="GQ154" s="35">
        <f>IF(N('Dvd Calendar'!$AC$1541)=0,"",IF(('Dvd Calendar'!$AC$1541&gt;=GRID_FROM)*('Dvd Calendar'!$AC$1541&lt;=GRID_TO)*('Dvd Calendar'!$AC$1541&gt;VAL_DATE)=0,"",'Dvd Calendar'!$AC$1541*1000000000+ISNUMBER('Dvd Calendar'!$AC$1542)*100000000+0*10000000+(N('Dvd Calendar'!$AC$1540)&gt;0)*(N('Dvd Calendar'!$AC$1540)&lt;=VAL_SERIAL)*1000000+39*1000+65))</f>
        <v/>
      </c>
    </row>
    <row r="155">
      <c r="B155" s="2">
        <f>IF(HSTECH!$C$46="","",HSTECH!$C$46)</f>
        <v/>
      </c>
      <c r="C155" s="106">
        <f>IF(EE155="","",IF(ISNUMBER('Dvd Calendar'!$E$1548)=FALSE,"",IF((('Dvd Calendar'!$E$1550=TYPE1)*(TYPE1&lt;&gt;"")+('Dvd Calendar'!$E$1550=TYPE2)*(TYPE2&lt;&gt;"")+('Dvd Calendar'!$E$1550=TYPE3)*(TYPE3&lt;&gt;"")+('Dvd Calendar'!$E$1550=TYPE4)*(TYPE4&lt;&gt;"")+('Dvd Calendar'!$E$1550=SPECIAL_LBL)*(INC_SPECIALS="Y"))=0,"",'Dvd Calendar'!$E$1548)))</f>
        <v/>
      </c>
      <c r="D155" s="106">
        <f>IF(EF155="","",IF(ISNUMBER('Dvd Calendar'!$F$1548)=FALSE,"",IF((('Dvd Calendar'!$F$1550=TYPE1)*(TYPE1&lt;&gt;"")+('Dvd Calendar'!$F$1550=TYPE2)*(TYPE2&lt;&gt;"")+('Dvd Calendar'!$F$1550=TYPE3)*(TYPE3&lt;&gt;"")+('Dvd Calendar'!$F$1550=TYPE4)*(TYPE4&lt;&gt;"")+('Dvd Calendar'!$F$1550=SPECIAL_LBL)*(INC_SPECIALS="Y"))=0,"",'Dvd Calendar'!$F$1548)))</f>
        <v/>
      </c>
      <c r="E155" s="106">
        <f>IF(EG155="","",IF(ISNUMBER('Dvd Calendar'!$G$1548)=FALSE,"",IF((('Dvd Calendar'!$G$1550=TYPE1)*(TYPE1&lt;&gt;"")+('Dvd Calendar'!$G$1550=TYPE2)*(TYPE2&lt;&gt;"")+('Dvd Calendar'!$G$1550=TYPE3)*(TYPE3&lt;&gt;"")+('Dvd Calendar'!$G$1550=TYPE4)*(TYPE4&lt;&gt;"")+('Dvd Calendar'!$G$1550=SPECIAL_LBL)*(INC_SPECIALS="Y"))=0,"",'Dvd Calendar'!$G$1548)))</f>
        <v/>
      </c>
      <c r="F155" s="106">
        <f>IF(EH155="","",IF(ISNUMBER('Dvd Calendar'!$H$1548)=FALSE,"",IF((('Dvd Calendar'!$H$1550=TYPE1)*(TYPE1&lt;&gt;"")+('Dvd Calendar'!$H$1550=TYPE2)*(TYPE2&lt;&gt;"")+('Dvd Calendar'!$H$1550=TYPE3)*(TYPE3&lt;&gt;"")+('Dvd Calendar'!$H$1550=TYPE4)*(TYPE4&lt;&gt;"")+('Dvd Calendar'!$H$1550=SPECIAL_LBL)*(INC_SPECIALS="Y"))=0,"",'Dvd Calendar'!$H$1548)))</f>
        <v/>
      </c>
      <c r="G155" s="106">
        <f>IF(EI155="","",IF(ISNUMBER('Dvd Calendar'!$I$1548)=FALSE,"",IF((('Dvd Calendar'!$I$1550=TYPE1)*(TYPE1&lt;&gt;"")+('Dvd Calendar'!$I$1550=TYPE2)*(TYPE2&lt;&gt;"")+('Dvd Calendar'!$I$1550=TYPE3)*(TYPE3&lt;&gt;"")+('Dvd Calendar'!$I$1550=TYPE4)*(TYPE4&lt;&gt;"")+('Dvd Calendar'!$I$1550=SPECIAL_LBL)*(INC_SPECIALS="Y"))=0,"",'Dvd Calendar'!$I$1548)))</f>
        <v/>
      </c>
      <c r="H155" s="106">
        <f>IF(EJ155="","",IF(ISNUMBER('Dvd Calendar'!$J$1548)=FALSE,"",IF((('Dvd Calendar'!$J$1550=TYPE1)*(TYPE1&lt;&gt;"")+('Dvd Calendar'!$J$1550=TYPE2)*(TYPE2&lt;&gt;"")+('Dvd Calendar'!$J$1550=TYPE3)*(TYPE3&lt;&gt;"")+('Dvd Calendar'!$J$1550=TYPE4)*(TYPE4&lt;&gt;"")+('Dvd Calendar'!$J$1550=SPECIAL_LBL)*(INC_SPECIALS="Y"))=0,"",'Dvd Calendar'!$J$1548)))</f>
        <v/>
      </c>
      <c r="I155" s="106">
        <f>IF(EK155="","",IF(ISNUMBER('Dvd Calendar'!$K$1548)=FALSE,"",IF((('Dvd Calendar'!$K$1550=TYPE1)*(TYPE1&lt;&gt;"")+('Dvd Calendar'!$K$1550=TYPE2)*(TYPE2&lt;&gt;"")+('Dvd Calendar'!$K$1550=TYPE3)*(TYPE3&lt;&gt;"")+('Dvd Calendar'!$K$1550=TYPE4)*(TYPE4&lt;&gt;"")+('Dvd Calendar'!$K$1550=SPECIAL_LBL)*(INC_SPECIALS="Y"))=0,"",'Dvd Calendar'!$K$1548)))</f>
        <v/>
      </c>
      <c r="J155" s="106">
        <f>IF(EL155="","",IF(ISNUMBER('Dvd Calendar'!$L$1548)=FALSE,"",IF((('Dvd Calendar'!$L$1550=TYPE1)*(TYPE1&lt;&gt;"")+('Dvd Calendar'!$L$1550=TYPE2)*(TYPE2&lt;&gt;"")+('Dvd Calendar'!$L$1550=TYPE3)*(TYPE3&lt;&gt;"")+('Dvd Calendar'!$L$1550=TYPE4)*(TYPE4&lt;&gt;"")+('Dvd Calendar'!$L$1550=SPECIAL_LBL)*(INC_SPECIALS="Y"))=0,"",'Dvd Calendar'!$L$1548)))</f>
        <v/>
      </c>
      <c r="K155" s="106">
        <f>IF(EM155="","",IF(ISNUMBER('Dvd Calendar'!$M$1548)=FALSE,"",IF((('Dvd Calendar'!$M$1550=TYPE1)*(TYPE1&lt;&gt;"")+('Dvd Calendar'!$M$1550=TYPE2)*(TYPE2&lt;&gt;"")+('Dvd Calendar'!$M$1550=TYPE3)*(TYPE3&lt;&gt;"")+('Dvd Calendar'!$M$1550=TYPE4)*(TYPE4&lt;&gt;"")+('Dvd Calendar'!$M$1550=SPECIAL_LBL)*(INC_SPECIALS="Y"))=0,"",'Dvd Calendar'!$M$1548)))</f>
        <v/>
      </c>
      <c r="L155" s="106">
        <f>IF(EN155="","",IF(ISNUMBER('Dvd Calendar'!$N$1548)=FALSE,"",IF((('Dvd Calendar'!$N$1550=TYPE1)*(TYPE1&lt;&gt;"")+('Dvd Calendar'!$N$1550=TYPE2)*(TYPE2&lt;&gt;"")+('Dvd Calendar'!$N$1550=TYPE3)*(TYPE3&lt;&gt;"")+('Dvd Calendar'!$N$1550=TYPE4)*(TYPE4&lt;&gt;"")+('Dvd Calendar'!$N$1550=SPECIAL_LBL)*(INC_SPECIALS="Y"))=0,"",'Dvd Calendar'!$N$1548)))</f>
        <v/>
      </c>
      <c r="M155" s="106">
        <f>IF(EO155="","",IF(ISNUMBER('Dvd Calendar'!$O$1548)=FALSE,"",IF((('Dvd Calendar'!$O$1550=TYPE1)*(TYPE1&lt;&gt;"")+('Dvd Calendar'!$O$1550=TYPE2)*(TYPE2&lt;&gt;"")+('Dvd Calendar'!$O$1550=TYPE3)*(TYPE3&lt;&gt;"")+('Dvd Calendar'!$O$1550=TYPE4)*(TYPE4&lt;&gt;"")+('Dvd Calendar'!$O$1550=SPECIAL_LBL)*(INC_SPECIALS="Y"))=0,"",'Dvd Calendar'!$O$1548)))</f>
        <v/>
      </c>
      <c r="N155" s="106">
        <f>IF(EP155="","",IF(ISNUMBER('Dvd Calendar'!$P$1548)=FALSE,"",IF((('Dvd Calendar'!$P$1550=TYPE1)*(TYPE1&lt;&gt;"")+('Dvd Calendar'!$P$1550=TYPE2)*(TYPE2&lt;&gt;"")+('Dvd Calendar'!$P$1550=TYPE3)*(TYPE3&lt;&gt;"")+('Dvd Calendar'!$P$1550=TYPE4)*(TYPE4&lt;&gt;"")+('Dvd Calendar'!$P$1550=SPECIAL_LBL)*(INC_SPECIALS="Y"))=0,"",'Dvd Calendar'!$P$1548)))</f>
        <v/>
      </c>
      <c r="O155" s="106">
        <f>IF(EQ155="","",IF(ISNUMBER('Dvd Calendar'!$Q$1548)=FALSE,"",IF((('Dvd Calendar'!$Q$1550=TYPE1)*(TYPE1&lt;&gt;"")+('Dvd Calendar'!$Q$1550=TYPE2)*(TYPE2&lt;&gt;"")+('Dvd Calendar'!$Q$1550=TYPE3)*(TYPE3&lt;&gt;"")+('Dvd Calendar'!$Q$1550=TYPE4)*(TYPE4&lt;&gt;"")+('Dvd Calendar'!$Q$1550=SPECIAL_LBL)*(INC_SPECIALS="Y"))=0,"",'Dvd Calendar'!$Q$1548)))</f>
        <v/>
      </c>
      <c r="P155" s="106">
        <f>IF(ER155="","",IF(ISNUMBER('Dvd Calendar'!$R$1548)=FALSE,"",IF((('Dvd Calendar'!$R$1550=TYPE1)*(TYPE1&lt;&gt;"")+('Dvd Calendar'!$R$1550=TYPE2)*(TYPE2&lt;&gt;"")+('Dvd Calendar'!$R$1550=TYPE3)*(TYPE3&lt;&gt;"")+('Dvd Calendar'!$R$1550=TYPE4)*(TYPE4&lt;&gt;"")+('Dvd Calendar'!$R$1550=SPECIAL_LBL)*(INC_SPECIALS="Y"))=0,"",'Dvd Calendar'!$R$1548)))</f>
        <v/>
      </c>
      <c r="Q155" s="106">
        <f>IF(ES155="","",IF(ISNUMBER('Dvd Calendar'!$S$1548)=FALSE,"",IF((('Dvd Calendar'!$S$1550=TYPE1)*(TYPE1&lt;&gt;"")+('Dvd Calendar'!$S$1550=TYPE2)*(TYPE2&lt;&gt;"")+('Dvd Calendar'!$S$1550=TYPE3)*(TYPE3&lt;&gt;"")+('Dvd Calendar'!$S$1550=TYPE4)*(TYPE4&lt;&gt;"")+('Dvd Calendar'!$S$1550=SPECIAL_LBL)*(INC_SPECIALS="Y"))=0,"",'Dvd Calendar'!$S$1548)))</f>
        <v/>
      </c>
      <c r="R155" s="106">
        <f>IF(ET155="","",IF(ISNUMBER('Dvd Calendar'!$T$1548)=FALSE,"",IF((('Dvd Calendar'!$T$1550=TYPE1)*(TYPE1&lt;&gt;"")+('Dvd Calendar'!$T$1550=TYPE2)*(TYPE2&lt;&gt;"")+('Dvd Calendar'!$T$1550=TYPE3)*(TYPE3&lt;&gt;"")+('Dvd Calendar'!$T$1550=TYPE4)*(TYPE4&lt;&gt;"")+('Dvd Calendar'!$T$1550=SPECIAL_LBL)*(INC_SPECIALS="Y"))=0,"",'Dvd Calendar'!$T$1548)))</f>
        <v/>
      </c>
      <c r="S155" s="106">
        <f>IF(EU155="","",IF(ISNUMBER('Dvd Calendar'!$U$1548)=FALSE,"",IF((('Dvd Calendar'!$U$1550=TYPE1)*(TYPE1&lt;&gt;"")+('Dvd Calendar'!$U$1550=TYPE2)*(TYPE2&lt;&gt;"")+('Dvd Calendar'!$U$1550=TYPE3)*(TYPE3&lt;&gt;"")+('Dvd Calendar'!$U$1550=TYPE4)*(TYPE4&lt;&gt;"")+('Dvd Calendar'!$U$1550=SPECIAL_LBL)*(INC_SPECIALS="Y"))=0,"",'Dvd Calendar'!$U$1548)))</f>
        <v/>
      </c>
      <c r="T155" s="106">
        <f>IF(EV155="","",IF(ISNUMBER('Dvd Calendar'!$V$1548)=FALSE,"",IF((('Dvd Calendar'!$V$1550=TYPE1)*(TYPE1&lt;&gt;"")+('Dvd Calendar'!$V$1550=TYPE2)*(TYPE2&lt;&gt;"")+('Dvd Calendar'!$V$1550=TYPE3)*(TYPE3&lt;&gt;"")+('Dvd Calendar'!$V$1550=TYPE4)*(TYPE4&lt;&gt;"")+('Dvd Calendar'!$V$1550=SPECIAL_LBL)*(INC_SPECIALS="Y"))=0,"",'Dvd Calendar'!$V$1548)))</f>
        <v/>
      </c>
      <c r="U155" s="106">
        <f>IF(EW155="","",IF(ISNUMBER('Dvd Calendar'!$W$1548)=FALSE,"",IF((('Dvd Calendar'!$W$1550=TYPE1)*(TYPE1&lt;&gt;"")+('Dvd Calendar'!$W$1550=TYPE2)*(TYPE2&lt;&gt;"")+('Dvd Calendar'!$W$1550=TYPE3)*(TYPE3&lt;&gt;"")+('Dvd Calendar'!$W$1550=TYPE4)*(TYPE4&lt;&gt;"")+('Dvd Calendar'!$W$1550=SPECIAL_LBL)*(INC_SPECIALS="Y"))=0,"",'Dvd Calendar'!$W$1548)))</f>
        <v/>
      </c>
      <c r="V155" s="106">
        <f>IF(EX155="","",IF(ISNUMBER('Dvd Calendar'!$X$1548)=FALSE,"",IF((('Dvd Calendar'!$X$1550=TYPE1)*(TYPE1&lt;&gt;"")+('Dvd Calendar'!$X$1550=TYPE2)*(TYPE2&lt;&gt;"")+('Dvd Calendar'!$X$1550=TYPE3)*(TYPE3&lt;&gt;"")+('Dvd Calendar'!$X$1550=TYPE4)*(TYPE4&lt;&gt;"")+('Dvd Calendar'!$X$1550=SPECIAL_LBL)*(INC_SPECIALS="Y"))=0,"",'Dvd Calendar'!$X$1548)))</f>
        <v/>
      </c>
      <c r="W155" s="106">
        <f>IF(EY155="","",IF(ISNUMBER('Dvd Calendar'!$Y$1548)=FALSE,"",IF((('Dvd Calendar'!$Y$1550=TYPE1)*(TYPE1&lt;&gt;"")+('Dvd Calendar'!$Y$1550=TYPE2)*(TYPE2&lt;&gt;"")+('Dvd Calendar'!$Y$1550=TYPE3)*(TYPE3&lt;&gt;"")+('Dvd Calendar'!$Y$1550=TYPE4)*(TYPE4&lt;&gt;"")+('Dvd Calendar'!$Y$1550=SPECIAL_LBL)*(INC_SPECIALS="Y"))=0,"",'Dvd Calendar'!$Y$1548)))</f>
        <v/>
      </c>
      <c r="X155" s="106">
        <f>IF(EZ155="","",IF(ISNUMBER('Dvd Calendar'!$Z$1548)=FALSE,"",IF((('Dvd Calendar'!$Z$1550=TYPE1)*(TYPE1&lt;&gt;"")+('Dvd Calendar'!$Z$1550=TYPE2)*(TYPE2&lt;&gt;"")+('Dvd Calendar'!$Z$1550=TYPE3)*(TYPE3&lt;&gt;"")+('Dvd Calendar'!$Z$1550=TYPE4)*(TYPE4&lt;&gt;"")+('Dvd Calendar'!$Z$1550=SPECIAL_LBL)*(INC_SPECIALS="Y"))=0,"",'Dvd Calendar'!$Z$1548)))</f>
        <v/>
      </c>
      <c r="Y155" s="106">
        <f>IF(FA155="","",IF(ISNUMBER('Dvd Calendar'!$AA$1548)=FALSE,"",IF((('Dvd Calendar'!$AA$1550=TYPE1)*(TYPE1&lt;&gt;"")+('Dvd Calendar'!$AA$1550=TYPE2)*(TYPE2&lt;&gt;"")+('Dvd Calendar'!$AA$1550=TYPE3)*(TYPE3&lt;&gt;"")+('Dvd Calendar'!$AA$1550=TYPE4)*(TYPE4&lt;&gt;"")+('Dvd Calendar'!$AA$1550=SPECIAL_LBL)*(INC_SPECIALS="Y"))=0,"",'Dvd Calendar'!$AA$1548)))</f>
        <v/>
      </c>
      <c r="Z155" s="106">
        <f>IF(FB155="","",IF(ISNUMBER('Dvd Calendar'!$AB$1548)=FALSE,"",IF((('Dvd Calendar'!$AB$1550=TYPE1)*(TYPE1&lt;&gt;"")+('Dvd Calendar'!$AB$1550=TYPE2)*(TYPE2&lt;&gt;"")+('Dvd Calendar'!$AB$1550=TYPE3)*(TYPE3&lt;&gt;"")+('Dvd Calendar'!$AB$1550=TYPE4)*(TYPE4&lt;&gt;"")+('Dvd Calendar'!$AB$1550=SPECIAL_LBL)*(INC_SPECIALS="Y"))=0,"",'Dvd Calendar'!$AB$1548)))</f>
        <v/>
      </c>
      <c r="AA155" s="106">
        <f>IF(FC155="","",IF(ISNUMBER('Dvd Calendar'!$AC$1548)=FALSE,"",IF((('Dvd Calendar'!$AC$1550=TYPE1)*(TYPE1&lt;&gt;"")+('Dvd Calendar'!$AC$1550=TYPE2)*(TYPE2&lt;&gt;"")+('Dvd Calendar'!$AC$1550=TYPE3)*(TYPE3&lt;&gt;"")+('Dvd Calendar'!$AC$1550=TYPE4)*(TYPE4&lt;&gt;"")+('Dvd Calendar'!$AC$1550=SPECIAL_LBL)*(INC_SPECIALS="Y"))=0,"",'Dvd Calendar'!$AC$1548)))</f>
        <v/>
      </c>
      <c r="AB155" s="106">
        <f>IF(FD155="","",IF(ISNUMBER('Dvd Calendar'!$AD$1548)=FALSE,"",IF((('Dvd Calendar'!$AD$1550=TYPE1)*(TYPE1&lt;&gt;"")+('Dvd Calendar'!$AD$1550=TYPE2)*(TYPE2&lt;&gt;"")+('Dvd Calendar'!$AD$1550=TYPE3)*(TYPE3&lt;&gt;"")+('Dvd Calendar'!$AD$1550=TYPE4)*(TYPE4&lt;&gt;"")+('Dvd Calendar'!$AD$1550=SPECIAL_LBL)*(INC_SPECIALS="Y"))=0,"",'Dvd Calendar'!$AD$1548)))</f>
        <v/>
      </c>
      <c r="AC155" s="106">
        <f>IF(FE155="","",IF(ISNUMBER('Dvd Calendar'!$AE$1548)=FALSE,"",IF((('Dvd Calendar'!$AE$1550=TYPE1)*(TYPE1&lt;&gt;"")+('Dvd Calendar'!$AE$1550=TYPE2)*(TYPE2&lt;&gt;"")+('Dvd Calendar'!$AE$1550=TYPE3)*(TYPE3&lt;&gt;"")+('Dvd Calendar'!$AE$1550=TYPE4)*(TYPE4&lt;&gt;"")+('Dvd Calendar'!$AE$1550=SPECIAL_LBL)*(INC_SPECIALS="Y"))=0,"",'Dvd Calendar'!$AE$1548)))</f>
        <v/>
      </c>
      <c r="AD155" s="106">
        <f>IF(FF155="","",IF(ISNUMBER('Dvd Calendar'!$AF$1548)=FALSE,"",IF((('Dvd Calendar'!$AF$1550=TYPE1)*(TYPE1&lt;&gt;"")+('Dvd Calendar'!$AF$1550=TYPE2)*(TYPE2&lt;&gt;"")+('Dvd Calendar'!$AF$1550=TYPE3)*(TYPE3&lt;&gt;"")+('Dvd Calendar'!$AF$1550=TYPE4)*(TYPE4&lt;&gt;"")+('Dvd Calendar'!$AF$1550=SPECIAL_LBL)*(INC_SPECIALS="Y"))=0,"",'Dvd Calendar'!$AF$1548)))</f>
        <v/>
      </c>
      <c r="AE155" s="106">
        <f>IF(FG155="","",IF(ISNUMBER('Dvd Calendar'!$AG$1548)=FALSE,"",IF((('Dvd Calendar'!$AG$1550=TYPE1)*(TYPE1&lt;&gt;"")+('Dvd Calendar'!$AG$1550=TYPE2)*(TYPE2&lt;&gt;"")+('Dvd Calendar'!$AG$1550=TYPE3)*(TYPE3&lt;&gt;"")+('Dvd Calendar'!$AG$1550=TYPE4)*(TYPE4&lt;&gt;"")+('Dvd Calendar'!$AG$1550=SPECIAL_LBL)*(INC_SPECIALS="Y"))=0,"",'Dvd Calendar'!$AG$1548)))</f>
        <v/>
      </c>
      <c r="AF155" s="106">
        <f>IF(FH155="","",IF(ISNUMBER('Dvd Calendar'!$AH$1548)=FALSE,"",IF((('Dvd Calendar'!$AH$1550=TYPE1)*(TYPE1&lt;&gt;"")+('Dvd Calendar'!$AH$1550=TYPE2)*(TYPE2&lt;&gt;"")+('Dvd Calendar'!$AH$1550=TYPE3)*(TYPE3&lt;&gt;"")+('Dvd Calendar'!$AH$1550=TYPE4)*(TYPE4&lt;&gt;"")+('Dvd Calendar'!$AH$1550=SPECIAL_LBL)*(INC_SPECIALS="Y"))=0,"",'Dvd Calendar'!$AH$1548)))</f>
        <v/>
      </c>
      <c r="AG155" s="106">
        <f>IF(FI155="","",IF(ISNUMBER('Dvd Calendar'!$AI$1548)=FALSE,"",IF((('Dvd Calendar'!$AI$1550=TYPE1)*(TYPE1&lt;&gt;"")+('Dvd Calendar'!$AI$1550=TYPE2)*(TYPE2&lt;&gt;"")+('Dvd Calendar'!$AI$1550=TYPE3)*(TYPE3&lt;&gt;"")+('Dvd Calendar'!$AI$1550=TYPE4)*(TYPE4&lt;&gt;"")+('Dvd Calendar'!$AI$1550=SPECIAL_LBL)*(INC_SPECIALS="Y"))=0,"",'Dvd Calendar'!$AI$1548)))</f>
        <v/>
      </c>
      <c r="AH155" s="106">
        <f>IF(FJ155="","",IF(ISNUMBER('Dvd Calendar'!$AJ$1548)=FALSE,"",IF((('Dvd Calendar'!$AJ$1550=TYPE1)*(TYPE1&lt;&gt;"")+('Dvd Calendar'!$AJ$1550=TYPE2)*(TYPE2&lt;&gt;"")+('Dvd Calendar'!$AJ$1550=TYPE3)*(TYPE3&lt;&gt;"")+('Dvd Calendar'!$AJ$1550=TYPE4)*(TYPE4&lt;&gt;"")+('Dvd Calendar'!$AJ$1550=SPECIAL_LBL)*(INC_SPECIALS="Y"))=0,"",'Dvd Calendar'!$AJ$1548)))</f>
        <v/>
      </c>
      <c r="AI155" s="106">
        <f>IF(FK155="","",IF(ISNUMBER('Dvd Calendar'!$AK$1548)=FALSE,"",IF((('Dvd Calendar'!$AK$1550=TYPE1)*(TYPE1&lt;&gt;"")+('Dvd Calendar'!$AK$1550=TYPE2)*(TYPE2&lt;&gt;"")+('Dvd Calendar'!$AK$1550=TYPE3)*(TYPE3&lt;&gt;"")+('Dvd Calendar'!$AK$1550=TYPE4)*(TYPE4&lt;&gt;"")+('Dvd Calendar'!$AK$1550=SPECIAL_LBL)*(INC_SPECIALS="Y"))=0,"",'Dvd Calendar'!$AK$1548)))</f>
        <v/>
      </c>
      <c r="AJ155" s="106">
        <f>IF(FL155="","",IF(ISNUMBER('Dvd Calendar'!$AL$1548)=FALSE,"",IF((('Dvd Calendar'!$AL$1550=TYPE1)*(TYPE1&lt;&gt;"")+('Dvd Calendar'!$AL$1550=TYPE2)*(TYPE2&lt;&gt;"")+('Dvd Calendar'!$AL$1550=TYPE3)*(TYPE3&lt;&gt;"")+('Dvd Calendar'!$AL$1550=TYPE4)*(TYPE4&lt;&gt;"")+('Dvd Calendar'!$AL$1550=SPECIAL_LBL)*(INC_SPECIALS="Y"))=0,"",'Dvd Calendar'!$AL$1548)))</f>
        <v/>
      </c>
      <c r="AK155" s="106">
        <f>IF(FM155="","",IF(ISNUMBER('Dvd Calendar'!$AM$1548)=FALSE,"",IF((('Dvd Calendar'!$AM$1550=TYPE1)*(TYPE1&lt;&gt;"")+('Dvd Calendar'!$AM$1550=TYPE2)*(TYPE2&lt;&gt;"")+('Dvd Calendar'!$AM$1550=TYPE3)*(TYPE3&lt;&gt;"")+('Dvd Calendar'!$AM$1550=TYPE4)*(TYPE4&lt;&gt;"")+('Dvd Calendar'!$AM$1550=SPECIAL_LBL)*(INC_SPECIALS="Y"))=0,"",'Dvd Calendar'!$AM$1548)))</f>
        <v/>
      </c>
      <c r="AL155" s="106">
        <f>IF(FN155="","",IF(ISNUMBER('Dvd Calendar'!$AN$1548)=FALSE,"",IF((('Dvd Calendar'!$AN$1550=TYPE1)*(TYPE1&lt;&gt;"")+('Dvd Calendar'!$AN$1550=TYPE2)*(TYPE2&lt;&gt;"")+('Dvd Calendar'!$AN$1550=TYPE3)*(TYPE3&lt;&gt;"")+('Dvd Calendar'!$AN$1550=TYPE4)*(TYPE4&lt;&gt;"")+('Dvd Calendar'!$AN$1550=SPECIAL_LBL)*(INC_SPECIALS="Y"))=0,"",'Dvd Calendar'!$AN$1548)))</f>
        <v/>
      </c>
      <c r="AM155" s="106">
        <f>IF(FO155="","",IF(ISNUMBER('Dvd Calendar'!$AO$1548)=FALSE,"",IF((('Dvd Calendar'!$AO$1550=TYPE1)*(TYPE1&lt;&gt;"")+('Dvd Calendar'!$AO$1550=TYPE2)*(TYPE2&lt;&gt;"")+('Dvd Calendar'!$AO$1550=TYPE3)*(TYPE3&lt;&gt;"")+('Dvd Calendar'!$AO$1550=TYPE4)*(TYPE4&lt;&gt;"")+('Dvd Calendar'!$AO$1550=SPECIAL_LBL)*(INC_SPECIALS="Y"))=0,"",'Dvd Calendar'!$AO$1548)))</f>
        <v/>
      </c>
      <c r="AN155" s="106">
        <f>IF(FP155="","",IF(ISNUMBER('Dvd Calendar'!$AP$1548)=FALSE,"",IF((('Dvd Calendar'!$AP$1550=TYPE1)*(TYPE1&lt;&gt;"")+('Dvd Calendar'!$AP$1550=TYPE2)*(TYPE2&lt;&gt;"")+('Dvd Calendar'!$AP$1550=TYPE3)*(TYPE3&lt;&gt;"")+('Dvd Calendar'!$AP$1550=TYPE4)*(TYPE4&lt;&gt;"")+('Dvd Calendar'!$AP$1550=SPECIAL_LBL)*(INC_SPECIALS="Y"))=0,"",'Dvd Calendar'!$AP$1548)))</f>
        <v/>
      </c>
      <c r="AO155" s="106">
        <f>IF(FQ155="","",IF(ISNUMBER('Dvd Calendar'!$AQ$1548)=FALSE,"",IF((('Dvd Calendar'!$AQ$1550=TYPE1)*(TYPE1&lt;&gt;"")+('Dvd Calendar'!$AQ$1550=TYPE2)*(TYPE2&lt;&gt;"")+('Dvd Calendar'!$AQ$1550=TYPE3)*(TYPE3&lt;&gt;"")+('Dvd Calendar'!$AQ$1550=TYPE4)*(TYPE4&lt;&gt;"")+('Dvd Calendar'!$AQ$1550=SPECIAL_LBL)*(INC_SPECIALS="Y"))=0,"",'Dvd Calendar'!$AQ$1548)))</f>
        <v/>
      </c>
      <c r="AP155" s="106">
        <f>IF(FR155="","",IF(ISNUMBER('Dvd Calendar'!$AR$1548)=FALSE,"",IF((('Dvd Calendar'!$AR$1550=TYPE1)*(TYPE1&lt;&gt;"")+('Dvd Calendar'!$AR$1550=TYPE2)*(TYPE2&lt;&gt;"")+('Dvd Calendar'!$AR$1550=TYPE3)*(TYPE3&lt;&gt;"")+('Dvd Calendar'!$AR$1550=TYPE4)*(TYPE4&lt;&gt;"")+('Dvd Calendar'!$AR$1550=SPECIAL_LBL)*(INC_SPECIALS="Y"))=0,"",'Dvd Calendar'!$AR$1548)))</f>
        <v/>
      </c>
      <c r="AQ155" s="106">
        <f>IF(FS155="","",IF(ISNUMBER('Dvd Calendar'!$E$1553)=FALSE,"",'Dvd Calendar'!$E$1553))</f>
        <v/>
      </c>
      <c r="AR155" s="106">
        <f>IF(FT155="","",IF(ISNUMBER('Dvd Calendar'!$F$1553)=FALSE,"",'Dvd Calendar'!$F$1553))</f>
        <v/>
      </c>
      <c r="AS155" s="106">
        <f>IF(FU155="","",IF(ISNUMBER('Dvd Calendar'!$G$1553)=FALSE,"",'Dvd Calendar'!$G$1553))</f>
        <v/>
      </c>
      <c r="AT155" s="106">
        <f>IF(FV155="","",IF(ISNUMBER('Dvd Calendar'!$H$1553)=FALSE,"",'Dvd Calendar'!$H$1553))</f>
        <v/>
      </c>
      <c r="AU155" s="106">
        <f>IF(FW155="","",IF(ISNUMBER('Dvd Calendar'!$I$1553)=FALSE,"",'Dvd Calendar'!$I$1553))</f>
        <v/>
      </c>
      <c r="AV155" s="106">
        <f>IF(FX155="","",IF(ISNUMBER('Dvd Calendar'!$J$1553)=FALSE,"",'Dvd Calendar'!$J$1553))</f>
        <v/>
      </c>
      <c r="AW155" s="106">
        <f>IF(FY155="","",IF(ISNUMBER('Dvd Calendar'!$K$1553)=FALSE,"",'Dvd Calendar'!$K$1553))</f>
        <v/>
      </c>
      <c r="AX155" s="106">
        <f>IF(FZ155="","",IF(ISNUMBER('Dvd Calendar'!$L$1553)=FALSE,"",'Dvd Calendar'!$L$1553))</f>
        <v/>
      </c>
      <c r="AY155" s="106">
        <f>IF(GA155="","",IF(ISNUMBER('Dvd Calendar'!$M$1553)=FALSE,"",'Dvd Calendar'!$M$1553))</f>
        <v/>
      </c>
      <c r="AZ155" s="106">
        <f>IF(GB155="","",IF(ISNUMBER('Dvd Calendar'!$N$1553)=FALSE,"",'Dvd Calendar'!$N$1553))</f>
        <v/>
      </c>
      <c r="BA155" s="106">
        <f>IF(GC155="","",IF(ISNUMBER('Dvd Calendar'!$O$1553)=FALSE,"",'Dvd Calendar'!$O$1553))</f>
        <v/>
      </c>
      <c r="BB155" s="106">
        <f>IF(GD155="","",IF(ISNUMBER('Dvd Calendar'!$P$1553)=FALSE,"",'Dvd Calendar'!$P$1553))</f>
        <v/>
      </c>
      <c r="BC155" s="106">
        <f>IF(GE155="","",IF(ISNUMBER('Dvd Calendar'!$Q$1553)=FALSE,"",'Dvd Calendar'!$Q$1553))</f>
        <v/>
      </c>
      <c r="BD155" s="106">
        <f>IF(GF155="","",IF(ISNUMBER('Dvd Calendar'!$R$1553)=FALSE,"",'Dvd Calendar'!$R$1553))</f>
        <v/>
      </c>
      <c r="BE155" s="106">
        <f>IF(GG155="","",IF(ISNUMBER('Dvd Calendar'!$S$1553)=FALSE,"",'Dvd Calendar'!$S$1553))</f>
        <v/>
      </c>
      <c r="BF155" s="106">
        <f>IF(GH155="","",IF(ISNUMBER('Dvd Calendar'!$T$1553)=FALSE,"",'Dvd Calendar'!$T$1553))</f>
        <v/>
      </c>
      <c r="BG155" s="106">
        <f>IF(GI155="","",IF(ISNUMBER('Dvd Calendar'!$U$1553)=FALSE,"",'Dvd Calendar'!$U$1553))</f>
        <v/>
      </c>
      <c r="BH155" s="106">
        <f>IF(GJ155="","",IF(ISNUMBER('Dvd Calendar'!$V$1553)=FALSE,"",'Dvd Calendar'!$V$1553))</f>
        <v/>
      </c>
      <c r="BI155" s="106">
        <f>IF(GK155="","",IF(ISNUMBER('Dvd Calendar'!$W$1553)=FALSE,"",'Dvd Calendar'!$W$1553))</f>
        <v/>
      </c>
      <c r="BJ155" s="106">
        <f>IF(GL155="","",IF(ISNUMBER('Dvd Calendar'!$X$1553)=FALSE,"",'Dvd Calendar'!$X$1553))</f>
        <v/>
      </c>
      <c r="BK155" s="106">
        <f>IF(GM155="","",IF(ISNUMBER('Dvd Calendar'!$Y$1553)=FALSE,"",'Dvd Calendar'!$Y$1553))</f>
        <v/>
      </c>
      <c r="BL155" s="106">
        <f>IF(GN155="","",IF(ISNUMBER('Dvd Calendar'!$Z$1553)=FALSE,"",'Dvd Calendar'!$Z$1553))</f>
        <v/>
      </c>
      <c r="BM155" s="106">
        <f>IF(GO155="","",IF(ISNUMBER('Dvd Calendar'!$AA$1553)=FALSE,"",'Dvd Calendar'!$AA$1553))</f>
        <v/>
      </c>
      <c r="BN155" s="106">
        <f>IF(GP155="","",IF(ISNUMBER('Dvd Calendar'!$AB$1553)=FALSE,"",'Dvd Calendar'!$AB$1553))</f>
        <v/>
      </c>
      <c r="BO155" s="106">
        <f>IF(GQ155="","",IF(ISNUMBER('Dvd Calendar'!$AC$1553)=FALSE,"",'Dvd Calendar'!$AC$1553))</f>
        <v/>
      </c>
      <c r="BQ155" s="106">
        <f>IF(C155="","",IFERROR(C155*HSTECH!$B$46*HSTECH!$G$46/HSTECH!$B$3,""))</f>
        <v/>
      </c>
      <c r="BR155" s="106">
        <f>IF(D155="","",IFERROR(D155*HSTECH!$B$46*HSTECH!$G$46/HSTECH!$B$3,""))</f>
        <v/>
      </c>
      <c r="BS155" s="106">
        <f>IF(E155="","",IFERROR(E155*HSTECH!$B$46*HSTECH!$G$46/HSTECH!$B$3,""))</f>
        <v/>
      </c>
      <c r="BT155" s="106">
        <f>IF(F155="","",IFERROR(F155*HSTECH!$B$46*HSTECH!$G$46/HSTECH!$B$3,""))</f>
        <v/>
      </c>
      <c r="BU155" s="106">
        <f>IF(G155="","",IFERROR(G155*HSTECH!$B$46*HSTECH!$G$46/HSTECH!$B$3,""))</f>
        <v/>
      </c>
      <c r="BV155" s="106">
        <f>IF(H155="","",IFERROR(H155*HSTECH!$B$46*HSTECH!$G$46/HSTECH!$B$3,""))</f>
        <v/>
      </c>
      <c r="BW155" s="106">
        <f>IF(I155="","",IFERROR(I155*HSTECH!$B$46*HSTECH!$G$46/HSTECH!$B$3,""))</f>
        <v/>
      </c>
      <c r="BX155" s="106">
        <f>IF(J155="","",IFERROR(J155*HSTECH!$B$46*HSTECH!$G$46/HSTECH!$B$3,""))</f>
        <v/>
      </c>
      <c r="BY155" s="106">
        <f>IF(K155="","",IFERROR(K155*HSTECH!$B$46*HSTECH!$G$46/HSTECH!$B$3,""))</f>
        <v/>
      </c>
      <c r="BZ155" s="106">
        <f>IF(L155="","",IFERROR(L155*HSTECH!$B$46*HSTECH!$G$46/HSTECH!$B$3,""))</f>
        <v/>
      </c>
      <c r="CA155" s="106">
        <f>IF(M155="","",IFERROR(M155*HSTECH!$B$46*HSTECH!$G$46/HSTECH!$B$3,""))</f>
        <v/>
      </c>
      <c r="CB155" s="106">
        <f>IF(N155="","",IFERROR(N155*HSTECH!$B$46*HSTECH!$G$46/HSTECH!$B$3,""))</f>
        <v/>
      </c>
      <c r="CC155" s="106">
        <f>IF(O155="","",IFERROR(O155*HSTECH!$B$46*HSTECH!$G$46/HSTECH!$B$3,""))</f>
        <v/>
      </c>
      <c r="CD155" s="106">
        <f>IF(P155="","",IFERROR(P155*HSTECH!$B$46*HSTECH!$G$46/HSTECH!$B$3,""))</f>
        <v/>
      </c>
      <c r="CE155" s="106">
        <f>IF(Q155="","",IFERROR(Q155*HSTECH!$B$46*HSTECH!$G$46/HSTECH!$B$3,""))</f>
        <v/>
      </c>
      <c r="CF155" s="106">
        <f>IF(R155="","",IFERROR(R155*HSTECH!$B$46*HSTECH!$G$46/HSTECH!$B$3,""))</f>
        <v/>
      </c>
      <c r="CG155" s="106">
        <f>IF(S155="","",IFERROR(S155*HSTECH!$B$46*HSTECH!$G$46/HSTECH!$B$3,""))</f>
        <v/>
      </c>
      <c r="CH155" s="106">
        <f>IF(T155="","",IFERROR(T155*HSTECH!$B$46*HSTECH!$G$46/HSTECH!$B$3,""))</f>
        <v/>
      </c>
      <c r="CI155" s="106">
        <f>IF(U155="","",IFERROR(U155*HSTECH!$B$46*HSTECH!$G$46/HSTECH!$B$3,""))</f>
        <v/>
      </c>
      <c r="CJ155" s="106">
        <f>IF(V155="","",IFERROR(V155*HSTECH!$B$46*HSTECH!$G$46/HSTECH!$B$3,""))</f>
        <v/>
      </c>
      <c r="CK155" s="106">
        <f>IF(W155="","",IFERROR(W155*HSTECH!$B$46*HSTECH!$G$46/HSTECH!$B$3,""))</f>
        <v/>
      </c>
      <c r="CL155" s="106">
        <f>IF(X155="","",IFERROR(X155*HSTECH!$B$46*HSTECH!$G$46/HSTECH!$B$3,""))</f>
        <v/>
      </c>
      <c r="CM155" s="106">
        <f>IF(Y155="","",IFERROR(Y155*HSTECH!$B$46*HSTECH!$G$46/HSTECH!$B$3,""))</f>
        <v/>
      </c>
      <c r="CN155" s="106">
        <f>IF(Z155="","",IFERROR(Z155*HSTECH!$B$46*HSTECH!$G$46/HSTECH!$B$3,""))</f>
        <v/>
      </c>
      <c r="CO155" s="106">
        <f>IF(AA155="","",IFERROR(AA155*HSTECH!$B$46*HSTECH!$G$46/HSTECH!$B$3,""))</f>
        <v/>
      </c>
      <c r="CP155" s="106">
        <f>IF(AB155="","",IFERROR(AB155*HSTECH!$B$46*HSTECH!$G$46/HSTECH!$B$3,""))</f>
        <v/>
      </c>
      <c r="CQ155" s="106">
        <f>IF(AC155="","",IFERROR(AC155*HSTECH!$B$46*HSTECH!$G$46/HSTECH!$B$3,""))</f>
        <v/>
      </c>
      <c r="CR155" s="106">
        <f>IF(AD155="","",IFERROR(AD155*HSTECH!$B$46*HSTECH!$G$46/HSTECH!$B$3,""))</f>
        <v/>
      </c>
      <c r="CS155" s="106">
        <f>IF(AE155="","",IFERROR(AE155*HSTECH!$B$46*HSTECH!$G$46/HSTECH!$B$3,""))</f>
        <v/>
      </c>
      <c r="CT155" s="106">
        <f>IF(AF155="","",IFERROR(AF155*HSTECH!$B$46*HSTECH!$G$46/HSTECH!$B$3,""))</f>
        <v/>
      </c>
      <c r="CU155" s="106">
        <f>IF(AG155="","",IFERROR(AG155*HSTECH!$B$46*HSTECH!$G$46/HSTECH!$B$3,""))</f>
        <v/>
      </c>
      <c r="CV155" s="106">
        <f>IF(AH155="","",IFERROR(AH155*HSTECH!$B$46*HSTECH!$G$46/HSTECH!$B$3,""))</f>
        <v/>
      </c>
      <c r="CW155" s="106">
        <f>IF(AI155="","",IFERROR(AI155*HSTECH!$B$46*HSTECH!$G$46/HSTECH!$B$3,""))</f>
        <v/>
      </c>
      <c r="CX155" s="106">
        <f>IF(AJ155="","",IFERROR(AJ155*HSTECH!$B$46*HSTECH!$G$46/HSTECH!$B$3,""))</f>
        <v/>
      </c>
      <c r="CY155" s="106">
        <f>IF(AK155="","",IFERROR(AK155*HSTECH!$B$46*HSTECH!$G$46/HSTECH!$B$3,""))</f>
        <v/>
      </c>
      <c r="CZ155" s="106">
        <f>IF(AL155="","",IFERROR(AL155*HSTECH!$B$46*HSTECH!$G$46/HSTECH!$B$3,""))</f>
        <v/>
      </c>
      <c r="DA155" s="106">
        <f>IF(AM155="","",IFERROR(AM155*HSTECH!$B$46*HSTECH!$G$46/HSTECH!$B$3,""))</f>
        <v/>
      </c>
      <c r="DB155" s="106">
        <f>IF(AN155="","",IFERROR(AN155*HSTECH!$B$46*HSTECH!$G$46/HSTECH!$B$3,""))</f>
        <v/>
      </c>
      <c r="DC155" s="106">
        <f>IF(AO155="","",IFERROR(AO155*HSTECH!$B$46*HSTECH!$G$46/HSTECH!$B$3,""))</f>
        <v/>
      </c>
      <c r="DD155" s="106">
        <f>IF(AP155="","",IFERROR(AP155*HSTECH!$B$46*HSTECH!$G$46/HSTECH!$B$3,""))</f>
        <v/>
      </c>
      <c r="DE155" s="106">
        <f>IF(AQ155="","",IFERROR(AQ155*HSTECH!$B$46*HSTECH!$G$46/HSTECH!$B$3,""))</f>
        <v/>
      </c>
      <c r="DF155" s="106">
        <f>IF(AR155="","",IFERROR(AR155*HSTECH!$B$46*HSTECH!$G$46/HSTECH!$B$3,""))</f>
        <v/>
      </c>
      <c r="DG155" s="106">
        <f>IF(AS155="","",IFERROR(AS155*HSTECH!$B$46*HSTECH!$G$46/HSTECH!$B$3,""))</f>
        <v/>
      </c>
      <c r="DH155" s="106">
        <f>IF(AT155="","",IFERROR(AT155*HSTECH!$B$46*HSTECH!$G$46/HSTECH!$B$3,""))</f>
        <v/>
      </c>
      <c r="DI155" s="106">
        <f>IF(AU155="","",IFERROR(AU155*HSTECH!$B$46*HSTECH!$G$46/HSTECH!$B$3,""))</f>
        <v/>
      </c>
      <c r="DJ155" s="106">
        <f>IF(AV155="","",IFERROR(AV155*HSTECH!$B$46*HSTECH!$G$46/HSTECH!$B$3,""))</f>
        <v/>
      </c>
      <c r="DK155" s="106">
        <f>IF(AW155="","",IFERROR(AW155*HSTECH!$B$46*HSTECH!$G$46/HSTECH!$B$3,""))</f>
        <v/>
      </c>
      <c r="DL155" s="106">
        <f>IF(AX155="","",IFERROR(AX155*HSTECH!$B$46*HSTECH!$G$46/HSTECH!$B$3,""))</f>
        <v/>
      </c>
      <c r="DM155" s="106">
        <f>IF(AY155="","",IFERROR(AY155*HSTECH!$B$46*HSTECH!$G$46/HSTECH!$B$3,""))</f>
        <v/>
      </c>
      <c r="DN155" s="106">
        <f>IF(AZ155="","",IFERROR(AZ155*HSTECH!$B$46*HSTECH!$G$46/HSTECH!$B$3,""))</f>
        <v/>
      </c>
      <c r="DO155" s="106">
        <f>IF(BA155="","",IFERROR(BA155*HSTECH!$B$46*HSTECH!$G$46/HSTECH!$B$3,""))</f>
        <v/>
      </c>
      <c r="DP155" s="106">
        <f>IF(BB155="","",IFERROR(BB155*HSTECH!$B$46*HSTECH!$G$46/HSTECH!$B$3,""))</f>
        <v/>
      </c>
      <c r="DQ155" s="106">
        <f>IF(BC155="","",IFERROR(BC155*HSTECH!$B$46*HSTECH!$G$46/HSTECH!$B$3,""))</f>
        <v/>
      </c>
      <c r="DR155" s="106">
        <f>IF(BD155="","",IFERROR(BD155*HSTECH!$B$46*HSTECH!$G$46/HSTECH!$B$3,""))</f>
        <v/>
      </c>
      <c r="DS155" s="106">
        <f>IF(BE155="","",IFERROR(BE155*HSTECH!$B$46*HSTECH!$G$46/HSTECH!$B$3,""))</f>
        <v/>
      </c>
      <c r="DT155" s="106">
        <f>IF(BF155="","",IFERROR(BF155*HSTECH!$B$46*HSTECH!$G$46/HSTECH!$B$3,""))</f>
        <v/>
      </c>
      <c r="DU155" s="106">
        <f>IF(BG155="","",IFERROR(BG155*HSTECH!$B$46*HSTECH!$G$46/HSTECH!$B$3,""))</f>
        <v/>
      </c>
      <c r="DV155" s="106">
        <f>IF(BH155="","",IFERROR(BH155*HSTECH!$B$46*HSTECH!$G$46/HSTECH!$B$3,""))</f>
        <v/>
      </c>
      <c r="DW155" s="106">
        <f>IF(BI155="","",IFERROR(BI155*HSTECH!$B$46*HSTECH!$G$46/HSTECH!$B$3,""))</f>
        <v/>
      </c>
      <c r="DX155" s="106">
        <f>IF(BJ155="","",IFERROR(BJ155*HSTECH!$B$46*HSTECH!$G$46/HSTECH!$B$3,""))</f>
        <v/>
      </c>
      <c r="DY155" s="106">
        <f>IF(BK155="","",IFERROR(BK155*HSTECH!$B$46*HSTECH!$G$46/HSTECH!$B$3,""))</f>
        <v/>
      </c>
      <c r="DZ155" s="106">
        <f>IF(BL155="","",IFERROR(BL155*HSTECH!$B$46*HSTECH!$G$46/HSTECH!$B$3,""))</f>
        <v/>
      </c>
      <c r="EA155" s="106">
        <f>IF(BM155="","",IFERROR(BM155*HSTECH!$B$46*HSTECH!$G$46/HSTECH!$B$3,""))</f>
        <v/>
      </c>
      <c r="EB155" s="106">
        <f>IF(BN155="","",IFERROR(BN155*HSTECH!$B$46*HSTECH!$G$46/HSTECH!$B$3,""))</f>
        <v/>
      </c>
      <c r="EC155" s="106">
        <f>IF(BO155="","",IFERROR(BO155*HSTECH!$B$46*HSTECH!$G$46/HSTECH!$B$3,""))</f>
        <v/>
      </c>
      <c r="EE155" s="35">
        <f>IF(N('Dvd Calendar'!$E$1545)=0,"",IF(('Dvd Calendar'!$E$1545&gt;=GRID_FROM)*('Dvd Calendar'!$E$1545&lt;=GRID_TO)*('Dvd Calendar'!$E$1545&lt;=VAL_DATE)=0,"",'Dvd Calendar'!$E$1545*1000000000+ISNUMBER('Dvd Calendar'!$E$1548)*100000000+('Dvd Calendar'!$E$1550=SPECIAL_LBL)*10000000+0*1000000+40*1000+1))</f>
        <v/>
      </c>
      <c r="EF155" s="35">
        <f>IF(N('Dvd Calendar'!$F$1545)=0,"",IF(('Dvd Calendar'!$F$1545&gt;=GRID_FROM)*('Dvd Calendar'!$F$1545&lt;=GRID_TO)*('Dvd Calendar'!$F$1545&lt;=VAL_DATE)=0,"",'Dvd Calendar'!$F$1545*1000000000+ISNUMBER('Dvd Calendar'!$F$1548)*100000000+('Dvd Calendar'!$F$1550=SPECIAL_LBL)*10000000+0*1000000+40*1000+2))</f>
        <v/>
      </c>
      <c r="EG155" s="35">
        <f>IF(N('Dvd Calendar'!$G$1545)=0,"",IF(('Dvd Calendar'!$G$1545&gt;=GRID_FROM)*('Dvd Calendar'!$G$1545&lt;=GRID_TO)*('Dvd Calendar'!$G$1545&lt;=VAL_DATE)=0,"",'Dvd Calendar'!$G$1545*1000000000+ISNUMBER('Dvd Calendar'!$G$1548)*100000000+('Dvd Calendar'!$G$1550=SPECIAL_LBL)*10000000+0*1000000+40*1000+3))</f>
        <v/>
      </c>
      <c r="EH155" s="35">
        <f>IF(N('Dvd Calendar'!$H$1545)=0,"",IF(('Dvd Calendar'!$H$1545&gt;=GRID_FROM)*('Dvd Calendar'!$H$1545&lt;=GRID_TO)*('Dvd Calendar'!$H$1545&lt;=VAL_DATE)=0,"",'Dvd Calendar'!$H$1545*1000000000+ISNUMBER('Dvd Calendar'!$H$1548)*100000000+('Dvd Calendar'!$H$1550=SPECIAL_LBL)*10000000+0*1000000+40*1000+4))</f>
        <v/>
      </c>
      <c r="EI155" s="35">
        <f>IF(N('Dvd Calendar'!$I$1545)=0,"",IF(('Dvd Calendar'!$I$1545&gt;=GRID_FROM)*('Dvd Calendar'!$I$1545&lt;=GRID_TO)*('Dvd Calendar'!$I$1545&lt;=VAL_DATE)=0,"",'Dvd Calendar'!$I$1545*1000000000+ISNUMBER('Dvd Calendar'!$I$1548)*100000000+('Dvd Calendar'!$I$1550=SPECIAL_LBL)*10000000+0*1000000+40*1000+5))</f>
        <v/>
      </c>
      <c r="EJ155" s="35">
        <f>IF(N('Dvd Calendar'!$J$1545)=0,"",IF(('Dvd Calendar'!$J$1545&gt;=GRID_FROM)*('Dvd Calendar'!$J$1545&lt;=GRID_TO)*('Dvd Calendar'!$J$1545&lt;=VAL_DATE)=0,"",'Dvd Calendar'!$J$1545*1000000000+ISNUMBER('Dvd Calendar'!$J$1548)*100000000+('Dvd Calendar'!$J$1550=SPECIAL_LBL)*10000000+0*1000000+40*1000+6))</f>
        <v/>
      </c>
      <c r="EK155" s="35">
        <f>IF(N('Dvd Calendar'!$K$1545)=0,"",IF(('Dvd Calendar'!$K$1545&gt;=GRID_FROM)*('Dvd Calendar'!$K$1545&lt;=GRID_TO)*('Dvd Calendar'!$K$1545&lt;=VAL_DATE)=0,"",'Dvd Calendar'!$K$1545*1000000000+ISNUMBER('Dvd Calendar'!$K$1548)*100000000+('Dvd Calendar'!$K$1550=SPECIAL_LBL)*10000000+0*1000000+40*1000+7))</f>
        <v/>
      </c>
      <c r="EL155" s="35">
        <f>IF(N('Dvd Calendar'!$L$1545)=0,"",IF(('Dvd Calendar'!$L$1545&gt;=GRID_FROM)*('Dvd Calendar'!$L$1545&lt;=GRID_TO)*('Dvd Calendar'!$L$1545&lt;=VAL_DATE)=0,"",'Dvd Calendar'!$L$1545*1000000000+ISNUMBER('Dvd Calendar'!$L$1548)*100000000+('Dvd Calendar'!$L$1550=SPECIAL_LBL)*10000000+0*1000000+40*1000+8))</f>
        <v/>
      </c>
      <c r="EM155" s="35">
        <f>IF(N('Dvd Calendar'!$M$1545)=0,"",IF(('Dvd Calendar'!$M$1545&gt;=GRID_FROM)*('Dvd Calendar'!$M$1545&lt;=GRID_TO)*('Dvd Calendar'!$M$1545&lt;=VAL_DATE)=0,"",'Dvd Calendar'!$M$1545*1000000000+ISNUMBER('Dvd Calendar'!$M$1548)*100000000+('Dvd Calendar'!$M$1550=SPECIAL_LBL)*10000000+0*1000000+40*1000+9))</f>
        <v/>
      </c>
      <c r="EN155" s="35">
        <f>IF(N('Dvd Calendar'!$N$1545)=0,"",IF(('Dvd Calendar'!$N$1545&gt;=GRID_FROM)*('Dvd Calendar'!$N$1545&lt;=GRID_TO)*('Dvd Calendar'!$N$1545&lt;=VAL_DATE)=0,"",'Dvd Calendar'!$N$1545*1000000000+ISNUMBER('Dvd Calendar'!$N$1548)*100000000+('Dvd Calendar'!$N$1550=SPECIAL_LBL)*10000000+0*1000000+40*1000+10))</f>
        <v/>
      </c>
      <c r="EO155" s="35">
        <f>IF(N('Dvd Calendar'!$O$1545)=0,"",IF(('Dvd Calendar'!$O$1545&gt;=GRID_FROM)*('Dvd Calendar'!$O$1545&lt;=GRID_TO)*('Dvd Calendar'!$O$1545&lt;=VAL_DATE)=0,"",'Dvd Calendar'!$O$1545*1000000000+ISNUMBER('Dvd Calendar'!$O$1548)*100000000+('Dvd Calendar'!$O$1550=SPECIAL_LBL)*10000000+0*1000000+40*1000+11))</f>
        <v/>
      </c>
      <c r="EP155" s="35">
        <f>IF(N('Dvd Calendar'!$P$1545)=0,"",IF(('Dvd Calendar'!$P$1545&gt;=GRID_FROM)*('Dvd Calendar'!$P$1545&lt;=GRID_TO)*('Dvd Calendar'!$P$1545&lt;=VAL_DATE)=0,"",'Dvd Calendar'!$P$1545*1000000000+ISNUMBER('Dvd Calendar'!$P$1548)*100000000+('Dvd Calendar'!$P$1550=SPECIAL_LBL)*10000000+0*1000000+40*1000+12))</f>
        <v/>
      </c>
      <c r="EQ155" s="35">
        <f>IF(N('Dvd Calendar'!$Q$1545)=0,"",IF(('Dvd Calendar'!$Q$1545&gt;=GRID_FROM)*('Dvd Calendar'!$Q$1545&lt;=GRID_TO)*('Dvd Calendar'!$Q$1545&lt;=VAL_DATE)=0,"",'Dvd Calendar'!$Q$1545*1000000000+ISNUMBER('Dvd Calendar'!$Q$1548)*100000000+('Dvd Calendar'!$Q$1550=SPECIAL_LBL)*10000000+0*1000000+40*1000+13))</f>
        <v/>
      </c>
      <c r="ER155" s="35">
        <f>IF(N('Dvd Calendar'!$R$1545)=0,"",IF(('Dvd Calendar'!$R$1545&gt;=GRID_FROM)*('Dvd Calendar'!$R$1545&lt;=GRID_TO)*('Dvd Calendar'!$R$1545&lt;=VAL_DATE)=0,"",'Dvd Calendar'!$R$1545*1000000000+ISNUMBER('Dvd Calendar'!$R$1548)*100000000+('Dvd Calendar'!$R$1550=SPECIAL_LBL)*10000000+0*1000000+40*1000+14))</f>
        <v/>
      </c>
      <c r="ES155" s="35">
        <f>IF(N('Dvd Calendar'!$S$1545)=0,"",IF(('Dvd Calendar'!$S$1545&gt;=GRID_FROM)*('Dvd Calendar'!$S$1545&lt;=GRID_TO)*('Dvd Calendar'!$S$1545&lt;=VAL_DATE)=0,"",'Dvd Calendar'!$S$1545*1000000000+ISNUMBER('Dvd Calendar'!$S$1548)*100000000+('Dvd Calendar'!$S$1550=SPECIAL_LBL)*10000000+0*1000000+40*1000+15))</f>
        <v/>
      </c>
      <c r="ET155" s="35">
        <f>IF(N('Dvd Calendar'!$T$1545)=0,"",IF(('Dvd Calendar'!$T$1545&gt;=GRID_FROM)*('Dvd Calendar'!$T$1545&lt;=GRID_TO)*('Dvd Calendar'!$T$1545&lt;=VAL_DATE)=0,"",'Dvd Calendar'!$T$1545*1000000000+ISNUMBER('Dvd Calendar'!$T$1548)*100000000+('Dvd Calendar'!$T$1550=SPECIAL_LBL)*10000000+0*1000000+40*1000+16))</f>
        <v/>
      </c>
      <c r="EU155" s="35">
        <f>IF(N('Dvd Calendar'!$U$1545)=0,"",IF(('Dvd Calendar'!$U$1545&gt;=GRID_FROM)*('Dvd Calendar'!$U$1545&lt;=GRID_TO)*('Dvd Calendar'!$U$1545&lt;=VAL_DATE)=0,"",'Dvd Calendar'!$U$1545*1000000000+ISNUMBER('Dvd Calendar'!$U$1548)*100000000+('Dvd Calendar'!$U$1550=SPECIAL_LBL)*10000000+0*1000000+40*1000+17))</f>
        <v/>
      </c>
      <c r="EV155" s="35">
        <f>IF(N('Dvd Calendar'!$V$1545)=0,"",IF(('Dvd Calendar'!$V$1545&gt;=GRID_FROM)*('Dvd Calendar'!$V$1545&lt;=GRID_TO)*('Dvd Calendar'!$V$1545&lt;=VAL_DATE)=0,"",'Dvd Calendar'!$V$1545*1000000000+ISNUMBER('Dvd Calendar'!$V$1548)*100000000+('Dvd Calendar'!$V$1550=SPECIAL_LBL)*10000000+0*1000000+40*1000+18))</f>
        <v/>
      </c>
      <c r="EW155" s="35">
        <f>IF(N('Dvd Calendar'!$W$1545)=0,"",IF(('Dvd Calendar'!$W$1545&gt;=GRID_FROM)*('Dvd Calendar'!$W$1545&lt;=GRID_TO)*('Dvd Calendar'!$W$1545&lt;=VAL_DATE)=0,"",'Dvd Calendar'!$W$1545*1000000000+ISNUMBER('Dvd Calendar'!$W$1548)*100000000+('Dvd Calendar'!$W$1550=SPECIAL_LBL)*10000000+0*1000000+40*1000+19))</f>
        <v/>
      </c>
      <c r="EX155" s="35">
        <f>IF(N('Dvd Calendar'!$X$1545)=0,"",IF(('Dvd Calendar'!$X$1545&gt;=GRID_FROM)*('Dvd Calendar'!$X$1545&lt;=GRID_TO)*('Dvd Calendar'!$X$1545&lt;=VAL_DATE)=0,"",'Dvd Calendar'!$X$1545*1000000000+ISNUMBER('Dvd Calendar'!$X$1548)*100000000+('Dvd Calendar'!$X$1550=SPECIAL_LBL)*10000000+0*1000000+40*1000+20))</f>
        <v/>
      </c>
      <c r="EY155" s="35">
        <f>IF(N('Dvd Calendar'!$Y$1545)=0,"",IF(('Dvd Calendar'!$Y$1545&gt;=GRID_FROM)*('Dvd Calendar'!$Y$1545&lt;=GRID_TO)*('Dvd Calendar'!$Y$1545&lt;=VAL_DATE)=0,"",'Dvd Calendar'!$Y$1545*1000000000+ISNUMBER('Dvd Calendar'!$Y$1548)*100000000+('Dvd Calendar'!$Y$1550=SPECIAL_LBL)*10000000+0*1000000+40*1000+21))</f>
        <v/>
      </c>
      <c r="EZ155" s="35">
        <f>IF(N('Dvd Calendar'!$Z$1545)=0,"",IF(('Dvd Calendar'!$Z$1545&gt;=GRID_FROM)*('Dvd Calendar'!$Z$1545&lt;=GRID_TO)*('Dvd Calendar'!$Z$1545&lt;=VAL_DATE)=0,"",'Dvd Calendar'!$Z$1545*1000000000+ISNUMBER('Dvd Calendar'!$Z$1548)*100000000+('Dvd Calendar'!$Z$1550=SPECIAL_LBL)*10000000+0*1000000+40*1000+22))</f>
        <v/>
      </c>
      <c r="FA155" s="35">
        <f>IF(N('Dvd Calendar'!$AA$1545)=0,"",IF(('Dvd Calendar'!$AA$1545&gt;=GRID_FROM)*('Dvd Calendar'!$AA$1545&lt;=GRID_TO)*('Dvd Calendar'!$AA$1545&lt;=VAL_DATE)=0,"",'Dvd Calendar'!$AA$1545*1000000000+ISNUMBER('Dvd Calendar'!$AA$1548)*100000000+('Dvd Calendar'!$AA$1550=SPECIAL_LBL)*10000000+0*1000000+40*1000+23))</f>
        <v/>
      </c>
      <c r="FB155" s="35">
        <f>IF(N('Dvd Calendar'!$AB$1545)=0,"",IF(('Dvd Calendar'!$AB$1545&gt;=GRID_FROM)*('Dvd Calendar'!$AB$1545&lt;=GRID_TO)*('Dvd Calendar'!$AB$1545&lt;=VAL_DATE)=0,"",'Dvd Calendar'!$AB$1545*1000000000+ISNUMBER('Dvd Calendar'!$AB$1548)*100000000+('Dvd Calendar'!$AB$1550=SPECIAL_LBL)*10000000+0*1000000+40*1000+24))</f>
        <v/>
      </c>
      <c r="FC155" s="35">
        <f>IF(N('Dvd Calendar'!$AC$1545)=0,"",IF(('Dvd Calendar'!$AC$1545&gt;=GRID_FROM)*('Dvd Calendar'!$AC$1545&lt;=GRID_TO)*('Dvd Calendar'!$AC$1545&lt;=VAL_DATE)=0,"",'Dvd Calendar'!$AC$1545*1000000000+ISNUMBER('Dvd Calendar'!$AC$1548)*100000000+('Dvd Calendar'!$AC$1550=SPECIAL_LBL)*10000000+0*1000000+40*1000+25))</f>
        <v/>
      </c>
      <c r="FD155" s="35">
        <f>IF(N('Dvd Calendar'!$AD$1545)=0,"",IF(('Dvd Calendar'!$AD$1545&gt;=GRID_FROM)*('Dvd Calendar'!$AD$1545&lt;=GRID_TO)*('Dvd Calendar'!$AD$1545&lt;=VAL_DATE)=0,"",'Dvd Calendar'!$AD$1545*1000000000+ISNUMBER('Dvd Calendar'!$AD$1548)*100000000+('Dvd Calendar'!$AD$1550=SPECIAL_LBL)*10000000+0*1000000+40*1000+26))</f>
        <v/>
      </c>
      <c r="FE155" s="35">
        <f>IF(N('Dvd Calendar'!$AE$1545)=0,"",IF(('Dvd Calendar'!$AE$1545&gt;=GRID_FROM)*('Dvd Calendar'!$AE$1545&lt;=GRID_TO)*('Dvd Calendar'!$AE$1545&lt;=VAL_DATE)=0,"",'Dvd Calendar'!$AE$1545*1000000000+ISNUMBER('Dvd Calendar'!$AE$1548)*100000000+('Dvd Calendar'!$AE$1550=SPECIAL_LBL)*10000000+0*1000000+40*1000+27))</f>
        <v/>
      </c>
      <c r="FF155" s="35">
        <f>IF(N('Dvd Calendar'!$AF$1545)=0,"",IF(('Dvd Calendar'!$AF$1545&gt;=GRID_FROM)*('Dvd Calendar'!$AF$1545&lt;=GRID_TO)*('Dvd Calendar'!$AF$1545&lt;=VAL_DATE)=0,"",'Dvd Calendar'!$AF$1545*1000000000+ISNUMBER('Dvd Calendar'!$AF$1548)*100000000+('Dvd Calendar'!$AF$1550=SPECIAL_LBL)*10000000+0*1000000+40*1000+28))</f>
        <v/>
      </c>
      <c r="FG155" s="35">
        <f>IF(N('Dvd Calendar'!$AG$1545)=0,"",IF(('Dvd Calendar'!$AG$1545&gt;=GRID_FROM)*('Dvd Calendar'!$AG$1545&lt;=GRID_TO)*('Dvd Calendar'!$AG$1545&lt;=VAL_DATE)=0,"",'Dvd Calendar'!$AG$1545*1000000000+ISNUMBER('Dvd Calendar'!$AG$1548)*100000000+('Dvd Calendar'!$AG$1550=SPECIAL_LBL)*10000000+0*1000000+40*1000+29))</f>
        <v/>
      </c>
      <c r="FH155" s="35">
        <f>IF(N('Dvd Calendar'!$AH$1545)=0,"",IF(('Dvd Calendar'!$AH$1545&gt;=GRID_FROM)*('Dvd Calendar'!$AH$1545&lt;=GRID_TO)*('Dvd Calendar'!$AH$1545&lt;=VAL_DATE)=0,"",'Dvd Calendar'!$AH$1545*1000000000+ISNUMBER('Dvd Calendar'!$AH$1548)*100000000+('Dvd Calendar'!$AH$1550=SPECIAL_LBL)*10000000+0*1000000+40*1000+30))</f>
        <v/>
      </c>
      <c r="FI155" s="35">
        <f>IF(N('Dvd Calendar'!$AI$1545)=0,"",IF(('Dvd Calendar'!$AI$1545&gt;=GRID_FROM)*('Dvd Calendar'!$AI$1545&lt;=GRID_TO)*('Dvd Calendar'!$AI$1545&lt;=VAL_DATE)=0,"",'Dvd Calendar'!$AI$1545*1000000000+ISNUMBER('Dvd Calendar'!$AI$1548)*100000000+('Dvd Calendar'!$AI$1550=SPECIAL_LBL)*10000000+0*1000000+40*1000+31))</f>
        <v/>
      </c>
      <c r="FJ155" s="35">
        <f>IF(N('Dvd Calendar'!$AJ$1545)=0,"",IF(('Dvd Calendar'!$AJ$1545&gt;=GRID_FROM)*('Dvd Calendar'!$AJ$1545&lt;=GRID_TO)*('Dvd Calendar'!$AJ$1545&lt;=VAL_DATE)=0,"",'Dvd Calendar'!$AJ$1545*1000000000+ISNUMBER('Dvd Calendar'!$AJ$1548)*100000000+('Dvd Calendar'!$AJ$1550=SPECIAL_LBL)*10000000+0*1000000+40*1000+32))</f>
        <v/>
      </c>
      <c r="FK155" s="35">
        <f>IF(N('Dvd Calendar'!$AK$1545)=0,"",IF(('Dvd Calendar'!$AK$1545&gt;=GRID_FROM)*('Dvd Calendar'!$AK$1545&lt;=GRID_TO)*('Dvd Calendar'!$AK$1545&lt;=VAL_DATE)=0,"",'Dvd Calendar'!$AK$1545*1000000000+ISNUMBER('Dvd Calendar'!$AK$1548)*100000000+('Dvd Calendar'!$AK$1550=SPECIAL_LBL)*10000000+0*1000000+40*1000+33))</f>
        <v/>
      </c>
      <c r="FL155" s="35">
        <f>IF(N('Dvd Calendar'!$AL$1545)=0,"",IF(('Dvd Calendar'!$AL$1545&gt;=GRID_FROM)*('Dvd Calendar'!$AL$1545&lt;=GRID_TO)*('Dvd Calendar'!$AL$1545&lt;=VAL_DATE)=0,"",'Dvd Calendar'!$AL$1545*1000000000+ISNUMBER('Dvd Calendar'!$AL$1548)*100000000+('Dvd Calendar'!$AL$1550=SPECIAL_LBL)*10000000+0*1000000+40*1000+34))</f>
        <v/>
      </c>
      <c r="FM155" s="35">
        <f>IF(N('Dvd Calendar'!$AM$1545)=0,"",IF(('Dvd Calendar'!$AM$1545&gt;=GRID_FROM)*('Dvd Calendar'!$AM$1545&lt;=GRID_TO)*('Dvd Calendar'!$AM$1545&lt;=VAL_DATE)=0,"",'Dvd Calendar'!$AM$1545*1000000000+ISNUMBER('Dvd Calendar'!$AM$1548)*100000000+('Dvd Calendar'!$AM$1550=SPECIAL_LBL)*10000000+0*1000000+40*1000+35))</f>
        <v/>
      </c>
      <c r="FN155" s="35">
        <f>IF(N('Dvd Calendar'!$AN$1545)=0,"",IF(('Dvd Calendar'!$AN$1545&gt;=GRID_FROM)*('Dvd Calendar'!$AN$1545&lt;=GRID_TO)*('Dvd Calendar'!$AN$1545&lt;=VAL_DATE)=0,"",'Dvd Calendar'!$AN$1545*1000000000+ISNUMBER('Dvd Calendar'!$AN$1548)*100000000+('Dvd Calendar'!$AN$1550=SPECIAL_LBL)*10000000+0*1000000+40*1000+36))</f>
        <v/>
      </c>
      <c r="FO155" s="35">
        <f>IF(N('Dvd Calendar'!$AO$1545)=0,"",IF(('Dvd Calendar'!$AO$1545&gt;=GRID_FROM)*('Dvd Calendar'!$AO$1545&lt;=GRID_TO)*('Dvd Calendar'!$AO$1545&lt;=VAL_DATE)=0,"",'Dvd Calendar'!$AO$1545*1000000000+ISNUMBER('Dvd Calendar'!$AO$1548)*100000000+('Dvd Calendar'!$AO$1550=SPECIAL_LBL)*10000000+0*1000000+40*1000+37))</f>
        <v/>
      </c>
      <c r="FP155" s="35">
        <f>IF(N('Dvd Calendar'!$AP$1545)=0,"",IF(('Dvd Calendar'!$AP$1545&gt;=GRID_FROM)*('Dvd Calendar'!$AP$1545&lt;=GRID_TO)*('Dvd Calendar'!$AP$1545&lt;=VAL_DATE)=0,"",'Dvd Calendar'!$AP$1545*1000000000+ISNUMBER('Dvd Calendar'!$AP$1548)*100000000+('Dvd Calendar'!$AP$1550=SPECIAL_LBL)*10000000+0*1000000+40*1000+38))</f>
        <v/>
      </c>
      <c r="FQ155" s="35">
        <f>IF(N('Dvd Calendar'!$AQ$1545)=0,"",IF(('Dvd Calendar'!$AQ$1545&gt;=GRID_FROM)*('Dvd Calendar'!$AQ$1545&lt;=GRID_TO)*('Dvd Calendar'!$AQ$1545&lt;=VAL_DATE)=0,"",'Dvd Calendar'!$AQ$1545*1000000000+ISNUMBER('Dvd Calendar'!$AQ$1548)*100000000+('Dvd Calendar'!$AQ$1550=SPECIAL_LBL)*10000000+0*1000000+40*1000+39))</f>
        <v/>
      </c>
      <c r="FR155" s="35">
        <f>IF(N('Dvd Calendar'!$AR$1545)=0,"",IF(('Dvd Calendar'!$AR$1545&gt;=GRID_FROM)*('Dvd Calendar'!$AR$1545&lt;=GRID_TO)*('Dvd Calendar'!$AR$1545&lt;=VAL_DATE)=0,"",'Dvd Calendar'!$AR$1545*1000000000+ISNUMBER('Dvd Calendar'!$AR$1548)*100000000+('Dvd Calendar'!$AR$1550=SPECIAL_LBL)*10000000+0*1000000+40*1000+40))</f>
        <v/>
      </c>
      <c r="FS155" s="35">
        <f>IF(N('Dvd Calendar'!$E$1552)=0,"",IF(('Dvd Calendar'!$E$1552&gt;=GRID_FROM)*('Dvd Calendar'!$E$1552&lt;=GRID_TO)*('Dvd Calendar'!$E$1552&gt;VAL_DATE)=0,"",'Dvd Calendar'!$E$1552*1000000000+ISNUMBER('Dvd Calendar'!$E$1553)*100000000+0*10000000+(N('Dvd Calendar'!$E$1551)&gt;0)*(N('Dvd Calendar'!$E$1551)&lt;=VAL_SERIAL)*1000000+40*1000+41))</f>
        <v/>
      </c>
      <c r="FT155" s="35">
        <f>IF(N('Dvd Calendar'!$F$1552)=0,"",IF(('Dvd Calendar'!$F$1552&gt;=GRID_FROM)*('Dvd Calendar'!$F$1552&lt;=GRID_TO)*('Dvd Calendar'!$F$1552&gt;VAL_DATE)=0,"",'Dvd Calendar'!$F$1552*1000000000+ISNUMBER('Dvd Calendar'!$F$1553)*100000000+0*10000000+(N('Dvd Calendar'!$F$1551)&gt;0)*(N('Dvd Calendar'!$F$1551)&lt;=VAL_SERIAL)*1000000+40*1000+42))</f>
        <v/>
      </c>
      <c r="FU155" s="35">
        <f>IF(N('Dvd Calendar'!$G$1552)=0,"",IF(('Dvd Calendar'!$G$1552&gt;=GRID_FROM)*('Dvd Calendar'!$G$1552&lt;=GRID_TO)*('Dvd Calendar'!$G$1552&gt;VAL_DATE)=0,"",'Dvd Calendar'!$G$1552*1000000000+ISNUMBER('Dvd Calendar'!$G$1553)*100000000+0*10000000+(N('Dvd Calendar'!$G$1551)&gt;0)*(N('Dvd Calendar'!$G$1551)&lt;=VAL_SERIAL)*1000000+40*1000+43))</f>
        <v/>
      </c>
      <c r="FV155" s="35">
        <f>IF(N('Dvd Calendar'!$H$1552)=0,"",IF(('Dvd Calendar'!$H$1552&gt;=GRID_FROM)*('Dvd Calendar'!$H$1552&lt;=GRID_TO)*('Dvd Calendar'!$H$1552&gt;VAL_DATE)=0,"",'Dvd Calendar'!$H$1552*1000000000+ISNUMBER('Dvd Calendar'!$H$1553)*100000000+0*10000000+(N('Dvd Calendar'!$H$1551)&gt;0)*(N('Dvd Calendar'!$H$1551)&lt;=VAL_SERIAL)*1000000+40*1000+44))</f>
        <v/>
      </c>
      <c r="FW155" s="35">
        <f>IF(N('Dvd Calendar'!$I$1552)=0,"",IF(('Dvd Calendar'!$I$1552&gt;=GRID_FROM)*('Dvd Calendar'!$I$1552&lt;=GRID_TO)*('Dvd Calendar'!$I$1552&gt;VAL_DATE)=0,"",'Dvd Calendar'!$I$1552*1000000000+ISNUMBER('Dvd Calendar'!$I$1553)*100000000+0*10000000+(N('Dvd Calendar'!$I$1551)&gt;0)*(N('Dvd Calendar'!$I$1551)&lt;=VAL_SERIAL)*1000000+40*1000+45))</f>
        <v/>
      </c>
      <c r="FX155" s="35">
        <f>IF(N('Dvd Calendar'!$J$1552)=0,"",IF(('Dvd Calendar'!$J$1552&gt;=GRID_FROM)*('Dvd Calendar'!$J$1552&lt;=GRID_TO)*('Dvd Calendar'!$J$1552&gt;VAL_DATE)=0,"",'Dvd Calendar'!$J$1552*1000000000+ISNUMBER('Dvd Calendar'!$J$1553)*100000000+0*10000000+(N('Dvd Calendar'!$J$1551)&gt;0)*(N('Dvd Calendar'!$J$1551)&lt;=VAL_SERIAL)*1000000+40*1000+46))</f>
        <v/>
      </c>
      <c r="FY155" s="35">
        <f>IF(N('Dvd Calendar'!$K$1552)=0,"",IF(('Dvd Calendar'!$K$1552&gt;=GRID_FROM)*('Dvd Calendar'!$K$1552&lt;=GRID_TO)*('Dvd Calendar'!$K$1552&gt;VAL_DATE)=0,"",'Dvd Calendar'!$K$1552*1000000000+ISNUMBER('Dvd Calendar'!$K$1553)*100000000+0*10000000+(N('Dvd Calendar'!$K$1551)&gt;0)*(N('Dvd Calendar'!$K$1551)&lt;=VAL_SERIAL)*1000000+40*1000+47))</f>
        <v/>
      </c>
      <c r="FZ155" s="35">
        <f>IF(N('Dvd Calendar'!$L$1552)=0,"",IF(('Dvd Calendar'!$L$1552&gt;=GRID_FROM)*('Dvd Calendar'!$L$1552&lt;=GRID_TO)*('Dvd Calendar'!$L$1552&gt;VAL_DATE)=0,"",'Dvd Calendar'!$L$1552*1000000000+ISNUMBER('Dvd Calendar'!$L$1553)*100000000+0*10000000+(N('Dvd Calendar'!$L$1551)&gt;0)*(N('Dvd Calendar'!$L$1551)&lt;=VAL_SERIAL)*1000000+40*1000+48))</f>
        <v/>
      </c>
      <c r="GA155" s="35">
        <f>IF(N('Dvd Calendar'!$M$1552)=0,"",IF(('Dvd Calendar'!$M$1552&gt;=GRID_FROM)*('Dvd Calendar'!$M$1552&lt;=GRID_TO)*('Dvd Calendar'!$M$1552&gt;VAL_DATE)=0,"",'Dvd Calendar'!$M$1552*1000000000+ISNUMBER('Dvd Calendar'!$M$1553)*100000000+0*10000000+(N('Dvd Calendar'!$M$1551)&gt;0)*(N('Dvd Calendar'!$M$1551)&lt;=VAL_SERIAL)*1000000+40*1000+49))</f>
        <v/>
      </c>
      <c r="GB155" s="35">
        <f>IF(N('Dvd Calendar'!$N$1552)=0,"",IF(('Dvd Calendar'!$N$1552&gt;=GRID_FROM)*('Dvd Calendar'!$N$1552&lt;=GRID_TO)*('Dvd Calendar'!$N$1552&gt;VAL_DATE)=0,"",'Dvd Calendar'!$N$1552*1000000000+ISNUMBER('Dvd Calendar'!$N$1553)*100000000+0*10000000+(N('Dvd Calendar'!$N$1551)&gt;0)*(N('Dvd Calendar'!$N$1551)&lt;=VAL_SERIAL)*1000000+40*1000+50))</f>
        <v/>
      </c>
      <c r="GC155" s="35">
        <f>IF(N('Dvd Calendar'!$O$1552)=0,"",IF(('Dvd Calendar'!$O$1552&gt;=GRID_FROM)*('Dvd Calendar'!$O$1552&lt;=GRID_TO)*('Dvd Calendar'!$O$1552&gt;VAL_DATE)=0,"",'Dvd Calendar'!$O$1552*1000000000+ISNUMBER('Dvd Calendar'!$O$1553)*100000000+0*10000000+(N('Dvd Calendar'!$O$1551)&gt;0)*(N('Dvd Calendar'!$O$1551)&lt;=VAL_SERIAL)*1000000+40*1000+51))</f>
        <v/>
      </c>
      <c r="GD155" s="35">
        <f>IF(N('Dvd Calendar'!$P$1552)=0,"",IF(('Dvd Calendar'!$P$1552&gt;=GRID_FROM)*('Dvd Calendar'!$P$1552&lt;=GRID_TO)*('Dvd Calendar'!$P$1552&gt;VAL_DATE)=0,"",'Dvd Calendar'!$P$1552*1000000000+ISNUMBER('Dvd Calendar'!$P$1553)*100000000+0*10000000+(N('Dvd Calendar'!$P$1551)&gt;0)*(N('Dvd Calendar'!$P$1551)&lt;=VAL_SERIAL)*1000000+40*1000+52))</f>
        <v/>
      </c>
      <c r="GE155" s="35">
        <f>IF(N('Dvd Calendar'!$Q$1552)=0,"",IF(('Dvd Calendar'!$Q$1552&gt;=GRID_FROM)*('Dvd Calendar'!$Q$1552&lt;=GRID_TO)*('Dvd Calendar'!$Q$1552&gt;VAL_DATE)=0,"",'Dvd Calendar'!$Q$1552*1000000000+ISNUMBER('Dvd Calendar'!$Q$1553)*100000000+0*10000000+(N('Dvd Calendar'!$Q$1551)&gt;0)*(N('Dvd Calendar'!$Q$1551)&lt;=VAL_SERIAL)*1000000+40*1000+53))</f>
        <v/>
      </c>
      <c r="GF155" s="35">
        <f>IF(N('Dvd Calendar'!$R$1552)=0,"",IF(('Dvd Calendar'!$R$1552&gt;=GRID_FROM)*('Dvd Calendar'!$R$1552&lt;=GRID_TO)*('Dvd Calendar'!$R$1552&gt;VAL_DATE)=0,"",'Dvd Calendar'!$R$1552*1000000000+ISNUMBER('Dvd Calendar'!$R$1553)*100000000+0*10000000+(N('Dvd Calendar'!$R$1551)&gt;0)*(N('Dvd Calendar'!$R$1551)&lt;=VAL_SERIAL)*1000000+40*1000+54))</f>
        <v/>
      </c>
      <c r="GG155" s="35">
        <f>IF(N('Dvd Calendar'!$S$1552)=0,"",IF(('Dvd Calendar'!$S$1552&gt;=GRID_FROM)*('Dvd Calendar'!$S$1552&lt;=GRID_TO)*('Dvd Calendar'!$S$1552&gt;VAL_DATE)=0,"",'Dvd Calendar'!$S$1552*1000000000+ISNUMBER('Dvd Calendar'!$S$1553)*100000000+0*10000000+(N('Dvd Calendar'!$S$1551)&gt;0)*(N('Dvd Calendar'!$S$1551)&lt;=VAL_SERIAL)*1000000+40*1000+55))</f>
        <v/>
      </c>
      <c r="GH155" s="35">
        <f>IF(N('Dvd Calendar'!$T$1552)=0,"",IF(('Dvd Calendar'!$T$1552&gt;=GRID_FROM)*('Dvd Calendar'!$T$1552&lt;=GRID_TO)*('Dvd Calendar'!$T$1552&gt;VAL_DATE)=0,"",'Dvd Calendar'!$T$1552*1000000000+ISNUMBER('Dvd Calendar'!$T$1553)*100000000+0*10000000+(N('Dvd Calendar'!$T$1551)&gt;0)*(N('Dvd Calendar'!$T$1551)&lt;=VAL_SERIAL)*1000000+40*1000+56))</f>
        <v/>
      </c>
      <c r="GI155" s="35">
        <f>IF(N('Dvd Calendar'!$U$1552)=0,"",IF(('Dvd Calendar'!$U$1552&gt;=GRID_FROM)*('Dvd Calendar'!$U$1552&lt;=GRID_TO)*('Dvd Calendar'!$U$1552&gt;VAL_DATE)=0,"",'Dvd Calendar'!$U$1552*1000000000+ISNUMBER('Dvd Calendar'!$U$1553)*100000000+0*10000000+(N('Dvd Calendar'!$U$1551)&gt;0)*(N('Dvd Calendar'!$U$1551)&lt;=VAL_SERIAL)*1000000+40*1000+57))</f>
        <v/>
      </c>
      <c r="GJ155" s="35">
        <f>IF(N('Dvd Calendar'!$V$1552)=0,"",IF(('Dvd Calendar'!$V$1552&gt;=GRID_FROM)*('Dvd Calendar'!$V$1552&lt;=GRID_TO)*('Dvd Calendar'!$V$1552&gt;VAL_DATE)=0,"",'Dvd Calendar'!$V$1552*1000000000+ISNUMBER('Dvd Calendar'!$V$1553)*100000000+0*10000000+(N('Dvd Calendar'!$V$1551)&gt;0)*(N('Dvd Calendar'!$V$1551)&lt;=VAL_SERIAL)*1000000+40*1000+58))</f>
        <v/>
      </c>
      <c r="GK155" s="35">
        <f>IF(N('Dvd Calendar'!$W$1552)=0,"",IF(('Dvd Calendar'!$W$1552&gt;=GRID_FROM)*('Dvd Calendar'!$W$1552&lt;=GRID_TO)*('Dvd Calendar'!$W$1552&gt;VAL_DATE)=0,"",'Dvd Calendar'!$W$1552*1000000000+ISNUMBER('Dvd Calendar'!$W$1553)*100000000+0*10000000+(N('Dvd Calendar'!$W$1551)&gt;0)*(N('Dvd Calendar'!$W$1551)&lt;=VAL_SERIAL)*1000000+40*1000+59))</f>
        <v/>
      </c>
      <c r="GL155" s="35">
        <f>IF(N('Dvd Calendar'!$X$1552)=0,"",IF(('Dvd Calendar'!$X$1552&gt;=GRID_FROM)*('Dvd Calendar'!$X$1552&lt;=GRID_TO)*('Dvd Calendar'!$X$1552&gt;VAL_DATE)=0,"",'Dvd Calendar'!$X$1552*1000000000+ISNUMBER('Dvd Calendar'!$X$1553)*100000000+0*10000000+(N('Dvd Calendar'!$X$1551)&gt;0)*(N('Dvd Calendar'!$X$1551)&lt;=VAL_SERIAL)*1000000+40*1000+60))</f>
        <v/>
      </c>
      <c r="GM155" s="35">
        <f>IF(N('Dvd Calendar'!$Y$1552)=0,"",IF(('Dvd Calendar'!$Y$1552&gt;=GRID_FROM)*('Dvd Calendar'!$Y$1552&lt;=GRID_TO)*('Dvd Calendar'!$Y$1552&gt;VAL_DATE)=0,"",'Dvd Calendar'!$Y$1552*1000000000+ISNUMBER('Dvd Calendar'!$Y$1553)*100000000+0*10000000+(N('Dvd Calendar'!$Y$1551)&gt;0)*(N('Dvd Calendar'!$Y$1551)&lt;=VAL_SERIAL)*1000000+40*1000+61))</f>
        <v/>
      </c>
      <c r="GN155" s="35">
        <f>IF(N('Dvd Calendar'!$Z$1552)=0,"",IF(('Dvd Calendar'!$Z$1552&gt;=GRID_FROM)*('Dvd Calendar'!$Z$1552&lt;=GRID_TO)*('Dvd Calendar'!$Z$1552&gt;VAL_DATE)=0,"",'Dvd Calendar'!$Z$1552*1000000000+ISNUMBER('Dvd Calendar'!$Z$1553)*100000000+0*10000000+(N('Dvd Calendar'!$Z$1551)&gt;0)*(N('Dvd Calendar'!$Z$1551)&lt;=VAL_SERIAL)*1000000+40*1000+62))</f>
        <v/>
      </c>
      <c r="GO155" s="35">
        <f>IF(N('Dvd Calendar'!$AA$1552)=0,"",IF(('Dvd Calendar'!$AA$1552&gt;=GRID_FROM)*('Dvd Calendar'!$AA$1552&lt;=GRID_TO)*('Dvd Calendar'!$AA$1552&gt;VAL_DATE)=0,"",'Dvd Calendar'!$AA$1552*1000000000+ISNUMBER('Dvd Calendar'!$AA$1553)*100000000+0*10000000+(N('Dvd Calendar'!$AA$1551)&gt;0)*(N('Dvd Calendar'!$AA$1551)&lt;=VAL_SERIAL)*1000000+40*1000+63))</f>
        <v/>
      </c>
      <c r="GP155" s="35">
        <f>IF(N('Dvd Calendar'!$AB$1552)=0,"",IF(('Dvd Calendar'!$AB$1552&gt;=GRID_FROM)*('Dvd Calendar'!$AB$1552&lt;=GRID_TO)*('Dvd Calendar'!$AB$1552&gt;VAL_DATE)=0,"",'Dvd Calendar'!$AB$1552*1000000000+ISNUMBER('Dvd Calendar'!$AB$1553)*100000000+0*10000000+(N('Dvd Calendar'!$AB$1551)&gt;0)*(N('Dvd Calendar'!$AB$1551)&lt;=VAL_SERIAL)*1000000+40*1000+64))</f>
        <v/>
      </c>
      <c r="GQ155" s="35">
        <f>IF(N('Dvd Calendar'!$AC$1552)=0,"",IF(('Dvd Calendar'!$AC$1552&gt;=GRID_FROM)*('Dvd Calendar'!$AC$1552&lt;=GRID_TO)*('Dvd Calendar'!$AC$1552&gt;VAL_DATE)=0,"",'Dvd Calendar'!$AC$1552*1000000000+ISNUMBER('Dvd Calendar'!$AC$1553)*100000000+0*10000000+(N('Dvd Calendar'!$AC$1551)&gt;0)*(N('Dvd Calendar'!$AC$1551)&lt;=VAL_SERIAL)*1000000+40*1000+65))</f>
        <v/>
      </c>
    </row>
    <row r="158">
      <c r="B158" s="3" t="inlineStr">
        <is>
          <t>Hang Seng China Enterprises (HSCEI)  -  DPS per event  (slots 1-40 history, 41-65 projections)</t>
        </is>
      </c>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s="4" t="n"/>
      <c r="AM158" s="4" t="n"/>
      <c r="AN158" s="4" t="n"/>
      <c r="AO158" s="4" t="n"/>
      <c r="AP158" s="4" t="n"/>
      <c r="AQ158" s="4" t="n"/>
      <c r="AR158" s="4" t="n"/>
      <c r="AS158" s="4" t="n"/>
      <c r="AT158" s="4" t="n"/>
      <c r="AU158" s="4" t="n"/>
      <c r="AV158" s="4" t="n"/>
      <c r="AW158" s="4" t="n"/>
      <c r="AX158" s="4" t="n"/>
      <c r="AY158" s="4" t="n"/>
      <c r="AZ158" s="4" t="n"/>
      <c r="BA158" s="4" t="n"/>
      <c r="BB158" s="4" t="n"/>
      <c r="BC158" s="4" t="n"/>
      <c r="BD158" s="4" t="n"/>
      <c r="BE158" s="4" t="n"/>
      <c r="BF158" s="4" t="n"/>
      <c r="BG158" s="4" t="n"/>
      <c r="BH158" s="4" t="n"/>
      <c r="BI158" s="4" t="n"/>
      <c r="BJ158" s="4" t="n"/>
      <c r="BK158" s="4" t="n"/>
      <c r="BL158" s="4" t="n"/>
      <c r="BM158" s="4" t="n"/>
      <c r="BN158" s="4" t="n"/>
      <c r="BO158" s="4" t="n"/>
      <c r="BQ158" s="3" t="inlineStr">
        <is>
          <t>index points per event</t>
        </is>
      </c>
      <c r="BR158" s="4" t="n"/>
      <c r="BS158" s="4" t="n"/>
      <c r="BT158" s="4" t="n"/>
      <c r="BU158" s="4" t="n"/>
      <c r="BV158" s="4" t="n"/>
      <c r="BW158" s="4" t="n"/>
      <c r="BX158" s="4" t="n"/>
      <c r="BY158" s="4" t="n"/>
      <c r="BZ158" s="4" t="n"/>
      <c r="CA158" s="4" t="n"/>
      <c r="CB158" s="4" t="n"/>
      <c r="CC158" s="4" t="n"/>
      <c r="CD158" s="4" t="n"/>
      <c r="CE158" s="4" t="n"/>
      <c r="CF158" s="4" t="n"/>
      <c r="CG158" s="4" t="n"/>
      <c r="CH158" s="4" t="n"/>
      <c r="CI158" s="4" t="n"/>
      <c r="CJ158" s="4" t="n"/>
      <c r="CK158" s="4" t="n"/>
      <c r="CL158" s="4" t="n"/>
      <c r="CM158" s="4" t="n"/>
      <c r="CN158" s="4" t="n"/>
      <c r="CO158" s="4" t="n"/>
      <c r="CP158" s="4" t="n"/>
      <c r="CQ158" s="4" t="n"/>
      <c r="CR158" s="4" t="n"/>
      <c r="CS158" s="4" t="n"/>
      <c r="CT158" s="4" t="n"/>
      <c r="CU158" s="4" t="n"/>
      <c r="CV158" s="4" t="n"/>
      <c r="CW158" s="4" t="n"/>
      <c r="CX158" s="4" t="n"/>
      <c r="CY158" s="4" t="n"/>
      <c r="CZ158" s="4" t="n"/>
      <c r="DA158" s="4" t="n"/>
      <c r="DB158" s="4" t="n"/>
      <c r="DC158" s="4" t="n"/>
      <c r="DD158" s="4" t="n"/>
      <c r="DE158" s="4" t="n"/>
      <c r="DF158" s="4" t="n"/>
      <c r="DG158" s="4" t="n"/>
      <c r="DH158" s="4" t="n"/>
      <c r="DI158" s="4" t="n"/>
      <c r="DJ158" s="4" t="n"/>
      <c r="DK158" s="4" t="n"/>
      <c r="DL158" s="4" t="n"/>
      <c r="DM158" s="4" t="n"/>
      <c r="DN158" s="4" t="n"/>
      <c r="DO158" s="4" t="n"/>
      <c r="DP158" s="4" t="n"/>
      <c r="DQ158" s="4" t="n"/>
      <c r="DR158" s="4" t="n"/>
      <c r="DS158" s="4" t="n"/>
      <c r="DT158" s="4" t="n"/>
      <c r="DU158" s="4" t="n"/>
      <c r="DV158" s="4" t="n"/>
      <c r="DW158" s="4" t="n"/>
      <c r="DX158" s="4" t="n"/>
      <c r="DY158" s="4" t="n"/>
      <c r="DZ158" s="4" t="n"/>
      <c r="EA158" s="4" t="n"/>
      <c r="EB158" s="4" t="n"/>
      <c r="EC158" s="4" t="n"/>
      <c r="EE158" s="3" t="inlineStr">
        <is>
          <t>packed codes (blank on purpose - use the decoder)</t>
        </is>
      </c>
      <c r="EF158" s="4" t="n"/>
      <c r="EG158" s="4" t="n"/>
      <c r="EH158" s="4" t="n"/>
      <c r="EI158" s="4" t="n"/>
      <c r="EJ158" s="4" t="n"/>
      <c r="EK158" s="4" t="n"/>
      <c r="EL158" s="4" t="n"/>
      <c r="EM158" s="4" t="n"/>
      <c r="EN158" s="4" t="n"/>
      <c r="EO158" s="4" t="n"/>
      <c r="EP158" s="4" t="n"/>
      <c r="EQ158" s="4" t="n"/>
      <c r="ER158" s="4" t="n"/>
      <c r="ES158" s="4" t="n"/>
      <c r="ET158" s="4" t="n"/>
      <c r="EU158" s="4" t="n"/>
      <c r="EV158" s="4" t="n"/>
      <c r="EW158" s="4" t="n"/>
      <c r="EX158" s="4" t="n"/>
      <c r="EY158" s="4" t="n"/>
      <c r="EZ158" s="4" t="n"/>
      <c r="FA158" s="4" t="n"/>
      <c r="FB158" s="4" t="n"/>
      <c r="FC158" s="4" t="n"/>
      <c r="FD158" s="4" t="n"/>
      <c r="FE158" s="4" t="n"/>
      <c r="FF158" s="4" t="n"/>
      <c r="FG158" s="4" t="n"/>
      <c r="FH158" s="4" t="n"/>
      <c r="FI158" s="4" t="n"/>
      <c r="FJ158" s="4" t="n"/>
      <c r="FK158" s="4" t="n"/>
      <c r="FL158" s="4" t="n"/>
      <c r="FM158" s="4" t="n"/>
      <c r="FN158" s="4" t="n"/>
      <c r="FO158" s="4" t="n"/>
      <c r="FP158" s="4" t="n"/>
      <c r="FQ158" s="4" t="n"/>
      <c r="FR158" s="4" t="n"/>
      <c r="FS158" s="4" t="n"/>
      <c r="FT158" s="4" t="n"/>
      <c r="FU158" s="4" t="n"/>
      <c r="FV158" s="4" t="n"/>
      <c r="FW158" s="4" t="n"/>
      <c r="FX158" s="4" t="n"/>
      <c r="FY158" s="4" t="n"/>
      <c r="FZ158" s="4" t="n"/>
      <c r="GA158" s="4" t="n"/>
      <c r="GB158" s="4" t="n"/>
      <c r="GC158" s="4" t="n"/>
      <c r="GD158" s="4" t="n"/>
      <c r="GE158" s="4" t="n"/>
      <c r="GF158" s="4" t="n"/>
      <c r="GG158" s="4" t="n"/>
      <c r="GH158" s="4" t="n"/>
      <c r="GI158" s="4" t="n"/>
      <c r="GJ158" s="4" t="n"/>
      <c r="GK158" s="4" t="n"/>
      <c r="GL158" s="4" t="n"/>
      <c r="GM158" s="4" t="n"/>
      <c r="GN158" s="4" t="n"/>
      <c r="GO158" s="4" t="n"/>
      <c r="GP158" s="4" t="n"/>
      <c r="GQ158" s="4" t="n"/>
    </row>
    <row r="160">
      <c r="B160" s="2">
        <f>IF(HSCEI!$C$7="","",HSCEI!$C$7)</f>
        <v/>
      </c>
      <c r="C160" s="106">
        <f>IF(EE160="","",IF(ISNUMBER('Dvd Calendar'!$E$1564)=FALSE,"",IF((('Dvd Calendar'!$E$1566=TYPE1)*(TYPE1&lt;&gt;"")+('Dvd Calendar'!$E$1566=TYPE2)*(TYPE2&lt;&gt;"")+('Dvd Calendar'!$E$1566=TYPE3)*(TYPE3&lt;&gt;"")+('Dvd Calendar'!$E$1566=TYPE4)*(TYPE4&lt;&gt;"")+('Dvd Calendar'!$E$1566=SPECIAL_LBL)*(INC_SPECIALS="Y"))=0,"",'Dvd Calendar'!$E$1564)))</f>
        <v/>
      </c>
      <c r="D160" s="106">
        <f>IF(EF160="","",IF(ISNUMBER('Dvd Calendar'!$F$1564)=FALSE,"",IF((('Dvd Calendar'!$F$1566=TYPE1)*(TYPE1&lt;&gt;"")+('Dvd Calendar'!$F$1566=TYPE2)*(TYPE2&lt;&gt;"")+('Dvd Calendar'!$F$1566=TYPE3)*(TYPE3&lt;&gt;"")+('Dvd Calendar'!$F$1566=TYPE4)*(TYPE4&lt;&gt;"")+('Dvd Calendar'!$F$1566=SPECIAL_LBL)*(INC_SPECIALS="Y"))=0,"",'Dvd Calendar'!$F$1564)))</f>
        <v/>
      </c>
      <c r="E160" s="106">
        <f>IF(EG160="","",IF(ISNUMBER('Dvd Calendar'!$G$1564)=FALSE,"",IF((('Dvd Calendar'!$G$1566=TYPE1)*(TYPE1&lt;&gt;"")+('Dvd Calendar'!$G$1566=TYPE2)*(TYPE2&lt;&gt;"")+('Dvd Calendar'!$G$1566=TYPE3)*(TYPE3&lt;&gt;"")+('Dvd Calendar'!$G$1566=TYPE4)*(TYPE4&lt;&gt;"")+('Dvd Calendar'!$G$1566=SPECIAL_LBL)*(INC_SPECIALS="Y"))=0,"",'Dvd Calendar'!$G$1564)))</f>
        <v/>
      </c>
      <c r="F160" s="106">
        <f>IF(EH160="","",IF(ISNUMBER('Dvd Calendar'!$H$1564)=FALSE,"",IF((('Dvd Calendar'!$H$1566=TYPE1)*(TYPE1&lt;&gt;"")+('Dvd Calendar'!$H$1566=TYPE2)*(TYPE2&lt;&gt;"")+('Dvd Calendar'!$H$1566=TYPE3)*(TYPE3&lt;&gt;"")+('Dvd Calendar'!$H$1566=TYPE4)*(TYPE4&lt;&gt;"")+('Dvd Calendar'!$H$1566=SPECIAL_LBL)*(INC_SPECIALS="Y"))=0,"",'Dvd Calendar'!$H$1564)))</f>
        <v/>
      </c>
      <c r="G160" s="106">
        <f>IF(EI160="","",IF(ISNUMBER('Dvd Calendar'!$I$1564)=FALSE,"",IF((('Dvd Calendar'!$I$1566=TYPE1)*(TYPE1&lt;&gt;"")+('Dvd Calendar'!$I$1566=TYPE2)*(TYPE2&lt;&gt;"")+('Dvd Calendar'!$I$1566=TYPE3)*(TYPE3&lt;&gt;"")+('Dvd Calendar'!$I$1566=TYPE4)*(TYPE4&lt;&gt;"")+('Dvd Calendar'!$I$1566=SPECIAL_LBL)*(INC_SPECIALS="Y"))=0,"",'Dvd Calendar'!$I$1564)))</f>
        <v/>
      </c>
      <c r="H160" s="106">
        <f>IF(EJ160="","",IF(ISNUMBER('Dvd Calendar'!$J$1564)=FALSE,"",IF((('Dvd Calendar'!$J$1566=TYPE1)*(TYPE1&lt;&gt;"")+('Dvd Calendar'!$J$1566=TYPE2)*(TYPE2&lt;&gt;"")+('Dvd Calendar'!$J$1566=TYPE3)*(TYPE3&lt;&gt;"")+('Dvd Calendar'!$J$1566=TYPE4)*(TYPE4&lt;&gt;"")+('Dvd Calendar'!$J$1566=SPECIAL_LBL)*(INC_SPECIALS="Y"))=0,"",'Dvd Calendar'!$J$1564)))</f>
        <v/>
      </c>
      <c r="I160" s="106">
        <f>IF(EK160="","",IF(ISNUMBER('Dvd Calendar'!$K$1564)=FALSE,"",IF((('Dvd Calendar'!$K$1566=TYPE1)*(TYPE1&lt;&gt;"")+('Dvd Calendar'!$K$1566=TYPE2)*(TYPE2&lt;&gt;"")+('Dvd Calendar'!$K$1566=TYPE3)*(TYPE3&lt;&gt;"")+('Dvd Calendar'!$K$1566=TYPE4)*(TYPE4&lt;&gt;"")+('Dvd Calendar'!$K$1566=SPECIAL_LBL)*(INC_SPECIALS="Y"))=0,"",'Dvd Calendar'!$K$1564)))</f>
        <v/>
      </c>
      <c r="J160" s="106">
        <f>IF(EL160="","",IF(ISNUMBER('Dvd Calendar'!$L$1564)=FALSE,"",IF((('Dvd Calendar'!$L$1566=TYPE1)*(TYPE1&lt;&gt;"")+('Dvd Calendar'!$L$1566=TYPE2)*(TYPE2&lt;&gt;"")+('Dvd Calendar'!$L$1566=TYPE3)*(TYPE3&lt;&gt;"")+('Dvd Calendar'!$L$1566=TYPE4)*(TYPE4&lt;&gt;"")+('Dvd Calendar'!$L$1566=SPECIAL_LBL)*(INC_SPECIALS="Y"))=0,"",'Dvd Calendar'!$L$1564)))</f>
        <v/>
      </c>
      <c r="K160" s="106">
        <f>IF(EM160="","",IF(ISNUMBER('Dvd Calendar'!$M$1564)=FALSE,"",IF((('Dvd Calendar'!$M$1566=TYPE1)*(TYPE1&lt;&gt;"")+('Dvd Calendar'!$M$1566=TYPE2)*(TYPE2&lt;&gt;"")+('Dvd Calendar'!$M$1566=TYPE3)*(TYPE3&lt;&gt;"")+('Dvd Calendar'!$M$1566=TYPE4)*(TYPE4&lt;&gt;"")+('Dvd Calendar'!$M$1566=SPECIAL_LBL)*(INC_SPECIALS="Y"))=0,"",'Dvd Calendar'!$M$1564)))</f>
        <v/>
      </c>
      <c r="L160" s="106">
        <f>IF(EN160="","",IF(ISNUMBER('Dvd Calendar'!$N$1564)=FALSE,"",IF((('Dvd Calendar'!$N$1566=TYPE1)*(TYPE1&lt;&gt;"")+('Dvd Calendar'!$N$1566=TYPE2)*(TYPE2&lt;&gt;"")+('Dvd Calendar'!$N$1566=TYPE3)*(TYPE3&lt;&gt;"")+('Dvd Calendar'!$N$1566=TYPE4)*(TYPE4&lt;&gt;"")+('Dvd Calendar'!$N$1566=SPECIAL_LBL)*(INC_SPECIALS="Y"))=0,"",'Dvd Calendar'!$N$1564)))</f>
        <v/>
      </c>
      <c r="M160" s="106">
        <f>IF(EO160="","",IF(ISNUMBER('Dvd Calendar'!$O$1564)=FALSE,"",IF((('Dvd Calendar'!$O$1566=TYPE1)*(TYPE1&lt;&gt;"")+('Dvd Calendar'!$O$1566=TYPE2)*(TYPE2&lt;&gt;"")+('Dvd Calendar'!$O$1566=TYPE3)*(TYPE3&lt;&gt;"")+('Dvd Calendar'!$O$1566=TYPE4)*(TYPE4&lt;&gt;"")+('Dvd Calendar'!$O$1566=SPECIAL_LBL)*(INC_SPECIALS="Y"))=0,"",'Dvd Calendar'!$O$1564)))</f>
        <v/>
      </c>
      <c r="N160" s="106">
        <f>IF(EP160="","",IF(ISNUMBER('Dvd Calendar'!$P$1564)=FALSE,"",IF((('Dvd Calendar'!$P$1566=TYPE1)*(TYPE1&lt;&gt;"")+('Dvd Calendar'!$P$1566=TYPE2)*(TYPE2&lt;&gt;"")+('Dvd Calendar'!$P$1566=TYPE3)*(TYPE3&lt;&gt;"")+('Dvd Calendar'!$P$1566=TYPE4)*(TYPE4&lt;&gt;"")+('Dvd Calendar'!$P$1566=SPECIAL_LBL)*(INC_SPECIALS="Y"))=0,"",'Dvd Calendar'!$P$1564)))</f>
        <v/>
      </c>
      <c r="O160" s="106">
        <f>IF(EQ160="","",IF(ISNUMBER('Dvd Calendar'!$Q$1564)=FALSE,"",IF((('Dvd Calendar'!$Q$1566=TYPE1)*(TYPE1&lt;&gt;"")+('Dvd Calendar'!$Q$1566=TYPE2)*(TYPE2&lt;&gt;"")+('Dvd Calendar'!$Q$1566=TYPE3)*(TYPE3&lt;&gt;"")+('Dvd Calendar'!$Q$1566=TYPE4)*(TYPE4&lt;&gt;"")+('Dvd Calendar'!$Q$1566=SPECIAL_LBL)*(INC_SPECIALS="Y"))=0,"",'Dvd Calendar'!$Q$1564)))</f>
        <v/>
      </c>
      <c r="P160" s="106">
        <f>IF(ER160="","",IF(ISNUMBER('Dvd Calendar'!$R$1564)=FALSE,"",IF((('Dvd Calendar'!$R$1566=TYPE1)*(TYPE1&lt;&gt;"")+('Dvd Calendar'!$R$1566=TYPE2)*(TYPE2&lt;&gt;"")+('Dvd Calendar'!$R$1566=TYPE3)*(TYPE3&lt;&gt;"")+('Dvd Calendar'!$R$1566=TYPE4)*(TYPE4&lt;&gt;"")+('Dvd Calendar'!$R$1566=SPECIAL_LBL)*(INC_SPECIALS="Y"))=0,"",'Dvd Calendar'!$R$1564)))</f>
        <v/>
      </c>
      <c r="Q160" s="106">
        <f>IF(ES160="","",IF(ISNUMBER('Dvd Calendar'!$S$1564)=FALSE,"",IF((('Dvd Calendar'!$S$1566=TYPE1)*(TYPE1&lt;&gt;"")+('Dvd Calendar'!$S$1566=TYPE2)*(TYPE2&lt;&gt;"")+('Dvd Calendar'!$S$1566=TYPE3)*(TYPE3&lt;&gt;"")+('Dvd Calendar'!$S$1566=TYPE4)*(TYPE4&lt;&gt;"")+('Dvd Calendar'!$S$1566=SPECIAL_LBL)*(INC_SPECIALS="Y"))=0,"",'Dvd Calendar'!$S$1564)))</f>
        <v/>
      </c>
      <c r="R160" s="106">
        <f>IF(ET160="","",IF(ISNUMBER('Dvd Calendar'!$T$1564)=FALSE,"",IF((('Dvd Calendar'!$T$1566=TYPE1)*(TYPE1&lt;&gt;"")+('Dvd Calendar'!$T$1566=TYPE2)*(TYPE2&lt;&gt;"")+('Dvd Calendar'!$T$1566=TYPE3)*(TYPE3&lt;&gt;"")+('Dvd Calendar'!$T$1566=TYPE4)*(TYPE4&lt;&gt;"")+('Dvd Calendar'!$T$1566=SPECIAL_LBL)*(INC_SPECIALS="Y"))=0,"",'Dvd Calendar'!$T$1564)))</f>
        <v/>
      </c>
      <c r="S160" s="106">
        <f>IF(EU160="","",IF(ISNUMBER('Dvd Calendar'!$U$1564)=FALSE,"",IF((('Dvd Calendar'!$U$1566=TYPE1)*(TYPE1&lt;&gt;"")+('Dvd Calendar'!$U$1566=TYPE2)*(TYPE2&lt;&gt;"")+('Dvd Calendar'!$U$1566=TYPE3)*(TYPE3&lt;&gt;"")+('Dvd Calendar'!$U$1566=TYPE4)*(TYPE4&lt;&gt;"")+('Dvd Calendar'!$U$1566=SPECIAL_LBL)*(INC_SPECIALS="Y"))=0,"",'Dvd Calendar'!$U$1564)))</f>
        <v/>
      </c>
      <c r="T160" s="106">
        <f>IF(EV160="","",IF(ISNUMBER('Dvd Calendar'!$V$1564)=FALSE,"",IF((('Dvd Calendar'!$V$1566=TYPE1)*(TYPE1&lt;&gt;"")+('Dvd Calendar'!$V$1566=TYPE2)*(TYPE2&lt;&gt;"")+('Dvd Calendar'!$V$1566=TYPE3)*(TYPE3&lt;&gt;"")+('Dvd Calendar'!$V$1566=TYPE4)*(TYPE4&lt;&gt;"")+('Dvd Calendar'!$V$1566=SPECIAL_LBL)*(INC_SPECIALS="Y"))=0,"",'Dvd Calendar'!$V$1564)))</f>
        <v/>
      </c>
      <c r="U160" s="106">
        <f>IF(EW160="","",IF(ISNUMBER('Dvd Calendar'!$W$1564)=FALSE,"",IF((('Dvd Calendar'!$W$1566=TYPE1)*(TYPE1&lt;&gt;"")+('Dvd Calendar'!$W$1566=TYPE2)*(TYPE2&lt;&gt;"")+('Dvd Calendar'!$W$1566=TYPE3)*(TYPE3&lt;&gt;"")+('Dvd Calendar'!$W$1566=TYPE4)*(TYPE4&lt;&gt;"")+('Dvd Calendar'!$W$1566=SPECIAL_LBL)*(INC_SPECIALS="Y"))=0,"",'Dvd Calendar'!$W$1564)))</f>
        <v/>
      </c>
      <c r="V160" s="106">
        <f>IF(EX160="","",IF(ISNUMBER('Dvd Calendar'!$X$1564)=FALSE,"",IF((('Dvd Calendar'!$X$1566=TYPE1)*(TYPE1&lt;&gt;"")+('Dvd Calendar'!$X$1566=TYPE2)*(TYPE2&lt;&gt;"")+('Dvd Calendar'!$X$1566=TYPE3)*(TYPE3&lt;&gt;"")+('Dvd Calendar'!$X$1566=TYPE4)*(TYPE4&lt;&gt;"")+('Dvd Calendar'!$X$1566=SPECIAL_LBL)*(INC_SPECIALS="Y"))=0,"",'Dvd Calendar'!$X$1564)))</f>
        <v/>
      </c>
      <c r="W160" s="106">
        <f>IF(EY160="","",IF(ISNUMBER('Dvd Calendar'!$Y$1564)=FALSE,"",IF((('Dvd Calendar'!$Y$1566=TYPE1)*(TYPE1&lt;&gt;"")+('Dvd Calendar'!$Y$1566=TYPE2)*(TYPE2&lt;&gt;"")+('Dvd Calendar'!$Y$1566=TYPE3)*(TYPE3&lt;&gt;"")+('Dvd Calendar'!$Y$1566=TYPE4)*(TYPE4&lt;&gt;"")+('Dvd Calendar'!$Y$1566=SPECIAL_LBL)*(INC_SPECIALS="Y"))=0,"",'Dvd Calendar'!$Y$1564)))</f>
        <v/>
      </c>
      <c r="X160" s="106">
        <f>IF(EZ160="","",IF(ISNUMBER('Dvd Calendar'!$Z$1564)=FALSE,"",IF((('Dvd Calendar'!$Z$1566=TYPE1)*(TYPE1&lt;&gt;"")+('Dvd Calendar'!$Z$1566=TYPE2)*(TYPE2&lt;&gt;"")+('Dvd Calendar'!$Z$1566=TYPE3)*(TYPE3&lt;&gt;"")+('Dvd Calendar'!$Z$1566=TYPE4)*(TYPE4&lt;&gt;"")+('Dvd Calendar'!$Z$1566=SPECIAL_LBL)*(INC_SPECIALS="Y"))=0,"",'Dvd Calendar'!$Z$1564)))</f>
        <v/>
      </c>
      <c r="Y160" s="106">
        <f>IF(FA160="","",IF(ISNUMBER('Dvd Calendar'!$AA$1564)=FALSE,"",IF((('Dvd Calendar'!$AA$1566=TYPE1)*(TYPE1&lt;&gt;"")+('Dvd Calendar'!$AA$1566=TYPE2)*(TYPE2&lt;&gt;"")+('Dvd Calendar'!$AA$1566=TYPE3)*(TYPE3&lt;&gt;"")+('Dvd Calendar'!$AA$1566=TYPE4)*(TYPE4&lt;&gt;"")+('Dvd Calendar'!$AA$1566=SPECIAL_LBL)*(INC_SPECIALS="Y"))=0,"",'Dvd Calendar'!$AA$1564)))</f>
        <v/>
      </c>
      <c r="Z160" s="106">
        <f>IF(FB160="","",IF(ISNUMBER('Dvd Calendar'!$AB$1564)=FALSE,"",IF((('Dvd Calendar'!$AB$1566=TYPE1)*(TYPE1&lt;&gt;"")+('Dvd Calendar'!$AB$1566=TYPE2)*(TYPE2&lt;&gt;"")+('Dvd Calendar'!$AB$1566=TYPE3)*(TYPE3&lt;&gt;"")+('Dvd Calendar'!$AB$1566=TYPE4)*(TYPE4&lt;&gt;"")+('Dvd Calendar'!$AB$1566=SPECIAL_LBL)*(INC_SPECIALS="Y"))=0,"",'Dvd Calendar'!$AB$1564)))</f>
        <v/>
      </c>
      <c r="AA160" s="106">
        <f>IF(FC160="","",IF(ISNUMBER('Dvd Calendar'!$AC$1564)=FALSE,"",IF((('Dvd Calendar'!$AC$1566=TYPE1)*(TYPE1&lt;&gt;"")+('Dvd Calendar'!$AC$1566=TYPE2)*(TYPE2&lt;&gt;"")+('Dvd Calendar'!$AC$1566=TYPE3)*(TYPE3&lt;&gt;"")+('Dvd Calendar'!$AC$1566=TYPE4)*(TYPE4&lt;&gt;"")+('Dvd Calendar'!$AC$1566=SPECIAL_LBL)*(INC_SPECIALS="Y"))=0,"",'Dvd Calendar'!$AC$1564)))</f>
        <v/>
      </c>
      <c r="AB160" s="106">
        <f>IF(FD160="","",IF(ISNUMBER('Dvd Calendar'!$AD$1564)=FALSE,"",IF((('Dvd Calendar'!$AD$1566=TYPE1)*(TYPE1&lt;&gt;"")+('Dvd Calendar'!$AD$1566=TYPE2)*(TYPE2&lt;&gt;"")+('Dvd Calendar'!$AD$1566=TYPE3)*(TYPE3&lt;&gt;"")+('Dvd Calendar'!$AD$1566=TYPE4)*(TYPE4&lt;&gt;"")+('Dvd Calendar'!$AD$1566=SPECIAL_LBL)*(INC_SPECIALS="Y"))=0,"",'Dvd Calendar'!$AD$1564)))</f>
        <v/>
      </c>
      <c r="AC160" s="106">
        <f>IF(FE160="","",IF(ISNUMBER('Dvd Calendar'!$AE$1564)=FALSE,"",IF((('Dvd Calendar'!$AE$1566=TYPE1)*(TYPE1&lt;&gt;"")+('Dvd Calendar'!$AE$1566=TYPE2)*(TYPE2&lt;&gt;"")+('Dvd Calendar'!$AE$1566=TYPE3)*(TYPE3&lt;&gt;"")+('Dvd Calendar'!$AE$1566=TYPE4)*(TYPE4&lt;&gt;"")+('Dvd Calendar'!$AE$1566=SPECIAL_LBL)*(INC_SPECIALS="Y"))=0,"",'Dvd Calendar'!$AE$1564)))</f>
        <v/>
      </c>
      <c r="AD160" s="106">
        <f>IF(FF160="","",IF(ISNUMBER('Dvd Calendar'!$AF$1564)=FALSE,"",IF((('Dvd Calendar'!$AF$1566=TYPE1)*(TYPE1&lt;&gt;"")+('Dvd Calendar'!$AF$1566=TYPE2)*(TYPE2&lt;&gt;"")+('Dvd Calendar'!$AF$1566=TYPE3)*(TYPE3&lt;&gt;"")+('Dvd Calendar'!$AF$1566=TYPE4)*(TYPE4&lt;&gt;"")+('Dvd Calendar'!$AF$1566=SPECIAL_LBL)*(INC_SPECIALS="Y"))=0,"",'Dvd Calendar'!$AF$1564)))</f>
        <v/>
      </c>
      <c r="AE160" s="106">
        <f>IF(FG160="","",IF(ISNUMBER('Dvd Calendar'!$AG$1564)=FALSE,"",IF((('Dvd Calendar'!$AG$1566=TYPE1)*(TYPE1&lt;&gt;"")+('Dvd Calendar'!$AG$1566=TYPE2)*(TYPE2&lt;&gt;"")+('Dvd Calendar'!$AG$1566=TYPE3)*(TYPE3&lt;&gt;"")+('Dvd Calendar'!$AG$1566=TYPE4)*(TYPE4&lt;&gt;"")+('Dvd Calendar'!$AG$1566=SPECIAL_LBL)*(INC_SPECIALS="Y"))=0,"",'Dvd Calendar'!$AG$1564)))</f>
        <v/>
      </c>
      <c r="AF160" s="106">
        <f>IF(FH160="","",IF(ISNUMBER('Dvd Calendar'!$AH$1564)=FALSE,"",IF((('Dvd Calendar'!$AH$1566=TYPE1)*(TYPE1&lt;&gt;"")+('Dvd Calendar'!$AH$1566=TYPE2)*(TYPE2&lt;&gt;"")+('Dvd Calendar'!$AH$1566=TYPE3)*(TYPE3&lt;&gt;"")+('Dvd Calendar'!$AH$1566=TYPE4)*(TYPE4&lt;&gt;"")+('Dvd Calendar'!$AH$1566=SPECIAL_LBL)*(INC_SPECIALS="Y"))=0,"",'Dvd Calendar'!$AH$1564)))</f>
        <v/>
      </c>
      <c r="AG160" s="106">
        <f>IF(FI160="","",IF(ISNUMBER('Dvd Calendar'!$AI$1564)=FALSE,"",IF((('Dvd Calendar'!$AI$1566=TYPE1)*(TYPE1&lt;&gt;"")+('Dvd Calendar'!$AI$1566=TYPE2)*(TYPE2&lt;&gt;"")+('Dvd Calendar'!$AI$1566=TYPE3)*(TYPE3&lt;&gt;"")+('Dvd Calendar'!$AI$1566=TYPE4)*(TYPE4&lt;&gt;"")+('Dvd Calendar'!$AI$1566=SPECIAL_LBL)*(INC_SPECIALS="Y"))=0,"",'Dvd Calendar'!$AI$1564)))</f>
        <v/>
      </c>
      <c r="AH160" s="106">
        <f>IF(FJ160="","",IF(ISNUMBER('Dvd Calendar'!$AJ$1564)=FALSE,"",IF((('Dvd Calendar'!$AJ$1566=TYPE1)*(TYPE1&lt;&gt;"")+('Dvd Calendar'!$AJ$1566=TYPE2)*(TYPE2&lt;&gt;"")+('Dvd Calendar'!$AJ$1566=TYPE3)*(TYPE3&lt;&gt;"")+('Dvd Calendar'!$AJ$1566=TYPE4)*(TYPE4&lt;&gt;"")+('Dvd Calendar'!$AJ$1566=SPECIAL_LBL)*(INC_SPECIALS="Y"))=0,"",'Dvd Calendar'!$AJ$1564)))</f>
        <v/>
      </c>
      <c r="AI160" s="106">
        <f>IF(FK160="","",IF(ISNUMBER('Dvd Calendar'!$AK$1564)=FALSE,"",IF((('Dvd Calendar'!$AK$1566=TYPE1)*(TYPE1&lt;&gt;"")+('Dvd Calendar'!$AK$1566=TYPE2)*(TYPE2&lt;&gt;"")+('Dvd Calendar'!$AK$1566=TYPE3)*(TYPE3&lt;&gt;"")+('Dvd Calendar'!$AK$1566=TYPE4)*(TYPE4&lt;&gt;"")+('Dvd Calendar'!$AK$1566=SPECIAL_LBL)*(INC_SPECIALS="Y"))=0,"",'Dvd Calendar'!$AK$1564)))</f>
        <v/>
      </c>
      <c r="AJ160" s="106">
        <f>IF(FL160="","",IF(ISNUMBER('Dvd Calendar'!$AL$1564)=FALSE,"",IF((('Dvd Calendar'!$AL$1566=TYPE1)*(TYPE1&lt;&gt;"")+('Dvd Calendar'!$AL$1566=TYPE2)*(TYPE2&lt;&gt;"")+('Dvd Calendar'!$AL$1566=TYPE3)*(TYPE3&lt;&gt;"")+('Dvd Calendar'!$AL$1566=TYPE4)*(TYPE4&lt;&gt;"")+('Dvd Calendar'!$AL$1566=SPECIAL_LBL)*(INC_SPECIALS="Y"))=0,"",'Dvd Calendar'!$AL$1564)))</f>
        <v/>
      </c>
      <c r="AK160" s="106">
        <f>IF(FM160="","",IF(ISNUMBER('Dvd Calendar'!$AM$1564)=FALSE,"",IF((('Dvd Calendar'!$AM$1566=TYPE1)*(TYPE1&lt;&gt;"")+('Dvd Calendar'!$AM$1566=TYPE2)*(TYPE2&lt;&gt;"")+('Dvd Calendar'!$AM$1566=TYPE3)*(TYPE3&lt;&gt;"")+('Dvd Calendar'!$AM$1566=TYPE4)*(TYPE4&lt;&gt;"")+('Dvd Calendar'!$AM$1566=SPECIAL_LBL)*(INC_SPECIALS="Y"))=0,"",'Dvd Calendar'!$AM$1564)))</f>
        <v/>
      </c>
      <c r="AL160" s="106">
        <f>IF(FN160="","",IF(ISNUMBER('Dvd Calendar'!$AN$1564)=FALSE,"",IF((('Dvd Calendar'!$AN$1566=TYPE1)*(TYPE1&lt;&gt;"")+('Dvd Calendar'!$AN$1566=TYPE2)*(TYPE2&lt;&gt;"")+('Dvd Calendar'!$AN$1566=TYPE3)*(TYPE3&lt;&gt;"")+('Dvd Calendar'!$AN$1566=TYPE4)*(TYPE4&lt;&gt;"")+('Dvd Calendar'!$AN$1566=SPECIAL_LBL)*(INC_SPECIALS="Y"))=0,"",'Dvd Calendar'!$AN$1564)))</f>
        <v/>
      </c>
      <c r="AM160" s="106">
        <f>IF(FO160="","",IF(ISNUMBER('Dvd Calendar'!$AO$1564)=FALSE,"",IF((('Dvd Calendar'!$AO$1566=TYPE1)*(TYPE1&lt;&gt;"")+('Dvd Calendar'!$AO$1566=TYPE2)*(TYPE2&lt;&gt;"")+('Dvd Calendar'!$AO$1566=TYPE3)*(TYPE3&lt;&gt;"")+('Dvd Calendar'!$AO$1566=TYPE4)*(TYPE4&lt;&gt;"")+('Dvd Calendar'!$AO$1566=SPECIAL_LBL)*(INC_SPECIALS="Y"))=0,"",'Dvd Calendar'!$AO$1564)))</f>
        <v/>
      </c>
      <c r="AN160" s="106">
        <f>IF(FP160="","",IF(ISNUMBER('Dvd Calendar'!$AP$1564)=FALSE,"",IF((('Dvd Calendar'!$AP$1566=TYPE1)*(TYPE1&lt;&gt;"")+('Dvd Calendar'!$AP$1566=TYPE2)*(TYPE2&lt;&gt;"")+('Dvd Calendar'!$AP$1566=TYPE3)*(TYPE3&lt;&gt;"")+('Dvd Calendar'!$AP$1566=TYPE4)*(TYPE4&lt;&gt;"")+('Dvd Calendar'!$AP$1566=SPECIAL_LBL)*(INC_SPECIALS="Y"))=0,"",'Dvd Calendar'!$AP$1564)))</f>
        <v/>
      </c>
      <c r="AO160" s="106">
        <f>IF(FQ160="","",IF(ISNUMBER('Dvd Calendar'!$AQ$1564)=FALSE,"",IF((('Dvd Calendar'!$AQ$1566=TYPE1)*(TYPE1&lt;&gt;"")+('Dvd Calendar'!$AQ$1566=TYPE2)*(TYPE2&lt;&gt;"")+('Dvd Calendar'!$AQ$1566=TYPE3)*(TYPE3&lt;&gt;"")+('Dvd Calendar'!$AQ$1566=TYPE4)*(TYPE4&lt;&gt;"")+('Dvd Calendar'!$AQ$1566=SPECIAL_LBL)*(INC_SPECIALS="Y"))=0,"",'Dvd Calendar'!$AQ$1564)))</f>
        <v/>
      </c>
      <c r="AP160" s="106">
        <f>IF(FR160="","",IF(ISNUMBER('Dvd Calendar'!$AR$1564)=FALSE,"",IF((('Dvd Calendar'!$AR$1566=TYPE1)*(TYPE1&lt;&gt;"")+('Dvd Calendar'!$AR$1566=TYPE2)*(TYPE2&lt;&gt;"")+('Dvd Calendar'!$AR$1566=TYPE3)*(TYPE3&lt;&gt;"")+('Dvd Calendar'!$AR$1566=TYPE4)*(TYPE4&lt;&gt;"")+('Dvd Calendar'!$AR$1566=SPECIAL_LBL)*(INC_SPECIALS="Y"))=0,"",'Dvd Calendar'!$AR$1564)))</f>
        <v/>
      </c>
      <c r="AQ160" s="106">
        <f>IF(FS160="","",IF(ISNUMBER('Dvd Calendar'!$E$1569)=FALSE,"",'Dvd Calendar'!$E$1569))</f>
        <v/>
      </c>
      <c r="AR160" s="106">
        <f>IF(FT160="","",IF(ISNUMBER('Dvd Calendar'!$F$1569)=FALSE,"",'Dvd Calendar'!$F$1569))</f>
        <v/>
      </c>
      <c r="AS160" s="106">
        <f>IF(FU160="","",IF(ISNUMBER('Dvd Calendar'!$G$1569)=FALSE,"",'Dvd Calendar'!$G$1569))</f>
        <v/>
      </c>
      <c r="AT160" s="106">
        <f>IF(FV160="","",IF(ISNUMBER('Dvd Calendar'!$H$1569)=FALSE,"",'Dvd Calendar'!$H$1569))</f>
        <v/>
      </c>
      <c r="AU160" s="106">
        <f>IF(FW160="","",IF(ISNUMBER('Dvd Calendar'!$I$1569)=FALSE,"",'Dvd Calendar'!$I$1569))</f>
        <v/>
      </c>
      <c r="AV160" s="106">
        <f>IF(FX160="","",IF(ISNUMBER('Dvd Calendar'!$J$1569)=FALSE,"",'Dvd Calendar'!$J$1569))</f>
        <v/>
      </c>
      <c r="AW160" s="106">
        <f>IF(FY160="","",IF(ISNUMBER('Dvd Calendar'!$K$1569)=FALSE,"",'Dvd Calendar'!$K$1569))</f>
        <v/>
      </c>
      <c r="AX160" s="106">
        <f>IF(FZ160="","",IF(ISNUMBER('Dvd Calendar'!$L$1569)=FALSE,"",'Dvd Calendar'!$L$1569))</f>
        <v/>
      </c>
      <c r="AY160" s="106">
        <f>IF(GA160="","",IF(ISNUMBER('Dvd Calendar'!$M$1569)=FALSE,"",'Dvd Calendar'!$M$1569))</f>
        <v/>
      </c>
      <c r="AZ160" s="106">
        <f>IF(GB160="","",IF(ISNUMBER('Dvd Calendar'!$N$1569)=FALSE,"",'Dvd Calendar'!$N$1569))</f>
        <v/>
      </c>
      <c r="BA160" s="106">
        <f>IF(GC160="","",IF(ISNUMBER('Dvd Calendar'!$O$1569)=FALSE,"",'Dvd Calendar'!$O$1569))</f>
        <v/>
      </c>
      <c r="BB160" s="106">
        <f>IF(GD160="","",IF(ISNUMBER('Dvd Calendar'!$P$1569)=FALSE,"",'Dvd Calendar'!$P$1569))</f>
        <v/>
      </c>
      <c r="BC160" s="106">
        <f>IF(GE160="","",IF(ISNUMBER('Dvd Calendar'!$Q$1569)=FALSE,"",'Dvd Calendar'!$Q$1569))</f>
        <v/>
      </c>
      <c r="BD160" s="106">
        <f>IF(GF160="","",IF(ISNUMBER('Dvd Calendar'!$R$1569)=FALSE,"",'Dvd Calendar'!$R$1569))</f>
        <v/>
      </c>
      <c r="BE160" s="106">
        <f>IF(GG160="","",IF(ISNUMBER('Dvd Calendar'!$S$1569)=FALSE,"",'Dvd Calendar'!$S$1569))</f>
        <v/>
      </c>
      <c r="BF160" s="106">
        <f>IF(GH160="","",IF(ISNUMBER('Dvd Calendar'!$T$1569)=FALSE,"",'Dvd Calendar'!$T$1569))</f>
        <v/>
      </c>
      <c r="BG160" s="106">
        <f>IF(GI160="","",IF(ISNUMBER('Dvd Calendar'!$U$1569)=FALSE,"",'Dvd Calendar'!$U$1569))</f>
        <v/>
      </c>
      <c r="BH160" s="106">
        <f>IF(GJ160="","",IF(ISNUMBER('Dvd Calendar'!$V$1569)=FALSE,"",'Dvd Calendar'!$V$1569))</f>
        <v/>
      </c>
      <c r="BI160" s="106">
        <f>IF(GK160="","",IF(ISNUMBER('Dvd Calendar'!$W$1569)=FALSE,"",'Dvd Calendar'!$W$1569))</f>
        <v/>
      </c>
      <c r="BJ160" s="106">
        <f>IF(GL160="","",IF(ISNUMBER('Dvd Calendar'!$X$1569)=FALSE,"",'Dvd Calendar'!$X$1569))</f>
        <v/>
      </c>
      <c r="BK160" s="106">
        <f>IF(GM160="","",IF(ISNUMBER('Dvd Calendar'!$Y$1569)=FALSE,"",'Dvd Calendar'!$Y$1569))</f>
        <v/>
      </c>
      <c r="BL160" s="106">
        <f>IF(GN160="","",IF(ISNUMBER('Dvd Calendar'!$Z$1569)=FALSE,"",'Dvd Calendar'!$Z$1569))</f>
        <v/>
      </c>
      <c r="BM160" s="106">
        <f>IF(GO160="","",IF(ISNUMBER('Dvd Calendar'!$AA$1569)=FALSE,"",'Dvd Calendar'!$AA$1569))</f>
        <v/>
      </c>
      <c r="BN160" s="106">
        <f>IF(GP160="","",IF(ISNUMBER('Dvd Calendar'!$AB$1569)=FALSE,"",'Dvd Calendar'!$AB$1569))</f>
        <v/>
      </c>
      <c r="BO160" s="106">
        <f>IF(GQ160="","",IF(ISNUMBER('Dvd Calendar'!$AC$1569)=FALSE,"",'Dvd Calendar'!$AC$1569))</f>
        <v/>
      </c>
      <c r="BQ160" s="106">
        <f>IF(C160="","",IFERROR(C160*HSCEI!$B$7*HSCEI!$G$7/HSCEI!$B$3,""))</f>
        <v/>
      </c>
      <c r="BR160" s="106">
        <f>IF(D160="","",IFERROR(D160*HSCEI!$B$7*HSCEI!$G$7/HSCEI!$B$3,""))</f>
        <v/>
      </c>
      <c r="BS160" s="106">
        <f>IF(E160="","",IFERROR(E160*HSCEI!$B$7*HSCEI!$G$7/HSCEI!$B$3,""))</f>
        <v/>
      </c>
      <c r="BT160" s="106">
        <f>IF(F160="","",IFERROR(F160*HSCEI!$B$7*HSCEI!$G$7/HSCEI!$B$3,""))</f>
        <v/>
      </c>
      <c r="BU160" s="106">
        <f>IF(G160="","",IFERROR(G160*HSCEI!$B$7*HSCEI!$G$7/HSCEI!$B$3,""))</f>
        <v/>
      </c>
      <c r="BV160" s="106">
        <f>IF(H160="","",IFERROR(H160*HSCEI!$B$7*HSCEI!$G$7/HSCEI!$B$3,""))</f>
        <v/>
      </c>
      <c r="BW160" s="106">
        <f>IF(I160="","",IFERROR(I160*HSCEI!$B$7*HSCEI!$G$7/HSCEI!$B$3,""))</f>
        <v/>
      </c>
      <c r="BX160" s="106">
        <f>IF(J160="","",IFERROR(J160*HSCEI!$B$7*HSCEI!$G$7/HSCEI!$B$3,""))</f>
        <v/>
      </c>
      <c r="BY160" s="106">
        <f>IF(K160="","",IFERROR(K160*HSCEI!$B$7*HSCEI!$G$7/HSCEI!$B$3,""))</f>
        <v/>
      </c>
      <c r="BZ160" s="106">
        <f>IF(L160="","",IFERROR(L160*HSCEI!$B$7*HSCEI!$G$7/HSCEI!$B$3,""))</f>
        <v/>
      </c>
      <c r="CA160" s="106">
        <f>IF(M160="","",IFERROR(M160*HSCEI!$B$7*HSCEI!$G$7/HSCEI!$B$3,""))</f>
        <v/>
      </c>
      <c r="CB160" s="106">
        <f>IF(N160="","",IFERROR(N160*HSCEI!$B$7*HSCEI!$G$7/HSCEI!$B$3,""))</f>
        <v/>
      </c>
      <c r="CC160" s="106">
        <f>IF(O160="","",IFERROR(O160*HSCEI!$B$7*HSCEI!$G$7/HSCEI!$B$3,""))</f>
        <v/>
      </c>
      <c r="CD160" s="106">
        <f>IF(P160="","",IFERROR(P160*HSCEI!$B$7*HSCEI!$G$7/HSCEI!$B$3,""))</f>
        <v/>
      </c>
      <c r="CE160" s="106">
        <f>IF(Q160="","",IFERROR(Q160*HSCEI!$B$7*HSCEI!$G$7/HSCEI!$B$3,""))</f>
        <v/>
      </c>
      <c r="CF160" s="106">
        <f>IF(R160="","",IFERROR(R160*HSCEI!$B$7*HSCEI!$G$7/HSCEI!$B$3,""))</f>
        <v/>
      </c>
      <c r="CG160" s="106">
        <f>IF(S160="","",IFERROR(S160*HSCEI!$B$7*HSCEI!$G$7/HSCEI!$B$3,""))</f>
        <v/>
      </c>
      <c r="CH160" s="106">
        <f>IF(T160="","",IFERROR(T160*HSCEI!$B$7*HSCEI!$G$7/HSCEI!$B$3,""))</f>
        <v/>
      </c>
      <c r="CI160" s="106">
        <f>IF(U160="","",IFERROR(U160*HSCEI!$B$7*HSCEI!$G$7/HSCEI!$B$3,""))</f>
        <v/>
      </c>
      <c r="CJ160" s="106">
        <f>IF(V160="","",IFERROR(V160*HSCEI!$B$7*HSCEI!$G$7/HSCEI!$B$3,""))</f>
        <v/>
      </c>
      <c r="CK160" s="106">
        <f>IF(W160="","",IFERROR(W160*HSCEI!$B$7*HSCEI!$G$7/HSCEI!$B$3,""))</f>
        <v/>
      </c>
      <c r="CL160" s="106">
        <f>IF(X160="","",IFERROR(X160*HSCEI!$B$7*HSCEI!$G$7/HSCEI!$B$3,""))</f>
        <v/>
      </c>
      <c r="CM160" s="106">
        <f>IF(Y160="","",IFERROR(Y160*HSCEI!$B$7*HSCEI!$G$7/HSCEI!$B$3,""))</f>
        <v/>
      </c>
      <c r="CN160" s="106">
        <f>IF(Z160="","",IFERROR(Z160*HSCEI!$B$7*HSCEI!$G$7/HSCEI!$B$3,""))</f>
        <v/>
      </c>
      <c r="CO160" s="106">
        <f>IF(AA160="","",IFERROR(AA160*HSCEI!$B$7*HSCEI!$G$7/HSCEI!$B$3,""))</f>
        <v/>
      </c>
      <c r="CP160" s="106">
        <f>IF(AB160="","",IFERROR(AB160*HSCEI!$B$7*HSCEI!$G$7/HSCEI!$B$3,""))</f>
        <v/>
      </c>
      <c r="CQ160" s="106">
        <f>IF(AC160="","",IFERROR(AC160*HSCEI!$B$7*HSCEI!$G$7/HSCEI!$B$3,""))</f>
        <v/>
      </c>
      <c r="CR160" s="106">
        <f>IF(AD160="","",IFERROR(AD160*HSCEI!$B$7*HSCEI!$G$7/HSCEI!$B$3,""))</f>
        <v/>
      </c>
      <c r="CS160" s="106">
        <f>IF(AE160="","",IFERROR(AE160*HSCEI!$B$7*HSCEI!$G$7/HSCEI!$B$3,""))</f>
        <v/>
      </c>
      <c r="CT160" s="106">
        <f>IF(AF160="","",IFERROR(AF160*HSCEI!$B$7*HSCEI!$G$7/HSCEI!$B$3,""))</f>
        <v/>
      </c>
      <c r="CU160" s="106">
        <f>IF(AG160="","",IFERROR(AG160*HSCEI!$B$7*HSCEI!$G$7/HSCEI!$B$3,""))</f>
        <v/>
      </c>
      <c r="CV160" s="106">
        <f>IF(AH160="","",IFERROR(AH160*HSCEI!$B$7*HSCEI!$G$7/HSCEI!$B$3,""))</f>
        <v/>
      </c>
      <c r="CW160" s="106">
        <f>IF(AI160="","",IFERROR(AI160*HSCEI!$B$7*HSCEI!$G$7/HSCEI!$B$3,""))</f>
        <v/>
      </c>
      <c r="CX160" s="106">
        <f>IF(AJ160="","",IFERROR(AJ160*HSCEI!$B$7*HSCEI!$G$7/HSCEI!$B$3,""))</f>
        <v/>
      </c>
      <c r="CY160" s="106">
        <f>IF(AK160="","",IFERROR(AK160*HSCEI!$B$7*HSCEI!$G$7/HSCEI!$B$3,""))</f>
        <v/>
      </c>
      <c r="CZ160" s="106">
        <f>IF(AL160="","",IFERROR(AL160*HSCEI!$B$7*HSCEI!$G$7/HSCEI!$B$3,""))</f>
        <v/>
      </c>
      <c r="DA160" s="106">
        <f>IF(AM160="","",IFERROR(AM160*HSCEI!$B$7*HSCEI!$G$7/HSCEI!$B$3,""))</f>
        <v/>
      </c>
      <c r="DB160" s="106">
        <f>IF(AN160="","",IFERROR(AN160*HSCEI!$B$7*HSCEI!$G$7/HSCEI!$B$3,""))</f>
        <v/>
      </c>
      <c r="DC160" s="106">
        <f>IF(AO160="","",IFERROR(AO160*HSCEI!$B$7*HSCEI!$G$7/HSCEI!$B$3,""))</f>
        <v/>
      </c>
      <c r="DD160" s="106">
        <f>IF(AP160="","",IFERROR(AP160*HSCEI!$B$7*HSCEI!$G$7/HSCEI!$B$3,""))</f>
        <v/>
      </c>
      <c r="DE160" s="106">
        <f>IF(AQ160="","",IFERROR(AQ160*HSCEI!$B$7*HSCEI!$G$7/HSCEI!$B$3,""))</f>
        <v/>
      </c>
      <c r="DF160" s="106">
        <f>IF(AR160="","",IFERROR(AR160*HSCEI!$B$7*HSCEI!$G$7/HSCEI!$B$3,""))</f>
        <v/>
      </c>
      <c r="DG160" s="106">
        <f>IF(AS160="","",IFERROR(AS160*HSCEI!$B$7*HSCEI!$G$7/HSCEI!$B$3,""))</f>
        <v/>
      </c>
      <c r="DH160" s="106">
        <f>IF(AT160="","",IFERROR(AT160*HSCEI!$B$7*HSCEI!$G$7/HSCEI!$B$3,""))</f>
        <v/>
      </c>
      <c r="DI160" s="106">
        <f>IF(AU160="","",IFERROR(AU160*HSCEI!$B$7*HSCEI!$G$7/HSCEI!$B$3,""))</f>
        <v/>
      </c>
      <c r="DJ160" s="106">
        <f>IF(AV160="","",IFERROR(AV160*HSCEI!$B$7*HSCEI!$G$7/HSCEI!$B$3,""))</f>
        <v/>
      </c>
      <c r="DK160" s="106">
        <f>IF(AW160="","",IFERROR(AW160*HSCEI!$B$7*HSCEI!$G$7/HSCEI!$B$3,""))</f>
        <v/>
      </c>
      <c r="DL160" s="106">
        <f>IF(AX160="","",IFERROR(AX160*HSCEI!$B$7*HSCEI!$G$7/HSCEI!$B$3,""))</f>
        <v/>
      </c>
      <c r="DM160" s="106">
        <f>IF(AY160="","",IFERROR(AY160*HSCEI!$B$7*HSCEI!$G$7/HSCEI!$B$3,""))</f>
        <v/>
      </c>
      <c r="DN160" s="106">
        <f>IF(AZ160="","",IFERROR(AZ160*HSCEI!$B$7*HSCEI!$G$7/HSCEI!$B$3,""))</f>
        <v/>
      </c>
      <c r="DO160" s="106">
        <f>IF(BA160="","",IFERROR(BA160*HSCEI!$B$7*HSCEI!$G$7/HSCEI!$B$3,""))</f>
        <v/>
      </c>
      <c r="DP160" s="106">
        <f>IF(BB160="","",IFERROR(BB160*HSCEI!$B$7*HSCEI!$G$7/HSCEI!$B$3,""))</f>
        <v/>
      </c>
      <c r="DQ160" s="106">
        <f>IF(BC160="","",IFERROR(BC160*HSCEI!$B$7*HSCEI!$G$7/HSCEI!$B$3,""))</f>
        <v/>
      </c>
      <c r="DR160" s="106">
        <f>IF(BD160="","",IFERROR(BD160*HSCEI!$B$7*HSCEI!$G$7/HSCEI!$B$3,""))</f>
        <v/>
      </c>
      <c r="DS160" s="106">
        <f>IF(BE160="","",IFERROR(BE160*HSCEI!$B$7*HSCEI!$G$7/HSCEI!$B$3,""))</f>
        <v/>
      </c>
      <c r="DT160" s="106">
        <f>IF(BF160="","",IFERROR(BF160*HSCEI!$B$7*HSCEI!$G$7/HSCEI!$B$3,""))</f>
        <v/>
      </c>
      <c r="DU160" s="106">
        <f>IF(BG160="","",IFERROR(BG160*HSCEI!$B$7*HSCEI!$G$7/HSCEI!$B$3,""))</f>
        <v/>
      </c>
      <c r="DV160" s="106">
        <f>IF(BH160="","",IFERROR(BH160*HSCEI!$B$7*HSCEI!$G$7/HSCEI!$B$3,""))</f>
        <v/>
      </c>
      <c r="DW160" s="106">
        <f>IF(BI160="","",IFERROR(BI160*HSCEI!$B$7*HSCEI!$G$7/HSCEI!$B$3,""))</f>
        <v/>
      </c>
      <c r="DX160" s="106">
        <f>IF(BJ160="","",IFERROR(BJ160*HSCEI!$B$7*HSCEI!$G$7/HSCEI!$B$3,""))</f>
        <v/>
      </c>
      <c r="DY160" s="106">
        <f>IF(BK160="","",IFERROR(BK160*HSCEI!$B$7*HSCEI!$G$7/HSCEI!$B$3,""))</f>
        <v/>
      </c>
      <c r="DZ160" s="106">
        <f>IF(BL160="","",IFERROR(BL160*HSCEI!$B$7*HSCEI!$G$7/HSCEI!$B$3,""))</f>
        <v/>
      </c>
      <c r="EA160" s="106">
        <f>IF(BM160="","",IFERROR(BM160*HSCEI!$B$7*HSCEI!$G$7/HSCEI!$B$3,""))</f>
        <v/>
      </c>
      <c r="EB160" s="106">
        <f>IF(BN160="","",IFERROR(BN160*HSCEI!$B$7*HSCEI!$G$7/HSCEI!$B$3,""))</f>
        <v/>
      </c>
      <c r="EC160" s="106">
        <f>IF(BO160="","",IFERROR(BO160*HSCEI!$B$7*HSCEI!$G$7/HSCEI!$B$3,""))</f>
        <v/>
      </c>
      <c r="EE160" s="35">
        <f>IF(N('Dvd Calendar'!$E$1561)=0,"",IF(('Dvd Calendar'!$E$1561&gt;=GRID_FROM)*('Dvd Calendar'!$E$1561&lt;=GRID_TO)*('Dvd Calendar'!$E$1561&lt;=VAL_DATE)=0,"",'Dvd Calendar'!$E$1561*1000000000+ISNUMBER('Dvd Calendar'!$E$1564)*100000000+('Dvd Calendar'!$E$1566=SPECIAL_LBL)*10000000+0*1000000+1*1000+1))</f>
        <v/>
      </c>
      <c r="EF160" s="35">
        <f>IF(N('Dvd Calendar'!$F$1561)=0,"",IF(('Dvd Calendar'!$F$1561&gt;=GRID_FROM)*('Dvd Calendar'!$F$1561&lt;=GRID_TO)*('Dvd Calendar'!$F$1561&lt;=VAL_DATE)=0,"",'Dvd Calendar'!$F$1561*1000000000+ISNUMBER('Dvd Calendar'!$F$1564)*100000000+('Dvd Calendar'!$F$1566=SPECIAL_LBL)*10000000+0*1000000+1*1000+2))</f>
        <v/>
      </c>
      <c r="EG160" s="35">
        <f>IF(N('Dvd Calendar'!$G$1561)=0,"",IF(('Dvd Calendar'!$G$1561&gt;=GRID_FROM)*('Dvd Calendar'!$G$1561&lt;=GRID_TO)*('Dvd Calendar'!$G$1561&lt;=VAL_DATE)=0,"",'Dvd Calendar'!$G$1561*1000000000+ISNUMBER('Dvd Calendar'!$G$1564)*100000000+('Dvd Calendar'!$G$1566=SPECIAL_LBL)*10000000+0*1000000+1*1000+3))</f>
        <v/>
      </c>
      <c r="EH160" s="35">
        <f>IF(N('Dvd Calendar'!$H$1561)=0,"",IF(('Dvd Calendar'!$H$1561&gt;=GRID_FROM)*('Dvd Calendar'!$H$1561&lt;=GRID_TO)*('Dvd Calendar'!$H$1561&lt;=VAL_DATE)=0,"",'Dvd Calendar'!$H$1561*1000000000+ISNUMBER('Dvd Calendar'!$H$1564)*100000000+('Dvd Calendar'!$H$1566=SPECIAL_LBL)*10000000+0*1000000+1*1000+4))</f>
        <v/>
      </c>
      <c r="EI160" s="35">
        <f>IF(N('Dvd Calendar'!$I$1561)=0,"",IF(('Dvd Calendar'!$I$1561&gt;=GRID_FROM)*('Dvd Calendar'!$I$1561&lt;=GRID_TO)*('Dvd Calendar'!$I$1561&lt;=VAL_DATE)=0,"",'Dvd Calendar'!$I$1561*1000000000+ISNUMBER('Dvd Calendar'!$I$1564)*100000000+('Dvd Calendar'!$I$1566=SPECIAL_LBL)*10000000+0*1000000+1*1000+5))</f>
        <v/>
      </c>
      <c r="EJ160" s="35">
        <f>IF(N('Dvd Calendar'!$J$1561)=0,"",IF(('Dvd Calendar'!$J$1561&gt;=GRID_FROM)*('Dvd Calendar'!$J$1561&lt;=GRID_TO)*('Dvd Calendar'!$J$1561&lt;=VAL_DATE)=0,"",'Dvd Calendar'!$J$1561*1000000000+ISNUMBER('Dvd Calendar'!$J$1564)*100000000+('Dvd Calendar'!$J$1566=SPECIAL_LBL)*10000000+0*1000000+1*1000+6))</f>
        <v/>
      </c>
      <c r="EK160" s="35">
        <f>IF(N('Dvd Calendar'!$K$1561)=0,"",IF(('Dvd Calendar'!$K$1561&gt;=GRID_FROM)*('Dvd Calendar'!$K$1561&lt;=GRID_TO)*('Dvd Calendar'!$K$1561&lt;=VAL_DATE)=0,"",'Dvd Calendar'!$K$1561*1000000000+ISNUMBER('Dvd Calendar'!$K$1564)*100000000+('Dvd Calendar'!$K$1566=SPECIAL_LBL)*10000000+0*1000000+1*1000+7))</f>
        <v/>
      </c>
      <c r="EL160" s="35">
        <f>IF(N('Dvd Calendar'!$L$1561)=0,"",IF(('Dvd Calendar'!$L$1561&gt;=GRID_FROM)*('Dvd Calendar'!$L$1561&lt;=GRID_TO)*('Dvd Calendar'!$L$1561&lt;=VAL_DATE)=0,"",'Dvd Calendar'!$L$1561*1000000000+ISNUMBER('Dvd Calendar'!$L$1564)*100000000+('Dvd Calendar'!$L$1566=SPECIAL_LBL)*10000000+0*1000000+1*1000+8))</f>
        <v/>
      </c>
      <c r="EM160" s="35">
        <f>IF(N('Dvd Calendar'!$M$1561)=0,"",IF(('Dvd Calendar'!$M$1561&gt;=GRID_FROM)*('Dvd Calendar'!$M$1561&lt;=GRID_TO)*('Dvd Calendar'!$M$1561&lt;=VAL_DATE)=0,"",'Dvd Calendar'!$M$1561*1000000000+ISNUMBER('Dvd Calendar'!$M$1564)*100000000+('Dvd Calendar'!$M$1566=SPECIAL_LBL)*10000000+0*1000000+1*1000+9))</f>
        <v/>
      </c>
      <c r="EN160" s="35">
        <f>IF(N('Dvd Calendar'!$N$1561)=0,"",IF(('Dvd Calendar'!$N$1561&gt;=GRID_FROM)*('Dvd Calendar'!$N$1561&lt;=GRID_TO)*('Dvd Calendar'!$N$1561&lt;=VAL_DATE)=0,"",'Dvd Calendar'!$N$1561*1000000000+ISNUMBER('Dvd Calendar'!$N$1564)*100000000+('Dvd Calendar'!$N$1566=SPECIAL_LBL)*10000000+0*1000000+1*1000+10))</f>
        <v/>
      </c>
      <c r="EO160" s="35">
        <f>IF(N('Dvd Calendar'!$O$1561)=0,"",IF(('Dvd Calendar'!$O$1561&gt;=GRID_FROM)*('Dvd Calendar'!$O$1561&lt;=GRID_TO)*('Dvd Calendar'!$O$1561&lt;=VAL_DATE)=0,"",'Dvd Calendar'!$O$1561*1000000000+ISNUMBER('Dvd Calendar'!$O$1564)*100000000+('Dvd Calendar'!$O$1566=SPECIAL_LBL)*10000000+0*1000000+1*1000+11))</f>
        <v/>
      </c>
      <c r="EP160" s="35">
        <f>IF(N('Dvd Calendar'!$P$1561)=0,"",IF(('Dvd Calendar'!$P$1561&gt;=GRID_FROM)*('Dvd Calendar'!$P$1561&lt;=GRID_TO)*('Dvd Calendar'!$P$1561&lt;=VAL_DATE)=0,"",'Dvd Calendar'!$P$1561*1000000000+ISNUMBER('Dvd Calendar'!$P$1564)*100000000+('Dvd Calendar'!$P$1566=SPECIAL_LBL)*10000000+0*1000000+1*1000+12))</f>
        <v/>
      </c>
      <c r="EQ160" s="35">
        <f>IF(N('Dvd Calendar'!$Q$1561)=0,"",IF(('Dvd Calendar'!$Q$1561&gt;=GRID_FROM)*('Dvd Calendar'!$Q$1561&lt;=GRID_TO)*('Dvd Calendar'!$Q$1561&lt;=VAL_DATE)=0,"",'Dvd Calendar'!$Q$1561*1000000000+ISNUMBER('Dvd Calendar'!$Q$1564)*100000000+('Dvd Calendar'!$Q$1566=SPECIAL_LBL)*10000000+0*1000000+1*1000+13))</f>
        <v/>
      </c>
      <c r="ER160" s="35">
        <f>IF(N('Dvd Calendar'!$R$1561)=0,"",IF(('Dvd Calendar'!$R$1561&gt;=GRID_FROM)*('Dvd Calendar'!$R$1561&lt;=GRID_TO)*('Dvd Calendar'!$R$1561&lt;=VAL_DATE)=0,"",'Dvd Calendar'!$R$1561*1000000000+ISNUMBER('Dvd Calendar'!$R$1564)*100000000+('Dvd Calendar'!$R$1566=SPECIAL_LBL)*10000000+0*1000000+1*1000+14))</f>
        <v/>
      </c>
      <c r="ES160" s="35">
        <f>IF(N('Dvd Calendar'!$S$1561)=0,"",IF(('Dvd Calendar'!$S$1561&gt;=GRID_FROM)*('Dvd Calendar'!$S$1561&lt;=GRID_TO)*('Dvd Calendar'!$S$1561&lt;=VAL_DATE)=0,"",'Dvd Calendar'!$S$1561*1000000000+ISNUMBER('Dvd Calendar'!$S$1564)*100000000+('Dvd Calendar'!$S$1566=SPECIAL_LBL)*10000000+0*1000000+1*1000+15))</f>
        <v/>
      </c>
      <c r="ET160" s="35">
        <f>IF(N('Dvd Calendar'!$T$1561)=0,"",IF(('Dvd Calendar'!$T$1561&gt;=GRID_FROM)*('Dvd Calendar'!$T$1561&lt;=GRID_TO)*('Dvd Calendar'!$T$1561&lt;=VAL_DATE)=0,"",'Dvd Calendar'!$T$1561*1000000000+ISNUMBER('Dvd Calendar'!$T$1564)*100000000+('Dvd Calendar'!$T$1566=SPECIAL_LBL)*10000000+0*1000000+1*1000+16))</f>
        <v/>
      </c>
      <c r="EU160" s="35">
        <f>IF(N('Dvd Calendar'!$U$1561)=0,"",IF(('Dvd Calendar'!$U$1561&gt;=GRID_FROM)*('Dvd Calendar'!$U$1561&lt;=GRID_TO)*('Dvd Calendar'!$U$1561&lt;=VAL_DATE)=0,"",'Dvd Calendar'!$U$1561*1000000000+ISNUMBER('Dvd Calendar'!$U$1564)*100000000+('Dvd Calendar'!$U$1566=SPECIAL_LBL)*10000000+0*1000000+1*1000+17))</f>
        <v/>
      </c>
      <c r="EV160" s="35">
        <f>IF(N('Dvd Calendar'!$V$1561)=0,"",IF(('Dvd Calendar'!$V$1561&gt;=GRID_FROM)*('Dvd Calendar'!$V$1561&lt;=GRID_TO)*('Dvd Calendar'!$V$1561&lt;=VAL_DATE)=0,"",'Dvd Calendar'!$V$1561*1000000000+ISNUMBER('Dvd Calendar'!$V$1564)*100000000+('Dvd Calendar'!$V$1566=SPECIAL_LBL)*10000000+0*1000000+1*1000+18))</f>
        <v/>
      </c>
      <c r="EW160" s="35">
        <f>IF(N('Dvd Calendar'!$W$1561)=0,"",IF(('Dvd Calendar'!$W$1561&gt;=GRID_FROM)*('Dvd Calendar'!$W$1561&lt;=GRID_TO)*('Dvd Calendar'!$W$1561&lt;=VAL_DATE)=0,"",'Dvd Calendar'!$W$1561*1000000000+ISNUMBER('Dvd Calendar'!$W$1564)*100000000+('Dvd Calendar'!$W$1566=SPECIAL_LBL)*10000000+0*1000000+1*1000+19))</f>
        <v/>
      </c>
      <c r="EX160" s="35">
        <f>IF(N('Dvd Calendar'!$X$1561)=0,"",IF(('Dvd Calendar'!$X$1561&gt;=GRID_FROM)*('Dvd Calendar'!$X$1561&lt;=GRID_TO)*('Dvd Calendar'!$X$1561&lt;=VAL_DATE)=0,"",'Dvd Calendar'!$X$1561*1000000000+ISNUMBER('Dvd Calendar'!$X$1564)*100000000+('Dvd Calendar'!$X$1566=SPECIAL_LBL)*10000000+0*1000000+1*1000+20))</f>
        <v/>
      </c>
      <c r="EY160" s="35">
        <f>IF(N('Dvd Calendar'!$Y$1561)=0,"",IF(('Dvd Calendar'!$Y$1561&gt;=GRID_FROM)*('Dvd Calendar'!$Y$1561&lt;=GRID_TO)*('Dvd Calendar'!$Y$1561&lt;=VAL_DATE)=0,"",'Dvd Calendar'!$Y$1561*1000000000+ISNUMBER('Dvd Calendar'!$Y$1564)*100000000+('Dvd Calendar'!$Y$1566=SPECIAL_LBL)*10000000+0*1000000+1*1000+21))</f>
        <v/>
      </c>
      <c r="EZ160" s="35">
        <f>IF(N('Dvd Calendar'!$Z$1561)=0,"",IF(('Dvd Calendar'!$Z$1561&gt;=GRID_FROM)*('Dvd Calendar'!$Z$1561&lt;=GRID_TO)*('Dvd Calendar'!$Z$1561&lt;=VAL_DATE)=0,"",'Dvd Calendar'!$Z$1561*1000000000+ISNUMBER('Dvd Calendar'!$Z$1564)*100000000+('Dvd Calendar'!$Z$1566=SPECIAL_LBL)*10000000+0*1000000+1*1000+22))</f>
        <v/>
      </c>
      <c r="FA160" s="35">
        <f>IF(N('Dvd Calendar'!$AA$1561)=0,"",IF(('Dvd Calendar'!$AA$1561&gt;=GRID_FROM)*('Dvd Calendar'!$AA$1561&lt;=GRID_TO)*('Dvd Calendar'!$AA$1561&lt;=VAL_DATE)=0,"",'Dvd Calendar'!$AA$1561*1000000000+ISNUMBER('Dvd Calendar'!$AA$1564)*100000000+('Dvd Calendar'!$AA$1566=SPECIAL_LBL)*10000000+0*1000000+1*1000+23))</f>
        <v/>
      </c>
      <c r="FB160" s="35">
        <f>IF(N('Dvd Calendar'!$AB$1561)=0,"",IF(('Dvd Calendar'!$AB$1561&gt;=GRID_FROM)*('Dvd Calendar'!$AB$1561&lt;=GRID_TO)*('Dvd Calendar'!$AB$1561&lt;=VAL_DATE)=0,"",'Dvd Calendar'!$AB$1561*1000000000+ISNUMBER('Dvd Calendar'!$AB$1564)*100000000+('Dvd Calendar'!$AB$1566=SPECIAL_LBL)*10000000+0*1000000+1*1000+24))</f>
        <v/>
      </c>
      <c r="FC160" s="35">
        <f>IF(N('Dvd Calendar'!$AC$1561)=0,"",IF(('Dvd Calendar'!$AC$1561&gt;=GRID_FROM)*('Dvd Calendar'!$AC$1561&lt;=GRID_TO)*('Dvd Calendar'!$AC$1561&lt;=VAL_DATE)=0,"",'Dvd Calendar'!$AC$1561*1000000000+ISNUMBER('Dvd Calendar'!$AC$1564)*100000000+('Dvd Calendar'!$AC$1566=SPECIAL_LBL)*10000000+0*1000000+1*1000+25))</f>
        <v/>
      </c>
      <c r="FD160" s="35">
        <f>IF(N('Dvd Calendar'!$AD$1561)=0,"",IF(('Dvd Calendar'!$AD$1561&gt;=GRID_FROM)*('Dvd Calendar'!$AD$1561&lt;=GRID_TO)*('Dvd Calendar'!$AD$1561&lt;=VAL_DATE)=0,"",'Dvd Calendar'!$AD$1561*1000000000+ISNUMBER('Dvd Calendar'!$AD$1564)*100000000+('Dvd Calendar'!$AD$1566=SPECIAL_LBL)*10000000+0*1000000+1*1000+26))</f>
        <v/>
      </c>
      <c r="FE160" s="35">
        <f>IF(N('Dvd Calendar'!$AE$1561)=0,"",IF(('Dvd Calendar'!$AE$1561&gt;=GRID_FROM)*('Dvd Calendar'!$AE$1561&lt;=GRID_TO)*('Dvd Calendar'!$AE$1561&lt;=VAL_DATE)=0,"",'Dvd Calendar'!$AE$1561*1000000000+ISNUMBER('Dvd Calendar'!$AE$1564)*100000000+('Dvd Calendar'!$AE$1566=SPECIAL_LBL)*10000000+0*1000000+1*1000+27))</f>
        <v/>
      </c>
      <c r="FF160" s="35">
        <f>IF(N('Dvd Calendar'!$AF$1561)=0,"",IF(('Dvd Calendar'!$AF$1561&gt;=GRID_FROM)*('Dvd Calendar'!$AF$1561&lt;=GRID_TO)*('Dvd Calendar'!$AF$1561&lt;=VAL_DATE)=0,"",'Dvd Calendar'!$AF$1561*1000000000+ISNUMBER('Dvd Calendar'!$AF$1564)*100000000+('Dvd Calendar'!$AF$1566=SPECIAL_LBL)*10000000+0*1000000+1*1000+28))</f>
        <v/>
      </c>
      <c r="FG160" s="35">
        <f>IF(N('Dvd Calendar'!$AG$1561)=0,"",IF(('Dvd Calendar'!$AG$1561&gt;=GRID_FROM)*('Dvd Calendar'!$AG$1561&lt;=GRID_TO)*('Dvd Calendar'!$AG$1561&lt;=VAL_DATE)=0,"",'Dvd Calendar'!$AG$1561*1000000000+ISNUMBER('Dvd Calendar'!$AG$1564)*100000000+('Dvd Calendar'!$AG$1566=SPECIAL_LBL)*10000000+0*1000000+1*1000+29))</f>
        <v/>
      </c>
      <c r="FH160" s="35">
        <f>IF(N('Dvd Calendar'!$AH$1561)=0,"",IF(('Dvd Calendar'!$AH$1561&gt;=GRID_FROM)*('Dvd Calendar'!$AH$1561&lt;=GRID_TO)*('Dvd Calendar'!$AH$1561&lt;=VAL_DATE)=0,"",'Dvd Calendar'!$AH$1561*1000000000+ISNUMBER('Dvd Calendar'!$AH$1564)*100000000+('Dvd Calendar'!$AH$1566=SPECIAL_LBL)*10000000+0*1000000+1*1000+30))</f>
        <v/>
      </c>
      <c r="FI160" s="35">
        <f>IF(N('Dvd Calendar'!$AI$1561)=0,"",IF(('Dvd Calendar'!$AI$1561&gt;=GRID_FROM)*('Dvd Calendar'!$AI$1561&lt;=GRID_TO)*('Dvd Calendar'!$AI$1561&lt;=VAL_DATE)=0,"",'Dvd Calendar'!$AI$1561*1000000000+ISNUMBER('Dvd Calendar'!$AI$1564)*100000000+('Dvd Calendar'!$AI$1566=SPECIAL_LBL)*10000000+0*1000000+1*1000+31))</f>
        <v/>
      </c>
      <c r="FJ160" s="35">
        <f>IF(N('Dvd Calendar'!$AJ$1561)=0,"",IF(('Dvd Calendar'!$AJ$1561&gt;=GRID_FROM)*('Dvd Calendar'!$AJ$1561&lt;=GRID_TO)*('Dvd Calendar'!$AJ$1561&lt;=VAL_DATE)=0,"",'Dvd Calendar'!$AJ$1561*1000000000+ISNUMBER('Dvd Calendar'!$AJ$1564)*100000000+('Dvd Calendar'!$AJ$1566=SPECIAL_LBL)*10000000+0*1000000+1*1000+32))</f>
        <v/>
      </c>
      <c r="FK160" s="35">
        <f>IF(N('Dvd Calendar'!$AK$1561)=0,"",IF(('Dvd Calendar'!$AK$1561&gt;=GRID_FROM)*('Dvd Calendar'!$AK$1561&lt;=GRID_TO)*('Dvd Calendar'!$AK$1561&lt;=VAL_DATE)=0,"",'Dvd Calendar'!$AK$1561*1000000000+ISNUMBER('Dvd Calendar'!$AK$1564)*100000000+('Dvd Calendar'!$AK$1566=SPECIAL_LBL)*10000000+0*1000000+1*1000+33))</f>
        <v/>
      </c>
      <c r="FL160" s="35">
        <f>IF(N('Dvd Calendar'!$AL$1561)=0,"",IF(('Dvd Calendar'!$AL$1561&gt;=GRID_FROM)*('Dvd Calendar'!$AL$1561&lt;=GRID_TO)*('Dvd Calendar'!$AL$1561&lt;=VAL_DATE)=0,"",'Dvd Calendar'!$AL$1561*1000000000+ISNUMBER('Dvd Calendar'!$AL$1564)*100000000+('Dvd Calendar'!$AL$1566=SPECIAL_LBL)*10000000+0*1000000+1*1000+34))</f>
        <v/>
      </c>
      <c r="FM160" s="35">
        <f>IF(N('Dvd Calendar'!$AM$1561)=0,"",IF(('Dvd Calendar'!$AM$1561&gt;=GRID_FROM)*('Dvd Calendar'!$AM$1561&lt;=GRID_TO)*('Dvd Calendar'!$AM$1561&lt;=VAL_DATE)=0,"",'Dvd Calendar'!$AM$1561*1000000000+ISNUMBER('Dvd Calendar'!$AM$1564)*100000000+('Dvd Calendar'!$AM$1566=SPECIAL_LBL)*10000000+0*1000000+1*1000+35))</f>
        <v/>
      </c>
      <c r="FN160" s="35">
        <f>IF(N('Dvd Calendar'!$AN$1561)=0,"",IF(('Dvd Calendar'!$AN$1561&gt;=GRID_FROM)*('Dvd Calendar'!$AN$1561&lt;=GRID_TO)*('Dvd Calendar'!$AN$1561&lt;=VAL_DATE)=0,"",'Dvd Calendar'!$AN$1561*1000000000+ISNUMBER('Dvd Calendar'!$AN$1564)*100000000+('Dvd Calendar'!$AN$1566=SPECIAL_LBL)*10000000+0*1000000+1*1000+36))</f>
        <v/>
      </c>
      <c r="FO160" s="35">
        <f>IF(N('Dvd Calendar'!$AO$1561)=0,"",IF(('Dvd Calendar'!$AO$1561&gt;=GRID_FROM)*('Dvd Calendar'!$AO$1561&lt;=GRID_TO)*('Dvd Calendar'!$AO$1561&lt;=VAL_DATE)=0,"",'Dvd Calendar'!$AO$1561*1000000000+ISNUMBER('Dvd Calendar'!$AO$1564)*100000000+('Dvd Calendar'!$AO$1566=SPECIAL_LBL)*10000000+0*1000000+1*1000+37))</f>
        <v/>
      </c>
      <c r="FP160" s="35">
        <f>IF(N('Dvd Calendar'!$AP$1561)=0,"",IF(('Dvd Calendar'!$AP$1561&gt;=GRID_FROM)*('Dvd Calendar'!$AP$1561&lt;=GRID_TO)*('Dvd Calendar'!$AP$1561&lt;=VAL_DATE)=0,"",'Dvd Calendar'!$AP$1561*1000000000+ISNUMBER('Dvd Calendar'!$AP$1564)*100000000+('Dvd Calendar'!$AP$1566=SPECIAL_LBL)*10000000+0*1000000+1*1000+38))</f>
        <v/>
      </c>
      <c r="FQ160" s="35">
        <f>IF(N('Dvd Calendar'!$AQ$1561)=0,"",IF(('Dvd Calendar'!$AQ$1561&gt;=GRID_FROM)*('Dvd Calendar'!$AQ$1561&lt;=GRID_TO)*('Dvd Calendar'!$AQ$1561&lt;=VAL_DATE)=0,"",'Dvd Calendar'!$AQ$1561*1000000000+ISNUMBER('Dvd Calendar'!$AQ$1564)*100000000+('Dvd Calendar'!$AQ$1566=SPECIAL_LBL)*10000000+0*1000000+1*1000+39))</f>
        <v/>
      </c>
      <c r="FR160" s="35">
        <f>IF(N('Dvd Calendar'!$AR$1561)=0,"",IF(('Dvd Calendar'!$AR$1561&gt;=GRID_FROM)*('Dvd Calendar'!$AR$1561&lt;=GRID_TO)*('Dvd Calendar'!$AR$1561&lt;=VAL_DATE)=0,"",'Dvd Calendar'!$AR$1561*1000000000+ISNUMBER('Dvd Calendar'!$AR$1564)*100000000+('Dvd Calendar'!$AR$1566=SPECIAL_LBL)*10000000+0*1000000+1*1000+40))</f>
        <v/>
      </c>
      <c r="FS160" s="35">
        <f>IF(N('Dvd Calendar'!$E$1568)=0,"",IF(('Dvd Calendar'!$E$1568&gt;=GRID_FROM)*('Dvd Calendar'!$E$1568&lt;=GRID_TO)*('Dvd Calendar'!$E$1568&gt;VAL_DATE)=0,"",'Dvd Calendar'!$E$1568*1000000000+ISNUMBER('Dvd Calendar'!$E$1569)*100000000+0*10000000+(N('Dvd Calendar'!$E$1567)&gt;0)*(N('Dvd Calendar'!$E$1567)&lt;=VAL_SERIAL)*1000000+1*1000+41))</f>
        <v/>
      </c>
      <c r="FT160" s="35">
        <f>IF(N('Dvd Calendar'!$F$1568)=0,"",IF(('Dvd Calendar'!$F$1568&gt;=GRID_FROM)*('Dvd Calendar'!$F$1568&lt;=GRID_TO)*('Dvd Calendar'!$F$1568&gt;VAL_DATE)=0,"",'Dvd Calendar'!$F$1568*1000000000+ISNUMBER('Dvd Calendar'!$F$1569)*100000000+0*10000000+(N('Dvd Calendar'!$F$1567)&gt;0)*(N('Dvd Calendar'!$F$1567)&lt;=VAL_SERIAL)*1000000+1*1000+42))</f>
        <v/>
      </c>
      <c r="FU160" s="35">
        <f>IF(N('Dvd Calendar'!$G$1568)=0,"",IF(('Dvd Calendar'!$G$1568&gt;=GRID_FROM)*('Dvd Calendar'!$G$1568&lt;=GRID_TO)*('Dvd Calendar'!$G$1568&gt;VAL_DATE)=0,"",'Dvd Calendar'!$G$1568*1000000000+ISNUMBER('Dvd Calendar'!$G$1569)*100000000+0*10000000+(N('Dvd Calendar'!$G$1567)&gt;0)*(N('Dvd Calendar'!$G$1567)&lt;=VAL_SERIAL)*1000000+1*1000+43))</f>
        <v/>
      </c>
      <c r="FV160" s="35">
        <f>IF(N('Dvd Calendar'!$H$1568)=0,"",IF(('Dvd Calendar'!$H$1568&gt;=GRID_FROM)*('Dvd Calendar'!$H$1568&lt;=GRID_TO)*('Dvd Calendar'!$H$1568&gt;VAL_DATE)=0,"",'Dvd Calendar'!$H$1568*1000000000+ISNUMBER('Dvd Calendar'!$H$1569)*100000000+0*10000000+(N('Dvd Calendar'!$H$1567)&gt;0)*(N('Dvd Calendar'!$H$1567)&lt;=VAL_SERIAL)*1000000+1*1000+44))</f>
        <v/>
      </c>
      <c r="FW160" s="35">
        <f>IF(N('Dvd Calendar'!$I$1568)=0,"",IF(('Dvd Calendar'!$I$1568&gt;=GRID_FROM)*('Dvd Calendar'!$I$1568&lt;=GRID_TO)*('Dvd Calendar'!$I$1568&gt;VAL_DATE)=0,"",'Dvd Calendar'!$I$1568*1000000000+ISNUMBER('Dvd Calendar'!$I$1569)*100000000+0*10000000+(N('Dvd Calendar'!$I$1567)&gt;0)*(N('Dvd Calendar'!$I$1567)&lt;=VAL_SERIAL)*1000000+1*1000+45))</f>
        <v/>
      </c>
      <c r="FX160" s="35">
        <f>IF(N('Dvd Calendar'!$J$1568)=0,"",IF(('Dvd Calendar'!$J$1568&gt;=GRID_FROM)*('Dvd Calendar'!$J$1568&lt;=GRID_TO)*('Dvd Calendar'!$J$1568&gt;VAL_DATE)=0,"",'Dvd Calendar'!$J$1568*1000000000+ISNUMBER('Dvd Calendar'!$J$1569)*100000000+0*10000000+(N('Dvd Calendar'!$J$1567)&gt;0)*(N('Dvd Calendar'!$J$1567)&lt;=VAL_SERIAL)*1000000+1*1000+46))</f>
        <v/>
      </c>
      <c r="FY160" s="35">
        <f>IF(N('Dvd Calendar'!$K$1568)=0,"",IF(('Dvd Calendar'!$K$1568&gt;=GRID_FROM)*('Dvd Calendar'!$K$1568&lt;=GRID_TO)*('Dvd Calendar'!$K$1568&gt;VAL_DATE)=0,"",'Dvd Calendar'!$K$1568*1000000000+ISNUMBER('Dvd Calendar'!$K$1569)*100000000+0*10000000+(N('Dvd Calendar'!$K$1567)&gt;0)*(N('Dvd Calendar'!$K$1567)&lt;=VAL_SERIAL)*1000000+1*1000+47))</f>
        <v/>
      </c>
      <c r="FZ160" s="35">
        <f>IF(N('Dvd Calendar'!$L$1568)=0,"",IF(('Dvd Calendar'!$L$1568&gt;=GRID_FROM)*('Dvd Calendar'!$L$1568&lt;=GRID_TO)*('Dvd Calendar'!$L$1568&gt;VAL_DATE)=0,"",'Dvd Calendar'!$L$1568*1000000000+ISNUMBER('Dvd Calendar'!$L$1569)*100000000+0*10000000+(N('Dvd Calendar'!$L$1567)&gt;0)*(N('Dvd Calendar'!$L$1567)&lt;=VAL_SERIAL)*1000000+1*1000+48))</f>
        <v/>
      </c>
      <c r="GA160" s="35">
        <f>IF(N('Dvd Calendar'!$M$1568)=0,"",IF(('Dvd Calendar'!$M$1568&gt;=GRID_FROM)*('Dvd Calendar'!$M$1568&lt;=GRID_TO)*('Dvd Calendar'!$M$1568&gt;VAL_DATE)=0,"",'Dvd Calendar'!$M$1568*1000000000+ISNUMBER('Dvd Calendar'!$M$1569)*100000000+0*10000000+(N('Dvd Calendar'!$M$1567)&gt;0)*(N('Dvd Calendar'!$M$1567)&lt;=VAL_SERIAL)*1000000+1*1000+49))</f>
        <v/>
      </c>
      <c r="GB160" s="35">
        <f>IF(N('Dvd Calendar'!$N$1568)=0,"",IF(('Dvd Calendar'!$N$1568&gt;=GRID_FROM)*('Dvd Calendar'!$N$1568&lt;=GRID_TO)*('Dvd Calendar'!$N$1568&gt;VAL_DATE)=0,"",'Dvd Calendar'!$N$1568*1000000000+ISNUMBER('Dvd Calendar'!$N$1569)*100000000+0*10000000+(N('Dvd Calendar'!$N$1567)&gt;0)*(N('Dvd Calendar'!$N$1567)&lt;=VAL_SERIAL)*1000000+1*1000+50))</f>
        <v/>
      </c>
      <c r="GC160" s="35">
        <f>IF(N('Dvd Calendar'!$O$1568)=0,"",IF(('Dvd Calendar'!$O$1568&gt;=GRID_FROM)*('Dvd Calendar'!$O$1568&lt;=GRID_TO)*('Dvd Calendar'!$O$1568&gt;VAL_DATE)=0,"",'Dvd Calendar'!$O$1568*1000000000+ISNUMBER('Dvd Calendar'!$O$1569)*100000000+0*10000000+(N('Dvd Calendar'!$O$1567)&gt;0)*(N('Dvd Calendar'!$O$1567)&lt;=VAL_SERIAL)*1000000+1*1000+51))</f>
        <v/>
      </c>
      <c r="GD160" s="35">
        <f>IF(N('Dvd Calendar'!$P$1568)=0,"",IF(('Dvd Calendar'!$P$1568&gt;=GRID_FROM)*('Dvd Calendar'!$P$1568&lt;=GRID_TO)*('Dvd Calendar'!$P$1568&gt;VAL_DATE)=0,"",'Dvd Calendar'!$P$1568*1000000000+ISNUMBER('Dvd Calendar'!$P$1569)*100000000+0*10000000+(N('Dvd Calendar'!$P$1567)&gt;0)*(N('Dvd Calendar'!$P$1567)&lt;=VAL_SERIAL)*1000000+1*1000+52))</f>
        <v/>
      </c>
      <c r="GE160" s="35">
        <f>IF(N('Dvd Calendar'!$Q$1568)=0,"",IF(('Dvd Calendar'!$Q$1568&gt;=GRID_FROM)*('Dvd Calendar'!$Q$1568&lt;=GRID_TO)*('Dvd Calendar'!$Q$1568&gt;VAL_DATE)=0,"",'Dvd Calendar'!$Q$1568*1000000000+ISNUMBER('Dvd Calendar'!$Q$1569)*100000000+0*10000000+(N('Dvd Calendar'!$Q$1567)&gt;0)*(N('Dvd Calendar'!$Q$1567)&lt;=VAL_SERIAL)*1000000+1*1000+53))</f>
        <v/>
      </c>
      <c r="GF160" s="35">
        <f>IF(N('Dvd Calendar'!$R$1568)=0,"",IF(('Dvd Calendar'!$R$1568&gt;=GRID_FROM)*('Dvd Calendar'!$R$1568&lt;=GRID_TO)*('Dvd Calendar'!$R$1568&gt;VAL_DATE)=0,"",'Dvd Calendar'!$R$1568*1000000000+ISNUMBER('Dvd Calendar'!$R$1569)*100000000+0*10000000+(N('Dvd Calendar'!$R$1567)&gt;0)*(N('Dvd Calendar'!$R$1567)&lt;=VAL_SERIAL)*1000000+1*1000+54))</f>
        <v/>
      </c>
      <c r="GG160" s="35">
        <f>IF(N('Dvd Calendar'!$S$1568)=0,"",IF(('Dvd Calendar'!$S$1568&gt;=GRID_FROM)*('Dvd Calendar'!$S$1568&lt;=GRID_TO)*('Dvd Calendar'!$S$1568&gt;VAL_DATE)=0,"",'Dvd Calendar'!$S$1568*1000000000+ISNUMBER('Dvd Calendar'!$S$1569)*100000000+0*10000000+(N('Dvd Calendar'!$S$1567)&gt;0)*(N('Dvd Calendar'!$S$1567)&lt;=VAL_SERIAL)*1000000+1*1000+55))</f>
        <v/>
      </c>
      <c r="GH160" s="35">
        <f>IF(N('Dvd Calendar'!$T$1568)=0,"",IF(('Dvd Calendar'!$T$1568&gt;=GRID_FROM)*('Dvd Calendar'!$T$1568&lt;=GRID_TO)*('Dvd Calendar'!$T$1568&gt;VAL_DATE)=0,"",'Dvd Calendar'!$T$1568*1000000000+ISNUMBER('Dvd Calendar'!$T$1569)*100000000+0*10000000+(N('Dvd Calendar'!$T$1567)&gt;0)*(N('Dvd Calendar'!$T$1567)&lt;=VAL_SERIAL)*1000000+1*1000+56))</f>
        <v/>
      </c>
      <c r="GI160" s="35">
        <f>IF(N('Dvd Calendar'!$U$1568)=0,"",IF(('Dvd Calendar'!$U$1568&gt;=GRID_FROM)*('Dvd Calendar'!$U$1568&lt;=GRID_TO)*('Dvd Calendar'!$U$1568&gt;VAL_DATE)=0,"",'Dvd Calendar'!$U$1568*1000000000+ISNUMBER('Dvd Calendar'!$U$1569)*100000000+0*10000000+(N('Dvd Calendar'!$U$1567)&gt;0)*(N('Dvd Calendar'!$U$1567)&lt;=VAL_SERIAL)*1000000+1*1000+57))</f>
        <v/>
      </c>
      <c r="GJ160" s="35">
        <f>IF(N('Dvd Calendar'!$V$1568)=0,"",IF(('Dvd Calendar'!$V$1568&gt;=GRID_FROM)*('Dvd Calendar'!$V$1568&lt;=GRID_TO)*('Dvd Calendar'!$V$1568&gt;VAL_DATE)=0,"",'Dvd Calendar'!$V$1568*1000000000+ISNUMBER('Dvd Calendar'!$V$1569)*100000000+0*10000000+(N('Dvd Calendar'!$V$1567)&gt;0)*(N('Dvd Calendar'!$V$1567)&lt;=VAL_SERIAL)*1000000+1*1000+58))</f>
        <v/>
      </c>
      <c r="GK160" s="35">
        <f>IF(N('Dvd Calendar'!$W$1568)=0,"",IF(('Dvd Calendar'!$W$1568&gt;=GRID_FROM)*('Dvd Calendar'!$W$1568&lt;=GRID_TO)*('Dvd Calendar'!$W$1568&gt;VAL_DATE)=0,"",'Dvd Calendar'!$W$1568*1000000000+ISNUMBER('Dvd Calendar'!$W$1569)*100000000+0*10000000+(N('Dvd Calendar'!$W$1567)&gt;0)*(N('Dvd Calendar'!$W$1567)&lt;=VAL_SERIAL)*1000000+1*1000+59))</f>
        <v/>
      </c>
      <c r="GL160" s="35">
        <f>IF(N('Dvd Calendar'!$X$1568)=0,"",IF(('Dvd Calendar'!$X$1568&gt;=GRID_FROM)*('Dvd Calendar'!$X$1568&lt;=GRID_TO)*('Dvd Calendar'!$X$1568&gt;VAL_DATE)=0,"",'Dvd Calendar'!$X$1568*1000000000+ISNUMBER('Dvd Calendar'!$X$1569)*100000000+0*10000000+(N('Dvd Calendar'!$X$1567)&gt;0)*(N('Dvd Calendar'!$X$1567)&lt;=VAL_SERIAL)*1000000+1*1000+60))</f>
        <v/>
      </c>
      <c r="GM160" s="35">
        <f>IF(N('Dvd Calendar'!$Y$1568)=0,"",IF(('Dvd Calendar'!$Y$1568&gt;=GRID_FROM)*('Dvd Calendar'!$Y$1568&lt;=GRID_TO)*('Dvd Calendar'!$Y$1568&gt;VAL_DATE)=0,"",'Dvd Calendar'!$Y$1568*1000000000+ISNUMBER('Dvd Calendar'!$Y$1569)*100000000+0*10000000+(N('Dvd Calendar'!$Y$1567)&gt;0)*(N('Dvd Calendar'!$Y$1567)&lt;=VAL_SERIAL)*1000000+1*1000+61))</f>
        <v/>
      </c>
      <c r="GN160" s="35">
        <f>IF(N('Dvd Calendar'!$Z$1568)=0,"",IF(('Dvd Calendar'!$Z$1568&gt;=GRID_FROM)*('Dvd Calendar'!$Z$1568&lt;=GRID_TO)*('Dvd Calendar'!$Z$1568&gt;VAL_DATE)=0,"",'Dvd Calendar'!$Z$1568*1000000000+ISNUMBER('Dvd Calendar'!$Z$1569)*100000000+0*10000000+(N('Dvd Calendar'!$Z$1567)&gt;0)*(N('Dvd Calendar'!$Z$1567)&lt;=VAL_SERIAL)*1000000+1*1000+62))</f>
        <v/>
      </c>
      <c r="GO160" s="35">
        <f>IF(N('Dvd Calendar'!$AA$1568)=0,"",IF(('Dvd Calendar'!$AA$1568&gt;=GRID_FROM)*('Dvd Calendar'!$AA$1568&lt;=GRID_TO)*('Dvd Calendar'!$AA$1568&gt;VAL_DATE)=0,"",'Dvd Calendar'!$AA$1568*1000000000+ISNUMBER('Dvd Calendar'!$AA$1569)*100000000+0*10000000+(N('Dvd Calendar'!$AA$1567)&gt;0)*(N('Dvd Calendar'!$AA$1567)&lt;=VAL_SERIAL)*1000000+1*1000+63))</f>
        <v/>
      </c>
      <c r="GP160" s="35">
        <f>IF(N('Dvd Calendar'!$AB$1568)=0,"",IF(('Dvd Calendar'!$AB$1568&gt;=GRID_FROM)*('Dvd Calendar'!$AB$1568&lt;=GRID_TO)*('Dvd Calendar'!$AB$1568&gt;VAL_DATE)=0,"",'Dvd Calendar'!$AB$1568*1000000000+ISNUMBER('Dvd Calendar'!$AB$1569)*100000000+0*10000000+(N('Dvd Calendar'!$AB$1567)&gt;0)*(N('Dvd Calendar'!$AB$1567)&lt;=VAL_SERIAL)*1000000+1*1000+64))</f>
        <v/>
      </c>
      <c r="GQ160" s="35">
        <f>IF(N('Dvd Calendar'!$AC$1568)=0,"",IF(('Dvd Calendar'!$AC$1568&gt;=GRID_FROM)*('Dvd Calendar'!$AC$1568&lt;=GRID_TO)*('Dvd Calendar'!$AC$1568&gt;VAL_DATE)=0,"",'Dvd Calendar'!$AC$1568*1000000000+ISNUMBER('Dvd Calendar'!$AC$1569)*100000000+0*10000000+(N('Dvd Calendar'!$AC$1567)&gt;0)*(N('Dvd Calendar'!$AC$1567)&lt;=VAL_SERIAL)*1000000+1*1000+65))</f>
        <v/>
      </c>
    </row>
    <row r="161">
      <c r="B161" s="2">
        <f>IF(HSCEI!$C$8="","",HSCEI!$C$8)</f>
        <v/>
      </c>
      <c r="C161" s="106">
        <f>IF(EE161="","",IF(ISNUMBER('Dvd Calendar'!$E$1575)=FALSE,"",IF((('Dvd Calendar'!$E$1577=TYPE1)*(TYPE1&lt;&gt;"")+('Dvd Calendar'!$E$1577=TYPE2)*(TYPE2&lt;&gt;"")+('Dvd Calendar'!$E$1577=TYPE3)*(TYPE3&lt;&gt;"")+('Dvd Calendar'!$E$1577=TYPE4)*(TYPE4&lt;&gt;"")+('Dvd Calendar'!$E$1577=SPECIAL_LBL)*(INC_SPECIALS="Y"))=0,"",'Dvd Calendar'!$E$1575)))</f>
        <v/>
      </c>
      <c r="D161" s="106">
        <f>IF(EF161="","",IF(ISNUMBER('Dvd Calendar'!$F$1575)=FALSE,"",IF((('Dvd Calendar'!$F$1577=TYPE1)*(TYPE1&lt;&gt;"")+('Dvd Calendar'!$F$1577=TYPE2)*(TYPE2&lt;&gt;"")+('Dvd Calendar'!$F$1577=TYPE3)*(TYPE3&lt;&gt;"")+('Dvd Calendar'!$F$1577=TYPE4)*(TYPE4&lt;&gt;"")+('Dvd Calendar'!$F$1577=SPECIAL_LBL)*(INC_SPECIALS="Y"))=0,"",'Dvd Calendar'!$F$1575)))</f>
        <v/>
      </c>
      <c r="E161" s="106">
        <f>IF(EG161="","",IF(ISNUMBER('Dvd Calendar'!$G$1575)=FALSE,"",IF((('Dvd Calendar'!$G$1577=TYPE1)*(TYPE1&lt;&gt;"")+('Dvd Calendar'!$G$1577=TYPE2)*(TYPE2&lt;&gt;"")+('Dvd Calendar'!$G$1577=TYPE3)*(TYPE3&lt;&gt;"")+('Dvd Calendar'!$G$1577=TYPE4)*(TYPE4&lt;&gt;"")+('Dvd Calendar'!$G$1577=SPECIAL_LBL)*(INC_SPECIALS="Y"))=0,"",'Dvd Calendar'!$G$1575)))</f>
        <v/>
      </c>
      <c r="F161" s="106">
        <f>IF(EH161="","",IF(ISNUMBER('Dvd Calendar'!$H$1575)=FALSE,"",IF((('Dvd Calendar'!$H$1577=TYPE1)*(TYPE1&lt;&gt;"")+('Dvd Calendar'!$H$1577=TYPE2)*(TYPE2&lt;&gt;"")+('Dvd Calendar'!$H$1577=TYPE3)*(TYPE3&lt;&gt;"")+('Dvd Calendar'!$H$1577=TYPE4)*(TYPE4&lt;&gt;"")+('Dvd Calendar'!$H$1577=SPECIAL_LBL)*(INC_SPECIALS="Y"))=0,"",'Dvd Calendar'!$H$1575)))</f>
        <v/>
      </c>
      <c r="G161" s="106">
        <f>IF(EI161="","",IF(ISNUMBER('Dvd Calendar'!$I$1575)=FALSE,"",IF((('Dvd Calendar'!$I$1577=TYPE1)*(TYPE1&lt;&gt;"")+('Dvd Calendar'!$I$1577=TYPE2)*(TYPE2&lt;&gt;"")+('Dvd Calendar'!$I$1577=TYPE3)*(TYPE3&lt;&gt;"")+('Dvd Calendar'!$I$1577=TYPE4)*(TYPE4&lt;&gt;"")+('Dvd Calendar'!$I$1577=SPECIAL_LBL)*(INC_SPECIALS="Y"))=0,"",'Dvd Calendar'!$I$1575)))</f>
        <v/>
      </c>
      <c r="H161" s="106">
        <f>IF(EJ161="","",IF(ISNUMBER('Dvd Calendar'!$J$1575)=FALSE,"",IF((('Dvd Calendar'!$J$1577=TYPE1)*(TYPE1&lt;&gt;"")+('Dvd Calendar'!$J$1577=TYPE2)*(TYPE2&lt;&gt;"")+('Dvd Calendar'!$J$1577=TYPE3)*(TYPE3&lt;&gt;"")+('Dvd Calendar'!$J$1577=TYPE4)*(TYPE4&lt;&gt;"")+('Dvd Calendar'!$J$1577=SPECIAL_LBL)*(INC_SPECIALS="Y"))=0,"",'Dvd Calendar'!$J$1575)))</f>
        <v/>
      </c>
      <c r="I161" s="106">
        <f>IF(EK161="","",IF(ISNUMBER('Dvd Calendar'!$K$1575)=FALSE,"",IF((('Dvd Calendar'!$K$1577=TYPE1)*(TYPE1&lt;&gt;"")+('Dvd Calendar'!$K$1577=TYPE2)*(TYPE2&lt;&gt;"")+('Dvd Calendar'!$K$1577=TYPE3)*(TYPE3&lt;&gt;"")+('Dvd Calendar'!$K$1577=TYPE4)*(TYPE4&lt;&gt;"")+('Dvd Calendar'!$K$1577=SPECIAL_LBL)*(INC_SPECIALS="Y"))=0,"",'Dvd Calendar'!$K$1575)))</f>
        <v/>
      </c>
      <c r="J161" s="106">
        <f>IF(EL161="","",IF(ISNUMBER('Dvd Calendar'!$L$1575)=FALSE,"",IF((('Dvd Calendar'!$L$1577=TYPE1)*(TYPE1&lt;&gt;"")+('Dvd Calendar'!$L$1577=TYPE2)*(TYPE2&lt;&gt;"")+('Dvd Calendar'!$L$1577=TYPE3)*(TYPE3&lt;&gt;"")+('Dvd Calendar'!$L$1577=TYPE4)*(TYPE4&lt;&gt;"")+('Dvd Calendar'!$L$1577=SPECIAL_LBL)*(INC_SPECIALS="Y"))=0,"",'Dvd Calendar'!$L$1575)))</f>
        <v/>
      </c>
      <c r="K161" s="106">
        <f>IF(EM161="","",IF(ISNUMBER('Dvd Calendar'!$M$1575)=FALSE,"",IF((('Dvd Calendar'!$M$1577=TYPE1)*(TYPE1&lt;&gt;"")+('Dvd Calendar'!$M$1577=TYPE2)*(TYPE2&lt;&gt;"")+('Dvd Calendar'!$M$1577=TYPE3)*(TYPE3&lt;&gt;"")+('Dvd Calendar'!$M$1577=TYPE4)*(TYPE4&lt;&gt;"")+('Dvd Calendar'!$M$1577=SPECIAL_LBL)*(INC_SPECIALS="Y"))=0,"",'Dvd Calendar'!$M$1575)))</f>
        <v/>
      </c>
      <c r="L161" s="106">
        <f>IF(EN161="","",IF(ISNUMBER('Dvd Calendar'!$N$1575)=FALSE,"",IF((('Dvd Calendar'!$N$1577=TYPE1)*(TYPE1&lt;&gt;"")+('Dvd Calendar'!$N$1577=TYPE2)*(TYPE2&lt;&gt;"")+('Dvd Calendar'!$N$1577=TYPE3)*(TYPE3&lt;&gt;"")+('Dvd Calendar'!$N$1577=TYPE4)*(TYPE4&lt;&gt;"")+('Dvd Calendar'!$N$1577=SPECIAL_LBL)*(INC_SPECIALS="Y"))=0,"",'Dvd Calendar'!$N$1575)))</f>
        <v/>
      </c>
      <c r="M161" s="106">
        <f>IF(EO161="","",IF(ISNUMBER('Dvd Calendar'!$O$1575)=FALSE,"",IF((('Dvd Calendar'!$O$1577=TYPE1)*(TYPE1&lt;&gt;"")+('Dvd Calendar'!$O$1577=TYPE2)*(TYPE2&lt;&gt;"")+('Dvd Calendar'!$O$1577=TYPE3)*(TYPE3&lt;&gt;"")+('Dvd Calendar'!$O$1577=TYPE4)*(TYPE4&lt;&gt;"")+('Dvd Calendar'!$O$1577=SPECIAL_LBL)*(INC_SPECIALS="Y"))=0,"",'Dvd Calendar'!$O$1575)))</f>
        <v/>
      </c>
      <c r="N161" s="106">
        <f>IF(EP161="","",IF(ISNUMBER('Dvd Calendar'!$P$1575)=FALSE,"",IF((('Dvd Calendar'!$P$1577=TYPE1)*(TYPE1&lt;&gt;"")+('Dvd Calendar'!$P$1577=TYPE2)*(TYPE2&lt;&gt;"")+('Dvd Calendar'!$P$1577=TYPE3)*(TYPE3&lt;&gt;"")+('Dvd Calendar'!$P$1577=TYPE4)*(TYPE4&lt;&gt;"")+('Dvd Calendar'!$P$1577=SPECIAL_LBL)*(INC_SPECIALS="Y"))=0,"",'Dvd Calendar'!$P$1575)))</f>
        <v/>
      </c>
      <c r="O161" s="106">
        <f>IF(EQ161="","",IF(ISNUMBER('Dvd Calendar'!$Q$1575)=FALSE,"",IF((('Dvd Calendar'!$Q$1577=TYPE1)*(TYPE1&lt;&gt;"")+('Dvd Calendar'!$Q$1577=TYPE2)*(TYPE2&lt;&gt;"")+('Dvd Calendar'!$Q$1577=TYPE3)*(TYPE3&lt;&gt;"")+('Dvd Calendar'!$Q$1577=TYPE4)*(TYPE4&lt;&gt;"")+('Dvd Calendar'!$Q$1577=SPECIAL_LBL)*(INC_SPECIALS="Y"))=0,"",'Dvd Calendar'!$Q$1575)))</f>
        <v/>
      </c>
      <c r="P161" s="106">
        <f>IF(ER161="","",IF(ISNUMBER('Dvd Calendar'!$R$1575)=FALSE,"",IF((('Dvd Calendar'!$R$1577=TYPE1)*(TYPE1&lt;&gt;"")+('Dvd Calendar'!$R$1577=TYPE2)*(TYPE2&lt;&gt;"")+('Dvd Calendar'!$R$1577=TYPE3)*(TYPE3&lt;&gt;"")+('Dvd Calendar'!$R$1577=TYPE4)*(TYPE4&lt;&gt;"")+('Dvd Calendar'!$R$1577=SPECIAL_LBL)*(INC_SPECIALS="Y"))=0,"",'Dvd Calendar'!$R$1575)))</f>
        <v/>
      </c>
      <c r="Q161" s="106">
        <f>IF(ES161="","",IF(ISNUMBER('Dvd Calendar'!$S$1575)=FALSE,"",IF((('Dvd Calendar'!$S$1577=TYPE1)*(TYPE1&lt;&gt;"")+('Dvd Calendar'!$S$1577=TYPE2)*(TYPE2&lt;&gt;"")+('Dvd Calendar'!$S$1577=TYPE3)*(TYPE3&lt;&gt;"")+('Dvd Calendar'!$S$1577=TYPE4)*(TYPE4&lt;&gt;"")+('Dvd Calendar'!$S$1577=SPECIAL_LBL)*(INC_SPECIALS="Y"))=0,"",'Dvd Calendar'!$S$1575)))</f>
        <v/>
      </c>
      <c r="R161" s="106">
        <f>IF(ET161="","",IF(ISNUMBER('Dvd Calendar'!$T$1575)=FALSE,"",IF((('Dvd Calendar'!$T$1577=TYPE1)*(TYPE1&lt;&gt;"")+('Dvd Calendar'!$T$1577=TYPE2)*(TYPE2&lt;&gt;"")+('Dvd Calendar'!$T$1577=TYPE3)*(TYPE3&lt;&gt;"")+('Dvd Calendar'!$T$1577=TYPE4)*(TYPE4&lt;&gt;"")+('Dvd Calendar'!$T$1577=SPECIAL_LBL)*(INC_SPECIALS="Y"))=0,"",'Dvd Calendar'!$T$1575)))</f>
        <v/>
      </c>
      <c r="S161" s="106">
        <f>IF(EU161="","",IF(ISNUMBER('Dvd Calendar'!$U$1575)=FALSE,"",IF((('Dvd Calendar'!$U$1577=TYPE1)*(TYPE1&lt;&gt;"")+('Dvd Calendar'!$U$1577=TYPE2)*(TYPE2&lt;&gt;"")+('Dvd Calendar'!$U$1577=TYPE3)*(TYPE3&lt;&gt;"")+('Dvd Calendar'!$U$1577=TYPE4)*(TYPE4&lt;&gt;"")+('Dvd Calendar'!$U$1577=SPECIAL_LBL)*(INC_SPECIALS="Y"))=0,"",'Dvd Calendar'!$U$1575)))</f>
        <v/>
      </c>
      <c r="T161" s="106">
        <f>IF(EV161="","",IF(ISNUMBER('Dvd Calendar'!$V$1575)=FALSE,"",IF((('Dvd Calendar'!$V$1577=TYPE1)*(TYPE1&lt;&gt;"")+('Dvd Calendar'!$V$1577=TYPE2)*(TYPE2&lt;&gt;"")+('Dvd Calendar'!$V$1577=TYPE3)*(TYPE3&lt;&gt;"")+('Dvd Calendar'!$V$1577=TYPE4)*(TYPE4&lt;&gt;"")+('Dvd Calendar'!$V$1577=SPECIAL_LBL)*(INC_SPECIALS="Y"))=0,"",'Dvd Calendar'!$V$1575)))</f>
        <v/>
      </c>
      <c r="U161" s="106">
        <f>IF(EW161="","",IF(ISNUMBER('Dvd Calendar'!$W$1575)=FALSE,"",IF((('Dvd Calendar'!$W$1577=TYPE1)*(TYPE1&lt;&gt;"")+('Dvd Calendar'!$W$1577=TYPE2)*(TYPE2&lt;&gt;"")+('Dvd Calendar'!$W$1577=TYPE3)*(TYPE3&lt;&gt;"")+('Dvd Calendar'!$W$1577=TYPE4)*(TYPE4&lt;&gt;"")+('Dvd Calendar'!$W$1577=SPECIAL_LBL)*(INC_SPECIALS="Y"))=0,"",'Dvd Calendar'!$W$1575)))</f>
        <v/>
      </c>
      <c r="V161" s="106">
        <f>IF(EX161="","",IF(ISNUMBER('Dvd Calendar'!$X$1575)=FALSE,"",IF((('Dvd Calendar'!$X$1577=TYPE1)*(TYPE1&lt;&gt;"")+('Dvd Calendar'!$X$1577=TYPE2)*(TYPE2&lt;&gt;"")+('Dvd Calendar'!$X$1577=TYPE3)*(TYPE3&lt;&gt;"")+('Dvd Calendar'!$X$1577=TYPE4)*(TYPE4&lt;&gt;"")+('Dvd Calendar'!$X$1577=SPECIAL_LBL)*(INC_SPECIALS="Y"))=0,"",'Dvd Calendar'!$X$1575)))</f>
        <v/>
      </c>
      <c r="W161" s="106">
        <f>IF(EY161="","",IF(ISNUMBER('Dvd Calendar'!$Y$1575)=FALSE,"",IF((('Dvd Calendar'!$Y$1577=TYPE1)*(TYPE1&lt;&gt;"")+('Dvd Calendar'!$Y$1577=TYPE2)*(TYPE2&lt;&gt;"")+('Dvd Calendar'!$Y$1577=TYPE3)*(TYPE3&lt;&gt;"")+('Dvd Calendar'!$Y$1577=TYPE4)*(TYPE4&lt;&gt;"")+('Dvd Calendar'!$Y$1577=SPECIAL_LBL)*(INC_SPECIALS="Y"))=0,"",'Dvd Calendar'!$Y$1575)))</f>
        <v/>
      </c>
      <c r="X161" s="106">
        <f>IF(EZ161="","",IF(ISNUMBER('Dvd Calendar'!$Z$1575)=FALSE,"",IF((('Dvd Calendar'!$Z$1577=TYPE1)*(TYPE1&lt;&gt;"")+('Dvd Calendar'!$Z$1577=TYPE2)*(TYPE2&lt;&gt;"")+('Dvd Calendar'!$Z$1577=TYPE3)*(TYPE3&lt;&gt;"")+('Dvd Calendar'!$Z$1577=TYPE4)*(TYPE4&lt;&gt;"")+('Dvd Calendar'!$Z$1577=SPECIAL_LBL)*(INC_SPECIALS="Y"))=0,"",'Dvd Calendar'!$Z$1575)))</f>
        <v/>
      </c>
      <c r="Y161" s="106">
        <f>IF(FA161="","",IF(ISNUMBER('Dvd Calendar'!$AA$1575)=FALSE,"",IF((('Dvd Calendar'!$AA$1577=TYPE1)*(TYPE1&lt;&gt;"")+('Dvd Calendar'!$AA$1577=TYPE2)*(TYPE2&lt;&gt;"")+('Dvd Calendar'!$AA$1577=TYPE3)*(TYPE3&lt;&gt;"")+('Dvd Calendar'!$AA$1577=TYPE4)*(TYPE4&lt;&gt;"")+('Dvd Calendar'!$AA$1577=SPECIAL_LBL)*(INC_SPECIALS="Y"))=0,"",'Dvd Calendar'!$AA$1575)))</f>
        <v/>
      </c>
      <c r="Z161" s="106">
        <f>IF(FB161="","",IF(ISNUMBER('Dvd Calendar'!$AB$1575)=FALSE,"",IF((('Dvd Calendar'!$AB$1577=TYPE1)*(TYPE1&lt;&gt;"")+('Dvd Calendar'!$AB$1577=TYPE2)*(TYPE2&lt;&gt;"")+('Dvd Calendar'!$AB$1577=TYPE3)*(TYPE3&lt;&gt;"")+('Dvd Calendar'!$AB$1577=TYPE4)*(TYPE4&lt;&gt;"")+('Dvd Calendar'!$AB$1577=SPECIAL_LBL)*(INC_SPECIALS="Y"))=0,"",'Dvd Calendar'!$AB$1575)))</f>
        <v/>
      </c>
      <c r="AA161" s="106">
        <f>IF(FC161="","",IF(ISNUMBER('Dvd Calendar'!$AC$1575)=FALSE,"",IF((('Dvd Calendar'!$AC$1577=TYPE1)*(TYPE1&lt;&gt;"")+('Dvd Calendar'!$AC$1577=TYPE2)*(TYPE2&lt;&gt;"")+('Dvd Calendar'!$AC$1577=TYPE3)*(TYPE3&lt;&gt;"")+('Dvd Calendar'!$AC$1577=TYPE4)*(TYPE4&lt;&gt;"")+('Dvd Calendar'!$AC$1577=SPECIAL_LBL)*(INC_SPECIALS="Y"))=0,"",'Dvd Calendar'!$AC$1575)))</f>
        <v/>
      </c>
      <c r="AB161" s="106">
        <f>IF(FD161="","",IF(ISNUMBER('Dvd Calendar'!$AD$1575)=FALSE,"",IF((('Dvd Calendar'!$AD$1577=TYPE1)*(TYPE1&lt;&gt;"")+('Dvd Calendar'!$AD$1577=TYPE2)*(TYPE2&lt;&gt;"")+('Dvd Calendar'!$AD$1577=TYPE3)*(TYPE3&lt;&gt;"")+('Dvd Calendar'!$AD$1577=TYPE4)*(TYPE4&lt;&gt;"")+('Dvd Calendar'!$AD$1577=SPECIAL_LBL)*(INC_SPECIALS="Y"))=0,"",'Dvd Calendar'!$AD$1575)))</f>
        <v/>
      </c>
      <c r="AC161" s="106">
        <f>IF(FE161="","",IF(ISNUMBER('Dvd Calendar'!$AE$1575)=FALSE,"",IF((('Dvd Calendar'!$AE$1577=TYPE1)*(TYPE1&lt;&gt;"")+('Dvd Calendar'!$AE$1577=TYPE2)*(TYPE2&lt;&gt;"")+('Dvd Calendar'!$AE$1577=TYPE3)*(TYPE3&lt;&gt;"")+('Dvd Calendar'!$AE$1577=TYPE4)*(TYPE4&lt;&gt;"")+('Dvd Calendar'!$AE$1577=SPECIAL_LBL)*(INC_SPECIALS="Y"))=0,"",'Dvd Calendar'!$AE$1575)))</f>
        <v/>
      </c>
      <c r="AD161" s="106">
        <f>IF(FF161="","",IF(ISNUMBER('Dvd Calendar'!$AF$1575)=FALSE,"",IF((('Dvd Calendar'!$AF$1577=TYPE1)*(TYPE1&lt;&gt;"")+('Dvd Calendar'!$AF$1577=TYPE2)*(TYPE2&lt;&gt;"")+('Dvd Calendar'!$AF$1577=TYPE3)*(TYPE3&lt;&gt;"")+('Dvd Calendar'!$AF$1577=TYPE4)*(TYPE4&lt;&gt;"")+('Dvd Calendar'!$AF$1577=SPECIAL_LBL)*(INC_SPECIALS="Y"))=0,"",'Dvd Calendar'!$AF$1575)))</f>
        <v/>
      </c>
      <c r="AE161" s="106">
        <f>IF(FG161="","",IF(ISNUMBER('Dvd Calendar'!$AG$1575)=FALSE,"",IF((('Dvd Calendar'!$AG$1577=TYPE1)*(TYPE1&lt;&gt;"")+('Dvd Calendar'!$AG$1577=TYPE2)*(TYPE2&lt;&gt;"")+('Dvd Calendar'!$AG$1577=TYPE3)*(TYPE3&lt;&gt;"")+('Dvd Calendar'!$AG$1577=TYPE4)*(TYPE4&lt;&gt;"")+('Dvd Calendar'!$AG$1577=SPECIAL_LBL)*(INC_SPECIALS="Y"))=0,"",'Dvd Calendar'!$AG$1575)))</f>
        <v/>
      </c>
      <c r="AF161" s="106">
        <f>IF(FH161="","",IF(ISNUMBER('Dvd Calendar'!$AH$1575)=FALSE,"",IF((('Dvd Calendar'!$AH$1577=TYPE1)*(TYPE1&lt;&gt;"")+('Dvd Calendar'!$AH$1577=TYPE2)*(TYPE2&lt;&gt;"")+('Dvd Calendar'!$AH$1577=TYPE3)*(TYPE3&lt;&gt;"")+('Dvd Calendar'!$AH$1577=TYPE4)*(TYPE4&lt;&gt;"")+('Dvd Calendar'!$AH$1577=SPECIAL_LBL)*(INC_SPECIALS="Y"))=0,"",'Dvd Calendar'!$AH$1575)))</f>
        <v/>
      </c>
      <c r="AG161" s="106">
        <f>IF(FI161="","",IF(ISNUMBER('Dvd Calendar'!$AI$1575)=FALSE,"",IF((('Dvd Calendar'!$AI$1577=TYPE1)*(TYPE1&lt;&gt;"")+('Dvd Calendar'!$AI$1577=TYPE2)*(TYPE2&lt;&gt;"")+('Dvd Calendar'!$AI$1577=TYPE3)*(TYPE3&lt;&gt;"")+('Dvd Calendar'!$AI$1577=TYPE4)*(TYPE4&lt;&gt;"")+('Dvd Calendar'!$AI$1577=SPECIAL_LBL)*(INC_SPECIALS="Y"))=0,"",'Dvd Calendar'!$AI$1575)))</f>
        <v/>
      </c>
      <c r="AH161" s="106">
        <f>IF(FJ161="","",IF(ISNUMBER('Dvd Calendar'!$AJ$1575)=FALSE,"",IF((('Dvd Calendar'!$AJ$1577=TYPE1)*(TYPE1&lt;&gt;"")+('Dvd Calendar'!$AJ$1577=TYPE2)*(TYPE2&lt;&gt;"")+('Dvd Calendar'!$AJ$1577=TYPE3)*(TYPE3&lt;&gt;"")+('Dvd Calendar'!$AJ$1577=TYPE4)*(TYPE4&lt;&gt;"")+('Dvd Calendar'!$AJ$1577=SPECIAL_LBL)*(INC_SPECIALS="Y"))=0,"",'Dvd Calendar'!$AJ$1575)))</f>
        <v/>
      </c>
      <c r="AI161" s="106">
        <f>IF(FK161="","",IF(ISNUMBER('Dvd Calendar'!$AK$1575)=FALSE,"",IF((('Dvd Calendar'!$AK$1577=TYPE1)*(TYPE1&lt;&gt;"")+('Dvd Calendar'!$AK$1577=TYPE2)*(TYPE2&lt;&gt;"")+('Dvd Calendar'!$AK$1577=TYPE3)*(TYPE3&lt;&gt;"")+('Dvd Calendar'!$AK$1577=TYPE4)*(TYPE4&lt;&gt;"")+('Dvd Calendar'!$AK$1577=SPECIAL_LBL)*(INC_SPECIALS="Y"))=0,"",'Dvd Calendar'!$AK$1575)))</f>
        <v/>
      </c>
      <c r="AJ161" s="106">
        <f>IF(FL161="","",IF(ISNUMBER('Dvd Calendar'!$AL$1575)=FALSE,"",IF((('Dvd Calendar'!$AL$1577=TYPE1)*(TYPE1&lt;&gt;"")+('Dvd Calendar'!$AL$1577=TYPE2)*(TYPE2&lt;&gt;"")+('Dvd Calendar'!$AL$1577=TYPE3)*(TYPE3&lt;&gt;"")+('Dvd Calendar'!$AL$1577=TYPE4)*(TYPE4&lt;&gt;"")+('Dvd Calendar'!$AL$1577=SPECIAL_LBL)*(INC_SPECIALS="Y"))=0,"",'Dvd Calendar'!$AL$1575)))</f>
        <v/>
      </c>
      <c r="AK161" s="106">
        <f>IF(FM161="","",IF(ISNUMBER('Dvd Calendar'!$AM$1575)=FALSE,"",IF((('Dvd Calendar'!$AM$1577=TYPE1)*(TYPE1&lt;&gt;"")+('Dvd Calendar'!$AM$1577=TYPE2)*(TYPE2&lt;&gt;"")+('Dvd Calendar'!$AM$1577=TYPE3)*(TYPE3&lt;&gt;"")+('Dvd Calendar'!$AM$1577=TYPE4)*(TYPE4&lt;&gt;"")+('Dvd Calendar'!$AM$1577=SPECIAL_LBL)*(INC_SPECIALS="Y"))=0,"",'Dvd Calendar'!$AM$1575)))</f>
        <v/>
      </c>
      <c r="AL161" s="106">
        <f>IF(FN161="","",IF(ISNUMBER('Dvd Calendar'!$AN$1575)=FALSE,"",IF((('Dvd Calendar'!$AN$1577=TYPE1)*(TYPE1&lt;&gt;"")+('Dvd Calendar'!$AN$1577=TYPE2)*(TYPE2&lt;&gt;"")+('Dvd Calendar'!$AN$1577=TYPE3)*(TYPE3&lt;&gt;"")+('Dvd Calendar'!$AN$1577=TYPE4)*(TYPE4&lt;&gt;"")+('Dvd Calendar'!$AN$1577=SPECIAL_LBL)*(INC_SPECIALS="Y"))=0,"",'Dvd Calendar'!$AN$1575)))</f>
        <v/>
      </c>
      <c r="AM161" s="106">
        <f>IF(FO161="","",IF(ISNUMBER('Dvd Calendar'!$AO$1575)=FALSE,"",IF((('Dvd Calendar'!$AO$1577=TYPE1)*(TYPE1&lt;&gt;"")+('Dvd Calendar'!$AO$1577=TYPE2)*(TYPE2&lt;&gt;"")+('Dvd Calendar'!$AO$1577=TYPE3)*(TYPE3&lt;&gt;"")+('Dvd Calendar'!$AO$1577=TYPE4)*(TYPE4&lt;&gt;"")+('Dvd Calendar'!$AO$1577=SPECIAL_LBL)*(INC_SPECIALS="Y"))=0,"",'Dvd Calendar'!$AO$1575)))</f>
        <v/>
      </c>
      <c r="AN161" s="106">
        <f>IF(FP161="","",IF(ISNUMBER('Dvd Calendar'!$AP$1575)=FALSE,"",IF((('Dvd Calendar'!$AP$1577=TYPE1)*(TYPE1&lt;&gt;"")+('Dvd Calendar'!$AP$1577=TYPE2)*(TYPE2&lt;&gt;"")+('Dvd Calendar'!$AP$1577=TYPE3)*(TYPE3&lt;&gt;"")+('Dvd Calendar'!$AP$1577=TYPE4)*(TYPE4&lt;&gt;"")+('Dvd Calendar'!$AP$1577=SPECIAL_LBL)*(INC_SPECIALS="Y"))=0,"",'Dvd Calendar'!$AP$1575)))</f>
        <v/>
      </c>
      <c r="AO161" s="106">
        <f>IF(FQ161="","",IF(ISNUMBER('Dvd Calendar'!$AQ$1575)=FALSE,"",IF((('Dvd Calendar'!$AQ$1577=TYPE1)*(TYPE1&lt;&gt;"")+('Dvd Calendar'!$AQ$1577=TYPE2)*(TYPE2&lt;&gt;"")+('Dvd Calendar'!$AQ$1577=TYPE3)*(TYPE3&lt;&gt;"")+('Dvd Calendar'!$AQ$1577=TYPE4)*(TYPE4&lt;&gt;"")+('Dvd Calendar'!$AQ$1577=SPECIAL_LBL)*(INC_SPECIALS="Y"))=0,"",'Dvd Calendar'!$AQ$1575)))</f>
        <v/>
      </c>
      <c r="AP161" s="106">
        <f>IF(FR161="","",IF(ISNUMBER('Dvd Calendar'!$AR$1575)=FALSE,"",IF((('Dvd Calendar'!$AR$1577=TYPE1)*(TYPE1&lt;&gt;"")+('Dvd Calendar'!$AR$1577=TYPE2)*(TYPE2&lt;&gt;"")+('Dvd Calendar'!$AR$1577=TYPE3)*(TYPE3&lt;&gt;"")+('Dvd Calendar'!$AR$1577=TYPE4)*(TYPE4&lt;&gt;"")+('Dvd Calendar'!$AR$1577=SPECIAL_LBL)*(INC_SPECIALS="Y"))=0,"",'Dvd Calendar'!$AR$1575)))</f>
        <v/>
      </c>
      <c r="AQ161" s="106">
        <f>IF(FS161="","",IF(ISNUMBER('Dvd Calendar'!$E$1580)=FALSE,"",'Dvd Calendar'!$E$1580))</f>
        <v/>
      </c>
      <c r="AR161" s="106">
        <f>IF(FT161="","",IF(ISNUMBER('Dvd Calendar'!$F$1580)=FALSE,"",'Dvd Calendar'!$F$1580))</f>
        <v/>
      </c>
      <c r="AS161" s="106">
        <f>IF(FU161="","",IF(ISNUMBER('Dvd Calendar'!$G$1580)=FALSE,"",'Dvd Calendar'!$G$1580))</f>
        <v/>
      </c>
      <c r="AT161" s="106">
        <f>IF(FV161="","",IF(ISNUMBER('Dvd Calendar'!$H$1580)=FALSE,"",'Dvd Calendar'!$H$1580))</f>
        <v/>
      </c>
      <c r="AU161" s="106">
        <f>IF(FW161="","",IF(ISNUMBER('Dvd Calendar'!$I$1580)=FALSE,"",'Dvd Calendar'!$I$1580))</f>
        <v/>
      </c>
      <c r="AV161" s="106">
        <f>IF(FX161="","",IF(ISNUMBER('Dvd Calendar'!$J$1580)=FALSE,"",'Dvd Calendar'!$J$1580))</f>
        <v/>
      </c>
      <c r="AW161" s="106">
        <f>IF(FY161="","",IF(ISNUMBER('Dvd Calendar'!$K$1580)=FALSE,"",'Dvd Calendar'!$K$1580))</f>
        <v/>
      </c>
      <c r="AX161" s="106">
        <f>IF(FZ161="","",IF(ISNUMBER('Dvd Calendar'!$L$1580)=FALSE,"",'Dvd Calendar'!$L$1580))</f>
        <v/>
      </c>
      <c r="AY161" s="106">
        <f>IF(GA161="","",IF(ISNUMBER('Dvd Calendar'!$M$1580)=FALSE,"",'Dvd Calendar'!$M$1580))</f>
        <v/>
      </c>
      <c r="AZ161" s="106">
        <f>IF(GB161="","",IF(ISNUMBER('Dvd Calendar'!$N$1580)=FALSE,"",'Dvd Calendar'!$N$1580))</f>
        <v/>
      </c>
      <c r="BA161" s="106">
        <f>IF(GC161="","",IF(ISNUMBER('Dvd Calendar'!$O$1580)=FALSE,"",'Dvd Calendar'!$O$1580))</f>
        <v/>
      </c>
      <c r="BB161" s="106">
        <f>IF(GD161="","",IF(ISNUMBER('Dvd Calendar'!$P$1580)=FALSE,"",'Dvd Calendar'!$P$1580))</f>
        <v/>
      </c>
      <c r="BC161" s="106">
        <f>IF(GE161="","",IF(ISNUMBER('Dvd Calendar'!$Q$1580)=FALSE,"",'Dvd Calendar'!$Q$1580))</f>
        <v/>
      </c>
      <c r="BD161" s="106">
        <f>IF(GF161="","",IF(ISNUMBER('Dvd Calendar'!$R$1580)=FALSE,"",'Dvd Calendar'!$R$1580))</f>
        <v/>
      </c>
      <c r="BE161" s="106">
        <f>IF(GG161="","",IF(ISNUMBER('Dvd Calendar'!$S$1580)=FALSE,"",'Dvd Calendar'!$S$1580))</f>
        <v/>
      </c>
      <c r="BF161" s="106">
        <f>IF(GH161="","",IF(ISNUMBER('Dvd Calendar'!$T$1580)=FALSE,"",'Dvd Calendar'!$T$1580))</f>
        <v/>
      </c>
      <c r="BG161" s="106">
        <f>IF(GI161="","",IF(ISNUMBER('Dvd Calendar'!$U$1580)=FALSE,"",'Dvd Calendar'!$U$1580))</f>
        <v/>
      </c>
      <c r="BH161" s="106">
        <f>IF(GJ161="","",IF(ISNUMBER('Dvd Calendar'!$V$1580)=FALSE,"",'Dvd Calendar'!$V$1580))</f>
        <v/>
      </c>
      <c r="BI161" s="106">
        <f>IF(GK161="","",IF(ISNUMBER('Dvd Calendar'!$W$1580)=FALSE,"",'Dvd Calendar'!$W$1580))</f>
        <v/>
      </c>
      <c r="BJ161" s="106">
        <f>IF(GL161="","",IF(ISNUMBER('Dvd Calendar'!$X$1580)=FALSE,"",'Dvd Calendar'!$X$1580))</f>
        <v/>
      </c>
      <c r="BK161" s="106">
        <f>IF(GM161="","",IF(ISNUMBER('Dvd Calendar'!$Y$1580)=FALSE,"",'Dvd Calendar'!$Y$1580))</f>
        <v/>
      </c>
      <c r="BL161" s="106">
        <f>IF(GN161="","",IF(ISNUMBER('Dvd Calendar'!$Z$1580)=FALSE,"",'Dvd Calendar'!$Z$1580))</f>
        <v/>
      </c>
      <c r="BM161" s="106">
        <f>IF(GO161="","",IF(ISNUMBER('Dvd Calendar'!$AA$1580)=FALSE,"",'Dvd Calendar'!$AA$1580))</f>
        <v/>
      </c>
      <c r="BN161" s="106">
        <f>IF(GP161="","",IF(ISNUMBER('Dvd Calendar'!$AB$1580)=FALSE,"",'Dvd Calendar'!$AB$1580))</f>
        <v/>
      </c>
      <c r="BO161" s="106">
        <f>IF(GQ161="","",IF(ISNUMBER('Dvd Calendar'!$AC$1580)=FALSE,"",'Dvd Calendar'!$AC$1580))</f>
        <v/>
      </c>
      <c r="BQ161" s="106">
        <f>IF(C161="","",IFERROR(C161*HSCEI!$B$8*HSCEI!$G$8/HSCEI!$B$3,""))</f>
        <v/>
      </c>
      <c r="BR161" s="106">
        <f>IF(D161="","",IFERROR(D161*HSCEI!$B$8*HSCEI!$G$8/HSCEI!$B$3,""))</f>
        <v/>
      </c>
      <c r="BS161" s="106">
        <f>IF(E161="","",IFERROR(E161*HSCEI!$B$8*HSCEI!$G$8/HSCEI!$B$3,""))</f>
        <v/>
      </c>
      <c r="BT161" s="106">
        <f>IF(F161="","",IFERROR(F161*HSCEI!$B$8*HSCEI!$G$8/HSCEI!$B$3,""))</f>
        <v/>
      </c>
      <c r="BU161" s="106">
        <f>IF(G161="","",IFERROR(G161*HSCEI!$B$8*HSCEI!$G$8/HSCEI!$B$3,""))</f>
        <v/>
      </c>
      <c r="BV161" s="106">
        <f>IF(H161="","",IFERROR(H161*HSCEI!$B$8*HSCEI!$G$8/HSCEI!$B$3,""))</f>
        <v/>
      </c>
      <c r="BW161" s="106">
        <f>IF(I161="","",IFERROR(I161*HSCEI!$B$8*HSCEI!$G$8/HSCEI!$B$3,""))</f>
        <v/>
      </c>
      <c r="BX161" s="106">
        <f>IF(J161="","",IFERROR(J161*HSCEI!$B$8*HSCEI!$G$8/HSCEI!$B$3,""))</f>
        <v/>
      </c>
      <c r="BY161" s="106">
        <f>IF(K161="","",IFERROR(K161*HSCEI!$B$8*HSCEI!$G$8/HSCEI!$B$3,""))</f>
        <v/>
      </c>
      <c r="BZ161" s="106">
        <f>IF(L161="","",IFERROR(L161*HSCEI!$B$8*HSCEI!$G$8/HSCEI!$B$3,""))</f>
        <v/>
      </c>
      <c r="CA161" s="106">
        <f>IF(M161="","",IFERROR(M161*HSCEI!$B$8*HSCEI!$G$8/HSCEI!$B$3,""))</f>
        <v/>
      </c>
      <c r="CB161" s="106">
        <f>IF(N161="","",IFERROR(N161*HSCEI!$B$8*HSCEI!$G$8/HSCEI!$B$3,""))</f>
        <v/>
      </c>
      <c r="CC161" s="106">
        <f>IF(O161="","",IFERROR(O161*HSCEI!$B$8*HSCEI!$G$8/HSCEI!$B$3,""))</f>
        <v/>
      </c>
      <c r="CD161" s="106">
        <f>IF(P161="","",IFERROR(P161*HSCEI!$B$8*HSCEI!$G$8/HSCEI!$B$3,""))</f>
        <v/>
      </c>
      <c r="CE161" s="106">
        <f>IF(Q161="","",IFERROR(Q161*HSCEI!$B$8*HSCEI!$G$8/HSCEI!$B$3,""))</f>
        <v/>
      </c>
      <c r="CF161" s="106">
        <f>IF(R161="","",IFERROR(R161*HSCEI!$B$8*HSCEI!$G$8/HSCEI!$B$3,""))</f>
        <v/>
      </c>
      <c r="CG161" s="106">
        <f>IF(S161="","",IFERROR(S161*HSCEI!$B$8*HSCEI!$G$8/HSCEI!$B$3,""))</f>
        <v/>
      </c>
      <c r="CH161" s="106">
        <f>IF(T161="","",IFERROR(T161*HSCEI!$B$8*HSCEI!$G$8/HSCEI!$B$3,""))</f>
        <v/>
      </c>
      <c r="CI161" s="106">
        <f>IF(U161="","",IFERROR(U161*HSCEI!$B$8*HSCEI!$G$8/HSCEI!$B$3,""))</f>
        <v/>
      </c>
      <c r="CJ161" s="106">
        <f>IF(V161="","",IFERROR(V161*HSCEI!$B$8*HSCEI!$G$8/HSCEI!$B$3,""))</f>
        <v/>
      </c>
      <c r="CK161" s="106">
        <f>IF(W161="","",IFERROR(W161*HSCEI!$B$8*HSCEI!$G$8/HSCEI!$B$3,""))</f>
        <v/>
      </c>
      <c r="CL161" s="106">
        <f>IF(X161="","",IFERROR(X161*HSCEI!$B$8*HSCEI!$G$8/HSCEI!$B$3,""))</f>
        <v/>
      </c>
      <c r="CM161" s="106">
        <f>IF(Y161="","",IFERROR(Y161*HSCEI!$B$8*HSCEI!$G$8/HSCEI!$B$3,""))</f>
        <v/>
      </c>
      <c r="CN161" s="106">
        <f>IF(Z161="","",IFERROR(Z161*HSCEI!$B$8*HSCEI!$G$8/HSCEI!$B$3,""))</f>
        <v/>
      </c>
      <c r="CO161" s="106">
        <f>IF(AA161="","",IFERROR(AA161*HSCEI!$B$8*HSCEI!$G$8/HSCEI!$B$3,""))</f>
        <v/>
      </c>
      <c r="CP161" s="106">
        <f>IF(AB161="","",IFERROR(AB161*HSCEI!$B$8*HSCEI!$G$8/HSCEI!$B$3,""))</f>
        <v/>
      </c>
      <c r="CQ161" s="106">
        <f>IF(AC161="","",IFERROR(AC161*HSCEI!$B$8*HSCEI!$G$8/HSCEI!$B$3,""))</f>
        <v/>
      </c>
      <c r="CR161" s="106">
        <f>IF(AD161="","",IFERROR(AD161*HSCEI!$B$8*HSCEI!$G$8/HSCEI!$B$3,""))</f>
        <v/>
      </c>
      <c r="CS161" s="106">
        <f>IF(AE161="","",IFERROR(AE161*HSCEI!$B$8*HSCEI!$G$8/HSCEI!$B$3,""))</f>
        <v/>
      </c>
      <c r="CT161" s="106">
        <f>IF(AF161="","",IFERROR(AF161*HSCEI!$B$8*HSCEI!$G$8/HSCEI!$B$3,""))</f>
        <v/>
      </c>
      <c r="CU161" s="106">
        <f>IF(AG161="","",IFERROR(AG161*HSCEI!$B$8*HSCEI!$G$8/HSCEI!$B$3,""))</f>
        <v/>
      </c>
      <c r="CV161" s="106">
        <f>IF(AH161="","",IFERROR(AH161*HSCEI!$B$8*HSCEI!$G$8/HSCEI!$B$3,""))</f>
        <v/>
      </c>
      <c r="CW161" s="106">
        <f>IF(AI161="","",IFERROR(AI161*HSCEI!$B$8*HSCEI!$G$8/HSCEI!$B$3,""))</f>
        <v/>
      </c>
      <c r="CX161" s="106">
        <f>IF(AJ161="","",IFERROR(AJ161*HSCEI!$B$8*HSCEI!$G$8/HSCEI!$B$3,""))</f>
        <v/>
      </c>
      <c r="CY161" s="106">
        <f>IF(AK161="","",IFERROR(AK161*HSCEI!$B$8*HSCEI!$G$8/HSCEI!$B$3,""))</f>
        <v/>
      </c>
      <c r="CZ161" s="106">
        <f>IF(AL161="","",IFERROR(AL161*HSCEI!$B$8*HSCEI!$G$8/HSCEI!$B$3,""))</f>
        <v/>
      </c>
      <c r="DA161" s="106">
        <f>IF(AM161="","",IFERROR(AM161*HSCEI!$B$8*HSCEI!$G$8/HSCEI!$B$3,""))</f>
        <v/>
      </c>
      <c r="DB161" s="106">
        <f>IF(AN161="","",IFERROR(AN161*HSCEI!$B$8*HSCEI!$G$8/HSCEI!$B$3,""))</f>
        <v/>
      </c>
      <c r="DC161" s="106">
        <f>IF(AO161="","",IFERROR(AO161*HSCEI!$B$8*HSCEI!$G$8/HSCEI!$B$3,""))</f>
        <v/>
      </c>
      <c r="DD161" s="106">
        <f>IF(AP161="","",IFERROR(AP161*HSCEI!$B$8*HSCEI!$G$8/HSCEI!$B$3,""))</f>
        <v/>
      </c>
      <c r="DE161" s="106">
        <f>IF(AQ161="","",IFERROR(AQ161*HSCEI!$B$8*HSCEI!$G$8/HSCEI!$B$3,""))</f>
        <v/>
      </c>
      <c r="DF161" s="106">
        <f>IF(AR161="","",IFERROR(AR161*HSCEI!$B$8*HSCEI!$G$8/HSCEI!$B$3,""))</f>
        <v/>
      </c>
      <c r="DG161" s="106">
        <f>IF(AS161="","",IFERROR(AS161*HSCEI!$B$8*HSCEI!$G$8/HSCEI!$B$3,""))</f>
        <v/>
      </c>
      <c r="DH161" s="106">
        <f>IF(AT161="","",IFERROR(AT161*HSCEI!$B$8*HSCEI!$G$8/HSCEI!$B$3,""))</f>
        <v/>
      </c>
      <c r="DI161" s="106">
        <f>IF(AU161="","",IFERROR(AU161*HSCEI!$B$8*HSCEI!$G$8/HSCEI!$B$3,""))</f>
        <v/>
      </c>
      <c r="DJ161" s="106">
        <f>IF(AV161="","",IFERROR(AV161*HSCEI!$B$8*HSCEI!$G$8/HSCEI!$B$3,""))</f>
        <v/>
      </c>
      <c r="DK161" s="106">
        <f>IF(AW161="","",IFERROR(AW161*HSCEI!$B$8*HSCEI!$G$8/HSCEI!$B$3,""))</f>
        <v/>
      </c>
      <c r="DL161" s="106">
        <f>IF(AX161="","",IFERROR(AX161*HSCEI!$B$8*HSCEI!$G$8/HSCEI!$B$3,""))</f>
        <v/>
      </c>
      <c r="DM161" s="106">
        <f>IF(AY161="","",IFERROR(AY161*HSCEI!$B$8*HSCEI!$G$8/HSCEI!$B$3,""))</f>
        <v/>
      </c>
      <c r="DN161" s="106">
        <f>IF(AZ161="","",IFERROR(AZ161*HSCEI!$B$8*HSCEI!$G$8/HSCEI!$B$3,""))</f>
        <v/>
      </c>
      <c r="DO161" s="106">
        <f>IF(BA161="","",IFERROR(BA161*HSCEI!$B$8*HSCEI!$G$8/HSCEI!$B$3,""))</f>
        <v/>
      </c>
      <c r="DP161" s="106">
        <f>IF(BB161="","",IFERROR(BB161*HSCEI!$B$8*HSCEI!$G$8/HSCEI!$B$3,""))</f>
        <v/>
      </c>
      <c r="DQ161" s="106">
        <f>IF(BC161="","",IFERROR(BC161*HSCEI!$B$8*HSCEI!$G$8/HSCEI!$B$3,""))</f>
        <v/>
      </c>
      <c r="DR161" s="106">
        <f>IF(BD161="","",IFERROR(BD161*HSCEI!$B$8*HSCEI!$G$8/HSCEI!$B$3,""))</f>
        <v/>
      </c>
      <c r="DS161" s="106">
        <f>IF(BE161="","",IFERROR(BE161*HSCEI!$B$8*HSCEI!$G$8/HSCEI!$B$3,""))</f>
        <v/>
      </c>
      <c r="DT161" s="106">
        <f>IF(BF161="","",IFERROR(BF161*HSCEI!$B$8*HSCEI!$G$8/HSCEI!$B$3,""))</f>
        <v/>
      </c>
      <c r="DU161" s="106">
        <f>IF(BG161="","",IFERROR(BG161*HSCEI!$B$8*HSCEI!$G$8/HSCEI!$B$3,""))</f>
        <v/>
      </c>
      <c r="DV161" s="106">
        <f>IF(BH161="","",IFERROR(BH161*HSCEI!$B$8*HSCEI!$G$8/HSCEI!$B$3,""))</f>
        <v/>
      </c>
      <c r="DW161" s="106">
        <f>IF(BI161="","",IFERROR(BI161*HSCEI!$B$8*HSCEI!$G$8/HSCEI!$B$3,""))</f>
        <v/>
      </c>
      <c r="DX161" s="106">
        <f>IF(BJ161="","",IFERROR(BJ161*HSCEI!$B$8*HSCEI!$G$8/HSCEI!$B$3,""))</f>
        <v/>
      </c>
      <c r="DY161" s="106">
        <f>IF(BK161="","",IFERROR(BK161*HSCEI!$B$8*HSCEI!$G$8/HSCEI!$B$3,""))</f>
        <v/>
      </c>
      <c r="DZ161" s="106">
        <f>IF(BL161="","",IFERROR(BL161*HSCEI!$B$8*HSCEI!$G$8/HSCEI!$B$3,""))</f>
        <v/>
      </c>
      <c r="EA161" s="106">
        <f>IF(BM161="","",IFERROR(BM161*HSCEI!$B$8*HSCEI!$G$8/HSCEI!$B$3,""))</f>
        <v/>
      </c>
      <c r="EB161" s="106">
        <f>IF(BN161="","",IFERROR(BN161*HSCEI!$B$8*HSCEI!$G$8/HSCEI!$B$3,""))</f>
        <v/>
      </c>
      <c r="EC161" s="106">
        <f>IF(BO161="","",IFERROR(BO161*HSCEI!$B$8*HSCEI!$G$8/HSCEI!$B$3,""))</f>
        <v/>
      </c>
      <c r="EE161" s="35">
        <f>IF(N('Dvd Calendar'!$E$1572)=0,"",IF(('Dvd Calendar'!$E$1572&gt;=GRID_FROM)*('Dvd Calendar'!$E$1572&lt;=GRID_TO)*('Dvd Calendar'!$E$1572&lt;=VAL_DATE)=0,"",'Dvd Calendar'!$E$1572*1000000000+ISNUMBER('Dvd Calendar'!$E$1575)*100000000+('Dvd Calendar'!$E$1577=SPECIAL_LBL)*10000000+0*1000000+2*1000+1))</f>
        <v/>
      </c>
      <c r="EF161" s="35">
        <f>IF(N('Dvd Calendar'!$F$1572)=0,"",IF(('Dvd Calendar'!$F$1572&gt;=GRID_FROM)*('Dvd Calendar'!$F$1572&lt;=GRID_TO)*('Dvd Calendar'!$F$1572&lt;=VAL_DATE)=0,"",'Dvd Calendar'!$F$1572*1000000000+ISNUMBER('Dvd Calendar'!$F$1575)*100000000+('Dvd Calendar'!$F$1577=SPECIAL_LBL)*10000000+0*1000000+2*1000+2))</f>
        <v/>
      </c>
      <c r="EG161" s="35">
        <f>IF(N('Dvd Calendar'!$G$1572)=0,"",IF(('Dvd Calendar'!$G$1572&gt;=GRID_FROM)*('Dvd Calendar'!$G$1572&lt;=GRID_TO)*('Dvd Calendar'!$G$1572&lt;=VAL_DATE)=0,"",'Dvd Calendar'!$G$1572*1000000000+ISNUMBER('Dvd Calendar'!$G$1575)*100000000+('Dvd Calendar'!$G$1577=SPECIAL_LBL)*10000000+0*1000000+2*1000+3))</f>
        <v/>
      </c>
      <c r="EH161" s="35">
        <f>IF(N('Dvd Calendar'!$H$1572)=0,"",IF(('Dvd Calendar'!$H$1572&gt;=GRID_FROM)*('Dvd Calendar'!$H$1572&lt;=GRID_TO)*('Dvd Calendar'!$H$1572&lt;=VAL_DATE)=0,"",'Dvd Calendar'!$H$1572*1000000000+ISNUMBER('Dvd Calendar'!$H$1575)*100000000+('Dvd Calendar'!$H$1577=SPECIAL_LBL)*10000000+0*1000000+2*1000+4))</f>
        <v/>
      </c>
      <c r="EI161" s="35">
        <f>IF(N('Dvd Calendar'!$I$1572)=0,"",IF(('Dvd Calendar'!$I$1572&gt;=GRID_FROM)*('Dvd Calendar'!$I$1572&lt;=GRID_TO)*('Dvd Calendar'!$I$1572&lt;=VAL_DATE)=0,"",'Dvd Calendar'!$I$1572*1000000000+ISNUMBER('Dvd Calendar'!$I$1575)*100000000+('Dvd Calendar'!$I$1577=SPECIAL_LBL)*10000000+0*1000000+2*1000+5))</f>
        <v/>
      </c>
      <c r="EJ161" s="35">
        <f>IF(N('Dvd Calendar'!$J$1572)=0,"",IF(('Dvd Calendar'!$J$1572&gt;=GRID_FROM)*('Dvd Calendar'!$J$1572&lt;=GRID_TO)*('Dvd Calendar'!$J$1572&lt;=VAL_DATE)=0,"",'Dvd Calendar'!$J$1572*1000000000+ISNUMBER('Dvd Calendar'!$J$1575)*100000000+('Dvd Calendar'!$J$1577=SPECIAL_LBL)*10000000+0*1000000+2*1000+6))</f>
        <v/>
      </c>
      <c r="EK161" s="35">
        <f>IF(N('Dvd Calendar'!$K$1572)=0,"",IF(('Dvd Calendar'!$K$1572&gt;=GRID_FROM)*('Dvd Calendar'!$K$1572&lt;=GRID_TO)*('Dvd Calendar'!$K$1572&lt;=VAL_DATE)=0,"",'Dvd Calendar'!$K$1572*1000000000+ISNUMBER('Dvd Calendar'!$K$1575)*100000000+('Dvd Calendar'!$K$1577=SPECIAL_LBL)*10000000+0*1000000+2*1000+7))</f>
        <v/>
      </c>
      <c r="EL161" s="35">
        <f>IF(N('Dvd Calendar'!$L$1572)=0,"",IF(('Dvd Calendar'!$L$1572&gt;=GRID_FROM)*('Dvd Calendar'!$L$1572&lt;=GRID_TO)*('Dvd Calendar'!$L$1572&lt;=VAL_DATE)=0,"",'Dvd Calendar'!$L$1572*1000000000+ISNUMBER('Dvd Calendar'!$L$1575)*100000000+('Dvd Calendar'!$L$1577=SPECIAL_LBL)*10000000+0*1000000+2*1000+8))</f>
        <v/>
      </c>
      <c r="EM161" s="35">
        <f>IF(N('Dvd Calendar'!$M$1572)=0,"",IF(('Dvd Calendar'!$M$1572&gt;=GRID_FROM)*('Dvd Calendar'!$M$1572&lt;=GRID_TO)*('Dvd Calendar'!$M$1572&lt;=VAL_DATE)=0,"",'Dvd Calendar'!$M$1572*1000000000+ISNUMBER('Dvd Calendar'!$M$1575)*100000000+('Dvd Calendar'!$M$1577=SPECIAL_LBL)*10000000+0*1000000+2*1000+9))</f>
        <v/>
      </c>
      <c r="EN161" s="35">
        <f>IF(N('Dvd Calendar'!$N$1572)=0,"",IF(('Dvd Calendar'!$N$1572&gt;=GRID_FROM)*('Dvd Calendar'!$N$1572&lt;=GRID_TO)*('Dvd Calendar'!$N$1572&lt;=VAL_DATE)=0,"",'Dvd Calendar'!$N$1572*1000000000+ISNUMBER('Dvd Calendar'!$N$1575)*100000000+('Dvd Calendar'!$N$1577=SPECIAL_LBL)*10000000+0*1000000+2*1000+10))</f>
        <v/>
      </c>
      <c r="EO161" s="35">
        <f>IF(N('Dvd Calendar'!$O$1572)=0,"",IF(('Dvd Calendar'!$O$1572&gt;=GRID_FROM)*('Dvd Calendar'!$O$1572&lt;=GRID_TO)*('Dvd Calendar'!$O$1572&lt;=VAL_DATE)=0,"",'Dvd Calendar'!$O$1572*1000000000+ISNUMBER('Dvd Calendar'!$O$1575)*100000000+('Dvd Calendar'!$O$1577=SPECIAL_LBL)*10000000+0*1000000+2*1000+11))</f>
        <v/>
      </c>
      <c r="EP161" s="35">
        <f>IF(N('Dvd Calendar'!$P$1572)=0,"",IF(('Dvd Calendar'!$P$1572&gt;=GRID_FROM)*('Dvd Calendar'!$P$1572&lt;=GRID_TO)*('Dvd Calendar'!$P$1572&lt;=VAL_DATE)=0,"",'Dvd Calendar'!$P$1572*1000000000+ISNUMBER('Dvd Calendar'!$P$1575)*100000000+('Dvd Calendar'!$P$1577=SPECIAL_LBL)*10000000+0*1000000+2*1000+12))</f>
        <v/>
      </c>
      <c r="EQ161" s="35">
        <f>IF(N('Dvd Calendar'!$Q$1572)=0,"",IF(('Dvd Calendar'!$Q$1572&gt;=GRID_FROM)*('Dvd Calendar'!$Q$1572&lt;=GRID_TO)*('Dvd Calendar'!$Q$1572&lt;=VAL_DATE)=0,"",'Dvd Calendar'!$Q$1572*1000000000+ISNUMBER('Dvd Calendar'!$Q$1575)*100000000+('Dvd Calendar'!$Q$1577=SPECIAL_LBL)*10000000+0*1000000+2*1000+13))</f>
        <v/>
      </c>
      <c r="ER161" s="35">
        <f>IF(N('Dvd Calendar'!$R$1572)=0,"",IF(('Dvd Calendar'!$R$1572&gt;=GRID_FROM)*('Dvd Calendar'!$R$1572&lt;=GRID_TO)*('Dvd Calendar'!$R$1572&lt;=VAL_DATE)=0,"",'Dvd Calendar'!$R$1572*1000000000+ISNUMBER('Dvd Calendar'!$R$1575)*100000000+('Dvd Calendar'!$R$1577=SPECIAL_LBL)*10000000+0*1000000+2*1000+14))</f>
        <v/>
      </c>
      <c r="ES161" s="35">
        <f>IF(N('Dvd Calendar'!$S$1572)=0,"",IF(('Dvd Calendar'!$S$1572&gt;=GRID_FROM)*('Dvd Calendar'!$S$1572&lt;=GRID_TO)*('Dvd Calendar'!$S$1572&lt;=VAL_DATE)=0,"",'Dvd Calendar'!$S$1572*1000000000+ISNUMBER('Dvd Calendar'!$S$1575)*100000000+('Dvd Calendar'!$S$1577=SPECIAL_LBL)*10000000+0*1000000+2*1000+15))</f>
        <v/>
      </c>
      <c r="ET161" s="35">
        <f>IF(N('Dvd Calendar'!$T$1572)=0,"",IF(('Dvd Calendar'!$T$1572&gt;=GRID_FROM)*('Dvd Calendar'!$T$1572&lt;=GRID_TO)*('Dvd Calendar'!$T$1572&lt;=VAL_DATE)=0,"",'Dvd Calendar'!$T$1572*1000000000+ISNUMBER('Dvd Calendar'!$T$1575)*100000000+('Dvd Calendar'!$T$1577=SPECIAL_LBL)*10000000+0*1000000+2*1000+16))</f>
        <v/>
      </c>
      <c r="EU161" s="35">
        <f>IF(N('Dvd Calendar'!$U$1572)=0,"",IF(('Dvd Calendar'!$U$1572&gt;=GRID_FROM)*('Dvd Calendar'!$U$1572&lt;=GRID_TO)*('Dvd Calendar'!$U$1572&lt;=VAL_DATE)=0,"",'Dvd Calendar'!$U$1572*1000000000+ISNUMBER('Dvd Calendar'!$U$1575)*100000000+('Dvd Calendar'!$U$1577=SPECIAL_LBL)*10000000+0*1000000+2*1000+17))</f>
        <v/>
      </c>
      <c r="EV161" s="35">
        <f>IF(N('Dvd Calendar'!$V$1572)=0,"",IF(('Dvd Calendar'!$V$1572&gt;=GRID_FROM)*('Dvd Calendar'!$V$1572&lt;=GRID_TO)*('Dvd Calendar'!$V$1572&lt;=VAL_DATE)=0,"",'Dvd Calendar'!$V$1572*1000000000+ISNUMBER('Dvd Calendar'!$V$1575)*100000000+('Dvd Calendar'!$V$1577=SPECIAL_LBL)*10000000+0*1000000+2*1000+18))</f>
        <v/>
      </c>
      <c r="EW161" s="35">
        <f>IF(N('Dvd Calendar'!$W$1572)=0,"",IF(('Dvd Calendar'!$W$1572&gt;=GRID_FROM)*('Dvd Calendar'!$W$1572&lt;=GRID_TO)*('Dvd Calendar'!$W$1572&lt;=VAL_DATE)=0,"",'Dvd Calendar'!$W$1572*1000000000+ISNUMBER('Dvd Calendar'!$W$1575)*100000000+('Dvd Calendar'!$W$1577=SPECIAL_LBL)*10000000+0*1000000+2*1000+19))</f>
        <v/>
      </c>
      <c r="EX161" s="35">
        <f>IF(N('Dvd Calendar'!$X$1572)=0,"",IF(('Dvd Calendar'!$X$1572&gt;=GRID_FROM)*('Dvd Calendar'!$X$1572&lt;=GRID_TO)*('Dvd Calendar'!$X$1572&lt;=VAL_DATE)=0,"",'Dvd Calendar'!$X$1572*1000000000+ISNUMBER('Dvd Calendar'!$X$1575)*100000000+('Dvd Calendar'!$X$1577=SPECIAL_LBL)*10000000+0*1000000+2*1000+20))</f>
        <v/>
      </c>
      <c r="EY161" s="35">
        <f>IF(N('Dvd Calendar'!$Y$1572)=0,"",IF(('Dvd Calendar'!$Y$1572&gt;=GRID_FROM)*('Dvd Calendar'!$Y$1572&lt;=GRID_TO)*('Dvd Calendar'!$Y$1572&lt;=VAL_DATE)=0,"",'Dvd Calendar'!$Y$1572*1000000000+ISNUMBER('Dvd Calendar'!$Y$1575)*100000000+('Dvd Calendar'!$Y$1577=SPECIAL_LBL)*10000000+0*1000000+2*1000+21))</f>
        <v/>
      </c>
      <c r="EZ161" s="35">
        <f>IF(N('Dvd Calendar'!$Z$1572)=0,"",IF(('Dvd Calendar'!$Z$1572&gt;=GRID_FROM)*('Dvd Calendar'!$Z$1572&lt;=GRID_TO)*('Dvd Calendar'!$Z$1572&lt;=VAL_DATE)=0,"",'Dvd Calendar'!$Z$1572*1000000000+ISNUMBER('Dvd Calendar'!$Z$1575)*100000000+('Dvd Calendar'!$Z$1577=SPECIAL_LBL)*10000000+0*1000000+2*1000+22))</f>
        <v/>
      </c>
      <c r="FA161" s="35">
        <f>IF(N('Dvd Calendar'!$AA$1572)=0,"",IF(('Dvd Calendar'!$AA$1572&gt;=GRID_FROM)*('Dvd Calendar'!$AA$1572&lt;=GRID_TO)*('Dvd Calendar'!$AA$1572&lt;=VAL_DATE)=0,"",'Dvd Calendar'!$AA$1572*1000000000+ISNUMBER('Dvd Calendar'!$AA$1575)*100000000+('Dvd Calendar'!$AA$1577=SPECIAL_LBL)*10000000+0*1000000+2*1000+23))</f>
        <v/>
      </c>
      <c r="FB161" s="35">
        <f>IF(N('Dvd Calendar'!$AB$1572)=0,"",IF(('Dvd Calendar'!$AB$1572&gt;=GRID_FROM)*('Dvd Calendar'!$AB$1572&lt;=GRID_TO)*('Dvd Calendar'!$AB$1572&lt;=VAL_DATE)=0,"",'Dvd Calendar'!$AB$1572*1000000000+ISNUMBER('Dvd Calendar'!$AB$1575)*100000000+('Dvd Calendar'!$AB$1577=SPECIAL_LBL)*10000000+0*1000000+2*1000+24))</f>
        <v/>
      </c>
      <c r="FC161" s="35">
        <f>IF(N('Dvd Calendar'!$AC$1572)=0,"",IF(('Dvd Calendar'!$AC$1572&gt;=GRID_FROM)*('Dvd Calendar'!$AC$1572&lt;=GRID_TO)*('Dvd Calendar'!$AC$1572&lt;=VAL_DATE)=0,"",'Dvd Calendar'!$AC$1572*1000000000+ISNUMBER('Dvd Calendar'!$AC$1575)*100000000+('Dvd Calendar'!$AC$1577=SPECIAL_LBL)*10000000+0*1000000+2*1000+25))</f>
        <v/>
      </c>
      <c r="FD161" s="35">
        <f>IF(N('Dvd Calendar'!$AD$1572)=0,"",IF(('Dvd Calendar'!$AD$1572&gt;=GRID_FROM)*('Dvd Calendar'!$AD$1572&lt;=GRID_TO)*('Dvd Calendar'!$AD$1572&lt;=VAL_DATE)=0,"",'Dvd Calendar'!$AD$1572*1000000000+ISNUMBER('Dvd Calendar'!$AD$1575)*100000000+('Dvd Calendar'!$AD$1577=SPECIAL_LBL)*10000000+0*1000000+2*1000+26))</f>
        <v/>
      </c>
      <c r="FE161" s="35">
        <f>IF(N('Dvd Calendar'!$AE$1572)=0,"",IF(('Dvd Calendar'!$AE$1572&gt;=GRID_FROM)*('Dvd Calendar'!$AE$1572&lt;=GRID_TO)*('Dvd Calendar'!$AE$1572&lt;=VAL_DATE)=0,"",'Dvd Calendar'!$AE$1572*1000000000+ISNUMBER('Dvd Calendar'!$AE$1575)*100000000+('Dvd Calendar'!$AE$1577=SPECIAL_LBL)*10000000+0*1000000+2*1000+27))</f>
        <v/>
      </c>
      <c r="FF161" s="35">
        <f>IF(N('Dvd Calendar'!$AF$1572)=0,"",IF(('Dvd Calendar'!$AF$1572&gt;=GRID_FROM)*('Dvd Calendar'!$AF$1572&lt;=GRID_TO)*('Dvd Calendar'!$AF$1572&lt;=VAL_DATE)=0,"",'Dvd Calendar'!$AF$1572*1000000000+ISNUMBER('Dvd Calendar'!$AF$1575)*100000000+('Dvd Calendar'!$AF$1577=SPECIAL_LBL)*10000000+0*1000000+2*1000+28))</f>
        <v/>
      </c>
      <c r="FG161" s="35">
        <f>IF(N('Dvd Calendar'!$AG$1572)=0,"",IF(('Dvd Calendar'!$AG$1572&gt;=GRID_FROM)*('Dvd Calendar'!$AG$1572&lt;=GRID_TO)*('Dvd Calendar'!$AG$1572&lt;=VAL_DATE)=0,"",'Dvd Calendar'!$AG$1572*1000000000+ISNUMBER('Dvd Calendar'!$AG$1575)*100000000+('Dvd Calendar'!$AG$1577=SPECIAL_LBL)*10000000+0*1000000+2*1000+29))</f>
        <v/>
      </c>
      <c r="FH161" s="35">
        <f>IF(N('Dvd Calendar'!$AH$1572)=0,"",IF(('Dvd Calendar'!$AH$1572&gt;=GRID_FROM)*('Dvd Calendar'!$AH$1572&lt;=GRID_TO)*('Dvd Calendar'!$AH$1572&lt;=VAL_DATE)=0,"",'Dvd Calendar'!$AH$1572*1000000000+ISNUMBER('Dvd Calendar'!$AH$1575)*100000000+('Dvd Calendar'!$AH$1577=SPECIAL_LBL)*10000000+0*1000000+2*1000+30))</f>
        <v/>
      </c>
      <c r="FI161" s="35">
        <f>IF(N('Dvd Calendar'!$AI$1572)=0,"",IF(('Dvd Calendar'!$AI$1572&gt;=GRID_FROM)*('Dvd Calendar'!$AI$1572&lt;=GRID_TO)*('Dvd Calendar'!$AI$1572&lt;=VAL_DATE)=0,"",'Dvd Calendar'!$AI$1572*1000000000+ISNUMBER('Dvd Calendar'!$AI$1575)*100000000+('Dvd Calendar'!$AI$1577=SPECIAL_LBL)*10000000+0*1000000+2*1000+31))</f>
        <v/>
      </c>
      <c r="FJ161" s="35">
        <f>IF(N('Dvd Calendar'!$AJ$1572)=0,"",IF(('Dvd Calendar'!$AJ$1572&gt;=GRID_FROM)*('Dvd Calendar'!$AJ$1572&lt;=GRID_TO)*('Dvd Calendar'!$AJ$1572&lt;=VAL_DATE)=0,"",'Dvd Calendar'!$AJ$1572*1000000000+ISNUMBER('Dvd Calendar'!$AJ$1575)*100000000+('Dvd Calendar'!$AJ$1577=SPECIAL_LBL)*10000000+0*1000000+2*1000+32))</f>
        <v/>
      </c>
      <c r="FK161" s="35">
        <f>IF(N('Dvd Calendar'!$AK$1572)=0,"",IF(('Dvd Calendar'!$AK$1572&gt;=GRID_FROM)*('Dvd Calendar'!$AK$1572&lt;=GRID_TO)*('Dvd Calendar'!$AK$1572&lt;=VAL_DATE)=0,"",'Dvd Calendar'!$AK$1572*1000000000+ISNUMBER('Dvd Calendar'!$AK$1575)*100000000+('Dvd Calendar'!$AK$1577=SPECIAL_LBL)*10000000+0*1000000+2*1000+33))</f>
        <v/>
      </c>
      <c r="FL161" s="35">
        <f>IF(N('Dvd Calendar'!$AL$1572)=0,"",IF(('Dvd Calendar'!$AL$1572&gt;=GRID_FROM)*('Dvd Calendar'!$AL$1572&lt;=GRID_TO)*('Dvd Calendar'!$AL$1572&lt;=VAL_DATE)=0,"",'Dvd Calendar'!$AL$1572*1000000000+ISNUMBER('Dvd Calendar'!$AL$1575)*100000000+('Dvd Calendar'!$AL$1577=SPECIAL_LBL)*10000000+0*1000000+2*1000+34))</f>
        <v/>
      </c>
      <c r="FM161" s="35">
        <f>IF(N('Dvd Calendar'!$AM$1572)=0,"",IF(('Dvd Calendar'!$AM$1572&gt;=GRID_FROM)*('Dvd Calendar'!$AM$1572&lt;=GRID_TO)*('Dvd Calendar'!$AM$1572&lt;=VAL_DATE)=0,"",'Dvd Calendar'!$AM$1572*1000000000+ISNUMBER('Dvd Calendar'!$AM$1575)*100000000+('Dvd Calendar'!$AM$1577=SPECIAL_LBL)*10000000+0*1000000+2*1000+35))</f>
        <v/>
      </c>
      <c r="FN161" s="35">
        <f>IF(N('Dvd Calendar'!$AN$1572)=0,"",IF(('Dvd Calendar'!$AN$1572&gt;=GRID_FROM)*('Dvd Calendar'!$AN$1572&lt;=GRID_TO)*('Dvd Calendar'!$AN$1572&lt;=VAL_DATE)=0,"",'Dvd Calendar'!$AN$1572*1000000000+ISNUMBER('Dvd Calendar'!$AN$1575)*100000000+('Dvd Calendar'!$AN$1577=SPECIAL_LBL)*10000000+0*1000000+2*1000+36))</f>
        <v/>
      </c>
      <c r="FO161" s="35">
        <f>IF(N('Dvd Calendar'!$AO$1572)=0,"",IF(('Dvd Calendar'!$AO$1572&gt;=GRID_FROM)*('Dvd Calendar'!$AO$1572&lt;=GRID_TO)*('Dvd Calendar'!$AO$1572&lt;=VAL_DATE)=0,"",'Dvd Calendar'!$AO$1572*1000000000+ISNUMBER('Dvd Calendar'!$AO$1575)*100000000+('Dvd Calendar'!$AO$1577=SPECIAL_LBL)*10000000+0*1000000+2*1000+37))</f>
        <v/>
      </c>
      <c r="FP161" s="35">
        <f>IF(N('Dvd Calendar'!$AP$1572)=0,"",IF(('Dvd Calendar'!$AP$1572&gt;=GRID_FROM)*('Dvd Calendar'!$AP$1572&lt;=GRID_TO)*('Dvd Calendar'!$AP$1572&lt;=VAL_DATE)=0,"",'Dvd Calendar'!$AP$1572*1000000000+ISNUMBER('Dvd Calendar'!$AP$1575)*100000000+('Dvd Calendar'!$AP$1577=SPECIAL_LBL)*10000000+0*1000000+2*1000+38))</f>
        <v/>
      </c>
      <c r="FQ161" s="35">
        <f>IF(N('Dvd Calendar'!$AQ$1572)=0,"",IF(('Dvd Calendar'!$AQ$1572&gt;=GRID_FROM)*('Dvd Calendar'!$AQ$1572&lt;=GRID_TO)*('Dvd Calendar'!$AQ$1572&lt;=VAL_DATE)=0,"",'Dvd Calendar'!$AQ$1572*1000000000+ISNUMBER('Dvd Calendar'!$AQ$1575)*100000000+('Dvd Calendar'!$AQ$1577=SPECIAL_LBL)*10000000+0*1000000+2*1000+39))</f>
        <v/>
      </c>
      <c r="FR161" s="35">
        <f>IF(N('Dvd Calendar'!$AR$1572)=0,"",IF(('Dvd Calendar'!$AR$1572&gt;=GRID_FROM)*('Dvd Calendar'!$AR$1572&lt;=GRID_TO)*('Dvd Calendar'!$AR$1572&lt;=VAL_DATE)=0,"",'Dvd Calendar'!$AR$1572*1000000000+ISNUMBER('Dvd Calendar'!$AR$1575)*100000000+('Dvd Calendar'!$AR$1577=SPECIAL_LBL)*10000000+0*1000000+2*1000+40))</f>
        <v/>
      </c>
      <c r="FS161" s="35">
        <f>IF(N('Dvd Calendar'!$E$1579)=0,"",IF(('Dvd Calendar'!$E$1579&gt;=GRID_FROM)*('Dvd Calendar'!$E$1579&lt;=GRID_TO)*('Dvd Calendar'!$E$1579&gt;VAL_DATE)=0,"",'Dvd Calendar'!$E$1579*1000000000+ISNUMBER('Dvd Calendar'!$E$1580)*100000000+0*10000000+(N('Dvd Calendar'!$E$1578)&gt;0)*(N('Dvd Calendar'!$E$1578)&lt;=VAL_SERIAL)*1000000+2*1000+41))</f>
        <v/>
      </c>
      <c r="FT161" s="35">
        <f>IF(N('Dvd Calendar'!$F$1579)=0,"",IF(('Dvd Calendar'!$F$1579&gt;=GRID_FROM)*('Dvd Calendar'!$F$1579&lt;=GRID_TO)*('Dvd Calendar'!$F$1579&gt;VAL_DATE)=0,"",'Dvd Calendar'!$F$1579*1000000000+ISNUMBER('Dvd Calendar'!$F$1580)*100000000+0*10000000+(N('Dvd Calendar'!$F$1578)&gt;0)*(N('Dvd Calendar'!$F$1578)&lt;=VAL_SERIAL)*1000000+2*1000+42))</f>
        <v/>
      </c>
      <c r="FU161" s="35">
        <f>IF(N('Dvd Calendar'!$G$1579)=0,"",IF(('Dvd Calendar'!$G$1579&gt;=GRID_FROM)*('Dvd Calendar'!$G$1579&lt;=GRID_TO)*('Dvd Calendar'!$G$1579&gt;VAL_DATE)=0,"",'Dvd Calendar'!$G$1579*1000000000+ISNUMBER('Dvd Calendar'!$G$1580)*100000000+0*10000000+(N('Dvd Calendar'!$G$1578)&gt;0)*(N('Dvd Calendar'!$G$1578)&lt;=VAL_SERIAL)*1000000+2*1000+43))</f>
        <v/>
      </c>
      <c r="FV161" s="35">
        <f>IF(N('Dvd Calendar'!$H$1579)=0,"",IF(('Dvd Calendar'!$H$1579&gt;=GRID_FROM)*('Dvd Calendar'!$H$1579&lt;=GRID_TO)*('Dvd Calendar'!$H$1579&gt;VAL_DATE)=0,"",'Dvd Calendar'!$H$1579*1000000000+ISNUMBER('Dvd Calendar'!$H$1580)*100000000+0*10000000+(N('Dvd Calendar'!$H$1578)&gt;0)*(N('Dvd Calendar'!$H$1578)&lt;=VAL_SERIAL)*1000000+2*1000+44))</f>
        <v/>
      </c>
      <c r="FW161" s="35">
        <f>IF(N('Dvd Calendar'!$I$1579)=0,"",IF(('Dvd Calendar'!$I$1579&gt;=GRID_FROM)*('Dvd Calendar'!$I$1579&lt;=GRID_TO)*('Dvd Calendar'!$I$1579&gt;VAL_DATE)=0,"",'Dvd Calendar'!$I$1579*1000000000+ISNUMBER('Dvd Calendar'!$I$1580)*100000000+0*10000000+(N('Dvd Calendar'!$I$1578)&gt;0)*(N('Dvd Calendar'!$I$1578)&lt;=VAL_SERIAL)*1000000+2*1000+45))</f>
        <v/>
      </c>
      <c r="FX161" s="35">
        <f>IF(N('Dvd Calendar'!$J$1579)=0,"",IF(('Dvd Calendar'!$J$1579&gt;=GRID_FROM)*('Dvd Calendar'!$J$1579&lt;=GRID_TO)*('Dvd Calendar'!$J$1579&gt;VAL_DATE)=0,"",'Dvd Calendar'!$J$1579*1000000000+ISNUMBER('Dvd Calendar'!$J$1580)*100000000+0*10000000+(N('Dvd Calendar'!$J$1578)&gt;0)*(N('Dvd Calendar'!$J$1578)&lt;=VAL_SERIAL)*1000000+2*1000+46))</f>
        <v/>
      </c>
      <c r="FY161" s="35">
        <f>IF(N('Dvd Calendar'!$K$1579)=0,"",IF(('Dvd Calendar'!$K$1579&gt;=GRID_FROM)*('Dvd Calendar'!$K$1579&lt;=GRID_TO)*('Dvd Calendar'!$K$1579&gt;VAL_DATE)=0,"",'Dvd Calendar'!$K$1579*1000000000+ISNUMBER('Dvd Calendar'!$K$1580)*100000000+0*10000000+(N('Dvd Calendar'!$K$1578)&gt;0)*(N('Dvd Calendar'!$K$1578)&lt;=VAL_SERIAL)*1000000+2*1000+47))</f>
        <v/>
      </c>
      <c r="FZ161" s="35">
        <f>IF(N('Dvd Calendar'!$L$1579)=0,"",IF(('Dvd Calendar'!$L$1579&gt;=GRID_FROM)*('Dvd Calendar'!$L$1579&lt;=GRID_TO)*('Dvd Calendar'!$L$1579&gt;VAL_DATE)=0,"",'Dvd Calendar'!$L$1579*1000000000+ISNUMBER('Dvd Calendar'!$L$1580)*100000000+0*10000000+(N('Dvd Calendar'!$L$1578)&gt;0)*(N('Dvd Calendar'!$L$1578)&lt;=VAL_SERIAL)*1000000+2*1000+48))</f>
        <v/>
      </c>
      <c r="GA161" s="35">
        <f>IF(N('Dvd Calendar'!$M$1579)=0,"",IF(('Dvd Calendar'!$M$1579&gt;=GRID_FROM)*('Dvd Calendar'!$M$1579&lt;=GRID_TO)*('Dvd Calendar'!$M$1579&gt;VAL_DATE)=0,"",'Dvd Calendar'!$M$1579*1000000000+ISNUMBER('Dvd Calendar'!$M$1580)*100000000+0*10000000+(N('Dvd Calendar'!$M$1578)&gt;0)*(N('Dvd Calendar'!$M$1578)&lt;=VAL_SERIAL)*1000000+2*1000+49))</f>
        <v/>
      </c>
      <c r="GB161" s="35">
        <f>IF(N('Dvd Calendar'!$N$1579)=0,"",IF(('Dvd Calendar'!$N$1579&gt;=GRID_FROM)*('Dvd Calendar'!$N$1579&lt;=GRID_TO)*('Dvd Calendar'!$N$1579&gt;VAL_DATE)=0,"",'Dvd Calendar'!$N$1579*1000000000+ISNUMBER('Dvd Calendar'!$N$1580)*100000000+0*10000000+(N('Dvd Calendar'!$N$1578)&gt;0)*(N('Dvd Calendar'!$N$1578)&lt;=VAL_SERIAL)*1000000+2*1000+50))</f>
        <v/>
      </c>
      <c r="GC161" s="35">
        <f>IF(N('Dvd Calendar'!$O$1579)=0,"",IF(('Dvd Calendar'!$O$1579&gt;=GRID_FROM)*('Dvd Calendar'!$O$1579&lt;=GRID_TO)*('Dvd Calendar'!$O$1579&gt;VAL_DATE)=0,"",'Dvd Calendar'!$O$1579*1000000000+ISNUMBER('Dvd Calendar'!$O$1580)*100000000+0*10000000+(N('Dvd Calendar'!$O$1578)&gt;0)*(N('Dvd Calendar'!$O$1578)&lt;=VAL_SERIAL)*1000000+2*1000+51))</f>
        <v/>
      </c>
      <c r="GD161" s="35">
        <f>IF(N('Dvd Calendar'!$P$1579)=0,"",IF(('Dvd Calendar'!$P$1579&gt;=GRID_FROM)*('Dvd Calendar'!$P$1579&lt;=GRID_TO)*('Dvd Calendar'!$P$1579&gt;VAL_DATE)=0,"",'Dvd Calendar'!$P$1579*1000000000+ISNUMBER('Dvd Calendar'!$P$1580)*100000000+0*10000000+(N('Dvd Calendar'!$P$1578)&gt;0)*(N('Dvd Calendar'!$P$1578)&lt;=VAL_SERIAL)*1000000+2*1000+52))</f>
        <v/>
      </c>
      <c r="GE161" s="35">
        <f>IF(N('Dvd Calendar'!$Q$1579)=0,"",IF(('Dvd Calendar'!$Q$1579&gt;=GRID_FROM)*('Dvd Calendar'!$Q$1579&lt;=GRID_TO)*('Dvd Calendar'!$Q$1579&gt;VAL_DATE)=0,"",'Dvd Calendar'!$Q$1579*1000000000+ISNUMBER('Dvd Calendar'!$Q$1580)*100000000+0*10000000+(N('Dvd Calendar'!$Q$1578)&gt;0)*(N('Dvd Calendar'!$Q$1578)&lt;=VAL_SERIAL)*1000000+2*1000+53))</f>
        <v/>
      </c>
      <c r="GF161" s="35">
        <f>IF(N('Dvd Calendar'!$R$1579)=0,"",IF(('Dvd Calendar'!$R$1579&gt;=GRID_FROM)*('Dvd Calendar'!$R$1579&lt;=GRID_TO)*('Dvd Calendar'!$R$1579&gt;VAL_DATE)=0,"",'Dvd Calendar'!$R$1579*1000000000+ISNUMBER('Dvd Calendar'!$R$1580)*100000000+0*10000000+(N('Dvd Calendar'!$R$1578)&gt;0)*(N('Dvd Calendar'!$R$1578)&lt;=VAL_SERIAL)*1000000+2*1000+54))</f>
        <v/>
      </c>
      <c r="GG161" s="35">
        <f>IF(N('Dvd Calendar'!$S$1579)=0,"",IF(('Dvd Calendar'!$S$1579&gt;=GRID_FROM)*('Dvd Calendar'!$S$1579&lt;=GRID_TO)*('Dvd Calendar'!$S$1579&gt;VAL_DATE)=0,"",'Dvd Calendar'!$S$1579*1000000000+ISNUMBER('Dvd Calendar'!$S$1580)*100000000+0*10000000+(N('Dvd Calendar'!$S$1578)&gt;0)*(N('Dvd Calendar'!$S$1578)&lt;=VAL_SERIAL)*1000000+2*1000+55))</f>
        <v/>
      </c>
      <c r="GH161" s="35">
        <f>IF(N('Dvd Calendar'!$T$1579)=0,"",IF(('Dvd Calendar'!$T$1579&gt;=GRID_FROM)*('Dvd Calendar'!$T$1579&lt;=GRID_TO)*('Dvd Calendar'!$T$1579&gt;VAL_DATE)=0,"",'Dvd Calendar'!$T$1579*1000000000+ISNUMBER('Dvd Calendar'!$T$1580)*100000000+0*10000000+(N('Dvd Calendar'!$T$1578)&gt;0)*(N('Dvd Calendar'!$T$1578)&lt;=VAL_SERIAL)*1000000+2*1000+56))</f>
        <v/>
      </c>
      <c r="GI161" s="35">
        <f>IF(N('Dvd Calendar'!$U$1579)=0,"",IF(('Dvd Calendar'!$U$1579&gt;=GRID_FROM)*('Dvd Calendar'!$U$1579&lt;=GRID_TO)*('Dvd Calendar'!$U$1579&gt;VAL_DATE)=0,"",'Dvd Calendar'!$U$1579*1000000000+ISNUMBER('Dvd Calendar'!$U$1580)*100000000+0*10000000+(N('Dvd Calendar'!$U$1578)&gt;0)*(N('Dvd Calendar'!$U$1578)&lt;=VAL_SERIAL)*1000000+2*1000+57))</f>
        <v/>
      </c>
      <c r="GJ161" s="35">
        <f>IF(N('Dvd Calendar'!$V$1579)=0,"",IF(('Dvd Calendar'!$V$1579&gt;=GRID_FROM)*('Dvd Calendar'!$V$1579&lt;=GRID_TO)*('Dvd Calendar'!$V$1579&gt;VAL_DATE)=0,"",'Dvd Calendar'!$V$1579*1000000000+ISNUMBER('Dvd Calendar'!$V$1580)*100000000+0*10000000+(N('Dvd Calendar'!$V$1578)&gt;0)*(N('Dvd Calendar'!$V$1578)&lt;=VAL_SERIAL)*1000000+2*1000+58))</f>
        <v/>
      </c>
      <c r="GK161" s="35">
        <f>IF(N('Dvd Calendar'!$W$1579)=0,"",IF(('Dvd Calendar'!$W$1579&gt;=GRID_FROM)*('Dvd Calendar'!$W$1579&lt;=GRID_TO)*('Dvd Calendar'!$W$1579&gt;VAL_DATE)=0,"",'Dvd Calendar'!$W$1579*1000000000+ISNUMBER('Dvd Calendar'!$W$1580)*100000000+0*10000000+(N('Dvd Calendar'!$W$1578)&gt;0)*(N('Dvd Calendar'!$W$1578)&lt;=VAL_SERIAL)*1000000+2*1000+59))</f>
        <v/>
      </c>
      <c r="GL161" s="35">
        <f>IF(N('Dvd Calendar'!$X$1579)=0,"",IF(('Dvd Calendar'!$X$1579&gt;=GRID_FROM)*('Dvd Calendar'!$X$1579&lt;=GRID_TO)*('Dvd Calendar'!$X$1579&gt;VAL_DATE)=0,"",'Dvd Calendar'!$X$1579*1000000000+ISNUMBER('Dvd Calendar'!$X$1580)*100000000+0*10000000+(N('Dvd Calendar'!$X$1578)&gt;0)*(N('Dvd Calendar'!$X$1578)&lt;=VAL_SERIAL)*1000000+2*1000+60))</f>
        <v/>
      </c>
      <c r="GM161" s="35">
        <f>IF(N('Dvd Calendar'!$Y$1579)=0,"",IF(('Dvd Calendar'!$Y$1579&gt;=GRID_FROM)*('Dvd Calendar'!$Y$1579&lt;=GRID_TO)*('Dvd Calendar'!$Y$1579&gt;VAL_DATE)=0,"",'Dvd Calendar'!$Y$1579*1000000000+ISNUMBER('Dvd Calendar'!$Y$1580)*100000000+0*10000000+(N('Dvd Calendar'!$Y$1578)&gt;0)*(N('Dvd Calendar'!$Y$1578)&lt;=VAL_SERIAL)*1000000+2*1000+61))</f>
        <v/>
      </c>
      <c r="GN161" s="35">
        <f>IF(N('Dvd Calendar'!$Z$1579)=0,"",IF(('Dvd Calendar'!$Z$1579&gt;=GRID_FROM)*('Dvd Calendar'!$Z$1579&lt;=GRID_TO)*('Dvd Calendar'!$Z$1579&gt;VAL_DATE)=0,"",'Dvd Calendar'!$Z$1579*1000000000+ISNUMBER('Dvd Calendar'!$Z$1580)*100000000+0*10000000+(N('Dvd Calendar'!$Z$1578)&gt;0)*(N('Dvd Calendar'!$Z$1578)&lt;=VAL_SERIAL)*1000000+2*1000+62))</f>
        <v/>
      </c>
      <c r="GO161" s="35">
        <f>IF(N('Dvd Calendar'!$AA$1579)=0,"",IF(('Dvd Calendar'!$AA$1579&gt;=GRID_FROM)*('Dvd Calendar'!$AA$1579&lt;=GRID_TO)*('Dvd Calendar'!$AA$1579&gt;VAL_DATE)=0,"",'Dvd Calendar'!$AA$1579*1000000000+ISNUMBER('Dvd Calendar'!$AA$1580)*100000000+0*10000000+(N('Dvd Calendar'!$AA$1578)&gt;0)*(N('Dvd Calendar'!$AA$1578)&lt;=VAL_SERIAL)*1000000+2*1000+63))</f>
        <v/>
      </c>
      <c r="GP161" s="35">
        <f>IF(N('Dvd Calendar'!$AB$1579)=0,"",IF(('Dvd Calendar'!$AB$1579&gt;=GRID_FROM)*('Dvd Calendar'!$AB$1579&lt;=GRID_TO)*('Dvd Calendar'!$AB$1579&gt;VAL_DATE)=0,"",'Dvd Calendar'!$AB$1579*1000000000+ISNUMBER('Dvd Calendar'!$AB$1580)*100000000+0*10000000+(N('Dvd Calendar'!$AB$1578)&gt;0)*(N('Dvd Calendar'!$AB$1578)&lt;=VAL_SERIAL)*1000000+2*1000+64))</f>
        <v/>
      </c>
      <c r="GQ161" s="35">
        <f>IF(N('Dvd Calendar'!$AC$1579)=0,"",IF(('Dvd Calendar'!$AC$1579&gt;=GRID_FROM)*('Dvd Calendar'!$AC$1579&lt;=GRID_TO)*('Dvd Calendar'!$AC$1579&gt;VAL_DATE)=0,"",'Dvd Calendar'!$AC$1579*1000000000+ISNUMBER('Dvd Calendar'!$AC$1580)*100000000+0*10000000+(N('Dvd Calendar'!$AC$1578)&gt;0)*(N('Dvd Calendar'!$AC$1578)&lt;=VAL_SERIAL)*1000000+2*1000+65))</f>
        <v/>
      </c>
    </row>
    <row r="162">
      <c r="B162" s="2">
        <f>IF(HSCEI!$C$9="","",HSCEI!$C$9)</f>
        <v/>
      </c>
      <c r="C162" s="106">
        <f>IF(EE162="","",IF(ISNUMBER('Dvd Calendar'!$E$1586)=FALSE,"",IF((('Dvd Calendar'!$E$1588=TYPE1)*(TYPE1&lt;&gt;"")+('Dvd Calendar'!$E$1588=TYPE2)*(TYPE2&lt;&gt;"")+('Dvd Calendar'!$E$1588=TYPE3)*(TYPE3&lt;&gt;"")+('Dvd Calendar'!$E$1588=TYPE4)*(TYPE4&lt;&gt;"")+('Dvd Calendar'!$E$1588=SPECIAL_LBL)*(INC_SPECIALS="Y"))=0,"",'Dvd Calendar'!$E$1586)))</f>
        <v/>
      </c>
      <c r="D162" s="106">
        <f>IF(EF162="","",IF(ISNUMBER('Dvd Calendar'!$F$1586)=FALSE,"",IF((('Dvd Calendar'!$F$1588=TYPE1)*(TYPE1&lt;&gt;"")+('Dvd Calendar'!$F$1588=TYPE2)*(TYPE2&lt;&gt;"")+('Dvd Calendar'!$F$1588=TYPE3)*(TYPE3&lt;&gt;"")+('Dvd Calendar'!$F$1588=TYPE4)*(TYPE4&lt;&gt;"")+('Dvd Calendar'!$F$1588=SPECIAL_LBL)*(INC_SPECIALS="Y"))=0,"",'Dvd Calendar'!$F$1586)))</f>
        <v/>
      </c>
      <c r="E162" s="106">
        <f>IF(EG162="","",IF(ISNUMBER('Dvd Calendar'!$G$1586)=FALSE,"",IF((('Dvd Calendar'!$G$1588=TYPE1)*(TYPE1&lt;&gt;"")+('Dvd Calendar'!$G$1588=TYPE2)*(TYPE2&lt;&gt;"")+('Dvd Calendar'!$G$1588=TYPE3)*(TYPE3&lt;&gt;"")+('Dvd Calendar'!$G$1588=TYPE4)*(TYPE4&lt;&gt;"")+('Dvd Calendar'!$G$1588=SPECIAL_LBL)*(INC_SPECIALS="Y"))=0,"",'Dvd Calendar'!$G$1586)))</f>
        <v/>
      </c>
      <c r="F162" s="106">
        <f>IF(EH162="","",IF(ISNUMBER('Dvd Calendar'!$H$1586)=FALSE,"",IF((('Dvd Calendar'!$H$1588=TYPE1)*(TYPE1&lt;&gt;"")+('Dvd Calendar'!$H$1588=TYPE2)*(TYPE2&lt;&gt;"")+('Dvd Calendar'!$H$1588=TYPE3)*(TYPE3&lt;&gt;"")+('Dvd Calendar'!$H$1588=TYPE4)*(TYPE4&lt;&gt;"")+('Dvd Calendar'!$H$1588=SPECIAL_LBL)*(INC_SPECIALS="Y"))=0,"",'Dvd Calendar'!$H$1586)))</f>
        <v/>
      </c>
      <c r="G162" s="106">
        <f>IF(EI162="","",IF(ISNUMBER('Dvd Calendar'!$I$1586)=FALSE,"",IF((('Dvd Calendar'!$I$1588=TYPE1)*(TYPE1&lt;&gt;"")+('Dvd Calendar'!$I$1588=TYPE2)*(TYPE2&lt;&gt;"")+('Dvd Calendar'!$I$1588=TYPE3)*(TYPE3&lt;&gt;"")+('Dvd Calendar'!$I$1588=TYPE4)*(TYPE4&lt;&gt;"")+('Dvd Calendar'!$I$1588=SPECIAL_LBL)*(INC_SPECIALS="Y"))=0,"",'Dvd Calendar'!$I$1586)))</f>
        <v/>
      </c>
      <c r="H162" s="106">
        <f>IF(EJ162="","",IF(ISNUMBER('Dvd Calendar'!$J$1586)=FALSE,"",IF((('Dvd Calendar'!$J$1588=TYPE1)*(TYPE1&lt;&gt;"")+('Dvd Calendar'!$J$1588=TYPE2)*(TYPE2&lt;&gt;"")+('Dvd Calendar'!$J$1588=TYPE3)*(TYPE3&lt;&gt;"")+('Dvd Calendar'!$J$1588=TYPE4)*(TYPE4&lt;&gt;"")+('Dvd Calendar'!$J$1588=SPECIAL_LBL)*(INC_SPECIALS="Y"))=0,"",'Dvd Calendar'!$J$1586)))</f>
        <v/>
      </c>
      <c r="I162" s="106">
        <f>IF(EK162="","",IF(ISNUMBER('Dvd Calendar'!$K$1586)=FALSE,"",IF((('Dvd Calendar'!$K$1588=TYPE1)*(TYPE1&lt;&gt;"")+('Dvd Calendar'!$K$1588=TYPE2)*(TYPE2&lt;&gt;"")+('Dvd Calendar'!$K$1588=TYPE3)*(TYPE3&lt;&gt;"")+('Dvd Calendar'!$K$1588=TYPE4)*(TYPE4&lt;&gt;"")+('Dvd Calendar'!$K$1588=SPECIAL_LBL)*(INC_SPECIALS="Y"))=0,"",'Dvd Calendar'!$K$1586)))</f>
        <v/>
      </c>
      <c r="J162" s="106">
        <f>IF(EL162="","",IF(ISNUMBER('Dvd Calendar'!$L$1586)=FALSE,"",IF((('Dvd Calendar'!$L$1588=TYPE1)*(TYPE1&lt;&gt;"")+('Dvd Calendar'!$L$1588=TYPE2)*(TYPE2&lt;&gt;"")+('Dvd Calendar'!$L$1588=TYPE3)*(TYPE3&lt;&gt;"")+('Dvd Calendar'!$L$1588=TYPE4)*(TYPE4&lt;&gt;"")+('Dvd Calendar'!$L$1588=SPECIAL_LBL)*(INC_SPECIALS="Y"))=0,"",'Dvd Calendar'!$L$1586)))</f>
        <v/>
      </c>
      <c r="K162" s="106">
        <f>IF(EM162="","",IF(ISNUMBER('Dvd Calendar'!$M$1586)=FALSE,"",IF((('Dvd Calendar'!$M$1588=TYPE1)*(TYPE1&lt;&gt;"")+('Dvd Calendar'!$M$1588=TYPE2)*(TYPE2&lt;&gt;"")+('Dvd Calendar'!$M$1588=TYPE3)*(TYPE3&lt;&gt;"")+('Dvd Calendar'!$M$1588=TYPE4)*(TYPE4&lt;&gt;"")+('Dvd Calendar'!$M$1588=SPECIAL_LBL)*(INC_SPECIALS="Y"))=0,"",'Dvd Calendar'!$M$1586)))</f>
        <v/>
      </c>
      <c r="L162" s="106">
        <f>IF(EN162="","",IF(ISNUMBER('Dvd Calendar'!$N$1586)=FALSE,"",IF((('Dvd Calendar'!$N$1588=TYPE1)*(TYPE1&lt;&gt;"")+('Dvd Calendar'!$N$1588=TYPE2)*(TYPE2&lt;&gt;"")+('Dvd Calendar'!$N$1588=TYPE3)*(TYPE3&lt;&gt;"")+('Dvd Calendar'!$N$1588=TYPE4)*(TYPE4&lt;&gt;"")+('Dvd Calendar'!$N$1588=SPECIAL_LBL)*(INC_SPECIALS="Y"))=0,"",'Dvd Calendar'!$N$1586)))</f>
        <v/>
      </c>
      <c r="M162" s="106">
        <f>IF(EO162="","",IF(ISNUMBER('Dvd Calendar'!$O$1586)=FALSE,"",IF((('Dvd Calendar'!$O$1588=TYPE1)*(TYPE1&lt;&gt;"")+('Dvd Calendar'!$O$1588=TYPE2)*(TYPE2&lt;&gt;"")+('Dvd Calendar'!$O$1588=TYPE3)*(TYPE3&lt;&gt;"")+('Dvd Calendar'!$O$1588=TYPE4)*(TYPE4&lt;&gt;"")+('Dvd Calendar'!$O$1588=SPECIAL_LBL)*(INC_SPECIALS="Y"))=0,"",'Dvd Calendar'!$O$1586)))</f>
        <v/>
      </c>
      <c r="N162" s="106">
        <f>IF(EP162="","",IF(ISNUMBER('Dvd Calendar'!$P$1586)=FALSE,"",IF((('Dvd Calendar'!$P$1588=TYPE1)*(TYPE1&lt;&gt;"")+('Dvd Calendar'!$P$1588=TYPE2)*(TYPE2&lt;&gt;"")+('Dvd Calendar'!$P$1588=TYPE3)*(TYPE3&lt;&gt;"")+('Dvd Calendar'!$P$1588=TYPE4)*(TYPE4&lt;&gt;"")+('Dvd Calendar'!$P$1588=SPECIAL_LBL)*(INC_SPECIALS="Y"))=0,"",'Dvd Calendar'!$P$1586)))</f>
        <v/>
      </c>
      <c r="O162" s="106">
        <f>IF(EQ162="","",IF(ISNUMBER('Dvd Calendar'!$Q$1586)=FALSE,"",IF((('Dvd Calendar'!$Q$1588=TYPE1)*(TYPE1&lt;&gt;"")+('Dvd Calendar'!$Q$1588=TYPE2)*(TYPE2&lt;&gt;"")+('Dvd Calendar'!$Q$1588=TYPE3)*(TYPE3&lt;&gt;"")+('Dvd Calendar'!$Q$1588=TYPE4)*(TYPE4&lt;&gt;"")+('Dvd Calendar'!$Q$1588=SPECIAL_LBL)*(INC_SPECIALS="Y"))=0,"",'Dvd Calendar'!$Q$1586)))</f>
        <v/>
      </c>
      <c r="P162" s="106">
        <f>IF(ER162="","",IF(ISNUMBER('Dvd Calendar'!$R$1586)=FALSE,"",IF((('Dvd Calendar'!$R$1588=TYPE1)*(TYPE1&lt;&gt;"")+('Dvd Calendar'!$R$1588=TYPE2)*(TYPE2&lt;&gt;"")+('Dvd Calendar'!$R$1588=TYPE3)*(TYPE3&lt;&gt;"")+('Dvd Calendar'!$R$1588=TYPE4)*(TYPE4&lt;&gt;"")+('Dvd Calendar'!$R$1588=SPECIAL_LBL)*(INC_SPECIALS="Y"))=0,"",'Dvd Calendar'!$R$1586)))</f>
        <v/>
      </c>
      <c r="Q162" s="106">
        <f>IF(ES162="","",IF(ISNUMBER('Dvd Calendar'!$S$1586)=FALSE,"",IF((('Dvd Calendar'!$S$1588=TYPE1)*(TYPE1&lt;&gt;"")+('Dvd Calendar'!$S$1588=TYPE2)*(TYPE2&lt;&gt;"")+('Dvd Calendar'!$S$1588=TYPE3)*(TYPE3&lt;&gt;"")+('Dvd Calendar'!$S$1588=TYPE4)*(TYPE4&lt;&gt;"")+('Dvd Calendar'!$S$1588=SPECIAL_LBL)*(INC_SPECIALS="Y"))=0,"",'Dvd Calendar'!$S$1586)))</f>
        <v/>
      </c>
      <c r="R162" s="106">
        <f>IF(ET162="","",IF(ISNUMBER('Dvd Calendar'!$T$1586)=FALSE,"",IF((('Dvd Calendar'!$T$1588=TYPE1)*(TYPE1&lt;&gt;"")+('Dvd Calendar'!$T$1588=TYPE2)*(TYPE2&lt;&gt;"")+('Dvd Calendar'!$T$1588=TYPE3)*(TYPE3&lt;&gt;"")+('Dvd Calendar'!$T$1588=TYPE4)*(TYPE4&lt;&gt;"")+('Dvd Calendar'!$T$1588=SPECIAL_LBL)*(INC_SPECIALS="Y"))=0,"",'Dvd Calendar'!$T$1586)))</f>
        <v/>
      </c>
      <c r="S162" s="106">
        <f>IF(EU162="","",IF(ISNUMBER('Dvd Calendar'!$U$1586)=FALSE,"",IF((('Dvd Calendar'!$U$1588=TYPE1)*(TYPE1&lt;&gt;"")+('Dvd Calendar'!$U$1588=TYPE2)*(TYPE2&lt;&gt;"")+('Dvd Calendar'!$U$1588=TYPE3)*(TYPE3&lt;&gt;"")+('Dvd Calendar'!$U$1588=TYPE4)*(TYPE4&lt;&gt;"")+('Dvd Calendar'!$U$1588=SPECIAL_LBL)*(INC_SPECIALS="Y"))=0,"",'Dvd Calendar'!$U$1586)))</f>
        <v/>
      </c>
      <c r="T162" s="106">
        <f>IF(EV162="","",IF(ISNUMBER('Dvd Calendar'!$V$1586)=FALSE,"",IF((('Dvd Calendar'!$V$1588=TYPE1)*(TYPE1&lt;&gt;"")+('Dvd Calendar'!$V$1588=TYPE2)*(TYPE2&lt;&gt;"")+('Dvd Calendar'!$V$1588=TYPE3)*(TYPE3&lt;&gt;"")+('Dvd Calendar'!$V$1588=TYPE4)*(TYPE4&lt;&gt;"")+('Dvd Calendar'!$V$1588=SPECIAL_LBL)*(INC_SPECIALS="Y"))=0,"",'Dvd Calendar'!$V$1586)))</f>
        <v/>
      </c>
      <c r="U162" s="106">
        <f>IF(EW162="","",IF(ISNUMBER('Dvd Calendar'!$W$1586)=FALSE,"",IF((('Dvd Calendar'!$W$1588=TYPE1)*(TYPE1&lt;&gt;"")+('Dvd Calendar'!$W$1588=TYPE2)*(TYPE2&lt;&gt;"")+('Dvd Calendar'!$W$1588=TYPE3)*(TYPE3&lt;&gt;"")+('Dvd Calendar'!$W$1588=TYPE4)*(TYPE4&lt;&gt;"")+('Dvd Calendar'!$W$1588=SPECIAL_LBL)*(INC_SPECIALS="Y"))=0,"",'Dvd Calendar'!$W$1586)))</f>
        <v/>
      </c>
      <c r="V162" s="106">
        <f>IF(EX162="","",IF(ISNUMBER('Dvd Calendar'!$X$1586)=FALSE,"",IF((('Dvd Calendar'!$X$1588=TYPE1)*(TYPE1&lt;&gt;"")+('Dvd Calendar'!$X$1588=TYPE2)*(TYPE2&lt;&gt;"")+('Dvd Calendar'!$X$1588=TYPE3)*(TYPE3&lt;&gt;"")+('Dvd Calendar'!$X$1588=TYPE4)*(TYPE4&lt;&gt;"")+('Dvd Calendar'!$X$1588=SPECIAL_LBL)*(INC_SPECIALS="Y"))=0,"",'Dvd Calendar'!$X$1586)))</f>
        <v/>
      </c>
      <c r="W162" s="106">
        <f>IF(EY162="","",IF(ISNUMBER('Dvd Calendar'!$Y$1586)=FALSE,"",IF((('Dvd Calendar'!$Y$1588=TYPE1)*(TYPE1&lt;&gt;"")+('Dvd Calendar'!$Y$1588=TYPE2)*(TYPE2&lt;&gt;"")+('Dvd Calendar'!$Y$1588=TYPE3)*(TYPE3&lt;&gt;"")+('Dvd Calendar'!$Y$1588=TYPE4)*(TYPE4&lt;&gt;"")+('Dvd Calendar'!$Y$1588=SPECIAL_LBL)*(INC_SPECIALS="Y"))=0,"",'Dvd Calendar'!$Y$1586)))</f>
        <v/>
      </c>
      <c r="X162" s="106">
        <f>IF(EZ162="","",IF(ISNUMBER('Dvd Calendar'!$Z$1586)=FALSE,"",IF((('Dvd Calendar'!$Z$1588=TYPE1)*(TYPE1&lt;&gt;"")+('Dvd Calendar'!$Z$1588=TYPE2)*(TYPE2&lt;&gt;"")+('Dvd Calendar'!$Z$1588=TYPE3)*(TYPE3&lt;&gt;"")+('Dvd Calendar'!$Z$1588=TYPE4)*(TYPE4&lt;&gt;"")+('Dvd Calendar'!$Z$1588=SPECIAL_LBL)*(INC_SPECIALS="Y"))=0,"",'Dvd Calendar'!$Z$1586)))</f>
        <v/>
      </c>
      <c r="Y162" s="106">
        <f>IF(FA162="","",IF(ISNUMBER('Dvd Calendar'!$AA$1586)=FALSE,"",IF((('Dvd Calendar'!$AA$1588=TYPE1)*(TYPE1&lt;&gt;"")+('Dvd Calendar'!$AA$1588=TYPE2)*(TYPE2&lt;&gt;"")+('Dvd Calendar'!$AA$1588=TYPE3)*(TYPE3&lt;&gt;"")+('Dvd Calendar'!$AA$1588=TYPE4)*(TYPE4&lt;&gt;"")+('Dvd Calendar'!$AA$1588=SPECIAL_LBL)*(INC_SPECIALS="Y"))=0,"",'Dvd Calendar'!$AA$1586)))</f>
        <v/>
      </c>
      <c r="Z162" s="106">
        <f>IF(FB162="","",IF(ISNUMBER('Dvd Calendar'!$AB$1586)=FALSE,"",IF((('Dvd Calendar'!$AB$1588=TYPE1)*(TYPE1&lt;&gt;"")+('Dvd Calendar'!$AB$1588=TYPE2)*(TYPE2&lt;&gt;"")+('Dvd Calendar'!$AB$1588=TYPE3)*(TYPE3&lt;&gt;"")+('Dvd Calendar'!$AB$1588=TYPE4)*(TYPE4&lt;&gt;"")+('Dvd Calendar'!$AB$1588=SPECIAL_LBL)*(INC_SPECIALS="Y"))=0,"",'Dvd Calendar'!$AB$1586)))</f>
        <v/>
      </c>
      <c r="AA162" s="106">
        <f>IF(FC162="","",IF(ISNUMBER('Dvd Calendar'!$AC$1586)=FALSE,"",IF((('Dvd Calendar'!$AC$1588=TYPE1)*(TYPE1&lt;&gt;"")+('Dvd Calendar'!$AC$1588=TYPE2)*(TYPE2&lt;&gt;"")+('Dvd Calendar'!$AC$1588=TYPE3)*(TYPE3&lt;&gt;"")+('Dvd Calendar'!$AC$1588=TYPE4)*(TYPE4&lt;&gt;"")+('Dvd Calendar'!$AC$1588=SPECIAL_LBL)*(INC_SPECIALS="Y"))=0,"",'Dvd Calendar'!$AC$1586)))</f>
        <v/>
      </c>
      <c r="AB162" s="106">
        <f>IF(FD162="","",IF(ISNUMBER('Dvd Calendar'!$AD$1586)=FALSE,"",IF((('Dvd Calendar'!$AD$1588=TYPE1)*(TYPE1&lt;&gt;"")+('Dvd Calendar'!$AD$1588=TYPE2)*(TYPE2&lt;&gt;"")+('Dvd Calendar'!$AD$1588=TYPE3)*(TYPE3&lt;&gt;"")+('Dvd Calendar'!$AD$1588=TYPE4)*(TYPE4&lt;&gt;"")+('Dvd Calendar'!$AD$1588=SPECIAL_LBL)*(INC_SPECIALS="Y"))=0,"",'Dvd Calendar'!$AD$1586)))</f>
        <v/>
      </c>
      <c r="AC162" s="106">
        <f>IF(FE162="","",IF(ISNUMBER('Dvd Calendar'!$AE$1586)=FALSE,"",IF((('Dvd Calendar'!$AE$1588=TYPE1)*(TYPE1&lt;&gt;"")+('Dvd Calendar'!$AE$1588=TYPE2)*(TYPE2&lt;&gt;"")+('Dvd Calendar'!$AE$1588=TYPE3)*(TYPE3&lt;&gt;"")+('Dvd Calendar'!$AE$1588=TYPE4)*(TYPE4&lt;&gt;"")+('Dvd Calendar'!$AE$1588=SPECIAL_LBL)*(INC_SPECIALS="Y"))=0,"",'Dvd Calendar'!$AE$1586)))</f>
        <v/>
      </c>
      <c r="AD162" s="106">
        <f>IF(FF162="","",IF(ISNUMBER('Dvd Calendar'!$AF$1586)=FALSE,"",IF((('Dvd Calendar'!$AF$1588=TYPE1)*(TYPE1&lt;&gt;"")+('Dvd Calendar'!$AF$1588=TYPE2)*(TYPE2&lt;&gt;"")+('Dvd Calendar'!$AF$1588=TYPE3)*(TYPE3&lt;&gt;"")+('Dvd Calendar'!$AF$1588=TYPE4)*(TYPE4&lt;&gt;"")+('Dvd Calendar'!$AF$1588=SPECIAL_LBL)*(INC_SPECIALS="Y"))=0,"",'Dvd Calendar'!$AF$1586)))</f>
        <v/>
      </c>
      <c r="AE162" s="106">
        <f>IF(FG162="","",IF(ISNUMBER('Dvd Calendar'!$AG$1586)=FALSE,"",IF((('Dvd Calendar'!$AG$1588=TYPE1)*(TYPE1&lt;&gt;"")+('Dvd Calendar'!$AG$1588=TYPE2)*(TYPE2&lt;&gt;"")+('Dvd Calendar'!$AG$1588=TYPE3)*(TYPE3&lt;&gt;"")+('Dvd Calendar'!$AG$1588=TYPE4)*(TYPE4&lt;&gt;"")+('Dvd Calendar'!$AG$1588=SPECIAL_LBL)*(INC_SPECIALS="Y"))=0,"",'Dvd Calendar'!$AG$1586)))</f>
        <v/>
      </c>
      <c r="AF162" s="106">
        <f>IF(FH162="","",IF(ISNUMBER('Dvd Calendar'!$AH$1586)=FALSE,"",IF((('Dvd Calendar'!$AH$1588=TYPE1)*(TYPE1&lt;&gt;"")+('Dvd Calendar'!$AH$1588=TYPE2)*(TYPE2&lt;&gt;"")+('Dvd Calendar'!$AH$1588=TYPE3)*(TYPE3&lt;&gt;"")+('Dvd Calendar'!$AH$1588=TYPE4)*(TYPE4&lt;&gt;"")+('Dvd Calendar'!$AH$1588=SPECIAL_LBL)*(INC_SPECIALS="Y"))=0,"",'Dvd Calendar'!$AH$1586)))</f>
        <v/>
      </c>
      <c r="AG162" s="106">
        <f>IF(FI162="","",IF(ISNUMBER('Dvd Calendar'!$AI$1586)=FALSE,"",IF((('Dvd Calendar'!$AI$1588=TYPE1)*(TYPE1&lt;&gt;"")+('Dvd Calendar'!$AI$1588=TYPE2)*(TYPE2&lt;&gt;"")+('Dvd Calendar'!$AI$1588=TYPE3)*(TYPE3&lt;&gt;"")+('Dvd Calendar'!$AI$1588=TYPE4)*(TYPE4&lt;&gt;"")+('Dvd Calendar'!$AI$1588=SPECIAL_LBL)*(INC_SPECIALS="Y"))=0,"",'Dvd Calendar'!$AI$1586)))</f>
        <v/>
      </c>
      <c r="AH162" s="106">
        <f>IF(FJ162="","",IF(ISNUMBER('Dvd Calendar'!$AJ$1586)=FALSE,"",IF((('Dvd Calendar'!$AJ$1588=TYPE1)*(TYPE1&lt;&gt;"")+('Dvd Calendar'!$AJ$1588=TYPE2)*(TYPE2&lt;&gt;"")+('Dvd Calendar'!$AJ$1588=TYPE3)*(TYPE3&lt;&gt;"")+('Dvd Calendar'!$AJ$1588=TYPE4)*(TYPE4&lt;&gt;"")+('Dvd Calendar'!$AJ$1588=SPECIAL_LBL)*(INC_SPECIALS="Y"))=0,"",'Dvd Calendar'!$AJ$1586)))</f>
        <v/>
      </c>
      <c r="AI162" s="106">
        <f>IF(FK162="","",IF(ISNUMBER('Dvd Calendar'!$AK$1586)=FALSE,"",IF((('Dvd Calendar'!$AK$1588=TYPE1)*(TYPE1&lt;&gt;"")+('Dvd Calendar'!$AK$1588=TYPE2)*(TYPE2&lt;&gt;"")+('Dvd Calendar'!$AK$1588=TYPE3)*(TYPE3&lt;&gt;"")+('Dvd Calendar'!$AK$1588=TYPE4)*(TYPE4&lt;&gt;"")+('Dvd Calendar'!$AK$1588=SPECIAL_LBL)*(INC_SPECIALS="Y"))=0,"",'Dvd Calendar'!$AK$1586)))</f>
        <v/>
      </c>
      <c r="AJ162" s="106">
        <f>IF(FL162="","",IF(ISNUMBER('Dvd Calendar'!$AL$1586)=FALSE,"",IF((('Dvd Calendar'!$AL$1588=TYPE1)*(TYPE1&lt;&gt;"")+('Dvd Calendar'!$AL$1588=TYPE2)*(TYPE2&lt;&gt;"")+('Dvd Calendar'!$AL$1588=TYPE3)*(TYPE3&lt;&gt;"")+('Dvd Calendar'!$AL$1588=TYPE4)*(TYPE4&lt;&gt;"")+('Dvd Calendar'!$AL$1588=SPECIAL_LBL)*(INC_SPECIALS="Y"))=0,"",'Dvd Calendar'!$AL$1586)))</f>
        <v/>
      </c>
      <c r="AK162" s="106">
        <f>IF(FM162="","",IF(ISNUMBER('Dvd Calendar'!$AM$1586)=FALSE,"",IF((('Dvd Calendar'!$AM$1588=TYPE1)*(TYPE1&lt;&gt;"")+('Dvd Calendar'!$AM$1588=TYPE2)*(TYPE2&lt;&gt;"")+('Dvd Calendar'!$AM$1588=TYPE3)*(TYPE3&lt;&gt;"")+('Dvd Calendar'!$AM$1588=TYPE4)*(TYPE4&lt;&gt;"")+('Dvd Calendar'!$AM$1588=SPECIAL_LBL)*(INC_SPECIALS="Y"))=0,"",'Dvd Calendar'!$AM$1586)))</f>
        <v/>
      </c>
      <c r="AL162" s="106">
        <f>IF(FN162="","",IF(ISNUMBER('Dvd Calendar'!$AN$1586)=FALSE,"",IF((('Dvd Calendar'!$AN$1588=TYPE1)*(TYPE1&lt;&gt;"")+('Dvd Calendar'!$AN$1588=TYPE2)*(TYPE2&lt;&gt;"")+('Dvd Calendar'!$AN$1588=TYPE3)*(TYPE3&lt;&gt;"")+('Dvd Calendar'!$AN$1588=TYPE4)*(TYPE4&lt;&gt;"")+('Dvd Calendar'!$AN$1588=SPECIAL_LBL)*(INC_SPECIALS="Y"))=0,"",'Dvd Calendar'!$AN$1586)))</f>
        <v/>
      </c>
      <c r="AM162" s="106">
        <f>IF(FO162="","",IF(ISNUMBER('Dvd Calendar'!$AO$1586)=FALSE,"",IF((('Dvd Calendar'!$AO$1588=TYPE1)*(TYPE1&lt;&gt;"")+('Dvd Calendar'!$AO$1588=TYPE2)*(TYPE2&lt;&gt;"")+('Dvd Calendar'!$AO$1588=TYPE3)*(TYPE3&lt;&gt;"")+('Dvd Calendar'!$AO$1588=TYPE4)*(TYPE4&lt;&gt;"")+('Dvd Calendar'!$AO$1588=SPECIAL_LBL)*(INC_SPECIALS="Y"))=0,"",'Dvd Calendar'!$AO$1586)))</f>
        <v/>
      </c>
      <c r="AN162" s="106">
        <f>IF(FP162="","",IF(ISNUMBER('Dvd Calendar'!$AP$1586)=FALSE,"",IF((('Dvd Calendar'!$AP$1588=TYPE1)*(TYPE1&lt;&gt;"")+('Dvd Calendar'!$AP$1588=TYPE2)*(TYPE2&lt;&gt;"")+('Dvd Calendar'!$AP$1588=TYPE3)*(TYPE3&lt;&gt;"")+('Dvd Calendar'!$AP$1588=TYPE4)*(TYPE4&lt;&gt;"")+('Dvd Calendar'!$AP$1588=SPECIAL_LBL)*(INC_SPECIALS="Y"))=0,"",'Dvd Calendar'!$AP$1586)))</f>
        <v/>
      </c>
      <c r="AO162" s="106">
        <f>IF(FQ162="","",IF(ISNUMBER('Dvd Calendar'!$AQ$1586)=FALSE,"",IF((('Dvd Calendar'!$AQ$1588=TYPE1)*(TYPE1&lt;&gt;"")+('Dvd Calendar'!$AQ$1588=TYPE2)*(TYPE2&lt;&gt;"")+('Dvd Calendar'!$AQ$1588=TYPE3)*(TYPE3&lt;&gt;"")+('Dvd Calendar'!$AQ$1588=TYPE4)*(TYPE4&lt;&gt;"")+('Dvd Calendar'!$AQ$1588=SPECIAL_LBL)*(INC_SPECIALS="Y"))=0,"",'Dvd Calendar'!$AQ$1586)))</f>
        <v/>
      </c>
      <c r="AP162" s="106">
        <f>IF(FR162="","",IF(ISNUMBER('Dvd Calendar'!$AR$1586)=FALSE,"",IF((('Dvd Calendar'!$AR$1588=TYPE1)*(TYPE1&lt;&gt;"")+('Dvd Calendar'!$AR$1588=TYPE2)*(TYPE2&lt;&gt;"")+('Dvd Calendar'!$AR$1588=TYPE3)*(TYPE3&lt;&gt;"")+('Dvd Calendar'!$AR$1588=TYPE4)*(TYPE4&lt;&gt;"")+('Dvd Calendar'!$AR$1588=SPECIAL_LBL)*(INC_SPECIALS="Y"))=0,"",'Dvd Calendar'!$AR$1586)))</f>
        <v/>
      </c>
      <c r="AQ162" s="106">
        <f>IF(FS162="","",IF(ISNUMBER('Dvd Calendar'!$E$1591)=FALSE,"",'Dvd Calendar'!$E$1591))</f>
        <v/>
      </c>
      <c r="AR162" s="106">
        <f>IF(FT162="","",IF(ISNUMBER('Dvd Calendar'!$F$1591)=FALSE,"",'Dvd Calendar'!$F$1591))</f>
        <v/>
      </c>
      <c r="AS162" s="106">
        <f>IF(FU162="","",IF(ISNUMBER('Dvd Calendar'!$G$1591)=FALSE,"",'Dvd Calendar'!$G$1591))</f>
        <v/>
      </c>
      <c r="AT162" s="106">
        <f>IF(FV162="","",IF(ISNUMBER('Dvd Calendar'!$H$1591)=FALSE,"",'Dvd Calendar'!$H$1591))</f>
        <v/>
      </c>
      <c r="AU162" s="106">
        <f>IF(FW162="","",IF(ISNUMBER('Dvd Calendar'!$I$1591)=FALSE,"",'Dvd Calendar'!$I$1591))</f>
        <v/>
      </c>
      <c r="AV162" s="106">
        <f>IF(FX162="","",IF(ISNUMBER('Dvd Calendar'!$J$1591)=FALSE,"",'Dvd Calendar'!$J$1591))</f>
        <v/>
      </c>
      <c r="AW162" s="106">
        <f>IF(FY162="","",IF(ISNUMBER('Dvd Calendar'!$K$1591)=FALSE,"",'Dvd Calendar'!$K$1591))</f>
        <v/>
      </c>
      <c r="AX162" s="106">
        <f>IF(FZ162="","",IF(ISNUMBER('Dvd Calendar'!$L$1591)=FALSE,"",'Dvd Calendar'!$L$1591))</f>
        <v/>
      </c>
      <c r="AY162" s="106">
        <f>IF(GA162="","",IF(ISNUMBER('Dvd Calendar'!$M$1591)=FALSE,"",'Dvd Calendar'!$M$1591))</f>
        <v/>
      </c>
      <c r="AZ162" s="106">
        <f>IF(GB162="","",IF(ISNUMBER('Dvd Calendar'!$N$1591)=FALSE,"",'Dvd Calendar'!$N$1591))</f>
        <v/>
      </c>
      <c r="BA162" s="106">
        <f>IF(GC162="","",IF(ISNUMBER('Dvd Calendar'!$O$1591)=FALSE,"",'Dvd Calendar'!$O$1591))</f>
        <v/>
      </c>
      <c r="BB162" s="106">
        <f>IF(GD162="","",IF(ISNUMBER('Dvd Calendar'!$P$1591)=FALSE,"",'Dvd Calendar'!$P$1591))</f>
        <v/>
      </c>
      <c r="BC162" s="106">
        <f>IF(GE162="","",IF(ISNUMBER('Dvd Calendar'!$Q$1591)=FALSE,"",'Dvd Calendar'!$Q$1591))</f>
        <v/>
      </c>
      <c r="BD162" s="106">
        <f>IF(GF162="","",IF(ISNUMBER('Dvd Calendar'!$R$1591)=FALSE,"",'Dvd Calendar'!$R$1591))</f>
        <v/>
      </c>
      <c r="BE162" s="106">
        <f>IF(GG162="","",IF(ISNUMBER('Dvd Calendar'!$S$1591)=FALSE,"",'Dvd Calendar'!$S$1591))</f>
        <v/>
      </c>
      <c r="BF162" s="106">
        <f>IF(GH162="","",IF(ISNUMBER('Dvd Calendar'!$T$1591)=FALSE,"",'Dvd Calendar'!$T$1591))</f>
        <v/>
      </c>
      <c r="BG162" s="106">
        <f>IF(GI162="","",IF(ISNUMBER('Dvd Calendar'!$U$1591)=FALSE,"",'Dvd Calendar'!$U$1591))</f>
        <v/>
      </c>
      <c r="BH162" s="106">
        <f>IF(GJ162="","",IF(ISNUMBER('Dvd Calendar'!$V$1591)=FALSE,"",'Dvd Calendar'!$V$1591))</f>
        <v/>
      </c>
      <c r="BI162" s="106">
        <f>IF(GK162="","",IF(ISNUMBER('Dvd Calendar'!$W$1591)=FALSE,"",'Dvd Calendar'!$W$1591))</f>
        <v/>
      </c>
      <c r="BJ162" s="106">
        <f>IF(GL162="","",IF(ISNUMBER('Dvd Calendar'!$X$1591)=FALSE,"",'Dvd Calendar'!$X$1591))</f>
        <v/>
      </c>
      <c r="BK162" s="106">
        <f>IF(GM162="","",IF(ISNUMBER('Dvd Calendar'!$Y$1591)=FALSE,"",'Dvd Calendar'!$Y$1591))</f>
        <v/>
      </c>
      <c r="BL162" s="106">
        <f>IF(GN162="","",IF(ISNUMBER('Dvd Calendar'!$Z$1591)=FALSE,"",'Dvd Calendar'!$Z$1591))</f>
        <v/>
      </c>
      <c r="BM162" s="106">
        <f>IF(GO162="","",IF(ISNUMBER('Dvd Calendar'!$AA$1591)=FALSE,"",'Dvd Calendar'!$AA$1591))</f>
        <v/>
      </c>
      <c r="BN162" s="106">
        <f>IF(GP162="","",IF(ISNUMBER('Dvd Calendar'!$AB$1591)=FALSE,"",'Dvd Calendar'!$AB$1591))</f>
        <v/>
      </c>
      <c r="BO162" s="106">
        <f>IF(GQ162="","",IF(ISNUMBER('Dvd Calendar'!$AC$1591)=FALSE,"",'Dvd Calendar'!$AC$1591))</f>
        <v/>
      </c>
      <c r="BQ162" s="106">
        <f>IF(C162="","",IFERROR(C162*HSCEI!$B$9*HSCEI!$G$9/HSCEI!$B$3,""))</f>
        <v/>
      </c>
      <c r="BR162" s="106">
        <f>IF(D162="","",IFERROR(D162*HSCEI!$B$9*HSCEI!$G$9/HSCEI!$B$3,""))</f>
        <v/>
      </c>
      <c r="BS162" s="106">
        <f>IF(E162="","",IFERROR(E162*HSCEI!$B$9*HSCEI!$G$9/HSCEI!$B$3,""))</f>
        <v/>
      </c>
      <c r="BT162" s="106">
        <f>IF(F162="","",IFERROR(F162*HSCEI!$B$9*HSCEI!$G$9/HSCEI!$B$3,""))</f>
        <v/>
      </c>
      <c r="BU162" s="106">
        <f>IF(G162="","",IFERROR(G162*HSCEI!$B$9*HSCEI!$G$9/HSCEI!$B$3,""))</f>
        <v/>
      </c>
      <c r="BV162" s="106">
        <f>IF(H162="","",IFERROR(H162*HSCEI!$B$9*HSCEI!$G$9/HSCEI!$B$3,""))</f>
        <v/>
      </c>
      <c r="BW162" s="106">
        <f>IF(I162="","",IFERROR(I162*HSCEI!$B$9*HSCEI!$G$9/HSCEI!$B$3,""))</f>
        <v/>
      </c>
      <c r="BX162" s="106">
        <f>IF(J162="","",IFERROR(J162*HSCEI!$B$9*HSCEI!$G$9/HSCEI!$B$3,""))</f>
        <v/>
      </c>
      <c r="BY162" s="106">
        <f>IF(K162="","",IFERROR(K162*HSCEI!$B$9*HSCEI!$G$9/HSCEI!$B$3,""))</f>
        <v/>
      </c>
      <c r="BZ162" s="106">
        <f>IF(L162="","",IFERROR(L162*HSCEI!$B$9*HSCEI!$G$9/HSCEI!$B$3,""))</f>
        <v/>
      </c>
      <c r="CA162" s="106">
        <f>IF(M162="","",IFERROR(M162*HSCEI!$B$9*HSCEI!$G$9/HSCEI!$B$3,""))</f>
        <v/>
      </c>
      <c r="CB162" s="106">
        <f>IF(N162="","",IFERROR(N162*HSCEI!$B$9*HSCEI!$G$9/HSCEI!$B$3,""))</f>
        <v/>
      </c>
      <c r="CC162" s="106">
        <f>IF(O162="","",IFERROR(O162*HSCEI!$B$9*HSCEI!$G$9/HSCEI!$B$3,""))</f>
        <v/>
      </c>
      <c r="CD162" s="106">
        <f>IF(P162="","",IFERROR(P162*HSCEI!$B$9*HSCEI!$G$9/HSCEI!$B$3,""))</f>
        <v/>
      </c>
      <c r="CE162" s="106">
        <f>IF(Q162="","",IFERROR(Q162*HSCEI!$B$9*HSCEI!$G$9/HSCEI!$B$3,""))</f>
        <v/>
      </c>
      <c r="CF162" s="106">
        <f>IF(R162="","",IFERROR(R162*HSCEI!$B$9*HSCEI!$G$9/HSCEI!$B$3,""))</f>
        <v/>
      </c>
      <c r="CG162" s="106">
        <f>IF(S162="","",IFERROR(S162*HSCEI!$B$9*HSCEI!$G$9/HSCEI!$B$3,""))</f>
        <v/>
      </c>
      <c r="CH162" s="106">
        <f>IF(T162="","",IFERROR(T162*HSCEI!$B$9*HSCEI!$G$9/HSCEI!$B$3,""))</f>
        <v/>
      </c>
      <c r="CI162" s="106">
        <f>IF(U162="","",IFERROR(U162*HSCEI!$B$9*HSCEI!$G$9/HSCEI!$B$3,""))</f>
        <v/>
      </c>
      <c r="CJ162" s="106">
        <f>IF(V162="","",IFERROR(V162*HSCEI!$B$9*HSCEI!$G$9/HSCEI!$B$3,""))</f>
        <v/>
      </c>
      <c r="CK162" s="106">
        <f>IF(W162="","",IFERROR(W162*HSCEI!$B$9*HSCEI!$G$9/HSCEI!$B$3,""))</f>
        <v/>
      </c>
      <c r="CL162" s="106">
        <f>IF(X162="","",IFERROR(X162*HSCEI!$B$9*HSCEI!$G$9/HSCEI!$B$3,""))</f>
        <v/>
      </c>
      <c r="CM162" s="106">
        <f>IF(Y162="","",IFERROR(Y162*HSCEI!$B$9*HSCEI!$G$9/HSCEI!$B$3,""))</f>
        <v/>
      </c>
      <c r="CN162" s="106">
        <f>IF(Z162="","",IFERROR(Z162*HSCEI!$B$9*HSCEI!$G$9/HSCEI!$B$3,""))</f>
        <v/>
      </c>
      <c r="CO162" s="106">
        <f>IF(AA162="","",IFERROR(AA162*HSCEI!$B$9*HSCEI!$G$9/HSCEI!$B$3,""))</f>
        <v/>
      </c>
      <c r="CP162" s="106">
        <f>IF(AB162="","",IFERROR(AB162*HSCEI!$B$9*HSCEI!$G$9/HSCEI!$B$3,""))</f>
        <v/>
      </c>
      <c r="CQ162" s="106">
        <f>IF(AC162="","",IFERROR(AC162*HSCEI!$B$9*HSCEI!$G$9/HSCEI!$B$3,""))</f>
        <v/>
      </c>
      <c r="CR162" s="106">
        <f>IF(AD162="","",IFERROR(AD162*HSCEI!$B$9*HSCEI!$G$9/HSCEI!$B$3,""))</f>
        <v/>
      </c>
      <c r="CS162" s="106">
        <f>IF(AE162="","",IFERROR(AE162*HSCEI!$B$9*HSCEI!$G$9/HSCEI!$B$3,""))</f>
        <v/>
      </c>
      <c r="CT162" s="106">
        <f>IF(AF162="","",IFERROR(AF162*HSCEI!$B$9*HSCEI!$G$9/HSCEI!$B$3,""))</f>
        <v/>
      </c>
      <c r="CU162" s="106">
        <f>IF(AG162="","",IFERROR(AG162*HSCEI!$B$9*HSCEI!$G$9/HSCEI!$B$3,""))</f>
        <v/>
      </c>
      <c r="CV162" s="106">
        <f>IF(AH162="","",IFERROR(AH162*HSCEI!$B$9*HSCEI!$G$9/HSCEI!$B$3,""))</f>
        <v/>
      </c>
      <c r="CW162" s="106">
        <f>IF(AI162="","",IFERROR(AI162*HSCEI!$B$9*HSCEI!$G$9/HSCEI!$B$3,""))</f>
        <v/>
      </c>
      <c r="CX162" s="106">
        <f>IF(AJ162="","",IFERROR(AJ162*HSCEI!$B$9*HSCEI!$G$9/HSCEI!$B$3,""))</f>
        <v/>
      </c>
      <c r="CY162" s="106">
        <f>IF(AK162="","",IFERROR(AK162*HSCEI!$B$9*HSCEI!$G$9/HSCEI!$B$3,""))</f>
        <v/>
      </c>
      <c r="CZ162" s="106">
        <f>IF(AL162="","",IFERROR(AL162*HSCEI!$B$9*HSCEI!$G$9/HSCEI!$B$3,""))</f>
        <v/>
      </c>
      <c r="DA162" s="106">
        <f>IF(AM162="","",IFERROR(AM162*HSCEI!$B$9*HSCEI!$G$9/HSCEI!$B$3,""))</f>
        <v/>
      </c>
      <c r="DB162" s="106">
        <f>IF(AN162="","",IFERROR(AN162*HSCEI!$B$9*HSCEI!$G$9/HSCEI!$B$3,""))</f>
        <v/>
      </c>
      <c r="DC162" s="106">
        <f>IF(AO162="","",IFERROR(AO162*HSCEI!$B$9*HSCEI!$G$9/HSCEI!$B$3,""))</f>
        <v/>
      </c>
      <c r="DD162" s="106">
        <f>IF(AP162="","",IFERROR(AP162*HSCEI!$B$9*HSCEI!$G$9/HSCEI!$B$3,""))</f>
        <v/>
      </c>
      <c r="DE162" s="106">
        <f>IF(AQ162="","",IFERROR(AQ162*HSCEI!$B$9*HSCEI!$G$9/HSCEI!$B$3,""))</f>
        <v/>
      </c>
      <c r="DF162" s="106">
        <f>IF(AR162="","",IFERROR(AR162*HSCEI!$B$9*HSCEI!$G$9/HSCEI!$B$3,""))</f>
        <v/>
      </c>
      <c r="DG162" s="106">
        <f>IF(AS162="","",IFERROR(AS162*HSCEI!$B$9*HSCEI!$G$9/HSCEI!$B$3,""))</f>
        <v/>
      </c>
      <c r="DH162" s="106">
        <f>IF(AT162="","",IFERROR(AT162*HSCEI!$B$9*HSCEI!$G$9/HSCEI!$B$3,""))</f>
        <v/>
      </c>
      <c r="DI162" s="106">
        <f>IF(AU162="","",IFERROR(AU162*HSCEI!$B$9*HSCEI!$G$9/HSCEI!$B$3,""))</f>
        <v/>
      </c>
      <c r="DJ162" s="106">
        <f>IF(AV162="","",IFERROR(AV162*HSCEI!$B$9*HSCEI!$G$9/HSCEI!$B$3,""))</f>
        <v/>
      </c>
      <c r="DK162" s="106">
        <f>IF(AW162="","",IFERROR(AW162*HSCEI!$B$9*HSCEI!$G$9/HSCEI!$B$3,""))</f>
        <v/>
      </c>
      <c r="DL162" s="106">
        <f>IF(AX162="","",IFERROR(AX162*HSCEI!$B$9*HSCEI!$G$9/HSCEI!$B$3,""))</f>
        <v/>
      </c>
      <c r="DM162" s="106">
        <f>IF(AY162="","",IFERROR(AY162*HSCEI!$B$9*HSCEI!$G$9/HSCEI!$B$3,""))</f>
        <v/>
      </c>
      <c r="DN162" s="106">
        <f>IF(AZ162="","",IFERROR(AZ162*HSCEI!$B$9*HSCEI!$G$9/HSCEI!$B$3,""))</f>
        <v/>
      </c>
      <c r="DO162" s="106">
        <f>IF(BA162="","",IFERROR(BA162*HSCEI!$B$9*HSCEI!$G$9/HSCEI!$B$3,""))</f>
        <v/>
      </c>
      <c r="DP162" s="106">
        <f>IF(BB162="","",IFERROR(BB162*HSCEI!$B$9*HSCEI!$G$9/HSCEI!$B$3,""))</f>
        <v/>
      </c>
      <c r="DQ162" s="106">
        <f>IF(BC162="","",IFERROR(BC162*HSCEI!$B$9*HSCEI!$G$9/HSCEI!$B$3,""))</f>
        <v/>
      </c>
      <c r="DR162" s="106">
        <f>IF(BD162="","",IFERROR(BD162*HSCEI!$B$9*HSCEI!$G$9/HSCEI!$B$3,""))</f>
        <v/>
      </c>
      <c r="DS162" s="106">
        <f>IF(BE162="","",IFERROR(BE162*HSCEI!$B$9*HSCEI!$G$9/HSCEI!$B$3,""))</f>
        <v/>
      </c>
      <c r="DT162" s="106">
        <f>IF(BF162="","",IFERROR(BF162*HSCEI!$B$9*HSCEI!$G$9/HSCEI!$B$3,""))</f>
        <v/>
      </c>
      <c r="DU162" s="106">
        <f>IF(BG162="","",IFERROR(BG162*HSCEI!$B$9*HSCEI!$G$9/HSCEI!$B$3,""))</f>
        <v/>
      </c>
      <c r="DV162" s="106">
        <f>IF(BH162="","",IFERROR(BH162*HSCEI!$B$9*HSCEI!$G$9/HSCEI!$B$3,""))</f>
        <v/>
      </c>
      <c r="DW162" s="106">
        <f>IF(BI162="","",IFERROR(BI162*HSCEI!$B$9*HSCEI!$G$9/HSCEI!$B$3,""))</f>
        <v/>
      </c>
      <c r="DX162" s="106">
        <f>IF(BJ162="","",IFERROR(BJ162*HSCEI!$B$9*HSCEI!$G$9/HSCEI!$B$3,""))</f>
        <v/>
      </c>
      <c r="DY162" s="106">
        <f>IF(BK162="","",IFERROR(BK162*HSCEI!$B$9*HSCEI!$G$9/HSCEI!$B$3,""))</f>
        <v/>
      </c>
      <c r="DZ162" s="106">
        <f>IF(BL162="","",IFERROR(BL162*HSCEI!$B$9*HSCEI!$G$9/HSCEI!$B$3,""))</f>
        <v/>
      </c>
      <c r="EA162" s="106">
        <f>IF(BM162="","",IFERROR(BM162*HSCEI!$B$9*HSCEI!$G$9/HSCEI!$B$3,""))</f>
        <v/>
      </c>
      <c r="EB162" s="106">
        <f>IF(BN162="","",IFERROR(BN162*HSCEI!$B$9*HSCEI!$G$9/HSCEI!$B$3,""))</f>
        <v/>
      </c>
      <c r="EC162" s="106">
        <f>IF(BO162="","",IFERROR(BO162*HSCEI!$B$9*HSCEI!$G$9/HSCEI!$B$3,""))</f>
        <v/>
      </c>
      <c r="EE162" s="35">
        <f>IF(N('Dvd Calendar'!$E$1583)=0,"",IF(('Dvd Calendar'!$E$1583&gt;=GRID_FROM)*('Dvd Calendar'!$E$1583&lt;=GRID_TO)*('Dvd Calendar'!$E$1583&lt;=VAL_DATE)=0,"",'Dvd Calendar'!$E$1583*1000000000+ISNUMBER('Dvd Calendar'!$E$1586)*100000000+('Dvd Calendar'!$E$1588=SPECIAL_LBL)*10000000+0*1000000+3*1000+1))</f>
        <v/>
      </c>
      <c r="EF162" s="35">
        <f>IF(N('Dvd Calendar'!$F$1583)=0,"",IF(('Dvd Calendar'!$F$1583&gt;=GRID_FROM)*('Dvd Calendar'!$F$1583&lt;=GRID_TO)*('Dvd Calendar'!$F$1583&lt;=VAL_DATE)=0,"",'Dvd Calendar'!$F$1583*1000000000+ISNUMBER('Dvd Calendar'!$F$1586)*100000000+('Dvd Calendar'!$F$1588=SPECIAL_LBL)*10000000+0*1000000+3*1000+2))</f>
        <v/>
      </c>
      <c r="EG162" s="35">
        <f>IF(N('Dvd Calendar'!$G$1583)=0,"",IF(('Dvd Calendar'!$G$1583&gt;=GRID_FROM)*('Dvd Calendar'!$G$1583&lt;=GRID_TO)*('Dvd Calendar'!$G$1583&lt;=VAL_DATE)=0,"",'Dvd Calendar'!$G$1583*1000000000+ISNUMBER('Dvd Calendar'!$G$1586)*100000000+('Dvd Calendar'!$G$1588=SPECIAL_LBL)*10000000+0*1000000+3*1000+3))</f>
        <v/>
      </c>
      <c r="EH162" s="35">
        <f>IF(N('Dvd Calendar'!$H$1583)=0,"",IF(('Dvd Calendar'!$H$1583&gt;=GRID_FROM)*('Dvd Calendar'!$H$1583&lt;=GRID_TO)*('Dvd Calendar'!$H$1583&lt;=VAL_DATE)=0,"",'Dvd Calendar'!$H$1583*1000000000+ISNUMBER('Dvd Calendar'!$H$1586)*100000000+('Dvd Calendar'!$H$1588=SPECIAL_LBL)*10000000+0*1000000+3*1000+4))</f>
        <v/>
      </c>
      <c r="EI162" s="35">
        <f>IF(N('Dvd Calendar'!$I$1583)=0,"",IF(('Dvd Calendar'!$I$1583&gt;=GRID_FROM)*('Dvd Calendar'!$I$1583&lt;=GRID_TO)*('Dvd Calendar'!$I$1583&lt;=VAL_DATE)=0,"",'Dvd Calendar'!$I$1583*1000000000+ISNUMBER('Dvd Calendar'!$I$1586)*100000000+('Dvd Calendar'!$I$1588=SPECIAL_LBL)*10000000+0*1000000+3*1000+5))</f>
        <v/>
      </c>
      <c r="EJ162" s="35">
        <f>IF(N('Dvd Calendar'!$J$1583)=0,"",IF(('Dvd Calendar'!$J$1583&gt;=GRID_FROM)*('Dvd Calendar'!$J$1583&lt;=GRID_TO)*('Dvd Calendar'!$J$1583&lt;=VAL_DATE)=0,"",'Dvd Calendar'!$J$1583*1000000000+ISNUMBER('Dvd Calendar'!$J$1586)*100000000+('Dvd Calendar'!$J$1588=SPECIAL_LBL)*10000000+0*1000000+3*1000+6))</f>
        <v/>
      </c>
      <c r="EK162" s="35">
        <f>IF(N('Dvd Calendar'!$K$1583)=0,"",IF(('Dvd Calendar'!$K$1583&gt;=GRID_FROM)*('Dvd Calendar'!$K$1583&lt;=GRID_TO)*('Dvd Calendar'!$K$1583&lt;=VAL_DATE)=0,"",'Dvd Calendar'!$K$1583*1000000000+ISNUMBER('Dvd Calendar'!$K$1586)*100000000+('Dvd Calendar'!$K$1588=SPECIAL_LBL)*10000000+0*1000000+3*1000+7))</f>
        <v/>
      </c>
      <c r="EL162" s="35">
        <f>IF(N('Dvd Calendar'!$L$1583)=0,"",IF(('Dvd Calendar'!$L$1583&gt;=GRID_FROM)*('Dvd Calendar'!$L$1583&lt;=GRID_TO)*('Dvd Calendar'!$L$1583&lt;=VAL_DATE)=0,"",'Dvd Calendar'!$L$1583*1000000000+ISNUMBER('Dvd Calendar'!$L$1586)*100000000+('Dvd Calendar'!$L$1588=SPECIAL_LBL)*10000000+0*1000000+3*1000+8))</f>
        <v/>
      </c>
      <c r="EM162" s="35">
        <f>IF(N('Dvd Calendar'!$M$1583)=0,"",IF(('Dvd Calendar'!$M$1583&gt;=GRID_FROM)*('Dvd Calendar'!$M$1583&lt;=GRID_TO)*('Dvd Calendar'!$M$1583&lt;=VAL_DATE)=0,"",'Dvd Calendar'!$M$1583*1000000000+ISNUMBER('Dvd Calendar'!$M$1586)*100000000+('Dvd Calendar'!$M$1588=SPECIAL_LBL)*10000000+0*1000000+3*1000+9))</f>
        <v/>
      </c>
      <c r="EN162" s="35">
        <f>IF(N('Dvd Calendar'!$N$1583)=0,"",IF(('Dvd Calendar'!$N$1583&gt;=GRID_FROM)*('Dvd Calendar'!$N$1583&lt;=GRID_TO)*('Dvd Calendar'!$N$1583&lt;=VAL_DATE)=0,"",'Dvd Calendar'!$N$1583*1000000000+ISNUMBER('Dvd Calendar'!$N$1586)*100000000+('Dvd Calendar'!$N$1588=SPECIAL_LBL)*10000000+0*1000000+3*1000+10))</f>
        <v/>
      </c>
      <c r="EO162" s="35">
        <f>IF(N('Dvd Calendar'!$O$1583)=0,"",IF(('Dvd Calendar'!$O$1583&gt;=GRID_FROM)*('Dvd Calendar'!$O$1583&lt;=GRID_TO)*('Dvd Calendar'!$O$1583&lt;=VAL_DATE)=0,"",'Dvd Calendar'!$O$1583*1000000000+ISNUMBER('Dvd Calendar'!$O$1586)*100000000+('Dvd Calendar'!$O$1588=SPECIAL_LBL)*10000000+0*1000000+3*1000+11))</f>
        <v/>
      </c>
      <c r="EP162" s="35">
        <f>IF(N('Dvd Calendar'!$P$1583)=0,"",IF(('Dvd Calendar'!$P$1583&gt;=GRID_FROM)*('Dvd Calendar'!$P$1583&lt;=GRID_TO)*('Dvd Calendar'!$P$1583&lt;=VAL_DATE)=0,"",'Dvd Calendar'!$P$1583*1000000000+ISNUMBER('Dvd Calendar'!$P$1586)*100000000+('Dvd Calendar'!$P$1588=SPECIAL_LBL)*10000000+0*1000000+3*1000+12))</f>
        <v/>
      </c>
      <c r="EQ162" s="35">
        <f>IF(N('Dvd Calendar'!$Q$1583)=0,"",IF(('Dvd Calendar'!$Q$1583&gt;=GRID_FROM)*('Dvd Calendar'!$Q$1583&lt;=GRID_TO)*('Dvd Calendar'!$Q$1583&lt;=VAL_DATE)=0,"",'Dvd Calendar'!$Q$1583*1000000000+ISNUMBER('Dvd Calendar'!$Q$1586)*100000000+('Dvd Calendar'!$Q$1588=SPECIAL_LBL)*10000000+0*1000000+3*1000+13))</f>
        <v/>
      </c>
      <c r="ER162" s="35">
        <f>IF(N('Dvd Calendar'!$R$1583)=0,"",IF(('Dvd Calendar'!$R$1583&gt;=GRID_FROM)*('Dvd Calendar'!$R$1583&lt;=GRID_TO)*('Dvd Calendar'!$R$1583&lt;=VAL_DATE)=0,"",'Dvd Calendar'!$R$1583*1000000000+ISNUMBER('Dvd Calendar'!$R$1586)*100000000+('Dvd Calendar'!$R$1588=SPECIAL_LBL)*10000000+0*1000000+3*1000+14))</f>
        <v/>
      </c>
      <c r="ES162" s="35">
        <f>IF(N('Dvd Calendar'!$S$1583)=0,"",IF(('Dvd Calendar'!$S$1583&gt;=GRID_FROM)*('Dvd Calendar'!$S$1583&lt;=GRID_TO)*('Dvd Calendar'!$S$1583&lt;=VAL_DATE)=0,"",'Dvd Calendar'!$S$1583*1000000000+ISNUMBER('Dvd Calendar'!$S$1586)*100000000+('Dvd Calendar'!$S$1588=SPECIAL_LBL)*10000000+0*1000000+3*1000+15))</f>
        <v/>
      </c>
      <c r="ET162" s="35">
        <f>IF(N('Dvd Calendar'!$T$1583)=0,"",IF(('Dvd Calendar'!$T$1583&gt;=GRID_FROM)*('Dvd Calendar'!$T$1583&lt;=GRID_TO)*('Dvd Calendar'!$T$1583&lt;=VAL_DATE)=0,"",'Dvd Calendar'!$T$1583*1000000000+ISNUMBER('Dvd Calendar'!$T$1586)*100000000+('Dvd Calendar'!$T$1588=SPECIAL_LBL)*10000000+0*1000000+3*1000+16))</f>
        <v/>
      </c>
      <c r="EU162" s="35">
        <f>IF(N('Dvd Calendar'!$U$1583)=0,"",IF(('Dvd Calendar'!$U$1583&gt;=GRID_FROM)*('Dvd Calendar'!$U$1583&lt;=GRID_TO)*('Dvd Calendar'!$U$1583&lt;=VAL_DATE)=0,"",'Dvd Calendar'!$U$1583*1000000000+ISNUMBER('Dvd Calendar'!$U$1586)*100000000+('Dvd Calendar'!$U$1588=SPECIAL_LBL)*10000000+0*1000000+3*1000+17))</f>
        <v/>
      </c>
      <c r="EV162" s="35">
        <f>IF(N('Dvd Calendar'!$V$1583)=0,"",IF(('Dvd Calendar'!$V$1583&gt;=GRID_FROM)*('Dvd Calendar'!$V$1583&lt;=GRID_TO)*('Dvd Calendar'!$V$1583&lt;=VAL_DATE)=0,"",'Dvd Calendar'!$V$1583*1000000000+ISNUMBER('Dvd Calendar'!$V$1586)*100000000+('Dvd Calendar'!$V$1588=SPECIAL_LBL)*10000000+0*1000000+3*1000+18))</f>
        <v/>
      </c>
      <c r="EW162" s="35">
        <f>IF(N('Dvd Calendar'!$W$1583)=0,"",IF(('Dvd Calendar'!$W$1583&gt;=GRID_FROM)*('Dvd Calendar'!$W$1583&lt;=GRID_TO)*('Dvd Calendar'!$W$1583&lt;=VAL_DATE)=0,"",'Dvd Calendar'!$W$1583*1000000000+ISNUMBER('Dvd Calendar'!$W$1586)*100000000+('Dvd Calendar'!$W$1588=SPECIAL_LBL)*10000000+0*1000000+3*1000+19))</f>
        <v/>
      </c>
      <c r="EX162" s="35">
        <f>IF(N('Dvd Calendar'!$X$1583)=0,"",IF(('Dvd Calendar'!$X$1583&gt;=GRID_FROM)*('Dvd Calendar'!$X$1583&lt;=GRID_TO)*('Dvd Calendar'!$X$1583&lt;=VAL_DATE)=0,"",'Dvd Calendar'!$X$1583*1000000000+ISNUMBER('Dvd Calendar'!$X$1586)*100000000+('Dvd Calendar'!$X$1588=SPECIAL_LBL)*10000000+0*1000000+3*1000+20))</f>
        <v/>
      </c>
      <c r="EY162" s="35">
        <f>IF(N('Dvd Calendar'!$Y$1583)=0,"",IF(('Dvd Calendar'!$Y$1583&gt;=GRID_FROM)*('Dvd Calendar'!$Y$1583&lt;=GRID_TO)*('Dvd Calendar'!$Y$1583&lt;=VAL_DATE)=0,"",'Dvd Calendar'!$Y$1583*1000000000+ISNUMBER('Dvd Calendar'!$Y$1586)*100000000+('Dvd Calendar'!$Y$1588=SPECIAL_LBL)*10000000+0*1000000+3*1000+21))</f>
        <v/>
      </c>
      <c r="EZ162" s="35">
        <f>IF(N('Dvd Calendar'!$Z$1583)=0,"",IF(('Dvd Calendar'!$Z$1583&gt;=GRID_FROM)*('Dvd Calendar'!$Z$1583&lt;=GRID_TO)*('Dvd Calendar'!$Z$1583&lt;=VAL_DATE)=0,"",'Dvd Calendar'!$Z$1583*1000000000+ISNUMBER('Dvd Calendar'!$Z$1586)*100000000+('Dvd Calendar'!$Z$1588=SPECIAL_LBL)*10000000+0*1000000+3*1000+22))</f>
        <v/>
      </c>
      <c r="FA162" s="35">
        <f>IF(N('Dvd Calendar'!$AA$1583)=0,"",IF(('Dvd Calendar'!$AA$1583&gt;=GRID_FROM)*('Dvd Calendar'!$AA$1583&lt;=GRID_TO)*('Dvd Calendar'!$AA$1583&lt;=VAL_DATE)=0,"",'Dvd Calendar'!$AA$1583*1000000000+ISNUMBER('Dvd Calendar'!$AA$1586)*100000000+('Dvd Calendar'!$AA$1588=SPECIAL_LBL)*10000000+0*1000000+3*1000+23))</f>
        <v/>
      </c>
      <c r="FB162" s="35">
        <f>IF(N('Dvd Calendar'!$AB$1583)=0,"",IF(('Dvd Calendar'!$AB$1583&gt;=GRID_FROM)*('Dvd Calendar'!$AB$1583&lt;=GRID_TO)*('Dvd Calendar'!$AB$1583&lt;=VAL_DATE)=0,"",'Dvd Calendar'!$AB$1583*1000000000+ISNUMBER('Dvd Calendar'!$AB$1586)*100000000+('Dvd Calendar'!$AB$1588=SPECIAL_LBL)*10000000+0*1000000+3*1000+24))</f>
        <v/>
      </c>
      <c r="FC162" s="35">
        <f>IF(N('Dvd Calendar'!$AC$1583)=0,"",IF(('Dvd Calendar'!$AC$1583&gt;=GRID_FROM)*('Dvd Calendar'!$AC$1583&lt;=GRID_TO)*('Dvd Calendar'!$AC$1583&lt;=VAL_DATE)=0,"",'Dvd Calendar'!$AC$1583*1000000000+ISNUMBER('Dvd Calendar'!$AC$1586)*100000000+('Dvd Calendar'!$AC$1588=SPECIAL_LBL)*10000000+0*1000000+3*1000+25))</f>
        <v/>
      </c>
      <c r="FD162" s="35">
        <f>IF(N('Dvd Calendar'!$AD$1583)=0,"",IF(('Dvd Calendar'!$AD$1583&gt;=GRID_FROM)*('Dvd Calendar'!$AD$1583&lt;=GRID_TO)*('Dvd Calendar'!$AD$1583&lt;=VAL_DATE)=0,"",'Dvd Calendar'!$AD$1583*1000000000+ISNUMBER('Dvd Calendar'!$AD$1586)*100000000+('Dvd Calendar'!$AD$1588=SPECIAL_LBL)*10000000+0*1000000+3*1000+26))</f>
        <v/>
      </c>
      <c r="FE162" s="35">
        <f>IF(N('Dvd Calendar'!$AE$1583)=0,"",IF(('Dvd Calendar'!$AE$1583&gt;=GRID_FROM)*('Dvd Calendar'!$AE$1583&lt;=GRID_TO)*('Dvd Calendar'!$AE$1583&lt;=VAL_DATE)=0,"",'Dvd Calendar'!$AE$1583*1000000000+ISNUMBER('Dvd Calendar'!$AE$1586)*100000000+('Dvd Calendar'!$AE$1588=SPECIAL_LBL)*10000000+0*1000000+3*1000+27))</f>
        <v/>
      </c>
      <c r="FF162" s="35">
        <f>IF(N('Dvd Calendar'!$AF$1583)=0,"",IF(('Dvd Calendar'!$AF$1583&gt;=GRID_FROM)*('Dvd Calendar'!$AF$1583&lt;=GRID_TO)*('Dvd Calendar'!$AF$1583&lt;=VAL_DATE)=0,"",'Dvd Calendar'!$AF$1583*1000000000+ISNUMBER('Dvd Calendar'!$AF$1586)*100000000+('Dvd Calendar'!$AF$1588=SPECIAL_LBL)*10000000+0*1000000+3*1000+28))</f>
        <v/>
      </c>
      <c r="FG162" s="35">
        <f>IF(N('Dvd Calendar'!$AG$1583)=0,"",IF(('Dvd Calendar'!$AG$1583&gt;=GRID_FROM)*('Dvd Calendar'!$AG$1583&lt;=GRID_TO)*('Dvd Calendar'!$AG$1583&lt;=VAL_DATE)=0,"",'Dvd Calendar'!$AG$1583*1000000000+ISNUMBER('Dvd Calendar'!$AG$1586)*100000000+('Dvd Calendar'!$AG$1588=SPECIAL_LBL)*10000000+0*1000000+3*1000+29))</f>
        <v/>
      </c>
      <c r="FH162" s="35">
        <f>IF(N('Dvd Calendar'!$AH$1583)=0,"",IF(('Dvd Calendar'!$AH$1583&gt;=GRID_FROM)*('Dvd Calendar'!$AH$1583&lt;=GRID_TO)*('Dvd Calendar'!$AH$1583&lt;=VAL_DATE)=0,"",'Dvd Calendar'!$AH$1583*1000000000+ISNUMBER('Dvd Calendar'!$AH$1586)*100000000+('Dvd Calendar'!$AH$1588=SPECIAL_LBL)*10000000+0*1000000+3*1000+30))</f>
        <v/>
      </c>
      <c r="FI162" s="35">
        <f>IF(N('Dvd Calendar'!$AI$1583)=0,"",IF(('Dvd Calendar'!$AI$1583&gt;=GRID_FROM)*('Dvd Calendar'!$AI$1583&lt;=GRID_TO)*('Dvd Calendar'!$AI$1583&lt;=VAL_DATE)=0,"",'Dvd Calendar'!$AI$1583*1000000000+ISNUMBER('Dvd Calendar'!$AI$1586)*100000000+('Dvd Calendar'!$AI$1588=SPECIAL_LBL)*10000000+0*1000000+3*1000+31))</f>
        <v/>
      </c>
      <c r="FJ162" s="35">
        <f>IF(N('Dvd Calendar'!$AJ$1583)=0,"",IF(('Dvd Calendar'!$AJ$1583&gt;=GRID_FROM)*('Dvd Calendar'!$AJ$1583&lt;=GRID_TO)*('Dvd Calendar'!$AJ$1583&lt;=VAL_DATE)=0,"",'Dvd Calendar'!$AJ$1583*1000000000+ISNUMBER('Dvd Calendar'!$AJ$1586)*100000000+('Dvd Calendar'!$AJ$1588=SPECIAL_LBL)*10000000+0*1000000+3*1000+32))</f>
        <v/>
      </c>
      <c r="FK162" s="35">
        <f>IF(N('Dvd Calendar'!$AK$1583)=0,"",IF(('Dvd Calendar'!$AK$1583&gt;=GRID_FROM)*('Dvd Calendar'!$AK$1583&lt;=GRID_TO)*('Dvd Calendar'!$AK$1583&lt;=VAL_DATE)=0,"",'Dvd Calendar'!$AK$1583*1000000000+ISNUMBER('Dvd Calendar'!$AK$1586)*100000000+('Dvd Calendar'!$AK$1588=SPECIAL_LBL)*10000000+0*1000000+3*1000+33))</f>
        <v/>
      </c>
      <c r="FL162" s="35">
        <f>IF(N('Dvd Calendar'!$AL$1583)=0,"",IF(('Dvd Calendar'!$AL$1583&gt;=GRID_FROM)*('Dvd Calendar'!$AL$1583&lt;=GRID_TO)*('Dvd Calendar'!$AL$1583&lt;=VAL_DATE)=0,"",'Dvd Calendar'!$AL$1583*1000000000+ISNUMBER('Dvd Calendar'!$AL$1586)*100000000+('Dvd Calendar'!$AL$1588=SPECIAL_LBL)*10000000+0*1000000+3*1000+34))</f>
        <v/>
      </c>
      <c r="FM162" s="35">
        <f>IF(N('Dvd Calendar'!$AM$1583)=0,"",IF(('Dvd Calendar'!$AM$1583&gt;=GRID_FROM)*('Dvd Calendar'!$AM$1583&lt;=GRID_TO)*('Dvd Calendar'!$AM$1583&lt;=VAL_DATE)=0,"",'Dvd Calendar'!$AM$1583*1000000000+ISNUMBER('Dvd Calendar'!$AM$1586)*100000000+('Dvd Calendar'!$AM$1588=SPECIAL_LBL)*10000000+0*1000000+3*1000+35))</f>
        <v/>
      </c>
      <c r="FN162" s="35">
        <f>IF(N('Dvd Calendar'!$AN$1583)=0,"",IF(('Dvd Calendar'!$AN$1583&gt;=GRID_FROM)*('Dvd Calendar'!$AN$1583&lt;=GRID_TO)*('Dvd Calendar'!$AN$1583&lt;=VAL_DATE)=0,"",'Dvd Calendar'!$AN$1583*1000000000+ISNUMBER('Dvd Calendar'!$AN$1586)*100000000+('Dvd Calendar'!$AN$1588=SPECIAL_LBL)*10000000+0*1000000+3*1000+36))</f>
        <v/>
      </c>
      <c r="FO162" s="35">
        <f>IF(N('Dvd Calendar'!$AO$1583)=0,"",IF(('Dvd Calendar'!$AO$1583&gt;=GRID_FROM)*('Dvd Calendar'!$AO$1583&lt;=GRID_TO)*('Dvd Calendar'!$AO$1583&lt;=VAL_DATE)=0,"",'Dvd Calendar'!$AO$1583*1000000000+ISNUMBER('Dvd Calendar'!$AO$1586)*100000000+('Dvd Calendar'!$AO$1588=SPECIAL_LBL)*10000000+0*1000000+3*1000+37))</f>
        <v/>
      </c>
      <c r="FP162" s="35">
        <f>IF(N('Dvd Calendar'!$AP$1583)=0,"",IF(('Dvd Calendar'!$AP$1583&gt;=GRID_FROM)*('Dvd Calendar'!$AP$1583&lt;=GRID_TO)*('Dvd Calendar'!$AP$1583&lt;=VAL_DATE)=0,"",'Dvd Calendar'!$AP$1583*1000000000+ISNUMBER('Dvd Calendar'!$AP$1586)*100000000+('Dvd Calendar'!$AP$1588=SPECIAL_LBL)*10000000+0*1000000+3*1000+38))</f>
        <v/>
      </c>
      <c r="FQ162" s="35">
        <f>IF(N('Dvd Calendar'!$AQ$1583)=0,"",IF(('Dvd Calendar'!$AQ$1583&gt;=GRID_FROM)*('Dvd Calendar'!$AQ$1583&lt;=GRID_TO)*('Dvd Calendar'!$AQ$1583&lt;=VAL_DATE)=0,"",'Dvd Calendar'!$AQ$1583*1000000000+ISNUMBER('Dvd Calendar'!$AQ$1586)*100000000+('Dvd Calendar'!$AQ$1588=SPECIAL_LBL)*10000000+0*1000000+3*1000+39))</f>
        <v/>
      </c>
      <c r="FR162" s="35">
        <f>IF(N('Dvd Calendar'!$AR$1583)=0,"",IF(('Dvd Calendar'!$AR$1583&gt;=GRID_FROM)*('Dvd Calendar'!$AR$1583&lt;=GRID_TO)*('Dvd Calendar'!$AR$1583&lt;=VAL_DATE)=0,"",'Dvd Calendar'!$AR$1583*1000000000+ISNUMBER('Dvd Calendar'!$AR$1586)*100000000+('Dvd Calendar'!$AR$1588=SPECIAL_LBL)*10000000+0*1000000+3*1000+40))</f>
        <v/>
      </c>
      <c r="FS162" s="35">
        <f>IF(N('Dvd Calendar'!$E$1590)=0,"",IF(('Dvd Calendar'!$E$1590&gt;=GRID_FROM)*('Dvd Calendar'!$E$1590&lt;=GRID_TO)*('Dvd Calendar'!$E$1590&gt;VAL_DATE)=0,"",'Dvd Calendar'!$E$1590*1000000000+ISNUMBER('Dvd Calendar'!$E$1591)*100000000+0*10000000+(N('Dvd Calendar'!$E$1589)&gt;0)*(N('Dvd Calendar'!$E$1589)&lt;=VAL_SERIAL)*1000000+3*1000+41))</f>
        <v/>
      </c>
      <c r="FT162" s="35">
        <f>IF(N('Dvd Calendar'!$F$1590)=0,"",IF(('Dvd Calendar'!$F$1590&gt;=GRID_FROM)*('Dvd Calendar'!$F$1590&lt;=GRID_TO)*('Dvd Calendar'!$F$1590&gt;VAL_DATE)=0,"",'Dvd Calendar'!$F$1590*1000000000+ISNUMBER('Dvd Calendar'!$F$1591)*100000000+0*10000000+(N('Dvd Calendar'!$F$1589)&gt;0)*(N('Dvd Calendar'!$F$1589)&lt;=VAL_SERIAL)*1000000+3*1000+42))</f>
        <v/>
      </c>
      <c r="FU162" s="35">
        <f>IF(N('Dvd Calendar'!$G$1590)=0,"",IF(('Dvd Calendar'!$G$1590&gt;=GRID_FROM)*('Dvd Calendar'!$G$1590&lt;=GRID_TO)*('Dvd Calendar'!$G$1590&gt;VAL_DATE)=0,"",'Dvd Calendar'!$G$1590*1000000000+ISNUMBER('Dvd Calendar'!$G$1591)*100000000+0*10000000+(N('Dvd Calendar'!$G$1589)&gt;0)*(N('Dvd Calendar'!$G$1589)&lt;=VAL_SERIAL)*1000000+3*1000+43))</f>
        <v/>
      </c>
      <c r="FV162" s="35">
        <f>IF(N('Dvd Calendar'!$H$1590)=0,"",IF(('Dvd Calendar'!$H$1590&gt;=GRID_FROM)*('Dvd Calendar'!$H$1590&lt;=GRID_TO)*('Dvd Calendar'!$H$1590&gt;VAL_DATE)=0,"",'Dvd Calendar'!$H$1590*1000000000+ISNUMBER('Dvd Calendar'!$H$1591)*100000000+0*10000000+(N('Dvd Calendar'!$H$1589)&gt;0)*(N('Dvd Calendar'!$H$1589)&lt;=VAL_SERIAL)*1000000+3*1000+44))</f>
        <v/>
      </c>
      <c r="FW162" s="35">
        <f>IF(N('Dvd Calendar'!$I$1590)=0,"",IF(('Dvd Calendar'!$I$1590&gt;=GRID_FROM)*('Dvd Calendar'!$I$1590&lt;=GRID_TO)*('Dvd Calendar'!$I$1590&gt;VAL_DATE)=0,"",'Dvd Calendar'!$I$1590*1000000000+ISNUMBER('Dvd Calendar'!$I$1591)*100000000+0*10000000+(N('Dvd Calendar'!$I$1589)&gt;0)*(N('Dvd Calendar'!$I$1589)&lt;=VAL_SERIAL)*1000000+3*1000+45))</f>
        <v/>
      </c>
      <c r="FX162" s="35">
        <f>IF(N('Dvd Calendar'!$J$1590)=0,"",IF(('Dvd Calendar'!$J$1590&gt;=GRID_FROM)*('Dvd Calendar'!$J$1590&lt;=GRID_TO)*('Dvd Calendar'!$J$1590&gt;VAL_DATE)=0,"",'Dvd Calendar'!$J$1590*1000000000+ISNUMBER('Dvd Calendar'!$J$1591)*100000000+0*10000000+(N('Dvd Calendar'!$J$1589)&gt;0)*(N('Dvd Calendar'!$J$1589)&lt;=VAL_SERIAL)*1000000+3*1000+46))</f>
        <v/>
      </c>
      <c r="FY162" s="35">
        <f>IF(N('Dvd Calendar'!$K$1590)=0,"",IF(('Dvd Calendar'!$K$1590&gt;=GRID_FROM)*('Dvd Calendar'!$K$1590&lt;=GRID_TO)*('Dvd Calendar'!$K$1590&gt;VAL_DATE)=0,"",'Dvd Calendar'!$K$1590*1000000000+ISNUMBER('Dvd Calendar'!$K$1591)*100000000+0*10000000+(N('Dvd Calendar'!$K$1589)&gt;0)*(N('Dvd Calendar'!$K$1589)&lt;=VAL_SERIAL)*1000000+3*1000+47))</f>
        <v/>
      </c>
      <c r="FZ162" s="35">
        <f>IF(N('Dvd Calendar'!$L$1590)=0,"",IF(('Dvd Calendar'!$L$1590&gt;=GRID_FROM)*('Dvd Calendar'!$L$1590&lt;=GRID_TO)*('Dvd Calendar'!$L$1590&gt;VAL_DATE)=0,"",'Dvd Calendar'!$L$1590*1000000000+ISNUMBER('Dvd Calendar'!$L$1591)*100000000+0*10000000+(N('Dvd Calendar'!$L$1589)&gt;0)*(N('Dvd Calendar'!$L$1589)&lt;=VAL_SERIAL)*1000000+3*1000+48))</f>
        <v/>
      </c>
      <c r="GA162" s="35">
        <f>IF(N('Dvd Calendar'!$M$1590)=0,"",IF(('Dvd Calendar'!$M$1590&gt;=GRID_FROM)*('Dvd Calendar'!$M$1590&lt;=GRID_TO)*('Dvd Calendar'!$M$1590&gt;VAL_DATE)=0,"",'Dvd Calendar'!$M$1590*1000000000+ISNUMBER('Dvd Calendar'!$M$1591)*100000000+0*10000000+(N('Dvd Calendar'!$M$1589)&gt;0)*(N('Dvd Calendar'!$M$1589)&lt;=VAL_SERIAL)*1000000+3*1000+49))</f>
        <v/>
      </c>
      <c r="GB162" s="35">
        <f>IF(N('Dvd Calendar'!$N$1590)=0,"",IF(('Dvd Calendar'!$N$1590&gt;=GRID_FROM)*('Dvd Calendar'!$N$1590&lt;=GRID_TO)*('Dvd Calendar'!$N$1590&gt;VAL_DATE)=0,"",'Dvd Calendar'!$N$1590*1000000000+ISNUMBER('Dvd Calendar'!$N$1591)*100000000+0*10000000+(N('Dvd Calendar'!$N$1589)&gt;0)*(N('Dvd Calendar'!$N$1589)&lt;=VAL_SERIAL)*1000000+3*1000+50))</f>
        <v/>
      </c>
      <c r="GC162" s="35">
        <f>IF(N('Dvd Calendar'!$O$1590)=0,"",IF(('Dvd Calendar'!$O$1590&gt;=GRID_FROM)*('Dvd Calendar'!$O$1590&lt;=GRID_TO)*('Dvd Calendar'!$O$1590&gt;VAL_DATE)=0,"",'Dvd Calendar'!$O$1590*1000000000+ISNUMBER('Dvd Calendar'!$O$1591)*100000000+0*10000000+(N('Dvd Calendar'!$O$1589)&gt;0)*(N('Dvd Calendar'!$O$1589)&lt;=VAL_SERIAL)*1000000+3*1000+51))</f>
        <v/>
      </c>
      <c r="GD162" s="35">
        <f>IF(N('Dvd Calendar'!$P$1590)=0,"",IF(('Dvd Calendar'!$P$1590&gt;=GRID_FROM)*('Dvd Calendar'!$P$1590&lt;=GRID_TO)*('Dvd Calendar'!$P$1590&gt;VAL_DATE)=0,"",'Dvd Calendar'!$P$1590*1000000000+ISNUMBER('Dvd Calendar'!$P$1591)*100000000+0*10000000+(N('Dvd Calendar'!$P$1589)&gt;0)*(N('Dvd Calendar'!$P$1589)&lt;=VAL_SERIAL)*1000000+3*1000+52))</f>
        <v/>
      </c>
      <c r="GE162" s="35">
        <f>IF(N('Dvd Calendar'!$Q$1590)=0,"",IF(('Dvd Calendar'!$Q$1590&gt;=GRID_FROM)*('Dvd Calendar'!$Q$1590&lt;=GRID_TO)*('Dvd Calendar'!$Q$1590&gt;VAL_DATE)=0,"",'Dvd Calendar'!$Q$1590*1000000000+ISNUMBER('Dvd Calendar'!$Q$1591)*100000000+0*10000000+(N('Dvd Calendar'!$Q$1589)&gt;0)*(N('Dvd Calendar'!$Q$1589)&lt;=VAL_SERIAL)*1000000+3*1000+53))</f>
        <v/>
      </c>
      <c r="GF162" s="35">
        <f>IF(N('Dvd Calendar'!$R$1590)=0,"",IF(('Dvd Calendar'!$R$1590&gt;=GRID_FROM)*('Dvd Calendar'!$R$1590&lt;=GRID_TO)*('Dvd Calendar'!$R$1590&gt;VAL_DATE)=0,"",'Dvd Calendar'!$R$1590*1000000000+ISNUMBER('Dvd Calendar'!$R$1591)*100000000+0*10000000+(N('Dvd Calendar'!$R$1589)&gt;0)*(N('Dvd Calendar'!$R$1589)&lt;=VAL_SERIAL)*1000000+3*1000+54))</f>
        <v/>
      </c>
      <c r="GG162" s="35">
        <f>IF(N('Dvd Calendar'!$S$1590)=0,"",IF(('Dvd Calendar'!$S$1590&gt;=GRID_FROM)*('Dvd Calendar'!$S$1590&lt;=GRID_TO)*('Dvd Calendar'!$S$1590&gt;VAL_DATE)=0,"",'Dvd Calendar'!$S$1590*1000000000+ISNUMBER('Dvd Calendar'!$S$1591)*100000000+0*10000000+(N('Dvd Calendar'!$S$1589)&gt;0)*(N('Dvd Calendar'!$S$1589)&lt;=VAL_SERIAL)*1000000+3*1000+55))</f>
        <v/>
      </c>
      <c r="GH162" s="35">
        <f>IF(N('Dvd Calendar'!$T$1590)=0,"",IF(('Dvd Calendar'!$T$1590&gt;=GRID_FROM)*('Dvd Calendar'!$T$1590&lt;=GRID_TO)*('Dvd Calendar'!$T$1590&gt;VAL_DATE)=0,"",'Dvd Calendar'!$T$1590*1000000000+ISNUMBER('Dvd Calendar'!$T$1591)*100000000+0*10000000+(N('Dvd Calendar'!$T$1589)&gt;0)*(N('Dvd Calendar'!$T$1589)&lt;=VAL_SERIAL)*1000000+3*1000+56))</f>
        <v/>
      </c>
      <c r="GI162" s="35">
        <f>IF(N('Dvd Calendar'!$U$1590)=0,"",IF(('Dvd Calendar'!$U$1590&gt;=GRID_FROM)*('Dvd Calendar'!$U$1590&lt;=GRID_TO)*('Dvd Calendar'!$U$1590&gt;VAL_DATE)=0,"",'Dvd Calendar'!$U$1590*1000000000+ISNUMBER('Dvd Calendar'!$U$1591)*100000000+0*10000000+(N('Dvd Calendar'!$U$1589)&gt;0)*(N('Dvd Calendar'!$U$1589)&lt;=VAL_SERIAL)*1000000+3*1000+57))</f>
        <v/>
      </c>
      <c r="GJ162" s="35">
        <f>IF(N('Dvd Calendar'!$V$1590)=0,"",IF(('Dvd Calendar'!$V$1590&gt;=GRID_FROM)*('Dvd Calendar'!$V$1590&lt;=GRID_TO)*('Dvd Calendar'!$V$1590&gt;VAL_DATE)=0,"",'Dvd Calendar'!$V$1590*1000000000+ISNUMBER('Dvd Calendar'!$V$1591)*100000000+0*10000000+(N('Dvd Calendar'!$V$1589)&gt;0)*(N('Dvd Calendar'!$V$1589)&lt;=VAL_SERIAL)*1000000+3*1000+58))</f>
        <v/>
      </c>
      <c r="GK162" s="35">
        <f>IF(N('Dvd Calendar'!$W$1590)=0,"",IF(('Dvd Calendar'!$W$1590&gt;=GRID_FROM)*('Dvd Calendar'!$W$1590&lt;=GRID_TO)*('Dvd Calendar'!$W$1590&gt;VAL_DATE)=0,"",'Dvd Calendar'!$W$1590*1000000000+ISNUMBER('Dvd Calendar'!$W$1591)*100000000+0*10000000+(N('Dvd Calendar'!$W$1589)&gt;0)*(N('Dvd Calendar'!$W$1589)&lt;=VAL_SERIAL)*1000000+3*1000+59))</f>
        <v/>
      </c>
      <c r="GL162" s="35">
        <f>IF(N('Dvd Calendar'!$X$1590)=0,"",IF(('Dvd Calendar'!$X$1590&gt;=GRID_FROM)*('Dvd Calendar'!$X$1590&lt;=GRID_TO)*('Dvd Calendar'!$X$1590&gt;VAL_DATE)=0,"",'Dvd Calendar'!$X$1590*1000000000+ISNUMBER('Dvd Calendar'!$X$1591)*100000000+0*10000000+(N('Dvd Calendar'!$X$1589)&gt;0)*(N('Dvd Calendar'!$X$1589)&lt;=VAL_SERIAL)*1000000+3*1000+60))</f>
        <v/>
      </c>
      <c r="GM162" s="35">
        <f>IF(N('Dvd Calendar'!$Y$1590)=0,"",IF(('Dvd Calendar'!$Y$1590&gt;=GRID_FROM)*('Dvd Calendar'!$Y$1590&lt;=GRID_TO)*('Dvd Calendar'!$Y$1590&gt;VAL_DATE)=0,"",'Dvd Calendar'!$Y$1590*1000000000+ISNUMBER('Dvd Calendar'!$Y$1591)*100000000+0*10000000+(N('Dvd Calendar'!$Y$1589)&gt;0)*(N('Dvd Calendar'!$Y$1589)&lt;=VAL_SERIAL)*1000000+3*1000+61))</f>
        <v/>
      </c>
      <c r="GN162" s="35">
        <f>IF(N('Dvd Calendar'!$Z$1590)=0,"",IF(('Dvd Calendar'!$Z$1590&gt;=GRID_FROM)*('Dvd Calendar'!$Z$1590&lt;=GRID_TO)*('Dvd Calendar'!$Z$1590&gt;VAL_DATE)=0,"",'Dvd Calendar'!$Z$1590*1000000000+ISNUMBER('Dvd Calendar'!$Z$1591)*100000000+0*10000000+(N('Dvd Calendar'!$Z$1589)&gt;0)*(N('Dvd Calendar'!$Z$1589)&lt;=VAL_SERIAL)*1000000+3*1000+62))</f>
        <v/>
      </c>
      <c r="GO162" s="35">
        <f>IF(N('Dvd Calendar'!$AA$1590)=0,"",IF(('Dvd Calendar'!$AA$1590&gt;=GRID_FROM)*('Dvd Calendar'!$AA$1590&lt;=GRID_TO)*('Dvd Calendar'!$AA$1590&gt;VAL_DATE)=0,"",'Dvd Calendar'!$AA$1590*1000000000+ISNUMBER('Dvd Calendar'!$AA$1591)*100000000+0*10000000+(N('Dvd Calendar'!$AA$1589)&gt;0)*(N('Dvd Calendar'!$AA$1589)&lt;=VAL_SERIAL)*1000000+3*1000+63))</f>
        <v/>
      </c>
      <c r="GP162" s="35">
        <f>IF(N('Dvd Calendar'!$AB$1590)=0,"",IF(('Dvd Calendar'!$AB$1590&gt;=GRID_FROM)*('Dvd Calendar'!$AB$1590&lt;=GRID_TO)*('Dvd Calendar'!$AB$1590&gt;VAL_DATE)=0,"",'Dvd Calendar'!$AB$1590*1000000000+ISNUMBER('Dvd Calendar'!$AB$1591)*100000000+0*10000000+(N('Dvd Calendar'!$AB$1589)&gt;0)*(N('Dvd Calendar'!$AB$1589)&lt;=VAL_SERIAL)*1000000+3*1000+64))</f>
        <v/>
      </c>
      <c r="GQ162" s="35">
        <f>IF(N('Dvd Calendar'!$AC$1590)=0,"",IF(('Dvd Calendar'!$AC$1590&gt;=GRID_FROM)*('Dvd Calendar'!$AC$1590&lt;=GRID_TO)*('Dvd Calendar'!$AC$1590&gt;VAL_DATE)=0,"",'Dvd Calendar'!$AC$1590*1000000000+ISNUMBER('Dvd Calendar'!$AC$1591)*100000000+0*10000000+(N('Dvd Calendar'!$AC$1589)&gt;0)*(N('Dvd Calendar'!$AC$1589)&lt;=VAL_SERIAL)*1000000+3*1000+65))</f>
        <v/>
      </c>
    </row>
    <row r="163">
      <c r="B163" s="2">
        <f>IF(HSCEI!$C$10="","",HSCEI!$C$10)</f>
        <v/>
      </c>
      <c r="C163" s="106">
        <f>IF(EE163="","",IF(ISNUMBER('Dvd Calendar'!$E$1597)=FALSE,"",IF((('Dvd Calendar'!$E$1599=TYPE1)*(TYPE1&lt;&gt;"")+('Dvd Calendar'!$E$1599=TYPE2)*(TYPE2&lt;&gt;"")+('Dvd Calendar'!$E$1599=TYPE3)*(TYPE3&lt;&gt;"")+('Dvd Calendar'!$E$1599=TYPE4)*(TYPE4&lt;&gt;"")+('Dvd Calendar'!$E$1599=SPECIAL_LBL)*(INC_SPECIALS="Y"))=0,"",'Dvd Calendar'!$E$1597)))</f>
        <v/>
      </c>
      <c r="D163" s="106">
        <f>IF(EF163="","",IF(ISNUMBER('Dvd Calendar'!$F$1597)=FALSE,"",IF((('Dvd Calendar'!$F$1599=TYPE1)*(TYPE1&lt;&gt;"")+('Dvd Calendar'!$F$1599=TYPE2)*(TYPE2&lt;&gt;"")+('Dvd Calendar'!$F$1599=TYPE3)*(TYPE3&lt;&gt;"")+('Dvd Calendar'!$F$1599=TYPE4)*(TYPE4&lt;&gt;"")+('Dvd Calendar'!$F$1599=SPECIAL_LBL)*(INC_SPECIALS="Y"))=0,"",'Dvd Calendar'!$F$1597)))</f>
        <v/>
      </c>
      <c r="E163" s="106">
        <f>IF(EG163="","",IF(ISNUMBER('Dvd Calendar'!$G$1597)=FALSE,"",IF((('Dvd Calendar'!$G$1599=TYPE1)*(TYPE1&lt;&gt;"")+('Dvd Calendar'!$G$1599=TYPE2)*(TYPE2&lt;&gt;"")+('Dvd Calendar'!$G$1599=TYPE3)*(TYPE3&lt;&gt;"")+('Dvd Calendar'!$G$1599=TYPE4)*(TYPE4&lt;&gt;"")+('Dvd Calendar'!$G$1599=SPECIAL_LBL)*(INC_SPECIALS="Y"))=0,"",'Dvd Calendar'!$G$1597)))</f>
        <v/>
      </c>
      <c r="F163" s="106">
        <f>IF(EH163="","",IF(ISNUMBER('Dvd Calendar'!$H$1597)=FALSE,"",IF((('Dvd Calendar'!$H$1599=TYPE1)*(TYPE1&lt;&gt;"")+('Dvd Calendar'!$H$1599=TYPE2)*(TYPE2&lt;&gt;"")+('Dvd Calendar'!$H$1599=TYPE3)*(TYPE3&lt;&gt;"")+('Dvd Calendar'!$H$1599=TYPE4)*(TYPE4&lt;&gt;"")+('Dvd Calendar'!$H$1599=SPECIAL_LBL)*(INC_SPECIALS="Y"))=0,"",'Dvd Calendar'!$H$1597)))</f>
        <v/>
      </c>
      <c r="G163" s="106">
        <f>IF(EI163="","",IF(ISNUMBER('Dvd Calendar'!$I$1597)=FALSE,"",IF((('Dvd Calendar'!$I$1599=TYPE1)*(TYPE1&lt;&gt;"")+('Dvd Calendar'!$I$1599=TYPE2)*(TYPE2&lt;&gt;"")+('Dvd Calendar'!$I$1599=TYPE3)*(TYPE3&lt;&gt;"")+('Dvd Calendar'!$I$1599=TYPE4)*(TYPE4&lt;&gt;"")+('Dvd Calendar'!$I$1599=SPECIAL_LBL)*(INC_SPECIALS="Y"))=0,"",'Dvd Calendar'!$I$1597)))</f>
        <v/>
      </c>
      <c r="H163" s="106">
        <f>IF(EJ163="","",IF(ISNUMBER('Dvd Calendar'!$J$1597)=FALSE,"",IF((('Dvd Calendar'!$J$1599=TYPE1)*(TYPE1&lt;&gt;"")+('Dvd Calendar'!$J$1599=TYPE2)*(TYPE2&lt;&gt;"")+('Dvd Calendar'!$J$1599=TYPE3)*(TYPE3&lt;&gt;"")+('Dvd Calendar'!$J$1599=TYPE4)*(TYPE4&lt;&gt;"")+('Dvd Calendar'!$J$1599=SPECIAL_LBL)*(INC_SPECIALS="Y"))=0,"",'Dvd Calendar'!$J$1597)))</f>
        <v/>
      </c>
      <c r="I163" s="106">
        <f>IF(EK163="","",IF(ISNUMBER('Dvd Calendar'!$K$1597)=FALSE,"",IF((('Dvd Calendar'!$K$1599=TYPE1)*(TYPE1&lt;&gt;"")+('Dvd Calendar'!$K$1599=TYPE2)*(TYPE2&lt;&gt;"")+('Dvd Calendar'!$K$1599=TYPE3)*(TYPE3&lt;&gt;"")+('Dvd Calendar'!$K$1599=TYPE4)*(TYPE4&lt;&gt;"")+('Dvd Calendar'!$K$1599=SPECIAL_LBL)*(INC_SPECIALS="Y"))=0,"",'Dvd Calendar'!$K$1597)))</f>
        <v/>
      </c>
      <c r="J163" s="106">
        <f>IF(EL163="","",IF(ISNUMBER('Dvd Calendar'!$L$1597)=FALSE,"",IF((('Dvd Calendar'!$L$1599=TYPE1)*(TYPE1&lt;&gt;"")+('Dvd Calendar'!$L$1599=TYPE2)*(TYPE2&lt;&gt;"")+('Dvd Calendar'!$L$1599=TYPE3)*(TYPE3&lt;&gt;"")+('Dvd Calendar'!$L$1599=TYPE4)*(TYPE4&lt;&gt;"")+('Dvd Calendar'!$L$1599=SPECIAL_LBL)*(INC_SPECIALS="Y"))=0,"",'Dvd Calendar'!$L$1597)))</f>
        <v/>
      </c>
      <c r="K163" s="106">
        <f>IF(EM163="","",IF(ISNUMBER('Dvd Calendar'!$M$1597)=FALSE,"",IF((('Dvd Calendar'!$M$1599=TYPE1)*(TYPE1&lt;&gt;"")+('Dvd Calendar'!$M$1599=TYPE2)*(TYPE2&lt;&gt;"")+('Dvd Calendar'!$M$1599=TYPE3)*(TYPE3&lt;&gt;"")+('Dvd Calendar'!$M$1599=TYPE4)*(TYPE4&lt;&gt;"")+('Dvd Calendar'!$M$1599=SPECIAL_LBL)*(INC_SPECIALS="Y"))=0,"",'Dvd Calendar'!$M$1597)))</f>
        <v/>
      </c>
      <c r="L163" s="106">
        <f>IF(EN163="","",IF(ISNUMBER('Dvd Calendar'!$N$1597)=FALSE,"",IF((('Dvd Calendar'!$N$1599=TYPE1)*(TYPE1&lt;&gt;"")+('Dvd Calendar'!$N$1599=TYPE2)*(TYPE2&lt;&gt;"")+('Dvd Calendar'!$N$1599=TYPE3)*(TYPE3&lt;&gt;"")+('Dvd Calendar'!$N$1599=TYPE4)*(TYPE4&lt;&gt;"")+('Dvd Calendar'!$N$1599=SPECIAL_LBL)*(INC_SPECIALS="Y"))=0,"",'Dvd Calendar'!$N$1597)))</f>
        <v/>
      </c>
      <c r="M163" s="106">
        <f>IF(EO163="","",IF(ISNUMBER('Dvd Calendar'!$O$1597)=FALSE,"",IF((('Dvd Calendar'!$O$1599=TYPE1)*(TYPE1&lt;&gt;"")+('Dvd Calendar'!$O$1599=TYPE2)*(TYPE2&lt;&gt;"")+('Dvd Calendar'!$O$1599=TYPE3)*(TYPE3&lt;&gt;"")+('Dvd Calendar'!$O$1599=TYPE4)*(TYPE4&lt;&gt;"")+('Dvd Calendar'!$O$1599=SPECIAL_LBL)*(INC_SPECIALS="Y"))=0,"",'Dvd Calendar'!$O$1597)))</f>
        <v/>
      </c>
      <c r="N163" s="106">
        <f>IF(EP163="","",IF(ISNUMBER('Dvd Calendar'!$P$1597)=FALSE,"",IF((('Dvd Calendar'!$P$1599=TYPE1)*(TYPE1&lt;&gt;"")+('Dvd Calendar'!$P$1599=TYPE2)*(TYPE2&lt;&gt;"")+('Dvd Calendar'!$P$1599=TYPE3)*(TYPE3&lt;&gt;"")+('Dvd Calendar'!$P$1599=TYPE4)*(TYPE4&lt;&gt;"")+('Dvd Calendar'!$P$1599=SPECIAL_LBL)*(INC_SPECIALS="Y"))=0,"",'Dvd Calendar'!$P$1597)))</f>
        <v/>
      </c>
      <c r="O163" s="106">
        <f>IF(EQ163="","",IF(ISNUMBER('Dvd Calendar'!$Q$1597)=FALSE,"",IF((('Dvd Calendar'!$Q$1599=TYPE1)*(TYPE1&lt;&gt;"")+('Dvd Calendar'!$Q$1599=TYPE2)*(TYPE2&lt;&gt;"")+('Dvd Calendar'!$Q$1599=TYPE3)*(TYPE3&lt;&gt;"")+('Dvd Calendar'!$Q$1599=TYPE4)*(TYPE4&lt;&gt;"")+('Dvd Calendar'!$Q$1599=SPECIAL_LBL)*(INC_SPECIALS="Y"))=0,"",'Dvd Calendar'!$Q$1597)))</f>
        <v/>
      </c>
      <c r="P163" s="106">
        <f>IF(ER163="","",IF(ISNUMBER('Dvd Calendar'!$R$1597)=FALSE,"",IF((('Dvd Calendar'!$R$1599=TYPE1)*(TYPE1&lt;&gt;"")+('Dvd Calendar'!$R$1599=TYPE2)*(TYPE2&lt;&gt;"")+('Dvd Calendar'!$R$1599=TYPE3)*(TYPE3&lt;&gt;"")+('Dvd Calendar'!$R$1599=TYPE4)*(TYPE4&lt;&gt;"")+('Dvd Calendar'!$R$1599=SPECIAL_LBL)*(INC_SPECIALS="Y"))=0,"",'Dvd Calendar'!$R$1597)))</f>
        <v/>
      </c>
      <c r="Q163" s="106">
        <f>IF(ES163="","",IF(ISNUMBER('Dvd Calendar'!$S$1597)=FALSE,"",IF((('Dvd Calendar'!$S$1599=TYPE1)*(TYPE1&lt;&gt;"")+('Dvd Calendar'!$S$1599=TYPE2)*(TYPE2&lt;&gt;"")+('Dvd Calendar'!$S$1599=TYPE3)*(TYPE3&lt;&gt;"")+('Dvd Calendar'!$S$1599=TYPE4)*(TYPE4&lt;&gt;"")+('Dvd Calendar'!$S$1599=SPECIAL_LBL)*(INC_SPECIALS="Y"))=0,"",'Dvd Calendar'!$S$1597)))</f>
        <v/>
      </c>
      <c r="R163" s="106">
        <f>IF(ET163="","",IF(ISNUMBER('Dvd Calendar'!$T$1597)=FALSE,"",IF((('Dvd Calendar'!$T$1599=TYPE1)*(TYPE1&lt;&gt;"")+('Dvd Calendar'!$T$1599=TYPE2)*(TYPE2&lt;&gt;"")+('Dvd Calendar'!$T$1599=TYPE3)*(TYPE3&lt;&gt;"")+('Dvd Calendar'!$T$1599=TYPE4)*(TYPE4&lt;&gt;"")+('Dvd Calendar'!$T$1599=SPECIAL_LBL)*(INC_SPECIALS="Y"))=0,"",'Dvd Calendar'!$T$1597)))</f>
        <v/>
      </c>
      <c r="S163" s="106">
        <f>IF(EU163="","",IF(ISNUMBER('Dvd Calendar'!$U$1597)=FALSE,"",IF((('Dvd Calendar'!$U$1599=TYPE1)*(TYPE1&lt;&gt;"")+('Dvd Calendar'!$U$1599=TYPE2)*(TYPE2&lt;&gt;"")+('Dvd Calendar'!$U$1599=TYPE3)*(TYPE3&lt;&gt;"")+('Dvd Calendar'!$U$1599=TYPE4)*(TYPE4&lt;&gt;"")+('Dvd Calendar'!$U$1599=SPECIAL_LBL)*(INC_SPECIALS="Y"))=0,"",'Dvd Calendar'!$U$1597)))</f>
        <v/>
      </c>
      <c r="T163" s="106">
        <f>IF(EV163="","",IF(ISNUMBER('Dvd Calendar'!$V$1597)=FALSE,"",IF((('Dvd Calendar'!$V$1599=TYPE1)*(TYPE1&lt;&gt;"")+('Dvd Calendar'!$V$1599=TYPE2)*(TYPE2&lt;&gt;"")+('Dvd Calendar'!$V$1599=TYPE3)*(TYPE3&lt;&gt;"")+('Dvd Calendar'!$V$1599=TYPE4)*(TYPE4&lt;&gt;"")+('Dvd Calendar'!$V$1599=SPECIAL_LBL)*(INC_SPECIALS="Y"))=0,"",'Dvd Calendar'!$V$1597)))</f>
        <v/>
      </c>
      <c r="U163" s="106">
        <f>IF(EW163="","",IF(ISNUMBER('Dvd Calendar'!$W$1597)=FALSE,"",IF((('Dvd Calendar'!$W$1599=TYPE1)*(TYPE1&lt;&gt;"")+('Dvd Calendar'!$W$1599=TYPE2)*(TYPE2&lt;&gt;"")+('Dvd Calendar'!$W$1599=TYPE3)*(TYPE3&lt;&gt;"")+('Dvd Calendar'!$W$1599=TYPE4)*(TYPE4&lt;&gt;"")+('Dvd Calendar'!$W$1599=SPECIAL_LBL)*(INC_SPECIALS="Y"))=0,"",'Dvd Calendar'!$W$1597)))</f>
        <v/>
      </c>
      <c r="V163" s="106">
        <f>IF(EX163="","",IF(ISNUMBER('Dvd Calendar'!$X$1597)=FALSE,"",IF((('Dvd Calendar'!$X$1599=TYPE1)*(TYPE1&lt;&gt;"")+('Dvd Calendar'!$X$1599=TYPE2)*(TYPE2&lt;&gt;"")+('Dvd Calendar'!$X$1599=TYPE3)*(TYPE3&lt;&gt;"")+('Dvd Calendar'!$X$1599=TYPE4)*(TYPE4&lt;&gt;"")+('Dvd Calendar'!$X$1599=SPECIAL_LBL)*(INC_SPECIALS="Y"))=0,"",'Dvd Calendar'!$X$1597)))</f>
        <v/>
      </c>
      <c r="W163" s="106">
        <f>IF(EY163="","",IF(ISNUMBER('Dvd Calendar'!$Y$1597)=FALSE,"",IF((('Dvd Calendar'!$Y$1599=TYPE1)*(TYPE1&lt;&gt;"")+('Dvd Calendar'!$Y$1599=TYPE2)*(TYPE2&lt;&gt;"")+('Dvd Calendar'!$Y$1599=TYPE3)*(TYPE3&lt;&gt;"")+('Dvd Calendar'!$Y$1599=TYPE4)*(TYPE4&lt;&gt;"")+('Dvd Calendar'!$Y$1599=SPECIAL_LBL)*(INC_SPECIALS="Y"))=0,"",'Dvd Calendar'!$Y$1597)))</f>
        <v/>
      </c>
      <c r="X163" s="106">
        <f>IF(EZ163="","",IF(ISNUMBER('Dvd Calendar'!$Z$1597)=FALSE,"",IF((('Dvd Calendar'!$Z$1599=TYPE1)*(TYPE1&lt;&gt;"")+('Dvd Calendar'!$Z$1599=TYPE2)*(TYPE2&lt;&gt;"")+('Dvd Calendar'!$Z$1599=TYPE3)*(TYPE3&lt;&gt;"")+('Dvd Calendar'!$Z$1599=TYPE4)*(TYPE4&lt;&gt;"")+('Dvd Calendar'!$Z$1599=SPECIAL_LBL)*(INC_SPECIALS="Y"))=0,"",'Dvd Calendar'!$Z$1597)))</f>
        <v/>
      </c>
      <c r="Y163" s="106">
        <f>IF(FA163="","",IF(ISNUMBER('Dvd Calendar'!$AA$1597)=FALSE,"",IF((('Dvd Calendar'!$AA$1599=TYPE1)*(TYPE1&lt;&gt;"")+('Dvd Calendar'!$AA$1599=TYPE2)*(TYPE2&lt;&gt;"")+('Dvd Calendar'!$AA$1599=TYPE3)*(TYPE3&lt;&gt;"")+('Dvd Calendar'!$AA$1599=TYPE4)*(TYPE4&lt;&gt;"")+('Dvd Calendar'!$AA$1599=SPECIAL_LBL)*(INC_SPECIALS="Y"))=0,"",'Dvd Calendar'!$AA$1597)))</f>
        <v/>
      </c>
      <c r="Z163" s="106">
        <f>IF(FB163="","",IF(ISNUMBER('Dvd Calendar'!$AB$1597)=FALSE,"",IF((('Dvd Calendar'!$AB$1599=TYPE1)*(TYPE1&lt;&gt;"")+('Dvd Calendar'!$AB$1599=TYPE2)*(TYPE2&lt;&gt;"")+('Dvd Calendar'!$AB$1599=TYPE3)*(TYPE3&lt;&gt;"")+('Dvd Calendar'!$AB$1599=TYPE4)*(TYPE4&lt;&gt;"")+('Dvd Calendar'!$AB$1599=SPECIAL_LBL)*(INC_SPECIALS="Y"))=0,"",'Dvd Calendar'!$AB$1597)))</f>
        <v/>
      </c>
      <c r="AA163" s="106">
        <f>IF(FC163="","",IF(ISNUMBER('Dvd Calendar'!$AC$1597)=FALSE,"",IF((('Dvd Calendar'!$AC$1599=TYPE1)*(TYPE1&lt;&gt;"")+('Dvd Calendar'!$AC$1599=TYPE2)*(TYPE2&lt;&gt;"")+('Dvd Calendar'!$AC$1599=TYPE3)*(TYPE3&lt;&gt;"")+('Dvd Calendar'!$AC$1599=TYPE4)*(TYPE4&lt;&gt;"")+('Dvd Calendar'!$AC$1599=SPECIAL_LBL)*(INC_SPECIALS="Y"))=0,"",'Dvd Calendar'!$AC$1597)))</f>
        <v/>
      </c>
      <c r="AB163" s="106">
        <f>IF(FD163="","",IF(ISNUMBER('Dvd Calendar'!$AD$1597)=FALSE,"",IF((('Dvd Calendar'!$AD$1599=TYPE1)*(TYPE1&lt;&gt;"")+('Dvd Calendar'!$AD$1599=TYPE2)*(TYPE2&lt;&gt;"")+('Dvd Calendar'!$AD$1599=TYPE3)*(TYPE3&lt;&gt;"")+('Dvd Calendar'!$AD$1599=TYPE4)*(TYPE4&lt;&gt;"")+('Dvd Calendar'!$AD$1599=SPECIAL_LBL)*(INC_SPECIALS="Y"))=0,"",'Dvd Calendar'!$AD$1597)))</f>
        <v/>
      </c>
      <c r="AC163" s="106">
        <f>IF(FE163="","",IF(ISNUMBER('Dvd Calendar'!$AE$1597)=FALSE,"",IF((('Dvd Calendar'!$AE$1599=TYPE1)*(TYPE1&lt;&gt;"")+('Dvd Calendar'!$AE$1599=TYPE2)*(TYPE2&lt;&gt;"")+('Dvd Calendar'!$AE$1599=TYPE3)*(TYPE3&lt;&gt;"")+('Dvd Calendar'!$AE$1599=TYPE4)*(TYPE4&lt;&gt;"")+('Dvd Calendar'!$AE$1599=SPECIAL_LBL)*(INC_SPECIALS="Y"))=0,"",'Dvd Calendar'!$AE$1597)))</f>
        <v/>
      </c>
      <c r="AD163" s="106">
        <f>IF(FF163="","",IF(ISNUMBER('Dvd Calendar'!$AF$1597)=FALSE,"",IF((('Dvd Calendar'!$AF$1599=TYPE1)*(TYPE1&lt;&gt;"")+('Dvd Calendar'!$AF$1599=TYPE2)*(TYPE2&lt;&gt;"")+('Dvd Calendar'!$AF$1599=TYPE3)*(TYPE3&lt;&gt;"")+('Dvd Calendar'!$AF$1599=TYPE4)*(TYPE4&lt;&gt;"")+('Dvd Calendar'!$AF$1599=SPECIAL_LBL)*(INC_SPECIALS="Y"))=0,"",'Dvd Calendar'!$AF$1597)))</f>
        <v/>
      </c>
      <c r="AE163" s="106">
        <f>IF(FG163="","",IF(ISNUMBER('Dvd Calendar'!$AG$1597)=FALSE,"",IF((('Dvd Calendar'!$AG$1599=TYPE1)*(TYPE1&lt;&gt;"")+('Dvd Calendar'!$AG$1599=TYPE2)*(TYPE2&lt;&gt;"")+('Dvd Calendar'!$AG$1599=TYPE3)*(TYPE3&lt;&gt;"")+('Dvd Calendar'!$AG$1599=TYPE4)*(TYPE4&lt;&gt;"")+('Dvd Calendar'!$AG$1599=SPECIAL_LBL)*(INC_SPECIALS="Y"))=0,"",'Dvd Calendar'!$AG$1597)))</f>
        <v/>
      </c>
      <c r="AF163" s="106">
        <f>IF(FH163="","",IF(ISNUMBER('Dvd Calendar'!$AH$1597)=FALSE,"",IF((('Dvd Calendar'!$AH$1599=TYPE1)*(TYPE1&lt;&gt;"")+('Dvd Calendar'!$AH$1599=TYPE2)*(TYPE2&lt;&gt;"")+('Dvd Calendar'!$AH$1599=TYPE3)*(TYPE3&lt;&gt;"")+('Dvd Calendar'!$AH$1599=TYPE4)*(TYPE4&lt;&gt;"")+('Dvd Calendar'!$AH$1599=SPECIAL_LBL)*(INC_SPECIALS="Y"))=0,"",'Dvd Calendar'!$AH$1597)))</f>
        <v/>
      </c>
      <c r="AG163" s="106">
        <f>IF(FI163="","",IF(ISNUMBER('Dvd Calendar'!$AI$1597)=FALSE,"",IF((('Dvd Calendar'!$AI$1599=TYPE1)*(TYPE1&lt;&gt;"")+('Dvd Calendar'!$AI$1599=TYPE2)*(TYPE2&lt;&gt;"")+('Dvd Calendar'!$AI$1599=TYPE3)*(TYPE3&lt;&gt;"")+('Dvd Calendar'!$AI$1599=TYPE4)*(TYPE4&lt;&gt;"")+('Dvd Calendar'!$AI$1599=SPECIAL_LBL)*(INC_SPECIALS="Y"))=0,"",'Dvd Calendar'!$AI$1597)))</f>
        <v/>
      </c>
      <c r="AH163" s="106">
        <f>IF(FJ163="","",IF(ISNUMBER('Dvd Calendar'!$AJ$1597)=FALSE,"",IF((('Dvd Calendar'!$AJ$1599=TYPE1)*(TYPE1&lt;&gt;"")+('Dvd Calendar'!$AJ$1599=TYPE2)*(TYPE2&lt;&gt;"")+('Dvd Calendar'!$AJ$1599=TYPE3)*(TYPE3&lt;&gt;"")+('Dvd Calendar'!$AJ$1599=TYPE4)*(TYPE4&lt;&gt;"")+('Dvd Calendar'!$AJ$1599=SPECIAL_LBL)*(INC_SPECIALS="Y"))=0,"",'Dvd Calendar'!$AJ$1597)))</f>
        <v/>
      </c>
      <c r="AI163" s="106">
        <f>IF(FK163="","",IF(ISNUMBER('Dvd Calendar'!$AK$1597)=FALSE,"",IF((('Dvd Calendar'!$AK$1599=TYPE1)*(TYPE1&lt;&gt;"")+('Dvd Calendar'!$AK$1599=TYPE2)*(TYPE2&lt;&gt;"")+('Dvd Calendar'!$AK$1599=TYPE3)*(TYPE3&lt;&gt;"")+('Dvd Calendar'!$AK$1599=TYPE4)*(TYPE4&lt;&gt;"")+('Dvd Calendar'!$AK$1599=SPECIAL_LBL)*(INC_SPECIALS="Y"))=0,"",'Dvd Calendar'!$AK$1597)))</f>
        <v/>
      </c>
      <c r="AJ163" s="106">
        <f>IF(FL163="","",IF(ISNUMBER('Dvd Calendar'!$AL$1597)=FALSE,"",IF((('Dvd Calendar'!$AL$1599=TYPE1)*(TYPE1&lt;&gt;"")+('Dvd Calendar'!$AL$1599=TYPE2)*(TYPE2&lt;&gt;"")+('Dvd Calendar'!$AL$1599=TYPE3)*(TYPE3&lt;&gt;"")+('Dvd Calendar'!$AL$1599=TYPE4)*(TYPE4&lt;&gt;"")+('Dvd Calendar'!$AL$1599=SPECIAL_LBL)*(INC_SPECIALS="Y"))=0,"",'Dvd Calendar'!$AL$1597)))</f>
        <v/>
      </c>
      <c r="AK163" s="106">
        <f>IF(FM163="","",IF(ISNUMBER('Dvd Calendar'!$AM$1597)=FALSE,"",IF((('Dvd Calendar'!$AM$1599=TYPE1)*(TYPE1&lt;&gt;"")+('Dvd Calendar'!$AM$1599=TYPE2)*(TYPE2&lt;&gt;"")+('Dvd Calendar'!$AM$1599=TYPE3)*(TYPE3&lt;&gt;"")+('Dvd Calendar'!$AM$1599=TYPE4)*(TYPE4&lt;&gt;"")+('Dvd Calendar'!$AM$1599=SPECIAL_LBL)*(INC_SPECIALS="Y"))=0,"",'Dvd Calendar'!$AM$1597)))</f>
        <v/>
      </c>
      <c r="AL163" s="106">
        <f>IF(FN163="","",IF(ISNUMBER('Dvd Calendar'!$AN$1597)=FALSE,"",IF((('Dvd Calendar'!$AN$1599=TYPE1)*(TYPE1&lt;&gt;"")+('Dvd Calendar'!$AN$1599=TYPE2)*(TYPE2&lt;&gt;"")+('Dvd Calendar'!$AN$1599=TYPE3)*(TYPE3&lt;&gt;"")+('Dvd Calendar'!$AN$1599=TYPE4)*(TYPE4&lt;&gt;"")+('Dvd Calendar'!$AN$1599=SPECIAL_LBL)*(INC_SPECIALS="Y"))=0,"",'Dvd Calendar'!$AN$1597)))</f>
        <v/>
      </c>
      <c r="AM163" s="106">
        <f>IF(FO163="","",IF(ISNUMBER('Dvd Calendar'!$AO$1597)=FALSE,"",IF((('Dvd Calendar'!$AO$1599=TYPE1)*(TYPE1&lt;&gt;"")+('Dvd Calendar'!$AO$1599=TYPE2)*(TYPE2&lt;&gt;"")+('Dvd Calendar'!$AO$1599=TYPE3)*(TYPE3&lt;&gt;"")+('Dvd Calendar'!$AO$1599=TYPE4)*(TYPE4&lt;&gt;"")+('Dvd Calendar'!$AO$1599=SPECIAL_LBL)*(INC_SPECIALS="Y"))=0,"",'Dvd Calendar'!$AO$1597)))</f>
        <v/>
      </c>
      <c r="AN163" s="106">
        <f>IF(FP163="","",IF(ISNUMBER('Dvd Calendar'!$AP$1597)=FALSE,"",IF((('Dvd Calendar'!$AP$1599=TYPE1)*(TYPE1&lt;&gt;"")+('Dvd Calendar'!$AP$1599=TYPE2)*(TYPE2&lt;&gt;"")+('Dvd Calendar'!$AP$1599=TYPE3)*(TYPE3&lt;&gt;"")+('Dvd Calendar'!$AP$1599=TYPE4)*(TYPE4&lt;&gt;"")+('Dvd Calendar'!$AP$1599=SPECIAL_LBL)*(INC_SPECIALS="Y"))=0,"",'Dvd Calendar'!$AP$1597)))</f>
        <v/>
      </c>
      <c r="AO163" s="106">
        <f>IF(FQ163="","",IF(ISNUMBER('Dvd Calendar'!$AQ$1597)=FALSE,"",IF((('Dvd Calendar'!$AQ$1599=TYPE1)*(TYPE1&lt;&gt;"")+('Dvd Calendar'!$AQ$1599=TYPE2)*(TYPE2&lt;&gt;"")+('Dvd Calendar'!$AQ$1599=TYPE3)*(TYPE3&lt;&gt;"")+('Dvd Calendar'!$AQ$1599=TYPE4)*(TYPE4&lt;&gt;"")+('Dvd Calendar'!$AQ$1599=SPECIAL_LBL)*(INC_SPECIALS="Y"))=0,"",'Dvd Calendar'!$AQ$1597)))</f>
        <v/>
      </c>
      <c r="AP163" s="106">
        <f>IF(FR163="","",IF(ISNUMBER('Dvd Calendar'!$AR$1597)=FALSE,"",IF((('Dvd Calendar'!$AR$1599=TYPE1)*(TYPE1&lt;&gt;"")+('Dvd Calendar'!$AR$1599=TYPE2)*(TYPE2&lt;&gt;"")+('Dvd Calendar'!$AR$1599=TYPE3)*(TYPE3&lt;&gt;"")+('Dvd Calendar'!$AR$1599=TYPE4)*(TYPE4&lt;&gt;"")+('Dvd Calendar'!$AR$1599=SPECIAL_LBL)*(INC_SPECIALS="Y"))=0,"",'Dvd Calendar'!$AR$1597)))</f>
        <v/>
      </c>
      <c r="AQ163" s="106">
        <f>IF(FS163="","",IF(ISNUMBER('Dvd Calendar'!$E$1602)=FALSE,"",'Dvd Calendar'!$E$1602))</f>
        <v/>
      </c>
      <c r="AR163" s="106">
        <f>IF(FT163="","",IF(ISNUMBER('Dvd Calendar'!$F$1602)=FALSE,"",'Dvd Calendar'!$F$1602))</f>
        <v/>
      </c>
      <c r="AS163" s="106">
        <f>IF(FU163="","",IF(ISNUMBER('Dvd Calendar'!$G$1602)=FALSE,"",'Dvd Calendar'!$G$1602))</f>
        <v/>
      </c>
      <c r="AT163" s="106">
        <f>IF(FV163="","",IF(ISNUMBER('Dvd Calendar'!$H$1602)=FALSE,"",'Dvd Calendar'!$H$1602))</f>
        <v/>
      </c>
      <c r="AU163" s="106">
        <f>IF(FW163="","",IF(ISNUMBER('Dvd Calendar'!$I$1602)=FALSE,"",'Dvd Calendar'!$I$1602))</f>
        <v/>
      </c>
      <c r="AV163" s="106">
        <f>IF(FX163="","",IF(ISNUMBER('Dvd Calendar'!$J$1602)=FALSE,"",'Dvd Calendar'!$J$1602))</f>
        <v/>
      </c>
      <c r="AW163" s="106">
        <f>IF(FY163="","",IF(ISNUMBER('Dvd Calendar'!$K$1602)=FALSE,"",'Dvd Calendar'!$K$1602))</f>
        <v/>
      </c>
      <c r="AX163" s="106">
        <f>IF(FZ163="","",IF(ISNUMBER('Dvd Calendar'!$L$1602)=FALSE,"",'Dvd Calendar'!$L$1602))</f>
        <v/>
      </c>
      <c r="AY163" s="106">
        <f>IF(GA163="","",IF(ISNUMBER('Dvd Calendar'!$M$1602)=FALSE,"",'Dvd Calendar'!$M$1602))</f>
        <v/>
      </c>
      <c r="AZ163" s="106">
        <f>IF(GB163="","",IF(ISNUMBER('Dvd Calendar'!$N$1602)=FALSE,"",'Dvd Calendar'!$N$1602))</f>
        <v/>
      </c>
      <c r="BA163" s="106">
        <f>IF(GC163="","",IF(ISNUMBER('Dvd Calendar'!$O$1602)=FALSE,"",'Dvd Calendar'!$O$1602))</f>
        <v/>
      </c>
      <c r="BB163" s="106">
        <f>IF(GD163="","",IF(ISNUMBER('Dvd Calendar'!$P$1602)=FALSE,"",'Dvd Calendar'!$P$1602))</f>
        <v/>
      </c>
      <c r="BC163" s="106">
        <f>IF(GE163="","",IF(ISNUMBER('Dvd Calendar'!$Q$1602)=FALSE,"",'Dvd Calendar'!$Q$1602))</f>
        <v/>
      </c>
      <c r="BD163" s="106">
        <f>IF(GF163="","",IF(ISNUMBER('Dvd Calendar'!$R$1602)=FALSE,"",'Dvd Calendar'!$R$1602))</f>
        <v/>
      </c>
      <c r="BE163" s="106">
        <f>IF(GG163="","",IF(ISNUMBER('Dvd Calendar'!$S$1602)=FALSE,"",'Dvd Calendar'!$S$1602))</f>
        <v/>
      </c>
      <c r="BF163" s="106">
        <f>IF(GH163="","",IF(ISNUMBER('Dvd Calendar'!$T$1602)=FALSE,"",'Dvd Calendar'!$T$1602))</f>
        <v/>
      </c>
      <c r="BG163" s="106">
        <f>IF(GI163="","",IF(ISNUMBER('Dvd Calendar'!$U$1602)=FALSE,"",'Dvd Calendar'!$U$1602))</f>
        <v/>
      </c>
      <c r="BH163" s="106">
        <f>IF(GJ163="","",IF(ISNUMBER('Dvd Calendar'!$V$1602)=FALSE,"",'Dvd Calendar'!$V$1602))</f>
        <v/>
      </c>
      <c r="BI163" s="106">
        <f>IF(GK163="","",IF(ISNUMBER('Dvd Calendar'!$W$1602)=FALSE,"",'Dvd Calendar'!$W$1602))</f>
        <v/>
      </c>
      <c r="BJ163" s="106">
        <f>IF(GL163="","",IF(ISNUMBER('Dvd Calendar'!$X$1602)=FALSE,"",'Dvd Calendar'!$X$1602))</f>
        <v/>
      </c>
      <c r="BK163" s="106">
        <f>IF(GM163="","",IF(ISNUMBER('Dvd Calendar'!$Y$1602)=FALSE,"",'Dvd Calendar'!$Y$1602))</f>
        <v/>
      </c>
      <c r="BL163" s="106">
        <f>IF(GN163="","",IF(ISNUMBER('Dvd Calendar'!$Z$1602)=FALSE,"",'Dvd Calendar'!$Z$1602))</f>
        <v/>
      </c>
      <c r="BM163" s="106">
        <f>IF(GO163="","",IF(ISNUMBER('Dvd Calendar'!$AA$1602)=FALSE,"",'Dvd Calendar'!$AA$1602))</f>
        <v/>
      </c>
      <c r="BN163" s="106">
        <f>IF(GP163="","",IF(ISNUMBER('Dvd Calendar'!$AB$1602)=FALSE,"",'Dvd Calendar'!$AB$1602))</f>
        <v/>
      </c>
      <c r="BO163" s="106">
        <f>IF(GQ163="","",IF(ISNUMBER('Dvd Calendar'!$AC$1602)=FALSE,"",'Dvd Calendar'!$AC$1602))</f>
        <v/>
      </c>
      <c r="BQ163" s="106">
        <f>IF(C163="","",IFERROR(C163*HSCEI!$B$10*HSCEI!$G$10/HSCEI!$B$3,""))</f>
        <v/>
      </c>
      <c r="BR163" s="106">
        <f>IF(D163="","",IFERROR(D163*HSCEI!$B$10*HSCEI!$G$10/HSCEI!$B$3,""))</f>
        <v/>
      </c>
      <c r="BS163" s="106">
        <f>IF(E163="","",IFERROR(E163*HSCEI!$B$10*HSCEI!$G$10/HSCEI!$B$3,""))</f>
        <v/>
      </c>
      <c r="BT163" s="106">
        <f>IF(F163="","",IFERROR(F163*HSCEI!$B$10*HSCEI!$G$10/HSCEI!$B$3,""))</f>
        <v/>
      </c>
      <c r="BU163" s="106">
        <f>IF(G163="","",IFERROR(G163*HSCEI!$B$10*HSCEI!$G$10/HSCEI!$B$3,""))</f>
        <v/>
      </c>
      <c r="BV163" s="106">
        <f>IF(H163="","",IFERROR(H163*HSCEI!$B$10*HSCEI!$G$10/HSCEI!$B$3,""))</f>
        <v/>
      </c>
      <c r="BW163" s="106">
        <f>IF(I163="","",IFERROR(I163*HSCEI!$B$10*HSCEI!$G$10/HSCEI!$B$3,""))</f>
        <v/>
      </c>
      <c r="BX163" s="106">
        <f>IF(J163="","",IFERROR(J163*HSCEI!$B$10*HSCEI!$G$10/HSCEI!$B$3,""))</f>
        <v/>
      </c>
      <c r="BY163" s="106">
        <f>IF(K163="","",IFERROR(K163*HSCEI!$B$10*HSCEI!$G$10/HSCEI!$B$3,""))</f>
        <v/>
      </c>
      <c r="BZ163" s="106">
        <f>IF(L163="","",IFERROR(L163*HSCEI!$B$10*HSCEI!$G$10/HSCEI!$B$3,""))</f>
        <v/>
      </c>
      <c r="CA163" s="106">
        <f>IF(M163="","",IFERROR(M163*HSCEI!$B$10*HSCEI!$G$10/HSCEI!$B$3,""))</f>
        <v/>
      </c>
      <c r="CB163" s="106">
        <f>IF(N163="","",IFERROR(N163*HSCEI!$B$10*HSCEI!$G$10/HSCEI!$B$3,""))</f>
        <v/>
      </c>
      <c r="CC163" s="106">
        <f>IF(O163="","",IFERROR(O163*HSCEI!$B$10*HSCEI!$G$10/HSCEI!$B$3,""))</f>
        <v/>
      </c>
      <c r="CD163" s="106">
        <f>IF(P163="","",IFERROR(P163*HSCEI!$B$10*HSCEI!$G$10/HSCEI!$B$3,""))</f>
        <v/>
      </c>
      <c r="CE163" s="106">
        <f>IF(Q163="","",IFERROR(Q163*HSCEI!$B$10*HSCEI!$G$10/HSCEI!$B$3,""))</f>
        <v/>
      </c>
      <c r="CF163" s="106">
        <f>IF(R163="","",IFERROR(R163*HSCEI!$B$10*HSCEI!$G$10/HSCEI!$B$3,""))</f>
        <v/>
      </c>
      <c r="CG163" s="106">
        <f>IF(S163="","",IFERROR(S163*HSCEI!$B$10*HSCEI!$G$10/HSCEI!$B$3,""))</f>
        <v/>
      </c>
      <c r="CH163" s="106">
        <f>IF(T163="","",IFERROR(T163*HSCEI!$B$10*HSCEI!$G$10/HSCEI!$B$3,""))</f>
        <v/>
      </c>
      <c r="CI163" s="106">
        <f>IF(U163="","",IFERROR(U163*HSCEI!$B$10*HSCEI!$G$10/HSCEI!$B$3,""))</f>
        <v/>
      </c>
      <c r="CJ163" s="106">
        <f>IF(V163="","",IFERROR(V163*HSCEI!$B$10*HSCEI!$G$10/HSCEI!$B$3,""))</f>
        <v/>
      </c>
      <c r="CK163" s="106">
        <f>IF(W163="","",IFERROR(W163*HSCEI!$B$10*HSCEI!$G$10/HSCEI!$B$3,""))</f>
        <v/>
      </c>
      <c r="CL163" s="106">
        <f>IF(X163="","",IFERROR(X163*HSCEI!$B$10*HSCEI!$G$10/HSCEI!$B$3,""))</f>
        <v/>
      </c>
      <c r="CM163" s="106">
        <f>IF(Y163="","",IFERROR(Y163*HSCEI!$B$10*HSCEI!$G$10/HSCEI!$B$3,""))</f>
        <v/>
      </c>
      <c r="CN163" s="106">
        <f>IF(Z163="","",IFERROR(Z163*HSCEI!$B$10*HSCEI!$G$10/HSCEI!$B$3,""))</f>
        <v/>
      </c>
      <c r="CO163" s="106">
        <f>IF(AA163="","",IFERROR(AA163*HSCEI!$B$10*HSCEI!$G$10/HSCEI!$B$3,""))</f>
        <v/>
      </c>
      <c r="CP163" s="106">
        <f>IF(AB163="","",IFERROR(AB163*HSCEI!$B$10*HSCEI!$G$10/HSCEI!$B$3,""))</f>
        <v/>
      </c>
      <c r="CQ163" s="106">
        <f>IF(AC163="","",IFERROR(AC163*HSCEI!$B$10*HSCEI!$G$10/HSCEI!$B$3,""))</f>
        <v/>
      </c>
      <c r="CR163" s="106">
        <f>IF(AD163="","",IFERROR(AD163*HSCEI!$B$10*HSCEI!$G$10/HSCEI!$B$3,""))</f>
        <v/>
      </c>
      <c r="CS163" s="106">
        <f>IF(AE163="","",IFERROR(AE163*HSCEI!$B$10*HSCEI!$G$10/HSCEI!$B$3,""))</f>
        <v/>
      </c>
      <c r="CT163" s="106">
        <f>IF(AF163="","",IFERROR(AF163*HSCEI!$B$10*HSCEI!$G$10/HSCEI!$B$3,""))</f>
        <v/>
      </c>
      <c r="CU163" s="106">
        <f>IF(AG163="","",IFERROR(AG163*HSCEI!$B$10*HSCEI!$G$10/HSCEI!$B$3,""))</f>
        <v/>
      </c>
      <c r="CV163" s="106">
        <f>IF(AH163="","",IFERROR(AH163*HSCEI!$B$10*HSCEI!$G$10/HSCEI!$B$3,""))</f>
        <v/>
      </c>
      <c r="CW163" s="106">
        <f>IF(AI163="","",IFERROR(AI163*HSCEI!$B$10*HSCEI!$G$10/HSCEI!$B$3,""))</f>
        <v/>
      </c>
      <c r="CX163" s="106">
        <f>IF(AJ163="","",IFERROR(AJ163*HSCEI!$B$10*HSCEI!$G$10/HSCEI!$B$3,""))</f>
        <v/>
      </c>
      <c r="CY163" s="106">
        <f>IF(AK163="","",IFERROR(AK163*HSCEI!$B$10*HSCEI!$G$10/HSCEI!$B$3,""))</f>
        <v/>
      </c>
      <c r="CZ163" s="106">
        <f>IF(AL163="","",IFERROR(AL163*HSCEI!$B$10*HSCEI!$G$10/HSCEI!$B$3,""))</f>
        <v/>
      </c>
      <c r="DA163" s="106">
        <f>IF(AM163="","",IFERROR(AM163*HSCEI!$B$10*HSCEI!$G$10/HSCEI!$B$3,""))</f>
        <v/>
      </c>
      <c r="DB163" s="106">
        <f>IF(AN163="","",IFERROR(AN163*HSCEI!$B$10*HSCEI!$G$10/HSCEI!$B$3,""))</f>
        <v/>
      </c>
      <c r="DC163" s="106">
        <f>IF(AO163="","",IFERROR(AO163*HSCEI!$B$10*HSCEI!$G$10/HSCEI!$B$3,""))</f>
        <v/>
      </c>
      <c r="DD163" s="106">
        <f>IF(AP163="","",IFERROR(AP163*HSCEI!$B$10*HSCEI!$G$10/HSCEI!$B$3,""))</f>
        <v/>
      </c>
      <c r="DE163" s="106">
        <f>IF(AQ163="","",IFERROR(AQ163*HSCEI!$B$10*HSCEI!$G$10/HSCEI!$B$3,""))</f>
        <v/>
      </c>
      <c r="DF163" s="106">
        <f>IF(AR163="","",IFERROR(AR163*HSCEI!$B$10*HSCEI!$G$10/HSCEI!$B$3,""))</f>
        <v/>
      </c>
      <c r="DG163" s="106">
        <f>IF(AS163="","",IFERROR(AS163*HSCEI!$B$10*HSCEI!$G$10/HSCEI!$B$3,""))</f>
        <v/>
      </c>
      <c r="DH163" s="106">
        <f>IF(AT163="","",IFERROR(AT163*HSCEI!$B$10*HSCEI!$G$10/HSCEI!$B$3,""))</f>
        <v/>
      </c>
      <c r="DI163" s="106">
        <f>IF(AU163="","",IFERROR(AU163*HSCEI!$B$10*HSCEI!$G$10/HSCEI!$B$3,""))</f>
        <v/>
      </c>
      <c r="DJ163" s="106">
        <f>IF(AV163="","",IFERROR(AV163*HSCEI!$B$10*HSCEI!$G$10/HSCEI!$B$3,""))</f>
        <v/>
      </c>
      <c r="DK163" s="106">
        <f>IF(AW163="","",IFERROR(AW163*HSCEI!$B$10*HSCEI!$G$10/HSCEI!$B$3,""))</f>
        <v/>
      </c>
      <c r="DL163" s="106">
        <f>IF(AX163="","",IFERROR(AX163*HSCEI!$B$10*HSCEI!$G$10/HSCEI!$B$3,""))</f>
        <v/>
      </c>
      <c r="DM163" s="106">
        <f>IF(AY163="","",IFERROR(AY163*HSCEI!$B$10*HSCEI!$G$10/HSCEI!$B$3,""))</f>
        <v/>
      </c>
      <c r="DN163" s="106">
        <f>IF(AZ163="","",IFERROR(AZ163*HSCEI!$B$10*HSCEI!$G$10/HSCEI!$B$3,""))</f>
        <v/>
      </c>
      <c r="DO163" s="106">
        <f>IF(BA163="","",IFERROR(BA163*HSCEI!$B$10*HSCEI!$G$10/HSCEI!$B$3,""))</f>
        <v/>
      </c>
      <c r="DP163" s="106">
        <f>IF(BB163="","",IFERROR(BB163*HSCEI!$B$10*HSCEI!$G$10/HSCEI!$B$3,""))</f>
        <v/>
      </c>
      <c r="DQ163" s="106">
        <f>IF(BC163="","",IFERROR(BC163*HSCEI!$B$10*HSCEI!$G$10/HSCEI!$B$3,""))</f>
        <v/>
      </c>
      <c r="DR163" s="106">
        <f>IF(BD163="","",IFERROR(BD163*HSCEI!$B$10*HSCEI!$G$10/HSCEI!$B$3,""))</f>
        <v/>
      </c>
      <c r="DS163" s="106">
        <f>IF(BE163="","",IFERROR(BE163*HSCEI!$B$10*HSCEI!$G$10/HSCEI!$B$3,""))</f>
        <v/>
      </c>
      <c r="DT163" s="106">
        <f>IF(BF163="","",IFERROR(BF163*HSCEI!$B$10*HSCEI!$G$10/HSCEI!$B$3,""))</f>
        <v/>
      </c>
      <c r="DU163" s="106">
        <f>IF(BG163="","",IFERROR(BG163*HSCEI!$B$10*HSCEI!$G$10/HSCEI!$B$3,""))</f>
        <v/>
      </c>
      <c r="DV163" s="106">
        <f>IF(BH163="","",IFERROR(BH163*HSCEI!$B$10*HSCEI!$G$10/HSCEI!$B$3,""))</f>
        <v/>
      </c>
      <c r="DW163" s="106">
        <f>IF(BI163="","",IFERROR(BI163*HSCEI!$B$10*HSCEI!$G$10/HSCEI!$B$3,""))</f>
        <v/>
      </c>
      <c r="DX163" s="106">
        <f>IF(BJ163="","",IFERROR(BJ163*HSCEI!$B$10*HSCEI!$G$10/HSCEI!$B$3,""))</f>
        <v/>
      </c>
      <c r="DY163" s="106">
        <f>IF(BK163="","",IFERROR(BK163*HSCEI!$B$10*HSCEI!$G$10/HSCEI!$B$3,""))</f>
        <v/>
      </c>
      <c r="DZ163" s="106">
        <f>IF(BL163="","",IFERROR(BL163*HSCEI!$B$10*HSCEI!$G$10/HSCEI!$B$3,""))</f>
        <v/>
      </c>
      <c r="EA163" s="106">
        <f>IF(BM163="","",IFERROR(BM163*HSCEI!$B$10*HSCEI!$G$10/HSCEI!$B$3,""))</f>
        <v/>
      </c>
      <c r="EB163" s="106">
        <f>IF(BN163="","",IFERROR(BN163*HSCEI!$B$10*HSCEI!$G$10/HSCEI!$B$3,""))</f>
        <v/>
      </c>
      <c r="EC163" s="106">
        <f>IF(BO163="","",IFERROR(BO163*HSCEI!$B$10*HSCEI!$G$10/HSCEI!$B$3,""))</f>
        <v/>
      </c>
      <c r="EE163" s="35">
        <f>IF(N('Dvd Calendar'!$E$1594)=0,"",IF(('Dvd Calendar'!$E$1594&gt;=GRID_FROM)*('Dvd Calendar'!$E$1594&lt;=GRID_TO)*('Dvd Calendar'!$E$1594&lt;=VAL_DATE)=0,"",'Dvd Calendar'!$E$1594*1000000000+ISNUMBER('Dvd Calendar'!$E$1597)*100000000+('Dvd Calendar'!$E$1599=SPECIAL_LBL)*10000000+0*1000000+4*1000+1))</f>
        <v/>
      </c>
      <c r="EF163" s="35">
        <f>IF(N('Dvd Calendar'!$F$1594)=0,"",IF(('Dvd Calendar'!$F$1594&gt;=GRID_FROM)*('Dvd Calendar'!$F$1594&lt;=GRID_TO)*('Dvd Calendar'!$F$1594&lt;=VAL_DATE)=0,"",'Dvd Calendar'!$F$1594*1000000000+ISNUMBER('Dvd Calendar'!$F$1597)*100000000+('Dvd Calendar'!$F$1599=SPECIAL_LBL)*10000000+0*1000000+4*1000+2))</f>
        <v/>
      </c>
      <c r="EG163" s="35">
        <f>IF(N('Dvd Calendar'!$G$1594)=0,"",IF(('Dvd Calendar'!$G$1594&gt;=GRID_FROM)*('Dvd Calendar'!$G$1594&lt;=GRID_TO)*('Dvd Calendar'!$G$1594&lt;=VAL_DATE)=0,"",'Dvd Calendar'!$G$1594*1000000000+ISNUMBER('Dvd Calendar'!$G$1597)*100000000+('Dvd Calendar'!$G$1599=SPECIAL_LBL)*10000000+0*1000000+4*1000+3))</f>
        <v/>
      </c>
      <c r="EH163" s="35">
        <f>IF(N('Dvd Calendar'!$H$1594)=0,"",IF(('Dvd Calendar'!$H$1594&gt;=GRID_FROM)*('Dvd Calendar'!$H$1594&lt;=GRID_TO)*('Dvd Calendar'!$H$1594&lt;=VAL_DATE)=0,"",'Dvd Calendar'!$H$1594*1000000000+ISNUMBER('Dvd Calendar'!$H$1597)*100000000+('Dvd Calendar'!$H$1599=SPECIAL_LBL)*10000000+0*1000000+4*1000+4))</f>
        <v/>
      </c>
      <c r="EI163" s="35">
        <f>IF(N('Dvd Calendar'!$I$1594)=0,"",IF(('Dvd Calendar'!$I$1594&gt;=GRID_FROM)*('Dvd Calendar'!$I$1594&lt;=GRID_TO)*('Dvd Calendar'!$I$1594&lt;=VAL_DATE)=0,"",'Dvd Calendar'!$I$1594*1000000000+ISNUMBER('Dvd Calendar'!$I$1597)*100000000+('Dvd Calendar'!$I$1599=SPECIAL_LBL)*10000000+0*1000000+4*1000+5))</f>
        <v/>
      </c>
      <c r="EJ163" s="35">
        <f>IF(N('Dvd Calendar'!$J$1594)=0,"",IF(('Dvd Calendar'!$J$1594&gt;=GRID_FROM)*('Dvd Calendar'!$J$1594&lt;=GRID_TO)*('Dvd Calendar'!$J$1594&lt;=VAL_DATE)=0,"",'Dvd Calendar'!$J$1594*1000000000+ISNUMBER('Dvd Calendar'!$J$1597)*100000000+('Dvd Calendar'!$J$1599=SPECIAL_LBL)*10000000+0*1000000+4*1000+6))</f>
        <v/>
      </c>
      <c r="EK163" s="35">
        <f>IF(N('Dvd Calendar'!$K$1594)=0,"",IF(('Dvd Calendar'!$K$1594&gt;=GRID_FROM)*('Dvd Calendar'!$K$1594&lt;=GRID_TO)*('Dvd Calendar'!$K$1594&lt;=VAL_DATE)=0,"",'Dvd Calendar'!$K$1594*1000000000+ISNUMBER('Dvd Calendar'!$K$1597)*100000000+('Dvd Calendar'!$K$1599=SPECIAL_LBL)*10000000+0*1000000+4*1000+7))</f>
        <v/>
      </c>
      <c r="EL163" s="35">
        <f>IF(N('Dvd Calendar'!$L$1594)=0,"",IF(('Dvd Calendar'!$L$1594&gt;=GRID_FROM)*('Dvd Calendar'!$L$1594&lt;=GRID_TO)*('Dvd Calendar'!$L$1594&lt;=VAL_DATE)=0,"",'Dvd Calendar'!$L$1594*1000000000+ISNUMBER('Dvd Calendar'!$L$1597)*100000000+('Dvd Calendar'!$L$1599=SPECIAL_LBL)*10000000+0*1000000+4*1000+8))</f>
        <v/>
      </c>
      <c r="EM163" s="35">
        <f>IF(N('Dvd Calendar'!$M$1594)=0,"",IF(('Dvd Calendar'!$M$1594&gt;=GRID_FROM)*('Dvd Calendar'!$M$1594&lt;=GRID_TO)*('Dvd Calendar'!$M$1594&lt;=VAL_DATE)=0,"",'Dvd Calendar'!$M$1594*1000000000+ISNUMBER('Dvd Calendar'!$M$1597)*100000000+('Dvd Calendar'!$M$1599=SPECIAL_LBL)*10000000+0*1000000+4*1000+9))</f>
        <v/>
      </c>
      <c r="EN163" s="35">
        <f>IF(N('Dvd Calendar'!$N$1594)=0,"",IF(('Dvd Calendar'!$N$1594&gt;=GRID_FROM)*('Dvd Calendar'!$N$1594&lt;=GRID_TO)*('Dvd Calendar'!$N$1594&lt;=VAL_DATE)=0,"",'Dvd Calendar'!$N$1594*1000000000+ISNUMBER('Dvd Calendar'!$N$1597)*100000000+('Dvd Calendar'!$N$1599=SPECIAL_LBL)*10000000+0*1000000+4*1000+10))</f>
        <v/>
      </c>
      <c r="EO163" s="35">
        <f>IF(N('Dvd Calendar'!$O$1594)=0,"",IF(('Dvd Calendar'!$O$1594&gt;=GRID_FROM)*('Dvd Calendar'!$O$1594&lt;=GRID_TO)*('Dvd Calendar'!$O$1594&lt;=VAL_DATE)=0,"",'Dvd Calendar'!$O$1594*1000000000+ISNUMBER('Dvd Calendar'!$O$1597)*100000000+('Dvd Calendar'!$O$1599=SPECIAL_LBL)*10000000+0*1000000+4*1000+11))</f>
        <v/>
      </c>
      <c r="EP163" s="35">
        <f>IF(N('Dvd Calendar'!$P$1594)=0,"",IF(('Dvd Calendar'!$P$1594&gt;=GRID_FROM)*('Dvd Calendar'!$P$1594&lt;=GRID_TO)*('Dvd Calendar'!$P$1594&lt;=VAL_DATE)=0,"",'Dvd Calendar'!$P$1594*1000000000+ISNUMBER('Dvd Calendar'!$P$1597)*100000000+('Dvd Calendar'!$P$1599=SPECIAL_LBL)*10000000+0*1000000+4*1000+12))</f>
        <v/>
      </c>
      <c r="EQ163" s="35">
        <f>IF(N('Dvd Calendar'!$Q$1594)=0,"",IF(('Dvd Calendar'!$Q$1594&gt;=GRID_FROM)*('Dvd Calendar'!$Q$1594&lt;=GRID_TO)*('Dvd Calendar'!$Q$1594&lt;=VAL_DATE)=0,"",'Dvd Calendar'!$Q$1594*1000000000+ISNUMBER('Dvd Calendar'!$Q$1597)*100000000+('Dvd Calendar'!$Q$1599=SPECIAL_LBL)*10000000+0*1000000+4*1000+13))</f>
        <v/>
      </c>
      <c r="ER163" s="35">
        <f>IF(N('Dvd Calendar'!$R$1594)=0,"",IF(('Dvd Calendar'!$R$1594&gt;=GRID_FROM)*('Dvd Calendar'!$R$1594&lt;=GRID_TO)*('Dvd Calendar'!$R$1594&lt;=VAL_DATE)=0,"",'Dvd Calendar'!$R$1594*1000000000+ISNUMBER('Dvd Calendar'!$R$1597)*100000000+('Dvd Calendar'!$R$1599=SPECIAL_LBL)*10000000+0*1000000+4*1000+14))</f>
        <v/>
      </c>
      <c r="ES163" s="35">
        <f>IF(N('Dvd Calendar'!$S$1594)=0,"",IF(('Dvd Calendar'!$S$1594&gt;=GRID_FROM)*('Dvd Calendar'!$S$1594&lt;=GRID_TO)*('Dvd Calendar'!$S$1594&lt;=VAL_DATE)=0,"",'Dvd Calendar'!$S$1594*1000000000+ISNUMBER('Dvd Calendar'!$S$1597)*100000000+('Dvd Calendar'!$S$1599=SPECIAL_LBL)*10000000+0*1000000+4*1000+15))</f>
        <v/>
      </c>
      <c r="ET163" s="35">
        <f>IF(N('Dvd Calendar'!$T$1594)=0,"",IF(('Dvd Calendar'!$T$1594&gt;=GRID_FROM)*('Dvd Calendar'!$T$1594&lt;=GRID_TO)*('Dvd Calendar'!$T$1594&lt;=VAL_DATE)=0,"",'Dvd Calendar'!$T$1594*1000000000+ISNUMBER('Dvd Calendar'!$T$1597)*100000000+('Dvd Calendar'!$T$1599=SPECIAL_LBL)*10000000+0*1000000+4*1000+16))</f>
        <v/>
      </c>
      <c r="EU163" s="35">
        <f>IF(N('Dvd Calendar'!$U$1594)=0,"",IF(('Dvd Calendar'!$U$1594&gt;=GRID_FROM)*('Dvd Calendar'!$U$1594&lt;=GRID_TO)*('Dvd Calendar'!$U$1594&lt;=VAL_DATE)=0,"",'Dvd Calendar'!$U$1594*1000000000+ISNUMBER('Dvd Calendar'!$U$1597)*100000000+('Dvd Calendar'!$U$1599=SPECIAL_LBL)*10000000+0*1000000+4*1000+17))</f>
        <v/>
      </c>
      <c r="EV163" s="35">
        <f>IF(N('Dvd Calendar'!$V$1594)=0,"",IF(('Dvd Calendar'!$V$1594&gt;=GRID_FROM)*('Dvd Calendar'!$V$1594&lt;=GRID_TO)*('Dvd Calendar'!$V$1594&lt;=VAL_DATE)=0,"",'Dvd Calendar'!$V$1594*1000000000+ISNUMBER('Dvd Calendar'!$V$1597)*100000000+('Dvd Calendar'!$V$1599=SPECIAL_LBL)*10000000+0*1000000+4*1000+18))</f>
        <v/>
      </c>
      <c r="EW163" s="35">
        <f>IF(N('Dvd Calendar'!$W$1594)=0,"",IF(('Dvd Calendar'!$W$1594&gt;=GRID_FROM)*('Dvd Calendar'!$W$1594&lt;=GRID_TO)*('Dvd Calendar'!$W$1594&lt;=VAL_DATE)=0,"",'Dvd Calendar'!$W$1594*1000000000+ISNUMBER('Dvd Calendar'!$W$1597)*100000000+('Dvd Calendar'!$W$1599=SPECIAL_LBL)*10000000+0*1000000+4*1000+19))</f>
        <v/>
      </c>
      <c r="EX163" s="35">
        <f>IF(N('Dvd Calendar'!$X$1594)=0,"",IF(('Dvd Calendar'!$X$1594&gt;=GRID_FROM)*('Dvd Calendar'!$X$1594&lt;=GRID_TO)*('Dvd Calendar'!$X$1594&lt;=VAL_DATE)=0,"",'Dvd Calendar'!$X$1594*1000000000+ISNUMBER('Dvd Calendar'!$X$1597)*100000000+('Dvd Calendar'!$X$1599=SPECIAL_LBL)*10000000+0*1000000+4*1000+20))</f>
        <v/>
      </c>
      <c r="EY163" s="35">
        <f>IF(N('Dvd Calendar'!$Y$1594)=0,"",IF(('Dvd Calendar'!$Y$1594&gt;=GRID_FROM)*('Dvd Calendar'!$Y$1594&lt;=GRID_TO)*('Dvd Calendar'!$Y$1594&lt;=VAL_DATE)=0,"",'Dvd Calendar'!$Y$1594*1000000000+ISNUMBER('Dvd Calendar'!$Y$1597)*100000000+('Dvd Calendar'!$Y$1599=SPECIAL_LBL)*10000000+0*1000000+4*1000+21))</f>
        <v/>
      </c>
      <c r="EZ163" s="35">
        <f>IF(N('Dvd Calendar'!$Z$1594)=0,"",IF(('Dvd Calendar'!$Z$1594&gt;=GRID_FROM)*('Dvd Calendar'!$Z$1594&lt;=GRID_TO)*('Dvd Calendar'!$Z$1594&lt;=VAL_DATE)=0,"",'Dvd Calendar'!$Z$1594*1000000000+ISNUMBER('Dvd Calendar'!$Z$1597)*100000000+('Dvd Calendar'!$Z$1599=SPECIAL_LBL)*10000000+0*1000000+4*1000+22))</f>
        <v/>
      </c>
      <c r="FA163" s="35">
        <f>IF(N('Dvd Calendar'!$AA$1594)=0,"",IF(('Dvd Calendar'!$AA$1594&gt;=GRID_FROM)*('Dvd Calendar'!$AA$1594&lt;=GRID_TO)*('Dvd Calendar'!$AA$1594&lt;=VAL_DATE)=0,"",'Dvd Calendar'!$AA$1594*1000000000+ISNUMBER('Dvd Calendar'!$AA$1597)*100000000+('Dvd Calendar'!$AA$1599=SPECIAL_LBL)*10000000+0*1000000+4*1000+23))</f>
        <v/>
      </c>
      <c r="FB163" s="35">
        <f>IF(N('Dvd Calendar'!$AB$1594)=0,"",IF(('Dvd Calendar'!$AB$1594&gt;=GRID_FROM)*('Dvd Calendar'!$AB$1594&lt;=GRID_TO)*('Dvd Calendar'!$AB$1594&lt;=VAL_DATE)=0,"",'Dvd Calendar'!$AB$1594*1000000000+ISNUMBER('Dvd Calendar'!$AB$1597)*100000000+('Dvd Calendar'!$AB$1599=SPECIAL_LBL)*10000000+0*1000000+4*1000+24))</f>
        <v/>
      </c>
      <c r="FC163" s="35">
        <f>IF(N('Dvd Calendar'!$AC$1594)=0,"",IF(('Dvd Calendar'!$AC$1594&gt;=GRID_FROM)*('Dvd Calendar'!$AC$1594&lt;=GRID_TO)*('Dvd Calendar'!$AC$1594&lt;=VAL_DATE)=0,"",'Dvd Calendar'!$AC$1594*1000000000+ISNUMBER('Dvd Calendar'!$AC$1597)*100000000+('Dvd Calendar'!$AC$1599=SPECIAL_LBL)*10000000+0*1000000+4*1000+25))</f>
        <v/>
      </c>
      <c r="FD163" s="35">
        <f>IF(N('Dvd Calendar'!$AD$1594)=0,"",IF(('Dvd Calendar'!$AD$1594&gt;=GRID_FROM)*('Dvd Calendar'!$AD$1594&lt;=GRID_TO)*('Dvd Calendar'!$AD$1594&lt;=VAL_DATE)=0,"",'Dvd Calendar'!$AD$1594*1000000000+ISNUMBER('Dvd Calendar'!$AD$1597)*100000000+('Dvd Calendar'!$AD$1599=SPECIAL_LBL)*10000000+0*1000000+4*1000+26))</f>
        <v/>
      </c>
      <c r="FE163" s="35">
        <f>IF(N('Dvd Calendar'!$AE$1594)=0,"",IF(('Dvd Calendar'!$AE$1594&gt;=GRID_FROM)*('Dvd Calendar'!$AE$1594&lt;=GRID_TO)*('Dvd Calendar'!$AE$1594&lt;=VAL_DATE)=0,"",'Dvd Calendar'!$AE$1594*1000000000+ISNUMBER('Dvd Calendar'!$AE$1597)*100000000+('Dvd Calendar'!$AE$1599=SPECIAL_LBL)*10000000+0*1000000+4*1000+27))</f>
        <v/>
      </c>
      <c r="FF163" s="35">
        <f>IF(N('Dvd Calendar'!$AF$1594)=0,"",IF(('Dvd Calendar'!$AF$1594&gt;=GRID_FROM)*('Dvd Calendar'!$AF$1594&lt;=GRID_TO)*('Dvd Calendar'!$AF$1594&lt;=VAL_DATE)=0,"",'Dvd Calendar'!$AF$1594*1000000000+ISNUMBER('Dvd Calendar'!$AF$1597)*100000000+('Dvd Calendar'!$AF$1599=SPECIAL_LBL)*10000000+0*1000000+4*1000+28))</f>
        <v/>
      </c>
      <c r="FG163" s="35">
        <f>IF(N('Dvd Calendar'!$AG$1594)=0,"",IF(('Dvd Calendar'!$AG$1594&gt;=GRID_FROM)*('Dvd Calendar'!$AG$1594&lt;=GRID_TO)*('Dvd Calendar'!$AG$1594&lt;=VAL_DATE)=0,"",'Dvd Calendar'!$AG$1594*1000000000+ISNUMBER('Dvd Calendar'!$AG$1597)*100000000+('Dvd Calendar'!$AG$1599=SPECIAL_LBL)*10000000+0*1000000+4*1000+29))</f>
        <v/>
      </c>
      <c r="FH163" s="35">
        <f>IF(N('Dvd Calendar'!$AH$1594)=0,"",IF(('Dvd Calendar'!$AH$1594&gt;=GRID_FROM)*('Dvd Calendar'!$AH$1594&lt;=GRID_TO)*('Dvd Calendar'!$AH$1594&lt;=VAL_DATE)=0,"",'Dvd Calendar'!$AH$1594*1000000000+ISNUMBER('Dvd Calendar'!$AH$1597)*100000000+('Dvd Calendar'!$AH$1599=SPECIAL_LBL)*10000000+0*1000000+4*1000+30))</f>
        <v/>
      </c>
      <c r="FI163" s="35">
        <f>IF(N('Dvd Calendar'!$AI$1594)=0,"",IF(('Dvd Calendar'!$AI$1594&gt;=GRID_FROM)*('Dvd Calendar'!$AI$1594&lt;=GRID_TO)*('Dvd Calendar'!$AI$1594&lt;=VAL_DATE)=0,"",'Dvd Calendar'!$AI$1594*1000000000+ISNUMBER('Dvd Calendar'!$AI$1597)*100000000+('Dvd Calendar'!$AI$1599=SPECIAL_LBL)*10000000+0*1000000+4*1000+31))</f>
        <v/>
      </c>
      <c r="FJ163" s="35">
        <f>IF(N('Dvd Calendar'!$AJ$1594)=0,"",IF(('Dvd Calendar'!$AJ$1594&gt;=GRID_FROM)*('Dvd Calendar'!$AJ$1594&lt;=GRID_TO)*('Dvd Calendar'!$AJ$1594&lt;=VAL_DATE)=0,"",'Dvd Calendar'!$AJ$1594*1000000000+ISNUMBER('Dvd Calendar'!$AJ$1597)*100000000+('Dvd Calendar'!$AJ$1599=SPECIAL_LBL)*10000000+0*1000000+4*1000+32))</f>
        <v/>
      </c>
      <c r="FK163" s="35">
        <f>IF(N('Dvd Calendar'!$AK$1594)=0,"",IF(('Dvd Calendar'!$AK$1594&gt;=GRID_FROM)*('Dvd Calendar'!$AK$1594&lt;=GRID_TO)*('Dvd Calendar'!$AK$1594&lt;=VAL_DATE)=0,"",'Dvd Calendar'!$AK$1594*1000000000+ISNUMBER('Dvd Calendar'!$AK$1597)*100000000+('Dvd Calendar'!$AK$1599=SPECIAL_LBL)*10000000+0*1000000+4*1000+33))</f>
        <v/>
      </c>
      <c r="FL163" s="35">
        <f>IF(N('Dvd Calendar'!$AL$1594)=0,"",IF(('Dvd Calendar'!$AL$1594&gt;=GRID_FROM)*('Dvd Calendar'!$AL$1594&lt;=GRID_TO)*('Dvd Calendar'!$AL$1594&lt;=VAL_DATE)=0,"",'Dvd Calendar'!$AL$1594*1000000000+ISNUMBER('Dvd Calendar'!$AL$1597)*100000000+('Dvd Calendar'!$AL$1599=SPECIAL_LBL)*10000000+0*1000000+4*1000+34))</f>
        <v/>
      </c>
      <c r="FM163" s="35">
        <f>IF(N('Dvd Calendar'!$AM$1594)=0,"",IF(('Dvd Calendar'!$AM$1594&gt;=GRID_FROM)*('Dvd Calendar'!$AM$1594&lt;=GRID_TO)*('Dvd Calendar'!$AM$1594&lt;=VAL_DATE)=0,"",'Dvd Calendar'!$AM$1594*1000000000+ISNUMBER('Dvd Calendar'!$AM$1597)*100000000+('Dvd Calendar'!$AM$1599=SPECIAL_LBL)*10000000+0*1000000+4*1000+35))</f>
        <v/>
      </c>
      <c r="FN163" s="35">
        <f>IF(N('Dvd Calendar'!$AN$1594)=0,"",IF(('Dvd Calendar'!$AN$1594&gt;=GRID_FROM)*('Dvd Calendar'!$AN$1594&lt;=GRID_TO)*('Dvd Calendar'!$AN$1594&lt;=VAL_DATE)=0,"",'Dvd Calendar'!$AN$1594*1000000000+ISNUMBER('Dvd Calendar'!$AN$1597)*100000000+('Dvd Calendar'!$AN$1599=SPECIAL_LBL)*10000000+0*1000000+4*1000+36))</f>
        <v/>
      </c>
      <c r="FO163" s="35">
        <f>IF(N('Dvd Calendar'!$AO$1594)=0,"",IF(('Dvd Calendar'!$AO$1594&gt;=GRID_FROM)*('Dvd Calendar'!$AO$1594&lt;=GRID_TO)*('Dvd Calendar'!$AO$1594&lt;=VAL_DATE)=0,"",'Dvd Calendar'!$AO$1594*1000000000+ISNUMBER('Dvd Calendar'!$AO$1597)*100000000+('Dvd Calendar'!$AO$1599=SPECIAL_LBL)*10000000+0*1000000+4*1000+37))</f>
        <v/>
      </c>
      <c r="FP163" s="35">
        <f>IF(N('Dvd Calendar'!$AP$1594)=0,"",IF(('Dvd Calendar'!$AP$1594&gt;=GRID_FROM)*('Dvd Calendar'!$AP$1594&lt;=GRID_TO)*('Dvd Calendar'!$AP$1594&lt;=VAL_DATE)=0,"",'Dvd Calendar'!$AP$1594*1000000000+ISNUMBER('Dvd Calendar'!$AP$1597)*100000000+('Dvd Calendar'!$AP$1599=SPECIAL_LBL)*10000000+0*1000000+4*1000+38))</f>
        <v/>
      </c>
      <c r="FQ163" s="35">
        <f>IF(N('Dvd Calendar'!$AQ$1594)=0,"",IF(('Dvd Calendar'!$AQ$1594&gt;=GRID_FROM)*('Dvd Calendar'!$AQ$1594&lt;=GRID_TO)*('Dvd Calendar'!$AQ$1594&lt;=VAL_DATE)=0,"",'Dvd Calendar'!$AQ$1594*1000000000+ISNUMBER('Dvd Calendar'!$AQ$1597)*100000000+('Dvd Calendar'!$AQ$1599=SPECIAL_LBL)*10000000+0*1000000+4*1000+39))</f>
        <v/>
      </c>
      <c r="FR163" s="35">
        <f>IF(N('Dvd Calendar'!$AR$1594)=0,"",IF(('Dvd Calendar'!$AR$1594&gt;=GRID_FROM)*('Dvd Calendar'!$AR$1594&lt;=GRID_TO)*('Dvd Calendar'!$AR$1594&lt;=VAL_DATE)=0,"",'Dvd Calendar'!$AR$1594*1000000000+ISNUMBER('Dvd Calendar'!$AR$1597)*100000000+('Dvd Calendar'!$AR$1599=SPECIAL_LBL)*10000000+0*1000000+4*1000+40))</f>
        <v/>
      </c>
      <c r="FS163" s="35">
        <f>IF(N('Dvd Calendar'!$E$1601)=0,"",IF(('Dvd Calendar'!$E$1601&gt;=GRID_FROM)*('Dvd Calendar'!$E$1601&lt;=GRID_TO)*('Dvd Calendar'!$E$1601&gt;VAL_DATE)=0,"",'Dvd Calendar'!$E$1601*1000000000+ISNUMBER('Dvd Calendar'!$E$1602)*100000000+0*10000000+(N('Dvd Calendar'!$E$1600)&gt;0)*(N('Dvd Calendar'!$E$1600)&lt;=VAL_SERIAL)*1000000+4*1000+41))</f>
        <v/>
      </c>
      <c r="FT163" s="35">
        <f>IF(N('Dvd Calendar'!$F$1601)=0,"",IF(('Dvd Calendar'!$F$1601&gt;=GRID_FROM)*('Dvd Calendar'!$F$1601&lt;=GRID_TO)*('Dvd Calendar'!$F$1601&gt;VAL_DATE)=0,"",'Dvd Calendar'!$F$1601*1000000000+ISNUMBER('Dvd Calendar'!$F$1602)*100000000+0*10000000+(N('Dvd Calendar'!$F$1600)&gt;0)*(N('Dvd Calendar'!$F$1600)&lt;=VAL_SERIAL)*1000000+4*1000+42))</f>
        <v/>
      </c>
      <c r="FU163" s="35">
        <f>IF(N('Dvd Calendar'!$G$1601)=0,"",IF(('Dvd Calendar'!$G$1601&gt;=GRID_FROM)*('Dvd Calendar'!$G$1601&lt;=GRID_TO)*('Dvd Calendar'!$G$1601&gt;VAL_DATE)=0,"",'Dvd Calendar'!$G$1601*1000000000+ISNUMBER('Dvd Calendar'!$G$1602)*100000000+0*10000000+(N('Dvd Calendar'!$G$1600)&gt;0)*(N('Dvd Calendar'!$G$1600)&lt;=VAL_SERIAL)*1000000+4*1000+43))</f>
        <v/>
      </c>
      <c r="FV163" s="35">
        <f>IF(N('Dvd Calendar'!$H$1601)=0,"",IF(('Dvd Calendar'!$H$1601&gt;=GRID_FROM)*('Dvd Calendar'!$H$1601&lt;=GRID_TO)*('Dvd Calendar'!$H$1601&gt;VAL_DATE)=0,"",'Dvd Calendar'!$H$1601*1000000000+ISNUMBER('Dvd Calendar'!$H$1602)*100000000+0*10000000+(N('Dvd Calendar'!$H$1600)&gt;0)*(N('Dvd Calendar'!$H$1600)&lt;=VAL_SERIAL)*1000000+4*1000+44))</f>
        <v/>
      </c>
      <c r="FW163" s="35">
        <f>IF(N('Dvd Calendar'!$I$1601)=0,"",IF(('Dvd Calendar'!$I$1601&gt;=GRID_FROM)*('Dvd Calendar'!$I$1601&lt;=GRID_TO)*('Dvd Calendar'!$I$1601&gt;VAL_DATE)=0,"",'Dvd Calendar'!$I$1601*1000000000+ISNUMBER('Dvd Calendar'!$I$1602)*100000000+0*10000000+(N('Dvd Calendar'!$I$1600)&gt;0)*(N('Dvd Calendar'!$I$1600)&lt;=VAL_SERIAL)*1000000+4*1000+45))</f>
        <v/>
      </c>
      <c r="FX163" s="35">
        <f>IF(N('Dvd Calendar'!$J$1601)=0,"",IF(('Dvd Calendar'!$J$1601&gt;=GRID_FROM)*('Dvd Calendar'!$J$1601&lt;=GRID_TO)*('Dvd Calendar'!$J$1601&gt;VAL_DATE)=0,"",'Dvd Calendar'!$J$1601*1000000000+ISNUMBER('Dvd Calendar'!$J$1602)*100000000+0*10000000+(N('Dvd Calendar'!$J$1600)&gt;0)*(N('Dvd Calendar'!$J$1600)&lt;=VAL_SERIAL)*1000000+4*1000+46))</f>
        <v/>
      </c>
      <c r="FY163" s="35">
        <f>IF(N('Dvd Calendar'!$K$1601)=0,"",IF(('Dvd Calendar'!$K$1601&gt;=GRID_FROM)*('Dvd Calendar'!$K$1601&lt;=GRID_TO)*('Dvd Calendar'!$K$1601&gt;VAL_DATE)=0,"",'Dvd Calendar'!$K$1601*1000000000+ISNUMBER('Dvd Calendar'!$K$1602)*100000000+0*10000000+(N('Dvd Calendar'!$K$1600)&gt;0)*(N('Dvd Calendar'!$K$1600)&lt;=VAL_SERIAL)*1000000+4*1000+47))</f>
        <v/>
      </c>
      <c r="FZ163" s="35">
        <f>IF(N('Dvd Calendar'!$L$1601)=0,"",IF(('Dvd Calendar'!$L$1601&gt;=GRID_FROM)*('Dvd Calendar'!$L$1601&lt;=GRID_TO)*('Dvd Calendar'!$L$1601&gt;VAL_DATE)=0,"",'Dvd Calendar'!$L$1601*1000000000+ISNUMBER('Dvd Calendar'!$L$1602)*100000000+0*10000000+(N('Dvd Calendar'!$L$1600)&gt;0)*(N('Dvd Calendar'!$L$1600)&lt;=VAL_SERIAL)*1000000+4*1000+48))</f>
        <v/>
      </c>
      <c r="GA163" s="35">
        <f>IF(N('Dvd Calendar'!$M$1601)=0,"",IF(('Dvd Calendar'!$M$1601&gt;=GRID_FROM)*('Dvd Calendar'!$M$1601&lt;=GRID_TO)*('Dvd Calendar'!$M$1601&gt;VAL_DATE)=0,"",'Dvd Calendar'!$M$1601*1000000000+ISNUMBER('Dvd Calendar'!$M$1602)*100000000+0*10000000+(N('Dvd Calendar'!$M$1600)&gt;0)*(N('Dvd Calendar'!$M$1600)&lt;=VAL_SERIAL)*1000000+4*1000+49))</f>
        <v/>
      </c>
      <c r="GB163" s="35">
        <f>IF(N('Dvd Calendar'!$N$1601)=0,"",IF(('Dvd Calendar'!$N$1601&gt;=GRID_FROM)*('Dvd Calendar'!$N$1601&lt;=GRID_TO)*('Dvd Calendar'!$N$1601&gt;VAL_DATE)=0,"",'Dvd Calendar'!$N$1601*1000000000+ISNUMBER('Dvd Calendar'!$N$1602)*100000000+0*10000000+(N('Dvd Calendar'!$N$1600)&gt;0)*(N('Dvd Calendar'!$N$1600)&lt;=VAL_SERIAL)*1000000+4*1000+50))</f>
        <v/>
      </c>
      <c r="GC163" s="35">
        <f>IF(N('Dvd Calendar'!$O$1601)=0,"",IF(('Dvd Calendar'!$O$1601&gt;=GRID_FROM)*('Dvd Calendar'!$O$1601&lt;=GRID_TO)*('Dvd Calendar'!$O$1601&gt;VAL_DATE)=0,"",'Dvd Calendar'!$O$1601*1000000000+ISNUMBER('Dvd Calendar'!$O$1602)*100000000+0*10000000+(N('Dvd Calendar'!$O$1600)&gt;0)*(N('Dvd Calendar'!$O$1600)&lt;=VAL_SERIAL)*1000000+4*1000+51))</f>
        <v/>
      </c>
      <c r="GD163" s="35">
        <f>IF(N('Dvd Calendar'!$P$1601)=0,"",IF(('Dvd Calendar'!$P$1601&gt;=GRID_FROM)*('Dvd Calendar'!$P$1601&lt;=GRID_TO)*('Dvd Calendar'!$P$1601&gt;VAL_DATE)=0,"",'Dvd Calendar'!$P$1601*1000000000+ISNUMBER('Dvd Calendar'!$P$1602)*100000000+0*10000000+(N('Dvd Calendar'!$P$1600)&gt;0)*(N('Dvd Calendar'!$P$1600)&lt;=VAL_SERIAL)*1000000+4*1000+52))</f>
        <v/>
      </c>
      <c r="GE163" s="35">
        <f>IF(N('Dvd Calendar'!$Q$1601)=0,"",IF(('Dvd Calendar'!$Q$1601&gt;=GRID_FROM)*('Dvd Calendar'!$Q$1601&lt;=GRID_TO)*('Dvd Calendar'!$Q$1601&gt;VAL_DATE)=0,"",'Dvd Calendar'!$Q$1601*1000000000+ISNUMBER('Dvd Calendar'!$Q$1602)*100000000+0*10000000+(N('Dvd Calendar'!$Q$1600)&gt;0)*(N('Dvd Calendar'!$Q$1600)&lt;=VAL_SERIAL)*1000000+4*1000+53))</f>
        <v/>
      </c>
      <c r="GF163" s="35">
        <f>IF(N('Dvd Calendar'!$R$1601)=0,"",IF(('Dvd Calendar'!$R$1601&gt;=GRID_FROM)*('Dvd Calendar'!$R$1601&lt;=GRID_TO)*('Dvd Calendar'!$R$1601&gt;VAL_DATE)=0,"",'Dvd Calendar'!$R$1601*1000000000+ISNUMBER('Dvd Calendar'!$R$1602)*100000000+0*10000000+(N('Dvd Calendar'!$R$1600)&gt;0)*(N('Dvd Calendar'!$R$1600)&lt;=VAL_SERIAL)*1000000+4*1000+54))</f>
        <v/>
      </c>
      <c r="GG163" s="35">
        <f>IF(N('Dvd Calendar'!$S$1601)=0,"",IF(('Dvd Calendar'!$S$1601&gt;=GRID_FROM)*('Dvd Calendar'!$S$1601&lt;=GRID_TO)*('Dvd Calendar'!$S$1601&gt;VAL_DATE)=0,"",'Dvd Calendar'!$S$1601*1000000000+ISNUMBER('Dvd Calendar'!$S$1602)*100000000+0*10000000+(N('Dvd Calendar'!$S$1600)&gt;0)*(N('Dvd Calendar'!$S$1600)&lt;=VAL_SERIAL)*1000000+4*1000+55))</f>
        <v/>
      </c>
      <c r="GH163" s="35">
        <f>IF(N('Dvd Calendar'!$T$1601)=0,"",IF(('Dvd Calendar'!$T$1601&gt;=GRID_FROM)*('Dvd Calendar'!$T$1601&lt;=GRID_TO)*('Dvd Calendar'!$T$1601&gt;VAL_DATE)=0,"",'Dvd Calendar'!$T$1601*1000000000+ISNUMBER('Dvd Calendar'!$T$1602)*100000000+0*10000000+(N('Dvd Calendar'!$T$1600)&gt;0)*(N('Dvd Calendar'!$T$1600)&lt;=VAL_SERIAL)*1000000+4*1000+56))</f>
        <v/>
      </c>
      <c r="GI163" s="35">
        <f>IF(N('Dvd Calendar'!$U$1601)=0,"",IF(('Dvd Calendar'!$U$1601&gt;=GRID_FROM)*('Dvd Calendar'!$U$1601&lt;=GRID_TO)*('Dvd Calendar'!$U$1601&gt;VAL_DATE)=0,"",'Dvd Calendar'!$U$1601*1000000000+ISNUMBER('Dvd Calendar'!$U$1602)*100000000+0*10000000+(N('Dvd Calendar'!$U$1600)&gt;0)*(N('Dvd Calendar'!$U$1600)&lt;=VAL_SERIAL)*1000000+4*1000+57))</f>
        <v/>
      </c>
      <c r="GJ163" s="35">
        <f>IF(N('Dvd Calendar'!$V$1601)=0,"",IF(('Dvd Calendar'!$V$1601&gt;=GRID_FROM)*('Dvd Calendar'!$V$1601&lt;=GRID_TO)*('Dvd Calendar'!$V$1601&gt;VAL_DATE)=0,"",'Dvd Calendar'!$V$1601*1000000000+ISNUMBER('Dvd Calendar'!$V$1602)*100000000+0*10000000+(N('Dvd Calendar'!$V$1600)&gt;0)*(N('Dvd Calendar'!$V$1600)&lt;=VAL_SERIAL)*1000000+4*1000+58))</f>
        <v/>
      </c>
      <c r="GK163" s="35">
        <f>IF(N('Dvd Calendar'!$W$1601)=0,"",IF(('Dvd Calendar'!$W$1601&gt;=GRID_FROM)*('Dvd Calendar'!$W$1601&lt;=GRID_TO)*('Dvd Calendar'!$W$1601&gt;VAL_DATE)=0,"",'Dvd Calendar'!$W$1601*1000000000+ISNUMBER('Dvd Calendar'!$W$1602)*100000000+0*10000000+(N('Dvd Calendar'!$W$1600)&gt;0)*(N('Dvd Calendar'!$W$1600)&lt;=VAL_SERIAL)*1000000+4*1000+59))</f>
        <v/>
      </c>
      <c r="GL163" s="35">
        <f>IF(N('Dvd Calendar'!$X$1601)=0,"",IF(('Dvd Calendar'!$X$1601&gt;=GRID_FROM)*('Dvd Calendar'!$X$1601&lt;=GRID_TO)*('Dvd Calendar'!$X$1601&gt;VAL_DATE)=0,"",'Dvd Calendar'!$X$1601*1000000000+ISNUMBER('Dvd Calendar'!$X$1602)*100000000+0*10000000+(N('Dvd Calendar'!$X$1600)&gt;0)*(N('Dvd Calendar'!$X$1600)&lt;=VAL_SERIAL)*1000000+4*1000+60))</f>
        <v/>
      </c>
      <c r="GM163" s="35">
        <f>IF(N('Dvd Calendar'!$Y$1601)=0,"",IF(('Dvd Calendar'!$Y$1601&gt;=GRID_FROM)*('Dvd Calendar'!$Y$1601&lt;=GRID_TO)*('Dvd Calendar'!$Y$1601&gt;VAL_DATE)=0,"",'Dvd Calendar'!$Y$1601*1000000000+ISNUMBER('Dvd Calendar'!$Y$1602)*100000000+0*10000000+(N('Dvd Calendar'!$Y$1600)&gt;0)*(N('Dvd Calendar'!$Y$1600)&lt;=VAL_SERIAL)*1000000+4*1000+61))</f>
        <v/>
      </c>
      <c r="GN163" s="35">
        <f>IF(N('Dvd Calendar'!$Z$1601)=0,"",IF(('Dvd Calendar'!$Z$1601&gt;=GRID_FROM)*('Dvd Calendar'!$Z$1601&lt;=GRID_TO)*('Dvd Calendar'!$Z$1601&gt;VAL_DATE)=0,"",'Dvd Calendar'!$Z$1601*1000000000+ISNUMBER('Dvd Calendar'!$Z$1602)*100000000+0*10000000+(N('Dvd Calendar'!$Z$1600)&gt;0)*(N('Dvd Calendar'!$Z$1600)&lt;=VAL_SERIAL)*1000000+4*1000+62))</f>
        <v/>
      </c>
      <c r="GO163" s="35">
        <f>IF(N('Dvd Calendar'!$AA$1601)=0,"",IF(('Dvd Calendar'!$AA$1601&gt;=GRID_FROM)*('Dvd Calendar'!$AA$1601&lt;=GRID_TO)*('Dvd Calendar'!$AA$1601&gt;VAL_DATE)=0,"",'Dvd Calendar'!$AA$1601*1000000000+ISNUMBER('Dvd Calendar'!$AA$1602)*100000000+0*10000000+(N('Dvd Calendar'!$AA$1600)&gt;0)*(N('Dvd Calendar'!$AA$1600)&lt;=VAL_SERIAL)*1000000+4*1000+63))</f>
        <v/>
      </c>
      <c r="GP163" s="35">
        <f>IF(N('Dvd Calendar'!$AB$1601)=0,"",IF(('Dvd Calendar'!$AB$1601&gt;=GRID_FROM)*('Dvd Calendar'!$AB$1601&lt;=GRID_TO)*('Dvd Calendar'!$AB$1601&gt;VAL_DATE)=0,"",'Dvd Calendar'!$AB$1601*1000000000+ISNUMBER('Dvd Calendar'!$AB$1602)*100000000+0*10000000+(N('Dvd Calendar'!$AB$1600)&gt;0)*(N('Dvd Calendar'!$AB$1600)&lt;=VAL_SERIAL)*1000000+4*1000+64))</f>
        <v/>
      </c>
      <c r="GQ163" s="35">
        <f>IF(N('Dvd Calendar'!$AC$1601)=0,"",IF(('Dvd Calendar'!$AC$1601&gt;=GRID_FROM)*('Dvd Calendar'!$AC$1601&lt;=GRID_TO)*('Dvd Calendar'!$AC$1601&gt;VAL_DATE)=0,"",'Dvd Calendar'!$AC$1601*1000000000+ISNUMBER('Dvd Calendar'!$AC$1602)*100000000+0*10000000+(N('Dvd Calendar'!$AC$1600)&gt;0)*(N('Dvd Calendar'!$AC$1600)&lt;=VAL_SERIAL)*1000000+4*1000+65))</f>
        <v/>
      </c>
    </row>
    <row r="164">
      <c r="B164" s="2">
        <f>IF(HSCEI!$C$11="","",HSCEI!$C$11)</f>
        <v/>
      </c>
      <c r="C164" s="106">
        <f>IF(EE164="","",IF(ISNUMBER('Dvd Calendar'!$E$1608)=FALSE,"",IF((('Dvd Calendar'!$E$1610=TYPE1)*(TYPE1&lt;&gt;"")+('Dvd Calendar'!$E$1610=TYPE2)*(TYPE2&lt;&gt;"")+('Dvd Calendar'!$E$1610=TYPE3)*(TYPE3&lt;&gt;"")+('Dvd Calendar'!$E$1610=TYPE4)*(TYPE4&lt;&gt;"")+('Dvd Calendar'!$E$1610=SPECIAL_LBL)*(INC_SPECIALS="Y"))=0,"",'Dvd Calendar'!$E$1608)))</f>
        <v/>
      </c>
      <c r="D164" s="106">
        <f>IF(EF164="","",IF(ISNUMBER('Dvd Calendar'!$F$1608)=FALSE,"",IF((('Dvd Calendar'!$F$1610=TYPE1)*(TYPE1&lt;&gt;"")+('Dvd Calendar'!$F$1610=TYPE2)*(TYPE2&lt;&gt;"")+('Dvd Calendar'!$F$1610=TYPE3)*(TYPE3&lt;&gt;"")+('Dvd Calendar'!$F$1610=TYPE4)*(TYPE4&lt;&gt;"")+('Dvd Calendar'!$F$1610=SPECIAL_LBL)*(INC_SPECIALS="Y"))=0,"",'Dvd Calendar'!$F$1608)))</f>
        <v/>
      </c>
      <c r="E164" s="106">
        <f>IF(EG164="","",IF(ISNUMBER('Dvd Calendar'!$G$1608)=FALSE,"",IF((('Dvd Calendar'!$G$1610=TYPE1)*(TYPE1&lt;&gt;"")+('Dvd Calendar'!$G$1610=TYPE2)*(TYPE2&lt;&gt;"")+('Dvd Calendar'!$G$1610=TYPE3)*(TYPE3&lt;&gt;"")+('Dvd Calendar'!$G$1610=TYPE4)*(TYPE4&lt;&gt;"")+('Dvd Calendar'!$G$1610=SPECIAL_LBL)*(INC_SPECIALS="Y"))=0,"",'Dvd Calendar'!$G$1608)))</f>
        <v/>
      </c>
      <c r="F164" s="106">
        <f>IF(EH164="","",IF(ISNUMBER('Dvd Calendar'!$H$1608)=FALSE,"",IF((('Dvd Calendar'!$H$1610=TYPE1)*(TYPE1&lt;&gt;"")+('Dvd Calendar'!$H$1610=TYPE2)*(TYPE2&lt;&gt;"")+('Dvd Calendar'!$H$1610=TYPE3)*(TYPE3&lt;&gt;"")+('Dvd Calendar'!$H$1610=TYPE4)*(TYPE4&lt;&gt;"")+('Dvd Calendar'!$H$1610=SPECIAL_LBL)*(INC_SPECIALS="Y"))=0,"",'Dvd Calendar'!$H$1608)))</f>
        <v/>
      </c>
      <c r="G164" s="106">
        <f>IF(EI164="","",IF(ISNUMBER('Dvd Calendar'!$I$1608)=FALSE,"",IF((('Dvd Calendar'!$I$1610=TYPE1)*(TYPE1&lt;&gt;"")+('Dvd Calendar'!$I$1610=TYPE2)*(TYPE2&lt;&gt;"")+('Dvd Calendar'!$I$1610=TYPE3)*(TYPE3&lt;&gt;"")+('Dvd Calendar'!$I$1610=TYPE4)*(TYPE4&lt;&gt;"")+('Dvd Calendar'!$I$1610=SPECIAL_LBL)*(INC_SPECIALS="Y"))=0,"",'Dvd Calendar'!$I$1608)))</f>
        <v/>
      </c>
      <c r="H164" s="106">
        <f>IF(EJ164="","",IF(ISNUMBER('Dvd Calendar'!$J$1608)=FALSE,"",IF((('Dvd Calendar'!$J$1610=TYPE1)*(TYPE1&lt;&gt;"")+('Dvd Calendar'!$J$1610=TYPE2)*(TYPE2&lt;&gt;"")+('Dvd Calendar'!$J$1610=TYPE3)*(TYPE3&lt;&gt;"")+('Dvd Calendar'!$J$1610=TYPE4)*(TYPE4&lt;&gt;"")+('Dvd Calendar'!$J$1610=SPECIAL_LBL)*(INC_SPECIALS="Y"))=0,"",'Dvd Calendar'!$J$1608)))</f>
        <v/>
      </c>
      <c r="I164" s="106">
        <f>IF(EK164="","",IF(ISNUMBER('Dvd Calendar'!$K$1608)=FALSE,"",IF((('Dvd Calendar'!$K$1610=TYPE1)*(TYPE1&lt;&gt;"")+('Dvd Calendar'!$K$1610=TYPE2)*(TYPE2&lt;&gt;"")+('Dvd Calendar'!$K$1610=TYPE3)*(TYPE3&lt;&gt;"")+('Dvd Calendar'!$K$1610=TYPE4)*(TYPE4&lt;&gt;"")+('Dvd Calendar'!$K$1610=SPECIAL_LBL)*(INC_SPECIALS="Y"))=0,"",'Dvd Calendar'!$K$1608)))</f>
        <v/>
      </c>
      <c r="J164" s="106">
        <f>IF(EL164="","",IF(ISNUMBER('Dvd Calendar'!$L$1608)=FALSE,"",IF((('Dvd Calendar'!$L$1610=TYPE1)*(TYPE1&lt;&gt;"")+('Dvd Calendar'!$L$1610=TYPE2)*(TYPE2&lt;&gt;"")+('Dvd Calendar'!$L$1610=TYPE3)*(TYPE3&lt;&gt;"")+('Dvd Calendar'!$L$1610=TYPE4)*(TYPE4&lt;&gt;"")+('Dvd Calendar'!$L$1610=SPECIAL_LBL)*(INC_SPECIALS="Y"))=0,"",'Dvd Calendar'!$L$1608)))</f>
        <v/>
      </c>
      <c r="K164" s="106">
        <f>IF(EM164="","",IF(ISNUMBER('Dvd Calendar'!$M$1608)=FALSE,"",IF((('Dvd Calendar'!$M$1610=TYPE1)*(TYPE1&lt;&gt;"")+('Dvd Calendar'!$M$1610=TYPE2)*(TYPE2&lt;&gt;"")+('Dvd Calendar'!$M$1610=TYPE3)*(TYPE3&lt;&gt;"")+('Dvd Calendar'!$M$1610=TYPE4)*(TYPE4&lt;&gt;"")+('Dvd Calendar'!$M$1610=SPECIAL_LBL)*(INC_SPECIALS="Y"))=0,"",'Dvd Calendar'!$M$1608)))</f>
        <v/>
      </c>
      <c r="L164" s="106">
        <f>IF(EN164="","",IF(ISNUMBER('Dvd Calendar'!$N$1608)=FALSE,"",IF((('Dvd Calendar'!$N$1610=TYPE1)*(TYPE1&lt;&gt;"")+('Dvd Calendar'!$N$1610=TYPE2)*(TYPE2&lt;&gt;"")+('Dvd Calendar'!$N$1610=TYPE3)*(TYPE3&lt;&gt;"")+('Dvd Calendar'!$N$1610=TYPE4)*(TYPE4&lt;&gt;"")+('Dvd Calendar'!$N$1610=SPECIAL_LBL)*(INC_SPECIALS="Y"))=0,"",'Dvd Calendar'!$N$1608)))</f>
        <v/>
      </c>
      <c r="M164" s="106">
        <f>IF(EO164="","",IF(ISNUMBER('Dvd Calendar'!$O$1608)=FALSE,"",IF((('Dvd Calendar'!$O$1610=TYPE1)*(TYPE1&lt;&gt;"")+('Dvd Calendar'!$O$1610=TYPE2)*(TYPE2&lt;&gt;"")+('Dvd Calendar'!$O$1610=TYPE3)*(TYPE3&lt;&gt;"")+('Dvd Calendar'!$O$1610=TYPE4)*(TYPE4&lt;&gt;"")+('Dvd Calendar'!$O$1610=SPECIAL_LBL)*(INC_SPECIALS="Y"))=0,"",'Dvd Calendar'!$O$1608)))</f>
        <v/>
      </c>
      <c r="N164" s="106">
        <f>IF(EP164="","",IF(ISNUMBER('Dvd Calendar'!$P$1608)=FALSE,"",IF((('Dvd Calendar'!$P$1610=TYPE1)*(TYPE1&lt;&gt;"")+('Dvd Calendar'!$P$1610=TYPE2)*(TYPE2&lt;&gt;"")+('Dvd Calendar'!$P$1610=TYPE3)*(TYPE3&lt;&gt;"")+('Dvd Calendar'!$P$1610=TYPE4)*(TYPE4&lt;&gt;"")+('Dvd Calendar'!$P$1610=SPECIAL_LBL)*(INC_SPECIALS="Y"))=0,"",'Dvd Calendar'!$P$1608)))</f>
        <v/>
      </c>
      <c r="O164" s="106">
        <f>IF(EQ164="","",IF(ISNUMBER('Dvd Calendar'!$Q$1608)=FALSE,"",IF((('Dvd Calendar'!$Q$1610=TYPE1)*(TYPE1&lt;&gt;"")+('Dvd Calendar'!$Q$1610=TYPE2)*(TYPE2&lt;&gt;"")+('Dvd Calendar'!$Q$1610=TYPE3)*(TYPE3&lt;&gt;"")+('Dvd Calendar'!$Q$1610=TYPE4)*(TYPE4&lt;&gt;"")+('Dvd Calendar'!$Q$1610=SPECIAL_LBL)*(INC_SPECIALS="Y"))=0,"",'Dvd Calendar'!$Q$1608)))</f>
        <v/>
      </c>
      <c r="P164" s="106">
        <f>IF(ER164="","",IF(ISNUMBER('Dvd Calendar'!$R$1608)=FALSE,"",IF((('Dvd Calendar'!$R$1610=TYPE1)*(TYPE1&lt;&gt;"")+('Dvd Calendar'!$R$1610=TYPE2)*(TYPE2&lt;&gt;"")+('Dvd Calendar'!$R$1610=TYPE3)*(TYPE3&lt;&gt;"")+('Dvd Calendar'!$R$1610=TYPE4)*(TYPE4&lt;&gt;"")+('Dvd Calendar'!$R$1610=SPECIAL_LBL)*(INC_SPECIALS="Y"))=0,"",'Dvd Calendar'!$R$1608)))</f>
        <v/>
      </c>
      <c r="Q164" s="106">
        <f>IF(ES164="","",IF(ISNUMBER('Dvd Calendar'!$S$1608)=FALSE,"",IF((('Dvd Calendar'!$S$1610=TYPE1)*(TYPE1&lt;&gt;"")+('Dvd Calendar'!$S$1610=TYPE2)*(TYPE2&lt;&gt;"")+('Dvd Calendar'!$S$1610=TYPE3)*(TYPE3&lt;&gt;"")+('Dvd Calendar'!$S$1610=TYPE4)*(TYPE4&lt;&gt;"")+('Dvd Calendar'!$S$1610=SPECIAL_LBL)*(INC_SPECIALS="Y"))=0,"",'Dvd Calendar'!$S$1608)))</f>
        <v/>
      </c>
      <c r="R164" s="106">
        <f>IF(ET164="","",IF(ISNUMBER('Dvd Calendar'!$T$1608)=FALSE,"",IF((('Dvd Calendar'!$T$1610=TYPE1)*(TYPE1&lt;&gt;"")+('Dvd Calendar'!$T$1610=TYPE2)*(TYPE2&lt;&gt;"")+('Dvd Calendar'!$T$1610=TYPE3)*(TYPE3&lt;&gt;"")+('Dvd Calendar'!$T$1610=TYPE4)*(TYPE4&lt;&gt;"")+('Dvd Calendar'!$T$1610=SPECIAL_LBL)*(INC_SPECIALS="Y"))=0,"",'Dvd Calendar'!$T$1608)))</f>
        <v/>
      </c>
      <c r="S164" s="106">
        <f>IF(EU164="","",IF(ISNUMBER('Dvd Calendar'!$U$1608)=FALSE,"",IF((('Dvd Calendar'!$U$1610=TYPE1)*(TYPE1&lt;&gt;"")+('Dvd Calendar'!$U$1610=TYPE2)*(TYPE2&lt;&gt;"")+('Dvd Calendar'!$U$1610=TYPE3)*(TYPE3&lt;&gt;"")+('Dvd Calendar'!$U$1610=TYPE4)*(TYPE4&lt;&gt;"")+('Dvd Calendar'!$U$1610=SPECIAL_LBL)*(INC_SPECIALS="Y"))=0,"",'Dvd Calendar'!$U$1608)))</f>
        <v/>
      </c>
      <c r="T164" s="106">
        <f>IF(EV164="","",IF(ISNUMBER('Dvd Calendar'!$V$1608)=FALSE,"",IF((('Dvd Calendar'!$V$1610=TYPE1)*(TYPE1&lt;&gt;"")+('Dvd Calendar'!$V$1610=TYPE2)*(TYPE2&lt;&gt;"")+('Dvd Calendar'!$V$1610=TYPE3)*(TYPE3&lt;&gt;"")+('Dvd Calendar'!$V$1610=TYPE4)*(TYPE4&lt;&gt;"")+('Dvd Calendar'!$V$1610=SPECIAL_LBL)*(INC_SPECIALS="Y"))=0,"",'Dvd Calendar'!$V$1608)))</f>
        <v/>
      </c>
      <c r="U164" s="106">
        <f>IF(EW164="","",IF(ISNUMBER('Dvd Calendar'!$W$1608)=FALSE,"",IF((('Dvd Calendar'!$W$1610=TYPE1)*(TYPE1&lt;&gt;"")+('Dvd Calendar'!$W$1610=TYPE2)*(TYPE2&lt;&gt;"")+('Dvd Calendar'!$W$1610=TYPE3)*(TYPE3&lt;&gt;"")+('Dvd Calendar'!$W$1610=TYPE4)*(TYPE4&lt;&gt;"")+('Dvd Calendar'!$W$1610=SPECIAL_LBL)*(INC_SPECIALS="Y"))=0,"",'Dvd Calendar'!$W$1608)))</f>
        <v/>
      </c>
      <c r="V164" s="106">
        <f>IF(EX164="","",IF(ISNUMBER('Dvd Calendar'!$X$1608)=FALSE,"",IF((('Dvd Calendar'!$X$1610=TYPE1)*(TYPE1&lt;&gt;"")+('Dvd Calendar'!$X$1610=TYPE2)*(TYPE2&lt;&gt;"")+('Dvd Calendar'!$X$1610=TYPE3)*(TYPE3&lt;&gt;"")+('Dvd Calendar'!$X$1610=TYPE4)*(TYPE4&lt;&gt;"")+('Dvd Calendar'!$X$1610=SPECIAL_LBL)*(INC_SPECIALS="Y"))=0,"",'Dvd Calendar'!$X$1608)))</f>
        <v/>
      </c>
      <c r="W164" s="106">
        <f>IF(EY164="","",IF(ISNUMBER('Dvd Calendar'!$Y$1608)=FALSE,"",IF((('Dvd Calendar'!$Y$1610=TYPE1)*(TYPE1&lt;&gt;"")+('Dvd Calendar'!$Y$1610=TYPE2)*(TYPE2&lt;&gt;"")+('Dvd Calendar'!$Y$1610=TYPE3)*(TYPE3&lt;&gt;"")+('Dvd Calendar'!$Y$1610=TYPE4)*(TYPE4&lt;&gt;"")+('Dvd Calendar'!$Y$1610=SPECIAL_LBL)*(INC_SPECIALS="Y"))=0,"",'Dvd Calendar'!$Y$1608)))</f>
        <v/>
      </c>
      <c r="X164" s="106">
        <f>IF(EZ164="","",IF(ISNUMBER('Dvd Calendar'!$Z$1608)=FALSE,"",IF((('Dvd Calendar'!$Z$1610=TYPE1)*(TYPE1&lt;&gt;"")+('Dvd Calendar'!$Z$1610=TYPE2)*(TYPE2&lt;&gt;"")+('Dvd Calendar'!$Z$1610=TYPE3)*(TYPE3&lt;&gt;"")+('Dvd Calendar'!$Z$1610=TYPE4)*(TYPE4&lt;&gt;"")+('Dvd Calendar'!$Z$1610=SPECIAL_LBL)*(INC_SPECIALS="Y"))=0,"",'Dvd Calendar'!$Z$1608)))</f>
        <v/>
      </c>
      <c r="Y164" s="106">
        <f>IF(FA164="","",IF(ISNUMBER('Dvd Calendar'!$AA$1608)=FALSE,"",IF((('Dvd Calendar'!$AA$1610=TYPE1)*(TYPE1&lt;&gt;"")+('Dvd Calendar'!$AA$1610=TYPE2)*(TYPE2&lt;&gt;"")+('Dvd Calendar'!$AA$1610=TYPE3)*(TYPE3&lt;&gt;"")+('Dvd Calendar'!$AA$1610=TYPE4)*(TYPE4&lt;&gt;"")+('Dvd Calendar'!$AA$1610=SPECIAL_LBL)*(INC_SPECIALS="Y"))=0,"",'Dvd Calendar'!$AA$1608)))</f>
        <v/>
      </c>
      <c r="Z164" s="106">
        <f>IF(FB164="","",IF(ISNUMBER('Dvd Calendar'!$AB$1608)=FALSE,"",IF((('Dvd Calendar'!$AB$1610=TYPE1)*(TYPE1&lt;&gt;"")+('Dvd Calendar'!$AB$1610=TYPE2)*(TYPE2&lt;&gt;"")+('Dvd Calendar'!$AB$1610=TYPE3)*(TYPE3&lt;&gt;"")+('Dvd Calendar'!$AB$1610=TYPE4)*(TYPE4&lt;&gt;"")+('Dvd Calendar'!$AB$1610=SPECIAL_LBL)*(INC_SPECIALS="Y"))=0,"",'Dvd Calendar'!$AB$1608)))</f>
        <v/>
      </c>
      <c r="AA164" s="106">
        <f>IF(FC164="","",IF(ISNUMBER('Dvd Calendar'!$AC$1608)=FALSE,"",IF((('Dvd Calendar'!$AC$1610=TYPE1)*(TYPE1&lt;&gt;"")+('Dvd Calendar'!$AC$1610=TYPE2)*(TYPE2&lt;&gt;"")+('Dvd Calendar'!$AC$1610=TYPE3)*(TYPE3&lt;&gt;"")+('Dvd Calendar'!$AC$1610=TYPE4)*(TYPE4&lt;&gt;"")+('Dvd Calendar'!$AC$1610=SPECIAL_LBL)*(INC_SPECIALS="Y"))=0,"",'Dvd Calendar'!$AC$1608)))</f>
        <v/>
      </c>
      <c r="AB164" s="106">
        <f>IF(FD164="","",IF(ISNUMBER('Dvd Calendar'!$AD$1608)=FALSE,"",IF((('Dvd Calendar'!$AD$1610=TYPE1)*(TYPE1&lt;&gt;"")+('Dvd Calendar'!$AD$1610=TYPE2)*(TYPE2&lt;&gt;"")+('Dvd Calendar'!$AD$1610=TYPE3)*(TYPE3&lt;&gt;"")+('Dvd Calendar'!$AD$1610=TYPE4)*(TYPE4&lt;&gt;"")+('Dvd Calendar'!$AD$1610=SPECIAL_LBL)*(INC_SPECIALS="Y"))=0,"",'Dvd Calendar'!$AD$1608)))</f>
        <v/>
      </c>
      <c r="AC164" s="106">
        <f>IF(FE164="","",IF(ISNUMBER('Dvd Calendar'!$AE$1608)=FALSE,"",IF((('Dvd Calendar'!$AE$1610=TYPE1)*(TYPE1&lt;&gt;"")+('Dvd Calendar'!$AE$1610=TYPE2)*(TYPE2&lt;&gt;"")+('Dvd Calendar'!$AE$1610=TYPE3)*(TYPE3&lt;&gt;"")+('Dvd Calendar'!$AE$1610=TYPE4)*(TYPE4&lt;&gt;"")+('Dvd Calendar'!$AE$1610=SPECIAL_LBL)*(INC_SPECIALS="Y"))=0,"",'Dvd Calendar'!$AE$1608)))</f>
        <v/>
      </c>
      <c r="AD164" s="106">
        <f>IF(FF164="","",IF(ISNUMBER('Dvd Calendar'!$AF$1608)=FALSE,"",IF((('Dvd Calendar'!$AF$1610=TYPE1)*(TYPE1&lt;&gt;"")+('Dvd Calendar'!$AF$1610=TYPE2)*(TYPE2&lt;&gt;"")+('Dvd Calendar'!$AF$1610=TYPE3)*(TYPE3&lt;&gt;"")+('Dvd Calendar'!$AF$1610=TYPE4)*(TYPE4&lt;&gt;"")+('Dvd Calendar'!$AF$1610=SPECIAL_LBL)*(INC_SPECIALS="Y"))=0,"",'Dvd Calendar'!$AF$1608)))</f>
        <v/>
      </c>
      <c r="AE164" s="106">
        <f>IF(FG164="","",IF(ISNUMBER('Dvd Calendar'!$AG$1608)=FALSE,"",IF((('Dvd Calendar'!$AG$1610=TYPE1)*(TYPE1&lt;&gt;"")+('Dvd Calendar'!$AG$1610=TYPE2)*(TYPE2&lt;&gt;"")+('Dvd Calendar'!$AG$1610=TYPE3)*(TYPE3&lt;&gt;"")+('Dvd Calendar'!$AG$1610=TYPE4)*(TYPE4&lt;&gt;"")+('Dvd Calendar'!$AG$1610=SPECIAL_LBL)*(INC_SPECIALS="Y"))=0,"",'Dvd Calendar'!$AG$1608)))</f>
        <v/>
      </c>
      <c r="AF164" s="106">
        <f>IF(FH164="","",IF(ISNUMBER('Dvd Calendar'!$AH$1608)=FALSE,"",IF((('Dvd Calendar'!$AH$1610=TYPE1)*(TYPE1&lt;&gt;"")+('Dvd Calendar'!$AH$1610=TYPE2)*(TYPE2&lt;&gt;"")+('Dvd Calendar'!$AH$1610=TYPE3)*(TYPE3&lt;&gt;"")+('Dvd Calendar'!$AH$1610=TYPE4)*(TYPE4&lt;&gt;"")+('Dvd Calendar'!$AH$1610=SPECIAL_LBL)*(INC_SPECIALS="Y"))=0,"",'Dvd Calendar'!$AH$1608)))</f>
        <v/>
      </c>
      <c r="AG164" s="106">
        <f>IF(FI164="","",IF(ISNUMBER('Dvd Calendar'!$AI$1608)=FALSE,"",IF((('Dvd Calendar'!$AI$1610=TYPE1)*(TYPE1&lt;&gt;"")+('Dvd Calendar'!$AI$1610=TYPE2)*(TYPE2&lt;&gt;"")+('Dvd Calendar'!$AI$1610=TYPE3)*(TYPE3&lt;&gt;"")+('Dvd Calendar'!$AI$1610=TYPE4)*(TYPE4&lt;&gt;"")+('Dvd Calendar'!$AI$1610=SPECIAL_LBL)*(INC_SPECIALS="Y"))=0,"",'Dvd Calendar'!$AI$1608)))</f>
        <v/>
      </c>
      <c r="AH164" s="106">
        <f>IF(FJ164="","",IF(ISNUMBER('Dvd Calendar'!$AJ$1608)=FALSE,"",IF((('Dvd Calendar'!$AJ$1610=TYPE1)*(TYPE1&lt;&gt;"")+('Dvd Calendar'!$AJ$1610=TYPE2)*(TYPE2&lt;&gt;"")+('Dvd Calendar'!$AJ$1610=TYPE3)*(TYPE3&lt;&gt;"")+('Dvd Calendar'!$AJ$1610=TYPE4)*(TYPE4&lt;&gt;"")+('Dvd Calendar'!$AJ$1610=SPECIAL_LBL)*(INC_SPECIALS="Y"))=0,"",'Dvd Calendar'!$AJ$1608)))</f>
        <v/>
      </c>
      <c r="AI164" s="106">
        <f>IF(FK164="","",IF(ISNUMBER('Dvd Calendar'!$AK$1608)=FALSE,"",IF((('Dvd Calendar'!$AK$1610=TYPE1)*(TYPE1&lt;&gt;"")+('Dvd Calendar'!$AK$1610=TYPE2)*(TYPE2&lt;&gt;"")+('Dvd Calendar'!$AK$1610=TYPE3)*(TYPE3&lt;&gt;"")+('Dvd Calendar'!$AK$1610=TYPE4)*(TYPE4&lt;&gt;"")+('Dvd Calendar'!$AK$1610=SPECIAL_LBL)*(INC_SPECIALS="Y"))=0,"",'Dvd Calendar'!$AK$1608)))</f>
        <v/>
      </c>
      <c r="AJ164" s="106">
        <f>IF(FL164="","",IF(ISNUMBER('Dvd Calendar'!$AL$1608)=FALSE,"",IF((('Dvd Calendar'!$AL$1610=TYPE1)*(TYPE1&lt;&gt;"")+('Dvd Calendar'!$AL$1610=TYPE2)*(TYPE2&lt;&gt;"")+('Dvd Calendar'!$AL$1610=TYPE3)*(TYPE3&lt;&gt;"")+('Dvd Calendar'!$AL$1610=TYPE4)*(TYPE4&lt;&gt;"")+('Dvd Calendar'!$AL$1610=SPECIAL_LBL)*(INC_SPECIALS="Y"))=0,"",'Dvd Calendar'!$AL$1608)))</f>
        <v/>
      </c>
      <c r="AK164" s="106">
        <f>IF(FM164="","",IF(ISNUMBER('Dvd Calendar'!$AM$1608)=FALSE,"",IF((('Dvd Calendar'!$AM$1610=TYPE1)*(TYPE1&lt;&gt;"")+('Dvd Calendar'!$AM$1610=TYPE2)*(TYPE2&lt;&gt;"")+('Dvd Calendar'!$AM$1610=TYPE3)*(TYPE3&lt;&gt;"")+('Dvd Calendar'!$AM$1610=TYPE4)*(TYPE4&lt;&gt;"")+('Dvd Calendar'!$AM$1610=SPECIAL_LBL)*(INC_SPECIALS="Y"))=0,"",'Dvd Calendar'!$AM$1608)))</f>
        <v/>
      </c>
      <c r="AL164" s="106">
        <f>IF(FN164="","",IF(ISNUMBER('Dvd Calendar'!$AN$1608)=FALSE,"",IF((('Dvd Calendar'!$AN$1610=TYPE1)*(TYPE1&lt;&gt;"")+('Dvd Calendar'!$AN$1610=TYPE2)*(TYPE2&lt;&gt;"")+('Dvd Calendar'!$AN$1610=TYPE3)*(TYPE3&lt;&gt;"")+('Dvd Calendar'!$AN$1610=TYPE4)*(TYPE4&lt;&gt;"")+('Dvd Calendar'!$AN$1610=SPECIAL_LBL)*(INC_SPECIALS="Y"))=0,"",'Dvd Calendar'!$AN$1608)))</f>
        <v/>
      </c>
      <c r="AM164" s="106">
        <f>IF(FO164="","",IF(ISNUMBER('Dvd Calendar'!$AO$1608)=FALSE,"",IF((('Dvd Calendar'!$AO$1610=TYPE1)*(TYPE1&lt;&gt;"")+('Dvd Calendar'!$AO$1610=TYPE2)*(TYPE2&lt;&gt;"")+('Dvd Calendar'!$AO$1610=TYPE3)*(TYPE3&lt;&gt;"")+('Dvd Calendar'!$AO$1610=TYPE4)*(TYPE4&lt;&gt;"")+('Dvd Calendar'!$AO$1610=SPECIAL_LBL)*(INC_SPECIALS="Y"))=0,"",'Dvd Calendar'!$AO$1608)))</f>
        <v/>
      </c>
      <c r="AN164" s="106">
        <f>IF(FP164="","",IF(ISNUMBER('Dvd Calendar'!$AP$1608)=FALSE,"",IF((('Dvd Calendar'!$AP$1610=TYPE1)*(TYPE1&lt;&gt;"")+('Dvd Calendar'!$AP$1610=TYPE2)*(TYPE2&lt;&gt;"")+('Dvd Calendar'!$AP$1610=TYPE3)*(TYPE3&lt;&gt;"")+('Dvd Calendar'!$AP$1610=TYPE4)*(TYPE4&lt;&gt;"")+('Dvd Calendar'!$AP$1610=SPECIAL_LBL)*(INC_SPECIALS="Y"))=0,"",'Dvd Calendar'!$AP$1608)))</f>
        <v/>
      </c>
      <c r="AO164" s="106">
        <f>IF(FQ164="","",IF(ISNUMBER('Dvd Calendar'!$AQ$1608)=FALSE,"",IF((('Dvd Calendar'!$AQ$1610=TYPE1)*(TYPE1&lt;&gt;"")+('Dvd Calendar'!$AQ$1610=TYPE2)*(TYPE2&lt;&gt;"")+('Dvd Calendar'!$AQ$1610=TYPE3)*(TYPE3&lt;&gt;"")+('Dvd Calendar'!$AQ$1610=TYPE4)*(TYPE4&lt;&gt;"")+('Dvd Calendar'!$AQ$1610=SPECIAL_LBL)*(INC_SPECIALS="Y"))=0,"",'Dvd Calendar'!$AQ$1608)))</f>
        <v/>
      </c>
      <c r="AP164" s="106">
        <f>IF(FR164="","",IF(ISNUMBER('Dvd Calendar'!$AR$1608)=FALSE,"",IF((('Dvd Calendar'!$AR$1610=TYPE1)*(TYPE1&lt;&gt;"")+('Dvd Calendar'!$AR$1610=TYPE2)*(TYPE2&lt;&gt;"")+('Dvd Calendar'!$AR$1610=TYPE3)*(TYPE3&lt;&gt;"")+('Dvd Calendar'!$AR$1610=TYPE4)*(TYPE4&lt;&gt;"")+('Dvd Calendar'!$AR$1610=SPECIAL_LBL)*(INC_SPECIALS="Y"))=0,"",'Dvd Calendar'!$AR$1608)))</f>
        <v/>
      </c>
      <c r="AQ164" s="106">
        <f>IF(FS164="","",IF(ISNUMBER('Dvd Calendar'!$E$1613)=FALSE,"",'Dvd Calendar'!$E$1613))</f>
        <v/>
      </c>
      <c r="AR164" s="106">
        <f>IF(FT164="","",IF(ISNUMBER('Dvd Calendar'!$F$1613)=FALSE,"",'Dvd Calendar'!$F$1613))</f>
        <v/>
      </c>
      <c r="AS164" s="106">
        <f>IF(FU164="","",IF(ISNUMBER('Dvd Calendar'!$G$1613)=FALSE,"",'Dvd Calendar'!$G$1613))</f>
        <v/>
      </c>
      <c r="AT164" s="106">
        <f>IF(FV164="","",IF(ISNUMBER('Dvd Calendar'!$H$1613)=FALSE,"",'Dvd Calendar'!$H$1613))</f>
        <v/>
      </c>
      <c r="AU164" s="106">
        <f>IF(FW164="","",IF(ISNUMBER('Dvd Calendar'!$I$1613)=FALSE,"",'Dvd Calendar'!$I$1613))</f>
        <v/>
      </c>
      <c r="AV164" s="106">
        <f>IF(FX164="","",IF(ISNUMBER('Dvd Calendar'!$J$1613)=FALSE,"",'Dvd Calendar'!$J$1613))</f>
        <v/>
      </c>
      <c r="AW164" s="106">
        <f>IF(FY164="","",IF(ISNUMBER('Dvd Calendar'!$K$1613)=FALSE,"",'Dvd Calendar'!$K$1613))</f>
        <v/>
      </c>
      <c r="AX164" s="106">
        <f>IF(FZ164="","",IF(ISNUMBER('Dvd Calendar'!$L$1613)=FALSE,"",'Dvd Calendar'!$L$1613))</f>
        <v/>
      </c>
      <c r="AY164" s="106">
        <f>IF(GA164="","",IF(ISNUMBER('Dvd Calendar'!$M$1613)=FALSE,"",'Dvd Calendar'!$M$1613))</f>
        <v/>
      </c>
      <c r="AZ164" s="106">
        <f>IF(GB164="","",IF(ISNUMBER('Dvd Calendar'!$N$1613)=FALSE,"",'Dvd Calendar'!$N$1613))</f>
        <v/>
      </c>
      <c r="BA164" s="106">
        <f>IF(GC164="","",IF(ISNUMBER('Dvd Calendar'!$O$1613)=FALSE,"",'Dvd Calendar'!$O$1613))</f>
        <v/>
      </c>
      <c r="BB164" s="106">
        <f>IF(GD164="","",IF(ISNUMBER('Dvd Calendar'!$P$1613)=FALSE,"",'Dvd Calendar'!$P$1613))</f>
        <v/>
      </c>
      <c r="BC164" s="106">
        <f>IF(GE164="","",IF(ISNUMBER('Dvd Calendar'!$Q$1613)=FALSE,"",'Dvd Calendar'!$Q$1613))</f>
        <v/>
      </c>
      <c r="BD164" s="106">
        <f>IF(GF164="","",IF(ISNUMBER('Dvd Calendar'!$R$1613)=FALSE,"",'Dvd Calendar'!$R$1613))</f>
        <v/>
      </c>
      <c r="BE164" s="106">
        <f>IF(GG164="","",IF(ISNUMBER('Dvd Calendar'!$S$1613)=FALSE,"",'Dvd Calendar'!$S$1613))</f>
        <v/>
      </c>
      <c r="BF164" s="106">
        <f>IF(GH164="","",IF(ISNUMBER('Dvd Calendar'!$T$1613)=FALSE,"",'Dvd Calendar'!$T$1613))</f>
        <v/>
      </c>
      <c r="BG164" s="106">
        <f>IF(GI164="","",IF(ISNUMBER('Dvd Calendar'!$U$1613)=FALSE,"",'Dvd Calendar'!$U$1613))</f>
        <v/>
      </c>
      <c r="BH164" s="106">
        <f>IF(GJ164="","",IF(ISNUMBER('Dvd Calendar'!$V$1613)=FALSE,"",'Dvd Calendar'!$V$1613))</f>
        <v/>
      </c>
      <c r="BI164" s="106">
        <f>IF(GK164="","",IF(ISNUMBER('Dvd Calendar'!$W$1613)=FALSE,"",'Dvd Calendar'!$W$1613))</f>
        <v/>
      </c>
      <c r="BJ164" s="106">
        <f>IF(GL164="","",IF(ISNUMBER('Dvd Calendar'!$X$1613)=FALSE,"",'Dvd Calendar'!$X$1613))</f>
        <v/>
      </c>
      <c r="BK164" s="106">
        <f>IF(GM164="","",IF(ISNUMBER('Dvd Calendar'!$Y$1613)=FALSE,"",'Dvd Calendar'!$Y$1613))</f>
        <v/>
      </c>
      <c r="BL164" s="106">
        <f>IF(GN164="","",IF(ISNUMBER('Dvd Calendar'!$Z$1613)=FALSE,"",'Dvd Calendar'!$Z$1613))</f>
        <v/>
      </c>
      <c r="BM164" s="106">
        <f>IF(GO164="","",IF(ISNUMBER('Dvd Calendar'!$AA$1613)=FALSE,"",'Dvd Calendar'!$AA$1613))</f>
        <v/>
      </c>
      <c r="BN164" s="106">
        <f>IF(GP164="","",IF(ISNUMBER('Dvd Calendar'!$AB$1613)=FALSE,"",'Dvd Calendar'!$AB$1613))</f>
        <v/>
      </c>
      <c r="BO164" s="106">
        <f>IF(GQ164="","",IF(ISNUMBER('Dvd Calendar'!$AC$1613)=FALSE,"",'Dvd Calendar'!$AC$1613))</f>
        <v/>
      </c>
      <c r="BQ164" s="106">
        <f>IF(C164="","",IFERROR(C164*HSCEI!$B$11*HSCEI!$G$11/HSCEI!$B$3,""))</f>
        <v/>
      </c>
      <c r="BR164" s="106">
        <f>IF(D164="","",IFERROR(D164*HSCEI!$B$11*HSCEI!$G$11/HSCEI!$B$3,""))</f>
        <v/>
      </c>
      <c r="BS164" s="106">
        <f>IF(E164="","",IFERROR(E164*HSCEI!$B$11*HSCEI!$G$11/HSCEI!$B$3,""))</f>
        <v/>
      </c>
      <c r="BT164" s="106">
        <f>IF(F164="","",IFERROR(F164*HSCEI!$B$11*HSCEI!$G$11/HSCEI!$B$3,""))</f>
        <v/>
      </c>
      <c r="BU164" s="106">
        <f>IF(G164="","",IFERROR(G164*HSCEI!$B$11*HSCEI!$G$11/HSCEI!$B$3,""))</f>
        <v/>
      </c>
      <c r="BV164" s="106">
        <f>IF(H164="","",IFERROR(H164*HSCEI!$B$11*HSCEI!$G$11/HSCEI!$B$3,""))</f>
        <v/>
      </c>
      <c r="BW164" s="106">
        <f>IF(I164="","",IFERROR(I164*HSCEI!$B$11*HSCEI!$G$11/HSCEI!$B$3,""))</f>
        <v/>
      </c>
      <c r="BX164" s="106">
        <f>IF(J164="","",IFERROR(J164*HSCEI!$B$11*HSCEI!$G$11/HSCEI!$B$3,""))</f>
        <v/>
      </c>
      <c r="BY164" s="106">
        <f>IF(K164="","",IFERROR(K164*HSCEI!$B$11*HSCEI!$G$11/HSCEI!$B$3,""))</f>
        <v/>
      </c>
      <c r="BZ164" s="106">
        <f>IF(L164="","",IFERROR(L164*HSCEI!$B$11*HSCEI!$G$11/HSCEI!$B$3,""))</f>
        <v/>
      </c>
      <c r="CA164" s="106">
        <f>IF(M164="","",IFERROR(M164*HSCEI!$B$11*HSCEI!$G$11/HSCEI!$B$3,""))</f>
        <v/>
      </c>
      <c r="CB164" s="106">
        <f>IF(N164="","",IFERROR(N164*HSCEI!$B$11*HSCEI!$G$11/HSCEI!$B$3,""))</f>
        <v/>
      </c>
      <c r="CC164" s="106">
        <f>IF(O164="","",IFERROR(O164*HSCEI!$B$11*HSCEI!$G$11/HSCEI!$B$3,""))</f>
        <v/>
      </c>
      <c r="CD164" s="106">
        <f>IF(P164="","",IFERROR(P164*HSCEI!$B$11*HSCEI!$G$11/HSCEI!$B$3,""))</f>
        <v/>
      </c>
      <c r="CE164" s="106">
        <f>IF(Q164="","",IFERROR(Q164*HSCEI!$B$11*HSCEI!$G$11/HSCEI!$B$3,""))</f>
        <v/>
      </c>
      <c r="CF164" s="106">
        <f>IF(R164="","",IFERROR(R164*HSCEI!$B$11*HSCEI!$G$11/HSCEI!$B$3,""))</f>
        <v/>
      </c>
      <c r="CG164" s="106">
        <f>IF(S164="","",IFERROR(S164*HSCEI!$B$11*HSCEI!$G$11/HSCEI!$B$3,""))</f>
        <v/>
      </c>
      <c r="CH164" s="106">
        <f>IF(T164="","",IFERROR(T164*HSCEI!$B$11*HSCEI!$G$11/HSCEI!$B$3,""))</f>
        <v/>
      </c>
      <c r="CI164" s="106">
        <f>IF(U164="","",IFERROR(U164*HSCEI!$B$11*HSCEI!$G$11/HSCEI!$B$3,""))</f>
        <v/>
      </c>
      <c r="CJ164" s="106">
        <f>IF(V164="","",IFERROR(V164*HSCEI!$B$11*HSCEI!$G$11/HSCEI!$B$3,""))</f>
        <v/>
      </c>
      <c r="CK164" s="106">
        <f>IF(W164="","",IFERROR(W164*HSCEI!$B$11*HSCEI!$G$11/HSCEI!$B$3,""))</f>
        <v/>
      </c>
      <c r="CL164" s="106">
        <f>IF(X164="","",IFERROR(X164*HSCEI!$B$11*HSCEI!$G$11/HSCEI!$B$3,""))</f>
        <v/>
      </c>
      <c r="CM164" s="106">
        <f>IF(Y164="","",IFERROR(Y164*HSCEI!$B$11*HSCEI!$G$11/HSCEI!$B$3,""))</f>
        <v/>
      </c>
      <c r="CN164" s="106">
        <f>IF(Z164="","",IFERROR(Z164*HSCEI!$B$11*HSCEI!$G$11/HSCEI!$B$3,""))</f>
        <v/>
      </c>
      <c r="CO164" s="106">
        <f>IF(AA164="","",IFERROR(AA164*HSCEI!$B$11*HSCEI!$G$11/HSCEI!$B$3,""))</f>
        <v/>
      </c>
      <c r="CP164" s="106">
        <f>IF(AB164="","",IFERROR(AB164*HSCEI!$B$11*HSCEI!$G$11/HSCEI!$B$3,""))</f>
        <v/>
      </c>
      <c r="CQ164" s="106">
        <f>IF(AC164="","",IFERROR(AC164*HSCEI!$B$11*HSCEI!$G$11/HSCEI!$B$3,""))</f>
        <v/>
      </c>
      <c r="CR164" s="106">
        <f>IF(AD164="","",IFERROR(AD164*HSCEI!$B$11*HSCEI!$G$11/HSCEI!$B$3,""))</f>
        <v/>
      </c>
      <c r="CS164" s="106">
        <f>IF(AE164="","",IFERROR(AE164*HSCEI!$B$11*HSCEI!$G$11/HSCEI!$B$3,""))</f>
        <v/>
      </c>
      <c r="CT164" s="106">
        <f>IF(AF164="","",IFERROR(AF164*HSCEI!$B$11*HSCEI!$G$11/HSCEI!$B$3,""))</f>
        <v/>
      </c>
      <c r="CU164" s="106">
        <f>IF(AG164="","",IFERROR(AG164*HSCEI!$B$11*HSCEI!$G$11/HSCEI!$B$3,""))</f>
        <v/>
      </c>
      <c r="CV164" s="106">
        <f>IF(AH164="","",IFERROR(AH164*HSCEI!$B$11*HSCEI!$G$11/HSCEI!$B$3,""))</f>
        <v/>
      </c>
      <c r="CW164" s="106">
        <f>IF(AI164="","",IFERROR(AI164*HSCEI!$B$11*HSCEI!$G$11/HSCEI!$B$3,""))</f>
        <v/>
      </c>
      <c r="CX164" s="106">
        <f>IF(AJ164="","",IFERROR(AJ164*HSCEI!$B$11*HSCEI!$G$11/HSCEI!$B$3,""))</f>
        <v/>
      </c>
      <c r="CY164" s="106">
        <f>IF(AK164="","",IFERROR(AK164*HSCEI!$B$11*HSCEI!$G$11/HSCEI!$B$3,""))</f>
        <v/>
      </c>
      <c r="CZ164" s="106">
        <f>IF(AL164="","",IFERROR(AL164*HSCEI!$B$11*HSCEI!$G$11/HSCEI!$B$3,""))</f>
        <v/>
      </c>
      <c r="DA164" s="106">
        <f>IF(AM164="","",IFERROR(AM164*HSCEI!$B$11*HSCEI!$G$11/HSCEI!$B$3,""))</f>
        <v/>
      </c>
      <c r="DB164" s="106">
        <f>IF(AN164="","",IFERROR(AN164*HSCEI!$B$11*HSCEI!$G$11/HSCEI!$B$3,""))</f>
        <v/>
      </c>
      <c r="DC164" s="106">
        <f>IF(AO164="","",IFERROR(AO164*HSCEI!$B$11*HSCEI!$G$11/HSCEI!$B$3,""))</f>
        <v/>
      </c>
      <c r="DD164" s="106">
        <f>IF(AP164="","",IFERROR(AP164*HSCEI!$B$11*HSCEI!$G$11/HSCEI!$B$3,""))</f>
        <v/>
      </c>
      <c r="DE164" s="106">
        <f>IF(AQ164="","",IFERROR(AQ164*HSCEI!$B$11*HSCEI!$G$11/HSCEI!$B$3,""))</f>
        <v/>
      </c>
      <c r="DF164" s="106">
        <f>IF(AR164="","",IFERROR(AR164*HSCEI!$B$11*HSCEI!$G$11/HSCEI!$B$3,""))</f>
        <v/>
      </c>
      <c r="DG164" s="106">
        <f>IF(AS164="","",IFERROR(AS164*HSCEI!$B$11*HSCEI!$G$11/HSCEI!$B$3,""))</f>
        <v/>
      </c>
      <c r="DH164" s="106">
        <f>IF(AT164="","",IFERROR(AT164*HSCEI!$B$11*HSCEI!$G$11/HSCEI!$B$3,""))</f>
        <v/>
      </c>
      <c r="DI164" s="106">
        <f>IF(AU164="","",IFERROR(AU164*HSCEI!$B$11*HSCEI!$G$11/HSCEI!$B$3,""))</f>
        <v/>
      </c>
      <c r="DJ164" s="106">
        <f>IF(AV164="","",IFERROR(AV164*HSCEI!$B$11*HSCEI!$G$11/HSCEI!$B$3,""))</f>
        <v/>
      </c>
      <c r="DK164" s="106">
        <f>IF(AW164="","",IFERROR(AW164*HSCEI!$B$11*HSCEI!$G$11/HSCEI!$B$3,""))</f>
        <v/>
      </c>
      <c r="DL164" s="106">
        <f>IF(AX164="","",IFERROR(AX164*HSCEI!$B$11*HSCEI!$G$11/HSCEI!$B$3,""))</f>
        <v/>
      </c>
      <c r="DM164" s="106">
        <f>IF(AY164="","",IFERROR(AY164*HSCEI!$B$11*HSCEI!$G$11/HSCEI!$B$3,""))</f>
        <v/>
      </c>
      <c r="DN164" s="106">
        <f>IF(AZ164="","",IFERROR(AZ164*HSCEI!$B$11*HSCEI!$G$11/HSCEI!$B$3,""))</f>
        <v/>
      </c>
      <c r="DO164" s="106">
        <f>IF(BA164="","",IFERROR(BA164*HSCEI!$B$11*HSCEI!$G$11/HSCEI!$B$3,""))</f>
        <v/>
      </c>
      <c r="DP164" s="106">
        <f>IF(BB164="","",IFERROR(BB164*HSCEI!$B$11*HSCEI!$G$11/HSCEI!$B$3,""))</f>
        <v/>
      </c>
      <c r="DQ164" s="106">
        <f>IF(BC164="","",IFERROR(BC164*HSCEI!$B$11*HSCEI!$G$11/HSCEI!$B$3,""))</f>
        <v/>
      </c>
      <c r="DR164" s="106">
        <f>IF(BD164="","",IFERROR(BD164*HSCEI!$B$11*HSCEI!$G$11/HSCEI!$B$3,""))</f>
        <v/>
      </c>
      <c r="DS164" s="106">
        <f>IF(BE164="","",IFERROR(BE164*HSCEI!$B$11*HSCEI!$G$11/HSCEI!$B$3,""))</f>
        <v/>
      </c>
      <c r="DT164" s="106">
        <f>IF(BF164="","",IFERROR(BF164*HSCEI!$B$11*HSCEI!$G$11/HSCEI!$B$3,""))</f>
        <v/>
      </c>
      <c r="DU164" s="106">
        <f>IF(BG164="","",IFERROR(BG164*HSCEI!$B$11*HSCEI!$G$11/HSCEI!$B$3,""))</f>
        <v/>
      </c>
      <c r="DV164" s="106">
        <f>IF(BH164="","",IFERROR(BH164*HSCEI!$B$11*HSCEI!$G$11/HSCEI!$B$3,""))</f>
        <v/>
      </c>
      <c r="DW164" s="106">
        <f>IF(BI164="","",IFERROR(BI164*HSCEI!$B$11*HSCEI!$G$11/HSCEI!$B$3,""))</f>
        <v/>
      </c>
      <c r="DX164" s="106">
        <f>IF(BJ164="","",IFERROR(BJ164*HSCEI!$B$11*HSCEI!$G$11/HSCEI!$B$3,""))</f>
        <v/>
      </c>
      <c r="DY164" s="106">
        <f>IF(BK164="","",IFERROR(BK164*HSCEI!$B$11*HSCEI!$G$11/HSCEI!$B$3,""))</f>
        <v/>
      </c>
      <c r="DZ164" s="106">
        <f>IF(BL164="","",IFERROR(BL164*HSCEI!$B$11*HSCEI!$G$11/HSCEI!$B$3,""))</f>
        <v/>
      </c>
      <c r="EA164" s="106">
        <f>IF(BM164="","",IFERROR(BM164*HSCEI!$B$11*HSCEI!$G$11/HSCEI!$B$3,""))</f>
        <v/>
      </c>
      <c r="EB164" s="106">
        <f>IF(BN164="","",IFERROR(BN164*HSCEI!$B$11*HSCEI!$G$11/HSCEI!$B$3,""))</f>
        <v/>
      </c>
      <c r="EC164" s="106">
        <f>IF(BO164="","",IFERROR(BO164*HSCEI!$B$11*HSCEI!$G$11/HSCEI!$B$3,""))</f>
        <v/>
      </c>
      <c r="EE164" s="35">
        <f>IF(N('Dvd Calendar'!$E$1605)=0,"",IF(('Dvd Calendar'!$E$1605&gt;=GRID_FROM)*('Dvd Calendar'!$E$1605&lt;=GRID_TO)*('Dvd Calendar'!$E$1605&lt;=VAL_DATE)=0,"",'Dvd Calendar'!$E$1605*1000000000+ISNUMBER('Dvd Calendar'!$E$1608)*100000000+('Dvd Calendar'!$E$1610=SPECIAL_LBL)*10000000+0*1000000+5*1000+1))</f>
        <v/>
      </c>
      <c r="EF164" s="35">
        <f>IF(N('Dvd Calendar'!$F$1605)=0,"",IF(('Dvd Calendar'!$F$1605&gt;=GRID_FROM)*('Dvd Calendar'!$F$1605&lt;=GRID_TO)*('Dvd Calendar'!$F$1605&lt;=VAL_DATE)=0,"",'Dvd Calendar'!$F$1605*1000000000+ISNUMBER('Dvd Calendar'!$F$1608)*100000000+('Dvd Calendar'!$F$1610=SPECIAL_LBL)*10000000+0*1000000+5*1000+2))</f>
        <v/>
      </c>
      <c r="EG164" s="35">
        <f>IF(N('Dvd Calendar'!$G$1605)=0,"",IF(('Dvd Calendar'!$G$1605&gt;=GRID_FROM)*('Dvd Calendar'!$G$1605&lt;=GRID_TO)*('Dvd Calendar'!$G$1605&lt;=VAL_DATE)=0,"",'Dvd Calendar'!$G$1605*1000000000+ISNUMBER('Dvd Calendar'!$G$1608)*100000000+('Dvd Calendar'!$G$1610=SPECIAL_LBL)*10000000+0*1000000+5*1000+3))</f>
        <v/>
      </c>
      <c r="EH164" s="35">
        <f>IF(N('Dvd Calendar'!$H$1605)=0,"",IF(('Dvd Calendar'!$H$1605&gt;=GRID_FROM)*('Dvd Calendar'!$H$1605&lt;=GRID_TO)*('Dvd Calendar'!$H$1605&lt;=VAL_DATE)=0,"",'Dvd Calendar'!$H$1605*1000000000+ISNUMBER('Dvd Calendar'!$H$1608)*100000000+('Dvd Calendar'!$H$1610=SPECIAL_LBL)*10000000+0*1000000+5*1000+4))</f>
        <v/>
      </c>
      <c r="EI164" s="35">
        <f>IF(N('Dvd Calendar'!$I$1605)=0,"",IF(('Dvd Calendar'!$I$1605&gt;=GRID_FROM)*('Dvd Calendar'!$I$1605&lt;=GRID_TO)*('Dvd Calendar'!$I$1605&lt;=VAL_DATE)=0,"",'Dvd Calendar'!$I$1605*1000000000+ISNUMBER('Dvd Calendar'!$I$1608)*100000000+('Dvd Calendar'!$I$1610=SPECIAL_LBL)*10000000+0*1000000+5*1000+5))</f>
        <v/>
      </c>
      <c r="EJ164" s="35">
        <f>IF(N('Dvd Calendar'!$J$1605)=0,"",IF(('Dvd Calendar'!$J$1605&gt;=GRID_FROM)*('Dvd Calendar'!$J$1605&lt;=GRID_TO)*('Dvd Calendar'!$J$1605&lt;=VAL_DATE)=0,"",'Dvd Calendar'!$J$1605*1000000000+ISNUMBER('Dvd Calendar'!$J$1608)*100000000+('Dvd Calendar'!$J$1610=SPECIAL_LBL)*10000000+0*1000000+5*1000+6))</f>
        <v/>
      </c>
      <c r="EK164" s="35">
        <f>IF(N('Dvd Calendar'!$K$1605)=0,"",IF(('Dvd Calendar'!$K$1605&gt;=GRID_FROM)*('Dvd Calendar'!$K$1605&lt;=GRID_TO)*('Dvd Calendar'!$K$1605&lt;=VAL_DATE)=0,"",'Dvd Calendar'!$K$1605*1000000000+ISNUMBER('Dvd Calendar'!$K$1608)*100000000+('Dvd Calendar'!$K$1610=SPECIAL_LBL)*10000000+0*1000000+5*1000+7))</f>
        <v/>
      </c>
      <c r="EL164" s="35">
        <f>IF(N('Dvd Calendar'!$L$1605)=0,"",IF(('Dvd Calendar'!$L$1605&gt;=GRID_FROM)*('Dvd Calendar'!$L$1605&lt;=GRID_TO)*('Dvd Calendar'!$L$1605&lt;=VAL_DATE)=0,"",'Dvd Calendar'!$L$1605*1000000000+ISNUMBER('Dvd Calendar'!$L$1608)*100000000+('Dvd Calendar'!$L$1610=SPECIAL_LBL)*10000000+0*1000000+5*1000+8))</f>
        <v/>
      </c>
      <c r="EM164" s="35">
        <f>IF(N('Dvd Calendar'!$M$1605)=0,"",IF(('Dvd Calendar'!$M$1605&gt;=GRID_FROM)*('Dvd Calendar'!$M$1605&lt;=GRID_TO)*('Dvd Calendar'!$M$1605&lt;=VAL_DATE)=0,"",'Dvd Calendar'!$M$1605*1000000000+ISNUMBER('Dvd Calendar'!$M$1608)*100000000+('Dvd Calendar'!$M$1610=SPECIAL_LBL)*10000000+0*1000000+5*1000+9))</f>
        <v/>
      </c>
      <c r="EN164" s="35">
        <f>IF(N('Dvd Calendar'!$N$1605)=0,"",IF(('Dvd Calendar'!$N$1605&gt;=GRID_FROM)*('Dvd Calendar'!$N$1605&lt;=GRID_TO)*('Dvd Calendar'!$N$1605&lt;=VAL_DATE)=0,"",'Dvd Calendar'!$N$1605*1000000000+ISNUMBER('Dvd Calendar'!$N$1608)*100000000+('Dvd Calendar'!$N$1610=SPECIAL_LBL)*10000000+0*1000000+5*1000+10))</f>
        <v/>
      </c>
      <c r="EO164" s="35">
        <f>IF(N('Dvd Calendar'!$O$1605)=0,"",IF(('Dvd Calendar'!$O$1605&gt;=GRID_FROM)*('Dvd Calendar'!$O$1605&lt;=GRID_TO)*('Dvd Calendar'!$O$1605&lt;=VAL_DATE)=0,"",'Dvd Calendar'!$O$1605*1000000000+ISNUMBER('Dvd Calendar'!$O$1608)*100000000+('Dvd Calendar'!$O$1610=SPECIAL_LBL)*10000000+0*1000000+5*1000+11))</f>
        <v/>
      </c>
      <c r="EP164" s="35">
        <f>IF(N('Dvd Calendar'!$P$1605)=0,"",IF(('Dvd Calendar'!$P$1605&gt;=GRID_FROM)*('Dvd Calendar'!$P$1605&lt;=GRID_TO)*('Dvd Calendar'!$P$1605&lt;=VAL_DATE)=0,"",'Dvd Calendar'!$P$1605*1000000000+ISNUMBER('Dvd Calendar'!$P$1608)*100000000+('Dvd Calendar'!$P$1610=SPECIAL_LBL)*10000000+0*1000000+5*1000+12))</f>
        <v/>
      </c>
      <c r="EQ164" s="35">
        <f>IF(N('Dvd Calendar'!$Q$1605)=0,"",IF(('Dvd Calendar'!$Q$1605&gt;=GRID_FROM)*('Dvd Calendar'!$Q$1605&lt;=GRID_TO)*('Dvd Calendar'!$Q$1605&lt;=VAL_DATE)=0,"",'Dvd Calendar'!$Q$1605*1000000000+ISNUMBER('Dvd Calendar'!$Q$1608)*100000000+('Dvd Calendar'!$Q$1610=SPECIAL_LBL)*10000000+0*1000000+5*1000+13))</f>
        <v/>
      </c>
      <c r="ER164" s="35">
        <f>IF(N('Dvd Calendar'!$R$1605)=0,"",IF(('Dvd Calendar'!$R$1605&gt;=GRID_FROM)*('Dvd Calendar'!$R$1605&lt;=GRID_TO)*('Dvd Calendar'!$R$1605&lt;=VAL_DATE)=0,"",'Dvd Calendar'!$R$1605*1000000000+ISNUMBER('Dvd Calendar'!$R$1608)*100000000+('Dvd Calendar'!$R$1610=SPECIAL_LBL)*10000000+0*1000000+5*1000+14))</f>
        <v/>
      </c>
      <c r="ES164" s="35">
        <f>IF(N('Dvd Calendar'!$S$1605)=0,"",IF(('Dvd Calendar'!$S$1605&gt;=GRID_FROM)*('Dvd Calendar'!$S$1605&lt;=GRID_TO)*('Dvd Calendar'!$S$1605&lt;=VAL_DATE)=0,"",'Dvd Calendar'!$S$1605*1000000000+ISNUMBER('Dvd Calendar'!$S$1608)*100000000+('Dvd Calendar'!$S$1610=SPECIAL_LBL)*10000000+0*1000000+5*1000+15))</f>
        <v/>
      </c>
      <c r="ET164" s="35">
        <f>IF(N('Dvd Calendar'!$T$1605)=0,"",IF(('Dvd Calendar'!$T$1605&gt;=GRID_FROM)*('Dvd Calendar'!$T$1605&lt;=GRID_TO)*('Dvd Calendar'!$T$1605&lt;=VAL_DATE)=0,"",'Dvd Calendar'!$T$1605*1000000000+ISNUMBER('Dvd Calendar'!$T$1608)*100000000+('Dvd Calendar'!$T$1610=SPECIAL_LBL)*10000000+0*1000000+5*1000+16))</f>
        <v/>
      </c>
      <c r="EU164" s="35">
        <f>IF(N('Dvd Calendar'!$U$1605)=0,"",IF(('Dvd Calendar'!$U$1605&gt;=GRID_FROM)*('Dvd Calendar'!$U$1605&lt;=GRID_TO)*('Dvd Calendar'!$U$1605&lt;=VAL_DATE)=0,"",'Dvd Calendar'!$U$1605*1000000000+ISNUMBER('Dvd Calendar'!$U$1608)*100000000+('Dvd Calendar'!$U$1610=SPECIAL_LBL)*10000000+0*1000000+5*1000+17))</f>
        <v/>
      </c>
      <c r="EV164" s="35">
        <f>IF(N('Dvd Calendar'!$V$1605)=0,"",IF(('Dvd Calendar'!$V$1605&gt;=GRID_FROM)*('Dvd Calendar'!$V$1605&lt;=GRID_TO)*('Dvd Calendar'!$V$1605&lt;=VAL_DATE)=0,"",'Dvd Calendar'!$V$1605*1000000000+ISNUMBER('Dvd Calendar'!$V$1608)*100000000+('Dvd Calendar'!$V$1610=SPECIAL_LBL)*10000000+0*1000000+5*1000+18))</f>
        <v/>
      </c>
      <c r="EW164" s="35">
        <f>IF(N('Dvd Calendar'!$W$1605)=0,"",IF(('Dvd Calendar'!$W$1605&gt;=GRID_FROM)*('Dvd Calendar'!$W$1605&lt;=GRID_TO)*('Dvd Calendar'!$W$1605&lt;=VAL_DATE)=0,"",'Dvd Calendar'!$W$1605*1000000000+ISNUMBER('Dvd Calendar'!$W$1608)*100000000+('Dvd Calendar'!$W$1610=SPECIAL_LBL)*10000000+0*1000000+5*1000+19))</f>
        <v/>
      </c>
      <c r="EX164" s="35">
        <f>IF(N('Dvd Calendar'!$X$1605)=0,"",IF(('Dvd Calendar'!$X$1605&gt;=GRID_FROM)*('Dvd Calendar'!$X$1605&lt;=GRID_TO)*('Dvd Calendar'!$X$1605&lt;=VAL_DATE)=0,"",'Dvd Calendar'!$X$1605*1000000000+ISNUMBER('Dvd Calendar'!$X$1608)*100000000+('Dvd Calendar'!$X$1610=SPECIAL_LBL)*10000000+0*1000000+5*1000+20))</f>
        <v/>
      </c>
      <c r="EY164" s="35">
        <f>IF(N('Dvd Calendar'!$Y$1605)=0,"",IF(('Dvd Calendar'!$Y$1605&gt;=GRID_FROM)*('Dvd Calendar'!$Y$1605&lt;=GRID_TO)*('Dvd Calendar'!$Y$1605&lt;=VAL_DATE)=0,"",'Dvd Calendar'!$Y$1605*1000000000+ISNUMBER('Dvd Calendar'!$Y$1608)*100000000+('Dvd Calendar'!$Y$1610=SPECIAL_LBL)*10000000+0*1000000+5*1000+21))</f>
        <v/>
      </c>
      <c r="EZ164" s="35">
        <f>IF(N('Dvd Calendar'!$Z$1605)=0,"",IF(('Dvd Calendar'!$Z$1605&gt;=GRID_FROM)*('Dvd Calendar'!$Z$1605&lt;=GRID_TO)*('Dvd Calendar'!$Z$1605&lt;=VAL_DATE)=0,"",'Dvd Calendar'!$Z$1605*1000000000+ISNUMBER('Dvd Calendar'!$Z$1608)*100000000+('Dvd Calendar'!$Z$1610=SPECIAL_LBL)*10000000+0*1000000+5*1000+22))</f>
        <v/>
      </c>
      <c r="FA164" s="35">
        <f>IF(N('Dvd Calendar'!$AA$1605)=0,"",IF(('Dvd Calendar'!$AA$1605&gt;=GRID_FROM)*('Dvd Calendar'!$AA$1605&lt;=GRID_TO)*('Dvd Calendar'!$AA$1605&lt;=VAL_DATE)=0,"",'Dvd Calendar'!$AA$1605*1000000000+ISNUMBER('Dvd Calendar'!$AA$1608)*100000000+('Dvd Calendar'!$AA$1610=SPECIAL_LBL)*10000000+0*1000000+5*1000+23))</f>
        <v/>
      </c>
      <c r="FB164" s="35">
        <f>IF(N('Dvd Calendar'!$AB$1605)=0,"",IF(('Dvd Calendar'!$AB$1605&gt;=GRID_FROM)*('Dvd Calendar'!$AB$1605&lt;=GRID_TO)*('Dvd Calendar'!$AB$1605&lt;=VAL_DATE)=0,"",'Dvd Calendar'!$AB$1605*1000000000+ISNUMBER('Dvd Calendar'!$AB$1608)*100000000+('Dvd Calendar'!$AB$1610=SPECIAL_LBL)*10000000+0*1000000+5*1000+24))</f>
        <v/>
      </c>
      <c r="FC164" s="35">
        <f>IF(N('Dvd Calendar'!$AC$1605)=0,"",IF(('Dvd Calendar'!$AC$1605&gt;=GRID_FROM)*('Dvd Calendar'!$AC$1605&lt;=GRID_TO)*('Dvd Calendar'!$AC$1605&lt;=VAL_DATE)=0,"",'Dvd Calendar'!$AC$1605*1000000000+ISNUMBER('Dvd Calendar'!$AC$1608)*100000000+('Dvd Calendar'!$AC$1610=SPECIAL_LBL)*10000000+0*1000000+5*1000+25))</f>
        <v/>
      </c>
      <c r="FD164" s="35">
        <f>IF(N('Dvd Calendar'!$AD$1605)=0,"",IF(('Dvd Calendar'!$AD$1605&gt;=GRID_FROM)*('Dvd Calendar'!$AD$1605&lt;=GRID_TO)*('Dvd Calendar'!$AD$1605&lt;=VAL_DATE)=0,"",'Dvd Calendar'!$AD$1605*1000000000+ISNUMBER('Dvd Calendar'!$AD$1608)*100000000+('Dvd Calendar'!$AD$1610=SPECIAL_LBL)*10000000+0*1000000+5*1000+26))</f>
        <v/>
      </c>
      <c r="FE164" s="35">
        <f>IF(N('Dvd Calendar'!$AE$1605)=0,"",IF(('Dvd Calendar'!$AE$1605&gt;=GRID_FROM)*('Dvd Calendar'!$AE$1605&lt;=GRID_TO)*('Dvd Calendar'!$AE$1605&lt;=VAL_DATE)=0,"",'Dvd Calendar'!$AE$1605*1000000000+ISNUMBER('Dvd Calendar'!$AE$1608)*100000000+('Dvd Calendar'!$AE$1610=SPECIAL_LBL)*10000000+0*1000000+5*1000+27))</f>
        <v/>
      </c>
      <c r="FF164" s="35">
        <f>IF(N('Dvd Calendar'!$AF$1605)=0,"",IF(('Dvd Calendar'!$AF$1605&gt;=GRID_FROM)*('Dvd Calendar'!$AF$1605&lt;=GRID_TO)*('Dvd Calendar'!$AF$1605&lt;=VAL_DATE)=0,"",'Dvd Calendar'!$AF$1605*1000000000+ISNUMBER('Dvd Calendar'!$AF$1608)*100000000+('Dvd Calendar'!$AF$1610=SPECIAL_LBL)*10000000+0*1000000+5*1000+28))</f>
        <v/>
      </c>
      <c r="FG164" s="35">
        <f>IF(N('Dvd Calendar'!$AG$1605)=0,"",IF(('Dvd Calendar'!$AG$1605&gt;=GRID_FROM)*('Dvd Calendar'!$AG$1605&lt;=GRID_TO)*('Dvd Calendar'!$AG$1605&lt;=VAL_DATE)=0,"",'Dvd Calendar'!$AG$1605*1000000000+ISNUMBER('Dvd Calendar'!$AG$1608)*100000000+('Dvd Calendar'!$AG$1610=SPECIAL_LBL)*10000000+0*1000000+5*1000+29))</f>
        <v/>
      </c>
      <c r="FH164" s="35">
        <f>IF(N('Dvd Calendar'!$AH$1605)=0,"",IF(('Dvd Calendar'!$AH$1605&gt;=GRID_FROM)*('Dvd Calendar'!$AH$1605&lt;=GRID_TO)*('Dvd Calendar'!$AH$1605&lt;=VAL_DATE)=0,"",'Dvd Calendar'!$AH$1605*1000000000+ISNUMBER('Dvd Calendar'!$AH$1608)*100000000+('Dvd Calendar'!$AH$1610=SPECIAL_LBL)*10000000+0*1000000+5*1000+30))</f>
        <v/>
      </c>
      <c r="FI164" s="35">
        <f>IF(N('Dvd Calendar'!$AI$1605)=0,"",IF(('Dvd Calendar'!$AI$1605&gt;=GRID_FROM)*('Dvd Calendar'!$AI$1605&lt;=GRID_TO)*('Dvd Calendar'!$AI$1605&lt;=VAL_DATE)=0,"",'Dvd Calendar'!$AI$1605*1000000000+ISNUMBER('Dvd Calendar'!$AI$1608)*100000000+('Dvd Calendar'!$AI$1610=SPECIAL_LBL)*10000000+0*1000000+5*1000+31))</f>
        <v/>
      </c>
      <c r="FJ164" s="35">
        <f>IF(N('Dvd Calendar'!$AJ$1605)=0,"",IF(('Dvd Calendar'!$AJ$1605&gt;=GRID_FROM)*('Dvd Calendar'!$AJ$1605&lt;=GRID_TO)*('Dvd Calendar'!$AJ$1605&lt;=VAL_DATE)=0,"",'Dvd Calendar'!$AJ$1605*1000000000+ISNUMBER('Dvd Calendar'!$AJ$1608)*100000000+('Dvd Calendar'!$AJ$1610=SPECIAL_LBL)*10000000+0*1000000+5*1000+32))</f>
        <v/>
      </c>
      <c r="FK164" s="35">
        <f>IF(N('Dvd Calendar'!$AK$1605)=0,"",IF(('Dvd Calendar'!$AK$1605&gt;=GRID_FROM)*('Dvd Calendar'!$AK$1605&lt;=GRID_TO)*('Dvd Calendar'!$AK$1605&lt;=VAL_DATE)=0,"",'Dvd Calendar'!$AK$1605*1000000000+ISNUMBER('Dvd Calendar'!$AK$1608)*100000000+('Dvd Calendar'!$AK$1610=SPECIAL_LBL)*10000000+0*1000000+5*1000+33))</f>
        <v/>
      </c>
      <c r="FL164" s="35">
        <f>IF(N('Dvd Calendar'!$AL$1605)=0,"",IF(('Dvd Calendar'!$AL$1605&gt;=GRID_FROM)*('Dvd Calendar'!$AL$1605&lt;=GRID_TO)*('Dvd Calendar'!$AL$1605&lt;=VAL_DATE)=0,"",'Dvd Calendar'!$AL$1605*1000000000+ISNUMBER('Dvd Calendar'!$AL$1608)*100000000+('Dvd Calendar'!$AL$1610=SPECIAL_LBL)*10000000+0*1000000+5*1000+34))</f>
        <v/>
      </c>
      <c r="FM164" s="35">
        <f>IF(N('Dvd Calendar'!$AM$1605)=0,"",IF(('Dvd Calendar'!$AM$1605&gt;=GRID_FROM)*('Dvd Calendar'!$AM$1605&lt;=GRID_TO)*('Dvd Calendar'!$AM$1605&lt;=VAL_DATE)=0,"",'Dvd Calendar'!$AM$1605*1000000000+ISNUMBER('Dvd Calendar'!$AM$1608)*100000000+('Dvd Calendar'!$AM$1610=SPECIAL_LBL)*10000000+0*1000000+5*1000+35))</f>
        <v/>
      </c>
      <c r="FN164" s="35">
        <f>IF(N('Dvd Calendar'!$AN$1605)=0,"",IF(('Dvd Calendar'!$AN$1605&gt;=GRID_FROM)*('Dvd Calendar'!$AN$1605&lt;=GRID_TO)*('Dvd Calendar'!$AN$1605&lt;=VAL_DATE)=0,"",'Dvd Calendar'!$AN$1605*1000000000+ISNUMBER('Dvd Calendar'!$AN$1608)*100000000+('Dvd Calendar'!$AN$1610=SPECIAL_LBL)*10000000+0*1000000+5*1000+36))</f>
        <v/>
      </c>
      <c r="FO164" s="35">
        <f>IF(N('Dvd Calendar'!$AO$1605)=0,"",IF(('Dvd Calendar'!$AO$1605&gt;=GRID_FROM)*('Dvd Calendar'!$AO$1605&lt;=GRID_TO)*('Dvd Calendar'!$AO$1605&lt;=VAL_DATE)=0,"",'Dvd Calendar'!$AO$1605*1000000000+ISNUMBER('Dvd Calendar'!$AO$1608)*100000000+('Dvd Calendar'!$AO$1610=SPECIAL_LBL)*10000000+0*1000000+5*1000+37))</f>
        <v/>
      </c>
      <c r="FP164" s="35">
        <f>IF(N('Dvd Calendar'!$AP$1605)=0,"",IF(('Dvd Calendar'!$AP$1605&gt;=GRID_FROM)*('Dvd Calendar'!$AP$1605&lt;=GRID_TO)*('Dvd Calendar'!$AP$1605&lt;=VAL_DATE)=0,"",'Dvd Calendar'!$AP$1605*1000000000+ISNUMBER('Dvd Calendar'!$AP$1608)*100000000+('Dvd Calendar'!$AP$1610=SPECIAL_LBL)*10000000+0*1000000+5*1000+38))</f>
        <v/>
      </c>
      <c r="FQ164" s="35">
        <f>IF(N('Dvd Calendar'!$AQ$1605)=0,"",IF(('Dvd Calendar'!$AQ$1605&gt;=GRID_FROM)*('Dvd Calendar'!$AQ$1605&lt;=GRID_TO)*('Dvd Calendar'!$AQ$1605&lt;=VAL_DATE)=0,"",'Dvd Calendar'!$AQ$1605*1000000000+ISNUMBER('Dvd Calendar'!$AQ$1608)*100000000+('Dvd Calendar'!$AQ$1610=SPECIAL_LBL)*10000000+0*1000000+5*1000+39))</f>
        <v/>
      </c>
      <c r="FR164" s="35">
        <f>IF(N('Dvd Calendar'!$AR$1605)=0,"",IF(('Dvd Calendar'!$AR$1605&gt;=GRID_FROM)*('Dvd Calendar'!$AR$1605&lt;=GRID_TO)*('Dvd Calendar'!$AR$1605&lt;=VAL_DATE)=0,"",'Dvd Calendar'!$AR$1605*1000000000+ISNUMBER('Dvd Calendar'!$AR$1608)*100000000+('Dvd Calendar'!$AR$1610=SPECIAL_LBL)*10000000+0*1000000+5*1000+40))</f>
        <v/>
      </c>
      <c r="FS164" s="35">
        <f>IF(N('Dvd Calendar'!$E$1612)=0,"",IF(('Dvd Calendar'!$E$1612&gt;=GRID_FROM)*('Dvd Calendar'!$E$1612&lt;=GRID_TO)*('Dvd Calendar'!$E$1612&gt;VAL_DATE)=0,"",'Dvd Calendar'!$E$1612*1000000000+ISNUMBER('Dvd Calendar'!$E$1613)*100000000+0*10000000+(N('Dvd Calendar'!$E$1611)&gt;0)*(N('Dvd Calendar'!$E$1611)&lt;=VAL_SERIAL)*1000000+5*1000+41))</f>
        <v/>
      </c>
      <c r="FT164" s="35">
        <f>IF(N('Dvd Calendar'!$F$1612)=0,"",IF(('Dvd Calendar'!$F$1612&gt;=GRID_FROM)*('Dvd Calendar'!$F$1612&lt;=GRID_TO)*('Dvd Calendar'!$F$1612&gt;VAL_DATE)=0,"",'Dvd Calendar'!$F$1612*1000000000+ISNUMBER('Dvd Calendar'!$F$1613)*100000000+0*10000000+(N('Dvd Calendar'!$F$1611)&gt;0)*(N('Dvd Calendar'!$F$1611)&lt;=VAL_SERIAL)*1000000+5*1000+42))</f>
        <v/>
      </c>
      <c r="FU164" s="35">
        <f>IF(N('Dvd Calendar'!$G$1612)=0,"",IF(('Dvd Calendar'!$G$1612&gt;=GRID_FROM)*('Dvd Calendar'!$G$1612&lt;=GRID_TO)*('Dvd Calendar'!$G$1612&gt;VAL_DATE)=0,"",'Dvd Calendar'!$G$1612*1000000000+ISNUMBER('Dvd Calendar'!$G$1613)*100000000+0*10000000+(N('Dvd Calendar'!$G$1611)&gt;0)*(N('Dvd Calendar'!$G$1611)&lt;=VAL_SERIAL)*1000000+5*1000+43))</f>
        <v/>
      </c>
      <c r="FV164" s="35">
        <f>IF(N('Dvd Calendar'!$H$1612)=0,"",IF(('Dvd Calendar'!$H$1612&gt;=GRID_FROM)*('Dvd Calendar'!$H$1612&lt;=GRID_TO)*('Dvd Calendar'!$H$1612&gt;VAL_DATE)=0,"",'Dvd Calendar'!$H$1612*1000000000+ISNUMBER('Dvd Calendar'!$H$1613)*100000000+0*10000000+(N('Dvd Calendar'!$H$1611)&gt;0)*(N('Dvd Calendar'!$H$1611)&lt;=VAL_SERIAL)*1000000+5*1000+44))</f>
        <v/>
      </c>
      <c r="FW164" s="35">
        <f>IF(N('Dvd Calendar'!$I$1612)=0,"",IF(('Dvd Calendar'!$I$1612&gt;=GRID_FROM)*('Dvd Calendar'!$I$1612&lt;=GRID_TO)*('Dvd Calendar'!$I$1612&gt;VAL_DATE)=0,"",'Dvd Calendar'!$I$1612*1000000000+ISNUMBER('Dvd Calendar'!$I$1613)*100000000+0*10000000+(N('Dvd Calendar'!$I$1611)&gt;0)*(N('Dvd Calendar'!$I$1611)&lt;=VAL_SERIAL)*1000000+5*1000+45))</f>
        <v/>
      </c>
      <c r="FX164" s="35">
        <f>IF(N('Dvd Calendar'!$J$1612)=0,"",IF(('Dvd Calendar'!$J$1612&gt;=GRID_FROM)*('Dvd Calendar'!$J$1612&lt;=GRID_TO)*('Dvd Calendar'!$J$1612&gt;VAL_DATE)=0,"",'Dvd Calendar'!$J$1612*1000000000+ISNUMBER('Dvd Calendar'!$J$1613)*100000000+0*10000000+(N('Dvd Calendar'!$J$1611)&gt;0)*(N('Dvd Calendar'!$J$1611)&lt;=VAL_SERIAL)*1000000+5*1000+46))</f>
        <v/>
      </c>
      <c r="FY164" s="35">
        <f>IF(N('Dvd Calendar'!$K$1612)=0,"",IF(('Dvd Calendar'!$K$1612&gt;=GRID_FROM)*('Dvd Calendar'!$K$1612&lt;=GRID_TO)*('Dvd Calendar'!$K$1612&gt;VAL_DATE)=0,"",'Dvd Calendar'!$K$1612*1000000000+ISNUMBER('Dvd Calendar'!$K$1613)*100000000+0*10000000+(N('Dvd Calendar'!$K$1611)&gt;0)*(N('Dvd Calendar'!$K$1611)&lt;=VAL_SERIAL)*1000000+5*1000+47))</f>
        <v/>
      </c>
      <c r="FZ164" s="35">
        <f>IF(N('Dvd Calendar'!$L$1612)=0,"",IF(('Dvd Calendar'!$L$1612&gt;=GRID_FROM)*('Dvd Calendar'!$L$1612&lt;=GRID_TO)*('Dvd Calendar'!$L$1612&gt;VAL_DATE)=0,"",'Dvd Calendar'!$L$1612*1000000000+ISNUMBER('Dvd Calendar'!$L$1613)*100000000+0*10000000+(N('Dvd Calendar'!$L$1611)&gt;0)*(N('Dvd Calendar'!$L$1611)&lt;=VAL_SERIAL)*1000000+5*1000+48))</f>
        <v/>
      </c>
      <c r="GA164" s="35">
        <f>IF(N('Dvd Calendar'!$M$1612)=0,"",IF(('Dvd Calendar'!$M$1612&gt;=GRID_FROM)*('Dvd Calendar'!$M$1612&lt;=GRID_TO)*('Dvd Calendar'!$M$1612&gt;VAL_DATE)=0,"",'Dvd Calendar'!$M$1612*1000000000+ISNUMBER('Dvd Calendar'!$M$1613)*100000000+0*10000000+(N('Dvd Calendar'!$M$1611)&gt;0)*(N('Dvd Calendar'!$M$1611)&lt;=VAL_SERIAL)*1000000+5*1000+49))</f>
        <v/>
      </c>
      <c r="GB164" s="35">
        <f>IF(N('Dvd Calendar'!$N$1612)=0,"",IF(('Dvd Calendar'!$N$1612&gt;=GRID_FROM)*('Dvd Calendar'!$N$1612&lt;=GRID_TO)*('Dvd Calendar'!$N$1612&gt;VAL_DATE)=0,"",'Dvd Calendar'!$N$1612*1000000000+ISNUMBER('Dvd Calendar'!$N$1613)*100000000+0*10000000+(N('Dvd Calendar'!$N$1611)&gt;0)*(N('Dvd Calendar'!$N$1611)&lt;=VAL_SERIAL)*1000000+5*1000+50))</f>
        <v/>
      </c>
      <c r="GC164" s="35">
        <f>IF(N('Dvd Calendar'!$O$1612)=0,"",IF(('Dvd Calendar'!$O$1612&gt;=GRID_FROM)*('Dvd Calendar'!$O$1612&lt;=GRID_TO)*('Dvd Calendar'!$O$1612&gt;VAL_DATE)=0,"",'Dvd Calendar'!$O$1612*1000000000+ISNUMBER('Dvd Calendar'!$O$1613)*100000000+0*10000000+(N('Dvd Calendar'!$O$1611)&gt;0)*(N('Dvd Calendar'!$O$1611)&lt;=VAL_SERIAL)*1000000+5*1000+51))</f>
        <v/>
      </c>
      <c r="GD164" s="35">
        <f>IF(N('Dvd Calendar'!$P$1612)=0,"",IF(('Dvd Calendar'!$P$1612&gt;=GRID_FROM)*('Dvd Calendar'!$P$1612&lt;=GRID_TO)*('Dvd Calendar'!$P$1612&gt;VAL_DATE)=0,"",'Dvd Calendar'!$P$1612*1000000000+ISNUMBER('Dvd Calendar'!$P$1613)*100000000+0*10000000+(N('Dvd Calendar'!$P$1611)&gt;0)*(N('Dvd Calendar'!$P$1611)&lt;=VAL_SERIAL)*1000000+5*1000+52))</f>
        <v/>
      </c>
      <c r="GE164" s="35">
        <f>IF(N('Dvd Calendar'!$Q$1612)=0,"",IF(('Dvd Calendar'!$Q$1612&gt;=GRID_FROM)*('Dvd Calendar'!$Q$1612&lt;=GRID_TO)*('Dvd Calendar'!$Q$1612&gt;VAL_DATE)=0,"",'Dvd Calendar'!$Q$1612*1000000000+ISNUMBER('Dvd Calendar'!$Q$1613)*100000000+0*10000000+(N('Dvd Calendar'!$Q$1611)&gt;0)*(N('Dvd Calendar'!$Q$1611)&lt;=VAL_SERIAL)*1000000+5*1000+53))</f>
        <v/>
      </c>
      <c r="GF164" s="35">
        <f>IF(N('Dvd Calendar'!$R$1612)=0,"",IF(('Dvd Calendar'!$R$1612&gt;=GRID_FROM)*('Dvd Calendar'!$R$1612&lt;=GRID_TO)*('Dvd Calendar'!$R$1612&gt;VAL_DATE)=0,"",'Dvd Calendar'!$R$1612*1000000000+ISNUMBER('Dvd Calendar'!$R$1613)*100000000+0*10000000+(N('Dvd Calendar'!$R$1611)&gt;0)*(N('Dvd Calendar'!$R$1611)&lt;=VAL_SERIAL)*1000000+5*1000+54))</f>
        <v/>
      </c>
      <c r="GG164" s="35">
        <f>IF(N('Dvd Calendar'!$S$1612)=0,"",IF(('Dvd Calendar'!$S$1612&gt;=GRID_FROM)*('Dvd Calendar'!$S$1612&lt;=GRID_TO)*('Dvd Calendar'!$S$1612&gt;VAL_DATE)=0,"",'Dvd Calendar'!$S$1612*1000000000+ISNUMBER('Dvd Calendar'!$S$1613)*100000000+0*10000000+(N('Dvd Calendar'!$S$1611)&gt;0)*(N('Dvd Calendar'!$S$1611)&lt;=VAL_SERIAL)*1000000+5*1000+55))</f>
        <v/>
      </c>
      <c r="GH164" s="35">
        <f>IF(N('Dvd Calendar'!$T$1612)=0,"",IF(('Dvd Calendar'!$T$1612&gt;=GRID_FROM)*('Dvd Calendar'!$T$1612&lt;=GRID_TO)*('Dvd Calendar'!$T$1612&gt;VAL_DATE)=0,"",'Dvd Calendar'!$T$1612*1000000000+ISNUMBER('Dvd Calendar'!$T$1613)*100000000+0*10000000+(N('Dvd Calendar'!$T$1611)&gt;0)*(N('Dvd Calendar'!$T$1611)&lt;=VAL_SERIAL)*1000000+5*1000+56))</f>
        <v/>
      </c>
      <c r="GI164" s="35">
        <f>IF(N('Dvd Calendar'!$U$1612)=0,"",IF(('Dvd Calendar'!$U$1612&gt;=GRID_FROM)*('Dvd Calendar'!$U$1612&lt;=GRID_TO)*('Dvd Calendar'!$U$1612&gt;VAL_DATE)=0,"",'Dvd Calendar'!$U$1612*1000000000+ISNUMBER('Dvd Calendar'!$U$1613)*100000000+0*10000000+(N('Dvd Calendar'!$U$1611)&gt;0)*(N('Dvd Calendar'!$U$1611)&lt;=VAL_SERIAL)*1000000+5*1000+57))</f>
        <v/>
      </c>
      <c r="GJ164" s="35">
        <f>IF(N('Dvd Calendar'!$V$1612)=0,"",IF(('Dvd Calendar'!$V$1612&gt;=GRID_FROM)*('Dvd Calendar'!$V$1612&lt;=GRID_TO)*('Dvd Calendar'!$V$1612&gt;VAL_DATE)=0,"",'Dvd Calendar'!$V$1612*1000000000+ISNUMBER('Dvd Calendar'!$V$1613)*100000000+0*10000000+(N('Dvd Calendar'!$V$1611)&gt;0)*(N('Dvd Calendar'!$V$1611)&lt;=VAL_SERIAL)*1000000+5*1000+58))</f>
        <v/>
      </c>
      <c r="GK164" s="35">
        <f>IF(N('Dvd Calendar'!$W$1612)=0,"",IF(('Dvd Calendar'!$W$1612&gt;=GRID_FROM)*('Dvd Calendar'!$W$1612&lt;=GRID_TO)*('Dvd Calendar'!$W$1612&gt;VAL_DATE)=0,"",'Dvd Calendar'!$W$1612*1000000000+ISNUMBER('Dvd Calendar'!$W$1613)*100000000+0*10000000+(N('Dvd Calendar'!$W$1611)&gt;0)*(N('Dvd Calendar'!$W$1611)&lt;=VAL_SERIAL)*1000000+5*1000+59))</f>
        <v/>
      </c>
      <c r="GL164" s="35">
        <f>IF(N('Dvd Calendar'!$X$1612)=0,"",IF(('Dvd Calendar'!$X$1612&gt;=GRID_FROM)*('Dvd Calendar'!$X$1612&lt;=GRID_TO)*('Dvd Calendar'!$X$1612&gt;VAL_DATE)=0,"",'Dvd Calendar'!$X$1612*1000000000+ISNUMBER('Dvd Calendar'!$X$1613)*100000000+0*10000000+(N('Dvd Calendar'!$X$1611)&gt;0)*(N('Dvd Calendar'!$X$1611)&lt;=VAL_SERIAL)*1000000+5*1000+60))</f>
        <v/>
      </c>
      <c r="GM164" s="35">
        <f>IF(N('Dvd Calendar'!$Y$1612)=0,"",IF(('Dvd Calendar'!$Y$1612&gt;=GRID_FROM)*('Dvd Calendar'!$Y$1612&lt;=GRID_TO)*('Dvd Calendar'!$Y$1612&gt;VAL_DATE)=0,"",'Dvd Calendar'!$Y$1612*1000000000+ISNUMBER('Dvd Calendar'!$Y$1613)*100000000+0*10000000+(N('Dvd Calendar'!$Y$1611)&gt;0)*(N('Dvd Calendar'!$Y$1611)&lt;=VAL_SERIAL)*1000000+5*1000+61))</f>
        <v/>
      </c>
      <c r="GN164" s="35">
        <f>IF(N('Dvd Calendar'!$Z$1612)=0,"",IF(('Dvd Calendar'!$Z$1612&gt;=GRID_FROM)*('Dvd Calendar'!$Z$1612&lt;=GRID_TO)*('Dvd Calendar'!$Z$1612&gt;VAL_DATE)=0,"",'Dvd Calendar'!$Z$1612*1000000000+ISNUMBER('Dvd Calendar'!$Z$1613)*100000000+0*10000000+(N('Dvd Calendar'!$Z$1611)&gt;0)*(N('Dvd Calendar'!$Z$1611)&lt;=VAL_SERIAL)*1000000+5*1000+62))</f>
        <v/>
      </c>
      <c r="GO164" s="35">
        <f>IF(N('Dvd Calendar'!$AA$1612)=0,"",IF(('Dvd Calendar'!$AA$1612&gt;=GRID_FROM)*('Dvd Calendar'!$AA$1612&lt;=GRID_TO)*('Dvd Calendar'!$AA$1612&gt;VAL_DATE)=0,"",'Dvd Calendar'!$AA$1612*1000000000+ISNUMBER('Dvd Calendar'!$AA$1613)*100000000+0*10000000+(N('Dvd Calendar'!$AA$1611)&gt;0)*(N('Dvd Calendar'!$AA$1611)&lt;=VAL_SERIAL)*1000000+5*1000+63))</f>
        <v/>
      </c>
      <c r="GP164" s="35">
        <f>IF(N('Dvd Calendar'!$AB$1612)=0,"",IF(('Dvd Calendar'!$AB$1612&gt;=GRID_FROM)*('Dvd Calendar'!$AB$1612&lt;=GRID_TO)*('Dvd Calendar'!$AB$1612&gt;VAL_DATE)=0,"",'Dvd Calendar'!$AB$1612*1000000000+ISNUMBER('Dvd Calendar'!$AB$1613)*100000000+0*10000000+(N('Dvd Calendar'!$AB$1611)&gt;0)*(N('Dvd Calendar'!$AB$1611)&lt;=VAL_SERIAL)*1000000+5*1000+64))</f>
        <v/>
      </c>
      <c r="GQ164" s="35">
        <f>IF(N('Dvd Calendar'!$AC$1612)=0,"",IF(('Dvd Calendar'!$AC$1612&gt;=GRID_FROM)*('Dvd Calendar'!$AC$1612&lt;=GRID_TO)*('Dvd Calendar'!$AC$1612&gt;VAL_DATE)=0,"",'Dvd Calendar'!$AC$1612*1000000000+ISNUMBER('Dvd Calendar'!$AC$1613)*100000000+0*10000000+(N('Dvd Calendar'!$AC$1611)&gt;0)*(N('Dvd Calendar'!$AC$1611)&lt;=VAL_SERIAL)*1000000+5*1000+65))</f>
        <v/>
      </c>
    </row>
    <row r="165">
      <c r="B165" s="2">
        <f>IF(HSCEI!$C$12="","",HSCEI!$C$12)</f>
        <v/>
      </c>
      <c r="C165" s="106">
        <f>IF(EE165="","",IF(ISNUMBER('Dvd Calendar'!$E$1619)=FALSE,"",IF((('Dvd Calendar'!$E$1621=TYPE1)*(TYPE1&lt;&gt;"")+('Dvd Calendar'!$E$1621=TYPE2)*(TYPE2&lt;&gt;"")+('Dvd Calendar'!$E$1621=TYPE3)*(TYPE3&lt;&gt;"")+('Dvd Calendar'!$E$1621=TYPE4)*(TYPE4&lt;&gt;"")+('Dvd Calendar'!$E$1621=SPECIAL_LBL)*(INC_SPECIALS="Y"))=0,"",'Dvd Calendar'!$E$1619)))</f>
        <v/>
      </c>
      <c r="D165" s="106">
        <f>IF(EF165="","",IF(ISNUMBER('Dvd Calendar'!$F$1619)=FALSE,"",IF((('Dvd Calendar'!$F$1621=TYPE1)*(TYPE1&lt;&gt;"")+('Dvd Calendar'!$F$1621=TYPE2)*(TYPE2&lt;&gt;"")+('Dvd Calendar'!$F$1621=TYPE3)*(TYPE3&lt;&gt;"")+('Dvd Calendar'!$F$1621=TYPE4)*(TYPE4&lt;&gt;"")+('Dvd Calendar'!$F$1621=SPECIAL_LBL)*(INC_SPECIALS="Y"))=0,"",'Dvd Calendar'!$F$1619)))</f>
        <v/>
      </c>
      <c r="E165" s="106">
        <f>IF(EG165="","",IF(ISNUMBER('Dvd Calendar'!$G$1619)=FALSE,"",IF((('Dvd Calendar'!$G$1621=TYPE1)*(TYPE1&lt;&gt;"")+('Dvd Calendar'!$G$1621=TYPE2)*(TYPE2&lt;&gt;"")+('Dvd Calendar'!$G$1621=TYPE3)*(TYPE3&lt;&gt;"")+('Dvd Calendar'!$G$1621=TYPE4)*(TYPE4&lt;&gt;"")+('Dvd Calendar'!$G$1621=SPECIAL_LBL)*(INC_SPECIALS="Y"))=0,"",'Dvd Calendar'!$G$1619)))</f>
        <v/>
      </c>
      <c r="F165" s="106">
        <f>IF(EH165="","",IF(ISNUMBER('Dvd Calendar'!$H$1619)=FALSE,"",IF((('Dvd Calendar'!$H$1621=TYPE1)*(TYPE1&lt;&gt;"")+('Dvd Calendar'!$H$1621=TYPE2)*(TYPE2&lt;&gt;"")+('Dvd Calendar'!$H$1621=TYPE3)*(TYPE3&lt;&gt;"")+('Dvd Calendar'!$H$1621=TYPE4)*(TYPE4&lt;&gt;"")+('Dvd Calendar'!$H$1621=SPECIAL_LBL)*(INC_SPECIALS="Y"))=0,"",'Dvd Calendar'!$H$1619)))</f>
        <v/>
      </c>
      <c r="G165" s="106">
        <f>IF(EI165="","",IF(ISNUMBER('Dvd Calendar'!$I$1619)=FALSE,"",IF((('Dvd Calendar'!$I$1621=TYPE1)*(TYPE1&lt;&gt;"")+('Dvd Calendar'!$I$1621=TYPE2)*(TYPE2&lt;&gt;"")+('Dvd Calendar'!$I$1621=TYPE3)*(TYPE3&lt;&gt;"")+('Dvd Calendar'!$I$1621=TYPE4)*(TYPE4&lt;&gt;"")+('Dvd Calendar'!$I$1621=SPECIAL_LBL)*(INC_SPECIALS="Y"))=0,"",'Dvd Calendar'!$I$1619)))</f>
        <v/>
      </c>
      <c r="H165" s="106">
        <f>IF(EJ165="","",IF(ISNUMBER('Dvd Calendar'!$J$1619)=FALSE,"",IF((('Dvd Calendar'!$J$1621=TYPE1)*(TYPE1&lt;&gt;"")+('Dvd Calendar'!$J$1621=TYPE2)*(TYPE2&lt;&gt;"")+('Dvd Calendar'!$J$1621=TYPE3)*(TYPE3&lt;&gt;"")+('Dvd Calendar'!$J$1621=TYPE4)*(TYPE4&lt;&gt;"")+('Dvd Calendar'!$J$1621=SPECIAL_LBL)*(INC_SPECIALS="Y"))=0,"",'Dvd Calendar'!$J$1619)))</f>
        <v/>
      </c>
      <c r="I165" s="106">
        <f>IF(EK165="","",IF(ISNUMBER('Dvd Calendar'!$K$1619)=FALSE,"",IF((('Dvd Calendar'!$K$1621=TYPE1)*(TYPE1&lt;&gt;"")+('Dvd Calendar'!$K$1621=TYPE2)*(TYPE2&lt;&gt;"")+('Dvd Calendar'!$K$1621=TYPE3)*(TYPE3&lt;&gt;"")+('Dvd Calendar'!$K$1621=TYPE4)*(TYPE4&lt;&gt;"")+('Dvd Calendar'!$K$1621=SPECIAL_LBL)*(INC_SPECIALS="Y"))=0,"",'Dvd Calendar'!$K$1619)))</f>
        <v/>
      </c>
      <c r="J165" s="106">
        <f>IF(EL165="","",IF(ISNUMBER('Dvd Calendar'!$L$1619)=FALSE,"",IF((('Dvd Calendar'!$L$1621=TYPE1)*(TYPE1&lt;&gt;"")+('Dvd Calendar'!$L$1621=TYPE2)*(TYPE2&lt;&gt;"")+('Dvd Calendar'!$L$1621=TYPE3)*(TYPE3&lt;&gt;"")+('Dvd Calendar'!$L$1621=TYPE4)*(TYPE4&lt;&gt;"")+('Dvd Calendar'!$L$1621=SPECIAL_LBL)*(INC_SPECIALS="Y"))=0,"",'Dvd Calendar'!$L$1619)))</f>
        <v/>
      </c>
      <c r="K165" s="106">
        <f>IF(EM165="","",IF(ISNUMBER('Dvd Calendar'!$M$1619)=FALSE,"",IF((('Dvd Calendar'!$M$1621=TYPE1)*(TYPE1&lt;&gt;"")+('Dvd Calendar'!$M$1621=TYPE2)*(TYPE2&lt;&gt;"")+('Dvd Calendar'!$M$1621=TYPE3)*(TYPE3&lt;&gt;"")+('Dvd Calendar'!$M$1621=TYPE4)*(TYPE4&lt;&gt;"")+('Dvd Calendar'!$M$1621=SPECIAL_LBL)*(INC_SPECIALS="Y"))=0,"",'Dvd Calendar'!$M$1619)))</f>
        <v/>
      </c>
      <c r="L165" s="106">
        <f>IF(EN165="","",IF(ISNUMBER('Dvd Calendar'!$N$1619)=FALSE,"",IF((('Dvd Calendar'!$N$1621=TYPE1)*(TYPE1&lt;&gt;"")+('Dvd Calendar'!$N$1621=TYPE2)*(TYPE2&lt;&gt;"")+('Dvd Calendar'!$N$1621=TYPE3)*(TYPE3&lt;&gt;"")+('Dvd Calendar'!$N$1621=TYPE4)*(TYPE4&lt;&gt;"")+('Dvd Calendar'!$N$1621=SPECIAL_LBL)*(INC_SPECIALS="Y"))=0,"",'Dvd Calendar'!$N$1619)))</f>
        <v/>
      </c>
      <c r="M165" s="106">
        <f>IF(EO165="","",IF(ISNUMBER('Dvd Calendar'!$O$1619)=FALSE,"",IF((('Dvd Calendar'!$O$1621=TYPE1)*(TYPE1&lt;&gt;"")+('Dvd Calendar'!$O$1621=TYPE2)*(TYPE2&lt;&gt;"")+('Dvd Calendar'!$O$1621=TYPE3)*(TYPE3&lt;&gt;"")+('Dvd Calendar'!$O$1621=TYPE4)*(TYPE4&lt;&gt;"")+('Dvd Calendar'!$O$1621=SPECIAL_LBL)*(INC_SPECIALS="Y"))=0,"",'Dvd Calendar'!$O$1619)))</f>
        <v/>
      </c>
      <c r="N165" s="106">
        <f>IF(EP165="","",IF(ISNUMBER('Dvd Calendar'!$P$1619)=FALSE,"",IF((('Dvd Calendar'!$P$1621=TYPE1)*(TYPE1&lt;&gt;"")+('Dvd Calendar'!$P$1621=TYPE2)*(TYPE2&lt;&gt;"")+('Dvd Calendar'!$P$1621=TYPE3)*(TYPE3&lt;&gt;"")+('Dvd Calendar'!$P$1621=TYPE4)*(TYPE4&lt;&gt;"")+('Dvd Calendar'!$P$1621=SPECIAL_LBL)*(INC_SPECIALS="Y"))=0,"",'Dvd Calendar'!$P$1619)))</f>
        <v/>
      </c>
      <c r="O165" s="106">
        <f>IF(EQ165="","",IF(ISNUMBER('Dvd Calendar'!$Q$1619)=FALSE,"",IF((('Dvd Calendar'!$Q$1621=TYPE1)*(TYPE1&lt;&gt;"")+('Dvd Calendar'!$Q$1621=TYPE2)*(TYPE2&lt;&gt;"")+('Dvd Calendar'!$Q$1621=TYPE3)*(TYPE3&lt;&gt;"")+('Dvd Calendar'!$Q$1621=TYPE4)*(TYPE4&lt;&gt;"")+('Dvd Calendar'!$Q$1621=SPECIAL_LBL)*(INC_SPECIALS="Y"))=0,"",'Dvd Calendar'!$Q$1619)))</f>
        <v/>
      </c>
      <c r="P165" s="106">
        <f>IF(ER165="","",IF(ISNUMBER('Dvd Calendar'!$R$1619)=FALSE,"",IF((('Dvd Calendar'!$R$1621=TYPE1)*(TYPE1&lt;&gt;"")+('Dvd Calendar'!$R$1621=TYPE2)*(TYPE2&lt;&gt;"")+('Dvd Calendar'!$R$1621=TYPE3)*(TYPE3&lt;&gt;"")+('Dvd Calendar'!$R$1621=TYPE4)*(TYPE4&lt;&gt;"")+('Dvd Calendar'!$R$1621=SPECIAL_LBL)*(INC_SPECIALS="Y"))=0,"",'Dvd Calendar'!$R$1619)))</f>
        <v/>
      </c>
      <c r="Q165" s="106">
        <f>IF(ES165="","",IF(ISNUMBER('Dvd Calendar'!$S$1619)=FALSE,"",IF((('Dvd Calendar'!$S$1621=TYPE1)*(TYPE1&lt;&gt;"")+('Dvd Calendar'!$S$1621=TYPE2)*(TYPE2&lt;&gt;"")+('Dvd Calendar'!$S$1621=TYPE3)*(TYPE3&lt;&gt;"")+('Dvd Calendar'!$S$1621=TYPE4)*(TYPE4&lt;&gt;"")+('Dvd Calendar'!$S$1621=SPECIAL_LBL)*(INC_SPECIALS="Y"))=0,"",'Dvd Calendar'!$S$1619)))</f>
        <v/>
      </c>
      <c r="R165" s="106">
        <f>IF(ET165="","",IF(ISNUMBER('Dvd Calendar'!$T$1619)=FALSE,"",IF((('Dvd Calendar'!$T$1621=TYPE1)*(TYPE1&lt;&gt;"")+('Dvd Calendar'!$T$1621=TYPE2)*(TYPE2&lt;&gt;"")+('Dvd Calendar'!$T$1621=TYPE3)*(TYPE3&lt;&gt;"")+('Dvd Calendar'!$T$1621=TYPE4)*(TYPE4&lt;&gt;"")+('Dvd Calendar'!$T$1621=SPECIAL_LBL)*(INC_SPECIALS="Y"))=0,"",'Dvd Calendar'!$T$1619)))</f>
        <v/>
      </c>
      <c r="S165" s="106">
        <f>IF(EU165="","",IF(ISNUMBER('Dvd Calendar'!$U$1619)=FALSE,"",IF((('Dvd Calendar'!$U$1621=TYPE1)*(TYPE1&lt;&gt;"")+('Dvd Calendar'!$U$1621=TYPE2)*(TYPE2&lt;&gt;"")+('Dvd Calendar'!$U$1621=TYPE3)*(TYPE3&lt;&gt;"")+('Dvd Calendar'!$U$1621=TYPE4)*(TYPE4&lt;&gt;"")+('Dvd Calendar'!$U$1621=SPECIAL_LBL)*(INC_SPECIALS="Y"))=0,"",'Dvd Calendar'!$U$1619)))</f>
        <v/>
      </c>
      <c r="T165" s="106">
        <f>IF(EV165="","",IF(ISNUMBER('Dvd Calendar'!$V$1619)=FALSE,"",IF((('Dvd Calendar'!$V$1621=TYPE1)*(TYPE1&lt;&gt;"")+('Dvd Calendar'!$V$1621=TYPE2)*(TYPE2&lt;&gt;"")+('Dvd Calendar'!$V$1621=TYPE3)*(TYPE3&lt;&gt;"")+('Dvd Calendar'!$V$1621=TYPE4)*(TYPE4&lt;&gt;"")+('Dvd Calendar'!$V$1621=SPECIAL_LBL)*(INC_SPECIALS="Y"))=0,"",'Dvd Calendar'!$V$1619)))</f>
        <v/>
      </c>
      <c r="U165" s="106">
        <f>IF(EW165="","",IF(ISNUMBER('Dvd Calendar'!$W$1619)=FALSE,"",IF((('Dvd Calendar'!$W$1621=TYPE1)*(TYPE1&lt;&gt;"")+('Dvd Calendar'!$W$1621=TYPE2)*(TYPE2&lt;&gt;"")+('Dvd Calendar'!$W$1621=TYPE3)*(TYPE3&lt;&gt;"")+('Dvd Calendar'!$W$1621=TYPE4)*(TYPE4&lt;&gt;"")+('Dvd Calendar'!$W$1621=SPECIAL_LBL)*(INC_SPECIALS="Y"))=0,"",'Dvd Calendar'!$W$1619)))</f>
        <v/>
      </c>
      <c r="V165" s="106">
        <f>IF(EX165="","",IF(ISNUMBER('Dvd Calendar'!$X$1619)=FALSE,"",IF((('Dvd Calendar'!$X$1621=TYPE1)*(TYPE1&lt;&gt;"")+('Dvd Calendar'!$X$1621=TYPE2)*(TYPE2&lt;&gt;"")+('Dvd Calendar'!$X$1621=TYPE3)*(TYPE3&lt;&gt;"")+('Dvd Calendar'!$X$1621=TYPE4)*(TYPE4&lt;&gt;"")+('Dvd Calendar'!$X$1621=SPECIAL_LBL)*(INC_SPECIALS="Y"))=0,"",'Dvd Calendar'!$X$1619)))</f>
        <v/>
      </c>
      <c r="W165" s="106">
        <f>IF(EY165="","",IF(ISNUMBER('Dvd Calendar'!$Y$1619)=FALSE,"",IF((('Dvd Calendar'!$Y$1621=TYPE1)*(TYPE1&lt;&gt;"")+('Dvd Calendar'!$Y$1621=TYPE2)*(TYPE2&lt;&gt;"")+('Dvd Calendar'!$Y$1621=TYPE3)*(TYPE3&lt;&gt;"")+('Dvd Calendar'!$Y$1621=TYPE4)*(TYPE4&lt;&gt;"")+('Dvd Calendar'!$Y$1621=SPECIAL_LBL)*(INC_SPECIALS="Y"))=0,"",'Dvd Calendar'!$Y$1619)))</f>
        <v/>
      </c>
      <c r="X165" s="106">
        <f>IF(EZ165="","",IF(ISNUMBER('Dvd Calendar'!$Z$1619)=FALSE,"",IF((('Dvd Calendar'!$Z$1621=TYPE1)*(TYPE1&lt;&gt;"")+('Dvd Calendar'!$Z$1621=TYPE2)*(TYPE2&lt;&gt;"")+('Dvd Calendar'!$Z$1621=TYPE3)*(TYPE3&lt;&gt;"")+('Dvd Calendar'!$Z$1621=TYPE4)*(TYPE4&lt;&gt;"")+('Dvd Calendar'!$Z$1621=SPECIAL_LBL)*(INC_SPECIALS="Y"))=0,"",'Dvd Calendar'!$Z$1619)))</f>
        <v/>
      </c>
      <c r="Y165" s="106">
        <f>IF(FA165="","",IF(ISNUMBER('Dvd Calendar'!$AA$1619)=FALSE,"",IF((('Dvd Calendar'!$AA$1621=TYPE1)*(TYPE1&lt;&gt;"")+('Dvd Calendar'!$AA$1621=TYPE2)*(TYPE2&lt;&gt;"")+('Dvd Calendar'!$AA$1621=TYPE3)*(TYPE3&lt;&gt;"")+('Dvd Calendar'!$AA$1621=TYPE4)*(TYPE4&lt;&gt;"")+('Dvd Calendar'!$AA$1621=SPECIAL_LBL)*(INC_SPECIALS="Y"))=0,"",'Dvd Calendar'!$AA$1619)))</f>
        <v/>
      </c>
      <c r="Z165" s="106">
        <f>IF(FB165="","",IF(ISNUMBER('Dvd Calendar'!$AB$1619)=FALSE,"",IF((('Dvd Calendar'!$AB$1621=TYPE1)*(TYPE1&lt;&gt;"")+('Dvd Calendar'!$AB$1621=TYPE2)*(TYPE2&lt;&gt;"")+('Dvd Calendar'!$AB$1621=TYPE3)*(TYPE3&lt;&gt;"")+('Dvd Calendar'!$AB$1621=TYPE4)*(TYPE4&lt;&gt;"")+('Dvd Calendar'!$AB$1621=SPECIAL_LBL)*(INC_SPECIALS="Y"))=0,"",'Dvd Calendar'!$AB$1619)))</f>
        <v/>
      </c>
      <c r="AA165" s="106">
        <f>IF(FC165="","",IF(ISNUMBER('Dvd Calendar'!$AC$1619)=FALSE,"",IF((('Dvd Calendar'!$AC$1621=TYPE1)*(TYPE1&lt;&gt;"")+('Dvd Calendar'!$AC$1621=TYPE2)*(TYPE2&lt;&gt;"")+('Dvd Calendar'!$AC$1621=TYPE3)*(TYPE3&lt;&gt;"")+('Dvd Calendar'!$AC$1621=TYPE4)*(TYPE4&lt;&gt;"")+('Dvd Calendar'!$AC$1621=SPECIAL_LBL)*(INC_SPECIALS="Y"))=0,"",'Dvd Calendar'!$AC$1619)))</f>
        <v/>
      </c>
      <c r="AB165" s="106">
        <f>IF(FD165="","",IF(ISNUMBER('Dvd Calendar'!$AD$1619)=FALSE,"",IF((('Dvd Calendar'!$AD$1621=TYPE1)*(TYPE1&lt;&gt;"")+('Dvd Calendar'!$AD$1621=TYPE2)*(TYPE2&lt;&gt;"")+('Dvd Calendar'!$AD$1621=TYPE3)*(TYPE3&lt;&gt;"")+('Dvd Calendar'!$AD$1621=TYPE4)*(TYPE4&lt;&gt;"")+('Dvd Calendar'!$AD$1621=SPECIAL_LBL)*(INC_SPECIALS="Y"))=0,"",'Dvd Calendar'!$AD$1619)))</f>
        <v/>
      </c>
      <c r="AC165" s="106">
        <f>IF(FE165="","",IF(ISNUMBER('Dvd Calendar'!$AE$1619)=FALSE,"",IF((('Dvd Calendar'!$AE$1621=TYPE1)*(TYPE1&lt;&gt;"")+('Dvd Calendar'!$AE$1621=TYPE2)*(TYPE2&lt;&gt;"")+('Dvd Calendar'!$AE$1621=TYPE3)*(TYPE3&lt;&gt;"")+('Dvd Calendar'!$AE$1621=TYPE4)*(TYPE4&lt;&gt;"")+('Dvd Calendar'!$AE$1621=SPECIAL_LBL)*(INC_SPECIALS="Y"))=0,"",'Dvd Calendar'!$AE$1619)))</f>
        <v/>
      </c>
      <c r="AD165" s="106">
        <f>IF(FF165="","",IF(ISNUMBER('Dvd Calendar'!$AF$1619)=FALSE,"",IF((('Dvd Calendar'!$AF$1621=TYPE1)*(TYPE1&lt;&gt;"")+('Dvd Calendar'!$AF$1621=TYPE2)*(TYPE2&lt;&gt;"")+('Dvd Calendar'!$AF$1621=TYPE3)*(TYPE3&lt;&gt;"")+('Dvd Calendar'!$AF$1621=TYPE4)*(TYPE4&lt;&gt;"")+('Dvd Calendar'!$AF$1621=SPECIAL_LBL)*(INC_SPECIALS="Y"))=0,"",'Dvd Calendar'!$AF$1619)))</f>
        <v/>
      </c>
      <c r="AE165" s="106">
        <f>IF(FG165="","",IF(ISNUMBER('Dvd Calendar'!$AG$1619)=FALSE,"",IF((('Dvd Calendar'!$AG$1621=TYPE1)*(TYPE1&lt;&gt;"")+('Dvd Calendar'!$AG$1621=TYPE2)*(TYPE2&lt;&gt;"")+('Dvd Calendar'!$AG$1621=TYPE3)*(TYPE3&lt;&gt;"")+('Dvd Calendar'!$AG$1621=TYPE4)*(TYPE4&lt;&gt;"")+('Dvd Calendar'!$AG$1621=SPECIAL_LBL)*(INC_SPECIALS="Y"))=0,"",'Dvd Calendar'!$AG$1619)))</f>
        <v/>
      </c>
      <c r="AF165" s="106">
        <f>IF(FH165="","",IF(ISNUMBER('Dvd Calendar'!$AH$1619)=FALSE,"",IF((('Dvd Calendar'!$AH$1621=TYPE1)*(TYPE1&lt;&gt;"")+('Dvd Calendar'!$AH$1621=TYPE2)*(TYPE2&lt;&gt;"")+('Dvd Calendar'!$AH$1621=TYPE3)*(TYPE3&lt;&gt;"")+('Dvd Calendar'!$AH$1621=TYPE4)*(TYPE4&lt;&gt;"")+('Dvd Calendar'!$AH$1621=SPECIAL_LBL)*(INC_SPECIALS="Y"))=0,"",'Dvd Calendar'!$AH$1619)))</f>
        <v/>
      </c>
      <c r="AG165" s="106">
        <f>IF(FI165="","",IF(ISNUMBER('Dvd Calendar'!$AI$1619)=FALSE,"",IF((('Dvd Calendar'!$AI$1621=TYPE1)*(TYPE1&lt;&gt;"")+('Dvd Calendar'!$AI$1621=TYPE2)*(TYPE2&lt;&gt;"")+('Dvd Calendar'!$AI$1621=TYPE3)*(TYPE3&lt;&gt;"")+('Dvd Calendar'!$AI$1621=TYPE4)*(TYPE4&lt;&gt;"")+('Dvd Calendar'!$AI$1621=SPECIAL_LBL)*(INC_SPECIALS="Y"))=0,"",'Dvd Calendar'!$AI$1619)))</f>
        <v/>
      </c>
      <c r="AH165" s="106">
        <f>IF(FJ165="","",IF(ISNUMBER('Dvd Calendar'!$AJ$1619)=FALSE,"",IF((('Dvd Calendar'!$AJ$1621=TYPE1)*(TYPE1&lt;&gt;"")+('Dvd Calendar'!$AJ$1621=TYPE2)*(TYPE2&lt;&gt;"")+('Dvd Calendar'!$AJ$1621=TYPE3)*(TYPE3&lt;&gt;"")+('Dvd Calendar'!$AJ$1621=TYPE4)*(TYPE4&lt;&gt;"")+('Dvd Calendar'!$AJ$1621=SPECIAL_LBL)*(INC_SPECIALS="Y"))=0,"",'Dvd Calendar'!$AJ$1619)))</f>
        <v/>
      </c>
      <c r="AI165" s="106">
        <f>IF(FK165="","",IF(ISNUMBER('Dvd Calendar'!$AK$1619)=FALSE,"",IF((('Dvd Calendar'!$AK$1621=TYPE1)*(TYPE1&lt;&gt;"")+('Dvd Calendar'!$AK$1621=TYPE2)*(TYPE2&lt;&gt;"")+('Dvd Calendar'!$AK$1621=TYPE3)*(TYPE3&lt;&gt;"")+('Dvd Calendar'!$AK$1621=TYPE4)*(TYPE4&lt;&gt;"")+('Dvd Calendar'!$AK$1621=SPECIAL_LBL)*(INC_SPECIALS="Y"))=0,"",'Dvd Calendar'!$AK$1619)))</f>
        <v/>
      </c>
      <c r="AJ165" s="106">
        <f>IF(FL165="","",IF(ISNUMBER('Dvd Calendar'!$AL$1619)=FALSE,"",IF((('Dvd Calendar'!$AL$1621=TYPE1)*(TYPE1&lt;&gt;"")+('Dvd Calendar'!$AL$1621=TYPE2)*(TYPE2&lt;&gt;"")+('Dvd Calendar'!$AL$1621=TYPE3)*(TYPE3&lt;&gt;"")+('Dvd Calendar'!$AL$1621=TYPE4)*(TYPE4&lt;&gt;"")+('Dvd Calendar'!$AL$1621=SPECIAL_LBL)*(INC_SPECIALS="Y"))=0,"",'Dvd Calendar'!$AL$1619)))</f>
        <v/>
      </c>
      <c r="AK165" s="106">
        <f>IF(FM165="","",IF(ISNUMBER('Dvd Calendar'!$AM$1619)=FALSE,"",IF((('Dvd Calendar'!$AM$1621=TYPE1)*(TYPE1&lt;&gt;"")+('Dvd Calendar'!$AM$1621=TYPE2)*(TYPE2&lt;&gt;"")+('Dvd Calendar'!$AM$1621=TYPE3)*(TYPE3&lt;&gt;"")+('Dvd Calendar'!$AM$1621=TYPE4)*(TYPE4&lt;&gt;"")+('Dvd Calendar'!$AM$1621=SPECIAL_LBL)*(INC_SPECIALS="Y"))=0,"",'Dvd Calendar'!$AM$1619)))</f>
        <v/>
      </c>
      <c r="AL165" s="106">
        <f>IF(FN165="","",IF(ISNUMBER('Dvd Calendar'!$AN$1619)=FALSE,"",IF((('Dvd Calendar'!$AN$1621=TYPE1)*(TYPE1&lt;&gt;"")+('Dvd Calendar'!$AN$1621=TYPE2)*(TYPE2&lt;&gt;"")+('Dvd Calendar'!$AN$1621=TYPE3)*(TYPE3&lt;&gt;"")+('Dvd Calendar'!$AN$1621=TYPE4)*(TYPE4&lt;&gt;"")+('Dvd Calendar'!$AN$1621=SPECIAL_LBL)*(INC_SPECIALS="Y"))=0,"",'Dvd Calendar'!$AN$1619)))</f>
        <v/>
      </c>
      <c r="AM165" s="106">
        <f>IF(FO165="","",IF(ISNUMBER('Dvd Calendar'!$AO$1619)=FALSE,"",IF((('Dvd Calendar'!$AO$1621=TYPE1)*(TYPE1&lt;&gt;"")+('Dvd Calendar'!$AO$1621=TYPE2)*(TYPE2&lt;&gt;"")+('Dvd Calendar'!$AO$1621=TYPE3)*(TYPE3&lt;&gt;"")+('Dvd Calendar'!$AO$1621=TYPE4)*(TYPE4&lt;&gt;"")+('Dvd Calendar'!$AO$1621=SPECIAL_LBL)*(INC_SPECIALS="Y"))=0,"",'Dvd Calendar'!$AO$1619)))</f>
        <v/>
      </c>
      <c r="AN165" s="106">
        <f>IF(FP165="","",IF(ISNUMBER('Dvd Calendar'!$AP$1619)=FALSE,"",IF((('Dvd Calendar'!$AP$1621=TYPE1)*(TYPE1&lt;&gt;"")+('Dvd Calendar'!$AP$1621=TYPE2)*(TYPE2&lt;&gt;"")+('Dvd Calendar'!$AP$1621=TYPE3)*(TYPE3&lt;&gt;"")+('Dvd Calendar'!$AP$1621=TYPE4)*(TYPE4&lt;&gt;"")+('Dvd Calendar'!$AP$1621=SPECIAL_LBL)*(INC_SPECIALS="Y"))=0,"",'Dvd Calendar'!$AP$1619)))</f>
        <v/>
      </c>
      <c r="AO165" s="106">
        <f>IF(FQ165="","",IF(ISNUMBER('Dvd Calendar'!$AQ$1619)=FALSE,"",IF((('Dvd Calendar'!$AQ$1621=TYPE1)*(TYPE1&lt;&gt;"")+('Dvd Calendar'!$AQ$1621=TYPE2)*(TYPE2&lt;&gt;"")+('Dvd Calendar'!$AQ$1621=TYPE3)*(TYPE3&lt;&gt;"")+('Dvd Calendar'!$AQ$1621=TYPE4)*(TYPE4&lt;&gt;"")+('Dvd Calendar'!$AQ$1621=SPECIAL_LBL)*(INC_SPECIALS="Y"))=0,"",'Dvd Calendar'!$AQ$1619)))</f>
        <v/>
      </c>
      <c r="AP165" s="106">
        <f>IF(FR165="","",IF(ISNUMBER('Dvd Calendar'!$AR$1619)=FALSE,"",IF((('Dvd Calendar'!$AR$1621=TYPE1)*(TYPE1&lt;&gt;"")+('Dvd Calendar'!$AR$1621=TYPE2)*(TYPE2&lt;&gt;"")+('Dvd Calendar'!$AR$1621=TYPE3)*(TYPE3&lt;&gt;"")+('Dvd Calendar'!$AR$1621=TYPE4)*(TYPE4&lt;&gt;"")+('Dvd Calendar'!$AR$1621=SPECIAL_LBL)*(INC_SPECIALS="Y"))=0,"",'Dvd Calendar'!$AR$1619)))</f>
        <v/>
      </c>
      <c r="AQ165" s="106">
        <f>IF(FS165="","",IF(ISNUMBER('Dvd Calendar'!$E$1624)=FALSE,"",'Dvd Calendar'!$E$1624))</f>
        <v/>
      </c>
      <c r="AR165" s="106">
        <f>IF(FT165="","",IF(ISNUMBER('Dvd Calendar'!$F$1624)=FALSE,"",'Dvd Calendar'!$F$1624))</f>
        <v/>
      </c>
      <c r="AS165" s="106">
        <f>IF(FU165="","",IF(ISNUMBER('Dvd Calendar'!$G$1624)=FALSE,"",'Dvd Calendar'!$G$1624))</f>
        <v/>
      </c>
      <c r="AT165" s="106">
        <f>IF(FV165="","",IF(ISNUMBER('Dvd Calendar'!$H$1624)=FALSE,"",'Dvd Calendar'!$H$1624))</f>
        <v/>
      </c>
      <c r="AU165" s="106">
        <f>IF(FW165="","",IF(ISNUMBER('Dvd Calendar'!$I$1624)=FALSE,"",'Dvd Calendar'!$I$1624))</f>
        <v/>
      </c>
      <c r="AV165" s="106">
        <f>IF(FX165="","",IF(ISNUMBER('Dvd Calendar'!$J$1624)=FALSE,"",'Dvd Calendar'!$J$1624))</f>
        <v/>
      </c>
      <c r="AW165" s="106">
        <f>IF(FY165="","",IF(ISNUMBER('Dvd Calendar'!$K$1624)=FALSE,"",'Dvd Calendar'!$K$1624))</f>
        <v/>
      </c>
      <c r="AX165" s="106">
        <f>IF(FZ165="","",IF(ISNUMBER('Dvd Calendar'!$L$1624)=FALSE,"",'Dvd Calendar'!$L$1624))</f>
        <v/>
      </c>
      <c r="AY165" s="106">
        <f>IF(GA165="","",IF(ISNUMBER('Dvd Calendar'!$M$1624)=FALSE,"",'Dvd Calendar'!$M$1624))</f>
        <v/>
      </c>
      <c r="AZ165" s="106">
        <f>IF(GB165="","",IF(ISNUMBER('Dvd Calendar'!$N$1624)=FALSE,"",'Dvd Calendar'!$N$1624))</f>
        <v/>
      </c>
      <c r="BA165" s="106">
        <f>IF(GC165="","",IF(ISNUMBER('Dvd Calendar'!$O$1624)=FALSE,"",'Dvd Calendar'!$O$1624))</f>
        <v/>
      </c>
      <c r="BB165" s="106">
        <f>IF(GD165="","",IF(ISNUMBER('Dvd Calendar'!$P$1624)=FALSE,"",'Dvd Calendar'!$P$1624))</f>
        <v/>
      </c>
      <c r="BC165" s="106">
        <f>IF(GE165="","",IF(ISNUMBER('Dvd Calendar'!$Q$1624)=FALSE,"",'Dvd Calendar'!$Q$1624))</f>
        <v/>
      </c>
      <c r="BD165" s="106">
        <f>IF(GF165="","",IF(ISNUMBER('Dvd Calendar'!$R$1624)=FALSE,"",'Dvd Calendar'!$R$1624))</f>
        <v/>
      </c>
      <c r="BE165" s="106">
        <f>IF(GG165="","",IF(ISNUMBER('Dvd Calendar'!$S$1624)=FALSE,"",'Dvd Calendar'!$S$1624))</f>
        <v/>
      </c>
      <c r="BF165" s="106">
        <f>IF(GH165="","",IF(ISNUMBER('Dvd Calendar'!$T$1624)=FALSE,"",'Dvd Calendar'!$T$1624))</f>
        <v/>
      </c>
      <c r="BG165" s="106">
        <f>IF(GI165="","",IF(ISNUMBER('Dvd Calendar'!$U$1624)=FALSE,"",'Dvd Calendar'!$U$1624))</f>
        <v/>
      </c>
      <c r="BH165" s="106">
        <f>IF(GJ165="","",IF(ISNUMBER('Dvd Calendar'!$V$1624)=FALSE,"",'Dvd Calendar'!$V$1624))</f>
        <v/>
      </c>
      <c r="BI165" s="106">
        <f>IF(GK165="","",IF(ISNUMBER('Dvd Calendar'!$W$1624)=FALSE,"",'Dvd Calendar'!$W$1624))</f>
        <v/>
      </c>
      <c r="BJ165" s="106">
        <f>IF(GL165="","",IF(ISNUMBER('Dvd Calendar'!$X$1624)=FALSE,"",'Dvd Calendar'!$X$1624))</f>
        <v/>
      </c>
      <c r="BK165" s="106">
        <f>IF(GM165="","",IF(ISNUMBER('Dvd Calendar'!$Y$1624)=FALSE,"",'Dvd Calendar'!$Y$1624))</f>
        <v/>
      </c>
      <c r="BL165" s="106">
        <f>IF(GN165="","",IF(ISNUMBER('Dvd Calendar'!$Z$1624)=FALSE,"",'Dvd Calendar'!$Z$1624))</f>
        <v/>
      </c>
      <c r="BM165" s="106">
        <f>IF(GO165="","",IF(ISNUMBER('Dvd Calendar'!$AA$1624)=FALSE,"",'Dvd Calendar'!$AA$1624))</f>
        <v/>
      </c>
      <c r="BN165" s="106">
        <f>IF(GP165="","",IF(ISNUMBER('Dvd Calendar'!$AB$1624)=FALSE,"",'Dvd Calendar'!$AB$1624))</f>
        <v/>
      </c>
      <c r="BO165" s="106">
        <f>IF(GQ165="","",IF(ISNUMBER('Dvd Calendar'!$AC$1624)=FALSE,"",'Dvd Calendar'!$AC$1624))</f>
        <v/>
      </c>
      <c r="BQ165" s="106">
        <f>IF(C165="","",IFERROR(C165*HSCEI!$B$12*HSCEI!$G$12/HSCEI!$B$3,""))</f>
        <v/>
      </c>
      <c r="BR165" s="106">
        <f>IF(D165="","",IFERROR(D165*HSCEI!$B$12*HSCEI!$G$12/HSCEI!$B$3,""))</f>
        <v/>
      </c>
      <c r="BS165" s="106">
        <f>IF(E165="","",IFERROR(E165*HSCEI!$B$12*HSCEI!$G$12/HSCEI!$B$3,""))</f>
        <v/>
      </c>
      <c r="BT165" s="106">
        <f>IF(F165="","",IFERROR(F165*HSCEI!$B$12*HSCEI!$G$12/HSCEI!$B$3,""))</f>
        <v/>
      </c>
      <c r="BU165" s="106">
        <f>IF(G165="","",IFERROR(G165*HSCEI!$B$12*HSCEI!$G$12/HSCEI!$B$3,""))</f>
        <v/>
      </c>
      <c r="BV165" s="106">
        <f>IF(H165="","",IFERROR(H165*HSCEI!$B$12*HSCEI!$G$12/HSCEI!$B$3,""))</f>
        <v/>
      </c>
      <c r="BW165" s="106">
        <f>IF(I165="","",IFERROR(I165*HSCEI!$B$12*HSCEI!$G$12/HSCEI!$B$3,""))</f>
        <v/>
      </c>
      <c r="BX165" s="106">
        <f>IF(J165="","",IFERROR(J165*HSCEI!$B$12*HSCEI!$G$12/HSCEI!$B$3,""))</f>
        <v/>
      </c>
      <c r="BY165" s="106">
        <f>IF(K165="","",IFERROR(K165*HSCEI!$B$12*HSCEI!$G$12/HSCEI!$B$3,""))</f>
        <v/>
      </c>
      <c r="BZ165" s="106">
        <f>IF(L165="","",IFERROR(L165*HSCEI!$B$12*HSCEI!$G$12/HSCEI!$B$3,""))</f>
        <v/>
      </c>
      <c r="CA165" s="106">
        <f>IF(M165="","",IFERROR(M165*HSCEI!$B$12*HSCEI!$G$12/HSCEI!$B$3,""))</f>
        <v/>
      </c>
      <c r="CB165" s="106">
        <f>IF(N165="","",IFERROR(N165*HSCEI!$B$12*HSCEI!$G$12/HSCEI!$B$3,""))</f>
        <v/>
      </c>
      <c r="CC165" s="106">
        <f>IF(O165="","",IFERROR(O165*HSCEI!$B$12*HSCEI!$G$12/HSCEI!$B$3,""))</f>
        <v/>
      </c>
      <c r="CD165" s="106">
        <f>IF(P165="","",IFERROR(P165*HSCEI!$B$12*HSCEI!$G$12/HSCEI!$B$3,""))</f>
        <v/>
      </c>
      <c r="CE165" s="106">
        <f>IF(Q165="","",IFERROR(Q165*HSCEI!$B$12*HSCEI!$G$12/HSCEI!$B$3,""))</f>
        <v/>
      </c>
      <c r="CF165" s="106">
        <f>IF(R165="","",IFERROR(R165*HSCEI!$B$12*HSCEI!$G$12/HSCEI!$B$3,""))</f>
        <v/>
      </c>
      <c r="CG165" s="106">
        <f>IF(S165="","",IFERROR(S165*HSCEI!$B$12*HSCEI!$G$12/HSCEI!$B$3,""))</f>
        <v/>
      </c>
      <c r="CH165" s="106">
        <f>IF(T165="","",IFERROR(T165*HSCEI!$B$12*HSCEI!$G$12/HSCEI!$B$3,""))</f>
        <v/>
      </c>
      <c r="CI165" s="106">
        <f>IF(U165="","",IFERROR(U165*HSCEI!$B$12*HSCEI!$G$12/HSCEI!$B$3,""))</f>
        <v/>
      </c>
      <c r="CJ165" s="106">
        <f>IF(V165="","",IFERROR(V165*HSCEI!$B$12*HSCEI!$G$12/HSCEI!$B$3,""))</f>
        <v/>
      </c>
      <c r="CK165" s="106">
        <f>IF(W165="","",IFERROR(W165*HSCEI!$B$12*HSCEI!$G$12/HSCEI!$B$3,""))</f>
        <v/>
      </c>
      <c r="CL165" s="106">
        <f>IF(X165="","",IFERROR(X165*HSCEI!$B$12*HSCEI!$G$12/HSCEI!$B$3,""))</f>
        <v/>
      </c>
      <c r="CM165" s="106">
        <f>IF(Y165="","",IFERROR(Y165*HSCEI!$B$12*HSCEI!$G$12/HSCEI!$B$3,""))</f>
        <v/>
      </c>
      <c r="CN165" s="106">
        <f>IF(Z165="","",IFERROR(Z165*HSCEI!$B$12*HSCEI!$G$12/HSCEI!$B$3,""))</f>
        <v/>
      </c>
      <c r="CO165" s="106">
        <f>IF(AA165="","",IFERROR(AA165*HSCEI!$B$12*HSCEI!$G$12/HSCEI!$B$3,""))</f>
        <v/>
      </c>
      <c r="CP165" s="106">
        <f>IF(AB165="","",IFERROR(AB165*HSCEI!$B$12*HSCEI!$G$12/HSCEI!$B$3,""))</f>
        <v/>
      </c>
      <c r="CQ165" s="106">
        <f>IF(AC165="","",IFERROR(AC165*HSCEI!$B$12*HSCEI!$G$12/HSCEI!$B$3,""))</f>
        <v/>
      </c>
      <c r="CR165" s="106">
        <f>IF(AD165="","",IFERROR(AD165*HSCEI!$B$12*HSCEI!$G$12/HSCEI!$B$3,""))</f>
        <v/>
      </c>
      <c r="CS165" s="106">
        <f>IF(AE165="","",IFERROR(AE165*HSCEI!$B$12*HSCEI!$G$12/HSCEI!$B$3,""))</f>
        <v/>
      </c>
      <c r="CT165" s="106">
        <f>IF(AF165="","",IFERROR(AF165*HSCEI!$B$12*HSCEI!$G$12/HSCEI!$B$3,""))</f>
        <v/>
      </c>
      <c r="CU165" s="106">
        <f>IF(AG165="","",IFERROR(AG165*HSCEI!$B$12*HSCEI!$G$12/HSCEI!$B$3,""))</f>
        <v/>
      </c>
      <c r="CV165" s="106">
        <f>IF(AH165="","",IFERROR(AH165*HSCEI!$B$12*HSCEI!$G$12/HSCEI!$B$3,""))</f>
        <v/>
      </c>
      <c r="CW165" s="106">
        <f>IF(AI165="","",IFERROR(AI165*HSCEI!$B$12*HSCEI!$G$12/HSCEI!$B$3,""))</f>
        <v/>
      </c>
      <c r="CX165" s="106">
        <f>IF(AJ165="","",IFERROR(AJ165*HSCEI!$B$12*HSCEI!$G$12/HSCEI!$B$3,""))</f>
        <v/>
      </c>
      <c r="CY165" s="106">
        <f>IF(AK165="","",IFERROR(AK165*HSCEI!$B$12*HSCEI!$G$12/HSCEI!$B$3,""))</f>
        <v/>
      </c>
      <c r="CZ165" s="106">
        <f>IF(AL165="","",IFERROR(AL165*HSCEI!$B$12*HSCEI!$G$12/HSCEI!$B$3,""))</f>
        <v/>
      </c>
      <c r="DA165" s="106">
        <f>IF(AM165="","",IFERROR(AM165*HSCEI!$B$12*HSCEI!$G$12/HSCEI!$B$3,""))</f>
        <v/>
      </c>
      <c r="DB165" s="106">
        <f>IF(AN165="","",IFERROR(AN165*HSCEI!$B$12*HSCEI!$G$12/HSCEI!$B$3,""))</f>
        <v/>
      </c>
      <c r="DC165" s="106">
        <f>IF(AO165="","",IFERROR(AO165*HSCEI!$B$12*HSCEI!$G$12/HSCEI!$B$3,""))</f>
        <v/>
      </c>
      <c r="DD165" s="106">
        <f>IF(AP165="","",IFERROR(AP165*HSCEI!$B$12*HSCEI!$G$12/HSCEI!$B$3,""))</f>
        <v/>
      </c>
      <c r="DE165" s="106">
        <f>IF(AQ165="","",IFERROR(AQ165*HSCEI!$B$12*HSCEI!$G$12/HSCEI!$B$3,""))</f>
        <v/>
      </c>
      <c r="DF165" s="106">
        <f>IF(AR165="","",IFERROR(AR165*HSCEI!$B$12*HSCEI!$G$12/HSCEI!$B$3,""))</f>
        <v/>
      </c>
      <c r="DG165" s="106">
        <f>IF(AS165="","",IFERROR(AS165*HSCEI!$B$12*HSCEI!$G$12/HSCEI!$B$3,""))</f>
        <v/>
      </c>
      <c r="DH165" s="106">
        <f>IF(AT165="","",IFERROR(AT165*HSCEI!$B$12*HSCEI!$G$12/HSCEI!$B$3,""))</f>
        <v/>
      </c>
      <c r="DI165" s="106">
        <f>IF(AU165="","",IFERROR(AU165*HSCEI!$B$12*HSCEI!$G$12/HSCEI!$B$3,""))</f>
        <v/>
      </c>
      <c r="DJ165" s="106">
        <f>IF(AV165="","",IFERROR(AV165*HSCEI!$B$12*HSCEI!$G$12/HSCEI!$B$3,""))</f>
        <v/>
      </c>
      <c r="DK165" s="106">
        <f>IF(AW165="","",IFERROR(AW165*HSCEI!$B$12*HSCEI!$G$12/HSCEI!$B$3,""))</f>
        <v/>
      </c>
      <c r="DL165" s="106">
        <f>IF(AX165="","",IFERROR(AX165*HSCEI!$B$12*HSCEI!$G$12/HSCEI!$B$3,""))</f>
        <v/>
      </c>
      <c r="DM165" s="106">
        <f>IF(AY165="","",IFERROR(AY165*HSCEI!$B$12*HSCEI!$G$12/HSCEI!$B$3,""))</f>
        <v/>
      </c>
      <c r="DN165" s="106">
        <f>IF(AZ165="","",IFERROR(AZ165*HSCEI!$B$12*HSCEI!$G$12/HSCEI!$B$3,""))</f>
        <v/>
      </c>
      <c r="DO165" s="106">
        <f>IF(BA165="","",IFERROR(BA165*HSCEI!$B$12*HSCEI!$G$12/HSCEI!$B$3,""))</f>
        <v/>
      </c>
      <c r="DP165" s="106">
        <f>IF(BB165="","",IFERROR(BB165*HSCEI!$B$12*HSCEI!$G$12/HSCEI!$B$3,""))</f>
        <v/>
      </c>
      <c r="DQ165" s="106">
        <f>IF(BC165="","",IFERROR(BC165*HSCEI!$B$12*HSCEI!$G$12/HSCEI!$B$3,""))</f>
        <v/>
      </c>
      <c r="DR165" s="106">
        <f>IF(BD165="","",IFERROR(BD165*HSCEI!$B$12*HSCEI!$G$12/HSCEI!$B$3,""))</f>
        <v/>
      </c>
      <c r="DS165" s="106">
        <f>IF(BE165="","",IFERROR(BE165*HSCEI!$B$12*HSCEI!$G$12/HSCEI!$B$3,""))</f>
        <v/>
      </c>
      <c r="DT165" s="106">
        <f>IF(BF165="","",IFERROR(BF165*HSCEI!$B$12*HSCEI!$G$12/HSCEI!$B$3,""))</f>
        <v/>
      </c>
      <c r="DU165" s="106">
        <f>IF(BG165="","",IFERROR(BG165*HSCEI!$B$12*HSCEI!$G$12/HSCEI!$B$3,""))</f>
        <v/>
      </c>
      <c r="DV165" s="106">
        <f>IF(BH165="","",IFERROR(BH165*HSCEI!$B$12*HSCEI!$G$12/HSCEI!$B$3,""))</f>
        <v/>
      </c>
      <c r="DW165" s="106">
        <f>IF(BI165="","",IFERROR(BI165*HSCEI!$B$12*HSCEI!$G$12/HSCEI!$B$3,""))</f>
        <v/>
      </c>
      <c r="DX165" s="106">
        <f>IF(BJ165="","",IFERROR(BJ165*HSCEI!$B$12*HSCEI!$G$12/HSCEI!$B$3,""))</f>
        <v/>
      </c>
      <c r="DY165" s="106">
        <f>IF(BK165="","",IFERROR(BK165*HSCEI!$B$12*HSCEI!$G$12/HSCEI!$B$3,""))</f>
        <v/>
      </c>
      <c r="DZ165" s="106">
        <f>IF(BL165="","",IFERROR(BL165*HSCEI!$B$12*HSCEI!$G$12/HSCEI!$B$3,""))</f>
        <v/>
      </c>
      <c r="EA165" s="106">
        <f>IF(BM165="","",IFERROR(BM165*HSCEI!$B$12*HSCEI!$G$12/HSCEI!$B$3,""))</f>
        <v/>
      </c>
      <c r="EB165" s="106">
        <f>IF(BN165="","",IFERROR(BN165*HSCEI!$B$12*HSCEI!$G$12/HSCEI!$B$3,""))</f>
        <v/>
      </c>
      <c r="EC165" s="106">
        <f>IF(BO165="","",IFERROR(BO165*HSCEI!$B$12*HSCEI!$G$12/HSCEI!$B$3,""))</f>
        <v/>
      </c>
      <c r="EE165" s="35">
        <f>IF(N('Dvd Calendar'!$E$1616)=0,"",IF(('Dvd Calendar'!$E$1616&gt;=GRID_FROM)*('Dvd Calendar'!$E$1616&lt;=GRID_TO)*('Dvd Calendar'!$E$1616&lt;=VAL_DATE)=0,"",'Dvd Calendar'!$E$1616*1000000000+ISNUMBER('Dvd Calendar'!$E$1619)*100000000+('Dvd Calendar'!$E$1621=SPECIAL_LBL)*10000000+0*1000000+6*1000+1))</f>
        <v/>
      </c>
      <c r="EF165" s="35">
        <f>IF(N('Dvd Calendar'!$F$1616)=0,"",IF(('Dvd Calendar'!$F$1616&gt;=GRID_FROM)*('Dvd Calendar'!$F$1616&lt;=GRID_TO)*('Dvd Calendar'!$F$1616&lt;=VAL_DATE)=0,"",'Dvd Calendar'!$F$1616*1000000000+ISNUMBER('Dvd Calendar'!$F$1619)*100000000+('Dvd Calendar'!$F$1621=SPECIAL_LBL)*10000000+0*1000000+6*1000+2))</f>
        <v/>
      </c>
      <c r="EG165" s="35">
        <f>IF(N('Dvd Calendar'!$G$1616)=0,"",IF(('Dvd Calendar'!$G$1616&gt;=GRID_FROM)*('Dvd Calendar'!$G$1616&lt;=GRID_TO)*('Dvd Calendar'!$G$1616&lt;=VAL_DATE)=0,"",'Dvd Calendar'!$G$1616*1000000000+ISNUMBER('Dvd Calendar'!$G$1619)*100000000+('Dvd Calendar'!$G$1621=SPECIAL_LBL)*10000000+0*1000000+6*1000+3))</f>
        <v/>
      </c>
      <c r="EH165" s="35">
        <f>IF(N('Dvd Calendar'!$H$1616)=0,"",IF(('Dvd Calendar'!$H$1616&gt;=GRID_FROM)*('Dvd Calendar'!$H$1616&lt;=GRID_TO)*('Dvd Calendar'!$H$1616&lt;=VAL_DATE)=0,"",'Dvd Calendar'!$H$1616*1000000000+ISNUMBER('Dvd Calendar'!$H$1619)*100000000+('Dvd Calendar'!$H$1621=SPECIAL_LBL)*10000000+0*1000000+6*1000+4))</f>
        <v/>
      </c>
      <c r="EI165" s="35">
        <f>IF(N('Dvd Calendar'!$I$1616)=0,"",IF(('Dvd Calendar'!$I$1616&gt;=GRID_FROM)*('Dvd Calendar'!$I$1616&lt;=GRID_TO)*('Dvd Calendar'!$I$1616&lt;=VAL_DATE)=0,"",'Dvd Calendar'!$I$1616*1000000000+ISNUMBER('Dvd Calendar'!$I$1619)*100000000+('Dvd Calendar'!$I$1621=SPECIAL_LBL)*10000000+0*1000000+6*1000+5))</f>
        <v/>
      </c>
      <c r="EJ165" s="35">
        <f>IF(N('Dvd Calendar'!$J$1616)=0,"",IF(('Dvd Calendar'!$J$1616&gt;=GRID_FROM)*('Dvd Calendar'!$J$1616&lt;=GRID_TO)*('Dvd Calendar'!$J$1616&lt;=VAL_DATE)=0,"",'Dvd Calendar'!$J$1616*1000000000+ISNUMBER('Dvd Calendar'!$J$1619)*100000000+('Dvd Calendar'!$J$1621=SPECIAL_LBL)*10000000+0*1000000+6*1000+6))</f>
        <v/>
      </c>
      <c r="EK165" s="35">
        <f>IF(N('Dvd Calendar'!$K$1616)=0,"",IF(('Dvd Calendar'!$K$1616&gt;=GRID_FROM)*('Dvd Calendar'!$K$1616&lt;=GRID_TO)*('Dvd Calendar'!$K$1616&lt;=VAL_DATE)=0,"",'Dvd Calendar'!$K$1616*1000000000+ISNUMBER('Dvd Calendar'!$K$1619)*100000000+('Dvd Calendar'!$K$1621=SPECIAL_LBL)*10000000+0*1000000+6*1000+7))</f>
        <v/>
      </c>
      <c r="EL165" s="35">
        <f>IF(N('Dvd Calendar'!$L$1616)=0,"",IF(('Dvd Calendar'!$L$1616&gt;=GRID_FROM)*('Dvd Calendar'!$L$1616&lt;=GRID_TO)*('Dvd Calendar'!$L$1616&lt;=VAL_DATE)=0,"",'Dvd Calendar'!$L$1616*1000000000+ISNUMBER('Dvd Calendar'!$L$1619)*100000000+('Dvd Calendar'!$L$1621=SPECIAL_LBL)*10000000+0*1000000+6*1000+8))</f>
        <v/>
      </c>
      <c r="EM165" s="35">
        <f>IF(N('Dvd Calendar'!$M$1616)=0,"",IF(('Dvd Calendar'!$M$1616&gt;=GRID_FROM)*('Dvd Calendar'!$M$1616&lt;=GRID_TO)*('Dvd Calendar'!$M$1616&lt;=VAL_DATE)=0,"",'Dvd Calendar'!$M$1616*1000000000+ISNUMBER('Dvd Calendar'!$M$1619)*100000000+('Dvd Calendar'!$M$1621=SPECIAL_LBL)*10000000+0*1000000+6*1000+9))</f>
        <v/>
      </c>
      <c r="EN165" s="35">
        <f>IF(N('Dvd Calendar'!$N$1616)=0,"",IF(('Dvd Calendar'!$N$1616&gt;=GRID_FROM)*('Dvd Calendar'!$N$1616&lt;=GRID_TO)*('Dvd Calendar'!$N$1616&lt;=VAL_DATE)=0,"",'Dvd Calendar'!$N$1616*1000000000+ISNUMBER('Dvd Calendar'!$N$1619)*100000000+('Dvd Calendar'!$N$1621=SPECIAL_LBL)*10000000+0*1000000+6*1000+10))</f>
        <v/>
      </c>
      <c r="EO165" s="35">
        <f>IF(N('Dvd Calendar'!$O$1616)=0,"",IF(('Dvd Calendar'!$O$1616&gt;=GRID_FROM)*('Dvd Calendar'!$O$1616&lt;=GRID_TO)*('Dvd Calendar'!$O$1616&lt;=VAL_DATE)=0,"",'Dvd Calendar'!$O$1616*1000000000+ISNUMBER('Dvd Calendar'!$O$1619)*100000000+('Dvd Calendar'!$O$1621=SPECIAL_LBL)*10000000+0*1000000+6*1000+11))</f>
        <v/>
      </c>
      <c r="EP165" s="35">
        <f>IF(N('Dvd Calendar'!$P$1616)=0,"",IF(('Dvd Calendar'!$P$1616&gt;=GRID_FROM)*('Dvd Calendar'!$P$1616&lt;=GRID_TO)*('Dvd Calendar'!$P$1616&lt;=VAL_DATE)=0,"",'Dvd Calendar'!$P$1616*1000000000+ISNUMBER('Dvd Calendar'!$P$1619)*100000000+('Dvd Calendar'!$P$1621=SPECIAL_LBL)*10000000+0*1000000+6*1000+12))</f>
        <v/>
      </c>
      <c r="EQ165" s="35">
        <f>IF(N('Dvd Calendar'!$Q$1616)=0,"",IF(('Dvd Calendar'!$Q$1616&gt;=GRID_FROM)*('Dvd Calendar'!$Q$1616&lt;=GRID_TO)*('Dvd Calendar'!$Q$1616&lt;=VAL_DATE)=0,"",'Dvd Calendar'!$Q$1616*1000000000+ISNUMBER('Dvd Calendar'!$Q$1619)*100000000+('Dvd Calendar'!$Q$1621=SPECIAL_LBL)*10000000+0*1000000+6*1000+13))</f>
        <v/>
      </c>
      <c r="ER165" s="35">
        <f>IF(N('Dvd Calendar'!$R$1616)=0,"",IF(('Dvd Calendar'!$R$1616&gt;=GRID_FROM)*('Dvd Calendar'!$R$1616&lt;=GRID_TO)*('Dvd Calendar'!$R$1616&lt;=VAL_DATE)=0,"",'Dvd Calendar'!$R$1616*1000000000+ISNUMBER('Dvd Calendar'!$R$1619)*100000000+('Dvd Calendar'!$R$1621=SPECIAL_LBL)*10000000+0*1000000+6*1000+14))</f>
        <v/>
      </c>
      <c r="ES165" s="35">
        <f>IF(N('Dvd Calendar'!$S$1616)=0,"",IF(('Dvd Calendar'!$S$1616&gt;=GRID_FROM)*('Dvd Calendar'!$S$1616&lt;=GRID_TO)*('Dvd Calendar'!$S$1616&lt;=VAL_DATE)=0,"",'Dvd Calendar'!$S$1616*1000000000+ISNUMBER('Dvd Calendar'!$S$1619)*100000000+('Dvd Calendar'!$S$1621=SPECIAL_LBL)*10000000+0*1000000+6*1000+15))</f>
        <v/>
      </c>
      <c r="ET165" s="35">
        <f>IF(N('Dvd Calendar'!$T$1616)=0,"",IF(('Dvd Calendar'!$T$1616&gt;=GRID_FROM)*('Dvd Calendar'!$T$1616&lt;=GRID_TO)*('Dvd Calendar'!$T$1616&lt;=VAL_DATE)=0,"",'Dvd Calendar'!$T$1616*1000000000+ISNUMBER('Dvd Calendar'!$T$1619)*100000000+('Dvd Calendar'!$T$1621=SPECIAL_LBL)*10000000+0*1000000+6*1000+16))</f>
        <v/>
      </c>
      <c r="EU165" s="35">
        <f>IF(N('Dvd Calendar'!$U$1616)=0,"",IF(('Dvd Calendar'!$U$1616&gt;=GRID_FROM)*('Dvd Calendar'!$U$1616&lt;=GRID_TO)*('Dvd Calendar'!$U$1616&lt;=VAL_DATE)=0,"",'Dvd Calendar'!$U$1616*1000000000+ISNUMBER('Dvd Calendar'!$U$1619)*100000000+('Dvd Calendar'!$U$1621=SPECIAL_LBL)*10000000+0*1000000+6*1000+17))</f>
        <v/>
      </c>
      <c r="EV165" s="35">
        <f>IF(N('Dvd Calendar'!$V$1616)=0,"",IF(('Dvd Calendar'!$V$1616&gt;=GRID_FROM)*('Dvd Calendar'!$V$1616&lt;=GRID_TO)*('Dvd Calendar'!$V$1616&lt;=VAL_DATE)=0,"",'Dvd Calendar'!$V$1616*1000000000+ISNUMBER('Dvd Calendar'!$V$1619)*100000000+('Dvd Calendar'!$V$1621=SPECIAL_LBL)*10000000+0*1000000+6*1000+18))</f>
        <v/>
      </c>
      <c r="EW165" s="35">
        <f>IF(N('Dvd Calendar'!$W$1616)=0,"",IF(('Dvd Calendar'!$W$1616&gt;=GRID_FROM)*('Dvd Calendar'!$W$1616&lt;=GRID_TO)*('Dvd Calendar'!$W$1616&lt;=VAL_DATE)=0,"",'Dvd Calendar'!$W$1616*1000000000+ISNUMBER('Dvd Calendar'!$W$1619)*100000000+('Dvd Calendar'!$W$1621=SPECIAL_LBL)*10000000+0*1000000+6*1000+19))</f>
        <v/>
      </c>
      <c r="EX165" s="35">
        <f>IF(N('Dvd Calendar'!$X$1616)=0,"",IF(('Dvd Calendar'!$X$1616&gt;=GRID_FROM)*('Dvd Calendar'!$X$1616&lt;=GRID_TO)*('Dvd Calendar'!$X$1616&lt;=VAL_DATE)=0,"",'Dvd Calendar'!$X$1616*1000000000+ISNUMBER('Dvd Calendar'!$X$1619)*100000000+('Dvd Calendar'!$X$1621=SPECIAL_LBL)*10000000+0*1000000+6*1000+20))</f>
        <v/>
      </c>
      <c r="EY165" s="35">
        <f>IF(N('Dvd Calendar'!$Y$1616)=0,"",IF(('Dvd Calendar'!$Y$1616&gt;=GRID_FROM)*('Dvd Calendar'!$Y$1616&lt;=GRID_TO)*('Dvd Calendar'!$Y$1616&lt;=VAL_DATE)=0,"",'Dvd Calendar'!$Y$1616*1000000000+ISNUMBER('Dvd Calendar'!$Y$1619)*100000000+('Dvd Calendar'!$Y$1621=SPECIAL_LBL)*10000000+0*1000000+6*1000+21))</f>
        <v/>
      </c>
      <c r="EZ165" s="35">
        <f>IF(N('Dvd Calendar'!$Z$1616)=0,"",IF(('Dvd Calendar'!$Z$1616&gt;=GRID_FROM)*('Dvd Calendar'!$Z$1616&lt;=GRID_TO)*('Dvd Calendar'!$Z$1616&lt;=VAL_DATE)=0,"",'Dvd Calendar'!$Z$1616*1000000000+ISNUMBER('Dvd Calendar'!$Z$1619)*100000000+('Dvd Calendar'!$Z$1621=SPECIAL_LBL)*10000000+0*1000000+6*1000+22))</f>
        <v/>
      </c>
      <c r="FA165" s="35">
        <f>IF(N('Dvd Calendar'!$AA$1616)=0,"",IF(('Dvd Calendar'!$AA$1616&gt;=GRID_FROM)*('Dvd Calendar'!$AA$1616&lt;=GRID_TO)*('Dvd Calendar'!$AA$1616&lt;=VAL_DATE)=0,"",'Dvd Calendar'!$AA$1616*1000000000+ISNUMBER('Dvd Calendar'!$AA$1619)*100000000+('Dvd Calendar'!$AA$1621=SPECIAL_LBL)*10000000+0*1000000+6*1000+23))</f>
        <v/>
      </c>
      <c r="FB165" s="35">
        <f>IF(N('Dvd Calendar'!$AB$1616)=0,"",IF(('Dvd Calendar'!$AB$1616&gt;=GRID_FROM)*('Dvd Calendar'!$AB$1616&lt;=GRID_TO)*('Dvd Calendar'!$AB$1616&lt;=VAL_DATE)=0,"",'Dvd Calendar'!$AB$1616*1000000000+ISNUMBER('Dvd Calendar'!$AB$1619)*100000000+('Dvd Calendar'!$AB$1621=SPECIAL_LBL)*10000000+0*1000000+6*1000+24))</f>
        <v/>
      </c>
      <c r="FC165" s="35">
        <f>IF(N('Dvd Calendar'!$AC$1616)=0,"",IF(('Dvd Calendar'!$AC$1616&gt;=GRID_FROM)*('Dvd Calendar'!$AC$1616&lt;=GRID_TO)*('Dvd Calendar'!$AC$1616&lt;=VAL_DATE)=0,"",'Dvd Calendar'!$AC$1616*1000000000+ISNUMBER('Dvd Calendar'!$AC$1619)*100000000+('Dvd Calendar'!$AC$1621=SPECIAL_LBL)*10000000+0*1000000+6*1000+25))</f>
        <v/>
      </c>
      <c r="FD165" s="35">
        <f>IF(N('Dvd Calendar'!$AD$1616)=0,"",IF(('Dvd Calendar'!$AD$1616&gt;=GRID_FROM)*('Dvd Calendar'!$AD$1616&lt;=GRID_TO)*('Dvd Calendar'!$AD$1616&lt;=VAL_DATE)=0,"",'Dvd Calendar'!$AD$1616*1000000000+ISNUMBER('Dvd Calendar'!$AD$1619)*100000000+('Dvd Calendar'!$AD$1621=SPECIAL_LBL)*10000000+0*1000000+6*1000+26))</f>
        <v/>
      </c>
      <c r="FE165" s="35">
        <f>IF(N('Dvd Calendar'!$AE$1616)=0,"",IF(('Dvd Calendar'!$AE$1616&gt;=GRID_FROM)*('Dvd Calendar'!$AE$1616&lt;=GRID_TO)*('Dvd Calendar'!$AE$1616&lt;=VAL_DATE)=0,"",'Dvd Calendar'!$AE$1616*1000000000+ISNUMBER('Dvd Calendar'!$AE$1619)*100000000+('Dvd Calendar'!$AE$1621=SPECIAL_LBL)*10000000+0*1000000+6*1000+27))</f>
        <v/>
      </c>
      <c r="FF165" s="35">
        <f>IF(N('Dvd Calendar'!$AF$1616)=0,"",IF(('Dvd Calendar'!$AF$1616&gt;=GRID_FROM)*('Dvd Calendar'!$AF$1616&lt;=GRID_TO)*('Dvd Calendar'!$AF$1616&lt;=VAL_DATE)=0,"",'Dvd Calendar'!$AF$1616*1000000000+ISNUMBER('Dvd Calendar'!$AF$1619)*100000000+('Dvd Calendar'!$AF$1621=SPECIAL_LBL)*10000000+0*1000000+6*1000+28))</f>
        <v/>
      </c>
      <c r="FG165" s="35">
        <f>IF(N('Dvd Calendar'!$AG$1616)=0,"",IF(('Dvd Calendar'!$AG$1616&gt;=GRID_FROM)*('Dvd Calendar'!$AG$1616&lt;=GRID_TO)*('Dvd Calendar'!$AG$1616&lt;=VAL_DATE)=0,"",'Dvd Calendar'!$AG$1616*1000000000+ISNUMBER('Dvd Calendar'!$AG$1619)*100000000+('Dvd Calendar'!$AG$1621=SPECIAL_LBL)*10000000+0*1000000+6*1000+29))</f>
        <v/>
      </c>
      <c r="FH165" s="35">
        <f>IF(N('Dvd Calendar'!$AH$1616)=0,"",IF(('Dvd Calendar'!$AH$1616&gt;=GRID_FROM)*('Dvd Calendar'!$AH$1616&lt;=GRID_TO)*('Dvd Calendar'!$AH$1616&lt;=VAL_DATE)=0,"",'Dvd Calendar'!$AH$1616*1000000000+ISNUMBER('Dvd Calendar'!$AH$1619)*100000000+('Dvd Calendar'!$AH$1621=SPECIAL_LBL)*10000000+0*1000000+6*1000+30))</f>
        <v/>
      </c>
      <c r="FI165" s="35">
        <f>IF(N('Dvd Calendar'!$AI$1616)=0,"",IF(('Dvd Calendar'!$AI$1616&gt;=GRID_FROM)*('Dvd Calendar'!$AI$1616&lt;=GRID_TO)*('Dvd Calendar'!$AI$1616&lt;=VAL_DATE)=0,"",'Dvd Calendar'!$AI$1616*1000000000+ISNUMBER('Dvd Calendar'!$AI$1619)*100000000+('Dvd Calendar'!$AI$1621=SPECIAL_LBL)*10000000+0*1000000+6*1000+31))</f>
        <v/>
      </c>
      <c r="FJ165" s="35">
        <f>IF(N('Dvd Calendar'!$AJ$1616)=0,"",IF(('Dvd Calendar'!$AJ$1616&gt;=GRID_FROM)*('Dvd Calendar'!$AJ$1616&lt;=GRID_TO)*('Dvd Calendar'!$AJ$1616&lt;=VAL_DATE)=0,"",'Dvd Calendar'!$AJ$1616*1000000000+ISNUMBER('Dvd Calendar'!$AJ$1619)*100000000+('Dvd Calendar'!$AJ$1621=SPECIAL_LBL)*10000000+0*1000000+6*1000+32))</f>
        <v/>
      </c>
      <c r="FK165" s="35">
        <f>IF(N('Dvd Calendar'!$AK$1616)=0,"",IF(('Dvd Calendar'!$AK$1616&gt;=GRID_FROM)*('Dvd Calendar'!$AK$1616&lt;=GRID_TO)*('Dvd Calendar'!$AK$1616&lt;=VAL_DATE)=0,"",'Dvd Calendar'!$AK$1616*1000000000+ISNUMBER('Dvd Calendar'!$AK$1619)*100000000+('Dvd Calendar'!$AK$1621=SPECIAL_LBL)*10000000+0*1000000+6*1000+33))</f>
        <v/>
      </c>
      <c r="FL165" s="35">
        <f>IF(N('Dvd Calendar'!$AL$1616)=0,"",IF(('Dvd Calendar'!$AL$1616&gt;=GRID_FROM)*('Dvd Calendar'!$AL$1616&lt;=GRID_TO)*('Dvd Calendar'!$AL$1616&lt;=VAL_DATE)=0,"",'Dvd Calendar'!$AL$1616*1000000000+ISNUMBER('Dvd Calendar'!$AL$1619)*100000000+('Dvd Calendar'!$AL$1621=SPECIAL_LBL)*10000000+0*1000000+6*1000+34))</f>
        <v/>
      </c>
      <c r="FM165" s="35">
        <f>IF(N('Dvd Calendar'!$AM$1616)=0,"",IF(('Dvd Calendar'!$AM$1616&gt;=GRID_FROM)*('Dvd Calendar'!$AM$1616&lt;=GRID_TO)*('Dvd Calendar'!$AM$1616&lt;=VAL_DATE)=0,"",'Dvd Calendar'!$AM$1616*1000000000+ISNUMBER('Dvd Calendar'!$AM$1619)*100000000+('Dvd Calendar'!$AM$1621=SPECIAL_LBL)*10000000+0*1000000+6*1000+35))</f>
        <v/>
      </c>
      <c r="FN165" s="35">
        <f>IF(N('Dvd Calendar'!$AN$1616)=0,"",IF(('Dvd Calendar'!$AN$1616&gt;=GRID_FROM)*('Dvd Calendar'!$AN$1616&lt;=GRID_TO)*('Dvd Calendar'!$AN$1616&lt;=VAL_DATE)=0,"",'Dvd Calendar'!$AN$1616*1000000000+ISNUMBER('Dvd Calendar'!$AN$1619)*100000000+('Dvd Calendar'!$AN$1621=SPECIAL_LBL)*10000000+0*1000000+6*1000+36))</f>
        <v/>
      </c>
      <c r="FO165" s="35">
        <f>IF(N('Dvd Calendar'!$AO$1616)=0,"",IF(('Dvd Calendar'!$AO$1616&gt;=GRID_FROM)*('Dvd Calendar'!$AO$1616&lt;=GRID_TO)*('Dvd Calendar'!$AO$1616&lt;=VAL_DATE)=0,"",'Dvd Calendar'!$AO$1616*1000000000+ISNUMBER('Dvd Calendar'!$AO$1619)*100000000+('Dvd Calendar'!$AO$1621=SPECIAL_LBL)*10000000+0*1000000+6*1000+37))</f>
        <v/>
      </c>
      <c r="FP165" s="35">
        <f>IF(N('Dvd Calendar'!$AP$1616)=0,"",IF(('Dvd Calendar'!$AP$1616&gt;=GRID_FROM)*('Dvd Calendar'!$AP$1616&lt;=GRID_TO)*('Dvd Calendar'!$AP$1616&lt;=VAL_DATE)=0,"",'Dvd Calendar'!$AP$1616*1000000000+ISNUMBER('Dvd Calendar'!$AP$1619)*100000000+('Dvd Calendar'!$AP$1621=SPECIAL_LBL)*10000000+0*1000000+6*1000+38))</f>
        <v/>
      </c>
      <c r="FQ165" s="35">
        <f>IF(N('Dvd Calendar'!$AQ$1616)=0,"",IF(('Dvd Calendar'!$AQ$1616&gt;=GRID_FROM)*('Dvd Calendar'!$AQ$1616&lt;=GRID_TO)*('Dvd Calendar'!$AQ$1616&lt;=VAL_DATE)=0,"",'Dvd Calendar'!$AQ$1616*1000000000+ISNUMBER('Dvd Calendar'!$AQ$1619)*100000000+('Dvd Calendar'!$AQ$1621=SPECIAL_LBL)*10000000+0*1000000+6*1000+39))</f>
        <v/>
      </c>
      <c r="FR165" s="35">
        <f>IF(N('Dvd Calendar'!$AR$1616)=0,"",IF(('Dvd Calendar'!$AR$1616&gt;=GRID_FROM)*('Dvd Calendar'!$AR$1616&lt;=GRID_TO)*('Dvd Calendar'!$AR$1616&lt;=VAL_DATE)=0,"",'Dvd Calendar'!$AR$1616*1000000000+ISNUMBER('Dvd Calendar'!$AR$1619)*100000000+('Dvd Calendar'!$AR$1621=SPECIAL_LBL)*10000000+0*1000000+6*1000+40))</f>
        <v/>
      </c>
      <c r="FS165" s="35">
        <f>IF(N('Dvd Calendar'!$E$1623)=0,"",IF(('Dvd Calendar'!$E$1623&gt;=GRID_FROM)*('Dvd Calendar'!$E$1623&lt;=GRID_TO)*('Dvd Calendar'!$E$1623&gt;VAL_DATE)=0,"",'Dvd Calendar'!$E$1623*1000000000+ISNUMBER('Dvd Calendar'!$E$1624)*100000000+0*10000000+(N('Dvd Calendar'!$E$1622)&gt;0)*(N('Dvd Calendar'!$E$1622)&lt;=VAL_SERIAL)*1000000+6*1000+41))</f>
        <v/>
      </c>
      <c r="FT165" s="35">
        <f>IF(N('Dvd Calendar'!$F$1623)=0,"",IF(('Dvd Calendar'!$F$1623&gt;=GRID_FROM)*('Dvd Calendar'!$F$1623&lt;=GRID_TO)*('Dvd Calendar'!$F$1623&gt;VAL_DATE)=0,"",'Dvd Calendar'!$F$1623*1000000000+ISNUMBER('Dvd Calendar'!$F$1624)*100000000+0*10000000+(N('Dvd Calendar'!$F$1622)&gt;0)*(N('Dvd Calendar'!$F$1622)&lt;=VAL_SERIAL)*1000000+6*1000+42))</f>
        <v/>
      </c>
      <c r="FU165" s="35">
        <f>IF(N('Dvd Calendar'!$G$1623)=0,"",IF(('Dvd Calendar'!$G$1623&gt;=GRID_FROM)*('Dvd Calendar'!$G$1623&lt;=GRID_TO)*('Dvd Calendar'!$G$1623&gt;VAL_DATE)=0,"",'Dvd Calendar'!$G$1623*1000000000+ISNUMBER('Dvd Calendar'!$G$1624)*100000000+0*10000000+(N('Dvd Calendar'!$G$1622)&gt;0)*(N('Dvd Calendar'!$G$1622)&lt;=VAL_SERIAL)*1000000+6*1000+43))</f>
        <v/>
      </c>
      <c r="FV165" s="35">
        <f>IF(N('Dvd Calendar'!$H$1623)=0,"",IF(('Dvd Calendar'!$H$1623&gt;=GRID_FROM)*('Dvd Calendar'!$H$1623&lt;=GRID_TO)*('Dvd Calendar'!$H$1623&gt;VAL_DATE)=0,"",'Dvd Calendar'!$H$1623*1000000000+ISNUMBER('Dvd Calendar'!$H$1624)*100000000+0*10000000+(N('Dvd Calendar'!$H$1622)&gt;0)*(N('Dvd Calendar'!$H$1622)&lt;=VAL_SERIAL)*1000000+6*1000+44))</f>
        <v/>
      </c>
      <c r="FW165" s="35">
        <f>IF(N('Dvd Calendar'!$I$1623)=0,"",IF(('Dvd Calendar'!$I$1623&gt;=GRID_FROM)*('Dvd Calendar'!$I$1623&lt;=GRID_TO)*('Dvd Calendar'!$I$1623&gt;VAL_DATE)=0,"",'Dvd Calendar'!$I$1623*1000000000+ISNUMBER('Dvd Calendar'!$I$1624)*100000000+0*10000000+(N('Dvd Calendar'!$I$1622)&gt;0)*(N('Dvd Calendar'!$I$1622)&lt;=VAL_SERIAL)*1000000+6*1000+45))</f>
        <v/>
      </c>
      <c r="FX165" s="35">
        <f>IF(N('Dvd Calendar'!$J$1623)=0,"",IF(('Dvd Calendar'!$J$1623&gt;=GRID_FROM)*('Dvd Calendar'!$J$1623&lt;=GRID_TO)*('Dvd Calendar'!$J$1623&gt;VAL_DATE)=0,"",'Dvd Calendar'!$J$1623*1000000000+ISNUMBER('Dvd Calendar'!$J$1624)*100000000+0*10000000+(N('Dvd Calendar'!$J$1622)&gt;0)*(N('Dvd Calendar'!$J$1622)&lt;=VAL_SERIAL)*1000000+6*1000+46))</f>
        <v/>
      </c>
      <c r="FY165" s="35">
        <f>IF(N('Dvd Calendar'!$K$1623)=0,"",IF(('Dvd Calendar'!$K$1623&gt;=GRID_FROM)*('Dvd Calendar'!$K$1623&lt;=GRID_TO)*('Dvd Calendar'!$K$1623&gt;VAL_DATE)=0,"",'Dvd Calendar'!$K$1623*1000000000+ISNUMBER('Dvd Calendar'!$K$1624)*100000000+0*10000000+(N('Dvd Calendar'!$K$1622)&gt;0)*(N('Dvd Calendar'!$K$1622)&lt;=VAL_SERIAL)*1000000+6*1000+47))</f>
        <v/>
      </c>
      <c r="FZ165" s="35">
        <f>IF(N('Dvd Calendar'!$L$1623)=0,"",IF(('Dvd Calendar'!$L$1623&gt;=GRID_FROM)*('Dvd Calendar'!$L$1623&lt;=GRID_TO)*('Dvd Calendar'!$L$1623&gt;VAL_DATE)=0,"",'Dvd Calendar'!$L$1623*1000000000+ISNUMBER('Dvd Calendar'!$L$1624)*100000000+0*10000000+(N('Dvd Calendar'!$L$1622)&gt;0)*(N('Dvd Calendar'!$L$1622)&lt;=VAL_SERIAL)*1000000+6*1000+48))</f>
        <v/>
      </c>
      <c r="GA165" s="35">
        <f>IF(N('Dvd Calendar'!$M$1623)=0,"",IF(('Dvd Calendar'!$M$1623&gt;=GRID_FROM)*('Dvd Calendar'!$M$1623&lt;=GRID_TO)*('Dvd Calendar'!$M$1623&gt;VAL_DATE)=0,"",'Dvd Calendar'!$M$1623*1000000000+ISNUMBER('Dvd Calendar'!$M$1624)*100000000+0*10000000+(N('Dvd Calendar'!$M$1622)&gt;0)*(N('Dvd Calendar'!$M$1622)&lt;=VAL_SERIAL)*1000000+6*1000+49))</f>
        <v/>
      </c>
      <c r="GB165" s="35">
        <f>IF(N('Dvd Calendar'!$N$1623)=0,"",IF(('Dvd Calendar'!$N$1623&gt;=GRID_FROM)*('Dvd Calendar'!$N$1623&lt;=GRID_TO)*('Dvd Calendar'!$N$1623&gt;VAL_DATE)=0,"",'Dvd Calendar'!$N$1623*1000000000+ISNUMBER('Dvd Calendar'!$N$1624)*100000000+0*10000000+(N('Dvd Calendar'!$N$1622)&gt;0)*(N('Dvd Calendar'!$N$1622)&lt;=VAL_SERIAL)*1000000+6*1000+50))</f>
        <v/>
      </c>
      <c r="GC165" s="35">
        <f>IF(N('Dvd Calendar'!$O$1623)=0,"",IF(('Dvd Calendar'!$O$1623&gt;=GRID_FROM)*('Dvd Calendar'!$O$1623&lt;=GRID_TO)*('Dvd Calendar'!$O$1623&gt;VAL_DATE)=0,"",'Dvd Calendar'!$O$1623*1000000000+ISNUMBER('Dvd Calendar'!$O$1624)*100000000+0*10000000+(N('Dvd Calendar'!$O$1622)&gt;0)*(N('Dvd Calendar'!$O$1622)&lt;=VAL_SERIAL)*1000000+6*1000+51))</f>
        <v/>
      </c>
      <c r="GD165" s="35">
        <f>IF(N('Dvd Calendar'!$P$1623)=0,"",IF(('Dvd Calendar'!$P$1623&gt;=GRID_FROM)*('Dvd Calendar'!$P$1623&lt;=GRID_TO)*('Dvd Calendar'!$P$1623&gt;VAL_DATE)=0,"",'Dvd Calendar'!$P$1623*1000000000+ISNUMBER('Dvd Calendar'!$P$1624)*100000000+0*10000000+(N('Dvd Calendar'!$P$1622)&gt;0)*(N('Dvd Calendar'!$P$1622)&lt;=VAL_SERIAL)*1000000+6*1000+52))</f>
        <v/>
      </c>
      <c r="GE165" s="35">
        <f>IF(N('Dvd Calendar'!$Q$1623)=0,"",IF(('Dvd Calendar'!$Q$1623&gt;=GRID_FROM)*('Dvd Calendar'!$Q$1623&lt;=GRID_TO)*('Dvd Calendar'!$Q$1623&gt;VAL_DATE)=0,"",'Dvd Calendar'!$Q$1623*1000000000+ISNUMBER('Dvd Calendar'!$Q$1624)*100000000+0*10000000+(N('Dvd Calendar'!$Q$1622)&gt;0)*(N('Dvd Calendar'!$Q$1622)&lt;=VAL_SERIAL)*1000000+6*1000+53))</f>
        <v/>
      </c>
      <c r="GF165" s="35">
        <f>IF(N('Dvd Calendar'!$R$1623)=0,"",IF(('Dvd Calendar'!$R$1623&gt;=GRID_FROM)*('Dvd Calendar'!$R$1623&lt;=GRID_TO)*('Dvd Calendar'!$R$1623&gt;VAL_DATE)=0,"",'Dvd Calendar'!$R$1623*1000000000+ISNUMBER('Dvd Calendar'!$R$1624)*100000000+0*10000000+(N('Dvd Calendar'!$R$1622)&gt;0)*(N('Dvd Calendar'!$R$1622)&lt;=VAL_SERIAL)*1000000+6*1000+54))</f>
        <v/>
      </c>
      <c r="GG165" s="35">
        <f>IF(N('Dvd Calendar'!$S$1623)=0,"",IF(('Dvd Calendar'!$S$1623&gt;=GRID_FROM)*('Dvd Calendar'!$S$1623&lt;=GRID_TO)*('Dvd Calendar'!$S$1623&gt;VAL_DATE)=0,"",'Dvd Calendar'!$S$1623*1000000000+ISNUMBER('Dvd Calendar'!$S$1624)*100000000+0*10000000+(N('Dvd Calendar'!$S$1622)&gt;0)*(N('Dvd Calendar'!$S$1622)&lt;=VAL_SERIAL)*1000000+6*1000+55))</f>
        <v/>
      </c>
      <c r="GH165" s="35">
        <f>IF(N('Dvd Calendar'!$T$1623)=0,"",IF(('Dvd Calendar'!$T$1623&gt;=GRID_FROM)*('Dvd Calendar'!$T$1623&lt;=GRID_TO)*('Dvd Calendar'!$T$1623&gt;VAL_DATE)=0,"",'Dvd Calendar'!$T$1623*1000000000+ISNUMBER('Dvd Calendar'!$T$1624)*100000000+0*10000000+(N('Dvd Calendar'!$T$1622)&gt;0)*(N('Dvd Calendar'!$T$1622)&lt;=VAL_SERIAL)*1000000+6*1000+56))</f>
        <v/>
      </c>
      <c r="GI165" s="35">
        <f>IF(N('Dvd Calendar'!$U$1623)=0,"",IF(('Dvd Calendar'!$U$1623&gt;=GRID_FROM)*('Dvd Calendar'!$U$1623&lt;=GRID_TO)*('Dvd Calendar'!$U$1623&gt;VAL_DATE)=0,"",'Dvd Calendar'!$U$1623*1000000000+ISNUMBER('Dvd Calendar'!$U$1624)*100000000+0*10000000+(N('Dvd Calendar'!$U$1622)&gt;0)*(N('Dvd Calendar'!$U$1622)&lt;=VAL_SERIAL)*1000000+6*1000+57))</f>
        <v/>
      </c>
      <c r="GJ165" s="35">
        <f>IF(N('Dvd Calendar'!$V$1623)=0,"",IF(('Dvd Calendar'!$V$1623&gt;=GRID_FROM)*('Dvd Calendar'!$V$1623&lt;=GRID_TO)*('Dvd Calendar'!$V$1623&gt;VAL_DATE)=0,"",'Dvd Calendar'!$V$1623*1000000000+ISNUMBER('Dvd Calendar'!$V$1624)*100000000+0*10000000+(N('Dvd Calendar'!$V$1622)&gt;0)*(N('Dvd Calendar'!$V$1622)&lt;=VAL_SERIAL)*1000000+6*1000+58))</f>
        <v/>
      </c>
      <c r="GK165" s="35">
        <f>IF(N('Dvd Calendar'!$W$1623)=0,"",IF(('Dvd Calendar'!$W$1623&gt;=GRID_FROM)*('Dvd Calendar'!$W$1623&lt;=GRID_TO)*('Dvd Calendar'!$W$1623&gt;VAL_DATE)=0,"",'Dvd Calendar'!$W$1623*1000000000+ISNUMBER('Dvd Calendar'!$W$1624)*100000000+0*10000000+(N('Dvd Calendar'!$W$1622)&gt;0)*(N('Dvd Calendar'!$W$1622)&lt;=VAL_SERIAL)*1000000+6*1000+59))</f>
        <v/>
      </c>
      <c r="GL165" s="35">
        <f>IF(N('Dvd Calendar'!$X$1623)=0,"",IF(('Dvd Calendar'!$X$1623&gt;=GRID_FROM)*('Dvd Calendar'!$X$1623&lt;=GRID_TO)*('Dvd Calendar'!$X$1623&gt;VAL_DATE)=0,"",'Dvd Calendar'!$X$1623*1000000000+ISNUMBER('Dvd Calendar'!$X$1624)*100000000+0*10000000+(N('Dvd Calendar'!$X$1622)&gt;0)*(N('Dvd Calendar'!$X$1622)&lt;=VAL_SERIAL)*1000000+6*1000+60))</f>
        <v/>
      </c>
      <c r="GM165" s="35">
        <f>IF(N('Dvd Calendar'!$Y$1623)=0,"",IF(('Dvd Calendar'!$Y$1623&gt;=GRID_FROM)*('Dvd Calendar'!$Y$1623&lt;=GRID_TO)*('Dvd Calendar'!$Y$1623&gt;VAL_DATE)=0,"",'Dvd Calendar'!$Y$1623*1000000000+ISNUMBER('Dvd Calendar'!$Y$1624)*100000000+0*10000000+(N('Dvd Calendar'!$Y$1622)&gt;0)*(N('Dvd Calendar'!$Y$1622)&lt;=VAL_SERIAL)*1000000+6*1000+61))</f>
        <v/>
      </c>
      <c r="GN165" s="35">
        <f>IF(N('Dvd Calendar'!$Z$1623)=0,"",IF(('Dvd Calendar'!$Z$1623&gt;=GRID_FROM)*('Dvd Calendar'!$Z$1623&lt;=GRID_TO)*('Dvd Calendar'!$Z$1623&gt;VAL_DATE)=0,"",'Dvd Calendar'!$Z$1623*1000000000+ISNUMBER('Dvd Calendar'!$Z$1624)*100000000+0*10000000+(N('Dvd Calendar'!$Z$1622)&gt;0)*(N('Dvd Calendar'!$Z$1622)&lt;=VAL_SERIAL)*1000000+6*1000+62))</f>
        <v/>
      </c>
      <c r="GO165" s="35">
        <f>IF(N('Dvd Calendar'!$AA$1623)=0,"",IF(('Dvd Calendar'!$AA$1623&gt;=GRID_FROM)*('Dvd Calendar'!$AA$1623&lt;=GRID_TO)*('Dvd Calendar'!$AA$1623&gt;VAL_DATE)=0,"",'Dvd Calendar'!$AA$1623*1000000000+ISNUMBER('Dvd Calendar'!$AA$1624)*100000000+0*10000000+(N('Dvd Calendar'!$AA$1622)&gt;0)*(N('Dvd Calendar'!$AA$1622)&lt;=VAL_SERIAL)*1000000+6*1000+63))</f>
        <v/>
      </c>
      <c r="GP165" s="35">
        <f>IF(N('Dvd Calendar'!$AB$1623)=0,"",IF(('Dvd Calendar'!$AB$1623&gt;=GRID_FROM)*('Dvd Calendar'!$AB$1623&lt;=GRID_TO)*('Dvd Calendar'!$AB$1623&gt;VAL_DATE)=0,"",'Dvd Calendar'!$AB$1623*1000000000+ISNUMBER('Dvd Calendar'!$AB$1624)*100000000+0*10000000+(N('Dvd Calendar'!$AB$1622)&gt;0)*(N('Dvd Calendar'!$AB$1622)&lt;=VAL_SERIAL)*1000000+6*1000+64))</f>
        <v/>
      </c>
      <c r="GQ165" s="35">
        <f>IF(N('Dvd Calendar'!$AC$1623)=0,"",IF(('Dvd Calendar'!$AC$1623&gt;=GRID_FROM)*('Dvd Calendar'!$AC$1623&lt;=GRID_TO)*('Dvd Calendar'!$AC$1623&gt;VAL_DATE)=0,"",'Dvd Calendar'!$AC$1623*1000000000+ISNUMBER('Dvd Calendar'!$AC$1624)*100000000+0*10000000+(N('Dvd Calendar'!$AC$1622)&gt;0)*(N('Dvd Calendar'!$AC$1622)&lt;=VAL_SERIAL)*1000000+6*1000+65))</f>
        <v/>
      </c>
    </row>
    <row r="166">
      <c r="B166" s="2">
        <f>IF(HSCEI!$C$13="","",HSCEI!$C$13)</f>
        <v/>
      </c>
      <c r="C166" s="106">
        <f>IF(EE166="","",IF(ISNUMBER('Dvd Calendar'!$E$1630)=FALSE,"",IF((('Dvd Calendar'!$E$1632=TYPE1)*(TYPE1&lt;&gt;"")+('Dvd Calendar'!$E$1632=TYPE2)*(TYPE2&lt;&gt;"")+('Dvd Calendar'!$E$1632=TYPE3)*(TYPE3&lt;&gt;"")+('Dvd Calendar'!$E$1632=TYPE4)*(TYPE4&lt;&gt;"")+('Dvd Calendar'!$E$1632=SPECIAL_LBL)*(INC_SPECIALS="Y"))=0,"",'Dvd Calendar'!$E$1630)))</f>
        <v/>
      </c>
      <c r="D166" s="106">
        <f>IF(EF166="","",IF(ISNUMBER('Dvd Calendar'!$F$1630)=FALSE,"",IF((('Dvd Calendar'!$F$1632=TYPE1)*(TYPE1&lt;&gt;"")+('Dvd Calendar'!$F$1632=TYPE2)*(TYPE2&lt;&gt;"")+('Dvd Calendar'!$F$1632=TYPE3)*(TYPE3&lt;&gt;"")+('Dvd Calendar'!$F$1632=TYPE4)*(TYPE4&lt;&gt;"")+('Dvd Calendar'!$F$1632=SPECIAL_LBL)*(INC_SPECIALS="Y"))=0,"",'Dvd Calendar'!$F$1630)))</f>
        <v/>
      </c>
      <c r="E166" s="106">
        <f>IF(EG166="","",IF(ISNUMBER('Dvd Calendar'!$G$1630)=FALSE,"",IF((('Dvd Calendar'!$G$1632=TYPE1)*(TYPE1&lt;&gt;"")+('Dvd Calendar'!$G$1632=TYPE2)*(TYPE2&lt;&gt;"")+('Dvd Calendar'!$G$1632=TYPE3)*(TYPE3&lt;&gt;"")+('Dvd Calendar'!$G$1632=TYPE4)*(TYPE4&lt;&gt;"")+('Dvd Calendar'!$G$1632=SPECIAL_LBL)*(INC_SPECIALS="Y"))=0,"",'Dvd Calendar'!$G$1630)))</f>
        <v/>
      </c>
      <c r="F166" s="106">
        <f>IF(EH166="","",IF(ISNUMBER('Dvd Calendar'!$H$1630)=FALSE,"",IF((('Dvd Calendar'!$H$1632=TYPE1)*(TYPE1&lt;&gt;"")+('Dvd Calendar'!$H$1632=TYPE2)*(TYPE2&lt;&gt;"")+('Dvd Calendar'!$H$1632=TYPE3)*(TYPE3&lt;&gt;"")+('Dvd Calendar'!$H$1632=TYPE4)*(TYPE4&lt;&gt;"")+('Dvd Calendar'!$H$1632=SPECIAL_LBL)*(INC_SPECIALS="Y"))=0,"",'Dvd Calendar'!$H$1630)))</f>
        <v/>
      </c>
      <c r="G166" s="106">
        <f>IF(EI166="","",IF(ISNUMBER('Dvd Calendar'!$I$1630)=FALSE,"",IF((('Dvd Calendar'!$I$1632=TYPE1)*(TYPE1&lt;&gt;"")+('Dvd Calendar'!$I$1632=TYPE2)*(TYPE2&lt;&gt;"")+('Dvd Calendar'!$I$1632=TYPE3)*(TYPE3&lt;&gt;"")+('Dvd Calendar'!$I$1632=TYPE4)*(TYPE4&lt;&gt;"")+('Dvd Calendar'!$I$1632=SPECIAL_LBL)*(INC_SPECIALS="Y"))=0,"",'Dvd Calendar'!$I$1630)))</f>
        <v/>
      </c>
      <c r="H166" s="106">
        <f>IF(EJ166="","",IF(ISNUMBER('Dvd Calendar'!$J$1630)=FALSE,"",IF((('Dvd Calendar'!$J$1632=TYPE1)*(TYPE1&lt;&gt;"")+('Dvd Calendar'!$J$1632=TYPE2)*(TYPE2&lt;&gt;"")+('Dvd Calendar'!$J$1632=TYPE3)*(TYPE3&lt;&gt;"")+('Dvd Calendar'!$J$1632=TYPE4)*(TYPE4&lt;&gt;"")+('Dvd Calendar'!$J$1632=SPECIAL_LBL)*(INC_SPECIALS="Y"))=0,"",'Dvd Calendar'!$J$1630)))</f>
        <v/>
      </c>
      <c r="I166" s="106">
        <f>IF(EK166="","",IF(ISNUMBER('Dvd Calendar'!$K$1630)=FALSE,"",IF((('Dvd Calendar'!$K$1632=TYPE1)*(TYPE1&lt;&gt;"")+('Dvd Calendar'!$K$1632=TYPE2)*(TYPE2&lt;&gt;"")+('Dvd Calendar'!$K$1632=TYPE3)*(TYPE3&lt;&gt;"")+('Dvd Calendar'!$K$1632=TYPE4)*(TYPE4&lt;&gt;"")+('Dvd Calendar'!$K$1632=SPECIAL_LBL)*(INC_SPECIALS="Y"))=0,"",'Dvd Calendar'!$K$1630)))</f>
        <v/>
      </c>
      <c r="J166" s="106">
        <f>IF(EL166="","",IF(ISNUMBER('Dvd Calendar'!$L$1630)=FALSE,"",IF((('Dvd Calendar'!$L$1632=TYPE1)*(TYPE1&lt;&gt;"")+('Dvd Calendar'!$L$1632=TYPE2)*(TYPE2&lt;&gt;"")+('Dvd Calendar'!$L$1632=TYPE3)*(TYPE3&lt;&gt;"")+('Dvd Calendar'!$L$1632=TYPE4)*(TYPE4&lt;&gt;"")+('Dvd Calendar'!$L$1632=SPECIAL_LBL)*(INC_SPECIALS="Y"))=0,"",'Dvd Calendar'!$L$1630)))</f>
        <v/>
      </c>
      <c r="K166" s="106">
        <f>IF(EM166="","",IF(ISNUMBER('Dvd Calendar'!$M$1630)=FALSE,"",IF((('Dvd Calendar'!$M$1632=TYPE1)*(TYPE1&lt;&gt;"")+('Dvd Calendar'!$M$1632=TYPE2)*(TYPE2&lt;&gt;"")+('Dvd Calendar'!$M$1632=TYPE3)*(TYPE3&lt;&gt;"")+('Dvd Calendar'!$M$1632=TYPE4)*(TYPE4&lt;&gt;"")+('Dvd Calendar'!$M$1632=SPECIAL_LBL)*(INC_SPECIALS="Y"))=0,"",'Dvd Calendar'!$M$1630)))</f>
        <v/>
      </c>
      <c r="L166" s="106">
        <f>IF(EN166="","",IF(ISNUMBER('Dvd Calendar'!$N$1630)=FALSE,"",IF((('Dvd Calendar'!$N$1632=TYPE1)*(TYPE1&lt;&gt;"")+('Dvd Calendar'!$N$1632=TYPE2)*(TYPE2&lt;&gt;"")+('Dvd Calendar'!$N$1632=TYPE3)*(TYPE3&lt;&gt;"")+('Dvd Calendar'!$N$1632=TYPE4)*(TYPE4&lt;&gt;"")+('Dvd Calendar'!$N$1632=SPECIAL_LBL)*(INC_SPECIALS="Y"))=0,"",'Dvd Calendar'!$N$1630)))</f>
        <v/>
      </c>
      <c r="M166" s="106">
        <f>IF(EO166="","",IF(ISNUMBER('Dvd Calendar'!$O$1630)=FALSE,"",IF((('Dvd Calendar'!$O$1632=TYPE1)*(TYPE1&lt;&gt;"")+('Dvd Calendar'!$O$1632=TYPE2)*(TYPE2&lt;&gt;"")+('Dvd Calendar'!$O$1632=TYPE3)*(TYPE3&lt;&gt;"")+('Dvd Calendar'!$O$1632=TYPE4)*(TYPE4&lt;&gt;"")+('Dvd Calendar'!$O$1632=SPECIAL_LBL)*(INC_SPECIALS="Y"))=0,"",'Dvd Calendar'!$O$1630)))</f>
        <v/>
      </c>
      <c r="N166" s="106">
        <f>IF(EP166="","",IF(ISNUMBER('Dvd Calendar'!$P$1630)=FALSE,"",IF((('Dvd Calendar'!$P$1632=TYPE1)*(TYPE1&lt;&gt;"")+('Dvd Calendar'!$P$1632=TYPE2)*(TYPE2&lt;&gt;"")+('Dvd Calendar'!$P$1632=TYPE3)*(TYPE3&lt;&gt;"")+('Dvd Calendar'!$P$1632=TYPE4)*(TYPE4&lt;&gt;"")+('Dvd Calendar'!$P$1632=SPECIAL_LBL)*(INC_SPECIALS="Y"))=0,"",'Dvd Calendar'!$P$1630)))</f>
        <v/>
      </c>
      <c r="O166" s="106">
        <f>IF(EQ166="","",IF(ISNUMBER('Dvd Calendar'!$Q$1630)=FALSE,"",IF((('Dvd Calendar'!$Q$1632=TYPE1)*(TYPE1&lt;&gt;"")+('Dvd Calendar'!$Q$1632=TYPE2)*(TYPE2&lt;&gt;"")+('Dvd Calendar'!$Q$1632=TYPE3)*(TYPE3&lt;&gt;"")+('Dvd Calendar'!$Q$1632=TYPE4)*(TYPE4&lt;&gt;"")+('Dvd Calendar'!$Q$1632=SPECIAL_LBL)*(INC_SPECIALS="Y"))=0,"",'Dvd Calendar'!$Q$1630)))</f>
        <v/>
      </c>
      <c r="P166" s="106">
        <f>IF(ER166="","",IF(ISNUMBER('Dvd Calendar'!$R$1630)=FALSE,"",IF((('Dvd Calendar'!$R$1632=TYPE1)*(TYPE1&lt;&gt;"")+('Dvd Calendar'!$R$1632=TYPE2)*(TYPE2&lt;&gt;"")+('Dvd Calendar'!$R$1632=TYPE3)*(TYPE3&lt;&gt;"")+('Dvd Calendar'!$R$1632=TYPE4)*(TYPE4&lt;&gt;"")+('Dvd Calendar'!$R$1632=SPECIAL_LBL)*(INC_SPECIALS="Y"))=0,"",'Dvd Calendar'!$R$1630)))</f>
        <v/>
      </c>
      <c r="Q166" s="106">
        <f>IF(ES166="","",IF(ISNUMBER('Dvd Calendar'!$S$1630)=FALSE,"",IF((('Dvd Calendar'!$S$1632=TYPE1)*(TYPE1&lt;&gt;"")+('Dvd Calendar'!$S$1632=TYPE2)*(TYPE2&lt;&gt;"")+('Dvd Calendar'!$S$1632=TYPE3)*(TYPE3&lt;&gt;"")+('Dvd Calendar'!$S$1632=TYPE4)*(TYPE4&lt;&gt;"")+('Dvd Calendar'!$S$1632=SPECIAL_LBL)*(INC_SPECIALS="Y"))=0,"",'Dvd Calendar'!$S$1630)))</f>
        <v/>
      </c>
      <c r="R166" s="106">
        <f>IF(ET166="","",IF(ISNUMBER('Dvd Calendar'!$T$1630)=FALSE,"",IF((('Dvd Calendar'!$T$1632=TYPE1)*(TYPE1&lt;&gt;"")+('Dvd Calendar'!$T$1632=TYPE2)*(TYPE2&lt;&gt;"")+('Dvd Calendar'!$T$1632=TYPE3)*(TYPE3&lt;&gt;"")+('Dvd Calendar'!$T$1632=TYPE4)*(TYPE4&lt;&gt;"")+('Dvd Calendar'!$T$1632=SPECIAL_LBL)*(INC_SPECIALS="Y"))=0,"",'Dvd Calendar'!$T$1630)))</f>
        <v/>
      </c>
      <c r="S166" s="106">
        <f>IF(EU166="","",IF(ISNUMBER('Dvd Calendar'!$U$1630)=FALSE,"",IF((('Dvd Calendar'!$U$1632=TYPE1)*(TYPE1&lt;&gt;"")+('Dvd Calendar'!$U$1632=TYPE2)*(TYPE2&lt;&gt;"")+('Dvd Calendar'!$U$1632=TYPE3)*(TYPE3&lt;&gt;"")+('Dvd Calendar'!$U$1632=TYPE4)*(TYPE4&lt;&gt;"")+('Dvd Calendar'!$U$1632=SPECIAL_LBL)*(INC_SPECIALS="Y"))=0,"",'Dvd Calendar'!$U$1630)))</f>
        <v/>
      </c>
      <c r="T166" s="106">
        <f>IF(EV166="","",IF(ISNUMBER('Dvd Calendar'!$V$1630)=FALSE,"",IF((('Dvd Calendar'!$V$1632=TYPE1)*(TYPE1&lt;&gt;"")+('Dvd Calendar'!$V$1632=TYPE2)*(TYPE2&lt;&gt;"")+('Dvd Calendar'!$V$1632=TYPE3)*(TYPE3&lt;&gt;"")+('Dvd Calendar'!$V$1632=TYPE4)*(TYPE4&lt;&gt;"")+('Dvd Calendar'!$V$1632=SPECIAL_LBL)*(INC_SPECIALS="Y"))=0,"",'Dvd Calendar'!$V$1630)))</f>
        <v/>
      </c>
      <c r="U166" s="106">
        <f>IF(EW166="","",IF(ISNUMBER('Dvd Calendar'!$W$1630)=FALSE,"",IF((('Dvd Calendar'!$W$1632=TYPE1)*(TYPE1&lt;&gt;"")+('Dvd Calendar'!$W$1632=TYPE2)*(TYPE2&lt;&gt;"")+('Dvd Calendar'!$W$1632=TYPE3)*(TYPE3&lt;&gt;"")+('Dvd Calendar'!$W$1632=TYPE4)*(TYPE4&lt;&gt;"")+('Dvd Calendar'!$W$1632=SPECIAL_LBL)*(INC_SPECIALS="Y"))=0,"",'Dvd Calendar'!$W$1630)))</f>
        <v/>
      </c>
      <c r="V166" s="106">
        <f>IF(EX166="","",IF(ISNUMBER('Dvd Calendar'!$X$1630)=FALSE,"",IF((('Dvd Calendar'!$X$1632=TYPE1)*(TYPE1&lt;&gt;"")+('Dvd Calendar'!$X$1632=TYPE2)*(TYPE2&lt;&gt;"")+('Dvd Calendar'!$X$1632=TYPE3)*(TYPE3&lt;&gt;"")+('Dvd Calendar'!$X$1632=TYPE4)*(TYPE4&lt;&gt;"")+('Dvd Calendar'!$X$1632=SPECIAL_LBL)*(INC_SPECIALS="Y"))=0,"",'Dvd Calendar'!$X$1630)))</f>
        <v/>
      </c>
      <c r="W166" s="106">
        <f>IF(EY166="","",IF(ISNUMBER('Dvd Calendar'!$Y$1630)=FALSE,"",IF((('Dvd Calendar'!$Y$1632=TYPE1)*(TYPE1&lt;&gt;"")+('Dvd Calendar'!$Y$1632=TYPE2)*(TYPE2&lt;&gt;"")+('Dvd Calendar'!$Y$1632=TYPE3)*(TYPE3&lt;&gt;"")+('Dvd Calendar'!$Y$1632=TYPE4)*(TYPE4&lt;&gt;"")+('Dvd Calendar'!$Y$1632=SPECIAL_LBL)*(INC_SPECIALS="Y"))=0,"",'Dvd Calendar'!$Y$1630)))</f>
        <v/>
      </c>
      <c r="X166" s="106">
        <f>IF(EZ166="","",IF(ISNUMBER('Dvd Calendar'!$Z$1630)=FALSE,"",IF((('Dvd Calendar'!$Z$1632=TYPE1)*(TYPE1&lt;&gt;"")+('Dvd Calendar'!$Z$1632=TYPE2)*(TYPE2&lt;&gt;"")+('Dvd Calendar'!$Z$1632=TYPE3)*(TYPE3&lt;&gt;"")+('Dvd Calendar'!$Z$1632=TYPE4)*(TYPE4&lt;&gt;"")+('Dvd Calendar'!$Z$1632=SPECIAL_LBL)*(INC_SPECIALS="Y"))=0,"",'Dvd Calendar'!$Z$1630)))</f>
        <v/>
      </c>
      <c r="Y166" s="106">
        <f>IF(FA166="","",IF(ISNUMBER('Dvd Calendar'!$AA$1630)=FALSE,"",IF((('Dvd Calendar'!$AA$1632=TYPE1)*(TYPE1&lt;&gt;"")+('Dvd Calendar'!$AA$1632=TYPE2)*(TYPE2&lt;&gt;"")+('Dvd Calendar'!$AA$1632=TYPE3)*(TYPE3&lt;&gt;"")+('Dvd Calendar'!$AA$1632=TYPE4)*(TYPE4&lt;&gt;"")+('Dvd Calendar'!$AA$1632=SPECIAL_LBL)*(INC_SPECIALS="Y"))=0,"",'Dvd Calendar'!$AA$1630)))</f>
        <v/>
      </c>
      <c r="Z166" s="106">
        <f>IF(FB166="","",IF(ISNUMBER('Dvd Calendar'!$AB$1630)=FALSE,"",IF((('Dvd Calendar'!$AB$1632=TYPE1)*(TYPE1&lt;&gt;"")+('Dvd Calendar'!$AB$1632=TYPE2)*(TYPE2&lt;&gt;"")+('Dvd Calendar'!$AB$1632=TYPE3)*(TYPE3&lt;&gt;"")+('Dvd Calendar'!$AB$1632=TYPE4)*(TYPE4&lt;&gt;"")+('Dvd Calendar'!$AB$1632=SPECIAL_LBL)*(INC_SPECIALS="Y"))=0,"",'Dvd Calendar'!$AB$1630)))</f>
        <v/>
      </c>
      <c r="AA166" s="106">
        <f>IF(FC166="","",IF(ISNUMBER('Dvd Calendar'!$AC$1630)=FALSE,"",IF((('Dvd Calendar'!$AC$1632=TYPE1)*(TYPE1&lt;&gt;"")+('Dvd Calendar'!$AC$1632=TYPE2)*(TYPE2&lt;&gt;"")+('Dvd Calendar'!$AC$1632=TYPE3)*(TYPE3&lt;&gt;"")+('Dvd Calendar'!$AC$1632=TYPE4)*(TYPE4&lt;&gt;"")+('Dvd Calendar'!$AC$1632=SPECIAL_LBL)*(INC_SPECIALS="Y"))=0,"",'Dvd Calendar'!$AC$1630)))</f>
        <v/>
      </c>
      <c r="AB166" s="106">
        <f>IF(FD166="","",IF(ISNUMBER('Dvd Calendar'!$AD$1630)=FALSE,"",IF((('Dvd Calendar'!$AD$1632=TYPE1)*(TYPE1&lt;&gt;"")+('Dvd Calendar'!$AD$1632=TYPE2)*(TYPE2&lt;&gt;"")+('Dvd Calendar'!$AD$1632=TYPE3)*(TYPE3&lt;&gt;"")+('Dvd Calendar'!$AD$1632=TYPE4)*(TYPE4&lt;&gt;"")+('Dvd Calendar'!$AD$1632=SPECIAL_LBL)*(INC_SPECIALS="Y"))=0,"",'Dvd Calendar'!$AD$1630)))</f>
        <v/>
      </c>
      <c r="AC166" s="106">
        <f>IF(FE166="","",IF(ISNUMBER('Dvd Calendar'!$AE$1630)=FALSE,"",IF((('Dvd Calendar'!$AE$1632=TYPE1)*(TYPE1&lt;&gt;"")+('Dvd Calendar'!$AE$1632=TYPE2)*(TYPE2&lt;&gt;"")+('Dvd Calendar'!$AE$1632=TYPE3)*(TYPE3&lt;&gt;"")+('Dvd Calendar'!$AE$1632=TYPE4)*(TYPE4&lt;&gt;"")+('Dvd Calendar'!$AE$1632=SPECIAL_LBL)*(INC_SPECIALS="Y"))=0,"",'Dvd Calendar'!$AE$1630)))</f>
        <v/>
      </c>
      <c r="AD166" s="106">
        <f>IF(FF166="","",IF(ISNUMBER('Dvd Calendar'!$AF$1630)=FALSE,"",IF((('Dvd Calendar'!$AF$1632=TYPE1)*(TYPE1&lt;&gt;"")+('Dvd Calendar'!$AF$1632=TYPE2)*(TYPE2&lt;&gt;"")+('Dvd Calendar'!$AF$1632=TYPE3)*(TYPE3&lt;&gt;"")+('Dvd Calendar'!$AF$1632=TYPE4)*(TYPE4&lt;&gt;"")+('Dvd Calendar'!$AF$1632=SPECIAL_LBL)*(INC_SPECIALS="Y"))=0,"",'Dvd Calendar'!$AF$1630)))</f>
        <v/>
      </c>
      <c r="AE166" s="106">
        <f>IF(FG166="","",IF(ISNUMBER('Dvd Calendar'!$AG$1630)=FALSE,"",IF((('Dvd Calendar'!$AG$1632=TYPE1)*(TYPE1&lt;&gt;"")+('Dvd Calendar'!$AG$1632=TYPE2)*(TYPE2&lt;&gt;"")+('Dvd Calendar'!$AG$1632=TYPE3)*(TYPE3&lt;&gt;"")+('Dvd Calendar'!$AG$1632=TYPE4)*(TYPE4&lt;&gt;"")+('Dvd Calendar'!$AG$1632=SPECIAL_LBL)*(INC_SPECIALS="Y"))=0,"",'Dvd Calendar'!$AG$1630)))</f>
        <v/>
      </c>
      <c r="AF166" s="106">
        <f>IF(FH166="","",IF(ISNUMBER('Dvd Calendar'!$AH$1630)=FALSE,"",IF((('Dvd Calendar'!$AH$1632=TYPE1)*(TYPE1&lt;&gt;"")+('Dvd Calendar'!$AH$1632=TYPE2)*(TYPE2&lt;&gt;"")+('Dvd Calendar'!$AH$1632=TYPE3)*(TYPE3&lt;&gt;"")+('Dvd Calendar'!$AH$1632=TYPE4)*(TYPE4&lt;&gt;"")+('Dvd Calendar'!$AH$1632=SPECIAL_LBL)*(INC_SPECIALS="Y"))=0,"",'Dvd Calendar'!$AH$1630)))</f>
        <v/>
      </c>
      <c r="AG166" s="106">
        <f>IF(FI166="","",IF(ISNUMBER('Dvd Calendar'!$AI$1630)=FALSE,"",IF((('Dvd Calendar'!$AI$1632=TYPE1)*(TYPE1&lt;&gt;"")+('Dvd Calendar'!$AI$1632=TYPE2)*(TYPE2&lt;&gt;"")+('Dvd Calendar'!$AI$1632=TYPE3)*(TYPE3&lt;&gt;"")+('Dvd Calendar'!$AI$1632=TYPE4)*(TYPE4&lt;&gt;"")+('Dvd Calendar'!$AI$1632=SPECIAL_LBL)*(INC_SPECIALS="Y"))=0,"",'Dvd Calendar'!$AI$1630)))</f>
        <v/>
      </c>
      <c r="AH166" s="106">
        <f>IF(FJ166="","",IF(ISNUMBER('Dvd Calendar'!$AJ$1630)=FALSE,"",IF((('Dvd Calendar'!$AJ$1632=TYPE1)*(TYPE1&lt;&gt;"")+('Dvd Calendar'!$AJ$1632=TYPE2)*(TYPE2&lt;&gt;"")+('Dvd Calendar'!$AJ$1632=TYPE3)*(TYPE3&lt;&gt;"")+('Dvd Calendar'!$AJ$1632=TYPE4)*(TYPE4&lt;&gt;"")+('Dvd Calendar'!$AJ$1632=SPECIAL_LBL)*(INC_SPECIALS="Y"))=0,"",'Dvd Calendar'!$AJ$1630)))</f>
        <v/>
      </c>
      <c r="AI166" s="106">
        <f>IF(FK166="","",IF(ISNUMBER('Dvd Calendar'!$AK$1630)=FALSE,"",IF((('Dvd Calendar'!$AK$1632=TYPE1)*(TYPE1&lt;&gt;"")+('Dvd Calendar'!$AK$1632=TYPE2)*(TYPE2&lt;&gt;"")+('Dvd Calendar'!$AK$1632=TYPE3)*(TYPE3&lt;&gt;"")+('Dvd Calendar'!$AK$1632=TYPE4)*(TYPE4&lt;&gt;"")+('Dvd Calendar'!$AK$1632=SPECIAL_LBL)*(INC_SPECIALS="Y"))=0,"",'Dvd Calendar'!$AK$1630)))</f>
        <v/>
      </c>
      <c r="AJ166" s="106">
        <f>IF(FL166="","",IF(ISNUMBER('Dvd Calendar'!$AL$1630)=FALSE,"",IF((('Dvd Calendar'!$AL$1632=TYPE1)*(TYPE1&lt;&gt;"")+('Dvd Calendar'!$AL$1632=TYPE2)*(TYPE2&lt;&gt;"")+('Dvd Calendar'!$AL$1632=TYPE3)*(TYPE3&lt;&gt;"")+('Dvd Calendar'!$AL$1632=TYPE4)*(TYPE4&lt;&gt;"")+('Dvd Calendar'!$AL$1632=SPECIAL_LBL)*(INC_SPECIALS="Y"))=0,"",'Dvd Calendar'!$AL$1630)))</f>
        <v/>
      </c>
      <c r="AK166" s="106">
        <f>IF(FM166="","",IF(ISNUMBER('Dvd Calendar'!$AM$1630)=FALSE,"",IF((('Dvd Calendar'!$AM$1632=TYPE1)*(TYPE1&lt;&gt;"")+('Dvd Calendar'!$AM$1632=TYPE2)*(TYPE2&lt;&gt;"")+('Dvd Calendar'!$AM$1632=TYPE3)*(TYPE3&lt;&gt;"")+('Dvd Calendar'!$AM$1632=TYPE4)*(TYPE4&lt;&gt;"")+('Dvd Calendar'!$AM$1632=SPECIAL_LBL)*(INC_SPECIALS="Y"))=0,"",'Dvd Calendar'!$AM$1630)))</f>
        <v/>
      </c>
      <c r="AL166" s="106">
        <f>IF(FN166="","",IF(ISNUMBER('Dvd Calendar'!$AN$1630)=FALSE,"",IF((('Dvd Calendar'!$AN$1632=TYPE1)*(TYPE1&lt;&gt;"")+('Dvd Calendar'!$AN$1632=TYPE2)*(TYPE2&lt;&gt;"")+('Dvd Calendar'!$AN$1632=TYPE3)*(TYPE3&lt;&gt;"")+('Dvd Calendar'!$AN$1632=TYPE4)*(TYPE4&lt;&gt;"")+('Dvd Calendar'!$AN$1632=SPECIAL_LBL)*(INC_SPECIALS="Y"))=0,"",'Dvd Calendar'!$AN$1630)))</f>
        <v/>
      </c>
      <c r="AM166" s="106">
        <f>IF(FO166="","",IF(ISNUMBER('Dvd Calendar'!$AO$1630)=FALSE,"",IF((('Dvd Calendar'!$AO$1632=TYPE1)*(TYPE1&lt;&gt;"")+('Dvd Calendar'!$AO$1632=TYPE2)*(TYPE2&lt;&gt;"")+('Dvd Calendar'!$AO$1632=TYPE3)*(TYPE3&lt;&gt;"")+('Dvd Calendar'!$AO$1632=TYPE4)*(TYPE4&lt;&gt;"")+('Dvd Calendar'!$AO$1632=SPECIAL_LBL)*(INC_SPECIALS="Y"))=0,"",'Dvd Calendar'!$AO$1630)))</f>
        <v/>
      </c>
      <c r="AN166" s="106">
        <f>IF(FP166="","",IF(ISNUMBER('Dvd Calendar'!$AP$1630)=FALSE,"",IF((('Dvd Calendar'!$AP$1632=TYPE1)*(TYPE1&lt;&gt;"")+('Dvd Calendar'!$AP$1632=TYPE2)*(TYPE2&lt;&gt;"")+('Dvd Calendar'!$AP$1632=TYPE3)*(TYPE3&lt;&gt;"")+('Dvd Calendar'!$AP$1632=TYPE4)*(TYPE4&lt;&gt;"")+('Dvd Calendar'!$AP$1632=SPECIAL_LBL)*(INC_SPECIALS="Y"))=0,"",'Dvd Calendar'!$AP$1630)))</f>
        <v/>
      </c>
      <c r="AO166" s="106">
        <f>IF(FQ166="","",IF(ISNUMBER('Dvd Calendar'!$AQ$1630)=FALSE,"",IF((('Dvd Calendar'!$AQ$1632=TYPE1)*(TYPE1&lt;&gt;"")+('Dvd Calendar'!$AQ$1632=TYPE2)*(TYPE2&lt;&gt;"")+('Dvd Calendar'!$AQ$1632=TYPE3)*(TYPE3&lt;&gt;"")+('Dvd Calendar'!$AQ$1632=TYPE4)*(TYPE4&lt;&gt;"")+('Dvd Calendar'!$AQ$1632=SPECIAL_LBL)*(INC_SPECIALS="Y"))=0,"",'Dvd Calendar'!$AQ$1630)))</f>
        <v/>
      </c>
      <c r="AP166" s="106">
        <f>IF(FR166="","",IF(ISNUMBER('Dvd Calendar'!$AR$1630)=FALSE,"",IF((('Dvd Calendar'!$AR$1632=TYPE1)*(TYPE1&lt;&gt;"")+('Dvd Calendar'!$AR$1632=TYPE2)*(TYPE2&lt;&gt;"")+('Dvd Calendar'!$AR$1632=TYPE3)*(TYPE3&lt;&gt;"")+('Dvd Calendar'!$AR$1632=TYPE4)*(TYPE4&lt;&gt;"")+('Dvd Calendar'!$AR$1632=SPECIAL_LBL)*(INC_SPECIALS="Y"))=0,"",'Dvd Calendar'!$AR$1630)))</f>
        <v/>
      </c>
      <c r="AQ166" s="106">
        <f>IF(FS166="","",IF(ISNUMBER('Dvd Calendar'!$E$1635)=FALSE,"",'Dvd Calendar'!$E$1635))</f>
        <v/>
      </c>
      <c r="AR166" s="106">
        <f>IF(FT166="","",IF(ISNUMBER('Dvd Calendar'!$F$1635)=FALSE,"",'Dvd Calendar'!$F$1635))</f>
        <v/>
      </c>
      <c r="AS166" s="106">
        <f>IF(FU166="","",IF(ISNUMBER('Dvd Calendar'!$G$1635)=FALSE,"",'Dvd Calendar'!$G$1635))</f>
        <v/>
      </c>
      <c r="AT166" s="106">
        <f>IF(FV166="","",IF(ISNUMBER('Dvd Calendar'!$H$1635)=FALSE,"",'Dvd Calendar'!$H$1635))</f>
        <v/>
      </c>
      <c r="AU166" s="106">
        <f>IF(FW166="","",IF(ISNUMBER('Dvd Calendar'!$I$1635)=FALSE,"",'Dvd Calendar'!$I$1635))</f>
        <v/>
      </c>
      <c r="AV166" s="106">
        <f>IF(FX166="","",IF(ISNUMBER('Dvd Calendar'!$J$1635)=FALSE,"",'Dvd Calendar'!$J$1635))</f>
        <v/>
      </c>
      <c r="AW166" s="106">
        <f>IF(FY166="","",IF(ISNUMBER('Dvd Calendar'!$K$1635)=FALSE,"",'Dvd Calendar'!$K$1635))</f>
        <v/>
      </c>
      <c r="AX166" s="106">
        <f>IF(FZ166="","",IF(ISNUMBER('Dvd Calendar'!$L$1635)=FALSE,"",'Dvd Calendar'!$L$1635))</f>
        <v/>
      </c>
      <c r="AY166" s="106">
        <f>IF(GA166="","",IF(ISNUMBER('Dvd Calendar'!$M$1635)=FALSE,"",'Dvd Calendar'!$M$1635))</f>
        <v/>
      </c>
      <c r="AZ166" s="106">
        <f>IF(GB166="","",IF(ISNUMBER('Dvd Calendar'!$N$1635)=FALSE,"",'Dvd Calendar'!$N$1635))</f>
        <v/>
      </c>
      <c r="BA166" s="106">
        <f>IF(GC166="","",IF(ISNUMBER('Dvd Calendar'!$O$1635)=FALSE,"",'Dvd Calendar'!$O$1635))</f>
        <v/>
      </c>
      <c r="BB166" s="106">
        <f>IF(GD166="","",IF(ISNUMBER('Dvd Calendar'!$P$1635)=FALSE,"",'Dvd Calendar'!$P$1635))</f>
        <v/>
      </c>
      <c r="BC166" s="106">
        <f>IF(GE166="","",IF(ISNUMBER('Dvd Calendar'!$Q$1635)=FALSE,"",'Dvd Calendar'!$Q$1635))</f>
        <v/>
      </c>
      <c r="BD166" s="106">
        <f>IF(GF166="","",IF(ISNUMBER('Dvd Calendar'!$R$1635)=FALSE,"",'Dvd Calendar'!$R$1635))</f>
        <v/>
      </c>
      <c r="BE166" s="106">
        <f>IF(GG166="","",IF(ISNUMBER('Dvd Calendar'!$S$1635)=FALSE,"",'Dvd Calendar'!$S$1635))</f>
        <v/>
      </c>
      <c r="BF166" s="106">
        <f>IF(GH166="","",IF(ISNUMBER('Dvd Calendar'!$T$1635)=FALSE,"",'Dvd Calendar'!$T$1635))</f>
        <v/>
      </c>
      <c r="BG166" s="106">
        <f>IF(GI166="","",IF(ISNUMBER('Dvd Calendar'!$U$1635)=FALSE,"",'Dvd Calendar'!$U$1635))</f>
        <v/>
      </c>
      <c r="BH166" s="106">
        <f>IF(GJ166="","",IF(ISNUMBER('Dvd Calendar'!$V$1635)=FALSE,"",'Dvd Calendar'!$V$1635))</f>
        <v/>
      </c>
      <c r="BI166" s="106">
        <f>IF(GK166="","",IF(ISNUMBER('Dvd Calendar'!$W$1635)=FALSE,"",'Dvd Calendar'!$W$1635))</f>
        <v/>
      </c>
      <c r="BJ166" s="106">
        <f>IF(GL166="","",IF(ISNUMBER('Dvd Calendar'!$X$1635)=FALSE,"",'Dvd Calendar'!$X$1635))</f>
        <v/>
      </c>
      <c r="BK166" s="106">
        <f>IF(GM166="","",IF(ISNUMBER('Dvd Calendar'!$Y$1635)=FALSE,"",'Dvd Calendar'!$Y$1635))</f>
        <v/>
      </c>
      <c r="BL166" s="106">
        <f>IF(GN166="","",IF(ISNUMBER('Dvd Calendar'!$Z$1635)=FALSE,"",'Dvd Calendar'!$Z$1635))</f>
        <v/>
      </c>
      <c r="BM166" s="106">
        <f>IF(GO166="","",IF(ISNUMBER('Dvd Calendar'!$AA$1635)=FALSE,"",'Dvd Calendar'!$AA$1635))</f>
        <v/>
      </c>
      <c r="BN166" s="106">
        <f>IF(GP166="","",IF(ISNUMBER('Dvd Calendar'!$AB$1635)=FALSE,"",'Dvd Calendar'!$AB$1635))</f>
        <v/>
      </c>
      <c r="BO166" s="106">
        <f>IF(GQ166="","",IF(ISNUMBER('Dvd Calendar'!$AC$1635)=FALSE,"",'Dvd Calendar'!$AC$1635))</f>
        <v/>
      </c>
      <c r="BQ166" s="106">
        <f>IF(C166="","",IFERROR(C166*HSCEI!$B$13*HSCEI!$G$13/HSCEI!$B$3,""))</f>
        <v/>
      </c>
      <c r="BR166" s="106">
        <f>IF(D166="","",IFERROR(D166*HSCEI!$B$13*HSCEI!$G$13/HSCEI!$B$3,""))</f>
        <v/>
      </c>
      <c r="BS166" s="106">
        <f>IF(E166="","",IFERROR(E166*HSCEI!$B$13*HSCEI!$G$13/HSCEI!$B$3,""))</f>
        <v/>
      </c>
      <c r="BT166" s="106">
        <f>IF(F166="","",IFERROR(F166*HSCEI!$B$13*HSCEI!$G$13/HSCEI!$B$3,""))</f>
        <v/>
      </c>
      <c r="BU166" s="106">
        <f>IF(G166="","",IFERROR(G166*HSCEI!$B$13*HSCEI!$G$13/HSCEI!$B$3,""))</f>
        <v/>
      </c>
      <c r="BV166" s="106">
        <f>IF(H166="","",IFERROR(H166*HSCEI!$B$13*HSCEI!$G$13/HSCEI!$B$3,""))</f>
        <v/>
      </c>
      <c r="BW166" s="106">
        <f>IF(I166="","",IFERROR(I166*HSCEI!$B$13*HSCEI!$G$13/HSCEI!$B$3,""))</f>
        <v/>
      </c>
      <c r="BX166" s="106">
        <f>IF(J166="","",IFERROR(J166*HSCEI!$B$13*HSCEI!$G$13/HSCEI!$B$3,""))</f>
        <v/>
      </c>
      <c r="BY166" s="106">
        <f>IF(K166="","",IFERROR(K166*HSCEI!$B$13*HSCEI!$G$13/HSCEI!$B$3,""))</f>
        <v/>
      </c>
      <c r="BZ166" s="106">
        <f>IF(L166="","",IFERROR(L166*HSCEI!$B$13*HSCEI!$G$13/HSCEI!$B$3,""))</f>
        <v/>
      </c>
      <c r="CA166" s="106">
        <f>IF(M166="","",IFERROR(M166*HSCEI!$B$13*HSCEI!$G$13/HSCEI!$B$3,""))</f>
        <v/>
      </c>
      <c r="CB166" s="106">
        <f>IF(N166="","",IFERROR(N166*HSCEI!$B$13*HSCEI!$G$13/HSCEI!$B$3,""))</f>
        <v/>
      </c>
      <c r="CC166" s="106">
        <f>IF(O166="","",IFERROR(O166*HSCEI!$B$13*HSCEI!$G$13/HSCEI!$B$3,""))</f>
        <v/>
      </c>
      <c r="CD166" s="106">
        <f>IF(P166="","",IFERROR(P166*HSCEI!$B$13*HSCEI!$G$13/HSCEI!$B$3,""))</f>
        <v/>
      </c>
      <c r="CE166" s="106">
        <f>IF(Q166="","",IFERROR(Q166*HSCEI!$B$13*HSCEI!$G$13/HSCEI!$B$3,""))</f>
        <v/>
      </c>
      <c r="CF166" s="106">
        <f>IF(R166="","",IFERROR(R166*HSCEI!$B$13*HSCEI!$G$13/HSCEI!$B$3,""))</f>
        <v/>
      </c>
      <c r="CG166" s="106">
        <f>IF(S166="","",IFERROR(S166*HSCEI!$B$13*HSCEI!$G$13/HSCEI!$B$3,""))</f>
        <v/>
      </c>
      <c r="CH166" s="106">
        <f>IF(T166="","",IFERROR(T166*HSCEI!$B$13*HSCEI!$G$13/HSCEI!$B$3,""))</f>
        <v/>
      </c>
      <c r="CI166" s="106">
        <f>IF(U166="","",IFERROR(U166*HSCEI!$B$13*HSCEI!$G$13/HSCEI!$B$3,""))</f>
        <v/>
      </c>
      <c r="CJ166" s="106">
        <f>IF(V166="","",IFERROR(V166*HSCEI!$B$13*HSCEI!$G$13/HSCEI!$B$3,""))</f>
        <v/>
      </c>
      <c r="CK166" s="106">
        <f>IF(W166="","",IFERROR(W166*HSCEI!$B$13*HSCEI!$G$13/HSCEI!$B$3,""))</f>
        <v/>
      </c>
      <c r="CL166" s="106">
        <f>IF(X166="","",IFERROR(X166*HSCEI!$B$13*HSCEI!$G$13/HSCEI!$B$3,""))</f>
        <v/>
      </c>
      <c r="CM166" s="106">
        <f>IF(Y166="","",IFERROR(Y166*HSCEI!$B$13*HSCEI!$G$13/HSCEI!$B$3,""))</f>
        <v/>
      </c>
      <c r="CN166" s="106">
        <f>IF(Z166="","",IFERROR(Z166*HSCEI!$B$13*HSCEI!$G$13/HSCEI!$B$3,""))</f>
        <v/>
      </c>
      <c r="CO166" s="106">
        <f>IF(AA166="","",IFERROR(AA166*HSCEI!$B$13*HSCEI!$G$13/HSCEI!$B$3,""))</f>
        <v/>
      </c>
      <c r="CP166" s="106">
        <f>IF(AB166="","",IFERROR(AB166*HSCEI!$B$13*HSCEI!$G$13/HSCEI!$B$3,""))</f>
        <v/>
      </c>
      <c r="CQ166" s="106">
        <f>IF(AC166="","",IFERROR(AC166*HSCEI!$B$13*HSCEI!$G$13/HSCEI!$B$3,""))</f>
        <v/>
      </c>
      <c r="CR166" s="106">
        <f>IF(AD166="","",IFERROR(AD166*HSCEI!$B$13*HSCEI!$G$13/HSCEI!$B$3,""))</f>
        <v/>
      </c>
      <c r="CS166" s="106">
        <f>IF(AE166="","",IFERROR(AE166*HSCEI!$B$13*HSCEI!$G$13/HSCEI!$B$3,""))</f>
        <v/>
      </c>
      <c r="CT166" s="106">
        <f>IF(AF166="","",IFERROR(AF166*HSCEI!$B$13*HSCEI!$G$13/HSCEI!$B$3,""))</f>
        <v/>
      </c>
      <c r="CU166" s="106">
        <f>IF(AG166="","",IFERROR(AG166*HSCEI!$B$13*HSCEI!$G$13/HSCEI!$B$3,""))</f>
        <v/>
      </c>
      <c r="CV166" s="106">
        <f>IF(AH166="","",IFERROR(AH166*HSCEI!$B$13*HSCEI!$G$13/HSCEI!$B$3,""))</f>
        <v/>
      </c>
      <c r="CW166" s="106">
        <f>IF(AI166="","",IFERROR(AI166*HSCEI!$B$13*HSCEI!$G$13/HSCEI!$B$3,""))</f>
        <v/>
      </c>
      <c r="CX166" s="106">
        <f>IF(AJ166="","",IFERROR(AJ166*HSCEI!$B$13*HSCEI!$G$13/HSCEI!$B$3,""))</f>
        <v/>
      </c>
      <c r="CY166" s="106">
        <f>IF(AK166="","",IFERROR(AK166*HSCEI!$B$13*HSCEI!$G$13/HSCEI!$B$3,""))</f>
        <v/>
      </c>
      <c r="CZ166" s="106">
        <f>IF(AL166="","",IFERROR(AL166*HSCEI!$B$13*HSCEI!$G$13/HSCEI!$B$3,""))</f>
        <v/>
      </c>
      <c r="DA166" s="106">
        <f>IF(AM166="","",IFERROR(AM166*HSCEI!$B$13*HSCEI!$G$13/HSCEI!$B$3,""))</f>
        <v/>
      </c>
      <c r="DB166" s="106">
        <f>IF(AN166="","",IFERROR(AN166*HSCEI!$B$13*HSCEI!$G$13/HSCEI!$B$3,""))</f>
        <v/>
      </c>
      <c r="DC166" s="106">
        <f>IF(AO166="","",IFERROR(AO166*HSCEI!$B$13*HSCEI!$G$13/HSCEI!$B$3,""))</f>
        <v/>
      </c>
      <c r="DD166" s="106">
        <f>IF(AP166="","",IFERROR(AP166*HSCEI!$B$13*HSCEI!$G$13/HSCEI!$B$3,""))</f>
        <v/>
      </c>
      <c r="DE166" s="106">
        <f>IF(AQ166="","",IFERROR(AQ166*HSCEI!$B$13*HSCEI!$G$13/HSCEI!$B$3,""))</f>
        <v/>
      </c>
      <c r="DF166" s="106">
        <f>IF(AR166="","",IFERROR(AR166*HSCEI!$B$13*HSCEI!$G$13/HSCEI!$B$3,""))</f>
        <v/>
      </c>
      <c r="DG166" s="106">
        <f>IF(AS166="","",IFERROR(AS166*HSCEI!$B$13*HSCEI!$G$13/HSCEI!$B$3,""))</f>
        <v/>
      </c>
      <c r="DH166" s="106">
        <f>IF(AT166="","",IFERROR(AT166*HSCEI!$B$13*HSCEI!$G$13/HSCEI!$B$3,""))</f>
        <v/>
      </c>
      <c r="DI166" s="106">
        <f>IF(AU166="","",IFERROR(AU166*HSCEI!$B$13*HSCEI!$G$13/HSCEI!$B$3,""))</f>
        <v/>
      </c>
      <c r="DJ166" s="106">
        <f>IF(AV166="","",IFERROR(AV166*HSCEI!$B$13*HSCEI!$G$13/HSCEI!$B$3,""))</f>
        <v/>
      </c>
      <c r="DK166" s="106">
        <f>IF(AW166="","",IFERROR(AW166*HSCEI!$B$13*HSCEI!$G$13/HSCEI!$B$3,""))</f>
        <v/>
      </c>
      <c r="DL166" s="106">
        <f>IF(AX166="","",IFERROR(AX166*HSCEI!$B$13*HSCEI!$G$13/HSCEI!$B$3,""))</f>
        <v/>
      </c>
      <c r="DM166" s="106">
        <f>IF(AY166="","",IFERROR(AY166*HSCEI!$B$13*HSCEI!$G$13/HSCEI!$B$3,""))</f>
        <v/>
      </c>
      <c r="DN166" s="106">
        <f>IF(AZ166="","",IFERROR(AZ166*HSCEI!$B$13*HSCEI!$G$13/HSCEI!$B$3,""))</f>
        <v/>
      </c>
      <c r="DO166" s="106">
        <f>IF(BA166="","",IFERROR(BA166*HSCEI!$B$13*HSCEI!$G$13/HSCEI!$B$3,""))</f>
        <v/>
      </c>
      <c r="DP166" s="106">
        <f>IF(BB166="","",IFERROR(BB166*HSCEI!$B$13*HSCEI!$G$13/HSCEI!$B$3,""))</f>
        <v/>
      </c>
      <c r="DQ166" s="106">
        <f>IF(BC166="","",IFERROR(BC166*HSCEI!$B$13*HSCEI!$G$13/HSCEI!$B$3,""))</f>
        <v/>
      </c>
      <c r="DR166" s="106">
        <f>IF(BD166="","",IFERROR(BD166*HSCEI!$B$13*HSCEI!$G$13/HSCEI!$B$3,""))</f>
        <v/>
      </c>
      <c r="DS166" s="106">
        <f>IF(BE166="","",IFERROR(BE166*HSCEI!$B$13*HSCEI!$G$13/HSCEI!$B$3,""))</f>
        <v/>
      </c>
      <c r="DT166" s="106">
        <f>IF(BF166="","",IFERROR(BF166*HSCEI!$B$13*HSCEI!$G$13/HSCEI!$B$3,""))</f>
        <v/>
      </c>
      <c r="DU166" s="106">
        <f>IF(BG166="","",IFERROR(BG166*HSCEI!$B$13*HSCEI!$G$13/HSCEI!$B$3,""))</f>
        <v/>
      </c>
      <c r="DV166" s="106">
        <f>IF(BH166="","",IFERROR(BH166*HSCEI!$B$13*HSCEI!$G$13/HSCEI!$B$3,""))</f>
        <v/>
      </c>
      <c r="DW166" s="106">
        <f>IF(BI166="","",IFERROR(BI166*HSCEI!$B$13*HSCEI!$G$13/HSCEI!$B$3,""))</f>
        <v/>
      </c>
      <c r="DX166" s="106">
        <f>IF(BJ166="","",IFERROR(BJ166*HSCEI!$B$13*HSCEI!$G$13/HSCEI!$B$3,""))</f>
        <v/>
      </c>
      <c r="DY166" s="106">
        <f>IF(BK166="","",IFERROR(BK166*HSCEI!$B$13*HSCEI!$G$13/HSCEI!$B$3,""))</f>
        <v/>
      </c>
      <c r="DZ166" s="106">
        <f>IF(BL166="","",IFERROR(BL166*HSCEI!$B$13*HSCEI!$G$13/HSCEI!$B$3,""))</f>
        <v/>
      </c>
      <c r="EA166" s="106">
        <f>IF(BM166="","",IFERROR(BM166*HSCEI!$B$13*HSCEI!$G$13/HSCEI!$B$3,""))</f>
        <v/>
      </c>
      <c r="EB166" s="106">
        <f>IF(BN166="","",IFERROR(BN166*HSCEI!$B$13*HSCEI!$G$13/HSCEI!$B$3,""))</f>
        <v/>
      </c>
      <c r="EC166" s="106">
        <f>IF(BO166="","",IFERROR(BO166*HSCEI!$B$13*HSCEI!$G$13/HSCEI!$B$3,""))</f>
        <v/>
      </c>
      <c r="EE166" s="35">
        <f>IF(N('Dvd Calendar'!$E$1627)=0,"",IF(('Dvd Calendar'!$E$1627&gt;=GRID_FROM)*('Dvd Calendar'!$E$1627&lt;=GRID_TO)*('Dvd Calendar'!$E$1627&lt;=VAL_DATE)=0,"",'Dvd Calendar'!$E$1627*1000000000+ISNUMBER('Dvd Calendar'!$E$1630)*100000000+('Dvd Calendar'!$E$1632=SPECIAL_LBL)*10000000+0*1000000+7*1000+1))</f>
        <v/>
      </c>
      <c r="EF166" s="35">
        <f>IF(N('Dvd Calendar'!$F$1627)=0,"",IF(('Dvd Calendar'!$F$1627&gt;=GRID_FROM)*('Dvd Calendar'!$F$1627&lt;=GRID_TO)*('Dvd Calendar'!$F$1627&lt;=VAL_DATE)=0,"",'Dvd Calendar'!$F$1627*1000000000+ISNUMBER('Dvd Calendar'!$F$1630)*100000000+('Dvd Calendar'!$F$1632=SPECIAL_LBL)*10000000+0*1000000+7*1000+2))</f>
        <v/>
      </c>
      <c r="EG166" s="35">
        <f>IF(N('Dvd Calendar'!$G$1627)=0,"",IF(('Dvd Calendar'!$G$1627&gt;=GRID_FROM)*('Dvd Calendar'!$G$1627&lt;=GRID_TO)*('Dvd Calendar'!$G$1627&lt;=VAL_DATE)=0,"",'Dvd Calendar'!$G$1627*1000000000+ISNUMBER('Dvd Calendar'!$G$1630)*100000000+('Dvd Calendar'!$G$1632=SPECIAL_LBL)*10000000+0*1000000+7*1000+3))</f>
        <v/>
      </c>
      <c r="EH166" s="35">
        <f>IF(N('Dvd Calendar'!$H$1627)=0,"",IF(('Dvd Calendar'!$H$1627&gt;=GRID_FROM)*('Dvd Calendar'!$H$1627&lt;=GRID_TO)*('Dvd Calendar'!$H$1627&lt;=VAL_DATE)=0,"",'Dvd Calendar'!$H$1627*1000000000+ISNUMBER('Dvd Calendar'!$H$1630)*100000000+('Dvd Calendar'!$H$1632=SPECIAL_LBL)*10000000+0*1000000+7*1000+4))</f>
        <v/>
      </c>
      <c r="EI166" s="35">
        <f>IF(N('Dvd Calendar'!$I$1627)=0,"",IF(('Dvd Calendar'!$I$1627&gt;=GRID_FROM)*('Dvd Calendar'!$I$1627&lt;=GRID_TO)*('Dvd Calendar'!$I$1627&lt;=VAL_DATE)=0,"",'Dvd Calendar'!$I$1627*1000000000+ISNUMBER('Dvd Calendar'!$I$1630)*100000000+('Dvd Calendar'!$I$1632=SPECIAL_LBL)*10000000+0*1000000+7*1000+5))</f>
        <v/>
      </c>
      <c r="EJ166" s="35">
        <f>IF(N('Dvd Calendar'!$J$1627)=0,"",IF(('Dvd Calendar'!$J$1627&gt;=GRID_FROM)*('Dvd Calendar'!$J$1627&lt;=GRID_TO)*('Dvd Calendar'!$J$1627&lt;=VAL_DATE)=0,"",'Dvd Calendar'!$J$1627*1000000000+ISNUMBER('Dvd Calendar'!$J$1630)*100000000+('Dvd Calendar'!$J$1632=SPECIAL_LBL)*10000000+0*1000000+7*1000+6))</f>
        <v/>
      </c>
      <c r="EK166" s="35">
        <f>IF(N('Dvd Calendar'!$K$1627)=0,"",IF(('Dvd Calendar'!$K$1627&gt;=GRID_FROM)*('Dvd Calendar'!$K$1627&lt;=GRID_TO)*('Dvd Calendar'!$K$1627&lt;=VAL_DATE)=0,"",'Dvd Calendar'!$K$1627*1000000000+ISNUMBER('Dvd Calendar'!$K$1630)*100000000+('Dvd Calendar'!$K$1632=SPECIAL_LBL)*10000000+0*1000000+7*1000+7))</f>
        <v/>
      </c>
      <c r="EL166" s="35">
        <f>IF(N('Dvd Calendar'!$L$1627)=0,"",IF(('Dvd Calendar'!$L$1627&gt;=GRID_FROM)*('Dvd Calendar'!$L$1627&lt;=GRID_TO)*('Dvd Calendar'!$L$1627&lt;=VAL_DATE)=0,"",'Dvd Calendar'!$L$1627*1000000000+ISNUMBER('Dvd Calendar'!$L$1630)*100000000+('Dvd Calendar'!$L$1632=SPECIAL_LBL)*10000000+0*1000000+7*1000+8))</f>
        <v/>
      </c>
      <c r="EM166" s="35">
        <f>IF(N('Dvd Calendar'!$M$1627)=0,"",IF(('Dvd Calendar'!$M$1627&gt;=GRID_FROM)*('Dvd Calendar'!$M$1627&lt;=GRID_TO)*('Dvd Calendar'!$M$1627&lt;=VAL_DATE)=0,"",'Dvd Calendar'!$M$1627*1000000000+ISNUMBER('Dvd Calendar'!$M$1630)*100000000+('Dvd Calendar'!$M$1632=SPECIAL_LBL)*10000000+0*1000000+7*1000+9))</f>
        <v/>
      </c>
      <c r="EN166" s="35">
        <f>IF(N('Dvd Calendar'!$N$1627)=0,"",IF(('Dvd Calendar'!$N$1627&gt;=GRID_FROM)*('Dvd Calendar'!$N$1627&lt;=GRID_TO)*('Dvd Calendar'!$N$1627&lt;=VAL_DATE)=0,"",'Dvd Calendar'!$N$1627*1000000000+ISNUMBER('Dvd Calendar'!$N$1630)*100000000+('Dvd Calendar'!$N$1632=SPECIAL_LBL)*10000000+0*1000000+7*1000+10))</f>
        <v/>
      </c>
      <c r="EO166" s="35">
        <f>IF(N('Dvd Calendar'!$O$1627)=0,"",IF(('Dvd Calendar'!$O$1627&gt;=GRID_FROM)*('Dvd Calendar'!$O$1627&lt;=GRID_TO)*('Dvd Calendar'!$O$1627&lt;=VAL_DATE)=0,"",'Dvd Calendar'!$O$1627*1000000000+ISNUMBER('Dvd Calendar'!$O$1630)*100000000+('Dvd Calendar'!$O$1632=SPECIAL_LBL)*10000000+0*1000000+7*1000+11))</f>
        <v/>
      </c>
      <c r="EP166" s="35">
        <f>IF(N('Dvd Calendar'!$P$1627)=0,"",IF(('Dvd Calendar'!$P$1627&gt;=GRID_FROM)*('Dvd Calendar'!$P$1627&lt;=GRID_TO)*('Dvd Calendar'!$P$1627&lt;=VAL_DATE)=0,"",'Dvd Calendar'!$P$1627*1000000000+ISNUMBER('Dvd Calendar'!$P$1630)*100000000+('Dvd Calendar'!$P$1632=SPECIAL_LBL)*10000000+0*1000000+7*1000+12))</f>
        <v/>
      </c>
      <c r="EQ166" s="35">
        <f>IF(N('Dvd Calendar'!$Q$1627)=0,"",IF(('Dvd Calendar'!$Q$1627&gt;=GRID_FROM)*('Dvd Calendar'!$Q$1627&lt;=GRID_TO)*('Dvd Calendar'!$Q$1627&lt;=VAL_DATE)=0,"",'Dvd Calendar'!$Q$1627*1000000000+ISNUMBER('Dvd Calendar'!$Q$1630)*100000000+('Dvd Calendar'!$Q$1632=SPECIAL_LBL)*10000000+0*1000000+7*1000+13))</f>
        <v/>
      </c>
      <c r="ER166" s="35">
        <f>IF(N('Dvd Calendar'!$R$1627)=0,"",IF(('Dvd Calendar'!$R$1627&gt;=GRID_FROM)*('Dvd Calendar'!$R$1627&lt;=GRID_TO)*('Dvd Calendar'!$R$1627&lt;=VAL_DATE)=0,"",'Dvd Calendar'!$R$1627*1000000000+ISNUMBER('Dvd Calendar'!$R$1630)*100000000+('Dvd Calendar'!$R$1632=SPECIAL_LBL)*10000000+0*1000000+7*1000+14))</f>
        <v/>
      </c>
      <c r="ES166" s="35">
        <f>IF(N('Dvd Calendar'!$S$1627)=0,"",IF(('Dvd Calendar'!$S$1627&gt;=GRID_FROM)*('Dvd Calendar'!$S$1627&lt;=GRID_TO)*('Dvd Calendar'!$S$1627&lt;=VAL_DATE)=0,"",'Dvd Calendar'!$S$1627*1000000000+ISNUMBER('Dvd Calendar'!$S$1630)*100000000+('Dvd Calendar'!$S$1632=SPECIAL_LBL)*10000000+0*1000000+7*1000+15))</f>
        <v/>
      </c>
      <c r="ET166" s="35">
        <f>IF(N('Dvd Calendar'!$T$1627)=0,"",IF(('Dvd Calendar'!$T$1627&gt;=GRID_FROM)*('Dvd Calendar'!$T$1627&lt;=GRID_TO)*('Dvd Calendar'!$T$1627&lt;=VAL_DATE)=0,"",'Dvd Calendar'!$T$1627*1000000000+ISNUMBER('Dvd Calendar'!$T$1630)*100000000+('Dvd Calendar'!$T$1632=SPECIAL_LBL)*10000000+0*1000000+7*1000+16))</f>
        <v/>
      </c>
      <c r="EU166" s="35">
        <f>IF(N('Dvd Calendar'!$U$1627)=0,"",IF(('Dvd Calendar'!$U$1627&gt;=GRID_FROM)*('Dvd Calendar'!$U$1627&lt;=GRID_TO)*('Dvd Calendar'!$U$1627&lt;=VAL_DATE)=0,"",'Dvd Calendar'!$U$1627*1000000000+ISNUMBER('Dvd Calendar'!$U$1630)*100000000+('Dvd Calendar'!$U$1632=SPECIAL_LBL)*10000000+0*1000000+7*1000+17))</f>
        <v/>
      </c>
      <c r="EV166" s="35">
        <f>IF(N('Dvd Calendar'!$V$1627)=0,"",IF(('Dvd Calendar'!$V$1627&gt;=GRID_FROM)*('Dvd Calendar'!$V$1627&lt;=GRID_TO)*('Dvd Calendar'!$V$1627&lt;=VAL_DATE)=0,"",'Dvd Calendar'!$V$1627*1000000000+ISNUMBER('Dvd Calendar'!$V$1630)*100000000+('Dvd Calendar'!$V$1632=SPECIAL_LBL)*10000000+0*1000000+7*1000+18))</f>
        <v/>
      </c>
      <c r="EW166" s="35">
        <f>IF(N('Dvd Calendar'!$W$1627)=0,"",IF(('Dvd Calendar'!$W$1627&gt;=GRID_FROM)*('Dvd Calendar'!$W$1627&lt;=GRID_TO)*('Dvd Calendar'!$W$1627&lt;=VAL_DATE)=0,"",'Dvd Calendar'!$W$1627*1000000000+ISNUMBER('Dvd Calendar'!$W$1630)*100000000+('Dvd Calendar'!$W$1632=SPECIAL_LBL)*10000000+0*1000000+7*1000+19))</f>
        <v/>
      </c>
      <c r="EX166" s="35">
        <f>IF(N('Dvd Calendar'!$X$1627)=0,"",IF(('Dvd Calendar'!$X$1627&gt;=GRID_FROM)*('Dvd Calendar'!$X$1627&lt;=GRID_TO)*('Dvd Calendar'!$X$1627&lt;=VAL_DATE)=0,"",'Dvd Calendar'!$X$1627*1000000000+ISNUMBER('Dvd Calendar'!$X$1630)*100000000+('Dvd Calendar'!$X$1632=SPECIAL_LBL)*10000000+0*1000000+7*1000+20))</f>
        <v/>
      </c>
      <c r="EY166" s="35">
        <f>IF(N('Dvd Calendar'!$Y$1627)=0,"",IF(('Dvd Calendar'!$Y$1627&gt;=GRID_FROM)*('Dvd Calendar'!$Y$1627&lt;=GRID_TO)*('Dvd Calendar'!$Y$1627&lt;=VAL_DATE)=0,"",'Dvd Calendar'!$Y$1627*1000000000+ISNUMBER('Dvd Calendar'!$Y$1630)*100000000+('Dvd Calendar'!$Y$1632=SPECIAL_LBL)*10000000+0*1000000+7*1000+21))</f>
        <v/>
      </c>
      <c r="EZ166" s="35">
        <f>IF(N('Dvd Calendar'!$Z$1627)=0,"",IF(('Dvd Calendar'!$Z$1627&gt;=GRID_FROM)*('Dvd Calendar'!$Z$1627&lt;=GRID_TO)*('Dvd Calendar'!$Z$1627&lt;=VAL_DATE)=0,"",'Dvd Calendar'!$Z$1627*1000000000+ISNUMBER('Dvd Calendar'!$Z$1630)*100000000+('Dvd Calendar'!$Z$1632=SPECIAL_LBL)*10000000+0*1000000+7*1000+22))</f>
        <v/>
      </c>
      <c r="FA166" s="35">
        <f>IF(N('Dvd Calendar'!$AA$1627)=0,"",IF(('Dvd Calendar'!$AA$1627&gt;=GRID_FROM)*('Dvd Calendar'!$AA$1627&lt;=GRID_TO)*('Dvd Calendar'!$AA$1627&lt;=VAL_DATE)=0,"",'Dvd Calendar'!$AA$1627*1000000000+ISNUMBER('Dvd Calendar'!$AA$1630)*100000000+('Dvd Calendar'!$AA$1632=SPECIAL_LBL)*10000000+0*1000000+7*1000+23))</f>
        <v/>
      </c>
      <c r="FB166" s="35">
        <f>IF(N('Dvd Calendar'!$AB$1627)=0,"",IF(('Dvd Calendar'!$AB$1627&gt;=GRID_FROM)*('Dvd Calendar'!$AB$1627&lt;=GRID_TO)*('Dvd Calendar'!$AB$1627&lt;=VAL_DATE)=0,"",'Dvd Calendar'!$AB$1627*1000000000+ISNUMBER('Dvd Calendar'!$AB$1630)*100000000+('Dvd Calendar'!$AB$1632=SPECIAL_LBL)*10000000+0*1000000+7*1000+24))</f>
        <v/>
      </c>
      <c r="FC166" s="35">
        <f>IF(N('Dvd Calendar'!$AC$1627)=0,"",IF(('Dvd Calendar'!$AC$1627&gt;=GRID_FROM)*('Dvd Calendar'!$AC$1627&lt;=GRID_TO)*('Dvd Calendar'!$AC$1627&lt;=VAL_DATE)=0,"",'Dvd Calendar'!$AC$1627*1000000000+ISNUMBER('Dvd Calendar'!$AC$1630)*100000000+('Dvd Calendar'!$AC$1632=SPECIAL_LBL)*10000000+0*1000000+7*1000+25))</f>
        <v/>
      </c>
      <c r="FD166" s="35">
        <f>IF(N('Dvd Calendar'!$AD$1627)=0,"",IF(('Dvd Calendar'!$AD$1627&gt;=GRID_FROM)*('Dvd Calendar'!$AD$1627&lt;=GRID_TO)*('Dvd Calendar'!$AD$1627&lt;=VAL_DATE)=0,"",'Dvd Calendar'!$AD$1627*1000000000+ISNUMBER('Dvd Calendar'!$AD$1630)*100000000+('Dvd Calendar'!$AD$1632=SPECIAL_LBL)*10000000+0*1000000+7*1000+26))</f>
        <v/>
      </c>
      <c r="FE166" s="35">
        <f>IF(N('Dvd Calendar'!$AE$1627)=0,"",IF(('Dvd Calendar'!$AE$1627&gt;=GRID_FROM)*('Dvd Calendar'!$AE$1627&lt;=GRID_TO)*('Dvd Calendar'!$AE$1627&lt;=VAL_DATE)=0,"",'Dvd Calendar'!$AE$1627*1000000000+ISNUMBER('Dvd Calendar'!$AE$1630)*100000000+('Dvd Calendar'!$AE$1632=SPECIAL_LBL)*10000000+0*1000000+7*1000+27))</f>
        <v/>
      </c>
      <c r="FF166" s="35">
        <f>IF(N('Dvd Calendar'!$AF$1627)=0,"",IF(('Dvd Calendar'!$AF$1627&gt;=GRID_FROM)*('Dvd Calendar'!$AF$1627&lt;=GRID_TO)*('Dvd Calendar'!$AF$1627&lt;=VAL_DATE)=0,"",'Dvd Calendar'!$AF$1627*1000000000+ISNUMBER('Dvd Calendar'!$AF$1630)*100000000+('Dvd Calendar'!$AF$1632=SPECIAL_LBL)*10000000+0*1000000+7*1000+28))</f>
        <v/>
      </c>
      <c r="FG166" s="35">
        <f>IF(N('Dvd Calendar'!$AG$1627)=0,"",IF(('Dvd Calendar'!$AG$1627&gt;=GRID_FROM)*('Dvd Calendar'!$AG$1627&lt;=GRID_TO)*('Dvd Calendar'!$AG$1627&lt;=VAL_DATE)=0,"",'Dvd Calendar'!$AG$1627*1000000000+ISNUMBER('Dvd Calendar'!$AG$1630)*100000000+('Dvd Calendar'!$AG$1632=SPECIAL_LBL)*10000000+0*1000000+7*1000+29))</f>
        <v/>
      </c>
      <c r="FH166" s="35">
        <f>IF(N('Dvd Calendar'!$AH$1627)=0,"",IF(('Dvd Calendar'!$AH$1627&gt;=GRID_FROM)*('Dvd Calendar'!$AH$1627&lt;=GRID_TO)*('Dvd Calendar'!$AH$1627&lt;=VAL_DATE)=0,"",'Dvd Calendar'!$AH$1627*1000000000+ISNUMBER('Dvd Calendar'!$AH$1630)*100000000+('Dvd Calendar'!$AH$1632=SPECIAL_LBL)*10000000+0*1000000+7*1000+30))</f>
        <v/>
      </c>
      <c r="FI166" s="35">
        <f>IF(N('Dvd Calendar'!$AI$1627)=0,"",IF(('Dvd Calendar'!$AI$1627&gt;=GRID_FROM)*('Dvd Calendar'!$AI$1627&lt;=GRID_TO)*('Dvd Calendar'!$AI$1627&lt;=VAL_DATE)=0,"",'Dvd Calendar'!$AI$1627*1000000000+ISNUMBER('Dvd Calendar'!$AI$1630)*100000000+('Dvd Calendar'!$AI$1632=SPECIAL_LBL)*10000000+0*1000000+7*1000+31))</f>
        <v/>
      </c>
      <c r="FJ166" s="35">
        <f>IF(N('Dvd Calendar'!$AJ$1627)=0,"",IF(('Dvd Calendar'!$AJ$1627&gt;=GRID_FROM)*('Dvd Calendar'!$AJ$1627&lt;=GRID_TO)*('Dvd Calendar'!$AJ$1627&lt;=VAL_DATE)=0,"",'Dvd Calendar'!$AJ$1627*1000000000+ISNUMBER('Dvd Calendar'!$AJ$1630)*100000000+('Dvd Calendar'!$AJ$1632=SPECIAL_LBL)*10000000+0*1000000+7*1000+32))</f>
        <v/>
      </c>
      <c r="FK166" s="35">
        <f>IF(N('Dvd Calendar'!$AK$1627)=0,"",IF(('Dvd Calendar'!$AK$1627&gt;=GRID_FROM)*('Dvd Calendar'!$AK$1627&lt;=GRID_TO)*('Dvd Calendar'!$AK$1627&lt;=VAL_DATE)=0,"",'Dvd Calendar'!$AK$1627*1000000000+ISNUMBER('Dvd Calendar'!$AK$1630)*100000000+('Dvd Calendar'!$AK$1632=SPECIAL_LBL)*10000000+0*1000000+7*1000+33))</f>
        <v/>
      </c>
      <c r="FL166" s="35">
        <f>IF(N('Dvd Calendar'!$AL$1627)=0,"",IF(('Dvd Calendar'!$AL$1627&gt;=GRID_FROM)*('Dvd Calendar'!$AL$1627&lt;=GRID_TO)*('Dvd Calendar'!$AL$1627&lt;=VAL_DATE)=0,"",'Dvd Calendar'!$AL$1627*1000000000+ISNUMBER('Dvd Calendar'!$AL$1630)*100000000+('Dvd Calendar'!$AL$1632=SPECIAL_LBL)*10000000+0*1000000+7*1000+34))</f>
        <v/>
      </c>
      <c r="FM166" s="35">
        <f>IF(N('Dvd Calendar'!$AM$1627)=0,"",IF(('Dvd Calendar'!$AM$1627&gt;=GRID_FROM)*('Dvd Calendar'!$AM$1627&lt;=GRID_TO)*('Dvd Calendar'!$AM$1627&lt;=VAL_DATE)=0,"",'Dvd Calendar'!$AM$1627*1000000000+ISNUMBER('Dvd Calendar'!$AM$1630)*100000000+('Dvd Calendar'!$AM$1632=SPECIAL_LBL)*10000000+0*1000000+7*1000+35))</f>
        <v/>
      </c>
      <c r="FN166" s="35">
        <f>IF(N('Dvd Calendar'!$AN$1627)=0,"",IF(('Dvd Calendar'!$AN$1627&gt;=GRID_FROM)*('Dvd Calendar'!$AN$1627&lt;=GRID_TO)*('Dvd Calendar'!$AN$1627&lt;=VAL_DATE)=0,"",'Dvd Calendar'!$AN$1627*1000000000+ISNUMBER('Dvd Calendar'!$AN$1630)*100000000+('Dvd Calendar'!$AN$1632=SPECIAL_LBL)*10000000+0*1000000+7*1000+36))</f>
        <v/>
      </c>
      <c r="FO166" s="35">
        <f>IF(N('Dvd Calendar'!$AO$1627)=0,"",IF(('Dvd Calendar'!$AO$1627&gt;=GRID_FROM)*('Dvd Calendar'!$AO$1627&lt;=GRID_TO)*('Dvd Calendar'!$AO$1627&lt;=VAL_DATE)=0,"",'Dvd Calendar'!$AO$1627*1000000000+ISNUMBER('Dvd Calendar'!$AO$1630)*100000000+('Dvd Calendar'!$AO$1632=SPECIAL_LBL)*10000000+0*1000000+7*1000+37))</f>
        <v/>
      </c>
      <c r="FP166" s="35">
        <f>IF(N('Dvd Calendar'!$AP$1627)=0,"",IF(('Dvd Calendar'!$AP$1627&gt;=GRID_FROM)*('Dvd Calendar'!$AP$1627&lt;=GRID_TO)*('Dvd Calendar'!$AP$1627&lt;=VAL_DATE)=0,"",'Dvd Calendar'!$AP$1627*1000000000+ISNUMBER('Dvd Calendar'!$AP$1630)*100000000+('Dvd Calendar'!$AP$1632=SPECIAL_LBL)*10000000+0*1000000+7*1000+38))</f>
        <v/>
      </c>
      <c r="FQ166" s="35">
        <f>IF(N('Dvd Calendar'!$AQ$1627)=0,"",IF(('Dvd Calendar'!$AQ$1627&gt;=GRID_FROM)*('Dvd Calendar'!$AQ$1627&lt;=GRID_TO)*('Dvd Calendar'!$AQ$1627&lt;=VAL_DATE)=0,"",'Dvd Calendar'!$AQ$1627*1000000000+ISNUMBER('Dvd Calendar'!$AQ$1630)*100000000+('Dvd Calendar'!$AQ$1632=SPECIAL_LBL)*10000000+0*1000000+7*1000+39))</f>
        <v/>
      </c>
      <c r="FR166" s="35">
        <f>IF(N('Dvd Calendar'!$AR$1627)=0,"",IF(('Dvd Calendar'!$AR$1627&gt;=GRID_FROM)*('Dvd Calendar'!$AR$1627&lt;=GRID_TO)*('Dvd Calendar'!$AR$1627&lt;=VAL_DATE)=0,"",'Dvd Calendar'!$AR$1627*1000000000+ISNUMBER('Dvd Calendar'!$AR$1630)*100000000+('Dvd Calendar'!$AR$1632=SPECIAL_LBL)*10000000+0*1000000+7*1000+40))</f>
        <v/>
      </c>
      <c r="FS166" s="35">
        <f>IF(N('Dvd Calendar'!$E$1634)=0,"",IF(('Dvd Calendar'!$E$1634&gt;=GRID_FROM)*('Dvd Calendar'!$E$1634&lt;=GRID_TO)*('Dvd Calendar'!$E$1634&gt;VAL_DATE)=0,"",'Dvd Calendar'!$E$1634*1000000000+ISNUMBER('Dvd Calendar'!$E$1635)*100000000+0*10000000+(N('Dvd Calendar'!$E$1633)&gt;0)*(N('Dvd Calendar'!$E$1633)&lt;=VAL_SERIAL)*1000000+7*1000+41))</f>
        <v/>
      </c>
      <c r="FT166" s="35">
        <f>IF(N('Dvd Calendar'!$F$1634)=0,"",IF(('Dvd Calendar'!$F$1634&gt;=GRID_FROM)*('Dvd Calendar'!$F$1634&lt;=GRID_TO)*('Dvd Calendar'!$F$1634&gt;VAL_DATE)=0,"",'Dvd Calendar'!$F$1634*1000000000+ISNUMBER('Dvd Calendar'!$F$1635)*100000000+0*10000000+(N('Dvd Calendar'!$F$1633)&gt;0)*(N('Dvd Calendar'!$F$1633)&lt;=VAL_SERIAL)*1000000+7*1000+42))</f>
        <v/>
      </c>
      <c r="FU166" s="35">
        <f>IF(N('Dvd Calendar'!$G$1634)=0,"",IF(('Dvd Calendar'!$G$1634&gt;=GRID_FROM)*('Dvd Calendar'!$G$1634&lt;=GRID_TO)*('Dvd Calendar'!$G$1634&gt;VAL_DATE)=0,"",'Dvd Calendar'!$G$1634*1000000000+ISNUMBER('Dvd Calendar'!$G$1635)*100000000+0*10000000+(N('Dvd Calendar'!$G$1633)&gt;0)*(N('Dvd Calendar'!$G$1633)&lt;=VAL_SERIAL)*1000000+7*1000+43))</f>
        <v/>
      </c>
      <c r="FV166" s="35">
        <f>IF(N('Dvd Calendar'!$H$1634)=0,"",IF(('Dvd Calendar'!$H$1634&gt;=GRID_FROM)*('Dvd Calendar'!$H$1634&lt;=GRID_TO)*('Dvd Calendar'!$H$1634&gt;VAL_DATE)=0,"",'Dvd Calendar'!$H$1634*1000000000+ISNUMBER('Dvd Calendar'!$H$1635)*100000000+0*10000000+(N('Dvd Calendar'!$H$1633)&gt;0)*(N('Dvd Calendar'!$H$1633)&lt;=VAL_SERIAL)*1000000+7*1000+44))</f>
        <v/>
      </c>
      <c r="FW166" s="35">
        <f>IF(N('Dvd Calendar'!$I$1634)=0,"",IF(('Dvd Calendar'!$I$1634&gt;=GRID_FROM)*('Dvd Calendar'!$I$1634&lt;=GRID_TO)*('Dvd Calendar'!$I$1634&gt;VAL_DATE)=0,"",'Dvd Calendar'!$I$1634*1000000000+ISNUMBER('Dvd Calendar'!$I$1635)*100000000+0*10000000+(N('Dvd Calendar'!$I$1633)&gt;0)*(N('Dvd Calendar'!$I$1633)&lt;=VAL_SERIAL)*1000000+7*1000+45))</f>
        <v/>
      </c>
      <c r="FX166" s="35">
        <f>IF(N('Dvd Calendar'!$J$1634)=0,"",IF(('Dvd Calendar'!$J$1634&gt;=GRID_FROM)*('Dvd Calendar'!$J$1634&lt;=GRID_TO)*('Dvd Calendar'!$J$1634&gt;VAL_DATE)=0,"",'Dvd Calendar'!$J$1634*1000000000+ISNUMBER('Dvd Calendar'!$J$1635)*100000000+0*10000000+(N('Dvd Calendar'!$J$1633)&gt;0)*(N('Dvd Calendar'!$J$1633)&lt;=VAL_SERIAL)*1000000+7*1000+46))</f>
        <v/>
      </c>
      <c r="FY166" s="35">
        <f>IF(N('Dvd Calendar'!$K$1634)=0,"",IF(('Dvd Calendar'!$K$1634&gt;=GRID_FROM)*('Dvd Calendar'!$K$1634&lt;=GRID_TO)*('Dvd Calendar'!$K$1634&gt;VAL_DATE)=0,"",'Dvd Calendar'!$K$1634*1000000000+ISNUMBER('Dvd Calendar'!$K$1635)*100000000+0*10000000+(N('Dvd Calendar'!$K$1633)&gt;0)*(N('Dvd Calendar'!$K$1633)&lt;=VAL_SERIAL)*1000000+7*1000+47))</f>
        <v/>
      </c>
      <c r="FZ166" s="35">
        <f>IF(N('Dvd Calendar'!$L$1634)=0,"",IF(('Dvd Calendar'!$L$1634&gt;=GRID_FROM)*('Dvd Calendar'!$L$1634&lt;=GRID_TO)*('Dvd Calendar'!$L$1634&gt;VAL_DATE)=0,"",'Dvd Calendar'!$L$1634*1000000000+ISNUMBER('Dvd Calendar'!$L$1635)*100000000+0*10000000+(N('Dvd Calendar'!$L$1633)&gt;0)*(N('Dvd Calendar'!$L$1633)&lt;=VAL_SERIAL)*1000000+7*1000+48))</f>
        <v/>
      </c>
      <c r="GA166" s="35">
        <f>IF(N('Dvd Calendar'!$M$1634)=0,"",IF(('Dvd Calendar'!$M$1634&gt;=GRID_FROM)*('Dvd Calendar'!$M$1634&lt;=GRID_TO)*('Dvd Calendar'!$M$1634&gt;VAL_DATE)=0,"",'Dvd Calendar'!$M$1634*1000000000+ISNUMBER('Dvd Calendar'!$M$1635)*100000000+0*10000000+(N('Dvd Calendar'!$M$1633)&gt;0)*(N('Dvd Calendar'!$M$1633)&lt;=VAL_SERIAL)*1000000+7*1000+49))</f>
        <v/>
      </c>
      <c r="GB166" s="35">
        <f>IF(N('Dvd Calendar'!$N$1634)=0,"",IF(('Dvd Calendar'!$N$1634&gt;=GRID_FROM)*('Dvd Calendar'!$N$1634&lt;=GRID_TO)*('Dvd Calendar'!$N$1634&gt;VAL_DATE)=0,"",'Dvd Calendar'!$N$1634*1000000000+ISNUMBER('Dvd Calendar'!$N$1635)*100000000+0*10000000+(N('Dvd Calendar'!$N$1633)&gt;0)*(N('Dvd Calendar'!$N$1633)&lt;=VAL_SERIAL)*1000000+7*1000+50))</f>
        <v/>
      </c>
      <c r="GC166" s="35">
        <f>IF(N('Dvd Calendar'!$O$1634)=0,"",IF(('Dvd Calendar'!$O$1634&gt;=GRID_FROM)*('Dvd Calendar'!$O$1634&lt;=GRID_TO)*('Dvd Calendar'!$O$1634&gt;VAL_DATE)=0,"",'Dvd Calendar'!$O$1634*1000000000+ISNUMBER('Dvd Calendar'!$O$1635)*100000000+0*10000000+(N('Dvd Calendar'!$O$1633)&gt;0)*(N('Dvd Calendar'!$O$1633)&lt;=VAL_SERIAL)*1000000+7*1000+51))</f>
        <v/>
      </c>
      <c r="GD166" s="35">
        <f>IF(N('Dvd Calendar'!$P$1634)=0,"",IF(('Dvd Calendar'!$P$1634&gt;=GRID_FROM)*('Dvd Calendar'!$P$1634&lt;=GRID_TO)*('Dvd Calendar'!$P$1634&gt;VAL_DATE)=0,"",'Dvd Calendar'!$P$1634*1000000000+ISNUMBER('Dvd Calendar'!$P$1635)*100000000+0*10000000+(N('Dvd Calendar'!$P$1633)&gt;0)*(N('Dvd Calendar'!$P$1633)&lt;=VAL_SERIAL)*1000000+7*1000+52))</f>
        <v/>
      </c>
      <c r="GE166" s="35">
        <f>IF(N('Dvd Calendar'!$Q$1634)=0,"",IF(('Dvd Calendar'!$Q$1634&gt;=GRID_FROM)*('Dvd Calendar'!$Q$1634&lt;=GRID_TO)*('Dvd Calendar'!$Q$1634&gt;VAL_DATE)=0,"",'Dvd Calendar'!$Q$1634*1000000000+ISNUMBER('Dvd Calendar'!$Q$1635)*100000000+0*10000000+(N('Dvd Calendar'!$Q$1633)&gt;0)*(N('Dvd Calendar'!$Q$1633)&lt;=VAL_SERIAL)*1000000+7*1000+53))</f>
        <v/>
      </c>
      <c r="GF166" s="35">
        <f>IF(N('Dvd Calendar'!$R$1634)=0,"",IF(('Dvd Calendar'!$R$1634&gt;=GRID_FROM)*('Dvd Calendar'!$R$1634&lt;=GRID_TO)*('Dvd Calendar'!$R$1634&gt;VAL_DATE)=0,"",'Dvd Calendar'!$R$1634*1000000000+ISNUMBER('Dvd Calendar'!$R$1635)*100000000+0*10000000+(N('Dvd Calendar'!$R$1633)&gt;0)*(N('Dvd Calendar'!$R$1633)&lt;=VAL_SERIAL)*1000000+7*1000+54))</f>
        <v/>
      </c>
      <c r="GG166" s="35">
        <f>IF(N('Dvd Calendar'!$S$1634)=0,"",IF(('Dvd Calendar'!$S$1634&gt;=GRID_FROM)*('Dvd Calendar'!$S$1634&lt;=GRID_TO)*('Dvd Calendar'!$S$1634&gt;VAL_DATE)=0,"",'Dvd Calendar'!$S$1634*1000000000+ISNUMBER('Dvd Calendar'!$S$1635)*100000000+0*10000000+(N('Dvd Calendar'!$S$1633)&gt;0)*(N('Dvd Calendar'!$S$1633)&lt;=VAL_SERIAL)*1000000+7*1000+55))</f>
        <v/>
      </c>
      <c r="GH166" s="35">
        <f>IF(N('Dvd Calendar'!$T$1634)=0,"",IF(('Dvd Calendar'!$T$1634&gt;=GRID_FROM)*('Dvd Calendar'!$T$1634&lt;=GRID_TO)*('Dvd Calendar'!$T$1634&gt;VAL_DATE)=0,"",'Dvd Calendar'!$T$1634*1000000000+ISNUMBER('Dvd Calendar'!$T$1635)*100000000+0*10000000+(N('Dvd Calendar'!$T$1633)&gt;0)*(N('Dvd Calendar'!$T$1633)&lt;=VAL_SERIAL)*1000000+7*1000+56))</f>
        <v/>
      </c>
      <c r="GI166" s="35">
        <f>IF(N('Dvd Calendar'!$U$1634)=0,"",IF(('Dvd Calendar'!$U$1634&gt;=GRID_FROM)*('Dvd Calendar'!$U$1634&lt;=GRID_TO)*('Dvd Calendar'!$U$1634&gt;VAL_DATE)=0,"",'Dvd Calendar'!$U$1634*1000000000+ISNUMBER('Dvd Calendar'!$U$1635)*100000000+0*10000000+(N('Dvd Calendar'!$U$1633)&gt;0)*(N('Dvd Calendar'!$U$1633)&lt;=VAL_SERIAL)*1000000+7*1000+57))</f>
        <v/>
      </c>
      <c r="GJ166" s="35">
        <f>IF(N('Dvd Calendar'!$V$1634)=0,"",IF(('Dvd Calendar'!$V$1634&gt;=GRID_FROM)*('Dvd Calendar'!$V$1634&lt;=GRID_TO)*('Dvd Calendar'!$V$1634&gt;VAL_DATE)=0,"",'Dvd Calendar'!$V$1634*1000000000+ISNUMBER('Dvd Calendar'!$V$1635)*100000000+0*10000000+(N('Dvd Calendar'!$V$1633)&gt;0)*(N('Dvd Calendar'!$V$1633)&lt;=VAL_SERIAL)*1000000+7*1000+58))</f>
        <v/>
      </c>
      <c r="GK166" s="35">
        <f>IF(N('Dvd Calendar'!$W$1634)=0,"",IF(('Dvd Calendar'!$W$1634&gt;=GRID_FROM)*('Dvd Calendar'!$W$1634&lt;=GRID_TO)*('Dvd Calendar'!$W$1634&gt;VAL_DATE)=0,"",'Dvd Calendar'!$W$1634*1000000000+ISNUMBER('Dvd Calendar'!$W$1635)*100000000+0*10000000+(N('Dvd Calendar'!$W$1633)&gt;0)*(N('Dvd Calendar'!$W$1633)&lt;=VAL_SERIAL)*1000000+7*1000+59))</f>
        <v/>
      </c>
      <c r="GL166" s="35">
        <f>IF(N('Dvd Calendar'!$X$1634)=0,"",IF(('Dvd Calendar'!$X$1634&gt;=GRID_FROM)*('Dvd Calendar'!$X$1634&lt;=GRID_TO)*('Dvd Calendar'!$X$1634&gt;VAL_DATE)=0,"",'Dvd Calendar'!$X$1634*1000000000+ISNUMBER('Dvd Calendar'!$X$1635)*100000000+0*10000000+(N('Dvd Calendar'!$X$1633)&gt;0)*(N('Dvd Calendar'!$X$1633)&lt;=VAL_SERIAL)*1000000+7*1000+60))</f>
        <v/>
      </c>
      <c r="GM166" s="35">
        <f>IF(N('Dvd Calendar'!$Y$1634)=0,"",IF(('Dvd Calendar'!$Y$1634&gt;=GRID_FROM)*('Dvd Calendar'!$Y$1634&lt;=GRID_TO)*('Dvd Calendar'!$Y$1634&gt;VAL_DATE)=0,"",'Dvd Calendar'!$Y$1634*1000000000+ISNUMBER('Dvd Calendar'!$Y$1635)*100000000+0*10000000+(N('Dvd Calendar'!$Y$1633)&gt;0)*(N('Dvd Calendar'!$Y$1633)&lt;=VAL_SERIAL)*1000000+7*1000+61))</f>
        <v/>
      </c>
      <c r="GN166" s="35">
        <f>IF(N('Dvd Calendar'!$Z$1634)=0,"",IF(('Dvd Calendar'!$Z$1634&gt;=GRID_FROM)*('Dvd Calendar'!$Z$1634&lt;=GRID_TO)*('Dvd Calendar'!$Z$1634&gt;VAL_DATE)=0,"",'Dvd Calendar'!$Z$1634*1000000000+ISNUMBER('Dvd Calendar'!$Z$1635)*100000000+0*10000000+(N('Dvd Calendar'!$Z$1633)&gt;0)*(N('Dvd Calendar'!$Z$1633)&lt;=VAL_SERIAL)*1000000+7*1000+62))</f>
        <v/>
      </c>
      <c r="GO166" s="35">
        <f>IF(N('Dvd Calendar'!$AA$1634)=0,"",IF(('Dvd Calendar'!$AA$1634&gt;=GRID_FROM)*('Dvd Calendar'!$AA$1634&lt;=GRID_TO)*('Dvd Calendar'!$AA$1634&gt;VAL_DATE)=0,"",'Dvd Calendar'!$AA$1634*1000000000+ISNUMBER('Dvd Calendar'!$AA$1635)*100000000+0*10000000+(N('Dvd Calendar'!$AA$1633)&gt;0)*(N('Dvd Calendar'!$AA$1633)&lt;=VAL_SERIAL)*1000000+7*1000+63))</f>
        <v/>
      </c>
      <c r="GP166" s="35">
        <f>IF(N('Dvd Calendar'!$AB$1634)=0,"",IF(('Dvd Calendar'!$AB$1634&gt;=GRID_FROM)*('Dvd Calendar'!$AB$1634&lt;=GRID_TO)*('Dvd Calendar'!$AB$1634&gt;VAL_DATE)=0,"",'Dvd Calendar'!$AB$1634*1000000000+ISNUMBER('Dvd Calendar'!$AB$1635)*100000000+0*10000000+(N('Dvd Calendar'!$AB$1633)&gt;0)*(N('Dvd Calendar'!$AB$1633)&lt;=VAL_SERIAL)*1000000+7*1000+64))</f>
        <v/>
      </c>
      <c r="GQ166" s="35">
        <f>IF(N('Dvd Calendar'!$AC$1634)=0,"",IF(('Dvd Calendar'!$AC$1634&gt;=GRID_FROM)*('Dvd Calendar'!$AC$1634&lt;=GRID_TO)*('Dvd Calendar'!$AC$1634&gt;VAL_DATE)=0,"",'Dvd Calendar'!$AC$1634*1000000000+ISNUMBER('Dvd Calendar'!$AC$1635)*100000000+0*10000000+(N('Dvd Calendar'!$AC$1633)&gt;0)*(N('Dvd Calendar'!$AC$1633)&lt;=VAL_SERIAL)*1000000+7*1000+65))</f>
        <v/>
      </c>
    </row>
    <row r="167">
      <c r="B167" s="2">
        <f>IF(HSCEI!$C$14="","",HSCEI!$C$14)</f>
        <v/>
      </c>
      <c r="C167" s="106">
        <f>IF(EE167="","",IF(ISNUMBER('Dvd Calendar'!$E$1641)=FALSE,"",IF((('Dvd Calendar'!$E$1643=TYPE1)*(TYPE1&lt;&gt;"")+('Dvd Calendar'!$E$1643=TYPE2)*(TYPE2&lt;&gt;"")+('Dvd Calendar'!$E$1643=TYPE3)*(TYPE3&lt;&gt;"")+('Dvd Calendar'!$E$1643=TYPE4)*(TYPE4&lt;&gt;"")+('Dvd Calendar'!$E$1643=SPECIAL_LBL)*(INC_SPECIALS="Y"))=0,"",'Dvd Calendar'!$E$1641)))</f>
        <v/>
      </c>
      <c r="D167" s="106">
        <f>IF(EF167="","",IF(ISNUMBER('Dvd Calendar'!$F$1641)=FALSE,"",IF((('Dvd Calendar'!$F$1643=TYPE1)*(TYPE1&lt;&gt;"")+('Dvd Calendar'!$F$1643=TYPE2)*(TYPE2&lt;&gt;"")+('Dvd Calendar'!$F$1643=TYPE3)*(TYPE3&lt;&gt;"")+('Dvd Calendar'!$F$1643=TYPE4)*(TYPE4&lt;&gt;"")+('Dvd Calendar'!$F$1643=SPECIAL_LBL)*(INC_SPECIALS="Y"))=0,"",'Dvd Calendar'!$F$1641)))</f>
        <v/>
      </c>
      <c r="E167" s="106">
        <f>IF(EG167="","",IF(ISNUMBER('Dvd Calendar'!$G$1641)=FALSE,"",IF((('Dvd Calendar'!$G$1643=TYPE1)*(TYPE1&lt;&gt;"")+('Dvd Calendar'!$G$1643=TYPE2)*(TYPE2&lt;&gt;"")+('Dvd Calendar'!$G$1643=TYPE3)*(TYPE3&lt;&gt;"")+('Dvd Calendar'!$G$1643=TYPE4)*(TYPE4&lt;&gt;"")+('Dvd Calendar'!$G$1643=SPECIAL_LBL)*(INC_SPECIALS="Y"))=0,"",'Dvd Calendar'!$G$1641)))</f>
        <v/>
      </c>
      <c r="F167" s="106">
        <f>IF(EH167="","",IF(ISNUMBER('Dvd Calendar'!$H$1641)=FALSE,"",IF((('Dvd Calendar'!$H$1643=TYPE1)*(TYPE1&lt;&gt;"")+('Dvd Calendar'!$H$1643=TYPE2)*(TYPE2&lt;&gt;"")+('Dvd Calendar'!$H$1643=TYPE3)*(TYPE3&lt;&gt;"")+('Dvd Calendar'!$H$1643=TYPE4)*(TYPE4&lt;&gt;"")+('Dvd Calendar'!$H$1643=SPECIAL_LBL)*(INC_SPECIALS="Y"))=0,"",'Dvd Calendar'!$H$1641)))</f>
        <v/>
      </c>
      <c r="G167" s="106">
        <f>IF(EI167="","",IF(ISNUMBER('Dvd Calendar'!$I$1641)=FALSE,"",IF((('Dvd Calendar'!$I$1643=TYPE1)*(TYPE1&lt;&gt;"")+('Dvd Calendar'!$I$1643=TYPE2)*(TYPE2&lt;&gt;"")+('Dvd Calendar'!$I$1643=TYPE3)*(TYPE3&lt;&gt;"")+('Dvd Calendar'!$I$1643=TYPE4)*(TYPE4&lt;&gt;"")+('Dvd Calendar'!$I$1643=SPECIAL_LBL)*(INC_SPECIALS="Y"))=0,"",'Dvd Calendar'!$I$1641)))</f>
        <v/>
      </c>
      <c r="H167" s="106">
        <f>IF(EJ167="","",IF(ISNUMBER('Dvd Calendar'!$J$1641)=FALSE,"",IF((('Dvd Calendar'!$J$1643=TYPE1)*(TYPE1&lt;&gt;"")+('Dvd Calendar'!$J$1643=TYPE2)*(TYPE2&lt;&gt;"")+('Dvd Calendar'!$J$1643=TYPE3)*(TYPE3&lt;&gt;"")+('Dvd Calendar'!$J$1643=TYPE4)*(TYPE4&lt;&gt;"")+('Dvd Calendar'!$J$1643=SPECIAL_LBL)*(INC_SPECIALS="Y"))=0,"",'Dvd Calendar'!$J$1641)))</f>
        <v/>
      </c>
      <c r="I167" s="106">
        <f>IF(EK167="","",IF(ISNUMBER('Dvd Calendar'!$K$1641)=FALSE,"",IF((('Dvd Calendar'!$K$1643=TYPE1)*(TYPE1&lt;&gt;"")+('Dvd Calendar'!$K$1643=TYPE2)*(TYPE2&lt;&gt;"")+('Dvd Calendar'!$K$1643=TYPE3)*(TYPE3&lt;&gt;"")+('Dvd Calendar'!$K$1643=TYPE4)*(TYPE4&lt;&gt;"")+('Dvd Calendar'!$K$1643=SPECIAL_LBL)*(INC_SPECIALS="Y"))=0,"",'Dvd Calendar'!$K$1641)))</f>
        <v/>
      </c>
      <c r="J167" s="106">
        <f>IF(EL167="","",IF(ISNUMBER('Dvd Calendar'!$L$1641)=FALSE,"",IF((('Dvd Calendar'!$L$1643=TYPE1)*(TYPE1&lt;&gt;"")+('Dvd Calendar'!$L$1643=TYPE2)*(TYPE2&lt;&gt;"")+('Dvd Calendar'!$L$1643=TYPE3)*(TYPE3&lt;&gt;"")+('Dvd Calendar'!$L$1643=TYPE4)*(TYPE4&lt;&gt;"")+('Dvd Calendar'!$L$1643=SPECIAL_LBL)*(INC_SPECIALS="Y"))=0,"",'Dvd Calendar'!$L$1641)))</f>
        <v/>
      </c>
      <c r="K167" s="106">
        <f>IF(EM167="","",IF(ISNUMBER('Dvd Calendar'!$M$1641)=FALSE,"",IF((('Dvd Calendar'!$M$1643=TYPE1)*(TYPE1&lt;&gt;"")+('Dvd Calendar'!$M$1643=TYPE2)*(TYPE2&lt;&gt;"")+('Dvd Calendar'!$M$1643=TYPE3)*(TYPE3&lt;&gt;"")+('Dvd Calendar'!$M$1643=TYPE4)*(TYPE4&lt;&gt;"")+('Dvd Calendar'!$M$1643=SPECIAL_LBL)*(INC_SPECIALS="Y"))=0,"",'Dvd Calendar'!$M$1641)))</f>
        <v/>
      </c>
      <c r="L167" s="106">
        <f>IF(EN167="","",IF(ISNUMBER('Dvd Calendar'!$N$1641)=FALSE,"",IF((('Dvd Calendar'!$N$1643=TYPE1)*(TYPE1&lt;&gt;"")+('Dvd Calendar'!$N$1643=TYPE2)*(TYPE2&lt;&gt;"")+('Dvd Calendar'!$N$1643=TYPE3)*(TYPE3&lt;&gt;"")+('Dvd Calendar'!$N$1643=TYPE4)*(TYPE4&lt;&gt;"")+('Dvd Calendar'!$N$1643=SPECIAL_LBL)*(INC_SPECIALS="Y"))=0,"",'Dvd Calendar'!$N$1641)))</f>
        <v/>
      </c>
      <c r="M167" s="106">
        <f>IF(EO167="","",IF(ISNUMBER('Dvd Calendar'!$O$1641)=FALSE,"",IF((('Dvd Calendar'!$O$1643=TYPE1)*(TYPE1&lt;&gt;"")+('Dvd Calendar'!$O$1643=TYPE2)*(TYPE2&lt;&gt;"")+('Dvd Calendar'!$O$1643=TYPE3)*(TYPE3&lt;&gt;"")+('Dvd Calendar'!$O$1643=TYPE4)*(TYPE4&lt;&gt;"")+('Dvd Calendar'!$O$1643=SPECIAL_LBL)*(INC_SPECIALS="Y"))=0,"",'Dvd Calendar'!$O$1641)))</f>
        <v/>
      </c>
      <c r="N167" s="106">
        <f>IF(EP167="","",IF(ISNUMBER('Dvd Calendar'!$P$1641)=FALSE,"",IF((('Dvd Calendar'!$P$1643=TYPE1)*(TYPE1&lt;&gt;"")+('Dvd Calendar'!$P$1643=TYPE2)*(TYPE2&lt;&gt;"")+('Dvd Calendar'!$P$1643=TYPE3)*(TYPE3&lt;&gt;"")+('Dvd Calendar'!$P$1643=TYPE4)*(TYPE4&lt;&gt;"")+('Dvd Calendar'!$P$1643=SPECIAL_LBL)*(INC_SPECIALS="Y"))=0,"",'Dvd Calendar'!$P$1641)))</f>
        <v/>
      </c>
      <c r="O167" s="106">
        <f>IF(EQ167="","",IF(ISNUMBER('Dvd Calendar'!$Q$1641)=FALSE,"",IF((('Dvd Calendar'!$Q$1643=TYPE1)*(TYPE1&lt;&gt;"")+('Dvd Calendar'!$Q$1643=TYPE2)*(TYPE2&lt;&gt;"")+('Dvd Calendar'!$Q$1643=TYPE3)*(TYPE3&lt;&gt;"")+('Dvd Calendar'!$Q$1643=TYPE4)*(TYPE4&lt;&gt;"")+('Dvd Calendar'!$Q$1643=SPECIAL_LBL)*(INC_SPECIALS="Y"))=0,"",'Dvd Calendar'!$Q$1641)))</f>
        <v/>
      </c>
      <c r="P167" s="106">
        <f>IF(ER167="","",IF(ISNUMBER('Dvd Calendar'!$R$1641)=FALSE,"",IF((('Dvd Calendar'!$R$1643=TYPE1)*(TYPE1&lt;&gt;"")+('Dvd Calendar'!$R$1643=TYPE2)*(TYPE2&lt;&gt;"")+('Dvd Calendar'!$R$1643=TYPE3)*(TYPE3&lt;&gt;"")+('Dvd Calendar'!$R$1643=TYPE4)*(TYPE4&lt;&gt;"")+('Dvd Calendar'!$R$1643=SPECIAL_LBL)*(INC_SPECIALS="Y"))=0,"",'Dvd Calendar'!$R$1641)))</f>
        <v/>
      </c>
      <c r="Q167" s="106">
        <f>IF(ES167="","",IF(ISNUMBER('Dvd Calendar'!$S$1641)=FALSE,"",IF((('Dvd Calendar'!$S$1643=TYPE1)*(TYPE1&lt;&gt;"")+('Dvd Calendar'!$S$1643=TYPE2)*(TYPE2&lt;&gt;"")+('Dvd Calendar'!$S$1643=TYPE3)*(TYPE3&lt;&gt;"")+('Dvd Calendar'!$S$1643=TYPE4)*(TYPE4&lt;&gt;"")+('Dvd Calendar'!$S$1643=SPECIAL_LBL)*(INC_SPECIALS="Y"))=0,"",'Dvd Calendar'!$S$1641)))</f>
        <v/>
      </c>
      <c r="R167" s="106">
        <f>IF(ET167="","",IF(ISNUMBER('Dvd Calendar'!$T$1641)=FALSE,"",IF((('Dvd Calendar'!$T$1643=TYPE1)*(TYPE1&lt;&gt;"")+('Dvd Calendar'!$T$1643=TYPE2)*(TYPE2&lt;&gt;"")+('Dvd Calendar'!$T$1643=TYPE3)*(TYPE3&lt;&gt;"")+('Dvd Calendar'!$T$1643=TYPE4)*(TYPE4&lt;&gt;"")+('Dvd Calendar'!$T$1643=SPECIAL_LBL)*(INC_SPECIALS="Y"))=0,"",'Dvd Calendar'!$T$1641)))</f>
        <v/>
      </c>
      <c r="S167" s="106">
        <f>IF(EU167="","",IF(ISNUMBER('Dvd Calendar'!$U$1641)=FALSE,"",IF((('Dvd Calendar'!$U$1643=TYPE1)*(TYPE1&lt;&gt;"")+('Dvd Calendar'!$U$1643=TYPE2)*(TYPE2&lt;&gt;"")+('Dvd Calendar'!$U$1643=TYPE3)*(TYPE3&lt;&gt;"")+('Dvd Calendar'!$U$1643=TYPE4)*(TYPE4&lt;&gt;"")+('Dvd Calendar'!$U$1643=SPECIAL_LBL)*(INC_SPECIALS="Y"))=0,"",'Dvd Calendar'!$U$1641)))</f>
        <v/>
      </c>
      <c r="T167" s="106">
        <f>IF(EV167="","",IF(ISNUMBER('Dvd Calendar'!$V$1641)=FALSE,"",IF((('Dvd Calendar'!$V$1643=TYPE1)*(TYPE1&lt;&gt;"")+('Dvd Calendar'!$V$1643=TYPE2)*(TYPE2&lt;&gt;"")+('Dvd Calendar'!$V$1643=TYPE3)*(TYPE3&lt;&gt;"")+('Dvd Calendar'!$V$1643=TYPE4)*(TYPE4&lt;&gt;"")+('Dvd Calendar'!$V$1643=SPECIAL_LBL)*(INC_SPECIALS="Y"))=0,"",'Dvd Calendar'!$V$1641)))</f>
        <v/>
      </c>
      <c r="U167" s="106">
        <f>IF(EW167="","",IF(ISNUMBER('Dvd Calendar'!$W$1641)=FALSE,"",IF((('Dvd Calendar'!$W$1643=TYPE1)*(TYPE1&lt;&gt;"")+('Dvd Calendar'!$W$1643=TYPE2)*(TYPE2&lt;&gt;"")+('Dvd Calendar'!$W$1643=TYPE3)*(TYPE3&lt;&gt;"")+('Dvd Calendar'!$W$1643=TYPE4)*(TYPE4&lt;&gt;"")+('Dvd Calendar'!$W$1643=SPECIAL_LBL)*(INC_SPECIALS="Y"))=0,"",'Dvd Calendar'!$W$1641)))</f>
        <v/>
      </c>
      <c r="V167" s="106">
        <f>IF(EX167="","",IF(ISNUMBER('Dvd Calendar'!$X$1641)=FALSE,"",IF((('Dvd Calendar'!$X$1643=TYPE1)*(TYPE1&lt;&gt;"")+('Dvd Calendar'!$X$1643=TYPE2)*(TYPE2&lt;&gt;"")+('Dvd Calendar'!$X$1643=TYPE3)*(TYPE3&lt;&gt;"")+('Dvd Calendar'!$X$1643=TYPE4)*(TYPE4&lt;&gt;"")+('Dvd Calendar'!$X$1643=SPECIAL_LBL)*(INC_SPECIALS="Y"))=0,"",'Dvd Calendar'!$X$1641)))</f>
        <v/>
      </c>
      <c r="W167" s="106">
        <f>IF(EY167="","",IF(ISNUMBER('Dvd Calendar'!$Y$1641)=FALSE,"",IF((('Dvd Calendar'!$Y$1643=TYPE1)*(TYPE1&lt;&gt;"")+('Dvd Calendar'!$Y$1643=TYPE2)*(TYPE2&lt;&gt;"")+('Dvd Calendar'!$Y$1643=TYPE3)*(TYPE3&lt;&gt;"")+('Dvd Calendar'!$Y$1643=TYPE4)*(TYPE4&lt;&gt;"")+('Dvd Calendar'!$Y$1643=SPECIAL_LBL)*(INC_SPECIALS="Y"))=0,"",'Dvd Calendar'!$Y$1641)))</f>
        <v/>
      </c>
      <c r="X167" s="106">
        <f>IF(EZ167="","",IF(ISNUMBER('Dvd Calendar'!$Z$1641)=FALSE,"",IF((('Dvd Calendar'!$Z$1643=TYPE1)*(TYPE1&lt;&gt;"")+('Dvd Calendar'!$Z$1643=TYPE2)*(TYPE2&lt;&gt;"")+('Dvd Calendar'!$Z$1643=TYPE3)*(TYPE3&lt;&gt;"")+('Dvd Calendar'!$Z$1643=TYPE4)*(TYPE4&lt;&gt;"")+('Dvd Calendar'!$Z$1643=SPECIAL_LBL)*(INC_SPECIALS="Y"))=0,"",'Dvd Calendar'!$Z$1641)))</f>
        <v/>
      </c>
      <c r="Y167" s="106">
        <f>IF(FA167="","",IF(ISNUMBER('Dvd Calendar'!$AA$1641)=FALSE,"",IF((('Dvd Calendar'!$AA$1643=TYPE1)*(TYPE1&lt;&gt;"")+('Dvd Calendar'!$AA$1643=TYPE2)*(TYPE2&lt;&gt;"")+('Dvd Calendar'!$AA$1643=TYPE3)*(TYPE3&lt;&gt;"")+('Dvd Calendar'!$AA$1643=TYPE4)*(TYPE4&lt;&gt;"")+('Dvd Calendar'!$AA$1643=SPECIAL_LBL)*(INC_SPECIALS="Y"))=0,"",'Dvd Calendar'!$AA$1641)))</f>
        <v/>
      </c>
      <c r="Z167" s="106">
        <f>IF(FB167="","",IF(ISNUMBER('Dvd Calendar'!$AB$1641)=FALSE,"",IF((('Dvd Calendar'!$AB$1643=TYPE1)*(TYPE1&lt;&gt;"")+('Dvd Calendar'!$AB$1643=TYPE2)*(TYPE2&lt;&gt;"")+('Dvd Calendar'!$AB$1643=TYPE3)*(TYPE3&lt;&gt;"")+('Dvd Calendar'!$AB$1643=TYPE4)*(TYPE4&lt;&gt;"")+('Dvd Calendar'!$AB$1643=SPECIAL_LBL)*(INC_SPECIALS="Y"))=0,"",'Dvd Calendar'!$AB$1641)))</f>
        <v/>
      </c>
      <c r="AA167" s="106">
        <f>IF(FC167="","",IF(ISNUMBER('Dvd Calendar'!$AC$1641)=FALSE,"",IF((('Dvd Calendar'!$AC$1643=TYPE1)*(TYPE1&lt;&gt;"")+('Dvd Calendar'!$AC$1643=TYPE2)*(TYPE2&lt;&gt;"")+('Dvd Calendar'!$AC$1643=TYPE3)*(TYPE3&lt;&gt;"")+('Dvd Calendar'!$AC$1643=TYPE4)*(TYPE4&lt;&gt;"")+('Dvd Calendar'!$AC$1643=SPECIAL_LBL)*(INC_SPECIALS="Y"))=0,"",'Dvd Calendar'!$AC$1641)))</f>
        <v/>
      </c>
      <c r="AB167" s="106">
        <f>IF(FD167="","",IF(ISNUMBER('Dvd Calendar'!$AD$1641)=FALSE,"",IF((('Dvd Calendar'!$AD$1643=TYPE1)*(TYPE1&lt;&gt;"")+('Dvd Calendar'!$AD$1643=TYPE2)*(TYPE2&lt;&gt;"")+('Dvd Calendar'!$AD$1643=TYPE3)*(TYPE3&lt;&gt;"")+('Dvd Calendar'!$AD$1643=TYPE4)*(TYPE4&lt;&gt;"")+('Dvd Calendar'!$AD$1643=SPECIAL_LBL)*(INC_SPECIALS="Y"))=0,"",'Dvd Calendar'!$AD$1641)))</f>
        <v/>
      </c>
      <c r="AC167" s="106">
        <f>IF(FE167="","",IF(ISNUMBER('Dvd Calendar'!$AE$1641)=FALSE,"",IF((('Dvd Calendar'!$AE$1643=TYPE1)*(TYPE1&lt;&gt;"")+('Dvd Calendar'!$AE$1643=TYPE2)*(TYPE2&lt;&gt;"")+('Dvd Calendar'!$AE$1643=TYPE3)*(TYPE3&lt;&gt;"")+('Dvd Calendar'!$AE$1643=TYPE4)*(TYPE4&lt;&gt;"")+('Dvd Calendar'!$AE$1643=SPECIAL_LBL)*(INC_SPECIALS="Y"))=0,"",'Dvd Calendar'!$AE$1641)))</f>
        <v/>
      </c>
      <c r="AD167" s="106">
        <f>IF(FF167="","",IF(ISNUMBER('Dvd Calendar'!$AF$1641)=FALSE,"",IF((('Dvd Calendar'!$AF$1643=TYPE1)*(TYPE1&lt;&gt;"")+('Dvd Calendar'!$AF$1643=TYPE2)*(TYPE2&lt;&gt;"")+('Dvd Calendar'!$AF$1643=TYPE3)*(TYPE3&lt;&gt;"")+('Dvd Calendar'!$AF$1643=TYPE4)*(TYPE4&lt;&gt;"")+('Dvd Calendar'!$AF$1643=SPECIAL_LBL)*(INC_SPECIALS="Y"))=0,"",'Dvd Calendar'!$AF$1641)))</f>
        <v/>
      </c>
      <c r="AE167" s="106">
        <f>IF(FG167="","",IF(ISNUMBER('Dvd Calendar'!$AG$1641)=FALSE,"",IF((('Dvd Calendar'!$AG$1643=TYPE1)*(TYPE1&lt;&gt;"")+('Dvd Calendar'!$AG$1643=TYPE2)*(TYPE2&lt;&gt;"")+('Dvd Calendar'!$AG$1643=TYPE3)*(TYPE3&lt;&gt;"")+('Dvd Calendar'!$AG$1643=TYPE4)*(TYPE4&lt;&gt;"")+('Dvd Calendar'!$AG$1643=SPECIAL_LBL)*(INC_SPECIALS="Y"))=0,"",'Dvd Calendar'!$AG$1641)))</f>
        <v/>
      </c>
      <c r="AF167" s="106">
        <f>IF(FH167="","",IF(ISNUMBER('Dvd Calendar'!$AH$1641)=FALSE,"",IF((('Dvd Calendar'!$AH$1643=TYPE1)*(TYPE1&lt;&gt;"")+('Dvd Calendar'!$AH$1643=TYPE2)*(TYPE2&lt;&gt;"")+('Dvd Calendar'!$AH$1643=TYPE3)*(TYPE3&lt;&gt;"")+('Dvd Calendar'!$AH$1643=TYPE4)*(TYPE4&lt;&gt;"")+('Dvd Calendar'!$AH$1643=SPECIAL_LBL)*(INC_SPECIALS="Y"))=0,"",'Dvd Calendar'!$AH$1641)))</f>
        <v/>
      </c>
      <c r="AG167" s="106">
        <f>IF(FI167="","",IF(ISNUMBER('Dvd Calendar'!$AI$1641)=FALSE,"",IF((('Dvd Calendar'!$AI$1643=TYPE1)*(TYPE1&lt;&gt;"")+('Dvd Calendar'!$AI$1643=TYPE2)*(TYPE2&lt;&gt;"")+('Dvd Calendar'!$AI$1643=TYPE3)*(TYPE3&lt;&gt;"")+('Dvd Calendar'!$AI$1643=TYPE4)*(TYPE4&lt;&gt;"")+('Dvd Calendar'!$AI$1643=SPECIAL_LBL)*(INC_SPECIALS="Y"))=0,"",'Dvd Calendar'!$AI$1641)))</f>
        <v/>
      </c>
      <c r="AH167" s="106">
        <f>IF(FJ167="","",IF(ISNUMBER('Dvd Calendar'!$AJ$1641)=FALSE,"",IF((('Dvd Calendar'!$AJ$1643=TYPE1)*(TYPE1&lt;&gt;"")+('Dvd Calendar'!$AJ$1643=TYPE2)*(TYPE2&lt;&gt;"")+('Dvd Calendar'!$AJ$1643=TYPE3)*(TYPE3&lt;&gt;"")+('Dvd Calendar'!$AJ$1643=TYPE4)*(TYPE4&lt;&gt;"")+('Dvd Calendar'!$AJ$1643=SPECIAL_LBL)*(INC_SPECIALS="Y"))=0,"",'Dvd Calendar'!$AJ$1641)))</f>
        <v/>
      </c>
      <c r="AI167" s="106">
        <f>IF(FK167="","",IF(ISNUMBER('Dvd Calendar'!$AK$1641)=FALSE,"",IF((('Dvd Calendar'!$AK$1643=TYPE1)*(TYPE1&lt;&gt;"")+('Dvd Calendar'!$AK$1643=TYPE2)*(TYPE2&lt;&gt;"")+('Dvd Calendar'!$AK$1643=TYPE3)*(TYPE3&lt;&gt;"")+('Dvd Calendar'!$AK$1643=TYPE4)*(TYPE4&lt;&gt;"")+('Dvd Calendar'!$AK$1643=SPECIAL_LBL)*(INC_SPECIALS="Y"))=0,"",'Dvd Calendar'!$AK$1641)))</f>
        <v/>
      </c>
      <c r="AJ167" s="106">
        <f>IF(FL167="","",IF(ISNUMBER('Dvd Calendar'!$AL$1641)=FALSE,"",IF((('Dvd Calendar'!$AL$1643=TYPE1)*(TYPE1&lt;&gt;"")+('Dvd Calendar'!$AL$1643=TYPE2)*(TYPE2&lt;&gt;"")+('Dvd Calendar'!$AL$1643=TYPE3)*(TYPE3&lt;&gt;"")+('Dvd Calendar'!$AL$1643=TYPE4)*(TYPE4&lt;&gt;"")+('Dvd Calendar'!$AL$1643=SPECIAL_LBL)*(INC_SPECIALS="Y"))=0,"",'Dvd Calendar'!$AL$1641)))</f>
        <v/>
      </c>
      <c r="AK167" s="106">
        <f>IF(FM167="","",IF(ISNUMBER('Dvd Calendar'!$AM$1641)=FALSE,"",IF((('Dvd Calendar'!$AM$1643=TYPE1)*(TYPE1&lt;&gt;"")+('Dvd Calendar'!$AM$1643=TYPE2)*(TYPE2&lt;&gt;"")+('Dvd Calendar'!$AM$1643=TYPE3)*(TYPE3&lt;&gt;"")+('Dvd Calendar'!$AM$1643=TYPE4)*(TYPE4&lt;&gt;"")+('Dvd Calendar'!$AM$1643=SPECIAL_LBL)*(INC_SPECIALS="Y"))=0,"",'Dvd Calendar'!$AM$1641)))</f>
        <v/>
      </c>
      <c r="AL167" s="106">
        <f>IF(FN167="","",IF(ISNUMBER('Dvd Calendar'!$AN$1641)=FALSE,"",IF((('Dvd Calendar'!$AN$1643=TYPE1)*(TYPE1&lt;&gt;"")+('Dvd Calendar'!$AN$1643=TYPE2)*(TYPE2&lt;&gt;"")+('Dvd Calendar'!$AN$1643=TYPE3)*(TYPE3&lt;&gt;"")+('Dvd Calendar'!$AN$1643=TYPE4)*(TYPE4&lt;&gt;"")+('Dvd Calendar'!$AN$1643=SPECIAL_LBL)*(INC_SPECIALS="Y"))=0,"",'Dvd Calendar'!$AN$1641)))</f>
        <v/>
      </c>
      <c r="AM167" s="106">
        <f>IF(FO167="","",IF(ISNUMBER('Dvd Calendar'!$AO$1641)=FALSE,"",IF((('Dvd Calendar'!$AO$1643=TYPE1)*(TYPE1&lt;&gt;"")+('Dvd Calendar'!$AO$1643=TYPE2)*(TYPE2&lt;&gt;"")+('Dvd Calendar'!$AO$1643=TYPE3)*(TYPE3&lt;&gt;"")+('Dvd Calendar'!$AO$1643=TYPE4)*(TYPE4&lt;&gt;"")+('Dvd Calendar'!$AO$1643=SPECIAL_LBL)*(INC_SPECIALS="Y"))=0,"",'Dvd Calendar'!$AO$1641)))</f>
        <v/>
      </c>
      <c r="AN167" s="106">
        <f>IF(FP167="","",IF(ISNUMBER('Dvd Calendar'!$AP$1641)=FALSE,"",IF((('Dvd Calendar'!$AP$1643=TYPE1)*(TYPE1&lt;&gt;"")+('Dvd Calendar'!$AP$1643=TYPE2)*(TYPE2&lt;&gt;"")+('Dvd Calendar'!$AP$1643=TYPE3)*(TYPE3&lt;&gt;"")+('Dvd Calendar'!$AP$1643=TYPE4)*(TYPE4&lt;&gt;"")+('Dvd Calendar'!$AP$1643=SPECIAL_LBL)*(INC_SPECIALS="Y"))=0,"",'Dvd Calendar'!$AP$1641)))</f>
        <v/>
      </c>
      <c r="AO167" s="106">
        <f>IF(FQ167="","",IF(ISNUMBER('Dvd Calendar'!$AQ$1641)=FALSE,"",IF((('Dvd Calendar'!$AQ$1643=TYPE1)*(TYPE1&lt;&gt;"")+('Dvd Calendar'!$AQ$1643=TYPE2)*(TYPE2&lt;&gt;"")+('Dvd Calendar'!$AQ$1643=TYPE3)*(TYPE3&lt;&gt;"")+('Dvd Calendar'!$AQ$1643=TYPE4)*(TYPE4&lt;&gt;"")+('Dvd Calendar'!$AQ$1643=SPECIAL_LBL)*(INC_SPECIALS="Y"))=0,"",'Dvd Calendar'!$AQ$1641)))</f>
        <v/>
      </c>
      <c r="AP167" s="106">
        <f>IF(FR167="","",IF(ISNUMBER('Dvd Calendar'!$AR$1641)=FALSE,"",IF((('Dvd Calendar'!$AR$1643=TYPE1)*(TYPE1&lt;&gt;"")+('Dvd Calendar'!$AR$1643=TYPE2)*(TYPE2&lt;&gt;"")+('Dvd Calendar'!$AR$1643=TYPE3)*(TYPE3&lt;&gt;"")+('Dvd Calendar'!$AR$1643=TYPE4)*(TYPE4&lt;&gt;"")+('Dvd Calendar'!$AR$1643=SPECIAL_LBL)*(INC_SPECIALS="Y"))=0,"",'Dvd Calendar'!$AR$1641)))</f>
        <v/>
      </c>
      <c r="AQ167" s="106">
        <f>IF(FS167="","",IF(ISNUMBER('Dvd Calendar'!$E$1646)=FALSE,"",'Dvd Calendar'!$E$1646))</f>
        <v/>
      </c>
      <c r="AR167" s="106">
        <f>IF(FT167="","",IF(ISNUMBER('Dvd Calendar'!$F$1646)=FALSE,"",'Dvd Calendar'!$F$1646))</f>
        <v/>
      </c>
      <c r="AS167" s="106">
        <f>IF(FU167="","",IF(ISNUMBER('Dvd Calendar'!$G$1646)=FALSE,"",'Dvd Calendar'!$G$1646))</f>
        <v/>
      </c>
      <c r="AT167" s="106">
        <f>IF(FV167="","",IF(ISNUMBER('Dvd Calendar'!$H$1646)=FALSE,"",'Dvd Calendar'!$H$1646))</f>
        <v/>
      </c>
      <c r="AU167" s="106">
        <f>IF(FW167="","",IF(ISNUMBER('Dvd Calendar'!$I$1646)=FALSE,"",'Dvd Calendar'!$I$1646))</f>
        <v/>
      </c>
      <c r="AV167" s="106">
        <f>IF(FX167="","",IF(ISNUMBER('Dvd Calendar'!$J$1646)=FALSE,"",'Dvd Calendar'!$J$1646))</f>
        <v/>
      </c>
      <c r="AW167" s="106">
        <f>IF(FY167="","",IF(ISNUMBER('Dvd Calendar'!$K$1646)=FALSE,"",'Dvd Calendar'!$K$1646))</f>
        <v/>
      </c>
      <c r="AX167" s="106">
        <f>IF(FZ167="","",IF(ISNUMBER('Dvd Calendar'!$L$1646)=FALSE,"",'Dvd Calendar'!$L$1646))</f>
        <v/>
      </c>
      <c r="AY167" s="106">
        <f>IF(GA167="","",IF(ISNUMBER('Dvd Calendar'!$M$1646)=FALSE,"",'Dvd Calendar'!$M$1646))</f>
        <v/>
      </c>
      <c r="AZ167" s="106">
        <f>IF(GB167="","",IF(ISNUMBER('Dvd Calendar'!$N$1646)=FALSE,"",'Dvd Calendar'!$N$1646))</f>
        <v/>
      </c>
      <c r="BA167" s="106">
        <f>IF(GC167="","",IF(ISNUMBER('Dvd Calendar'!$O$1646)=FALSE,"",'Dvd Calendar'!$O$1646))</f>
        <v/>
      </c>
      <c r="BB167" s="106">
        <f>IF(GD167="","",IF(ISNUMBER('Dvd Calendar'!$P$1646)=FALSE,"",'Dvd Calendar'!$P$1646))</f>
        <v/>
      </c>
      <c r="BC167" s="106">
        <f>IF(GE167="","",IF(ISNUMBER('Dvd Calendar'!$Q$1646)=FALSE,"",'Dvd Calendar'!$Q$1646))</f>
        <v/>
      </c>
      <c r="BD167" s="106">
        <f>IF(GF167="","",IF(ISNUMBER('Dvd Calendar'!$R$1646)=FALSE,"",'Dvd Calendar'!$R$1646))</f>
        <v/>
      </c>
      <c r="BE167" s="106">
        <f>IF(GG167="","",IF(ISNUMBER('Dvd Calendar'!$S$1646)=FALSE,"",'Dvd Calendar'!$S$1646))</f>
        <v/>
      </c>
      <c r="BF167" s="106">
        <f>IF(GH167="","",IF(ISNUMBER('Dvd Calendar'!$T$1646)=FALSE,"",'Dvd Calendar'!$T$1646))</f>
        <v/>
      </c>
      <c r="BG167" s="106">
        <f>IF(GI167="","",IF(ISNUMBER('Dvd Calendar'!$U$1646)=FALSE,"",'Dvd Calendar'!$U$1646))</f>
        <v/>
      </c>
      <c r="BH167" s="106">
        <f>IF(GJ167="","",IF(ISNUMBER('Dvd Calendar'!$V$1646)=FALSE,"",'Dvd Calendar'!$V$1646))</f>
        <v/>
      </c>
      <c r="BI167" s="106">
        <f>IF(GK167="","",IF(ISNUMBER('Dvd Calendar'!$W$1646)=FALSE,"",'Dvd Calendar'!$W$1646))</f>
        <v/>
      </c>
      <c r="BJ167" s="106">
        <f>IF(GL167="","",IF(ISNUMBER('Dvd Calendar'!$X$1646)=FALSE,"",'Dvd Calendar'!$X$1646))</f>
        <v/>
      </c>
      <c r="BK167" s="106">
        <f>IF(GM167="","",IF(ISNUMBER('Dvd Calendar'!$Y$1646)=FALSE,"",'Dvd Calendar'!$Y$1646))</f>
        <v/>
      </c>
      <c r="BL167" s="106">
        <f>IF(GN167="","",IF(ISNUMBER('Dvd Calendar'!$Z$1646)=FALSE,"",'Dvd Calendar'!$Z$1646))</f>
        <v/>
      </c>
      <c r="BM167" s="106">
        <f>IF(GO167="","",IF(ISNUMBER('Dvd Calendar'!$AA$1646)=FALSE,"",'Dvd Calendar'!$AA$1646))</f>
        <v/>
      </c>
      <c r="BN167" s="106">
        <f>IF(GP167="","",IF(ISNUMBER('Dvd Calendar'!$AB$1646)=FALSE,"",'Dvd Calendar'!$AB$1646))</f>
        <v/>
      </c>
      <c r="BO167" s="106">
        <f>IF(GQ167="","",IF(ISNUMBER('Dvd Calendar'!$AC$1646)=FALSE,"",'Dvd Calendar'!$AC$1646))</f>
        <v/>
      </c>
      <c r="BQ167" s="106">
        <f>IF(C167="","",IFERROR(C167*HSCEI!$B$14*HSCEI!$G$14/HSCEI!$B$3,""))</f>
        <v/>
      </c>
      <c r="BR167" s="106">
        <f>IF(D167="","",IFERROR(D167*HSCEI!$B$14*HSCEI!$G$14/HSCEI!$B$3,""))</f>
        <v/>
      </c>
      <c r="BS167" s="106">
        <f>IF(E167="","",IFERROR(E167*HSCEI!$B$14*HSCEI!$G$14/HSCEI!$B$3,""))</f>
        <v/>
      </c>
      <c r="BT167" s="106">
        <f>IF(F167="","",IFERROR(F167*HSCEI!$B$14*HSCEI!$G$14/HSCEI!$B$3,""))</f>
        <v/>
      </c>
      <c r="BU167" s="106">
        <f>IF(G167="","",IFERROR(G167*HSCEI!$B$14*HSCEI!$G$14/HSCEI!$B$3,""))</f>
        <v/>
      </c>
      <c r="BV167" s="106">
        <f>IF(H167="","",IFERROR(H167*HSCEI!$B$14*HSCEI!$G$14/HSCEI!$B$3,""))</f>
        <v/>
      </c>
      <c r="BW167" s="106">
        <f>IF(I167="","",IFERROR(I167*HSCEI!$B$14*HSCEI!$G$14/HSCEI!$B$3,""))</f>
        <v/>
      </c>
      <c r="BX167" s="106">
        <f>IF(J167="","",IFERROR(J167*HSCEI!$B$14*HSCEI!$G$14/HSCEI!$B$3,""))</f>
        <v/>
      </c>
      <c r="BY167" s="106">
        <f>IF(K167="","",IFERROR(K167*HSCEI!$B$14*HSCEI!$G$14/HSCEI!$B$3,""))</f>
        <v/>
      </c>
      <c r="BZ167" s="106">
        <f>IF(L167="","",IFERROR(L167*HSCEI!$B$14*HSCEI!$G$14/HSCEI!$B$3,""))</f>
        <v/>
      </c>
      <c r="CA167" s="106">
        <f>IF(M167="","",IFERROR(M167*HSCEI!$B$14*HSCEI!$G$14/HSCEI!$B$3,""))</f>
        <v/>
      </c>
      <c r="CB167" s="106">
        <f>IF(N167="","",IFERROR(N167*HSCEI!$B$14*HSCEI!$G$14/HSCEI!$B$3,""))</f>
        <v/>
      </c>
      <c r="CC167" s="106">
        <f>IF(O167="","",IFERROR(O167*HSCEI!$B$14*HSCEI!$G$14/HSCEI!$B$3,""))</f>
        <v/>
      </c>
      <c r="CD167" s="106">
        <f>IF(P167="","",IFERROR(P167*HSCEI!$B$14*HSCEI!$G$14/HSCEI!$B$3,""))</f>
        <v/>
      </c>
      <c r="CE167" s="106">
        <f>IF(Q167="","",IFERROR(Q167*HSCEI!$B$14*HSCEI!$G$14/HSCEI!$B$3,""))</f>
        <v/>
      </c>
      <c r="CF167" s="106">
        <f>IF(R167="","",IFERROR(R167*HSCEI!$B$14*HSCEI!$G$14/HSCEI!$B$3,""))</f>
        <v/>
      </c>
      <c r="CG167" s="106">
        <f>IF(S167="","",IFERROR(S167*HSCEI!$B$14*HSCEI!$G$14/HSCEI!$B$3,""))</f>
        <v/>
      </c>
      <c r="CH167" s="106">
        <f>IF(T167="","",IFERROR(T167*HSCEI!$B$14*HSCEI!$G$14/HSCEI!$B$3,""))</f>
        <v/>
      </c>
      <c r="CI167" s="106">
        <f>IF(U167="","",IFERROR(U167*HSCEI!$B$14*HSCEI!$G$14/HSCEI!$B$3,""))</f>
        <v/>
      </c>
      <c r="CJ167" s="106">
        <f>IF(V167="","",IFERROR(V167*HSCEI!$B$14*HSCEI!$G$14/HSCEI!$B$3,""))</f>
        <v/>
      </c>
      <c r="CK167" s="106">
        <f>IF(W167="","",IFERROR(W167*HSCEI!$B$14*HSCEI!$G$14/HSCEI!$B$3,""))</f>
        <v/>
      </c>
      <c r="CL167" s="106">
        <f>IF(X167="","",IFERROR(X167*HSCEI!$B$14*HSCEI!$G$14/HSCEI!$B$3,""))</f>
        <v/>
      </c>
      <c r="CM167" s="106">
        <f>IF(Y167="","",IFERROR(Y167*HSCEI!$B$14*HSCEI!$G$14/HSCEI!$B$3,""))</f>
        <v/>
      </c>
      <c r="CN167" s="106">
        <f>IF(Z167="","",IFERROR(Z167*HSCEI!$B$14*HSCEI!$G$14/HSCEI!$B$3,""))</f>
        <v/>
      </c>
      <c r="CO167" s="106">
        <f>IF(AA167="","",IFERROR(AA167*HSCEI!$B$14*HSCEI!$G$14/HSCEI!$B$3,""))</f>
        <v/>
      </c>
      <c r="CP167" s="106">
        <f>IF(AB167="","",IFERROR(AB167*HSCEI!$B$14*HSCEI!$G$14/HSCEI!$B$3,""))</f>
        <v/>
      </c>
      <c r="CQ167" s="106">
        <f>IF(AC167="","",IFERROR(AC167*HSCEI!$B$14*HSCEI!$G$14/HSCEI!$B$3,""))</f>
        <v/>
      </c>
      <c r="CR167" s="106">
        <f>IF(AD167="","",IFERROR(AD167*HSCEI!$B$14*HSCEI!$G$14/HSCEI!$B$3,""))</f>
        <v/>
      </c>
      <c r="CS167" s="106">
        <f>IF(AE167="","",IFERROR(AE167*HSCEI!$B$14*HSCEI!$G$14/HSCEI!$B$3,""))</f>
        <v/>
      </c>
      <c r="CT167" s="106">
        <f>IF(AF167="","",IFERROR(AF167*HSCEI!$B$14*HSCEI!$G$14/HSCEI!$B$3,""))</f>
        <v/>
      </c>
      <c r="CU167" s="106">
        <f>IF(AG167="","",IFERROR(AG167*HSCEI!$B$14*HSCEI!$G$14/HSCEI!$B$3,""))</f>
        <v/>
      </c>
      <c r="CV167" s="106">
        <f>IF(AH167="","",IFERROR(AH167*HSCEI!$B$14*HSCEI!$G$14/HSCEI!$B$3,""))</f>
        <v/>
      </c>
      <c r="CW167" s="106">
        <f>IF(AI167="","",IFERROR(AI167*HSCEI!$B$14*HSCEI!$G$14/HSCEI!$B$3,""))</f>
        <v/>
      </c>
      <c r="CX167" s="106">
        <f>IF(AJ167="","",IFERROR(AJ167*HSCEI!$B$14*HSCEI!$G$14/HSCEI!$B$3,""))</f>
        <v/>
      </c>
      <c r="CY167" s="106">
        <f>IF(AK167="","",IFERROR(AK167*HSCEI!$B$14*HSCEI!$G$14/HSCEI!$B$3,""))</f>
        <v/>
      </c>
      <c r="CZ167" s="106">
        <f>IF(AL167="","",IFERROR(AL167*HSCEI!$B$14*HSCEI!$G$14/HSCEI!$B$3,""))</f>
        <v/>
      </c>
      <c r="DA167" s="106">
        <f>IF(AM167="","",IFERROR(AM167*HSCEI!$B$14*HSCEI!$G$14/HSCEI!$B$3,""))</f>
        <v/>
      </c>
      <c r="DB167" s="106">
        <f>IF(AN167="","",IFERROR(AN167*HSCEI!$B$14*HSCEI!$G$14/HSCEI!$B$3,""))</f>
        <v/>
      </c>
      <c r="DC167" s="106">
        <f>IF(AO167="","",IFERROR(AO167*HSCEI!$B$14*HSCEI!$G$14/HSCEI!$B$3,""))</f>
        <v/>
      </c>
      <c r="DD167" s="106">
        <f>IF(AP167="","",IFERROR(AP167*HSCEI!$B$14*HSCEI!$G$14/HSCEI!$B$3,""))</f>
        <v/>
      </c>
      <c r="DE167" s="106">
        <f>IF(AQ167="","",IFERROR(AQ167*HSCEI!$B$14*HSCEI!$G$14/HSCEI!$B$3,""))</f>
        <v/>
      </c>
      <c r="DF167" s="106">
        <f>IF(AR167="","",IFERROR(AR167*HSCEI!$B$14*HSCEI!$G$14/HSCEI!$B$3,""))</f>
        <v/>
      </c>
      <c r="DG167" s="106">
        <f>IF(AS167="","",IFERROR(AS167*HSCEI!$B$14*HSCEI!$G$14/HSCEI!$B$3,""))</f>
        <v/>
      </c>
      <c r="DH167" s="106">
        <f>IF(AT167="","",IFERROR(AT167*HSCEI!$B$14*HSCEI!$G$14/HSCEI!$B$3,""))</f>
        <v/>
      </c>
      <c r="DI167" s="106">
        <f>IF(AU167="","",IFERROR(AU167*HSCEI!$B$14*HSCEI!$G$14/HSCEI!$B$3,""))</f>
        <v/>
      </c>
      <c r="DJ167" s="106">
        <f>IF(AV167="","",IFERROR(AV167*HSCEI!$B$14*HSCEI!$G$14/HSCEI!$B$3,""))</f>
        <v/>
      </c>
      <c r="DK167" s="106">
        <f>IF(AW167="","",IFERROR(AW167*HSCEI!$B$14*HSCEI!$G$14/HSCEI!$B$3,""))</f>
        <v/>
      </c>
      <c r="DL167" s="106">
        <f>IF(AX167="","",IFERROR(AX167*HSCEI!$B$14*HSCEI!$G$14/HSCEI!$B$3,""))</f>
        <v/>
      </c>
      <c r="DM167" s="106">
        <f>IF(AY167="","",IFERROR(AY167*HSCEI!$B$14*HSCEI!$G$14/HSCEI!$B$3,""))</f>
        <v/>
      </c>
      <c r="DN167" s="106">
        <f>IF(AZ167="","",IFERROR(AZ167*HSCEI!$B$14*HSCEI!$G$14/HSCEI!$B$3,""))</f>
        <v/>
      </c>
      <c r="DO167" s="106">
        <f>IF(BA167="","",IFERROR(BA167*HSCEI!$B$14*HSCEI!$G$14/HSCEI!$B$3,""))</f>
        <v/>
      </c>
      <c r="DP167" s="106">
        <f>IF(BB167="","",IFERROR(BB167*HSCEI!$B$14*HSCEI!$G$14/HSCEI!$B$3,""))</f>
        <v/>
      </c>
      <c r="DQ167" s="106">
        <f>IF(BC167="","",IFERROR(BC167*HSCEI!$B$14*HSCEI!$G$14/HSCEI!$B$3,""))</f>
        <v/>
      </c>
      <c r="DR167" s="106">
        <f>IF(BD167="","",IFERROR(BD167*HSCEI!$B$14*HSCEI!$G$14/HSCEI!$B$3,""))</f>
        <v/>
      </c>
      <c r="DS167" s="106">
        <f>IF(BE167="","",IFERROR(BE167*HSCEI!$B$14*HSCEI!$G$14/HSCEI!$B$3,""))</f>
        <v/>
      </c>
      <c r="DT167" s="106">
        <f>IF(BF167="","",IFERROR(BF167*HSCEI!$B$14*HSCEI!$G$14/HSCEI!$B$3,""))</f>
        <v/>
      </c>
      <c r="DU167" s="106">
        <f>IF(BG167="","",IFERROR(BG167*HSCEI!$B$14*HSCEI!$G$14/HSCEI!$B$3,""))</f>
        <v/>
      </c>
      <c r="DV167" s="106">
        <f>IF(BH167="","",IFERROR(BH167*HSCEI!$B$14*HSCEI!$G$14/HSCEI!$B$3,""))</f>
        <v/>
      </c>
      <c r="DW167" s="106">
        <f>IF(BI167="","",IFERROR(BI167*HSCEI!$B$14*HSCEI!$G$14/HSCEI!$B$3,""))</f>
        <v/>
      </c>
      <c r="DX167" s="106">
        <f>IF(BJ167="","",IFERROR(BJ167*HSCEI!$B$14*HSCEI!$G$14/HSCEI!$B$3,""))</f>
        <v/>
      </c>
      <c r="DY167" s="106">
        <f>IF(BK167="","",IFERROR(BK167*HSCEI!$B$14*HSCEI!$G$14/HSCEI!$B$3,""))</f>
        <v/>
      </c>
      <c r="DZ167" s="106">
        <f>IF(BL167="","",IFERROR(BL167*HSCEI!$B$14*HSCEI!$G$14/HSCEI!$B$3,""))</f>
        <v/>
      </c>
      <c r="EA167" s="106">
        <f>IF(BM167="","",IFERROR(BM167*HSCEI!$B$14*HSCEI!$G$14/HSCEI!$B$3,""))</f>
        <v/>
      </c>
      <c r="EB167" s="106">
        <f>IF(BN167="","",IFERROR(BN167*HSCEI!$B$14*HSCEI!$G$14/HSCEI!$B$3,""))</f>
        <v/>
      </c>
      <c r="EC167" s="106">
        <f>IF(BO167="","",IFERROR(BO167*HSCEI!$B$14*HSCEI!$G$14/HSCEI!$B$3,""))</f>
        <v/>
      </c>
      <c r="EE167" s="35">
        <f>IF(N('Dvd Calendar'!$E$1638)=0,"",IF(('Dvd Calendar'!$E$1638&gt;=GRID_FROM)*('Dvd Calendar'!$E$1638&lt;=GRID_TO)*('Dvd Calendar'!$E$1638&lt;=VAL_DATE)=0,"",'Dvd Calendar'!$E$1638*1000000000+ISNUMBER('Dvd Calendar'!$E$1641)*100000000+('Dvd Calendar'!$E$1643=SPECIAL_LBL)*10000000+0*1000000+8*1000+1))</f>
        <v/>
      </c>
      <c r="EF167" s="35">
        <f>IF(N('Dvd Calendar'!$F$1638)=0,"",IF(('Dvd Calendar'!$F$1638&gt;=GRID_FROM)*('Dvd Calendar'!$F$1638&lt;=GRID_TO)*('Dvd Calendar'!$F$1638&lt;=VAL_DATE)=0,"",'Dvd Calendar'!$F$1638*1000000000+ISNUMBER('Dvd Calendar'!$F$1641)*100000000+('Dvd Calendar'!$F$1643=SPECIAL_LBL)*10000000+0*1000000+8*1000+2))</f>
        <v/>
      </c>
      <c r="EG167" s="35">
        <f>IF(N('Dvd Calendar'!$G$1638)=0,"",IF(('Dvd Calendar'!$G$1638&gt;=GRID_FROM)*('Dvd Calendar'!$G$1638&lt;=GRID_TO)*('Dvd Calendar'!$G$1638&lt;=VAL_DATE)=0,"",'Dvd Calendar'!$G$1638*1000000000+ISNUMBER('Dvd Calendar'!$G$1641)*100000000+('Dvd Calendar'!$G$1643=SPECIAL_LBL)*10000000+0*1000000+8*1000+3))</f>
        <v/>
      </c>
      <c r="EH167" s="35">
        <f>IF(N('Dvd Calendar'!$H$1638)=0,"",IF(('Dvd Calendar'!$H$1638&gt;=GRID_FROM)*('Dvd Calendar'!$H$1638&lt;=GRID_TO)*('Dvd Calendar'!$H$1638&lt;=VAL_DATE)=0,"",'Dvd Calendar'!$H$1638*1000000000+ISNUMBER('Dvd Calendar'!$H$1641)*100000000+('Dvd Calendar'!$H$1643=SPECIAL_LBL)*10000000+0*1000000+8*1000+4))</f>
        <v/>
      </c>
      <c r="EI167" s="35">
        <f>IF(N('Dvd Calendar'!$I$1638)=0,"",IF(('Dvd Calendar'!$I$1638&gt;=GRID_FROM)*('Dvd Calendar'!$I$1638&lt;=GRID_TO)*('Dvd Calendar'!$I$1638&lt;=VAL_DATE)=0,"",'Dvd Calendar'!$I$1638*1000000000+ISNUMBER('Dvd Calendar'!$I$1641)*100000000+('Dvd Calendar'!$I$1643=SPECIAL_LBL)*10000000+0*1000000+8*1000+5))</f>
        <v/>
      </c>
      <c r="EJ167" s="35">
        <f>IF(N('Dvd Calendar'!$J$1638)=0,"",IF(('Dvd Calendar'!$J$1638&gt;=GRID_FROM)*('Dvd Calendar'!$J$1638&lt;=GRID_TO)*('Dvd Calendar'!$J$1638&lt;=VAL_DATE)=0,"",'Dvd Calendar'!$J$1638*1000000000+ISNUMBER('Dvd Calendar'!$J$1641)*100000000+('Dvd Calendar'!$J$1643=SPECIAL_LBL)*10000000+0*1000000+8*1000+6))</f>
        <v/>
      </c>
      <c r="EK167" s="35">
        <f>IF(N('Dvd Calendar'!$K$1638)=0,"",IF(('Dvd Calendar'!$K$1638&gt;=GRID_FROM)*('Dvd Calendar'!$K$1638&lt;=GRID_TO)*('Dvd Calendar'!$K$1638&lt;=VAL_DATE)=0,"",'Dvd Calendar'!$K$1638*1000000000+ISNUMBER('Dvd Calendar'!$K$1641)*100000000+('Dvd Calendar'!$K$1643=SPECIAL_LBL)*10000000+0*1000000+8*1000+7))</f>
        <v/>
      </c>
      <c r="EL167" s="35">
        <f>IF(N('Dvd Calendar'!$L$1638)=0,"",IF(('Dvd Calendar'!$L$1638&gt;=GRID_FROM)*('Dvd Calendar'!$L$1638&lt;=GRID_TO)*('Dvd Calendar'!$L$1638&lt;=VAL_DATE)=0,"",'Dvd Calendar'!$L$1638*1000000000+ISNUMBER('Dvd Calendar'!$L$1641)*100000000+('Dvd Calendar'!$L$1643=SPECIAL_LBL)*10000000+0*1000000+8*1000+8))</f>
        <v/>
      </c>
      <c r="EM167" s="35">
        <f>IF(N('Dvd Calendar'!$M$1638)=0,"",IF(('Dvd Calendar'!$M$1638&gt;=GRID_FROM)*('Dvd Calendar'!$M$1638&lt;=GRID_TO)*('Dvd Calendar'!$M$1638&lt;=VAL_DATE)=0,"",'Dvd Calendar'!$M$1638*1000000000+ISNUMBER('Dvd Calendar'!$M$1641)*100000000+('Dvd Calendar'!$M$1643=SPECIAL_LBL)*10000000+0*1000000+8*1000+9))</f>
        <v/>
      </c>
      <c r="EN167" s="35">
        <f>IF(N('Dvd Calendar'!$N$1638)=0,"",IF(('Dvd Calendar'!$N$1638&gt;=GRID_FROM)*('Dvd Calendar'!$N$1638&lt;=GRID_TO)*('Dvd Calendar'!$N$1638&lt;=VAL_DATE)=0,"",'Dvd Calendar'!$N$1638*1000000000+ISNUMBER('Dvd Calendar'!$N$1641)*100000000+('Dvd Calendar'!$N$1643=SPECIAL_LBL)*10000000+0*1000000+8*1000+10))</f>
        <v/>
      </c>
      <c r="EO167" s="35">
        <f>IF(N('Dvd Calendar'!$O$1638)=0,"",IF(('Dvd Calendar'!$O$1638&gt;=GRID_FROM)*('Dvd Calendar'!$O$1638&lt;=GRID_TO)*('Dvd Calendar'!$O$1638&lt;=VAL_DATE)=0,"",'Dvd Calendar'!$O$1638*1000000000+ISNUMBER('Dvd Calendar'!$O$1641)*100000000+('Dvd Calendar'!$O$1643=SPECIAL_LBL)*10000000+0*1000000+8*1000+11))</f>
        <v/>
      </c>
      <c r="EP167" s="35">
        <f>IF(N('Dvd Calendar'!$P$1638)=0,"",IF(('Dvd Calendar'!$P$1638&gt;=GRID_FROM)*('Dvd Calendar'!$P$1638&lt;=GRID_TO)*('Dvd Calendar'!$P$1638&lt;=VAL_DATE)=0,"",'Dvd Calendar'!$P$1638*1000000000+ISNUMBER('Dvd Calendar'!$P$1641)*100000000+('Dvd Calendar'!$P$1643=SPECIAL_LBL)*10000000+0*1000000+8*1000+12))</f>
        <v/>
      </c>
      <c r="EQ167" s="35">
        <f>IF(N('Dvd Calendar'!$Q$1638)=0,"",IF(('Dvd Calendar'!$Q$1638&gt;=GRID_FROM)*('Dvd Calendar'!$Q$1638&lt;=GRID_TO)*('Dvd Calendar'!$Q$1638&lt;=VAL_DATE)=0,"",'Dvd Calendar'!$Q$1638*1000000000+ISNUMBER('Dvd Calendar'!$Q$1641)*100000000+('Dvd Calendar'!$Q$1643=SPECIAL_LBL)*10000000+0*1000000+8*1000+13))</f>
        <v/>
      </c>
      <c r="ER167" s="35">
        <f>IF(N('Dvd Calendar'!$R$1638)=0,"",IF(('Dvd Calendar'!$R$1638&gt;=GRID_FROM)*('Dvd Calendar'!$R$1638&lt;=GRID_TO)*('Dvd Calendar'!$R$1638&lt;=VAL_DATE)=0,"",'Dvd Calendar'!$R$1638*1000000000+ISNUMBER('Dvd Calendar'!$R$1641)*100000000+('Dvd Calendar'!$R$1643=SPECIAL_LBL)*10000000+0*1000000+8*1000+14))</f>
        <v/>
      </c>
      <c r="ES167" s="35">
        <f>IF(N('Dvd Calendar'!$S$1638)=0,"",IF(('Dvd Calendar'!$S$1638&gt;=GRID_FROM)*('Dvd Calendar'!$S$1638&lt;=GRID_TO)*('Dvd Calendar'!$S$1638&lt;=VAL_DATE)=0,"",'Dvd Calendar'!$S$1638*1000000000+ISNUMBER('Dvd Calendar'!$S$1641)*100000000+('Dvd Calendar'!$S$1643=SPECIAL_LBL)*10000000+0*1000000+8*1000+15))</f>
        <v/>
      </c>
      <c r="ET167" s="35">
        <f>IF(N('Dvd Calendar'!$T$1638)=0,"",IF(('Dvd Calendar'!$T$1638&gt;=GRID_FROM)*('Dvd Calendar'!$T$1638&lt;=GRID_TO)*('Dvd Calendar'!$T$1638&lt;=VAL_DATE)=0,"",'Dvd Calendar'!$T$1638*1000000000+ISNUMBER('Dvd Calendar'!$T$1641)*100000000+('Dvd Calendar'!$T$1643=SPECIAL_LBL)*10000000+0*1000000+8*1000+16))</f>
        <v/>
      </c>
      <c r="EU167" s="35">
        <f>IF(N('Dvd Calendar'!$U$1638)=0,"",IF(('Dvd Calendar'!$U$1638&gt;=GRID_FROM)*('Dvd Calendar'!$U$1638&lt;=GRID_TO)*('Dvd Calendar'!$U$1638&lt;=VAL_DATE)=0,"",'Dvd Calendar'!$U$1638*1000000000+ISNUMBER('Dvd Calendar'!$U$1641)*100000000+('Dvd Calendar'!$U$1643=SPECIAL_LBL)*10000000+0*1000000+8*1000+17))</f>
        <v/>
      </c>
      <c r="EV167" s="35">
        <f>IF(N('Dvd Calendar'!$V$1638)=0,"",IF(('Dvd Calendar'!$V$1638&gt;=GRID_FROM)*('Dvd Calendar'!$V$1638&lt;=GRID_TO)*('Dvd Calendar'!$V$1638&lt;=VAL_DATE)=0,"",'Dvd Calendar'!$V$1638*1000000000+ISNUMBER('Dvd Calendar'!$V$1641)*100000000+('Dvd Calendar'!$V$1643=SPECIAL_LBL)*10000000+0*1000000+8*1000+18))</f>
        <v/>
      </c>
      <c r="EW167" s="35">
        <f>IF(N('Dvd Calendar'!$W$1638)=0,"",IF(('Dvd Calendar'!$W$1638&gt;=GRID_FROM)*('Dvd Calendar'!$W$1638&lt;=GRID_TO)*('Dvd Calendar'!$W$1638&lt;=VAL_DATE)=0,"",'Dvd Calendar'!$W$1638*1000000000+ISNUMBER('Dvd Calendar'!$W$1641)*100000000+('Dvd Calendar'!$W$1643=SPECIAL_LBL)*10000000+0*1000000+8*1000+19))</f>
        <v/>
      </c>
      <c r="EX167" s="35">
        <f>IF(N('Dvd Calendar'!$X$1638)=0,"",IF(('Dvd Calendar'!$X$1638&gt;=GRID_FROM)*('Dvd Calendar'!$X$1638&lt;=GRID_TO)*('Dvd Calendar'!$X$1638&lt;=VAL_DATE)=0,"",'Dvd Calendar'!$X$1638*1000000000+ISNUMBER('Dvd Calendar'!$X$1641)*100000000+('Dvd Calendar'!$X$1643=SPECIAL_LBL)*10000000+0*1000000+8*1000+20))</f>
        <v/>
      </c>
      <c r="EY167" s="35">
        <f>IF(N('Dvd Calendar'!$Y$1638)=0,"",IF(('Dvd Calendar'!$Y$1638&gt;=GRID_FROM)*('Dvd Calendar'!$Y$1638&lt;=GRID_TO)*('Dvd Calendar'!$Y$1638&lt;=VAL_DATE)=0,"",'Dvd Calendar'!$Y$1638*1000000000+ISNUMBER('Dvd Calendar'!$Y$1641)*100000000+('Dvd Calendar'!$Y$1643=SPECIAL_LBL)*10000000+0*1000000+8*1000+21))</f>
        <v/>
      </c>
      <c r="EZ167" s="35">
        <f>IF(N('Dvd Calendar'!$Z$1638)=0,"",IF(('Dvd Calendar'!$Z$1638&gt;=GRID_FROM)*('Dvd Calendar'!$Z$1638&lt;=GRID_TO)*('Dvd Calendar'!$Z$1638&lt;=VAL_DATE)=0,"",'Dvd Calendar'!$Z$1638*1000000000+ISNUMBER('Dvd Calendar'!$Z$1641)*100000000+('Dvd Calendar'!$Z$1643=SPECIAL_LBL)*10000000+0*1000000+8*1000+22))</f>
        <v/>
      </c>
      <c r="FA167" s="35">
        <f>IF(N('Dvd Calendar'!$AA$1638)=0,"",IF(('Dvd Calendar'!$AA$1638&gt;=GRID_FROM)*('Dvd Calendar'!$AA$1638&lt;=GRID_TO)*('Dvd Calendar'!$AA$1638&lt;=VAL_DATE)=0,"",'Dvd Calendar'!$AA$1638*1000000000+ISNUMBER('Dvd Calendar'!$AA$1641)*100000000+('Dvd Calendar'!$AA$1643=SPECIAL_LBL)*10000000+0*1000000+8*1000+23))</f>
        <v/>
      </c>
      <c r="FB167" s="35">
        <f>IF(N('Dvd Calendar'!$AB$1638)=0,"",IF(('Dvd Calendar'!$AB$1638&gt;=GRID_FROM)*('Dvd Calendar'!$AB$1638&lt;=GRID_TO)*('Dvd Calendar'!$AB$1638&lt;=VAL_DATE)=0,"",'Dvd Calendar'!$AB$1638*1000000000+ISNUMBER('Dvd Calendar'!$AB$1641)*100000000+('Dvd Calendar'!$AB$1643=SPECIAL_LBL)*10000000+0*1000000+8*1000+24))</f>
        <v/>
      </c>
      <c r="FC167" s="35">
        <f>IF(N('Dvd Calendar'!$AC$1638)=0,"",IF(('Dvd Calendar'!$AC$1638&gt;=GRID_FROM)*('Dvd Calendar'!$AC$1638&lt;=GRID_TO)*('Dvd Calendar'!$AC$1638&lt;=VAL_DATE)=0,"",'Dvd Calendar'!$AC$1638*1000000000+ISNUMBER('Dvd Calendar'!$AC$1641)*100000000+('Dvd Calendar'!$AC$1643=SPECIAL_LBL)*10000000+0*1000000+8*1000+25))</f>
        <v/>
      </c>
      <c r="FD167" s="35">
        <f>IF(N('Dvd Calendar'!$AD$1638)=0,"",IF(('Dvd Calendar'!$AD$1638&gt;=GRID_FROM)*('Dvd Calendar'!$AD$1638&lt;=GRID_TO)*('Dvd Calendar'!$AD$1638&lt;=VAL_DATE)=0,"",'Dvd Calendar'!$AD$1638*1000000000+ISNUMBER('Dvd Calendar'!$AD$1641)*100000000+('Dvd Calendar'!$AD$1643=SPECIAL_LBL)*10000000+0*1000000+8*1000+26))</f>
        <v/>
      </c>
      <c r="FE167" s="35">
        <f>IF(N('Dvd Calendar'!$AE$1638)=0,"",IF(('Dvd Calendar'!$AE$1638&gt;=GRID_FROM)*('Dvd Calendar'!$AE$1638&lt;=GRID_TO)*('Dvd Calendar'!$AE$1638&lt;=VAL_DATE)=0,"",'Dvd Calendar'!$AE$1638*1000000000+ISNUMBER('Dvd Calendar'!$AE$1641)*100000000+('Dvd Calendar'!$AE$1643=SPECIAL_LBL)*10000000+0*1000000+8*1000+27))</f>
        <v/>
      </c>
      <c r="FF167" s="35">
        <f>IF(N('Dvd Calendar'!$AF$1638)=0,"",IF(('Dvd Calendar'!$AF$1638&gt;=GRID_FROM)*('Dvd Calendar'!$AF$1638&lt;=GRID_TO)*('Dvd Calendar'!$AF$1638&lt;=VAL_DATE)=0,"",'Dvd Calendar'!$AF$1638*1000000000+ISNUMBER('Dvd Calendar'!$AF$1641)*100000000+('Dvd Calendar'!$AF$1643=SPECIAL_LBL)*10000000+0*1000000+8*1000+28))</f>
        <v/>
      </c>
      <c r="FG167" s="35">
        <f>IF(N('Dvd Calendar'!$AG$1638)=0,"",IF(('Dvd Calendar'!$AG$1638&gt;=GRID_FROM)*('Dvd Calendar'!$AG$1638&lt;=GRID_TO)*('Dvd Calendar'!$AG$1638&lt;=VAL_DATE)=0,"",'Dvd Calendar'!$AG$1638*1000000000+ISNUMBER('Dvd Calendar'!$AG$1641)*100000000+('Dvd Calendar'!$AG$1643=SPECIAL_LBL)*10000000+0*1000000+8*1000+29))</f>
        <v/>
      </c>
      <c r="FH167" s="35">
        <f>IF(N('Dvd Calendar'!$AH$1638)=0,"",IF(('Dvd Calendar'!$AH$1638&gt;=GRID_FROM)*('Dvd Calendar'!$AH$1638&lt;=GRID_TO)*('Dvd Calendar'!$AH$1638&lt;=VAL_DATE)=0,"",'Dvd Calendar'!$AH$1638*1000000000+ISNUMBER('Dvd Calendar'!$AH$1641)*100000000+('Dvd Calendar'!$AH$1643=SPECIAL_LBL)*10000000+0*1000000+8*1000+30))</f>
        <v/>
      </c>
      <c r="FI167" s="35">
        <f>IF(N('Dvd Calendar'!$AI$1638)=0,"",IF(('Dvd Calendar'!$AI$1638&gt;=GRID_FROM)*('Dvd Calendar'!$AI$1638&lt;=GRID_TO)*('Dvd Calendar'!$AI$1638&lt;=VAL_DATE)=0,"",'Dvd Calendar'!$AI$1638*1000000000+ISNUMBER('Dvd Calendar'!$AI$1641)*100000000+('Dvd Calendar'!$AI$1643=SPECIAL_LBL)*10000000+0*1000000+8*1000+31))</f>
        <v/>
      </c>
      <c r="FJ167" s="35">
        <f>IF(N('Dvd Calendar'!$AJ$1638)=0,"",IF(('Dvd Calendar'!$AJ$1638&gt;=GRID_FROM)*('Dvd Calendar'!$AJ$1638&lt;=GRID_TO)*('Dvd Calendar'!$AJ$1638&lt;=VAL_DATE)=0,"",'Dvd Calendar'!$AJ$1638*1000000000+ISNUMBER('Dvd Calendar'!$AJ$1641)*100000000+('Dvd Calendar'!$AJ$1643=SPECIAL_LBL)*10000000+0*1000000+8*1000+32))</f>
        <v/>
      </c>
      <c r="FK167" s="35">
        <f>IF(N('Dvd Calendar'!$AK$1638)=0,"",IF(('Dvd Calendar'!$AK$1638&gt;=GRID_FROM)*('Dvd Calendar'!$AK$1638&lt;=GRID_TO)*('Dvd Calendar'!$AK$1638&lt;=VAL_DATE)=0,"",'Dvd Calendar'!$AK$1638*1000000000+ISNUMBER('Dvd Calendar'!$AK$1641)*100000000+('Dvd Calendar'!$AK$1643=SPECIAL_LBL)*10000000+0*1000000+8*1000+33))</f>
        <v/>
      </c>
      <c r="FL167" s="35">
        <f>IF(N('Dvd Calendar'!$AL$1638)=0,"",IF(('Dvd Calendar'!$AL$1638&gt;=GRID_FROM)*('Dvd Calendar'!$AL$1638&lt;=GRID_TO)*('Dvd Calendar'!$AL$1638&lt;=VAL_DATE)=0,"",'Dvd Calendar'!$AL$1638*1000000000+ISNUMBER('Dvd Calendar'!$AL$1641)*100000000+('Dvd Calendar'!$AL$1643=SPECIAL_LBL)*10000000+0*1000000+8*1000+34))</f>
        <v/>
      </c>
      <c r="FM167" s="35">
        <f>IF(N('Dvd Calendar'!$AM$1638)=0,"",IF(('Dvd Calendar'!$AM$1638&gt;=GRID_FROM)*('Dvd Calendar'!$AM$1638&lt;=GRID_TO)*('Dvd Calendar'!$AM$1638&lt;=VAL_DATE)=0,"",'Dvd Calendar'!$AM$1638*1000000000+ISNUMBER('Dvd Calendar'!$AM$1641)*100000000+('Dvd Calendar'!$AM$1643=SPECIAL_LBL)*10000000+0*1000000+8*1000+35))</f>
        <v/>
      </c>
      <c r="FN167" s="35">
        <f>IF(N('Dvd Calendar'!$AN$1638)=0,"",IF(('Dvd Calendar'!$AN$1638&gt;=GRID_FROM)*('Dvd Calendar'!$AN$1638&lt;=GRID_TO)*('Dvd Calendar'!$AN$1638&lt;=VAL_DATE)=0,"",'Dvd Calendar'!$AN$1638*1000000000+ISNUMBER('Dvd Calendar'!$AN$1641)*100000000+('Dvd Calendar'!$AN$1643=SPECIAL_LBL)*10000000+0*1000000+8*1000+36))</f>
        <v/>
      </c>
      <c r="FO167" s="35">
        <f>IF(N('Dvd Calendar'!$AO$1638)=0,"",IF(('Dvd Calendar'!$AO$1638&gt;=GRID_FROM)*('Dvd Calendar'!$AO$1638&lt;=GRID_TO)*('Dvd Calendar'!$AO$1638&lt;=VAL_DATE)=0,"",'Dvd Calendar'!$AO$1638*1000000000+ISNUMBER('Dvd Calendar'!$AO$1641)*100000000+('Dvd Calendar'!$AO$1643=SPECIAL_LBL)*10000000+0*1000000+8*1000+37))</f>
        <v/>
      </c>
      <c r="FP167" s="35">
        <f>IF(N('Dvd Calendar'!$AP$1638)=0,"",IF(('Dvd Calendar'!$AP$1638&gt;=GRID_FROM)*('Dvd Calendar'!$AP$1638&lt;=GRID_TO)*('Dvd Calendar'!$AP$1638&lt;=VAL_DATE)=0,"",'Dvd Calendar'!$AP$1638*1000000000+ISNUMBER('Dvd Calendar'!$AP$1641)*100000000+('Dvd Calendar'!$AP$1643=SPECIAL_LBL)*10000000+0*1000000+8*1000+38))</f>
        <v/>
      </c>
      <c r="FQ167" s="35">
        <f>IF(N('Dvd Calendar'!$AQ$1638)=0,"",IF(('Dvd Calendar'!$AQ$1638&gt;=GRID_FROM)*('Dvd Calendar'!$AQ$1638&lt;=GRID_TO)*('Dvd Calendar'!$AQ$1638&lt;=VAL_DATE)=0,"",'Dvd Calendar'!$AQ$1638*1000000000+ISNUMBER('Dvd Calendar'!$AQ$1641)*100000000+('Dvd Calendar'!$AQ$1643=SPECIAL_LBL)*10000000+0*1000000+8*1000+39))</f>
        <v/>
      </c>
      <c r="FR167" s="35">
        <f>IF(N('Dvd Calendar'!$AR$1638)=0,"",IF(('Dvd Calendar'!$AR$1638&gt;=GRID_FROM)*('Dvd Calendar'!$AR$1638&lt;=GRID_TO)*('Dvd Calendar'!$AR$1638&lt;=VAL_DATE)=0,"",'Dvd Calendar'!$AR$1638*1000000000+ISNUMBER('Dvd Calendar'!$AR$1641)*100000000+('Dvd Calendar'!$AR$1643=SPECIAL_LBL)*10000000+0*1000000+8*1000+40))</f>
        <v/>
      </c>
      <c r="FS167" s="35">
        <f>IF(N('Dvd Calendar'!$E$1645)=0,"",IF(('Dvd Calendar'!$E$1645&gt;=GRID_FROM)*('Dvd Calendar'!$E$1645&lt;=GRID_TO)*('Dvd Calendar'!$E$1645&gt;VAL_DATE)=0,"",'Dvd Calendar'!$E$1645*1000000000+ISNUMBER('Dvd Calendar'!$E$1646)*100000000+0*10000000+(N('Dvd Calendar'!$E$1644)&gt;0)*(N('Dvd Calendar'!$E$1644)&lt;=VAL_SERIAL)*1000000+8*1000+41))</f>
        <v/>
      </c>
      <c r="FT167" s="35">
        <f>IF(N('Dvd Calendar'!$F$1645)=0,"",IF(('Dvd Calendar'!$F$1645&gt;=GRID_FROM)*('Dvd Calendar'!$F$1645&lt;=GRID_TO)*('Dvd Calendar'!$F$1645&gt;VAL_DATE)=0,"",'Dvd Calendar'!$F$1645*1000000000+ISNUMBER('Dvd Calendar'!$F$1646)*100000000+0*10000000+(N('Dvd Calendar'!$F$1644)&gt;0)*(N('Dvd Calendar'!$F$1644)&lt;=VAL_SERIAL)*1000000+8*1000+42))</f>
        <v/>
      </c>
      <c r="FU167" s="35">
        <f>IF(N('Dvd Calendar'!$G$1645)=0,"",IF(('Dvd Calendar'!$G$1645&gt;=GRID_FROM)*('Dvd Calendar'!$G$1645&lt;=GRID_TO)*('Dvd Calendar'!$G$1645&gt;VAL_DATE)=0,"",'Dvd Calendar'!$G$1645*1000000000+ISNUMBER('Dvd Calendar'!$G$1646)*100000000+0*10000000+(N('Dvd Calendar'!$G$1644)&gt;0)*(N('Dvd Calendar'!$G$1644)&lt;=VAL_SERIAL)*1000000+8*1000+43))</f>
        <v/>
      </c>
      <c r="FV167" s="35">
        <f>IF(N('Dvd Calendar'!$H$1645)=0,"",IF(('Dvd Calendar'!$H$1645&gt;=GRID_FROM)*('Dvd Calendar'!$H$1645&lt;=GRID_TO)*('Dvd Calendar'!$H$1645&gt;VAL_DATE)=0,"",'Dvd Calendar'!$H$1645*1000000000+ISNUMBER('Dvd Calendar'!$H$1646)*100000000+0*10000000+(N('Dvd Calendar'!$H$1644)&gt;0)*(N('Dvd Calendar'!$H$1644)&lt;=VAL_SERIAL)*1000000+8*1000+44))</f>
        <v/>
      </c>
      <c r="FW167" s="35">
        <f>IF(N('Dvd Calendar'!$I$1645)=0,"",IF(('Dvd Calendar'!$I$1645&gt;=GRID_FROM)*('Dvd Calendar'!$I$1645&lt;=GRID_TO)*('Dvd Calendar'!$I$1645&gt;VAL_DATE)=0,"",'Dvd Calendar'!$I$1645*1000000000+ISNUMBER('Dvd Calendar'!$I$1646)*100000000+0*10000000+(N('Dvd Calendar'!$I$1644)&gt;0)*(N('Dvd Calendar'!$I$1644)&lt;=VAL_SERIAL)*1000000+8*1000+45))</f>
        <v/>
      </c>
      <c r="FX167" s="35">
        <f>IF(N('Dvd Calendar'!$J$1645)=0,"",IF(('Dvd Calendar'!$J$1645&gt;=GRID_FROM)*('Dvd Calendar'!$J$1645&lt;=GRID_TO)*('Dvd Calendar'!$J$1645&gt;VAL_DATE)=0,"",'Dvd Calendar'!$J$1645*1000000000+ISNUMBER('Dvd Calendar'!$J$1646)*100000000+0*10000000+(N('Dvd Calendar'!$J$1644)&gt;0)*(N('Dvd Calendar'!$J$1644)&lt;=VAL_SERIAL)*1000000+8*1000+46))</f>
        <v/>
      </c>
      <c r="FY167" s="35">
        <f>IF(N('Dvd Calendar'!$K$1645)=0,"",IF(('Dvd Calendar'!$K$1645&gt;=GRID_FROM)*('Dvd Calendar'!$K$1645&lt;=GRID_TO)*('Dvd Calendar'!$K$1645&gt;VAL_DATE)=0,"",'Dvd Calendar'!$K$1645*1000000000+ISNUMBER('Dvd Calendar'!$K$1646)*100000000+0*10000000+(N('Dvd Calendar'!$K$1644)&gt;0)*(N('Dvd Calendar'!$K$1644)&lt;=VAL_SERIAL)*1000000+8*1000+47))</f>
        <v/>
      </c>
      <c r="FZ167" s="35">
        <f>IF(N('Dvd Calendar'!$L$1645)=0,"",IF(('Dvd Calendar'!$L$1645&gt;=GRID_FROM)*('Dvd Calendar'!$L$1645&lt;=GRID_TO)*('Dvd Calendar'!$L$1645&gt;VAL_DATE)=0,"",'Dvd Calendar'!$L$1645*1000000000+ISNUMBER('Dvd Calendar'!$L$1646)*100000000+0*10000000+(N('Dvd Calendar'!$L$1644)&gt;0)*(N('Dvd Calendar'!$L$1644)&lt;=VAL_SERIAL)*1000000+8*1000+48))</f>
        <v/>
      </c>
      <c r="GA167" s="35">
        <f>IF(N('Dvd Calendar'!$M$1645)=0,"",IF(('Dvd Calendar'!$M$1645&gt;=GRID_FROM)*('Dvd Calendar'!$M$1645&lt;=GRID_TO)*('Dvd Calendar'!$M$1645&gt;VAL_DATE)=0,"",'Dvd Calendar'!$M$1645*1000000000+ISNUMBER('Dvd Calendar'!$M$1646)*100000000+0*10000000+(N('Dvd Calendar'!$M$1644)&gt;0)*(N('Dvd Calendar'!$M$1644)&lt;=VAL_SERIAL)*1000000+8*1000+49))</f>
        <v/>
      </c>
      <c r="GB167" s="35">
        <f>IF(N('Dvd Calendar'!$N$1645)=0,"",IF(('Dvd Calendar'!$N$1645&gt;=GRID_FROM)*('Dvd Calendar'!$N$1645&lt;=GRID_TO)*('Dvd Calendar'!$N$1645&gt;VAL_DATE)=0,"",'Dvd Calendar'!$N$1645*1000000000+ISNUMBER('Dvd Calendar'!$N$1646)*100000000+0*10000000+(N('Dvd Calendar'!$N$1644)&gt;0)*(N('Dvd Calendar'!$N$1644)&lt;=VAL_SERIAL)*1000000+8*1000+50))</f>
        <v/>
      </c>
      <c r="GC167" s="35">
        <f>IF(N('Dvd Calendar'!$O$1645)=0,"",IF(('Dvd Calendar'!$O$1645&gt;=GRID_FROM)*('Dvd Calendar'!$O$1645&lt;=GRID_TO)*('Dvd Calendar'!$O$1645&gt;VAL_DATE)=0,"",'Dvd Calendar'!$O$1645*1000000000+ISNUMBER('Dvd Calendar'!$O$1646)*100000000+0*10000000+(N('Dvd Calendar'!$O$1644)&gt;0)*(N('Dvd Calendar'!$O$1644)&lt;=VAL_SERIAL)*1000000+8*1000+51))</f>
        <v/>
      </c>
      <c r="GD167" s="35">
        <f>IF(N('Dvd Calendar'!$P$1645)=0,"",IF(('Dvd Calendar'!$P$1645&gt;=GRID_FROM)*('Dvd Calendar'!$P$1645&lt;=GRID_TO)*('Dvd Calendar'!$P$1645&gt;VAL_DATE)=0,"",'Dvd Calendar'!$P$1645*1000000000+ISNUMBER('Dvd Calendar'!$P$1646)*100000000+0*10000000+(N('Dvd Calendar'!$P$1644)&gt;0)*(N('Dvd Calendar'!$P$1644)&lt;=VAL_SERIAL)*1000000+8*1000+52))</f>
        <v/>
      </c>
      <c r="GE167" s="35">
        <f>IF(N('Dvd Calendar'!$Q$1645)=0,"",IF(('Dvd Calendar'!$Q$1645&gt;=GRID_FROM)*('Dvd Calendar'!$Q$1645&lt;=GRID_TO)*('Dvd Calendar'!$Q$1645&gt;VAL_DATE)=0,"",'Dvd Calendar'!$Q$1645*1000000000+ISNUMBER('Dvd Calendar'!$Q$1646)*100000000+0*10000000+(N('Dvd Calendar'!$Q$1644)&gt;0)*(N('Dvd Calendar'!$Q$1644)&lt;=VAL_SERIAL)*1000000+8*1000+53))</f>
        <v/>
      </c>
      <c r="GF167" s="35">
        <f>IF(N('Dvd Calendar'!$R$1645)=0,"",IF(('Dvd Calendar'!$R$1645&gt;=GRID_FROM)*('Dvd Calendar'!$R$1645&lt;=GRID_TO)*('Dvd Calendar'!$R$1645&gt;VAL_DATE)=0,"",'Dvd Calendar'!$R$1645*1000000000+ISNUMBER('Dvd Calendar'!$R$1646)*100000000+0*10000000+(N('Dvd Calendar'!$R$1644)&gt;0)*(N('Dvd Calendar'!$R$1644)&lt;=VAL_SERIAL)*1000000+8*1000+54))</f>
        <v/>
      </c>
      <c r="GG167" s="35">
        <f>IF(N('Dvd Calendar'!$S$1645)=0,"",IF(('Dvd Calendar'!$S$1645&gt;=GRID_FROM)*('Dvd Calendar'!$S$1645&lt;=GRID_TO)*('Dvd Calendar'!$S$1645&gt;VAL_DATE)=0,"",'Dvd Calendar'!$S$1645*1000000000+ISNUMBER('Dvd Calendar'!$S$1646)*100000000+0*10000000+(N('Dvd Calendar'!$S$1644)&gt;0)*(N('Dvd Calendar'!$S$1644)&lt;=VAL_SERIAL)*1000000+8*1000+55))</f>
        <v/>
      </c>
      <c r="GH167" s="35">
        <f>IF(N('Dvd Calendar'!$T$1645)=0,"",IF(('Dvd Calendar'!$T$1645&gt;=GRID_FROM)*('Dvd Calendar'!$T$1645&lt;=GRID_TO)*('Dvd Calendar'!$T$1645&gt;VAL_DATE)=0,"",'Dvd Calendar'!$T$1645*1000000000+ISNUMBER('Dvd Calendar'!$T$1646)*100000000+0*10000000+(N('Dvd Calendar'!$T$1644)&gt;0)*(N('Dvd Calendar'!$T$1644)&lt;=VAL_SERIAL)*1000000+8*1000+56))</f>
        <v/>
      </c>
      <c r="GI167" s="35">
        <f>IF(N('Dvd Calendar'!$U$1645)=0,"",IF(('Dvd Calendar'!$U$1645&gt;=GRID_FROM)*('Dvd Calendar'!$U$1645&lt;=GRID_TO)*('Dvd Calendar'!$U$1645&gt;VAL_DATE)=0,"",'Dvd Calendar'!$U$1645*1000000000+ISNUMBER('Dvd Calendar'!$U$1646)*100000000+0*10000000+(N('Dvd Calendar'!$U$1644)&gt;0)*(N('Dvd Calendar'!$U$1644)&lt;=VAL_SERIAL)*1000000+8*1000+57))</f>
        <v/>
      </c>
      <c r="GJ167" s="35">
        <f>IF(N('Dvd Calendar'!$V$1645)=0,"",IF(('Dvd Calendar'!$V$1645&gt;=GRID_FROM)*('Dvd Calendar'!$V$1645&lt;=GRID_TO)*('Dvd Calendar'!$V$1645&gt;VAL_DATE)=0,"",'Dvd Calendar'!$V$1645*1000000000+ISNUMBER('Dvd Calendar'!$V$1646)*100000000+0*10000000+(N('Dvd Calendar'!$V$1644)&gt;0)*(N('Dvd Calendar'!$V$1644)&lt;=VAL_SERIAL)*1000000+8*1000+58))</f>
        <v/>
      </c>
      <c r="GK167" s="35">
        <f>IF(N('Dvd Calendar'!$W$1645)=0,"",IF(('Dvd Calendar'!$W$1645&gt;=GRID_FROM)*('Dvd Calendar'!$W$1645&lt;=GRID_TO)*('Dvd Calendar'!$W$1645&gt;VAL_DATE)=0,"",'Dvd Calendar'!$W$1645*1000000000+ISNUMBER('Dvd Calendar'!$W$1646)*100000000+0*10000000+(N('Dvd Calendar'!$W$1644)&gt;0)*(N('Dvd Calendar'!$W$1644)&lt;=VAL_SERIAL)*1000000+8*1000+59))</f>
        <v/>
      </c>
      <c r="GL167" s="35">
        <f>IF(N('Dvd Calendar'!$X$1645)=0,"",IF(('Dvd Calendar'!$X$1645&gt;=GRID_FROM)*('Dvd Calendar'!$X$1645&lt;=GRID_TO)*('Dvd Calendar'!$X$1645&gt;VAL_DATE)=0,"",'Dvd Calendar'!$X$1645*1000000000+ISNUMBER('Dvd Calendar'!$X$1646)*100000000+0*10000000+(N('Dvd Calendar'!$X$1644)&gt;0)*(N('Dvd Calendar'!$X$1644)&lt;=VAL_SERIAL)*1000000+8*1000+60))</f>
        <v/>
      </c>
      <c r="GM167" s="35">
        <f>IF(N('Dvd Calendar'!$Y$1645)=0,"",IF(('Dvd Calendar'!$Y$1645&gt;=GRID_FROM)*('Dvd Calendar'!$Y$1645&lt;=GRID_TO)*('Dvd Calendar'!$Y$1645&gt;VAL_DATE)=0,"",'Dvd Calendar'!$Y$1645*1000000000+ISNUMBER('Dvd Calendar'!$Y$1646)*100000000+0*10000000+(N('Dvd Calendar'!$Y$1644)&gt;0)*(N('Dvd Calendar'!$Y$1644)&lt;=VAL_SERIAL)*1000000+8*1000+61))</f>
        <v/>
      </c>
      <c r="GN167" s="35">
        <f>IF(N('Dvd Calendar'!$Z$1645)=0,"",IF(('Dvd Calendar'!$Z$1645&gt;=GRID_FROM)*('Dvd Calendar'!$Z$1645&lt;=GRID_TO)*('Dvd Calendar'!$Z$1645&gt;VAL_DATE)=0,"",'Dvd Calendar'!$Z$1645*1000000000+ISNUMBER('Dvd Calendar'!$Z$1646)*100000000+0*10000000+(N('Dvd Calendar'!$Z$1644)&gt;0)*(N('Dvd Calendar'!$Z$1644)&lt;=VAL_SERIAL)*1000000+8*1000+62))</f>
        <v/>
      </c>
      <c r="GO167" s="35">
        <f>IF(N('Dvd Calendar'!$AA$1645)=0,"",IF(('Dvd Calendar'!$AA$1645&gt;=GRID_FROM)*('Dvd Calendar'!$AA$1645&lt;=GRID_TO)*('Dvd Calendar'!$AA$1645&gt;VAL_DATE)=0,"",'Dvd Calendar'!$AA$1645*1000000000+ISNUMBER('Dvd Calendar'!$AA$1646)*100000000+0*10000000+(N('Dvd Calendar'!$AA$1644)&gt;0)*(N('Dvd Calendar'!$AA$1644)&lt;=VAL_SERIAL)*1000000+8*1000+63))</f>
        <v/>
      </c>
      <c r="GP167" s="35">
        <f>IF(N('Dvd Calendar'!$AB$1645)=0,"",IF(('Dvd Calendar'!$AB$1645&gt;=GRID_FROM)*('Dvd Calendar'!$AB$1645&lt;=GRID_TO)*('Dvd Calendar'!$AB$1645&gt;VAL_DATE)=0,"",'Dvd Calendar'!$AB$1645*1000000000+ISNUMBER('Dvd Calendar'!$AB$1646)*100000000+0*10000000+(N('Dvd Calendar'!$AB$1644)&gt;0)*(N('Dvd Calendar'!$AB$1644)&lt;=VAL_SERIAL)*1000000+8*1000+64))</f>
        <v/>
      </c>
      <c r="GQ167" s="35">
        <f>IF(N('Dvd Calendar'!$AC$1645)=0,"",IF(('Dvd Calendar'!$AC$1645&gt;=GRID_FROM)*('Dvd Calendar'!$AC$1645&lt;=GRID_TO)*('Dvd Calendar'!$AC$1645&gt;VAL_DATE)=0,"",'Dvd Calendar'!$AC$1645*1000000000+ISNUMBER('Dvd Calendar'!$AC$1646)*100000000+0*10000000+(N('Dvd Calendar'!$AC$1644)&gt;0)*(N('Dvd Calendar'!$AC$1644)&lt;=VAL_SERIAL)*1000000+8*1000+65))</f>
        <v/>
      </c>
    </row>
    <row r="168">
      <c r="B168" s="2">
        <f>IF(HSCEI!$C$15="","",HSCEI!$C$15)</f>
        <v/>
      </c>
      <c r="C168" s="106">
        <f>IF(EE168="","",IF(ISNUMBER('Dvd Calendar'!$E$1652)=FALSE,"",IF((('Dvd Calendar'!$E$1654=TYPE1)*(TYPE1&lt;&gt;"")+('Dvd Calendar'!$E$1654=TYPE2)*(TYPE2&lt;&gt;"")+('Dvd Calendar'!$E$1654=TYPE3)*(TYPE3&lt;&gt;"")+('Dvd Calendar'!$E$1654=TYPE4)*(TYPE4&lt;&gt;"")+('Dvd Calendar'!$E$1654=SPECIAL_LBL)*(INC_SPECIALS="Y"))=0,"",'Dvd Calendar'!$E$1652)))</f>
        <v/>
      </c>
      <c r="D168" s="106">
        <f>IF(EF168="","",IF(ISNUMBER('Dvd Calendar'!$F$1652)=FALSE,"",IF((('Dvd Calendar'!$F$1654=TYPE1)*(TYPE1&lt;&gt;"")+('Dvd Calendar'!$F$1654=TYPE2)*(TYPE2&lt;&gt;"")+('Dvd Calendar'!$F$1654=TYPE3)*(TYPE3&lt;&gt;"")+('Dvd Calendar'!$F$1654=TYPE4)*(TYPE4&lt;&gt;"")+('Dvd Calendar'!$F$1654=SPECIAL_LBL)*(INC_SPECIALS="Y"))=0,"",'Dvd Calendar'!$F$1652)))</f>
        <v/>
      </c>
      <c r="E168" s="106">
        <f>IF(EG168="","",IF(ISNUMBER('Dvd Calendar'!$G$1652)=FALSE,"",IF((('Dvd Calendar'!$G$1654=TYPE1)*(TYPE1&lt;&gt;"")+('Dvd Calendar'!$G$1654=TYPE2)*(TYPE2&lt;&gt;"")+('Dvd Calendar'!$G$1654=TYPE3)*(TYPE3&lt;&gt;"")+('Dvd Calendar'!$G$1654=TYPE4)*(TYPE4&lt;&gt;"")+('Dvd Calendar'!$G$1654=SPECIAL_LBL)*(INC_SPECIALS="Y"))=0,"",'Dvd Calendar'!$G$1652)))</f>
        <v/>
      </c>
      <c r="F168" s="106">
        <f>IF(EH168="","",IF(ISNUMBER('Dvd Calendar'!$H$1652)=FALSE,"",IF((('Dvd Calendar'!$H$1654=TYPE1)*(TYPE1&lt;&gt;"")+('Dvd Calendar'!$H$1654=TYPE2)*(TYPE2&lt;&gt;"")+('Dvd Calendar'!$H$1654=TYPE3)*(TYPE3&lt;&gt;"")+('Dvd Calendar'!$H$1654=TYPE4)*(TYPE4&lt;&gt;"")+('Dvd Calendar'!$H$1654=SPECIAL_LBL)*(INC_SPECIALS="Y"))=0,"",'Dvd Calendar'!$H$1652)))</f>
        <v/>
      </c>
      <c r="G168" s="106">
        <f>IF(EI168="","",IF(ISNUMBER('Dvd Calendar'!$I$1652)=FALSE,"",IF((('Dvd Calendar'!$I$1654=TYPE1)*(TYPE1&lt;&gt;"")+('Dvd Calendar'!$I$1654=TYPE2)*(TYPE2&lt;&gt;"")+('Dvd Calendar'!$I$1654=TYPE3)*(TYPE3&lt;&gt;"")+('Dvd Calendar'!$I$1654=TYPE4)*(TYPE4&lt;&gt;"")+('Dvd Calendar'!$I$1654=SPECIAL_LBL)*(INC_SPECIALS="Y"))=0,"",'Dvd Calendar'!$I$1652)))</f>
        <v/>
      </c>
      <c r="H168" s="106">
        <f>IF(EJ168="","",IF(ISNUMBER('Dvd Calendar'!$J$1652)=FALSE,"",IF((('Dvd Calendar'!$J$1654=TYPE1)*(TYPE1&lt;&gt;"")+('Dvd Calendar'!$J$1654=TYPE2)*(TYPE2&lt;&gt;"")+('Dvd Calendar'!$J$1654=TYPE3)*(TYPE3&lt;&gt;"")+('Dvd Calendar'!$J$1654=TYPE4)*(TYPE4&lt;&gt;"")+('Dvd Calendar'!$J$1654=SPECIAL_LBL)*(INC_SPECIALS="Y"))=0,"",'Dvd Calendar'!$J$1652)))</f>
        <v/>
      </c>
      <c r="I168" s="106">
        <f>IF(EK168="","",IF(ISNUMBER('Dvd Calendar'!$K$1652)=FALSE,"",IF((('Dvd Calendar'!$K$1654=TYPE1)*(TYPE1&lt;&gt;"")+('Dvd Calendar'!$K$1654=TYPE2)*(TYPE2&lt;&gt;"")+('Dvd Calendar'!$K$1654=TYPE3)*(TYPE3&lt;&gt;"")+('Dvd Calendar'!$K$1654=TYPE4)*(TYPE4&lt;&gt;"")+('Dvd Calendar'!$K$1654=SPECIAL_LBL)*(INC_SPECIALS="Y"))=0,"",'Dvd Calendar'!$K$1652)))</f>
        <v/>
      </c>
      <c r="J168" s="106">
        <f>IF(EL168="","",IF(ISNUMBER('Dvd Calendar'!$L$1652)=FALSE,"",IF((('Dvd Calendar'!$L$1654=TYPE1)*(TYPE1&lt;&gt;"")+('Dvd Calendar'!$L$1654=TYPE2)*(TYPE2&lt;&gt;"")+('Dvd Calendar'!$L$1654=TYPE3)*(TYPE3&lt;&gt;"")+('Dvd Calendar'!$L$1654=TYPE4)*(TYPE4&lt;&gt;"")+('Dvd Calendar'!$L$1654=SPECIAL_LBL)*(INC_SPECIALS="Y"))=0,"",'Dvd Calendar'!$L$1652)))</f>
        <v/>
      </c>
      <c r="K168" s="106">
        <f>IF(EM168="","",IF(ISNUMBER('Dvd Calendar'!$M$1652)=FALSE,"",IF((('Dvd Calendar'!$M$1654=TYPE1)*(TYPE1&lt;&gt;"")+('Dvd Calendar'!$M$1654=TYPE2)*(TYPE2&lt;&gt;"")+('Dvd Calendar'!$M$1654=TYPE3)*(TYPE3&lt;&gt;"")+('Dvd Calendar'!$M$1654=TYPE4)*(TYPE4&lt;&gt;"")+('Dvd Calendar'!$M$1654=SPECIAL_LBL)*(INC_SPECIALS="Y"))=0,"",'Dvd Calendar'!$M$1652)))</f>
        <v/>
      </c>
      <c r="L168" s="106">
        <f>IF(EN168="","",IF(ISNUMBER('Dvd Calendar'!$N$1652)=FALSE,"",IF((('Dvd Calendar'!$N$1654=TYPE1)*(TYPE1&lt;&gt;"")+('Dvd Calendar'!$N$1654=TYPE2)*(TYPE2&lt;&gt;"")+('Dvd Calendar'!$N$1654=TYPE3)*(TYPE3&lt;&gt;"")+('Dvd Calendar'!$N$1654=TYPE4)*(TYPE4&lt;&gt;"")+('Dvd Calendar'!$N$1654=SPECIAL_LBL)*(INC_SPECIALS="Y"))=0,"",'Dvd Calendar'!$N$1652)))</f>
        <v/>
      </c>
      <c r="M168" s="106">
        <f>IF(EO168="","",IF(ISNUMBER('Dvd Calendar'!$O$1652)=FALSE,"",IF((('Dvd Calendar'!$O$1654=TYPE1)*(TYPE1&lt;&gt;"")+('Dvd Calendar'!$O$1654=TYPE2)*(TYPE2&lt;&gt;"")+('Dvd Calendar'!$O$1654=TYPE3)*(TYPE3&lt;&gt;"")+('Dvd Calendar'!$O$1654=TYPE4)*(TYPE4&lt;&gt;"")+('Dvd Calendar'!$O$1654=SPECIAL_LBL)*(INC_SPECIALS="Y"))=0,"",'Dvd Calendar'!$O$1652)))</f>
        <v/>
      </c>
      <c r="N168" s="106">
        <f>IF(EP168="","",IF(ISNUMBER('Dvd Calendar'!$P$1652)=FALSE,"",IF((('Dvd Calendar'!$P$1654=TYPE1)*(TYPE1&lt;&gt;"")+('Dvd Calendar'!$P$1654=TYPE2)*(TYPE2&lt;&gt;"")+('Dvd Calendar'!$P$1654=TYPE3)*(TYPE3&lt;&gt;"")+('Dvd Calendar'!$P$1654=TYPE4)*(TYPE4&lt;&gt;"")+('Dvd Calendar'!$P$1654=SPECIAL_LBL)*(INC_SPECIALS="Y"))=0,"",'Dvd Calendar'!$P$1652)))</f>
        <v/>
      </c>
      <c r="O168" s="106">
        <f>IF(EQ168="","",IF(ISNUMBER('Dvd Calendar'!$Q$1652)=FALSE,"",IF((('Dvd Calendar'!$Q$1654=TYPE1)*(TYPE1&lt;&gt;"")+('Dvd Calendar'!$Q$1654=TYPE2)*(TYPE2&lt;&gt;"")+('Dvd Calendar'!$Q$1654=TYPE3)*(TYPE3&lt;&gt;"")+('Dvd Calendar'!$Q$1654=TYPE4)*(TYPE4&lt;&gt;"")+('Dvd Calendar'!$Q$1654=SPECIAL_LBL)*(INC_SPECIALS="Y"))=0,"",'Dvd Calendar'!$Q$1652)))</f>
        <v/>
      </c>
      <c r="P168" s="106">
        <f>IF(ER168="","",IF(ISNUMBER('Dvd Calendar'!$R$1652)=FALSE,"",IF((('Dvd Calendar'!$R$1654=TYPE1)*(TYPE1&lt;&gt;"")+('Dvd Calendar'!$R$1654=TYPE2)*(TYPE2&lt;&gt;"")+('Dvd Calendar'!$R$1654=TYPE3)*(TYPE3&lt;&gt;"")+('Dvd Calendar'!$R$1654=TYPE4)*(TYPE4&lt;&gt;"")+('Dvd Calendar'!$R$1654=SPECIAL_LBL)*(INC_SPECIALS="Y"))=0,"",'Dvd Calendar'!$R$1652)))</f>
        <v/>
      </c>
      <c r="Q168" s="106">
        <f>IF(ES168="","",IF(ISNUMBER('Dvd Calendar'!$S$1652)=FALSE,"",IF((('Dvd Calendar'!$S$1654=TYPE1)*(TYPE1&lt;&gt;"")+('Dvd Calendar'!$S$1654=TYPE2)*(TYPE2&lt;&gt;"")+('Dvd Calendar'!$S$1654=TYPE3)*(TYPE3&lt;&gt;"")+('Dvd Calendar'!$S$1654=TYPE4)*(TYPE4&lt;&gt;"")+('Dvd Calendar'!$S$1654=SPECIAL_LBL)*(INC_SPECIALS="Y"))=0,"",'Dvd Calendar'!$S$1652)))</f>
        <v/>
      </c>
      <c r="R168" s="106">
        <f>IF(ET168="","",IF(ISNUMBER('Dvd Calendar'!$T$1652)=FALSE,"",IF((('Dvd Calendar'!$T$1654=TYPE1)*(TYPE1&lt;&gt;"")+('Dvd Calendar'!$T$1654=TYPE2)*(TYPE2&lt;&gt;"")+('Dvd Calendar'!$T$1654=TYPE3)*(TYPE3&lt;&gt;"")+('Dvd Calendar'!$T$1654=TYPE4)*(TYPE4&lt;&gt;"")+('Dvd Calendar'!$T$1654=SPECIAL_LBL)*(INC_SPECIALS="Y"))=0,"",'Dvd Calendar'!$T$1652)))</f>
        <v/>
      </c>
      <c r="S168" s="106">
        <f>IF(EU168="","",IF(ISNUMBER('Dvd Calendar'!$U$1652)=FALSE,"",IF((('Dvd Calendar'!$U$1654=TYPE1)*(TYPE1&lt;&gt;"")+('Dvd Calendar'!$U$1654=TYPE2)*(TYPE2&lt;&gt;"")+('Dvd Calendar'!$U$1654=TYPE3)*(TYPE3&lt;&gt;"")+('Dvd Calendar'!$U$1654=TYPE4)*(TYPE4&lt;&gt;"")+('Dvd Calendar'!$U$1654=SPECIAL_LBL)*(INC_SPECIALS="Y"))=0,"",'Dvd Calendar'!$U$1652)))</f>
        <v/>
      </c>
      <c r="T168" s="106">
        <f>IF(EV168="","",IF(ISNUMBER('Dvd Calendar'!$V$1652)=FALSE,"",IF((('Dvd Calendar'!$V$1654=TYPE1)*(TYPE1&lt;&gt;"")+('Dvd Calendar'!$V$1654=TYPE2)*(TYPE2&lt;&gt;"")+('Dvd Calendar'!$V$1654=TYPE3)*(TYPE3&lt;&gt;"")+('Dvd Calendar'!$V$1654=TYPE4)*(TYPE4&lt;&gt;"")+('Dvd Calendar'!$V$1654=SPECIAL_LBL)*(INC_SPECIALS="Y"))=0,"",'Dvd Calendar'!$V$1652)))</f>
        <v/>
      </c>
      <c r="U168" s="106">
        <f>IF(EW168="","",IF(ISNUMBER('Dvd Calendar'!$W$1652)=FALSE,"",IF((('Dvd Calendar'!$W$1654=TYPE1)*(TYPE1&lt;&gt;"")+('Dvd Calendar'!$W$1654=TYPE2)*(TYPE2&lt;&gt;"")+('Dvd Calendar'!$W$1654=TYPE3)*(TYPE3&lt;&gt;"")+('Dvd Calendar'!$W$1654=TYPE4)*(TYPE4&lt;&gt;"")+('Dvd Calendar'!$W$1654=SPECIAL_LBL)*(INC_SPECIALS="Y"))=0,"",'Dvd Calendar'!$W$1652)))</f>
        <v/>
      </c>
      <c r="V168" s="106">
        <f>IF(EX168="","",IF(ISNUMBER('Dvd Calendar'!$X$1652)=FALSE,"",IF((('Dvd Calendar'!$X$1654=TYPE1)*(TYPE1&lt;&gt;"")+('Dvd Calendar'!$X$1654=TYPE2)*(TYPE2&lt;&gt;"")+('Dvd Calendar'!$X$1654=TYPE3)*(TYPE3&lt;&gt;"")+('Dvd Calendar'!$X$1654=TYPE4)*(TYPE4&lt;&gt;"")+('Dvd Calendar'!$X$1654=SPECIAL_LBL)*(INC_SPECIALS="Y"))=0,"",'Dvd Calendar'!$X$1652)))</f>
        <v/>
      </c>
      <c r="W168" s="106">
        <f>IF(EY168="","",IF(ISNUMBER('Dvd Calendar'!$Y$1652)=FALSE,"",IF((('Dvd Calendar'!$Y$1654=TYPE1)*(TYPE1&lt;&gt;"")+('Dvd Calendar'!$Y$1654=TYPE2)*(TYPE2&lt;&gt;"")+('Dvd Calendar'!$Y$1654=TYPE3)*(TYPE3&lt;&gt;"")+('Dvd Calendar'!$Y$1654=TYPE4)*(TYPE4&lt;&gt;"")+('Dvd Calendar'!$Y$1654=SPECIAL_LBL)*(INC_SPECIALS="Y"))=0,"",'Dvd Calendar'!$Y$1652)))</f>
        <v/>
      </c>
      <c r="X168" s="106">
        <f>IF(EZ168="","",IF(ISNUMBER('Dvd Calendar'!$Z$1652)=FALSE,"",IF((('Dvd Calendar'!$Z$1654=TYPE1)*(TYPE1&lt;&gt;"")+('Dvd Calendar'!$Z$1654=TYPE2)*(TYPE2&lt;&gt;"")+('Dvd Calendar'!$Z$1654=TYPE3)*(TYPE3&lt;&gt;"")+('Dvd Calendar'!$Z$1654=TYPE4)*(TYPE4&lt;&gt;"")+('Dvd Calendar'!$Z$1654=SPECIAL_LBL)*(INC_SPECIALS="Y"))=0,"",'Dvd Calendar'!$Z$1652)))</f>
        <v/>
      </c>
      <c r="Y168" s="106">
        <f>IF(FA168="","",IF(ISNUMBER('Dvd Calendar'!$AA$1652)=FALSE,"",IF((('Dvd Calendar'!$AA$1654=TYPE1)*(TYPE1&lt;&gt;"")+('Dvd Calendar'!$AA$1654=TYPE2)*(TYPE2&lt;&gt;"")+('Dvd Calendar'!$AA$1654=TYPE3)*(TYPE3&lt;&gt;"")+('Dvd Calendar'!$AA$1654=TYPE4)*(TYPE4&lt;&gt;"")+('Dvd Calendar'!$AA$1654=SPECIAL_LBL)*(INC_SPECIALS="Y"))=0,"",'Dvd Calendar'!$AA$1652)))</f>
        <v/>
      </c>
      <c r="Z168" s="106">
        <f>IF(FB168="","",IF(ISNUMBER('Dvd Calendar'!$AB$1652)=FALSE,"",IF((('Dvd Calendar'!$AB$1654=TYPE1)*(TYPE1&lt;&gt;"")+('Dvd Calendar'!$AB$1654=TYPE2)*(TYPE2&lt;&gt;"")+('Dvd Calendar'!$AB$1654=TYPE3)*(TYPE3&lt;&gt;"")+('Dvd Calendar'!$AB$1654=TYPE4)*(TYPE4&lt;&gt;"")+('Dvd Calendar'!$AB$1654=SPECIAL_LBL)*(INC_SPECIALS="Y"))=0,"",'Dvd Calendar'!$AB$1652)))</f>
        <v/>
      </c>
      <c r="AA168" s="106">
        <f>IF(FC168="","",IF(ISNUMBER('Dvd Calendar'!$AC$1652)=FALSE,"",IF((('Dvd Calendar'!$AC$1654=TYPE1)*(TYPE1&lt;&gt;"")+('Dvd Calendar'!$AC$1654=TYPE2)*(TYPE2&lt;&gt;"")+('Dvd Calendar'!$AC$1654=TYPE3)*(TYPE3&lt;&gt;"")+('Dvd Calendar'!$AC$1654=TYPE4)*(TYPE4&lt;&gt;"")+('Dvd Calendar'!$AC$1654=SPECIAL_LBL)*(INC_SPECIALS="Y"))=0,"",'Dvd Calendar'!$AC$1652)))</f>
        <v/>
      </c>
      <c r="AB168" s="106">
        <f>IF(FD168="","",IF(ISNUMBER('Dvd Calendar'!$AD$1652)=FALSE,"",IF((('Dvd Calendar'!$AD$1654=TYPE1)*(TYPE1&lt;&gt;"")+('Dvd Calendar'!$AD$1654=TYPE2)*(TYPE2&lt;&gt;"")+('Dvd Calendar'!$AD$1654=TYPE3)*(TYPE3&lt;&gt;"")+('Dvd Calendar'!$AD$1654=TYPE4)*(TYPE4&lt;&gt;"")+('Dvd Calendar'!$AD$1654=SPECIAL_LBL)*(INC_SPECIALS="Y"))=0,"",'Dvd Calendar'!$AD$1652)))</f>
        <v/>
      </c>
      <c r="AC168" s="106">
        <f>IF(FE168="","",IF(ISNUMBER('Dvd Calendar'!$AE$1652)=FALSE,"",IF((('Dvd Calendar'!$AE$1654=TYPE1)*(TYPE1&lt;&gt;"")+('Dvd Calendar'!$AE$1654=TYPE2)*(TYPE2&lt;&gt;"")+('Dvd Calendar'!$AE$1654=TYPE3)*(TYPE3&lt;&gt;"")+('Dvd Calendar'!$AE$1654=TYPE4)*(TYPE4&lt;&gt;"")+('Dvd Calendar'!$AE$1654=SPECIAL_LBL)*(INC_SPECIALS="Y"))=0,"",'Dvd Calendar'!$AE$1652)))</f>
        <v/>
      </c>
      <c r="AD168" s="106">
        <f>IF(FF168="","",IF(ISNUMBER('Dvd Calendar'!$AF$1652)=FALSE,"",IF((('Dvd Calendar'!$AF$1654=TYPE1)*(TYPE1&lt;&gt;"")+('Dvd Calendar'!$AF$1654=TYPE2)*(TYPE2&lt;&gt;"")+('Dvd Calendar'!$AF$1654=TYPE3)*(TYPE3&lt;&gt;"")+('Dvd Calendar'!$AF$1654=TYPE4)*(TYPE4&lt;&gt;"")+('Dvd Calendar'!$AF$1654=SPECIAL_LBL)*(INC_SPECIALS="Y"))=0,"",'Dvd Calendar'!$AF$1652)))</f>
        <v/>
      </c>
      <c r="AE168" s="106">
        <f>IF(FG168="","",IF(ISNUMBER('Dvd Calendar'!$AG$1652)=FALSE,"",IF((('Dvd Calendar'!$AG$1654=TYPE1)*(TYPE1&lt;&gt;"")+('Dvd Calendar'!$AG$1654=TYPE2)*(TYPE2&lt;&gt;"")+('Dvd Calendar'!$AG$1654=TYPE3)*(TYPE3&lt;&gt;"")+('Dvd Calendar'!$AG$1654=TYPE4)*(TYPE4&lt;&gt;"")+('Dvd Calendar'!$AG$1654=SPECIAL_LBL)*(INC_SPECIALS="Y"))=0,"",'Dvd Calendar'!$AG$1652)))</f>
        <v/>
      </c>
      <c r="AF168" s="106">
        <f>IF(FH168="","",IF(ISNUMBER('Dvd Calendar'!$AH$1652)=FALSE,"",IF((('Dvd Calendar'!$AH$1654=TYPE1)*(TYPE1&lt;&gt;"")+('Dvd Calendar'!$AH$1654=TYPE2)*(TYPE2&lt;&gt;"")+('Dvd Calendar'!$AH$1654=TYPE3)*(TYPE3&lt;&gt;"")+('Dvd Calendar'!$AH$1654=TYPE4)*(TYPE4&lt;&gt;"")+('Dvd Calendar'!$AH$1654=SPECIAL_LBL)*(INC_SPECIALS="Y"))=0,"",'Dvd Calendar'!$AH$1652)))</f>
        <v/>
      </c>
      <c r="AG168" s="106">
        <f>IF(FI168="","",IF(ISNUMBER('Dvd Calendar'!$AI$1652)=FALSE,"",IF((('Dvd Calendar'!$AI$1654=TYPE1)*(TYPE1&lt;&gt;"")+('Dvd Calendar'!$AI$1654=TYPE2)*(TYPE2&lt;&gt;"")+('Dvd Calendar'!$AI$1654=TYPE3)*(TYPE3&lt;&gt;"")+('Dvd Calendar'!$AI$1654=TYPE4)*(TYPE4&lt;&gt;"")+('Dvd Calendar'!$AI$1654=SPECIAL_LBL)*(INC_SPECIALS="Y"))=0,"",'Dvd Calendar'!$AI$1652)))</f>
        <v/>
      </c>
      <c r="AH168" s="106">
        <f>IF(FJ168="","",IF(ISNUMBER('Dvd Calendar'!$AJ$1652)=FALSE,"",IF((('Dvd Calendar'!$AJ$1654=TYPE1)*(TYPE1&lt;&gt;"")+('Dvd Calendar'!$AJ$1654=TYPE2)*(TYPE2&lt;&gt;"")+('Dvd Calendar'!$AJ$1654=TYPE3)*(TYPE3&lt;&gt;"")+('Dvd Calendar'!$AJ$1654=TYPE4)*(TYPE4&lt;&gt;"")+('Dvd Calendar'!$AJ$1654=SPECIAL_LBL)*(INC_SPECIALS="Y"))=0,"",'Dvd Calendar'!$AJ$1652)))</f>
        <v/>
      </c>
      <c r="AI168" s="106">
        <f>IF(FK168="","",IF(ISNUMBER('Dvd Calendar'!$AK$1652)=FALSE,"",IF((('Dvd Calendar'!$AK$1654=TYPE1)*(TYPE1&lt;&gt;"")+('Dvd Calendar'!$AK$1654=TYPE2)*(TYPE2&lt;&gt;"")+('Dvd Calendar'!$AK$1654=TYPE3)*(TYPE3&lt;&gt;"")+('Dvd Calendar'!$AK$1654=TYPE4)*(TYPE4&lt;&gt;"")+('Dvd Calendar'!$AK$1654=SPECIAL_LBL)*(INC_SPECIALS="Y"))=0,"",'Dvd Calendar'!$AK$1652)))</f>
        <v/>
      </c>
      <c r="AJ168" s="106">
        <f>IF(FL168="","",IF(ISNUMBER('Dvd Calendar'!$AL$1652)=FALSE,"",IF((('Dvd Calendar'!$AL$1654=TYPE1)*(TYPE1&lt;&gt;"")+('Dvd Calendar'!$AL$1654=TYPE2)*(TYPE2&lt;&gt;"")+('Dvd Calendar'!$AL$1654=TYPE3)*(TYPE3&lt;&gt;"")+('Dvd Calendar'!$AL$1654=TYPE4)*(TYPE4&lt;&gt;"")+('Dvd Calendar'!$AL$1654=SPECIAL_LBL)*(INC_SPECIALS="Y"))=0,"",'Dvd Calendar'!$AL$1652)))</f>
        <v/>
      </c>
      <c r="AK168" s="106">
        <f>IF(FM168="","",IF(ISNUMBER('Dvd Calendar'!$AM$1652)=FALSE,"",IF((('Dvd Calendar'!$AM$1654=TYPE1)*(TYPE1&lt;&gt;"")+('Dvd Calendar'!$AM$1654=TYPE2)*(TYPE2&lt;&gt;"")+('Dvd Calendar'!$AM$1654=TYPE3)*(TYPE3&lt;&gt;"")+('Dvd Calendar'!$AM$1654=TYPE4)*(TYPE4&lt;&gt;"")+('Dvd Calendar'!$AM$1654=SPECIAL_LBL)*(INC_SPECIALS="Y"))=0,"",'Dvd Calendar'!$AM$1652)))</f>
        <v/>
      </c>
      <c r="AL168" s="106">
        <f>IF(FN168="","",IF(ISNUMBER('Dvd Calendar'!$AN$1652)=FALSE,"",IF((('Dvd Calendar'!$AN$1654=TYPE1)*(TYPE1&lt;&gt;"")+('Dvd Calendar'!$AN$1654=TYPE2)*(TYPE2&lt;&gt;"")+('Dvd Calendar'!$AN$1654=TYPE3)*(TYPE3&lt;&gt;"")+('Dvd Calendar'!$AN$1654=TYPE4)*(TYPE4&lt;&gt;"")+('Dvd Calendar'!$AN$1654=SPECIAL_LBL)*(INC_SPECIALS="Y"))=0,"",'Dvd Calendar'!$AN$1652)))</f>
        <v/>
      </c>
      <c r="AM168" s="106">
        <f>IF(FO168="","",IF(ISNUMBER('Dvd Calendar'!$AO$1652)=FALSE,"",IF((('Dvd Calendar'!$AO$1654=TYPE1)*(TYPE1&lt;&gt;"")+('Dvd Calendar'!$AO$1654=TYPE2)*(TYPE2&lt;&gt;"")+('Dvd Calendar'!$AO$1654=TYPE3)*(TYPE3&lt;&gt;"")+('Dvd Calendar'!$AO$1654=TYPE4)*(TYPE4&lt;&gt;"")+('Dvd Calendar'!$AO$1654=SPECIAL_LBL)*(INC_SPECIALS="Y"))=0,"",'Dvd Calendar'!$AO$1652)))</f>
        <v/>
      </c>
      <c r="AN168" s="106">
        <f>IF(FP168="","",IF(ISNUMBER('Dvd Calendar'!$AP$1652)=FALSE,"",IF((('Dvd Calendar'!$AP$1654=TYPE1)*(TYPE1&lt;&gt;"")+('Dvd Calendar'!$AP$1654=TYPE2)*(TYPE2&lt;&gt;"")+('Dvd Calendar'!$AP$1654=TYPE3)*(TYPE3&lt;&gt;"")+('Dvd Calendar'!$AP$1654=TYPE4)*(TYPE4&lt;&gt;"")+('Dvd Calendar'!$AP$1654=SPECIAL_LBL)*(INC_SPECIALS="Y"))=0,"",'Dvd Calendar'!$AP$1652)))</f>
        <v/>
      </c>
      <c r="AO168" s="106">
        <f>IF(FQ168="","",IF(ISNUMBER('Dvd Calendar'!$AQ$1652)=FALSE,"",IF((('Dvd Calendar'!$AQ$1654=TYPE1)*(TYPE1&lt;&gt;"")+('Dvd Calendar'!$AQ$1654=TYPE2)*(TYPE2&lt;&gt;"")+('Dvd Calendar'!$AQ$1654=TYPE3)*(TYPE3&lt;&gt;"")+('Dvd Calendar'!$AQ$1654=TYPE4)*(TYPE4&lt;&gt;"")+('Dvd Calendar'!$AQ$1654=SPECIAL_LBL)*(INC_SPECIALS="Y"))=0,"",'Dvd Calendar'!$AQ$1652)))</f>
        <v/>
      </c>
      <c r="AP168" s="106">
        <f>IF(FR168="","",IF(ISNUMBER('Dvd Calendar'!$AR$1652)=FALSE,"",IF((('Dvd Calendar'!$AR$1654=TYPE1)*(TYPE1&lt;&gt;"")+('Dvd Calendar'!$AR$1654=TYPE2)*(TYPE2&lt;&gt;"")+('Dvd Calendar'!$AR$1654=TYPE3)*(TYPE3&lt;&gt;"")+('Dvd Calendar'!$AR$1654=TYPE4)*(TYPE4&lt;&gt;"")+('Dvd Calendar'!$AR$1654=SPECIAL_LBL)*(INC_SPECIALS="Y"))=0,"",'Dvd Calendar'!$AR$1652)))</f>
        <v/>
      </c>
      <c r="AQ168" s="106">
        <f>IF(FS168="","",IF(ISNUMBER('Dvd Calendar'!$E$1657)=FALSE,"",'Dvd Calendar'!$E$1657))</f>
        <v/>
      </c>
      <c r="AR168" s="106">
        <f>IF(FT168="","",IF(ISNUMBER('Dvd Calendar'!$F$1657)=FALSE,"",'Dvd Calendar'!$F$1657))</f>
        <v/>
      </c>
      <c r="AS168" s="106">
        <f>IF(FU168="","",IF(ISNUMBER('Dvd Calendar'!$G$1657)=FALSE,"",'Dvd Calendar'!$G$1657))</f>
        <v/>
      </c>
      <c r="AT168" s="106">
        <f>IF(FV168="","",IF(ISNUMBER('Dvd Calendar'!$H$1657)=FALSE,"",'Dvd Calendar'!$H$1657))</f>
        <v/>
      </c>
      <c r="AU168" s="106">
        <f>IF(FW168="","",IF(ISNUMBER('Dvd Calendar'!$I$1657)=FALSE,"",'Dvd Calendar'!$I$1657))</f>
        <v/>
      </c>
      <c r="AV168" s="106">
        <f>IF(FX168="","",IF(ISNUMBER('Dvd Calendar'!$J$1657)=FALSE,"",'Dvd Calendar'!$J$1657))</f>
        <v/>
      </c>
      <c r="AW168" s="106">
        <f>IF(FY168="","",IF(ISNUMBER('Dvd Calendar'!$K$1657)=FALSE,"",'Dvd Calendar'!$K$1657))</f>
        <v/>
      </c>
      <c r="AX168" s="106">
        <f>IF(FZ168="","",IF(ISNUMBER('Dvd Calendar'!$L$1657)=FALSE,"",'Dvd Calendar'!$L$1657))</f>
        <v/>
      </c>
      <c r="AY168" s="106">
        <f>IF(GA168="","",IF(ISNUMBER('Dvd Calendar'!$M$1657)=FALSE,"",'Dvd Calendar'!$M$1657))</f>
        <v/>
      </c>
      <c r="AZ168" s="106">
        <f>IF(GB168="","",IF(ISNUMBER('Dvd Calendar'!$N$1657)=FALSE,"",'Dvd Calendar'!$N$1657))</f>
        <v/>
      </c>
      <c r="BA168" s="106">
        <f>IF(GC168="","",IF(ISNUMBER('Dvd Calendar'!$O$1657)=FALSE,"",'Dvd Calendar'!$O$1657))</f>
        <v/>
      </c>
      <c r="BB168" s="106">
        <f>IF(GD168="","",IF(ISNUMBER('Dvd Calendar'!$P$1657)=FALSE,"",'Dvd Calendar'!$P$1657))</f>
        <v/>
      </c>
      <c r="BC168" s="106">
        <f>IF(GE168="","",IF(ISNUMBER('Dvd Calendar'!$Q$1657)=FALSE,"",'Dvd Calendar'!$Q$1657))</f>
        <v/>
      </c>
      <c r="BD168" s="106">
        <f>IF(GF168="","",IF(ISNUMBER('Dvd Calendar'!$R$1657)=FALSE,"",'Dvd Calendar'!$R$1657))</f>
        <v/>
      </c>
      <c r="BE168" s="106">
        <f>IF(GG168="","",IF(ISNUMBER('Dvd Calendar'!$S$1657)=FALSE,"",'Dvd Calendar'!$S$1657))</f>
        <v/>
      </c>
      <c r="BF168" s="106">
        <f>IF(GH168="","",IF(ISNUMBER('Dvd Calendar'!$T$1657)=FALSE,"",'Dvd Calendar'!$T$1657))</f>
        <v/>
      </c>
      <c r="BG168" s="106">
        <f>IF(GI168="","",IF(ISNUMBER('Dvd Calendar'!$U$1657)=FALSE,"",'Dvd Calendar'!$U$1657))</f>
        <v/>
      </c>
      <c r="BH168" s="106">
        <f>IF(GJ168="","",IF(ISNUMBER('Dvd Calendar'!$V$1657)=FALSE,"",'Dvd Calendar'!$V$1657))</f>
        <v/>
      </c>
      <c r="BI168" s="106">
        <f>IF(GK168="","",IF(ISNUMBER('Dvd Calendar'!$W$1657)=FALSE,"",'Dvd Calendar'!$W$1657))</f>
        <v/>
      </c>
      <c r="BJ168" s="106">
        <f>IF(GL168="","",IF(ISNUMBER('Dvd Calendar'!$X$1657)=FALSE,"",'Dvd Calendar'!$X$1657))</f>
        <v/>
      </c>
      <c r="BK168" s="106">
        <f>IF(GM168="","",IF(ISNUMBER('Dvd Calendar'!$Y$1657)=FALSE,"",'Dvd Calendar'!$Y$1657))</f>
        <v/>
      </c>
      <c r="BL168" s="106">
        <f>IF(GN168="","",IF(ISNUMBER('Dvd Calendar'!$Z$1657)=FALSE,"",'Dvd Calendar'!$Z$1657))</f>
        <v/>
      </c>
      <c r="BM168" s="106">
        <f>IF(GO168="","",IF(ISNUMBER('Dvd Calendar'!$AA$1657)=FALSE,"",'Dvd Calendar'!$AA$1657))</f>
        <v/>
      </c>
      <c r="BN168" s="106">
        <f>IF(GP168="","",IF(ISNUMBER('Dvd Calendar'!$AB$1657)=FALSE,"",'Dvd Calendar'!$AB$1657))</f>
        <v/>
      </c>
      <c r="BO168" s="106">
        <f>IF(GQ168="","",IF(ISNUMBER('Dvd Calendar'!$AC$1657)=FALSE,"",'Dvd Calendar'!$AC$1657))</f>
        <v/>
      </c>
      <c r="BQ168" s="106">
        <f>IF(C168="","",IFERROR(C168*HSCEI!$B$15*HSCEI!$G$15/HSCEI!$B$3,""))</f>
        <v/>
      </c>
      <c r="BR168" s="106">
        <f>IF(D168="","",IFERROR(D168*HSCEI!$B$15*HSCEI!$G$15/HSCEI!$B$3,""))</f>
        <v/>
      </c>
      <c r="BS168" s="106">
        <f>IF(E168="","",IFERROR(E168*HSCEI!$B$15*HSCEI!$G$15/HSCEI!$B$3,""))</f>
        <v/>
      </c>
      <c r="BT168" s="106">
        <f>IF(F168="","",IFERROR(F168*HSCEI!$B$15*HSCEI!$G$15/HSCEI!$B$3,""))</f>
        <v/>
      </c>
      <c r="BU168" s="106">
        <f>IF(G168="","",IFERROR(G168*HSCEI!$B$15*HSCEI!$G$15/HSCEI!$B$3,""))</f>
        <v/>
      </c>
      <c r="BV168" s="106">
        <f>IF(H168="","",IFERROR(H168*HSCEI!$B$15*HSCEI!$G$15/HSCEI!$B$3,""))</f>
        <v/>
      </c>
      <c r="BW168" s="106">
        <f>IF(I168="","",IFERROR(I168*HSCEI!$B$15*HSCEI!$G$15/HSCEI!$B$3,""))</f>
        <v/>
      </c>
      <c r="BX168" s="106">
        <f>IF(J168="","",IFERROR(J168*HSCEI!$B$15*HSCEI!$G$15/HSCEI!$B$3,""))</f>
        <v/>
      </c>
      <c r="BY168" s="106">
        <f>IF(K168="","",IFERROR(K168*HSCEI!$B$15*HSCEI!$G$15/HSCEI!$B$3,""))</f>
        <v/>
      </c>
      <c r="BZ168" s="106">
        <f>IF(L168="","",IFERROR(L168*HSCEI!$B$15*HSCEI!$G$15/HSCEI!$B$3,""))</f>
        <v/>
      </c>
      <c r="CA168" s="106">
        <f>IF(M168="","",IFERROR(M168*HSCEI!$B$15*HSCEI!$G$15/HSCEI!$B$3,""))</f>
        <v/>
      </c>
      <c r="CB168" s="106">
        <f>IF(N168="","",IFERROR(N168*HSCEI!$B$15*HSCEI!$G$15/HSCEI!$B$3,""))</f>
        <v/>
      </c>
      <c r="CC168" s="106">
        <f>IF(O168="","",IFERROR(O168*HSCEI!$B$15*HSCEI!$G$15/HSCEI!$B$3,""))</f>
        <v/>
      </c>
      <c r="CD168" s="106">
        <f>IF(P168="","",IFERROR(P168*HSCEI!$B$15*HSCEI!$G$15/HSCEI!$B$3,""))</f>
        <v/>
      </c>
      <c r="CE168" s="106">
        <f>IF(Q168="","",IFERROR(Q168*HSCEI!$B$15*HSCEI!$G$15/HSCEI!$B$3,""))</f>
        <v/>
      </c>
      <c r="CF168" s="106">
        <f>IF(R168="","",IFERROR(R168*HSCEI!$B$15*HSCEI!$G$15/HSCEI!$B$3,""))</f>
        <v/>
      </c>
      <c r="CG168" s="106">
        <f>IF(S168="","",IFERROR(S168*HSCEI!$B$15*HSCEI!$G$15/HSCEI!$B$3,""))</f>
        <v/>
      </c>
      <c r="CH168" s="106">
        <f>IF(T168="","",IFERROR(T168*HSCEI!$B$15*HSCEI!$G$15/HSCEI!$B$3,""))</f>
        <v/>
      </c>
      <c r="CI168" s="106">
        <f>IF(U168="","",IFERROR(U168*HSCEI!$B$15*HSCEI!$G$15/HSCEI!$B$3,""))</f>
        <v/>
      </c>
      <c r="CJ168" s="106">
        <f>IF(V168="","",IFERROR(V168*HSCEI!$B$15*HSCEI!$G$15/HSCEI!$B$3,""))</f>
        <v/>
      </c>
      <c r="CK168" s="106">
        <f>IF(W168="","",IFERROR(W168*HSCEI!$B$15*HSCEI!$G$15/HSCEI!$B$3,""))</f>
        <v/>
      </c>
      <c r="CL168" s="106">
        <f>IF(X168="","",IFERROR(X168*HSCEI!$B$15*HSCEI!$G$15/HSCEI!$B$3,""))</f>
        <v/>
      </c>
      <c r="CM168" s="106">
        <f>IF(Y168="","",IFERROR(Y168*HSCEI!$B$15*HSCEI!$G$15/HSCEI!$B$3,""))</f>
        <v/>
      </c>
      <c r="CN168" s="106">
        <f>IF(Z168="","",IFERROR(Z168*HSCEI!$B$15*HSCEI!$G$15/HSCEI!$B$3,""))</f>
        <v/>
      </c>
      <c r="CO168" s="106">
        <f>IF(AA168="","",IFERROR(AA168*HSCEI!$B$15*HSCEI!$G$15/HSCEI!$B$3,""))</f>
        <v/>
      </c>
      <c r="CP168" s="106">
        <f>IF(AB168="","",IFERROR(AB168*HSCEI!$B$15*HSCEI!$G$15/HSCEI!$B$3,""))</f>
        <v/>
      </c>
      <c r="CQ168" s="106">
        <f>IF(AC168="","",IFERROR(AC168*HSCEI!$B$15*HSCEI!$G$15/HSCEI!$B$3,""))</f>
        <v/>
      </c>
      <c r="CR168" s="106">
        <f>IF(AD168="","",IFERROR(AD168*HSCEI!$B$15*HSCEI!$G$15/HSCEI!$B$3,""))</f>
        <v/>
      </c>
      <c r="CS168" s="106">
        <f>IF(AE168="","",IFERROR(AE168*HSCEI!$B$15*HSCEI!$G$15/HSCEI!$B$3,""))</f>
        <v/>
      </c>
      <c r="CT168" s="106">
        <f>IF(AF168="","",IFERROR(AF168*HSCEI!$B$15*HSCEI!$G$15/HSCEI!$B$3,""))</f>
        <v/>
      </c>
      <c r="CU168" s="106">
        <f>IF(AG168="","",IFERROR(AG168*HSCEI!$B$15*HSCEI!$G$15/HSCEI!$B$3,""))</f>
        <v/>
      </c>
      <c r="CV168" s="106">
        <f>IF(AH168="","",IFERROR(AH168*HSCEI!$B$15*HSCEI!$G$15/HSCEI!$B$3,""))</f>
        <v/>
      </c>
      <c r="CW168" s="106">
        <f>IF(AI168="","",IFERROR(AI168*HSCEI!$B$15*HSCEI!$G$15/HSCEI!$B$3,""))</f>
        <v/>
      </c>
      <c r="CX168" s="106">
        <f>IF(AJ168="","",IFERROR(AJ168*HSCEI!$B$15*HSCEI!$G$15/HSCEI!$B$3,""))</f>
        <v/>
      </c>
      <c r="CY168" s="106">
        <f>IF(AK168="","",IFERROR(AK168*HSCEI!$B$15*HSCEI!$G$15/HSCEI!$B$3,""))</f>
        <v/>
      </c>
      <c r="CZ168" s="106">
        <f>IF(AL168="","",IFERROR(AL168*HSCEI!$B$15*HSCEI!$G$15/HSCEI!$B$3,""))</f>
        <v/>
      </c>
      <c r="DA168" s="106">
        <f>IF(AM168="","",IFERROR(AM168*HSCEI!$B$15*HSCEI!$G$15/HSCEI!$B$3,""))</f>
        <v/>
      </c>
      <c r="DB168" s="106">
        <f>IF(AN168="","",IFERROR(AN168*HSCEI!$B$15*HSCEI!$G$15/HSCEI!$B$3,""))</f>
        <v/>
      </c>
      <c r="DC168" s="106">
        <f>IF(AO168="","",IFERROR(AO168*HSCEI!$B$15*HSCEI!$G$15/HSCEI!$B$3,""))</f>
        <v/>
      </c>
      <c r="DD168" s="106">
        <f>IF(AP168="","",IFERROR(AP168*HSCEI!$B$15*HSCEI!$G$15/HSCEI!$B$3,""))</f>
        <v/>
      </c>
      <c r="DE168" s="106">
        <f>IF(AQ168="","",IFERROR(AQ168*HSCEI!$B$15*HSCEI!$G$15/HSCEI!$B$3,""))</f>
        <v/>
      </c>
      <c r="DF168" s="106">
        <f>IF(AR168="","",IFERROR(AR168*HSCEI!$B$15*HSCEI!$G$15/HSCEI!$B$3,""))</f>
        <v/>
      </c>
      <c r="DG168" s="106">
        <f>IF(AS168="","",IFERROR(AS168*HSCEI!$B$15*HSCEI!$G$15/HSCEI!$B$3,""))</f>
        <v/>
      </c>
      <c r="DH168" s="106">
        <f>IF(AT168="","",IFERROR(AT168*HSCEI!$B$15*HSCEI!$G$15/HSCEI!$B$3,""))</f>
        <v/>
      </c>
      <c r="DI168" s="106">
        <f>IF(AU168="","",IFERROR(AU168*HSCEI!$B$15*HSCEI!$G$15/HSCEI!$B$3,""))</f>
        <v/>
      </c>
      <c r="DJ168" s="106">
        <f>IF(AV168="","",IFERROR(AV168*HSCEI!$B$15*HSCEI!$G$15/HSCEI!$B$3,""))</f>
        <v/>
      </c>
      <c r="DK168" s="106">
        <f>IF(AW168="","",IFERROR(AW168*HSCEI!$B$15*HSCEI!$G$15/HSCEI!$B$3,""))</f>
        <v/>
      </c>
      <c r="DL168" s="106">
        <f>IF(AX168="","",IFERROR(AX168*HSCEI!$B$15*HSCEI!$G$15/HSCEI!$B$3,""))</f>
        <v/>
      </c>
      <c r="DM168" s="106">
        <f>IF(AY168="","",IFERROR(AY168*HSCEI!$B$15*HSCEI!$G$15/HSCEI!$B$3,""))</f>
        <v/>
      </c>
      <c r="DN168" s="106">
        <f>IF(AZ168="","",IFERROR(AZ168*HSCEI!$B$15*HSCEI!$G$15/HSCEI!$B$3,""))</f>
        <v/>
      </c>
      <c r="DO168" s="106">
        <f>IF(BA168="","",IFERROR(BA168*HSCEI!$B$15*HSCEI!$G$15/HSCEI!$B$3,""))</f>
        <v/>
      </c>
      <c r="DP168" s="106">
        <f>IF(BB168="","",IFERROR(BB168*HSCEI!$B$15*HSCEI!$G$15/HSCEI!$B$3,""))</f>
        <v/>
      </c>
      <c r="DQ168" s="106">
        <f>IF(BC168="","",IFERROR(BC168*HSCEI!$B$15*HSCEI!$G$15/HSCEI!$B$3,""))</f>
        <v/>
      </c>
      <c r="DR168" s="106">
        <f>IF(BD168="","",IFERROR(BD168*HSCEI!$B$15*HSCEI!$G$15/HSCEI!$B$3,""))</f>
        <v/>
      </c>
      <c r="DS168" s="106">
        <f>IF(BE168="","",IFERROR(BE168*HSCEI!$B$15*HSCEI!$G$15/HSCEI!$B$3,""))</f>
        <v/>
      </c>
      <c r="DT168" s="106">
        <f>IF(BF168="","",IFERROR(BF168*HSCEI!$B$15*HSCEI!$G$15/HSCEI!$B$3,""))</f>
        <v/>
      </c>
      <c r="DU168" s="106">
        <f>IF(BG168="","",IFERROR(BG168*HSCEI!$B$15*HSCEI!$G$15/HSCEI!$B$3,""))</f>
        <v/>
      </c>
      <c r="DV168" s="106">
        <f>IF(BH168="","",IFERROR(BH168*HSCEI!$B$15*HSCEI!$G$15/HSCEI!$B$3,""))</f>
        <v/>
      </c>
      <c r="DW168" s="106">
        <f>IF(BI168="","",IFERROR(BI168*HSCEI!$B$15*HSCEI!$G$15/HSCEI!$B$3,""))</f>
        <v/>
      </c>
      <c r="DX168" s="106">
        <f>IF(BJ168="","",IFERROR(BJ168*HSCEI!$B$15*HSCEI!$G$15/HSCEI!$B$3,""))</f>
        <v/>
      </c>
      <c r="DY168" s="106">
        <f>IF(BK168="","",IFERROR(BK168*HSCEI!$B$15*HSCEI!$G$15/HSCEI!$B$3,""))</f>
        <v/>
      </c>
      <c r="DZ168" s="106">
        <f>IF(BL168="","",IFERROR(BL168*HSCEI!$B$15*HSCEI!$G$15/HSCEI!$B$3,""))</f>
        <v/>
      </c>
      <c r="EA168" s="106">
        <f>IF(BM168="","",IFERROR(BM168*HSCEI!$B$15*HSCEI!$G$15/HSCEI!$B$3,""))</f>
        <v/>
      </c>
      <c r="EB168" s="106">
        <f>IF(BN168="","",IFERROR(BN168*HSCEI!$B$15*HSCEI!$G$15/HSCEI!$B$3,""))</f>
        <v/>
      </c>
      <c r="EC168" s="106">
        <f>IF(BO168="","",IFERROR(BO168*HSCEI!$B$15*HSCEI!$G$15/HSCEI!$B$3,""))</f>
        <v/>
      </c>
      <c r="EE168" s="35">
        <f>IF(N('Dvd Calendar'!$E$1649)=0,"",IF(('Dvd Calendar'!$E$1649&gt;=GRID_FROM)*('Dvd Calendar'!$E$1649&lt;=GRID_TO)*('Dvd Calendar'!$E$1649&lt;=VAL_DATE)=0,"",'Dvd Calendar'!$E$1649*1000000000+ISNUMBER('Dvd Calendar'!$E$1652)*100000000+('Dvd Calendar'!$E$1654=SPECIAL_LBL)*10000000+0*1000000+9*1000+1))</f>
        <v/>
      </c>
      <c r="EF168" s="35">
        <f>IF(N('Dvd Calendar'!$F$1649)=0,"",IF(('Dvd Calendar'!$F$1649&gt;=GRID_FROM)*('Dvd Calendar'!$F$1649&lt;=GRID_TO)*('Dvd Calendar'!$F$1649&lt;=VAL_DATE)=0,"",'Dvd Calendar'!$F$1649*1000000000+ISNUMBER('Dvd Calendar'!$F$1652)*100000000+('Dvd Calendar'!$F$1654=SPECIAL_LBL)*10000000+0*1000000+9*1000+2))</f>
        <v/>
      </c>
      <c r="EG168" s="35">
        <f>IF(N('Dvd Calendar'!$G$1649)=0,"",IF(('Dvd Calendar'!$G$1649&gt;=GRID_FROM)*('Dvd Calendar'!$G$1649&lt;=GRID_TO)*('Dvd Calendar'!$G$1649&lt;=VAL_DATE)=0,"",'Dvd Calendar'!$G$1649*1000000000+ISNUMBER('Dvd Calendar'!$G$1652)*100000000+('Dvd Calendar'!$G$1654=SPECIAL_LBL)*10000000+0*1000000+9*1000+3))</f>
        <v/>
      </c>
      <c r="EH168" s="35">
        <f>IF(N('Dvd Calendar'!$H$1649)=0,"",IF(('Dvd Calendar'!$H$1649&gt;=GRID_FROM)*('Dvd Calendar'!$H$1649&lt;=GRID_TO)*('Dvd Calendar'!$H$1649&lt;=VAL_DATE)=0,"",'Dvd Calendar'!$H$1649*1000000000+ISNUMBER('Dvd Calendar'!$H$1652)*100000000+('Dvd Calendar'!$H$1654=SPECIAL_LBL)*10000000+0*1000000+9*1000+4))</f>
        <v/>
      </c>
      <c r="EI168" s="35">
        <f>IF(N('Dvd Calendar'!$I$1649)=0,"",IF(('Dvd Calendar'!$I$1649&gt;=GRID_FROM)*('Dvd Calendar'!$I$1649&lt;=GRID_TO)*('Dvd Calendar'!$I$1649&lt;=VAL_DATE)=0,"",'Dvd Calendar'!$I$1649*1000000000+ISNUMBER('Dvd Calendar'!$I$1652)*100000000+('Dvd Calendar'!$I$1654=SPECIAL_LBL)*10000000+0*1000000+9*1000+5))</f>
        <v/>
      </c>
      <c r="EJ168" s="35">
        <f>IF(N('Dvd Calendar'!$J$1649)=0,"",IF(('Dvd Calendar'!$J$1649&gt;=GRID_FROM)*('Dvd Calendar'!$J$1649&lt;=GRID_TO)*('Dvd Calendar'!$J$1649&lt;=VAL_DATE)=0,"",'Dvd Calendar'!$J$1649*1000000000+ISNUMBER('Dvd Calendar'!$J$1652)*100000000+('Dvd Calendar'!$J$1654=SPECIAL_LBL)*10000000+0*1000000+9*1000+6))</f>
        <v/>
      </c>
      <c r="EK168" s="35">
        <f>IF(N('Dvd Calendar'!$K$1649)=0,"",IF(('Dvd Calendar'!$K$1649&gt;=GRID_FROM)*('Dvd Calendar'!$K$1649&lt;=GRID_TO)*('Dvd Calendar'!$K$1649&lt;=VAL_DATE)=0,"",'Dvd Calendar'!$K$1649*1000000000+ISNUMBER('Dvd Calendar'!$K$1652)*100000000+('Dvd Calendar'!$K$1654=SPECIAL_LBL)*10000000+0*1000000+9*1000+7))</f>
        <v/>
      </c>
      <c r="EL168" s="35">
        <f>IF(N('Dvd Calendar'!$L$1649)=0,"",IF(('Dvd Calendar'!$L$1649&gt;=GRID_FROM)*('Dvd Calendar'!$L$1649&lt;=GRID_TO)*('Dvd Calendar'!$L$1649&lt;=VAL_DATE)=0,"",'Dvd Calendar'!$L$1649*1000000000+ISNUMBER('Dvd Calendar'!$L$1652)*100000000+('Dvd Calendar'!$L$1654=SPECIAL_LBL)*10000000+0*1000000+9*1000+8))</f>
        <v/>
      </c>
      <c r="EM168" s="35">
        <f>IF(N('Dvd Calendar'!$M$1649)=0,"",IF(('Dvd Calendar'!$M$1649&gt;=GRID_FROM)*('Dvd Calendar'!$M$1649&lt;=GRID_TO)*('Dvd Calendar'!$M$1649&lt;=VAL_DATE)=0,"",'Dvd Calendar'!$M$1649*1000000000+ISNUMBER('Dvd Calendar'!$M$1652)*100000000+('Dvd Calendar'!$M$1654=SPECIAL_LBL)*10000000+0*1000000+9*1000+9))</f>
        <v/>
      </c>
      <c r="EN168" s="35">
        <f>IF(N('Dvd Calendar'!$N$1649)=0,"",IF(('Dvd Calendar'!$N$1649&gt;=GRID_FROM)*('Dvd Calendar'!$N$1649&lt;=GRID_TO)*('Dvd Calendar'!$N$1649&lt;=VAL_DATE)=0,"",'Dvd Calendar'!$N$1649*1000000000+ISNUMBER('Dvd Calendar'!$N$1652)*100000000+('Dvd Calendar'!$N$1654=SPECIAL_LBL)*10000000+0*1000000+9*1000+10))</f>
        <v/>
      </c>
      <c r="EO168" s="35">
        <f>IF(N('Dvd Calendar'!$O$1649)=0,"",IF(('Dvd Calendar'!$O$1649&gt;=GRID_FROM)*('Dvd Calendar'!$O$1649&lt;=GRID_TO)*('Dvd Calendar'!$O$1649&lt;=VAL_DATE)=0,"",'Dvd Calendar'!$O$1649*1000000000+ISNUMBER('Dvd Calendar'!$O$1652)*100000000+('Dvd Calendar'!$O$1654=SPECIAL_LBL)*10000000+0*1000000+9*1000+11))</f>
        <v/>
      </c>
      <c r="EP168" s="35">
        <f>IF(N('Dvd Calendar'!$P$1649)=0,"",IF(('Dvd Calendar'!$P$1649&gt;=GRID_FROM)*('Dvd Calendar'!$P$1649&lt;=GRID_TO)*('Dvd Calendar'!$P$1649&lt;=VAL_DATE)=0,"",'Dvd Calendar'!$P$1649*1000000000+ISNUMBER('Dvd Calendar'!$P$1652)*100000000+('Dvd Calendar'!$P$1654=SPECIAL_LBL)*10000000+0*1000000+9*1000+12))</f>
        <v/>
      </c>
      <c r="EQ168" s="35">
        <f>IF(N('Dvd Calendar'!$Q$1649)=0,"",IF(('Dvd Calendar'!$Q$1649&gt;=GRID_FROM)*('Dvd Calendar'!$Q$1649&lt;=GRID_TO)*('Dvd Calendar'!$Q$1649&lt;=VAL_DATE)=0,"",'Dvd Calendar'!$Q$1649*1000000000+ISNUMBER('Dvd Calendar'!$Q$1652)*100000000+('Dvd Calendar'!$Q$1654=SPECIAL_LBL)*10000000+0*1000000+9*1000+13))</f>
        <v/>
      </c>
      <c r="ER168" s="35">
        <f>IF(N('Dvd Calendar'!$R$1649)=0,"",IF(('Dvd Calendar'!$R$1649&gt;=GRID_FROM)*('Dvd Calendar'!$R$1649&lt;=GRID_TO)*('Dvd Calendar'!$R$1649&lt;=VAL_DATE)=0,"",'Dvd Calendar'!$R$1649*1000000000+ISNUMBER('Dvd Calendar'!$R$1652)*100000000+('Dvd Calendar'!$R$1654=SPECIAL_LBL)*10000000+0*1000000+9*1000+14))</f>
        <v/>
      </c>
      <c r="ES168" s="35">
        <f>IF(N('Dvd Calendar'!$S$1649)=0,"",IF(('Dvd Calendar'!$S$1649&gt;=GRID_FROM)*('Dvd Calendar'!$S$1649&lt;=GRID_TO)*('Dvd Calendar'!$S$1649&lt;=VAL_DATE)=0,"",'Dvd Calendar'!$S$1649*1000000000+ISNUMBER('Dvd Calendar'!$S$1652)*100000000+('Dvd Calendar'!$S$1654=SPECIAL_LBL)*10000000+0*1000000+9*1000+15))</f>
        <v/>
      </c>
      <c r="ET168" s="35">
        <f>IF(N('Dvd Calendar'!$T$1649)=0,"",IF(('Dvd Calendar'!$T$1649&gt;=GRID_FROM)*('Dvd Calendar'!$T$1649&lt;=GRID_TO)*('Dvd Calendar'!$T$1649&lt;=VAL_DATE)=0,"",'Dvd Calendar'!$T$1649*1000000000+ISNUMBER('Dvd Calendar'!$T$1652)*100000000+('Dvd Calendar'!$T$1654=SPECIAL_LBL)*10000000+0*1000000+9*1000+16))</f>
        <v/>
      </c>
      <c r="EU168" s="35">
        <f>IF(N('Dvd Calendar'!$U$1649)=0,"",IF(('Dvd Calendar'!$U$1649&gt;=GRID_FROM)*('Dvd Calendar'!$U$1649&lt;=GRID_TO)*('Dvd Calendar'!$U$1649&lt;=VAL_DATE)=0,"",'Dvd Calendar'!$U$1649*1000000000+ISNUMBER('Dvd Calendar'!$U$1652)*100000000+('Dvd Calendar'!$U$1654=SPECIAL_LBL)*10000000+0*1000000+9*1000+17))</f>
        <v/>
      </c>
      <c r="EV168" s="35">
        <f>IF(N('Dvd Calendar'!$V$1649)=0,"",IF(('Dvd Calendar'!$V$1649&gt;=GRID_FROM)*('Dvd Calendar'!$V$1649&lt;=GRID_TO)*('Dvd Calendar'!$V$1649&lt;=VAL_DATE)=0,"",'Dvd Calendar'!$V$1649*1000000000+ISNUMBER('Dvd Calendar'!$V$1652)*100000000+('Dvd Calendar'!$V$1654=SPECIAL_LBL)*10000000+0*1000000+9*1000+18))</f>
        <v/>
      </c>
      <c r="EW168" s="35">
        <f>IF(N('Dvd Calendar'!$W$1649)=0,"",IF(('Dvd Calendar'!$W$1649&gt;=GRID_FROM)*('Dvd Calendar'!$W$1649&lt;=GRID_TO)*('Dvd Calendar'!$W$1649&lt;=VAL_DATE)=0,"",'Dvd Calendar'!$W$1649*1000000000+ISNUMBER('Dvd Calendar'!$W$1652)*100000000+('Dvd Calendar'!$W$1654=SPECIAL_LBL)*10000000+0*1000000+9*1000+19))</f>
        <v/>
      </c>
      <c r="EX168" s="35">
        <f>IF(N('Dvd Calendar'!$X$1649)=0,"",IF(('Dvd Calendar'!$X$1649&gt;=GRID_FROM)*('Dvd Calendar'!$X$1649&lt;=GRID_TO)*('Dvd Calendar'!$X$1649&lt;=VAL_DATE)=0,"",'Dvd Calendar'!$X$1649*1000000000+ISNUMBER('Dvd Calendar'!$X$1652)*100000000+('Dvd Calendar'!$X$1654=SPECIAL_LBL)*10000000+0*1000000+9*1000+20))</f>
        <v/>
      </c>
      <c r="EY168" s="35">
        <f>IF(N('Dvd Calendar'!$Y$1649)=0,"",IF(('Dvd Calendar'!$Y$1649&gt;=GRID_FROM)*('Dvd Calendar'!$Y$1649&lt;=GRID_TO)*('Dvd Calendar'!$Y$1649&lt;=VAL_DATE)=0,"",'Dvd Calendar'!$Y$1649*1000000000+ISNUMBER('Dvd Calendar'!$Y$1652)*100000000+('Dvd Calendar'!$Y$1654=SPECIAL_LBL)*10000000+0*1000000+9*1000+21))</f>
        <v/>
      </c>
      <c r="EZ168" s="35">
        <f>IF(N('Dvd Calendar'!$Z$1649)=0,"",IF(('Dvd Calendar'!$Z$1649&gt;=GRID_FROM)*('Dvd Calendar'!$Z$1649&lt;=GRID_TO)*('Dvd Calendar'!$Z$1649&lt;=VAL_DATE)=0,"",'Dvd Calendar'!$Z$1649*1000000000+ISNUMBER('Dvd Calendar'!$Z$1652)*100000000+('Dvd Calendar'!$Z$1654=SPECIAL_LBL)*10000000+0*1000000+9*1000+22))</f>
        <v/>
      </c>
      <c r="FA168" s="35">
        <f>IF(N('Dvd Calendar'!$AA$1649)=0,"",IF(('Dvd Calendar'!$AA$1649&gt;=GRID_FROM)*('Dvd Calendar'!$AA$1649&lt;=GRID_TO)*('Dvd Calendar'!$AA$1649&lt;=VAL_DATE)=0,"",'Dvd Calendar'!$AA$1649*1000000000+ISNUMBER('Dvd Calendar'!$AA$1652)*100000000+('Dvd Calendar'!$AA$1654=SPECIAL_LBL)*10000000+0*1000000+9*1000+23))</f>
        <v/>
      </c>
      <c r="FB168" s="35">
        <f>IF(N('Dvd Calendar'!$AB$1649)=0,"",IF(('Dvd Calendar'!$AB$1649&gt;=GRID_FROM)*('Dvd Calendar'!$AB$1649&lt;=GRID_TO)*('Dvd Calendar'!$AB$1649&lt;=VAL_DATE)=0,"",'Dvd Calendar'!$AB$1649*1000000000+ISNUMBER('Dvd Calendar'!$AB$1652)*100000000+('Dvd Calendar'!$AB$1654=SPECIAL_LBL)*10000000+0*1000000+9*1000+24))</f>
        <v/>
      </c>
      <c r="FC168" s="35">
        <f>IF(N('Dvd Calendar'!$AC$1649)=0,"",IF(('Dvd Calendar'!$AC$1649&gt;=GRID_FROM)*('Dvd Calendar'!$AC$1649&lt;=GRID_TO)*('Dvd Calendar'!$AC$1649&lt;=VAL_DATE)=0,"",'Dvd Calendar'!$AC$1649*1000000000+ISNUMBER('Dvd Calendar'!$AC$1652)*100000000+('Dvd Calendar'!$AC$1654=SPECIAL_LBL)*10000000+0*1000000+9*1000+25))</f>
        <v/>
      </c>
      <c r="FD168" s="35">
        <f>IF(N('Dvd Calendar'!$AD$1649)=0,"",IF(('Dvd Calendar'!$AD$1649&gt;=GRID_FROM)*('Dvd Calendar'!$AD$1649&lt;=GRID_TO)*('Dvd Calendar'!$AD$1649&lt;=VAL_DATE)=0,"",'Dvd Calendar'!$AD$1649*1000000000+ISNUMBER('Dvd Calendar'!$AD$1652)*100000000+('Dvd Calendar'!$AD$1654=SPECIAL_LBL)*10000000+0*1000000+9*1000+26))</f>
        <v/>
      </c>
      <c r="FE168" s="35">
        <f>IF(N('Dvd Calendar'!$AE$1649)=0,"",IF(('Dvd Calendar'!$AE$1649&gt;=GRID_FROM)*('Dvd Calendar'!$AE$1649&lt;=GRID_TO)*('Dvd Calendar'!$AE$1649&lt;=VAL_DATE)=0,"",'Dvd Calendar'!$AE$1649*1000000000+ISNUMBER('Dvd Calendar'!$AE$1652)*100000000+('Dvd Calendar'!$AE$1654=SPECIAL_LBL)*10000000+0*1000000+9*1000+27))</f>
        <v/>
      </c>
      <c r="FF168" s="35">
        <f>IF(N('Dvd Calendar'!$AF$1649)=0,"",IF(('Dvd Calendar'!$AF$1649&gt;=GRID_FROM)*('Dvd Calendar'!$AF$1649&lt;=GRID_TO)*('Dvd Calendar'!$AF$1649&lt;=VAL_DATE)=0,"",'Dvd Calendar'!$AF$1649*1000000000+ISNUMBER('Dvd Calendar'!$AF$1652)*100000000+('Dvd Calendar'!$AF$1654=SPECIAL_LBL)*10000000+0*1000000+9*1000+28))</f>
        <v/>
      </c>
      <c r="FG168" s="35">
        <f>IF(N('Dvd Calendar'!$AG$1649)=0,"",IF(('Dvd Calendar'!$AG$1649&gt;=GRID_FROM)*('Dvd Calendar'!$AG$1649&lt;=GRID_TO)*('Dvd Calendar'!$AG$1649&lt;=VAL_DATE)=0,"",'Dvd Calendar'!$AG$1649*1000000000+ISNUMBER('Dvd Calendar'!$AG$1652)*100000000+('Dvd Calendar'!$AG$1654=SPECIAL_LBL)*10000000+0*1000000+9*1000+29))</f>
        <v/>
      </c>
      <c r="FH168" s="35">
        <f>IF(N('Dvd Calendar'!$AH$1649)=0,"",IF(('Dvd Calendar'!$AH$1649&gt;=GRID_FROM)*('Dvd Calendar'!$AH$1649&lt;=GRID_TO)*('Dvd Calendar'!$AH$1649&lt;=VAL_DATE)=0,"",'Dvd Calendar'!$AH$1649*1000000000+ISNUMBER('Dvd Calendar'!$AH$1652)*100000000+('Dvd Calendar'!$AH$1654=SPECIAL_LBL)*10000000+0*1000000+9*1000+30))</f>
        <v/>
      </c>
      <c r="FI168" s="35">
        <f>IF(N('Dvd Calendar'!$AI$1649)=0,"",IF(('Dvd Calendar'!$AI$1649&gt;=GRID_FROM)*('Dvd Calendar'!$AI$1649&lt;=GRID_TO)*('Dvd Calendar'!$AI$1649&lt;=VAL_DATE)=0,"",'Dvd Calendar'!$AI$1649*1000000000+ISNUMBER('Dvd Calendar'!$AI$1652)*100000000+('Dvd Calendar'!$AI$1654=SPECIAL_LBL)*10000000+0*1000000+9*1000+31))</f>
        <v/>
      </c>
      <c r="FJ168" s="35">
        <f>IF(N('Dvd Calendar'!$AJ$1649)=0,"",IF(('Dvd Calendar'!$AJ$1649&gt;=GRID_FROM)*('Dvd Calendar'!$AJ$1649&lt;=GRID_TO)*('Dvd Calendar'!$AJ$1649&lt;=VAL_DATE)=0,"",'Dvd Calendar'!$AJ$1649*1000000000+ISNUMBER('Dvd Calendar'!$AJ$1652)*100000000+('Dvd Calendar'!$AJ$1654=SPECIAL_LBL)*10000000+0*1000000+9*1000+32))</f>
        <v/>
      </c>
      <c r="FK168" s="35">
        <f>IF(N('Dvd Calendar'!$AK$1649)=0,"",IF(('Dvd Calendar'!$AK$1649&gt;=GRID_FROM)*('Dvd Calendar'!$AK$1649&lt;=GRID_TO)*('Dvd Calendar'!$AK$1649&lt;=VAL_DATE)=0,"",'Dvd Calendar'!$AK$1649*1000000000+ISNUMBER('Dvd Calendar'!$AK$1652)*100000000+('Dvd Calendar'!$AK$1654=SPECIAL_LBL)*10000000+0*1000000+9*1000+33))</f>
        <v/>
      </c>
      <c r="FL168" s="35">
        <f>IF(N('Dvd Calendar'!$AL$1649)=0,"",IF(('Dvd Calendar'!$AL$1649&gt;=GRID_FROM)*('Dvd Calendar'!$AL$1649&lt;=GRID_TO)*('Dvd Calendar'!$AL$1649&lt;=VAL_DATE)=0,"",'Dvd Calendar'!$AL$1649*1000000000+ISNUMBER('Dvd Calendar'!$AL$1652)*100000000+('Dvd Calendar'!$AL$1654=SPECIAL_LBL)*10000000+0*1000000+9*1000+34))</f>
        <v/>
      </c>
      <c r="FM168" s="35">
        <f>IF(N('Dvd Calendar'!$AM$1649)=0,"",IF(('Dvd Calendar'!$AM$1649&gt;=GRID_FROM)*('Dvd Calendar'!$AM$1649&lt;=GRID_TO)*('Dvd Calendar'!$AM$1649&lt;=VAL_DATE)=0,"",'Dvd Calendar'!$AM$1649*1000000000+ISNUMBER('Dvd Calendar'!$AM$1652)*100000000+('Dvd Calendar'!$AM$1654=SPECIAL_LBL)*10000000+0*1000000+9*1000+35))</f>
        <v/>
      </c>
      <c r="FN168" s="35">
        <f>IF(N('Dvd Calendar'!$AN$1649)=0,"",IF(('Dvd Calendar'!$AN$1649&gt;=GRID_FROM)*('Dvd Calendar'!$AN$1649&lt;=GRID_TO)*('Dvd Calendar'!$AN$1649&lt;=VAL_DATE)=0,"",'Dvd Calendar'!$AN$1649*1000000000+ISNUMBER('Dvd Calendar'!$AN$1652)*100000000+('Dvd Calendar'!$AN$1654=SPECIAL_LBL)*10000000+0*1000000+9*1000+36))</f>
        <v/>
      </c>
      <c r="FO168" s="35">
        <f>IF(N('Dvd Calendar'!$AO$1649)=0,"",IF(('Dvd Calendar'!$AO$1649&gt;=GRID_FROM)*('Dvd Calendar'!$AO$1649&lt;=GRID_TO)*('Dvd Calendar'!$AO$1649&lt;=VAL_DATE)=0,"",'Dvd Calendar'!$AO$1649*1000000000+ISNUMBER('Dvd Calendar'!$AO$1652)*100000000+('Dvd Calendar'!$AO$1654=SPECIAL_LBL)*10000000+0*1000000+9*1000+37))</f>
        <v/>
      </c>
      <c r="FP168" s="35">
        <f>IF(N('Dvd Calendar'!$AP$1649)=0,"",IF(('Dvd Calendar'!$AP$1649&gt;=GRID_FROM)*('Dvd Calendar'!$AP$1649&lt;=GRID_TO)*('Dvd Calendar'!$AP$1649&lt;=VAL_DATE)=0,"",'Dvd Calendar'!$AP$1649*1000000000+ISNUMBER('Dvd Calendar'!$AP$1652)*100000000+('Dvd Calendar'!$AP$1654=SPECIAL_LBL)*10000000+0*1000000+9*1000+38))</f>
        <v/>
      </c>
      <c r="FQ168" s="35">
        <f>IF(N('Dvd Calendar'!$AQ$1649)=0,"",IF(('Dvd Calendar'!$AQ$1649&gt;=GRID_FROM)*('Dvd Calendar'!$AQ$1649&lt;=GRID_TO)*('Dvd Calendar'!$AQ$1649&lt;=VAL_DATE)=0,"",'Dvd Calendar'!$AQ$1649*1000000000+ISNUMBER('Dvd Calendar'!$AQ$1652)*100000000+('Dvd Calendar'!$AQ$1654=SPECIAL_LBL)*10000000+0*1000000+9*1000+39))</f>
        <v/>
      </c>
      <c r="FR168" s="35">
        <f>IF(N('Dvd Calendar'!$AR$1649)=0,"",IF(('Dvd Calendar'!$AR$1649&gt;=GRID_FROM)*('Dvd Calendar'!$AR$1649&lt;=GRID_TO)*('Dvd Calendar'!$AR$1649&lt;=VAL_DATE)=0,"",'Dvd Calendar'!$AR$1649*1000000000+ISNUMBER('Dvd Calendar'!$AR$1652)*100000000+('Dvd Calendar'!$AR$1654=SPECIAL_LBL)*10000000+0*1000000+9*1000+40))</f>
        <v/>
      </c>
      <c r="FS168" s="35">
        <f>IF(N('Dvd Calendar'!$E$1656)=0,"",IF(('Dvd Calendar'!$E$1656&gt;=GRID_FROM)*('Dvd Calendar'!$E$1656&lt;=GRID_TO)*('Dvd Calendar'!$E$1656&gt;VAL_DATE)=0,"",'Dvd Calendar'!$E$1656*1000000000+ISNUMBER('Dvd Calendar'!$E$1657)*100000000+0*10000000+(N('Dvd Calendar'!$E$1655)&gt;0)*(N('Dvd Calendar'!$E$1655)&lt;=VAL_SERIAL)*1000000+9*1000+41))</f>
        <v/>
      </c>
      <c r="FT168" s="35">
        <f>IF(N('Dvd Calendar'!$F$1656)=0,"",IF(('Dvd Calendar'!$F$1656&gt;=GRID_FROM)*('Dvd Calendar'!$F$1656&lt;=GRID_TO)*('Dvd Calendar'!$F$1656&gt;VAL_DATE)=0,"",'Dvd Calendar'!$F$1656*1000000000+ISNUMBER('Dvd Calendar'!$F$1657)*100000000+0*10000000+(N('Dvd Calendar'!$F$1655)&gt;0)*(N('Dvd Calendar'!$F$1655)&lt;=VAL_SERIAL)*1000000+9*1000+42))</f>
        <v/>
      </c>
      <c r="FU168" s="35">
        <f>IF(N('Dvd Calendar'!$G$1656)=0,"",IF(('Dvd Calendar'!$G$1656&gt;=GRID_FROM)*('Dvd Calendar'!$G$1656&lt;=GRID_TO)*('Dvd Calendar'!$G$1656&gt;VAL_DATE)=0,"",'Dvd Calendar'!$G$1656*1000000000+ISNUMBER('Dvd Calendar'!$G$1657)*100000000+0*10000000+(N('Dvd Calendar'!$G$1655)&gt;0)*(N('Dvd Calendar'!$G$1655)&lt;=VAL_SERIAL)*1000000+9*1000+43))</f>
        <v/>
      </c>
      <c r="FV168" s="35">
        <f>IF(N('Dvd Calendar'!$H$1656)=0,"",IF(('Dvd Calendar'!$H$1656&gt;=GRID_FROM)*('Dvd Calendar'!$H$1656&lt;=GRID_TO)*('Dvd Calendar'!$H$1656&gt;VAL_DATE)=0,"",'Dvd Calendar'!$H$1656*1000000000+ISNUMBER('Dvd Calendar'!$H$1657)*100000000+0*10000000+(N('Dvd Calendar'!$H$1655)&gt;0)*(N('Dvd Calendar'!$H$1655)&lt;=VAL_SERIAL)*1000000+9*1000+44))</f>
        <v/>
      </c>
      <c r="FW168" s="35">
        <f>IF(N('Dvd Calendar'!$I$1656)=0,"",IF(('Dvd Calendar'!$I$1656&gt;=GRID_FROM)*('Dvd Calendar'!$I$1656&lt;=GRID_TO)*('Dvd Calendar'!$I$1656&gt;VAL_DATE)=0,"",'Dvd Calendar'!$I$1656*1000000000+ISNUMBER('Dvd Calendar'!$I$1657)*100000000+0*10000000+(N('Dvd Calendar'!$I$1655)&gt;0)*(N('Dvd Calendar'!$I$1655)&lt;=VAL_SERIAL)*1000000+9*1000+45))</f>
        <v/>
      </c>
      <c r="FX168" s="35">
        <f>IF(N('Dvd Calendar'!$J$1656)=0,"",IF(('Dvd Calendar'!$J$1656&gt;=GRID_FROM)*('Dvd Calendar'!$J$1656&lt;=GRID_TO)*('Dvd Calendar'!$J$1656&gt;VAL_DATE)=0,"",'Dvd Calendar'!$J$1656*1000000000+ISNUMBER('Dvd Calendar'!$J$1657)*100000000+0*10000000+(N('Dvd Calendar'!$J$1655)&gt;0)*(N('Dvd Calendar'!$J$1655)&lt;=VAL_SERIAL)*1000000+9*1000+46))</f>
        <v/>
      </c>
      <c r="FY168" s="35">
        <f>IF(N('Dvd Calendar'!$K$1656)=0,"",IF(('Dvd Calendar'!$K$1656&gt;=GRID_FROM)*('Dvd Calendar'!$K$1656&lt;=GRID_TO)*('Dvd Calendar'!$K$1656&gt;VAL_DATE)=0,"",'Dvd Calendar'!$K$1656*1000000000+ISNUMBER('Dvd Calendar'!$K$1657)*100000000+0*10000000+(N('Dvd Calendar'!$K$1655)&gt;0)*(N('Dvd Calendar'!$K$1655)&lt;=VAL_SERIAL)*1000000+9*1000+47))</f>
        <v/>
      </c>
      <c r="FZ168" s="35">
        <f>IF(N('Dvd Calendar'!$L$1656)=0,"",IF(('Dvd Calendar'!$L$1656&gt;=GRID_FROM)*('Dvd Calendar'!$L$1656&lt;=GRID_TO)*('Dvd Calendar'!$L$1656&gt;VAL_DATE)=0,"",'Dvd Calendar'!$L$1656*1000000000+ISNUMBER('Dvd Calendar'!$L$1657)*100000000+0*10000000+(N('Dvd Calendar'!$L$1655)&gt;0)*(N('Dvd Calendar'!$L$1655)&lt;=VAL_SERIAL)*1000000+9*1000+48))</f>
        <v/>
      </c>
      <c r="GA168" s="35">
        <f>IF(N('Dvd Calendar'!$M$1656)=0,"",IF(('Dvd Calendar'!$M$1656&gt;=GRID_FROM)*('Dvd Calendar'!$M$1656&lt;=GRID_TO)*('Dvd Calendar'!$M$1656&gt;VAL_DATE)=0,"",'Dvd Calendar'!$M$1656*1000000000+ISNUMBER('Dvd Calendar'!$M$1657)*100000000+0*10000000+(N('Dvd Calendar'!$M$1655)&gt;0)*(N('Dvd Calendar'!$M$1655)&lt;=VAL_SERIAL)*1000000+9*1000+49))</f>
        <v/>
      </c>
      <c r="GB168" s="35">
        <f>IF(N('Dvd Calendar'!$N$1656)=0,"",IF(('Dvd Calendar'!$N$1656&gt;=GRID_FROM)*('Dvd Calendar'!$N$1656&lt;=GRID_TO)*('Dvd Calendar'!$N$1656&gt;VAL_DATE)=0,"",'Dvd Calendar'!$N$1656*1000000000+ISNUMBER('Dvd Calendar'!$N$1657)*100000000+0*10000000+(N('Dvd Calendar'!$N$1655)&gt;0)*(N('Dvd Calendar'!$N$1655)&lt;=VAL_SERIAL)*1000000+9*1000+50))</f>
        <v/>
      </c>
      <c r="GC168" s="35">
        <f>IF(N('Dvd Calendar'!$O$1656)=0,"",IF(('Dvd Calendar'!$O$1656&gt;=GRID_FROM)*('Dvd Calendar'!$O$1656&lt;=GRID_TO)*('Dvd Calendar'!$O$1656&gt;VAL_DATE)=0,"",'Dvd Calendar'!$O$1656*1000000000+ISNUMBER('Dvd Calendar'!$O$1657)*100000000+0*10000000+(N('Dvd Calendar'!$O$1655)&gt;0)*(N('Dvd Calendar'!$O$1655)&lt;=VAL_SERIAL)*1000000+9*1000+51))</f>
        <v/>
      </c>
      <c r="GD168" s="35">
        <f>IF(N('Dvd Calendar'!$P$1656)=0,"",IF(('Dvd Calendar'!$P$1656&gt;=GRID_FROM)*('Dvd Calendar'!$P$1656&lt;=GRID_TO)*('Dvd Calendar'!$P$1656&gt;VAL_DATE)=0,"",'Dvd Calendar'!$P$1656*1000000000+ISNUMBER('Dvd Calendar'!$P$1657)*100000000+0*10000000+(N('Dvd Calendar'!$P$1655)&gt;0)*(N('Dvd Calendar'!$P$1655)&lt;=VAL_SERIAL)*1000000+9*1000+52))</f>
        <v/>
      </c>
      <c r="GE168" s="35">
        <f>IF(N('Dvd Calendar'!$Q$1656)=0,"",IF(('Dvd Calendar'!$Q$1656&gt;=GRID_FROM)*('Dvd Calendar'!$Q$1656&lt;=GRID_TO)*('Dvd Calendar'!$Q$1656&gt;VAL_DATE)=0,"",'Dvd Calendar'!$Q$1656*1000000000+ISNUMBER('Dvd Calendar'!$Q$1657)*100000000+0*10000000+(N('Dvd Calendar'!$Q$1655)&gt;0)*(N('Dvd Calendar'!$Q$1655)&lt;=VAL_SERIAL)*1000000+9*1000+53))</f>
        <v/>
      </c>
      <c r="GF168" s="35">
        <f>IF(N('Dvd Calendar'!$R$1656)=0,"",IF(('Dvd Calendar'!$R$1656&gt;=GRID_FROM)*('Dvd Calendar'!$R$1656&lt;=GRID_TO)*('Dvd Calendar'!$R$1656&gt;VAL_DATE)=0,"",'Dvd Calendar'!$R$1656*1000000000+ISNUMBER('Dvd Calendar'!$R$1657)*100000000+0*10000000+(N('Dvd Calendar'!$R$1655)&gt;0)*(N('Dvd Calendar'!$R$1655)&lt;=VAL_SERIAL)*1000000+9*1000+54))</f>
        <v/>
      </c>
      <c r="GG168" s="35">
        <f>IF(N('Dvd Calendar'!$S$1656)=0,"",IF(('Dvd Calendar'!$S$1656&gt;=GRID_FROM)*('Dvd Calendar'!$S$1656&lt;=GRID_TO)*('Dvd Calendar'!$S$1656&gt;VAL_DATE)=0,"",'Dvd Calendar'!$S$1656*1000000000+ISNUMBER('Dvd Calendar'!$S$1657)*100000000+0*10000000+(N('Dvd Calendar'!$S$1655)&gt;0)*(N('Dvd Calendar'!$S$1655)&lt;=VAL_SERIAL)*1000000+9*1000+55))</f>
        <v/>
      </c>
      <c r="GH168" s="35">
        <f>IF(N('Dvd Calendar'!$T$1656)=0,"",IF(('Dvd Calendar'!$T$1656&gt;=GRID_FROM)*('Dvd Calendar'!$T$1656&lt;=GRID_TO)*('Dvd Calendar'!$T$1656&gt;VAL_DATE)=0,"",'Dvd Calendar'!$T$1656*1000000000+ISNUMBER('Dvd Calendar'!$T$1657)*100000000+0*10000000+(N('Dvd Calendar'!$T$1655)&gt;0)*(N('Dvd Calendar'!$T$1655)&lt;=VAL_SERIAL)*1000000+9*1000+56))</f>
        <v/>
      </c>
      <c r="GI168" s="35">
        <f>IF(N('Dvd Calendar'!$U$1656)=0,"",IF(('Dvd Calendar'!$U$1656&gt;=GRID_FROM)*('Dvd Calendar'!$U$1656&lt;=GRID_TO)*('Dvd Calendar'!$U$1656&gt;VAL_DATE)=0,"",'Dvd Calendar'!$U$1656*1000000000+ISNUMBER('Dvd Calendar'!$U$1657)*100000000+0*10000000+(N('Dvd Calendar'!$U$1655)&gt;0)*(N('Dvd Calendar'!$U$1655)&lt;=VAL_SERIAL)*1000000+9*1000+57))</f>
        <v/>
      </c>
      <c r="GJ168" s="35">
        <f>IF(N('Dvd Calendar'!$V$1656)=0,"",IF(('Dvd Calendar'!$V$1656&gt;=GRID_FROM)*('Dvd Calendar'!$V$1656&lt;=GRID_TO)*('Dvd Calendar'!$V$1656&gt;VAL_DATE)=0,"",'Dvd Calendar'!$V$1656*1000000000+ISNUMBER('Dvd Calendar'!$V$1657)*100000000+0*10000000+(N('Dvd Calendar'!$V$1655)&gt;0)*(N('Dvd Calendar'!$V$1655)&lt;=VAL_SERIAL)*1000000+9*1000+58))</f>
        <v/>
      </c>
      <c r="GK168" s="35">
        <f>IF(N('Dvd Calendar'!$W$1656)=0,"",IF(('Dvd Calendar'!$W$1656&gt;=GRID_FROM)*('Dvd Calendar'!$W$1656&lt;=GRID_TO)*('Dvd Calendar'!$W$1656&gt;VAL_DATE)=0,"",'Dvd Calendar'!$W$1656*1000000000+ISNUMBER('Dvd Calendar'!$W$1657)*100000000+0*10000000+(N('Dvd Calendar'!$W$1655)&gt;0)*(N('Dvd Calendar'!$W$1655)&lt;=VAL_SERIAL)*1000000+9*1000+59))</f>
        <v/>
      </c>
      <c r="GL168" s="35">
        <f>IF(N('Dvd Calendar'!$X$1656)=0,"",IF(('Dvd Calendar'!$X$1656&gt;=GRID_FROM)*('Dvd Calendar'!$X$1656&lt;=GRID_TO)*('Dvd Calendar'!$X$1656&gt;VAL_DATE)=0,"",'Dvd Calendar'!$X$1656*1000000000+ISNUMBER('Dvd Calendar'!$X$1657)*100000000+0*10000000+(N('Dvd Calendar'!$X$1655)&gt;0)*(N('Dvd Calendar'!$X$1655)&lt;=VAL_SERIAL)*1000000+9*1000+60))</f>
        <v/>
      </c>
      <c r="GM168" s="35">
        <f>IF(N('Dvd Calendar'!$Y$1656)=0,"",IF(('Dvd Calendar'!$Y$1656&gt;=GRID_FROM)*('Dvd Calendar'!$Y$1656&lt;=GRID_TO)*('Dvd Calendar'!$Y$1656&gt;VAL_DATE)=0,"",'Dvd Calendar'!$Y$1656*1000000000+ISNUMBER('Dvd Calendar'!$Y$1657)*100000000+0*10000000+(N('Dvd Calendar'!$Y$1655)&gt;0)*(N('Dvd Calendar'!$Y$1655)&lt;=VAL_SERIAL)*1000000+9*1000+61))</f>
        <v/>
      </c>
      <c r="GN168" s="35">
        <f>IF(N('Dvd Calendar'!$Z$1656)=0,"",IF(('Dvd Calendar'!$Z$1656&gt;=GRID_FROM)*('Dvd Calendar'!$Z$1656&lt;=GRID_TO)*('Dvd Calendar'!$Z$1656&gt;VAL_DATE)=0,"",'Dvd Calendar'!$Z$1656*1000000000+ISNUMBER('Dvd Calendar'!$Z$1657)*100000000+0*10000000+(N('Dvd Calendar'!$Z$1655)&gt;0)*(N('Dvd Calendar'!$Z$1655)&lt;=VAL_SERIAL)*1000000+9*1000+62))</f>
        <v/>
      </c>
      <c r="GO168" s="35">
        <f>IF(N('Dvd Calendar'!$AA$1656)=0,"",IF(('Dvd Calendar'!$AA$1656&gt;=GRID_FROM)*('Dvd Calendar'!$AA$1656&lt;=GRID_TO)*('Dvd Calendar'!$AA$1656&gt;VAL_DATE)=0,"",'Dvd Calendar'!$AA$1656*1000000000+ISNUMBER('Dvd Calendar'!$AA$1657)*100000000+0*10000000+(N('Dvd Calendar'!$AA$1655)&gt;0)*(N('Dvd Calendar'!$AA$1655)&lt;=VAL_SERIAL)*1000000+9*1000+63))</f>
        <v/>
      </c>
      <c r="GP168" s="35">
        <f>IF(N('Dvd Calendar'!$AB$1656)=0,"",IF(('Dvd Calendar'!$AB$1656&gt;=GRID_FROM)*('Dvd Calendar'!$AB$1656&lt;=GRID_TO)*('Dvd Calendar'!$AB$1656&gt;VAL_DATE)=0,"",'Dvd Calendar'!$AB$1656*1000000000+ISNUMBER('Dvd Calendar'!$AB$1657)*100000000+0*10000000+(N('Dvd Calendar'!$AB$1655)&gt;0)*(N('Dvd Calendar'!$AB$1655)&lt;=VAL_SERIAL)*1000000+9*1000+64))</f>
        <v/>
      </c>
      <c r="GQ168" s="35">
        <f>IF(N('Dvd Calendar'!$AC$1656)=0,"",IF(('Dvd Calendar'!$AC$1656&gt;=GRID_FROM)*('Dvd Calendar'!$AC$1656&lt;=GRID_TO)*('Dvd Calendar'!$AC$1656&gt;VAL_DATE)=0,"",'Dvd Calendar'!$AC$1656*1000000000+ISNUMBER('Dvd Calendar'!$AC$1657)*100000000+0*10000000+(N('Dvd Calendar'!$AC$1655)&gt;0)*(N('Dvd Calendar'!$AC$1655)&lt;=VAL_SERIAL)*1000000+9*1000+65))</f>
        <v/>
      </c>
    </row>
    <row r="169">
      <c r="B169" s="2">
        <f>IF(HSCEI!$C$16="","",HSCEI!$C$16)</f>
        <v/>
      </c>
      <c r="C169" s="106">
        <f>IF(EE169="","",IF(ISNUMBER('Dvd Calendar'!$E$1663)=FALSE,"",IF((('Dvd Calendar'!$E$1665=TYPE1)*(TYPE1&lt;&gt;"")+('Dvd Calendar'!$E$1665=TYPE2)*(TYPE2&lt;&gt;"")+('Dvd Calendar'!$E$1665=TYPE3)*(TYPE3&lt;&gt;"")+('Dvd Calendar'!$E$1665=TYPE4)*(TYPE4&lt;&gt;"")+('Dvd Calendar'!$E$1665=SPECIAL_LBL)*(INC_SPECIALS="Y"))=0,"",'Dvd Calendar'!$E$1663)))</f>
        <v/>
      </c>
      <c r="D169" s="106">
        <f>IF(EF169="","",IF(ISNUMBER('Dvd Calendar'!$F$1663)=FALSE,"",IF((('Dvd Calendar'!$F$1665=TYPE1)*(TYPE1&lt;&gt;"")+('Dvd Calendar'!$F$1665=TYPE2)*(TYPE2&lt;&gt;"")+('Dvd Calendar'!$F$1665=TYPE3)*(TYPE3&lt;&gt;"")+('Dvd Calendar'!$F$1665=TYPE4)*(TYPE4&lt;&gt;"")+('Dvd Calendar'!$F$1665=SPECIAL_LBL)*(INC_SPECIALS="Y"))=0,"",'Dvd Calendar'!$F$1663)))</f>
        <v/>
      </c>
      <c r="E169" s="106">
        <f>IF(EG169="","",IF(ISNUMBER('Dvd Calendar'!$G$1663)=FALSE,"",IF((('Dvd Calendar'!$G$1665=TYPE1)*(TYPE1&lt;&gt;"")+('Dvd Calendar'!$G$1665=TYPE2)*(TYPE2&lt;&gt;"")+('Dvd Calendar'!$G$1665=TYPE3)*(TYPE3&lt;&gt;"")+('Dvd Calendar'!$G$1665=TYPE4)*(TYPE4&lt;&gt;"")+('Dvd Calendar'!$G$1665=SPECIAL_LBL)*(INC_SPECIALS="Y"))=0,"",'Dvd Calendar'!$G$1663)))</f>
        <v/>
      </c>
      <c r="F169" s="106">
        <f>IF(EH169="","",IF(ISNUMBER('Dvd Calendar'!$H$1663)=FALSE,"",IF((('Dvd Calendar'!$H$1665=TYPE1)*(TYPE1&lt;&gt;"")+('Dvd Calendar'!$H$1665=TYPE2)*(TYPE2&lt;&gt;"")+('Dvd Calendar'!$H$1665=TYPE3)*(TYPE3&lt;&gt;"")+('Dvd Calendar'!$H$1665=TYPE4)*(TYPE4&lt;&gt;"")+('Dvd Calendar'!$H$1665=SPECIAL_LBL)*(INC_SPECIALS="Y"))=0,"",'Dvd Calendar'!$H$1663)))</f>
        <v/>
      </c>
      <c r="G169" s="106">
        <f>IF(EI169="","",IF(ISNUMBER('Dvd Calendar'!$I$1663)=FALSE,"",IF((('Dvd Calendar'!$I$1665=TYPE1)*(TYPE1&lt;&gt;"")+('Dvd Calendar'!$I$1665=TYPE2)*(TYPE2&lt;&gt;"")+('Dvd Calendar'!$I$1665=TYPE3)*(TYPE3&lt;&gt;"")+('Dvd Calendar'!$I$1665=TYPE4)*(TYPE4&lt;&gt;"")+('Dvd Calendar'!$I$1665=SPECIAL_LBL)*(INC_SPECIALS="Y"))=0,"",'Dvd Calendar'!$I$1663)))</f>
        <v/>
      </c>
      <c r="H169" s="106">
        <f>IF(EJ169="","",IF(ISNUMBER('Dvd Calendar'!$J$1663)=FALSE,"",IF((('Dvd Calendar'!$J$1665=TYPE1)*(TYPE1&lt;&gt;"")+('Dvd Calendar'!$J$1665=TYPE2)*(TYPE2&lt;&gt;"")+('Dvd Calendar'!$J$1665=TYPE3)*(TYPE3&lt;&gt;"")+('Dvd Calendar'!$J$1665=TYPE4)*(TYPE4&lt;&gt;"")+('Dvd Calendar'!$J$1665=SPECIAL_LBL)*(INC_SPECIALS="Y"))=0,"",'Dvd Calendar'!$J$1663)))</f>
        <v/>
      </c>
      <c r="I169" s="106">
        <f>IF(EK169="","",IF(ISNUMBER('Dvd Calendar'!$K$1663)=FALSE,"",IF((('Dvd Calendar'!$K$1665=TYPE1)*(TYPE1&lt;&gt;"")+('Dvd Calendar'!$K$1665=TYPE2)*(TYPE2&lt;&gt;"")+('Dvd Calendar'!$K$1665=TYPE3)*(TYPE3&lt;&gt;"")+('Dvd Calendar'!$K$1665=TYPE4)*(TYPE4&lt;&gt;"")+('Dvd Calendar'!$K$1665=SPECIAL_LBL)*(INC_SPECIALS="Y"))=0,"",'Dvd Calendar'!$K$1663)))</f>
        <v/>
      </c>
      <c r="J169" s="106">
        <f>IF(EL169="","",IF(ISNUMBER('Dvd Calendar'!$L$1663)=FALSE,"",IF((('Dvd Calendar'!$L$1665=TYPE1)*(TYPE1&lt;&gt;"")+('Dvd Calendar'!$L$1665=TYPE2)*(TYPE2&lt;&gt;"")+('Dvd Calendar'!$L$1665=TYPE3)*(TYPE3&lt;&gt;"")+('Dvd Calendar'!$L$1665=TYPE4)*(TYPE4&lt;&gt;"")+('Dvd Calendar'!$L$1665=SPECIAL_LBL)*(INC_SPECIALS="Y"))=0,"",'Dvd Calendar'!$L$1663)))</f>
        <v/>
      </c>
      <c r="K169" s="106">
        <f>IF(EM169="","",IF(ISNUMBER('Dvd Calendar'!$M$1663)=FALSE,"",IF((('Dvd Calendar'!$M$1665=TYPE1)*(TYPE1&lt;&gt;"")+('Dvd Calendar'!$M$1665=TYPE2)*(TYPE2&lt;&gt;"")+('Dvd Calendar'!$M$1665=TYPE3)*(TYPE3&lt;&gt;"")+('Dvd Calendar'!$M$1665=TYPE4)*(TYPE4&lt;&gt;"")+('Dvd Calendar'!$M$1665=SPECIAL_LBL)*(INC_SPECIALS="Y"))=0,"",'Dvd Calendar'!$M$1663)))</f>
        <v/>
      </c>
      <c r="L169" s="106">
        <f>IF(EN169="","",IF(ISNUMBER('Dvd Calendar'!$N$1663)=FALSE,"",IF((('Dvd Calendar'!$N$1665=TYPE1)*(TYPE1&lt;&gt;"")+('Dvd Calendar'!$N$1665=TYPE2)*(TYPE2&lt;&gt;"")+('Dvd Calendar'!$N$1665=TYPE3)*(TYPE3&lt;&gt;"")+('Dvd Calendar'!$N$1665=TYPE4)*(TYPE4&lt;&gt;"")+('Dvd Calendar'!$N$1665=SPECIAL_LBL)*(INC_SPECIALS="Y"))=0,"",'Dvd Calendar'!$N$1663)))</f>
        <v/>
      </c>
      <c r="M169" s="106">
        <f>IF(EO169="","",IF(ISNUMBER('Dvd Calendar'!$O$1663)=FALSE,"",IF((('Dvd Calendar'!$O$1665=TYPE1)*(TYPE1&lt;&gt;"")+('Dvd Calendar'!$O$1665=TYPE2)*(TYPE2&lt;&gt;"")+('Dvd Calendar'!$O$1665=TYPE3)*(TYPE3&lt;&gt;"")+('Dvd Calendar'!$O$1665=TYPE4)*(TYPE4&lt;&gt;"")+('Dvd Calendar'!$O$1665=SPECIAL_LBL)*(INC_SPECIALS="Y"))=0,"",'Dvd Calendar'!$O$1663)))</f>
        <v/>
      </c>
      <c r="N169" s="106">
        <f>IF(EP169="","",IF(ISNUMBER('Dvd Calendar'!$P$1663)=FALSE,"",IF((('Dvd Calendar'!$P$1665=TYPE1)*(TYPE1&lt;&gt;"")+('Dvd Calendar'!$P$1665=TYPE2)*(TYPE2&lt;&gt;"")+('Dvd Calendar'!$P$1665=TYPE3)*(TYPE3&lt;&gt;"")+('Dvd Calendar'!$P$1665=TYPE4)*(TYPE4&lt;&gt;"")+('Dvd Calendar'!$P$1665=SPECIAL_LBL)*(INC_SPECIALS="Y"))=0,"",'Dvd Calendar'!$P$1663)))</f>
        <v/>
      </c>
      <c r="O169" s="106">
        <f>IF(EQ169="","",IF(ISNUMBER('Dvd Calendar'!$Q$1663)=FALSE,"",IF((('Dvd Calendar'!$Q$1665=TYPE1)*(TYPE1&lt;&gt;"")+('Dvd Calendar'!$Q$1665=TYPE2)*(TYPE2&lt;&gt;"")+('Dvd Calendar'!$Q$1665=TYPE3)*(TYPE3&lt;&gt;"")+('Dvd Calendar'!$Q$1665=TYPE4)*(TYPE4&lt;&gt;"")+('Dvd Calendar'!$Q$1665=SPECIAL_LBL)*(INC_SPECIALS="Y"))=0,"",'Dvd Calendar'!$Q$1663)))</f>
        <v/>
      </c>
      <c r="P169" s="106">
        <f>IF(ER169="","",IF(ISNUMBER('Dvd Calendar'!$R$1663)=FALSE,"",IF((('Dvd Calendar'!$R$1665=TYPE1)*(TYPE1&lt;&gt;"")+('Dvd Calendar'!$R$1665=TYPE2)*(TYPE2&lt;&gt;"")+('Dvd Calendar'!$R$1665=TYPE3)*(TYPE3&lt;&gt;"")+('Dvd Calendar'!$R$1665=TYPE4)*(TYPE4&lt;&gt;"")+('Dvd Calendar'!$R$1665=SPECIAL_LBL)*(INC_SPECIALS="Y"))=0,"",'Dvd Calendar'!$R$1663)))</f>
        <v/>
      </c>
      <c r="Q169" s="106">
        <f>IF(ES169="","",IF(ISNUMBER('Dvd Calendar'!$S$1663)=FALSE,"",IF((('Dvd Calendar'!$S$1665=TYPE1)*(TYPE1&lt;&gt;"")+('Dvd Calendar'!$S$1665=TYPE2)*(TYPE2&lt;&gt;"")+('Dvd Calendar'!$S$1665=TYPE3)*(TYPE3&lt;&gt;"")+('Dvd Calendar'!$S$1665=TYPE4)*(TYPE4&lt;&gt;"")+('Dvd Calendar'!$S$1665=SPECIAL_LBL)*(INC_SPECIALS="Y"))=0,"",'Dvd Calendar'!$S$1663)))</f>
        <v/>
      </c>
      <c r="R169" s="106">
        <f>IF(ET169="","",IF(ISNUMBER('Dvd Calendar'!$T$1663)=FALSE,"",IF((('Dvd Calendar'!$T$1665=TYPE1)*(TYPE1&lt;&gt;"")+('Dvd Calendar'!$T$1665=TYPE2)*(TYPE2&lt;&gt;"")+('Dvd Calendar'!$T$1665=TYPE3)*(TYPE3&lt;&gt;"")+('Dvd Calendar'!$T$1665=TYPE4)*(TYPE4&lt;&gt;"")+('Dvd Calendar'!$T$1665=SPECIAL_LBL)*(INC_SPECIALS="Y"))=0,"",'Dvd Calendar'!$T$1663)))</f>
        <v/>
      </c>
      <c r="S169" s="106">
        <f>IF(EU169="","",IF(ISNUMBER('Dvd Calendar'!$U$1663)=FALSE,"",IF((('Dvd Calendar'!$U$1665=TYPE1)*(TYPE1&lt;&gt;"")+('Dvd Calendar'!$U$1665=TYPE2)*(TYPE2&lt;&gt;"")+('Dvd Calendar'!$U$1665=TYPE3)*(TYPE3&lt;&gt;"")+('Dvd Calendar'!$U$1665=TYPE4)*(TYPE4&lt;&gt;"")+('Dvd Calendar'!$U$1665=SPECIAL_LBL)*(INC_SPECIALS="Y"))=0,"",'Dvd Calendar'!$U$1663)))</f>
        <v/>
      </c>
      <c r="T169" s="106">
        <f>IF(EV169="","",IF(ISNUMBER('Dvd Calendar'!$V$1663)=FALSE,"",IF((('Dvd Calendar'!$V$1665=TYPE1)*(TYPE1&lt;&gt;"")+('Dvd Calendar'!$V$1665=TYPE2)*(TYPE2&lt;&gt;"")+('Dvd Calendar'!$V$1665=TYPE3)*(TYPE3&lt;&gt;"")+('Dvd Calendar'!$V$1665=TYPE4)*(TYPE4&lt;&gt;"")+('Dvd Calendar'!$V$1665=SPECIAL_LBL)*(INC_SPECIALS="Y"))=0,"",'Dvd Calendar'!$V$1663)))</f>
        <v/>
      </c>
      <c r="U169" s="106">
        <f>IF(EW169="","",IF(ISNUMBER('Dvd Calendar'!$W$1663)=FALSE,"",IF((('Dvd Calendar'!$W$1665=TYPE1)*(TYPE1&lt;&gt;"")+('Dvd Calendar'!$W$1665=TYPE2)*(TYPE2&lt;&gt;"")+('Dvd Calendar'!$W$1665=TYPE3)*(TYPE3&lt;&gt;"")+('Dvd Calendar'!$W$1665=TYPE4)*(TYPE4&lt;&gt;"")+('Dvd Calendar'!$W$1665=SPECIAL_LBL)*(INC_SPECIALS="Y"))=0,"",'Dvd Calendar'!$W$1663)))</f>
        <v/>
      </c>
      <c r="V169" s="106">
        <f>IF(EX169="","",IF(ISNUMBER('Dvd Calendar'!$X$1663)=FALSE,"",IF((('Dvd Calendar'!$X$1665=TYPE1)*(TYPE1&lt;&gt;"")+('Dvd Calendar'!$X$1665=TYPE2)*(TYPE2&lt;&gt;"")+('Dvd Calendar'!$X$1665=TYPE3)*(TYPE3&lt;&gt;"")+('Dvd Calendar'!$X$1665=TYPE4)*(TYPE4&lt;&gt;"")+('Dvd Calendar'!$X$1665=SPECIAL_LBL)*(INC_SPECIALS="Y"))=0,"",'Dvd Calendar'!$X$1663)))</f>
        <v/>
      </c>
      <c r="W169" s="106">
        <f>IF(EY169="","",IF(ISNUMBER('Dvd Calendar'!$Y$1663)=FALSE,"",IF((('Dvd Calendar'!$Y$1665=TYPE1)*(TYPE1&lt;&gt;"")+('Dvd Calendar'!$Y$1665=TYPE2)*(TYPE2&lt;&gt;"")+('Dvd Calendar'!$Y$1665=TYPE3)*(TYPE3&lt;&gt;"")+('Dvd Calendar'!$Y$1665=TYPE4)*(TYPE4&lt;&gt;"")+('Dvd Calendar'!$Y$1665=SPECIAL_LBL)*(INC_SPECIALS="Y"))=0,"",'Dvd Calendar'!$Y$1663)))</f>
        <v/>
      </c>
      <c r="X169" s="106">
        <f>IF(EZ169="","",IF(ISNUMBER('Dvd Calendar'!$Z$1663)=FALSE,"",IF((('Dvd Calendar'!$Z$1665=TYPE1)*(TYPE1&lt;&gt;"")+('Dvd Calendar'!$Z$1665=TYPE2)*(TYPE2&lt;&gt;"")+('Dvd Calendar'!$Z$1665=TYPE3)*(TYPE3&lt;&gt;"")+('Dvd Calendar'!$Z$1665=TYPE4)*(TYPE4&lt;&gt;"")+('Dvd Calendar'!$Z$1665=SPECIAL_LBL)*(INC_SPECIALS="Y"))=0,"",'Dvd Calendar'!$Z$1663)))</f>
        <v/>
      </c>
      <c r="Y169" s="106">
        <f>IF(FA169="","",IF(ISNUMBER('Dvd Calendar'!$AA$1663)=FALSE,"",IF((('Dvd Calendar'!$AA$1665=TYPE1)*(TYPE1&lt;&gt;"")+('Dvd Calendar'!$AA$1665=TYPE2)*(TYPE2&lt;&gt;"")+('Dvd Calendar'!$AA$1665=TYPE3)*(TYPE3&lt;&gt;"")+('Dvd Calendar'!$AA$1665=TYPE4)*(TYPE4&lt;&gt;"")+('Dvd Calendar'!$AA$1665=SPECIAL_LBL)*(INC_SPECIALS="Y"))=0,"",'Dvd Calendar'!$AA$1663)))</f>
        <v/>
      </c>
      <c r="Z169" s="106">
        <f>IF(FB169="","",IF(ISNUMBER('Dvd Calendar'!$AB$1663)=FALSE,"",IF((('Dvd Calendar'!$AB$1665=TYPE1)*(TYPE1&lt;&gt;"")+('Dvd Calendar'!$AB$1665=TYPE2)*(TYPE2&lt;&gt;"")+('Dvd Calendar'!$AB$1665=TYPE3)*(TYPE3&lt;&gt;"")+('Dvd Calendar'!$AB$1665=TYPE4)*(TYPE4&lt;&gt;"")+('Dvd Calendar'!$AB$1665=SPECIAL_LBL)*(INC_SPECIALS="Y"))=0,"",'Dvd Calendar'!$AB$1663)))</f>
        <v/>
      </c>
      <c r="AA169" s="106">
        <f>IF(FC169="","",IF(ISNUMBER('Dvd Calendar'!$AC$1663)=FALSE,"",IF((('Dvd Calendar'!$AC$1665=TYPE1)*(TYPE1&lt;&gt;"")+('Dvd Calendar'!$AC$1665=TYPE2)*(TYPE2&lt;&gt;"")+('Dvd Calendar'!$AC$1665=TYPE3)*(TYPE3&lt;&gt;"")+('Dvd Calendar'!$AC$1665=TYPE4)*(TYPE4&lt;&gt;"")+('Dvd Calendar'!$AC$1665=SPECIAL_LBL)*(INC_SPECIALS="Y"))=0,"",'Dvd Calendar'!$AC$1663)))</f>
        <v/>
      </c>
      <c r="AB169" s="106">
        <f>IF(FD169="","",IF(ISNUMBER('Dvd Calendar'!$AD$1663)=FALSE,"",IF((('Dvd Calendar'!$AD$1665=TYPE1)*(TYPE1&lt;&gt;"")+('Dvd Calendar'!$AD$1665=TYPE2)*(TYPE2&lt;&gt;"")+('Dvd Calendar'!$AD$1665=TYPE3)*(TYPE3&lt;&gt;"")+('Dvd Calendar'!$AD$1665=TYPE4)*(TYPE4&lt;&gt;"")+('Dvd Calendar'!$AD$1665=SPECIAL_LBL)*(INC_SPECIALS="Y"))=0,"",'Dvd Calendar'!$AD$1663)))</f>
        <v/>
      </c>
      <c r="AC169" s="106">
        <f>IF(FE169="","",IF(ISNUMBER('Dvd Calendar'!$AE$1663)=FALSE,"",IF((('Dvd Calendar'!$AE$1665=TYPE1)*(TYPE1&lt;&gt;"")+('Dvd Calendar'!$AE$1665=TYPE2)*(TYPE2&lt;&gt;"")+('Dvd Calendar'!$AE$1665=TYPE3)*(TYPE3&lt;&gt;"")+('Dvd Calendar'!$AE$1665=TYPE4)*(TYPE4&lt;&gt;"")+('Dvd Calendar'!$AE$1665=SPECIAL_LBL)*(INC_SPECIALS="Y"))=0,"",'Dvd Calendar'!$AE$1663)))</f>
        <v/>
      </c>
      <c r="AD169" s="106">
        <f>IF(FF169="","",IF(ISNUMBER('Dvd Calendar'!$AF$1663)=FALSE,"",IF((('Dvd Calendar'!$AF$1665=TYPE1)*(TYPE1&lt;&gt;"")+('Dvd Calendar'!$AF$1665=TYPE2)*(TYPE2&lt;&gt;"")+('Dvd Calendar'!$AF$1665=TYPE3)*(TYPE3&lt;&gt;"")+('Dvd Calendar'!$AF$1665=TYPE4)*(TYPE4&lt;&gt;"")+('Dvd Calendar'!$AF$1665=SPECIAL_LBL)*(INC_SPECIALS="Y"))=0,"",'Dvd Calendar'!$AF$1663)))</f>
        <v/>
      </c>
      <c r="AE169" s="106">
        <f>IF(FG169="","",IF(ISNUMBER('Dvd Calendar'!$AG$1663)=FALSE,"",IF((('Dvd Calendar'!$AG$1665=TYPE1)*(TYPE1&lt;&gt;"")+('Dvd Calendar'!$AG$1665=TYPE2)*(TYPE2&lt;&gt;"")+('Dvd Calendar'!$AG$1665=TYPE3)*(TYPE3&lt;&gt;"")+('Dvd Calendar'!$AG$1665=TYPE4)*(TYPE4&lt;&gt;"")+('Dvd Calendar'!$AG$1665=SPECIAL_LBL)*(INC_SPECIALS="Y"))=0,"",'Dvd Calendar'!$AG$1663)))</f>
        <v/>
      </c>
      <c r="AF169" s="106">
        <f>IF(FH169="","",IF(ISNUMBER('Dvd Calendar'!$AH$1663)=FALSE,"",IF((('Dvd Calendar'!$AH$1665=TYPE1)*(TYPE1&lt;&gt;"")+('Dvd Calendar'!$AH$1665=TYPE2)*(TYPE2&lt;&gt;"")+('Dvd Calendar'!$AH$1665=TYPE3)*(TYPE3&lt;&gt;"")+('Dvd Calendar'!$AH$1665=TYPE4)*(TYPE4&lt;&gt;"")+('Dvd Calendar'!$AH$1665=SPECIAL_LBL)*(INC_SPECIALS="Y"))=0,"",'Dvd Calendar'!$AH$1663)))</f>
        <v/>
      </c>
      <c r="AG169" s="106">
        <f>IF(FI169="","",IF(ISNUMBER('Dvd Calendar'!$AI$1663)=FALSE,"",IF((('Dvd Calendar'!$AI$1665=TYPE1)*(TYPE1&lt;&gt;"")+('Dvd Calendar'!$AI$1665=TYPE2)*(TYPE2&lt;&gt;"")+('Dvd Calendar'!$AI$1665=TYPE3)*(TYPE3&lt;&gt;"")+('Dvd Calendar'!$AI$1665=TYPE4)*(TYPE4&lt;&gt;"")+('Dvd Calendar'!$AI$1665=SPECIAL_LBL)*(INC_SPECIALS="Y"))=0,"",'Dvd Calendar'!$AI$1663)))</f>
        <v/>
      </c>
      <c r="AH169" s="106">
        <f>IF(FJ169="","",IF(ISNUMBER('Dvd Calendar'!$AJ$1663)=FALSE,"",IF((('Dvd Calendar'!$AJ$1665=TYPE1)*(TYPE1&lt;&gt;"")+('Dvd Calendar'!$AJ$1665=TYPE2)*(TYPE2&lt;&gt;"")+('Dvd Calendar'!$AJ$1665=TYPE3)*(TYPE3&lt;&gt;"")+('Dvd Calendar'!$AJ$1665=TYPE4)*(TYPE4&lt;&gt;"")+('Dvd Calendar'!$AJ$1665=SPECIAL_LBL)*(INC_SPECIALS="Y"))=0,"",'Dvd Calendar'!$AJ$1663)))</f>
        <v/>
      </c>
      <c r="AI169" s="106">
        <f>IF(FK169="","",IF(ISNUMBER('Dvd Calendar'!$AK$1663)=FALSE,"",IF((('Dvd Calendar'!$AK$1665=TYPE1)*(TYPE1&lt;&gt;"")+('Dvd Calendar'!$AK$1665=TYPE2)*(TYPE2&lt;&gt;"")+('Dvd Calendar'!$AK$1665=TYPE3)*(TYPE3&lt;&gt;"")+('Dvd Calendar'!$AK$1665=TYPE4)*(TYPE4&lt;&gt;"")+('Dvd Calendar'!$AK$1665=SPECIAL_LBL)*(INC_SPECIALS="Y"))=0,"",'Dvd Calendar'!$AK$1663)))</f>
        <v/>
      </c>
      <c r="AJ169" s="106">
        <f>IF(FL169="","",IF(ISNUMBER('Dvd Calendar'!$AL$1663)=FALSE,"",IF((('Dvd Calendar'!$AL$1665=TYPE1)*(TYPE1&lt;&gt;"")+('Dvd Calendar'!$AL$1665=TYPE2)*(TYPE2&lt;&gt;"")+('Dvd Calendar'!$AL$1665=TYPE3)*(TYPE3&lt;&gt;"")+('Dvd Calendar'!$AL$1665=TYPE4)*(TYPE4&lt;&gt;"")+('Dvd Calendar'!$AL$1665=SPECIAL_LBL)*(INC_SPECIALS="Y"))=0,"",'Dvd Calendar'!$AL$1663)))</f>
        <v/>
      </c>
      <c r="AK169" s="106">
        <f>IF(FM169="","",IF(ISNUMBER('Dvd Calendar'!$AM$1663)=FALSE,"",IF((('Dvd Calendar'!$AM$1665=TYPE1)*(TYPE1&lt;&gt;"")+('Dvd Calendar'!$AM$1665=TYPE2)*(TYPE2&lt;&gt;"")+('Dvd Calendar'!$AM$1665=TYPE3)*(TYPE3&lt;&gt;"")+('Dvd Calendar'!$AM$1665=TYPE4)*(TYPE4&lt;&gt;"")+('Dvd Calendar'!$AM$1665=SPECIAL_LBL)*(INC_SPECIALS="Y"))=0,"",'Dvd Calendar'!$AM$1663)))</f>
        <v/>
      </c>
      <c r="AL169" s="106">
        <f>IF(FN169="","",IF(ISNUMBER('Dvd Calendar'!$AN$1663)=FALSE,"",IF((('Dvd Calendar'!$AN$1665=TYPE1)*(TYPE1&lt;&gt;"")+('Dvd Calendar'!$AN$1665=TYPE2)*(TYPE2&lt;&gt;"")+('Dvd Calendar'!$AN$1665=TYPE3)*(TYPE3&lt;&gt;"")+('Dvd Calendar'!$AN$1665=TYPE4)*(TYPE4&lt;&gt;"")+('Dvd Calendar'!$AN$1665=SPECIAL_LBL)*(INC_SPECIALS="Y"))=0,"",'Dvd Calendar'!$AN$1663)))</f>
        <v/>
      </c>
      <c r="AM169" s="106">
        <f>IF(FO169="","",IF(ISNUMBER('Dvd Calendar'!$AO$1663)=FALSE,"",IF((('Dvd Calendar'!$AO$1665=TYPE1)*(TYPE1&lt;&gt;"")+('Dvd Calendar'!$AO$1665=TYPE2)*(TYPE2&lt;&gt;"")+('Dvd Calendar'!$AO$1665=TYPE3)*(TYPE3&lt;&gt;"")+('Dvd Calendar'!$AO$1665=TYPE4)*(TYPE4&lt;&gt;"")+('Dvd Calendar'!$AO$1665=SPECIAL_LBL)*(INC_SPECIALS="Y"))=0,"",'Dvd Calendar'!$AO$1663)))</f>
        <v/>
      </c>
      <c r="AN169" s="106">
        <f>IF(FP169="","",IF(ISNUMBER('Dvd Calendar'!$AP$1663)=FALSE,"",IF((('Dvd Calendar'!$AP$1665=TYPE1)*(TYPE1&lt;&gt;"")+('Dvd Calendar'!$AP$1665=TYPE2)*(TYPE2&lt;&gt;"")+('Dvd Calendar'!$AP$1665=TYPE3)*(TYPE3&lt;&gt;"")+('Dvd Calendar'!$AP$1665=TYPE4)*(TYPE4&lt;&gt;"")+('Dvd Calendar'!$AP$1665=SPECIAL_LBL)*(INC_SPECIALS="Y"))=0,"",'Dvd Calendar'!$AP$1663)))</f>
        <v/>
      </c>
      <c r="AO169" s="106">
        <f>IF(FQ169="","",IF(ISNUMBER('Dvd Calendar'!$AQ$1663)=FALSE,"",IF((('Dvd Calendar'!$AQ$1665=TYPE1)*(TYPE1&lt;&gt;"")+('Dvd Calendar'!$AQ$1665=TYPE2)*(TYPE2&lt;&gt;"")+('Dvd Calendar'!$AQ$1665=TYPE3)*(TYPE3&lt;&gt;"")+('Dvd Calendar'!$AQ$1665=TYPE4)*(TYPE4&lt;&gt;"")+('Dvd Calendar'!$AQ$1665=SPECIAL_LBL)*(INC_SPECIALS="Y"))=0,"",'Dvd Calendar'!$AQ$1663)))</f>
        <v/>
      </c>
      <c r="AP169" s="106">
        <f>IF(FR169="","",IF(ISNUMBER('Dvd Calendar'!$AR$1663)=FALSE,"",IF((('Dvd Calendar'!$AR$1665=TYPE1)*(TYPE1&lt;&gt;"")+('Dvd Calendar'!$AR$1665=TYPE2)*(TYPE2&lt;&gt;"")+('Dvd Calendar'!$AR$1665=TYPE3)*(TYPE3&lt;&gt;"")+('Dvd Calendar'!$AR$1665=TYPE4)*(TYPE4&lt;&gt;"")+('Dvd Calendar'!$AR$1665=SPECIAL_LBL)*(INC_SPECIALS="Y"))=0,"",'Dvd Calendar'!$AR$1663)))</f>
        <v/>
      </c>
      <c r="AQ169" s="106">
        <f>IF(FS169="","",IF(ISNUMBER('Dvd Calendar'!$E$1668)=FALSE,"",'Dvd Calendar'!$E$1668))</f>
        <v/>
      </c>
      <c r="AR169" s="106">
        <f>IF(FT169="","",IF(ISNUMBER('Dvd Calendar'!$F$1668)=FALSE,"",'Dvd Calendar'!$F$1668))</f>
        <v/>
      </c>
      <c r="AS169" s="106">
        <f>IF(FU169="","",IF(ISNUMBER('Dvd Calendar'!$G$1668)=FALSE,"",'Dvd Calendar'!$G$1668))</f>
        <v/>
      </c>
      <c r="AT169" s="106">
        <f>IF(FV169="","",IF(ISNUMBER('Dvd Calendar'!$H$1668)=FALSE,"",'Dvd Calendar'!$H$1668))</f>
        <v/>
      </c>
      <c r="AU169" s="106">
        <f>IF(FW169="","",IF(ISNUMBER('Dvd Calendar'!$I$1668)=FALSE,"",'Dvd Calendar'!$I$1668))</f>
        <v/>
      </c>
      <c r="AV169" s="106">
        <f>IF(FX169="","",IF(ISNUMBER('Dvd Calendar'!$J$1668)=FALSE,"",'Dvd Calendar'!$J$1668))</f>
        <v/>
      </c>
      <c r="AW169" s="106">
        <f>IF(FY169="","",IF(ISNUMBER('Dvd Calendar'!$K$1668)=FALSE,"",'Dvd Calendar'!$K$1668))</f>
        <v/>
      </c>
      <c r="AX169" s="106">
        <f>IF(FZ169="","",IF(ISNUMBER('Dvd Calendar'!$L$1668)=FALSE,"",'Dvd Calendar'!$L$1668))</f>
        <v/>
      </c>
      <c r="AY169" s="106">
        <f>IF(GA169="","",IF(ISNUMBER('Dvd Calendar'!$M$1668)=FALSE,"",'Dvd Calendar'!$M$1668))</f>
        <v/>
      </c>
      <c r="AZ169" s="106">
        <f>IF(GB169="","",IF(ISNUMBER('Dvd Calendar'!$N$1668)=FALSE,"",'Dvd Calendar'!$N$1668))</f>
        <v/>
      </c>
      <c r="BA169" s="106">
        <f>IF(GC169="","",IF(ISNUMBER('Dvd Calendar'!$O$1668)=FALSE,"",'Dvd Calendar'!$O$1668))</f>
        <v/>
      </c>
      <c r="BB169" s="106">
        <f>IF(GD169="","",IF(ISNUMBER('Dvd Calendar'!$P$1668)=FALSE,"",'Dvd Calendar'!$P$1668))</f>
        <v/>
      </c>
      <c r="BC169" s="106">
        <f>IF(GE169="","",IF(ISNUMBER('Dvd Calendar'!$Q$1668)=FALSE,"",'Dvd Calendar'!$Q$1668))</f>
        <v/>
      </c>
      <c r="BD169" s="106">
        <f>IF(GF169="","",IF(ISNUMBER('Dvd Calendar'!$R$1668)=FALSE,"",'Dvd Calendar'!$R$1668))</f>
        <v/>
      </c>
      <c r="BE169" s="106">
        <f>IF(GG169="","",IF(ISNUMBER('Dvd Calendar'!$S$1668)=FALSE,"",'Dvd Calendar'!$S$1668))</f>
        <v/>
      </c>
      <c r="BF169" s="106">
        <f>IF(GH169="","",IF(ISNUMBER('Dvd Calendar'!$T$1668)=FALSE,"",'Dvd Calendar'!$T$1668))</f>
        <v/>
      </c>
      <c r="BG169" s="106">
        <f>IF(GI169="","",IF(ISNUMBER('Dvd Calendar'!$U$1668)=FALSE,"",'Dvd Calendar'!$U$1668))</f>
        <v/>
      </c>
      <c r="BH169" s="106">
        <f>IF(GJ169="","",IF(ISNUMBER('Dvd Calendar'!$V$1668)=FALSE,"",'Dvd Calendar'!$V$1668))</f>
        <v/>
      </c>
      <c r="BI169" s="106">
        <f>IF(GK169="","",IF(ISNUMBER('Dvd Calendar'!$W$1668)=FALSE,"",'Dvd Calendar'!$W$1668))</f>
        <v/>
      </c>
      <c r="BJ169" s="106">
        <f>IF(GL169="","",IF(ISNUMBER('Dvd Calendar'!$X$1668)=FALSE,"",'Dvd Calendar'!$X$1668))</f>
        <v/>
      </c>
      <c r="BK169" s="106">
        <f>IF(GM169="","",IF(ISNUMBER('Dvd Calendar'!$Y$1668)=FALSE,"",'Dvd Calendar'!$Y$1668))</f>
        <v/>
      </c>
      <c r="BL169" s="106">
        <f>IF(GN169="","",IF(ISNUMBER('Dvd Calendar'!$Z$1668)=FALSE,"",'Dvd Calendar'!$Z$1668))</f>
        <v/>
      </c>
      <c r="BM169" s="106">
        <f>IF(GO169="","",IF(ISNUMBER('Dvd Calendar'!$AA$1668)=FALSE,"",'Dvd Calendar'!$AA$1668))</f>
        <v/>
      </c>
      <c r="BN169" s="106">
        <f>IF(GP169="","",IF(ISNUMBER('Dvd Calendar'!$AB$1668)=FALSE,"",'Dvd Calendar'!$AB$1668))</f>
        <v/>
      </c>
      <c r="BO169" s="106">
        <f>IF(GQ169="","",IF(ISNUMBER('Dvd Calendar'!$AC$1668)=FALSE,"",'Dvd Calendar'!$AC$1668))</f>
        <v/>
      </c>
      <c r="BQ169" s="106">
        <f>IF(C169="","",IFERROR(C169*HSCEI!$B$16*HSCEI!$G$16/HSCEI!$B$3,""))</f>
        <v/>
      </c>
      <c r="BR169" s="106">
        <f>IF(D169="","",IFERROR(D169*HSCEI!$B$16*HSCEI!$G$16/HSCEI!$B$3,""))</f>
        <v/>
      </c>
      <c r="BS169" s="106">
        <f>IF(E169="","",IFERROR(E169*HSCEI!$B$16*HSCEI!$G$16/HSCEI!$B$3,""))</f>
        <v/>
      </c>
      <c r="BT169" s="106">
        <f>IF(F169="","",IFERROR(F169*HSCEI!$B$16*HSCEI!$G$16/HSCEI!$B$3,""))</f>
        <v/>
      </c>
      <c r="BU169" s="106">
        <f>IF(G169="","",IFERROR(G169*HSCEI!$B$16*HSCEI!$G$16/HSCEI!$B$3,""))</f>
        <v/>
      </c>
      <c r="BV169" s="106">
        <f>IF(H169="","",IFERROR(H169*HSCEI!$B$16*HSCEI!$G$16/HSCEI!$B$3,""))</f>
        <v/>
      </c>
      <c r="BW169" s="106">
        <f>IF(I169="","",IFERROR(I169*HSCEI!$B$16*HSCEI!$G$16/HSCEI!$B$3,""))</f>
        <v/>
      </c>
      <c r="BX169" s="106">
        <f>IF(J169="","",IFERROR(J169*HSCEI!$B$16*HSCEI!$G$16/HSCEI!$B$3,""))</f>
        <v/>
      </c>
      <c r="BY169" s="106">
        <f>IF(K169="","",IFERROR(K169*HSCEI!$B$16*HSCEI!$G$16/HSCEI!$B$3,""))</f>
        <v/>
      </c>
      <c r="BZ169" s="106">
        <f>IF(L169="","",IFERROR(L169*HSCEI!$B$16*HSCEI!$G$16/HSCEI!$B$3,""))</f>
        <v/>
      </c>
      <c r="CA169" s="106">
        <f>IF(M169="","",IFERROR(M169*HSCEI!$B$16*HSCEI!$G$16/HSCEI!$B$3,""))</f>
        <v/>
      </c>
      <c r="CB169" s="106">
        <f>IF(N169="","",IFERROR(N169*HSCEI!$B$16*HSCEI!$G$16/HSCEI!$B$3,""))</f>
        <v/>
      </c>
      <c r="CC169" s="106">
        <f>IF(O169="","",IFERROR(O169*HSCEI!$B$16*HSCEI!$G$16/HSCEI!$B$3,""))</f>
        <v/>
      </c>
      <c r="CD169" s="106">
        <f>IF(P169="","",IFERROR(P169*HSCEI!$B$16*HSCEI!$G$16/HSCEI!$B$3,""))</f>
        <v/>
      </c>
      <c r="CE169" s="106">
        <f>IF(Q169="","",IFERROR(Q169*HSCEI!$B$16*HSCEI!$G$16/HSCEI!$B$3,""))</f>
        <v/>
      </c>
      <c r="CF169" s="106">
        <f>IF(R169="","",IFERROR(R169*HSCEI!$B$16*HSCEI!$G$16/HSCEI!$B$3,""))</f>
        <v/>
      </c>
      <c r="CG169" s="106">
        <f>IF(S169="","",IFERROR(S169*HSCEI!$B$16*HSCEI!$G$16/HSCEI!$B$3,""))</f>
        <v/>
      </c>
      <c r="CH169" s="106">
        <f>IF(T169="","",IFERROR(T169*HSCEI!$B$16*HSCEI!$G$16/HSCEI!$B$3,""))</f>
        <v/>
      </c>
      <c r="CI169" s="106">
        <f>IF(U169="","",IFERROR(U169*HSCEI!$B$16*HSCEI!$G$16/HSCEI!$B$3,""))</f>
        <v/>
      </c>
      <c r="CJ169" s="106">
        <f>IF(V169="","",IFERROR(V169*HSCEI!$B$16*HSCEI!$G$16/HSCEI!$B$3,""))</f>
        <v/>
      </c>
      <c r="CK169" s="106">
        <f>IF(W169="","",IFERROR(W169*HSCEI!$B$16*HSCEI!$G$16/HSCEI!$B$3,""))</f>
        <v/>
      </c>
      <c r="CL169" s="106">
        <f>IF(X169="","",IFERROR(X169*HSCEI!$B$16*HSCEI!$G$16/HSCEI!$B$3,""))</f>
        <v/>
      </c>
      <c r="CM169" s="106">
        <f>IF(Y169="","",IFERROR(Y169*HSCEI!$B$16*HSCEI!$G$16/HSCEI!$B$3,""))</f>
        <v/>
      </c>
      <c r="CN169" s="106">
        <f>IF(Z169="","",IFERROR(Z169*HSCEI!$B$16*HSCEI!$G$16/HSCEI!$B$3,""))</f>
        <v/>
      </c>
      <c r="CO169" s="106">
        <f>IF(AA169="","",IFERROR(AA169*HSCEI!$B$16*HSCEI!$G$16/HSCEI!$B$3,""))</f>
        <v/>
      </c>
      <c r="CP169" s="106">
        <f>IF(AB169="","",IFERROR(AB169*HSCEI!$B$16*HSCEI!$G$16/HSCEI!$B$3,""))</f>
        <v/>
      </c>
      <c r="CQ169" s="106">
        <f>IF(AC169="","",IFERROR(AC169*HSCEI!$B$16*HSCEI!$G$16/HSCEI!$B$3,""))</f>
        <v/>
      </c>
      <c r="CR169" s="106">
        <f>IF(AD169="","",IFERROR(AD169*HSCEI!$B$16*HSCEI!$G$16/HSCEI!$B$3,""))</f>
        <v/>
      </c>
      <c r="CS169" s="106">
        <f>IF(AE169="","",IFERROR(AE169*HSCEI!$B$16*HSCEI!$G$16/HSCEI!$B$3,""))</f>
        <v/>
      </c>
      <c r="CT169" s="106">
        <f>IF(AF169="","",IFERROR(AF169*HSCEI!$B$16*HSCEI!$G$16/HSCEI!$B$3,""))</f>
        <v/>
      </c>
      <c r="CU169" s="106">
        <f>IF(AG169="","",IFERROR(AG169*HSCEI!$B$16*HSCEI!$G$16/HSCEI!$B$3,""))</f>
        <v/>
      </c>
      <c r="CV169" s="106">
        <f>IF(AH169="","",IFERROR(AH169*HSCEI!$B$16*HSCEI!$G$16/HSCEI!$B$3,""))</f>
        <v/>
      </c>
      <c r="CW169" s="106">
        <f>IF(AI169="","",IFERROR(AI169*HSCEI!$B$16*HSCEI!$G$16/HSCEI!$B$3,""))</f>
        <v/>
      </c>
      <c r="CX169" s="106">
        <f>IF(AJ169="","",IFERROR(AJ169*HSCEI!$B$16*HSCEI!$G$16/HSCEI!$B$3,""))</f>
        <v/>
      </c>
      <c r="CY169" s="106">
        <f>IF(AK169="","",IFERROR(AK169*HSCEI!$B$16*HSCEI!$G$16/HSCEI!$B$3,""))</f>
        <v/>
      </c>
      <c r="CZ169" s="106">
        <f>IF(AL169="","",IFERROR(AL169*HSCEI!$B$16*HSCEI!$G$16/HSCEI!$B$3,""))</f>
        <v/>
      </c>
      <c r="DA169" s="106">
        <f>IF(AM169="","",IFERROR(AM169*HSCEI!$B$16*HSCEI!$G$16/HSCEI!$B$3,""))</f>
        <v/>
      </c>
      <c r="DB169" s="106">
        <f>IF(AN169="","",IFERROR(AN169*HSCEI!$B$16*HSCEI!$G$16/HSCEI!$B$3,""))</f>
        <v/>
      </c>
      <c r="DC169" s="106">
        <f>IF(AO169="","",IFERROR(AO169*HSCEI!$B$16*HSCEI!$G$16/HSCEI!$B$3,""))</f>
        <v/>
      </c>
      <c r="DD169" s="106">
        <f>IF(AP169="","",IFERROR(AP169*HSCEI!$B$16*HSCEI!$G$16/HSCEI!$B$3,""))</f>
        <v/>
      </c>
      <c r="DE169" s="106">
        <f>IF(AQ169="","",IFERROR(AQ169*HSCEI!$B$16*HSCEI!$G$16/HSCEI!$B$3,""))</f>
        <v/>
      </c>
      <c r="DF169" s="106">
        <f>IF(AR169="","",IFERROR(AR169*HSCEI!$B$16*HSCEI!$G$16/HSCEI!$B$3,""))</f>
        <v/>
      </c>
      <c r="DG169" s="106">
        <f>IF(AS169="","",IFERROR(AS169*HSCEI!$B$16*HSCEI!$G$16/HSCEI!$B$3,""))</f>
        <v/>
      </c>
      <c r="DH169" s="106">
        <f>IF(AT169="","",IFERROR(AT169*HSCEI!$B$16*HSCEI!$G$16/HSCEI!$B$3,""))</f>
        <v/>
      </c>
      <c r="DI169" s="106">
        <f>IF(AU169="","",IFERROR(AU169*HSCEI!$B$16*HSCEI!$G$16/HSCEI!$B$3,""))</f>
        <v/>
      </c>
      <c r="DJ169" s="106">
        <f>IF(AV169="","",IFERROR(AV169*HSCEI!$B$16*HSCEI!$G$16/HSCEI!$B$3,""))</f>
        <v/>
      </c>
      <c r="DK169" s="106">
        <f>IF(AW169="","",IFERROR(AW169*HSCEI!$B$16*HSCEI!$G$16/HSCEI!$B$3,""))</f>
        <v/>
      </c>
      <c r="DL169" s="106">
        <f>IF(AX169="","",IFERROR(AX169*HSCEI!$B$16*HSCEI!$G$16/HSCEI!$B$3,""))</f>
        <v/>
      </c>
      <c r="DM169" s="106">
        <f>IF(AY169="","",IFERROR(AY169*HSCEI!$B$16*HSCEI!$G$16/HSCEI!$B$3,""))</f>
        <v/>
      </c>
      <c r="DN169" s="106">
        <f>IF(AZ169="","",IFERROR(AZ169*HSCEI!$B$16*HSCEI!$G$16/HSCEI!$B$3,""))</f>
        <v/>
      </c>
      <c r="DO169" s="106">
        <f>IF(BA169="","",IFERROR(BA169*HSCEI!$B$16*HSCEI!$G$16/HSCEI!$B$3,""))</f>
        <v/>
      </c>
      <c r="DP169" s="106">
        <f>IF(BB169="","",IFERROR(BB169*HSCEI!$B$16*HSCEI!$G$16/HSCEI!$B$3,""))</f>
        <v/>
      </c>
      <c r="DQ169" s="106">
        <f>IF(BC169="","",IFERROR(BC169*HSCEI!$B$16*HSCEI!$G$16/HSCEI!$B$3,""))</f>
        <v/>
      </c>
      <c r="DR169" s="106">
        <f>IF(BD169="","",IFERROR(BD169*HSCEI!$B$16*HSCEI!$G$16/HSCEI!$B$3,""))</f>
        <v/>
      </c>
      <c r="DS169" s="106">
        <f>IF(BE169="","",IFERROR(BE169*HSCEI!$B$16*HSCEI!$G$16/HSCEI!$B$3,""))</f>
        <v/>
      </c>
      <c r="DT169" s="106">
        <f>IF(BF169="","",IFERROR(BF169*HSCEI!$B$16*HSCEI!$G$16/HSCEI!$B$3,""))</f>
        <v/>
      </c>
      <c r="DU169" s="106">
        <f>IF(BG169="","",IFERROR(BG169*HSCEI!$B$16*HSCEI!$G$16/HSCEI!$B$3,""))</f>
        <v/>
      </c>
      <c r="DV169" s="106">
        <f>IF(BH169="","",IFERROR(BH169*HSCEI!$B$16*HSCEI!$G$16/HSCEI!$B$3,""))</f>
        <v/>
      </c>
      <c r="DW169" s="106">
        <f>IF(BI169="","",IFERROR(BI169*HSCEI!$B$16*HSCEI!$G$16/HSCEI!$B$3,""))</f>
        <v/>
      </c>
      <c r="DX169" s="106">
        <f>IF(BJ169="","",IFERROR(BJ169*HSCEI!$B$16*HSCEI!$G$16/HSCEI!$B$3,""))</f>
        <v/>
      </c>
      <c r="DY169" s="106">
        <f>IF(BK169="","",IFERROR(BK169*HSCEI!$B$16*HSCEI!$G$16/HSCEI!$B$3,""))</f>
        <v/>
      </c>
      <c r="DZ169" s="106">
        <f>IF(BL169="","",IFERROR(BL169*HSCEI!$B$16*HSCEI!$G$16/HSCEI!$B$3,""))</f>
        <v/>
      </c>
      <c r="EA169" s="106">
        <f>IF(BM169="","",IFERROR(BM169*HSCEI!$B$16*HSCEI!$G$16/HSCEI!$B$3,""))</f>
        <v/>
      </c>
      <c r="EB169" s="106">
        <f>IF(BN169="","",IFERROR(BN169*HSCEI!$B$16*HSCEI!$G$16/HSCEI!$B$3,""))</f>
        <v/>
      </c>
      <c r="EC169" s="106">
        <f>IF(BO169="","",IFERROR(BO169*HSCEI!$B$16*HSCEI!$G$16/HSCEI!$B$3,""))</f>
        <v/>
      </c>
      <c r="EE169" s="35">
        <f>IF(N('Dvd Calendar'!$E$1660)=0,"",IF(('Dvd Calendar'!$E$1660&gt;=GRID_FROM)*('Dvd Calendar'!$E$1660&lt;=GRID_TO)*('Dvd Calendar'!$E$1660&lt;=VAL_DATE)=0,"",'Dvd Calendar'!$E$1660*1000000000+ISNUMBER('Dvd Calendar'!$E$1663)*100000000+('Dvd Calendar'!$E$1665=SPECIAL_LBL)*10000000+0*1000000+10*1000+1))</f>
        <v/>
      </c>
      <c r="EF169" s="35">
        <f>IF(N('Dvd Calendar'!$F$1660)=0,"",IF(('Dvd Calendar'!$F$1660&gt;=GRID_FROM)*('Dvd Calendar'!$F$1660&lt;=GRID_TO)*('Dvd Calendar'!$F$1660&lt;=VAL_DATE)=0,"",'Dvd Calendar'!$F$1660*1000000000+ISNUMBER('Dvd Calendar'!$F$1663)*100000000+('Dvd Calendar'!$F$1665=SPECIAL_LBL)*10000000+0*1000000+10*1000+2))</f>
        <v/>
      </c>
      <c r="EG169" s="35">
        <f>IF(N('Dvd Calendar'!$G$1660)=0,"",IF(('Dvd Calendar'!$G$1660&gt;=GRID_FROM)*('Dvd Calendar'!$G$1660&lt;=GRID_TO)*('Dvd Calendar'!$G$1660&lt;=VAL_DATE)=0,"",'Dvd Calendar'!$G$1660*1000000000+ISNUMBER('Dvd Calendar'!$G$1663)*100000000+('Dvd Calendar'!$G$1665=SPECIAL_LBL)*10000000+0*1000000+10*1000+3))</f>
        <v/>
      </c>
      <c r="EH169" s="35">
        <f>IF(N('Dvd Calendar'!$H$1660)=0,"",IF(('Dvd Calendar'!$H$1660&gt;=GRID_FROM)*('Dvd Calendar'!$H$1660&lt;=GRID_TO)*('Dvd Calendar'!$H$1660&lt;=VAL_DATE)=0,"",'Dvd Calendar'!$H$1660*1000000000+ISNUMBER('Dvd Calendar'!$H$1663)*100000000+('Dvd Calendar'!$H$1665=SPECIAL_LBL)*10000000+0*1000000+10*1000+4))</f>
        <v/>
      </c>
      <c r="EI169" s="35">
        <f>IF(N('Dvd Calendar'!$I$1660)=0,"",IF(('Dvd Calendar'!$I$1660&gt;=GRID_FROM)*('Dvd Calendar'!$I$1660&lt;=GRID_TO)*('Dvd Calendar'!$I$1660&lt;=VAL_DATE)=0,"",'Dvd Calendar'!$I$1660*1000000000+ISNUMBER('Dvd Calendar'!$I$1663)*100000000+('Dvd Calendar'!$I$1665=SPECIAL_LBL)*10000000+0*1000000+10*1000+5))</f>
        <v/>
      </c>
      <c r="EJ169" s="35">
        <f>IF(N('Dvd Calendar'!$J$1660)=0,"",IF(('Dvd Calendar'!$J$1660&gt;=GRID_FROM)*('Dvd Calendar'!$J$1660&lt;=GRID_TO)*('Dvd Calendar'!$J$1660&lt;=VAL_DATE)=0,"",'Dvd Calendar'!$J$1660*1000000000+ISNUMBER('Dvd Calendar'!$J$1663)*100000000+('Dvd Calendar'!$J$1665=SPECIAL_LBL)*10000000+0*1000000+10*1000+6))</f>
        <v/>
      </c>
      <c r="EK169" s="35">
        <f>IF(N('Dvd Calendar'!$K$1660)=0,"",IF(('Dvd Calendar'!$K$1660&gt;=GRID_FROM)*('Dvd Calendar'!$K$1660&lt;=GRID_TO)*('Dvd Calendar'!$K$1660&lt;=VAL_DATE)=0,"",'Dvd Calendar'!$K$1660*1000000000+ISNUMBER('Dvd Calendar'!$K$1663)*100000000+('Dvd Calendar'!$K$1665=SPECIAL_LBL)*10000000+0*1000000+10*1000+7))</f>
        <v/>
      </c>
      <c r="EL169" s="35">
        <f>IF(N('Dvd Calendar'!$L$1660)=0,"",IF(('Dvd Calendar'!$L$1660&gt;=GRID_FROM)*('Dvd Calendar'!$L$1660&lt;=GRID_TO)*('Dvd Calendar'!$L$1660&lt;=VAL_DATE)=0,"",'Dvd Calendar'!$L$1660*1000000000+ISNUMBER('Dvd Calendar'!$L$1663)*100000000+('Dvd Calendar'!$L$1665=SPECIAL_LBL)*10000000+0*1000000+10*1000+8))</f>
        <v/>
      </c>
      <c r="EM169" s="35">
        <f>IF(N('Dvd Calendar'!$M$1660)=0,"",IF(('Dvd Calendar'!$M$1660&gt;=GRID_FROM)*('Dvd Calendar'!$M$1660&lt;=GRID_TO)*('Dvd Calendar'!$M$1660&lt;=VAL_DATE)=0,"",'Dvd Calendar'!$M$1660*1000000000+ISNUMBER('Dvd Calendar'!$M$1663)*100000000+('Dvd Calendar'!$M$1665=SPECIAL_LBL)*10000000+0*1000000+10*1000+9))</f>
        <v/>
      </c>
      <c r="EN169" s="35">
        <f>IF(N('Dvd Calendar'!$N$1660)=0,"",IF(('Dvd Calendar'!$N$1660&gt;=GRID_FROM)*('Dvd Calendar'!$N$1660&lt;=GRID_TO)*('Dvd Calendar'!$N$1660&lt;=VAL_DATE)=0,"",'Dvd Calendar'!$N$1660*1000000000+ISNUMBER('Dvd Calendar'!$N$1663)*100000000+('Dvd Calendar'!$N$1665=SPECIAL_LBL)*10000000+0*1000000+10*1000+10))</f>
        <v/>
      </c>
      <c r="EO169" s="35">
        <f>IF(N('Dvd Calendar'!$O$1660)=0,"",IF(('Dvd Calendar'!$O$1660&gt;=GRID_FROM)*('Dvd Calendar'!$O$1660&lt;=GRID_TO)*('Dvd Calendar'!$O$1660&lt;=VAL_DATE)=0,"",'Dvd Calendar'!$O$1660*1000000000+ISNUMBER('Dvd Calendar'!$O$1663)*100000000+('Dvd Calendar'!$O$1665=SPECIAL_LBL)*10000000+0*1000000+10*1000+11))</f>
        <v/>
      </c>
      <c r="EP169" s="35">
        <f>IF(N('Dvd Calendar'!$P$1660)=0,"",IF(('Dvd Calendar'!$P$1660&gt;=GRID_FROM)*('Dvd Calendar'!$P$1660&lt;=GRID_TO)*('Dvd Calendar'!$P$1660&lt;=VAL_DATE)=0,"",'Dvd Calendar'!$P$1660*1000000000+ISNUMBER('Dvd Calendar'!$P$1663)*100000000+('Dvd Calendar'!$P$1665=SPECIAL_LBL)*10000000+0*1000000+10*1000+12))</f>
        <v/>
      </c>
      <c r="EQ169" s="35">
        <f>IF(N('Dvd Calendar'!$Q$1660)=0,"",IF(('Dvd Calendar'!$Q$1660&gt;=GRID_FROM)*('Dvd Calendar'!$Q$1660&lt;=GRID_TO)*('Dvd Calendar'!$Q$1660&lt;=VAL_DATE)=0,"",'Dvd Calendar'!$Q$1660*1000000000+ISNUMBER('Dvd Calendar'!$Q$1663)*100000000+('Dvd Calendar'!$Q$1665=SPECIAL_LBL)*10000000+0*1000000+10*1000+13))</f>
        <v/>
      </c>
      <c r="ER169" s="35">
        <f>IF(N('Dvd Calendar'!$R$1660)=0,"",IF(('Dvd Calendar'!$R$1660&gt;=GRID_FROM)*('Dvd Calendar'!$R$1660&lt;=GRID_TO)*('Dvd Calendar'!$R$1660&lt;=VAL_DATE)=0,"",'Dvd Calendar'!$R$1660*1000000000+ISNUMBER('Dvd Calendar'!$R$1663)*100000000+('Dvd Calendar'!$R$1665=SPECIAL_LBL)*10000000+0*1000000+10*1000+14))</f>
        <v/>
      </c>
      <c r="ES169" s="35">
        <f>IF(N('Dvd Calendar'!$S$1660)=0,"",IF(('Dvd Calendar'!$S$1660&gt;=GRID_FROM)*('Dvd Calendar'!$S$1660&lt;=GRID_TO)*('Dvd Calendar'!$S$1660&lt;=VAL_DATE)=0,"",'Dvd Calendar'!$S$1660*1000000000+ISNUMBER('Dvd Calendar'!$S$1663)*100000000+('Dvd Calendar'!$S$1665=SPECIAL_LBL)*10000000+0*1000000+10*1000+15))</f>
        <v/>
      </c>
      <c r="ET169" s="35">
        <f>IF(N('Dvd Calendar'!$T$1660)=0,"",IF(('Dvd Calendar'!$T$1660&gt;=GRID_FROM)*('Dvd Calendar'!$T$1660&lt;=GRID_TO)*('Dvd Calendar'!$T$1660&lt;=VAL_DATE)=0,"",'Dvd Calendar'!$T$1660*1000000000+ISNUMBER('Dvd Calendar'!$T$1663)*100000000+('Dvd Calendar'!$T$1665=SPECIAL_LBL)*10000000+0*1000000+10*1000+16))</f>
        <v/>
      </c>
      <c r="EU169" s="35">
        <f>IF(N('Dvd Calendar'!$U$1660)=0,"",IF(('Dvd Calendar'!$U$1660&gt;=GRID_FROM)*('Dvd Calendar'!$U$1660&lt;=GRID_TO)*('Dvd Calendar'!$U$1660&lt;=VAL_DATE)=0,"",'Dvd Calendar'!$U$1660*1000000000+ISNUMBER('Dvd Calendar'!$U$1663)*100000000+('Dvd Calendar'!$U$1665=SPECIAL_LBL)*10000000+0*1000000+10*1000+17))</f>
        <v/>
      </c>
      <c r="EV169" s="35">
        <f>IF(N('Dvd Calendar'!$V$1660)=0,"",IF(('Dvd Calendar'!$V$1660&gt;=GRID_FROM)*('Dvd Calendar'!$V$1660&lt;=GRID_TO)*('Dvd Calendar'!$V$1660&lt;=VAL_DATE)=0,"",'Dvd Calendar'!$V$1660*1000000000+ISNUMBER('Dvd Calendar'!$V$1663)*100000000+('Dvd Calendar'!$V$1665=SPECIAL_LBL)*10000000+0*1000000+10*1000+18))</f>
        <v/>
      </c>
      <c r="EW169" s="35">
        <f>IF(N('Dvd Calendar'!$W$1660)=0,"",IF(('Dvd Calendar'!$W$1660&gt;=GRID_FROM)*('Dvd Calendar'!$W$1660&lt;=GRID_TO)*('Dvd Calendar'!$W$1660&lt;=VAL_DATE)=0,"",'Dvd Calendar'!$W$1660*1000000000+ISNUMBER('Dvd Calendar'!$W$1663)*100000000+('Dvd Calendar'!$W$1665=SPECIAL_LBL)*10000000+0*1000000+10*1000+19))</f>
        <v/>
      </c>
      <c r="EX169" s="35">
        <f>IF(N('Dvd Calendar'!$X$1660)=0,"",IF(('Dvd Calendar'!$X$1660&gt;=GRID_FROM)*('Dvd Calendar'!$X$1660&lt;=GRID_TO)*('Dvd Calendar'!$X$1660&lt;=VAL_DATE)=0,"",'Dvd Calendar'!$X$1660*1000000000+ISNUMBER('Dvd Calendar'!$X$1663)*100000000+('Dvd Calendar'!$X$1665=SPECIAL_LBL)*10000000+0*1000000+10*1000+20))</f>
        <v/>
      </c>
      <c r="EY169" s="35">
        <f>IF(N('Dvd Calendar'!$Y$1660)=0,"",IF(('Dvd Calendar'!$Y$1660&gt;=GRID_FROM)*('Dvd Calendar'!$Y$1660&lt;=GRID_TO)*('Dvd Calendar'!$Y$1660&lt;=VAL_DATE)=0,"",'Dvd Calendar'!$Y$1660*1000000000+ISNUMBER('Dvd Calendar'!$Y$1663)*100000000+('Dvd Calendar'!$Y$1665=SPECIAL_LBL)*10000000+0*1000000+10*1000+21))</f>
        <v/>
      </c>
      <c r="EZ169" s="35">
        <f>IF(N('Dvd Calendar'!$Z$1660)=0,"",IF(('Dvd Calendar'!$Z$1660&gt;=GRID_FROM)*('Dvd Calendar'!$Z$1660&lt;=GRID_TO)*('Dvd Calendar'!$Z$1660&lt;=VAL_DATE)=0,"",'Dvd Calendar'!$Z$1660*1000000000+ISNUMBER('Dvd Calendar'!$Z$1663)*100000000+('Dvd Calendar'!$Z$1665=SPECIAL_LBL)*10000000+0*1000000+10*1000+22))</f>
        <v/>
      </c>
      <c r="FA169" s="35">
        <f>IF(N('Dvd Calendar'!$AA$1660)=0,"",IF(('Dvd Calendar'!$AA$1660&gt;=GRID_FROM)*('Dvd Calendar'!$AA$1660&lt;=GRID_TO)*('Dvd Calendar'!$AA$1660&lt;=VAL_DATE)=0,"",'Dvd Calendar'!$AA$1660*1000000000+ISNUMBER('Dvd Calendar'!$AA$1663)*100000000+('Dvd Calendar'!$AA$1665=SPECIAL_LBL)*10000000+0*1000000+10*1000+23))</f>
        <v/>
      </c>
      <c r="FB169" s="35">
        <f>IF(N('Dvd Calendar'!$AB$1660)=0,"",IF(('Dvd Calendar'!$AB$1660&gt;=GRID_FROM)*('Dvd Calendar'!$AB$1660&lt;=GRID_TO)*('Dvd Calendar'!$AB$1660&lt;=VAL_DATE)=0,"",'Dvd Calendar'!$AB$1660*1000000000+ISNUMBER('Dvd Calendar'!$AB$1663)*100000000+('Dvd Calendar'!$AB$1665=SPECIAL_LBL)*10000000+0*1000000+10*1000+24))</f>
        <v/>
      </c>
      <c r="FC169" s="35">
        <f>IF(N('Dvd Calendar'!$AC$1660)=0,"",IF(('Dvd Calendar'!$AC$1660&gt;=GRID_FROM)*('Dvd Calendar'!$AC$1660&lt;=GRID_TO)*('Dvd Calendar'!$AC$1660&lt;=VAL_DATE)=0,"",'Dvd Calendar'!$AC$1660*1000000000+ISNUMBER('Dvd Calendar'!$AC$1663)*100000000+('Dvd Calendar'!$AC$1665=SPECIAL_LBL)*10000000+0*1000000+10*1000+25))</f>
        <v/>
      </c>
      <c r="FD169" s="35">
        <f>IF(N('Dvd Calendar'!$AD$1660)=0,"",IF(('Dvd Calendar'!$AD$1660&gt;=GRID_FROM)*('Dvd Calendar'!$AD$1660&lt;=GRID_TO)*('Dvd Calendar'!$AD$1660&lt;=VAL_DATE)=0,"",'Dvd Calendar'!$AD$1660*1000000000+ISNUMBER('Dvd Calendar'!$AD$1663)*100000000+('Dvd Calendar'!$AD$1665=SPECIAL_LBL)*10000000+0*1000000+10*1000+26))</f>
        <v/>
      </c>
      <c r="FE169" s="35">
        <f>IF(N('Dvd Calendar'!$AE$1660)=0,"",IF(('Dvd Calendar'!$AE$1660&gt;=GRID_FROM)*('Dvd Calendar'!$AE$1660&lt;=GRID_TO)*('Dvd Calendar'!$AE$1660&lt;=VAL_DATE)=0,"",'Dvd Calendar'!$AE$1660*1000000000+ISNUMBER('Dvd Calendar'!$AE$1663)*100000000+('Dvd Calendar'!$AE$1665=SPECIAL_LBL)*10000000+0*1000000+10*1000+27))</f>
        <v/>
      </c>
      <c r="FF169" s="35">
        <f>IF(N('Dvd Calendar'!$AF$1660)=0,"",IF(('Dvd Calendar'!$AF$1660&gt;=GRID_FROM)*('Dvd Calendar'!$AF$1660&lt;=GRID_TO)*('Dvd Calendar'!$AF$1660&lt;=VAL_DATE)=0,"",'Dvd Calendar'!$AF$1660*1000000000+ISNUMBER('Dvd Calendar'!$AF$1663)*100000000+('Dvd Calendar'!$AF$1665=SPECIAL_LBL)*10000000+0*1000000+10*1000+28))</f>
        <v/>
      </c>
      <c r="FG169" s="35">
        <f>IF(N('Dvd Calendar'!$AG$1660)=0,"",IF(('Dvd Calendar'!$AG$1660&gt;=GRID_FROM)*('Dvd Calendar'!$AG$1660&lt;=GRID_TO)*('Dvd Calendar'!$AG$1660&lt;=VAL_DATE)=0,"",'Dvd Calendar'!$AG$1660*1000000000+ISNUMBER('Dvd Calendar'!$AG$1663)*100000000+('Dvd Calendar'!$AG$1665=SPECIAL_LBL)*10000000+0*1000000+10*1000+29))</f>
        <v/>
      </c>
      <c r="FH169" s="35">
        <f>IF(N('Dvd Calendar'!$AH$1660)=0,"",IF(('Dvd Calendar'!$AH$1660&gt;=GRID_FROM)*('Dvd Calendar'!$AH$1660&lt;=GRID_TO)*('Dvd Calendar'!$AH$1660&lt;=VAL_DATE)=0,"",'Dvd Calendar'!$AH$1660*1000000000+ISNUMBER('Dvd Calendar'!$AH$1663)*100000000+('Dvd Calendar'!$AH$1665=SPECIAL_LBL)*10000000+0*1000000+10*1000+30))</f>
        <v/>
      </c>
      <c r="FI169" s="35">
        <f>IF(N('Dvd Calendar'!$AI$1660)=0,"",IF(('Dvd Calendar'!$AI$1660&gt;=GRID_FROM)*('Dvd Calendar'!$AI$1660&lt;=GRID_TO)*('Dvd Calendar'!$AI$1660&lt;=VAL_DATE)=0,"",'Dvd Calendar'!$AI$1660*1000000000+ISNUMBER('Dvd Calendar'!$AI$1663)*100000000+('Dvd Calendar'!$AI$1665=SPECIAL_LBL)*10000000+0*1000000+10*1000+31))</f>
        <v/>
      </c>
      <c r="FJ169" s="35">
        <f>IF(N('Dvd Calendar'!$AJ$1660)=0,"",IF(('Dvd Calendar'!$AJ$1660&gt;=GRID_FROM)*('Dvd Calendar'!$AJ$1660&lt;=GRID_TO)*('Dvd Calendar'!$AJ$1660&lt;=VAL_DATE)=0,"",'Dvd Calendar'!$AJ$1660*1000000000+ISNUMBER('Dvd Calendar'!$AJ$1663)*100000000+('Dvd Calendar'!$AJ$1665=SPECIAL_LBL)*10000000+0*1000000+10*1000+32))</f>
        <v/>
      </c>
      <c r="FK169" s="35">
        <f>IF(N('Dvd Calendar'!$AK$1660)=0,"",IF(('Dvd Calendar'!$AK$1660&gt;=GRID_FROM)*('Dvd Calendar'!$AK$1660&lt;=GRID_TO)*('Dvd Calendar'!$AK$1660&lt;=VAL_DATE)=0,"",'Dvd Calendar'!$AK$1660*1000000000+ISNUMBER('Dvd Calendar'!$AK$1663)*100000000+('Dvd Calendar'!$AK$1665=SPECIAL_LBL)*10000000+0*1000000+10*1000+33))</f>
        <v/>
      </c>
      <c r="FL169" s="35">
        <f>IF(N('Dvd Calendar'!$AL$1660)=0,"",IF(('Dvd Calendar'!$AL$1660&gt;=GRID_FROM)*('Dvd Calendar'!$AL$1660&lt;=GRID_TO)*('Dvd Calendar'!$AL$1660&lt;=VAL_DATE)=0,"",'Dvd Calendar'!$AL$1660*1000000000+ISNUMBER('Dvd Calendar'!$AL$1663)*100000000+('Dvd Calendar'!$AL$1665=SPECIAL_LBL)*10000000+0*1000000+10*1000+34))</f>
        <v/>
      </c>
      <c r="FM169" s="35">
        <f>IF(N('Dvd Calendar'!$AM$1660)=0,"",IF(('Dvd Calendar'!$AM$1660&gt;=GRID_FROM)*('Dvd Calendar'!$AM$1660&lt;=GRID_TO)*('Dvd Calendar'!$AM$1660&lt;=VAL_DATE)=0,"",'Dvd Calendar'!$AM$1660*1000000000+ISNUMBER('Dvd Calendar'!$AM$1663)*100000000+('Dvd Calendar'!$AM$1665=SPECIAL_LBL)*10000000+0*1000000+10*1000+35))</f>
        <v/>
      </c>
      <c r="FN169" s="35">
        <f>IF(N('Dvd Calendar'!$AN$1660)=0,"",IF(('Dvd Calendar'!$AN$1660&gt;=GRID_FROM)*('Dvd Calendar'!$AN$1660&lt;=GRID_TO)*('Dvd Calendar'!$AN$1660&lt;=VAL_DATE)=0,"",'Dvd Calendar'!$AN$1660*1000000000+ISNUMBER('Dvd Calendar'!$AN$1663)*100000000+('Dvd Calendar'!$AN$1665=SPECIAL_LBL)*10000000+0*1000000+10*1000+36))</f>
        <v/>
      </c>
      <c r="FO169" s="35">
        <f>IF(N('Dvd Calendar'!$AO$1660)=0,"",IF(('Dvd Calendar'!$AO$1660&gt;=GRID_FROM)*('Dvd Calendar'!$AO$1660&lt;=GRID_TO)*('Dvd Calendar'!$AO$1660&lt;=VAL_DATE)=0,"",'Dvd Calendar'!$AO$1660*1000000000+ISNUMBER('Dvd Calendar'!$AO$1663)*100000000+('Dvd Calendar'!$AO$1665=SPECIAL_LBL)*10000000+0*1000000+10*1000+37))</f>
        <v/>
      </c>
      <c r="FP169" s="35">
        <f>IF(N('Dvd Calendar'!$AP$1660)=0,"",IF(('Dvd Calendar'!$AP$1660&gt;=GRID_FROM)*('Dvd Calendar'!$AP$1660&lt;=GRID_TO)*('Dvd Calendar'!$AP$1660&lt;=VAL_DATE)=0,"",'Dvd Calendar'!$AP$1660*1000000000+ISNUMBER('Dvd Calendar'!$AP$1663)*100000000+('Dvd Calendar'!$AP$1665=SPECIAL_LBL)*10000000+0*1000000+10*1000+38))</f>
        <v/>
      </c>
      <c r="FQ169" s="35">
        <f>IF(N('Dvd Calendar'!$AQ$1660)=0,"",IF(('Dvd Calendar'!$AQ$1660&gt;=GRID_FROM)*('Dvd Calendar'!$AQ$1660&lt;=GRID_TO)*('Dvd Calendar'!$AQ$1660&lt;=VAL_DATE)=0,"",'Dvd Calendar'!$AQ$1660*1000000000+ISNUMBER('Dvd Calendar'!$AQ$1663)*100000000+('Dvd Calendar'!$AQ$1665=SPECIAL_LBL)*10000000+0*1000000+10*1000+39))</f>
        <v/>
      </c>
      <c r="FR169" s="35">
        <f>IF(N('Dvd Calendar'!$AR$1660)=0,"",IF(('Dvd Calendar'!$AR$1660&gt;=GRID_FROM)*('Dvd Calendar'!$AR$1660&lt;=GRID_TO)*('Dvd Calendar'!$AR$1660&lt;=VAL_DATE)=0,"",'Dvd Calendar'!$AR$1660*1000000000+ISNUMBER('Dvd Calendar'!$AR$1663)*100000000+('Dvd Calendar'!$AR$1665=SPECIAL_LBL)*10000000+0*1000000+10*1000+40))</f>
        <v/>
      </c>
      <c r="FS169" s="35">
        <f>IF(N('Dvd Calendar'!$E$1667)=0,"",IF(('Dvd Calendar'!$E$1667&gt;=GRID_FROM)*('Dvd Calendar'!$E$1667&lt;=GRID_TO)*('Dvd Calendar'!$E$1667&gt;VAL_DATE)=0,"",'Dvd Calendar'!$E$1667*1000000000+ISNUMBER('Dvd Calendar'!$E$1668)*100000000+0*10000000+(N('Dvd Calendar'!$E$1666)&gt;0)*(N('Dvd Calendar'!$E$1666)&lt;=VAL_SERIAL)*1000000+10*1000+41))</f>
        <v/>
      </c>
      <c r="FT169" s="35">
        <f>IF(N('Dvd Calendar'!$F$1667)=0,"",IF(('Dvd Calendar'!$F$1667&gt;=GRID_FROM)*('Dvd Calendar'!$F$1667&lt;=GRID_TO)*('Dvd Calendar'!$F$1667&gt;VAL_DATE)=0,"",'Dvd Calendar'!$F$1667*1000000000+ISNUMBER('Dvd Calendar'!$F$1668)*100000000+0*10000000+(N('Dvd Calendar'!$F$1666)&gt;0)*(N('Dvd Calendar'!$F$1666)&lt;=VAL_SERIAL)*1000000+10*1000+42))</f>
        <v/>
      </c>
      <c r="FU169" s="35">
        <f>IF(N('Dvd Calendar'!$G$1667)=0,"",IF(('Dvd Calendar'!$G$1667&gt;=GRID_FROM)*('Dvd Calendar'!$G$1667&lt;=GRID_TO)*('Dvd Calendar'!$G$1667&gt;VAL_DATE)=0,"",'Dvd Calendar'!$G$1667*1000000000+ISNUMBER('Dvd Calendar'!$G$1668)*100000000+0*10000000+(N('Dvd Calendar'!$G$1666)&gt;0)*(N('Dvd Calendar'!$G$1666)&lt;=VAL_SERIAL)*1000000+10*1000+43))</f>
        <v/>
      </c>
      <c r="FV169" s="35">
        <f>IF(N('Dvd Calendar'!$H$1667)=0,"",IF(('Dvd Calendar'!$H$1667&gt;=GRID_FROM)*('Dvd Calendar'!$H$1667&lt;=GRID_TO)*('Dvd Calendar'!$H$1667&gt;VAL_DATE)=0,"",'Dvd Calendar'!$H$1667*1000000000+ISNUMBER('Dvd Calendar'!$H$1668)*100000000+0*10000000+(N('Dvd Calendar'!$H$1666)&gt;0)*(N('Dvd Calendar'!$H$1666)&lt;=VAL_SERIAL)*1000000+10*1000+44))</f>
        <v/>
      </c>
      <c r="FW169" s="35">
        <f>IF(N('Dvd Calendar'!$I$1667)=0,"",IF(('Dvd Calendar'!$I$1667&gt;=GRID_FROM)*('Dvd Calendar'!$I$1667&lt;=GRID_TO)*('Dvd Calendar'!$I$1667&gt;VAL_DATE)=0,"",'Dvd Calendar'!$I$1667*1000000000+ISNUMBER('Dvd Calendar'!$I$1668)*100000000+0*10000000+(N('Dvd Calendar'!$I$1666)&gt;0)*(N('Dvd Calendar'!$I$1666)&lt;=VAL_SERIAL)*1000000+10*1000+45))</f>
        <v/>
      </c>
      <c r="FX169" s="35">
        <f>IF(N('Dvd Calendar'!$J$1667)=0,"",IF(('Dvd Calendar'!$J$1667&gt;=GRID_FROM)*('Dvd Calendar'!$J$1667&lt;=GRID_TO)*('Dvd Calendar'!$J$1667&gt;VAL_DATE)=0,"",'Dvd Calendar'!$J$1667*1000000000+ISNUMBER('Dvd Calendar'!$J$1668)*100000000+0*10000000+(N('Dvd Calendar'!$J$1666)&gt;0)*(N('Dvd Calendar'!$J$1666)&lt;=VAL_SERIAL)*1000000+10*1000+46))</f>
        <v/>
      </c>
      <c r="FY169" s="35">
        <f>IF(N('Dvd Calendar'!$K$1667)=0,"",IF(('Dvd Calendar'!$K$1667&gt;=GRID_FROM)*('Dvd Calendar'!$K$1667&lt;=GRID_TO)*('Dvd Calendar'!$K$1667&gt;VAL_DATE)=0,"",'Dvd Calendar'!$K$1667*1000000000+ISNUMBER('Dvd Calendar'!$K$1668)*100000000+0*10000000+(N('Dvd Calendar'!$K$1666)&gt;0)*(N('Dvd Calendar'!$K$1666)&lt;=VAL_SERIAL)*1000000+10*1000+47))</f>
        <v/>
      </c>
      <c r="FZ169" s="35">
        <f>IF(N('Dvd Calendar'!$L$1667)=0,"",IF(('Dvd Calendar'!$L$1667&gt;=GRID_FROM)*('Dvd Calendar'!$L$1667&lt;=GRID_TO)*('Dvd Calendar'!$L$1667&gt;VAL_DATE)=0,"",'Dvd Calendar'!$L$1667*1000000000+ISNUMBER('Dvd Calendar'!$L$1668)*100000000+0*10000000+(N('Dvd Calendar'!$L$1666)&gt;0)*(N('Dvd Calendar'!$L$1666)&lt;=VAL_SERIAL)*1000000+10*1000+48))</f>
        <v/>
      </c>
      <c r="GA169" s="35">
        <f>IF(N('Dvd Calendar'!$M$1667)=0,"",IF(('Dvd Calendar'!$M$1667&gt;=GRID_FROM)*('Dvd Calendar'!$M$1667&lt;=GRID_TO)*('Dvd Calendar'!$M$1667&gt;VAL_DATE)=0,"",'Dvd Calendar'!$M$1667*1000000000+ISNUMBER('Dvd Calendar'!$M$1668)*100000000+0*10000000+(N('Dvd Calendar'!$M$1666)&gt;0)*(N('Dvd Calendar'!$M$1666)&lt;=VAL_SERIAL)*1000000+10*1000+49))</f>
        <v/>
      </c>
      <c r="GB169" s="35">
        <f>IF(N('Dvd Calendar'!$N$1667)=0,"",IF(('Dvd Calendar'!$N$1667&gt;=GRID_FROM)*('Dvd Calendar'!$N$1667&lt;=GRID_TO)*('Dvd Calendar'!$N$1667&gt;VAL_DATE)=0,"",'Dvd Calendar'!$N$1667*1000000000+ISNUMBER('Dvd Calendar'!$N$1668)*100000000+0*10000000+(N('Dvd Calendar'!$N$1666)&gt;0)*(N('Dvd Calendar'!$N$1666)&lt;=VAL_SERIAL)*1000000+10*1000+50))</f>
        <v/>
      </c>
      <c r="GC169" s="35">
        <f>IF(N('Dvd Calendar'!$O$1667)=0,"",IF(('Dvd Calendar'!$O$1667&gt;=GRID_FROM)*('Dvd Calendar'!$O$1667&lt;=GRID_TO)*('Dvd Calendar'!$O$1667&gt;VAL_DATE)=0,"",'Dvd Calendar'!$O$1667*1000000000+ISNUMBER('Dvd Calendar'!$O$1668)*100000000+0*10000000+(N('Dvd Calendar'!$O$1666)&gt;0)*(N('Dvd Calendar'!$O$1666)&lt;=VAL_SERIAL)*1000000+10*1000+51))</f>
        <v/>
      </c>
      <c r="GD169" s="35">
        <f>IF(N('Dvd Calendar'!$P$1667)=0,"",IF(('Dvd Calendar'!$P$1667&gt;=GRID_FROM)*('Dvd Calendar'!$P$1667&lt;=GRID_TO)*('Dvd Calendar'!$P$1667&gt;VAL_DATE)=0,"",'Dvd Calendar'!$P$1667*1000000000+ISNUMBER('Dvd Calendar'!$P$1668)*100000000+0*10000000+(N('Dvd Calendar'!$P$1666)&gt;0)*(N('Dvd Calendar'!$P$1666)&lt;=VAL_SERIAL)*1000000+10*1000+52))</f>
        <v/>
      </c>
      <c r="GE169" s="35">
        <f>IF(N('Dvd Calendar'!$Q$1667)=0,"",IF(('Dvd Calendar'!$Q$1667&gt;=GRID_FROM)*('Dvd Calendar'!$Q$1667&lt;=GRID_TO)*('Dvd Calendar'!$Q$1667&gt;VAL_DATE)=0,"",'Dvd Calendar'!$Q$1667*1000000000+ISNUMBER('Dvd Calendar'!$Q$1668)*100000000+0*10000000+(N('Dvd Calendar'!$Q$1666)&gt;0)*(N('Dvd Calendar'!$Q$1666)&lt;=VAL_SERIAL)*1000000+10*1000+53))</f>
        <v/>
      </c>
      <c r="GF169" s="35">
        <f>IF(N('Dvd Calendar'!$R$1667)=0,"",IF(('Dvd Calendar'!$R$1667&gt;=GRID_FROM)*('Dvd Calendar'!$R$1667&lt;=GRID_TO)*('Dvd Calendar'!$R$1667&gt;VAL_DATE)=0,"",'Dvd Calendar'!$R$1667*1000000000+ISNUMBER('Dvd Calendar'!$R$1668)*100000000+0*10000000+(N('Dvd Calendar'!$R$1666)&gt;0)*(N('Dvd Calendar'!$R$1666)&lt;=VAL_SERIAL)*1000000+10*1000+54))</f>
        <v/>
      </c>
      <c r="GG169" s="35">
        <f>IF(N('Dvd Calendar'!$S$1667)=0,"",IF(('Dvd Calendar'!$S$1667&gt;=GRID_FROM)*('Dvd Calendar'!$S$1667&lt;=GRID_TO)*('Dvd Calendar'!$S$1667&gt;VAL_DATE)=0,"",'Dvd Calendar'!$S$1667*1000000000+ISNUMBER('Dvd Calendar'!$S$1668)*100000000+0*10000000+(N('Dvd Calendar'!$S$1666)&gt;0)*(N('Dvd Calendar'!$S$1666)&lt;=VAL_SERIAL)*1000000+10*1000+55))</f>
        <v/>
      </c>
      <c r="GH169" s="35">
        <f>IF(N('Dvd Calendar'!$T$1667)=0,"",IF(('Dvd Calendar'!$T$1667&gt;=GRID_FROM)*('Dvd Calendar'!$T$1667&lt;=GRID_TO)*('Dvd Calendar'!$T$1667&gt;VAL_DATE)=0,"",'Dvd Calendar'!$T$1667*1000000000+ISNUMBER('Dvd Calendar'!$T$1668)*100000000+0*10000000+(N('Dvd Calendar'!$T$1666)&gt;0)*(N('Dvd Calendar'!$T$1666)&lt;=VAL_SERIAL)*1000000+10*1000+56))</f>
        <v/>
      </c>
      <c r="GI169" s="35">
        <f>IF(N('Dvd Calendar'!$U$1667)=0,"",IF(('Dvd Calendar'!$U$1667&gt;=GRID_FROM)*('Dvd Calendar'!$U$1667&lt;=GRID_TO)*('Dvd Calendar'!$U$1667&gt;VAL_DATE)=0,"",'Dvd Calendar'!$U$1667*1000000000+ISNUMBER('Dvd Calendar'!$U$1668)*100000000+0*10000000+(N('Dvd Calendar'!$U$1666)&gt;0)*(N('Dvd Calendar'!$U$1666)&lt;=VAL_SERIAL)*1000000+10*1000+57))</f>
        <v/>
      </c>
      <c r="GJ169" s="35">
        <f>IF(N('Dvd Calendar'!$V$1667)=0,"",IF(('Dvd Calendar'!$V$1667&gt;=GRID_FROM)*('Dvd Calendar'!$V$1667&lt;=GRID_TO)*('Dvd Calendar'!$V$1667&gt;VAL_DATE)=0,"",'Dvd Calendar'!$V$1667*1000000000+ISNUMBER('Dvd Calendar'!$V$1668)*100000000+0*10000000+(N('Dvd Calendar'!$V$1666)&gt;0)*(N('Dvd Calendar'!$V$1666)&lt;=VAL_SERIAL)*1000000+10*1000+58))</f>
        <v/>
      </c>
      <c r="GK169" s="35">
        <f>IF(N('Dvd Calendar'!$W$1667)=0,"",IF(('Dvd Calendar'!$W$1667&gt;=GRID_FROM)*('Dvd Calendar'!$W$1667&lt;=GRID_TO)*('Dvd Calendar'!$W$1667&gt;VAL_DATE)=0,"",'Dvd Calendar'!$W$1667*1000000000+ISNUMBER('Dvd Calendar'!$W$1668)*100000000+0*10000000+(N('Dvd Calendar'!$W$1666)&gt;0)*(N('Dvd Calendar'!$W$1666)&lt;=VAL_SERIAL)*1000000+10*1000+59))</f>
        <v/>
      </c>
      <c r="GL169" s="35">
        <f>IF(N('Dvd Calendar'!$X$1667)=0,"",IF(('Dvd Calendar'!$X$1667&gt;=GRID_FROM)*('Dvd Calendar'!$X$1667&lt;=GRID_TO)*('Dvd Calendar'!$X$1667&gt;VAL_DATE)=0,"",'Dvd Calendar'!$X$1667*1000000000+ISNUMBER('Dvd Calendar'!$X$1668)*100000000+0*10000000+(N('Dvd Calendar'!$X$1666)&gt;0)*(N('Dvd Calendar'!$X$1666)&lt;=VAL_SERIAL)*1000000+10*1000+60))</f>
        <v/>
      </c>
      <c r="GM169" s="35">
        <f>IF(N('Dvd Calendar'!$Y$1667)=0,"",IF(('Dvd Calendar'!$Y$1667&gt;=GRID_FROM)*('Dvd Calendar'!$Y$1667&lt;=GRID_TO)*('Dvd Calendar'!$Y$1667&gt;VAL_DATE)=0,"",'Dvd Calendar'!$Y$1667*1000000000+ISNUMBER('Dvd Calendar'!$Y$1668)*100000000+0*10000000+(N('Dvd Calendar'!$Y$1666)&gt;0)*(N('Dvd Calendar'!$Y$1666)&lt;=VAL_SERIAL)*1000000+10*1000+61))</f>
        <v/>
      </c>
      <c r="GN169" s="35">
        <f>IF(N('Dvd Calendar'!$Z$1667)=0,"",IF(('Dvd Calendar'!$Z$1667&gt;=GRID_FROM)*('Dvd Calendar'!$Z$1667&lt;=GRID_TO)*('Dvd Calendar'!$Z$1667&gt;VAL_DATE)=0,"",'Dvd Calendar'!$Z$1667*1000000000+ISNUMBER('Dvd Calendar'!$Z$1668)*100000000+0*10000000+(N('Dvd Calendar'!$Z$1666)&gt;0)*(N('Dvd Calendar'!$Z$1666)&lt;=VAL_SERIAL)*1000000+10*1000+62))</f>
        <v/>
      </c>
      <c r="GO169" s="35">
        <f>IF(N('Dvd Calendar'!$AA$1667)=0,"",IF(('Dvd Calendar'!$AA$1667&gt;=GRID_FROM)*('Dvd Calendar'!$AA$1667&lt;=GRID_TO)*('Dvd Calendar'!$AA$1667&gt;VAL_DATE)=0,"",'Dvd Calendar'!$AA$1667*1000000000+ISNUMBER('Dvd Calendar'!$AA$1668)*100000000+0*10000000+(N('Dvd Calendar'!$AA$1666)&gt;0)*(N('Dvd Calendar'!$AA$1666)&lt;=VAL_SERIAL)*1000000+10*1000+63))</f>
        <v/>
      </c>
      <c r="GP169" s="35">
        <f>IF(N('Dvd Calendar'!$AB$1667)=0,"",IF(('Dvd Calendar'!$AB$1667&gt;=GRID_FROM)*('Dvd Calendar'!$AB$1667&lt;=GRID_TO)*('Dvd Calendar'!$AB$1667&gt;VAL_DATE)=0,"",'Dvd Calendar'!$AB$1667*1000000000+ISNUMBER('Dvd Calendar'!$AB$1668)*100000000+0*10000000+(N('Dvd Calendar'!$AB$1666)&gt;0)*(N('Dvd Calendar'!$AB$1666)&lt;=VAL_SERIAL)*1000000+10*1000+64))</f>
        <v/>
      </c>
      <c r="GQ169" s="35">
        <f>IF(N('Dvd Calendar'!$AC$1667)=0,"",IF(('Dvd Calendar'!$AC$1667&gt;=GRID_FROM)*('Dvd Calendar'!$AC$1667&lt;=GRID_TO)*('Dvd Calendar'!$AC$1667&gt;VAL_DATE)=0,"",'Dvd Calendar'!$AC$1667*1000000000+ISNUMBER('Dvd Calendar'!$AC$1668)*100000000+0*10000000+(N('Dvd Calendar'!$AC$1666)&gt;0)*(N('Dvd Calendar'!$AC$1666)&lt;=VAL_SERIAL)*1000000+10*1000+65))</f>
        <v/>
      </c>
    </row>
    <row r="170">
      <c r="B170" s="2">
        <f>IF(HSCEI!$C$17="","",HSCEI!$C$17)</f>
        <v/>
      </c>
      <c r="C170" s="106">
        <f>IF(EE170="","",IF(ISNUMBER('Dvd Calendar'!$E$1674)=FALSE,"",IF((('Dvd Calendar'!$E$1676=TYPE1)*(TYPE1&lt;&gt;"")+('Dvd Calendar'!$E$1676=TYPE2)*(TYPE2&lt;&gt;"")+('Dvd Calendar'!$E$1676=TYPE3)*(TYPE3&lt;&gt;"")+('Dvd Calendar'!$E$1676=TYPE4)*(TYPE4&lt;&gt;"")+('Dvd Calendar'!$E$1676=SPECIAL_LBL)*(INC_SPECIALS="Y"))=0,"",'Dvd Calendar'!$E$1674)))</f>
        <v/>
      </c>
      <c r="D170" s="106">
        <f>IF(EF170="","",IF(ISNUMBER('Dvd Calendar'!$F$1674)=FALSE,"",IF((('Dvd Calendar'!$F$1676=TYPE1)*(TYPE1&lt;&gt;"")+('Dvd Calendar'!$F$1676=TYPE2)*(TYPE2&lt;&gt;"")+('Dvd Calendar'!$F$1676=TYPE3)*(TYPE3&lt;&gt;"")+('Dvd Calendar'!$F$1676=TYPE4)*(TYPE4&lt;&gt;"")+('Dvd Calendar'!$F$1676=SPECIAL_LBL)*(INC_SPECIALS="Y"))=0,"",'Dvd Calendar'!$F$1674)))</f>
        <v/>
      </c>
      <c r="E170" s="106">
        <f>IF(EG170="","",IF(ISNUMBER('Dvd Calendar'!$G$1674)=FALSE,"",IF((('Dvd Calendar'!$G$1676=TYPE1)*(TYPE1&lt;&gt;"")+('Dvd Calendar'!$G$1676=TYPE2)*(TYPE2&lt;&gt;"")+('Dvd Calendar'!$G$1676=TYPE3)*(TYPE3&lt;&gt;"")+('Dvd Calendar'!$G$1676=TYPE4)*(TYPE4&lt;&gt;"")+('Dvd Calendar'!$G$1676=SPECIAL_LBL)*(INC_SPECIALS="Y"))=0,"",'Dvd Calendar'!$G$1674)))</f>
        <v/>
      </c>
      <c r="F170" s="106">
        <f>IF(EH170="","",IF(ISNUMBER('Dvd Calendar'!$H$1674)=FALSE,"",IF((('Dvd Calendar'!$H$1676=TYPE1)*(TYPE1&lt;&gt;"")+('Dvd Calendar'!$H$1676=TYPE2)*(TYPE2&lt;&gt;"")+('Dvd Calendar'!$H$1676=TYPE3)*(TYPE3&lt;&gt;"")+('Dvd Calendar'!$H$1676=TYPE4)*(TYPE4&lt;&gt;"")+('Dvd Calendar'!$H$1676=SPECIAL_LBL)*(INC_SPECIALS="Y"))=0,"",'Dvd Calendar'!$H$1674)))</f>
        <v/>
      </c>
      <c r="G170" s="106">
        <f>IF(EI170="","",IF(ISNUMBER('Dvd Calendar'!$I$1674)=FALSE,"",IF((('Dvd Calendar'!$I$1676=TYPE1)*(TYPE1&lt;&gt;"")+('Dvd Calendar'!$I$1676=TYPE2)*(TYPE2&lt;&gt;"")+('Dvd Calendar'!$I$1676=TYPE3)*(TYPE3&lt;&gt;"")+('Dvd Calendar'!$I$1676=TYPE4)*(TYPE4&lt;&gt;"")+('Dvd Calendar'!$I$1676=SPECIAL_LBL)*(INC_SPECIALS="Y"))=0,"",'Dvd Calendar'!$I$1674)))</f>
        <v/>
      </c>
      <c r="H170" s="106">
        <f>IF(EJ170="","",IF(ISNUMBER('Dvd Calendar'!$J$1674)=FALSE,"",IF((('Dvd Calendar'!$J$1676=TYPE1)*(TYPE1&lt;&gt;"")+('Dvd Calendar'!$J$1676=TYPE2)*(TYPE2&lt;&gt;"")+('Dvd Calendar'!$J$1676=TYPE3)*(TYPE3&lt;&gt;"")+('Dvd Calendar'!$J$1676=TYPE4)*(TYPE4&lt;&gt;"")+('Dvd Calendar'!$J$1676=SPECIAL_LBL)*(INC_SPECIALS="Y"))=0,"",'Dvd Calendar'!$J$1674)))</f>
        <v/>
      </c>
      <c r="I170" s="106">
        <f>IF(EK170="","",IF(ISNUMBER('Dvd Calendar'!$K$1674)=FALSE,"",IF((('Dvd Calendar'!$K$1676=TYPE1)*(TYPE1&lt;&gt;"")+('Dvd Calendar'!$K$1676=TYPE2)*(TYPE2&lt;&gt;"")+('Dvd Calendar'!$K$1676=TYPE3)*(TYPE3&lt;&gt;"")+('Dvd Calendar'!$K$1676=TYPE4)*(TYPE4&lt;&gt;"")+('Dvd Calendar'!$K$1676=SPECIAL_LBL)*(INC_SPECIALS="Y"))=0,"",'Dvd Calendar'!$K$1674)))</f>
        <v/>
      </c>
      <c r="J170" s="106">
        <f>IF(EL170="","",IF(ISNUMBER('Dvd Calendar'!$L$1674)=FALSE,"",IF((('Dvd Calendar'!$L$1676=TYPE1)*(TYPE1&lt;&gt;"")+('Dvd Calendar'!$L$1676=TYPE2)*(TYPE2&lt;&gt;"")+('Dvd Calendar'!$L$1676=TYPE3)*(TYPE3&lt;&gt;"")+('Dvd Calendar'!$L$1676=TYPE4)*(TYPE4&lt;&gt;"")+('Dvd Calendar'!$L$1676=SPECIAL_LBL)*(INC_SPECIALS="Y"))=0,"",'Dvd Calendar'!$L$1674)))</f>
        <v/>
      </c>
      <c r="K170" s="106">
        <f>IF(EM170="","",IF(ISNUMBER('Dvd Calendar'!$M$1674)=FALSE,"",IF((('Dvd Calendar'!$M$1676=TYPE1)*(TYPE1&lt;&gt;"")+('Dvd Calendar'!$M$1676=TYPE2)*(TYPE2&lt;&gt;"")+('Dvd Calendar'!$M$1676=TYPE3)*(TYPE3&lt;&gt;"")+('Dvd Calendar'!$M$1676=TYPE4)*(TYPE4&lt;&gt;"")+('Dvd Calendar'!$M$1676=SPECIAL_LBL)*(INC_SPECIALS="Y"))=0,"",'Dvd Calendar'!$M$1674)))</f>
        <v/>
      </c>
      <c r="L170" s="106">
        <f>IF(EN170="","",IF(ISNUMBER('Dvd Calendar'!$N$1674)=FALSE,"",IF((('Dvd Calendar'!$N$1676=TYPE1)*(TYPE1&lt;&gt;"")+('Dvd Calendar'!$N$1676=TYPE2)*(TYPE2&lt;&gt;"")+('Dvd Calendar'!$N$1676=TYPE3)*(TYPE3&lt;&gt;"")+('Dvd Calendar'!$N$1676=TYPE4)*(TYPE4&lt;&gt;"")+('Dvd Calendar'!$N$1676=SPECIAL_LBL)*(INC_SPECIALS="Y"))=0,"",'Dvd Calendar'!$N$1674)))</f>
        <v/>
      </c>
      <c r="M170" s="106">
        <f>IF(EO170="","",IF(ISNUMBER('Dvd Calendar'!$O$1674)=FALSE,"",IF((('Dvd Calendar'!$O$1676=TYPE1)*(TYPE1&lt;&gt;"")+('Dvd Calendar'!$O$1676=TYPE2)*(TYPE2&lt;&gt;"")+('Dvd Calendar'!$O$1676=TYPE3)*(TYPE3&lt;&gt;"")+('Dvd Calendar'!$O$1676=TYPE4)*(TYPE4&lt;&gt;"")+('Dvd Calendar'!$O$1676=SPECIAL_LBL)*(INC_SPECIALS="Y"))=0,"",'Dvd Calendar'!$O$1674)))</f>
        <v/>
      </c>
      <c r="N170" s="106">
        <f>IF(EP170="","",IF(ISNUMBER('Dvd Calendar'!$P$1674)=FALSE,"",IF((('Dvd Calendar'!$P$1676=TYPE1)*(TYPE1&lt;&gt;"")+('Dvd Calendar'!$P$1676=TYPE2)*(TYPE2&lt;&gt;"")+('Dvd Calendar'!$P$1676=TYPE3)*(TYPE3&lt;&gt;"")+('Dvd Calendar'!$P$1676=TYPE4)*(TYPE4&lt;&gt;"")+('Dvd Calendar'!$P$1676=SPECIAL_LBL)*(INC_SPECIALS="Y"))=0,"",'Dvd Calendar'!$P$1674)))</f>
        <v/>
      </c>
      <c r="O170" s="106">
        <f>IF(EQ170="","",IF(ISNUMBER('Dvd Calendar'!$Q$1674)=FALSE,"",IF((('Dvd Calendar'!$Q$1676=TYPE1)*(TYPE1&lt;&gt;"")+('Dvd Calendar'!$Q$1676=TYPE2)*(TYPE2&lt;&gt;"")+('Dvd Calendar'!$Q$1676=TYPE3)*(TYPE3&lt;&gt;"")+('Dvd Calendar'!$Q$1676=TYPE4)*(TYPE4&lt;&gt;"")+('Dvd Calendar'!$Q$1676=SPECIAL_LBL)*(INC_SPECIALS="Y"))=0,"",'Dvd Calendar'!$Q$1674)))</f>
        <v/>
      </c>
      <c r="P170" s="106">
        <f>IF(ER170="","",IF(ISNUMBER('Dvd Calendar'!$R$1674)=FALSE,"",IF((('Dvd Calendar'!$R$1676=TYPE1)*(TYPE1&lt;&gt;"")+('Dvd Calendar'!$R$1676=TYPE2)*(TYPE2&lt;&gt;"")+('Dvd Calendar'!$R$1676=TYPE3)*(TYPE3&lt;&gt;"")+('Dvd Calendar'!$R$1676=TYPE4)*(TYPE4&lt;&gt;"")+('Dvd Calendar'!$R$1676=SPECIAL_LBL)*(INC_SPECIALS="Y"))=0,"",'Dvd Calendar'!$R$1674)))</f>
        <v/>
      </c>
      <c r="Q170" s="106">
        <f>IF(ES170="","",IF(ISNUMBER('Dvd Calendar'!$S$1674)=FALSE,"",IF((('Dvd Calendar'!$S$1676=TYPE1)*(TYPE1&lt;&gt;"")+('Dvd Calendar'!$S$1676=TYPE2)*(TYPE2&lt;&gt;"")+('Dvd Calendar'!$S$1676=TYPE3)*(TYPE3&lt;&gt;"")+('Dvd Calendar'!$S$1676=TYPE4)*(TYPE4&lt;&gt;"")+('Dvd Calendar'!$S$1676=SPECIAL_LBL)*(INC_SPECIALS="Y"))=0,"",'Dvd Calendar'!$S$1674)))</f>
        <v/>
      </c>
      <c r="R170" s="106">
        <f>IF(ET170="","",IF(ISNUMBER('Dvd Calendar'!$T$1674)=FALSE,"",IF((('Dvd Calendar'!$T$1676=TYPE1)*(TYPE1&lt;&gt;"")+('Dvd Calendar'!$T$1676=TYPE2)*(TYPE2&lt;&gt;"")+('Dvd Calendar'!$T$1676=TYPE3)*(TYPE3&lt;&gt;"")+('Dvd Calendar'!$T$1676=TYPE4)*(TYPE4&lt;&gt;"")+('Dvd Calendar'!$T$1676=SPECIAL_LBL)*(INC_SPECIALS="Y"))=0,"",'Dvd Calendar'!$T$1674)))</f>
        <v/>
      </c>
      <c r="S170" s="106">
        <f>IF(EU170="","",IF(ISNUMBER('Dvd Calendar'!$U$1674)=FALSE,"",IF((('Dvd Calendar'!$U$1676=TYPE1)*(TYPE1&lt;&gt;"")+('Dvd Calendar'!$U$1676=TYPE2)*(TYPE2&lt;&gt;"")+('Dvd Calendar'!$U$1676=TYPE3)*(TYPE3&lt;&gt;"")+('Dvd Calendar'!$U$1676=TYPE4)*(TYPE4&lt;&gt;"")+('Dvd Calendar'!$U$1676=SPECIAL_LBL)*(INC_SPECIALS="Y"))=0,"",'Dvd Calendar'!$U$1674)))</f>
        <v/>
      </c>
      <c r="T170" s="106">
        <f>IF(EV170="","",IF(ISNUMBER('Dvd Calendar'!$V$1674)=FALSE,"",IF((('Dvd Calendar'!$V$1676=TYPE1)*(TYPE1&lt;&gt;"")+('Dvd Calendar'!$V$1676=TYPE2)*(TYPE2&lt;&gt;"")+('Dvd Calendar'!$V$1676=TYPE3)*(TYPE3&lt;&gt;"")+('Dvd Calendar'!$V$1676=TYPE4)*(TYPE4&lt;&gt;"")+('Dvd Calendar'!$V$1676=SPECIAL_LBL)*(INC_SPECIALS="Y"))=0,"",'Dvd Calendar'!$V$1674)))</f>
        <v/>
      </c>
      <c r="U170" s="106">
        <f>IF(EW170="","",IF(ISNUMBER('Dvd Calendar'!$W$1674)=FALSE,"",IF((('Dvd Calendar'!$W$1676=TYPE1)*(TYPE1&lt;&gt;"")+('Dvd Calendar'!$W$1676=TYPE2)*(TYPE2&lt;&gt;"")+('Dvd Calendar'!$W$1676=TYPE3)*(TYPE3&lt;&gt;"")+('Dvd Calendar'!$W$1676=TYPE4)*(TYPE4&lt;&gt;"")+('Dvd Calendar'!$W$1676=SPECIAL_LBL)*(INC_SPECIALS="Y"))=0,"",'Dvd Calendar'!$W$1674)))</f>
        <v/>
      </c>
      <c r="V170" s="106">
        <f>IF(EX170="","",IF(ISNUMBER('Dvd Calendar'!$X$1674)=FALSE,"",IF((('Dvd Calendar'!$X$1676=TYPE1)*(TYPE1&lt;&gt;"")+('Dvd Calendar'!$X$1676=TYPE2)*(TYPE2&lt;&gt;"")+('Dvd Calendar'!$X$1676=TYPE3)*(TYPE3&lt;&gt;"")+('Dvd Calendar'!$X$1676=TYPE4)*(TYPE4&lt;&gt;"")+('Dvd Calendar'!$X$1676=SPECIAL_LBL)*(INC_SPECIALS="Y"))=0,"",'Dvd Calendar'!$X$1674)))</f>
        <v/>
      </c>
      <c r="W170" s="106">
        <f>IF(EY170="","",IF(ISNUMBER('Dvd Calendar'!$Y$1674)=FALSE,"",IF((('Dvd Calendar'!$Y$1676=TYPE1)*(TYPE1&lt;&gt;"")+('Dvd Calendar'!$Y$1676=TYPE2)*(TYPE2&lt;&gt;"")+('Dvd Calendar'!$Y$1676=TYPE3)*(TYPE3&lt;&gt;"")+('Dvd Calendar'!$Y$1676=TYPE4)*(TYPE4&lt;&gt;"")+('Dvd Calendar'!$Y$1676=SPECIAL_LBL)*(INC_SPECIALS="Y"))=0,"",'Dvd Calendar'!$Y$1674)))</f>
        <v/>
      </c>
      <c r="X170" s="106">
        <f>IF(EZ170="","",IF(ISNUMBER('Dvd Calendar'!$Z$1674)=FALSE,"",IF((('Dvd Calendar'!$Z$1676=TYPE1)*(TYPE1&lt;&gt;"")+('Dvd Calendar'!$Z$1676=TYPE2)*(TYPE2&lt;&gt;"")+('Dvd Calendar'!$Z$1676=TYPE3)*(TYPE3&lt;&gt;"")+('Dvd Calendar'!$Z$1676=TYPE4)*(TYPE4&lt;&gt;"")+('Dvd Calendar'!$Z$1676=SPECIAL_LBL)*(INC_SPECIALS="Y"))=0,"",'Dvd Calendar'!$Z$1674)))</f>
        <v/>
      </c>
      <c r="Y170" s="106">
        <f>IF(FA170="","",IF(ISNUMBER('Dvd Calendar'!$AA$1674)=FALSE,"",IF((('Dvd Calendar'!$AA$1676=TYPE1)*(TYPE1&lt;&gt;"")+('Dvd Calendar'!$AA$1676=TYPE2)*(TYPE2&lt;&gt;"")+('Dvd Calendar'!$AA$1676=TYPE3)*(TYPE3&lt;&gt;"")+('Dvd Calendar'!$AA$1676=TYPE4)*(TYPE4&lt;&gt;"")+('Dvd Calendar'!$AA$1676=SPECIAL_LBL)*(INC_SPECIALS="Y"))=0,"",'Dvd Calendar'!$AA$1674)))</f>
        <v/>
      </c>
      <c r="Z170" s="106">
        <f>IF(FB170="","",IF(ISNUMBER('Dvd Calendar'!$AB$1674)=FALSE,"",IF((('Dvd Calendar'!$AB$1676=TYPE1)*(TYPE1&lt;&gt;"")+('Dvd Calendar'!$AB$1676=TYPE2)*(TYPE2&lt;&gt;"")+('Dvd Calendar'!$AB$1676=TYPE3)*(TYPE3&lt;&gt;"")+('Dvd Calendar'!$AB$1676=TYPE4)*(TYPE4&lt;&gt;"")+('Dvd Calendar'!$AB$1676=SPECIAL_LBL)*(INC_SPECIALS="Y"))=0,"",'Dvd Calendar'!$AB$1674)))</f>
        <v/>
      </c>
      <c r="AA170" s="106">
        <f>IF(FC170="","",IF(ISNUMBER('Dvd Calendar'!$AC$1674)=FALSE,"",IF((('Dvd Calendar'!$AC$1676=TYPE1)*(TYPE1&lt;&gt;"")+('Dvd Calendar'!$AC$1676=TYPE2)*(TYPE2&lt;&gt;"")+('Dvd Calendar'!$AC$1676=TYPE3)*(TYPE3&lt;&gt;"")+('Dvd Calendar'!$AC$1676=TYPE4)*(TYPE4&lt;&gt;"")+('Dvd Calendar'!$AC$1676=SPECIAL_LBL)*(INC_SPECIALS="Y"))=0,"",'Dvd Calendar'!$AC$1674)))</f>
        <v/>
      </c>
      <c r="AB170" s="106">
        <f>IF(FD170="","",IF(ISNUMBER('Dvd Calendar'!$AD$1674)=FALSE,"",IF((('Dvd Calendar'!$AD$1676=TYPE1)*(TYPE1&lt;&gt;"")+('Dvd Calendar'!$AD$1676=TYPE2)*(TYPE2&lt;&gt;"")+('Dvd Calendar'!$AD$1676=TYPE3)*(TYPE3&lt;&gt;"")+('Dvd Calendar'!$AD$1676=TYPE4)*(TYPE4&lt;&gt;"")+('Dvd Calendar'!$AD$1676=SPECIAL_LBL)*(INC_SPECIALS="Y"))=0,"",'Dvd Calendar'!$AD$1674)))</f>
        <v/>
      </c>
      <c r="AC170" s="106">
        <f>IF(FE170="","",IF(ISNUMBER('Dvd Calendar'!$AE$1674)=FALSE,"",IF((('Dvd Calendar'!$AE$1676=TYPE1)*(TYPE1&lt;&gt;"")+('Dvd Calendar'!$AE$1676=TYPE2)*(TYPE2&lt;&gt;"")+('Dvd Calendar'!$AE$1676=TYPE3)*(TYPE3&lt;&gt;"")+('Dvd Calendar'!$AE$1676=TYPE4)*(TYPE4&lt;&gt;"")+('Dvd Calendar'!$AE$1676=SPECIAL_LBL)*(INC_SPECIALS="Y"))=0,"",'Dvd Calendar'!$AE$1674)))</f>
        <v/>
      </c>
      <c r="AD170" s="106">
        <f>IF(FF170="","",IF(ISNUMBER('Dvd Calendar'!$AF$1674)=FALSE,"",IF((('Dvd Calendar'!$AF$1676=TYPE1)*(TYPE1&lt;&gt;"")+('Dvd Calendar'!$AF$1676=TYPE2)*(TYPE2&lt;&gt;"")+('Dvd Calendar'!$AF$1676=TYPE3)*(TYPE3&lt;&gt;"")+('Dvd Calendar'!$AF$1676=TYPE4)*(TYPE4&lt;&gt;"")+('Dvd Calendar'!$AF$1676=SPECIAL_LBL)*(INC_SPECIALS="Y"))=0,"",'Dvd Calendar'!$AF$1674)))</f>
        <v/>
      </c>
      <c r="AE170" s="106">
        <f>IF(FG170="","",IF(ISNUMBER('Dvd Calendar'!$AG$1674)=FALSE,"",IF((('Dvd Calendar'!$AG$1676=TYPE1)*(TYPE1&lt;&gt;"")+('Dvd Calendar'!$AG$1676=TYPE2)*(TYPE2&lt;&gt;"")+('Dvd Calendar'!$AG$1676=TYPE3)*(TYPE3&lt;&gt;"")+('Dvd Calendar'!$AG$1676=TYPE4)*(TYPE4&lt;&gt;"")+('Dvd Calendar'!$AG$1676=SPECIAL_LBL)*(INC_SPECIALS="Y"))=0,"",'Dvd Calendar'!$AG$1674)))</f>
        <v/>
      </c>
      <c r="AF170" s="106">
        <f>IF(FH170="","",IF(ISNUMBER('Dvd Calendar'!$AH$1674)=FALSE,"",IF((('Dvd Calendar'!$AH$1676=TYPE1)*(TYPE1&lt;&gt;"")+('Dvd Calendar'!$AH$1676=TYPE2)*(TYPE2&lt;&gt;"")+('Dvd Calendar'!$AH$1676=TYPE3)*(TYPE3&lt;&gt;"")+('Dvd Calendar'!$AH$1676=TYPE4)*(TYPE4&lt;&gt;"")+('Dvd Calendar'!$AH$1676=SPECIAL_LBL)*(INC_SPECIALS="Y"))=0,"",'Dvd Calendar'!$AH$1674)))</f>
        <v/>
      </c>
      <c r="AG170" s="106">
        <f>IF(FI170="","",IF(ISNUMBER('Dvd Calendar'!$AI$1674)=FALSE,"",IF((('Dvd Calendar'!$AI$1676=TYPE1)*(TYPE1&lt;&gt;"")+('Dvd Calendar'!$AI$1676=TYPE2)*(TYPE2&lt;&gt;"")+('Dvd Calendar'!$AI$1676=TYPE3)*(TYPE3&lt;&gt;"")+('Dvd Calendar'!$AI$1676=TYPE4)*(TYPE4&lt;&gt;"")+('Dvd Calendar'!$AI$1676=SPECIAL_LBL)*(INC_SPECIALS="Y"))=0,"",'Dvd Calendar'!$AI$1674)))</f>
        <v/>
      </c>
      <c r="AH170" s="106">
        <f>IF(FJ170="","",IF(ISNUMBER('Dvd Calendar'!$AJ$1674)=FALSE,"",IF((('Dvd Calendar'!$AJ$1676=TYPE1)*(TYPE1&lt;&gt;"")+('Dvd Calendar'!$AJ$1676=TYPE2)*(TYPE2&lt;&gt;"")+('Dvd Calendar'!$AJ$1676=TYPE3)*(TYPE3&lt;&gt;"")+('Dvd Calendar'!$AJ$1676=TYPE4)*(TYPE4&lt;&gt;"")+('Dvd Calendar'!$AJ$1676=SPECIAL_LBL)*(INC_SPECIALS="Y"))=0,"",'Dvd Calendar'!$AJ$1674)))</f>
        <v/>
      </c>
      <c r="AI170" s="106">
        <f>IF(FK170="","",IF(ISNUMBER('Dvd Calendar'!$AK$1674)=FALSE,"",IF((('Dvd Calendar'!$AK$1676=TYPE1)*(TYPE1&lt;&gt;"")+('Dvd Calendar'!$AK$1676=TYPE2)*(TYPE2&lt;&gt;"")+('Dvd Calendar'!$AK$1676=TYPE3)*(TYPE3&lt;&gt;"")+('Dvd Calendar'!$AK$1676=TYPE4)*(TYPE4&lt;&gt;"")+('Dvd Calendar'!$AK$1676=SPECIAL_LBL)*(INC_SPECIALS="Y"))=0,"",'Dvd Calendar'!$AK$1674)))</f>
        <v/>
      </c>
      <c r="AJ170" s="106">
        <f>IF(FL170="","",IF(ISNUMBER('Dvd Calendar'!$AL$1674)=FALSE,"",IF((('Dvd Calendar'!$AL$1676=TYPE1)*(TYPE1&lt;&gt;"")+('Dvd Calendar'!$AL$1676=TYPE2)*(TYPE2&lt;&gt;"")+('Dvd Calendar'!$AL$1676=TYPE3)*(TYPE3&lt;&gt;"")+('Dvd Calendar'!$AL$1676=TYPE4)*(TYPE4&lt;&gt;"")+('Dvd Calendar'!$AL$1676=SPECIAL_LBL)*(INC_SPECIALS="Y"))=0,"",'Dvd Calendar'!$AL$1674)))</f>
        <v/>
      </c>
      <c r="AK170" s="106">
        <f>IF(FM170="","",IF(ISNUMBER('Dvd Calendar'!$AM$1674)=FALSE,"",IF((('Dvd Calendar'!$AM$1676=TYPE1)*(TYPE1&lt;&gt;"")+('Dvd Calendar'!$AM$1676=TYPE2)*(TYPE2&lt;&gt;"")+('Dvd Calendar'!$AM$1676=TYPE3)*(TYPE3&lt;&gt;"")+('Dvd Calendar'!$AM$1676=TYPE4)*(TYPE4&lt;&gt;"")+('Dvd Calendar'!$AM$1676=SPECIAL_LBL)*(INC_SPECIALS="Y"))=0,"",'Dvd Calendar'!$AM$1674)))</f>
        <v/>
      </c>
      <c r="AL170" s="106">
        <f>IF(FN170="","",IF(ISNUMBER('Dvd Calendar'!$AN$1674)=FALSE,"",IF((('Dvd Calendar'!$AN$1676=TYPE1)*(TYPE1&lt;&gt;"")+('Dvd Calendar'!$AN$1676=TYPE2)*(TYPE2&lt;&gt;"")+('Dvd Calendar'!$AN$1676=TYPE3)*(TYPE3&lt;&gt;"")+('Dvd Calendar'!$AN$1676=TYPE4)*(TYPE4&lt;&gt;"")+('Dvd Calendar'!$AN$1676=SPECIAL_LBL)*(INC_SPECIALS="Y"))=0,"",'Dvd Calendar'!$AN$1674)))</f>
        <v/>
      </c>
      <c r="AM170" s="106">
        <f>IF(FO170="","",IF(ISNUMBER('Dvd Calendar'!$AO$1674)=FALSE,"",IF((('Dvd Calendar'!$AO$1676=TYPE1)*(TYPE1&lt;&gt;"")+('Dvd Calendar'!$AO$1676=TYPE2)*(TYPE2&lt;&gt;"")+('Dvd Calendar'!$AO$1676=TYPE3)*(TYPE3&lt;&gt;"")+('Dvd Calendar'!$AO$1676=TYPE4)*(TYPE4&lt;&gt;"")+('Dvd Calendar'!$AO$1676=SPECIAL_LBL)*(INC_SPECIALS="Y"))=0,"",'Dvd Calendar'!$AO$1674)))</f>
        <v/>
      </c>
      <c r="AN170" s="106">
        <f>IF(FP170="","",IF(ISNUMBER('Dvd Calendar'!$AP$1674)=FALSE,"",IF((('Dvd Calendar'!$AP$1676=TYPE1)*(TYPE1&lt;&gt;"")+('Dvd Calendar'!$AP$1676=TYPE2)*(TYPE2&lt;&gt;"")+('Dvd Calendar'!$AP$1676=TYPE3)*(TYPE3&lt;&gt;"")+('Dvd Calendar'!$AP$1676=TYPE4)*(TYPE4&lt;&gt;"")+('Dvd Calendar'!$AP$1676=SPECIAL_LBL)*(INC_SPECIALS="Y"))=0,"",'Dvd Calendar'!$AP$1674)))</f>
        <v/>
      </c>
      <c r="AO170" s="106">
        <f>IF(FQ170="","",IF(ISNUMBER('Dvd Calendar'!$AQ$1674)=FALSE,"",IF((('Dvd Calendar'!$AQ$1676=TYPE1)*(TYPE1&lt;&gt;"")+('Dvd Calendar'!$AQ$1676=TYPE2)*(TYPE2&lt;&gt;"")+('Dvd Calendar'!$AQ$1676=TYPE3)*(TYPE3&lt;&gt;"")+('Dvd Calendar'!$AQ$1676=TYPE4)*(TYPE4&lt;&gt;"")+('Dvd Calendar'!$AQ$1676=SPECIAL_LBL)*(INC_SPECIALS="Y"))=0,"",'Dvd Calendar'!$AQ$1674)))</f>
        <v/>
      </c>
      <c r="AP170" s="106">
        <f>IF(FR170="","",IF(ISNUMBER('Dvd Calendar'!$AR$1674)=FALSE,"",IF((('Dvd Calendar'!$AR$1676=TYPE1)*(TYPE1&lt;&gt;"")+('Dvd Calendar'!$AR$1676=TYPE2)*(TYPE2&lt;&gt;"")+('Dvd Calendar'!$AR$1676=TYPE3)*(TYPE3&lt;&gt;"")+('Dvd Calendar'!$AR$1676=TYPE4)*(TYPE4&lt;&gt;"")+('Dvd Calendar'!$AR$1676=SPECIAL_LBL)*(INC_SPECIALS="Y"))=0,"",'Dvd Calendar'!$AR$1674)))</f>
        <v/>
      </c>
      <c r="AQ170" s="106">
        <f>IF(FS170="","",IF(ISNUMBER('Dvd Calendar'!$E$1679)=FALSE,"",'Dvd Calendar'!$E$1679))</f>
        <v/>
      </c>
      <c r="AR170" s="106">
        <f>IF(FT170="","",IF(ISNUMBER('Dvd Calendar'!$F$1679)=FALSE,"",'Dvd Calendar'!$F$1679))</f>
        <v/>
      </c>
      <c r="AS170" s="106">
        <f>IF(FU170="","",IF(ISNUMBER('Dvd Calendar'!$G$1679)=FALSE,"",'Dvd Calendar'!$G$1679))</f>
        <v/>
      </c>
      <c r="AT170" s="106">
        <f>IF(FV170="","",IF(ISNUMBER('Dvd Calendar'!$H$1679)=FALSE,"",'Dvd Calendar'!$H$1679))</f>
        <v/>
      </c>
      <c r="AU170" s="106">
        <f>IF(FW170="","",IF(ISNUMBER('Dvd Calendar'!$I$1679)=FALSE,"",'Dvd Calendar'!$I$1679))</f>
        <v/>
      </c>
      <c r="AV170" s="106">
        <f>IF(FX170="","",IF(ISNUMBER('Dvd Calendar'!$J$1679)=FALSE,"",'Dvd Calendar'!$J$1679))</f>
        <v/>
      </c>
      <c r="AW170" s="106">
        <f>IF(FY170="","",IF(ISNUMBER('Dvd Calendar'!$K$1679)=FALSE,"",'Dvd Calendar'!$K$1679))</f>
        <v/>
      </c>
      <c r="AX170" s="106">
        <f>IF(FZ170="","",IF(ISNUMBER('Dvd Calendar'!$L$1679)=FALSE,"",'Dvd Calendar'!$L$1679))</f>
        <v/>
      </c>
      <c r="AY170" s="106">
        <f>IF(GA170="","",IF(ISNUMBER('Dvd Calendar'!$M$1679)=FALSE,"",'Dvd Calendar'!$M$1679))</f>
        <v/>
      </c>
      <c r="AZ170" s="106">
        <f>IF(GB170="","",IF(ISNUMBER('Dvd Calendar'!$N$1679)=FALSE,"",'Dvd Calendar'!$N$1679))</f>
        <v/>
      </c>
      <c r="BA170" s="106">
        <f>IF(GC170="","",IF(ISNUMBER('Dvd Calendar'!$O$1679)=FALSE,"",'Dvd Calendar'!$O$1679))</f>
        <v/>
      </c>
      <c r="BB170" s="106">
        <f>IF(GD170="","",IF(ISNUMBER('Dvd Calendar'!$P$1679)=FALSE,"",'Dvd Calendar'!$P$1679))</f>
        <v/>
      </c>
      <c r="BC170" s="106">
        <f>IF(GE170="","",IF(ISNUMBER('Dvd Calendar'!$Q$1679)=FALSE,"",'Dvd Calendar'!$Q$1679))</f>
        <v/>
      </c>
      <c r="BD170" s="106">
        <f>IF(GF170="","",IF(ISNUMBER('Dvd Calendar'!$R$1679)=FALSE,"",'Dvd Calendar'!$R$1679))</f>
        <v/>
      </c>
      <c r="BE170" s="106">
        <f>IF(GG170="","",IF(ISNUMBER('Dvd Calendar'!$S$1679)=FALSE,"",'Dvd Calendar'!$S$1679))</f>
        <v/>
      </c>
      <c r="BF170" s="106">
        <f>IF(GH170="","",IF(ISNUMBER('Dvd Calendar'!$T$1679)=FALSE,"",'Dvd Calendar'!$T$1679))</f>
        <v/>
      </c>
      <c r="BG170" s="106">
        <f>IF(GI170="","",IF(ISNUMBER('Dvd Calendar'!$U$1679)=FALSE,"",'Dvd Calendar'!$U$1679))</f>
        <v/>
      </c>
      <c r="BH170" s="106">
        <f>IF(GJ170="","",IF(ISNUMBER('Dvd Calendar'!$V$1679)=FALSE,"",'Dvd Calendar'!$V$1679))</f>
        <v/>
      </c>
      <c r="BI170" s="106">
        <f>IF(GK170="","",IF(ISNUMBER('Dvd Calendar'!$W$1679)=FALSE,"",'Dvd Calendar'!$W$1679))</f>
        <v/>
      </c>
      <c r="BJ170" s="106">
        <f>IF(GL170="","",IF(ISNUMBER('Dvd Calendar'!$X$1679)=FALSE,"",'Dvd Calendar'!$X$1679))</f>
        <v/>
      </c>
      <c r="BK170" s="106">
        <f>IF(GM170="","",IF(ISNUMBER('Dvd Calendar'!$Y$1679)=FALSE,"",'Dvd Calendar'!$Y$1679))</f>
        <v/>
      </c>
      <c r="BL170" s="106">
        <f>IF(GN170="","",IF(ISNUMBER('Dvd Calendar'!$Z$1679)=FALSE,"",'Dvd Calendar'!$Z$1679))</f>
        <v/>
      </c>
      <c r="BM170" s="106">
        <f>IF(GO170="","",IF(ISNUMBER('Dvd Calendar'!$AA$1679)=FALSE,"",'Dvd Calendar'!$AA$1679))</f>
        <v/>
      </c>
      <c r="BN170" s="106">
        <f>IF(GP170="","",IF(ISNUMBER('Dvd Calendar'!$AB$1679)=FALSE,"",'Dvd Calendar'!$AB$1679))</f>
        <v/>
      </c>
      <c r="BO170" s="106">
        <f>IF(GQ170="","",IF(ISNUMBER('Dvd Calendar'!$AC$1679)=FALSE,"",'Dvd Calendar'!$AC$1679))</f>
        <v/>
      </c>
      <c r="BQ170" s="106">
        <f>IF(C170="","",IFERROR(C170*HSCEI!$B$17*HSCEI!$G$17/HSCEI!$B$3,""))</f>
        <v/>
      </c>
      <c r="BR170" s="106">
        <f>IF(D170="","",IFERROR(D170*HSCEI!$B$17*HSCEI!$G$17/HSCEI!$B$3,""))</f>
        <v/>
      </c>
      <c r="BS170" s="106">
        <f>IF(E170="","",IFERROR(E170*HSCEI!$B$17*HSCEI!$G$17/HSCEI!$B$3,""))</f>
        <v/>
      </c>
      <c r="BT170" s="106">
        <f>IF(F170="","",IFERROR(F170*HSCEI!$B$17*HSCEI!$G$17/HSCEI!$B$3,""))</f>
        <v/>
      </c>
      <c r="BU170" s="106">
        <f>IF(G170="","",IFERROR(G170*HSCEI!$B$17*HSCEI!$G$17/HSCEI!$B$3,""))</f>
        <v/>
      </c>
      <c r="BV170" s="106">
        <f>IF(H170="","",IFERROR(H170*HSCEI!$B$17*HSCEI!$G$17/HSCEI!$B$3,""))</f>
        <v/>
      </c>
      <c r="BW170" s="106">
        <f>IF(I170="","",IFERROR(I170*HSCEI!$B$17*HSCEI!$G$17/HSCEI!$B$3,""))</f>
        <v/>
      </c>
      <c r="BX170" s="106">
        <f>IF(J170="","",IFERROR(J170*HSCEI!$B$17*HSCEI!$G$17/HSCEI!$B$3,""))</f>
        <v/>
      </c>
      <c r="BY170" s="106">
        <f>IF(K170="","",IFERROR(K170*HSCEI!$B$17*HSCEI!$G$17/HSCEI!$B$3,""))</f>
        <v/>
      </c>
      <c r="BZ170" s="106">
        <f>IF(L170="","",IFERROR(L170*HSCEI!$B$17*HSCEI!$G$17/HSCEI!$B$3,""))</f>
        <v/>
      </c>
      <c r="CA170" s="106">
        <f>IF(M170="","",IFERROR(M170*HSCEI!$B$17*HSCEI!$G$17/HSCEI!$B$3,""))</f>
        <v/>
      </c>
      <c r="CB170" s="106">
        <f>IF(N170="","",IFERROR(N170*HSCEI!$B$17*HSCEI!$G$17/HSCEI!$B$3,""))</f>
        <v/>
      </c>
      <c r="CC170" s="106">
        <f>IF(O170="","",IFERROR(O170*HSCEI!$B$17*HSCEI!$G$17/HSCEI!$B$3,""))</f>
        <v/>
      </c>
      <c r="CD170" s="106">
        <f>IF(P170="","",IFERROR(P170*HSCEI!$B$17*HSCEI!$G$17/HSCEI!$B$3,""))</f>
        <v/>
      </c>
      <c r="CE170" s="106">
        <f>IF(Q170="","",IFERROR(Q170*HSCEI!$B$17*HSCEI!$G$17/HSCEI!$B$3,""))</f>
        <v/>
      </c>
      <c r="CF170" s="106">
        <f>IF(R170="","",IFERROR(R170*HSCEI!$B$17*HSCEI!$G$17/HSCEI!$B$3,""))</f>
        <v/>
      </c>
      <c r="CG170" s="106">
        <f>IF(S170="","",IFERROR(S170*HSCEI!$B$17*HSCEI!$G$17/HSCEI!$B$3,""))</f>
        <v/>
      </c>
      <c r="CH170" s="106">
        <f>IF(T170="","",IFERROR(T170*HSCEI!$B$17*HSCEI!$G$17/HSCEI!$B$3,""))</f>
        <v/>
      </c>
      <c r="CI170" s="106">
        <f>IF(U170="","",IFERROR(U170*HSCEI!$B$17*HSCEI!$G$17/HSCEI!$B$3,""))</f>
        <v/>
      </c>
      <c r="CJ170" s="106">
        <f>IF(V170="","",IFERROR(V170*HSCEI!$B$17*HSCEI!$G$17/HSCEI!$B$3,""))</f>
        <v/>
      </c>
      <c r="CK170" s="106">
        <f>IF(W170="","",IFERROR(W170*HSCEI!$B$17*HSCEI!$G$17/HSCEI!$B$3,""))</f>
        <v/>
      </c>
      <c r="CL170" s="106">
        <f>IF(X170="","",IFERROR(X170*HSCEI!$B$17*HSCEI!$G$17/HSCEI!$B$3,""))</f>
        <v/>
      </c>
      <c r="CM170" s="106">
        <f>IF(Y170="","",IFERROR(Y170*HSCEI!$B$17*HSCEI!$G$17/HSCEI!$B$3,""))</f>
        <v/>
      </c>
      <c r="CN170" s="106">
        <f>IF(Z170="","",IFERROR(Z170*HSCEI!$B$17*HSCEI!$G$17/HSCEI!$B$3,""))</f>
        <v/>
      </c>
      <c r="CO170" s="106">
        <f>IF(AA170="","",IFERROR(AA170*HSCEI!$B$17*HSCEI!$G$17/HSCEI!$B$3,""))</f>
        <v/>
      </c>
      <c r="CP170" s="106">
        <f>IF(AB170="","",IFERROR(AB170*HSCEI!$B$17*HSCEI!$G$17/HSCEI!$B$3,""))</f>
        <v/>
      </c>
      <c r="CQ170" s="106">
        <f>IF(AC170="","",IFERROR(AC170*HSCEI!$B$17*HSCEI!$G$17/HSCEI!$B$3,""))</f>
        <v/>
      </c>
      <c r="CR170" s="106">
        <f>IF(AD170="","",IFERROR(AD170*HSCEI!$B$17*HSCEI!$G$17/HSCEI!$B$3,""))</f>
        <v/>
      </c>
      <c r="CS170" s="106">
        <f>IF(AE170="","",IFERROR(AE170*HSCEI!$B$17*HSCEI!$G$17/HSCEI!$B$3,""))</f>
        <v/>
      </c>
      <c r="CT170" s="106">
        <f>IF(AF170="","",IFERROR(AF170*HSCEI!$B$17*HSCEI!$G$17/HSCEI!$B$3,""))</f>
        <v/>
      </c>
      <c r="CU170" s="106">
        <f>IF(AG170="","",IFERROR(AG170*HSCEI!$B$17*HSCEI!$G$17/HSCEI!$B$3,""))</f>
        <v/>
      </c>
      <c r="CV170" s="106">
        <f>IF(AH170="","",IFERROR(AH170*HSCEI!$B$17*HSCEI!$G$17/HSCEI!$B$3,""))</f>
        <v/>
      </c>
      <c r="CW170" s="106">
        <f>IF(AI170="","",IFERROR(AI170*HSCEI!$B$17*HSCEI!$G$17/HSCEI!$B$3,""))</f>
        <v/>
      </c>
      <c r="CX170" s="106">
        <f>IF(AJ170="","",IFERROR(AJ170*HSCEI!$B$17*HSCEI!$G$17/HSCEI!$B$3,""))</f>
        <v/>
      </c>
      <c r="CY170" s="106">
        <f>IF(AK170="","",IFERROR(AK170*HSCEI!$B$17*HSCEI!$G$17/HSCEI!$B$3,""))</f>
        <v/>
      </c>
      <c r="CZ170" s="106">
        <f>IF(AL170="","",IFERROR(AL170*HSCEI!$B$17*HSCEI!$G$17/HSCEI!$B$3,""))</f>
        <v/>
      </c>
      <c r="DA170" s="106">
        <f>IF(AM170="","",IFERROR(AM170*HSCEI!$B$17*HSCEI!$G$17/HSCEI!$B$3,""))</f>
        <v/>
      </c>
      <c r="DB170" s="106">
        <f>IF(AN170="","",IFERROR(AN170*HSCEI!$B$17*HSCEI!$G$17/HSCEI!$B$3,""))</f>
        <v/>
      </c>
      <c r="DC170" s="106">
        <f>IF(AO170="","",IFERROR(AO170*HSCEI!$B$17*HSCEI!$G$17/HSCEI!$B$3,""))</f>
        <v/>
      </c>
      <c r="DD170" s="106">
        <f>IF(AP170="","",IFERROR(AP170*HSCEI!$B$17*HSCEI!$G$17/HSCEI!$B$3,""))</f>
        <v/>
      </c>
      <c r="DE170" s="106">
        <f>IF(AQ170="","",IFERROR(AQ170*HSCEI!$B$17*HSCEI!$G$17/HSCEI!$B$3,""))</f>
        <v/>
      </c>
      <c r="DF170" s="106">
        <f>IF(AR170="","",IFERROR(AR170*HSCEI!$B$17*HSCEI!$G$17/HSCEI!$B$3,""))</f>
        <v/>
      </c>
      <c r="DG170" s="106">
        <f>IF(AS170="","",IFERROR(AS170*HSCEI!$B$17*HSCEI!$G$17/HSCEI!$B$3,""))</f>
        <v/>
      </c>
      <c r="DH170" s="106">
        <f>IF(AT170="","",IFERROR(AT170*HSCEI!$B$17*HSCEI!$G$17/HSCEI!$B$3,""))</f>
        <v/>
      </c>
      <c r="DI170" s="106">
        <f>IF(AU170="","",IFERROR(AU170*HSCEI!$B$17*HSCEI!$G$17/HSCEI!$B$3,""))</f>
        <v/>
      </c>
      <c r="DJ170" s="106">
        <f>IF(AV170="","",IFERROR(AV170*HSCEI!$B$17*HSCEI!$G$17/HSCEI!$B$3,""))</f>
        <v/>
      </c>
      <c r="DK170" s="106">
        <f>IF(AW170="","",IFERROR(AW170*HSCEI!$B$17*HSCEI!$G$17/HSCEI!$B$3,""))</f>
        <v/>
      </c>
      <c r="DL170" s="106">
        <f>IF(AX170="","",IFERROR(AX170*HSCEI!$B$17*HSCEI!$G$17/HSCEI!$B$3,""))</f>
        <v/>
      </c>
      <c r="DM170" s="106">
        <f>IF(AY170="","",IFERROR(AY170*HSCEI!$B$17*HSCEI!$G$17/HSCEI!$B$3,""))</f>
        <v/>
      </c>
      <c r="DN170" s="106">
        <f>IF(AZ170="","",IFERROR(AZ170*HSCEI!$B$17*HSCEI!$G$17/HSCEI!$B$3,""))</f>
        <v/>
      </c>
      <c r="DO170" s="106">
        <f>IF(BA170="","",IFERROR(BA170*HSCEI!$B$17*HSCEI!$G$17/HSCEI!$B$3,""))</f>
        <v/>
      </c>
      <c r="DP170" s="106">
        <f>IF(BB170="","",IFERROR(BB170*HSCEI!$B$17*HSCEI!$G$17/HSCEI!$B$3,""))</f>
        <v/>
      </c>
      <c r="DQ170" s="106">
        <f>IF(BC170="","",IFERROR(BC170*HSCEI!$B$17*HSCEI!$G$17/HSCEI!$B$3,""))</f>
        <v/>
      </c>
      <c r="DR170" s="106">
        <f>IF(BD170="","",IFERROR(BD170*HSCEI!$B$17*HSCEI!$G$17/HSCEI!$B$3,""))</f>
        <v/>
      </c>
      <c r="DS170" s="106">
        <f>IF(BE170="","",IFERROR(BE170*HSCEI!$B$17*HSCEI!$G$17/HSCEI!$B$3,""))</f>
        <v/>
      </c>
      <c r="DT170" s="106">
        <f>IF(BF170="","",IFERROR(BF170*HSCEI!$B$17*HSCEI!$G$17/HSCEI!$B$3,""))</f>
        <v/>
      </c>
      <c r="DU170" s="106">
        <f>IF(BG170="","",IFERROR(BG170*HSCEI!$B$17*HSCEI!$G$17/HSCEI!$B$3,""))</f>
        <v/>
      </c>
      <c r="DV170" s="106">
        <f>IF(BH170="","",IFERROR(BH170*HSCEI!$B$17*HSCEI!$G$17/HSCEI!$B$3,""))</f>
        <v/>
      </c>
      <c r="DW170" s="106">
        <f>IF(BI170="","",IFERROR(BI170*HSCEI!$B$17*HSCEI!$G$17/HSCEI!$B$3,""))</f>
        <v/>
      </c>
      <c r="DX170" s="106">
        <f>IF(BJ170="","",IFERROR(BJ170*HSCEI!$B$17*HSCEI!$G$17/HSCEI!$B$3,""))</f>
        <v/>
      </c>
      <c r="DY170" s="106">
        <f>IF(BK170="","",IFERROR(BK170*HSCEI!$B$17*HSCEI!$G$17/HSCEI!$B$3,""))</f>
        <v/>
      </c>
      <c r="DZ170" s="106">
        <f>IF(BL170="","",IFERROR(BL170*HSCEI!$B$17*HSCEI!$G$17/HSCEI!$B$3,""))</f>
        <v/>
      </c>
      <c r="EA170" s="106">
        <f>IF(BM170="","",IFERROR(BM170*HSCEI!$B$17*HSCEI!$G$17/HSCEI!$B$3,""))</f>
        <v/>
      </c>
      <c r="EB170" s="106">
        <f>IF(BN170="","",IFERROR(BN170*HSCEI!$B$17*HSCEI!$G$17/HSCEI!$B$3,""))</f>
        <v/>
      </c>
      <c r="EC170" s="106">
        <f>IF(BO170="","",IFERROR(BO170*HSCEI!$B$17*HSCEI!$G$17/HSCEI!$B$3,""))</f>
        <v/>
      </c>
      <c r="EE170" s="35">
        <f>IF(N('Dvd Calendar'!$E$1671)=0,"",IF(('Dvd Calendar'!$E$1671&gt;=GRID_FROM)*('Dvd Calendar'!$E$1671&lt;=GRID_TO)*('Dvd Calendar'!$E$1671&lt;=VAL_DATE)=0,"",'Dvd Calendar'!$E$1671*1000000000+ISNUMBER('Dvd Calendar'!$E$1674)*100000000+('Dvd Calendar'!$E$1676=SPECIAL_LBL)*10000000+0*1000000+11*1000+1))</f>
        <v/>
      </c>
      <c r="EF170" s="35">
        <f>IF(N('Dvd Calendar'!$F$1671)=0,"",IF(('Dvd Calendar'!$F$1671&gt;=GRID_FROM)*('Dvd Calendar'!$F$1671&lt;=GRID_TO)*('Dvd Calendar'!$F$1671&lt;=VAL_DATE)=0,"",'Dvd Calendar'!$F$1671*1000000000+ISNUMBER('Dvd Calendar'!$F$1674)*100000000+('Dvd Calendar'!$F$1676=SPECIAL_LBL)*10000000+0*1000000+11*1000+2))</f>
        <v/>
      </c>
      <c r="EG170" s="35">
        <f>IF(N('Dvd Calendar'!$G$1671)=0,"",IF(('Dvd Calendar'!$G$1671&gt;=GRID_FROM)*('Dvd Calendar'!$G$1671&lt;=GRID_TO)*('Dvd Calendar'!$G$1671&lt;=VAL_DATE)=0,"",'Dvd Calendar'!$G$1671*1000000000+ISNUMBER('Dvd Calendar'!$G$1674)*100000000+('Dvd Calendar'!$G$1676=SPECIAL_LBL)*10000000+0*1000000+11*1000+3))</f>
        <v/>
      </c>
      <c r="EH170" s="35">
        <f>IF(N('Dvd Calendar'!$H$1671)=0,"",IF(('Dvd Calendar'!$H$1671&gt;=GRID_FROM)*('Dvd Calendar'!$H$1671&lt;=GRID_TO)*('Dvd Calendar'!$H$1671&lt;=VAL_DATE)=0,"",'Dvd Calendar'!$H$1671*1000000000+ISNUMBER('Dvd Calendar'!$H$1674)*100000000+('Dvd Calendar'!$H$1676=SPECIAL_LBL)*10000000+0*1000000+11*1000+4))</f>
        <v/>
      </c>
      <c r="EI170" s="35">
        <f>IF(N('Dvd Calendar'!$I$1671)=0,"",IF(('Dvd Calendar'!$I$1671&gt;=GRID_FROM)*('Dvd Calendar'!$I$1671&lt;=GRID_TO)*('Dvd Calendar'!$I$1671&lt;=VAL_DATE)=0,"",'Dvd Calendar'!$I$1671*1000000000+ISNUMBER('Dvd Calendar'!$I$1674)*100000000+('Dvd Calendar'!$I$1676=SPECIAL_LBL)*10000000+0*1000000+11*1000+5))</f>
        <v/>
      </c>
      <c r="EJ170" s="35">
        <f>IF(N('Dvd Calendar'!$J$1671)=0,"",IF(('Dvd Calendar'!$J$1671&gt;=GRID_FROM)*('Dvd Calendar'!$J$1671&lt;=GRID_TO)*('Dvd Calendar'!$J$1671&lt;=VAL_DATE)=0,"",'Dvd Calendar'!$J$1671*1000000000+ISNUMBER('Dvd Calendar'!$J$1674)*100000000+('Dvd Calendar'!$J$1676=SPECIAL_LBL)*10000000+0*1000000+11*1000+6))</f>
        <v/>
      </c>
      <c r="EK170" s="35">
        <f>IF(N('Dvd Calendar'!$K$1671)=0,"",IF(('Dvd Calendar'!$K$1671&gt;=GRID_FROM)*('Dvd Calendar'!$K$1671&lt;=GRID_TO)*('Dvd Calendar'!$K$1671&lt;=VAL_DATE)=0,"",'Dvd Calendar'!$K$1671*1000000000+ISNUMBER('Dvd Calendar'!$K$1674)*100000000+('Dvd Calendar'!$K$1676=SPECIAL_LBL)*10000000+0*1000000+11*1000+7))</f>
        <v/>
      </c>
      <c r="EL170" s="35">
        <f>IF(N('Dvd Calendar'!$L$1671)=0,"",IF(('Dvd Calendar'!$L$1671&gt;=GRID_FROM)*('Dvd Calendar'!$L$1671&lt;=GRID_TO)*('Dvd Calendar'!$L$1671&lt;=VAL_DATE)=0,"",'Dvd Calendar'!$L$1671*1000000000+ISNUMBER('Dvd Calendar'!$L$1674)*100000000+('Dvd Calendar'!$L$1676=SPECIAL_LBL)*10000000+0*1000000+11*1000+8))</f>
        <v/>
      </c>
      <c r="EM170" s="35">
        <f>IF(N('Dvd Calendar'!$M$1671)=0,"",IF(('Dvd Calendar'!$M$1671&gt;=GRID_FROM)*('Dvd Calendar'!$M$1671&lt;=GRID_TO)*('Dvd Calendar'!$M$1671&lt;=VAL_DATE)=0,"",'Dvd Calendar'!$M$1671*1000000000+ISNUMBER('Dvd Calendar'!$M$1674)*100000000+('Dvd Calendar'!$M$1676=SPECIAL_LBL)*10000000+0*1000000+11*1000+9))</f>
        <v/>
      </c>
      <c r="EN170" s="35">
        <f>IF(N('Dvd Calendar'!$N$1671)=0,"",IF(('Dvd Calendar'!$N$1671&gt;=GRID_FROM)*('Dvd Calendar'!$N$1671&lt;=GRID_TO)*('Dvd Calendar'!$N$1671&lt;=VAL_DATE)=0,"",'Dvd Calendar'!$N$1671*1000000000+ISNUMBER('Dvd Calendar'!$N$1674)*100000000+('Dvd Calendar'!$N$1676=SPECIAL_LBL)*10000000+0*1000000+11*1000+10))</f>
        <v/>
      </c>
      <c r="EO170" s="35">
        <f>IF(N('Dvd Calendar'!$O$1671)=0,"",IF(('Dvd Calendar'!$O$1671&gt;=GRID_FROM)*('Dvd Calendar'!$O$1671&lt;=GRID_TO)*('Dvd Calendar'!$O$1671&lt;=VAL_DATE)=0,"",'Dvd Calendar'!$O$1671*1000000000+ISNUMBER('Dvd Calendar'!$O$1674)*100000000+('Dvd Calendar'!$O$1676=SPECIAL_LBL)*10000000+0*1000000+11*1000+11))</f>
        <v/>
      </c>
      <c r="EP170" s="35">
        <f>IF(N('Dvd Calendar'!$P$1671)=0,"",IF(('Dvd Calendar'!$P$1671&gt;=GRID_FROM)*('Dvd Calendar'!$P$1671&lt;=GRID_TO)*('Dvd Calendar'!$P$1671&lt;=VAL_DATE)=0,"",'Dvd Calendar'!$P$1671*1000000000+ISNUMBER('Dvd Calendar'!$P$1674)*100000000+('Dvd Calendar'!$P$1676=SPECIAL_LBL)*10000000+0*1000000+11*1000+12))</f>
        <v/>
      </c>
      <c r="EQ170" s="35">
        <f>IF(N('Dvd Calendar'!$Q$1671)=0,"",IF(('Dvd Calendar'!$Q$1671&gt;=GRID_FROM)*('Dvd Calendar'!$Q$1671&lt;=GRID_TO)*('Dvd Calendar'!$Q$1671&lt;=VAL_DATE)=0,"",'Dvd Calendar'!$Q$1671*1000000000+ISNUMBER('Dvd Calendar'!$Q$1674)*100000000+('Dvd Calendar'!$Q$1676=SPECIAL_LBL)*10000000+0*1000000+11*1000+13))</f>
        <v/>
      </c>
      <c r="ER170" s="35">
        <f>IF(N('Dvd Calendar'!$R$1671)=0,"",IF(('Dvd Calendar'!$R$1671&gt;=GRID_FROM)*('Dvd Calendar'!$R$1671&lt;=GRID_TO)*('Dvd Calendar'!$R$1671&lt;=VAL_DATE)=0,"",'Dvd Calendar'!$R$1671*1000000000+ISNUMBER('Dvd Calendar'!$R$1674)*100000000+('Dvd Calendar'!$R$1676=SPECIAL_LBL)*10000000+0*1000000+11*1000+14))</f>
        <v/>
      </c>
      <c r="ES170" s="35">
        <f>IF(N('Dvd Calendar'!$S$1671)=0,"",IF(('Dvd Calendar'!$S$1671&gt;=GRID_FROM)*('Dvd Calendar'!$S$1671&lt;=GRID_TO)*('Dvd Calendar'!$S$1671&lt;=VAL_DATE)=0,"",'Dvd Calendar'!$S$1671*1000000000+ISNUMBER('Dvd Calendar'!$S$1674)*100000000+('Dvd Calendar'!$S$1676=SPECIAL_LBL)*10000000+0*1000000+11*1000+15))</f>
        <v/>
      </c>
      <c r="ET170" s="35">
        <f>IF(N('Dvd Calendar'!$T$1671)=0,"",IF(('Dvd Calendar'!$T$1671&gt;=GRID_FROM)*('Dvd Calendar'!$T$1671&lt;=GRID_TO)*('Dvd Calendar'!$T$1671&lt;=VAL_DATE)=0,"",'Dvd Calendar'!$T$1671*1000000000+ISNUMBER('Dvd Calendar'!$T$1674)*100000000+('Dvd Calendar'!$T$1676=SPECIAL_LBL)*10000000+0*1000000+11*1000+16))</f>
        <v/>
      </c>
      <c r="EU170" s="35">
        <f>IF(N('Dvd Calendar'!$U$1671)=0,"",IF(('Dvd Calendar'!$U$1671&gt;=GRID_FROM)*('Dvd Calendar'!$U$1671&lt;=GRID_TO)*('Dvd Calendar'!$U$1671&lt;=VAL_DATE)=0,"",'Dvd Calendar'!$U$1671*1000000000+ISNUMBER('Dvd Calendar'!$U$1674)*100000000+('Dvd Calendar'!$U$1676=SPECIAL_LBL)*10000000+0*1000000+11*1000+17))</f>
        <v/>
      </c>
      <c r="EV170" s="35">
        <f>IF(N('Dvd Calendar'!$V$1671)=0,"",IF(('Dvd Calendar'!$V$1671&gt;=GRID_FROM)*('Dvd Calendar'!$V$1671&lt;=GRID_TO)*('Dvd Calendar'!$V$1671&lt;=VAL_DATE)=0,"",'Dvd Calendar'!$V$1671*1000000000+ISNUMBER('Dvd Calendar'!$V$1674)*100000000+('Dvd Calendar'!$V$1676=SPECIAL_LBL)*10000000+0*1000000+11*1000+18))</f>
        <v/>
      </c>
      <c r="EW170" s="35">
        <f>IF(N('Dvd Calendar'!$W$1671)=0,"",IF(('Dvd Calendar'!$W$1671&gt;=GRID_FROM)*('Dvd Calendar'!$W$1671&lt;=GRID_TO)*('Dvd Calendar'!$W$1671&lt;=VAL_DATE)=0,"",'Dvd Calendar'!$W$1671*1000000000+ISNUMBER('Dvd Calendar'!$W$1674)*100000000+('Dvd Calendar'!$W$1676=SPECIAL_LBL)*10000000+0*1000000+11*1000+19))</f>
        <v/>
      </c>
      <c r="EX170" s="35">
        <f>IF(N('Dvd Calendar'!$X$1671)=0,"",IF(('Dvd Calendar'!$X$1671&gt;=GRID_FROM)*('Dvd Calendar'!$X$1671&lt;=GRID_TO)*('Dvd Calendar'!$X$1671&lt;=VAL_DATE)=0,"",'Dvd Calendar'!$X$1671*1000000000+ISNUMBER('Dvd Calendar'!$X$1674)*100000000+('Dvd Calendar'!$X$1676=SPECIAL_LBL)*10000000+0*1000000+11*1000+20))</f>
        <v/>
      </c>
      <c r="EY170" s="35">
        <f>IF(N('Dvd Calendar'!$Y$1671)=0,"",IF(('Dvd Calendar'!$Y$1671&gt;=GRID_FROM)*('Dvd Calendar'!$Y$1671&lt;=GRID_TO)*('Dvd Calendar'!$Y$1671&lt;=VAL_DATE)=0,"",'Dvd Calendar'!$Y$1671*1000000000+ISNUMBER('Dvd Calendar'!$Y$1674)*100000000+('Dvd Calendar'!$Y$1676=SPECIAL_LBL)*10000000+0*1000000+11*1000+21))</f>
        <v/>
      </c>
      <c r="EZ170" s="35">
        <f>IF(N('Dvd Calendar'!$Z$1671)=0,"",IF(('Dvd Calendar'!$Z$1671&gt;=GRID_FROM)*('Dvd Calendar'!$Z$1671&lt;=GRID_TO)*('Dvd Calendar'!$Z$1671&lt;=VAL_DATE)=0,"",'Dvd Calendar'!$Z$1671*1000000000+ISNUMBER('Dvd Calendar'!$Z$1674)*100000000+('Dvd Calendar'!$Z$1676=SPECIAL_LBL)*10000000+0*1000000+11*1000+22))</f>
        <v/>
      </c>
      <c r="FA170" s="35">
        <f>IF(N('Dvd Calendar'!$AA$1671)=0,"",IF(('Dvd Calendar'!$AA$1671&gt;=GRID_FROM)*('Dvd Calendar'!$AA$1671&lt;=GRID_TO)*('Dvd Calendar'!$AA$1671&lt;=VAL_DATE)=0,"",'Dvd Calendar'!$AA$1671*1000000000+ISNUMBER('Dvd Calendar'!$AA$1674)*100000000+('Dvd Calendar'!$AA$1676=SPECIAL_LBL)*10000000+0*1000000+11*1000+23))</f>
        <v/>
      </c>
      <c r="FB170" s="35">
        <f>IF(N('Dvd Calendar'!$AB$1671)=0,"",IF(('Dvd Calendar'!$AB$1671&gt;=GRID_FROM)*('Dvd Calendar'!$AB$1671&lt;=GRID_TO)*('Dvd Calendar'!$AB$1671&lt;=VAL_DATE)=0,"",'Dvd Calendar'!$AB$1671*1000000000+ISNUMBER('Dvd Calendar'!$AB$1674)*100000000+('Dvd Calendar'!$AB$1676=SPECIAL_LBL)*10000000+0*1000000+11*1000+24))</f>
        <v/>
      </c>
      <c r="FC170" s="35">
        <f>IF(N('Dvd Calendar'!$AC$1671)=0,"",IF(('Dvd Calendar'!$AC$1671&gt;=GRID_FROM)*('Dvd Calendar'!$AC$1671&lt;=GRID_TO)*('Dvd Calendar'!$AC$1671&lt;=VAL_DATE)=0,"",'Dvd Calendar'!$AC$1671*1000000000+ISNUMBER('Dvd Calendar'!$AC$1674)*100000000+('Dvd Calendar'!$AC$1676=SPECIAL_LBL)*10000000+0*1000000+11*1000+25))</f>
        <v/>
      </c>
      <c r="FD170" s="35">
        <f>IF(N('Dvd Calendar'!$AD$1671)=0,"",IF(('Dvd Calendar'!$AD$1671&gt;=GRID_FROM)*('Dvd Calendar'!$AD$1671&lt;=GRID_TO)*('Dvd Calendar'!$AD$1671&lt;=VAL_DATE)=0,"",'Dvd Calendar'!$AD$1671*1000000000+ISNUMBER('Dvd Calendar'!$AD$1674)*100000000+('Dvd Calendar'!$AD$1676=SPECIAL_LBL)*10000000+0*1000000+11*1000+26))</f>
        <v/>
      </c>
      <c r="FE170" s="35">
        <f>IF(N('Dvd Calendar'!$AE$1671)=0,"",IF(('Dvd Calendar'!$AE$1671&gt;=GRID_FROM)*('Dvd Calendar'!$AE$1671&lt;=GRID_TO)*('Dvd Calendar'!$AE$1671&lt;=VAL_DATE)=0,"",'Dvd Calendar'!$AE$1671*1000000000+ISNUMBER('Dvd Calendar'!$AE$1674)*100000000+('Dvd Calendar'!$AE$1676=SPECIAL_LBL)*10000000+0*1000000+11*1000+27))</f>
        <v/>
      </c>
      <c r="FF170" s="35">
        <f>IF(N('Dvd Calendar'!$AF$1671)=0,"",IF(('Dvd Calendar'!$AF$1671&gt;=GRID_FROM)*('Dvd Calendar'!$AF$1671&lt;=GRID_TO)*('Dvd Calendar'!$AF$1671&lt;=VAL_DATE)=0,"",'Dvd Calendar'!$AF$1671*1000000000+ISNUMBER('Dvd Calendar'!$AF$1674)*100000000+('Dvd Calendar'!$AF$1676=SPECIAL_LBL)*10000000+0*1000000+11*1000+28))</f>
        <v/>
      </c>
      <c r="FG170" s="35">
        <f>IF(N('Dvd Calendar'!$AG$1671)=0,"",IF(('Dvd Calendar'!$AG$1671&gt;=GRID_FROM)*('Dvd Calendar'!$AG$1671&lt;=GRID_TO)*('Dvd Calendar'!$AG$1671&lt;=VAL_DATE)=0,"",'Dvd Calendar'!$AG$1671*1000000000+ISNUMBER('Dvd Calendar'!$AG$1674)*100000000+('Dvd Calendar'!$AG$1676=SPECIAL_LBL)*10000000+0*1000000+11*1000+29))</f>
        <v/>
      </c>
      <c r="FH170" s="35">
        <f>IF(N('Dvd Calendar'!$AH$1671)=0,"",IF(('Dvd Calendar'!$AH$1671&gt;=GRID_FROM)*('Dvd Calendar'!$AH$1671&lt;=GRID_TO)*('Dvd Calendar'!$AH$1671&lt;=VAL_DATE)=0,"",'Dvd Calendar'!$AH$1671*1000000000+ISNUMBER('Dvd Calendar'!$AH$1674)*100000000+('Dvd Calendar'!$AH$1676=SPECIAL_LBL)*10000000+0*1000000+11*1000+30))</f>
        <v/>
      </c>
      <c r="FI170" s="35">
        <f>IF(N('Dvd Calendar'!$AI$1671)=0,"",IF(('Dvd Calendar'!$AI$1671&gt;=GRID_FROM)*('Dvd Calendar'!$AI$1671&lt;=GRID_TO)*('Dvd Calendar'!$AI$1671&lt;=VAL_DATE)=0,"",'Dvd Calendar'!$AI$1671*1000000000+ISNUMBER('Dvd Calendar'!$AI$1674)*100000000+('Dvd Calendar'!$AI$1676=SPECIAL_LBL)*10000000+0*1000000+11*1000+31))</f>
        <v/>
      </c>
      <c r="FJ170" s="35">
        <f>IF(N('Dvd Calendar'!$AJ$1671)=0,"",IF(('Dvd Calendar'!$AJ$1671&gt;=GRID_FROM)*('Dvd Calendar'!$AJ$1671&lt;=GRID_TO)*('Dvd Calendar'!$AJ$1671&lt;=VAL_DATE)=0,"",'Dvd Calendar'!$AJ$1671*1000000000+ISNUMBER('Dvd Calendar'!$AJ$1674)*100000000+('Dvd Calendar'!$AJ$1676=SPECIAL_LBL)*10000000+0*1000000+11*1000+32))</f>
        <v/>
      </c>
      <c r="FK170" s="35">
        <f>IF(N('Dvd Calendar'!$AK$1671)=0,"",IF(('Dvd Calendar'!$AK$1671&gt;=GRID_FROM)*('Dvd Calendar'!$AK$1671&lt;=GRID_TO)*('Dvd Calendar'!$AK$1671&lt;=VAL_DATE)=0,"",'Dvd Calendar'!$AK$1671*1000000000+ISNUMBER('Dvd Calendar'!$AK$1674)*100000000+('Dvd Calendar'!$AK$1676=SPECIAL_LBL)*10000000+0*1000000+11*1000+33))</f>
        <v/>
      </c>
      <c r="FL170" s="35">
        <f>IF(N('Dvd Calendar'!$AL$1671)=0,"",IF(('Dvd Calendar'!$AL$1671&gt;=GRID_FROM)*('Dvd Calendar'!$AL$1671&lt;=GRID_TO)*('Dvd Calendar'!$AL$1671&lt;=VAL_DATE)=0,"",'Dvd Calendar'!$AL$1671*1000000000+ISNUMBER('Dvd Calendar'!$AL$1674)*100000000+('Dvd Calendar'!$AL$1676=SPECIAL_LBL)*10000000+0*1000000+11*1000+34))</f>
        <v/>
      </c>
      <c r="FM170" s="35">
        <f>IF(N('Dvd Calendar'!$AM$1671)=0,"",IF(('Dvd Calendar'!$AM$1671&gt;=GRID_FROM)*('Dvd Calendar'!$AM$1671&lt;=GRID_TO)*('Dvd Calendar'!$AM$1671&lt;=VAL_DATE)=0,"",'Dvd Calendar'!$AM$1671*1000000000+ISNUMBER('Dvd Calendar'!$AM$1674)*100000000+('Dvd Calendar'!$AM$1676=SPECIAL_LBL)*10000000+0*1000000+11*1000+35))</f>
        <v/>
      </c>
      <c r="FN170" s="35">
        <f>IF(N('Dvd Calendar'!$AN$1671)=0,"",IF(('Dvd Calendar'!$AN$1671&gt;=GRID_FROM)*('Dvd Calendar'!$AN$1671&lt;=GRID_TO)*('Dvd Calendar'!$AN$1671&lt;=VAL_DATE)=0,"",'Dvd Calendar'!$AN$1671*1000000000+ISNUMBER('Dvd Calendar'!$AN$1674)*100000000+('Dvd Calendar'!$AN$1676=SPECIAL_LBL)*10000000+0*1000000+11*1000+36))</f>
        <v/>
      </c>
      <c r="FO170" s="35">
        <f>IF(N('Dvd Calendar'!$AO$1671)=0,"",IF(('Dvd Calendar'!$AO$1671&gt;=GRID_FROM)*('Dvd Calendar'!$AO$1671&lt;=GRID_TO)*('Dvd Calendar'!$AO$1671&lt;=VAL_DATE)=0,"",'Dvd Calendar'!$AO$1671*1000000000+ISNUMBER('Dvd Calendar'!$AO$1674)*100000000+('Dvd Calendar'!$AO$1676=SPECIAL_LBL)*10000000+0*1000000+11*1000+37))</f>
        <v/>
      </c>
      <c r="FP170" s="35">
        <f>IF(N('Dvd Calendar'!$AP$1671)=0,"",IF(('Dvd Calendar'!$AP$1671&gt;=GRID_FROM)*('Dvd Calendar'!$AP$1671&lt;=GRID_TO)*('Dvd Calendar'!$AP$1671&lt;=VAL_DATE)=0,"",'Dvd Calendar'!$AP$1671*1000000000+ISNUMBER('Dvd Calendar'!$AP$1674)*100000000+('Dvd Calendar'!$AP$1676=SPECIAL_LBL)*10000000+0*1000000+11*1000+38))</f>
        <v/>
      </c>
      <c r="FQ170" s="35">
        <f>IF(N('Dvd Calendar'!$AQ$1671)=0,"",IF(('Dvd Calendar'!$AQ$1671&gt;=GRID_FROM)*('Dvd Calendar'!$AQ$1671&lt;=GRID_TO)*('Dvd Calendar'!$AQ$1671&lt;=VAL_DATE)=0,"",'Dvd Calendar'!$AQ$1671*1000000000+ISNUMBER('Dvd Calendar'!$AQ$1674)*100000000+('Dvd Calendar'!$AQ$1676=SPECIAL_LBL)*10000000+0*1000000+11*1000+39))</f>
        <v/>
      </c>
      <c r="FR170" s="35">
        <f>IF(N('Dvd Calendar'!$AR$1671)=0,"",IF(('Dvd Calendar'!$AR$1671&gt;=GRID_FROM)*('Dvd Calendar'!$AR$1671&lt;=GRID_TO)*('Dvd Calendar'!$AR$1671&lt;=VAL_DATE)=0,"",'Dvd Calendar'!$AR$1671*1000000000+ISNUMBER('Dvd Calendar'!$AR$1674)*100000000+('Dvd Calendar'!$AR$1676=SPECIAL_LBL)*10000000+0*1000000+11*1000+40))</f>
        <v/>
      </c>
      <c r="FS170" s="35">
        <f>IF(N('Dvd Calendar'!$E$1678)=0,"",IF(('Dvd Calendar'!$E$1678&gt;=GRID_FROM)*('Dvd Calendar'!$E$1678&lt;=GRID_TO)*('Dvd Calendar'!$E$1678&gt;VAL_DATE)=0,"",'Dvd Calendar'!$E$1678*1000000000+ISNUMBER('Dvd Calendar'!$E$1679)*100000000+0*10000000+(N('Dvd Calendar'!$E$1677)&gt;0)*(N('Dvd Calendar'!$E$1677)&lt;=VAL_SERIAL)*1000000+11*1000+41))</f>
        <v/>
      </c>
      <c r="FT170" s="35">
        <f>IF(N('Dvd Calendar'!$F$1678)=0,"",IF(('Dvd Calendar'!$F$1678&gt;=GRID_FROM)*('Dvd Calendar'!$F$1678&lt;=GRID_TO)*('Dvd Calendar'!$F$1678&gt;VAL_DATE)=0,"",'Dvd Calendar'!$F$1678*1000000000+ISNUMBER('Dvd Calendar'!$F$1679)*100000000+0*10000000+(N('Dvd Calendar'!$F$1677)&gt;0)*(N('Dvd Calendar'!$F$1677)&lt;=VAL_SERIAL)*1000000+11*1000+42))</f>
        <v/>
      </c>
      <c r="FU170" s="35">
        <f>IF(N('Dvd Calendar'!$G$1678)=0,"",IF(('Dvd Calendar'!$G$1678&gt;=GRID_FROM)*('Dvd Calendar'!$G$1678&lt;=GRID_TO)*('Dvd Calendar'!$G$1678&gt;VAL_DATE)=0,"",'Dvd Calendar'!$G$1678*1000000000+ISNUMBER('Dvd Calendar'!$G$1679)*100000000+0*10000000+(N('Dvd Calendar'!$G$1677)&gt;0)*(N('Dvd Calendar'!$G$1677)&lt;=VAL_SERIAL)*1000000+11*1000+43))</f>
        <v/>
      </c>
      <c r="FV170" s="35">
        <f>IF(N('Dvd Calendar'!$H$1678)=0,"",IF(('Dvd Calendar'!$H$1678&gt;=GRID_FROM)*('Dvd Calendar'!$H$1678&lt;=GRID_TO)*('Dvd Calendar'!$H$1678&gt;VAL_DATE)=0,"",'Dvd Calendar'!$H$1678*1000000000+ISNUMBER('Dvd Calendar'!$H$1679)*100000000+0*10000000+(N('Dvd Calendar'!$H$1677)&gt;0)*(N('Dvd Calendar'!$H$1677)&lt;=VAL_SERIAL)*1000000+11*1000+44))</f>
        <v/>
      </c>
      <c r="FW170" s="35">
        <f>IF(N('Dvd Calendar'!$I$1678)=0,"",IF(('Dvd Calendar'!$I$1678&gt;=GRID_FROM)*('Dvd Calendar'!$I$1678&lt;=GRID_TO)*('Dvd Calendar'!$I$1678&gt;VAL_DATE)=0,"",'Dvd Calendar'!$I$1678*1000000000+ISNUMBER('Dvd Calendar'!$I$1679)*100000000+0*10000000+(N('Dvd Calendar'!$I$1677)&gt;0)*(N('Dvd Calendar'!$I$1677)&lt;=VAL_SERIAL)*1000000+11*1000+45))</f>
        <v/>
      </c>
      <c r="FX170" s="35">
        <f>IF(N('Dvd Calendar'!$J$1678)=0,"",IF(('Dvd Calendar'!$J$1678&gt;=GRID_FROM)*('Dvd Calendar'!$J$1678&lt;=GRID_TO)*('Dvd Calendar'!$J$1678&gt;VAL_DATE)=0,"",'Dvd Calendar'!$J$1678*1000000000+ISNUMBER('Dvd Calendar'!$J$1679)*100000000+0*10000000+(N('Dvd Calendar'!$J$1677)&gt;0)*(N('Dvd Calendar'!$J$1677)&lt;=VAL_SERIAL)*1000000+11*1000+46))</f>
        <v/>
      </c>
      <c r="FY170" s="35">
        <f>IF(N('Dvd Calendar'!$K$1678)=0,"",IF(('Dvd Calendar'!$K$1678&gt;=GRID_FROM)*('Dvd Calendar'!$K$1678&lt;=GRID_TO)*('Dvd Calendar'!$K$1678&gt;VAL_DATE)=0,"",'Dvd Calendar'!$K$1678*1000000000+ISNUMBER('Dvd Calendar'!$K$1679)*100000000+0*10000000+(N('Dvd Calendar'!$K$1677)&gt;0)*(N('Dvd Calendar'!$K$1677)&lt;=VAL_SERIAL)*1000000+11*1000+47))</f>
        <v/>
      </c>
      <c r="FZ170" s="35">
        <f>IF(N('Dvd Calendar'!$L$1678)=0,"",IF(('Dvd Calendar'!$L$1678&gt;=GRID_FROM)*('Dvd Calendar'!$L$1678&lt;=GRID_TO)*('Dvd Calendar'!$L$1678&gt;VAL_DATE)=0,"",'Dvd Calendar'!$L$1678*1000000000+ISNUMBER('Dvd Calendar'!$L$1679)*100000000+0*10000000+(N('Dvd Calendar'!$L$1677)&gt;0)*(N('Dvd Calendar'!$L$1677)&lt;=VAL_SERIAL)*1000000+11*1000+48))</f>
        <v/>
      </c>
      <c r="GA170" s="35">
        <f>IF(N('Dvd Calendar'!$M$1678)=0,"",IF(('Dvd Calendar'!$M$1678&gt;=GRID_FROM)*('Dvd Calendar'!$M$1678&lt;=GRID_TO)*('Dvd Calendar'!$M$1678&gt;VAL_DATE)=0,"",'Dvd Calendar'!$M$1678*1000000000+ISNUMBER('Dvd Calendar'!$M$1679)*100000000+0*10000000+(N('Dvd Calendar'!$M$1677)&gt;0)*(N('Dvd Calendar'!$M$1677)&lt;=VAL_SERIAL)*1000000+11*1000+49))</f>
        <v/>
      </c>
      <c r="GB170" s="35">
        <f>IF(N('Dvd Calendar'!$N$1678)=0,"",IF(('Dvd Calendar'!$N$1678&gt;=GRID_FROM)*('Dvd Calendar'!$N$1678&lt;=GRID_TO)*('Dvd Calendar'!$N$1678&gt;VAL_DATE)=0,"",'Dvd Calendar'!$N$1678*1000000000+ISNUMBER('Dvd Calendar'!$N$1679)*100000000+0*10000000+(N('Dvd Calendar'!$N$1677)&gt;0)*(N('Dvd Calendar'!$N$1677)&lt;=VAL_SERIAL)*1000000+11*1000+50))</f>
        <v/>
      </c>
      <c r="GC170" s="35">
        <f>IF(N('Dvd Calendar'!$O$1678)=0,"",IF(('Dvd Calendar'!$O$1678&gt;=GRID_FROM)*('Dvd Calendar'!$O$1678&lt;=GRID_TO)*('Dvd Calendar'!$O$1678&gt;VAL_DATE)=0,"",'Dvd Calendar'!$O$1678*1000000000+ISNUMBER('Dvd Calendar'!$O$1679)*100000000+0*10000000+(N('Dvd Calendar'!$O$1677)&gt;0)*(N('Dvd Calendar'!$O$1677)&lt;=VAL_SERIAL)*1000000+11*1000+51))</f>
        <v/>
      </c>
      <c r="GD170" s="35">
        <f>IF(N('Dvd Calendar'!$P$1678)=0,"",IF(('Dvd Calendar'!$P$1678&gt;=GRID_FROM)*('Dvd Calendar'!$P$1678&lt;=GRID_TO)*('Dvd Calendar'!$P$1678&gt;VAL_DATE)=0,"",'Dvd Calendar'!$P$1678*1000000000+ISNUMBER('Dvd Calendar'!$P$1679)*100000000+0*10000000+(N('Dvd Calendar'!$P$1677)&gt;0)*(N('Dvd Calendar'!$P$1677)&lt;=VAL_SERIAL)*1000000+11*1000+52))</f>
        <v/>
      </c>
      <c r="GE170" s="35">
        <f>IF(N('Dvd Calendar'!$Q$1678)=0,"",IF(('Dvd Calendar'!$Q$1678&gt;=GRID_FROM)*('Dvd Calendar'!$Q$1678&lt;=GRID_TO)*('Dvd Calendar'!$Q$1678&gt;VAL_DATE)=0,"",'Dvd Calendar'!$Q$1678*1000000000+ISNUMBER('Dvd Calendar'!$Q$1679)*100000000+0*10000000+(N('Dvd Calendar'!$Q$1677)&gt;0)*(N('Dvd Calendar'!$Q$1677)&lt;=VAL_SERIAL)*1000000+11*1000+53))</f>
        <v/>
      </c>
      <c r="GF170" s="35">
        <f>IF(N('Dvd Calendar'!$R$1678)=0,"",IF(('Dvd Calendar'!$R$1678&gt;=GRID_FROM)*('Dvd Calendar'!$R$1678&lt;=GRID_TO)*('Dvd Calendar'!$R$1678&gt;VAL_DATE)=0,"",'Dvd Calendar'!$R$1678*1000000000+ISNUMBER('Dvd Calendar'!$R$1679)*100000000+0*10000000+(N('Dvd Calendar'!$R$1677)&gt;0)*(N('Dvd Calendar'!$R$1677)&lt;=VAL_SERIAL)*1000000+11*1000+54))</f>
        <v/>
      </c>
      <c r="GG170" s="35">
        <f>IF(N('Dvd Calendar'!$S$1678)=0,"",IF(('Dvd Calendar'!$S$1678&gt;=GRID_FROM)*('Dvd Calendar'!$S$1678&lt;=GRID_TO)*('Dvd Calendar'!$S$1678&gt;VAL_DATE)=0,"",'Dvd Calendar'!$S$1678*1000000000+ISNUMBER('Dvd Calendar'!$S$1679)*100000000+0*10000000+(N('Dvd Calendar'!$S$1677)&gt;0)*(N('Dvd Calendar'!$S$1677)&lt;=VAL_SERIAL)*1000000+11*1000+55))</f>
        <v/>
      </c>
      <c r="GH170" s="35">
        <f>IF(N('Dvd Calendar'!$T$1678)=0,"",IF(('Dvd Calendar'!$T$1678&gt;=GRID_FROM)*('Dvd Calendar'!$T$1678&lt;=GRID_TO)*('Dvd Calendar'!$T$1678&gt;VAL_DATE)=0,"",'Dvd Calendar'!$T$1678*1000000000+ISNUMBER('Dvd Calendar'!$T$1679)*100000000+0*10000000+(N('Dvd Calendar'!$T$1677)&gt;0)*(N('Dvd Calendar'!$T$1677)&lt;=VAL_SERIAL)*1000000+11*1000+56))</f>
        <v/>
      </c>
      <c r="GI170" s="35">
        <f>IF(N('Dvd Calendar'!$U$1678)=0,"",IF(('Dvd Calendar'!$U$1678&gt;=GRID_FROM)*('Dvd Calendar'!$U$1678&lt;=GRID_TO)*('Dvd Calendar'!$U$1678&gt;VAL_DATE)=0,"",'Dvd Calendar'!$U$1678*1000000000+ISNUMBER('Dvd Calendar'!$U$1679)*100000000+0*10000000+(N('Dvd Calendar'!$U$1677)&gt;0)*(N('Dvd Calendar'!$U$1677)&lt;=VAL_SERIAL)*1000000+11*1000+57))</f>
        <v/>
      </c>
      <c r="GJ170" s="35">
        <f>IF(N('Dvd Calendar'!$V$1678)=0,"",IF(('Dvd Calendar'!$V$1678&gt;=GRID_FROM)*('Dvd Calendar'!$V$1678&lt;=GRID_TO)*('Dvd Calendar'!$V$1678&gt;VAL_DATE)=0,"",'Dvd Calendar'!$V$1678*1000000000+ISNUMBER('Dvd Calendar'!$V$1679)*100000000+0*10000000+(N('Dvd Calendar'!$V$1677)&gt;0)*(N('Dvd Calendar'!$V$1677)&lt;=VAL_SERIAL)*1000000+11*1000+58))</f>
        <v/>
      </c>
      <c r="GK170" s="35">
        <f>IF(N('Dvd Calendar'!$W$1678)=0,"",IF(('Dvd Calendar'!$W$1678&gt;=GRID_FROM)*('Dvd Calendar'!$W$1678&lt;=GRID_TO)*('Dvd Calendar'!$W$1678&gt;VAL_DATE)=0,"",'Dvd Calendar'!$W$1678*1000000000+ISNUMBER('Dvd Calendar'!$W$1679)*100000000+0*10000000+(N('Dvd Calendar'!$W$1677)&gt;0)*(N('Dvd Calendar'!$W$1677)&lt;=VAL_SERIAL)*1000000+11*1000+59))</f>
        <v/>
      </c>
      <c r="GL170" s="35">
        <f>IF(N('Dvd Calendar'!$X$1678)=0,"",IF(('Dvd Calendar'!$X$1678&gt;=GRID_FROM)*('Dvd Calendar'!$X$1678&lt;=GRID_TO)*('Dvd Calendar'!$X$1678&gt;VAL_DATE)=0,"",'Dvd Calendar'!$X$1678*1000000000+ISNUMBER('Dvd Calendar'!$X$1679)*100000000+0*10000000+(N('Dvd Calendar'!$X$1677)&gt;0)*(N('Dvd Calendar'!$X$1677)&lt;=VAL_SERIAL)*1000000+11*1000+60))</f>
        <v/>
      </c>
      <c r="GM170" s="35">
        <f>IF(N('Dvd Calendar'!$Y$1678)=0,"",IF(('Dvd Calendar'!$Y$1678&gt;=GRID_FROM)*('Dvd Calendar'!$Y$1678&lt;=GRID_TO)*('Dvd Calendar'!$Y$1678&gt;VAL_DATE)=0,"",'Dvd Calendar'!$Y$1678*1000000000+ISNUMBER('Dvd Calendar'!$Y$1679)*100000000+0*10000000+(N('Dvd Calendar'!$Y$1677)&gt;0)*(N('Dvd Calendar'!$Y$1677)&lt;=VAL_SERIAL)*1000000+11*1000+61))</f>
        <v/>
      </c>
      <c r="GN170" s="35">
        <f>IF(N('Dvd Calendar'!$Z$1678)=0,"",IF(('Dvd Calendar'!$Z$1678&gt;=GRID_FROM)*('Dvd Calendar'!$Z$1678&lt;=GRID_TO)*('Dvd Calendar'!$Z$1678&gt;VAL_DATE)=0,"",'Dvd Calendar'!$Z$1678*1000000000+ISNUMBER('Dvd Calendar'!$Z$1679)*100000000+0*10000000+(N('Dvd Calendar'!$Z$1677)&gt;0)*(N('Dvd Calendar'!$Z$1677)&lt;=VAL_SERIAL)*1000000+11*1000+62))</f>
        <v/>
      </c>
      <c r="GO170" s="35">
        <f>IF(N('Dvd Calendar'!$AA$1678)=0,"",IF(('Dvd Calendar'!$AA$1678&gt;=GRID_FROM)*('Dvd Calendar'!$AA$1678&lt;=GRID_TO)*('Dvd Calendar'!$AA$1678&gt;VAL_DATE)=0,"",'Dvd Calendar'!$AA$1678*1000000000+ISNUMBER('Dvd Calendar'!$AA$1679)*100000000+0*10000000+(N('Dvd Calendar'!$AA$1677)&gt;0)*(N('Dvd Calendar'!$AA$1677)&lt;=VAL_SERIAL)*1000000+11*1000+63))</f>
        <v/>
      </c>
      <c r="GP170" s="35">
        <f>IF(N('Dvd Calendar'!$AB$1678)=0,"",IF(('Dvd Calendar'!$AB$1678&gt;=GRID_FROM)*('Dvd Calendar'!$AB$1678&lt;=GRID_TO)*('Dvd Calendar'!$AB$1678&gt;VAL_DATE)=0,"",'Dvd Calendar'!$AB$1678*1000000000+ISNUMBER('Dvd Calendar'!$AB$1679)*100000000+0*10000000+(N('Dvd Calendar'!$AB$1677)&gt;0)*(N('Dvd Calendar'!$AB$1677)&lt;=VAL_SERIAL)*1000000+11*1000+64))</f>
        <v/>
      </c>
      <c r="GQ170" s="35">
        <f>IF(N('Dvd Calendar'!$AC$1678)=0,"",IF(('Dvd Calendar'!$AC$1678&gt;=GRID_FROM)*('Dvd Calendar'!$AC$1678&lt;=GRID_TO)*('Dvd Calendar'!$AC$1678&gt;VAL_DATE)=0,"",'Dvd Calendar'!$AC$1678*1000000000+ISNUMBER('Dvd Calendar'!$AC$1679)*100000000+0*10000000+(N('Dvd Calendar'!$AC$1677)&gt;0)*(N('Dvd Calendar'!$AC$1677)&lt;=VAL_SERIAL)*1000000+11*1000+65))</f>
        <v/>
      </c>
    </row>
    <row r="171">
      <c r="B171" s="2">
        <f>IF(HSCEI!$C$18="","",HSCEI!$C$18)</f>
        <v/>
      </c>
      <c r="C171" s="106">
        <f>IF(EE171="","",IF(ISNUMBER('Dvd Calendar'!$E$1685)=FALSE,"",IF((('Dvd Calendar'!$E$1687=TYPE1)*(TYPE1&lt;&gt;"")+('Dvd Calendar'!$E$1687=TYPE2)*(TYPE2&lt;&gt;"")+('Dvd Calendar'!$E$1687=TYPE3)*(TYPE3&lt;&gt;"")+('Dvd Calendar'!$E$1687=TYPE4)*(TYPE4&lt;&gt;"")+('Dvd Calendar'!$E$1687=SPECIAL_LBL)*(INC_SPECIALS="Y"))=0,"",'Dvd Calendar'!$E$1685)))</f>
        <v/>
      </c>
      <c r="D171" s="106">
        <f>IF(EF171="","",IF(ISNUMBER('Dvd Calendar'!$F$1685)=FALSE,"",IF((('Dvd Calendar'!$F$1687=TYPE1)*(TYPE1&lt;&gt;"")+('Dvd Calendar'!$F$1687=TYPE2)*(TYPE2&lt;&gt;"")+('Dvd Calendar'!$F$1687=TYPE3)*(TYPE3&lt;&gt;"")+('Dvd Calendar'!$F$1687=TYPE4)*(TYPE4&lt;&gt;"")+('Dvd Calendar'!$F$1687=SPECIAL_LBL)*(INC_SPECIALS="Y"))=0,"",'Dvd Calendar'!$F$1685)))</f>
        <v/>
      </c>
      <c r="E171" s="106">
        <f>IF(EG171="","",IF(ISNUMBER('Dvd Calendar'!$G$1685)=FALSE,"",IF((('Dvd Calendar'!$G$1687=TYPE1)*(TYPE1&lt;&gt;"")+('Dvd Calendar'!$G$1687=TYPE2)*(TYPE2&lt;&gt;"")+('Dvd Calendar'!$G$1687=TYPE3)*(TYPE3&lt;&gt;"")+('Dvd Calendar'!$G$1687=TYPE4)*(TYPE4&lt;&gt;"")+('Dvd Calendar'!$G$1687=SPECIAL_LBL)*(INC_SPECIALS="Y"))=0,"",'Dvd Calendar'!$G$1685)))</f>
        <v/>
      </c>
      <c r="F171" s="106">
        <f>IF(EH171="","",IF(ISNUMBER('Dvd Calendar'!$H$1685)=FALSE,"",IF((('Dvd Calendar'!$H$1687=TYPE1)*(TYPE1&lt;&gt;"")+('Dvd Calendar'!$H$1687=TYPE2)*(TYPE2&lt;&gt;"")+('Dvd Calendar'!$H$1687=TYPE3)*(TYPE3&lt;&gt;"")+('Dvd Calendar'!$H$1687=TYPE4)*(TYPE4&lt;&gt;"")+('Dvd Calendar'!$H$1687=SPECIAL_LBL)*(INC_SPECIALS="Y"))=0,"",'Dvd Calendar'!$H$1685)))</f>
        <v/>
      </c>
      <c r="G171" s="106">
        <f>IF(EI171="","",IF(ISNUMBER('Dvd Calendar'!$I$1685)=FALSE,"",IF((('Dvd Calendar'!$I$1687=TYPE1)*(TYPE1&lt;&gt;"")+('Dvd Calendar'!$I$1687=TYPE2)*(TYPE2&lt;&gt;"")+('Dvd Calendar'!$I$1687=TYPE3)*(TYPE3&lt;&gt;"")+('Dvd Calendar'!$I$1687=TYPE4)*(TYPE4&lt;&gt;"")+('Dvd Calendar'!$I$1687=SPECIAL_LBL)*(INC_SPECIALS="Y"))=0,"",'Dvd Calendar'!$I$1685)))</f>
        <v/>
      </c>
      <c r="H171" s="106">
        <f>IF(EJ171="","",IF(ISNUMBER('Dvd Calendar'!$J$1685)=FALSE,"",IF((('Dvd Calendar'!$J$1687=TYPE1)*(TYPE1&lt;&gt;"")+('Dvd Calendar'!$J$1687=TYPE2)*(TYPE2&lt;&gt;"")+('Dvd Calendar'!$J$1687=TYPE3)*(TYPE3&lt;&gt;"")+('Dvd Calendar'!$J$1687=TYPE4)*(TYPE4&lt;&gt;"")+('Dvd Calendar'!$J$1687=SPECIAL_LBL)*(INC_SPECIALS="Y"))=0,"",'Dvd Calendar'!$J$1685)))</f>
        <v/>
      </c>
      <c r="I171" s="106">
        <f>IF(EK171="","",IF(ISNUMBER('Dvd Calendar'!$K$1685)=FALSE,"",IF((('Dvd Calendar'!$K$1687=TYPE1)*(TYPE1&lt;&gt;"")+('Dvd Calendar'!$K$1687=TYPE2)*(TYPE2&lt;&gt;"")+('Dvd Calendar'!$K$1687=TYPE3)*(TYPE3&lt;&gt;"")+('Dvd Calendar'!$K$1687=TYPE4)*(TYPE4&lt;&gt;"")+('Dvd Calendar'!$K$1687=SPECIAL_LBL)*(INC_SPECIALS="Y"))=0,"",'Dvd Calendar'!$K$1685)))</f>
        <v/>
      </c>
      <c r="J171" s="106">
        <f>IF(EL171="","",IF(ISNUMBER('Dvd Calendar'!$L$1685)=FALSE,"",IF((('Dvd Calendar'!$L$1687=TYPE1)*(TYPE1&lt;&gt;"")+('Dvd Calendar'!$L$1687=TYPE2)*(TYPE2&lt;&gt;"")+('Dvd Calendar'!$L$1687=TYPE3)*(TYPE3&lt;&gt;"")+('Dvd Calendar'!$L$1687=TYPE4)*(TYPE4&lt;&gt;"")+('Dvd Calendar'!$L$1687=SPECIAL_LBL)*(INC_SPECIALS="Y"))=0,"",'Dvd Calendar'!$L$1685)))</f>
        <v/>
      </c>
      <c r="K171" s="106">
        <f>IF(EM171="","",IF(ISNUMBER('Dvd Calendar'!$M$1685)=FALSE,"",IF((('Dvd Calendar'!$M$1687=TYPE1)*(TYPE1&lt;&gt;"")+('Dvd Calendar'!$M$1687=TYPE2)*(TYPE2&lt;&gt;"")+('Dvd Calendar'!$M$1687=TYPE3)*(TYPE3&lt;&gt;"")+('Dvd Calendar'!$M$1687=TYPE4)*(TYPE4&lt;&gt;"")+('Dvd Calendar'!$M$1687=SPECIAL_LBL)*(INC_SPECIALS="Y"))=0,"",'Dvd Calendar'!$M$1685)))</f>
        <v/>
      </c>
      <c r="L171" s="106">
        <f>IF(EN171="","",IF(ISNUMBER('Dvd Calendar'!$N$1685)=FALSE,"",IF((('Dvd Calendar'!$N$1687=TYPE1)*(TYPE1&lt;&gt;"")+('Dvd Calendar'!$N$1687=TYPE2)*(TYPE2&lt;&gt;"")+('Dvd Calendar'!$N$1687=TYPE3)*(TYPE3&lt;&gt;"")+('Dvd Calendar'!$N$1687=TYPE4)*(TYPE4&lt;&gt;"")+('Dvd Calendar'!$N$1687=SPECIAL_LBL)*(INC_SPECIALS="Y"))=0,"",'Dvd Calendar'!$N$1685)))</f>
        <v/>
      </c>
      <c r="M171" s="106">
        <f>IF(EO171="","",IF(ISNUMBER('Dvd Calendar'!$O$1685)=FALSE,"",IF((('Dvd Calendar'!$O$1687=TYPE1)*(TYPE1&lt;&gt;"")+('Dvd Calendar'!$O$1687=TYPE2)*(TYPE2&lt;&gt;"")+('Dvd Calendar'!$O$1687=TYPE3)*(TYPE3&lt;&gt;"")+('Dvd Calendar'!$O$1687=TYPE4)*(TYPE4&lt;&gt;"")+('Dvd Calendar'!$O$1687=SPECIAL_LBL)*(INC_SPECIALS="Y"))=0,"",'Dvd Calendar'!$O$1685)))</f>
        <v/>
      </c>
      <c r="N171" s="106">
        <f>IF(EP171="","",IF(ISNUMBER('Dvd Calendar'!$P$1685)=FALSE,"",IF((('Dvd Calendar'!$P$1687=TYPE1)*(TYPE1&lt;&gt;"")+('Dvd Calendar'!$P$1687=TYPE2)*(TYPE2&lt;&gt;"")+('Dvd Calendar'!$P$1687=TYPE3)*(TYPE3&lt;&gt;"")+('Dvd Calendar'!$P$1687=TYPE4)*(TYPE4&lt;&gt;"")+('Dvd Calendar'!$P$1687=SPECIAL_LBL)*(INC_SPECIALS="Y"))=0,"",'Dvd Calendar'!$P$1685)))</f>
        <v/>
      </c>
      <c r="O171" s="106">
        <f>IF(EQ171="","",IF(ISNUMBER('Dvd Calendar'!$Q$1685)=FALSE,"",IF((('Dvd Calendar'!$Q$1687=TYPE1)*(TYPE1&lt;&gt;"")+('Dvd Calendar'!$Q$1687=TYPE2)*(TYPE2&lt;&gt;"")+('Dvd Calendar'!$Q$1687=TYPE3)*(TYPE3&lt;&gt;"")+('Dvd Calendar'!$Q$1687=TYPE4)*(TYPE4&lt;&gt;"")+('Dvd Calendar'!$Q$1687=SPECIAL_LBL)*(INC_SPECIALS="Y"))=0,"",'Dvd Calendar'!$Q$1685)))</f>
        <v/>
      </c>
      <c r="P171" s="106">
        <f>IF(ER171="","",IF(ISNUMBER('Dvd Calendar'!$R$1685)=FALSE,"",IF((('Dvd Calendar'!$R$1687=TYPE1)*(TYPE1&lt;&gt;"")+('Dvd Calendar'!$R$1687=TYPE2)*(TYPE2&lt;&gt;"")+('Dvd Calendar'!$R$1687=TYPE3)*(TYPE3&lt;&gt;"")+('Dvd Calendar'!$R$1687=TYPE4)*(TYPE4&lt;&gt;"")+('Dvd Calendar'!$R$1687=SPECIAL_LBL)*(INC_SPECIALS="Y"))=0,"",'Dvd Calendar'!$R$1685)))</f>
        <v/>
      </c>
      <c r="Q171" s="106">
        <f>IF(ES171="","",IF(ISNUMBER('Dvd Calendar'!$S$1685)=FALSE,"",IF((('Dvd Calendar'!$S$1687=TYPE1)*(TYPE1&lt;&gt;"")+('Dvd Calendar'!$S$1687=TYPE2)*(TYPE2&lt;&gt;"")+('Dvd Calendar'!$S$1687=TYPE3)*(TYPE3&lt;&gt;"")+('Dvd Calendar'!$S$1687=TYPE4)*(TYPE4&lt;&gt;"")+('Dvd Calendar'!$S$1687=SPECIAL_LBL)*(INC_SPECIALS="Y"))=0,"",'Dvd Calendar'!$S$1685)))</f>
        <v/>
      </c>
      <c r="R171" s="106">
        <f>IF(ET171="","",IF(ISNUMBER('Dvd Calendar'!$T$1685)=FALSE,"",IF((('Dvd Calendar'!$T$1687=TYPE1)*(TYPE1&lt;&gt;"")+('Dvd Calendar'!$T$1687=TYPE2)*(TYPE2&lt;&gt;"")+('Dvd Calendar'!$T$1687=TYPE3)*(TYPE3&lt;&gt;"")+('Dvd Calendar'!$T$1687=TYPE4)*(TYPE4&lt;&gt;"")+('Dvd Calendar'!$T$1687=SPECIAL_LBL)*(INC_SPECIALS="Y"))=0,"",'Dvd Calendar'!$T$1685)))</f>
        <v/>
      </c>
      <c r="S171" s="106">
        <f>IF(EU171="","",IF(ISNUMBER('Dvd Calendar'!$U$1685)=FALSE,"",IF((('Dvd Calendar'!$U$1687=TYPE1)*(TYPE1&lt;&gt;"")+('Dvd Calendar'!$U$1687=TYPE2)*(TYPE2&lt;&gt;"")+('Dvd Calendar'!$U$1687=TYPE3)*(TYPE3&lt;&gt;"")+('Dvd Calendar'!$U$1687=TYPE4)*(TYPE4&lt;&gt;"")+('Dvd Calendar'!$U$1687=SPECIAL_LBL)*(INC_SPECIALS="Y"))=0,"",'Dvd Calendar'!$U$1685)))</f>
        <v/>
      </c>
      <c r="T171" s="106">
        <f>IF(EV171="","",IF(ISNUMBER('Dvd Calendar'!$V$1685)=FALSE,"",IF((('Dvd Calendar'!$V$1687=TYPE1)*(TYPE1&lt;&gt;"")+('Dvd Calendar'!$V$1687=TYPE2)*(TYPE2&lt;&gt;"")+('Dvd Calendar'!$V$1687=TYPE3)*(TYPE3&lt;&gt;"")+('Dvd Calendar'!$V$1687=TYPE4)*(TYPE4&lt;&gt;"")+('Dvd Calendar'!$V$1687=SPECIAL_LBL)*(INC_SPECIALS="Y"))=0,"",'Dvd Calendar'!$V$1685)))</f>
        <v/>
      </c>
      <c r="U171" s="106">
        <f>IF(EW171="","",IF(ISNUMBER('Dvd Calendar'!$W$1685)=FALSE,"",IF((('Dvd Calendar'!$W$1687=TYPE1)*(TYPE1&lt;&gt;"")+('Dvd Calendar'!$W$1687=TYPE2)*(TYPE2&lt;&gt;"")+('Dvd Calendar'!$W$1687=TYPE3)*(TYPE3&lt;&gt;"")+('Dvd Calendar'!$W$1687=TYPE4)*(TYPE4&lt;&gt;"")+('Dvd Calendar'!$W$1687=SPECIAL_LBL)*(INC_SPECIALS="Y"))=0,"",'Dvd Calendar'!$W$1685)))</f>
        <v/>
      </c>
      <c r="V171" s="106">
        <f>IF(EX171="","",IF(ISNUMBER('Dvd Calendar'!$X$1685)=FALSE,"",IF((('Dvd Calendar'!$X$1687=TYPE1)*(TYPE1&lt;&gt;"")+('Dvd Calendar'!$X$1687=TYPE2)*(TYPE2&lt;&gt;"")+('Dvd Calendar'!$X$1687=TYPE3)*(TYPE3&lt;&gt;"")+('Dvd Calendar'!$X$1687=TYPE4)*(TYPE4&lt;&gt;"")+('Dvd Calendar'!$X$1687=SPECIAL_LBL)*(INC_SPECIALS="Y"))=0,"",'Dvd Calendar'!$X$1685)))</f>
        <v/>
      </c>
      <c r="W171" s="106">
        <f>IF(EY171="","",IF(ISNUMBER('Dvd Calendar'!$Y$1685)=FALSE,"",IF((('Dvd Calendar'!$Y$1687=TYPE1)*(TYPE1&lt;&gt;"")+('Dvd Calendar'!$Y$1687=TYPE2)*(TYPE2&lt;&gt;"")+('Dvd Calendar'!$Y$1687=TYPE3)*(TYPE3&lt;&gt;"")+('Dvd Calendar'!$Y$1687=TYPE4)*(TYPE4&lt;&gt;"")+('Dvd Calendar'!$Y$1687=SPECIAL_LBL)*(INC_SPECIALS="Y"))=0,"",'Dvd Calendar'!$Y$1685)))</f>
        <v/>
      </c>
      <c r="X171" s="106">
        <f>IF(EZ171="","",IF(ISNUMBER('Dvd Calendar'!$Z$1685)=FALSE,"",IF((('Dvd Calendar'!$Z$1687=TYPE1)*(TYPE1&lt;&gt;"")+('Dvd Calendar'!$Z$1687=TYPE2)*(TYPE2&lt;&gt;"")+('Dvd Calendar'!$Z$1687=TYPE3)*(TYPE3&lt;&gt;"")+('Dvd Calendar'!$Z$1687=TYPE4)*(TYPE4&lt;&gt;"")+('Dvd Calendar'!$Z$1687=SPECIAL_LBL)*(INC_SPECIALS="Y"))=0,"",'Dvd Calendar'!$Z$1685)))</f>
        <v/>
      </c>
      <c r="Y171" s="106">
        <f>IF(FA171="","",IF(ISNUMBER('Dvd Calendar'!$AA$1685)=FALSE,"",IF((('Dvd Calendar'!$AA$1687=TYPE1)*(TYPE1&lt;&gt;"")+('Dvd Calendar'!$AA$1687=TYPE2)*(TYPE2&lt;&gt;"")+('Dvd Calendar'!$AA$1687=TYPE3)*(TYPE3&lt;&gt;"")+('Dvd Calendar'!$AA$1687=TYPE4)*(TYPE4&lt;&gt;"")+('Dvd Calendar'!$AA$1687=SPECIAL_LBL)*(INC_SPECIALS="Y"))=0,"",'Dvd Calendar'!$AA$1685)))</f>
        <v/>
      </c>
      <c r="Z171" s="106">
        <f>IF(FB171="","",IF(ISNUMBER('Dvd Calendar'!$AB$1685)=FALSE,"",IF((('Dvd Calendar'!$AB$1687=TYPE1)*(TYPE1&lt;&gt;"")+('Dvd Calendar'!$AB$1687=TYPE2)*(TYPE2&lt;&gt;"")+('Dvd Calendar'!$AB$1687=TYPE3)*(TYPE3&lt;&gt;"")+('Dvd Calendar'!$AB$1687=TYPE4)*(TYPE4&lt;&gt;"")+('Dvd Calendar'!$AB$1687=SPECIAL_LBL)*(INC_SPECIALS="Y"))=0,"",'Dvd Calendar'!$AB$1685)))</f>
        <v/>
      </c>
      <c r="AA171" s="106">
        <f>IF(FC171="","",IF(ISNUMBER('Dvd Calendar'!$AC$1685)=FALSE,"",IF((('Dvd Calendar'!$AC$1687=TYPE1)*(TYPE1&lt;&gt;"")+('Dvd Calendar'!$AC$1687=TYPE2)*(TYPE2&lt;&gt;"")+('Dvd Calendar'!$AC$1687=TYPE3)*(TYPE3&lt;&gt;"")+('Dvd Calendar'!$AC$1687=TYPE4)*(TYPE4&lt;&gt;"")+('Dvd Calendar'!$AC$1687=SPECIAL_LBL)*(INC_SPECIALS="Y"))=0,"",'Dvd Calendar'!$AC$1685)))</f>
        <v/>
      </c>
      <c r="AB171" s="106">
        <f>IF(FD171="","",IF(ISNUMBER('Dvd Calendar'!$AD$1685)=FALSE,"",IF((('Dvd Calendar'!$AD$1687=TYPE1)*(TYPE1&lt;&gt;"")+('Dvd Calendar'!$AD$1687=TYPE2)*(TYPE2&lt;&gt;"")+('Dvd Calendar'!$AD$1687=TYPE3)*(TYPE3&lt;&gt;"")+('Dvd Calendar'!$AD$1687=TYPE4)*(TYPE4&lt;&gt;"")+('Dvd Calendar'!$AD$1687=SPECIAL_LBL)*(INC_SPECIALS="Y"))=0,"",'Dvd Calendar'!$AD$1685)))</f>
        <v/>
      </c>
      <c r="AC171" s="106">
        <f>IF(FE171="","",IF(ISNUMBER('Dvd Calendar'!$AE$1685)=FALSE,"",IF((('Dvd Calendar'!$AE$1687=TYPE1)*(TYPE1&lt;&gt;"")+('Dvd Calendar'!$AE$1687=TYPE2)*(TYPE2&lt;&gt;"")+('Dvd Calendar'!$AE$1687=TYPE3)*(TYPE3&lt;&gt;"")+('Dvd Calendar'!$AE$1687=TYPE4)*(TYPE4&lt;&gt;"")+('Dvd Calendar'!$AE$1687=SPECIAL_LBL)*(INC_SPECIALS="Y"))=0,"",'Dvd Calendar'!$AE$1685)))</f>
        <v/>
      </c>
      <c r="AD171" s="106">
        <f>IF(FF171="","",IF(ISNUMBER('Dvd Calendar'!$AF$1685)=FALSE,"",IF((('Dvd Calendar'!$AF$1687=TYPE1)*(TYPE1&lt;&gt;"")+('Dvd Calendar'!$AF$1687=TYPE2)*(TYPE2&lt;&gt;"")+('Dvd Calendar'!$AF$1687=TYPE3)*(TYPE3&lt;&gt;"")+('Dvd Calendar'!$AF$1687=TYPE4)*(TYPE4&lt;&gt;"")+('Dvd Calendar'!$AF$1687=SPECIAL_LBL)*(INC_SPECIALS="Y"))=0,"",'Dvd Calendar'!$AF$1685)))</f>
        <v/>
      </c>
      <c r="AE171" s="106">
        <f>IF(FG171="","",IF(ISNUMBER('Dvd Calendar'!$AG$1685)=FALSE,"",IF((('Dvd Calendar'!$AG$1687=TYPE1)*(TYPE1&lt;&gt;"")+('Dvd Calendar'!$AG$1687=TYPE2)*(TYPE2&lt;&gt;"")+('Dvd Calendar'!$AG$1687=TYPE3)*(TYPE3&lt;&gt;"")+('Dvd Calendar'!$AG$1687=TYPE4)*(TYPE4&lt;&gt;"")+('Dvd Calendar'!$AG$1687=SPECIAL_LBL)*(INC_SPECIALS="Y"))=0,"",'Dvd Calendar'!$AG$1685)))</f>
        <v/>
      </c>
      <c r="AF171" s="106">
        <f>IF(FH171="","",IF(ISNUMBER('Dvd Calendar'!$AH$1685)=FALSE,"",IF((('Dvd Calendar'!$AH$1687=TYPE1)*(TYPE1&lt;&gt;"")+('Dvd Calendar'!$AH$1687=TYPE2)*(TYPE2&lt;&gt;"")+('Dvd Calendar'!$AH$1687=TYPE3)*(TYPE3&lt;&gt;"")+('Dvd Calendar'!$AH$1687=TYPE4)*(TYPE4&lt;&gt;"")+('Dvd Calendar'!$AH$1687=SPECIAL_LBL)*(INC_SPECIALS="Y"))=0,"",'Dvd Calendar'!$AH$1685)))</f>
        <v/>
      </c>
      <c r="AG171" s="106">
        <f>IF(FI171="","",IF(ISNUMBER('Dvd Calendar'!$AI$1685)=FALSE,"",IF((('Dvd Calendar'!$AI$1687=TYPE1)*(TYPE1&lt;&gt;"")+('Dvd Calendar'!$AI$1687=TYPE2)*(TYPE2&lt;&gt;"")+('Dvd Calendar'!$AI$1687=TYPE3)*(TYPE3&lt;&gt;"")+('Dvd Calendar'!$AI$1687=TYPE4)*(TYPE4&lt;&gt;"")+('Dvd Calendar'!$AI$1687=SPECIAL_LBL)*(INC_SPECIALS="Y"))=0,"",'Dvd Calendar'!$AI$1685)))</f>
        <v/>
      </c>
      <c r="AH171" s="106">
        <f>IF(FJ171="","",IF(ISNUMBER('Dvd Calendar'!$AJ$1685)=FALSE,"",IF((('Dvd Calendar'!$AJ$1687=TYPE1)*(TYPE1&lt;&gt;"")+('Dvd Calendar'!$AJ$1687=TYPE2)*(TYPE2&lt;&gt;"")+('Dvd Calendar'!$AJ$1687=TYPE3)*(TYPE3&lt;&gt;"")+('Dvd Calendar'!$AJ$1687=TYPE4)*(TYPE4&lt;&gt;"")+('Dvd Calendar'!$AJ$1687=SPECIAL_LBL)*(INC_SPECIALS="Y"))=0,"",'Dvd Calendar'!$AJ$1685)))</f>
        <v/>
      </c>
      <c r="AI171" s="106">
        <f>IF(FK171="","",IF(ISNUMBER('Dvd Calendar'!$AK$1685)=FALSE,"",IF((('Dvd Calendar'!$AK$1687=TYPE1)*(TYPE1&lt;&gt;"")+('Dvd Calendar'!$AK$1687=TYPE2)*(TYPE2&lt;&gt;"")+('Dvd Calendar'!$AK$1687=TYPE3)*(TYPE3&lt;&gt;"")+('Dvd Calendar'!$AK$1687=TYPE4)*(TYPE4&lt;&gt;"")+('Dvd Calendar'!$AK$1687=SPECIAL_LBL)*(INC_SPECIALS="Y"))=0,"",'Dvd Calendar'!$AK$1685)))</f>
        <v/>
      </c>
      <c r="AJ171" s="106">
        <f>IF(FL171="","",IF(ISNUMBER('Dvd Calendar'!$AL$1685)=FALSE,"",IF((('Dvd Calendar'!$AL$1687=TYPE1)*(TYPE1&lt;&gt;"")+('Dvd Calendar'!$AL$1687=TYPE2)*(TYPE2&lt;&gt;"")+('Dvd Calendar'!$AL$1687=TYPE3)*(TYPE3&lt;&gt;"")+('Dvd Calendar'!$AL$1687=TYPE4)*(TYPE4&lt;&gt;"")+('Dvd Calendar'!$AL$1687=SPECIAL_LBL)*(INC_SPECIALS="Y"))=0,"",'Dvd Calendar'!$AL$1685)))</f>
        <v/>
      </c>
      <c r="AK171" s="106">
        <f>IF(FM171="","",IF(ISNUMBER('Dvd Calendar'!$AM$1685)=FALSE,"",IF((('Dvd Calendar'!$AM$1687=TYPE1)*(TYPE1&lt;&gt;"")+('Dvd Calendar'!$AM$1687=TYPE2)*(TYPE2&lt;&gt;"")+('Dvd Calendar'!$AM$1687=TYPE3)*(TYPE3&lt;&gt;"")+('Dvd Calendar'!$AM$1687=TYPE4)*(TYPE4&lt;&gt;"")+('Dvd Calendar'!$AM$1687=SPECIAL_LBL)*(INC_SPECIALS="Y"))=0,"",'Dvd Calendar'!$AM$1685)))</f>
        <v/>
      </c>
      <c r="AL171" s="106">
        <f>IF(FN171="","",IF(ISNUMBER('Dvd Calendar'!$AN$1685)=FALSE,"",IF((('Dvd Calendar'!$AN$1687=TYPE1)*(TYPE1&lt;&gt;"")+('Dvd Calendar'!$AN$1687=TYPE2)*(TYPE2&lt;&gt;"")+('Dvd Calendar'!$AN$1687=TYPE3)*(TYPE3&lt;&gt;"")+('Dvd Calendar'!$AN$1687=TYPE4)*(TYPE4&lt;&gt;"")+('Dvd Calendar'!$AN$1687=SPECIAL_LBL)*(INC_SPECIALS="Y"))=0,"",'Dvd Calendar'!$AN$1685)))</f>
        <v/>
      </c>
      <c r="AM171" s="106">
        <f>IF(FO171="","",IF(ISNUMBER('Dvd Calendar'!$AO$1685)=FALSE,"",IF((('Dvd Calendar'!$AO$1687=TYPE1)*(TYPE1&lt;&gt;"")+('Dvd Calendar'!$AO$1687=TYPE2)*(TYPE2&lt;&gt;"")+('Dvd Calendar'!$AO$1687=TYPE3)*(TYPE3&lt;&gt;"")+('Dvd Calendar'!$AO$1687=TYPE4)*(TYPE4&lt;&gt;"")+('Dvd Calendar'!$AO$1687=SPECIAL_LBL)*(INC_SPECIALS="Y"))=0,"",'Dvd Calendar'!$AO$1685)))</f>
        <v/>
      </c>
      <c r="AN171" s="106">
        <f>IF(FP171="","",IF(ISNUMBER('Dvd Calendar'!$AP$1685)=FALSE,"",IF((('Dvd Calendar'!$AP$1687=TYPE1)*(TYPE1&lt;&gt;"")+('Dvd Calendar'!$AP$1687=TYPE2)*(TYPE2&lt;&gt;"")+('Dvd Calendar'!$AP$1687=TYPE3)*(TYPE3&lt;&gt;"")+('Dvd Calendar'!$AP$1687=TYPE4)*(TYPE4&lt;&gt;"")+('Dvd Calendar'!$AP$1687=SPECIAL_LBL)*(INC_SPECIALS="Y"))=0,"",'Dvd Calendar'!$AP$1685)))</f>
        <v/>
      </c>
      <c r="AO171" s="106">
        <f>IF(FQ171="","",IF(ISNUMBER('Dvd Calendar'!$AQ$1685)=FALSE,"",IF((('Dvd Calendar'!$AQ$1687=TYPE1)*(TYPE1&lt;&gt;"")+('Dvd Calendar'!$AQ$1687=TYPE2)*(TYPE2&lt;&gt;"")+('Dvd Calendar'!$AQ$1687=TYPE3)*(TYPE3&lt;&gt;"")+('Dvd Calendar'!$AQ$1687=TYPE4)*(TYPE4&lt;&gt;"")+('Dvd Calendar'!$AQ$1687=SPECIAL_LBL)*(INC_SPECIALS="Y"))=0,"",'Dvd Calendar'!$AQ$1685)))</f>
        <v/>
      </c>
      <c r="AP171" s="106">
        <f>IF(FR171="","",IF(ISNUMBER('Dvd Calendar'!$AR$1685)=FALSE,"",IF((('Dvd Calendar'!$AR$1687=TYPE1)*(TYPE1&lt;&gt;"")+('Dvd Calendar'!$AR$1687=TYPE2)*(TYPE2&lt;&gt;"")+('Dvd Calendar'!$AR$1687=TYPE3)*(TYPE3&lt;&gt;"")+('Dvd Calendar'!$AR$1687=TYPE4)*(TYPE4&lt;&gt;"")+('Dvd Calendar'!$AR$1687=SPECIAL_LBL)*(INC_SPECIALS="Y"))=0,"",'Dvd Calendar'!$AR$1685)))</f>
        <v/>
      </c>
      <c r="AQ171" s="106">
        <f>IF(FS171="","",IF(ISNUMBER('Dvd Calendar'!$E$1690)=FALSE,"",'Dvd Calendar'!$E$1690))</f>
        <v/>
      </c>
      <c r="AR171" s="106">
        <f>IF(FT171="","",IF(ISNUMBER('Dvd Calendar'!$F$1690)=FALSE,"",'Dvd Calendar'!$F$1690))</f>
        <v/>
      </c>
      <c r="AS171" s="106">
        <f>IF(FU171="","",IF(ISNUMBER('Dvd Calendar'!$G$1690)=FALSE,"",'Dvd Calendar'!$G$1690))</f>
        <v/>
      </c>
      <c r="AT171" s="106">
        <f>IF(FV171="","",IF(ISNUMBER('Dvd Calendar'!$H$1690)=FALSE,"",'Dvd Calendar'!$H$1690))</f>
        <v/>
      </c>
      <c r="AU171" s="106">
        <f>IF(FW171="","",IF(ISNUMBER('Dvd Calendar'!$I$1690)=FALSE,"",'Dvd Calendar'!$I$1690))</f>
        <v/>
      </c>
      <c r="AV171" s="106">
        <f>IF(FX171="","",IF(ISNUMBER('Dvd Calendar'!$J$1690)=FALSE,"",'Dvd Calendar'!$J$1690))</f>
        <v/>
      </c>
      <c r="AW171" s="106">
        <f>IF(FY171="","",IF(ISNUMBER('Dvd Calendar'!$K$1690)=FALSE,"",'Dvd Calendar'!$K$1690))</f>
        <v/>
      </c>
      <c r="AX171" s="106">
        <f>IF(FZ171="","",IF(ISNUMBER('Dvd Calendar'!$L$1690)=FALSE,"",'Dvd Calendar'!$L$1690))</f>
        <v/>
      </c>
      <c r="AY171" s="106">
        <f>IF(GA171="","",IF(ISNUMBER('Dvd Calendar'!$M$1690)=FALSE,"",'Dvd Calendar'!$M$1690))</f>
        <v/>
      </c>
      <c r="AZ171" s="106">
        <f>IF(GB171="","",IF(ISNUMBER('Dvd Calendar'!$N$1690)=FALSE,"",'Dvd Calendar'!$N$1690))</f>
        <v/>
      </c>
      <c r="BA171" s="106">
        <f>IF(GC171="","",IF(ISNUMBER('Dvd Calendar'!$O$1690)=FALSE,"",'Dvd Calendar'!$O$1690))</f>
        <v/>
      </c>
      <c r="BB171" s="106">
        <f>IF(GD171="","",IF(ISNUMBER('Dvd Calendar'!$P$1690)=FALSE,"",'Dvd Calendar'!$P$1690))</f>
        <v/>
      </c>
      <c r="BC171" s="106">
        <f>IF(GE171="","",IF(ISNUMBER('Dvd Calendar'!$Q$1690)=FALSE,"",'Dvd Calendar'!$Q$1690))</f>
        <v/>
      </c>
      <c r="BD171" s="106">
        <f>IF(GF171="","",IF(ISNUMBER('Dvd Calendar'!$R$1690)=FALSE,"",'Dvd Calendar'!$R$1690))</f>
        <v/>
      </c>
      <c r="BE171" s="106">
        <f>IF(GG171="","",IF(ISNUMBER('Dvd Calendar'!$S$1690)=FALSE,"",'Dvd Calendar'!$S$1690))</f>
        <v/>
      </c>
      <c r="BF171" s="106">
        <f>IF(GH171="","",IF(ISNUMBER('Dvd Calendar'!$T$1690)=FALSE,"",'Dvd Calendar'!$T$1690))</f>
        <v/>
      </c>
      <c r="BG171" s="106">
        <f>IF(GI171="","",IF(ISNUMBER('Dvd Calendar'!$U$1690)=FALSE,"",'Dvd Calendar'!$U$1690))</f>
        <v/>
      </c>
      <c r="BH171" s="106">
        <f>IF(GJ171="","",IF(ISNUMBER('Dvd Calendar'!$V$1690)=FALSE,"",'Dvd Calendar'!$V$1690))</f>
        <v/>
      </c>
      <c r="BI171" s="106">
        <f>IF(GK171="","",IF(ISNUMBER('Dvd Calendar'!$W$1690)=FALSE,"",'Dvd Calendar'!$W$1690))</f>
        <v/>
      </c>
      <c r="BJ171" s="106">
        <f>IF(GL171="","",IF(ISNUMBER('Dvd Calendar'!$X$1690)=FALSE,"",'Dvd Calendar'!$X$1690))</f>
        <v/>
      </c>
      <c r="BK171" s="106">
        <f>IF(GM171="","",IF(ISNUMBER('Dvd Calendar'!$Y$1690)=FALSE,"",'Dvd Calendar'!$Y$1690))</f>
        <v/>
      </c>
      <c r="BL171" s="106">
        <f>IF(GN171="","",IF(ISNUMBER('Dvd Calendar'!$Z$1690)=FALSE,"",'Dvd Calendar'!$Z$1690))</f>
        <v/>
      </c>
      <c r="BM171" s="106">
        <f>IF(GO171="","",IF(ISNUMBER('Dvd Calendar'!$AA$1690)=FALSE,"",'Dvd Calendar'!$AA$1690))</f>
        <v/>
      </c>
      <c r="BN171" s="106">
        <f>IF(GP171="","",IF(ISNUMBER('Dvd Calendar'!$AB$1690)=FALSE,"",'Dvd Calendar'!$AB$1690))</f>
        <v/>
      </c>
      <c r="BO171" s="106">
        <f>IF(GQ171="","",IF(ISNUMBER('Dvd Calendar'!$AC$1690)=FALSE,"",'Dvd Calendar'!$AC$1690))</f>
        <v/>
      </c>
      <c r="BQ171" s="106">
        <f>IF(C171="","",IFERROR(C171*HSCEI!$B$18*HSCEI!$G$18/HSCEI!$B$3,""))</f>
        <v/>
      </c>
      <c r="BR171" s="106">
        <f>IF(D171="","",IFERROR(D171*HSCEI!$B$18*HSCEI!$G$18/HSCEI!$B$3,""))</f>
        <v/>
      </c>
      <c r="BS171" s="106">
        <f>IF(E171="","",IFERROR(E171*HSCEI!$B$18*HSCEI!$G$18/HSCEI!$B$3,""))</f>
        <v/>
      </c>
      <c r="BT171" s="106">
        <f>IF(F171="","",IFERROR(F171*HSCEI!$B$18*HSCEI!$G$18/HSCEI!$B$3,""))</f>
        <v/>
      </c>
      <c r="BU171" s="106">
        <f>IF(G171="","",IFERROR(G171*HSCEI!$B$18*HSCEI!$G$18/HSCEI!$B$3,""))</f>
        <v/>
      </c>
      <c r="BV171" s="106">
        <f>IF(H171="","",IFERROR(H171*HSCEI!$B$18*HSCEI!$G$18/HSCEI!$B$3,""))</f>
        <v/>
      </c>
      <c r="BW171" s="106">
        <f>IF(I171="","",IFERROR(I171*HSCEI!$B$18*HSCEI!$G$18/HSCEI!$B$3,""))</f>
        <v/>
      </c>
      <c r="BX171" s="106">
        <f>IF(J171="","",IFERROR(J171*HSCEI!$B$18*HSCEI!$G$18/HSCEI!$B$3,""))</f>
        <v/>
      </c>
      <c r="BY171" s="106">
        <f>IF(K171="","",IFERROR(K171*HSCEI!$B$18*HSCEI!$G$18/HSCEI!$B$3,""))</f>
        <v/>
      </c>
      <c r="BZ171" s="106">
        <f>IF(L171="","",IFERROR(L171*HSCEI!$B$18*HSCEI!$G$18/HSCEI!$B$3,""))</f>
        <v/>
      </c>
      <c r="CA171" s="106">
        <f>IF(M171="","",IFERROR(M171*HSCEI!$B$18*HSCEI!$G$18/HSCEI!$B$3,""))</f>
        <v/>
      </c>
      <c r="CB171" s="106">
        <f>IF(N171="","",IFERROR(N171*HSCEI!$B$18*HSCEI!$G$18/HSCEI!$B$3,""))</f>
        <v/>
      </c>
      <c r="CC171" s="106">
        <f>IF(O171="","",IFERROR(O171*HSCEI!$B$18*HSCEI!$G$18/HSCEI!$B$3,""))</f>
        <v/>
      </c>
      <c r="CD171" s="106">
        <f>IF(P171="","",IFERROR(P171*HSCEI!$B$18*HSCEI!$G$18/HSCEI!$B$3,""))</f>
        <v/>
      </c>
      <c r="CE171" s="106">
        <f>IF(Q171="","",IFERROR(Q171*HSCEI!$B$18*HSCEI!$G$18/HSCEI!$B$3,""))</f>
        <v/>
      </c>
      <c r="CF171" s="106">
        <f>IF(R171="","",IFERROR(R171*HSCEI!$B$18*HSCEI!$G$18/HSCEI!$B$3,""))</f>
        <v/>
      </c>
      <c r="CG171" s="106">
        <f>IF(S171="","",IFERROR(S171*HSCEI!$B$18*HSCEI!$G$18/HSCEI!$B$3,""))</f>
        <v/>
      </c>
      <c r="CH171" s="106">
        <f>IF(T171="","",IFERROR(T171*HSCEI!$B$18*HSCEI!$G$18/HSCEI!$B$3,""))</f>
        <v/>
      </c>
      <c r="CI171" s="106">
        <f>IF(U171="","",IFERROR(U171*HSCEI!$B$18*HSCEI!$G$18/HSCEI!$B$3,""))</f>
        <v/>
      </c>
      <c r="CJ171" s="106">
        <f>IF(V171="","",IFERROR(V171*HSCEI!$B$18*HSCEI!$G$18/HSCEI!$B$3,""))</f>
        <v/>
      </c>
      <c r="CK171" s="106">
        <f>IF(W171="","",IFERROR(W171*HSCEI!$B$18*HSCEI!$G$18/HSCEI!$B$3,""))</f>
        <v/>
      </c>
      <c r="CL171" s="106">
        <f>IF(X171="","",IFERROR(X171*HSCEI!$B$18*HSCEI!$G$18/HSCEI!$B$3,""))</f>
        <v/>
      </c>
      <c r="CM171" s="106">
        <f>IF(Y171="","",IFERROR(Y171*HSCEI!$B$18*HSCEI!$G$18/HSCEI!$B$3,""))</f>
        <v/>
      </c>
      <c r="CN171" s="106">
        <f>IF(Z171="","",IFERROR(Z171*HSCEI!$B$18*HSCEI!$G$18/HSCEI!$B$3,""))</f>
        <v/>
      </c>
      <c r="CO171" s="106">
        <f>IF(AA171="","",IFERROR(AA171*HSCEI!$B$18*HSCEI!$G$18/HSCEI!$B$3,""))</f>
        <v/>
      </c>
      <c r="CP171" s="106">
        <f>IF(AB171="","",IFERROR(AB171*HSCEI!$B$18*HSCEI!$G$18/HSCEI!$B$3,""))</f>
        <v/>
      </c>
      <c r="CQ171" s="106">
        <f>IF(AC171="","",IFERROR(AC171*HSCEI!$B$18*HSCEI!$G$18/HSCEI!$B$3,""))</f>
        <v/>
      </c>
      <c r="CR171" s="106">
        <f>IF(AD171="","",IFERROR(AD171*HSCEI!$B$18*HSCEI!$G$18/HSCEI!$B$3,""))</f>
        <v/>
      </c>
      <c r="CS171" s="106">
        <f>IF(AE171="","",IFERROR(AE171*HSCEI!$B$18*HSCEI!$G$18/HSCEI!$B$3,""))</f>
        <v/>
      </c>
      <c r="CT171" s="106">
        <f>IF(AF171="","",IFERROR(AF171*HSCEI!$B$18*HSCEI!$G$18/HSCEI!$B$3,""))</f>
        <v/>
      </c>
      <c r="CU171" s="106">
        <f>IF(AG171="","",IFERROR(AG171*HSCEI!$B$18*HSCEI!$G$18/HSCEI!$B$3,""))</f>
        <v/>
      </c>
      <c r="CV171" s="106">
        <f>IF(AH171="","",IFERROR(AH171*HSCEI!$B$18*HSCEI!$G$18/HSCEI!$B$3,""))</f>
        <v/>
      </c>
      <c r="CW171" s="106">
        <f>IF(AI171="","",IFERROR(AI171*HSCEI!$B$18*HSCEI!$G$18/HSCEI!$B$3,""))</f>
        <v/>
      </c>
      <c r="CX171" s="106">
        <f>IF(AJ171="","",IFERROR(AJ171*HSCEI!$B$18*HSCEI!$G$18/HSCEI!$B$3,""))</f>
        <v/>
      </c>
      <c r="CY171" s="106">
        <f>IF(AK171="","",IFERROR(AK171*HSCEI!$B$18*HSCEI!$G$18/HSCEI!$B$3,""))</f>
        <v/>
      </c>
      <c r="CZ171" s="106">
        <f>IF(AL171="","",IFERROR(AL171*HSCEI!$B$18*HSCEI!$G$18/HSCEI!$B$3,""))</f>
        <v/>
      </c>
      <c r="DA171" s="106">
        <f>IF(AM171="","",IFERROR(AM171*HSCEI!$B$18*HSCEI!$G$18/HSCEI!$B$3,""))</f>
        <v/>
      </c>
      <c r="DB171" s="106">
        <f>IF(AN171="","",IFERROR(AN171*HSCEI!$B$18*HSCEI!$G$18/HSCEI!$B$3,""))</f>
        <v/>
      </c>
      <c r="DC171" s="106">
        <f>IF(AO171="","",IFERROR(AO171*HSCEI!$B$18*HSCEI!$G$18/HSCEI!$B$3,""))</f>
        <v/>
      </c>
      <c r="DD171" s="106">
        <f>IF(AP171="","",IFERROR(AP171*HSCEI!$B$18*HSCEI!$G$18/HSCEI!$B$3,""))</f>
        <v/>
      </c>
      <c r="DE171" s="106">
        <f>IF(AQ171="","",IFERROR(AQ171*HSCEI!$B$18*HSCEI!$G$18/HSCEI!$B$3,""))</f>
        <v/>
      </c>
      <c r="DF171" s="106">
        <f>IF(AR171="","",IFERROR(AR171*HSCEI!$B$18*HSCEI!$G$18/HSCEI!$B$3,""))</f>
        <v/>
      </c>
      <c r="DG171" s="106">
        <f>IF(AS171="","",IFERROR(AS171*HSCEI!$B$18*HSCEI!$G$18/HSCEI!$B$3,""))</f>
        <v/>
      </c>
      <c r="DH171" s="106">
        <f>IF(AT171="","",IFERROR(AT171*HSCEI!$B$18*HSCEI!$G$18/HSCEI!$B$3,""))</f>
        <v/>
      </c>
      <c r="DI171" s="106">
        <f>IF(AU171="","",IFERROR(AU171*HSCEI!$B$18*HSCEI!$G$18/HSCEI!$B$3,""))</f>
        <v/>
      </c>
      <c r="DJ171" s="106">
        <f>IF(AV171="","",IFERROR(AV171*HSCEI!$B$18*HSCEI!$G$18/HSCEI!$B$3,""))</f>
        <v/>
      </c>
      <c r="DK171" s="106">
        <f>IF(AW171="","",IFERROR(AW171*HSCEI!$B$18*HSCEI!$G$18/HSCEI!$B$3,""))</f>
        <v/>
      </c>
      <c r="DL171" s="106">
        <f>IF(AX171="","",IFERROR(AX171*HSCEI!$B$18*HSCEI!$G$18/HSCEI!$B$3,""))</f>
        <v/>
      </c>
      <c r="DM171" s="106">
        <f>IF(AY171="","",IFERROR(AY171*HSCEI!$B$18*HSCEI!$G$18/HSCEI!$B$3,""))</f>
        <v/>
      </c>
      <c r="DN171" s="106">
        <f>IF(AZ171="","",IFERROR(AZ171*HSCEI!$B$18*HSCEI!$G$18/HSCEI!$B$3,""))</f>
        <v/>
      </c>
      <c r="DO171" s="106">
        <f>IF(BA171="","",IFERROR(BA171*HSCEI!$B$18*HSCEI!$G$18/HSCEI!$B$3,""))</f>
        <v/>
      </c>
      <c r="DP171" s="106">
        <f>IF(BB171="","",IFERROR(BB171*HSCEI!$B$18*HSCEI!$G$18/HSCEI!$B$3,""))</f>
        <v/>
      </c>
      <c r="DQ171" s="106">
        <f>IF(BC171="","",IFERROR(BC171*HSCEI!$B$18*HSCEI!$G$18/HSCEI!$B$3,""))</f>
        <v/>
      </c>
      <c r="DR171" s="106">
        <f>IF(BD171="","",IFERROR(BD171*HSCEI!$B$18*HSCEI!$G$18/HSCEI!$B$3,""))</f>
        <v/>
      </c>
      <c r="DS171" s="106">
        <f>IF(BE171="","",IFERROR(BE171*HSCEI!$B$18*HSCEI!$G$18/HSCEI!$B$3,""))</f>
        <v/>
      </c>
      <c r="DT171" s="106">
        <f>IF(BF171="","",IFERROR(BF171*HSCEI!$B$18*HSCEI!$G$18/HSCEI!$B$3,""))</f>
        <v/>
      </c>
      <c r="DU171" s="106">
        <f>IF(BG171="","",IFERROR(BG171*HSCEI!$B$18*HSCEI!$G$18/HSCEI!$B$3,""))</f>
        <v/>
      </c>
      <c r="DV171" s="106">
        <f>IF(BH171="","",IFERROR(BH171*HSCEI!$B$18*HSCEI!$G$18/HSCEI!$B$3,""))</f>
        <v/>
      </c>
      <c r="DW171" s="106">
        <f>IF(BI171="","",IFERROR(BI171*HSCEI!$B$18*HSCEI!$G$18/HSCEI!$B$3,""))</f>
        <v/>
      </c>
      <c r="DX171" s="106">
        <f>IF(BJ171="","",IFERROR(BJ171*HSCEI!$B$18*HSCEI!$G$18/HSCEI!$B$3,""))</f>
        <v/>
      </c>
      <c r="DY171" s="106">
        <f>IF(BK171="","",IFERROR(BK171*HSCEI!$B$18*HSCEI!$G$18/HSCEI!$B$3,""))</f>
        <v/>
      </c>
      <c r="DZ171" s="106">
        <f>IF(BL171="","",IFERROR(BL171*HSCEI!$B$18*HSCEI!$G$18/HSCEI!$B$3,""))</f>
        <v/>
      </c>
      <c r="EA171" s="106">
        <f>IF(BM171="","",IFERROR(BM171*HSCEI!$B$18*HSCEI!$G$18/HSCEI!$B$3,""))</f>
        <v/>
      </c>
      <c r="EB171" s="106">
        <f>IF(BN171="","",IFERROR(BN171*HSCEI!$B$18*HSCEI!$G$18/HSCEI!$B$3,""))</f>
        <v/>
      </c>
      <c r="EC171" s="106">
        <f>IF(BO171="","",IFERROR(BO171*HSCEI!$B$18*HSCEI!$G$18/HSCEI!$B$3,""))</f>
        <v/>
      </c>
      <c r="EE171" s="35">
        <f>IF(N('Dvd Calendar'!$E$1682)=0,"",IF(('Dvd Calendar'!$E$1682&gt;=GRID_FROM)*('Dvd Calendar'!$E$1682&lt;=GRID_TO)*('Dvd Calendar'!$E$1682&lt;=VAL_DATE)=0,"",'Dvd Calendar'!$E$1682*1000000000+ISNUMBER('Dvd Calendar'!$E$1685)*100000000+('Dvd Calendar'!$E$1687=SPECIAL_LBL)*10000000+0*1000000+12*1000+1))</f>
        <v/>
      </c>
      <c r="EF171" s="35">
        <f>IF(N('Dvd Calendar'!$F$1682)=0,"",IF(('Dvd Calendar'!$F$1682&gt;=GRID_FROM)*('Dvd Calendar'!$F$1682&lt;=GRID_TO)*('Dvd Calendar'!$F$1682&lt;=VAL_DATE)=0,"",'Dvd Calendar'!$F$1682*1000000000+ISNUMBER('Dvd Calendar'!$F$1685)*100000000+('Dvd Calendar'!$F$1687=SPECIAL_LBL)*10000000+0*1000000+12*1000+2))</f>
        <v/>
      </c>
      <c r="EG171" s="35">
        <f>IF(N('Dvd Calendar'!$G$1682)=0,"",IF(('Dvd Calendar'!$G$1682&gt;=GRID_FROM)*('Dvd Calendar'!$G$1682&lt;=GRID_TO)*('Dvd Calendar'!$G$1682&lt;=VAL_DATE)=0,"",'Dvd Calendar'!$G$1682*1000000000+ISNUMBER('Dvd Calendar'!$G$1685)*100000000+('Dvd Calendar'!$G$1687=SPECIAL_LBL)*10000000+0*1000000+12*1000+3))</f>
        <v/>
      </c>
      <c r="EH171" s="35">
        <f>IF(N('Dvd Calendar'!$H$1682)=0,"",IF(('Dvd Calendar'!$H$1682&gt;=GRID_FROM)*('Dvd Calendar'!$H$1682&lt;=GRID_TO)*('Dvd Calendar'!$H$1682&lt;=VAL_DATE)=0,"",'Dvd Calendar'!$H$1682*1000000000+ISNUMBER('Dvd Calendar'!$H$1685)*100000000+('Dvd Calendar'!$H$1687=SPECIAL_LBL)*10000000+0*1000000+12*1000+4))</f>
        <v/>
      </c>
      <c r="EI171" s="35">
        <f>IF(N('Dvd Calendar'!$I$1682)=0,"",IF(('Dvd Calendar'!$I$1682&gt;=GRID_FROM)*('Dvd Calendar'!$I$1682&lt;=GRID_TO)*('Dvd Calendar'!$I$1682&lt;=VAL_DATE)=0,"",'Dvd Calendar'!$I$1682*1000000000+ISNUMBER('Dvd Calendar'!$I$1685)*100000000+('Dvd Calendar'!$I$1687=SPECIAL_LBL)*10000000+0*1000000+12*1000+5))</f>
        <v/>
      </c>
      <c r="EJ171" s="35">
        <f>IF(N('Dvd Calendar'!$J$1682)=0,"",IF(('Dvd Calendar'!$J$1682&gt;=GRID_FROM)*('Dvd Calendar'!$J$1682&lt;=GRID_TO)*('Dvd Calendar'!$J$1682&lt;=VAL_DATE)=0,"",'Dvd Calendar'!$J$1682*1000000000+ISNUMBER('Dvd Calendar'!$J$1685)*100000000+('Dvd Calendar'!$J$1687=SPECIAL_LBL)*10000000+0*1000000+12*1000+6))</f>
        <v/>
      </c>
      <c r="EK171" s="35">
        <f>IF(N('Dvd Calendar'!$K$1682)=0,"",IF(('Dvd Calendar'!$K$1682&gt;=GRID_FROM)*('Dvd Calendar'!$K$1682&lt;=GRID_TO)*('Dvd Calendar'!$K$1682&lt;=VAL_DATE)=0,"",'Dvd Calendar'!$K$1682*1000000000+ISNUMBER('Dvd Calendar'!$K$1685)*100000000+('Dvd Calendar'!$K$1687=SPECIAL_LBL)*10000000+0*1000000+12*1000+7))</f>
        <v/>
      </c>
      <c r="EL171" s="35">
        <f>IF(N('Dvd Calendar'!$L$1682)=0,"",IF(('Dvd Calendar'!$L$1682&gt;=GRID_FROM)*('Dvd Calendar'!$L$1682&lt;=GRID_TO)*('Dvd Calendar'!$L$1682&lt;=VAL_DATE)=0,"",'Dvd Calendar'!$L$1682*1000000000+ISNUMBER('Dvd Calendar'!$L$1685)*100000000+('Dvd Calendar'!$L$1687=SPECIAL_LBL)*10000000+0*1000000+12*1000+8))</f>
        <v/>
      </c>
      <c r="EM171" s="35">
        <f>IF(N('Dvd Calendar'!$M$1682)=0,"",IF(('Dvd Calendar'!$M$1682&gt;=GRID_FROM)*('Dvd Calendar'!$M$1682&lt;=GRID_TO)*('Dvd Calendar'!$M$1682&lt;=VAL_DATE)=0,"",'Dvd Calendar'!$M$1682*1000000000+ISNUMBER('Dvd Calendar'!$M$1685)*100000000+('Dvd Calendar'!$M$1687=SPECIAL_LBL)*10000000+0*1000000+12*1000+9))</f>
        <v/>
      </c>
      <c r="EN171" s="35">
        <f>IF(N('Dvd Calendar'!$N$1682)=0,"",IF(('Dvd Calendar'!$N$1682&gt;=GRID_FROM)*('Dvd Calendar'!$N$1682&lt;=GRID_TO)*('Dvd Calendar'!$N$1682&lt;=VAL_DATE)=0,"",'Dvd Calendar'!$N$1682*1000000000+ISNUMBER('Dvd Calendar'!$N$1685)*100000000+('Dvd Calendar'!$N$1687=SPECIAL_LBL)*10000000+0*1000000+12*1000+10))</f>
        <v/>
      </c>
      <c r="EO171" s="35">
        <f>IF(N('Dvd Calendar'!$O$1682)=0,"",IF(('Dvd Calendar'!$O$1682&gt;=GRID_FROM)*('Dvd Calendar'!$O$1682&lt;=GRID_TO)*('Dvd Calendar'!$O$1682&lt;=VAL_DATE)=0,"",'Dvd Calendar'!$O$1682*1000000000+ISNUMBER('Dvd Calendar'!$O$1685)*100000000+('Dvd Calendar'!$O$1687=SPECIAL_LBL)*10000000+0*1000000+12*1000+11))</f>
        <v/>
      </c>
      <c r="EP171" s="35">
        <f>IF(N('Dvd Calendar'!$P$1682)=0,"",IF(('Dvd Calendar'!$P$1682&gt;=GRID_FROM)*('Dvd Calendar'!$P$1682&lt;=GRID_TO)*('Dvd Calendar'!$P$1682&lt;=VAL_DATE)=0,"",'Dvd Calendar'!$P$1682*1000000000+ISNUMBER('Dvd Calendar'!$P$1685)*100000000+('Dvd Calendar'!$P$1687=SPECIAL_LBL)*10000000+0*1000000+12*1000+12))</f>
        <v/>
      </c>
      <c r="EQ171" s="35">
        <f>IF(N('Dvd Calendar'!$Q$1682)=0,"",IF(('Dvd Calendar'!$Q$1682&gt;=GRID_FROM)*('Dvd Calendar'!$Q$1682&lt;=GRID_TO)*('Dvd Calendar'!$Q$1682&lt;=VAL_DATE)=0,"",'Dvd Calendar'!$Q$1682*1000000000+ISNUMBER('Dvd Calendar'!$Q$1685)*100000000+('Dvd Calendar'!$Q$1687=SPECIAL_LBL)*10000000+0*1000000+12*1000+13))</f>
        <v/>
      </c>
      <c r="ER171" s="35">
        <f>IF(N('Dvd Calendar'!$R$1682)=0,"",IF(('Dvd Calendar'!$R$1682&gt;=GRID_FROM)*('Dvd Calendar'!$R$1682&lt;=GRID_TO)*('Dvd Calendar'!$R$1682&lt;=VAL_DATE)=0,"",'Dvd Calendar'!$R$1682*1000000000+ISNUMBER('Dvd Calendar'!$R$1685)*100000000+('Dvd Calendar'!$R$1687=SPECIAL_LBL)*10000000+0*1000000+12*1000+14))</f>
        <v/>
      </c>
      <c r="ES171" s="35">
        <f>IF(N('Dvd Calendar'!$S$1682)=0,"",IF(('Dvd Calendar'!$S$1682&gt;=GRID_FROM)*('Dvd Calendar'!$S$1682&lt;=GRID_TO)*('Dvd Calendar'!$S$1682&lt;=VAL_DATE)=0,"",'Dvd Calendar'!$S$1682*1000000000+ISNUMBER('Dvd Calendar'!$S$1685)*100000000+('Dvd Calendar'!$S$1687=SPECIAL_LBL)*10000000+0*1000000+12*1000+15))</f>
        <v/>
      </c>
      <c r="ET171" s="35">
        <f>IF(N('Dvd Calendar'!$T$1682)=0,"",IF(('Dvd Calendar'!$T$1682&gt;=GRID_FROM)*('Dvd Calendar'!$T$1682&lt;=GRID_TO)*('Dvd Calendar'!$T$1682&lt;=VAL_DATE)=0,"",'Dvd Calendar'!$T$1682*1000000000+ISNUMBER('Dvd Calendar'!$T$1685)*100000000+('Dvd Calendar'!$T$1687=SPECIAL_LBL)*10000000+0*1000000+12*1000+16))</f>
        <v/>
      </c>
      <c r="EU171" s="35">
        <f>IF(N('Dvd Calendar'!$U$1682)=0,"",IF(('Dvd Calendar'!$U$1682&gt;=GRID_FROM)*('Dvd Calendar'!$U$1682&lt;=GRID_TO)*('Dvd Calendar'!$U$1682&lt;=VAL_DATE)=0,"",'Dvd Calendar'!$U$1682*1000000000+ISNUMBER('Dvd Calendar'!$U$1685)*100000000+('Dvd Calendar'!$U$1687=SPECIAL_LBL)*10000000+0*1000000+12*1000+17))</f>
        <v/>
      </c>
      <c r="EV171" s="35">
        <f>IF(N('Dvd Calendar'!$V$1682)=0,"",IF(('Dvd Calendar'!$V$1682&gt;=GRID_FROM)*('Dvd Calendar'!$V$1682&lt;=GRID_TO)*('Dvd Calendar'!$V$1682&lt;=VAL_DATE)=0,"",'Dvd Calendar'!$V$1682*1000000000+ISNUMBER('Dvd Calendar'!$V$1685)*100000000+('Dvd Calendar'!$V$1687=SPECIAL_LBL)*10000000+0*1000000+12*1000+18))</f>
        <v/>
      </c>
      <c r="EW171" s="35">
        <f>IF(N('Dvd Calendar'!$W$1682)=0,"",IF(('Dvd Calendar'!$W$1682&gt;=GRID_FROM)*('Dvd Calendar'!$W$1682&lt;=GRID_TO)*('Dvd Calendar'!$W$1682&lt;=VAL_DATE)=0,"",'Dvd Calendar'!$W$1682*1000000000+ISNUMBER('Dvd Calendar'!$W$1685)*100000000+('Dvd Calendar'!$W$1687=SPECIAL_LBL)*10000000+0*1000000+12*1000+19))</f>
        <v/>
      </c>
      <c r="EX171" s="35">
        <f>IF(N('Dvd Calendar'!$X$1682)=0,"",IF(('Dvd Calendar'!$X$1682&gt;=GRID_FROM)*('Dvd Calendar'!$X$1682&lt;=GRID_TO)*('Dvd Calendar'!$X$1682&lt;=VAL_DATE)=0,"",'Dvd Calendar'!$X$1682*1000000000+ISNUMBER('Dvd Calendar'!$X$1685)*100000000+('Dvd Calendar'!$X$1687=SPECIAL_LBL)*10000000+0*1000000+12*1000+20))</f>
        <v/>
      </c>
      <c r="EY171" s="35">
        <f>IF(N('Dvd Calendar'!$Y$1682)=0,"",IF(('Dvd Calendar'!$Y$1682&gt;=GRID_FROM)*('Dvd Calendar'!$Y$1682&lt;=GRID_TO)*('Dvd Calendar'!$Y$1682&lt;=VAL_DATE)=0,"",'Dvd Calendar'!$Y$1682*1000000000+ISNUMBER('Dvd Calendar'!$Y$1685)*100000000+('Dvd Calendar'!$Y$1687=SPECIAL_LBL)*10000000+0*1000000+12*1000+21))</f>
        <v/>
      </c>
      <c r="EZ171" s="35">
        <f>IF(N('Dvd Calendar'!$Z$1682)=0,"",IF(('Dvd Calendar'!$Z$1682&gt;=GRID_FROM)*('Dvd Calendar'!$Z$1682&lt;=GRID_TO)*('Dvd Calendar'!$Z$1682&lt;=VAL_DATE)=0,"",'Dvd Calendar'!$Z$1682*1000000000+ISNUMBER('Dvd Calendar'!$Z$1685)*100000000+('Dvd Calendar'!$Z$1687=SPECIAL_LBL)*10000000+0*1000000+12*1000+22))</f>
        <v/>
      </c>
      <c r="FA171" s="35">
        <f>IF(N('Dvd Calendar'!$AA$1682)=0,"",IF(('Dvd Calendar'!$AA$1682&gt;=GRID_FROM)*('Dvd Calendar'!$AA$1682&lt;=GRID_TO)*('Dvd Calendar'!$AA$1682&lt;=VAL_DATE)=0,"",'Dvd Calendar'!$AA$1682*1000000000+ISNUMBER('Dvd Calendar'!$AA$1685)*100000000+('Dvd Calendar'!$AA$1687=SPECIAL_LBL)*10000000+0*1000000+12*1000+23))</f>
        <v/>
      </c>
      <c r="FB171" s="35">
        <f>IF(N('Dvd Calendar'!$AB$1682)=0,"",IF(('Dvd Calendar'!$AB$1682&gt;=GRID_FROM)*('Dvd Calendar'!$AB$1682&lt;=GRID_TO)*('Dvd Calendar'!$AB$1682&lt;=VAL_DATE)=0,"",'Dvd Calendar'!$AB$1682*1000000000+ISNUMBER('Dvd Calendar'!$AB$1685)*100000000+('Dvd Calendar'!$AB$1687=SPECIAL_LBL)*10000000+0*1000000+12*1000+24))</f>
        <v/>
      </c>
      <c r="FC171" s="35">
        <f>IF(N('Dvd Calendar'!$AC$1682)=0,"",IF(('Dvd Calendar'!$AC$1682&gt;=GRID_FROM)*('Dvd Calendar'!$AC$1682&lt;=GRID_TO)*('Dvd Calendar'!$AC$1682&lt;=VAL_DATE)=0,"",'Dvd Calendar'!$AC$1682*1000000000+ISNUMBER('Dvd Calendar'!$AC$1685)*100000000+('Dvd Calendar'!$AC$1687=SPECIAL_LBL)*10000000+0*1000000+12*1000+25))</f>
        <v/>
      </c>
      <c r="FD171" s="35">
        <f>IF(N('Dvd Calendar'!$AD$1682)=0,"",IF(('Dvd Calendar'!$AD$1682&gt;=GRID_FROM)*('Dvd Calendar'!$AD$1682&lt;=GRID_TO)*('Dvd Calendar'!$AD$1682&lt;=VAL_DATE)=0,"",'Dvd Calendar'!$AD$1682*1000000000+ISNUMBER('Dvd Calendar'!$AD$1685)*100000000+('Dvd Calendar'!$AD$1687=SPECIAL_LBL)*10000000+0*1000000+12*1000+26))</f>
        <v/>
      </c>
      <c r="FE171" s="35">
        <f>IF(N('Dvd Calendar'!$AE$1682)=0,"",IF(('Dvd Calendar'!$AE$1682&gt;=GRID_FROM)*('Dvd Calendar'!$AE$1682&lt;=GRID_TO)*('Dvd Calendar'!$AE$1682&lt;=VAL_DATE)=0,"",'Dvd Calendar'!$AE$1682*1000000000+ISNUMBER('Dvd Calendar'!$AE$1685)*100000000+('Dvd Calendar'!$AE$1687=SPECIAL_LBL)*10000000+0*1000000+12*1000+27))</f>
        <v/>
      </c>
      <c r="FF171" s="35">
        <f>IF(N('Dvd Calendar'!$AF$1682)=0,"",IF(('Dvd Calendar'!$AF$1682&gt;=GRID_FROM)*('Dvd Calendar'!$AF$1682&lt;=GRID_TO)*('Dvd Calendar'!$AF$1682&lt;=VAL_DATE)=0,"",'Dvd Calendar'!$AF$1682*1000000000+ISNUMBER('Dvd Calendar'!$AF$1685)*100000000+('Dvd Calendar'!$AF$1687=SPECIAL_LBL)*10000000+0*1000000+12*1000+28))</f>
        <v/>
      </c>
      <c r="FG171" s="35">
        <f>IF(N('Dvd Calendar'!$AG$1682)=0,"",IF(('Dvd Calendar'!$AG$1682&gt;=GRID_FROM)*('Dvd Calendar'!$AG$1682&lt;=GRID_TO)*('Dvd Calendar'!$AG$1682&lt;=VAL_DATE)=0,"",'Dvd Calendar'!$AG$1682*1000000000+ISNUMBER('Dvd Calendar'!$AG$1685)*100000000+('Dvd Calendar'!$AG$1687=SPECIAL_LBL)*10000000+0*1000000+12*1000+29))</f>
        <v/>
      </c>
      <c r="FH171" s="35">
        <f>IF(N('Dvd Calendar'!$AH$1682)=0,"",IF(('Dvd Calendar'!$AH$1682&gt;=GRID_FROM)*('Dvd Calendar'!$AH$1682&lt;=GRID_TO)*('Dvd Calendar'!$AH$1682&lt;=VAL_DATE)=0,"",'Dvd Calendar'!$AH$1682*1000000000+ISNUMBER('Dvd Calendar'!$AH$1685)*100000000+('Dvd Calendar'!$AH$1687=SPECIAL_LBL)*10000000+0*1000000+12*1000+30))</f>
        <v/>
      </c>
      <c r="FI171" s="35">
        <f>IF(N('Dvd Calendar'!$AI$1682)=0,"",IF(('Dvd Calendar'!$AI$1682&gt;=GRID_FROM)*('Dvd Calendar'!$AI$1682&lt;=GRID_TO)*('Dvd Calendar'!$AI$1682&lt;=VAL_DATE)=0,"",'Dvd Calendar'!$AI$1682*1000000000+ISNUMBER('Dvd Calendar'!$AI$1685)*100000000+('Dvd Calendar'!$AI$1687=SPECIAL_LBL)*10000000+0*1000000+12*1000+31))</f>
        <v/>
      </c>
      <c r="FJ171" s="35">
        <f>IF(N('Dvd Calendar'!$AJ$1682)=0,"",IF(('Dvd Calendar'!$AJ$1682&gt;=GRID_FROM)*('Dvd Calendar'!$AJ$1682&lt;=GRID_TO)*('Dvd Calendar'!$AJ$1682&lt;=VAL_DATE)=0,"",'Dvd Calendar'!$AJ$1682*1000000000+ISNUMBER('Dvd Calendar'!$AJ$1685)*100000000+('Dvd Calendar'!$AJ$1687=SPECIAL_LBL)*10000000+0*1000000+12*1000+32))</f>
        <v/>
      </c>
      <c r="FK171" s="35">
        <f>IF(N('Dvd Calendar'!$AK$1682)=0,"",IF(('Dvd Calendar'!$AK$1682&gt;=GRID_FROM)*('Dvd Calendar'!$AK$1682&lt;=GRID_TO)*('Dvd Calendar'!$AK$1682&lt;=VAL_DATE)=0,"",'Dvd Calendar'!$AK$1682*1000000000+ISNUMBER('Dvd Calendar'!$AK$1685)*100000000+('Dvd Calendar'!$AK$1687=SPECIAL_LBL)*10000000+0*1000000+12*1000+33))</f>
        <v/>
      </c>
      <c r="FL171" s="35">
        <f>IF(N('Dvd Calendar'!$AL$1682)=0,"",IF(('Dvd Calendar'!$AL$1682&gt;=GRID_FROM)*('Dvd Calendar'!$AL$1682&lt;=GRID_TO)*('Dvd Calendar'!$AL$1682&lt;=VAL_DATE)=0,"",'Dvd Calendar'!$AL$1682*1000000000+ISNUMBER('Dvd Calendar'!$AL$1685)*100000000+('Dvd Calendar'!$AL$1687=SPECIAL_LBL)*10000000+0*1000000+12*1000+34))</f>
        <v/>
      </c>
      <c r="FM171" s="35">
        <f>IF(N('Dvd Calendar'!$AM$1682)=0,"",IF(('Dvd Calendar'!$AM$1682&gt;=GRID_FROM)*('Dvd Calendar'!$AM$1682&lt;=GRID_TO)*('Dvd Calendar'!$AM$1682&lt;=VAL_DATE)=0,"",'Dvd Calendar'!$AM$1682*1000000000+ISNUMBER('Dvd Calendar'!$AM$1685)*100000000+('Dvd Calendar'!$AM$1687=SPECIAL_LBL)*10000000+0*1000000+12*1000+35))</f>
        <v/>
      </c>
      <c r="FN171" s="35">
        <f>IF(N('Dvd Calendar'!$AN$1682)=0,"",IF(('Dvd Calendar'!$AN$1682&gt;=GRID_FROM)*('Dvd Calendar'!$AN$1682&lt;=GRID_TO)*('Dvd Calendar'!$AN$1682&lt;=VAL_DATE)=0,"",'Dvd Calendar'!$AN$1682*1000000000+ISNUMBER('Dvd Calendar'!$AN$1685)*100000000+('Dvd Calendar'!$AN$1687=SPECIAL_LBL)*10000000+0*1000000+12*1000+36))</f>
        <v/>
      </c>
      <c r="FO171" s="35">
        <f>IF(N('Dvd Calendar'!$AO$1682)=0,"",IF(('Dvd Calendar'!$AO$1682&gt;=GRID_FROM)*('Dvd Calendar'!$AO$1682&lt;=GRID_TO)*('Dvd Calendar'!$AO$1682&lt;=VAL_DATE)=0,"",'Dvd Calendar'!$AO$1682*1000000000+ISNUMBER('Dvd Calendar'!$AO$1685)*100000000+('Dvd Calendar'!$AO$1687=SPECIAL_LBL)*10000000+0*1000000+12*1000+37))</f>
        <v/>
      </c>
      <c r="FP171" s="35">
        <f>IF(N('Dvd Calendar'!$AP$1682)=0,"",IF(('Dvd Calendar'!$AP$1682&gt;=GRID_FROM)*('Dvd Calendar'!$AP$1682&lt;=GRID_TO)*('Dvd Calendar'!$AP$1682&lt;=VAL_DATE)=0,"",'Dvd Calendar'!$AP$1682*1000000000+ISNUMBER('Dvd Calendar'!$AP$1685)*100000000+('Dvd Calendar'!$AP$1687=SPECIAL_LBL)*10000000+0*1000000+12*1000+38))</f>
        <v/>
      </c>
      <c r="FQ171" s="35">
        <f>IF(N('Dvd Calendar'!$AQ$1682)=0,"",IF(('Dvd Calendar'!$AQ$1682&gt;=GRID_FROM)*('Dvd Calendar'!$AQ$1682&lt;=GRID_TO)*('Dvd Calendar'!$AQ$1682&lt;=VAL_DATE)=0,"",'Dvd Calendar'!$AQ$1682*1000000000+ISNUMBER('Dvd Calendar'!$AQ$1685)*100000000+('Dvd Calendar'!$AQ$1687=SPECIAL_LBL)*10000000+0*1000000+12*1000+39))</f>
        <v/>
      </c>
      <c r="FR171" s="35">
        <f>IF(N('Dvd Calendar'!$AR$1682)=0,"",IF(('Dvd Calendar'!$AR$1682&gt;=GRID_FROM)*('Dvd Calendar'!$AR$1682&lt;=GRID_TO)*('Dvd Calendar'!$AR$1682&lt;=VAL_DATE)=0,"",'Dvd Calendar'!$AR$1682*1000000000+ISNUMBER('Dvd Calendar'!$AR$1685)*100000000+('Dvd Calendar'!$AR$1687=SPECIAL_LBL)*10000000+0*1000000+12*1000+40))</f>
        <v/>
      </c>
      <c r="FS171" s="35">
        <f>IF(N('Dvd Calendar'!$E$1689)=0,"",IF(('Dvd Calendar'!$E$1689&gt;=GRID_FROM)*('Dvd Calendar'!$E$1689&lt;=GRID_TO)*('Dvd Calendar'!$E$1689&gt;VAL_DATE)=0,"",'Dvd Calendar'!$E$1689*1000000000+ISNUMBER('Dvd Calendar'!$E$1690)*100000000+0*10000000+(N('Dvd Calendar'!$E$1688)&gt;0)*(N('Dvd Calendar'!$E$1688)&lt;=VAL_SERIAL)*1000000+12*1000+41))</f>
        <v/>
      </c>
      <c r="FT171" s="35">
        <f>IF(N('Dvd Calendar'!$F$1689)=0,"",IF(('Dvd Calendar'!$F$1689&gt;=GRID_FROM)*('Dvd Calendar'!$F$1689&lt;=GRID_TO)*('Dvd Calendar'!$F$1689&gt;VAL_DATE)=0,"",'Dvd Calendar'!$F$1689*1000000000+ISNUMBER('Dvd Calendar'!$F$1690)*100000000+0*10000000+(N('Dvd Calendar'!$F$1688)&gt;0)*(N('Dvd Calendar'!$F$1688)&lt;=VAL_SERIAL)*1000000+12*1000+42))</f>
        <v/>
      </c>
      <c r="FU171" s="35">
        <f>IF(N('Dvd Calendar'!$G$1689)=0,"",IF(('Dvd Calendar'!$G$1689&gt;=GRID_FROM)*('Dvd Calendar'!$G$1689&lt;=GRID_TO)*('Dvd Calendar'!$G$1689&gt;VAL_DATE)=0,"",'Dvd Calendar'!$G$1689*1000000000+ISNUMBER('Dvd Calendar'!$G$1690)*100000000+0*10000000+(N('Dvd Calendar'!$G$1688)&gt;0)*(N('Dvd Calendar'!$G$1688)&lt;=VAL_SERIAL)*1000000+12*1000+43))</f>
        <v/>
      </c>
      <c r="FV171" s="35">
        <f>IF(N('Dvd Calendar'!$H$1689)=0,"",IF(('Dvd Calendar'!$H$1689&gt;=GRID_FROM)*('Dvd Calendar'!$H$1689&lt;=GRID_TO)*('Dvd Calendar'!$H$1689&gt;VAL_DATE)=0,"",'Dvd Calendar'!$H$1689*1000000000+ISNUMBER('Dvd Calendar'!$H$1690)*100000000+0*10000000+(N('Dvd Calendar'!$H$1688)&gt;0)*(N('Dvd Calendar'!$H$1688)&lt;=VAL_SERIAL)*1000000+12*1000+44))</f>
        <v/>
      </c>
      <c r="FW171" s="35">
        <f>IF(N('Dvd Calendar'!$I$1689)=0,"",IF(('Dvd Calendar'!$I$1689&gt;=GRID_FROM)*('Dvd Calendar'!$I$1689&lt;=GRID_TO)*('Dvd Calendar'!$I$1689&gt;VAL_DATE)=0,"",'Dvd Calendar'!$I$1689*1000000000+ISNUMBER('Dvd Calendar'!$I$1690)*100000000+0*10000000+(N('Dvd Calendar'!$I$1688)&gt;0)*(N('Dvd Calendar'!$I$1688)&lt;=VAL_SERIAL)*1000000+12*1000+45))</f>
        <v/>
      </c>
      <c r="FX171" s="35">
        <f>IF(N('Dvd Calendar'!$J$1689)=0,"",IF(('Dvd Calendar'!$J$1689&gt;=GRID_FROM)*('Dvd Calendar'!$J$1689&lt;=GRID_TO)*('Dvd Calendar'!$J$1689&gt;VAL_DATE)=0,"",'Dvd Calendar'!$J$1689*1000000000+ISNUMBER('Dvd Calendar'!$J$1690)*100000000+0*10000000+(N('Dvd Calendar'!$J$1688)&gt;0)*(N('Dvd Calendar'!$J$1688)&lt;=VAL_SERIAL)*1000000+12*1000+46))</f>
        <v/>
      </c>
      <c r="FY171" s="35">
        <f>IF(N('Dvd Calendar'!$K$1689)=0,"",IF(('Dvd Calendar'!$K$1689&gt;=GRID_FROM)*('Dvd Calendar'!$K$1689&lt;=GRID_TO)*('Dvd Calendar'!$K$1689&gt;VAL_DATE)=0,"",'Dvd Calendar'!$K$1689*1000000000+ISNUMBER('Dvd Calendar'!$K$1690)*100000000+0*10000000+(N('Dvd Calendar'!$K$1688)&gt;0)*(N('Dvd Calendar'!$K$1688)&lt;=VAL_SERIAL)*1000000+12*1000+47))</f>
        <v/>
      </c>
      <c r="FZ171" s="35">
        <f>IF(N('Dvd Calendar'!$L$1689)=0,"",IF(('Dvd Calendar'!$L$1689&gt;=GRID_FROM)*('Dvd Calendar'!$L$1689&lt;=GRID_TO)*('Dvd Calendar'!$L$1689&gt;VAL_DATE)=0,"",'Dvd Calendar'!$L$1689*1000000000+ISNUMBER('Dvd Calendar'!$L$1690)*100000000+0*10000000+(N('Dvd Calendar'!$L$1688)&gt;0)*(N('Dvd Calendar'!$L$1688)&lt;=VAL_SERIAL)*1000000+12*1000+48))</f>
        <v/>
      </c>
      <c r="GA171" s="35">
        <f>IF(N('Dvd Calendar'!$M$1689)=0,"",IF(('Dvd Calendar'!$M$1689&gt;=GRID_FROM)*('Dvd Calendar'!$M$1689&lt;=GRID_TO)*('Dvd Calendar'!$M$1689&gt;VAL_DATE)=0,"",'Dvd Calendar'!$M$1689*1000000000+ISNUMBER('Dvd Calendar'!$M$1690)*100000000+0*10000000+(N('Dvd Calendar'!$M$1688)&gt;0)*(N('Dvd Calendar'!$M$1688)&lt;=VAL_SERIAL)*1000000+12*1000+49))</f>
        <v/>
      </c>
      <c r="GB171" s="35">
        <f>IF(N('Dvd Calendar'!$N$1689)=0,"",IF(('Dvd Calendar'!$N$1689&gt;=GRID_FROM)*('Dvd Calendar'!$N$1689&lt;=GRID_TO)*('Dvd Calendar'!$N$1689&gt;VAL_DATE)=0,"",'Dvd Calendar'!$N$1689*1000000000+ISNUMBER('Dvd Calendar'!$N$1690)*100000000+0*10000000+(N('Dvd Calendar'!$N$1688)&gt;0)*(N('Dvd Calendar'!$N$1688)&lt;=VAL_SERIAL)*1000000+12*1000+50))</f>
        <v/>
      </c>
      <c r="GC171" s="35">
        <f>IF(N('Dvd Calendar'!$O$1689)=0,"",IF(('Dvd Calendar'!$O$1689&gt;=GRID_FROM)*('Dvd Calendar'!$O$1689&lt;=GRID_TO)*('Dvd Calendar'!$O$1689&gt;VAL_DATE)=0,"",'Dvd Calendar'!$O$1689*1000000000+ISNUMBER('Dvd Calendar'!$O$1690)*100000000+0*10000000+(N('Dvd Calendar'!$O$1688)&gt;0)*(N('Dvd Calendar'!$O$1688)&lt;=VAL_SERIAL)*1000000+12*1000+51))</f>
        <v/>
      </c>
      <c r="GD171" s="35">
        <f>IF(N('Dvd Calendar'!$P$1689)=0,"",IF(('Dvd Calendar'!$P$1689&gt;=GRID_FROM)*('Dvd Calendar'!$P$1689&lt;=GRID_TO)*('Dvd Calendar'!$P$1689&gt;VAL_DATE)=0,"",'Dvd Calendar'!$P$1689*1000000000+ISNUMBER('Dvd Calendar'!$P$1690)*100000000+0*10000000+(N('Dvd Calendar'!$P$1688)&gt;0)*(N('Dvd Calendar'!$P$1688)&lt;=VAL_SERIAL)*1000000+12*1000+52))</f>
        <v/>
      </c>
      <c r="GE171" s="35">
        <f>IF(N('Dvd Calendar'!$Q$1689)=0,"",IF(('Dvd Calendar'!$Q$1689&gt;=GRID_FROM)*('Dvd Calendar'!$Q$1689&lt;=GRID_TO)*('Dvd Calendar'!$Q$1689&gt;VAL_DATE)=0,"",'Dvd Calendar'!$Q$1689*1000000000+ISNUMBER('Dvd Calendar'!$Q$1690)*100000000+0*10000000+(N('Dvd Calendar'!$Q$1688)&gt;0)*(N('Dvd Calendar'!$Q$1688)&lt;=VAL_SERIAL)*1000000+12*1000+53))</f>
        <v/>
      </c>
      <c r="GF171" s="35">
        <f>IF(N('Dvd Calendar'!$R$1689)=0,"",IF(('Dvd Calendar'!$R$1689&gt;=GRID_FROM)*('Dvd Calendar'!$R$1689&lt;=GRID_TO)*('Dvd Calendar'!$R$1689&gt;VAL_DATE)=0,"",'Dvd Calendar'!$R$1689*1000000000+ISNUMBER('Dvd Calendar'!$R$1690)*100000000+0*10000000+(N('Dvd Calendar'!$R$1688)&gt;0)*(N('Dvd Calendar'!$R$1688)&lt;=VAL_SERIAL)*1000000+12*1000+54))</f>
        <v/>
      </c>
      <c r="GG171" s="35">
        <f>IF(N('Dvd Calendar'!$S$1689)=0,"",IF(('Dvd Calendar'!$S$1689&gt;=GRID_FROM)*('Dvd Calendar'!$S$1689&lt;=GRID_TO)*('Dvd Calendar'!$S$1689&gt;VAL_DATE)=0,"",'Dvd Calendar'!$S$1689*1000000000+ISNUMBER('Dvd Calendar'!$S$1690)*100000000+0*10000000+(N('Dvd Calendar'!$S$1688)&gt;0)*(N('Dvd Calendar'!$S$1688)&lt;=VAL_SERIAL)*1000000+12*1000+55))</f>
        <v/>
      </c>
      <c r="GH171" s="35">
        <f>IF(N('Dvd Calendar'!$T$1689)=0,"",IF(('Dvd Calendar'!$T$1689&gt;=GRID_FROM)*('Dvd Calendar'!$T$1689&lt;=GRID_TO)*('Dvd Calendar'!$T$1689&gt;VAL_DATE)=0,"",'Dvd Calendar'!$T$1689*1000000000+ISNUMBER('Dvd Calendar'!$T$1690)*100000000+0*10000000+(N('Dvd Calendar'!$T$1688)&gt;0)*(N('Dvd Calendar'!$T$1688)&lt;=VAL_SERIAL)*1000000+12*1000+56))</f>
        <v/>
      </c>
      <c r="GI171" s="35">
        <f>IF(N('Dvd Calendar'!$U$1689)=0,"",IF(('Dvd Calendar'!$U$1689&gt;=GRID_FROM)*('Dvd Calendar'!$U$1689&lt;=GRID_TO)*('Dvd Calendar'!$U$1689&gt;VAL_DATE)=0,"",'Dvd Calendar'!$U$1689*1000000000+ISNUMBER('Dvd Calendar'!$U$1690)*100000000+0*10000000+(N('Dvd Calendar'!$U$1688)&gt;0)*(N('Dvd Calendar'!$U$1688)&lt;=VAL_SERIAL)*1000000+12*1000+57))</f>
        <v/>
      </c>
      <c r="GJ171" s="35">
        <f>IF(N('Dvd Calendar'!$V$1689)=0,"",IF(('Dvd Calendar'!$V$1689&gt;=GRID_FROM)*('Dvd Calendar'!$V$1689&lt;=GRID_TO)*('Dvd Calendar'!$V$1689&gt;VAL_DATE)=0,"",'Dvd Calendar'!$V$1689*1000000000+ISNUMBER('Dvd Calendar'!$V$1690)*100000000+0*10000000+(N('Dvd Calendar'!$V$1688)&gt;0)*(N('Dvd Calendar'!$V$1688)&lt;=VAL_SERIAL)*1000000+12*1000+58))</f>
        <v/>
      </c>
      <c r="GK171" s="35">
        <f>IF(N('Dvd Calendar'!$W$1689)=0,"",IF(('Dvd Calendar'!$W$1689&gt;=GRID_FROM)*('Dvd Calendar'!$W$1689&lt;=GRID_TO)*('Dvd Calendar'!$W$1689&gt;VAL_DATE)=0,"",'Dvd Calendar'!$W$1689*1000000000+ISNUMBER('Dvd Calendar'!$W$1690)*100000000+0*10000000+(N('Dvd Calendar'!$W$1688)&gt;0)*(N('Dvd Calendar'!$W$1688)&lt;=VAL_SERIAL)*1000000+12*1000+59))</f>
        <v/>
      </c>
      <c r="GL171" s="35">
        <f>IF(N('Dvd Calendar'!$X$1689)=0,"",IF(('Dvd Calendar'!$X$1689&gt;=GRID_FROM)*('Dvd Calendar'!$X$1689&lt;=GRID_TO)*('Dvd Calendar'!$X$1689&gt;VAL_DATE)=0,"",'Dvd Calendar'!$X$1689*1000000000+ISNUMBER('Dvd Calendar'!$X$1690)*100000000+0*10000000+(N('Dvd Calendar'!$X$1688)&gt;0)*(N('Dvd Calendar'!$X$1688)&lt;=VAL_SERIAL)*1000000+12*1000+60))</f>
        <v/>
      </c>
      <c r="GM171" s="35">
        <f>IF(N('Dvd Calendar'!$Y$1689)=0,"",IF(('Dvd Calendar'!$Y$1689&gt;=GRID_FROM)*('Dvd Calendar'!$Y$1689&lt;=GRID_TO)*('Dvd Calendar'!$Y$1689&gt;VAL_DATE)=0,"",'Dvd Calendar'!$Y$1689*1000000000+ISNUMBER('Dvd Calendar'!$Y$1690)*100000000+0*10000000+(N('Dvd Calendar'!$Y$1688)&gt;0)*(N('Dvd Calendar'!$Y$1688)&lt;=VAL_SERIAL)*1000000+12*1000+61))</f>
        <v/>
      </c>
      <c r="GN171" s="35">
        <f>IF(N('Dvd Calendar'!$Z$1689)=0,"",IF(('Dvd Calendar'!$Z$1689&gt;=GRID_FROM)*('Dvd Calendar'!$Z$1689&lt;=GRID_TO)*('Dvd Calendar'!$Z$1689&gt;VAL_DATE)=0,"",'Dvd Calendar'!$Z$1689*1000000000+ISNUMBER('Dvd Calendar'!$Z$1690)*100000000+0*10000000+(N('Dvd Calendar'!$Z$1688)&gt;0)*(N('Dvd Calendar'!$Z$1688)&lt;=VAL_SERIAL)*1000000+12*1000+62))</f>
        <v/>
      </c>
      <c r="GO171" s="35">
        <f>IF(N('Dvd Calendar'!$AA$1689)=0,"",IF(('Dvd Calendar'!$AA$1689&gt;=GRID_FROM)*('Dvd Calendar'!$AA$1689&lt;=GRID_TO)*('Dvd Calendar'!$AA$1689&gt;VAL_DATE)=0,"",'Dvd Calendar'!$AA$1689*1000000000+ISNUMBER('Dvd Calendar'!$AA$1690)*100000000+0*10000000+(N('Dvd Calendar'!$AA$1688)&gt;0)*(N('Dvd Calendar'!$AA$1688)&lt;=VAL_SERIAL)*1000000+12*1000+63))</f>
        <v/>
      </c>
      <c r="GP171" s="35">
        <f>IF(N('Dvd Calendar'!$AB$1689)=0,"",IF(('Dvd Calendar'!$AB$1689&gt;=GRID_FROM)*('Dvd Calendar'!$AB$1689&lt;=GRID_TO)*('Dvd Calendar'!$AB$1689&gt;VAL_DATE)=0,"",'Dvd Calendar'!$AB$1689*1000000000+ISNUMBER('Dvd Calendar'!$AB$1690)*100000000+0*10000000+(N('Dvd Calendar'!$AB$1688)&gt;0)*(N('Dvd Calendar'!$AB$1688)&lt;=VAL_SERIAL)*1000000+12*1000+64))</f>
        <v/>
      </c>
      <c r="GQ171" s="35">
        <f>IF(N('Dvd Calendar'!$AC$1689)=0,"",IF(('Dvd Calendar'!$AC$1689&gt;=GRID_FROM)*('Dvd Calendar'!$AC$1689&lt;=GRID_TO)*('Dvd Calendar'!$AC$1689&gt;VAL_DATE)=0,"",'Dvd Calendar'!$AC$1689*1000000000+ISNUMBER('Dvd Calendar'!$AC$1690)*100000000+0*10000000+(N('Dvd Calendar'!$AC$1688)&gt;0)*(N('Dvd Calendar'!$AC$1688)&lt;=VAL_SERIAL)*1000000+12*1000+65))</f>
        <v/>
      </c>
    </row>
    <row r="172">
      <c r="B172" s="2">
        <f>IF(HSCEI!$C$19="","",HSCEI!$C$19)</f>
        <v/>
      </c>
      <c r="C172" s="106">
        <f>IF(EE172="","",IF(ISNUMBER('Dvd Calendar'!$E$1696)=FALSE,"",IF((('Dvd Calendar'!$E$1698=TYPE1)*(TYPE1&lt;&gt;"")+('Dvd Calendar'!$E$1698=TYPE2)*(TYPE2&lt;&gt;"")+('Dvd Calendar'!$E$1698=TYPE3)*(TYPE3&lt;&gt;"")+('Dvd Calendar'!$E$1698=TYPE4)*(TYPE4&lt;&gt;"")+('Dvd Calendar'!$E$1698=SPECIAL_LBL)*(INC_SPECIALS="Y"))=0,"",'Dvd Calendar'!$E$1696)))</f>
        <v/>
      </c>
      <c r="D172" s="106">
        <f>IF(EF172="","",IF(ISNUMBER('Dvd Calendar'!$F$1696)=FALSE,"",IF((('Dvd Calendar'!$F$1698=TYPE1)*(TYPE1&lt;&gt;"")+('Dvd Calendar'!$F$1698=TYPE2)*(TYPE2&lt;&gt;"")+('Dvd Calendar'!$F$1698=TYPE3)*(TYPE3&lt;&gt;"")+('Dvd Calendar'!$F$1698=TYPE4)*(TYPE4&lt;&gt;"")+('Dvd Calendar'!$F$1698=SPECIAL_LBL)*(INC_SPECIALS="Y"))=0,"",'Dvd Calendar'!$F$1696)))</f>
        <v/>
      </c>
      <c r="E172" s="106">
        <f>IF(EG172="","",IF(ISNUMBER('Dvd Calendar'!$G$1696)=FALSE,"",IF((('Dvd Calendar'!$G$1698=TYPE1)*(TYPE1&lt;&gt;"")+('Dvd Calendar'!$G$1698=TYPE2)*(TYPE2&lt;&gt;"")+('Dvd Calendar'!$G$1698=TYPE3)*(TYPE3&lt;&gt;"")+('Dvd Calendar'!$G$1698=TYPE4)*(TYPE4&lt;&gt;"")+('Dvd Calendar'!$G$1698=SPECIAL_LBL)*(INC_SPECIALS="Y"))=0,"",'Dvd Calendar'!$G$1696)))</f>
        <v/>
      </c>
      <c r="F172" s="106">
        <f>IF(EH172="","",IF(ISNUMBER('Dvd Calendar'!$H$1696)=FALSE,"",IF((('Dvd Calendar'!$H$1698=TYPE1)*(TYPE1&lt;&gt;"")+('Dvd Calendar'!$H$1698=TYPE2)*(TYPE2&lt;&gt;"")+('Dvd Calendar'!$H$1698=TYPE3)*(TYPE3&lt;&gt;"")+('Dvd Calendar'!$H$1698=TYPE4)*(TYPE4&lt;&gt;"")+('Dvd Calendar'!$H$1698=SPECIAL_LBL)*(INC_SPECIALS="Y"))=0,"",'Dvd Calendar'!$H$1696)))</f>
        <v/>
      </c>
      <c r="G172" s="106">
        <f>IF(EI172="","",IF(ISNUMBER('Dvd Calendar'!$I$1696)=FALSE,"",IF((('Dvd Calendar'!$I$1698=TYPE1)*(TYPE1&lt;&gt;"")+('Dvd Calendar'!$I$1698=TYPE2)*(TYPE2&lt;&gt;"")+('Dvd Calendar'!$I$1698=TYPE3)*(TYPE3&lt;&gt;"")+('Dvd Calendar'!$I$1698=TYPE4)*(TYPE4&lt;&gt;"")+('Dvd Calendar'!$I$1698=SPECIAL_LBL)*(INC_SPECIALS="Y"))=0,"",'Dvd Calendar'!$I$1696)))</f>
        <v/>
      </c>
      <c r="H172" s="106">
        <f>IF(EJ172="","",IF(ISNUMBER('Dvd Calendar'!$J$1696)=FALSE,"",IF((('Dvd Calendar'!$J$1698=TYPE1)*(TYPE1&lt;&gt;"")+('Dvd Calendar'!$J$1698=TYPE2)*(TYPE2&lt;&gt;"")+('Dvd Calendar'!$J$1698=TYPE3)*(TYPE3&lt;&gt;"")+('Dvd Calendar'!$J$1698=TYPE4)*(TYPE4&lt;&gt;"")+('Dvd Calendar'!$J$1698=SPECIAL_LBL)*(INC_SPECIALS="Y"))=0,"",'Dvd Calendar'!$J$1696)))</f>
        <v/>
      </c>
      <c r="I172" s="106">
        <f>IF(EK172="","",IF(ISNUMBER('Dvd Calendar'!$K$1696)=FALSE,"",IF((('Dvd Calendar'!$K$1698=TYPE1)*(TYPE1&lt;&gt;"")+('Dvd Calendar'!$K$1698=TYPE2)*(TYPE2&lt;&gt;"")+('Dvd Calendar'!$K$1698=TYPE3)*(TYPE3&lt;&gt;"")+('Dvd Calendar'!$K$1698=TYPE4)*(TYPE4&lt;&gt;"")+('Dvd Calendar'!$K$1698=SPECIAL_LBL)*(INC_SPECIALS="Y"))=0,"",'Dvd Calendar'!$K$1696)))</f>
        <v/>
      </c>
      <c r="J172" s="106">
        <f>IF(EL172="","",IF(ISNUMBER('Dvd Calendar'!$L$1696)=FALSE,"",IF((('Dvd Calendar'!$L$1698=TYPE1)*(TYPE1&lt;&gt;"")+('Dvd Calendar'!$L$1698=TYPE2)*(TYPE2&lt;&gt;"")+('Dvd Calendar'!$L$1698=TYPE3)*(TYPE3&lt;&gt;"")+('Dvd Calendar'!$L$1698=TYPE4)*(TYPE4&lt;&gt;"")+('Dvd Calendar'!$L$1698=SPECIAL_LBL)*(INC_SPECIALS="Y"))=0,"",'Dvd Calendar'!$L$1696)))</f>
        <v/>
      </c>
      <c r="K172" s="106">
        <f>IF(EM172="","",IF(ISNUMBER('Dvd Calendar'!$M$1696)=FALSE,"",IF((('Dvd Calendar'!$M$1698=TYPE1)*(TYPE1&lt;&gt;"")+('Dvd Calendar'!$M$1698=TYPE2)*(TYPE2&lt;&gt;"")+('Dvd Calendar'!$M$1698=TYPE3)*(TYPE3&lt;&gt;"")+('Dvd Calendar'!$M$1698=TYPE4)*(TYPE4&lt;&gt;"")+('Dvd Calendar'!$M$1698=SPECIAL_LBL)*(INC_SPECIALS="Y"))=0,"",'Dvd Calendar'!$M$1696)))</f>
        <v/>
      </c>
      <c r="L172" s="106">
        <f>IF(EN172="","",IF(ISNUMBER('Dvd Calendar'!$N$1696)=FALSE,"",IF((('Dvd Calendar'!$N$1698=TYPE1)*(TYPE1&lt;&gt;"")+('Dvd Calendar'!$N$1698=TYPE2)*(TYPE2&lt;&gt;"")+('Dvd Calendar'!$N$1698=TYPE3)*(TYPE3&lt;&gt;"")+('Dvd Calendar'!$N$1698=TYPE4)*(TYPE4&lt;&gt;"")+('Dvd Calendar'!$N$1698=SPECIAL_LBL)*(INC_SPECIALS="Y"))=0,"",'Dvd Calendar'!$N$1696)))</f>
        <v/>
      </c>
      <c r="M172" s="106">
        <f>IF(EO172="","",IF(ISNUMBER('Dvd Calendar'!$O$1696)=FALSE,"",IF((('Dvd Calendar'!$O$1698=TYPE1)*(TYPE1&lt;&gt;"")+('Dvd Calendar'!$O$1698=TYPE2)*(TYPE2&lt;&gt;"")+('Dvd Calendar'!$O$1698=TYPE3)*(TYPE3&lt;&gt;"")+('Dvd Calendar'!$O$1698=TYPE4)*(TYPE4&lt;&gt;"")+('Dvd Calendar'!$O$1698=SPECIAL_LBL)*(INC_SPECIALS="Y"))=0,"",'Dvd Calendar'!$O$1696)))</f>
        <v/>
      </c>
      <c r="N172" s="106">
        <f>IF(EP172="","",IF(ISNUMBER('Dvd Calendar'!$P$1696)=FALSE,"",IF((('Dvd Calendar'!$P$1698=TYPE1)*(TYPE1&lt;&gt;"")+('Dvd Calendar'!$P$1698=TYPE2)*(TYPE2&lt;&gt;"")+('Dvd Calendar'!$P$1698=TYPE3)*(TYPE3&lt;&gt;"")+('Dvd Calendar'!$P$1698=TYPE4)*(TYPE4&lt;&gt;"")+('Dvd Calendar'!$P$1698=SPECIAL_LBL)*(INC_SPECIALS="Y"))=0,"",'Dvd Calendar'!$P$1696)))</f>
        <v/>
      </c>
      <c r="O172" s="106">
        <f>IF(EQ172="","",IF(ISNUMBER('Dvd Calendar'!$Q$1696)=FALSE,"",IF((('Dvd Calendar'!$Q$1698=TYPE1)*(TYPE1&lt;&gt;"")+('Dvd Calendar'!$Q$1698=TYPE2)*(TYPE2&lt;&gt;"")+('Dvd Calendar'!$Q$1698=TYPE3)*(TYPE3&lt;&gt;"")+('Dvd Calendar'!$Q$1698=TYPE4)*(TYPE4&lt;&gt;"")+('Dvd Calendar'!$Q$1698=SPECIAL_LBL)*(INC_SPECIALS="Y"))=0,"",'Dvd Calendar'!$Q$1696)))</f>
        <v/>
      </c>
      <c r="P172" s="106">
        <f>IF(ER172="","",IF(ISNUMBER('Dvd Calendar'!$R$1696)=FALSE,"",IF((('Dvd Calendar'!$R$1698=TYPE1)*(TYPE1&lt;&gt;"")+('Dvd Calendar'!$R$1698=TYPE2)*(TYPE2&lt;&gt;"")+('Dvd Calendar'!$R$1698=TYPE3)*(TYPE3&lt;&gt;"")+('Dvd Calendar'!$R$1698=TYPE4)*(TYPE4&lt;&gt;"")+('Dvd Calendar'!$R$1698=SPECIAL_LBL)*(INC_SPECIALS="Y"))=0,"",'Dvd Calendar'!$R$1696)))</f>
        <v/>
      </c>
      <c r="Q172" s="106">
        <f>IF(ES172="","",IF(ISNUMBER('Dvd Calendar'!$S$1696)=FALSE,"",IF((('Dvd Calendar'!$S$1698=TYPE1)*(TYPE1&lt;&gt;"")+('Dvd Calendar'!$S$1698=TYPE2)*(TYPE2&lt;&gt;"")+('Dvd Calendar'!$S$1698=TYPE3)*(TYPE3&lt;&gt;"")+('Dvd Calendar'!$S$1698=TYPE4)*(TYPE4&lt;&gt;"")+('Dvd Calendar'!$S$1698=SPECIAL_LBL)*(INC_SPECIALS="Y"))=0,"",'Dvd Calendar'!$S$1696)))</f>
        <v/>
      </c>
      <c r="R172" s="106">
        <f>IF(ET172="","",IF(ISNUMBER('Dvd Calendar'!$T$1696)=FALSE,"",IF((('Dvd Calendar'!$T$1698=TYPE1)*(TYPE1&lt;&gt;"")+('Dvd Calendar'!$T$1698=TYPE2)*(TYPE2&lt;&gt;"")+('Dvd Calendar'!$T$1698=TYPE3)*(TYPE3&lt;&gt;"")+('Dvd Calendar'!$T$1698=TYPE4)*(TYPE4&lt;&gt;"")+('Dvd Calendar'!$T$1698=SPECIAL_LBL)*(INC_SPECIALS="Y"))=0,"",'Dvd Calendar'!$T$1696)))</f>
        <v/>
      </c>
      <c r="S172" s="106">
        <f>IF(EU172="","",IF(ISNUMBER('Dvd Calendar'!$U$1696)=FALSE,"",IF((('Dvd Calendar'!$U$1698=TYPE1)*(TYPE1&lt;&gt;"")+('Dvd Calendar'!$U$1698=TYPE2)*(TYPE2&lt;&gt;"")+('Dvd Calendar'!$U$1698=TYPE3)*(TYPE3&lt;&gt;"")+('Dvd Calendar'!$U$1698=TYPE4)*(TYPE4&lt;&gt;"")+('Dvd Calendar'!$U$1698=SPECIAL_LBL)*(INC_SPECIALS="Y"))=0,"",'Dvd Calendar'!$U$1696)))</f>
        <v/>
      </c>
      <c r="T172" s="106">
        <f>IF(EV172="","",IF(ISNUMBER('Dvd Calendar'!$V$1696)=FALSE,"",IF((('Dvd Calendar'!$V$1698=TYPE1)*(TYPE1&lt;&gt;"")+('Dvd Calendar'!$V$1698=TYPE2)*(TYPE2&lt;&gt;"")+('Dvd Calendar'!$V$1698=TYPE3)*(TYPE3&lt;&gt;"")+('Dvd Calendar'!$V$1698=TYPE4)*(TYPE4&lt;&gt;"")+('Dvd Calendar'!$V$1698=SPECIAL_LBL)*(INC_SPECIALS="Y"))=0,"",'Dvd Calendar'!$V$1696)))</f>
        <v/>
      </c>
      <c r="U172" s="106">
        <f>IF(EW172="","",IF(ISNUMBER('Dvd Calendar'!$W$1696)=FALSE,"",IF((('Dvd Calendar'!$W$1698=TYPE1)*(TYPE1&lt;&gt;"")+('Dvd Calendar'!$W$1698=TYPE2)*(TYPE2&lt;&gt;"")+('Dvd Calendar'!$W$1698=TYPE3)*(TYPE3&lt;&gt;"")+('Dvd Calendar'!$W$1698=TYPE4)*(TYPE4&lt;&gt;"")+('Dvd Calendar'!$W$1698=SPECIAL_LBL)*(INC_SPECIALS="Y"))=0,"",'Dvd Calendar'!$W$1696)))</f>
        <v/>
      </c>
      <c r="V172" s="106">
        <f>IF(EX172="","",IF(ISNUMBER('Dvd Calendar'!$X$1696)=FALSE,"",IF((('Dvd Calendar'!$X$1698=TYPE1)*(TYPE1&lt;&gt;"")+('Dvd Calendar'!$X$1698=TYPE2)*(TYPE2&lt;&gt;"")+('Dvd Calendar'!$X$1698=TYPE3)*(TYPE3&lt;&gt;"")+('Dvd Calendar'!$X$1698=TYPE4)*(TYPE4&lt;&gt;"")+('Dvd Calendar'!$X$1698=SPECIAL_LBL)*(INC_SPECIALS="Y"))=0,"",'Dvd Calendar'!$X$1696)))</f>
        <v/>
      </c>
      <c r="W172" s="106">
        <f>IF(EY172="","",IF(ISNUMBER('Dvd Calendar'!$Y$1696)=FALSE,"",IF((('Dvd Calendar'!$Y$1698=TYPE1)*(TYPE1&lt;&gt;"")+('Dvd Calendar'!$Y$1698=TYPE2)*(TYPE2&lt;&gt;"")+('Dvd Calendar'!$Y$1698=TYPE3)*(TYPE3&lt;&gt;"")+('Dvd Calendar'!$Y$1698=TYPE4)*(TYPE4&lt;&gt;"")+('Dvd Calendar'!$Y$1698=SPECIAL_LBL)*(INC_SPECIALS="Y"))=0,"",'Dvd Calendar'!$Y$1696)))</f>
        <v/>
      </c>
      <c r="X172" s="106">
        <f>IF(EZ172="","",IF(ISNUMBER('Dvd Calendar'!$Z$1696)=FALSE,"",IF((('Dvd Calendar'!$Z$1698=TYPE1)*(TYPE1&lt;&gt;"")+('Dvd Calendar'!$Z$1698=TYPE2)*(TYPE2&lt;&gt;"")+('Dvd Calendar'!$Z$1698=TYPE3)*(TYPE3&lt;&gt;"")+('Dvd Calendar'!$Z$1698=TYPE4)*(TYPE4&lt;&gt;"")+('Dvd Calendar'!$Z$1698=SPECIAL_LBL)*(INC_SPECIALS="Y"))=0,"",'Dvd Calendar'!$Z$1696)))</f>
        <v/>
      </c>
      <c r="Y172" s="106">
        <f>IF(FA172="","",IF(ISNUMBER('Dvd Calendar'!$AA$1696)=FALSE,"",IF((('Dvd Calendar'!$AA$1698=TYPE1)*(TYPE1&lt;&gt;"")+('Dvd Calendar'!$AA$1698=TYPE2)*(TYPE2&lt;&gt;"")+('Dvd Calendar'!$AA$1698=TYPE3)*(TYPE3&lt;&gt;"")+('Dvd Calendar'!$AA$1698=TYPE4)*(TYPE4&lt;&gt;"")+('Dvd Calendar'!$AA$1698=SPECIAL_LBL)*(INC_SPECIALS="Y"))=0,"",'Dvd Calendar'!$AA$1696)))</f>
        <v/>
      </c>
      <c r="Z172" s="106">
        <f>IF(FB172="","",IF(ISNUMBER('Dvd Calendar'!$AB$1696)=FALSE,"",IF((('Dvd Calendar'!$AB$1698=TYPE1)*(TYPE1&lt;&gt;"")+('Dvd Calendar'!$AB$1698=TYPE2)*(TYPE2&lt;&gt;"")+('Dvd Calendar'!$AB$1698=TYPE3)*(TYPE3&lt;&gt;"")+('Dvd Calendar'!$AB$1698=TYPE4)*(TYPE4&lt;&gt;"")+('Dvd Calendar'!$AB$1698=SPECIAL_LBL)*(INC_SPECIALS="Y"))=0,"",'Dvd Calendar'!$AB$1696)))</f>
        <v/>
      </c>
      <c r="AA172" s="106">
        <f>IF(FC172="","",IF(ISNUMBER('Dvd Calendar'!$AC$1696)=FALSE,"",IF((('Dvd Calendar'!$AC$1698=TYPE1)*(TYPE1&lt;&gt;"")+('Dvd Calendar'!$AC$1698=TYPE2)*(TYPE2&lt;&gt;"")+('Dvd Calendar'!$AC$1698=TYPE3)*(TYPE3&lt;&gt;"")+('Dvd Calendar'!$AC$1698=TYPE4)*(TYPE4&lt;&gt;"")+('Dvd Calendar'!$AC$1698=SPECIAL_LBL)*(INC_SPECIALS="Y"))=0,"",'Dvd Calendar'!$AC$1696)))</f>
        <v/>
      </c>
      <c r="AB172" s="106">
        <f>IF(FD172="","",IF(ISNUMBER('Dvd Calendar'!$AD$1696)=FALSE,"",IF((('Dvd Calendar'!$AD$1698=TYPE1)*(TYPE1&lt;&gt;"")+('Dvd Calendar'!$AD$1698=TYPE2)*(TYPE2&lt;&gt;"")+('Dvd Calendar'!$AD$1698=TYPE3)*(TYPE3&lt;&gt;"")+('Dvd Calendar'!$AD$1698=TYPE4)*(TYPE4&lt;&gt;"")+('Dvd Calendar'!$AD$1698=SPECIAL_LBL)*(INC_SPECIALS="Y"))=0,"",'Dvd Calendar'!$AD$1696)))</f>
        <v/>
      </c>
      <c r="AC172" s="106">
        <f>IF(FE172="","",IF(ISNUMBER('Dvd Calendar'!$AE$1696)=FALSE,"",IF((('Dvd Calendar'!$AE$1698=TYPE1)*(TYPE1&lt;&gt;"")+('Dvd Calendar'!$AE$1698=TYPE2)*(TYPE2&lt;&gt;"")+('Dvd Calendar'!$AE$1698=TYPE3)*(TYPE3&lt;&gt;"")+('Dvd Calendar'!$AE$1698=TYPE4)*(TYPE4&lt;&gt;"")+('Dvd Calendar'!$AE$1698=SPECIAL_LBL)*(INC_SPECIALS="Y"))=0,"",'Dvd Calendar'!$AE$1696)))</f>
        <v/>
      </c>
      <c r="AD172" s="106">
        <f>IF(FF172="","",IF(ISNUMBER('Dvd Calendar'!$AF$1696)=FALSE,"",IF((('Dvd Calendar'!$AF$1698=TYPE1)*(TYPE1&lt;&gt;"")+('Dvd Calendar'!$AF$1698=TYPE2)*(TYPE2&lt;&gt;"")+('Dvd Calendar'!$AF$1698=TYPE3)*(TYPE3&lt;&gt;"")+('Dvd Calendar'!$AF$1698=TYPE4)*(TYPE4&lt;&gt;"")+('Dvd Calendar'!$AF$1698=SPECIAL_LBL)*(INC_SPECIALS="Y"))=0,"",'Dvd Calendar'!$AF$1696)))</f>
        <v/>
      </c>
      <c r="AE172" s="106">
        <f>IF(FG172="","",IF(ISNUMBER('Dvd Calendar'!$AG$1696)=FALSE,"",IF((('Dvd Calendar'!$AG$1698=TYPE1)*(TYPE1&lt;&gt;"")+('Dvd Calendar'!$AG$1698=TYPE2)*(TYPE2&lt;&gt;"")+('Dvd Calendar'!$AG$1698=TYPE3)*(TYPE3&lt;&gt;"")+('Dvd Calendar'!$AG$1698=TYPE4)*(TYPE4&lt;&gt;"")+('Dvd Calendar'!$AG$1698=SPECIAL_LBL)*(INC_SPECIALS="Y"))=0,"",'Dvd Calendar'!$AG$1696)))</f>
        <v/>
      </c>
      <c r="AF172" s="106">
        <f>IF(FH172="","",IF(ISNUMBER('Dvd Calendar'!$AH$1696)=FALSE,"",IF((('Dvd Calendar'!$AH$1698=TYPE1)*(TYPE1&lt;&gt;"")+('Dvd Calendar'!$AH$1698=TYPE2)*(TYPE2&lt;&gt;"")+('Dvd Calendar'!$AH$1698=TYPE3)*(TYPE3&lt;&gt;"")+('Dvd Calendar'!$AH$1698=TYPE4)*(TYPE4&lt;&gt;"")+('Dvd Calendar'!$AH$1698=SPECIAL_LBL)*(INC_SPECIALS="Y"))=0,"",'Dvd Calendar'!$AH$1696)))</f>
        <v/>
      </c>
      <c r="AG172" s="106">
        <f>IF(FI172="","",IF(ISNUMBER('Dvd Calendar'!$AI$1696)=FALSE,"",IF((('Dvd Calendar'!$AI$1698=TYPE1)*(TYPE1&lt;&gt;"")+('Dvd Calendar'!$AI$1698=TYPE2)*(TYPE2&lt;&gt;"")+('Dvd Calendar'!$AI$1698=TYPE3)*(TYPE3&lt;&gt;"")+('Dvd Calendar'!$AI$1698=TYPE4)*(TYPE4&lt;&gt;"")+('Dvd Calendar'!$AI$1698=SPECIAL_LBL)*(INC_SPECIALS="Y"))=0,"",'Dvd Calendar'!$AI$1696)))</f>
        <v/>
      </c>
      <c r="AH172" s="106">
        <f>IF(FJ172="","",IF(ISNUMBER('Dvd Calendar'!$AJ$1696)=FALSE,"",IF((('Dvd Calendar'!$AJ$1698=TYPE1)*(TYPE1&lt;&gt;"")+('Dvd Calendar'!$AJ$1698=TYPE2)*(TYPE2&lt;&gt;"")+('Dvd Calendar'!$AJ$1698=TYPE3)*(TYPE3&lt;&gt;"")+('Dvd Calendar'!$AJ$1698=TYPE4)*(TYPE4&lt;&gt;"")+('Dvd Calendar'!$AJ$1698=SPECIAL_LBL)*(INC_SPECIALS="Y"))=0,"",'Dvd Calendar'!$AJ$1696)))</f>
        <v/>
      </c>
      <c r="AI172" s="106">
        <f>IF(FK172="","",IF(ISNUMBER('Dvd Calendar'!$AK$1696)=FALSE,"",IF((('Dvd Calendar'!$AK$1698=TYPE1)*(TYPE1&lt;&gt;"")+('Dvd Calendar'!$AK$1698=TYPE2)*(TYPE2&lt;&gt;"")+('Dvd Calendar'!$AK$1698=TYPE3)*(TYPE3&lt;&gt;"")+('Dvd Calendar'!$AK$1698=TYPE4)*(TYPE4&lt;&gt;"")+('Dvd Calendar'!$AK$1698=SPECIAL_LBL)*(INC_SPECIALS="Y"))=0,"",'Dvd Calendar'!$AK$1696)))</f>
        <v/>
      </c>
      <c r="AJ172" s="106">
        <f>IF(FL172="","",IF(ISNUMBER('Dvd Calendar'!$AL$1696)=FALSE,"",IF((('Dvd Calendar'!$AL$1698=TYPE1)*(TYPE1&lt;&gt;"")+('Dvd Calendar'!$AL$1698=TYPE2)*(TYPE2&lt;&gt;"")+('Dvd Calendar'!$AL$1698=TYPE3)*(TYPE3&lt;&gt;"")+('Dvd Calendar'!$AL$1698=TYPE4)*(TYPE4&lt;&gt;"")+('Dvd Calendar'!$AL$1698=SPECIAL_LBL)*(INC_SPECIALS="Y"))=0,"",'Dvd Calendar'!$AL$1696)))</f>
        <v/>
      </c>
      <c r="AK172" s="106">
        <f>IF(FM172="","",IF(ISNUMBER('Dvd Calendar'!$AM$1696)=FALSE,"",IF((('Dvd Calendar'!$AM$1698=TYPE1)*(TYPE1&lt;&gt;"")+('Dvd Calendar'!$AM$1698=TYPE2)*(TYPE2&lt;&gt;"")+('Dvd Calendar'!$AM$1698=TYPE3)*(TYPE3&lt;&gt;"")+('Dvd Calendar'!$AM$1698=TYPE4)*(TYPE4&lt;&gt;"")+('Dvd Calendar'!$AM$1698=SPECIAL_LBL)*(INC_SPECIALS="Y"))=0,"",'Dvd Calendar'!$AM$1696)))</f>
        <v/>
      </c>
      <c r="AL172" s="106">
        <f>IF(FN172="","",IF(ISNUMBER('Dvd Calendar'!$AN$1696)=FALSE,"",IF((('Dvd Calendar'!$AN$1698=TYPE1)*(TYPE1&lt;&gt;"")+('Dvd Calendar'!$AN$1698=TYPE2)*(TYPE2&lt;&gt;"")+('Dvd Calendar'!$AN$1698=TYPE3)*(TYPE3&lt;&gt;"")+('Dvd Calendar'!$AN$1698=TYPE4)*(TYPE4&lt;&gt;"")+('Dvd Calendar'!$AN$1698=SPECIAL_LBL)*(INC_SPECIALS="Y"))=0,"",'Dvd Calendar'!$AN$1696)))</f>
        <v/>
      </c>
      <c r="AM172" s="106">
        <f>IF(FO172="","",IF(ISNUMBER('Dvd Calendar'!$AO$1696)=FALSE,"",IF((('Dvd Calendar'!$AO$1698=TYPE1)*(TYPE1&lt;&gt;"")+('Dvd Calendar'!$AO$1698=TYPE2)*(TYPE2&lt;&gt;"")+('Dvd Calendar'!$AO$1698=TYPE3)*(TYPE3&lt;&gt;"")+('Dvd Calendar'!$AO$1698=TYPE4)*(TYPE4&lt;&gt;"")+('Dvd Calendar'!$AO$1698=SPECIAL_LBL)*(INC_SPECIALS="Y"))=0,"",'Dvd Calendar'!$AO$1696)))</f>
        <v/>
      </c>
      <c r="AN172" s="106">
        <f>IF(FP172="","",IF(ISNUMBER('Dvd Calendar'!$AP$1696)=FALSE,"",IF((('Dvd Calendar'!$AP$1698=TYPE1)*(TYPE1&lt;&gt;"")+('Dvd Calendar'!$AP$1698=TYPE2)*(TYPE2&lt;&gt;"")+('Dvd Calendar'!$AP$1698=TYPE3)*(TYPE3&lt;&gt;"")+('Dvd Calendar'!$AP$1698=TYPE4)*(TYPE4&lt;&gt;"")+('Dvd Calendar'!$AP$1698=SPECIAL_LBL)*(INC_SPECIALS="Y"))=0,"",'Dvd Calendar'!$AP$1696)))</f>
        <v/>
      </c>
      <c r="AO172" s="106">
        <f>IF(FQ172="","",IF(ISNUMBER('Dvd Calendar'!$AQ$1696)=FALSE,"",IF((('Dvd Calendar'!$AQ$1698=TYPE1)*(TYPE1&lt;&gt;"")+('Dvd Calendar'!$AQ$1698=TYPE2)*(TYPE2&lt;&gt;"")+('Dvd Calendar'!$AQ$1698=TYPE3)*(TYPE3&lt;&gt;"")+('Dvd Calendar'!$AQ$1698=TYPE4)*(TYPE4&lt;&gt;"")+('Dvd Calendar'!$AQ$1698=SPECIAL_LBL)*(INC_SPECIALS="Y"))=0,"",'Dvd Calendar'!$AQ$1696)))</f>
        <v/>
      </c>
      <c r="AP172" s="106">
        <f>IF(FR172="","",IF(ISNUMBER('Dvd Calendar'!$AR$1696)=FALSE,"",IF((('Dvd Calendar'!$AR$1698=TYPE1)*(TYPE1&lt;&gt;"")+('Dvd Calendar'!$AR$1698=TYPE2)*(TYPE2&lt;&gt;"")+('Dvd Calendar'!$AR$1698=TYPE3)*(TYPE3&lt;&gt;"")+('Dvd Calendar'!$AR$1698=TYPE4)*(TYPE4&lt;&gt;"")+('Dvd Calendar'!$AR$1698=SPECIAL_LBL)*(INC_SPECIALS="Y"))=0,"",'Dvd Calendar'!$AR$1696)))</f>
        <v/>
      </c>
      <c r="AQ172" s="106">
        <f>IF(FS172="","",IF(ISNUMBER('Dvd Calendar'!$E$1701)=FALSE,"",'Dvd Calendar'!$E$1701))</f>
        <v/>
      </c>
      <c r="AR172" s="106">
        <f>IF(FT172="","",IF(ISNUMBER('Dvd Calendar'!$F$1701)=FALSE,"",'Dvd Calendar'!$F$1701))</f>
        <v/>
      </c>
      <c r="AS172" s="106">
        <f>IF(FU172="","",IF(ISNUMBER('Dvd Calendar'!$G$1701)=FALSE,"",'Dvd Calendar'!$G$1701))</f>
        <v/>
      </c>
      <c r="AT172" s="106">
        <f>IF(FV172="","",IF(ISNUMBER('Dvd Calendar'!$H$1701)=FALSE,"",'Dvd Calendar'!$H$1701))</f>
        <v/>
      </c>
      <c r="AU172" s="106">
        <f>IF(FW172="","",IF(ISNUMBER('Dvd Calendar'!$I$1701)=FALSE,"",'Dvd Calendar'!$I$1701))</f>
        <v/>
      </c>
      <c r="AV172" s="106">
        <f>IF(FX172="","",IF(ISNUMBER('Dvd Calendar'!$J$1701)=FALSE,"",'Dvd Calendar'!$J$1701))</f>
        <v/>
      </c>
      <c r="AW172" s="106">
        <f>IF(FY172="","",IF(ISNUMBER('Dvd Calendar'!$K$1701)=FALSE,"",'Dvd Calendar'!$K$1701))</f>
        <v/>
      </c>
      <c r="AX172" s="106">
        <f>IF(FZ172="","",IF(ISNUMBER('Dvd Calendar'!$L$1701)=FALSE,"",'Dvd Calendar'!$L$1701))</f>
        <v/>
      </c>
      <c r="AY172" s="106">
        <f>IF(GA172="","",IF(ISNUMBER('Dvd Calendar'!$M$1701)=FALSE,"",'Dvd Calendar'!$M$1701))</f>
        <v/>
      </c>
      <c r="AZ172" s="106">
        <f>IF(GB172="","",IF(ISNUMBER('Dvd Calendar'!$N$1701)=FALSE,"",'Dvd Calendar'!$N$1701))</f>
        <v/>
      </c>
      <c r="BA172" s="106">
        <f>IF(GC172="","",IF(ISNUMBER('Dvd Calendar'!$O$1701)=FALSE,"",'Dvd Calendar'!$O$1701))</f>
        <v/>
      </c>
      <c r="BB172" s="106">
        <f>IF(GD172="","",IF(ISNUMBER('Dvd Calendar'!$P$1701)=FALSE,"",'Dvd Calendar'!$P$1701))</f>
        <v/>
      </c>
      <c r="BC172" s="106">
        <f>IF(GE172="","",IF(ISNUMBER('Dvd Calendar'!$Q$1701)=FALSE,"",'Dvd Calendar'!$Q$1701))</f>
        <v/>
      </c>
      <c r="BD172" s="106">
        <f>IF(GF172="","",IF(ISNUMBER('Dvd Calendar'!$R$1701)=FALSE,"",'Dvd Calendar'!$R$1701))</f>
        <v/>
      </c>
      <c r="BE172" s="106">
        <f>IF(GG172="","",IF(ISNUMBER('Dvd Calendar'!$S$1701)=FALSE,"",'Dvd Calendar'!$S$1701))</f>
        <v/>
      </c>
      <c r="BF172" s="106">
        <f>IF(GH172="","",IF(ISNUMBER('Dvd Calendar'!$T$1701)=FALSE,"",'Dvd Calendar'!$T$1701))</f>
        <v/>
      </c>
      <c r="BG172" s="106">
        <f>IF(GI172="","",IF(ISNUMBER('Dvd Calendar'!$U$1701)=FALSE,"",'Dvd Calendar'!$U$1701))</f>
        <v/>
      </c>
      <c r="BH172" s="106">
        <f>IF(GJ172="","",IF(ISNUMBER('Dvd Calendar'!$V$1701)=FALSE,"",'Dvd Calendar'!$V$1701))</f>
        <v/>
      </c>
      <c r="BI172" s="106">
        <f>IF(GK172="","",IF(ISNUMBER('Dvd Calendar'!$W$1701)=FALSE,"",'Dvd Calendar'!$W$1701))</f>
        <v/>
      </c>
      <c r="BJ172" s="106">
        <f>IF(GL172="","",IF(ISNUMBER('Dvd Calendar'!$X$1701)=FALSE,"",'Dvd Calendar'!$X$1701))</f>
        <v/>
      </c>
      <c r="BK172" s="106">
        <f>IF(GM172="","",IF(ISNUMBER('Dvd Calendar'!$Y$1701)=FALSE,"",'Dvd Calendar'!$Y$1701))</f>
        <v/>
      </c>
      <c r="BL172" s="106">
        <f>IF(GN172="","",IF(ISNUMBER('Dvd Calendar'!$Z$1701)=FALSE,"",'Dvd Calendar'!$Z$1701))</f>
        <v/>
      </c>
      <c r="BM172" s="106">
        <f>IF(GO172="","",IF(ISNUMBER('Dvd Calendar'!$AA$1701)=FALSE,"",'Dvd Calendar'!$AA$1701))</f>
        <v/>
      </c>
      <c r="BN172" s="106">
        <f>IF(GP172="","",IF(ISNUMBER('Dvd Calendar'!$AB$1701)=FALSE,"",'Dvd Calendar'!$AB$1701))</f>
        <v/>
      </c>
      <c r="BO172" s="106">
        <f>IF(GQ172="","",IF(ISNUMBER('Dvd Calendar'!$AC$1701)=FALSE,"",'Dvd Calendar'!$AC$1701))</f>
        <v/>
      </c>
      <c r="BQ172" s="106">
        <f>IF(C172="","",IFERROR(C172*HSCEI!$B$19*HSCEI!$G$19/HSCEI!$B$3,""))</f>
        <v/>
      </c>
      <c r="BR172" s="106">
        <f>IF(D172="","",IFERROR(D172*HSCEI!$B$19*HSCEI!$G$19/HSCEI!$B$3,""))</f>
        <v/>
      </c>
      <c r="BS172" s="106">
        <f>IF(E172="","",IFERROR(E172*HSCEI!$B$19*HSCEI!$G$19/HSCEI!$B$3,""))</f>
        <v/>
      </c>
      <c r="BT172" s="106">
        <f>IF(F172="","",IFERROR(F172*HSCEI!$B$19*HSCEI!$G$19/HSCEI!$B$3,""))</f>
        <v/>
      </c>
      <c r="BU172" s="106">
        <f>IF(G172="","",IFERROR(G172*HSCEI!$B$19*HSCEI!$G$19/HSCEI!$B$3,""))</f>
        <v/>
      </c>
      <c r="BV172" s="106">
        <f>IF(H172="","",IFERROR(H172*HSCEI!$B$19*HSCEI!$G$19/HSCEI!$B$3,""))</f>
        <v/>
      </c>
      <c r="BW172" s="106">
        <f>IF(I172="","",IFERROR(I172*HSCEI!$B$19*HSCEI!$G$19/HSCEI!$B$3,""))</f>
        <v/>
      </c>
      <c r="BX172" s="106">
        <f>IF(J172="","",IFERROR(J172*HSCEI!$B$19*HSCEI!$G$19/HSCEI!$B$3,""))</f>
        <v/>
      </c>
      <c r="BY172" s="106">
        <f>IF(K172="","",IFERROR(K172*HSCEI!$B$19*HSCEI!$G$19/HSCEI!$B$3,""))</f>
        <v/>
      </c>
      <c r="BZ172" s="106">
        <f>IF(L172="","",IFERROR(L172*HSCEI!$B$19*HSCEI!$G$19/HSCEI!$B$3,""))</f>
        <v/>
      </c>
      <c r="CA172" s="106">
        <f>IF(M172="","",IFERROR(M172*HSCEI!$B$19*HSCEI!$G$19/HSCEI!$B$3,""))</f>
        <v/>
      </c>
      <c r="CB172" s="106">
        <f>IF(N172="","",IFERROR(N172*HSCEI!$B$19*HSCEI!$G$19/HSCEI!$B$3,""))</f>
        <v/>
      </c>
      <c r="CC172" s="106">
        <f>IF(O172="","",IFERROR(O172*HSCEI!$B$19*HSCEI!$G$19/HSCEI!$B$3,""))</f>
        <v/>
      </c>
      <c r="CD172" s="106">
        <f>IF(P172="","",IFERROR(P172*HSCEI!$B$19*HSCEI!$G$19/HSCEI!$B$3,""))</f>
        <v/>
      </c>
      <c r="CE172" s="106">
        <f>IF(Q172="","",IFERROR(Q172*HSCEI!$B$19*HSCEI!$G$19/HSCEI!$B$3,""))</f>
        <v/>
      </c>
      <c r="CF172" s="106">
        <f>IF(R172="","",IFERROR(R172*HSCEI!$B$19*HSCEI!$G$19/HSCEI!$B$3,""))</f>
        <v/>
      </c>
      <c r="CG172" s="106">
        <f>IF(S172="","",IFERROR(S172*HSCEI!$B$19*HSCEI!$G$19/HSCEI!$B$3,""))</f>
        <v/>
      </c>
      <c r="CH172" s="106">
        <f>IF(T172="","",IFERROR(T172*HSCEI!$B$19*HSCEI!$G$19/HSCEI!$B$3,""))</f>
        <v/>
      </c>
      <c r="CI172" s="106">
        <f>IF(U172="","",IFERROR(U172*HSCEI!$B$19*HSCEI!$G$19/HSCEI!$B$3,""))</f>
        <v/>
      </c>
      <c r="CJ172" s="106">
        <f>IF(V172="","",IFERROR(V172*HSCEI!$B$19*HSCEI!$G$19/HSCEI!$B$3,""))</f>
        <v/>
      </c>
      <c r="CK172" s="106">
        <f>IF(W172="","",IFERROR(W172*HSCEI!$B$19*HSCEI!$G$19/HSCEI!$B$3,""))</f>
        <v/>
      </c>
      <c r="CL172" s="106">
        <f>IF(X172="","",IFERROR(X172*HSCEI!$B$19*HSCEI!$G$19/HSCEI!$B$3,""))</f>
        <v/>
      </c>
      <c r="CM172" s="106">
        <f>IF(Y172="","",IFERROR(Y172*HSCEI!$B$19*HSCEI!$G$19/HSCEI!$B$3,""))</f>
        <v/>
      </c>
      <c r="CN172" s="106">
        <f>IF(Z172="","",IFERROR(Z172*HSCEI!$B$19*HSCEI!$G$19/HSCEI!$B$3,""))</f>
        <v/>
      </c>
      <c r="CO172" s="106">
        <f>IF(AA172="","",IFERROR(AA172*HSCEI!$B$19*HSCEI!$G$19/HSCEI!$B$3,""))</f>
        <v/>
      </c>
      <c r="CP172" s="106">
        <f>IF(AB172="","",IFERROR(AB172*HSCEI!$B$19*HSCEI!$G$19/HSCEI!$B$3,""))</f>
        <v/>
      </c>
      <c r="CQ172" s="106">
        <f>IF(AC172="","",IFERROR(AC172*HSCEI!$B$19*HSCEI!$G$19/HSCEI!$B$3,""))</f>
        <v/>
      </c>
      <c r="CR172" s="106">
        <f>IF(AD172="","",IFERROR(AD172*HSCEI!$B$19*HSCEI!$G$19/HSCEI!$B$3,""))</f>
        <v/>
      </c>
      <c r="CS172" s="106">
        <f>IF(AE172="","",IFERROR(AE172*HSCEI!$B$19*HSCEI!$G$19/HSCEI!$B$3,""))</f>
        <v/>
      </c>
      <c r="CT172" s="106">
        <f>IF(AF172="","",IFERROR(AF172*HSCEI!$B$19*HSCEI!$G$19/HSCEI!$B$3,""))</f>
        <v/>
      </c>
      <c r="CU172" s="106">
        <f>IF(AG172="","",IFERROR(AG172*HSCEI!$B$19*HSCEI!$G$19/HSCEI!$B$3,""))</f>
        <v/>
      </c>
      <c r="CV172" s="106">
        <f>IF(AH172="","",IFERROR(AH172*HSCEI!$B$19*HSCEI!$G$19/HSCEI!$B$3,""))</f>
        <v/>
      </c>
      <c r="CW172" s="106">
        <f>IF(AI172="","",IFERROR(AI172*HSCEI!$B$19*HSCEI!$G$19/HSCEI!$B$3,""))</f>
        <v/>
      </c>
      <c r="CX172" s="106">
        <f>IF(AJ172="","",IFERROR(AJ172*HSCEI!$B$19*HSCEI!$G$19/HSCEI!$B$3,""))</f>
        <v/>
      </c>
      <c r="CY172" s="106">
        <f>IF(AK172="","",IFERROR(AK172*HSCEI!$B$19*HSCEI!$G$19/HSCEI!$B$3,""))</f>
        <v/>
      </c>
      <c r="CZ172" s="106">
        <f>IF(AL172="","",IFERROR(AL172*HSCEI!$B$19*HSCEI!$G$19/HSCEI!$B$3,""))</f>
        <v/>
      </c>
      <c r="DA172" s="106">
        <f>IF(AM172="","",IFERROR(AM172*HSCEI!$B$19*HSCEI!$G$19/HSCEI!$B$3,""))</f>
        <v/>
      </c>
      <c r="DB172" s="106">
        <f>IF(AN172="","",IFERROR(AN172*HSCEI!$B$19*HSCEI!$G$19/HSCEI!$B$3,""))</f>
        <v/>
      </c>
      <c r="DC172" s="106">
        <f>IF(AO172="","",IFERROR(AO172*HSCEI!$B$19*HSCEI!$G$19/HSCEI!$B$3,""))</f>
        <v/>
      </c>
      <c r="DD172" s="106">
        <f>IF(AP172="","",IFERROR(AP172*HSCEI!$B$19*HSCEI!$G$19/HSCEI!$B$3,""))</f>
        <v/>
      </c>
      <c r="DE172" s="106">
        <f>IF(AQ172="","",IFERROR(AQ172*HSCEI!$B$19*HSCEI!$G$19/HSCEI!$B$3,""))</f>
        <v/>
      </c>
      <c r="DF172" s="106">
        <f>IF(AR172="","",IFERROR(AR172*HSCEI!$B$19*HSCEI!$G$19/HSCEI!$B$3,""))</f>
        <v/>
      </c>
      <c r="DG172" s="106">
        <f>IF(AS172="","",IFERROR(AS172*HSCEI!$B$19*HSCEI!$G$19/HSCEI!$B$3,""))</f>
        <v/>
      </c>
      <c r="DH172" s="106">
        <f>IF(AT172="","",IFERROR(AT172*HSCEI!$B$19*HSCEI!$G$19/HSCEI!$B$3,""))</f>
        <v/>
      </c>
      <c r="DI172" s="106">
        <f>IF(AU172="","",IFERROR(AU172*HSCEI!$B$19*HSCEI!$G$19/HSCEI!$B$3,""))</f>
        <v/>
      </c>
      <c r="DJ172" s="106">
        <f>IF(AV172="","",IFERROR(AV172*HSCEI!$B$19*HSCEI!$G$19/HSCEI!$B$3,""))</f>
        <v/>
      </c>
      <c r="DK172" s="106">
        <f>IF(AW172="","",IFERROR(AW172*HSCEI!$B$19*HSCEI!$G$19/HSCEI!$B$3,""))</f>
        <v/>
      </c>
      <c r="DL172" s="106">
        <f>IF(AX172="","",IFERROR(AX172*HSCEI!$B$19*HSCEI!$G$19/HSCEI!$B$3,""))</f>
        <v/>
      </c>
      <c r="DM172" s="106">
        <f>IF(AY172="","",IFERROR(AY172*HSCEI!$B$19*HSCEI!$G$19/HSCEI!$B$3,""))</f>
        <v/>
      </c>
      <c r="DN172" s="106">
        <f>IF(AZ172="","",IFERROR(AZ172*HSCEI!$B$19*HSCEI!$G$19/HSCEI!$B$3,""))</f>
        <v/>
      </c>
      <c r="DO172" s="106">
        <f>IF(BA172="","",IFERROR(BA172*HSCEI!$B$19*HSCEI!$G$19/HSCEI!$B$3,""))</f>
        <v/>
      </c>
      <c r="DP172" s="106">
        <f>IF(BB172="","",IFERROR(BB172*HSCEI!$B$19*HSCEI!$G$19/HSCEI!$B$3,""))</f>
        <v/>
      </c>
      <c r="DQ172" s="106">
        <f>IF(BC172="","",IFERROR(BC172*HSCEI!$B$19*HSCEI!$G$19/HSCEI!$B$3,""))</f>
        <v/>
      </c>
      <c r="DR172" s="106">
        <f>IF(BD172="","",IFERROR(BD172*HSCEI!$B$19*HSCEI!$G$19/HSCEI!$B$3,""))</f>
        <v/>
      </c>
      <c r="DS172" s="106">
        <f>IF(BE172="","",IFERROR(BE172*HSCEI!$B$19*HSCEI!$G$19/HSCEI!$B$3,""))</f>
        <v/>
      </c>
      <c r="DT172" s="106">
        <f>IF(BF172="","",IFERROR(BF172*HSCEI!$B$19*HSCEI!$G$19/HSCEI!$B$3,""))</f>
        <v/>
      </c>
      <c r="DU172" s="106">
        <f>IF(BG172="","",IFERROR(BG172*HSCEI!$B$19*HSCEI!$G$19/HSCEI!$B$3,""))</f>
        <v/>
      </c>
      <c r="DV172" s="106">
        <f>IF(BH172="","",IFERROR(BH172*HSCEI!$B$19*HSCEI!$G$19/HSCEI!$B$3,""))</f>
        <v/>
      </c>
      <c r="DW172" s="106">
        <f>IF(BI172="","",IFERROR(BI172*HSCEI!$B$19*HSCEI!$G$19/HSCEI!$B$3,""))</f>
        <v/>
      </c>
      <c r="DX172" s="106">
        <f>IF(BJ172="","",IFERROR(BJ172*HSCEI!$B$19*HSCEI!$G$19/HSCEI!$B$3,""))</f>
        <v/>
      </c>
      <c r="DY172" s="106">
        <f>IF(BK172="","",IFERROR(BK172*HSCEI!$B$19*HSCEI!$G$19/HSCEI!$B$3,""))</f>
        <v/>
      </c>
      <c r="DZ172" s="106">
        <f>IF(BL172="","",IFERROR(BL172*HSCEI!$B$19*HSCEI!$G$19/HSCEI!$B$3,""))</f>
        <v/>
      </c>
      <c r="EA172" s="106">
        <f>IF(BM172="","",IFERROR(BM172*HSCEI!$B$19*HSCEI!$G$19/HSCEI!$B$3,""))</f>
        <v/>
      </c>
      <c r="EB172" s="106">
        <f>IF(BN172="","",IFERROR(BN172*HSCEI!$B$19*HSCEI!$G$19/HSCEI!$B$3,""))</f>
        <v/>
      </c>
      <c r="EC172" s="106">
        <f>IF(BO172="","",IFERROR(BO172*HSCEI!$B$19*HSCEI!$G$19/HSCEI!$B$3,""))</f>
        <v/>
      </c>
      <c r="EE172" s="35">
        <f>IF(N('Dvd Calendar'!$E$1693)=0,"",IF(('Dvd Calendar'!$E$1693&gt;=GRID_FROM)*('Dvd Calendar'!$E$1693&lt;=GRID_TO)*('Dvd Calendar'!$E$1693&lt;=VAL_DATE)=0,"",'Dvd Calendar'!$E$1693*1000000000+ISNUMBER('Dvd Calendar'!$E$1696)*100000000+('Dvd Calendar'!$E$1698=SPECIAL_LBL)*10000000+0*1000000+13*1000+1))</f>
        <v/>
      </c>
      <c r="EF172" s="35">
        <f>IF(N('Dvd Calendar'!$F$1693)=0,"",IF(('Dvd Calendar'!$F$1693&gt;=GRID_FROM)*('Dvd Calendar'!$F$1693&lt;=GRID_TO)*('Dvd Calendar'!$F$1693&lt;=VAL_DATE)=0,"",'Dvd Calendar'!$F$1693*1000000000+ISNUMBER('Dvd Calendar'!$F$1696)*100000000+('Dvd Calendar'!$F$1698=SPECIAL_LBL)*10000000+0*1000000+13*1000+2))</f>
        <v/>
      </c>
      <c r="EG172" s="35">
        <f>IF(N('Dvd Calendar'!$G$1693)=0,"",IF(('Dvd Calendar'!$G$1693&gt;=GRID_FROM)*('Dvd Calendar'!$G$1693&lt;=GRID_TO)*('Dvd Calendar'!$G$1693&lt;=VAL_DATE)=0,"",'Dvd Calendar'!$G$1693*1000000000+ISNUMBER('Dvd Calendar'!$G$1696)*100000000+('Dvd Calendar'!$G$1698=SPECIAL_LBL)*10000000+0*1000000+13*1000+3))</f>
        <v/>
      </c>
      <c r="EH172" s="35">
        <f>IF(N('Dvd Calendar'!$H$1693)=0,"",IF(('Dvd Calendar'!$H$1693&gt;=GRID_FROM)*('Dvd Calendar'!$H$1693&lt;=GRID_TO)*('Dvd Calendar'!$H$1693&lt;=VAL_DATE)=0,"",'Dvd Calendar'!$H$1693*1000000000+ISNUMBER('Dvd Calendar'!$H$1696)*100000000+('Dvd Calendar'!$H$1698=SPECIAL_LBL)*10000000+0*1000000+13*1000+4))</f>
        <v/>
      </c>
      <c r="EI172" s="35">
        <f>IF(N('Dvd Calendar'!$I$1693)=0,"",IF(('Dvd Calendar'!$I$1693&gt;=GRID_FROM)*('Dvd Calendar'!$I$1693&lt;=GRID_TO)*('Dvd Calendar'!$I$1693&lt;=VAL_DATE)=0,"",'Dvd Calendar'!$I$1693*1000000000+ISNUMBER('Dvd Calendar'!$I$1696)*100000000+('Dvd Calendar'!$I$1698=SPECIAL_LBL)*10000000+0*1000000+13*1000+5))</f>
        <v/>
      </c>
      <c r="EJ172" s="35">
        <f>IF(N('Dvd Calendar'!$J$1693)=0,"",IF(('Dvd Calendar'!$J$1693&gt;=GRID_FROM)*('Dvd Calendar'!$J$1693&lt;=GRID_TO)*('Dvd Calendar'!$J$1693&lt;=VAL_DATE)=0,"",'Dvd Calendar'!$J$1693*1000000000+ISNUMBER('Dvd Calendar'!$J$1696)*100000000+('Dvd Calendar'!$J$1698=SPECIAL_LBL)*10000000+0*1000000+13*1000+6))</f>
        <v/>
      </c>
      <c r="EK172" s="35">
        <f>IF(N('Dvd Calendar'!$K$1693)=0,"",IF(('Dvd Calendar'!$K$1693&gt;=GRID_FROM)*('Dvd Calendar'!$K$1693&lt;=GRID_TO)*('Dvd Calendar'!$K$1693&lt;=VAL_DATE)=0,"",'Dvd Calendar'!$K$1693*1000000000+ISNUMBER('Dvd Calendar'!$K$1696)*100000000+('Dvd Calendar'!$K$1698=SPECIAL_LBL)*10000000+0*1000000+13*1000+7))</f>
        <v/>
      </c>
      <c r="EL172" s="35">
        <f>IF(N('Dvd Calendar'!$L$1693)=0,"",IF(('Dvd Calendar'!$L$1693&gt;=GRID_FROM)*('Dvd Calendar'!$L$1693&lt;=GRID_TO)*('Dvd Calendar'!$L$1693&lt;=VAL_DATE)=0,"",'Dvd Calendar'!$L$1693*1000000000+ISNUMBER('Dvd Calendar'!$L$1696)*100000000+('Dvd Calendar'!$L$1698=SPECIAL_LBL)*10000000+0*1000000+13*1000+8))</f>
        <v/>
      </c>
      <c r="EM172" s="35">
        <f>IF(N('Dvd Calendar'!$M$1693)=0,"",IF(('Dvd Calendar'!$M$1693&gt;=GRID_FROM)*('Dvd Calendar'!$M$1693&lt;=GRID_TO)*('Dvd Calendar'!$M$1693&lt;=VAL_DATE)=0,"",'Dvd Calendar'!$M$1693*1000000000+ISNUMBER('Dvd Calendar'!$M$1696)*100000000+('Dvd Calendar'!$M$1698=SPECIAL_LBL)*10000000+0*1000000+13*1000+9))</f>
        <v/>
      </c>
      <c r="EN172" s="35">
        <f>IF(N('Dvd Calendar'!$N$1693)=0,"",IF(('Dvd Calendar'!$N$1693&gt;=GRID_FROM)*('Dvd Calendar'!$N$1693&lt;=GRID_TO)*('Dvd Calendar'!$N$1693&lt;=VAL_DATE)=0,"",'Dvd Calendar'!$N$1693*1000000000+ISNUMBER('Dvd Calendar'!$N$1696)*100000000+('Dvd Calendar'!$N$1698=SPECIAL_LBL)*10000000+0*1000000+13*1000+10))</f>
        <v/>
      </c>
      <c r="EO172" s="35">
        <f>IF(N('Dvd Calendar'!$O$1693)=0,"",IF(('Dvd Calendar'!$O$1693&gt;=GRID_FROM)*('Dvd Calendar'!$O$1693&lt;=GRID_TO)*('Dvd Calendar'!$O$1693&lt;=VAL_DATE)=0,"",'Dvd Calendar'!$O$1693*1000000000+ISNUMBER('Dvd Calendar'!$O$1696)*100000000+('Dvd Calendar'!$O$1698=SPECIAL_LBL)*10000000+0*1000000+13*1000+11))</f>
        <v/>
      </c>
      <c r="EP172" s="35">
        <f>IF(N('Dvd Calendar'!$P$1693)=0,"",IF(('Dvd Calendar'!$P$1693&gt;=GRID_FROM)*('Dvd Calendar'!$P$1693&lt;=GRID_TO)*('Dvd Calendar'!$P$1693&lt;=VAL_DATE)=0,"",'Dvd Calendar'!$P$1693*1000000000+ISNUMBER('Dvd Calendar'!$P$1696)*100000000+('Dvd Calendar'!$P$1698=SPECIAL_LBL)*10000000+0*1000000+13*1000+12))</f>
        <v/>
      </c>
      <c r="EQ172" s="35">
        <f>IF(N('Dvd Calendar'!$Q$1693)=0,"",IF(('Dvd Calendar'!$Q$1693&gt;=GRID_FROM)*('Dvd Calendar'!$Q$1693&lt;=GRID_TO)*('Dvd Calendar'!$Q$1693&lt;=VAL_DATE)=0,"",'Dvd Calendar'!$Q$1693*1000000000+ISNUMBER('Dvd Calendar'!$Q$1696)*100000000+('Dvd Calendar'!$Q$1698=SPECIAL_LBL)*10000000+0*1000000+13*1000+13))</f>
        <v/>
      </c>
      <c r="ER172" s="35">
        <f>IF(N('Dvd Calendar'!$R$1693)=0,"",IF(('Dvd Calendar'!$R$1693&gt;=GRID_FROM)*('Dvd Calendar'!$R$1693&lt;=GRID_TO)*('Dvd Calendar'!$R$1693&lt;=VAL_DATE)=0,"",'Dvd Calendar'!$R$1693*1000000000+ISNUMBER('Dvd Calendar'!$R$1696)*100000000+('Dvd Calendar'!$R$1698=SPECIAL_LBL)*10000000+0*1000000+13*1000+14))</f>
        <v/>
      </c>
      <c r="ES172" s="35">
        <f>IF(N('Dvd Calendar'!$S$1693)=0,"",IF(('Dvd Calendar'!$S$1693&gt;=GRID_FROM)*('Dvd Calendar'!$S$1693&lt;=GRID_TO)*('Dvd Calendar'!$S$1693&lt;=VAL_DATE)=0,"",'Dvd Calendar'!$S$1693*1000000000+ISNUMBER('Dvd Calendar'!$S$1696)*100000000+('Dvd Calendar'!$S$1698=SPECIAL_LBL)*10000000+0*1000000+13*1000+15))</f>
        <v/>
      </c>
      <c r="ET172" s="35">
        <f>IF(N('Dvd Calendar'!$T$1693)=0,"",IF(('Dvd Calendar'!$T$1693&gt;=GRID_FROM)*('Dvd Calendar'!$T$1693&lt;=GRID_TO)*('Dvd Calendar'!$T$1693&lt;=VAL_DATE)=0,"",'Dvd Calendar'!$T$1693*1000000000+ISNUMBER('Dvd Calendar'!$T$1696)*100000000+('Dvd Calendar'!$T$1698=SPECIAL_LBL)*10000000+0*1000000+13*1000+16))</f>
        <v/>
      </c>
      <c r="EU172" s="35">
        <f>IF(N('Dvd Calendar'!$U$1693)=0,"",IF(('Dvd Calendar'!$U$1693&gt;=GRID_FROM)*('Dvd Calendar'!$U$1693&lt;=GRID_TO)*('Dvd Calendar'!$U$1693&lt;=VAL_DATE)=0,"",'Dvd Calendar'!$U$1693*1000000000+ISNUMBER('Dvd Calendar'!$U$1696)*100000000+('Dvd Calendar'!$U$1698=SPECIAL_LBL)*10000000+0*1000000+13*1000+17))</f>
        <v/>
      </c>
      <c r="EV172" s="35">
        <f>IF(N('Dvd Calendar'!$V$1693)=0,"",IF(('Dvd Calendar'!$V$1693&gt;=GRID_FROM)*('Dvd Calendar'!$V$1693&lt;=GRID_TO)*('Dvd Calendar'!$V$1693&lt;=VAL_DATE)=0,"",'Dvd Calendar'!$V$1693*1000000000+ISNUMBER('Dvd Calendar'!$V$1696)*100000000+('Dvd Calendar'!$V$1698=SPECIAL_LBL)*10000000+0*1000000+13*1000+18))</f>
        <v/>
      </c>
      <c r="EW172" s="35">
        <f>IF(N('Dvd Calendar'!$W$1693)=0,"",IF(('Dvd Calendar'!$W$1693&gt;=GRID_FROM)*('Dvd Calendar'!$W$1693&lt;=GRID_TO)*('Dvd Calendar'!$W$1693&lt;=VAL_DATE)=0,"",'Dvd Calendar'!$W$1693*1000000000+ISNUMBER('Dvd Calendar'!$W$1696)*100000000+('Dvd Calendar'!$W$1698=SPECIAL_LBL)*10000000+0*1000000+13*1000+19))</f>
        <v/>
      </c>
      <c r="EX172" s="35">
        <f>IF(N('Dvd Calendar'!$X$1693)=0,"",IF(('Dvd Calendar'!$X$1693&gt;=GRID_FROM)*('Dvd Calendar'!$X$1693&lt;=GRID_TO)*('Dvd Calendar'!$X$1693&lt;=VAL_DATE)=0,"",'Dvd Calendar'!$X$1693*1000000000+ISNUMBER('Dvd Calendar'!$X$1696)*100000000+('Dvd Calendar'!$X$1698=SPECIAL_LBL)*10000000+0*1000000+13*1000+20))</f>
        <v/>
      </c>
      <c r="EY172" s="35">
        <f>IF(N('Dvd Calendar'!$Y$1693)=0,"",IF(('Dvd Calendar'!$Y$1693&gt;=GRID_FROM)*('Dvd Calendar'!$Y$1693&lt;=GRID_TO)*('Dvd Calendar'!$Y$1693&lt;=VAL_DATE)=0,"",'Dvd Calendar'!$Y$1693*1000000000+ISNUMBER('Dvd Calendar'!$Y$1696)*100000000+('Dvd Calendar'!$Y$1698=SPECIAL_LBL)*10000000+0*1000000+13*1000+21))</f>
        <v/>
      </c>
      <c r="EZ172" s="35">
        <f>IF(N('Dvd Calendar'!$Z$1693)=0,"",IF(('Dvd Calendar'!$Z$1693&gt;=GRID_FROM)*('Dvd Calendar'!$Z$1693&lt;=GRID_TO)*('Dvd Calendar'!$Z$1693&lt;=VAL_DATE)=0,"",'Dvd Calendar'!$Z$1693*1000000000+ISNUMBER('Dvd Calendar'!$Z$1696)*100000000+('Dvd Calendar'!$Z$1698=SPECIAL_LBL)*10000000+0*1000000+13*1000+22))</f>
        <v/>
      </c>
      <c r="FA172" s="35">
        <f>IF(N('Dvd Calendar'!$AA$1693)=0,"",IF(('Dvd Calendar'!$AA$1693&gt;=GRID_FROM)*('Dvd Calendar'!$AA$1693&lt;=GRID_TO)*('Dvd Calendar'!$AA$1693&lt;=VAL_DATE)=0,"",'Dvd Calendar'!$AA$1693*1000000000+ISNUMBER('Dvd Calendar'!$AA$1696)*100000000+('Dvd Calendar'!$AA$1698=SPECIAL_LBL)*10000000+0*1000000+13*1000+23))</f>
        <v/>
      </c>
      <c r="FB172" s="35">
        <f>IF(N('Dvd Calendar'!$AB$1693)=0,"",IF(('Dvd Calendar'!$AB$1693&gt;=GRID_FROM)*('Dvd Calendar'!$AB$1693&lt;=GRID_TO)*('Dvd Calendar'!$AB$1693&lt;=VAL_DATE)=0,"",'Dvd Calendar'!$AB$1693*1000000000+ISNUMBER('Dvd Calendar'!$AB$1696)*100000000+('Dvd Calendar'!$AB$1698=SPECIAL_LBL)*10000000+0*1000000+13*1000+24))</f>
        <v/>
      </c>
      <c r="FC172" s="35">
        <f>IF(N('Dvd Calendar'!$AC$1693)=0,"",IF(('Dvd Calendar'!$AC$1693&gt;=GRID_FROM)*('Dvd Calendar'!$AC$1693&lt;=GRID_TO)*('Dvd Calendar'!$AC$1693&lt;=VAL_DATE)=0,"",'Dvd Calendar'!$AC$1693*1000000000+ISNUMBER('Dvd Calendar'!$AC$1696)*100000000+('Dvd Calendar'!$AC$1698=SPECIAL_LBL)*10000000+0*1000000+13*1000+25))</f>
        <v/>
      </c>
      <c r="FD172" s="35">
        <f>IF(N('Dvd Calendar'!$AD$1693)=0,"",IF(('Dvd Calendar'!$AD$1693&gt;=GRID_FROM)*('Dvd Calendar'!$AD$1693&lt;=GRID_TO)*('Dvd Calendar'!$AD$1693&lt;=VAL_DATE)=0,"",'Dvd Calendar'!$AD$1693*1000000000+ISNUMBER('Dvd Calendar'!$AD$1696)*100000000+('Dvd Calendar'!$AD$1698=SPECIAL_LBL)*10000000+0*1000000+13*1000+26))</f>
        <v/>
      </c>
      <c r="FE172" s="35">
        <f>IF(N('Dvd Calendar'!$AE$1693)=0,"",IF(('Dvd Calendar'!$AE$1693&gt;=GRID_FROM)*('Dvd Calendar'!$AE$1693&lt;=GRID_TO)*('Dvd Calendar'!$AE$1693&lt;=VAL_DATE)=0,"",'Dvd Calendar'!$AE$1693*1000000000+ISNUMBER('Dvd Calendar'!$AE$1696)*100000000+('Dvd Calendar'!$AE$1698=SPECIAL_LBL)*10000000+0*1000000+13*1000+27))</f>
        <v/>
      </c>
      <c r="FF172" s="35">
        <f>IF(N('Dvd Calendar'!$AF$1693)=0,"",IF(('Dvd Calendar'!$AF$1693&gt;=GRID_FROM)*('Dvd Calendar'!$AF$1693&lt;=GRID_TO)*('Dvd Calendar'!$AF$1693&lt;=VAL_DATE)=0,"",'Dvd Calendar'!$AF$1693*1000000000+ISNUMBER('Dvd Calendar'!$AF$1696)*100000000+('Dvd Calendar'!$AF$1698=SPECIAL_LBL)*10000000+0*1000000+13*1000+28))</f>
        <v/>
      </c>
      <c r="FG172" s="35">
        <f>IF(N('Dvd Calendar'!$AG$1693)=0,"",IF(('Dvd Calendar'!$AG$1693&gt;=GRID_FROM)*('Dvd Calendar'!$AG$1693&lt;=GRID_TO)*('Dvd Calendar'!$AG$1693&lt;=VAL_DATE)=0,"",'Dvd Calendar'!$AG$1693*1000000000+ISNUMBER('Dvd Calendar'!$AG$1696)*100000000+('Dvd Calendar'!$AG$1698=SPECIAL_LBL)*10000000+0*1000000+13*1000+29))</f>
        <v/>
      </c>
      <c r="FH172" s="35">
        <f>IF(N('Dvd Calendar'!$AH$1693)=0,"",IF(('Dvd Calendar'!$AH$1693&gt;=GRID_FROM)*('Dvd Calendar'!$AH$1693&lt;=GRID_TO)*('Dvd Calendar'!$AH$1693&lt;=VAL_DATE)=0,"",'Dvd Calendar'!$AH$1693*1000000000+ISNUMBER('Dvd Calendar'!$AH$1696)*100000000+('Dvd Calendar'!$AH$1698=SPECIAL_LBL)*10000000+0*1000000+13*1000+30))</f>
        <v/>
      </c>
      <c r="FI172" s="35">
        <f>IF(N('Dvd Calendar'!$AI$1693)=0,"",IF(('Dvd Calendar'!$AI$1693&gt;=GRID_FROM)*('Dvd Calendar'!$AI$1693&lt;=GRID_TO)*('Dvd Calendar'!$AI$1693&lt;=VAL_DATE)=0,"",'Dvd Calendar'!$AI$1693*1000000000+ISNUMBER('Dvd Calendar'!$AI$1696)*100000000+('Dvd Calendar'!$AI$1698=SPECIAL_LBL)*10000000+0*1000000+13*1000+31))</f>
        <v/>
      </c>
      <c r="FJ172" s="35">
        <f>IF(N('Dvd Calendar'!$AJ$1693)=0,"",IF(('Dvd Calendar'!$AJ$1693&gt;=GRID_FROM)*('Dvd Calendar'!$AJ$1693&lt;=GRID_TO)*('Dvd Calendar'!$AJ$1693&lt;=VAL_DATE)=0,"",'Dvd Calendar'!$AJ$1693*1000000000+ISNUMBER('Dvd Calendar'!$AJ$1696)*100000000+('Dvd Calendar'!$AJ$1698=SPECIAL_LBL)*10000000+0*1000000+13*1000+32))</f>
        <v/>
      </c>
      <c r="FK172" s="35">
        <f>IF(N('Dvd Calendar'!$AK$1693)=0,"",IF(('Dvd Calendar'!$AK$1693&gt;=GRID_FROM)*('Dvd Calendar'!$AK$1693&lt;=GRID_TO)*('Dvd Calendar'!$AK$1693&lt;=VAL_DATE)=0,"",'Dvd Calendar'!$AK$1693*1000000000+ISNUMBER('Dvd Calendar'!$AK$1696)*100000000+('Dvd Calendar'!$AK$1698=SPECIAL_LBL)*10000000+0*1000000+13*1000+33))</f>
        <v/>
      </c>
      <c r="FL172" s="35">
        <f>IF(N('Dvd Calendar'!$AL$1693)=0,"",IF(('Dvd Calendar'!$AL$1693&gt;=GRID_FROM)*('Dvd Calendar'!$AL$1693&lt;=GRID_TO)*('Dvd Calendar'!$AL$1693&lt;=VAL_DATE)=0,"",'Dvd Calendar'!$AL$1693*1000000000+ISNUMBER('Dvd Calendar'!$AL$1696)*100000000+('Dvd Calendar'!$AL$1698=SPECIAL_LBL)*10000000+0*1000000+13*1000+34))</f>
        <v/>
      </c>
      <c r="FM172" s="35">
        <f>IF(N('Dvd Calendar'!$AM$1693)=0,"",IF(('Dvd Calendar'!$AM$1693&gt;=GRID_FROM)*('Dvd Calendar'!$AM$1693&lt;=GRID_TO)*('Dvd Calendar'!$AM$1693&lt;=VAL_DATE)=0,"",'Dvd Calendar'!$AM$1693*1000000000+ISNUMBER('Dvd Calendar'!$AM$1696)*100000000+('Dvd Calendar'!$AM$1698=SPECIAL_LBL)*10000000+0*1000000+13*1000+35))</f>
        <v/>
      </c>
      <c r="FN172" s="35">
        <f>IF(N('Dvd Calendar'!$AN$1693)=0,"",IF(('Dvd Calendar'!$AN$1693&gt;=GRID_FROM)*('Dvd Calendar'!$AN$1693&lt;=GRID_TO)*('Dvd Calendar'!$AN$1693&lt;=VAL_DATE)=0,"",'Dvd Calendar'!$AN$1693*1000000000+ISNUMBER('Dvd Calendar'!$AN$1696)*100000000+('Dvd Calendar'!$AN$1698=SPECIAL_LBL)*10000000+0*1000000+13*1000+36))</f>
        <v/>
      </c>
      <c r="FO172" s="35">
        <f>IF(N('Dvd Calendar'!$AO$1693)=0,"",IF(('Dvd Calendar'!$AO$1693&gt;=GRID_FROM)*('Dvd Calendar'!$AO$1693&lt;=GRID_TO)*('Dvd Calendar'!$AO$1693&lt;=VAL_DATE)=0,"",'Dvd Calendar'!$AO$1693*1000000000+ISNUMBER('Dvd Calendar'!$AO$1696)*100000000+('Dvd Calendar'!$AO$1698=SPECIAL_LBL)*10000000+0*1000000+13*1000+37))</f>
        <v/>
      </c>
      <c r="FP172" s="35">
        <f>IF(N('Dvd Calendar'!$AP$1693)=0,"",IF(('Dvd Calendar'!$AP$1693&gt;=GRID_FROM)*('Dvd Calendar'!$AP$1693&lt;=GRID_TO)*('Dvd Calendar'!$AP$1693&lt;=VAL_DATE)=0,"",'Dvd Calendar'!$AP$1693*1000000000+ISNUMBER('Dvd Calendar'!$AP$1696)*100000000+('Dvd Calendar'!$AP$1698=SPECIAL_LBL)*10000000+0*1000000+13*1000+38))</f>
        <v/>
      </c>
      <c r="FQ172" s="35">
        <f>IF(N('Dvd Calendar'!$AQ$1693)=0,"",IF(('Dvd Calendar'!$AQ$1693&gt;=GRID_FROM)*('Dvd Calendar'!$AQ$1693&lt;=GRID_TO)*('Dvd Calendar'!$AQ$1693&lt;=VAL_DATE)=0,"",'Dvd Calendar'!$AQ$1693*1000000000+ISNUMBER('Dvd Calendar'!$AQ$1696)*100000000+('Dvd Calendar'!$AQ$1698=SPECIAL_LBL)*10000000+0*1000000+13*1000+39))</f>
        <v/>
      </c>
      <c r="FR172" s="35">
        <f>IF(N('Dvd Calendar'!$AR$1693)=0,"",IF(('Dvd Calendar'!$AR$1693&gt;=GRID_FROM)*('Dvd Calendar'!$AR$1693&lt;=GRID_TO)*('Dvd Calendar'!$AR$1693&lt;=VAL_DATE)=0,"",'Dvd Calendar'!$AR$1693*1000000000+ISNUMBER('Dvd Calendar'!$AR$1696)*100000000+('Dvd Calendar'!$AR$1698=SPECIAL_LBL)*10000000+0*1000000+13*1000+40))</f>
        <v/>
      </c>
      <c r="FS172" s="35">
        <f>IF(N('Dvd Calendar'!$E$1700)=0,"",IF(('Dvd Calendar'!$E$1700&gt;=GRID_FROM)*('Dvd Calendar'!$E$1700&lt;=GRID_TO)*('Dvd Calendar'!$E$1700&gt;VAL_DATE)=0,"",'Dvd Calendar'!$E$1700*1000000000+ISNUMBER('Dvd Calendar'!$E$1701)*100000000+0*10000000+(N('Dvd Calendar'!$E$1699)&gt;0)*(N('Dvd Calendar'!$E$1699)&lt;=VAL_SERIAL)*1000000+13*1000+41))</f>
        <v/>
      </c>
      <c r="FT172" s="35">
        <f>IF(N('Dvd Calendar'!$F$1700)=0,"",IF(('Dvd Calendar'!$F$1700&gt;=GRID_FROM)*('Dvd Calendar'!$F$1700&lt;=GRID_TO)*('Dvd Calendar'!$F$1700&gt;VAL_DATE)=0,"",'Dvd Calendar'!$F$1700*1000000000+ISNUMBER('Dvd Calendar'!$F$1701)*100000000+0*10000000+(N('Dvd Calendar'!$F$1699)&gt;0)*(N('Dvd Calendar'!$F$1699)&lt;=VAL_SERIAL)*1000000+13*1000+42))</f>
        <v/>
      </c>
      <c r="FU172" s="35">
        <f>IF(N('Dvd Calendar'!$G$1700)=0,"",IF(('Dvd Calendar'!$G$1700&gt;=GRID_FROM)*('Dvd Calendar'!$G$1700&lt;=GRID_TO)*('Dvd Calendar'!$G$1700&gt;VAL_DATE)=0,"",'Dvd Calendar'!$G$1700*1000000000+ISNUMBER('Dvd Calendar'!$G$1701)*100000000+0*10000000+(N('Dvd Calendar'!$G$1699)&gt;0)*(N('Dvd Calendar'!$G$1699)&lt;=VAL_SERIAL)*1000000+13*1000+43))</f>
        <v/>
      </c>
      <c r="FV172" s="35">
        <f>IF(N('Dvd Calendar'!$H$1700)=0,"",IF(('Dvd Calendar'!$H$1700&gt;=GRID_FROM)*('Dvd Calendar'!$H$1700&lt;=GRID_TO)*('Dvd Calendar'!$H$1700&gt;VAL_DATE)=0,"",'Dvd Calendar'!$H$1700*1000000000+ISNUMBER('Dvd Calendar'!$H$1701)*100000000+0*10000000+(N('Dvd Calendar'!$H$1699)&gt;0)*(N('Dvd Calendar'!$H$1699)&lt;=VAL_SERIAL)*1000000+13*1000+44))</f>
        <v/>
      </c>
      <c r="FW172" s="35">
        <f>IF(N('Dvd Calendar'!$I$1700)=0,"",IF(('Dvd Calendar'!$I$1700&gt;=GRID_FROM)*('Dvd Calendar'!$I$1700&lt;=GRID_TO)*('Dvd Calendar'!$I$1700&gt;VAL_DATE)=0,"",'Dvd Calendar'!$I$1700*1000000000+ISNUMBER('Dvd Calendar'!$I$1701)*100000000+0*10000000+(N('Dvd Calendar'!$I$1699)&gt;0)*(N('Dvd Calendar'!$I$1699)&lt;=VAL_SERIAL)*1000000+13*1000+45))</f>
        <v/>
      </c>
      <c r="FX172" s="35">
        <f>IF(N('Dvd Calendar'!$J$1700)=0,"",IF(('Dvd Calendar'!$J$1700&gt;=GRID_FROM)*('Dvd Calendar'!$J$1700&lt;=GRID_TO)*('Dvd Calendar'!$J$1700&gt;VAL_DATE)=0,"",'Dvd Calendar'!$J$1700*1000000000+ISNUMBER('Dvd Calendar'!$J$1701)*100000000+0*10000000+(N('Dvd Calendar'!$J$1699)&gt;0)*(N('Dvd Calendar'!$J$1699)&lt;=VAL_SERIAL)*1000000+13*1000+46))</f>
        <v/>
      </c>
      <c r="FY172" s="35">
        <f>IF(N('Dvd Calendar'!$K$1700)=0,"",IF(('Dvd Calendar'!$K$1700&gt;=GRID_FROM)*('Dvd Calendar'!$K$1700&lt;=GRID_TO)*('Dvd Calendar'!$K$1700&gt;VAL_DATE)=0,"",'Dvd Calendar'!$K$1700*1000000000+ISNUMBER('Dvd Calendar'!$K$1701)*100000000+0*10000000+(N('Dvd Calendar'!$K$1699)&gt;0)*(N('Dvd Calendar'!$K$1699)&lt;=VAL_SERIAL)*1000000+13*1000+47))</f>
        <v/>
      </c>
      <c r="FZ172" s="35">
        <f>IF(N('Dvd Calendar'!$L$1700)=0,"",IF(('Dvd Calendar'!$L$1700&gt;=GRID_FROM)*('Dvd Calendar'!$L$1700&lt;=GRID_TO)*('Dvd Calendar'!$L$1700&gt;VAL_DATE)=0,"",'Dvd Calendar'!$L$1700*1000000000+ISNUMBER('Dvd Calendar'!$L$1701)*100000000+0*10000000+(N('Dvd Calendar'!$L$1699)&gt;0)*(N('Dvd Calendar'!$L$1699)&lt;=VAL_SERIAL)*1000000+13*1000+48))</f>
        <v/>
      </c>
      <c r="GA172" s="35">
        <f>IF(N('Dvd Calendar'!$M$1700)=0,"",IF(('Dvd Calendar'!$M$1700&gt;=GRID_FROM)*('Dvd Calendar'!$M$1700&lt;=GRID_TO)*('Dvd Calendar'!$M$1700&gt;VAL_DATE)=0,"",'Dvd Calendar'!$M$1700*1000000000+ISNUMBER('Dvd Calendar'!$M$1701)*100000000+0*10000000+(N('Dvd Calendar'!$M$1699)&gt;0)*(N('Dvd Calendar'!$M$1699)&lt;=VAL_SERIAL)*1000000+13*1000+49))</f>
        <v/>
      </c>
      <c r="GB172" s="35">
        <f>IF(N('Dvd Calendar'!$N$1700)=0,"",IF(('Dvd Calendar'!$N$1700&gt;=GRID_FROM)*('Dvd Calendar'!$N$1700&lt;=GRID_TO)*('Dvd Calendar'!$N$1700&gt;VAL_DATE)=0,"",'Dvd Calendar'!$N$1700*1000000000+ISNUMBER('Dvd Calendar'!$N$1701)*100000000+0*10000000+(N('Dvd Calendar'!$N$1699)&gt;0)*(N('Dvd Calendar'!$N$1699)&lt;=VAL_SERIAL)*1000000+13*1000+50))</f>
        <v/>
      </c>
      <c r="GC172" s="35">
        <f>IF(N('Dvd Calendar'!$O$1700)=0,"",IF(('Dvd Calendar'!$O$1700&gt;=GRID_FROM)*('Dvd Calendar'!$O$1700&lt;=GRID_TO)*('Dvd Calendar'!$O$1700&gt;VAL_DATE)=0,"",'Dvd Calendar'!$O$1700*1000000000+ISNUMBER('Dvd Calendar'!$O$1701)*100000000+0*10000000+(N('Dvd Calendar'!$O$1699)&gt;0)*(N('Dvd Calendar'!$O$1699)&lt;=VAL_SERIAL)*1000000+13*1000+51))</f>
        <v/>
      </c>
      <c r="GD172" s="35">
        <f>IF(N('Dvd Calendar'!$P$1700)=0,"",IF(('Dvd Calendar'!$P$1700&gt;=GRID_FROM)*('Dvd Calendar'!$P$1700&lt;=GRID_TO)*('Dvd Calendar'!$P$1700&gt;VAL_DATE)=0,"",'Dvd Calendar'!$P$1700*1000000000+ISNUMBER('Dvd Calendar'!$P$1701)*100000000+0*10000000+(N('Dvd Calendar'!$P$1699)&gt;0)*(N('Dvd Calendar'!$P$1699)&lt;=VAL_SERIAL)*1000000+13*1000+52))</f>
        <v/>
      </c>
      <c r="GE172" s="35">
        <f>IF(N('Dvd Calendar'!$Q$1700)=0,"",IF(('Dvd Calendar'!$Q$1700&gt;=GRID_FROM)*('Dvd Calendar'!$Q$1700&lt;=GRID_TO)*('Dvd Calendar'!$Q$1700&gt;VAL_DATE)=0,"",'Dvd Calendar'!$Q$1700*1000000000+ISNUMBER('Dvd Calendar'!$Q$1701)*100000000+0*10000000+(N('Dvd Calendar'!$Q$1699)&gt;0)*(N('Dvd Calendar'!$Q$1699)&lt;=VAL_SERIAL)*1000000+13*1000+53))</f>
        <v/>
      </c>
      <c r="GF172" s="35">
        <f>IF(N('Dvd Calendar'!$R$1700)=0,"",IF(('Dvd Calendar'!$R$1700&gt;=GRID_FROM)*('Dvd Calendar'!$R$1700&lt;=GRID_TO)*('Dvd Calendar'!$R$1700&gt;VAL_DATE)=0,"",'Dvd Calendar'!$R$1700*1000000000+ISNUMBER('Dvd Calendar'!$R$1701)*100000000+0*10000000+(N('Dvd Calendar'!$R$1699)&gt;0)*(N('Dvd Calendar'!$R$1699)&lt;=VAL_SERIAL)*1000000+13*1000+54))</f>
        <v/>
      </c>
      <c r="GG172" s="35">
        <f>IF(N('Dvd Calendar'!$S$1700)=0,"",IF(('Dvd Calendar'!$S$1700&gt;=GRID_FROM)*('Dvd Calendar'!$S$1700&lt;=GRID_TO)*('Dvd Calendar'!$S$1700&gt;VAL_DATE)=0,"",'Dvd Calendar'!$S$1700*1000000000+ISNUMBER('Dvd Calendar'!$S$1701)*100000000+0*10000000+(N('Dvd Calendar'!$S$1699)&gt;0)*(N('Dvd Calendar'!$S$1699)&lt;=VAL_SERIAL)*1000000+13*1000+55))</f>
        <v/>
      </c>
      <c r="GH172" s="35">
        <f>IF(N('Dvd Calendar'!$T$1700)=0,"",IF(('Dvd Calendar'!$T$1700&gt;=GRID_FROM)*('Dvd Calendar'!$T$1700&lt;=GRID_TO)*('Dvd Calendar'!$T$1700&gt;VAL_DATE)=0,"",'Dvd Calendar'!$T$1700*1000000000+ISNUMBER('Dvd Calendar'!$T$1701)*100000000+0*10000000+(N('Dvd Calendar'!$T$1699)&gt;0)*(N('Dvd Calendar'!$T$1699)&lt;=VAL_SERIAL)*1000000+13*1000+56))</f>
        <v/>
      </c>
      <c r="GI172" s="35">
        <f>IF(N('Dvd Calendar'!$U$1700)=0,"",IF(('Dvd Calendar'!$U$1700&gt;=GRID_FROM)*('Dvd Calendar'!$U$1700&lt;=GRID_TO)*('Dvd Calendar'!$U$1700&gt;VAL_DATE)=0,"",'Dvd Calendar'!$U$1700*1000000000+ISNUMBER('Dvd Calendar'!$U$1701)*100000000+0*10000000+(N('Dvd Calendar'!$U$1699)&gt;0)*(N('Dvd Calendar'!$U$1699)&lt;=VAL_SERIAL)*1000000+13*1000+57))</f>
        <v/>
      </c>
      <c r="GJ172" s="35">
        <f>IF(N('Dvd Calendar'!$V$1700)=0,"",IF(('Dvd Calendar'!$V$1700&gt;=GRID_FROM)*('Dvd Calendar'!$V$1700&lt;=GRID_TO)*('Dvd Calendar'!$V$1700&gt;VAL_DATE)=0,"",'Dvd Calendar'!$V$1700*1000000000+ISNUMBER('Dvd Calendar'!$V$1701)*100000000+0*10000000+(N('Dvd Calendar'!$V$1699)&gt;0)*(N('Dvd Calendar'!$V$1699)&lt;=VAL_SERIAL)*1000000+13*1000+58))</f>
        <v/>
      </c>
      <c r="GK172" s="35">
        <f>IF(N('Dvd Calendar'!$W$1700)=0,"",IF(('Dvd Calendar'!$W$1700&gt;=GRID_FROM)*('Dvd Calendar'!$W$1700&lt;=GRID_TO)*('Dvd Calendar'!$W$1700&gt;VAL_DATE)=0,"",'Dvd Calendar'!$W$1700*1000000000+ISNUMBER('Dvd Calendar'!$W$1701)*100000000+0*10000000+(N('Dvd Calendar'!$W$1699)&gt;0)*(N('Dvd Calendar'!$W$1699)&lt;=VAL_SERIAL)*1000000+13*1000+59))</f>
        <v/>
      </c>
      <c r="GL172" s="35">
        <f>IF(N('Dvd Calendar'!$X$1700)=0,"",IF(('Dvd Calendar'!$X$1700&gt;=GRID_FROM)*('Dvd Calendar'!$X$1700&lt;=GRID_TO)*('Dvd Calendar'!$X$1700&gt;VAL_DATE)=0,"",'Dvd Calendar'!$X$1700*1000000000+ISNUMBER('Dvd Calendar'!$X$1701)*100000000+0*10000000+(N('Dvd Calendar'!$X$1699)&gt;0)*(N('Dvd Calendar'!$X$1699)&lt;=VAL_SERIAL)*1000000+13*1000+60))</f>
        <v/>
      </c>
      <c r="GM172" s="35">
        <f>IF(N('Dvd Calendar'!$Y$1700)=0,"",IF(('Dvd Calendar'!$Y$1700&gt;=GRID_FROM)*('Dvd Calendar'!$Y$1700&lt;=GRID_TO)*('Dvd Calendar'!$Y$1700&gt;VAL_DATE)=0,"",'Dvd Calendar'!$Y$1700*1000000000+ISNUMBER('Dvd Calendar'!$Y$1701)*100000000+0*10000000+(N('Dvd Calendar'!$Y$1699)&gt;0)*(N('Dvd Calendar'!$Y$1699)&lt;=VAL_SERIAL)*1000000+13*1000+61))</f>
        <v/>
      </c>
      <c r="GN172" s="35">
        <f>IF(N('Dvd Calendar'!$Z$1700)=0,"",IF(('Dvd Calendar'!$Z$1700&gt;=GRID_FROM)*('Dvd Calendar'!$Z$1700&lt;=GRID_TO)*('Dvd Calendar'!$Z$1700&gt;VAL_DATE)=0,"",'Dvd Calendar'!$Z$1700*1000000000+ISNUMBER('Dvd Calendar'!$Z$1701)*100000000+0*10000000+(N('Dvd Calendar'!$Z$1699)&gt;0)*(N('Dvd Calendar'!$Z$1699)&lt;=VAL_SERIAL)*1000000+13*1000+62))</f>
        <v/>
      </c>
      <c r="GO172" s="35">
        <f>IF(N('Dvd Calendar'!$AA$1700)=0,"",IF(('Dvd Calendar'!$AA$1700&gt;=GRID_FROM)*('Dvd Calendar'!$AA$1700&lt;=GRID_TO)*('Dvd Calendar'!$AA$1700&gt;VAL_DATE)=0,"",'Dvd Calendar'!$AA$1700*1000000000+ISNUMBER('Dvd Calendar'!$AA$1701)*100000000+0*10000000+(N('Dvd Calendar'!$AA$1699)&gt;0)*(N('Dvd Calendar'!$AA$1699)&lt;=VAL_SERIAL)*1000000+13*1000+63))</f>
        <v/>
      </c>
      <c r="GP172" s="35">
        <f>IF(N('Dvd Calendar'!$AB$1700)=0,"",IF(('Dvd Calendar'!$AB$1700&gt;=GRID_FROM)*('Dvd Calendar'!$AB$1700&lt;=GRID_TO)*('Dvd Calendar'!$AB$1700&gt;VAL_DATE)=0,"",'Dvd Calendar'!$AB$1700*1000000000+ISNUMBER('Dvd Calendar'!$AB$1701)*100000000+0*10000000+(N('Dvd Calendar'!$AB$1699)&gt;0)*(N('Dvd Calendar'!$AB$1699)&lt;=VAL_SERIAL)*1000000+13*1000+64))</f>
        <v/>
      </c>
      <c r="GQ172" s="35">
        <f>IF(N('Dvd Calendar'!$AC$1700)=0,"",IF(('Dvd Calendar'!$AC$1700&gt;=GRID_FROM)*('Dvd Calendar'!$AC$1700&lt;=GRID_TO)*('Dvd Calendar'!$AC$1700&gt;VAL_DATE)=0,"",'Dvd Calendar'!$AC$1700*1000000000+ISNUMBER('Dvd Calendar'!$AC$1701)*100000000+0*10000000+(N('Dvd Calendar'!$AC$1699)&gt;0)*(N('Dvd Calendar'!$AC$1699)&lt;=VAL_SERIAL)*1000000+13*1000+65))</f>
        <v/>
      </c>
    </row>
    <row r="173">
      <c r="B173" s="2">
        <f>IF(HSCEI!$C$20="","",HSCEI!$C$20)</f>
        <v/>
      </c>
      <c r="C173" s="106">
        <f>IF(EE173="","",IF(ISNUMBER('Dvd Calendar'!$E$1707)=FALSE,"",IF((('Dvd Calendar'!$E$1709=TYPE1)*(TYPE1&lt;&gt;"")+('Dvd Calendar'!$E$1709=TYPE2)*(TYPE2&lt;&gt;"")+('Dvd Calendar'!$E$1709=TYPE3)*(TYPE3&lt;&gt;"")+('Dvd Calendar'!$E$1709=TYPE4)*(TYPE4&lt;&gt;"")+('Dvd Calendar'!$E$1709=SPECIAL_LBL)*(INC_SPECIALS="Y"))=0,"",'Dvd Calendar'!$E$1707)))</f>
        <v/>
      </c>
      <c r="D173" s="106">
        <f>IF(EF173="","",IF(ISNUMBER('Dvd Calendar'!$F$1707)=FALSE,"",IF((('Dvd Calendar'!$F$1709=TYPE1)*(TYPE1&lt;&gt;"")+('Dvd Calendar'!$F$1709=TYPE2)*(TYPE2&lt;&gt;"")+('Dvd Calendar'!$F$1709=TYPE3)*(TYPE3&lt;&gt;"")+('Dvd Calendar'!$F$1709=TYPE4)*(TYPE4&lt;&gt;"")+('Dvd Calendar'!$F$1709=SPECIAL_LBL)*(INC_SPECIALS="Y"))=0,"",'Dvd Calendar'!$F$1707)))</f>
        <v/>
      </c>
      <c r="E173" s="106">
        <f>IF(EG173="","",IF(ISNUMBER('Dvd Calendar'!$G$1707)=FALSE,"",IF((('Dvd Calendar'!$G$1709=TYPE1)*(TYPE1&lt;&gt;"")+('Dvd Calendar'!$G$1709=TYPE2)*(TYPE2&lt;&gt;"")+('Dvd Calendar'!$G$1709=TYPE3)*(TYPE3&lt;&gt;"")+('Dvd Calendar'!$G$1709=TYPE4)*(TYPE4&lt;&gt;"")+('Dvd Calendar'!$G$1709=SPECIAL_LBL)*(INC_SPECIALS="Y"))=0,"",'Dvd Calendar'!$G$1707)))</f>
        <v/>
      </c>
      <c r="F173" s="106">
        <f>IF(EH173="","",IF(ISNUMBER('Dvd Calendar'!$H$1707)=FALSE,"",IF((('Dvd Calendar'!$H$1709=TYPE1)*(TYPE1&lt;&gt;"")+('Dvd Calendar'!$H$1709=TYPE2)*(TYPE2&lt;&gt;"")+('Dvd Calendar'!$H$1709=TYPE3)*(TYPE3&lt;&gt;"")+('Dvd Calendar'!$H$1709=TYPE4)*(TYPE4&lt;&gt;"")+('Dvd Calendar'!$H$1709=SPECIAL_LBL)*(INC_SPECIALS="Y"))=0,"",'Dvd Calendar'!$H$1707)))</f>
        <v/>
      </c>
      <c r="G173" s="106">
        <f>IF(EI173="","",IF(ISNUMBER('Dvd Calendar'!$I$1707)=FALSE,"",IF((('Dvd Calendar'!$I$1709=TYPE1)*(TYPE1&lt;&gt;"")+('Dvd Calendar'!$I$1709=TYPE2)*(TYPE2&lt;&gt;"")+('Dvd Calendar'!$I$1709=TYPE3)*(TYPE3&lt;&gt;"")+('Dvd Calendar'!$I$1709=TYPE4)*(TYPE4&lt;&gt;"")+('Dvd Calendar'!$I$1709=SPECIAL_LBL)*(INC_SPECIALS="Y"))=0,"",'Dvd Calendar'!$I$1707)))</f>
        <v/>
      </c>
      <c r="H173" s="106">
        <f>IF(EJ173="","",IF(ISNUMBER('Dvd Calendar'!$J$1707)=FALSE,"",IF((('Dvd Calendar'!$J$1709=TYPE1)*(TYPE1&lt;&gt;"")+('Dvd Calendar'!$J$1709=TYPE2)*(TYPE2&lt;&gt;"")+('Dvd Calendar'!$J$1709=TYPE3)*(TYPE3&lt;&gt;"")+('Dvd Calendar'!$J$1709=TYPE4)*(TYPE4&lt;&gt;"")+('Dvd Calendar'!$J$1709=SPECIAL_LBL)*(INC_SPECIALS="Y"))=0,"",'Dvd Calendar'!$J$1707)))</f>
        <v/>
      </c>
      <c r="I173" s="106">
        <f>IF(EK173="","",IF(ISNUMBER('Dvd Calendar'!$K$1707)=FALSE,"",IF((('Dvd Calendar'!$K$1709=TYPE1)*(TYPE1&lt;&gt;"")+('Dvd Calendar'!$K$1709=TYPE2)*(TYPE2&lt;&gt;"")+('Dvd Calendar'!$K$1709=TYPE3)*(TYPE3&lt;&gt;"")+('Dvd Calendar'!$K$1709=TYPE4)*(TYPE4&lt;&gt;"")+('Dvd Calendar'!$K$1709=SPECIAL_LBL)*(INC_SPECIALS="Y"))=0,"",'Dvd Calendar'!$K$1707)))</f>
        <v/>
      </c>
      <c r="J173" s="106">
        <f>IF(EL173="","",IF(ISNUMBER('Dvd Calendar'!$L$1707)=FALSE,"",IF((('Dvd Calendar'!$L$1709=TYPE1)*(TYPE1&lt;&gt;"")+('Dvd Calendar'!$L$1709=TYPE2)*(TYPE2&lt;&gt;"")+('Dvd Calendar'!$L$1709=TYPE3)*(TYPE3&lt;&gt;"")+('Dvd Calendar'!$L$1709=TYPE4)*(TYPE4&lt;&gt;"")+('Dvd Calendar'!$L$1709=SPECIAL_LBL)*(INC_SPECIALS="Y"))=0,"",'Dvd Calendar'!$L$1707)))</f>
        <v/>
      </c>
      <c r="K173" s="106">
        <f>IF(EM173="","",IF(ISNUMBER('Dvd Calendar'!$M$1707)=FALSE,"",IF((('Dvd Calendar'!$M$1709=TYPE1)*(TYPE1&lt;&gt;"")+('Dvd Calendar'!$M$1709=TYPE2)*(TYPE2&lt;&gt;"")+('Dvd Calendar'!$M$1709=TYPE3)*(TYPE3&lt;&gt;"")+('Dvd Calendar'!$M$1709=TYPE4)*(TYPE4&lt;&gt;"")+('Dvd Calendar'!$M$1709=SPECIAL_LBL)*(INC_SPECIALS="Y"))=0,"",'Dvd Calendar'!$M$1707)))</f>
        <v/>
      </c>
      <c r="L173" s="106">
        <f>IF(EN173="","",IF(ISNUMBER('Dvd Calendar'!$N$1707)=FALSE,"",IF((('Dvd Calendar'!$N$1709=TYPE1)*(TYPE1&lt;&gt;"")+('Dvd Calendar'!$N$1709=TYPE2)*(TYPE2&lt;&gt;"")+('Dvd Calendar'!$N$1709=TYPE3)*(TYPE3&lt;&gt;"")+('Dvd Calendar'!$N$1709=TYPE4)*(TYPE4&lt;&gt;"")+('Dvd Calendar'!$N$1709=SPECIAL_LBL)*(INC_SPECIALS="Y"))=0,"",'Dvd Calendar'!$N$1707)))</f>
        <v/>
      </c>
      <c r="M173" s="106">
        <f>IF(EO173="","",IF(ISNUMBER('Dvd Calendar'!$O$1707)=FALSE,"",IF((('Dvd Calendar'!$O$1709=TYPE1)*(TYPE1&lt;&gt;"")+('Dvd Calendar'!$O$1709=TYPE2)*(TYPE2&lt;&gt;"")+('Dvd Calendar'!$O$1709=TYPE3)*(TYPE3&lt;&gt;"")+('Dvd Calendar'!$O$1709=TYPE4)*(TYPE4&lt;&gt;"")+('Dvd Calendar'!$O$1709=SPECIAL_LBL)*(INC_SPECIALS="Y"))=0,"",'Dvd Calendar'!$O$1707)))</f>
        <v/>
      </c>
      <c r="N173" s="106">
        <f>IF(EP173="","",IF(ISNUMBER('Dvd Calendar'!$P$1707)=FALSE,"",IF((('Dvd Calendar'!$P$1709=TYPE1)*(TYPE1&lt;&gt;"")+('Dvd Calendar'!$P$1709=TYPE2)*(TYPE2&lt;&gt;"")+('Dvd Calendar'!$P$1709=TYPE3)*(TYPE3&lt;&gt;"")+('Dvd Calendar'!$P$1709=TYPE4)*(TYPE4&lt;&gt;"")+('Dvd Calendar'!$P$1709=SPECIAL_LBL)*(INC_SPECIALS="Y"))=0,"",'Dvd Calendar'!$P$1707)))</f>
        <v/>
      </c>
      <c r="O173" s="106">
        <f>IF(EQ173="","",IF(ISNUMBER('Dvd Calendar'!$Q$1707)=FALSE,"",IF((('Dvd Calendar'!$Q$1709=TYPE1)*(TYPE1&lt;&gt;"")+('Dvd Calendar'!$Q$1709=TYPE2)*(TYPE2&lt;&gt;"")+('Dvd Calendar'!$Q$1709=TYPE3)*(TYPE3&lt;&gt;"")+('Dvd Calendar'!$Q$1709=TYPE4)*(TYPE4&lt;&gt;"")+('Dvd Calendar'!$Q$1709=SPECIAL_LBL)*(INC_SPECIALS="Y"))=0,"",'Dvd Calendar'!$Q$1707)))</f>
        <v/>
      </c>
      <c r="P173" s="106">
        <f>IF(ER173="","",IF(ISNUMBER('Dvd Calendar'!$R$1707)=FALSE,"",IF((('Dvd Calendar'!$R$1709=TYPE1)*(TYPE1&lt;&gt;"")+('Dvd Calendar'!$R$1709=TYPE2)*(TYPE2&lt;&gt;"")+('Dvd Calendar'!$R$1709=TYPE3)*(TYPE3&lt;&gt;"")+('Dvd Calendar'!$R$1709=TYPE4)*(TYPE4&lt;&gt;"")+('Dvd Calendar'!$R$1709=SPECIAL_LBL)*(INC_SPECIALS="Y"))=0,"",'Dvd Calendar'!$R$1707)))</f>
        <v/>
      </c>
      <c r="Q173" s="106">
        <f>IF(ES173="","",IF(ISNUMBER('Dvd Calendar'!$S$1707)=FALSE,"",IF((('Dvd Calendar'!$S$1709=TYPE1)*(TYPE1&lt;&gt;"")+('Dvd Calendar'!$S$1709=TYPE2)*(TYPE2&lt;&gt;"")+('Dvd Calendar'!$S$1709=TYPE3)*(TYPE3&lt;&gt;"")+('Dvd Calendar'!$S$1709=TYPE4)*(TYPE4&lt;&gt;"")+('Dvd Calendar'!$S$1709=SPECIAL_LBL)*(INC_SPECIALS="Y"))=0,"",'Dvd Calendar'!$S$1707)))</f>
        <v/>
      </c>
      <c r="R173" s="106">
        <f>IF(ET173="","",IF(ISNUMBER('Dvd Calendar'!$T$1707)=FALSE,"",IF((('Dvd Calendar'!$T$1709=TYPE1)*(TYPE1&lt;&gt;"")+('Dvd Calendar'!$T$1709=TYPE2)*(TYPE2&lt;&gt;"")+('Dvd Calendar'!$T$1709=TYPE3)*(TYPE3&lt;&gt;"")+('Dvd Calendar'!$T$1709=TYPE4)*(TYPE4&lt;&gt;"")+('Dvd Calendar'!$T$1709=SPECIAL_LBL)*(INC_SPECIALS="Y"))=0,"",'Dvd Calendar'!$T$1707)))</f>
        <v/>
      </c>
      <c r="S173" s="106">
        <f>IF(EU173="","",IF(ISNUMBER('Dvd Calendar'!$U$1707)=FALSE,"",IF((('Dvd Calendar'!$U$1709=TYPE1)*(TYPE1&lt;&gt;"")+('Dvd Calendar'!$U$1709=TYPE2)*(TYPE2&lt;&gt;"")+('Dvd Calendar'!$U$1709=TYPE3)*(TYPE3&lt;&gt;"")+('Dvd Calendar'!$U$1709=TYPE4)*(TYPE4&lt;&gt;"")+('Dvd Calendar'!$U$1709=SPECIAL_LBL)*(INC_SPECIALS="Y"))=0,"",'Dvd Calendar'!$U$1707)))</f>
        <v/>
      </c>
      <c r="T173" s="106">
        <f>IF(EV173="","",IF(ISNUMBER('Dvd Calendar'!$V$1707)=FALSE,"",IF((('Dvd Calendar'!$V$1709=TYPE1)*(TYPE1&lt;&gt;"")+('Dvd Calendar'!$V$1709=TYPE2)*(TYPE2&lt;&gt;"")+('Dvd Calendar'!$V$1709=TYPE3)*(TYPE3&lt;&gt;"")+('Dvd Calendar'!$V$1709=TYPE4)*(TYPE4&lt;&gt;"")+('Dvd Calendar'!$V$1709=SPECIAL_LBL)*(INC_SPECIALS="Y"))=0,"",'Dvd Calendar'!$V$1707)))</f>
        <v/>
      </c>
      <c r="U173" s="106">
        <f>IF(EW173="","",IF(ISNUMBER('Dvd Calendar'!$W$1707)=FALSE,"",IF((('Dvd Calendar'!$W$1709=TYPE1)*(TYPE1&lt;&gt;"")+('Dvd Calendar'!$W$1709=TYPE2)*(TYPE2&lt;&gt;"")+('Dvd Calendar'!$W$1709=TYPE3)*(TYPE3&lt;&gt;"")+('Dvd Calendar'!$W$1709=TYPE4)*(TYPE4&lt;&gt;"")+('Dvd Calendar'!$W$1709=SPECIAL_LBL)*(INC_SPECIALS="Y"))=0,"",'Dvd Calendar'!$W$1707)))</f>
        <v/>
      </c>
      <c r="V173" s="106">
        <f>IF(EX173="","",IF(ISNUMBER('Dvd Calendar'!$X$1707)=FALSE,"",IF((('Dvd Calendar'!$X$1709=TYPE1)*(TYPE1&lt;&gt;"")+('Dvd Calendar'!$X$1709=TYPE2)*(TYPE2&lt;&gt;"")+('Dvd Calendar'!$X$1709=TYPE3)*(TYPE3&lt;&gt;"")+('Dvd Calendar'!$X$1709=TYPE4)*(TYPE4&lt;&gt;"")+('Dvd Calendar'!$X$1709=SPECIAL_LBL)*(INC_SPECIALS="Y"))=0,"",'Dvd Calendar'!$X$1707)))</f>
        <v/>
      </c>
      <c r="W173" s="106">
        <f>IF(EY173="","",IF(ISNUMBER('Dvd Calendar'!$Y$1707)=FALSE,"",IF((('Dvd Calendar'!$Y$1709=TYPE1)*(TYPE1&lt;&gt;"")+('Dvd Calendar'!$Y$1709=TYPE2)*(TYPE2&lt;&gt;"")+('Dvd Calendar'!$Y$1709=TYPE3)*(TYPE3&lt;&gt;"")+('Dvd Calendar'!$Y$1709=TYPE4)*(TYPE4&lt;&gt;"")+('Dvd Calendar'!$Y$1709=SPECIAL_LBL)*(INC_SPECIALS="Y"))=0,"",'Dvd Calendar'!$Y$1707)))</f>
        <v/>
      </c>
      <c r="X173" s="106">
        <f>IF(EZ173="","",IF(ISNUMBER('Dvd Calendar'!$Z$1707)=FALSE,"",IF((('Dvd Calendar'!$Z$1709=TYPE1)*(TYPE1&lt;&gt;"")+('Dvd Calendar'!$Z$1709=TYPE2)*(TYPE2&lt;&gt;"")+('Dvd Calendar'!$Z$1709=TYPE3)*(TYPE3&lt;&gt;"")+('Dvd Calendar'!$Z$1709=TYPE4)*(TYPE4&lt;&gt;"")+('Dvd Calendar'!$Z$1709=SPECIAL_LBL)*(INC_SPECIALS="Y"))=0,"",'Dvd Calendar'!$Z$1707)))</f>
        <v/>
      </c>
      <c r="Y173" s="106">
        <f>IF(FA173="","",IF(ISNUMBER('Dvd Calendar'!$AA$1707)=FALSE,"",IF((('Dvd Calendar'!$AA$1709=TYPE1)*(TYPE1&lt;&gt;"")+('Dvd Calendar'!$AA$1709=TYPE2)*(TYPE2&lt;&gt;"")+('Dvd Calendar'!$AA$1709=TYPE3)*(TYPE3&lt;&gt;"")+('Dvd Calendar'!$AA$1709=TYPE4)*(TYPE4&lt;&gt;"")+('Dvd Calendar'!$AA$1709=SPECIAL_LBL)*(INC_SPECIALS="Y"))=0,"",'Dvd Calendar'!$AA$1707)))</f>
        <v/>
      </c>
      <c r="Z173" s="106">
        <f>IF(FB173="","",IF(ISNUMBER('Dvd Calendar'!$AB$1707)=FALSE,"",IF((('Dvd Calendar'!$AB$1709=TYPE1)*(TYPE1&lt;&gt;"")+('Dvd Calendar'!$AB$1709=TYPE2)*(TYPE2&lt;&gt;"")+('Dvd Calendar'!$AB$1709=TYPE3)*(TYPE3&lt;&gt;"")+('Dvd Calendar'!$AB$1709=TYPE4)*(TYPE4&lt;&gt;"")+('Dvd Calendar'!$AB$1709=SPECIAL_LBL)*(INC_SPECIALS="Y"))=0,"",'Dvd Calendar'!$AB$1707)))</f>
        <v/>
      </c>
      <c r="AA173" s="106">
        <f>IF(FC173="","",IF(ISNUMBER('Dvd Calendar'!$AC$1707)=FALSE,"",IF((('Dvd Calendar'!$AC$1709=TYPE1)*(TYPE1&lt;&gt;"")+('Dvd Calendar'!$AC$1709=TYPE2)*(TYPE2&lt;&gt;"")+('Dvd Calendar'!$AC$1709=TYPE3)*(TYPE3&lt;&gt;"")+('Dvd Calendar'!$AC$1709=TYPE4)*(TYPE4&lt;&gt;"")+('Dvd Calendar'!$AC$1709=SPECIAL_LBL)*(INC_SPECIALS="Y"))=0,"",'Dvd Calendar'!$AC$1707)))</f>
        <v/>
      </c>
      <c r="AB173" s="106">
        <f>IF(FD173="","",IF(ISNUMBER('Dvd Calendar'!$AD$1707)=FALSE,"",IF((('Dvd Calendar'!$AD$1709=TYPE1)*(TYPE1&lt;&gt;"")+('Dvd Calendar'!$AD$1709=TYPE2)*(TYPE2&lt;&gt;"")+('Dvd Calendar'!$AD$1709=TYPE3)*(TYPE3&lt;&gt;"")+('Dvd Calendar'!$AD$1709=TYPE4)*(TYPE4&lt;&gt;"")+('Dvd Calendar'!$AD$1709=SPECIAL_LBL)*(INC_SPECIALS="Y"))=0,"",'Dvd Calendar'!$AD$1707)))</f>
        <v/>
      </c>
      <c r="AC173" s="106">
        <f>IF(FE173="","",IF(ISNUMBER('Dvd Calendar'!$AE$1707)=FALSE,"",IF((('Dvd Calendar'!$AE$1709=TYPE1)*(TYPE1&lt;&gt;"")+('Dvd Calendar'!$AE$1709=TYPE2)*(TYPE2&lt;&gt;"")+('Dvd Calendar'!$AE$1709=TYPE3)*(TYPE3&lt;&gt;"")+('Dvd Calendar'!$AE$1709=TYPE4)*(TYPE4&lt;&gt;"")+('Dvd Calendar'!$AE$1709=SPECIAL_LBL)*(INC_SPECIALS="Y"))=0,"",'Dvd Calendar'!$AE$1707)))</f>
        <v/>
      </c>
      <c r="AD173" s="106">
        <f>IF(FF173="","",IF(ISNUMBER('Dvd Calendar'!$AF$1707)=FALSE,"",IF((('Dvd Calendar'!$AF$1709=TYPE1)*(TYPE1&lt;&gt;"")+('Dvd Calendar'!$AF$1709=TYPE2)*(TYPE2&lt;&gt;"")+('Dvd Calendar'!$AF$1709=TYPE3)*(TYPE3&lt;&gt;"")+('Dvd Calendar'!$AF$1709=TYPE4)*(TYPE4&lt;&gt;"")+('Dvd Calendar'!$AF$1709=SPECIAL_LBL)*(INC_SPECIALS="Y"))=0,"",'Dvd Calendar'!$AF$1707)))</f>
        <v/>
      </c>
      <c r="AE173" s="106">
        <f>IF(FG173="","",IF(ISNUMBER('Dvd Calendar'!$AG$1707)=FALSE,"",IF((('Dvd Calendar'!$AG$1709=TYPE1)*(TYPE1&lt;&gt;"")+('Dvd Calendar'!$AG$1709=TYPE2)*(TYPE2&lt;&gt;"")+('Dvd Calendar'!$AG$1709=TYPE3)*(TYPE3&lt;&gt;"")+('Dvd Calendar'!$AG$1709=TYPE4)*(TYPE4&lt;&gt;"")+('Dvd Calendar'!$AG$1709=SPECIAL_LBL)*(INC_SPECIALS="Y"))=0,"",'Dvd Calendar'!$AG$1707)))</f>
        <v/>
      </c>
      <c r="AF173" s="106">
        <f>IF(FH173="","",IF(ISNUMBER('Dvd Calendar'!$AH$1707)=FALSE,"",IF((('Dvd Calendar'!$AH$1709=TYPE1)*(TYPE1&lt;&gt;"")+('Dvd Calendar'!$AH$1709=TYPE2)*(TYPE2&lt;&gt;"")+('Dvd Calendar'!$AH$1709=TYPE3)*(TYPE3&lt;&gt;"")+('Dvd Calendar'!$AH$1709=TYPE4)*(TYPE4&lt;&gt;"")+('Dvd Calendar'!$AH$1709=SPECIAL_LBL)*(INC_SPECIALS="Y"))=0,"",'Dvd Calendar'!$AH$1707)))</f>
        <v/>
      </c>
      <c r="AG173" s="106">
        <f>IF(FI173="","",IF(ISNUMBER('Dvd Calendar'!$AI$1707)=FALSE,"",IF((('Dvd Calendar'!$AI$1709=TYPE1)*(TYPE1&lt;&gt;"")+('Dvd Calendar'!$AI$1709=TYPE2)*(TYPE2&lt;&gt;"")+('Dvd Calendar'!$AI$1709=TYPE3)*(TYPE3&lt;&gt;"")+('Dvd Calendar'!$AI$1709=TYPE4)*(TYPE4&lt;&gt;"")+('Dvd Calendar'!$AI$1709=SPECIAL_LBL)*(INC_SPECIALS="Y"))=0,"",'Dvd Calendar'!$AI$1707)))</f>
        <v/>
      </c>
      <c r="AH173" s="106">
        <f>IF(FJ173="","",IF(ISNUMBER('Dvd Calendar'!$AJ$1707)=FALSE,"",IF((('Dvd Calendar'!$AJ$1709=TYPE1)*(TYPE1&lt;&gt;"")+('Dvd Calendar'!$AJ$1709=TYPE2)*(TYPE2&lt;&gt;"")+('Dvd Calendar'!$AJ$1709=TYPE3)*(TYPE3&lt;&gt;"")+('Dvd Calendar'!$AJ$1709=TYPE4)*(TYPE4&lt;&gt;"")+('Dvd Calendar'!$AJ$1709=SPECIAL_LBL)*(INC_SPECIALS="Y"))=0,"",'Dvd Calendar'!$AJ$1707)))</f>
        <v/>
      </c>
      <c r="AI173" s="106">
        <f>IF(FK173="","",IF(ISNUMBER('Dvd Calendar'!$AK$1707)=FALSE,"",IF((('Dvd Calendar'!$AK$1709=TYPE1)*(TYPE1&lt;&gt;"")+('Dvd Calendar'!$AK$1709=TYPE2)*(TYPE2&lt;&gt;"")+('Dvd Calendar'!$AK$1709=TYPE3)*(TYPE3&lt;&gt;"")+('Dvd Calendar'!$AK$1709=TYPE4)*(TYPE4&lt;&gt;"")+('Dvd Calendar'!$AK$1709=SPECIAL_LBL)*(INC_SPECIALS="Y"))=0,"",'Dvd Calendar'!$AK$1707)))</f>
        <v/>
      </c>
      <c r="AJ173" s="106">
        <f>IF(FL173="","",IF(ISNUMBER('Dvd Calendar'!$AL$1707)=FALSE,"",IF((('Dvd Calendar'!$AL$1709=TYPE1)*(TYPE1&lt;&gt;"")+('Dvd Calendar'!$AL$1709=TYPE2)*(TYPE2&lt;&gt;"")+('Dvd Calendar'!$AL$1709=TYPE3)*(TYPE3&lt;&gt;"")+('Dvd Calendar'!$AL$1709=TYPE4)*(TYPE4&lt;&gt;"")+('Dvd Calendar'!$AL$1709=SPECIAL_LBL)*(INC_SPECIALS="Y"))=0,"",'Dvd Calendar'!$AL$1707)))</f>
        <v/>
      </c>
      <c r="AK173" s="106">
        <f>IF(FM173="","",IF(ISNUMBER('Dvd Calendar'!$AM$1707)=FALSE,"",IF((('Dvd Calendar'!$AM$1709=TYPE1)*(TYPE1&lt;&gt;"")+('Dvd Calendar'!$AM$1709=TYPE2)*(TYPE2&lt;&gt;"")+('Dvd Calendar'!$AM$1709=TYPE3)*(TYPE3&lt;&gt;"")+('Dvd Calendar'!$AM$1709=TYPE4)*(TYPE4&lt;&gt;"")+('Dvd Calendar'!$AM$1709=SPECIAL_LBL)*(INC_SPECIALS="Y"))=0,"",'Dvd Calendar'!$AM$1707)))</f>
        <v/>
      </c>
      <c r="AL173" s="106">
        <f>IF(FN173="","",IF(ISNUMBER('Dvd Calendar'!$AN$1707)=FALSE,"",IF((('Dvd Calendar'!$AN$1709=TYPE1)*(TYPE1&lt;&gt;"")+('Dvd Calendar'!$AN$1709=TYPE2)*(TYPE2&lt;&gt;"")+('Dvd Calendar'!$AN$1709=TYPE3)*(TYPE3&lt;&gt;"")+('Dvd Calendar'!$AN$1709=TYPE4)*(TYPE4&lt;&gt;"")+('Dvd Calendar'!$AN$1709=SPECIAL_LBL)*(INC_SPECIALS="Y"))=0,"",'Dvd Calendar'!$AN$1707)))</f>
        <v/>
      </c>
      <c r="AM173" s="106">
        <f>IF(FO173="","",IF(ISNUMBER('Dvd Calendar'!$AO$1707)=FALSE,"",IF((('Dvd Calendar'!$AO$1709=TYPE1)*(TYPE1&lt;&gt;"")+('Dvd Calendar'!$AO$1709=TYPE2)*(TYPE2&lt;&gt;"")+('Dvd Calendar'!$AO$1709=TYPE3)*(TYPE3&lt;&gt;"")+('Dvd Calendar'!$AO$1709=TYPE4)*(TYPE4&lt;&gt;"")+('Dvd Calendar'!$AO$1709=SPECIAL_LBL)*(INC_SPECIALS="Y"))=0,"",'Dvd Calendar'!$AO$1707)))</f>
        <v/>
      </c>
      <c r="AN173" s="106">
        <f>IF(FP173="","",IF(ISNUMBER('Dvd Calendar'!$AP$1707)=FALSE,"",IF((('Dvd Calendar'!$AP$1709=TYPE1)*(TYPE1&lt;&gt;"")+('Dvd Calendar'!$AP$1709=TYPE2)*(TYPE2&lt;&gt;"")+('Dvd Calendar'!$AP$1709=TYPE3)*(TYPE3&lt;&gt;"")+('Dvd Calendar'!$AP$1709=TYPE4)*(TYPE4&lt;&gt;"")+('Dvd Calendar'!$AP$1709=SPECIAL_LBL)*(INC_SPECIALS="Y"))=0,"",'Dvd Calendar'!$AP$1707)))</f>
        <v/>
      </c>
      <c r="AO173" s="106">
        <f>IF(FQ173="","",IF(ISNUMBER('Dvd Calendar'!$AQ$1707)=FALSE,"",IF((('Dvd Calendar'!$AQ$1709=TYPE1)*(TYPE1&lt;&gt;"")+('Dvd Calendar'!$AQ$1709=TYPE2)*(TYPE2&lt;&gt;"")+('Dvd Calendar'!$AQ$1709=TYPE3)*(TYPE3&lt;&gt;"")+('Dvd Calendar'!$AQ$1709=TYPE4)*(TYPE4&lt;&gt;"")+('Dvd Calendar'!$AQ$1709=SPECIAL_LBL)*(INC_SPECIALS="Y"))=0,"",'Dvd Calendar'!$AQ$1707)))</f>
        <v/>
      </c>
      <c r="AP173" s="106">
        <f>IF(FR173="","",IF(ISNUMBER('Dvd Calendar'!$AR$1707)=FALSE,"",IF((('Dvd Calendar'!$AR$1709=TYPE1)*(TYPE1&lt;&gt;"")+('Dvd Calendar'!$AR$1709=TYPE2)*(TYPE2&lt;&gt;"")+('Dvd Calendar'!$AR$1709=TYPE3)*(TYPE3&lt;&gt;"")+('Dvd Calendar'!$AR$1709=TYPE4)*(TYPE4&lt;&gt;"")+('Dvd Calendar'!$AR$1709=SPECIAL_LBL)*(INC_SPECIALS="Y"))=0,"",'Dvd Calendar'!$AR$1707)))</f>
        <v/>
      </c>
      <c r="AQ173" s="106">
        <f>IF(FS173="","",IF(ISNUMBER('Dvd Calendar'!$E$1712)=FALSE,"",'Dvd Calendar'!$E$1712))</f>
        <v/>
      </c>
      <c r="AR173" s="106">
        <f>IF(FT173="","",IF(ISNUMBER('Dvd Calendar'!$F$1712)=FALSE,"",'Dvd Calendar'!$F$1712))</f>
        <v/>
      </c>
      <c r="AS173" s="106">
        <f>IF(FU173="","",IF(ISNUMBER('Dvd Calendar'!$G$1712)=FALSE,"",'Dvd Calendar'!$G$1712))</f>
        <v/>
      </c>
      <c r="AT173" s="106">
        <f>IF(FV173="","",IF(ISNUMBER('Dvd Calendar'!$H$1712)=FALSE,"",'Dvd Calendar'!$H$1712))</f>
        <v/>
      </c>
      <c r="AU173" s="106">
        <f>IF(FW173="","",IF(ISNUMBER('Dvd Calendar'!$I$1712)=FALSE,"",'Dvd Calendar'!$I$1712))</f>
        <v/>
      </c>
      <c r="AV173" s="106">
        <f>IF(FX173="","",IF(ISNUMBER('Dvd Calendar'!$J$1712)=FALSE,"",'Dvd Calendar'!$J$1712))</f>
        <v/>
      </c>
      <c r="AW173" s="106">
        <f>IF(FY173="","",IF(ISNUMBER('Dvd Calendar'!$K$1712)=FALSE,"",'Dvd Calendar'!$K$1712))</f>
        <v/>
      </c>
      <c r="AX173" s="106">
        <f>IF(FZ173="","",IF(ISNUMBER('Dvd Calendar'!$L$1712)=FALSE,"",'Dvd Calendar'!$L$1712))</f>
        <v/>
      </c>
      <c r="AY173" s="106">
        <f>IF(GA173="","",IF(ISNUMBER('Dvd Calendar'!$M$1712)=FALSE,"",'Dvd Calendar'!$M$1712))</f>
        <v/>
      </c>
      <c r="AZ173" s="106">
        <f>IF(GB173="","",IF(ISNUMBER('Dvd Calendar'!$N$1712)=FALSE,"",'Dvd Calendar'!$N$1712))</f>
        <v/>
      </c>
      <c r="BA173" s="106">
        <f>IF(GC173="","",IF(ISNUMBER('Dvd Calendar'!$O$1712)=FALSE,"",'Dvd Calendar'!$O$1712))</f>
        <v/>
      </c>
      <c r="BB173" s="106">
        <f>IF(GD173="","",IF(ISNUMBER('Dvd Calendar'!$P$1712)=FALSE,"",'Dvd Calendar'!$P$1712))</f>
        <v/>
      </c>
      <c r="BC173" s="106">
        <f>IF(GE173="","",IF(ISNUMBER('Dvd Calendar'!$Q$1712)=FALSE,"",'Dvd Calendar'!$Q$1712))</f>
        <v/>
      </c>
      <c r="BD173" s="106">
        <f>IF(GF173="","",IF(ISNUMBER('Dvd Calendar'!$R$1712)=FALSE,"",'Dvd Calendar'!$R$1712))</f>
        <v/>
      </c>
      <c r="BE173" s="106">
        <f>IF(GG173="","",IF(ISNUMBER('Dvd Calendar'!$S$1712)=FALSE,"",'Dvd Calendar'!$S$1712))</f>
        <v/>
      </c>
      <c r="BF173" s="106">
        <f>IF(GH173="","",IF(ISNUMBER('Dvd Calendar'!$T$1712)=FALSE,"",'Dvd Calendar'!$T$1712))</f>
        <v/>
      </c>
      <c r="BG173" s="106">
        <f>IF(GI173="","",IF(ISNUMBER('Dvd Calendar'!$U$1712)=FALSE,"",'Dvd Calendar'!$U$1712))</f>
        <v/>
      </c>
      <c r="BH173" s="106">
        <f>IF(GJ173="","",IF(ISNUMBER('Dvd Calendar'!$V$1712)=FALSE,"",'Dvd Calendar'!$V$1712))</f>
        <v/>
      </c>
      <c r="BI173" s="106">
        <f>IF(GK173="","",IF(ISNUMBER('Dvd Calendar'!$W$1712)=FALSE,"",'Dvd Calendar'!$W$1712))</f>
        <v/>
      </c>
      <c r="BJ173" s="106">
        <f>IF(GL173="","",IF(ISNUMBER('Dvd Calendar'!$X$1712)=FALSE,"",'Dvd Calendar'!$X$1712))</f>
        <v/>
      </c>
      <c r="BK173" s="106">
        <f>IF(GM173="","",IF(ISNUMBER('Dvd Calendar'!$Y$1712)=FALSE,"",'Dvd Calendar'!$Y$1712))</f>
        <v/>
      </c>
      <c r="BL173" s="106">
        <f>IF(GN173="","",IF(ISNUMBER('Dvd Calendar'!$Z$1712)=FALSE,"",'Dvd Calendar'!$Z$1712))</f>
        <v/>
      </c>
      <c r="BM173" s="106">
        <f>IF(GO173="","",IF(ISNUMBER('Dvd Calendar'!$AA$1712)=FALSE,"",'Dvd Calendar'!$AA$1712))</f>
        <v/>
      </c>
      <c r="BN173" s="106">
        <f>IF(GP173="","",IF(ISNUMBER('Dvd Calendar'!$AB$1712)=FALSE,"",'Dvd Calendar'!$AB$1712))</f>
        <v/>
      </c>
      <c r="BO173" s="106">
        <f>IF(GQ173="","",IF(ISNUMBER('Dvd Calendar'!$AC$1712)=FALSE,"",'Dvd Calendar'!$AC$1712))</f>
        <v/>
      </c>
      <c r="BQ173" s="106">
        <f>IF(C173="","",IFERROR(C173*HSCEI!$B$20*HSCEI!$G$20/HSCEI!$B$3,""))</f>
        <v/>
      </c>
      <c r="BR173" s="106">
        <f>IF(D173="","",IFERROR(D173*HSCEI!$B$20*HSCEI!$G$20/HSCEI!$B$3,""))</f>
        <v/>
      </c>
      <c r="BS173" s="106">
        <f>IF(E173="","",IFERROR(E173*HSCEI!$B$20*HSCEI!$G$20/HSCEI!$B$3,""))</f>
        <v/>
      </c>
      <c r="BT173" s="106">
        <f>IF(F173="","",IFERROR(F173*HSCEI!$B$20*HSCEI!$G$20/HSCEI!$B$3,""))</f>
        <v/>
      </c>
      <c r="BU173" s="106">
        <f>IF(G173="","",IFERROR(G173*HSCEI!$B$20*HSCEI!$G$20/HSCEI!$B$3,""))</f>
        <v/>
      </c>
      <c r="BV173" s="106">
        <f>IF(H173="","",IFERROR(H173*HSCEI!$B$20*HSCEI!$G$20/HSCEI!$B$3,""))</f>
        <v/>
      </c>
      <c r="BW173" s="106">
        <f>IF(I173="","",IFERROR(I173*HSCEI!$B$20*HSCEI!$G$20/HSCEI!$B$3,""))</f>
        <v/>
      </c>
      <c r="BX173" s="106">
        <f>IF(J173="","",IFERROR(J173*HSCEI!$B$20*HSCEI!$G$20/HSCEI!$B$3,""))</f>
        <v/>
      </c>
      <c r="BY173" s="106">
        <f>IF(K173="","",IFERROR(K173*HSCEI!$B$20*HSCEI!$G$20/HSCEI!$B$3,""))</f>
        <v/>
      </c>
      <c r="BZ173" s="106">
        <f>IF(L173="","",IFERROR(L173*HSCEI!$B$20*HSCEI!$G$20/HSCEI!$B$3,""))</f>
        <v/>
      </c>
      <c r="CA173" s="106">
        <f>IF(M173="","",IFERROR(M173*HSCEI!$B$20*HSCEI!$G$20/HSCEI!$B$3,""))</f>
        <v/>
      </c>
      <c r="CB173" s="106">
        <f>IF(N173="","",IFERROR(N173*HSCEI!$B$20*HSCEI!$G$20/HSCEI!$B$3,""))</f>
        <v/>
      </c>
      <c r="CC173" s="106">
        <f>IF(O173="","",IFERROR(O173*HSCEI!$B$20*HSCEI!$G$20/HSCEI!$B$3,""))</f>
        <v/>
      </c>
      <c r="CD173" s="106">
        <f>IF(P173="","",IFERROR(P173*HSCEI!$B$20*HSCEI!$G$20/HSCEI!$B$3,""))</f>
        <v/>
      </c>
      <c r="CE173" s="106">
        <f>IF(Q173="","",IFERROR(Q173*HSCEI!$B$20*HSCEI!$G$20/HSCEI!$B$3,""))</f>
        <v/>
      </c>
      <c r="CF173" s="106">
        <f>IF(R173="","",IFERROR(R173*HSCEI!$B$20*HSCEI!$G$20/HSCEI!$B$3,""))</f>
        <v/>
      </c>
      <c r="CG173" s="106">
        <f>IF(S173="","",IFERROR(S173*HSCEI!$B$20*HSCEI!$G$20/HSCEI!$B$3,""))</f>
        <v/>
      </c>
      <c r="CH173" s="106">
        <f>IF(T173="","",IFERROR(T173*HSCEI!$B$20*HSCEI!$G$20/HSCEI!$B$3,""))</f>
        <v/>
      </c>
      <c r="CI173" s="106">
        <f>IF(U173="","",IFERROR(U173*HSCEI!$B$20*HSCEI!$G$20/HSCEI!$B$3,""))</f>
        <v/>
      </c>
      <c r="CJ173" s="106">
        <f>IF(V173="","",IFERROR(V173*HSCEI!$B$20*HSCEI!$G$20/HSCEI!$B$3,""))</f>
        <v/>
      </c>
      <c r="CK173" s="106">
        <f>IF(W173="","",IFERROR(W173*HSCEI!$B$20*HSCEI!$G$20/HSCEI!$B$3,""))</f>
        <v/>
      </c>
      <c r="CL173" s="106">
        <f>IF(X173="","",IFERROR(X173*HSCEI!$B$20*HSCEI!$G$20/HSCEI!$B$3,""))</f>
        <v/>
      </c>
      <c r="CM173" s="106">
        <f>IF(Y173="","",IFERROR(Y173*HSCEI!$B$20*HSCEI!$G$20/HSCEI!$B$3,""))</f>
        <v/>
      </c>
      <c r="CN173" s="106">
        <f>IF(Z173="","",IFERROR(Z173*HSCEI!$B$20*HSCEI!$G$20/HSCEI!$B$3,""))</f>
        <v/>
      </c>
      <c r="CO173" s="106">
        <f>IF(AA173="","",IFERROR(AA173*HSCEI!$B$20*HSCEI!$G$20/HSCEI!$B$3,""))</f>
        <v/>
      </c>
      <c r="CP173" s="106">
        <f>IF(AB173="","",IFERROR(AB173*HSCEI!$B$20*HSCEI!$G$20/HSCEI!$B$3,""))</f>
        <v/>
      </c>
      <c r="CQ173" s="106">
        <f>IF(AC173="","",IFERROR(AC173*HSCEI!$B$20*HSCEI!$G$20/HSCEI!$B$3,""))</f>
        <v/>
      </c>
      <c r="CR173" s="106">
        <f>IF(AD173="","",IFERROR(AD173*HSCEI!$B$20*HSCEI!$G$20/HSCEI!$B$3,""))</f>
        <v/>
      </c>
      <c r="CS173" s="106">
        <f>IF(AE173="","",IFERROR(AE173*HSCEI!$B$20*HSCEI!$G$20/HSCEI!$B$3,""))</f>
        <v/>
      </c>
      <c r="CT173" s="106">
        <f>IF(AF173="","",IFERROR(AF173*HSCEI!$B$20*HSCEI!$G$20/HSCEI!$B$3,""))</f>
        <v/>
      </c>
      <c r="CU173" s="106">
        <f>IF(AG173="","",IFERROR(AG173*HSCEI!$B$20*HSCEI!$G$20/HSCEI!$B$3,""))</f>
        <v/>
      </c>
      <c r="CV173" s="106">
        <f>IF(AH173="","",IFERROR(AH173*HSCEI!$B$20*HSCEI!$G$20/HSCEI!$B$3,""))</f>
        <v/>
      </c>
      <c r="CW173" s="106">
        <f>IF(AI173="","",IFERROR(AI173*HSCEI!$B$20*HSCEI!$G$20/HSCEI!$B$3,""))</f>
        <v/>
      </c>
      <c r="CX173" s="106">
        <f>IF(AJ173="","",IFERROR(AJ173*HSCEI!$B$20*HSCEI!$G$20/HSCEI!$B$3,""))</f>
        <v/>
      </c>
      <c r="CY173" s="106">
        <f>IF(AK173="","",IFERROR(AK173*HSCEI!$B$20*HSCEI!$G$20/HSCEI!$B$3,""))</f>
        <v/>
      </c>
      <c r="CZ173" s="106">
        <f>IF(AL173="","",IFERROR(AL173*HSCEI!$B$20*HSCEI!$G$20/HSCEI!$B$3,""))</f>
        <v/>
      </c>
      <c r="DA173" s="106">
        <f>IF(AM173="","",IFERROR(AM173*HSCEI!$B$20*HSCEI!$G$20/HSCEI!$B$3,""))</f>
        <v/>
      </c>
      <c r="DB173" s="106">
        <f>IF(AN173="","",IFERROR(AN173*HSCEI!$B$20*HSCEI!$G$20/HSCEI!$B$3,""))</f>
        <v/>
      </c>
      <c r="DC173" s="106">
        <f>IF(AO173="","",IFERROR(AO173*HSCEI!$B$20*HSCEI!$G$20/HSCEI!$B$3,""))</f>
        <v/>
      </c>
      <c r="DD173" s="106">
        <f>IF(AP173="","",IFERROR(AP173*HSCEI!$B$20*HSCEI!$G$20/HSCEI!$B$3,""))</f>
        <v/>
      </c>
      <c r="DE173" s="106">
        <f>IF(AQ173="","",IFERROR(AQ173*HSCEI!$B$20*HSCEI!$G$20/HSCEI!$B$3,""))</f>
        <v/>
      </c>
      <c r="DF173" s="106">
        <f>IF(AR173="","",IFERROR(AR173*HSCEI!$B$20*HSCEI!$G$20/HSCEI!$B$3,""))</f>
        <v/>
      </c>
      <c r="DG173" s="106">
        <f>IF(AS173="","",IFERROR(AS173*HSCEI!$B$20*HSCEI!$G$20/HSCEI!$B$3,""))</f>
        <v/>
      </c>
      <c r="DH173" s="106">
        <f>IF(AT173="","",IFERROR(AT173*HSCEI!$B$20*HSCEI!$G$20/HSCEI!$B$3,""))</f>
        <v/>
      </c>
      <c r="DI173" s="106">
        <f>IF(AU173="","",IFERROR(AU173*HSCEI!$B$20*HSCEI!$G$20/HSCEI!$B$3,""))</f>
        <v/>
      </c>
      <c r="DJ173" s="106">
        <f>IF(AV173="","",IFERROR(AV173*HSCEI!$B$20*HSCEI!$G$20/HSCEI!$B$3,""))</f>
        <v/>
      </c>
      <c r="DK173" s="106">
        <f>IF(AW173="","",IFERROR(AW173*HSCEI!$B$20*HSCEI!$G$20/HSCEI!$B$3,""))</f>
        <v/>
      </c>
      <c r="DL173" s="106">
        <f>IF(AX173="","",IFERROR(AX173*HSCEI!$B$20*HSCEI!$G$20/HSCEI!$B$3,""))</f>
        <v/>
      </c>
      <c r="DM173" s="106">
        <f>IF(AY173="","",IFERROR(AY173*HSCEI!$B$20*HSCEI!$G$20/HSCEI!$B$3,""))</f>
        <v/>
      </c>
      <c r="DN173" s="106">
        <f>IF(AZ173="","",IFERROR(AZ173*HSCEI!$B$20*HSCEI!$G$20/HSCEI!$B$3,""))</f>
        <v/>
      </c>
      <c r="DO173" s="106">
        <f>IF(BA173="","",IFERROR(BA173*HSCEI!$B$20*HSCEI!$G$20/HSCEI!$B$3,""))</f>
        <v/>
      </c>
      <c r="DP173" s="106">
        <f>IF(BB173="","",IFERROR(BB173*HSCEI!$B$20*HSCEI!$G$20/HSCEI!$B$3,""))</f>
        <v/>
      </c>
      <c r="DQ173" s="106">
        <f>IF(BC173="","",IFERROR(BC173*HSCEI!$B$20*HSCEI!$G$20/HSCEI!$B$3,""))</f>
        <v/>
      </c>
      <c r="DR173" s="106">
        <f>IF(BD173="","",IFERROR(BD173*HSCEI!$B$20*HSCEI!$G$20/HSCEI!$B$3,""))</f>
        <v/>
      </c>
      <c r="DS173" s="106">
        <f>IF(BE173="","",IFERROR(BE173*HSCEI!$B$20*HSCEI!$G$20/HSCEI!$B$3,""))</f>
        <v/>
      </c>
      <c r="DT173" s="106">
        <f>IF(BF173="","",IFERROR(BF173*HSCEI!$B$20*HSCEI!$G$20/HSCEI!$B$3,""))</f>
        <v/>
      </c>
      <c r="DU173" s="106">
        <f>IF(BG173="","",IFERROR(BG173*HSCEI!$B$20*HSCEI!$G$20/HSCEI!$B$3,""))</f>
        <v/>
      </c>
      <c r="DV173" s="106">
        <f>IF(BH173="","",IFERROR(BH173*HSCEI!$B$20*HSCEI!$G$20/HSCEI!$B$3,""))</f>
        <v/>
      </c>
      <c r="DW173" s="106">
        <f>IF(BI173="","",IFERROR(BI173*HSCEI!$B$20*HSCEI!$G$20/HSCEI!$B$3,""))</f>
        <v/>
      </c>
      <c r="DX173" s="106">
        <f>IF(BJ173="","",IFERROR(BJ173*HSCEI!$B$20*HSCEI!$G$20/HSCEI!$B$3,""))</f>
        <v/>
      </c>
      <c r="DY173" s="106">
        <f>IF(BK173="","",IFERROR(BK173*HSCEI!$B$20*HSCEI!$G$20/HSCEI!$B$3,""))</f>
        <v/>
      </c>
      <c r="DZ173" s="106">
        <f>IF(BL173="","",IFERROR(BL173*HSCEI!$B$20*HSCEI!$G$20/HSCEI!$B$3,""))</f>
        <v/>
      </c>
      <c r="EA173" s="106">
        <f>IF(BM173="","",IFERROR(BM173*HSCEI!$B$20*HSCEI!$G$20/HSCEI!$B$3,""))</f>
        <v/>
      </c>
      <c r="EB173" s="106">
        <f>IF(BN173="","",IFERROR(BN173*HSCEI!$B$20*HSCEI!$G$20/HSCEI!$B$3,""))</f>
        <v/>
      </c>
      <c r="EC173" s="106">
        <f>IF(BO173="","",IFERROR(BO173*HSCEI!$B$20*HSCEI!$G$20/HSCEI!$B$3,""))</f>
        <v/>
      </c>
      <c r="EE173" s="35">
        <f>IF(N('Dvd Calendar'!$E$1704)=0,"",IF(('Dvd Calendar'!$E$1704&gt;=GRID_FROM)*('Dvd Calendar'!$E$1704&lt;=GRID_TO)*('Dvd Calendar'!$E$1704&lt;=VAL_DATE)=0,"",'Dvd Calendar'!$E$1704*1000000000+ISNUMBER('Dvd Calendar'!$E$1707)*100000000+('Dvd Calendar'!$E$1709=SPECIAL_LBL)*10000000+0*1000000+14*1000+1))</f>
        <v/>
      </c>
      <c r="EF173" s="35">
        <f>IF(N('Dvd Calendar'!$F$1704)=0,"",IF(('Dvd Calendar'!$F$1704&gt;=GRID_FROM)*('Dvd Calendar'!$F$1704&lt;=GRID_TO)*('Dvd Calendar'!$F$1704&lt;=VAL_DATE)=0,"",'Dvd Calendar'!$F$1704*1000000000+ISNUMBER('Dvd Calendar'!$F$1707)*100000000+('Dvd Calendar'!$F$1709=SPECIAL_LBL)*10000000+0*1000000+14*1000+2))</f>
        <v/>
      </c>
      <c r="EG173" s="35">
        <f>IF(N('Dvd Calendar'!$G$1704)=0,"",IF(('Dvd Calendar'!$G$1704&gt;=GRID_FROM)*('Dvd Calendar'!$G$1704&lt;=GRID_TO)*('Dvd Calendar'!$G$1704&lt;=VAL_DATE)=0,"",'Dvd Calendar'!$G$1704*1000000000+ISNUMBER('Dvd Calendar'!$G$1707)*100000000+('Dvd Calendar'!$G$1709=SPECIAL_LBL)*10000000+0*1000000+14*1000+3))</f>
        <v/>
      </c>
      <c r="EH173" s="35">
        <f>IF(N('Dvd Calendar'!$H$1704)=0,"",IF(('Dvd Calendar'!$H$1704&gt;=GRID_FROM)*('Dvd Calendar'!$H$1704&lt;=GRID_TO)*('Dvd Calendar'!$H$1704&lt;=VAL_DATE)=0,"",'Dvd Calendar'!$H$1704*1000000000+ISNUMBER('Dvd Calendar'!$H$1707)*100000000+('Dvd Calendar'!$H$1709=SPECIAL_LBL)*10000000+0*1000000+14*1000+4))</f>
        <v/>
      </c>
      <c r="EI173" s="35">
        <f>IF(N('Dvd Calendar'!$I$1704)=0,"",IF(('Dvd Calendar'!$I$1704&gt;=GRID_FROM)*('Dvd Calendar'!$I$1704&lt;=GRID_TO)*('Dvd Calendar'!$I$1704&lt;=VAL_DATE)=0,"",'Dvd Calendar'!$I$1704*1000000000+ISNUMBER('Dvd Calendar'!$I$1707)*100000000+('Dvd Calendar'!$I$1709=SPECIAL_LBL)*10000000+0*1000000+14*1000+5))</f>
        <v/>
      </c>
      <c r="EJ173" s="35">
        <f>IF(N('Dvd Calendar'!$J$1704)=0,"",IF(('Dvd Calendar'!$J$1704&gt;=GRID_FROM)*('Dvd Calendar'!$J$1704&lt;=GRID_TO)*('Dvd Calendar'!$J$1704&lt;=VAL_DATE)=0,"",'Dvd Calendar'!$J$1704*1000000000+ISNUMBER('Dvd Calendar'!$J$1707)*100000000+('Dvd Calendar'!$J$1709=SPECIAL_LBL)*10000000+0*1000000+14*1000+6))</f>
        <v/>
      </c>
      <c r="EK173" s="35">
        <f>IF(N('Dvd Calendar'!$K$1704)=0,"",IF(('Dvd Calendar'!$K$1704&gt;=GRID_FROM)*('Dvd Calendar'!$K$1704&lt;=GRID_TO)*('Dvd Calendar'!$K$1704&lt;=VAL_DATE)=0,"",'Dvd Calendar'!$K$1704*1000000000+ISNUMBER('Dvd Calendar'!$K$1707)*100000000+('Dvd Calendar'!$K$1709=SPECIAL_LBL)*10000000+0*1000000+14*1000+7))</f>
        <v/>
      </c>
      <c r="EL173" s="35">
        <f>IF(N('Dvd Calendar'!$L$1704)=0,"",IF(('Dvd Calendar'!$L$1704&gt;=GRID_FROM)*('Dvd Calendar'!$L$1704&lt;=GRID_TO)*('Dvd Calendar'!$L$1704&lt;=VAL_DATE)=0,"",'Dvd Calendar'!$L$1704*1000000000+ISNUMBER('Dvd Calendar'!$L$1707)*100000000+('Dvd Calendar'!$L$1709=SPECIAL_LBL)*10000000+0*1000000+14*1000+8))</f>
        <v/>
      </c>
      <c r="EM173" s="35">
        <f>IF(N('Dvd Calendar'!$M$1704)=0,"",IF(('Dvd Calendar'!$M$1704&gt;=GRID_FROM)*('Dvd Calendar'!$M$1704&lt;=GRID_TO)*('Dvd Calendar'!$M$1704&lt;=VAL_DATE)=0,"",'Dvd Calendar'!$M$1704*1000000000+ISNUMBER('Dvd Calendar'!$M$1707)*100000000+('Dvd Calendar'!$M$1709=SPECIAL_LBL)*10000000+0*1000000+14*1000+9))</f>
        <v/>
      </c>
      <c r="EN173" s="35">
        <f>IF(N('Dvd Calendar'!$N$1704)=0,"",IF(('Dvd Calendar'!$N$1704&gt;=GRID_FROM)*('Dvd Calendar'!$N$1704&lt;=GRID_TO)*('Dvd Calendar'!$N$1704&lt;=VAL_DATE)=0,"",'Dvd Calendar'!$N$1704*1000000000+ISNUMBER('Dvd Calendar'!$N$1707)*100000000+('Dvd Calendar'!$N$1709=SPECIAL_LBL)*10000000+0*1000000+14*1000+10))</f>
        <v/>
      </c>
      <c r="EO173" s="35">
        <f>IF(N('Dvd Calendar'!$O$1704)=0,"",IF(('Dvd Calendar'!$O$1704&gt;=GRID_FROM)*('Dvd Calendar'!$O$1704&lt;=GRID_TO)*('Dvd Calendar'!$O$1704&lt;=VAL_DATE)=0,"",'Dvd Calendar'!$O$1704*1000000000+ISNUMBER('Dvd Calendar'!$O$1707)*100000000+('Dvd Calendar'!$O$1709=SPECIAL_LBL)*10000000+0*1000000+14*1000+11))</f>
        <v/>
      </c>
      <c r="EP173" s="35">
        <f>IF(N('Dvd Calendar'!$P$1704)=0,"",IF(('Dvd Calendar'!$P$1704&gt;=GRID_FROM)*('Dvd Calendar'!$P$1704&lt;=GRID_TO)*('Dvd Calendar'!$P$1704&lt;=VAL_DATE)=0,"",'Dvd Calendar'!$P$1704*1000000000+ISNUMBER('Dvd Calendar'!$P$1707)*100000000+('Dvd Calendar'!$P$1709=SPECIAL_LBL)*10000000+0*1000000+14*1000+12))</f>
        <v/>
      </c>
      <c r="EQ173" s="35">
        <f>IF(N('Dvd Calendar'!$Q$1704)=0,"",IF(('Dvd Calendar'!$Q$1704&gt;=GRID_FROM)*('Dvd Calendar'!$Q$1704&lt;=GRID_TO)*('Dvd Calendar'!$Q$1704&lt;=VAL_DATE)=0,"",'Dvd Calendar'!$Q$1704*1000000000+ISNUMBER('Dvd Calendar'!$Q$1707)*100000000+('Dvd Calendar'!$Q$1709=SPECIAL_LBL)*10000000+0*1000000+14*1000+13))</f>
        <v/>
      </c>
      <c r="ER173" s="35">
        <f>IF(N('Dvd Calendar'!$R$1704)=0,"",IF(('Dvd Calendar'!$R$1704&gt;=GRID_FROM)*('Dvd Calendar'!$R$1704&lt;=GRID_TO)*('Dvd Calendar'!$R$1704&lt;=VAL_DATE)=0,"",'Dvd Calendar'!$R$1704*1000000000+ISNUMBER('Dvd Calendar'!$R$1707)*100000000+('Dvd Calendar'!$R$1709=SPECIAL_LBL)*10000000+0*1000000+14*1000+14))</f>
        <v/>
      </c>
      <c r="ES173" s="35">
        <f>IF(N('Dvd Calendar'!$S$1704)=0,"",IF(('Dvd Calendar'!$S$1704&gt;=GRID_FROM)*('Dvd Calendar'!$S$1704&lt;=GRID_TO)*('Dvd Calendar'!$S$1704&lt;=VAL_DATE)=0,"",'Dvd Calendar'!$S$1704*1000000000+ISNUMBER('Dvd Calendar'!$S$1707)*100000000+('Dvd Calendar'!$S$1709=SPECIAL_LBL)*10000000+0*1000000+14*1000+15))</f>
        <v/>
      </c>
      <c r="ET173" s="35">
        <f>IF(N('Dvd Calendar'!$T$1704)=0,"",IF(('Dvd Calendar'!$T$1704&gt;=GRID_FROM)*('Dvd Calendar'!$T$1704&lt;=GRID_TO)*('Dvd Calendar'!$T$1704&lt;=VAL_DATE)=0,"",'Dvd Calendar'!$T$1704*1000000000+ISNUMBER('Dvd Calendar'!$T$1707)*100000000+('Dvd Calendar'!$T$1709=SPECIAL_LBL)*10000000+0*1000000+14*1000+16))</f>
        <v/>
      </c>
      <c r="EU173" s="35">
        <f>IF(N('Dvd Calendar'!$U$1704)=0,"",IF(('Dvd Calendar'!$U$1704&gt;=GRID_FROM)*('Dvd Calendar'!$U$1704&lt;=GRID_TO)*('Dvd Calendar'!$U$1704&lt;=VAL_DATE)=0,"",'Dvd Calendar'!$U$1704*1000000000+ISNUMBER('Dvd Calendar'!$U$1707)*100000000+('Dvd Calendar'!$U$1709=SPECIAL_LBL)*10000000+0*1000000+14*1000+17))</f>
        <v/>
      </c>
      <c r="EV173" s="35">
        <f>IF(N('Dvd Calendar'!$V$1704)=0,"",IF(('Dvd Calendar'!$V$1704&gt;=GRID_FROM)*('Dvd Calendar'!$V$1704&lt;=GRID_TO)*('Dvd Calendar'!$V$1704&lt;=VAL_DATE)=0,"",'Dvd Calendar'!$V$1704*1000000000+ISNUMBER('Dvd Calendar'!$V$1707)*100000000+('Dvd Calendar'!$V$1709=SPECIAL_LBL)*10000000+0*1000000+14*1000+18))</f>
        <v/>
      </c>
      <c r="EW173" s="35">
        <f>IF(N('Dvd Calendar'!$W$1704)=0,"",IF(('Dvd Calendar'!$W$1704&gt;=GRID_FROM)*('Dvd Calendar'!$W$1704&lt;=GRID_TO)*('Dvd Calendar'!$W$1704&lt;=VAL_DATE)=0,"",'Dvd Calendar'!$W$1704*1000000000+ISNUMBER('Dvd Calendar'!$W$1707)*100000000+('Dvd Calendar'!$W$1709=SPECIAL_LBL)*10000000+0*1000000+14*1000+19))</f>
        <v/>
      </c>
      <c r="EX173" s="35">
        <f>IF(N('Dvd Calendar'!$X$1704)=0,"",IF(('Dvd Calendar'!$X$1704&gt;=GRID_FROM)*('Dvd Calendar'!$X$1704&lt;=GRID_TO)*('Dvd Calendar'!$X$1704&lt;=VAL_DATE)=0,"",'Dvd Calendar'!$X$1704*1000000000+ISNUMBER('Dvd Calendar'!$X$1707)*100000000+('Dvd Calendar'!$X$1709=SPECIAL_LBL)*10000000+0*1000000+14*1000+20))</f>
        <v/>
      </c>
      <c r="EY173" s="35">
        <f>IF(N('Dvd Calendar'!$Y$1704)=0,"",IF(('Dvd Calendar'!$Y$1704&gt;=GRID_FROM)*('Dvd Calendar'!$Y$1704&lt;=GRID_TO)*('Dvd Calendar'!$Y$1704&lt;=VAL_DATE)=0,"",'Dvd Calendar'!$Y$1704*1000000000+ISNUMBER('Dvd Calendar'!$Y$1707)*100000000+('Dvd Calendar'!$Y$1709=SPECIAL_LBL)*10000000+0*1000000+14*1000+21))</f>
        <v/>
      </c>
      <c r="EZ173" s="35">
        <f>IF(N('Dvd Calendar'!$Z$1704)=0,"",IF(('Dvd Calendar'!$Z$1704&gt;=GRID_FROM)*('Dvd Calendar'!$Z$1704&lt;=GRID_TO)*('Dvd Calendar'!$Z$1704&lt;=VAL_DATE)=0,"",'Dvd Calendar'!$Z$1704*1000000000+ISNUMBER('Dvd Calendar'!$Z$1707)*100000000+('Dvd Calendar'!$Z$1709=SPECIAL_LBL)*10000000+0*1000000+14*1000+22))</f>
        <v/>
      </c>
      <c r="FA173" s="35">
        <f>IF(N('Dvd Calendar'!$AA$1704)=0,"",IF(('Dvd Calendar'!$AA$1704&gt;=GRID_FROM)*('Dvd Calendar'!$AA$1704&lt;=GRID_TO)*('Dvd Calendar'!$AA$1704&lt;=VAL_DATE)=0,"",'Dvd Calendar'!$AA$1704*1000000000+ISNUMBER('Dvd Calendar'!$AA$1707)*100000000+('Dvd Calendar'!$AA$1709=SPECIAL_LBL)*10000000+0*1000000+14*1000+23))</f>
        <v/>
      </c>
      <c r="FB173" s="35">
        <f>IF(N('Dvd Calendar'!$AB$1704)=0,"",IF(('Dvd Calendar'!$AB$1704&gt;=GRID_FROM)*('Dvd Calendar'!$AB$1704&lt;=GRID_TO)*('Dvd Calendar'!$AB$1704&lt;=VAL_DATE)=0,"",'Dvd Calendar'!$AB$1704*1000000000+ISNUMBER('Dvd Calendar'!$AB$1707)*100000000+('Dvd Calendar'!$AB$1709=SPECIAL_LBL)*10000000+0*1000000+14*1000+24))</f>
        <v/>
      </c>
      <c r="FC173" s="35">
        <f>IF(N('Dvd Calendar'!$AC$1704)=0,"",IF(('Dvd Calendar'!$AC$1704&gt;=GRID_FROM)*('Dvd Calendar'!$AC$1704&lt;=GRID_TO)*('Dvd Calendar'!$AC$1704&lt;=VAL_DATE)=0,"",'Dvd Calendar'!$AC$1704*1000000000+ISNUMBER('Dvd Calendar'!$AC$1707)*100000000+('Dvd Calendar'!$AC$1709=SPECIAL_LBL)*10000000+0*1000000+14*1000+25))</f>
        <v/>
      </c>
      <c r="FD173" s="35">
        <f>IF(N('Dvd Calendar'!$AD$1704)=0,"",IF(('Dvd Calendar'!$AD$1704&gt;=GRID_FROM)*('Dvd Calendar'!$AD$1704&lt;=GRID_TO)*('Dvd Calendar'!$AD$1704&lt;=VAL_DATE)=0,"",'Dvd Calendar'!$AD$1704*1000000000+ISNUMBER('Dvd Calendar'!$AD$1707)*100000000+('Dvd Calendar'!$AD$1709=SPECIAL_LBL)*10000000+0*1000000+14*1000+26))</f>
        <v/>
      </c>
      <c r="FE173" s="35">
        <f>IF(N('Dvd Calendar'!$AE$1704)=0,"",IF(('Dvd Calendar'!$AE$1704&gt;=GRID_FROM)*('Dvd Calendar'!$AE$1704&lt;=GRID_TO)*('Dvd Calendar'!$AE$1704&lt;=VAL_DATE)=0,"",'Dvd Calendar'!$AE$1704*1000000000+ISNUMBER('Dvd Calendar'!$AE$1707)*100000000+('Dvd Calendar'!$AE$1709=SPECIAL_LBL)*10000000+0*1000000+14*1000+27))</f>
        <v/>
      </c>
      <c r="FF173" s="35">
        <f>IF(N('Dvd Calendar'!$AF$1704)=0,"",IF(('Dvd Calendar'!$AF$1704&gt;=GRID_FROM)*('Dvd Calendar'!$AF$1704&lt;=GRID_TO)*('Dvd Calendar'!$AF$1704&lt;=VAL_DATE)=0,"",'Dvd Calendar'!$AF$1704*1000000000+ISNUMBER('Dvd Calendar'!$AF$1707)*100000000+('Dvd Calendar'!$AF$1709=SPECIAL_LBL)*10000000+0*1000000+14*1000+28))</f>
        <v/>
      </c>
      <c r="FG173" s="35">
        <f>IF(N('Dvd Calendar'!$AG$1704)=0,"",IF(('Dvd Calendar'!$AG$1704&gt;=GRID_FROM)*('Dvd Calendar'!$AG$1704&lt;=GRID_TO)*('Dvd Calendar'!$AG$1704&lt;=VAL_DATE)=0,"",'Dvd Calendar'!$AG$1704*1000000000+ISNUMBER('Dvd Calendar'!$AG$1707)*100000000+('Dvd Calendar'!$AG$1709=SPECIAL_LBL)*10000000+0*1000000+14*1000+29))</f>
        <v/>
      </c>
      <c r="FH173" s="35">
        <f>IF(N('Dvd Calendar'!$AH$1704)=0,"",IF(('Dvd Calendar'!$AH$1704&gt;=GRID_FROM)*('Dvd Calendar'!$AH$1704&lt;=GRID_TO)*('Dvd Calendar'!$AH$1704&lt;=VAL_DATE)=0,"",'Dvd Calendar'!$AH$1704*1000000000+ISNUMBER('Dvd Calendar'!$AH$1707)*100000000+('Dvd Calendar'!$AH$1709=SPECIAL_LBL)*10000000+0*1000000+14*1000+30))</f>
        <v/>
      </c>
      <c r="FI173" s="35">
        <f>IF(N('Dvd Calendar'!$AI$1704)=0,"",IF(('Dvd Calendar'!$AI$1704&gt;=GRID_FROM)*('Dvd Calendar'!$AI$1704&lt;=GRID_TO)*('Dvd Calendar'!$AI$1704&lt;=VAL_DATE)=0,"",'Dvd Calendar'!$AI$1704*1000000000+ISNUMBER('Dvd Calendar'!$AI$1707)*100000000+('Dvd Calendar'!$AI$1709=SPECIAL_LBL)*10000000+0*1000000+14*1000+31))</f>
        <v/>
      </c>
      <c r="FJ173" s="35">
        <f>IF(N('Dvd Calendar'!$AJ$1704)=0,"",IF(('Dvd Calendar'!$AJ$1704&gt;=GRID_FROM)*('Dvd Calendar'!$AJ$1704&lt;=GRID_TO)*('Dvd Calendar'!$AJ$1704&lt;=VAL_DATE)=0,"",'Dvd Calendar'!$AJ$1704*1000000000+ISNUMBER('Dvd Calendar'!$AJ$1707)*100000000+('Dvd Calendar'!$AJ$1709=SPECIAL_LBL)*10000000+0*1000000+14*1000+32))</f>
        <v/>
      </c>
      <c r="FK173" s="35">
        <f>IF(N('Dvd Calendar'!$AK$1704)=0,"",IF(('Dvd Calendar'!$AK$1704&gt;=GRID_FROM)*('Dvd Calendar'!$AK$1704&lt;=GRID_TO)*('Dvd Calendar'!$AK$1704&lt;=VAL_DATE)=0,"",'Dvd Calendar'!$AK$1704*1000000000+ISNUMBER('Dvd Calendar'!$AK$1707)*100000000+('Dvd Calendar'!$AK$1709=SPECIAL_LBL)*10000000+0*1000000+14*1000+33))</f>
        <v/>
      </c>
      <c r="FL173" s="35">
        <f>IF(N('Dvd Calendar'!$AL$1704)=0,"",IF(('Dvd Calendar'!$AL$1704&gt;=GRID_FROM)*('Dvd Calendar'!$AL$1704&lt;=GRID_TO)*('Dvd Calendar'!$AL$1704&lt;=VAL_DATE)=0,"",'Dvd Calendar'!$AL$1704*1000000000+ISNUMBER('Dvd Calendar'!$AL$1707)*100000000+('Dvd Calendar'!$AL$1709=SPECIAL_LBL)*10000000+0*1000000+14*1000+34))</f>
        <v/>
      </c>
      <c r="FM173" s="35">
        <f>IF(N('Dvd Calendar'!$AM$1704)=0,"",IF(('Dvd Calendar'!$AM$1704&gt;=GRID_FROM)*('Dvd Calendar'!$AM$1704&lt;=GRID_TO)*('Dvd Calendar'!$AM$1704&lt;=VAL_DATE)=0,"",'Dvd Calendar'!$AM$1704*1000000000+ISNUMBER('Dvd Calendar'!$AM$1707)*100000000+('Dvd Calendar'!$AM$1709=SPECIAL_LBL)*10000000+0*1000000+14*1000+35))</f>
        <v/>
      </c>
      <c r="FN173" s="35">
        <f>IF(N('Dvd Calendar'!$AN$1704)=0,"",IF(('Dvd Calendar'!$AN$1704&gt;=GRID_FROM)*('Dvd Calendar'!$AN$1704&lt;=GRID_TO)*('Dvd Calendar'!$AN$1704&lt;=VAL_DATE)=0,"",'Dvd Calendar'!$AN$1704*1000000000+ISNUMBER('Dvd Calendar'!$AN$1707)*100000000+('Dvd Calendar'!$AN$1709=SPECIAL_LBL)*10000000+0*1000000+14*1000+36))</f>
        <v/>
      </c>
      <c r="FO173" s="35">
        <f>IF(N('Dvd Calendar'!$AO$1704)=0,"",IF(('Dvd Calendar'!$AO$1704&gt;=GRID_FROM)*('Dvd Calendar'!$AO$1704&lt;=GRID_TO)*('Dvd Calendar'!$AO$1704&lt;=VAL_DATE)=0,"",'Dvd Calendar'!$AO$1704*1000000000+ISNUMBER('Dvd Calendar'!$AO$1707)*100000000+('Dvd Calendar'!$AO$1709=SPECIAL_LBL)*10000000+0*1000000+14*1000+37))</f>
        <v/>
      </c>
      <c r="FP173" s="35">
        <f>IF(N('Dvd Calendar'!$AP$1704)=0,"",IF(('Dvd Calendar'!$AP$1704&gt;=GRID_FROM)*('Dvd Calendar'!$AP$1704&lt;=GRID_TO)*('Dvd Calendar'!$AP$1704&lt;=VAL_DATE)=0,"",'Dvd Calendar'!$AP$1704*1000000000+ISNUMBER('Dvd Calendar'!$AP$1707)*100000000+('Dvd Calendar'!$AP$1709=SPECIAL_LBL)*10000000+0*1000000+14*1000+38))</f>
        <v/>
      </c>
      <c r="FQ173" s="35">
        <f>IF(N('Dvd Calendar'!$AQ$1704)=0,"",IF(('Dvd Calendar'!$AQ$1704&gt;=GRID_FROM)*('Dvd Calendar'!$AQ$1704&lt;=GRID_TO)*('Dvd Calendar'!$AQ$1704&lt;=VAL_DATE)=0,"",'Dvd Calendar'!$AQ$1704*1000000000+ISNUMBER('Dvd Calendar'!$AQ$1707)*100000000+('Dvd Calendar'!$AQ$1709=SPECIAL_LBL)*10000000+0*1000000+14*1000+39))</f>
        <v/>
      </c>
      <c r="FR173" s="35">
        <f>IF(N('Dvd Calendar'!$AR$1704)=0,"",IF(('Dvd Calendar'!$AR$1704&gt;=GRID_FROM)*('Dvd Calendar'!$AR$1704&lt;=GRID_TO)*('Dvd Calendar'!$AR$1704&lt;=VAL_DATE)=0,"",'Dvd Calendar'!$AR$1704*1000000000+ISNUMBER('Dvd Calendar'!$AR$1707)*100000000+('Dvd Calendar'!$AR$1709=SPECIAL_LBL)*10000000+0*1000000+14*1000+40))</f>
        <v/>
      </c>
      <c r="FS173" s="35">
        <f>IF(N('Dvd Calendar'!$E$1711)=0,"",IF(('Dvd Calendar'!$E$1711&gt;=GRID_FROM)*('Dvd Calendar'!$E$1711&lt;=GRID_TO)*('Dvd Calendar'!$E$1711&gt;VAL_DATE)=0,"",'Dvd Calendar'!$E$1711*1000000000+ISNUMBER('Dvd Calendar'!$E$1712)*100000000+0*10000000+(N('Dvd Calendar'!$E$1710)&gt;0)*(N('Dvd Calendar'!$E$1710)&lt;=VAL_SERIAL)*1000000+14*1000+41))</f>
        <v/>
      </c>
      <c r="FT173" s="35">
        <f>IF(N('Dvd Calendar'!$F$1711)=0,"",IF(('Dvd Calendar'!$F$1711&gt;=GRID_FROM)*('Dvd Calendar'!$F$1711&lt;=GRID_TO)*('Dvd Calendar'!$F$1711&gt;VAL_DATE)=0,"",'Dvd Calendar'!$F$1711*1000000000+ISNUMBER('Dvd Calendar'!$F$1712)*100000000+0*10000000+(N('Dvd Calendar'!$F$1710)&gt;0)*(N('Dvd Calendar'!$F$1710)&lt;=VAL_SERIAL)*1000000+14*1000+42))</f>
        <v/>
      </c>
      <c r="FU173" s="35">
        <f>IF(N('Dvd Calendar'!$G$1711)=0,"",IF(('Dvd Calendar'!$G$1711&gt;=GRID_FROM)*('Dvd Calendar'!$G$1711&lt;=GRID_TO)*('Dvd Calendar'!$G$1711&gt;VAL_DATE)=0,"",'Dvd Calendar'!$G$1711*1000000000+ISNUMBER('Dvd Calendar'!$G$1712)*100000000+0*10000000+(N('Dvd Calendar'!$G$1710)&gt;0)*(N('Dvd Calendar'!$G$1710)&lt;=VAL_SERIAL)*1000000+14*1000+43))</f>
        <v/>
      </c>
      <c r="FV173" s="35">
        <f>IF(N('Dvd Calendar'!$H$1711)=0,"",IF(('Dvd Calendar'!$H$1711&gt;=GRID_FROM)*('Dvd Calendar'!$H$1711&lt;=GRID_TO)*('Dvd Calendar'!$H$1711&gt;VAL_DATE)=0,"",'Dvd Calendar'!$H$1711*1000000000+ISNUMBER('Dvd Calendar'!$H$1712)*100000000+0*10000000+(N('Dvd Calendar'!$H$1710)&gt;0)*(N('Dvd Calendar'!$H$1710)&lt;=VAL_SERIAL)*1000000+14*1000+44))</f>
        <v/>
      </c>
      <c r="FW173" s="35">
        <f>IF(N('Dvd Calendar'!$I$1711)=0,"",IF(('Dvd Calendar'!$I$1711&gt;=GRID_FROM)*('Dvd Calendar'!$I$1711&lt;=GRID_TO)*('Dvd Calendar'!$I$1711&gt;VAL_DATE)=0,"",'Dvd Calendar'!$I$1711*1000000000+ISNUMBER('Dvd Calendar'!$I$1712)*100000000+0*10000000+(N('Dvd Calendar'!$I$1710)&gt;0)*(N('Dvd Calendar'!$I$1710)&lt;=VAL_SERIAL)*1000000+14*1000+45))</f>
        <v/>
      </c>
      <c r="FX173" s="35">
        <f>IF(N('Dvd Calendar'!$J$1711)=0,"",IF(('Dvd Calendar'!$J$1711&gt;=GRID_FROM)*('Dvd Calendar'!$J$1711&lt;=GRID_TO)*('Dvd Calendar'!$J$1711&gt;VAL_DATE)=0,"",'Dvd Calendar'!$J$1711*1000000000+ISNUMBER('Dvd Calendar'!$J$1712)*100000000+0*10000000+(N('Dvd Calendar'!$J$1710)&gt;0)*(N('Dvd Calendar'!$J$1710)&lt;=VAL_SERIAL)*1000000+14*1000+46))</f>
        <v/>
      </c>
      <c r="FY173" s="35">
        <f>IF(N('Dvd Calendar'!$K$1711)=0,"",IF(('Dvd Calendar'!$K$1711&gt;=GRID_FROM)*('Dvd Calendar'!$K$1711&lt;=GRID_TO)*('Dvd Calendar'!$K$1711&gt;VAL_DATE)=0,"",'Dvd Calendar'!$K$1711*1000000000+ISNUMBER('Dvd Calendar'!$K$1712)*100000000+0*10000000+(N('Dvd Calendar'!$K$1710)&gt;0)*(N('Dvd Calendar'!$K$1710)&lt;=VAL_SERIAL)*1000000+14*1000+47))</f>
        <v/>
      </c>
      <c r="FZ173" s="35">
        <f>IF(N('Dvd Calendar'!$L$1711)=0,"",IF(('Dvd Calendar'!$L$1711&gt;=GRID_FROM)*('Dvd Calendar'!$L$1711&lt;=GRID_TO)*('Dvd Calendar'!$L$1711&gt;VAL_DATE)=0,"",'Dvd Calendar'!$L$1711*1000000000+ISNUMBER('Dvd Calendar'!$L$1712)*100000000+0*10000000+(N('Dvd Calendar'!$L$1710)&gt;0)*(N('Dvd Calendar'!$L$1710)&lt;=VAL_SERIAL)*1000000+14*1000+48))</f>
        <v/>
      </c>
      <c r="GA173" s="35">
        <f>IF(N('Dvd Calendar'!$M$1711)=0,"",IF(('Dvd Calendar'!$M$1711&gt;=GRID_FROM)*('Dvd Calendar'!$M$1711&lt;=GRID_TO)*('Dvd Calendar'!$M$1711&gt;VAL_DATE)=0,"",'Dvd Calendar'!$M$1711*1000000000+ISNUMBER('Dvd Calendar'!$M$1712)*100000000+0*10000000+(N('Dvd Calendar'!$M$1710)&gt;0)*(N('Dvd Calendar'!$M$1710)&lt;=VAL_SERIAL)*1000000+14*1000+49))</f>
        <v/>
      </c>
      <c r="GB173" s="35">
        <f>IF(N('Dvd Calendar'!$N$1711)=0,"",IF(('Dvd Calendar'!$N$1711&gt;=GRID_FROM)*('Dvd Calendar'!$N$1711&lt;=GRID_TO)*('Dvd Calendar'!$N$1711&gt;VAL_DATE)=0,"",'Dvd Calendar'!$N$1711*1000000000+ISNUMBER('Dvd Calendar'!$N$1712)*100000000+0*10000000+(N('Dvd Calendar'!$N$1710)&gt;0)*(N('Dvd Calendar'!$N$1710)&lt;=VAL_SERIAL)*1000000+14*1000+50))</f>
        <v/>
      </c>
      <c r="GC173" s="35">
        <f>IF(N('Dvd Calendar'!$O$1711)=0,"",IF(('Dvd Calendar'!$O$1711&gt;=GRID_FROM)*('Dvd Calendar'!$O$1711&lt;=GRID_TO)*('Dvd Calendar'!$O$1711&gt;VAL_DATE)=0,"",'Dvd Calendar'!$O$1711*1000000000+ISNUMBER('Dvd Calendar'!$O$1712)*100000000+0*10000000+(N('Dvd Calendar'!$O$1710)&gt;0)*(N('Dvd Calendar'!$O$1710)&lt;=VAL_SERIAL)*1000000+14*1000+51))</f>
        <v/>
      </c>
      <c r="GD173" s="35">
        <f>IF(N('Dvd Calendar'!$P$1711)=0,"",IF(('Dvd Calendar'!$P$1711&gt;=GRID_FROM)*('Dvd Calendar'!$P$1711&lt;=GRID_TO)*('Dvd Calendar'!$P$1711&gt;VAL_DATE)=0,"",'Dvd Calendar'!$P$1711*1000000000+ISNUMBER('Dvd Calendar'!$P$1712)*100000000+0*10000000+(N('Dvd Calendar'!$P$1710)&gt;0)*(N('Dvd Calendar'!$P$1710)&lt;=VAL_SERIAL)*1000000+14*1000+52))</f>
        <v/>
      </c>
      <c r="GE173" s="35">
        <f>IF(N('Dvd Calendar'!$Q$1711)=0,"",IF(('Dvd Calendar'!$Q$1711&gt;=GRID_FROM)*('Dvd Calendar'!$Q$1711&lt;=GRID_TO)*('Dvd Calendar'!$Q$1711&gt;VAL_DATE)=0,"",'Dvd Calendar'!$Q$1711*1000000000+ISNUMBER('Dvd Calendar'!$Q$1712)*100000000+0*10000000+(N('Dvd Calendar'!$Q$1710)&gt;0)*(N('Dvd Calendar'!$Q$1710)&lt;=VAL_SERIAL)*1000000+14*1000+53))</f>
        <v/>
      </c>
      <c r="GF173" s="35">
        <f>IF(N('Dvd Calendar'!$R$1711)=0,"",IF(('Dvd Calendar'!$R$1711&gt;=GRID_FROM)*('Dvd Calendar'!$R$1711&lt;=GRID_TO)*('Dvd Calendar'!$R$1711&gt;VAL_DATE)=0,"",'Dvd Calendar'!$R$1711*1000000000+ISNUMBER('Dvd Calendar'!$R$1712)*100000000+0*10000000+(N('Dvd Calendar'!$R$1710)&gt;0)*(N('Dvd Calendar'!$R$1710)&lt;=VAL_SERIAL)*1000000+14*1000+54))</f>
        <v/>
      </c>
      <c r="GG173" s="35">
        <f>IF(N('Dvd Calendar'!$S$1711)=0,"",IF(('Dvd Calendar'!$S$1711&gt;=GRID_FROM)*('Dvd Calendar'!$S$1711&lt;=GRID_TO)*('Dvd Calendar'!$S$1711&gt;VAL_DATE)=0,"",'Dvd Calendar'!$S$1711*1000000000+ISNUMBER('Dvd Calendar'!$S$1712)*100000000+0*10000000+(N('Dvd Calendar'!$S$1710)&gt;0)*(N('Dvd Calendar'!$S$1710)&lt;=VAL_SERIAL)*1000000+14*1000+55))</f>
        <v/>
      </c>
      <c r="GH173" s="35">
        <f>IF(N('Dvd Calendar'!$T$1711)=0,"",IF(('Dvd Calendar'!$T$1711&gt;=GRID_FROM)*('Dvd Calendar'!$T$1711&lt;=GRID_TO)*('Dvd Calendar'!$T$1711&gt;VAL_DATE)=0,"",'Dvd Calendar'!$T$1711*1000000000+ISNUMBER('Dvd Calendar'!$T$1712)*100000000+0*10000000+(N('Dvd Calendar'!$T$1710)&gt;0)*(N('Dvd Calendar'!$T$1710)&lt;=VAL_SERIAL)*1000000+14*1000+56))</f>
        <v/>
      </c>
      <c r="GI173" s="35">
        <f>IF(N('Dvd Calendar'!$U$1711)=0,"",IF(('Dvd Calendar'!$U$1711&gt;=GRID_FROM)*('Dvd Calendar'!$U$1711&lt;=GRID_TO)*('Dvd Calendar'!$U$1711&gt;VAL_DATE)=0,"",'Dvd Calendar'!$U$1711*1000000000+ISNUMBER('Dvd Calendar'!$U$1712)*100000000+0*10000000+(N('Dvd Calendar'!$U$1710)&gt;0)*(N('Dvd Calendar'!$U$1710)&lt;=VAL_SERIAL)*1000000+14*1000+57))</f>
        <v/>
      </c>
      <c r="GJ173" s="35">
        <f>IF(N('Dvd Calendar'!$V$1711)=0,"",IF(('Dvd Calendar'!$V$1711&gt;=GRID_FROM)*('Dvd Calendar'!$V$1711&lt;=GRID_TO)*('Dvd Calendar'!$V$1711&gt;VAL_DATE)=0,"",'Dvd Calendar'!$V$1711*1000000000+ISNUMBER('Dvd Calendar'!$V$1712)*100000000+0*10000000+(N('Dvd Calendar'!$V$1710)&gt;0)*(N('Dvd Calendar'!$V$1710)&lt;=VAL_SERIAL)*1000000+14*1000+58))</f>
        <v/>
      </c>
      <c r="GK173" s="35">
        <f>IF(N('Dvd Calendar'!$W$1711)=0,"",IF(('Dvd Calendar'!$W$1711&gt;=GRID_FROM)*('Dvd Calendar'!$W$1711&lt;=GRID_TO)*('Dvd Calendar'!$W$1711&gt;VAL_DATE)=0,"",'Dvd Calendar'!$W$1711*1000000000+ISNUMBER('Dvd Calendar'!$W$1712)*100000000+0*10000000+(N('Dvd Calendar'!$W$1710)&gt;0)*(N('Dvd Calendar'!$W$1710)&lt;=VAL_SERIAL)*1000000+14*1000+59))</f>
        <v/>
      </c>
      <c r="GL173" s="35">
        <f>IF(N('Dvd Calendar'!$X$1711)=0,"",IF(('Dvd Calendar'!$X$1711&gt;=GRID_FROM)*('Dvd Calendar'!$X$1711&lt;=GRID_TO)*('Dvd Calendar'!$X$1711&gt;VAL_DATE)=0,"",'Dvd Calendar'!$X$1711*1000000000+ISNUMBER('Dvd Calendar'!$X$1712)*100000000+0*10000000+(N('Dvd Calendar'!$X$1710)&gt;0)*(N('Dvd Calendar'!$X$1710)&lt;=VAL_SERIAL)*1000000+14*1000+60))</f>
        <v/>
      </c>
      <c r="GM173" s="35">
        <f>IF(N('Dvd Calendar'!$Y$1711)=0,"",IF(('Dvd Calendar'!$Y$1711&gt;=GRID_FROM)*('Dvd Calendar'!$Y$1711&lt;=GRID_TO)*('Dvd Calendar'!$Y$1711&gt;VAL_DATE)=0,"",'Dvd Calendar'!$Y$1711*1000000000+ISNUMBER('Dvd Calendar'!$Y$1712)*100000000+0*10000000+(N('Dvd Calendar'!$Y$1710)&gt;0)*(N('Dvd Calendar'!$Y$1710)&lt;=VAL_SERIAL)*1000000+14*1000+61))</f>
        <v/>
      </c>
      <c r="GN173" s="35">
        <f>IF(N('Dvd Calendar'!$Z$1711)=0,"",IF(('Dvd Calendar'!$Z$1711&gt;=GRID_FROM)*('Dvd Calendar'!$Z$1711&lt;=GRID_TO)*('Dvd Calendar'!$Z$1711&gt;VAL_DATE)=0,"",'Dvd Calendar'!$Z$1711*1000000000+ISNUMBER('Dvd Calendar'!$Z$1712)*100000000+0*10000000+(N('Dvd Calendar'!$Z$1710)&gt;0)*(N('Dvd Calendar'!$Z$1710)&lt;=VAL_SERIAL)*1000000+14*1000+62))</f>
        <v/>
      </c>
      <c r="GO173" s="35">
        <f>IF(N('Dvd Calendar'!$AA$1711)=0,"",IF(('Dvd Calendar'!$AA$1711&gt;=GRID_FROM)*('Dvd Calendar'!$AA$1711&lt;=GRID_TO)*('Dvd Calendar'!$AA$1711&gt;VAL_DATE)=0,"",'Dvd Calendar'!$AA$1711*1000000000+ISNUMBER('Dvd Calendar'!$AA$1712)*100000000+0*10000000+(N('Dvd Calendar'!$AA$1710)&gt;0)*(N('Dvd Calendar'!$AA$1710)&lt;=VAL_SERIAL)*1000000+14*1000+63))</f>
        <v/>
      </c>
      <c r="GP173" s="35">
        <f>IF(N('Dvd Calendar'!$AB$1711)=0,"",IF(('Dvd Calendar'!$AB$1711&gt;=GRID_FROM)*('Dvd Calendar'!$AB$1711&lt;=GRID_TO)*('Dvd Calendar'!$AB$1711&gt;VAL_DATE)=0,"",'Dvd Calendar'!$AB$1711*1000000000+ISNUMBER('Dvd Calendar'!$AB$1712)*100000000+0*10000000+(N('Dvd Calendar'!$AB$1710)&gt;0)*(N('Dvd Calendar'!$AB$1710)&lt;=VAL_SERIAL)*1000000+14*1000+64))</f>
        <v/>
      </c>
      <c r="GQ173" s="35">
        <f>IF(N('Dvd Calendar'!$AC$1711)=0,"",IF(('Dvd Calendar'!$AC$1711&gt;=GRID_FROM)*('Dvd Calendar'!$AC$1711&lt;=GRID_TO)*('Dvd Calendar'!$AC$1711&gt;VAL_DATE)=0,"",'Dvd Calendar'!$AC$1711*1000000000+ISNUMBER('Dvd Calendar'!$AC$1712)*100000000+0*10000000+(N('Dvd Calendar'!$AC$1710)&gt;0)*(N('Dvd Calendar'!$AC$1710)&lt;=VAL_SERIAL)*1000000+14*1000+65))</f>
        <v/>
      </c>
    </row>
    <row r="174">
      <c r="B174" s="2">
        <f>IF(HSCEI!$C$21="","",HSCEI!$C$21)</f>
        <v/>
      </c>
      <c r="C174" s="106">
        <f>IF(EE174="","",IF(ISNUMBER('Dvd Calendar'!$E$1718)=FALSE,"",IF((('Dvd Calendar'!$E$1720=TYPE1)*(TYPE1&lt;&gt;"")+('Dvd Calendar'!$E$1720=TYPE2)*(TYPE2&lt;&gt;"")+('Dvd Calendar'!$E$1720=TYPE3)*(TYPE3&lt;&gt;"")+('Dvd Calendar'!$E$1720=TYPE4)*(TYPE4&lt;&gt;"")+('Dvd Calendar'!$E$1720=SPECIAL_LBL)*(INC_SPECIALS="Y"))=0,"",'Dvd Calendar'!$E$1718)))</f>
        <v/>
      </c>
      <c r="D174" s="106">
        <f>IF(EF174="","",IF(ISNUMBER('Dvd Calendar'!$F$1718)=FALSE,"",IF((('Dvd Calendar'!$F$1720=TYPE1)*(TYPE1&lt;&gt;"")+('Dvd Calendar'!$F$1720=TYPE2)*(TYPE2&lt;&gt;"")+('Dvd Calendar'!$F$1720=TYPE3)*(TYPE3&lt;&gt;"")+('Dvd Calendar'!$F$1720=TYPE4)*(TYPE4&lt;&gt;"")+('Dvd Calendar'!$F$1720=SPECIAL_LBL)*(INC_SPECIALS="Y"))=0,"",'Dvd Calendar'!$F$1718)))</f>
        <v/>
      </c>
      <c r="E174" s="106">
        <f>IF(EG174="","",IF(ISNUMBER('Dvd Calendar'!$G$1718)=FALSE,"",IF((('Dvd Calendar'!$G$1720=TYPE1)*(TYPE1&lt;&gt;"")+('Dvd Calendar'!$G$1720=TYPE2)*(TYPE2&lt;&gt;"")+('Dvd Calendar'!$G$1720=TYPE3)*(TYPE3&lt;&gt;"")+('Dvd Calendar'!$G$1720=TYPE4)*(TYPE4&lt;&gt;"")+('Dvd Calendar'!$G$1720=SPECIAL_LBL)*(INC_SPECIALS="Y"))=0,"",'Dvd Calendar'!$G$1718)))</f>
        <v/>
      </c>
      <c r="F174" s="106">
        <f>IF(EH174="","",IF(ISNUMBER('Dvd Calendar'!$H$1718)=FALSE,"",IF((('Dvd Calendar'!$H$1720=TYPE1)*(TYPE1&lt;&gt;"")+('Dvd Calendar'!$H$1720=TYPE2)*(TYPE2&lt;&gt;"")+('Dvd Calendar'!$H$1720=TYPE3)*(TYPE3&lt;&gt;"")+('Dvd Calendar'!$H$1720=TYPE4)*(TYPE4&lt;&gt;"")+('Dvd Calendar'!$H$1720=SPECIAL_LBL)*(INC_SPECIALS="Y"))=0,"",'Dvd Calendar'!$H$1718)))</f>
        <v/>
      </c>
      <c r="G174" s="106">
        <f>IF(EI174="","",IF(ISNUMBER('Dvd Calendar'!$I$1718)=FALSE,"",IF((('Dvd Calendar'!$I$1720=TYPE1)*(TYPE1&lt;&gt;"")+('Dvd Calendar'!$I$1720=TYPE2)*(TYPE2&lt;&gt;"")+('Dvd Calendar'!$I$1720=TYPE3)*(TYPE3&lt;&gt;"")+('Dvd Calendar'!$I$1720=TYPE4)*(TYPE4&lt;&gt;"")+('Dvd Calendar'!$I$1720=SPECIAL_LBL)*(INC_SPECIALS="Y"))=0,"",'Dvd Calendar'!$I$1718)))</f>
        <v/>
      </c>
      <c r="H174" s="106">
        <f>IF(EJ174="","",IF(ISNUMBER('Dvd Calendar'!$J$1718)=FALSE,"",IF((('Dvd Calendar'!$J$1720=TYPE1)*(TYPE1&lt;&gt;"")+('Dvd Calendar'!$J$1720=TYPE2)*(TYPE2&lt;&gt;"")+('Dvd Calendar'!$J$1720=TYPE3)*(TYPE3&lt;&gt;"")+('Dvd Calendar'!$J$1720=TYPE4)*(TYPE4&lt;&gt;"")+('Dvd Calendar'!$J$1720=SPECIAL_LBL)*(INC_SPECIALS="Y"))=0,"",'Dvd Calendar'!$J$1718)))</f>
        <v/>
      </c>
      <c r="I174" s="106">
        <f>IF(EK174="","",IF(ISNUMBER('Dvd Calendar'!$K$1718)=FALSE,"",IF((('Dvd Calendar'!$K$1720=TYPE1)*(TYPE1&lt;&gt;"")+('Dvd Calendar'!$K$1720=TYPE2)*(TYPE2&lt;&gt;"")+('Dvd Calendar'!$K$1720=TYPE3)*(TYPE3&lt;&gt;"")+('Dvd Calendar'!$K$1720=TYPE4)*(TYPE4&lt;&gt;"")+('Dvd Calendar'!$K$1720=SPECIAL_LBL)*(INC_SPECIALS="Y"))=0,"",'Dvd Calendar'!$K$1718)))</f>
        <v/>
      </c>
      <c r="J174" s="106">
        <f>IF(EL174="","",IF(ISNUMBER('Dvd Calendar'!$L$1718)=FALSE,"",IF((('Dvd Calendar'!$L$1720=TYPE1)*(TYPE1&lt;&gt;"")+('Dvd Calendar'!$L$1720=TYPE2)*(TYPE2&lt;&gt;"")+('Dvd Calendar'!$L$1720=TYPE3)*(TYPE3&lt;&gt;"")+('Dvd Calendar'!$L$1720=TYPE4)*(TYPE4&lt;&gt;"")+('Dvd Calendar'!$L$1720=SPECIAL_LBL)*(INC_SPECIALS="Y"))=0,"",'Dvd Calendar'!$L$1718)))</f>
        <v/>
      </c>
      <c r="K174" s="106">
        <f>IF(EM174="","",IF(ISNUMBER('Dvd Calendar'!$M$1718)=FALSE,"",IF((('Dvd Calendar'!$M$1720=TYPE1)*(TYPE1&lt;&gt;"")+('Dvd Calendar'!$M$1720=TYPE2)*(TYPE2&lt;&gt;"")+('Dvd Calendar'!$M$1720=TYPE3)*(TYPE3&lt;&gt;"")+('Dvd Calendar'!$M$1720=TYPE4)*(TYPE4&lt;&gt;"")+('Dvd Calendar'!$M$1720=SPECIAL_LBL)*(INC_SPECIALS="Y"))=0,"",'Dvd Calendar'!$M$1718)))</f>
        <v/>
      </c>
      <c r="L174" s="106">
        <f>IF(EN174="","",IF(ISNUMBER('Dvd Calendar'!$N$1718)=FALSE,"",IF((('Dvd Calendar'!$N$1720=TYPE1)*(TYPE1&lt;&gt;"")+('Dvd Calendar'!$N$1720=TYPE2)*(TYPE2&lt;&gt;"")+('Dvd Calendar'!$N$1720=TYPE3)*(TYPE3&lt;&gt;"")+('Dvd Calendar'!$N$1720=TYPE4)*(TYPE4&lt;&gt;"")+('Dvd Calendar'!$N$1720=SPECIAL_LBL)*(INC_SPECIALS="Y"))=0,"",'Dvd Calendar'!$N$1718)))</f>
        <v/>
      </c>
      <c r="M174" s="106">
        <f>IF(EO174="","",IF(ISNUMBER('Dvd Calendar'!$O$1718)=FALSE,"",IF((('Dvd Calendar'!$O$1720=TYPE1)*(TYPE1&lt;&gt;"")+('Dvd Calendar'!$O$1720=TYPE2)*(TYPE2&lt;&gt;"")+('Dvd Calendar'!$O$1720=TYPE3)*(TYPE3&lt;&gt;"")+('Dvd Calendar'!$O$1720=TYPE4)*(TYPE4&lt;&gt;"")+('Dvd Calendar'!$O$1720=SPECIAL_LBL)*(INC_SPECIALS="Y"))=0,"",'Dvd Calendar'!$O$1718)))</f>
        <v/>
      </c>
      <c r="N174" s="106">
        <f>IF(EP174="","",IF(ISNUMBER('Dvd Calendar'!$P$1718)=FALSE,"",IF((('Dvd Calendar'!$P$1720=TYPE1)*(TYPE1&lt;&gt;"")+('Dvd Calendar'!$P$1720=TYPE2)*(TYPE2&lt;&gt;"")+('Dvd Calendar'!$P$1720=TYPE3)*(TYPE3&lt;&gt;"")+('Dvd Calendar'!$P$1720=TYPE4)*(TYPE4&lt;&gt;"")+('Dvd Calendar'!$P$1720=SPECIAL_LBL)*(INC_SPECIALS="Y"))=0,"",'Dvd Calendar'!$P$1718)))</f>
        <v/>
      </c>
      <c r="O174" s="106">
        <f>IF(EQ174="","",IF(ISNUMBER('Dvd Calendar'!$Q$1718)=FALSE,"",IF((('Dvd Calendar'!$Q$1720=TYPE1)*(TYPE1&lt;&gt;"")+('Dvd Calendar'!$Q$1720=TYPE2)*(TYPE2&lt;&gt;"")+('Dvd Calendar'!$Q$1720=TYPE3)*(TYPE3&lt;&gt;"")+('Dvd Calendar'!$Q$1720=TYPE4)*(TYPE4&lt;&gt;"")+('Dvd Calendar'!$Q$1720=SPECIAL_LBL)*(INC_SPECIALS="Y"))=0,"",'Dvd Calendar'!$Q$1718)))</f>
        <v/>
      </c>
      <c r="P174" s="106">
        <f>IF(ER174="","",IF(ISNUMBER('Dvd Calendar'!$R$1718)=FALSE,"",IF((('Dvd Calendar'!$R$1720=TYPE1)*(TYPE1&lt;&gt;"")+('Dvd Calendar'!$R$1720=TYPE2)*(TYPE2&lt;&gt;"")+('Dvd Calendar'!$R$1720=TYPE3)*(TYPE3&lt;&gt;"")+('Dvd Calendar'!$R$1720=TYPE4)*(TYPE4&lt;&gt;"")+('Dvd Calendar'!$R$1720=SPECIAL_LBL)*(INC_SPECIALS="Y"))=0,"",'Dvd Calendar'!$R$1718)))</f>
        <v/>
      </c>
      <c r="Q174" s="106">
        <f>IF(ES174="","",IF(ISNUMBER('Dvd Calendar'!$S$1718)=FALSE,"",IF((('Dvd Calendar'!$S$1720=TYPE1)*(TYPE1&lt;&gt;"")+('Dvd Calendar'!$S$1720=TYPE2)*(TYPE2&lt;&gt;"")+('Dvd Calendar'!$S$1720=TYPE3)*(TYPE3&lt;&gt;"")+('Dvd Calendar'!$S$1720=TYPE4)*(TYPE4&lt;&gt;"")+('Dvd Calendar'!$S$1720=SPECIAL_LBL)*(INC_SPECIALS="Y"))=0,"",'Dvd Calendar'!$S$1718)))</f>
        <v/>
      </c>
      <c r="R174" s="106">
        <f>IF(ET174="","",IF(ISNUMBER('Dvd Calendar'!$T$1718)=FALSE,"",IF((('Dvd Calendar'!$T$1720=TYPE1)*(TYPE1&lt;&gt;"")+('Dvd Calendar'!$T$1720=TYPE2)*(TYPE2&lt;&gt;"")+('Dvd Calendar'!$T$1720=TYPE3)*(TYPE3&lt;&gt;"")+('Dvd Calendar'!$T$1720=TYPE4)*(TYPE4&lt;&gt;"")+('Dvd Calendar'!$T$1720=SPECIAL_LBL)*(INC_SPECIALS="Y"))=0,"",'Dvd Calendar'!$T$1718)))</f>
        <v/>
      </c>
      <c r="S174" s="106">
        <f>IF(EU174="","",IF(ISNUMBER('Dvd Calendar'!$U$1718)=FALSE,"",IF((('Dvd Calendar'!$U$1720=TYPE1)*(TYPE1&lt;&gt;"")+('Dvd Calendar'!$U$1720=TYPE2)*(TYPE2&lt;&gt;"")+('Dvd Calendar'!$U$1720=TYPE3)*(TYPE3&lt;&gt;"")+('Dvd Calendar'!$U$1720=TYPE4)*(TYPE4&lt;&gt;"")+('Dvd Calendar'!$U$1720=SPECIAL_LBL)*(INC_SPECIALS="Y"))=0,"",'Dvd Calendar'!$U$1718)))</f>
        <v/>
      </c>
      <c r="T174" s="106">
        <f>IF(EV174="","",IF(ISNUMBER('Dvd Calendar'!$V$1718)=FALSE,"",IF((('Dvd Calendar'!$V$1720=TYPE1)*(TYPE1&lt;&gt;"")+('Dvd Calendar'!$V$1720=TYPE2)*(TYPE2&lt;&gt;"")+('Dvd Calendar'!$V$1720=TYPE3)*(TYPE3&lt;&gt;"")+('Dvd Calendar'!$V$1720=TYPE4)*(TYPE4&lt;&gt;"")+('Dvd Calendar'!$V$1720=SPECIAL_LBL)*(INC_SPECIALS="Y"))=0,"",'Dvd Calendar'!$V$1718)))</f>
        <v/>
      </c>
      <c r="U174" s="106">
        <f>IF(EW174="","",IF(ISNUMBER('Dvd Calendar'!$W$1718)=FALSE,"",IF((('Dvd Calendar'!$W$1720=TYPE1)*(TYPE1&lt;&gt;"")+('Dvd Calendar'!$W$1720=TYPE2)*(TYPE2&lt;&gt;"")+('Dvd Calendar'!$W$1720=TYPE3)*(TYPE3&lt;&gt;"")+('Dvd Calendar'!$W$1720=TYPE4)*(TYPE4&lt;&gt;"")+('Dvd Calendar'!$W$1720=SPECIAL_LBL)*(INC_SPECIALS="Y"))=0,"",'Dvd Calendar'!$W$1718)))</f>
        <v/>
      </c>
      <c r="V174" s="106">
        <f>IF(EX174="","",IF(ISNUMBER('Dvd Calendar'!$X$1718)=FALSE,"",IF((('Dvd Calendar'!$X$1720=TYPE1)*(TYPE1&lt;&gt;"")+('Dvd Calendar'!$X$1720=TYPE2)*(TYPE2&lt;&gt;"")+('Dvd Calendar'!$X$1720=TYPE3)*(TYPE3&lt;&gt;"")+('Dvd Calendar'!$X$1720=TYPE4)*(TYPE4&lt;&gt;"")+('Dvd Calendar'!$X$1720=SPECIAL_LBL)*(INC_SPECIALS="Y"))=0,"",'Dvd Calendar'!$X$1718)))</f>
        <v/>
      </c>
      <c r="W174" s="106">
        <f>IF(EY174="","",IF(ISNUMBER('Dvd Calendar'!$Y$1718)=FALSE,"",IF((('Dvd Calendar'!$Y$1720=TYPE1)*(TYPE1&lt;&gt;"")+('Dvd Calendar'!$Y$1720=TYPE2)*(TYPE2&lt;&gt;"")+('Dvd Calendar'!$Y$1720=TYPE3)*(TYPE3&lt;&gt;"")+('Dvd Calendar'!$Y$1720=TYPE4)*(TYPE4&lt;&gt;"")+('Dvd Calendar'!$Y$1720=SPECIAL_LBL)*(INC_SPECIALS="Y"))=0,"",'Dvd Calendar'!$Y$1718)))</f>
        <v/>
      </c>
      <c r="X174" s="106">
        <f>IF(EZ174="","",IF(ISNUMBER('Dvd Calendar'!$Z$1718)=FALSE,"",IF((('Dvd Calendar'!$Z$1720=TYPE1)*(TYPE1&lt;&gt;"")+('Dvd Calendar'!$Z$1720=TYPE2)*(TYPE2&lt;&gt;"")+('Dvd Calendar'!$Z$1720=TYPE3)*(TYPE3&lt;&gt;"")+('Dvd Calendar'!$Z$1720=TYPE4)*(TYPE4&lt;&gt;"")+('Dvd Calendar'!$Z$1720=SPECIAL_LBL)*(INC_SPECIALS="Y"))=0,"",'Dvd Calendar'!$Z$1718)))</f>
        <v/>
      </c>
      <c r="Y174" s="106">
        <f>IF(FA174="","",IF(ISNUMBER('Dvd Calendar'!$AA$1718)=FALSE,"",IF((('Dvd Calendar'!$AA$1720=TYPE1)*(TYPE1&lt;&gt;"")+('Dvd Calendar'!$AA$1720=TYPE2)*(TYPE2&lt;&gt;"")+('Dvd Calendar'!$AA$1720=TYPE3)*(TYPE3&lt;&gt;"")+('Dvd Calendar'!$AA$1720=TYPE4)*(TYPE4&lt;&gt;"")+('Dvd Calendar'!$AA$1720=SPECIAL_LBL)*(INC_SPECIALS="Y"))=0,"",'Dvd Calendar'!$AA$1718)))</f>
        <v/>
      </c>
      <c r="Z174" s="106">
        <f>IF(FB174="","",IF(ISNUMBER('Dvd Calendar'!$AB$1718)=FALSE,"",IF((('Dvd Calendar'!$AB$1720=TYPE1)*(TYPE1&lt;&gt;"")+('Dvd Calendar'!$AB$1720=TYPE2)*(TYPE2&lt;&gt;"")+('Dvd Calendar'!$AB$1720=TYPE3)*(TYPE3&lt;&gt;"")+('Dvd Calendar'!$AB$1720=TYPE4)*(TYPE4&lt;&gt;"")+('Dvd Calendar'!$AB$1720=SPECIAL_LBL)*(INC_SPECIALS="Y"))=0,"",'Dvd Calendar'!$AB$1718)))</f>
        <v/>
      </c>
      <c r="AA174" s="106">
        <f>IF(FC174="","",IF(ISNUMBER('Dvd Calendar'!$AC$1718)=FALSE,"",IF((('Dvd Calendar'!$AC$1720=TYPE1)*(TYPE1&lt;&gt;"")+('Dvd Calendar'!$AC$1720=TYPE2)*(TYPE2&lt;&gt;"")+('Dvd Calendar'!$AC$1720=TYPE3)*(TYPE3&lt;&gt;"")+('Dvd Calendar'!$AC$1720=TYPE4)*(TYPE4&lt;&gt;"")+('Dvd Calendar'!$AC$1720=SPECIAL_LBL)*(INC_SPECIALS="Y"))=0,"",'Dvd Calendar'!$AC$1718)))</f>
        <v/>
      </c>
      <c r="AB174" s="106">
        <f>IF(FD174="","",IF(ISNUMBER('Dvd Calendar'!$AD$1718)=FALSE,"",IF((('Dvd Calendar'!$AD$1720=TYPE1)*(TYPE1&lt;&gt;"")+('Dvd Calendar'!$AD$1720=TYPE2)*(TYPE2&lt;&gt;"")+('Dvd Calendar'!$AD$1720=TYPE3)*(TYPE3&lt;&gt;"")+('Dvd Calendar'!$AD$1720=TYPE4)*(TYPE4&lt;&gt;"")+('Dvd Calendar'!$AD$1720=SPECIAL_LBL)*(INC_SPECIALS="Y"))=0,"",'Dvd Calendar'!$AD$1718)))</f>
        <v/>
      </c>
      <c r="AC174" s="106">
        <f>IF(FE174="","",IF(ISNUMBER('Dvd Calendar'!$AE$1718)=FALSE,"",IF((('Dvd Calendar'!$AE$1720=TYPE1)*(TYPE1&lt;&gt;"")+('Dvd Calendar'!$AE$1720=TYPE2)*(TYPE2&lt;&gt;"")+('Dvd Calendar'!$AE$1720=TYPE3)*(TYPE3&lt;&gt;"")+('Dvd Calendar'!$AE$1720=TYPE4)*(TYPE4&lt;&gt;"")+('Dvd Calendar'!$AE$1720=SPECIAL_LBL)*(INC_SPECIALS="Y"))=0,"",'Dvd Calendar'!$AE$1718)))</f>
        <v/>
      </c>
      <c r="AD174" s="106">
        <f>IF(FF174="","",IF(ISNUMBER('Dvd Calendar'!$AF$1718)=FALSE,"",IF((('Dvd Calendar'!$AF$1720=TYPE1)*(TYPE1&lt;&gt;"")+('Dvd Calendar'!$AF$1720=TYPE2)*(TYPE2&lt;&gt;"")+('Dvd Calendar'!$AF$1720=TYPE3)*(TYPE3&lt;&gt;"")+('Dvd Calendar'!$AF$1720=TYPE4)*(TYPE4&lt;&gt;"")+('Dvd Calendar'!$AF$1720=SPECIAL_LBL)*(INC_SPECIALS="Y"))=0,"",'Dvd Calendar'!$AF$1718)))</f>
        <v/>
      </c>
      <c r="AE174" s="106">
        <f>IF(FG174="","",IF(ISNUMBER('Dvd Calendar'!$AG$1718)=FALSE,"",IF((('Dvd Calendar'!$AG$1720=TYPE1)*(TYPE1&lt;&gt;"")+('Dvd Calendar'!$AG$1720=TYPE2)*(TYPE2&lt;&gt;"")+('Dvd Calendar'!$AG$1720=TYPE3)*(TYPE3&lt;&gt;"")+('Dvd Calendar'!$AG$1720=TYPE4)*(TYPE4&lt;&gt;"")+('Dvd Calendar'!$AG$1720=SPECIAL_LBL)*(INC_SPECIALS="Y"))=0,"",'Dvd Calendar'!$AG$1718)))</f>
        <v/>
      </c>
      <c r="AF174" s="106">
        <f>IF(FH174="","",IF(ISNUMBER('Dvd Calendar'!$AH$1718)=FALSE,"",IF((('Dvd Calendar'!$AH$1720=TYPE1)*(TYPE1&lt;&gt;"")+('Dvd Calendar'!$AH$1720=TYPE2)*(TYPE2&lt;&gt;"")+('Dvd Calendar'!$AH$1720=TYPE3)*(TYPE3&lt;&gt;"")+('Dvd Calendar'!$AH$1720=TYPE4)*(TYPE4&lt;&gt;"")+('Dvd Calendar'!$AH$1720=SPECIAL_LBL)*(INC_SPECIALS="Y"))=0,"",'Dvd Calendar'!$AH$1718)))</f>
        <v/>
      </c>
      <c r="AG174" s="106">
        <f>IF(FI174="","",IF(ISNUMBER('Dvd Calendar'!$AI$1718)=FALSE,"",IF((('Dvd Calendar'!$AI$1720=TYPE1)*(TYPE1&lt;&gt;"")+('Dvd Calendar'!$AI$1720=TYPE2)*(TYPE2&lt;&gt;"")+('Dvd Calendar'!$AI$1720=TYPE3)*(TYPE3&lt;&gt;"")+('Dvd Calendar'!$AI$1720=TYPE4)*(TYPE4&lt;&gt;"")+('Dvd Calendar'!$AI$1720=SPECIAL_LBL)*(INC_SPECIALS="Y"))=0,"",'Dvd Calendar'!$AI$1718)))</f>
        <v/>
      </c>
      <c r="AH174" s="106">
        <f>IF(FJ174="","",IF(ISNUMBER('Dvd Calendar'!$AJ$1718)=FALSE,"",IF((('Dvd Calendar'!$AJ$1720=TYPE1)*(TYPE1&lt;&gt;"")+('Dvd Calendar'!$AJ$1720=TYPE2)*(TYPE2&lt;&gt;"")+('Dvd Calendar'!$AJ$1720=TYPE3)*(TYPE3&lt;&gt;"")+('Dvd Calendar'!$AJ$1720=TYPE4)*(TYPE4&lt;&gt;"")+('Dvd Calendar'!$AJ$1720=SPECIAL_LBL)*(INC_SPECIALS="Y"))=0,"",'Dvd Calendar'!$AJ$1718)))</f>
        <v/>
      </c>
      <c r="AI174" s="106">
        <f>IF(FK174="","",IF(ISNUMBER('Dvd Calendar'!$AK$1718)=FALSE,"",IF((('Dvd Calendar'!$AK$1720=TYPE1)*(TYPE1&lt;&gt;"")+('Dvd Calendar'!$AK$1720=TYPE2)*(TYPE2&lt;&gt;"")+('Dvd Calendar'!$AK$1720=TYPE3)*(TYPE3&lt;&gt;"")+('Dvd Calendar'!$AK$1720=TYPE4)*(TYPE4&lt;&gt;"")+('Dvd Calendar'!$AK$1720=SPECIAL_LBL)*(INC_SPECIALS="Y"))=0,"",'Dvd Calendar'!$AK$1718)))</f>
        <v/>
      </c>
      <c r="AJ174" s="106">
        <f>IF(FL174="","",IF(ISNUMBER('Dvd Calendar'!$AL$1718)=FALSE,"",IF((('Dvd Calendar'!$AL$1720=TYPE1)*(TYPE1&lt;&gt;"")+('Dvd Calendar'!$AL$1720=TYPE2)*(TYPE2&lt;&gt;"")+('Dvd Calendar'!$AL$1720=TYPE3)*(TYPE3&lt;&gt;"")+('Dvd Calendar'!$AL$1720=TYPE4)*(TYPE4&lt;&gt;"")+('Dvd Calendar'!$AL$1720=SPECIAL_LBL)*(INC_SPECIALS="Y"))=0,"",'Dvd Calendar'!$AL$1718)))</f>
        <v/>
      </c>
      <c r="AK174" s="106">
        <f>IF(FM174="","",IF(ISNUMBER('Dvd Calendar'!$AM$1718)=FALSE,"",IF((('Dvd Calendar'!$AM$1720=TYPE1)*(TYPE1&lt;&gt;"")+('Dvd Calendar'!$AM$1720=TYPE2)*(TYPE2&lt;&gt;"")+('Dvd Calendar'!$AM$1720=TYPE3)*(TYPE3&lt;&gt;"")+('Dvd Calendar'!$AM$1720=TYPE4)*(TYPE4&lt;&gt;"")+('Dvd Calendar'!$AM$1720=SPECIAL_LBL)*(INC_SPECIALS="Y"))=0,"",'Dvd Calendar'!$AM$1718)))</f>
        <v/>
      </c>
      <c r="AL174" s="106">
        <f>IF(FN174="","",IF(ISNUMBER('Dvd Calendar'!$AN$1718)=FALSE,"",IF((('Dvd Calendar'!$AN$1720=TYPE1)*(TYPE1&lt;&gt;"")+('Dvd Calendar'!$AN$1720=TYPE2)*(TYPE2&lt;&gt;"")+('Dvd Calendar'!$AN$1720=TYPE3)*(TYPE3&lt;&gt;"")+('Dvd Calendar'!$AN$1720=TYPE4)*(TYPE4&lt;&gt;"")+('Dvd Calendar'!$AN$1720=SPECIAL_LBL)*(INC_SPECIALS="Y"))=0,"",'Dvd Calendar'!$AN$1718)))</f>
        <v/>
      </c>
      <c r="AM174" s="106">
        <f>IF(FO174="","",IF(ISNUMBER('Dvd Calendar'!$AO$1718)=FALSE,"",IF((('Dvd Calendar'!$AO$1720=TYPE1)*(TYPE1&lt;&gt;"")+('Dvd Calendar'!$AO$1720=TYPE2)*(TYPE2&lt;&gt;"")+('Dvd Calendar'!$AO$1720=TYPE3)*(TYPE3&lt;&gt;"")+('Dvd Calendar'!$AO$1720=TYPE4)*(TYPE4&lt;&gt;"")+('Dvd Calendar'!$AO$1720=SPECIAL_LBL)*(INC_SPECIALS="Y"))=0,"",'Dvd Calendar'!$AO$1718)))</f>
        <v/>
      </c>
      <c r="AN174" s="106">
        <f>IF(FP174="","",IF(ISNUMBER('Dvd Calendar'!$AP$1718)=FALSE,"",IF((('Dvd Calendar'!$AP$1720=TYPE1)*(TYPE1&lt;&gt;"")+('Dvd Calendar'!$AP$1720=TYPE2)*(TYPE2&lt;&gt;"")+('Dvd Calendar'!$AP$1720=TYPE3)*(TYPE3&lt;&gt;"")+('Dvd Calendar'!$AP$1720=TYPE4)*(TYPE4&lt;&gt;"")+('Dvd Calendar'!$AP$1720=SPECIAL_LBL)*(INC_SPECIALS="Y"))=0,"",'Dvd Calendar'!$AP$1718)))</f>
        <v/>
      </c>
      <c r="AO174" s="106">
        <f>IF(FQ174="","",IF(ISNUMBER('Dvd Calendar'!$AQ$1718)=FALSE,"",IF((('Dvd Calendar'!$AQ$1720=TYPE1)*(TYPE1&lt;&gt;"")+('Dvd Calendar'!$AQ$1720=TYPE2)*(TYPE2&lt;&gt;"")+('Dvd Calendar'!$AQ$1720=TYPE3)*(TYPE3&lt;&gt;"")+('Dvd Calendar'!$AQ$1720=TYPE4)*(TYPE4&lt;&gt;"")+('Dvd Calendar'!$AQ$1720=SPECIAL_LBL)*(INC_SPECIALS="Y"))=0,"",'Dvd Calendar'!$AQ$1718)))</f>
        <v/>
      </c>
      <c r="AP174" s="106">
        <f>IF(FR174="","",IF(ISNUMBER('Dvd Calendar'!$AR$1718)=FALSE,"",IF((('Dvd Calendar'!$AR$1720=TYPE1)*(TYPE1&lt;&gt;"")+('Dvd Calendar'!$AR$1720=TYPE2)*(TYPE2&lt;&gt;"")+('Dvd Calendar'!$AR$1720=TYPE3)*(TYPE3&lt;&gt;"")+('Dvd Calendar'!$AR$1720=TYPE4)*(TYPE4&lt;&gt;"")+('Dvd Calendar'!$AR$1720=SPECIAL_LBL)*(INC_SPECIALS="Y"))=0,"",'Dvd Calendar'!$AR$1718)))</f>
        <v/>
      </c>
      <c r="AQ174" s="106">
        <f>IF(FS174="","",IF(ISNUMBER('Dvd Calendar'!$E$1723)=FALSE,"",'Dvd Calendar'!$E$1723))</f>
        <v/>
      </c>
      <c r="AR174" s="106">
        <f>IF(FT174="","",IF(ISNUMBER('Dvd Calendar'!$F$1723)=FALSE,"",'Dvd Calendar'!$F$1723))</f>
        <v/>
      </c>
      <c r="AS174" s="106">
        <f>IF(FU174="","",IF(ISNUMBER('Dvd Calendar'!$G$1723)=FALSE,"",'Dvd Calendar'!$G$1723))</f>
        <v/>
      </c>
      <c r="AT174" s="106">
        <f>IF(FV174="","",IF(ISNUMBER('Dvd Calendar'!$H$1723)=FALSE,"",'Dvd Calendar'!$H$1723))</f>
        <v/>
      </c>
      <c r="AU174" s="106">
        <f>IF(FW174="","",IF(ISNUMBER('Dvd Calendar'!$I$1723)=FALSE,"",'Dvd Calendar'!$I$1723))</f>
        <v/>
      </c>
      <c r="AV174" s="106">
        <f>IF(FX174="","",IF(ISNUMBER('Dvd Calendar'!$J$1723)=FALSE,"",'Dvd Calendar'!$J$1723))</f>
        <v/>
      </c>
      <c r="AW174" s="106">
        <f>IF(FY174="","",IF(ISNUMBER('Dvd Calendar'!$K$1723)=FALSE,"",'Dvd Calendar'!$K$1723))</f>
        <v/>
      </c>
      <c r="AX174" s="106">
        <f>IF(FZ174="","",IF(ISNUMBER('Dvd Calendar'!$L$1723)=FALSE,"",'Dvd Calendar'!$L$1723))</f>
        <v/>
      </c>
      <c r="AY174" s="106">
        <f>IF(GA174="","",IF(ISNUMBER('Dvd Calendar'!$M$1723)=FALSE,"",'Dvd Calendar'!$M$1723))</f>
        <v/>
      </c>
      <c r="AZ174" s="106">
        <f>IF(GB174="","",IF(ISNUMBER('Dvd Calendar'!$N$1723)=FALSE,"",'Dvd Calendar'!$N$1723))</f>
        <v/>
      </c>
      <c r="BA174" s="106">
        <f>IF(GC174="","",IF(ISNUMBER('Dvd Calendar'!$O$1723)=FALSE,"",'Dvd Calendar'!$O$1723))</f>
        <v/>
      </c>
      <c r="BB174" s="106">
        <f>IF(GD174="","",IF(ISNUMBER('Dvd Calendar'!$P$1723)=FALSE,"",'Dvd Calendar'!$P$1723))</f>
        <v/>
      </c>
      <c r="BC174" s="106">
        <f>IF(GE174="","",IF(ISNUMBER('Dvd Calendar'!$Q$1723)=FALSE,"",'Dvd Calendar'!$Q$1723))</f>
        <v/>
      </c>
      <c r="BD174" s="106">
        <f>IF(GF174="","",IF(ISNUMBER('Dvd Calendar'!$R$1723)=FALSE,"",'Dvd Calendar'!$R$1723))</f>
        <v/>
      </c>
      <c r="BE174" s="106">
        <f>IF(GG174="","",IF(ISNUMBER('Dvd Calendar'!$S$1723)=FALSE,"",'Dvd Calendar'!$S$1723))</f>
        <v/>
      </c>
      <c r="BF174" s="106">
        <f>IF(GH174="","",IF(ISNUMBER('Dvd Calendar'!$T$1723)=FALSE,"",'Dvd Calendar'!$T$1723))</f>
        <v/>
      </c>
      <c r="BG174" s="106">
        <f>IF(GI174="","",IF(ISNUMBER('Dvd Calendar'!$U$1723)=FALSE,"",'Dvd Calendar'!$U$1723))</f>
        <v/>
      </c>
      <c r="BH174" s="106">
        <f>IF(GJ174="","",IF(ISNUMBER('Dvd Calendar'!$V$1723)=FALSE,"",'Dvd Calendar'!$V$1723))</f>
        <v/>
      </c>
      <c r="BI174" s="106">
        <f>IF(GK174="","",IF(ISNUMBER('Dvd Calendar'!$W$1723)=FALSE,"",'Dvd Calendar'!$W$1723))</f>
        <v/>
      </c>
      <c r="BJ174" s="106">
        <f>IF(GL174="","",IF(ISNUMBER('Dvd Calendar'!$X$1723)=FALSE,"",'Dvd Calendar'!$X$1723))</f>
        <v/>
      </c>
      <c r="BK174" s="106">
        <f>IF(GM174="","",IF(ISNUMBER('Dvd Calendar'!$Y$1723)=FALSE,"",'Dvd Calendar'!$Y$1723))</f>
        <v/>
      </c>
      <c r="BL174" s="106">
        <f>IF(GN174="","",IF(ISNUMBER('Dvd Calendar'!$Z$1723)=FALSE,"",'Dvd Calendar'!$Z$1723))</f>
        <v/>
      </c>
      <c r="BM174" s="106">
        <f>IF(GO174="","",IF(ISNUMBER('Dvd Calendar'!$AA$1723)=FALSE,"",'Dvd Calendar'!$AA$1723))</f>
        <v/>
      </c>
      <c r="BN174" s="106">
        <f>IF(GP174="","",IF(ISNUMBER('Dvd Calendar'!$AB$1723)=FALSE,"",'Dvd Calendar'!$AB$1723))</f>
        <v/>
      </c>
      <c r="BO174" s="106">
        <f>IF(GQ174="","",IF(ISNUMBER('Dvd Calendar'!$AC$1723)=FALSE,"",'Dvd Calendar'!$AC$1723))</f>
        <v/>
      </c>
      <c r="BQ174" s="106">
        <f>IF(C174="","",IFERROR(C174*HSCEI!$B$21*HSCEI!$G$21/HSCEI!$B$3,""))</f>
        <v/>
      </c>
      <c r="BR174" s="106">
        <f>IF(D174="","",IFERROR(D174*HSCEI!$B$21*HSCEI!$G$21/HSCEI!$B$3,""))</f>
        <v/>
      </c>
      <c r="BS174" s="106">
        <f>IF(E174="","",IFERROR(E174*HSCEI!$B$21*HSCEI!$G$21/HSCEI!$B$3,""))</f>
        <v/>
      </c>
      <c r="BT174" s="106">
        <f>IF(F174="","",IFERROR(F174*HSCEI!$B$21*HSCEI!$G$21/HSCEI!$B$3,""))</f>
        <v/>
      </c>
      <c r="BU174" s="106">
        <f>IF(G174="","",IFERROR(G174*HSCEI!$B$21*HSCEI!$G$21/HSCEI!$B$3,""))</f>
        <v/>
      </c>
      <c r="BV174" s="106">
        <f>IF(H174="","",IFERROR(H174*HSCEI!$B$21*HSCEI!$G$21/HSCEI!$B$3,""))</f>
        <v/>
      </c>
      <c r="BW174" s="106">
        <f>IF(I174="","",IFERROR(I174*HSCEI!$B$21*HSCEI!$G$21/HSCEI!$B$3,""))</f>
        <v/>
      </c>
      <c r="BX174" s="106">
        <f>IF(J174="","",IFERROR(J174*HSCEI!$B$21*HSCEI!$G$21/HSCEI!$B$3,""))</f>
        <v/>
      </c>
      <c r="BY174" s="106">
        <f>IF(K174="","",IFERROR(K174*HSCEI!$B$21*HSCEI!$G$21/HSCEI!$B$3,""))</f>
        <v/>
      </c>
      <c r="BZ174" s="106">
        <f>IF(L174="","",IFERROR(L174*HSCEI!$B$21*HSCEI!$G$21/HSCEI!$B$3,""))</f>
        <v/>
      </c>
      <c r="CA174" s="106">
        <f>IF(M174="","",IFERROR(M174*HSCEI!$B$21*HSCEI!$G$21/HSCEI!$B$3,""))</f>
        <v/>
      </c>
      <c r="CB174" s="106">
        <f>IF(N174="","",IFERROR(N174*HSCEI!$B$21*HSCEI!$G$21/HSCEI!$B$3,""))</f>
        <v/>
      </c>
      <c r="CC174" s="106">
        <f>IF(O174="","",IFERROR(O174*HSCEI!$B$21*HSCEI!$G$21/HSCEI!$B$3,""))</f>
        <v/>
      </c>
      <c r="CD174" s="106">
        <f>IF(P174="","",IFERROR(P174*HSCEI!$B$21*HSCEI!$G$21/HSCEI!$B$3,""))</f>
        <v/>
      </c>
      <c r="CE174" s="106">
        <f>IF(Q174="","",IFERROR(Q174*HSCEI!$B$21*HSCEI!$G$21/HSCEI!$B$3,""))</f>
        <v/>
      </c>
      <c r="CF174" s="106">
        <f>IF(R174="","",IFERROR(R174*HSCEI!$B$21*HSCEI!$G$21/HSCEI!$B$3,""))</f>
        <v/>
      </c>
      <c r="CG174" s="106">
        <f>IF(S174="","",IFERROR(S174*HSCEI!$B$21*HSCEI!$G$21/HSCEI!$B$3,""))</f>
        <v/>
      </c>
      <c r="CH174" s="106">
        <f>IF(T174="","",IFERROR(T174*HSCEI!$B$21*HSCEI!$G$21/HSCEI!$B$3,""))</f>
        <v/>
      </c>
      <c r="CI174" s="106">
        <f>IF(U174="","",IFERROR(U174*HSCEI!$B$21*HSCEI!$G$21/HSCEI!$B$3,""))</f>
        <v/>
      </c>
      <c r="CJ174" s="106">
        <f>IF(V174="","",IFERROR(V174*HSCEI!$B$21*HSCEI!$G$21/HSCEI!$B$3,""))</f>
        <v/>
      </c>
      <c r="CK174" s="106">
        <f>IF(W174="","",IFERROR(W174*HSCEI!$B$21*HSCEI!$G$21/HSCEI!$B$3,""))</f>
        <v/>
      </c>
      <c r="CL174" s="106">
        <f>IF(X174="","",IFERROR(X174*HSCEI!$B$21*HSCEI!$G$21/HSCEI!$B$3,""))</f>
        <v/>
      </c>
      <c r="CM174" s="106">
        <f>IF(Y174="","",IFERROR(Y174*HSCEI!$B$21*HSCEI!$G$21/HSCEI!$B$3,""))</f>
        <v/>
      </c>
      <c r="CN174" s="106">
        <f>IF(Z174="","",IFERROR(Z174*HSCEI!$B$21*HSCEI!$G$21/HSCEI!$B$3,""))</f>
        <v/>
      </c>
      <c r="CO174" s="106">
        <f>IF(AA174="","",IFERROR(AA174*HSCEI!$B$21*HSCEI!$G$21/HSCEI!$B$3,""))</f>
        <v/>
      </c>
      <c r="CP174" s="106">
        <f>IF(AB174="","",IFERROR(AB174*HSCEI!$B$21*HSCEI!$G$21/HSCEI!$B$3,""))</f>
        <v/>
      </c>
      <c r="CQ174" s="106">
        <f>IF(AC174="","",IFERROR(AC174*HSCEI!$B$21*HSCEI!$G$21/HSCEI!$B$3,""))</f>
        <v/>
      </c>
      <c r="CR174" s="106">
        <f>IF(AD174="","",IFERROR(AD174*HSCEI!$B$21*HSCEI!$G$21/HSCEI!$B$3,""))</f>
        <v/>
      </c>
      <c r="CS174" s="106">
        <f>IF(AE174="","",IFERROR(AE174*HSCEI!$B$21*HSCEI!$G$21/HSCEI!$B$3,""))</f>
        <v/>
      </c>
      <c r="CT174" s="106">
        <f>IF(AF174="","",IFERROR(AF174*HSCEI!$B$21*HSCEI!$G$21/HSCEI!$B$3,""))</f>
        <v/>
      </c>
      <c r="CU174" s="106">
        <f>IF(AG174="","",IFERROR(AG174*HSCEI!$B$21*HSCEI!$G$21/HSCEI!$B$3,""))</f>
        <v/>
      </c>
      <c r="CV174" s="106">
        <f>IF(AH174="","",IFERROR(AH174*HSCEI!$B$21*HSCEI!$G$21/HSCEI!$B$3,""))</f>
        <v/>
      </c>
      <c r="CW174" s="106">
        <f>IF(AI174="","",IFERROR(AI174*HSCEI!$B$21*HSCEI!$G$21/HSCEI!$B$3,""))</f>
        <v/>
      </c>
      <c r="CX174" s="106">
        <f>IF(AJ174="","",IFERROR(AJ174*HSCEI!$B$21*HSCEI!$G$21/HSCEI!$B$3,""))</f>
        <v/>
      </c>
      <c r="CY174" s="106">
        <f>IF(AK174="","",IFERROR(AK174*HSCEI!$B$21*HSCEI!$G$21/HSCEI!$B$3,""))</f>
        <v/>
      </c>
      <c r="CZ174" s="106">
        <f>IF(AL174="","",IFERROR(AL174*HSCEI!$B$21*HSCEI!$G$21/HSCEI!$B$3,""))</f>
        <v/>
      </c>
      <c r="DA174" s="106">
        <f>IF(AM174="","",IFERROR(AM174*HSCEI!$B$21*HSCEI!$G$21/HSCEI!$B$3,""))</f>
        <v/>
      </c>
      <c r="DB174" s="106">
        <f>IF(AN174="","",IFERROR(AN174*HSCEI!$B$21*HSCEI!$G$21/HSCEI!$B$3,""))</f>
        <v/>
      </c>
      <c r="DC174" s="106">
        <f>IF(AO174="","",IFERROR(AO174*HSCEI!$B$21*HSCEI!$G$21/HSCEI!$B$3,""))</f>
        <v/>
      </c>
      <c r="DD174" s="106">
        <f>IF(AP174="","",IFERROR(AP174*HSCEI!$B$21*HSCEI!$G$21/HSCEI!$B$3,""))</f>
        <v/>
      </c>
      <c r="DE174" s="106">
        <f>IF(AQ174="","",IFERROR(AQ174*HSCEI!$B$21*HSCEI!$G$21/HSCEI!$B$3,""))</f>
        <v/>
      </c>
      <c r="DF174" s="106">
        <f>IF(AR174="","",IFERROR(AR174*HSCEI!$B$21*HSCEI!$G$21/HSCEI!$B$3,""))</f>
        <v/>
      </c>
      <c r="DG174" s="106">
        <f>IF(AS174="","",IFERROR(AS174*HSCEI!$B$21*HSCEI!$G$21/HSCEI!$B$3,""))</f>
        <v/>
      </c>
      <c r="DH174" s="106">
        <f>IF(AT174="","",IFERROR(AT174*HSCEI!$B$21*HSCEI!$G$21/HSCEI!$B$3,""))</f>
        <v/>
      </c>
      <c r="DI174" s="106">
        <f>IF(AU174="","",IFERROR(AU174*HSCEI!$B$21*HSCEI!$G$21/HSCEI!$B$3,""))</f>
        <v/>
      </c>
      <c r="DJ174" s="106">
        <f>IF(AV174="","",IFERROR(AV174*HSCEI!$B$21*HSCEI!$G$21/HSCEI!$B$3,""))</f>
        <v/>
      </c>
      <c r="DK174" s="106">
        <f>IF(AW174="","",IFERROR(AW174*HSCEI!$B$21*HSCEI!$G$21/HSCEI!$B$3,""))</f>
        <v/>
      </c>
      <c r="DL174" s="106">
        <f>IF(AX174="","",IFERROR(AX174*HSCEI!$B$21*HSCEI!$G$21/HSCEI!$B$3,""))</f>
        <v/>
      </c>
      <c r="DM174" s="106">
        <f>IF(AY174="","",IFERROR(AY174*HSCEI!$B$21*HSCEI!$G$21/HSCEI!$B$3,""))</f>
        <v/>
      </c>
      <c r="DN174" s="106">
        <f>IF(AZ174="","",IFERROR(AZ174*HSCEI!$B$21*HSCEI!$G$21/HSCEI!$B$3,""))</f>
        <v/>
      </c>
      <c r="DO174" s="106">
        <f>IF(BA174="","",IFERROR(BA174*HSCEI!$B$21*HSCEI!$G$21/HSCEI!$B$3,""))</f>
        <v/>
      </c>
      <c r="DP174" s="106">
        <f>IF(BB174="","",IFERROR(BB174*HSCEI!$B$21*HSCEI!$G$21/HSCEI!$B$3,""))</f>
        <v/>
      </c>
      <c r="DQ174" s="106">
        <f>IF(BC174="","",IFERROR(BC174*HSCEI!$B$21*HSCEI!$G$21/HSCEI!$B$3,""))</f>
        <v/>
      </c>
      <c r="DR174" s="106">
        <f>IF(BD174="","",IFERROR(BD174*HSCEI!$B$21*HSCEI!$G$21/HSCEI!$B$3,""))</f>
        <v/>
      </c>
      <c r="DS174" s="106">
        <f>IF(BE174="","",IFERROR(BE174*HSCEI!$B$21*HSCEI!$G$21/HSCEI!$B$3,""))</f>
        <v/>
      </c>
      <c r="DT174" s="106">
        <f>IF(BF174="","",IFERROR(BF174*HSCEI!$B$21*HSCEI!$G$21/HSCEI!$B$3,""))</f>
        <v/>
      </c>
      <c r="DU174" s="106">
        <f>IF(BG174="","",IFERROR(BG174*HSCEI!$B$21*HSCEI!$G$21/HSCEI!$B$3,""))</f>
        <v/>
      </c>
      <c r="DV174" s="106">
        <f>IF(BH174="","",IFERROR(BH174*HSCEI!$B$21*HSCEI!$G$21/HSCEI!$B$3,""))</f>
        <v/>
      </c>
      <c r="DW174" s="106">
        <f>IF(BI174="","",IFERROR(BI174*HSCEI!$B$21*HSCEI!$G$21/HSCEI!$B$3,""))</f>
        <v/>
      </c>
      <c r="DX174" s="106">
        <f>IF(BJ174="","",IFERROR(BJ174*HSCEI!$B$21*HSCEI!$G$21/HSCEI!$B$3,""))</f>
        <v/>
      </c>
      <c r="DY174" s="106">
        <f>IF(BK174="","",IFERROR(BK174*HSCEI!$B$21*HSCEI!$G$21/HSCEI!$B$3,""))</f>
        <v/>
      </c>
      <c r="DZ174" s="106">
        <f>IF(BL174="","",IFERROR(BL174*HSCEI!$B$21*HSCEI!$G$21/HSCEI!$B$3,""))</f>
        <v/>
      </c>
      <c r="EA174" s="106">
        <f>IF(BM174="","",IFERROR(BM174*HSCEI!$B$21*HSCEI!$G$21/HSCEI!$B$3,""))</f>
        <v/>
      </c>
      <c r="EB174" s="106">
        <f>IF(BN174="","",IFERROR(BN174*HSCEI!$B$21*HSCEI!$G$21/HSCEI!$B$3,""))</f>
        <v/>
      </c>
      <c r="EC174" s="106">
        <f>IF(BO174="","",IFERROR(BO174*HSCEI!$B$21*HSCEI!$G$21/HSCEI!$B$3,""))</f>
        <v/>
      </c>
      <c r="EE174" s="35">
        <f>IF(N('Dvd Calendar'!$E$1715)=0,"",IF(('Dvd Calendar'!$E$1715&gt;=GRID_FROM)*('Dvd Calendar'!$E$1715&lt;=GRID_TO)*('Dvd Calendar'!$E$1715&lt;=VAL_DATE)=0,"",'Dvd Calendar'!$E$1715*1000000000+ISNUMBER('Dvd Calendar'!$E$1718)*100000000+('Dvd Calendar'!$E$1720=SPECIAL_LBL)*10000000+0*1000000+15*1000+1))</f>
        <v/>
      </c>
      <c r="EF174" s="35">
        <f>IF(N('Dvd Calendar'!$F$1715)=0,"",IF(('Dvd Calendar'!$F$1715&gt;=GRID_FROM)*('Dvd Calendar'!$F$1715&lt;=GRID_TO)*('Dvd Calendar'!$F$1715&lt;=VAL_DATE)=0,"",'Dvd Calendar'!$F$1715*1000000000+ISNUMBER('Dvd Calendar'!$F$1718)*100000000+('Dvd Calendar'!$F$1720=SPECIAL_LBL)*10000000+0*1000000+15*1000+2))</f>
        <v/>
      </c>
      <c r="EG174" s="35">
        <f>IF(N('Dvd Calendar'!$G$1715)=0,"",IF(('Dvd Calendar'!$G$1715&gt;=GRID_FROM)*('Dvd Calendar'!$G$1715&lt;=GRID_TO)*('Dvd Calendar'!$G$1715&lt;=VAL_DATE)=0,"",'Dvd Calendar'!$G$1715*1000000000+ISNUMBER('Dvd Calendar'!$G$1718)*100000000+('Dvd Calendar'!$G$1720=SPECIAL_LBL)*10000000+0*1000000+15*1000+3))</f>
        <v/>
      </c>
      <c r="EH174" s="35">
        <f>IF(N('Dvd Calendar'!$H$1715)=0,"",IF(('Dvd Calendar'!$H$1715&gt;=GRID_FROM)*('Dvd Calendar'!$H$1715&lt;=GRID_TO)*('Dvd Calendar'!$H$1715&lt;=VAL_DATE)=0,"",'Dvd Calendar'!$H$1715*1000000000+ISNUMBER('Dvd Calendar'!$H$1718)*100000000+('Dvd Calendar'!$H$1720=SPECIAL_LBL)*10000000+0*1000000+15*1000+4))</f>
        <v/>
      </c>
      <c r="EI174" s="35">
        <f>IF(N('Dvd Calendar'!$I$1715)=0,"",IF(('Dvd Calendar'!$I$1715&gt;=GRID_FROM)*('Dvd Calendar'!$I$1715&lt;=GRID_TO)*('Dvd Calendar'!$I$1715&lt;=VAL_DATE)=0,"",'Dvd Calendar'!$I$1715*1000000000+ISNUMBER('Dvd Calendar'!$I$1718)*100000000+('Dvd Calendar'!$I$1720=SPECIAL_LBL)*10000000+0*1000000+15*1000+5))</f>
        <v/>
      </c>
      <c r="EJ174" s="35">
        <f>IF(N('Dvd Calendar'!$J$1715)=0,"",IF(('Dvd Calendar'!$J$1715&gt;=GRID_FROM)*('Dvd Calendar'!$J$1715&lt;=GRID_TO)*('Dvd Calendar'!$J$1715&lt;=VAL_DATE)=0,"",'Dvd Calendar'!$J$1715*1000000000+ISNUMBER('Dvd Calendar'!$J$1718)*100000000+('Dvd Calendar'!$J$1720=SPECIAL_LBL)*10000000+0*1000000+15*1000+6))</f>
        <v/>
      </c>
      <c r="EK174" s="35">
        <f>IF(N('Dvd Calendar'!$K$1715)=0,"",IF(('Dvd Calendar'!$K$1715&gt;=GRID_FROM)*('Dvd Calendar'!$K$1715&lt;=GRID_TO)*('Dvd Calendar'!$K$1715&lt;=VAL_DATE)=0,"",'Dvd Calendar'!$K$1715*1000000000+ISNUMBER('Dvd Calendar'!$K$1718)*100000000+('Dvd Calendar'!$K$1720=SPECIAL_LBL)*10000000+0*1000000+15*1000+7))</f>
        <v/>
      </c>
      <c r="EL174" s="35">
        <f>IF(N('Dvd Calendar'!$L$1715)=0,"",IF(('Dvd Calendar'!$L$1715&gt;=GRID_FROM)*('Dvd Calendar'!$L$1715&lt;=GRID_TO)*('Dvd Calendar'!$L$1715&lt;=VAL_DATE)=0,"",'Dvd Calendar'!$L$1715*1000000000+ISNUMBER('Dvd Calendar'!$L$1718)*100000000+('Dvd Calendar'!$L$1720=SPECIAL_LBL)*10000000+0*1000000+15*1000+8))</f>
        <v/>
      </c>
      <c r="EM174" s="35">
        <f>IF(N('Dvd Calendar'!$M$1715)=0,"",IF(('Dvd Calendar'!$M$1715&gt;=GRID_FROM)*('Dvd Calendar'!$M$1715&lt;=GRID_TO)*('Dvd Calendar'!$M$1715&lt;=VAL_DATE)=0,"",'Dvd Calendar'!$M$1715*1000000000+ISNUMBER('Dvd Calendar'!$M$1718)*100000000+('Dvd Calendar'!$M$1720=SPECIAL_LBL)*10000000+0*1000000+15*1000+9))</f>
        <v/>
      </c>
      <c r="EN174" s="35">
        <f>IF(N('Dvd Calendar'!$N$1715)=0,"",IF(('Dvd Calendar'!$N$1715&gt;=GRID_FROM)*('Dvd Calendar'!$N$1715&lt;=GRID_TO)*('Dvd Calendar'!$N$1715&lt;=VAL_DATE)=0,"",'Dvd Calendar'!$N$1715*1000000000+ISNUMBER('Dvd Calendar'!$N$1718)*100000000+('Dvd Calendar'!$N$1720=SPECIAL_LBL)*10000000+0*1000000+15*1000+10))</f>
        <v/>
      </c>
      <c r="EO174" s="35">
        <f>IF(N('Dvd Calendar'!$O$1715)=0,"",IF(('Dvd Calendar'!$O$1715&gt;=GRID_FROM)*('Dvd Calendar'!$O$1715&lt;=GRID_TO)*('Dvd Calendar'!$O$1715&lt;=VAL_DATE)=0,"",'Dvd Calendar'!$O$1715*1000000000+ISNUMBER('Dvd Calendar'!$O$1718)*100000000+('Dvd Calendar'!$O$1720=SPECIAL_LBL)*10000000+0*1000000+15*1000+11))</f>
        <v/>
      </c>
      <c r="EP174" s="35">
        <f>IF(N('Dvd Calendar'!$P$1715)=0,"",IF(('Dvd Calendar'!$P$1715&gt;=GRID_FROM)*('Dvd Calendar'!$P$1715&lt;=GRID_TO)*('Dvd Calendar'!$P$1715&lt;=VAL_DATE)=0,"",'Dvd Calendar'!$P$1715*1000000000+ISNUMBER('Dvd Calendar'!$P$1718)*100000000+('Dvd Calendar'!$P$1720=SPECIAL_LBL)*10000000+0*1000000+15*1000+12))</f>
        <v/>
      </c>
      <c r="EQ174" s="35">
        <f>IF(N('Dvd Calendar'!$Q$1715)=0,"",IF(('Dvd Calendar'!$Q$1715&gt;=GRID_FROM)*('Dvd Calendar'!$Q$1715&lt;=GRID_TO)*('Dvd Calendar'!$Q$1715&lt;=VAL_DATE)=0,"",'Dvd Calendar'!$Q$1715*1000000000+ISNUMBER('Dvd Calendar'!$Q$1718)*100000000+('Dvd Calendar'!$Q$1720=SPECIAL_LBL)*10000000+0*1000000+15*1000+13))</f>
        <v/>
      </c>
      <c r="ER174" s="35">
        <f>IF(N('Dvd Calendar'!$R$1715)=0,"",IF(('Dvd Calendar'!$R$1715&gt;=GRID_FROM)*('Dvd Calendar'!$R$1715&lt;=GRID_TO)*('Dvd Calendar'!$R$1715&lt;=VAL_DATE)=0,"",'Dvd Calendar'!$R$1715*1000000000+ISNUMBER('Dvd Calendar'!$R$1718)*100000000+('Dvd Calendar'!$R$1720=SPECIAL_LBL)*10000000+0*1000000+15*1000+14))</f>
        <v/>
      </c>
      <c r="ES174" s="35">
        <f>IF(N('Dvd Calendar'!$S$1715)=0,"",IF(('Dvd Calendar'!$S$1715&gt;=GRID_FROM)*('Dvd Calendar'!$S$1715&lt;=GRID_TO)*('Dvd Calendar'!$S$1715&lt;=VAL_DATE)=0,"",'Dvd Calendar'!$S$1715*1000000000+ISNUMBER('Dvd Calendar'!$S$1718)*100000000+('Dvd Calendar'!$S$1720=SPECIAL_LBL)*10000000+0*1000000+15*1000+15))</f>
        <v/>
      </c>
      <c r="ET174" s="35">
        <f>IF(N('Dvd Calendar'!$T$1715)=0,"",IF(('Dvd Calendar'!$T$1715&gt;=GRID_FROM)*('Dvd Calendar'!$T$1715&lt;=GRID_TO)*('Dvd Calendar'!$T$1715&lt;=VAL_DATE)=0,"",'Dvd Calendar'!$T$1715*1000000000+ISNUMBER('Dvd Calendar'!$T$1718)*100000000+('Dvd Calendar'!$T$1720=SPECIAL_LBL)*10000000+0*1000000+15*1000+16))</f>
        <v/>
      </c>
      <c r="EU174" s="35">
        <f>IF(N('Dvd Calendar'!$U$1715)=0,"",IF(('Dvd Calendar'!$U$1715&gt;=GRID_FROM)*('Dvd Calendar'!$U$1715&lt;=GRID_TO)*('Dvd Calendar'!$U$1715&lt;=VAL_DATE)=0,"",'Dvd Calendar'!$U$1715*1000000000+ISNUMBER('Dvd Calendar'!$U$1718)*100000000+('Dvd Calendar'!$U$1720=SPECIAL_LBL)*10000000+0*1000000+15*1000+17))</f>
        <v/>
      </c>
      <c r="EV174" s="35">
        <f>IF(N('Dvd Calendar'!$V$1715)=0,"",IF(('Dvd Calendar'!$V$1715&gt;=GRID_FROM)*('Dvd Calendar'!$V$1715&lt;=GRID_TO)*('Dvd Calendar'!$V$1715&lt;=VAL_DATE)=0,"",'Dvd Calendar'!$V$1715*1000000000+ISNUMBER('Dvd Calendar'!$V$1718)*100000000+('Dvd Calendar'!$V$1720=SPECIAL_LBL)*10000000+0*1000000+15*1000+18))</f>
        <v/>
      </c>
      <c r="EW174" s="35">
        <f>IF(N('Dvd Calendar'!$W$1715)=0,"",IF(('Dvd Calendar'!$W$1715&gt;=GRID_FROM)*('Dvd Calendar'!$W$1715&lt;=GRID_TO)*('Dvd Calendar'!$W$1715&lt;=VAL_DATE)=0,"",'Dvd Calendar'!$W$1715*1000000000+ISNUMBER('Dvd Calendar'!$W$1718)*100000000+('Dvd Calendar'!$W$1720=SPECIAL_LBL)*10000000+0*1000000+15*1000+19))</f>
        <v/>
      </c>
      <c r="EX174" s="35">
        <f>IF(N('Dvd Calendar'!$X$1715)=0,"",IF(('Dvd Calendar'!$X$1715&gt;=GRID_FROM)*('Dvd Calendar'!$X$1715&lt;=GRID_TO)*('Dvd Calendar'!$X$1715&lt;=VAL_DATE)=0,"",'Dvd Calendar'!$X$1715*1000000000+ISNUMBER('Dvd Calendar'!$X$1718)*100000000+('Dvd Calendar'!$X$1720=SPECIAL_LBL)*10000000+0*1000000+15*1000+20))</f>
        <v/>
      </c>
      <c r="EY174" s="35">
        <f>IF(N('Dvd Calendar'!$Y$1715)=0,"",IF(('Dvd Calendar'!$Y$1715&gt;=GRID_FROM)*('Dvd Calendar'!$Y$1715&lt;=GRID_TO)*('Dvd Calendar'!$Y$1715&lt;=VAL_DATE)=0,"",'Dvd Calendar'!$Y$1715*1000000000+ISNUMBER('Dvd Calendar'!$Y$1718)*100000000+('Dvd Calendar'!$Y$1720=SPECIAL_LBL)*10000000+0*1000000+15*1000+21))</f>
        <v/>
      </c>
      <c r="EZ174" s="35">
        <f>IF(N('Dvd Calendar'!$Z$1715)=0,"",IF(('Dvd Calendar'!$Z$1715&gt;=GRID_FROM)*('Dvd Calendar'!$Z$1715&lt;=GRID_TO)*('Dvd Calendar'!$Z$1715&lt;=VAL_DATE)=0,"",'Dvd Calendar'!$Z$1715*1000000000+ISNUMBER('Dvd Calendar'!$Z$1718)*100000000+('Dvd Calendar'!$Z$1720=SPECIAL_LBL)*10000000+0*1000000+15*1000+22))</f>
        <v/>
      </c>
      <c r="FA174" s="35">
        <f>IF(N('Dvd Calendar'!$AA$1715)=0,"",IF(('Dvd Calendar'!$AA$1715&gt;=GRID_FROM)*('Dvd Calendar'!$AA$1715&lt;=GRID_TO)*('Dvd Calendar'!$AA$1715&lt;=VAL_DATE)=0,"",'Dvd Calendar'!$AA$1715*1000000000+ISNUMBER('Dvd Calendar'!$AA$1718)*100000000+('Dvd Calendar'!$AA$1720=SPECIAL_LBL)*10000000+0*1000000+15*1000+23))</f>
        <v/>
      </c>
      <c r="FB174" s="35">
        <f>IF(N('Dvd Calendar'!$AB$1715)=0,"",IF(('Dvd Calendar'!$AB$1715&gt;=GRID_FROM)*('Dvd Calendar'!$AB$1715&lt;=GRID_TO)*('Dvd Calendar'!$AB$1715&lt;=VAL_DATE)=0,"",'Dvd Calendar'!$AB$1715*1000000000+ISNUMBER('Dvd Calendar'!$AB$1718)*100000000+('Dvd Calendar'!$AB$1720=SPECIAL_LBL)*10000000+0*1000000+15*1000+24))</f>
        <v/>
      </c>
      <c r="FC174" s="35">
        <f>IF(N('Dvd Calendar'!$AC$1715)=0,"",IF(('Dvd Calendar'!$AC$1715&gt;=GRID_FROM)*('Dvd Calendar'!$AC$1715&lt;=GRID_TO)*('Dvd Calendar'!$AC$1715&lt;=VAL_DATE)=0,"",'Dvd Calendar'!$AC$1715*1000000000+ISNUMBER('Dvd Calendar'!$AC$1718)*100000000+('Dvd Calendar'!$AC$1720=SPECIAL_LBL)*10000000+0*1000000+15*1000+25))</f>
        <v/>
      </c>
      <c r="FD174" s="35">
        <f>IF(N('Dvd Calendar'!$AD$1715)=0,"",IF(('Dvd Calendar'!$AD$1715&gt;=GRID_FROM)*('Dvd Calendar'!$AD$1715&lt;=GRID_TO)*('Dvd Calendar'!$AD$1715&lt;=VAL_DATE)=0,"",'Dvd Calendar'!$AD$1715*1000000000+ISNUMBER('Dvd Calendar'!$AD$1718)*100000000+('Dvd Calendar'!$AD$1720=SPECIAL_LBL)*10000000+0*1000000+15*1000+26))</f>
        <v/>
      </c>
      <c r="FE174" s="35">
        <f>IF(N('Dvd Calendar'!$AE$1715)=0,"",IF(('Dvd Calendar'!$AE$1715&gt;=GRID_FROM)*('Dvd Calendar'!$AE$1715&lt;=GRID_TO)*('Dvd Calendar'!$AE$1715&lt;=VAL_DATE)=0,"",'Dvd Calendar'!$AE$1715*1000000000+ISNUMBER('Dvd Calendar'!$AE$1718)*100000000+('Dvd Calendar'!$AE$1720=SPECIAL_LBL)*10000000+0*1000000+15*1000+27))</f>
        <v/>
      </c>
      <c r="FF174" s="35">
        <f>IF(N('Dvd Calendar'!$AF$1715)=0,"",IF(('Dvd Calendar'!$AF$1715&gt;=GRID_FROM)*('Dvd Calendar'!$AF$1715&lt;=GRID_TO)*('Dvd Calendar'!$AF$1715&lt;=VAL_DATE)=0,"",'Dvd Calendar'!$AF$1715*1000000000+ISNUMBER('Dvd Calendar'!$AF$1718)*100000000+('Dvd Calendar'!$AF$1720=SPECIAL_LBL)*10000000+0*1000000+15*1000+28))</f>
        <v/>
      </c>
      <c r="FG174" s="35">
        <f>IF(N('Dvd Calendar'!$AG$1715)=0,"",IF(('Dvd Calendar'!$AG$1715&gt;=GRID_FROM)*('Dvd Calendar'!$AG$1715&lt;=GRID_TO)*('Dvd Calendar'!$AG$1715&lt;=VAL_DATE)=0,"",'Dvd Calendar'!$AG$1715*1000000000+ISNUMBER('Dvd Calendar'!$AG$1718)*100000000+('Dvd Calendar'!$AG$1720=SPECIAL_LBL)*10000000+0*1000000+15*1000+29))</f>
        <v/>
      </c>
      <c r="FH174" s="35">
        <f>IF(N('Dvd Calendar'!$AH$1715)=0,"",IF(('Dvd Calendar'!$AH$1715&gt;=GRID_FROM)*('Dvd Calendar'!$AH$1715&lt;=GRID_TO)*('Dvd Calendar'!$AH$1715&lt;=VAL_DATE)=0,"",'Dvd Calendar'!$AH$1715*1000000000+ISNUMBER('Dvd Calendar'!$AH$1718)*100000000+('Dvd Calendar'!$AH$1720=SPECIAL_LBL)*10000000+0*1000000+15*1000+30))</f>
        <v/>
      </c>
      <c r="FI174" s="35">
        <f>IF(N('Dvd Calendar'!$AI$1715)=0,"",IF(('Dvd Calendar'!$AI$1715&gt;=GRID_FROM)*('Dvd Calendar'!$AI$1715&lt;=GRID_TO)*('Dvd Calendar'!$AI$1715&lt;=VAL_DATE)=0,"",'Dvd Calendar'!$AI$1715*1000000000+ISNUMBER('Dvd Calendar'!$AI$1718)*100000000+('Dvd Calendar'!$AI$1720=SPECIAL_LBL)*10000000+0*1000000+15*1000+31))</f>
        <v/>
      </c>
      <c r="FJ174" s="35">
        <f>IF(N('Dvd Calendar'!$AJ$1715)=0,"",IF(('Dvd Calendar'!$AJ$1715&gt;=GRID_FROM)*('Dvd Calendar'!$AJ$1715&lt;=GRID_TO)*('Dvd Calendar'!$AJ$1715&lt;=VAL_DATE)=0,"",'Dvd Calendar'!$AJ$1715*1000000000+ISNUMBER('Dvd Calendar'!$AJ$1718)*100000000+('Dvd Calendar'!$AJ$1720=SPECIAL_LBL)*10000000+0*1000000+15*1000+32))</f>
        <v/>
      </c>
      <c r="FK174" s="35">
        <f>IF(N('Dvd Calendar'!$AK$1715)=0,"",IF(('Dvd Calendar'!$AK$1715&gt;=GRID_FROM)*('Dvd Calendar'!$AK$1715&lt;=GRID_TO)*('Dvd Calendar'!$AK$1715&lt;=VAL_DATE)=0,"",'Dvd Calendar'!$AK$1715*1000000000+ISNUMBER('Dvd Calendar'!$AK$1718)*100000000+('Dvd Calendar'!$AK$1720=SPECIAL_LBL)*10000000+0*1000000+15*1000+33))</f>
        <v/>
      </c>
      <c r="FL174" s="35">
        <f>IF(N('Dvd Calendar'!$AL$1715)=0,"",IF(('Dvd Calendar'!$AL$1715&gt;=GRID_FROM)*('Dvd Calendar'!$AL$1715&lt;=GRID_TO)*('Dvd Calendar'!$AL$1715&lt;=VAL_DATE)=0,"",'Dvd Calendar'!$AL$1715*1000000000+ISNUMBER('Dvd Calendar'!$AL$1718)*100000000+('Dvd Calendar'!$AL$1720=SPECIAL_LBL)*10000000+0*1000000+15*1000+34))</f>
        <v/>
      </c>
      <c r="FM174" s="35">
        <f>IF(N('Dvd Calendar'!$AM$1715)=0,"",IF(('Dvd Calendar'!$AM$1715&gt;=GRID_FROM)*('Dvd Calendar'!$AM$1715&lt;=GRID_TO)*('Dvd Calendar'!$AM$1715&lt;=VAL_DATE)=0,"",'Dvd Calendar'!$AM$1715*1000000000+ISNUMBER('Dvd Calendar'!$AM$1718)*100000000+('Dvd Calendar'!$AM$1720=SPECIAL_LBL)*10000000+0*1000000+15*1000+35))</f>
        <v/>
      </c>
      <c r="FN174" s="35">
        <f>IF(N('Dvd Calendar'!$AN$1715)=0,"",IF(('Dvd Calendar'!$AN$1715&gt;=GRID_FROM)*('Dvd Calendar'!$AN$1715&lt;=GRID_TO)*('Dvd Calendar'!$AN$1715&lt;=VAL_DATE)=0,"",'Dvd Calendar'!$AN$1715*1000000000+ISNUMBER('Dvd Calendar'!$AN$1718)*100000000+('Dvd Calendar'!$AN$1720=SPECIAL_LBL)*10000000+0*1000000+15*1000+36))</f>
        <v/>
      </c>
      <c r="FO174" s="35">
        <f>IF(N('Dvd Calendar'!$AO$1715)=0,"",IF(('Dvd Calendar'!$AO$1715&gt;=GRID_FROM)*('Dvd Calendar'!$AO$1715&lt;=GRID_TO)*('Dvd Calendar'!$AO$1715&lt;=VAL_DATE)=0,"",'Dvd Calendar'!$AO$1715*1000000000+ISNUMBER('Dvd Calendar'!$AO$1718)*100000000+('Dvd Calendar'!$AO$1720=SPECIAL_LBL)*10000000+0*1000000+15*1000+37))</f>
        <v/>
      </c>
      <c r="FP174" s="35">
        <f>IF(N('Dvd Calendar'!$AP$1715)=0,"",IF(('Dvd Calendar'!$AP$1715&gt;=GRID_FROM)*('Dvd Calendar'!$AP$1715&lt;=GRID_TO)*('Dvd Calendar'!$AP$1715&lt;=VAL_DATE)=0,"",'Dvd Calendar'!$AP$1715*1000000000+ISNUMBER('Dvd Calendar'!$AP$1718)*100000000+('Dvd Calendar'!$AP$1720=SPECIAL_LBL)*10000000+0*1000000+15*1000+38))</f>
        <v/>
      </c>
      <c r="FQ174" s="35">
        <f>IF(N('Dvd Calendar'!$AQ$1715)=0,"",IF(('Dvd Calendar'!$AQ$1715&gt;=GRID_FROM)*('Dvd Calendar'!$AQ$1715&lt;=GRID_TO)*('Dvd Calendar'!$AQ$1715&lt;=VAL_DATE)=0,"",'Dvd Calendar'!$AQ$1715*1000000000+ISNUMBER('Dvd Calendar'!$AQ$1718)*100000000+('Dvd Calendar'!$AQ$1720=SPECIAL_LBL)*10000000+0*1000000+15*1000+39))</f>
        <v/>
      </c>
      <c r="FR174" s="35">
        <f>IF(N('Dvd Calendar'!$AR$1715)=0,"",IF(('Dvd Calendar'!$AR$1715&gt;=GRID_FROM)*('Dvd Calendar'!$AR$1715&lt;=GRID_TO)*('Dvd Calendar'!$AR$1715&lt;=VAL_DATE)=0,"",'Dvd Calendar'!$AR$1715*1000000000+ISNUMBER('Dvd Calendar'!$AR$1718)*100000000+('Dvd Calendar'!$AR$1720=SPECIAL_LBL)*10000000+0*1000000+15*1000+40))</f>
        <v/>
      </c>
      <c r="FS174" s="35">
        <f>IF(N('Dvd Calendar'!$E$1722)=0,"",IF(('Dvd Calendar'!$E$1722&gt;=GRID_FROM)*('Dvd Calendar'!$E$1722&lt;=GRID_TO)*('Dvd Calendar'!$E$1722&gt;VAL_DATE)=0,"",'Dvd Calendar'!$E$1722*1000000000+ISNUMBER('Dvd Calendar'!$E$1723)*100000000+0*10000000+(N('Dvd Calendar'!$E$1721)&gt;0)*(N('Dvd Calendar'!$E$1721)&lt;=VAL_SERIAL)*1000000+15*1000+41))</f>
        <v/>
      </c>
      <c r="FT174" s="35">
        <f>IF(N('Dvd Calendar'!$F$1722)=0,"",IF(('Dvd Calendar'!$F$1722&gt;=GRID_FROM)*('Dvd Calendar'!$F$1722&lt;=GRID_TO)*('Dvd Calendar'!$F$1722&gt;VAL_DATE)=0,"",'Dvd Calendar'!$F$1722*1000000000+ISNUMBER('Dvd Calendar'!$F$1723)*100000000+0*10000000+(N('Dvd Calendar'!$F$1721)&gt;0)*(N('Dvd Calendar'!$F$1721)&lt;=VAL_SERIAL)*1000000+15*1000+42))</f>
        <v/>
      </c>
      <c r="FU174" s="35">
        <f>IF(N('Dvd Calendar'!$G$1722)=0,"",IF(('Dvd Calendar'!$G$1722&gt;=GRID_FROM)*('Dvd Calendar'!$G$1722&lt;=GRID_TO)*('Dvd Calendar'!$G$1722&gt;VAL_DATE)=0,"",'Dvd Calendar'!$G$1722*1000000000+ISNUMBER('Dvd Calendar'!$G$1723)*100000000+0*10000000+(N('Dvd Calendar'!$G$1721)&gt;0)*(N('Dvd Calendar'!$G$1721)&lt;=VAL_SERIAL)*1000000+15*1000+43))</f>
        <v/>
      </c>
      <c r="FV174" s="35">
        <f>IF(N('Dvd Calendar'!$H$1722)=0,"",IF(('Dvd Calendar'!$H$1722&gt;=GRID_FROM)*('Dvd Calendar'!$H$1722&lt;=GRID_TO)*('Dvd Calendar'!$H$1722&gt;VAL_DATE)=0,"",'Dvd Calendar'!$H$1722*1000000000+ISNUMBER('Dvd Calendar'!$H$1723)*100000000+0*10000000+(N('Dvd Calendar'!$H$1721)&gt;0)*(N('Dvd Calendar'!$H$1721)&lt;=VAL_SERIAL)*1000000+15*1000+44))</f>
        <v/>
      </c>
      <c r="FW174" s="35">
        <f>IF(N('Dvd Calendar'!$I$1722)=0,"",IF(('Dvd Calendar'!$I$1722&gt;=GRID_FROM)*('Dvd Calendar'!$I$1722&lt;=GRID_TO)*('Dvd Calendar'!$I$1722&gt;VAL_DATE)=0,"",'Dvd Calendar'!$I$1722*1000000000+ISNUMBER('Dvd Calendar'!$I$1723)*100000000+0*10000000+(N('Dvd Calendar'!$I$1721)&gt;0)*(N('Dvd Calendar'!$I$1721)&lt;=VAL_SERIAL)*1000000+15*1000+45))</f>
        <v/>
      </c>
      <c r="FX174" s="35">
        <f>IF(N('Dvd Calendar'!$J$1722)=0,"",IF(('Dvd Calendar'!$J$1722&gt;=GRID_FROM)*('Dvd Calendar'!$J$1722&lt;=GRID_TO)*('Dvd Calendar'!$J$1722&gt;VAL_DATE)=0,"",'Dvd Calendar'!$J$1722*1000000000+ISNUMBER('Dvd Calendar'!$J$1723)*100000000+0*10000000+(N('Dvd Calendar'!$J$1721)&gt;0)*(N('Dvd Calendar'!$J$1721)&lt;=VAL_SERIAL)*1000000+15*1000+46))</f>
        <v/>
      </c>
      <c r="FY174" s="35">
        <f>IF(N('Dvd Calendar'!$K$1722)=0,"",IF(('Dvd Calendar'!$K$1722&gt;=GRID_FROM)*('Dvd Calendar'!$K$1722&lt;=GRID_TO)*('Dvd Calendar'!$K$1722&gt;VAL_DATE)=0,"",'Dvd Calendar'!$K$1722*1000000000+ISNUMBER('Dvd Calendar'!$K$1723)*100000000+0*10000000+(N('Dvd Calendar'!$K$1721)&gt;0)*(N('Dvd Calendar'!$K$1721)&lt;=VAL_SERIAL)*1000000+15*1000+47))</f>
        <v/>
      </c>
      <c r="FZ174" s="35">
        <f>IF(N('Dvd Calendar'!$L$1722)=0,"",IF(('Dvd Calendar'!$L$1722&gt;=GRID_FROM)*('Dvd Calendar'!$L$1722&lt;=GRID_TO)*('Dvd Calendar'!$L$1722&gt;VAL_DATE)=0,"",'Dvd Calendar'!$L$1722*1000000000+ISNUMBER('Dvd Calendar'!$L$1723)*100000000+0*10000000+(N('Dvd Calendar'!$L$1721)&gt;0)*(N('Dvd Calendar'!$L$1721)&lt;=VAL_SERIAL)*1000000+15*1000+48))</f>
        <v/>
      </c>
      <c r="GA174" s="35">
        <f>IF(N('Dvd Calendar'!$M$1722)=0,"",IF(('Dvd Calendar'!$M$1722&gt;=GRID_FROM)*('Dvd Calendar'!$M$1722&lt;=GRID_TO)*('Dvd Calendar'!$M$1722&gt;VAL_DATE)=0,"",'Dvd Calendar'!$M$1722*1000000000+ISNUMBER('Dvd Calendar'!$M$1723)*100000000+0*10000000+(N('Dvd Calendar'!$M$1721)&gt;0)*(N('Dvd Calendar'!$M$1721)&lt;=VAL_SERIAL)*1000000+15*1000+49))</f>
        <v/>
      </c>
      <c r="GB174" s="35">
        <f>IF(N('Dvd Calendar'!$N$1722)=0,"",IF(('Dvd Calendar'!$N$1722&gt;=GRID_FROM)*('Dvd Calendar'!$N$1722&lt;=GRID_TO)*('Dvd Calendar'!$N$1722&gt;VAL_DATE)=0,"",'Dvd Calendar'!$N$1722*1000000000+ISNUMBER('Dvd Calendar'!$N$1723)*100000000+0*10000000+(N('Dvd Calendar'!$N$1721)&gt;0)*(N('Dvd Calendar'!$N$1721)&lt;=VAL_SERIAL)*1000000+15*1000+50))</f>
        <v/>
      </c>
      <c r="GC174" s="35">
        <f>IF(N('Dvd Calendar'!$O$1722)=0,"",IF(('Dvd Calendar'!$O$1722&gt;=GRID_FROM)*('Dvd Calendar'!$O$1722&lt;=GRID_TO)*('Dvd Calendar'!$O$1722&gt;VAL_DATE)=0,"",'Dvd Calendar'!$O$1722*1000000000+ISNUMBER('Dvd Calendar'!$O$1723)*100000000+0*10000000+(N('Dvd Calendar'!$O$1721)&gt;0)*(N('Dvd Calendar'!$O$1721)&lt;=VAL_SERIAL)*1000000+15*1000+51))</f>
        <v/>
      </c>
      <c r="GD174" s="35">
        <f>IF(N('Dvd Calendar'!$P$1722)=0,"",IF(('Dvd Calendar'!$P$1722&gt;=GRID_FROM)*('Dvd Calendar'!$P$1722&lt;=GRID_TO)*('Dvd Calendar'!$P$1722&gt;VAL_DATE)=0,"",'Dvd Calendar'!$P$1722*1000000000+ISNUMBER('Dvd Calendar'!$P$1723)*100000000+0*10000000+(N('Dvd Calendar'!$P$1721)&gt;0)*(N('Dvd Calendar'!$P$1721)&lt;=VAL_SERIAL)*1000000+15*1000+52))</f>
        <v/>
      </c>
      <c r="GE174" s="35">
        <f>IF(N('Dvd Calendar'!$Q$1722)=0,"",IF(('Dvd Calendar'!$Q$1722&gt;=GRID_FROM)*('Dvd Calendar'!$Q$1722&lt;=GRID_TO)*('Dvd Calendar'!$Q$1722&gt;VAL_DATE)=0,"",'Dvd Calendar'!$Q$1722*1000000000+ISNUMBER('Dvd Calendar'!$Q$1723)*100000000+0*10000000+(N('Dvd Calendar'!$Q$1721)&gt;0)*(N('Dvd Calendar'!$Q$1721)&lt;=VAL_SERIAL)*1000000+15*1000+53))</f>
        <v/>
      </c>
      <c r="GF174" s="35">
        <f>IF(N('Dvd Calendar'!$R$1722)=0,"",IF(('Dvd Calendar'!$R$1722&gt;=GRID_FROM)*('Dvd Calendar'!$R$1722&lt;=GRID_TO)*('Dvd Calendar'!$R$1722&gt;VAL_DATE)=0,"",'Dvd Calendar'!$R$1722*1000000000+ISNUMBER('Dvd Calendar'!$R$1723)*100000000+0*10000000+(N('Dvd Calendar'!$R$1721)&gt;0)*(N('Dvd Calendar'!$R$1721)&lt;=VAL_SERIAL)*1000000+15*1000+54))</f>
        <v/>
      </c>
      <c r="GG174" s="35">
        <f>IF(N('Dvd Calendar'!$S$1722)=0,"",IF(('Dvd Calendar'!$S$1722&gt;=GRID_FROM)*('Dvd Calendar'!$S$1722&lt;=GRID_TO)*('Dvd Calendar'!$S$1722&gt;VAL_DATE)=0,"",'Dvd Calendar'!$S$1722*1000000000+ISNUMBER('Dvd Calendar'!$S$1723)*100000000+0*10000000+(N('Dvd Calendar'!$S$1721)&gt;0)*(N('Dvd Calendar'!$S$1721)&lt;=VAL_SERIAL)*1000000+15*1000+55))</f>
        <v/>
      </c>
      <c r="GH174" s="35">
        <f>IF(N('Dvd Calendar'!$T$1722)=0,"",IF(('Dvd Calendar'!$T$1722&gt;=GRID_FROM)*('Dvd Calendar'!$T$1722&lt;=GRID_TO)*('Dvd Calendar'!$T$1722&gt;VAL_DATE)=0,"",'Dvd Calendar'!$T$1722*1000000000+ISNUMBER('Dvd Calendar'!$T$1723)*100000000+0*10000000+(N('Dvd Calendar'!$T$1721)&gt;0)*(N('Dvd Calendar'!$T$1721)&lt;=VAL_SERIAL)*1000000+15*1000+56))</f>
        <v/>
      </c>
      <c r="GI174" s="35">
        <f>IF(N('Dvd Calendar'!$U$1722)=0,"",IF(('Dvd Calendar'!$U$1722&gt;=GRID_FROM)*('Dvd Calendar'!$U$1722&lt;=GRID_TO)*('Dvd Calendar'!$U$1722&gt;VAL_DATE)=0,"",'Dvd Calendar'!$U$1722*1000000000+ISNUMBER('Dvd Calendar'!$U$1723)*100000000+0*10000000+(N('Dvd Calendar'!$U$1721)&gt;0)*(N('Dvd Calendar'!$U$1721)&lt;=VAL_SERIAL)*1000000+15*1000+57))</f>
        <v/>
      </c>
      <c r="GJ174" s="35">
        <f>IF(N('Dvd Calendar'!$V$1722)=0,"",IF(('Dvd Calendar'!$V$1722&gt;=GRID_FROM)*('Dvd Calendar'!$V$1722&lt;=GRID_TO)*('Dvd Calendar'!$V$1722&gt;VAL_DATE)=0,"",'Dvd Calendar'!$V$1722*1000000000+ISNUMBER('Dvd Calendar'!$V$1723)*100000000+0*10000000+(N('Dvd Calendar'!$V$1721)&gt;0)*(N('Dvd Calendar'!$V$1721)&lt;=VAL_SERIAL)*1000000+15*1000+58))</f>
        <v/>
      </c>
      <c r="GK174" s="35">
        <f>IF(N('Dvd Calendar'!$W$1722)=0,"",IF(('Dvd Calendar'!$W$1722&gt;=GRID_FROM)*('Dvd Calendar'!$W$1722&lt;=GRID_TO)*('Dvd Calendar'!$W$1722&gt;VAL_DATE)=0,"",'Dvd Calendar'!$W$1722*1000000000+ISNUMBER('Dvd Calendar'!$W$1723)*100000000+0*10000000+(N('Dvd Calendar'!$W$1721)&gt;0)*(N('Dvd Calendar'!$W$1721)&lt;=VAL_SERIAL)*1000000+15*1000+59))</f>
        <v/>
      </c>
      <c r="GL174" s="35">
        <f>IF(N('Dvd Calendar'!$X$1722)=0,"",IF(('Dvd Calendar'!$X$1722&gt;=GRID_FROM)*('Dvd Calendar'!$X$1722&lt;=GRID_TO)*('Dvd Calendar'!$X$1722&gt;VAL_DATE)=0,"",'Dvd Calendar'!$X$1722*1000000000+ISNUMBER('Dvd Calendar'!$X$1723)*100000000+0*10000000+(N('Dvd Calendar'!$X$1721)&gt;0)*(N('Dvd Calendar'!$X$1721)&lt;=VAL_SERIAL)*1000000+15*1000+60))</f>
        <v/>
      </c>
      <c r="GM174" s="35">
        <f>IF(N('Dvd Calendar'!$Y$1722)=0,"",IF(('Dvd Calendar'!$Y$1722&gt;=GRID_FROM)*('Dvd Calendar'!$Y$1722&lt;=GRID_TO)*('Dvd Calendar'!$Y$1722&gt;VAL_DATE)=0,"",'Dvd Calendar'!$Y$1722*1000000000+ISNUMBER('Dvd Calendar'!$Y$1723)*100000000+0*10000000+(N('Dvd Calendar'!$Y$1721)&gt;0)*(N('Dvd Calendar'!$Y$1721)&lt;=VAL_SERIAL)*1000000+15*1000+61))</f>
        <v/>
      </c>
      <c r="GN174" s="35">
        <f>IF(N('Dvd Calendar'!$Z$1722)=0,"",IF(('Dvd Calendar'!$Z$1722&gt;=GRID_FROM)*('Dvd Calendar'!$Z$1722&lt;=GRID_TO)*('Dvd Calendar'!$Z$1722&gt;VAL_DATE)=0,"",'Dvd Calendar'!$Z$1722*1000000000+ISNUMBER('Dvd Calendar'!$Z$1723)*100000000+0*10000000+(N('Dvd Calendar'!$Z$1721)&gt;0)*(N('Dvd Calendar'!$Z$1721)&lt;=VAL_SERIAL)*1000000+15*1000+62))</f>
        <v/>
      </c>
      <c r="GO174" s="35">
        <f>IF(N('Dvd Calendar'!$AA$1722)=0,"",IF(('Dvd Calendar'!$AA$1722&gt;=GRID_FROM)*('Dvd Calendar'!$AA$1722&lt;=GRID_TO)*('Dvd Calendar'!$AA$1722&gt;VAL_DATE)=0,"",'Dvd Calendar'!$AA$1722*1000000000+ISNUMBER('Dvd Calendar'!$AA$1723)*100000000+0*10000000+(N('Dvd Calendar'!$AA$1721)&gt;0)*(N('Dvd Calendar'!$AA$1721)&lt;=VAL_SERIAL)*1000000+15*1000+63))</f>
        <v/>
      </c>
      <c r="GP174" s="35">
        <f>IF(N('Dvd Calendar'!$AB$1722)=0,"",IF(('Dvd Calendar'!$AB$1722&gt;=GRID_FROM)*('Dvd Calendar'!$AB$1722&lt;=GRID_TO)*('Dvd Calendar'!$AB$1722&gt;VAL_DATE)=0,"",'Dvd Calendar'!$AB$1722*1000000000+ISNUMBER('Dvd Calendar'!$AB$1723)*100000000+0*10000000+(N('Dvd Calendar'!$AB$1721)&gt;0)*(N('Dvd Calendar'!$AB$1721)&lt;=VAL_SERIAL)*1000000+15*1000+64))</f>
        <v/>
      </c>
      <c r="GQ174" s="35">
        <f>IF(N('Dvd Calendar'!$AC$1722)=0,"",IF(('Dvd Calendar'!$AC$1722&gt;=GRID_FROM)*('Dvd Calendar'!$AC$1722&lt;=GRID_TO)*('Dvd Calendar'!$AC$1722&gt;VAL_DATE)=0,"",'Dvd Calendar'!$AC$1722*1000000000+ISNUMBER('Dvd Calendar'!$AC$1723)*100000000+0*10000000+(N('Dvd Calendar'!$AC$1721)&gt;0)*(N('Dvd Calendar'!$AC$1721)&lt;=VAL_SERIAL)*1000000+15*1000+65))</f>
        <v/>
      </c>
    </row>
    <row r="175">
      <c r="B175" s="2">
        <f>IF(HSCEI!$C$22="","",HSCEI!$C$22)</f>
        <v/>
      </c>
      <c r="C175" s="106">
        <f>IF(EE175="","",IF(ISNUMBER('Dvd Calendar'!$E$1729)=FALSE,"",IF((('Dvd Calendar'!$E$1731=TYPE1)*(TYPE1&lt;&gt;"")+('Dvd Calendar'!$E$1731=TYPE2)*(TYPE2&lt;&gt;"")+('Dvd Calendar'!$E$1731=TYPE3)*(TYPE3&lt;&gt;"")+('Dvd Calendar'!$E$1731=TYPE4)*(TYPE4&lt;&gt;"")+('Dvd Calendar'!$E$1731=SPECIAL_LBL)*(INC_SPECIALS="Y"))=0,"",'Dvd Calendar'!$E$1729)))</f>
        <v/>
      </c>
      <c r="D175" s="106">
        <f>IF(EF175="","",IF(ISNUMBER('Dvd Calendar'!$F$1729)=FALSE,"",IF((('Dvd Calendar'!$F$1731=TYPE1)*(TYPE1&lt;&gt;"")+('Dvd Calendar'!$F$1731=TYPE2)*(TYPE2&lt;&gt;"")+('Dvd Calendar'!$F$1731=TYPE3)*(TYPE3&lt;&gt;"")+('Dvd Calendar'!$F$1731=TYPE4)*(TYPE4&lt;&gt;"")+('Dvd Calendar'!$F$1731=SPECIAL_LBL)*(INC_SPECIALS="Y"))=0,"",'Dvd Calendar'!$F$1729)))</f>
        <v/>
      </c>
      <c r="E175" s="106">
        <f>IF(EG175="","",IF(ISNUMBER('Dvd Calendar'!$G$1729)=FALSE,"",IF((('Dvd Calendar'!$G$1731=TYPE1)*(TYPE1&lt;&gt;"")+('Dvd Calendar'!$G$1731=TYPE2)*(TYPE2&lt;&gt;"")+('Dvd Calendar'!$G$1731=TYPE3)*(TYPE3&lt;&gt;"")+('Dvd Calendar'!$G$1731=TYPE4)*(TYPE4&lt;&gt;"")+('Dvd Calendar'!$G$1731=SPECIAL_LBL)*(INC_SPECIALS="Y"))=0,"",'Dvd Calendar'!$G$1729)))</f>
        <v/>
      </c>
      <c r="F175" s="106">
        <f>IF(EH175="","",IF(ISNUMBER('Dvd Calendar'!$H$1729)=FALSE,"",IF((('Dvd Calendar'!$H$1731=TYPE1)*(TYPE1&lt;&gt;"")+('Dvd Calendar'!$H$1731=TYPE2)*(TYPE2&lt;&gt;"")+('Dvd Calendar'!$H$1731=TYPE3)*(TYPE3&lt;&gt;"")+('Dvd Calendar'!$H$1731=TYPE4)*(TYPE4&lt;&gt;"")+('Dvd Calendar'!$H$1731=SPECIAL_LBL)*(INC_SPECIALS="Y"))=0,"",'Dvd Calendar'!$H$1729)))</f>
        <v/>
      </c>
      <c r="G175" s="106">
        <f>IF(EI175="","",IF(ISNUMBER('Dvd Calendar'!$I$1729)=FALSE,"",IF((('Dvd Calendar'!$I$1731=TYPE1)*(TYPE1&lt;&gt;"")+('Dvd Calendar'!$I$1731=TYPE2)*(TYPE2&lt;&gt;"")+('Dvd Calendar'!$I$1731=TYPE3)*(TYPE3&lt;&gt;"")+('Dvd Calendar'!$I$1731=TYPE4)*(TYPE4&lt;&gt;"")+('Dvd Calendar'!$I$1731=SPECIAL_LBL)*(INC_SPECIALS="Y"))=0,"",'Dvd Calendar'!$I$1729)))</f>
        <v/>
      </c>
      <c r="H175" s="106">
        <f>IF(EJ175="","",IF(ISNUMBER('Dvd Calendar'!$J$1729)=FALSE,"",IF((('Dvd Calendar'!$J$1731=TYPE1)*(TYPE1&lt;&gt;"")+('Dvd Calendar'!$J$1731=TYPE2)*(TYPE2&lt;&gt;"")+('Dvd Calendar'!$J$1731=TYPE3)*(TYPE3&lt;&gt;"")+('Dvd Calendar'!$J$1731=TYPE4)*(TYPE4&lt;&gt;"")+('Dvd Calendar'!$J$1731=SPECIAL_LBL)*(INC_SPECIALS="Y"))=0,"",'Dvd Calendar'!$J$1729)))</f>
        <v/>
      </c>
      <c r="I175" s="106">
        <f>IF(EK175="","",IF(ISNUMBER('Dvd Calendar'!$K$1729)=FALSE,"",IF((('Dvd Calendar'!$K$1731=TYPE1)*(TYPE1&lt;&gt;"")+('Dvd Calendar'!$K$1731=TYPE2)*(TYPE2&lt;&gt;"")+('Dvd Calendar'!$K$1731=TYPE3)*(TYPE3&lt;&gt;"")+('Dvd Calendar'!$K$1731=TYPE4)*(TYPE4&lt;&gt;"")+('Dvd Calendar'!$K$1731=SPECIAL_LBL)*(INC_SPECIALS="Y"))=0,"",'Dvd Calendar'!$K$1729)))</f>
        <v/>
      </c>
      <c r="J175" s="106">
        <f>IF(EL175="","",IF(ISNUMBER('Dvd Calendar'!$L$1729)=FALSE,"",IF((('Dvd Calendar'!$L$1731=TYPE1)*(TYPE1&lt;&gt;"")+('Dvd Calendar'!$L$1731=TYPE2)*(TYPE2&lt;&gt;"")+('Dvd Calendar'!$L$1731=TYPE3)*(TYPE3&lt;&gt;"")+('Dvd Calendar'!$L$1731=TYPE4)*(TYPE4&lt;&gt;"")+('Dvd Calendar'!$L$1731=SPECIAL_LBL)*(INC_SPECIALS="Y"))=0,"",'Dvd Calendar'!$L$1729)))</f>
        <v/>
      </c>
      <c r="K175" s="106">
        <f>IF(EM175="","",IF(ISNUMBER('Dvd Calendar'!$M$1729)=FALSE,"",IF((('Dvd Calendar'!$M$1731=TYPE1)*(TYPE1&lt;&gt;"")+('Dvd Calendar'!$M$1731=TYPE2)*(TYPE2&lt;&gt;"")+('Dvd Calendar'!$M$1731=TYPE3)*(TYPE3&lt;&gt;"")+('Dvd Calendar'!$M$1731=TYPE4)*(TYPE4&lt;&gt;"")+('Dvd Calendar'!$M$1731=SPECIAL_LBL)*(INC_SPECIALS="Y"))=0,"",'Dvd Calendar'!$M$1729)))</f>
        <v/>
      </c>
      <c r="L175" s="106">
        <f>IF(EN175="","",IF(ISNUMBER('Dvd Calendar'!$N$1729)=FALSE,"",IF((('Dvd Calendar'!$N$1731=TYPE1)*(TYPE1&lt;&gt;"")+('Dvd Calendar'!$N$1731=TYPE2)*(TYPE2&lt;&gt;"")+('Dvd Calendar'!$N$1731=TYPE3)*(TYPE3&lt;&gt;"")+('Dvd Calendar'!$N$1731=TYPE4)*(TYPE4&lt;&gt;"")+('Dvd Calendar'!$N$1731=SPECIAL_LBL)*(INC_SPECIALS="Y"))=0,"",'Dvd Calendar'!$N$1729)))</f>
        <v/>
      </c>
      <c r="M175" s="106">
        <f>IF(EO175="","",IF(ISNUMBER('Dvd Calendar'!$O$1729)=FALSE,"",IF((('Dvd Calendar'!$O$1731=TYPE1)*(TYPE1&lt;&gt;"")+('Dvd Calendar'!$O$1731=TYPE2)*(TYPE2&lt;&gt;"")+('Dvd Calendar'!$O$1731=TYPE3)*(TYPE3&lt;&gt;"")+('Dvd Calendar'!$O$1731=TYPE4)*(TYPE4&lt;&gt;"")+('Dvd Calendar'!$O$1731=SPECIAL_LBL)*(INC_SPECIALS="Y"))=0,"",'Dvd Calendar'!$O$1729)))</f>
        <v/>
      </c>
      <c r="N175" s="106">
        <f>IF(EP175="","",IF(ISNUMBER('Dvd Calendar'!$P$1729)=FALSE,"",IF((('Dvd Calendar'!$P$1731=TYPE1)*(TYPE1&lt;&gt;"")+('Dvd Calendar'!$P$1731=TYPE2)*(TYPE2&lt;&gt;"")+('Dvd Calendar'!$P$1731=TYPE3)*(TYPE3&lt;&gt;"")+('Dvd Calendar'!$P$1731=TYPE4)*(TYPE4&lt;&gt;"")+('Dvd Calendar'!$P$1731=SPECIAL_LBL)*(INC_SPECIALS="Y"))=0,"",'Dvd Calendar'!$P$1729)))</f>
        <v/>
      </c>
      <c r="O175" s="106">
        <f>IF(EQ175="","",IF(ISNUMBER('Dvd Calendar'!$Q$1729)=FALSE,"",IF((('Dvd Calendar'!$Q$1731=TYPE1)*(TYPE1&lt;&gt;"")+('Dvd Calendar'!$Q$1731=TYPE2)*(TYPE2&lt;&gt;"")+('Dvd Calendar'!$Q$1731=TYPE3)*(TYPE3&lt;&gt;"")+('Dvd Calendar'!$Q$1731=TYPE4)*(TYPE4&lt;&gt;"")+('Dvd Calendar'!$Q$1731=SPECIAL_LBL)*(INC_SPECIALS="Y"))=0,"",'Dvd Calendar'!$Q$1729)))</f>
        <v/>
      </c>
      <c r="P175" s="106">
        <f>IF(ER175="","",IF(ISNUMBER('Dvd Calendar'!$R$1729)=FALSE,"",IF((('Dvd Calendar'!$R$1731=TYPE1)*(TYPE1&lt;&gt;"")+('Dvd Calendar'!$R$1731=TYPE2)*(TYPE2&lt;&gt;"")+('Dvd Calendar'!$R$1731=TYPE3)*(TYPE3&lt;&gt;"")+('Dvd Calendar'!$R$1731=TYPE4)*(TYPE4&lt;&gt;"")+('Dvd Calendar'!$R$1731=SPECIAL_LBL)*(INC_SPECIALS="Y"))=0,"",'Dvd Calendar'!$R$1729)))</f>
        <v/>
      </c>
      <c r="Q175" s="106">
        <f>IF(ES175="","",IF(ISNUMBER('Dvd Calendar'!$S$1729)=FALSE,"",IF((('Dvd Calendar'!$S$1731=TYPE1)*(TYPE1&lt;&gt;"")+('Dvd Calendar'!$S$1731=TYPE2)*(TYPE2&lt;&gt;"")+('Dvd Calendar'!$S$1731=TYPE3)*(TYPE3&lt;&gt;"")+('Dvd Calendar'!$S$1731=TYPE4)*(TYPE4&lt;&gt;"")+('Dvd Calendar'!$S$1731=SPECIAL_LBL)*(INC_SPECIALS="Y"))=0,"",'Dvd Calendar'!$S$1729)))</f>
        <v/>
      </c>
      <c r="R175" s="106">
        <f>IF(ET175="","",IF(ISNUMBER('Dvd Calendar'!$T$1729)=FALSE,"",IF((('Dvd Calendar'!$T$1731=TYPE1)*(TYPE1&lt;&gt;"")+('Dvd Calendar'!$T$1731=TYPE2)*(TYPE2&lt;&gt;"")+('Dvd Calendar'!$T$1731=TYPE3)*(TYPE3&lt;&gt;"")+('Dvd Calendar'!$T$1731=TYPE4)*(TYPE4&lt;&gt;"")+('Dvd Calendar'!$T$1731=SPECIAL_LBL)*(INC_SPECIALS="Y"))=0,"",'Dvd Calendar'!$T$1729)))</f>
        <v/>
      </c>
      <c r="S175" s="106">
        <f>IF(EU175="","",IF(ISNUMBER('Dvd Calendar'!$U$1729)=FALSE,"",IF((('Dvd Calendar'!$U$1731=TYPE1)*(TYPE1&lt;&gt;"")+('Dvd Calendar'!$U$1731=TYPE2)*(TYPE2&lt;&gt;"")+('Dvd Calendar'!$U$1731=TYPE3)*(TYPE3&lt;&gt;"")+('Dvd Calendar'!$U$1731=TYPE4)*(TYPE4&lt;&gt;"")+('Dvd Calendar'!$U$1731=SPECIAL_LBL)*(INC_SPECIALS="Y"))=0,"",'Dvd Calendar'!$U$1729)))</f>
        <v/>
      </c>
      <c r="T175" s="106">
        <f>IF(EV175="","",IF(ISNUMBER('Dvd Calendar'!$V$1729)=FALSE,"",IF((('Dvd Calendar'!$V$1731=TYPE1)*(TYPE1&lt;&gt;"")+('Dvd Calendar'!$V$1731=TYPE2)*(TYPE2&lt;&gt;"")+('Dvd Calendar'!$V$1731=TYPE3)*(TYPE3&lt;&gt;"")+('Dvd Calendar'!$V$1731=TYPE4)*(TYPE4&lt;&gt;"")+('Dvd Calendar'!$V$1731=SPECIAL_LBL)*(INC_SPECIALS="Y"))=0,"",'Dvd Calendar'!$V$1729)))</f>
        <v/>
      </c>
      <c r="U175" s="106">
        <f>IF(EW175="","",IF(ISNUMBER('Dvd Calendar'!$W$1729)=FALSE,"",IF((('Dvd Calendar'!$W$1731=TYPE1)*(TYPE1&lt;&gt;"")+('Dvd Calendar'!$W$1731=TYPE2)*(TYPE2&lt;&gt;"")+('Dvd Calendar'!$W$1731=TYPE3)*(TYPE3&lt;&gt;"")+('Dvd Calendar'!$W$1731=TYPE4)*(TYPE4&lt;&gt;"")+('Dvd Calendar'!$W$1731=SPECIAL_LBL)*(INC_SPECIALS="Y"))=0,"",'Dvd Calendar'!$W$1729)))</f>
        <v/>
      </c>
      <c r="V175" s="106">
        <f>IF(EX175="","",IF(ISNUMBER('Dvd Calendar'!$X$1729)=FALSE,"",IF((('Dvd Calendar'!$X$1731=TYPE1)*(TYPE1&lt;&gt;"")+('Dvd Calendar'!$X$1731=TYPE2)*(TYPE2&lt;&gt;"")+('Dvd Calendar'!$X$1731=TYPE3)*(TYPE3&lt;&gt;"")+('Dvd Calendar'!$X$1731=TYPE4)*(TYPE4&lt;&gt;"")+('Dvd Calendar'!$X$1731=SPECIAL_LBL)*(INC_SPECIALS="Y"))=0,"",'Dvd Calendar'!$X$1729)))</f>
        <v/>
      </c>
      <c r="W175" s="106">
        <f>IF(EY175="","",IF(ISNUMBER('Dvd Calendar'!$Y$1729)=FALSE,"",IF((('Dvd Calendar'!$Y$1731=TYPE1)*(TYPE1&lt;&gt;"")+('Dvd Calendar'!$Y$1731=TYPE2)*(TYPE2&lt;&gt;"")+('Dvd Calendar'!$Y$1731=TYPE3)*(TYPE3&lt;&gt;"")+('Dvd Calendar'!$Y$1731=TYPE4)*(TYPE4&lt;&gt;"")+('Dvd Calendar'!$Y$1731=SPECIAL_LBL)*(INC_SPECIALS="Y"))=0,"",'Dvd Calendar'!$Y$1729)))</f>
        <v/>
      </c>
      <c r="X175" s="106">
        <f>IF(EZ175="","",IF(ISNUMBER('Dvd Calendar'!$Z$1729)=FALSE,"",IF((('Dvd Calendar'!$Z$1731=TYPE1)*(TYPE1&lt;&gt;"")+('Dvd Calendar'!$Z$1731=TYPE2)*(TYPE2&lt;&gt;"")+('Dvd Calendar'!$Z$1731=TYPE3)*(TYPE3&lt;&gt;"")+('Dvd Calendar'!$Z$1731=TYPE4)*(TYPE4&lt;&gt;"")+('Dvd Calendar'!$Z$1731=SPECIAL_LBL)*(INC_SPECIALS="Y"))=0,"",'Dvd Calendar'!$Z$1729)))</f>
        <v/>
      </c>
      <c r="Y175" s="106">
        <f>IF(FA175="","",IF(ISNUMBER('Dvd Calendar'!$AA$1729)=FALSE,"",IF((('Dvd Calendar'!$AA$1731=TYPE1)*(TYPE1&lt;&gt;"")+('Dvd Calendar'!$AA$1731=TYPE2)*(TYPE2&lt;&gt;"")+('Dvd Calendar'!$AA$1731=TYPE3)*(TYPE3&lt;&gt;"")+('Dvd Calendar'!$AA$1731=TYPE4)*(TYPE4&lt;&gt;"")+('Dvd Calendar'!$AA$1731=SPECIAL_LBL)*(INC_SPECIALS="Y"))=0,"",'Dvd Calendar'!$AA$1729)))</f>
        <v/>
      </c>
      <c r="Z175" s="106">
        <f>IF(FB175="","",IF(ISNUMBER('Dvd Calendar'!$AB$1729)=FALSE,"",IF((('Dvd Calendar'!$AB$1731=TYPE1)*(TYPE1&lt;&gt;"")+('Dvd Calendar'!$AB$1731=TYPE2)*(TYPE2&lt;&gt;"")+('Dvd Calendar'!$AB$1731=TYPE3)*(TYPE3&lt;&gt;"")+('Dvd Calendar'!$AB$1731=TYPE4)*(TYPE4&lt;&gt;"")+('Dvd Calendar'!$AB$1731=SPECIAL_LBL)*(INC_SPECIALS="Y"))=0,"",'Dvd Calendar'!$AB$1729)))</f>
        <v/>
      </c>
      <c r="AA175" s="106">
        <f>IF(FC175="","",IF(ISNUMBER('Dvd Calendar'!$AC$1729)=FALSE,"",IF((('Dvd Calendar'!$AC$1731=TYPE1)*(TYPE1&lt;&gt;"")+('Dvd Calendar'!$AC$1731=TYPE2)*(TYPE2&lt;&gt;"")+('Dvd Calendar'!$AC$1731=TYPE3)*(TYPE3&lt;&gt;"")+('Dvd Calendar'!$AC$1731=TYPE4)*(TYPE4&lt;&gt;"")+('Dvd Calendar'!$AC$1731=SPECIAL_LBL)*(INC_SPECIALS="Y"))=0,"",'Dvd Calendar'!$AC$1729)))</f>
        <v/>
      </c>
      <c r="AB175" s="106">
        <f>IF(FD175="","",IF(ISNUMBER('Dvd Calendar'!$AD$1729)=FALSE,"",IF((('Dvd Calendar'!$AD$1731=TYPE1)*(TYPE1&lt;&gt;"")+('Dvd Calendar'!$AD$1731=TYPE2)*(TYPE2&lt;&gt;"")+('Dvd Calendar'!$AD$1731=TYPE3)*(TYPE3&lt;&gt;"")+('Dvd Calendar'!$AD$1731=TYPE4)*(TYPE4&lt;&gt;"")+('Dvd Calendar'!$AD$1731=SPECIAL_LBL)*(INC_SPECIALS="Y"))=0,"",'Dvd Calendar'!$AD$1729)))</f>
        <v/>
      </c>
      <c r="AC175" s="106">
        <f>IF(FE175="","",IF(ISNUMBER('Dvd Calendar'!$AE$1729)=FALSE,"",IF((('Dvd Calendar'!$AE$1731=TYPE1)*(TYPE1&lt;&gt;"")+('Dvd Calendar'!$AE$1731=TYPE2)*(TYPE2&lt;&gt;"")+('Dvd Calendar'!$AE$1731=TYPE3)*(TYPE3&lt;&gt;"")+('Dvd Calendar'!$AE$1731=TYPE4)*(TYPE4&lt;&gt;"")+('Dvd Calendar'!$AE$1731=SPECIAL_LBL)*(INC_SPECIALS="Y"))=0,"",'Dvd Calendar'!$AE$1729)))</f>
        <v/>
      </c>
      <c r="AD175" s="106">
        <f>IF(FF175="","",IF(ISNUMBER('Dvd Calendar'!$AF$1729)=FALSE,"",IF((('Dvd Calendar'!$AF$1731=TYPE1)*(TYPE1&lt;&gt;"")+('Dvd Calendar'!$AF$1731=TYPE2)*(TYPE2&lt;&gt;"")+('Dvd Calendar'!$AF$1731=TYPE3)*(TYPE3&lt;&gt;"")+('Dvd Calendar'!$AF$1731=TYPE4)*(TYPE4&lt;&gt;"")+('Dvd Calendar'!$AF$1731=SPECIAL_LBL)*(INC_SPECIALS="Y"))=0,"",'Dvd Calendar'!$AF$1729)))</f>
        <v/>
      </c>
      <c r="AE175" s="106">
        <f>IF(FG175="","",IF(ISNUMBER('Dvd Calendar'!$AG$1729)=FALSE,"",IF((('Dvd Calendar'!$AG$1731=TYPE1)*(TYPE1&lt;&gt;"")+('Dvd Calendar'!$AG$1731=TYPE2)*(TYPE2&lt;&gt;"")+('Dvd Calendar'!$AG$1731=TYPE3)*(TYPE3&lt;&gt;"")+('Dvd Calendar'!$AG$1731=TYPE4)*(TYPE4&lt;&gt;"")+('Dvd Calendar'!$AG$1731=SPECIAL_LBL)*(INC_SPECIALS="Y"))=0,"",'Dvd Calendar'!$AG$1729)))</f>
        <v/>
      </c>
      <c r="AF175" s="106">
        <f>IF(FH175="","",IF(ISNUMBER('Dvd Calendar'!$AH$1729)=FALSE,"",IF((('Dvd Calendar'!$AH$1731=TYPE1)*(TYPE1&lt;&gt;"")+('Dvd Calendar'!$AH$1731=TYPE2)*(TYPE2&lt;&gt;"")+('Dvd Calendar'!$AH$1731=TYPE3)*(TYPE3&lt;&gt;"")+('Dvd Calendar'!$AH$1731=TYPE4)*(TYPE4&lt;&gt;"")+('Dvd Calendar'!$AH$1731=SPECIAL_LBL)*(INC_SPECIALS="Y"))=0,"",'Dvd Calendar'!$AH$1729)))</f>
        <v/>
      </c>
      <c r="AG175" s="106">
        <f>IF(FI175="","",IF(ISNUMBER('Dvd Calendar'!$AI$1729)=FALSE,"",IF((('Dvd Calendar'!$AI$1731=TYPE1)*(TYPE1&lt;&gt;"")+('Dvd Calendar'!$AI$1731=TYPE2)*(TYPE2&lt;&gt;"")+('Dvd Calendar'!$AI$1731=TYPE3)*(TYPE3&lt;&gt;"")+('Dvd Calendar'!$AI$1731=TYPE4)*(TYPE4&lt;&gt;"")+('Dvd Calendar'!$AI$1731=SPECIAL_LBL)*(INC_SPECIALS="Y"))=0,"",'Dvd Calendar'!$AI$1729)))</f>
        <v/>
      </c>
      <c r="AH175" s="106">
        <f>IF(FJ175="","",IF(ISNUMBER('Dvd Calendar'!$AJ$1729)=FALSE,"",IF((('Dvd Calendar'!$AJ$1731=TYPE1)*(TYPE1&lt;&gt;"")+('Dvd Calendar'!$AJ$1731=TYPE2)*(TYPE2&lt;&gt;"")+('Dvd Calendar'!$AJ$1731=TYPE3)*(TYPE3&lt;&gt;"")+('Dvd Calendar'!$AJ$1731=TYPE4)*(TYPE4&lt;&gt;"")+('Dvd Calendar'!$AJ$1731=SPECIAL_LBL)*(INC_SPECIALS="Y"))=0,"",'Dvd Calendar'!$AJ$1729)))</f>
        <v/>
      </c>
      <c r="AI175" s="106">
        <f>IF(FK175="","",IF(ISNUMBER('Dvd Calendar'!$AK$1729)=FALSE,"",IF((('Dvd Calendar'!$AK$1731=TYPE1)*(TYPE1&lt;&gt;"")+('Dvd Calendar'!$AK$1731=TYPE2)*(TYPE2&lt;&gt;"")+('Dvd Calendar'!$AK$1731=TYPE3)*(TYPE3&lt;&gt;"")+('Dvd Calendar'!$AK$1731=TYPE4)*(TYPE4&lt;&gt;"")+('Dvd Calendar'!$AK$1731=SPECIAL_LBL)*(INC_SPECIALS="Y"))=0,"",'Dvd Calendar'!$AK$1729)))</f>
        <v/>
      </c>
      <c r="AJ175" s="106">
        <f>IF(FL175="","",IF(ISNUMBER('Dvd Calendar'!$AL$1729)=FALSE,"",IF((('Dvd Calendar'!$AL$1731=TYPE1)*(TYPE1&lt;&gt;"")+('Dvd Calendar'!$AL$1731=TYPE2)*(TYPE2&lt;&gt;"")+('Dvd Calendar'!$AL$1731=TYPE3)*(TYPE3&lt;&gt;"")+('Dvd Calendar'!$AL$1731=TYPE4)*(TYPE4&lt;&gt;"")+('Dvd Calendar'!$AL$1731=SPECIAL_LBL)*(INC_SPECIALS="Y"))=0,"",'Dvd Calendar'!$AL$1729)))</f>
        <v/>
      </c>
      <c r="AK175" s="106">
        <f>IF(FM175="","",IF(ISNUMBER('Dvd Calendar'!$AM$1729)=FALSE,"",IF((('Dvd Calendar'!$AM$1731=TYPE1)*(TYPE1&lt;&gt;"")+('Dvd Calendar'!$AM$1731=TYPE2)*(TYPE2&lt;&gt;"")+('Dvd Calendar'!$AM$1731=TYPE3)*(TYPE3&lt;&gt;"")+('Dvd Calendar'!$AM$1731=TYPE4)*(TYPE4&lt;&gt;"")+('Dvd Calendar'!$AM$1731=SPECIAL_LBL)*(INC_SPECIALS="Y"))=0,"",'Dvd Calendar'!$AM$1729)))</f>
        <v/>
      </c>
      <c r="AL175" s="106">
        <f>IF(FN175="","",IF(ISNUMBER('Dvd Calendar'!$AN$1729)=FALSE,"",IF((('Dvd Calendar'!$AN$1731=TYPE1)*(TYPE1&lt;&gt;"")+('Dvd Calendar'!$AN$1731=TYPE2)*(TYPE2&lt;&gt;"")+('Dvd Calendar'!$AN$1731=TYPE3)*(TYPE3&lt;&gt;"")+('Dvd Calendar'!$AN$1731=TYPE4)*(TYPE4&lt;&gt;"")+('Dvd Calendar'!$AN$1731=SPECIAL_LBL)*(INC_SPECIALS="Y"))=0,"",'Dvd Calendar'!$AN$1729)))</f>
        <v/>
      </c>
      <c r="AM175" s="106">
        <f>IF(FO175="","",IF(ISNUMBER('Dvd Calendar'!$AO$1729)=FALSE,"",IF((('Dvd Calendar'!$AO$1731=TYPE1)*(TYPE1&lt;&gt;"")+('Dvd Calendar'!$AO$1731=TYPE2)*(TYPE2&lt;&gt;"")+('Dvd Calendar'!$AO$1731=TYPE3)*(TYPE3&lt;&gt;"")+('Dvd Calendar'!$AO$1731=TYPE4)*(TYPE4&lt;&gt;"")+('Dvd Calendar'!$AO$1731=SPECIAL_LBL)*(INC_SPECIALS="Y"))=0,"",'Dvd Calendar'!$AO$1729)))</f>
        <v/>
      </c>
      <c r="AN175" s="106">
        <f>IF(FP175="","",IF(ISNUMBER('Dvd Calendar'!$AP$1729)=FALSE,"",IF((('Dvd Calendar'!$AP$1731=TYPE1)*(TYPE1&lt;&gt;"")+('Dvd Calendar'!$AP$1731=TYPE2)*(TYPE2&lt;&gt;"")+('Dvd Calendar'!$AP$1731=TYPE3)*(TYPE3&lt;&gt;"")+('Dvd Calendar'!$AP$1731=TYPE4)*(TYPE4&lt;&gt;"")+('Dvd Calendar'!$AP$1731=SPECIAL_LBL)*(INC_SPECIALS="Y"))=0,"",'Dvd Calendar'!$AP$1729)))</f>
        <v/>
      </c>
      <c r="AO175" s="106">
        <f>IF(FQ175="","",IF(ISNUMBER('Dvd Calendar'!$AQ$1729)=FALSE,"",IF((('Dvd Calendar'!$AQ$1731=TYPE1)*(TYPE1&lt;&gt;"")+('Dvd Calendar'!$AQ$1731=TYPE2)*(TYPE2&lt;&gt;"")+('Dvd Calendar'!$AQ$1731=TYPE3)*(TYPE3&lt;&gt;"")+('Dvd Calendar'!$AQ$1731=TYPE4)*(TYPE4&lt;&gt;"")+('Dvd Calendar'!$AQ$1731=SPECIAL_LBL)*(INC_SPECIALS="Y"))=0,"",'Dvd Calendar'!$AQ$1729)))</f>
        <v/>
      </c>
      <c r="AP175" s="106">
        <f>IF(FR175="","",IF(ISNUMBER('Dvd Calendar'!$AR$1729)=FALSE,"",IF((('Dvd Calendar'!$AR$1731=TYPE1)*(TYPE1&lt;&gt;"")+('Dvd Calendar'!$AR$1731=TYPE2)*(TYPE2&lt;&gt;"")+('Dvd Calendar'!$AR$1731=TYPE3)*(TYPE3&lt;&gt;"")+('Dvd Calendar'!$AR$1731=TYPE4)*(TYPE4&lt;&gt;"")+('Dvd Calendar'!$AR$1731=SPECIAL_LBL)*(INC_SPECIALS="Y"))=0,"",'Dvd Calendar'!$AR$1729)))</f>
        <v/>
      </c>
      <c r="AQ175" s="106">
        <f>IF(FS175="","",IF(ISNUMBER('Dvd Calendar'!$E$1734)=FALSE,"",'Dvd Calendar'!$E$1734))</f>
        <v/>
      </c>
      <c r="AR175" s="106">
        <f>IF(FT175="","",IF(ISNUMBER('Dvd Calendar'!$F$1734)=FALSE,"",'Dvd Calendar'!$F$1734))</f>
        <v/>
      </c>
      <c r="AS175" s="106">
        <f>IF(FU175="","",IF(ISNUMBER('Dvd Calendar'!$G$1734)=FALSE,"",'Dvd Calendar'!$G$1734))</f>
        <v/>
      </c>
      <c r="AT175" s="106">
        <f>IF(FV175="","",IF(ISNUMBER('Dvd Calendar'!$H$1734)=FALSE,"",'Dvd Calendar'!$H$1734))</f>
        <v/>
      </c>
      <c r="AU175" s="106">
        <f>IF(FW175="","",IF(ISNUMBER('Dvd Calendar'!$I$1734)=FALSE,"",'Dvd Calendar'!$I$1734))</f>
        <v/>
      </c>
      <c r="AV175" s="106">
        <f>IF(FX175="","",IF(ISNUMBER('Dvd Calendar'!$J$1734)=FALSE,"",'Dvd Calendar'!$J$1734))</f>
        <v/>
      </c>
      <c r="AW175" s="106">
        <f>IF(FY175="","",IF(ISNUMBER('Dvd Calendar'!$K$1734)=FALSE,"",'Dvd Calendar'!$K$1734))</f>
        <v/>
      </c>
      <c r="AX175" s="106">
        <f>IF(FZ175="","",IF(ISNUMBER('Dvd Calendar'!$L$1734)=FALSE,"",'Dvd Calendar'!$L$1734))</f>
        <v/>
      </c>
      <c r="AY175" s="106">
        <f>IF(GA175="","",IF(ISNUMBER('Dvd Calendar'!$M$1734)=FALSE,"",'Dvd Calendar'!$M$1734))</f>
        <v/>
      </c>
      <c r="AZ175" s="106">
        <f>IF(GB175="","",IF(ISNUMBER('Dvd Calendar'!$N$1734)=FALSE,"",'Dvd Calendar'!$N$1734))</f>
        <v/>
      </c>
      <c r="BA175" s="106">
        <f>IF(GC175="","",IF(ISNUMBER('Dvd Calendar'!$O$1734)=FALSE,"",'Dvd Calendar'!$O$1734))</f>
        <v/>
      </c>
      <c r="BB175" s="106">
        <f>IF(GD175="","",IF(ISNUMBER('Dvd Calendar'!$P$1734)=FALSE,"",'Dvd Calendar'!$P$1734))</f>
        <v/>
      </c>
      <c r="BC175" s="106">
        <f>IF(GE175="","",IF(ISNUMBER('Dvd Calendar'!$Q$1734)=FALSE,"",'Dvd Calendar'!$Q$1734))</f>
        <v/>
      </c>
      <c r="BD175" s="106">
        <f>IF(GF175="","",IF(ISNUMBER('Dvd Calendar'!$R$1734)=FALSE,"",'Dvd Calendar'!$R$1734))</f>
        <v/>
      </c>
      <c r="BE175" s="106">
        <f>IF(GG175="","",IF(ISNUMBER('Dvd Calendar'!$S$1734)=FALSE,"",'Dvd Calendar'!$S$1734))</f>
        <v/>
      </c>
      <c r="BF175" s="106">
        <f>IF(GH175="","",IF(ISNUMBER('Dvd Calendar'!$T$1734)=FALSE,"",'Dvd Calendar'!$T$1734))</f>
        <v/>
      </c>
      <c r="BG175" s="106">
        <f>IF(GI175="","",IF(ISNUMBER('Dvd Calendar'!$U$1734)=FALSE,"",'Dvd Calendar'!$U$1734))</f>
        <v/>
      </c>
      <c r="BH175" s="106">
        <f>IF(GJ175="","",IF(ISNUMBER('Dvd Calendar'!$V$1734)=FALSE,"",'Dvd Calendar'!$V$1734))</f>
        <v/>
      </c>
      <c r="BI175" s="106">
        <f>IF(GK175="","",IF(ISNUMBER('Dvd Calendar'!$W$1734)=FALSE,"",'Dvd Calendar'!$W$1734))</f>
        <v/>
      </c>
      <c r="BJ175" s="106">
        <f>IF(GL175="","",IF(ISNUMBER('Dvd Calendar'!$X$1734)=FALSE,"",'Dvd Calendar'!$X$1734))</f>
        <v/>
      </c>
      <c r="BK175" s="106">
        <f>IF(GM175="","",IF(ISNUMBER('Dvd Calendar'!$Y$1734)=FALSE,"",'Dvd Calendar'!$Y$1734))</f>
        <v/>
      </c>
      <c r="BL175" s="106">
        <f>IF(GN175="","",IF(ISNUMBER('Dvd Calendar'!$Z$1734)=FALSE,"",'Dvd Calendar'!$Z$1734))</f>
        <v/>
      </c>
      <c r="BM175" s="106">
        <f>IF(GO175="","",IF(ISNUMBER('Dvd Calendar'!$AA$1734)=FALSE,"",'Dvd Calendar'!$AA$1734))</f>
        <v/>
      </c>
      <c r="BN175" s="106">
        <f>IF(GP175="","",IF(ISNUMBER('Dvd Calendar'!$AB$1734)=FALSE,"",'Dvd Calendar'!$AB$1734))</f>
        <v/>
      </c>
      <c r="BO175" s="106">
        <f>IF(GQ175="","",IF(ISNUMBER('Dvd Calendar'!$AC$1734)=FALSE,"",'Dvd Calendar'!$AC$1734))</f>
        <v/>
      </c>
      <c r="BQ175" s="106">
        <f>IF(C175="","",IFERROR(C175*HSCEI!$B$22*HSCEI!$G$22/HSCEI!$B$3,""))</f>
        <v/>
      </c>
      <c r="BR175" s="106">
        <f>IF(D175="","",IFERROR(D175*HSCEI!$B$22*HSCEI!$G$22/HSCEI!$B$3,""))</f>
        <v/>
      </c>
      <c r="BS175" s="106">
        <f>IF(E175="","",IFERROR(E175*HSCEI!$B$22*HSCEI!$G$22/HSCEI!$B$3,""))</f>
        <v/>
      </c>
      <c r="BT175" s="106">
        <f>IF(F175="","",IFERROR(F175*HSCEI!$B$22*HSCEI!$G$22/HSCEI!$B$3,""))</f>
        <v/>
      </c>
      <c r="BU175" s="106">
        <f>IF(G175="","",IFERROR(G175*HSCEI!$B$22*HSCEI!$G$22/HSCEI!$B$3,""))</f>
        <v/>
      </c>
      <c r="BV175" s="106">
        <f>IF(H175="","",IFERROR(H175*HSCEI!$B$22*HSCEI!$G$22/HSCEI!$B$3,""))</f>
        <v/>
      </c>
      <c r="BW175" s="106">
        <f>IF(I175="","",IFERROR(I175*HSCEI!$B$22*HSCEI!$G$22/HSCEI!$B$3,""))</f>
        <v/>
      </c>
      <c r="BX175" s="106">
        <f>IF(J175="","",IFERROR(J175*HSCEI!$B$22*HSCEI!$G$22/HSCEI!$B$3,""))</f>
        <v/>
      </c>
      <c r="BY175" s="106">
        <f>IF(K175="","",IFERROR(K175*HSCEI!$B$22*HSCEI!$G$22/HSCEI!$B$3,""))</f>
        <v/>
      </c>
      <c r="BZ175" s="106">
        <f>IF(L175="","",IFERROR(L175*HSCEI!$B$22*HSCEI!$G$22/HSCEI!$B$3,""))</f>
        <v/>
      </c>
      <c r="CA175" s="106">
        <f>IF(M175="","",IFERROR(M175*HSCEI!$B$22*HSCEI!$G$22/HSCEI!$B$3,""))</f>
        <v/>
      </c>
      <c r="CB175" s="106">
        <f>IF(N175="","",IFERROR(N175*HSCEI!$B$22*HSCEI!$G$22/HSCEI!$B$3,""))</f>
        <v/>
      </c>
      <c r="CC175" s="106">
        <f>IF(O175="","",IFERROR(O175*HSCEI!$B$22*HSCEI!$G$22/HSCEI!$B$3,""))</f>
        <v/>
      </c>
      <c r="CD175" s="106">
        <f>IF(P175="","",IFERROR(P175*HSCEI!$B$22*HSCEI!$G$22/HSCEI!$B$3,""))</f>
        <v/>
      </c>
      <c r="CE175" s="106">
        <f>IF(Q175="","",IFERROR(Q175*HSCEI!$B$22*HSCEI!$G$22/HSCEI!$B$3,""))</f>
        <v/>
      </c>
      <c r="CF175" s="106">
        <f>IF(R175="","",IFERROR(R175*HSCEI!$B$22*HSCEI!$G$22/HSCEI!$B$3,""))</f>
        <v/>
      </c>
      <c r="CG175" s="106">
        <f>IF(S175="","",IFERROR(S175*HSCEI!$B$22*HSCEI!$G$22/HSCEI!$B$3,""))</f>
        <v/>
      </c>
      <c r="CH175" s="106">
        <f>IF(T175="","",IFERROR(T175*HSCEI!$B$22*HSCEI!$G$22/HSCEI!$B$3,""))</f>
        <v/>
      </c>
      <c r="CI175" s="106">
        <f>IF(U175="","",IFERROR(U175*HSCEI!$B$22*HSCEI!$G$22/HSCEI!$B$3,""))</f>
        <v/>
      </c>
      <c r="CJ175" s="106">
        <f>IF(V175="","",IFERROR(V175*HSCEI!$B$22*HSCEI!$G$22/HSCEI!$B$3,""))</f>
        <v/>
      </c>
      <c r="CK175" s="106">
        <f>IF(W175="","",IFERROR(W175*HSCEI!$B$22*HSCEI!$G$22/HSCEI!$B$3,""))</f>
        <v/>
      </c>
      <c r="CL175" s="106">
        <f>IF(X175="","",IFERROR(X175*HSCEI!$B$22*HSCEI!$G$22/HSCEI!$B$3,""))</f>
        <v/>
      </c>
      <c r="CM175" s="106">
        <f>IF(Y175="","",IFERROR(Y175*HSCEI!$B$22*HSCEI!$G$22/HSCEI!$B$3,""))</f>
        <v/>
      </c>
      <c r="CN175" s="106">
        <f>IF(Z175="","",IFERROR(Z175*HSCEI!$B$22*HSCEI!$G$22/HSCEI!$B$3,""))</f>
        <v/>
      </c>
      <c r="CO175" s="106">
        <f>IF(AA175="","",IFERROR(AA175*HSCEI!$B$22*HSCEI!$G$22/HSCEI!$B$3,""))</f>
        <v/>
      </c>
      <c r="CP175" s="106">
        <f>IF(AB175="","",IFERROR(AB175*HSCEI!$B$22*HSCEI!$G$22/HSCEI!$B$3,""))</f>
        <v/>
      </c>
      <c r="CQ175" s="106">
        <f>IF(AC175="","",IFERROR(AC175*HSCEI!$B$22*HSCEI!$G$22/HSCEI!$B$3,""))</f>
        <v/>
      </c>
      <c r="CR175" s="106">
        <f>IF(AD175="","",IFERROR(AD175*HSCEI!$B$22*HSCEI!$G$22/HSCEI!$B$3,""))</f>
        <v/>
      </c>
      <c r="CS175" s="106">
        <f>IF(AE175="","",IFERROR(AE175*HSCEI!$B$22*HSCEI!$G$22/HSCEI!$B$3,""))</f>
        <v/>
      </c>
      <c r="CT175" s="106">
        <f>IF(AF175="","",IFERROR(AF175*HSCEI!$B$22*HSCEI!$G$22/HSCEI!$B$3,""))</f>
        <v/>
      </c>
      <c r="CU175" s="106">
        <f>IF(AG175="","",IFERROR(AG175*HSCEI!$B$22*HSCEI!$G$22/HSCEI!$B$3,""))</f>
        <v/>
      </c>
      <c r="CV175" s="106">
        <f>IF(AH175="","",IFERROR(AH175*HSCEI!$B$22*HSCEI!$G$22/HSCEI!$B$3,""))</f>
        <v/>
      </c>
      <c r="CW175" s="106">
        <f>IF(AI175="","",IFERROR(AI175*HSCEI!$B$22*HSCEI!$G$22/HSCEI!$B$3,""))</f>
        <v/>
      </c>
      <c r="CX175" s="106">
        <f>IF(AJ175="","",IFERROR(AJ175*HSCEI!$B$22*HSCEI!$G$22/HSCEI!$B$3,""))</f>
        <v/>
      </c>
      <c r="CY175" s="106">
        <f>IF(AK175="","",IFERROR(AK175*HSCEI!$B$22*HSCEI!$G$22/HSCEI!$B$3,""))</f>
        <v/>
      </c>
      <c r="CZ175" s="106">
        <f>IF(AL175="","",IFERROR(AL175*HSCEI!$B$22*HSCEI!$G$22/HSCEI!$B$3,""))</f>
        <v/>
      </c>
      <c r="DA175" s="106">
        <f>IF(AM175="","",IFERROR(AM175*HSCEI!$B$22*HSCEI!$G$22/HSCEI!$B$3,""))</f>
        <v/>
      </c>
      <c r="DB175" s="106">
        <f>IF(AN175="","",IFERROR(AN175*HSCEI!$B$22*HSCEI!$G$22/HSCEI!$B$3,""))</f>
        <v/>
      </c>
      <c r="DC175" s="106">
        <f>IF(AO175="","",IFERROR(AO175*HSCEI!$B$22*HSCEI!$G$22/HSCEI!$B$3,""))</f>
        <v/>
      </c>
      <c r="DD175" s="106">
        <f>IF(AP175="","",IFERROR(AP175*HSCEI!$B$22*HSCEI!$G$22/HSCEI!$B$3,""))</f>
        <v/>
      </c>
      <c r="DE175" s="106">
        <f>IF(AQ175="","",IFERROR(AQ175*HSCEI!$B$22*HSCEI!$G$22/HSCEI!$B$3,""))</f>
        <v/>
      </c>
      <c r="DF175" s="106">
        <f>IF(AR175="","",IFERROR(AR175*HSCEI!$B$22*HSCEI!$G$22/HSCEI!$B$3,""))</f>
        <v/>
      </c>
      <c r="DG175" s="106">
        <f>IF(AS175="","",IFERROR(AS175*HSCEI!$B$22*HSCEI!$G$22/HSCEI!$B$3,""))</f>
        <v/>
      </c>
      <c r="DH175" s="106">
        <f>IF(AT175="","",IFERROR(AT175*HSCEI!$B$22*HSCEI!$G$22/HSCEI!$B$3,""))</f>
        <v/>
      </c>
      <c r="DI175" s="106">
        <f>IF(AU175="","",IFERROR(AU175*HSCEI!$B$22*HSCEI!$G$22/HSCEI!$B$3,""))</f>
        <v/>
      </c>
      <c r="DJ175" s="106">
        <f>IF(AV175="","",IFERROR(AV175*HSCEI!$B$22*HSCEI!$G$22/HSCEI!$B$3,""))</f>
        <v/>
      </c>
      <c r="DK175" s="106">
        <f>IF(AW175="","",IFERROR(AW175*HSCEI!$B$22*HSCEI!$G$22/HSCEI!$B$3,""))</f>
        <v/>
      </c>
      <c r="DL175" s="106">
        <f>IF(AX175="","",IFERROR(AX175*HSCEI!$B$22*HSCEI!$G$22/HSCEI!$B$3,""))</f>
        <v/>
      </c>
      <c r="DM175" s="106">
        <f>IF(AY175="","",IFERROR(AY175*HSCEI!$B$22*HSCEI!$G$22/HSCEI!$B$3,""))</f>
        <v/>
      </c>
      <c r="DN175" s="106">
        <f>IF(AZ175="","",IFERROR(AZ175*HSCEI!$B$22*HSCEI!$G$22/HSCEI!$B$3,""))</f>
        <v/>
      </c>
      <c r="DO175" s="106">
        <f>IF(BA175="","",IFERROR(BA175*HSCEI!$B$22*HSCEI!$G$22/HSCEI!$B$3,""))</f>
        <v/>
      </c>
      <c r="DP175" s="106">
        <f>IF(BB175="","",IFERROR(BB175*HSCEI!$B$22*HSCEI!$G$22/HSCEI!$B$3,""))</f>
        <v/>
      </c>
      <c r="DQ175" s="106">
        <f>IF(BC175="","",IFERROR(BC175*HSCEI!$B$22*HSCEI!$G$22/HSCEI!$B$3,""))</f>
        <v/>
      </c>
      <c r="DR175" s="106">
        <f>IF(BD175="","",IFERROR(BD175*HSCEI!$B$22*HSCEI!$G$22/HSCEI!$B$3,""))</f>
        <v/>
      </c>
      <c r="DS175" s="106">
        <f>IF(BE175="","",IFERROR(BE175*HSCEI!$B$22*HSCEI!$G$22/HSCEI!$B$3,""))</f>
        <v/>
      </c>
      <c r="DT175" s="106">
        <f>IF(BF175="","",IFERROR(BF175*HSCEI!$B$22*HSCEI!$G$22/HSCEI!$B$3,""))</f>
        <v/>
      </c>
      <c r="DU175" s="106">
        <f>IF(BG175="","",IFERROR(BG175*HSCEI!$B$22*HSCEI!$G$22/HSCEI!$B$3,""))</f>
        <v/>
      </c>
      <c r="DV175" s="106">
        <f>IF(BH175="","",IFERROR(BH175*HSCEI!$B$22*HSCEI!$G$22/HSCEI!$B$3,""))</f>
        <v/>
      </c>
      <c r="DW175" s="106">
        <f>IF(BI175="","",IFERROR(BI175*HSCEI!$B$22*HSCEI!$G$22/HSCEI!$B$3,""))</f>
        <v/>
      </c>
      <c r="DX175" s="106">
        <f>IF(BJ175="","",IFERROR(BJ175*HSCEI!$B$22*HSCEI!$G$22/HSCEI!$B$3,""))</f>
        <v/>
      </c>
      <c r="DY175" s="106">
        <f>IF(BK175="","",IFERROR(BK175*HSCEI!$B$22*HSCEI!$G$22/HSCEI!$B$3,""))</f>
        <v/>
      </c>
      <c r="DZ175" s="106">
        <f>IF(BL175="","",IFERROR(BL175*HSCEI!$B$22*HSCEI!$G$22/HSCEI!$B$3,""))</f>
        <v/>
      </c>
      <c r="EA175" s="106">
        <f>IF(BM175="","",IFERROR(BM175*HSCEI!$B$22*HSCEI!$G$22/HSCEI!$B$3,""))</f>
        <v/>
      </c>
      <c r="EB175" s="106">
        <f>IF(BN175="","",IFERROR(BN175*HSCEI!$B$22*HSCEI!$G$22/HSCEI!$B$3,""))</f>
        <v/>
      </c>
      <c r="EC175" s="106">
        <f>IF(BO175="","",IFERROR(BO175*HSCEI!$B$22*HSCEI!$G$22/HSCEI!$B$3,""))</f>
        <v/>
      </c>
      <c r="EE175" s="35">
        <f>IF(N('Dvd Calendar'!$E$1726)=0,"",IF(('Dvd Calendar'!$E$1726&gt;=GRID_FROM)*('Dvd Calendar'!$E$1726&lt;=GRID_TO)*('Dvd Calendar'!$E$1726&lt;=VAL_DATE)=0,"",'Dvd Calendar'!$E$1726*1000000000+ISNUMBER('Dvd Calendar'!$E$1729)*100000000+('Dvd Calendar'!$E$1731=SPECIAL_LBL)*10000000+0*1000000+16*1000+1))</f>
        <v/>
      </c>
      <c r="EF175" s="35">
        <f>IF(N('Dvd Calendar'!$F$1726)=0,"",IF(('Dvd Calendar'!$F$1726&gt;=GRID_FROM)*('Dvd Calendar'!$F$1726&lt;=GRID_TO)*('Dvd Calendar'!$F$1726&lt;=VAL_DATE)=0,"",'Dvd Calendar'!$F$1726*1000000000+ISNUMBER('Dvd Calendar'!$F$1729)*100000000+('Dvd Calendar'!$F$1731=SPECIAL_LBL)*10000000+0*1000000+16*1000+2))</f>
        <v/>
      </c>
      <c r="EG175" s="35">
        <f>IF(N('Dvd Calendar'!$G$1726)=0,"",IF(('Dvd Calendar'!$G$1726&gt;=GRID_FROM)*('Dvd Calendar'!$G$1726&lt;=GRID_TO)*('Dvd Calendar'!$G$1726&lt;=VAL_DATE)=0,"",'Dvd Calendar'!$G$1726*1000000000+ISNUMBER('Dvd Calendar'!$G$1729)*100000000+('Dvd Calendar'!$G$1731=SPECIAL_LBL)*10000000+0*1000000+16*1000+3))</f>
        <v/>
      </c>
      <c r="EH175" s="35">
        <f>IF(N('Dvd Calendar'!$H$1726)=0,"",IF(('Dvd Calendar'!$H$1726&gt;=GRID_FROM)*('Dvd Calendar'!$H$1726&lt;=GRID_TO)*('Dvd Calendar'!$H$1726&lt;=VAL_DATE)=0,"",'Dvd Calendar'!$H$1726*1000000000+ISNUMBER('Dvd Calendar'!$H$1729)*100000000+('Dvd Calendar'!$H$1731=SPECIAL_LBL)*10000000+0*1000000+16*1000+4))</f>
        <v/>
      </c>
      <c r="EI175" s="35">
        <f>IF(N('Dvd Calendar'!$I$1726)=0,"",IF(('Dvd Calendar'!$I$1726&gt;=GRID_FROM)*('Dvd Calendar'!$I$1726&lt;=GRID_TO)*('Dvd Calendar'!$I$1726&lt;=VAL_DATE)=0,"",'Dvd Calendar'!$I$1726*1000000000+ISNUMBER('Dvd Calendar'!$I$1729)*100000000+('Dvd Calendar'!$I$1731=SPECIAL_LBL)*10000000+0*1000000+16*1000+5))</f>
        <v/>
      </c>
      <c r="EJ175" s="35">
        <f>IF(N('Dvd Calendar'!$J$1726)=0,"",IF(('Dvd Calendar'!$J$1726&gt;=GRID_FROM)*('Dvd Calendar'!$J$1726&lt;=GRID_TO)*('Dvd Calendar'!$J$1726&lt;=VAL_DATE)=0,"",'Dvd Calendar'!$J$1726*1000000000+ISNUMBER('Dvd Calendar'!$J$1729)*100000000+('Dvd Calendar'!$J$1731=SPECIAL_LBL)*10000000+0*1000000+16*1000+6))</f>
        <v/>
      </c>
      <c r="EK175" s="35">
        <f>IF(N('Dvd Calendar'!$K$1726)=0,"",IF(('Dvd Calendar'!$K$1726&gt;=GRID_FROM)*('Dvd Calendar'!$K$1726&lt;=GRID_TO)*('Dvd Calendar'!$K$1726&lt;=VAL_DATE)=0,"",'Dvd Calendar'!$K$1726*1000000000+ISNUMBER('Dvd Calendar'!$K$1729)*100000000+('Dvd Calendar'!$K$1731=SPECIAL_LBL)*10000000+0*1000000+16*1000+7))</f>
        <v/>
      </c>
      <c r="EL175" s="35">
        <f>IF(N('Dvd Calendar'!$L$1726)=0,"",IF(('Dvd Calendar'!$L$1726&gt;=GRID_FROM)*('Dvd Calendar'!$L$1726&lt;=GRID_TO)*('Dvd Calendar'!$L$1726&lt;=VAL_DATE)=0,"",'Dvd Calendar'!$L$1726*1000000000+ISNUMBER('Dvd Calendar'!$L$1729)*100000000+('Dvd Calendar'!$L$1731=SPECIAL_LBL)*10000000+0*1000000+16*1000+8))</f>
        <v/>
      </c>
      <c r="EM175" s="35">
        <f>IF(N('Dvd Calendar'!$M$1726)=0,"",IF(('Dvd Calendar'!$M$1726&gt;=GRID_FROM)*('Dvd Calendar'!$M$1726&lt;=GRID_TO)*('Dvd Calendar'!$M$1726&lt;=VAL_DATE)=0,"",'Dvd Calendar'!$M$1726*1000000000+ISNUMBER('Dvd Calendar'!$M$1729)*100000000+('Dvd Calendar'!$M$1731=SPECIAL_LBL)*10000000+0*1000000+16*1000+9))</f>
        <v/>
      </c>
      <c r="EN175" s="35">
        <f>IF(N('Dvd Calendar'!$N$1726)=0,"",IF(('Dvd Calendar'!$N$1726&gt;=GRID_FROM)*('Dvd Calendar'!$N$1726&lt;=GRID_TO)*('Dvd Calendar'!$N$1726&lt;=VAL_DATE)=0,"",'Dvd Calendar'!$N$1726*1000000000+ISNUMBER('Dvd Calendar'!$N$1729)*100000000+('Dvd Calendar'!$N$1731=SPECIAL_LBL)*10000000+0*1000000+16*1000+10))</f>
        <v/>
      </c>
      <c r="EO175" s="35">
        <f>IF(N('Dvd Calendar'!$O$1726)=0,"",IF(('Dvd Calendar'!$O$1726&gt;=GRID_FROM)*('Dvd Calendar'!$O$1726&lt;=GRID_TO)*('Dvd Calendar'!$O$1726&lt;=VAL_DATE)=0,"",'Dvd Calendar'!$O$1726*1000000000+ISNUMBER('Dvd Calendar'!$O$1729)*100000000+('Dvd Calendar'!$O$1731=SPECIAL_LBL)*10000000+0*1000000+16*1000+11))</f>
        <v/>
      </c>
      <c r="EP175" s="35">
        <f>IF(N('Dvd Calendar'!$P$1726)=0,"",IF(('Dvd Calendar'!$P$1726&gt;=GRID_FROM)*('Dvd Calendar'!$P$1726&lt;=GRID_TO)*('Dvd Calendar'!$P$1726&lt;=VAL_DATE)=0,"",'Dvd Calendar'!$P$1726*1000000000+ISNUMBER('Dvd Calendar'!$P$1729)*100000000+('Dvd Calendar'!$P$1731=SPECIAL_LBL)*10000000+0*1000000+16*1000+12))</f>
        <v/>
      </c>
      <c r="EQ175" s="35">
        <f>IF(N('Dvd Calendar'!$Q$1726)=0,"",IF(('Dvd Calendar'!$Q$1726&gt;=GRID_FROM)*('Dvd Calendar'!$Q$1726&lt;=GRID_TO)*('Dvd Calendar'!$Q$1726&lt;=VAL_DATE)=0,"",'Dvd Calendar'!$Q$1726*1000000000+ISNUMBER('Dvd Calendar'!$Q$1729)*100000000+('Dvd Calendar'!$Q$1731=SPECIAL_LBL)*10000000+0*1000000+16*1000+13))</f>
        <v/>
      </c>
      <c r="ER175" s="35">
        <f>IF(N('Dvd Calendar'!$R$1726)=0,"",IF(('Dvd Calendar'!$R$1726&gt;=GRID_FROM)*('Dvd Calendar'!$R$1726&lt;=GRID_TO)*('Dvd Calendar'!$R$1726&lt;=VAL_DATE)=0,"",'Dvd Calendar'!$R$1726*1000000000+ISNUMBER('Dvd Calendar'!$R$1729)*100000000+('Dvd Calendar'!$R$1731=SPECIAL_LBL)*10000000+0*1000000+16*1000+14))</f>
        <v/>
      </c>
      <c r="ES175" s="35">
        <f>IF(N('Dvd Calendar'!$S$1726)=0,"",IF(('Dvd Calendar'!$S$1726&gt;=GRID_FROM)*('Dvd Calendar'!$S$1726&lt;=GRID_TO)*('Dvd Calendar'!$S$1726&lt;=VAL_DATE)=0,"",'Dvd Calendar'!$S$1726*1000000000+ISNUMBER('Dvd Calendar'!$S$1729)*100000000+('Dvd Calendar'!$S$1731=SPECIAL_LBL)*10000000+0*1000000+16*1000+15))</f>
        <v/>
      </c>
      <c r="ET175" s="35">
        <f>IF(N('Dvd Calendar'!$T$1726)=0,"",IF(('Dvd Calendar'!$T$1726&gt;=GRID_FROM)*('Dvd Calendar'!$T$1726&lt;=GRID_TO)*('Dvd Calendar'!$T$1726&lt;=VAL_DATE)=0,"",'Dvd Calendar'!$T$1726*1000000000+ISNUMBER('Dvd Calendar'!$T$1729)*100000000+('Dvd Calendar'!$T$1731=SPECIAL_LBL)*10000000+0*1000000+16*1000+16))</f>
        <v/>
      </c>
      <c r="EU175" s="35">
        <f>IF(N('Dvd Calendar'!$U$1726)=0,"",IF(('Dvd Calendar'!$U$1726&gt;=GRID_FROM)*('Dvd Calendar'!$U$1726&lt;=GRID_TO)*('Dvd Calendar'!$U$1726&lt;=VAL_DATE)=0,"",'Dvd Calendar'!$U$1726*1000000000+ISNUMBER('Dvd Calendar'!$U$1729)*100000000+('Dvd Calendar'!$U$1731=SPECIAL_LBL)*10000000+0*1000000+16*1000+17))</f>
        <v/>
      </c>
      <c r="EV175" s="35">
        <f>IF(N('Dvd Calendar'!$V$1726)=0,"",IF(('Dvd Calendar'!$V$1726&gt;=GRID_FROM)*('Dvd Calendar'!$V$1726&lt;=GRID_TO)*('Dvd Calendar'!$V$1726&lt;=VAL_DATE)=0,"",'Dvd Calendar'!$V$1726*1000000000+ISNUMBER('Dvd Calendar'!$V$1729)*100000000+('Dvd Calendar'!$V$1731=SPECIAL_LBL)*10000000+0*1000000+16*1000+18))</f>
        <v/>
      </c>
      <c r="EW175" s="35">
        <f>IF(N('Dvd Calendar'!$W$1726)=0,"",IF(('Dvd Calendar'!$W$1726&gt;=GRID_FROM)*('Dvd Calendar'!$W$1726&lt;=GRID_TO)*('Dvd Calendar'!$W$1726&lt;=VAL_DATE)=0,"",'Dvd Calendar'!$W$1726*1000000000+ISNUMBER('Dvd Calendar'!$W$1729)*100000000+('Dvd Calendar'!$W$1731=SPECIAL_LBL)*10000000+0*1000000+16*1000+19))</f>
        <v/>
      </c>
      <c r="EX175" s="35">
        <f>IF(N('Dvd Calendar'!$X$1726)=0,"",IF(('Dvd Calendar'!$X$1726&gt;=GRID_FROM)*('Dvd Calendar'!$X$1726&lt;=GRID_TO)*('Dvd Calendar'!$X$1726&lt;=VAL_DATE)=0,"",'Dvd Calendar'!$X$1726*1000000000+ISNUMBER('Dvd Calendar'!$X$1729)*100000000+('Dvd Calendar'!$X$1731=SPECIAL_LBL)*10000000+0*1000000+16*1000+20))</f>
        <v/>
      </c>
      <c r="EY175" s="35">
        <f>IF(N('Dvd Calendar'!$Y$1726)=0,"",IF(('Dvd Calendar'!$Y$1726&gt;=GRID_FROM)*('Dvd Calendar'!$Y$1726&lt;=GRID_TO)*('Dvd Calendar'!$Y$1726&lt;=VAL_DATE)=0,"",'Dvd Calendar'!$Y$1726*1000000000+ISNUMBER('Dvd Calendar'!$Y$1729)*100000000+('Dvd Calendar'!$Y$1731=SPECIAL_LBL)*10000000+0*1000000+16*1000+21))</f>
        <v/>
      </c>
      <c r="EZ175" s="35">
        <f>IF(N('Dvd Calendar'!$Z$1726)=0,"",IF(('Dvd Calendar'!$Z$1726&gt;=GRID_FROM)*('Dvd Calendar'!$Z$1726&lt;=GRID_TO)*('Dvd Calendar'!$Z$1726&lt;=VAL_DATE)=0,"",'Dvd Calendar'!$Z$1726*1000000000+ISNUMBER('Dvd Calendar'!$Z$1729)*100000000+('Dvd Calendar'!$Z$1731=SPECIAL_LBL)*10000000+0*1000000+16*1000+22))</f>
        <v/>
      </c>
      <c r="FA175" s="35">
        <f>IF(N('Dvd Calendar'!$AA$1726)=0,"",IF(('Dvd Calendar'!$AA$1726&gt;=GRID_FROM)*('Dvd Calendar'!$AA$1726&lt;=GRID_TO)*('Dvd Calendar'!$AA$1726&lt;=VAL_DATE)=0,"",'Dvd Calendar'!$AA$1726*1000000000+ISNUMBER('Dvd Calendar'!$AA$1729)*100000000+('Dvd Calendar'!$AA$1731=SPECIAL_LBL)*10000000+0*1000000+16*1000+23))</f>
        <v/>
      </c>
      <c r="FB175" s="35">
        <f>IF(N('Dvd Calendar'!$AB$1726)=0,"",IF(('Dvd Calendar'!$AB$1726&gt;=GRID_FROM)*('Dvd Calendar'!$AB$1726&lt;=GRID_TO)*('Dvd Calendar'!$AB$1726&lt;=VAL_DATE)=0,"",'Dvd Calendar'!$AB$1726*1000000000+ISNUMBER('Dvd Calendar'!$AB$1729)*100000000+('Dvd Calendar'!$AB$1731=SPECIAL_LBL)*10000000+0*1000000+16*1000+24))</f>
        <v/>
      </c>
      <c r="FC175" s="35">
        <f>IF(N('Dvd Calendar'!$AC$1726)=0,"",IF(('Dvd Calendar'!$AC$1726&gt;=GRID_FROM)*('Dvd Calendar'!$AC$1726&lt;=GRID_TO)*('Dvd Calendar'!$AC$1726&lt;=VAL_DATE)=0,"",'Dvd Calendar'!$AC$1726*1000000000+ISNUMBER('Dvd Calendar'!$AC$1729)*100000000+('Dvd Calendar'!$AC$1731=SPECIAL_LBL)*10000000+0*1000000+16*1000+25))</f>
        <v/>
      </c>
      <c r="FD175" s="35">
        <f>IF(N('Dvd Calendar'!$AD$1726)=0,"",IF(('Dvd Calendar'!$AD$1726&gt;=GRID_FROM)*('Dvd Calendar'!$AD$1726&lt;=GRID_TO)*('Dvd Calendar'!$AD$1726&lt;=VAL_DATE)=0,"",'Dvd Calendar'!$AD$1726*1000000000+ISNUMBER('Dvd Calendar'!$AD$1729)*100000000+('Dvd Calendar'!$AD$1731=SPECIAL_LBL)*10000000+0*1000000+16*1000+26))</f>
        <v/>
      </c>
      <c r="FE175" s="35">
        <f>IF(N('Dvd Calendar'!$AE$1726)=0,"",IF(('Dvd Calendar'!$AE$1726&gt;=GRID_FROM)*('Dvd Calendar'!$AE$1726&lt;=GRID_TO)*('Dvd Calendar'!$AE$1726&lt;=VAL_DATE)=0,"",'Dvd Calendar'!$AE$1726*1000000000+ISNUMBER('Dvd Calendar'!$AE$1729)*100000000+('Dvd Calendar'!$AE$1731=SPECIAL_LBL)*10000000+0*1000000+16*1000+27))</f>
        <v/>
      </c>
      <c r="FF175" s="35">
        <f>IF(N('Dvd Calendar'!$AF$1726)=0,"",IF(('Dvd Calendar'!$AF$1726&gt;=GRID_FROM)*('Dvd Calendar'!$AF$1726&lt;=GRID_TO)*('Dvd Calendar'!$AF$1726&lt;=VAL_DATE)=0,"",'Dvd Calendar'!$AF$1726*1000000000+ISNUMBER('Dvd Calendar'!$AF$1729)*100000000+('Dvd Calendar'!$AF$1731=SPECIAL_LBL)*10000000+0*1000000+16*1000+28))</f>
        <v/>
      </c>
      <c r="FG175" s="35">
        <f>IF(N('Dvd Calendar'!$AG$1726)=0,"",IF(('Dvd Calendar'!$AG$1726&gt;=GRID_FROM)*('Dvd Calendar'!$AG$1726&lt;=GRID_TO)*('Dvd Calendar'!$AG$1726&lt;=VAL_DATE)=0,"",'Dvd Calendar'!$AG$1726*1000000000+ISNUMBER('Dvd Calendar'!$AG$1729)*100000000+('Dvd Calendar'!$AG$1731=SPECIAL_LBL)*10000000+0*1000000+16*1000+29))</f>
        <v/>
      </c>
      <c r="FH175" s="35">
        <f>IF(N('Dvd Calendar'!$AH$1726)=0,"",IF(('Dvd Calendar'!$AH$1726&gt;=GRID_FROM)*('Dvd Calendar'!$AH$1726&lt;=GRID_TO)*('Dvd Calendar'!$AH$1726&lt;=VAL_DATE)=0,"",'Dvd Calendar'!$AH$1726*1000000000+ISNUMBER('Dvd Calendar'!$AH$1729)*100000000+('Dvd Calendar'!$AH$1731=SPECIAL_LBL)*10000000+0*1000000+16*1000+30))</f>
        <v/>
      </c>
      <c r="FI175" s="35">
        <f>IF(N('Dvd Calendar'!$AI$1726)=0,"",IF(('Dvd Calendar'!$AI$1726&gt;=GRID_FROM)*('Dvd Calendar'!$AI$1726&lt;=GRID_TO)*('Dvd Calendar'!$AI$1726&lt;=VAL_DATE)=0,"",'Dvd Calendar'!$AI$1726*1000000000+ISNUMBER('Dvd Calendar'!$AI$1729)*100000000+('Dvd Calendar'!$AI$1731=SPECIAL_LBL)*10000000+0*1000000+16*1000+31))</f>
        <v/>
      </c>
      <c r="FJ175" s="35">
        <f>IF(N('Dvd Calendar'!$AJ$1726)=0,"",IF(('Dvd Calendar'!$AJ$1726&gt;=GRID_FROM)*('Dvd Calendar'!$AJ$1726&lt;=GRID_TO)*('Dvd Calendar'!$AJ$1726&lt;=VAL_DATE)=0,"",'Dvd Calendar'!$AJ$1726*1000000000+ISNUMBER('Dvd Calendar'!$AJ$1729)*100000000+('Dvd Calendar'!$AJ$1731=SPECIAL_LBL)*10000000+0*1000000+16*1000+32))</f>
        <v/>
      </c>
      <c r="FK175" s="35">
        <f>IF(N('Dvd Calendar'!$AK$1726)=0,"",IF(('Dvd Calendar'!$AK$1726&gt;=GRID_FROM)*('Dvd Calendar'!$AK$1726&lt;=GRID_TO)*('Dvd Calendar'!$AK$1726&lt;=VAL_DATE)=0,"",'Dvd Calendar'!$AK$1726*1000000000+ISNUMBER('Dvd Calendar'!$AK$1729)*100000000+('Dvd Calendar'!$AK$1731=SPECIAL_LBL)*10000000+0*1000000+16*1000+33))</f>
        <v/>
      </c>
      <c r="FL175" s="35">
        <f>IF(N('Dvd Calendar'!$AL$1726)=0,"",IF(('Dvd Calendar'!$AL$1726&gt;=GRID_FROM)*('Dvd Calendar'!$AL$1726&lt;=GRID_TO)*('Dvd Calendar'!$AL$1726&lt;=VAL_DATE)=0,"",'Dvd Calendar'!$AL$1726*1000000000+ISNUMBER('Dvd Calendar'!$AL$1729)*100000000+('Dvd Calendar'!$AL$1731=SPECIAL_LBL)*10000000+0*1000000+16*1000+34))</f>
        <v/>
      </c>
      <c r="FM175" s="35">
        <f>IF(N('Dvd Calendar'!$AM$1726)=0,"",IF(('Dvd Calendar'!$AM$1726&gt;=GRID_FROM)*('Dvd Calendar'!$AM$1726&lt;=GRID_TO)*('Dvd Calendar'!$AM$1726&lt;=VAL_DATE)=0,"",'Dvd Calendar'!$AM$1726*1000000000+ISNUMBER('Dvd Calendar'!$AM$1729)*100000000+('Dvd Calendar'!$AM$1731=SPECIAL_LBL)*10000000+0*1000000+16*1000+35))</f>
        <v/>
      </c>
      <c r="FN175" s="35">
        <f>IF(N('Dvd Calendar'!$AN$1726)=0,"",IF(('Dvd Calendar'!$AN$1726&gt;=GRID_FROM)*('Dvd Calendar'!$AN$1726&lt;=GRID_TO)*('Dvd Calendar'!$AN$1726&lt;=VAL_DATE)=0,"",'Dvd Calendar'!$AN$1726*1000000000+ISNUMBER('Dvd Calendar'!$AN$1729)*100000000+('Dvd Calendar'!$AN$1731=SPECIAL_LBL)*10000000+0*1000000+16*1000+36))</f>
        <v/>
      </c>
      <c r="FO175" s="35">
        <f>IF(N('Dvd Calendar'!$AO$1726)=0,"",IF(('Dvd Calendar'!$AO$1726&gt;=GRID_FROM)*('Dvd Calendar'!$AO$1726&lt;=GRID_TO)*('Dvd Calendar'!$AO$1726&lt;=VAL_DATE)=0,"",'Dvd Calendar'!$AO$1726*1000000000+ISNUMBER('Dvd Calendar'!$AO$1729)*100000000+('Dvd Calendar'!$AO$1731=SPECIAL_LBL)*10000000+0*1000000+16*1000+37))</f>
        <v/>
      </c>
      <c r="FP175" s="35">
        <f>IF(N('Dvd Calendar'!$AP$1726)=0,"",IF(('Dvd Calendar'!$AP$1726&gt;=GRID_FROM)*('Dvd Calendar'!$AP$1726&lt;=GRID_TO)*('Dvd Calendar'!$AP$1726&lt;=VAL_DATE)=0,"",'Dvd Calendar'!$AP$1726*1000000000+ISNUMBER('Dvd Calendar'!$AP$1729)*100000000+('Dvd Calendar'!$AP$1731=SPECIAL_LBL)*10000000+0*1000000+16*1000+38))</f>
        <v/>
      </c>
      <c r="FQ175" s="35">
        <f>IF(N('Dvd Calendar'!$AQ$1726)=0,"",IF(('Dvd Calendar'!$AQ$1726&gt;=GRID_FROM)*('Dvd Calendar'!$AQ$1726&lt;=GRID_TO)*('Dvd Calendar'!$AQ$1726&lt;=VAL_DATE)=0,"",'Dvd Calendar'!$AQ$1726*1000000000+ISNUMBER('Dvd Calendar'!$AQ$1729)*100000000+('Dvd Calendar'!$AQ$1731=SPECIAL_LBL)*10000000+0*1000000+16*1000+39))</f>
        <v/>
      </c>
      <c r="FR175" s="35">
        <f>IF(N('Dvd Calendar'!$AR$1726)=0,"",IF(('Dvd Calendar'!$AR$1726&gt;=GRID_FROM)*('Dvd Calendar'!$AR$1726&lt;=GRID_TO)*('Dvd Calendar'!$AR$1726&lt;=VAL_DATE)=0,"",'Dvd Calendar'!$AR$1726*1000000000+ISNUMBER('Dvd Calendar'!$AR$1729)*100000000+('Dvd Calendar'!$AR$1731=SPECIAL_LBL)*10000000+0*1000000+16*1000+40))</f>
        <v/>
      </c>
      <c r="FS175" s="35">
        <f>IF(N('Dvd Calendar'!$E$1733)=0,"",IF(('Dvd Calendar'!$E$1733&gt;=GRID_FROM)*('Dvd Calendar'!$E$1733&lt;=GRID_TO)*('Dvd Calendar'!$E$1733&gt;VAL_DATE)=0,"",'Dvd Calendar'!$E$1733*1000000000+ISNUMBER('Dvd Calendar'!$E$1734)*100000000+0*10000000+(N('Dvd Calendar'!$E$1732)&gt;0)*(N('Dvd Calendar'!$E$1732)&lt;=VAL_SERIAL)*1000000+16*1000+41))</f>
        <v/>
      </c>
      <c r="FT175" s="35">
        <f>IF(N('Dvd Calendar'!$F$1733)=0,"",IF(('Dvd Calendar'!$F$1733&gt;=GRID_FROM)*('Dvd Calendar'!$F$1733&lt;=GRID_TO)*('Dvd Calendar'!$F$1733&gt;VAL_DATE)=0,"",'Dvd Calendar'!$F$1733*1000000000+ISNUMBER('Dvd Calendar'!$F$1734)*100000000+0*10000000+(N('Dvd Calendar'!$F$1732)&gt;0)*(N('Dvd Calendar'!$F$1732)&lt;=VAL_SERIAL)*1000000+16*1000+42))</f>
        <v/>
      </c>
      <c r="FU175" s="35">
        <f>IF(N('Dvd Calendar'!$G$1733)=0,"",IF(('Dvd Calendar'!$G$1733&gt;=GRID_FROM)*('Dvd Calendar'!$G$1733&lt;=GRID_TO)*('Dvd Calendar'!$G$1733&gt;VAL_DATE)=0,"",'Dvd Calendar'!$G$1733*1000000000+ISNUMBER('Dvd Calendar'!$G$1734)*100000000+0*10000000+(N('Dvd Calendar'!$G$1732)&gt;0)*(N('Dvd Calendar'!$G$1732)&lt;=VAL_SERIAL)*1000000+16*1000+43))</f>
        <v/>
      </c>
      <c r="FV175" s="35">
        <f>IF(N('Dvd Calendar'!$H$1733)=0,"",IF(('Dvd Calendar'!$H$1733&gt;=GRID_FROM)*('Dvd Calendar'!$H$1733&lt;=GRID_TO)*('Dvd Calendar'!$H$1733&gt;VAL_DATE)=0,"",'Dvd Calendar'!$H$1733*1000000000+ISNUMBER('Dvd Calendar'!$H$1734)*100000000+0*10000000+(N('Dvd Calendar'!$H$1732)&gt;0)*(N('Dvd Calendar'!$H$1732)&lt;=VAL_SERIAL)*1000000+16*1000+44))</f>
        <v/>
      </c>
      <c r="FW175" s="35">
        <f>IF(N('Dvd Calendar'!$I$1733)=0,"",IF(('Dvd Calendar'!$I$1733&gt;=GRID_FROM)*('Dvd Calendar'!$I$1733&lt;=GRID_TO)*('Dvd Calendar'!$I$1733&gt;VAL_DATE)=0,"",'Dvd Calendar'!$I$1733*1000000000+ISNUMBER('Dvd Calendar'!$I$1734)*100000000+0*10000000+(N('Dvd Calendar'!$I$1732)&gt;0)*(N('Dvd Calendar'!$I$1732)&lt;=VAL_SERIAL)*1000000+16*1000+45))</f>
        <v/>
      </c>
      <c r="FX175" s="35">
        <f>IF(N('Dvd Calendar'!$J$1733)=0,"",IF(('Dvd Calendar'!$J$1733&gt;=GRID_FROM)*('Dvd Calendar'!$J$1733&lt;=GRID_TO)*('Dvd Calendar'!$J$1733&gt;VAL_DATE)=0,"",'Dvd Calendar'!$J$1733*1000000000+ISNUMBER('Dvd Calendar'!$J$1734)*100000000+0*10000000+(N('Dvd Calendar'!$J$1732)&gt;0)*(N('Dvd Calendar'!$J$1732)&lt;=VAL_SERIAL)*1000000+16*1000+46))</f>
        <v/>
      </c>
      <c r="FY175" s="35">
        <f>IF(N('Dvd Calendar'!$K$1733)=0,"",IF(('Dvd Calendar'!$K$1733&gt;=GRID_FROM)*('Dvd Calendar'!$K$1733&lt;=GRID_TO)*('Dvd Calendar'!$K$1733&gt;VAL_DATE)=0,"",'Dvd Calendar'!$K$1733*1000000000+ISNUMBER('Dvd Calendar'!$K$1734)*100000000+0*10000000+(N('Dvd Calendar'!$K$1732)&gt;0)*(N('Dvd Calendar'!$K$1732)&lt;=VAL_SERIAL)*1000000+16*1000+47))</f>
        <v/>
      </c>
      <c r="FZ175" s="35">
        <f>IF(N('Dvd Calendar'!$L$1733)=0,"",IF(('Dvd Calendar'!$L$1733&gt;=GRID_FROM)*('Dvd Calendar'!$L$1733&lt;=GRID_TO)*('Dvd Calendar'!$L$1733&gt;VAL_DATE)=0,"",'Dvd Calendar'!$L$1733*1000000000+ISNUMBER('Dvd Calendar'!$L$1734)*100000000+0*10000000+(N('Dvd Calendar'!$L$1732)&gt;0)*(N('Dvd Calendar'!$L$1732)&lt;=VAL_SERIAL)*1000000+16*1000+48))</f>
        <v/>
      </c>
      <c r="GA175" s="35">
        <f>IF(N('Dvd Calendar'!$M$1733)=0,"",IF(('Dvd Calendar'!$M$1733&gt;=GRID_FROM)*('Dvd Calendar'!$M$1733&lt;=GRID_TO)*('Dvd Calendar'!$M$1733&gt;VAL_DATE)=0,"",'Dvd Calendar'!$M$1733*1000000000+ISNUMBER('Dvd Calendar'!$M$1734)*100000000+0*10000000+(N('Dvd Calendar'!$M$1732)&gt;0)*(N('Dvd Calendar'!$M$1732)&lt;=VAL_SERIAL)*1000000+16*1000+49))</f>
        <v/>
      </c>
      <c r="GB175" s="35">
        <f>IF(N('Dvd Calendar'!$N$1733)=0,"",IF(('Dvd Calendar'!$N$1733&gt;=GRID_FROM)*('Dvd Calendar'!$N$1733&lt;=GRID_TO)*('Dvd Calendar'!$N$1733&gt;VAL_DATE)=0,"",'Dvd Calendar'!$N$1733*1000000000+ISNUMBER('Dvd Calendar'!$N$1734)*100000000+0*10000000+(N('Dvd Calendar'!$N$1732)&gt;0)*(N('Dvd Calendar'!$N$1732)&lt;=VAL_SERIAL)*1000000+16*1000+50))</f>
        <v/>
      </c>
      <c r="GC175" s="35">
        <f>IF(N('Dvd Calendar'!$O$1733)=0,"",IF(('Dvd Calendar'!$O$1733&gt;=GRID_FROM)*('Dvd Calendar'!$O$1733&lt;=GRID_TO)*('Dvd Calendar'!$O$1733&gt;VAL_DATE)=0,"",'Dvd Calendar'!$O$1733*1000000000+ISNUMBER('Dvd Calendar'!$O$1734)*100000000+0*10000000+(N('Dvd Calendar'!$O$1732)&gt;0)*(N('Dvd Calendar'!$O$1732)&lt;=VAL_SERIAL)*1000000+16*1000+51))</f>
        <v/>
      </c>
      <c r="GD175" s="35">
        <f>IF(N('Dvd Calendar'!$P$1733)=0,"",IF(('Dvd Calendar'!$P$1733&gt;=GRID_FROM)*('Dvd Calendar'!$P$1733&lt;=GRID_TO)*('Dvd Calendar'!$P$1733&gt;VAL_DATE)=0,"",'Dvd Calendar'!$P$1733*1000000000+ISNUMBER('Dvd Calendar'!$P$1734)*100000000+0*10000000+(N('Dvd Calendar'!$P$1732)&gt;0)*(N('Dvd Calendar'!$P$1732)&lt;=VAL_SERIAL)*1000000+16*1000+52))</f>
        <v/>
      </c>
      <c r="GE175" s="35">
        <f>IF(N('Dvd Calendar'!$Q$1733)=0,"",IF(('Dvd Calendar'!$Q$1733&gt;=GRID_FROM)*('Dvd Calendar'!$Q$1733&lt;=GRID_TO)*('Dvd Calendar'!$Q$1733&gt;VAL_DATE)=0,"",'Dvd Calendar'!$Q$1733*1000000000+ISNUMBER('Dvd Calendar'!$Q$1734)*100000000+0*10000000+(N('Dvd Calendar'!$Q$1732)&gt;0)*(N('Dvd Calendar'!$Q$1732)&lt;=VAL_SERIAL)*1000000+16*1000+53))</f>
        <v/>
      </c>
      <c r="GF175" s="35">
        <f>IF(N('Dvd Calendar'!$R$1733)=0,"",IF(('Dvd Calendar'!$R$1733&gt;=GRID_FROM)*('Dvd Calendar'!$R$1733&lt;=GRID_TO)*('Dvd Calendar'!$R$1733&gt;VAL_DATE)=0,"",'Dvd Calendar'!$R$1733*1000000000+ISNUMBER('Dvd Calendar'!$R$1734)*100000000+0*10000000+(N('Dvd Calendar'!$R$1732)&gt;0)*(N('Dvd Calendar'!$R$1732)&lt;=VAL_SERIAL)*1000000+16*1000+54))</f>
        <v/>
      </c>
      <c r="GG175" s="35">
        <f>IF(N('Dvd Calendar'!$S$1733)=0,"",IF(('Dvd Calendar'!$S$1733&gt;=GRID_FROM)*('Dvd Calendar'!$S$1733&lt;=GRID_TO)*('Dvd Calendar'!$S$1733&gt;VAL_DATE)=0,"",'Dvd Calendar'!$S$1733*1000000000+ISNUMBER('Dvd Calendar'!$S$1734)*100000000+0*10000000+(N('Dvd Calendar'!$S$1732)&gt;0)*(N('Dvd Calendar'!$S$1732)&lt;=VAL_SERIAL)*1000000+16*1000+55))</f>
        <v/>
      </c>
      <c r="GH175" s="35">
        <f>IF(N('Dvd Calendar'!$T$1733)=0,"",IF(('Dvd Calendar'!$T$1733&gt;=GRID_FROM)*('Dvd Calendar'!$T$1733&lt;=GRID_TO)*('Dvd Calendar'!$T$1733&gt;VAL_DATE)=0,"",'Dvd Calendar'!$T$1733*1000000000+ISNUMBER('Dvd Calendar'!$T$1734)*100000000+0*10000000+(N('Dvd Calendar'!$T$1732)&gt;0)*(N('Dvd Calendar'!$T$1732)&lt;=VAL_SERIAL)*1000000+16*1000+56))</f>
        <v/>
      </c>
      <c r="GI175" s="35">
        <f>IF(N('Dvd Calendar'!$U$1733)=0,"",IF(('Dvd Calendar'!$U$1733&gt;=GRID_FROM)*('Dvd Calendar'!$U$1733&lt;=GRID_TO)*('Dvd Calendar'!$U$1733&gt;VAL_DATE)=0,"",'Dvd Calendar'!$U$1733*1000000000+ISNUMBER('Dvd Calendar'!$U$1734)*100000000+0*10000000+(N('Dvd Calendar'!$U$1732)&gt;0)*(N('Dvd Calendar'!$U$1732)&lt;=VAL_SERIAL)*1000000+16*1000+57))</f>
        <v/>
      </c>
      <c r="GJ175" s="35">
        <f>IF(N('Dvd Calendar'!$V$1733)=0,"",IF(('Dvd Calendar'!$V$1733&gt;=GRID_FROM)*('Dvd Calendar'!$V$1733&lt;=GRID_TO)*('Dvd Calendar'!$V$1733&gt;VAL_DATE)=0,"",'Dvd Calendar'!$V$1733*1000000000+ISNUMBER('Dvd Calendar'!$V$1734)*100000000+0*10000000+(N('Dvd Calendar'!$V$1732)&gt;0)*(N('Dvd Calendar'!$V$1732)&lt;=VAL_SERIAL)*1000000+16*1000+58))</f>
        <v/>
      </c>
      <c r="GK175" s="35">
        <f>IF(N('Dvd Calendar'!$W$1733)=0,"",IF(('Dvd Calendar'!$W$1733&gt;=GRID_FROM)*('Dvd Calendar'!$W$1733&lt;=GRID_TO)*('Dvd Calendar'!$W$1733&gt;VAL_DATE)=0,"",'Dvd Calendar'!$W$1733*1000000000+ISNUMBER('Dvd Calendar'!$W$1734)*100000000+0*10000000+(N('Dvd Calendar'!$W$1732)&gt;0)*(N('Dvd Calendar'!$W$1732)&lt;=VAL_SERIAL)*1000000+16*1000+59))</f>
        <v/>
      </c>
      <c r="GL175" s="35">
        <f>IF(N('Dvd Calendar'!$X$1733)=0,"",IF(('Dvd Calendar'!$X$1733&gt;=GRID_FROM)*('Dvd Calendar'!$X$1733&lt;=GRID_TO)*('Dvd Calendar'!$X$1733&gt;VAL_DATE)=0,"",'Dvd Calendar'!$X$1733*1000000000+ISNUMBER('Dvd Calendar'!$X$1734)*100000000+0*10000000+(N('Dvd Calendar'!$X$1732)&gt;0)*(N('Dvd Calendar'!$X$1732)&lt;=VAL_SERIAL)*1000000+16*1000+60))</f>
        <v/>
      </c>
      <c r="GM175" s="35">
        <f>IF(N('Dvd Calendar'!$Y$1733)=0,"",IF(('Dvd Calendar'!$Y$1733&gt;=GRID_FROM)*('Dvd Calendar'!$Y$1733&lt;=GRID_TO)*('Dvd Calendar'!$Y$1733&gt;VAL_DATE)=0,"",'Dvd Calendar'!$Y$1733*1000000000+ISNUMBER('Dvd Calendar'!$Y$1734)*100000000+0*10000000+(N('Dvd Calendar'!$Y$1732)&gt;0)*(N('Dvd Calendar'!$Y$1732)&lt;=VAL_SERIAL)*1000000+16*1000+61))</f>
        <v/>
      </c>
      <c r="GN175" s="35">
        <f>IF(N('Dvd Calendar'!$Z$1733)=0,"",IF(('Dvd Calendar'!$Z$1733&gt;=GRID_FROM)*('Dvd Calendar'!$Z$1733&lt;=GRID_TO)*('Dvd Calendar'!$Z$1733&gt;VAL_DATE)=0,"",'Dvd Calendar'!$Z$1733*1000000000+ISNUMBER('Dvd Calendar'!$Z$1734)*100000000+0*10000000+(N('Dvd Calendar'!$Z$1732)&gt;0)*(N('Dvd Calendar'!$Z$1732)&lt;=VAL_SERIAL)*1000000+16*1000+62))</f>
        <v/>
      </c>
      <c r="GO175" s="35">
        <f>IF(N('Dvd Calendar'!$AA$1733)=0,"",IF(('Dvd Calendar'!$AA$1733&gt;=GRID_FROM)*('Dvd Calendar'!$AA$1733&lt;=GRID_TO)*('Dvd Calendar'!$AA$1733&gt;VAL_DATE)=0,"",'Dvd Calendar'!$AA$1733*1000000000+ISNUMBER('Dvd Calendar'!$AA$1734)*100000000+0*10000000+(N('Dvd Calendar'!$AA$1732)&gt;0)*(N('Dvd Calendar'!$AA$1732)&lt;=VAL_SERIAL)*1000000+16*1000+63))</f>
        <v/>
      </c>
      <c r="GP175" s="35">
        <f>IF(N('Dvd Calendar'!$AB$1733)=0,"",IF(('Dvd Calendar'!$AB$1733&gt;=GRID_FROM)*('Dvd Calendar'!$AB$1733&lt;=GRID_TO)*('Dvd Calendar'!$AB$1733&gt;VAL_DATE)=0,"",'Dvd Calendar'!$AB$1733*1000000000+ISNUMBER('Dvd Calendar'!$AB$1734)*100000000+0*10000000+(N('Dvd Calendar'!$AB$1732)&gt;0)*(N('Dvd Calendar'!$AB$1732)&lt;=VAL_SERIAL)*1000000+16*1000+64))</f>
        <v/>
      </c>
      <c r="GQ175" s="35">
        <f>IF(N('Dvd Calendar'!$AC$1733)=0,"",IF(('Dvd Calendar'!$AC$1733&gt;=GRID_FROM)*('Dvd Calendar'!$AC$1733&lt;=GRID_TO)*('Dvd Calendar'!$AC$1733&gt;VAL_DATE)=0,"",'Dvd Calendar'!$AC$1733*1000000000+ISNUMBER('Dvd Calendar'!$AC$1734)*100000000+0*10000000+(N('Dvd Calendar'!$AC$1732)&gt;0)*(N('Dvd Calendar'!$AC$1732)&lt;=VAL_SERIAL)*1000000+16*1000+65))</f>
        <v/>
      </c>
    </row>
    <row r="176">
      <c r="B176" s="2">
        <f>IF(HSCEI!$C$23="","",HSCEI!$C$23)</f>
        <v/>
      </c>
      <c r="C176" s="106">
        <f>IF(EE176="","",IF(ISNUMBER('Dvd Calendar'!$E$1740)=FALSE,"",IF((('Dvd Calendar'!$E$1742=TYPE1)*(TYPE1&lt;&gt;"")+('Dvd Calendar'!$E$1742=TYPE2)*(TYPE2&lt;&gt;"")+('Dvd Calendar'!$E$1742=TYPE3)*(TYPE3&lt;&gt;"")+('Dvd Calendar'!$E$1742=TYPE4)*(TYPE4&lt;&gt;"")+('Dvd Calendar'!$E$1742=SPECIAL_LBL)*(INC_SPECIALS="Y"))=0,"",'Dvd Calendar'!$E$1740)))</f>
        <v/>
      </c>
      <c r="D176" s="106">
        <f>IF(EF176="","",IF(ISNUMBER('Dvd Calendar'!$F$1740)=FALSE,"",IF((('Dvd Calendar'!$F$1742=TYPE1)*(TYPE1&lt;&gt;"")+('Dvd Calendar'!$F$1742=TYPE2)*(TYPE2&lt;&gt;"")+('Dvd Calendar'!$F$1742=TYPE3)*(TYPE3&lt;&gt;"")+('Dvd Calendar'!$F$1742=TYPE4)*(TYPE4&lt;&gt;"")+('Dvd Calendar'!$F$1742=SPECIAL_LBL)*(INC_SPECIALS="Y"))=0,"",'Dvd Calendar'!$F$1740)))</f>
        <v/>
      </c>
      <c r="E176" s="106">
        <f>IF(EG176="","",IF(ISNUMBER('Dvd Calendar'!$G$1740)=FALSE,"",IF((('Dvd Calendar'!$G$1742=TYPE1)*(TYPE1&lt;&gt;"")+('Dvd Calendar'!$G$1742=TYPE2)*(TYPE2&lt;&gt;"")+('Dvd Calendar'!$G$1742=TYPE3)*(TYPE3&lt;&gt;"")+('Dvd Calendar'!$G$1742=TYPE4)*(TYPE4&lt;&gt;"")+('Dvd Calendar'!$G$1742=SPECIAL_LBL)*(INC_SPECIALS="Y"))=0,"",'Dvd Calendar'!$G$1740)))</f>
        <v/>
      </c>
      <c r="F176" s="106">
        <f>IF(EH176="","",IF(ISNUMBER('Dvd Calendar'!$H$1740)=FALSE,"",IF((('Dvd Calendar'!$H$1742=TYPE1)*(TYPE1&lt;&gt;"")+('Dvd Calendar'!$H$1742=TYPE2)*(TYPE2&lt;&gt;"")+('Dvd Calendar'!$H$1742=TYPE3)*(TYPE3&lt;&gt;"")+('Dvd Calendar'!$H$1742=TYPE4)*(TYPE4&lt;&gt;"")+('Dvd Calendar'!$H$1742=SPECIAL_LBL)*(INC_SPECIALS="Y"))=0,"",'Dvd Calendar'!$H$1740)))</f>
        <v/>
      </c>
      <c r="G176" s="106">
        <f>IF(EI176="","",IF(ISNUMBER('Dvd Calendar'!$I$1740)=FALSE,"",IF((('Dvd Calendar'!$I$1742=TYPE1)*(TYPE1&lt;&gt;"")+('Dvd Calendar'!$I$1742=TYPE2)*(TYPE2&lt;&gt;"")+('Dvd Calendar'!$I$1742=TYPE3)*(TYPE3&lt;&gt;"")+('Dvd Calendar'!$I$1742=TYPE4)*(TYPE4&lt;&gt;"")+('Dvd Calendar'!$I$1742=SPECIAL_LBL)*(INC_SPECIALS="Y"))=0,"",'Dvd Calendar'!$I$1740)))</f>
        <v/>
      </c>
      <c r="H176" s="106">
        <f>IF(EJ176="","",IF(ISNUMBER('Dvd Calendar'!$J$1740)=FALSE,"",IF((('Dvd Calendar'!$J$1742=TYPE1)*(TYPE1&lt;&gt;"")+('Dvd Calendar'!$J$1742=TYPE2)*(TYPE2&lt;&gt;"")+('Dvd Calendar'!$J$1742=TYPE3)*(TYPE3&lt;&gt;"")+('Dvd Calendar'!$J$1742=TYPE4)*(TYPE4&lt;&gt;"")+('Dvd Calendar'!$J$1742=SPECIAL_LBL)*(INC_SPECIALS="Y"))=0,"",'Dvd Calendar'!$J$1740)))</f>
        <v/>
      </c>
      <c r="I176" s="106">
        <f>IF(EK176="","",IF(ISNUMBER('Dvd Calendar'!$K$1740)=FALSE,"",IF((('Dvd Calendar'!$K$1742=TYPE1)*(TYPE1&lt;&gt;"")+('Dvd Calendar'!$K$1742=TYPE2)*(TYPE2&lt;&gt;"")+('Dvd Calendar'!$K$1742=TYPE3)*(TYPE3&lt;&gt;"")+('Dvd Calendar'!$K$1742=TYPE4)*(TYPE4&lt;&gt;"")+('Dvd Calendar'!$K$1742=SPECIAL_LBL)*(INC_SPECIALS="Y"))=0,"",'Dvd Calendar'!$K$1740)))</f>
        <v/>
      </c>
      <c r="J176" s="106">
        <f>IF(EL176="","",IF(ISNUMBER('Dvd Calendar'!$L$1740)=FALSE,"",IF((('Dvd Calendar'!$L$1742=TYPE1)*(TYPE1&lt;&gt;"")+('Dvd Calendar'!$L$1742=TYPE2)*(TYPE2&lt;&gt;"")+('Dvd Calendar'!$L$1742=TYPE3)*(TYPE3&lt;&gt;"")+('Dvd Calendar'!$L$1742=TYPE4)*(TYPE4&lt;&gt;"")+('Dvd Calendar'!$L$1742=SPECIAL_LBL)*(INC_SPECIALS="Y"))=0,"",'Dvd Calendar'!$L$1740)))</f>
        <v/>
      </c>
      <c r="K176" s="106">
        <f>IF(EM176="","",IF(ISNUMBER('Dvd Calendar'!$M$1740)=FALSE,"",IF((('Dvd Calendar'!$M$1742=TYPE1)*(TYPE1&lt;&gt;"")+('Dvd Calendar'!$M$1742=TYPE2)*(TYPE2&lt;&gt;"")+('Dvd Calendar'!$M$1742=TYPE3)*(TYPE3&lt;&gt;"")+('Dvd Calendar'!$M$1742=TYPE4)*(TYPE4&lt;&gt;"")+('Dvd Calendar'!$M$1742=SPECIAL_LBL)*(INC_SPECIALS="Y"))=0,"",'Dvd Calendar'!$M$1740)))</f>
        <v/>
      </c>
      <c r="L176" s="106">
        <f>IF(EN176="","",IF(ISNUMBER('Dvd Calendar'!$N$1740)=FALSE,"",IF((('Dvd Calendar'!$N$1742=TYPE1)*(TYPE1&lt;&gt;"")+('Dvd Calendar'!$N$1742=TYPE2)*(TYPE2&lt;&gt;"")+('Dvd Calendar'!$N$1742=TYPE3)*(TYPE3&lt;&gt;"")+('Dvd Calendar'!$N$1742=TYPE4)*(TYPE4&lt;&gt;"")+('Dvd Calendar'!$N$1742=SPECIAL_LBL)*(INC_SPECIALS="Y"))=0,"",'Dvd Calendar'!$N$1740)))</f>
        <v/>
      </c>
      <c r="M176" s="106">
        <f>IF(EO176="","",IF(ISNUMBER('Dvd Calendar'!$O$1740)=FALSE,"",IF((('Dvd Calendar'!$O$1742=TYPE1)*(TYPE1&lt;&gt;"")+('Dvd Calendar'!$O$1742=TYPE2)*(TYPE2&lt;&gt;"")+('Dvd Calendar'!$O$1742=TYPE3)*(TYPE3&lt;&gt;"")+('Dvd Calendar'!$O$1742=TYPE4)*(TYPE4&lt;&gt;"")+('Dvd Calendar'!$O$1742=SPECIAL_LBL)*(INC_SPECIALS="Y"))=0,"",'Dvd Calendar'!$O$1740)))</f>
        <v/>
      </c>
      <c r="N176" s="106">
        <f>IF(EP176="","",IF(ISNUMBER('Dvd Calendar'!$P$1740)=FALSE,"",IF((('Dvd Calendar'!$P$1742=TYPE1)*(TYPE1&lt;&gt;"")+('Dvd Calendar'!$P$1742=TYPE2)*(TYPE2&lt;&gt;"")+('Dvd Calendar'!$P$1742=TYPE3)*(TYPE3&lt;&gt;"")+('Dvd Calendar'!$P$1742=TYPE4)*(TYPE4&lt;&gt;"")+('Dvd Calendar'!$P$1742=SPECIAL_LBL)*(INC_SPECIALS="Y"))=0,"",'Dvd Calendar'!$P$1740)))</f>
        <v/>
      </c>
      <c r="O176" s="106">
        <f>IF(EQ176="","",IF(ISNUMBER('Dvd Calendar'!$Q$1740)=FALSE,"",IF((('Dvd Calendar'!$Q$1742=TYPE1)*(TYPE1&lt;&gt;"")+('Dvd Calendar'!$Q$1742=TYPE2)*(TYPE2&lt;&gt;"")+('Dvd Calendar'!$Q$1742=TYPE3)*(TYPE3&lt;&gt;"")+('Dvd Calendar'!$Q$1742=TYPE4)*(TYPE4&lt;&gt;"")+('Dvd Calendar'!$Q$1742=SPECIAL_LBL)*(INC_SPECIALS="Y"))=0,"",'Dvd Calendar'!$Q$1740)))</f>
        <v/>
      </c>
      <c r="P176" s="106">
        <f>IF(ER176="","",IF(ISNUMBER('Dvd Calendar'!$R$1740)=FALSE,"",IF((('Dvd Calendar'!$R$1742=TYPE1)*(TYPE1&lt;&gt;"")+('Dvd Calendar'!$R$1742=TYPE2)*(TYPE2&lt;&gt;"")+('Dvd Calendar'!$R$1742=TYPE3)*(TYPE3&lt;&gt;"")+('Dvd Calendar'!$R$1742=TYPE4)*(TYPE4&lt;&gt;"")+('Dvd Calendar'!$R$1742=SPECIAL_LBL)*(INC_SPECIALS="Y"))=0,"",'Dvd Calendar'!$R$1740)))</f>
        <v/>
      </c>
      <c r="Q176" s="106">
        <f>IF(ES176="","",IF(ISNUMBER('Dvd Calendar'!$S$1740)=FALSE,"",IF((('Dvd Calendar'!$S$1742=TYPE1)*(TYPE1&lt;&gt;"")+('Dvd Calendar'!$S$1742=TYPE2)*(TYPE2&lt;&gt;"")+('Dvd Calendar'!$S$1742=TYPE3)*(TYPE3&lt;&gt;"")+('Dvd Calendar'!$S$1742=TYPE4)*(TYPE4&lt;&gt;"")+('Dvd Calendar'!$S$1742=SPECIAL_LBL)*(INC_SPECIALS="Y"))=0,"",'Dvd Calendar'!$S$1740)))</f>
        <v/>
      </c>
      <c r="R176" s="106">
        <f>IF(ET176="","",IF(ISNUMBER('Dvd Calendar'!$T$1740)=FALSE,"",IF((('Dvd Calendar'!$T$1742=TYPE1)*(TYPE1&lt;&gt;"")+('Dvd Calendar'!$T$1742=TYPE2)*(TYPE2&lt;&gt;"")+('Dvd Calendar'!$T$1742=TYPE3)*(TYPE3&lt;&gt;"")+('Dvd Calendar'!$T$1742=TYPE4)*(TYPE4&lt;&gt;"")+('Dvd Calendar'!$T$1742=SPECIAL_LBL)*(INC_SPECIALS="Y"))=0,"",'Dvd Calendar'!$T$1740)))</f>
        <v/>
      </c>
      <c r="S176" s="106">
        <f>IF(EU176="","",IF(ISNUMBER('Dvd Calendar'!$U$1740)=FALSE,"",IF((('Dvd Calendar'!$U$1742=TYPE1)*(TYPE1&lt;&gt;"")+('Dvd Calendar'!$U$1742=TYPE2)*(TYPE2&lt;&gt;"")+('Dvd Calendar'!$U$1742=TYPE3)*(TYPE3&lt;&gt;"")+('Dvd Calendar'!$U$1742=TYPE4)*(TYPE4&lt;&gt;"")+('Dvd Calendar'!$U$1742=SPECIAL_LBL)*(INC_SPECIALS="Y"))=0,"",'Dvd Calendar'!$U$1740)))</f>
        <v/>
      </c>
      <c r="T176" s="106">
        <f>IF(EV176="","",IF(ISNUMBER('Dvd Calendar'!$V$1740)=FALSE,"",IF((('Dvd Calendar'!$V$1742=TYPE1)*(TYPE1&lt;&gt;"")+('Dvd Calendar'!$V$1742=TYPE2)*(TYPE2&lt;&gt;"")+('Dvd Calendar'!$V$1742=TYPE3)*(TYPE3&lt;&gt;"")+('Dvd Calendar'!$V$1742=TYPE4)*(TYPE4&lt;&gt;"")+('Dvd Calendar'!$V$1742=SPECIAL_LBL)*(INC_SPECIALS="Y"))=0,"",'Dvd Calendar'!$V$1740)))</f>
        <v/>
      </c>
      <c r="U176" s="106">
        <f>IF(EW176="","",IF(ISNUMBER('Dvd Calendar'!$W$1740)=FALSE,"",IF((('Dvd Calendar'!$W$1742=TYPE1)*(TYPE1&lt;&gt;"")+('Dvd Calendar'!$W$1742=TYPE2)*(TYPE2&lt;&gt;"")+('Dvd Calendar'!$W$1742=TYPE3)*(TYPE3&lt;&gt;"")+('Dvd Calendar'!$W$1742=TYPE4)*(TYPE4&lt;&gt;"")+('Dvd Calendar'!$W$1742=SPECIAL_LBL)*(INC_SPECIALS="Y"))=0,"",'Dvd Calendar'!$W$1740)))</f>
        <v/>
      </c>
      <c r="V176" s="106">
        <f>IF(EX176="","",IF(ISNUMBER('Dvd Calendar'!$X$1740)=FALSE,"",IF((('Dvd Calendar'!$X$1742=TYPE1)*(TYPE1&lt;&gt;"")+('Dvd Calendar'!$X$1742=TYPE2)*(TYPE2&lt;&gt;"")+('Dvd Calendar'!$X$1742=TYPE3)*(TYPE3&lt;&gt;"")+('Dvd Calendar'!$X$1742=TYPE4)*(TYPE4&lt;&gt;"")+('Dvd Calendar'!$X$1742=SPECIAL_LBL)*(INC_SPECIALS="Y"))=0,"",'Dvd Calendar'!$X$1740)))</f>
        <v/>
      </c>
      <c r="W176" s="106">
        <f>IF(EY176="","",IF(ISNUMBER('Dvd Calendar'!$Y$1740)=FALSE,"",IF((('Dvd Calendar'!$Y$1742=TYPE1)*(TYPE1&lt;&gt;"")+('Dvd Calendar'!$Y$1742=TYPE2)*(TYPE2&lt;&gt;"")+('Dvd Calendar'!$Y$1742=TYPE3)*(TYPE3&lt;&gt;"")+('Dvd Calendar'!$Y$1742=TYPE4)*(TYPE4&lt;&gt;"")+('Dvd Calendar'!$Y$1742=SPECIAL_LBL)*(INC_SPECIALS="Y"))=0,"",'Dvd Calendar'!$Y$1740)))</f>
        <v/>
      </c>
      <c r="X176" s="106">
        <f>IF(EZ176="","",IF(ISNUMBER('Dvd Calendar'!$Z$1740)=FALSE,"",IF((('Dvd Calendar'!$Z$1742=TYPE1)*(TYPE1&lt;&gt;"")+('Dvd Calendar'!$Z$1742=TYPE2)*(TYPE2&lt;&gt;"")+('Dvd Calendar'!$Z$1742=TYPE3)*(TYPE3&lt;&gt;"")+('Dvd Calendar'!$Z$1742=TYPE4)*(TYPE4&lt;&gt;"")+('Dvd Calendar'!$Z$1742=SPECIAL_LBL)*(INC_SPECIALS="Y"))=0,"",'Dvd Calendar'!$Z$1740)))</f>
        <v/>
      </c>
      <c r="Y176" s="106">
        <f>IF(FA176="","",IF(ISNUMBER('Dvd Calendar'!$AA$1740)=FALSE,"",IF((('Dvd Calendar'!$AA$1742=TYPE1)*(TYPE1&lt;&gt;"")+('Dvd Calendar'!$AA$1742=TYPE2)*(TYPE2&lt;&gt;"")+('Dvd Calendar'!$AA$1742=TYPE3)*(TYPE3&lt;&gt;"")+('Dvd Calendar'!$AA$1742=TYPE4)*(TYPE4&lt;&gt;"")+('Dvd Calendar'!$AA$1742=SPECIAL_LBL)*(INC_SPECIALS="Y"))=0,"",'Dvd Calendar'!$AA$1740)))</f>
        <v/>
      </c>
      <c r="Z176" s="106">
        <f>IF(FB176="","",IF(ISNUMBER('Dvd Calendar'!$AB$1740)=FALSE,"",IF((('Dvd Calendar'!$AB$1742=TYPE1)*(TYPE1&lt;&gt;"")+('Dvd Calendar'!$AB$1742=TYPE2)*(TYPE2&lt;&gt;"")+('Dvd Calendar'!$AB$1742=TYPE3)*(TYPE3&lt;&gt;"")+('Dvd Calendar'!$AB$1742=TYPE4)*(TYPE4&lt;&gt;"")+('Dvd Calendar'!$AB$1742=SPECIAL_LBL)*(INC_SPECIALS="Y"))=0,"",'Dvd Calendar'!$AB$1740)))</f>
        <v/>
      </c>
      <c r="AA176" s="106">
        <f>IF(FC176="","",IF(ISNUMBER('Dvd Calendar'!$AC$1740)=FALSE,"",IF((('Dvd Calendar'!$AC$1742=TYPE1)*(TYPE1&lt;&gt;"")+('Dvd Calendar'!$AC$1742=TYPE2)*(TYPE2&lt;&gt;"")+('Dvd Calendar'!$AC$1742=TYPE3)*(TYPE3&lt;&gt;"")+('Dvd Calendar'!$AC$1742=TYPE4)*(TYPE4&lt;&gt;"")+('Dvd Calendar'!$AC$1742=SPECIAL_LBL)*(INC_SPECIALS="Y"))=0,"",'Dvd Calendar'!$AC$1740)))</f>
        <v/>
      </c>
      <c r="AB176" s="106">
        <f>IF(FD176="","",IF(ISNUMBER('Dvd Calendar'!$AD$1740)=FALSE,"",IF((('Dvd Calendar'!$AD$1742=TYPE1)*(TYPE1&lt;&gt;"")+('Dvd Calendar'!$AD$1742=TYPE2)*(TYPE2&lt;&gt;"")+('Dvd Calendar'!$AD$1742=TYPE3)*(TYPE3&lt;&gt;"")+('Dvd Calendar'!$AD$1742=TYPE4)*(TYPE4&lt;&gt;"")+('Dvd Calendar'!$AD$1742=SPECIAL_LBL)*(INC_SPECIALS="Y"))=0,"",'Dvd Calendar'!$AD$1740)))</f>
        <v/>
      </c>
      <c r="AC176" s="106">
        <f>IF(FE176="","",IF(ISNUMBER('Dvd Calendar'!$AE$1740)=FALSE,"",IF((('Dvd Calendar'!$AE$1742=TYPE1)*(TYPE1&lt;&gt;"")+('Dvd Calendar'!$AE$1742=TYPE2)*(TYPE2&lt;&gt;"")+('Dvd Calendar'!$AE$1742=TYPE3)*(TYPE3&lt;&gt;"")+('Dvd Calendar'!$AE$1742=TYPE4)*(TYPE4&lt;&gt;"")+('Dvd Calendar'!$AE$1742=SPECIAL_LBL)*(INC_SPECIALS="Y"))=0,"",'Dvd Calendar'!$AE$1740)))</f>
        <v/>
      </c>
      <c r="AD176" s="106">
        <f>IF(FF176="","",IF(ISNUMBER('Dvd Calendar'!$AF$1740)=FALSE,"",IF((('Dvd Calendar'!$AF$1742=TYPE1)*(TYPE1&lt;&gt;"")+('Dvd Calendar'!$AF$1742=TYPE2)*(TYPE2&lt;&gt;"")+('Dvd Calendar'!$AF$1742=TYPE3)*(TYPE3&lt;&gt;"")+('Dvd Calendar'!$AF$1742=TYPE4)*(TYPE4&lt;&gt;"")+('Dvd Calendar'!$AF$1742=SPECIAL_LBL)*(INC_SPECIALS="Y"))=0,"",'Dvd Calendar'!$AF$1740)))</f>
        <v/>
      </c>
      <c r="AE176" s="106">
        <f>IF(FG176="","",IF(ISNUMBER('Dvd Calendar'!$AG$1740)=FALSE,"",IF((('Dvd Calendar'!$AG$1742=TYPE1)*(TYPE1&lt;&gt;"")+('Dvd Calendar'!$AG$1742=TYPE2)*(TYPE2&lt;&gt;"")+('Dvd Calendar'!$AG$1742=TYPE3)*(TYPE3&lt;&gt;"")+('Dvd Calendar'!$AG$1742=TYPE4)*(TYPE4&lt;&gt;"")+('Dvd Calendar'!$AG$1742=SPECIAL_LBL)*(INC_SPECIALS="Y"))=0,"",'Dvd Calendar'!$AG$1740)))</f>
        <v/>
      </c>
      <c r="AF176" s="106">
        <f>IF(FH176="","",IF(ISNUMBER('Dvd Calendar'!$AH$1740)=FALSE,"",IF((('Dvd Calendar'!$AH$1742=TYPE1)*(TYPE1&lt;&gt;"")+('Dvd Calendar'!$AH$1742=TYPE2)*(TYPE2&lt;&gt;"")+('Dvd Calendar'!$AH$1742=TYPE3)*(TYPE3&lt;&gt;"")+('Dvd Calendar'!$AH$1742=TYPE4)*(TYPE4&lt;&gt;"")+('Dvd Calendar'!$AH$1742=SPECIAL_LBL)*(INC_SPECIALS="Y"))=0,"",'Dvd Calendar'!$AH$1740)))</f>
        <v/>
      </c>
      <c r="AG176" s="106">
        <f>IF(FI176="","",IF(ISNUMBER('Dvd Calendar'!$AI$1740)=FALSE,"",IF((('Dvd Calendar'!$AI$1742=TYPE1)*(TYPE1&lt;&gt;"")+('Dvd Calendar'!$AI$1742=TYPE2)*(TYPE2&lt;&gt;"")+('Dvd Calendar'!$AI$1742=TYPE3)*(TYPE3&lt;&gt;"")+('Dvd Calendar'!$AI$1742=TYPE4)*(TYPE4&lt;&gt;"")+('Dvd Calendar'!$AI$1742=SPECIAL_LBL)*(INC_SPECIALS="Y"))=0,"",'Dvd Calendar'!$AI$1740)))</f>
        <v/>
      </c>
      <c r="AH176" s="106">
        <f>IF(FJ176="","",IF(ISNUMBER('Dvd Calendar'!$AJ$1740)=FALSE,"",IF((('Dvd Calendar'!$AJ$1742=TYPE1)*(TYPE1&lt;&gt;"")+('Dvd Calendar'!$AJ$1742=TYPE2)*(TYPE2&lt;&gt;"")+('Dvd Calendar'!$AJ$1742=TYPE3)*(TYPE3&lt;&gt;"")+('Dvd Calendar'!$AJ$1742=TYPE4)*(TYPE4&lt;&gt;"")+('Dvd Calendar'!$AJ$1742=SPECIAL_LBL)*(INC_SPECIALS="Y"))=0,"",'Dvd Calendar'!$AJ$1740)))</f>
        <v/>
      </c>
      <c r="AI176" s="106">
        <f>IF(FK176="","",IF(ISNUMBER('Dvd Calendar'!$AK$1740)=FALSE,"",IF((('Dvd Calendar'!$AK$1742=TYPE1)*(TYPE1&lt;&gt;"")+('Dvd Calendar'!$AK$1742=TYPE2)*(TYPE2&lt;&gt;"")+('Dvd Calendar'!$AK$1742=TYPE3)*(TYPE3&lt;&gt;"")+('Dvd Calendar'!$AK$1742=TYPE4)*(TYPE4&lt;&gt;"")+('Dvd Calendar'!$AK$1742=SPECIAL_LBL)*(INC_SPECIALS="Y"))=0,"",'Dvd Calendar'!$AK$1740)))</f>
        <v/>
      </c>
      <c r="AJ176" s="106">
        <f>IF(FL176="","",IF(ISNUMBER('Dvd Calendar'!$AL$1740)=FALSE,"",IF((('Dvd Calendar'!$AL$1742=TYPE1)*(TYPE1&lt;&gt;"")+('Dvd Calendar'!$AL$1742=TYPE2)*(TYPE2&lt;&gt;"")+('Dvd Calendar'!$AL$1742=TYPE3)*(TYPE3&lt;&gt;"")+('Dvd Calendar'!$AL$1742=TYPE4)*(TYPE4&lt;&gt;"")+('Dvd Calendar'!$AL$1742=SPECIAL_LBL)*(INC_SPECIALS="Y"))=0,"",'Dvd Calendar'!$AL$1740)))</f>
        <v/>
      </c>
      <c r="AK176" s="106">
        <f>IF(FM176="","",IF(ISNUMBER('Dvd Calendar'!$AM$1740)=FALSE,"",IF((('Dvd Calendar'!$AM$1742=TYPE1)*(TYPE1&lt;&gt;"")+('Dvd Calendar'!$AM$1742=TYPE2)*(TYPE2&lt;&gt;"")+('Dvd Calendar'!$AM$1742=TYPE3)*(TYPE3&lt;&gt;"")+('Dvd Calendar'!$AM$1742=TYPE4)*(TYPE4&lt;&gt;"")+('Dvd Calendar'!$AM$1742=SPECIAL_LBL)*(INC_SPECIALS="Y"))=0,"",'Dvd Calendar'!$AM$1740)))</f>
        <v/>
      </c>
      <c r="AL176" s="106">
        <f>IF(FN176="","",IF(ISNUMBER('Dvd Calendar'!$AN$1740)=FALSE,"",IF((('Dvd Calendar'!$AN$1742=TYPE1)*(TYPE1&lt;&gt;"")+('Dvd Calendar'!$AN$1742=TYPE2)*(TYPE2&lt;&gt;"")+('Dvd Calendar'!$AN$1742=TYPE3)*(TYPE3&lt;&gt;"")+('Dvd Calendar'!$AN$1742=TYPE4)*(TYPE4&lt;&gt;"")+('Dvd Calendar'!$AN$1742=SPECIAL_LBL)*(INC_SPECIALS="Y"))=0,"",'Dvd Calendar'!$AN$1740)))</f>
        <v/>
      </c>
      <c r="AM176" s="106">
        <f>IF(FO176="","",IF(ISNUMBER('Dvd Calendar'!$AO$1740)=FALSE,"",IF((('Dvd Calendar'!$AO$1742=TYPE1)*(TYPE1&lt;&gt;"")+('Dvd Calendar'!$AO$1742=TYPE2)*(TYPE2&lt;&gt;"")+('Dvd Calendar'!$AO$1742=TYPE3)*(TYPE3&lt;&gt;"")+('Dvd Calendar'!$AO$1742=TYPE4)*(TYPE4&lt;&gt;"")+('Dvd Calendar'!$AO$1742=SPECIAL_LBL)*(INC_SPECIALS="Y"))=0,"",'Dvd Calendar'!$AO$1740)))</f>
        <v/>
      </c>
      <c r="AN176" s="106">
        <f>IF(FP176="","",IF(ISNUMBER('Dvd Calendar'!$AP$1740)=FALSE,"",IF((('Dvd Calendar'!$AP$1742=TYPE1)*(TYPE1&lt;&gt;"")+('Dvd Calendar'!$AP$1742=TYPE2)*(TYPE2&lt;&gt;"")+('Dvd Calendar'!$AP$1742=TYPE3)*(TYPE3&lt;&gt;"")+('Dvd Calendar'!$AP$1742=TYPE4)*(TYPE4&lt;&gt;"")+('Dvd Calendar'!$AP$1742=SPECIAL_LBL)*(INC_SPECIALS="Y"))=0,"",'Dvd Calendar'!$AP$1740)))</f>
        <v/>
      </c>
      <c r="AO176" s="106">
        <f>IF(FQ176="","",IF(ISNUMBER('Dvd Calendar'!$AQ$1740)=FALSE,"",IF((('Dvd Calendar'!$AQ$1742=TYPE1)*(TYPE1&lt;&gt;"")+('Dvd Calendar'!$AQ$1742=TYPE2)*(TYPE2&lt;&gt;"")+('Dvd Calendar'!$AQ$1742=TYPE3)*(TYPE3&lt;&gt;"")+('Dvd Calendar'!$AQ$1742=TYPE4)*(TYPE4&lt;&gt;"")+('Dvd Calendar'!$AQ$1742=SPECIAL_LBL)*(INC_SPECIALS="Y"))=0,"",'Dvd Calendar'!$AQ$1740)))</f>
        <v/>
      </c>
      <c r="AP176" s="106">
        <f>IF(FR176="","",IF(ISNUMBER('Dvd Calendar'!$AR$1740)=FALSE,"",IF((('Dvd Calendar'!$AR$1742=TYPE1)*(TYPE1&lt;&gt;"")+('Dvd Calendar'!$AR$1742=TYPE2)*(TYPE2&lt;&gt;"")+('Dvd Calendar'!$AR$1742=TYPE3)*(TYPE3&lt;&gt;"")+('Dvd Calendar'!$AR$1742=TYPE4)*(TYPE4&lt;&gt;"")+('Dvd Calendar'!$AR$1742=SPECIAL_LBL)*(INC_SPECIALS="Y"))=0,"",'Dvd Calendar'!$AR$1740)))</f>
        <v/>
      </c>
      <c r="AQ176" s="106">
        <f>IF(FS176="","",IF(ISNUMBER('Dvd Calendar'!$E$1745)=FALSE,"",'Dvd Calendar'!$E$1745))</f>
        <v/>
      </c>
      <c r="AR176" s="106">
        <f>IF(FT176="","",IF(ISNUMBER('Dvd Calendar'!$F$1745)=FALSE,"",'Dvd Calendar'!$F$1745))</f>
        <v/>
      </c>
      <c r="AS176" s="106">
        <f>IF(FU176="","",IF(ISNUMBER('Dvd Calendar'!$G$1745)=FALSE,"",'Dvd Calendar'!$G$1745))</f>
        <v/>
      </c>
      <c r="AT176" s="106">
        <f>IF(FV176="","",IF(ISNUMBER('Dvd Calendar'!$H$1745)=FALSE,"",'Dvd Calendar'!$H$1745))</f>
        <v/>
      </c>
      <c r="AU176" s="106">
        <f>IF(FW176="","",IF(ISNUMBER('Dvd Calendar'!$I$1745)=FALSE,"",'Dvd Calendar'!$I$1745))</f>
        <v/>
      </c>
      <c r="AV176" s="106">
        <f>IF(FX176="","",IF(ISNUMBER('Dvd Calendar'!$J$1745)=FALSE,"",'Dvd Calendar'!$J$1745))</f>
        <v/>
      </c>
      <c r="AW176" s="106">
        <f>IF(FY176="","",IF(ISNUMBER('Dvd Calendar'!$K$1745)=FALSE,"",'Dvd Calendar'!$K$1745))</f>
        <v/>
      </c>
      <c r="AX176" s="106">
        <f>IF(FZ176="","",IF(ISNUMBER('Dvd Calendar'!$L$1745)=FALSE,"",'Dvd Calendar'!$L$1745))</f>
        <v/>
      </c>
      <c r="AY176" s="106">
        <f>IF(GA176="","",IF(ISNUMBER('Dvd Calendar'!$M$1745)=FALSE,"",'Dvd Calendar'!$M$1745))</f>
        <v/>
      </c>
      <c r="AZ176" s="106">
        <f>IF(GB176="","",IF(ISNUMBER('Dvd Calendar'!$N$1745)=FALSE,"",'Dvd Calendar'!$N$1745))</f>
        <v/>
      </c>
      <c r="BA176" s="106">
        <f>IF(GC176="","",IF(ISNUMBER('Dvd Calendar'!$O$1745)=FALSE,"",'Dvd Calendar'!$O$1745))</f>
        <v/>
      </c>
      <c r="BB176" s="106">
        <f>IF(GD176="","",IF(ISNUMBER('Dvd Calendar'!$P$1745)=FALSE,"",'Dvd Calendar'!$P$1745))</f>
        <v/>
      </c>
      <c r="BC176" s="106">
        <f>IF(GE176="","",IF(ISNUMBER('Dvd Calendar'!$Q$1745)=FALSE,"",'Dvd Calendar'!$Q$1745))</f>
        <v/>
      </c>
      <c r="BD176" s="106">
        <f>IF(GF176="","",IF(ISNUMBER('Dvd Calendar'!$R$1745)=FALSE,"",'Dvd Calendar'!$R$1745))</f>
        <v/>
      </c>
      <c r="BE176" s="106">
        <f>IF(GG176="","",IF(ISNUMBER('Dvd Calendar'!$S$1745)=FALSE,"",'Dvd Calendar'!$S$1745))</f>
        <v/>
      </c>
      <c r="BF176" s="106">
        <f>IF(GH176="","",IF(ISNUMBER('Dvd Calendar'!$T$1745)=FALSE,"",'Dvd Calendar'!$T$1745))</f>
        <v/>
      </c>
      <c r="BG176" s="106">
        <f>IF(GI176="","",IF(ISNUMBER('Dvd Calendar'!$U$1745)=FALSE,"",'Dvd Calendar'!$U$1745))</f>
        <v/>
      </c>
      <c r="BH176" s="106">
        <f>IF(GJ176="","",IF(ISNUMBER('Dvd Calendar'!$V$1745)=FALSE,"",'Dvd Calendar'!$V$1745))</f>
        <v/>
      </c>
      <c r="BI176" s="106">
        <f>IF(GK176="","",IF(ISNUMBER('Dvd Calendar'!$W$1745)=FALSE,"",'Dvd Calendar'!$W$1745))</f>
        <v/>
      </c>
      <c r="BJ176" s="106">
        <f>IF(GL176="","",IF(ISNUMBER('Dvd Calendar'!$X$1745)=FALSE,"",'Dvd Calendar'!$X$1745))</f>
        <v/>
      </c>
      <c r="BK176" s="106">
        <f>IF(GM176="","",IF(ISNUMBER('Dvd Calendar'!$Y$1745)=FALSE,"",'Dvd Calendar'!$Y$1745))</f>
        <v/>
      </c>
      <c r="BL176" s="106">
        <f>IF(GN176="","",IF(ISNUMBER('Dvd Calendar'!$Z$1745)=FALSE,"",'Dvd Calendar'!$Z$1745))</f>
        <v/>
      </c>
      <c r="BM176" s="106">
        <f>IF(GO176="","",IF(ISNUMBER('Dvd Calendar'!$AA$1745)=FALSE,"",'Dvd Calendar'!$AA$1745))</f>
        <v/>
      </c>
      <c r="BN176" s="106">
        <f>IF(GP176="","",IF(ISNUMBER('Dvd Calendar'!$AB$1745)=FALSE,"",'Dvd Calendar'!$AB$1745))</f>
        <v/>
      </c>
      <c r="BO176" s="106">
        <f>IF(GQ176="","",IF(ISNUMBER('Dvd Calendar'!$AC$1745)=FALSE,"",'Dvd Calendar'!$AC$1745))</f>
        <v/>
      </c>
      <c r="BQ176" s="106">
        <f>IF(C176="","",IFERROR(C176*HSCEI!$B$23*HSCEI!$G$23/HSCEI!$B$3,""))</f>
        <v/>
      </c>
      <c r="BR176" s="106">
        <f>IF(D176="","",IFERROR(D176*HSCEI!$B$23*HSCEI!$G$23/HSCEI!$B$3,""))</f>
        <v/>
      </c>
      <c r="BS176" s="106">
        <f>IF(E176="","",IFERROR(E176*HSCEI!$B$23*HSCEI!$G$23/HSCEI!$B$3,""))</f>
        <v/>
      </c>
      <c r="BT176" s="106">
        <f>IF(F176="","",IFERROR(F176*HSCEI!$B$23*HSCEI!$G$23/HSCEI!$B$3,""))</f>
        <v/>
      </c>
      <c r="BU176" s="106">
        <f>IF(G176="","",IFERROR(G176*HSCEI!$B$23*HSCEI!$G$23/HSCEI!$B$3,""))</f>
        <v/>
      </c>
      <c r="BV176" s="106">
        <f>IF(H176="","",IFERROR(H176*HSCEI!$B$23*HSCEI!$G$23/HSCEI!$B$3,""))</f>
        <v/>
      </c>
      <c r="BW176" s="106">
        <f>IF(I176="","",IFERROR(I176*HSCEI!$B$23*HSCEI!$G$23/HSCEI!$B$3,""))</f>
        <v/>
      </c>
      <c r="BX176" s="106">
        <f>IF(J176="","",IFERROR(J176*HSCEI!$B$23*HSCEI!$G$23/HSCEI!$B$3,""))</f>
        <v/>
      </c>
      <c r="BY176" s="106">
        <f>IF(K176="","",IFERROR(K176*HSCEI!$B$23*HSCEI!$G$23/HSCEI!$B$3,""))</f>
        <v/>
      </c>
      <c r="BZ176" s="106">
        <f>IF(L176="","",IFERROR(L176*HSCEI!$B$23*HSCEI!$G$23/HSCEI!$B$3,""))</f>
        <v/>
      </c>
      <c r="CA176" s="106">
        <f>IF(M176="","",IFERROR(M176*HSCEI!$B$23*HSCEI!$G$23/HSCEI!$B$3,""))</f>
        <v/>
      </c>
      <c r="CB176" s="106">
        <f>IF(N176="","",IFERROR(N176*HSCEI!$B$23*HSCEI!$G$23/HSCEI!$B$3,""))</f>
        <v/>
      </c>
      <c r="CC176" s="106">
        <f>IF(O176="","",IFERROR(O176*HSCEI!$B$23*HSCEI!$G$23/HSCEI!$B$3,""))</f>
        <v/>
      </c>
      <c r="CD176" s="106">
        <f>IF(P176="","",IFERROR(P176*HSCEI!$B$23*HSCEI!$G$23/HSCEI!$B$3,""))</f>
        <v/>
      </c>
      <c r="CE176" s="106">
        <f>IF(Q176="","",IFERROR(Q176*HSCEI!$B$23*HSCEI!$G$23/HSCEI!$B$3,""))</f>
        <v/>
      </c>
      <c r="CF176" s="106">
        <f>IF(R176="","",IFERROR(R176*HSCEI!$B$23*HSCEI!$G$23/HSCEI!$B$3,""))</f>
        <v/>
      </c>
      <c r="CG176" s="106">
        <f>IF(S176="","",IFERROR(S176*HSCEI!$B$23*HSCEI!$G$23/HSCEI!$B$3,""))</f>
        <v/>
      </c>
      <c r="CH176" s="106">
        <f>IF(T176="","",IFERROR(T176*HSCEI!$B$23*HSCEI!$G$23/HSCEI!$B$3,""))</f>
        <v/>
      </c>
      <c r="CI176" s="106">
        <f>IF(U176="","",IFERROR(U176*HSCEI!$B$23*HSCEI!$G$23/HSCEI!$B$3,""))</f>
        <v/>
      </c>
      <c r="CJ176" s="106">
        <f>IF(V176="","",IFERROR(V176*HSCEI!$B$23*HSCEI!$G$23/HSCEI!$B$3,""))</f>
        <v/>
      </c>
      <c r="CK176" s="106">
        <f>IF(W176="","",IFERROR(W176*HSCEI!$B$23*HSCEI!$G$23/HSCEI!$B$3,""))</f>
        <v/>
      </c>
      <c r="CL176" s="106">
        <f>IF(X176="","",IFERROR(X176*HSCEI!$B$23*HSCEI!$G$23/HSCEI!$B$3,""))</f>
        <v/>
      </c>
      <c r="CM176" s="106">
        <f>IF(Y176="","",IFERROR(Y176*HSCEI!$B$23*HSCEI!$G$23/HSCEI!$B$3,""))</f>
        <v/>
      </c>
      <c r="CN176" s="106">
        <f>IF(Z176="","",IFERROR(Z176*HSCEI!$B$23*HSCEI!$G$23/HSCEI!$B$3,""))</f>
        <v/>
      </c>
      <c r="CO176" s="106">
        <f>IF(AA176="","",IFERROR(AA176*HSCEI!$B$23*HSCEI!$G$23/HSCEI!$B$3,""))</f>
        <v/>
      </c>
      <c r="CP176" s="106">
        <f>IF(AB176="","",IFERROR(AB176*HSCEI!$B$23*HSCEI!$G$23/HSCEI!$B$3,""))</f>
        <v/>
      </c>
      <c r="CQ176" s="106">
        <f>IF(AC176="","",IFERROR(AC176*HSCEI!$B$23*HSCEI!$G$23/HSCEI!$B$3,""))</f>
        <v/>
      </c>
      <c r="CR176" s="106">
        <f>IF(AD176="","",IFERROR(AD176*HSCEI!$B$23*HSCEI!$G$23/HSCEI!$B$3,""))</f>
        <v/>
      </c>
      <c r="CS176" s="106">
        <f>IF(AE176="","",IFERROR(AE176*HSCEI!$B$23*HSCEI!$G$23/HSCEI!$B$3,""))</f>
        <v/>
      </c>
      <c r="CT176" s="106">
        <f>IF(AF176="","",IFERROR(AF176*HSCEI!$B$23*HSCEI!$G$23/HSCEI!$B$3,""))</f>
        <v/>
      </c>
      <c r="CU176" s="106">
        <f>IF(AG176="","",IFERROR(AG176*HSCEI!$B$23*HSCEI!$G$23/HSCEI!$B$3,""))</f>
        <v/>
      </c>
      <c r="CV176" s="106">
        <f>IF(AH176="","",IFERROR(AH176*HSCEI!$B$23*HSCEI!$G$23/HSCEI!$B$3,""))</f>
        <v/>
      </c>
      <c r="CW176" s="106">
        <f>IF(AI176="","",IFERROR(AI176*HSCEI!$B$23*HSCEI!$G$23/HSCEI!$B$3,""))</f>
        <v/>
      </c>
      <c r="CX176" s="106">
        <f>IF(AJ176="","",IFERROR(AJ176*HSCEI!$B$23*HSCEI!$G$23/HSCEI!$B$3,""))</f>
        <v/>
      </c>
      <c r="CY176" s="106">
        <f>IF(AK176="","",IFERROR(AK176*HSCEI!$B$23*HSCEI!$G$23/HSCEI!$B$3,""))</f>
        <v/>
      </c>
      <c r="CZ176" s="106">
        <f>IF(AL176="","",IFERROR(AL176*HSCEI!$B$23*HSCEI!$G$23/HSCEI!$B$3,""))</f>
        <v/>
      </c>
      <c r="DA176" s="106">
        <f>IF(AM176="","",IFERROR(AM176*HSCEI!$B$23*HSCEI!$G$23/HSCEI!$B$3,""))</f>
        <v/>
      </c>
      <c r="DB176" s="106">
        <f>IF(AN176="","",IFERROR(AN176*HSCEI!$B$23*HSCEI!$G$23/HSCEI!$B$3,""))</f>
        <v/>
      </c>
      <c r="DC176" s="106">
        <f>IF(AO176="","",IFERROR(AO176*HSCEI!$B$23*HSCEI!$G$23/HSCEI!$B$3,""))</f>
        <v/>
      </c>
      <c r="DD176" s="106">
        <f>IF(AP176="","",IFERROR(AP176*HSCEI!$B$23*HSCEI!$G$23/HSCEI!$B$3,""))</f>
        <v/>
      </c>
      <c r="DE176" s="106">
        <f>IF(AQ176="","",IFERROR(AQ176*HSCEI!$B$23*HSCEI!$G$23/HSCEI!$B$3,""))</f>
        <v/>
      </c>
      <c r="DF176" s="106">
        <f>IF(AR176="","",IFERROR(AR176*HSCEI!$B$23*HSCEI!$G$23/HSCEI!$B$3,""))</f>
        <v/>
      </c>
      <c r="DG176" s="106">
        <f>IF(AS176="","",IFERROR(AS176*HSCEI!$B$23*HSCEI!$G$23/HSCEI!$B$3,""))</f>
        <v/>
      </c>
      <c r="DH176" s="106">
        <f>IF(AT176="","",IFERROR(AT176*HSCEI!$B$23*HSCEI!$G$23/HSCEI!$B$3,""))</f>
        <v/>
      </c>
      <c r="DI176" s="106">
        <f>IF(AU176="","",IFERROR(AU176*HSCEI!$B$23*HSCEI!$G$23/HSCEI!$B$3,""))</f>
        <v/>
      </c>
      <c r="DJ176" s="106">
        <f>IF(AV176="","",IFERROR(AV176*HSCEI!$B$23*HSCEI!$G$23/HSCEI!$B$3,""))</f>
        <v/>
      </c>
      <c r="DK176" s="106">
        <f>IF(AW176="","",IFERROR(AW176*HSCEI!$B$23*HSCEI!$G$23/HSCEI!$B$3,""))</f>
        <v/>
      </c>
      <c r="DL176" s="106">
        <f>IF(AX176="","",IFERROR(AX176*HSCEI!$B$23*HSCEI!$G$23/HSCEI!$B$3,""))</f>
        <v/>
      </c>
      <c r="DM176" s="106">
        <f>IF(AY176="","",IFERROR(AY176*HSCEI!$B$23*HSCEI!$G$23/HSCEI!$B$3,""))</f>
        <v/>
      </c>
      <c r="DN176" s="106">
        <f>IF(AZ176="","",IFERROR(AZ176*HSCEI!$B$23*HSCEI!$G$23/HSCEI!$B$3,""))</f>
        <v/>
      </c>
      <c r="DO176" s="106">
        <f>IF(BA176="","",IFERROR(BA176*HSCEI!$B$23*HSCEI!$G$23/HSCEI!$B$3,""))</f>
        <v/>
      </c>
      <c r="DP176" s="106">
        <f>IF(BB176="","",IFERROR(BB176*HSCEI!$B$23*HSCEI!$G$23/HSCEI!$B$3,""))</f>
        <v/>
      </c>
      <c r="DQ176" s="106">
        <f>IF(BC176="","",IFERROR(BC176*HSCEI!$B$23*HSCEI!$G$23/HSCEI!$B$3,""))</f>
        <v/>
      </c>
      <c r="DR176" s="106">
        <f>IF(BD176="","",IFERROR(BD176*HSCEI!$B$23*HSCEI!$G$23/HSCEI!$B$3,""))</f>
        <v/>
      </c>
      <c r="DS176" s="106">
        <f>IF(BE176="","",IFERROR(BE176*HSCEI!$B$23*HSCEI!$G$23/HSCEI!$B$3,""))</f>
        <v/>
      </c>
      <c r="DT176" s="106">
        <f>IF(BF176="","",IFERROR(BF176*HSCEI!$B$23*HSCEI!$G$23/HSCEI!$B$3,""))</f>
        <v/>
      </c>
      <c r="DU176" s="106">
        <f>IF(BG176="","",IFERROR(BG176*HSCEI!$B$23*HSCEI!$G$23/HSCEI!$B$3,""))</f>
        <v/>
      </c>
      <c r="DV176" s="106">
        <f>IF(BH176="","",IFERROR(BH176*HSCEI!$B$23*HSCEI!$G$23/HSCEI!$B$3,""))</f>
        <v/>
      </c>
      <c r="DW176" s="106">
        <f>IF(BI176="","",IFERROR(BI176*HSCEI!$B$23*HSCEI!$G$23/HSCEI!$B$3,""))</f>
        <v/>
      </c>
      <c r="DX176" s="106">
        <f>IF(BJ176="","",IFERROR(BJ176*HSCEI!$B$23*HSCEI!$G$23/HSCEI!$B$3,""))</f>
        <v/>
      </c>
      <c r="DY176" s="106">
        <f>IF(BK176="","",IFERROR(BK176*HSCEI!$B$23*HSCEI!$G$23/HSCEI!$B$3,""))</f>
        <v/>
      </c>
      <c r="DZ176" s="106">
        <f>IF(BL176="","",IFERROR(BL176*HSCEI!$B$23*HSCEI!$G$23/HSCEI!$B$3,""))</f>
        <v/>
      </c>
      <c r="EA176" s="106">
        <f>IF(BM176="","",IFERROR(BM176*HSCEI!$B$23*HSCEI!$G$23/HSCEI!$B$3,""))</f>
        <v/>
      </c>
      <c r="EB176" s="106">
        <f>IF(BN176="","",IFERROR(BN176*HSCEI!$B$23*HSCEI!$G$23/HSCEI!$B$3,""))</f>
        <v/>
      </c>
      <c r="EC176" s="106">
        <f>IF(BO176="","",IFERROR(BO176*HSCEI!$B$23*HSCEI!$G$23/HSCEI!$B$3,""))</f>
        <v/>
      </c>
      <c r="EE176" s="35">
        <f>IF(N('Dvd Calendar'!$E$1737)=0,"",IF(('Dvd Calendar'!$E$1737&gt;=GRID_FROM)*('Dvd Calendar'!$E$1737&lt;=GRID_TO)*('Dvd Calendar'!$E$1737&lt;=VAL_DATE)=0,"",'Dvd Calendar'!$E$1737*1000000000+ISNUMBER('Dvd Calendar'!$E$1740)*100000000+('Dvd Calendar'!$E$1742=SPECIAL_LBL)*10000000+0*1000000+17*1000+1))</f>
        <v/>
      </c>
      <c r="EF176" s="35">
        <f>IF(N('Dvd Calendar'!$F$1737)=0,"",IF(('Dvd Calendar'!$F$1737&gt;=GRID_FROM)*('Dvd Calendar'!$F$1737&lt;=GRID_TO)*('Dvd Calendar'!$F$1737&lt;=VAL_DATE)=0,"",'Dvd Calendar'!$F$1737*1000000000+ISNUMBER('Dvd Calendar'!$F$1740)*100000000+('Dvd Calendar'!$F$1742=SPECIAL_LBL)*10000000+0*1000000+17*1000+2))</f>
        <v/>
      </c>
      <c r="EG176" s="35">
        <f>IF(N('Dvd Calendar'!$G$1737)=0,"",IF(('Dvd Calendar'!$G$1737&gt;=GRID_FROM)*('Dvd Calendar'!$G$1737&lt;=GRID_TO)*('Dvd Calendar'!$G$1737&lt;=VAL_DATE)=0,"",'Dvd Calendar'!$G$1737*1000000000+ISNUMBER('Dvd Calendar'!$G$1740)*100000000+('Dvd Calendar'!$G$1742=SPECIAL_LBL)*10000000+0*1000000+17*1000+3))</f>
        <v/>
      </c>
      <c r="EH176" s="35">
        <f>IF(N('Dvd Calendar'!$H$1737)=0,"",IF(('Dvd Calendar'!$H$1737&gt;=GRID_FROM)*('Dvd Calendar'!$H$1737&lt;=GRID_TO)*('Dvd Calendar'!$H$1737&lt;=VAL_DATE)=0,"",'Dvd Calendar'!$H$1737*1000000000+ISNUMBER('Dvd Calendar'!$H$1740)*100000000+('Dvd Calendar'!$H$1742=SPECIAL_LBL)*10000000+0*1000000+17*1000+4))</f>
        <v/>
      </c>
      <c r="EI176" s="35">
        <f>IF(N('Dvd Calendar'!$I$1737)=0,"",IF(('Dvd Calendar'!$I$1737&gt;=GRID_FROM)*('Dvd Calendar'!$I$1737&lt;=GRID_TO)*('Dvd Calendar'!$I$1737&lt;=VAL_DATE)=0,"",'Dvd Calendar'!$I$1737*1000000000+ISNUMBER('Dvd Calendar'!$I$1740)*100000000+('Dvd Calendar'!$I$1742=SPECIAL_LBL)*10000000+0*1000000+17*1000+5))</f>
        <v/>
      </c>
      <c r="EJ176" s="35">
        <f>IF(N('Dvd Calendar'!$J$1737)=0,"",IF(('Dvd Calendar'!$J$1737&gt;=GRID_FROM)*('Dvd Calendar'!$J$1737&lt;=GRID_TO)*('Dvd Calendar'!$J$1737&lt;=VAL_DATE)=0,"",'Dvd Calendar'!$J$1737*1000000000+ISNUMBER('Dvd Calendar'!$J$1740)*100000000+('Dvd Calendar'!$J$1742=SPECIAL_LBL)*10000000+0*1000000+17*1000+6))</f>
        <v/>
      </c>
      <c r="EK176" s="35">
        <f>IF(N('Dvd Calendar'!$K$1737)=0,"",IF(('Dvd Calendar'!$K$1737&gt;=GRID_FROM)*('Dvd Calendar'!$K$1737&lt;=GRID_TO)*('Dvd Calendar'!$K$1737&lt;=VAL_DATE)=0,"",'Dvd Calendar'!$K$1737*1000000000+ISNUMBER('Dvd Calendar'!$K$1740)*100000000+('Dvd Calendar'!$K$1742=SPECIAL_LBL)*10000000+0*1000000+17*1000+7))</f>
        <v/>
      </c>
      <c r="EL176" s="35">
        <f>IF(N('Dvd Calendar'!$L$1737)=0,"",IF(('Dvd Calendar'!$L$1737&gt;=GRID_FROM)*('Dvd Calendar'!$L$1737&lt;=GRID_TO)*('Dvd Calendar'!$L$1737&lt;=VAL_DATE)=0,"",'Dvd Calendar'!$L$1737*1000000000+ISNUMBER('Dvd Calendar'!$L$1740)*100000000+('Dvd Calendar'!$L$1742=SPECIAL_LBL)*10000000+0*1000000+17*1000+8))</f>
        <v/>
      </c>
      <c r="EM176" s="35">
        <f>IF(N('Dvd Calendar'!$M$1737)=0,"",IF(('Dvd Calendar'!$M$1737&gt;=GRID_FROM)*('Dvd Calendar'!$M$1737&lt;=GRID_TO)*('Dvd Calendar'!$M$1737&lt;=VAL_DATE)=0,"",'Dvd Calendar'!$M$1737*1000000000+ISNUMBER('Dvd Calendar'!$M$1740)*100000000+('Dvd Calendar'!$M$1742=SPECIAL_LBL)*10000000+0*1000000+17*1000+9))</f>
        <v/>
      </c>
      <c r="EN176" s="35">
        <f>IF(N('Dvd Calendar'!$N$1737)=0,"",IF(('Dvd Calendar'!$N$1737&gt;=GRID_FROM)*('Dvd Calendar'!$N$1737&lt;=GRID_TO)*('Dvd Calendar'!$N$1737&lt;=VAL_DATE)=0,"",'Dvd Calendar'!$N$1737*1000000000+ISNUMBER('Dvd Calendar'!$N$1740)*100000000+('Dvd Calendar'!$N$1742=SPECIAL_LBL)*10000000+0*1000000+17*1000+10))</f>
        <v/>
      </c>
      <c r="EO176" s="35">
        <f>IF(N('Dvd Calendar'!$O$1737)=0,"",IF(('Dvd Calendar'!$O$1737&gt;=GRID_FROM)*('Dvd Calendar'!$O$1737&lt;=GRID_TO)*('Dvd Calendar'!$O$1737&lt;=VAL_DATE)=0,"",'Dvd Calendar'!$O$1737*1000000000+ISNUMBER('Dvd Calendar'!$O$1740)*100000000+('Dvd Calendar'!$O$1742=SPECIAL_LBL)*10000000+0*1000000+17*1000+11))</f>
        <v/>
      </c>
      <c r="EP176" s="35">
        <f>IF(N('Dvd Calendar'!$P$1737)=0,"",IF(('Dvd Calendar'!$P$1737&gt;=GRID_FROM)*('Dvd Calendar'!$P$1737&lt;=GRID_TO)*('Dvd Calendar'!$P$1737&lt;=VAL_DATE)=0,"",'Dvd Calendar'!$P$1737*1000000000+ISNUMBER('Dvd Calendar'!$P$1740)*100000000+('Dvd Calendar'!$P$1742=SPECIAL_LBL)*10000000+0*1000000+17*1000+12))</f>
        <v/>
      </c>
      <c r="EQ176" s="35">
        <f>IF(N('Dvd Calendar'!$Q$1737)=0,"",IF(('Dvd Calendar'!$Q$1737&gt;=GRID_FROM)*('Dvd Calendar'!$Q$1737&lt;=GRID_TO)*('Dvd Calendar'!$Q$1737&lt;=VAL_DATE)=0,"",'Dvd Calendar'!$Q$1737*1000000000+ISNUMBER('Dvd Calendar'!$Q$1740)*100000000+('Dvd Calendar'!$Q$1742=SPECIAL_LBL)*10000000+0*1000000+17*1000+13))</f>
        <v/>
      </c>
      <c r="ER176" s="35">
        <f>IF(N('Dvd Calendar'!$R$1737)=0,"",IF(('Dvd Calendar'!$R$1737&gt;=GRID_FROM)*('Dvd Calendar'!$R$1737&lt;=GRID_TO)*('Dvd Calendar'!$R$1737&lt;=VAL_DATE)=0,"",'Dvd Calendar'!$R$1737*1000000000+ISNUMBER('Dvd Calendar'!$R$1740)*100000000+('Dvd Calendar'!$R$1742=SPECIAL_LBL)*10000000+0*1000000+17*1000+14))</f>
        <v/>
      </c>
      <c r="ES176" s="35">
        <f>IF(N('Dvd Calendar'!$S$1737)=0,"",IF(('Dvd Calendar'!$S$1737&gt;=GRID_FROM)*('Dvd Calendar'!$S$1737&lt;=GRID_TO)*('Dvd Calendar'!$S$1737&lt;=VAL_DATE)=0,"",'Dvd Calendar'!$S$1737*1000000000+ISNUMBER('Dvd Calendar'!$S$1740)*100000000+('Dvd Calendar'!$S$1742=SPECIAL_LBL)*10000000+0*1000000+17*1000+15))</f>
        <v/>
      </c>
      <c r="ET176" s="35">
        <f>IF(N('Dvd Calendar'!$T$1737)=0,"",IF(('Dvd Calendar'!$T$1737&gt;=GRID_FROM)*('Dvd Calendar'!$T$1737&lt;=GRID_TO)*('Dvd Calendar'!$T$1737&lt;=VAL_DATE)=0,"",'Dvd Calendar'!$T$1737*1000000000+ISNUMBER('Dvd Calendar'!$T$1740)*100000000+('Dvd Calendar'!$T$1742=SPECIAL_LBL)*10000000+0*1000000+17*1000+16))</f>
        <v/>
      </c>
      <c r="EU176" s="35">
        <f>IF(N('Dvd Calendar'!$U$1737)=0,"",IF(('Dvd Calendar'!$U$1737&gt;=GRID_FROM)*('Dvd Calendar'!$U$1737&lt;=GRID_TO)*('Dvd Calendar'!$U$1737&lt;=VAL_DATE)=0,"",'Dvd Calendar'!$U$1737*1000000000+ISNUMBER('Dvd Calendar'!$U$1740)*100000000+('Dvd Calendar'!$U$1742=SPECIAL_LBL)*10000000+0*1000000+17*1000+17))</f>
        <v/>
      </c>
      <c r="EV176" s="35">
        <f>IF(N('Dvd Calendar'!$V$1737)=0,"",IF(('Dvd Calendar'!$V$1737&gt;=GRID_FROM)*('Dvd Calendar'!$V$1737&lt;=GRID_TO)*('Dvd Calendar'!$V$1737&lt;=VAL_DATE)=0,"",'Dvd Calendar'!$V$1737*1000000000+ISNUMBER('Dvd Calendar'!$V$1740)*100000000+('Dvd Calendar'!$V$1742=SPECIAL_LBL)*10000000+0*1000000+17*1000+18))</f>
        <v/>
      </c>
      <c r="EW176" s="35">
        <f>IF(N('Dvd Calendar'!$W$1737)=0,"",IF(('Dvd Calendar'!$W$1737&gt;=GRID_FROM)*('Dvd Calendar'!$W$1737&lt;=GRID_TO)*('Dvd Calendar'!$W$1737&lt;=VAL_DATE)=0,"",'Dvd Calendar'!$W$1737*1000000000+ISNUMBER('Dvd Calendar'!$W$1740)*100000000+('Dvd Calendar'!$W$1742=SPECIAL_LBL)*10000000+0*1000000+17*1000+19))</f>
        <v/>
      </c>
      <c r="EX176" s="35">
        <f>IF(N('Dvd Calendar'!$X$1737)=0,"",IF(('Dvd Calendar'!$X$1737&gt;=GRID_FROM)*('Dvd Calendar'!$X$1737&lt;=GRID_TO)*('Dvd Calendar'!$X$1737&lt;=VAL_DATE)=0,"",'Dvd Calendar'!$X$1737*1000000000+ISNUMBER('Dvd Calendar'!$X$1740)*100000000+('Dvd Calendar'!$X$1742=SPECIAL_LBL)*10000000+0*1000000+17*1000+20))</f>
        <v/>
      </c>
      <c r="EY176" s="35">
        <f>IF(N('Dvd Calendar'!$Y$1737)=0,"",IF(('Dvd Calendar'!$Y$1737&gt;=GRID_FROM)*('Dvd Calendar'!$Y$1737&lt;=GRID_TO)*('Dvd Calendar'!$Y$1737&lt;=VAL_DATE)=0,"",'Dvd Calendar'!$Y$1737*1000000000+ISNUMBER('Dvd Calendar'!$Y$1740)*100000000+('Dvd Calendar'!$Y$1742=SPECIAL_LBL)*10000000+0*1000000+17*1000+21))</f>
        <v/>
      </c>
      <c r="EZ176" s="35">
        <f>IF(N('Dvd Calendar'!$Z$1737)=0,"",IF(('Dvd Calendar'!$Z$1737&gt;=GRID_FROM)*('Dvd Calendar'!$Z$1737&lt;=GRID_TO)*('Dvd Calendar'!$Z$1737&lt;=VAL_DATE)=0,"",'Dvd Calendar'!$Z$1737*1000000000+ISNUMBER('Dvd Calendar'!$Z$1740)*100000000+('Dvd Calendar'!$Z$1742=SPECIAL_LBL)*10000000+0*1000000+17*1000+22))</f>
        <v/>
      </c>
      <c r="FA176" s="35">
        <f>IF(N('Dvd Calendar'!$AA$1737)=0,"",IF(('Dvd Calendar'!$AA$1737&gt;=GRID_FROM)*('Dvd Calendar'!$AA$1737&lt;=GRID_TO)*('Dvd Calendar'!$AA$1737&lt;=VAL_DATE)=0,"",'Dvd Calendar'!$AA$1737*1000000000+ISNUMBER('Dvd Calendar'!$AA$1740)*100000000+('Dvd Calendar'!$AA$1742=SPECIAL_LBL)*10000000+0*1000000+17*1000+23))</f>
        <v/>
      </c>
      <c r="FB176" s="35">
        <f>IF(N('Dvd Calendar'!$AB$1737)=0,"",IF(('Dvd Calendar'!$AB$1737&gt;=GRID_FROM)*('Dvd Calendar'!$AB$1737&lt;=GRID_TO)*('Dvd Calendar'!$AB$1737&lt;=VAL_DATE)=0,"",'Dvd Calendar'!$AB$1737*1000000000+ISNUMBER('Dvd Calendar'!$AB$1740)*100000000+('Dvd Calendar'!$AB$1742=SPECIAL_LBL)*10000000+0*1000000+17*1000+24))</f>
        <v/>
      </c>
      <c r="FC176" s="35">
        <f>IF(N('Dvd Calendar'!$AC$1737)=0,"",IF(('Dvd Calendar'!$AC$1737&gt;=GRID_FROM)*('Dvd Calendar'!$AC$1737&lt;=GRID_TO)*('Dvd Calendar'!$AC$1737&lt;=VAL_DATE)=0,"",'Dvd Calendar'!$AC$1737*1000000000+ISNUMBER('Dvd Calendar'!$AC$1740)*100000000+('Dvd Calendar'!$AC$1742=SPECIAL_LBL)*10000000+0*1000000+17*1000+25))</f>
        <v/>
      </c>
      <c r="FD176" s="35">
        <f>IF(N('Dvd Calendar'!$AD$1737)=0,"",IF(('Dvd Calendar'!$AD$1737&gt;=GRID_FROM)*('Dvd Calendar'!$AD$1737&lt;=GRID_TO)*('Dvd Calendar'!$AD$1737&lt;=VAL_DATE)=0,"",'Dvd Calendar'!$AD$1737*1000000000+ISNUMBER('Dvd Calendar'!$AD$1740)*100000000+('Dvd Calendar'!$AD$1742=SPECIAL_LBL)*10000000+0*1000000+17*1000+26))</f>
        <v/>
      </c>
      <c r="FE176" s="35">
        <f>IF(N('Dvd Calendar'!$AE$1737)=0,"",IF(('Dvd Calendar'!$AE$1737&gt;=GRID_FROM)*('Dvd Calendar'!$AE$1737&lt;=GRID_TO)*('Dvd Calendar'!$AE$1737&lt;=VAL_DATE)=0,"",'Dvd Calendar'!$AE$1737*1000000000+ISNUMBER('Dvd Calendar'!$AE$1740)*100000000+('Dvd Calendar'!$AE$1742=SPECIAL_LBL)*10000000+0*1000000+17*1000+27))</f>
        <v/>
      </c>
      <c r="FF176" s="35">
        <f>IF(N('Dvd Calendar'!$AF$1737)=0,"",IF(('Dvd Calendar'!$AF$1737&gt;=GRID_FROM)*('Dvd Calendar'!$AF$1737&lt;=GRID_TO)*('Dvd Calendar'!$AF$1737&lt;=VAL_DATE)=0,"",'Dvd Calendar'!$AF$1737*1000000000+ISNUMBER('Dvd Calendar'!$AF$1740)*100000000+('Dvd Calendar'!$AF$1742=SPECIAL_LBL)*10000000+0*1000000+17*1000+28))</f>
        <v/>
      </c>
      <c r="FG176" s="35">
        <f>IF(N('Dvd Calendar'!$AG$1737)=0,"",IF(('Dvd Calendar'!$AG$1737&gt;=GRID_FROM)*('Dvd Calendar'!$AG$1737&lt;=GRID_TO)*('Dvd Calendar'!$AG$1737&lt;=VAL_DATE)=0,"",'Dvd Calendar'!$AG$1737*1000000000+ISNUMBER('Dvd Calendar'!$AG$1740)*100000000+('Dvd Calendar'!$AG$1742=SPECIAL_LBL)*10000000+0*1000000+17*1000+29))</f>
        <v/>
      </c>
      <c r="FH176" s="35">
        <f>IF(N('Dvd Calendar'!$AH$1737)=0,"",IF(('Dvd Calendar'!$AH$1737&gt;=GRID_FROM)*('Dvd Calendar'!$AH$1737&lt;=GRID_TO)*('Dvd Calendar'!$AH$1737&lt;=VAL_DATE)=0,"",'Dvd Calendar'!$AH$1737*1000000000+ISNUMBER('Dvd Calendar'!$AH$1740)*100000000+('Dvd Calendar'!$AH$1742=SPECIAL_LBL)*10000000+0*1000000+17*1000+30))</f>
        <v/>
      </c>
      <c r="FI176" s="35">
        <f>IF(N('Dvd Calendar'!$AI$1737)=0,"",IF(('Dvd Calendar'!$AI$1737&gt;=GRID_FROM)*('Dvd Calendar'!$AI$1737&lt;=GRID_TO)*('Dvd Calendar'!$AI$1737&lt;=VAL_DATE)=0,"",'Dvd Calendar'!$AI$1737*1000000000+ISNUMBER('Dvd Calendar'!$AI$1740)*100000000+('Dvd Calendar'!$AI$1742=SPECIAL_LBL)*10000000+0*1000000+17*1000+31))</f>
        <v/>
      </c>
      <c r="FJ176" s="35">
        <f>IF(N('Dvd Calendar'!$AJ$1737)=0,"",IF(('Dvd Calendar'!$AJ$1737&gt;=GRID_FROM)*('Dvd Calendar'!$AJ$1737&lt;=GRID_TO)*('Dvd Calendar'!$AJ$1737&lt;=VAL_DATE)=0,"",'Dvd Calendar'!$AJ$1737*1000000000+ISNUMBER('Dvd Calendar'!$AJ$1740)*100000000+('Dvd Calendar'!$AJ$1742=SPECIAL_LBL)*10000000+0*1000000+17*1000+32))</f>
        <v/>
      </c>
      <c r="FK176" s="35">
        <f>IF(N('Dvd Calendar'!$AK$1737)=0,"",IF(('Dvd Calendar'!$AK$1737&gt;=GRID_FROM)*('Dvd Calendar'!$AK$1737&lt;=GRID_TO)*('Dvd Calendar'!$AK$1737&lt;=VAL_DATE)=0,"",'Dvd Calendar'!$AK$1737*1000000000+ISNUMBER('Dvd Calendar'!$AK$1740)*100000000+('Dvd Calendar'!$AK$1742=SPECIAL_LBL)*10000000+0*1000000+17*1000+33))</f>
        <v/>
      </c>
      <c r="FL176" s="35">
        <f>IF(N('Dvd Calendar'!$AL$1737)=0,"",IF(('Dvd Calendar'!$AL$1737&gt;=GRID_FROM)*('Dvd Calendar'!$AL$1737&lt;=GRID_TO)*('Dvd Calendar'!$AL$1737&lt;=VAL_DATE)=0,"",'Dvd Calendar'!$AL$1737*1000000000+ISNUMBER('Dvd Calendar'!$AL$1740)*100000000+('Dvd Calendar'!$AL$1742=SPECIAL_LBL)*10000000+0*1000000+17*1000+34))</f>
        <v/>
      </c>
      <c r="FM176" s="35">
        <f>IF(N('Dvd Calendar'!$AM$1737)=0,"",IF(('Dvd Calendar'!$AM$1737&gt;=GRID_FROM)*('Dvd Calendar'!$AM$1737&lt;=GRID_TO)*('Dvd Calendar'!$AM$1737&lt;=VAL_DATE)=0,"",'Dvd Calendar'!$AM$1737*1000000000+ISNUMBER('Dvd Calendar'!$AM$1740)*100000000+('Dvd Calendar'!$AM$1742=SPECIAL_LBL)*10000000+0*1000000+17*1000+35))</f>
        <v/>
      </c>
      <c r="FN176" s="35">
        <f>IF(N('Dvd Calendar'!$AN$1737)=0,"",IF(('Dvd Calendar'!$AN$1737&gt;=GRID_FROM)*('Dvd Calendar'!$AN$1737&lt;=GRID_TO)*('Dvd Calendar'!$AN$1737&lt;=VAL_DATE)=0,"",'Dvd Calendar'!$AN$1737*1000000000+ISNUMBER('Dvd Calendar'!$AN$1740)*100000000+('Dvd Calendar'!$AN$1742=SPECIAL_LBL)*10000000+0*1000000+17*1000+36))</f>
        <v/>
      </c>
      <c r="FO176" s="35">
        <f>IF(N('Dvd Calendar'!$AO$1737)=0,"",IF(('Dvd Calendar'!$AO$1737&gt;=GRID_FROM)*('Dvd Calendar'!$AO$1737&lt;=GRID_TO)*('Dvd Calendar'!$AO$1737&lt;=VAL_DATE)=0,"",'Dvd Calendar'!$AO$1737*1000000000+ISNUMBER('Dvd Calendar'!$AO$1740)*100000000+('Dvd Calendar'!$AO$1742=SPECIAL_LBL)*10000000+0*1000000+17*1000+37))</f>
        <v/>
      </c>
      <c r="FP176" s="35">
        <f>IF(N('Dvd Calendar'!$AP$1737)=0,"",IF(('Dvd Calendar'!$AP$1737&gt;=GRID_FROM)*('Dvd Calendar'!$AP$1737&lt;=GRID_TO)*('Dvd Calendar'!$AP$1737&lt;=VAL_DATE)=0,"",'Dvd Calendar'!$AP$1737*1000000000+ISNUMBER('Dvd Calendar'!$AP$1740)*100000000+('Dvd Calendar'!$AP$1742=SPECIAL_LBL)*10000000+0*1000000+17*1000+38))</f>
        <v/>
      </c>
      <c r="FQ176" s="35">
        <f>IF(N('Dvd Calendar'!$AQ$1737)=0,"",IF(('Dvd Calendar'!$AQ$1737&gt;=GRID_FROM)*('Dvd Calendar'!$AQ$1737&lt;=GRID_TO)*('Dvd Calendar'!$AQ$1737&lt;=VAL_DATE)=0,"",'Dvd Calendar'!$AQ$1737*1000000000+ISNUMBER('Dvd Calendar'!$AQ$1740)*100000000+('Dvd Calendar'!$AQ$1742=SPECIAL_LBL)*10000000+0*1000000+17*1000+39))</f>
        <v/>
      </c>
      <c r="FR176" s="35">
        <f>IF(N('Dvd Calendar'!$AR$1737)=0,"",IF(('Dvd Calendar'!$AR$1737&gt;=GRID_FROM)*('Dvd Calendar'!$AR$1737&lt;=GRID_TO)*('Dvd Calendar'!$AR$1737&lt;=VAL_DATE)=0,"",'Dvd Calendar'!$AR$1737*1000000000+ISNUMBER('Dvd Calendar'!$AR$1740)*100000000+('Dvd Calendar'!$AR$1742=SPECIAL_LBL)*10000000+0*1000000+17*1000+40))</f>
        <v/>
      </c>
      <c r="FS176" s="35">
        <f>IF(N('Dvd Calendar'!$E$1744)=0,"",IF(('Dvd Calendar'!$E$1744&gt;=GRID_FROM)*('Dvd Calendar'!$E$1744&lt;=GRID_TO)*('Dvd Calendar'!$E$1744&gt;VAL_DATE)=0,"",'Dvd Calendar'!$E$1744*1000000000+ISNUMBER('Dvd Calendar'!$E$1745)*100000000+0*10000000+(N('Dvd Calendar'!$E$1743)&gt;0)*(N('Dvd Calendar'!$E$1743)&lt;=VAL_SERIAL)*1000000+17*1000+41))</f>
        <v/>
      </c>
      <c r="FT176" s="35">
        <f>IF(N('Dvd Calendar'!$F$1744)=0,"",IF(('Dvd Calendar'!$F$1744&gt;=GRID_FROM)*('Dvd Calendar'!$F$1744&lt;=GRID_TO)*('Dvd Calendar'!$F$1744&gt;VAL_DATE)=0,"",'Dvd Calendar'!$F$1744*1000000000+ISNUMBER('Dvd Calendar'!$F$1745)*100000000+0*10000000+(N('Dvd Calendar'!$F$1743)&gt;0)*(N('Dvd Calendar'!$F$1743)&lt;=VAL_SERIAL)*1000000+17*1000+42))</f>
        <v/>
      </c>
      <c r="FU176" s="35">
        <f>IF(N('Dvd Calendar'!$G$1744)=0,"",IF(('Dvd Calendar'!$G$1744&gt;=GRID_FROM)*('Dvd Calendar'!$G$1744&lt;=GRID_TO)*('Dvd Calendar'!$G$1744&gt;VAL_DATE)=0,"",'Dvd Calendar'!$G$1744*1000000000+ISNUMBER('Dvd Calendar'!$G$1745)*100000000+0*10000000+(N('Dvd Calendar'!$G$1743)&gt;0)*(N('Dvd Calendar'!$G$1743)&lt;=VAL_SERIAL)*1000000+17*1000+43))</f>
        <v/>
      </c>
      <c r="FV176" s="35">
        <f>IF(N('Dvd Calendar'!$H$1744)=0,"",IF(('Dvd Calendar'!$H$1744&gt;=GRID_FROM)*('Dvd Calendar'!$H$1744&lt;=GRID_TO)*('Dvd Calendar'!$H$1744&gt;VAL_DATE)=0,"",'Dvd Calendar'!$H$1744*1000000000+ISNUMBER('Dvd Calendar'!$H$1745)*100000000+0*10000000+(N('Dvd Calendar'!$H$1743)&gt;0)*(N('Dvd Calendar'!$H$1743)&lt;=VAL_SERIAL)*1000000+17*1000+44))</f>
        <v/>
      </c>
      <c r="FW176" s="35">
        <f>IF(N('Dvd Calendar'!$I$1744)=0,"",IF(('Dvd Calendar'!$I$1744&gt;=GRID_FROM)*('Dvd Calendar'!$I$1744&lt;=GRID_TO)*('Dvd Calendar'!$I$1744&gt;VAL_DATE)=0,"",'Dvd Calendar'!$I$1744*1000000000+ISNUMBER('Dvd Calendar'!$I$1745)*100000000+0*10000000+(N('Dvd Calendar'!$I$1743)&gt;0)*(N('Dvd Calendar'!$I$1743)&lt;=VAL_SERIAL)*1000000+17*1000+45))</f>
        <v/>
      </c>
      <c r="FX176" s="35">
        <f>IF(N('Dvd Calendar'!$J$1744)=0,"",IF(('Dvd Calendar'!$J$1744&gt;=GRID_FROM)*('Dvd Calendar'!$J$1744&lt;=GRID_TO)*('Dvd Calendar'!$J$1744&gt;VAL_DATE)=0,"",'Dvd Calendar'!$J$1744*1000000000+ISNUMBER('Dvd Calendar'!$J$1745)*100000000+0*10000000+(N('Dvd Calendar'!$J$1743)&gt;0)*(N('Dvd Calendar'!$J$1743)&lt;=VAL_SERIAL)*1000000+17*1000+46))</f>
        <v/>
      </c>
      <c r="FY176" s="35">
        <f>IF(N('Dvd Calendar'!$K$1744)=0,"",IF(('Dvd Calendar'!$K$1744&gt;=GRID_FROM)*('Dvd Calendar'!$K$1744&lt;=GRID_TO)*('Dvd Calendar'!$K$1744&gt;VAL_DATE)=0,"",'Dvd Calendar'!$K$1744*1000000000+ISNUMBER('Dvd Calendar'!$K$1745)*100000000+0*10000000+(N('Dvd Calendar'!$K$1743)&gt;0)*(N('Dvd Calendar'!$K$1743)&lt;=VAL_SERIAL)*1000000+17*1000+47))</f>
        <v/>
      </c>
      <c r="FZ176" s="35">
        <f>IF(N('Dvd Calendar'!$L$1744)=0,"",IF(('Dvd Calendar'!$L$1744&gt;=GRID_FROM)*('Dvd Calendar'!$L$1744&lt;=GRID_TO)*('Dvd Calendar'!$L$1744&gt;VAL_DATE)=0,"",'Dvd Calendar'!$L$1744*1000000000+ISNUMBER('Dvd Calendar'!$L$1745)*100000000+0*10000000+(N('Dvd Calendar'!$L$1743)&gt;0)*(N('Dvd Calendar'!$L$1743)&lt;=VAL_SERIAL)*1000000+17*1000+48))</f>
        <v/>
      </c>
      <c r="GA176" s="35">
        <f>IF(N('Dvd Calendar'!$M$1744)=0,"",IF(('Dvd Calendar'!$M$1744&gt;=GRID_FROM)*('Dvd Calendar'!$M$1744&lt;=GRID_TO)*('Dvd Calendar'!$M$1744&gt;VAL_DATE)=0,"",'Dvd Calendar'!$M$1744*1000000000+ISNUMBER('Dvd Calendar'!$M$1745)*100000000+0*10000000+(N('Dvd Calendar'!$M$1743)&gt;0)*(N('Dvd Calendar'!$M$1743)&lt;=VAL_SERIAL)*1000000+17*1000+49))</f>
        <v/>
      </c>
      <c r="GB176" s="35">
        <f>IF(N('Dvd Calendar'!$N$1744)=0,"",IF(('Dvd Calendar'!$N$1744&gt;=GRID_FROM)*('Dvd Calendar'!$N$1744&lt;=GRID_TO)*('Dvd Calendar'!$N$1744&gt;VAL_DATE)=0,"",'Dvd Calendar'!$N$1744*1000000000+ISNUMBER('Dvd Calendar'!$N$1745)*100000000+0*10000000+(N('Dvd Calendar'!$N$1743)&gt;0)*(N('Dvd Calendar'!$N$1743)&lt;=VAL_SERIAL)*1000000+17*1000+50))</f>
        <v/>
      </c>
      <c r="GC176" s="35">
        <f>IF(N('Dvd Calendar'!$O$1744)=0,"",IF(('Dvd Calendar'!$O$1744&gt;=GRID_FROM)*('Dvd Calendar'!$O$1744&lt;=GRID_TO)*('Dvd Calendar'!$O$1744&gt;VAL_DATE)=0,"",'Dvd Calendar'!$O$1744*1000000000+ISNUMBER('Dvd Calendar'!$O$1745)*100000000+0*10000000+(N('Dvd Calendar'!$O$1743)&gt;0)*(N('Dvd Calendar'!$O$1743)&lt;=VAL_SERIAL)*1000000+17*1000+51))</f>
        <v/>
      </c>
      <c r="GD176" s="35">
        <f>IF(N('Dvd Calendar'!$P$1744)=0,"",IF(('Dvd Calendar'!$P$1744&gt;=GRID_FROM)*('Dvd Calendar'!$P$1744&lt;=GRID_TO)*('Dvd Calendar'!$P$1744&gt;VAL_DATE)=0,"",'Dvd Calendar'!$P$1744*1000000000+ISNUMBER('Dvd Calendar'!$P$1745)*100000000+0*10000000+(N('Dvd Calendar'!$P$1743)&gt;0)*(N('Dvd Calendar'!$P$1743)&lt;=VAL_SERIAL)*1000000+17*1000+52))</f>
        <v/>
      </c>
      <c r="GE176" s="35">
        <f>IF(N('Dvd Calendar'!$Q$1744)=0,"",IF(('Dvd Calendar'!$Q$1744&gt;=GRID_FROM)*('Dvd Calendar'!$Q$1744&lt;=GRID_TO)*('Dvd Calendar'!$Q$1744&gt;VAL_DATE)=0,"",'Dvd Calendar'!$Q$1744*1000000000+ISNUMBER('Dvd Calendar'!$Q$1745)*100000000+0*10000000+(N('Dvd Calendar'!$Q$1743)&gt;0)*(N('Dvd Calendar'!$Q$1743)&lt;=VAL_SERIAL)*1000000+17*1000+53))</f>
        <v/>
      </c>
      <c r="GF176" s="35">
        <f>IF(N('Dvd Calendar'!$R$1744)=0,"",IF(('Dvd Calendar'!$R$1744&gt;=GRID_FROM)*('Dvd Calendar'!$R$1744&lt;=GRID_TO)*('Dvd Calendar'!$R$1744&gt;VAL_DATE)=0,"",'Dvd Calendar'!$R$1744*1000000000+ISNUMBER('Dvd Calendar'!$R$1745)*100000000+0*10000000+(N('Dvd Calendar'!$R$1743)&gt;0)*(N('Dvd Calendar'!$R$1743)&lt;=VAL_SERIAL)*1000000+17*1000+54))</f>
        <v/>
      </c>
      <c r="GG176" s="35">
        <f>IF(N('Dvd Calendar'!$S$1744)=0,"",IF(('Dvd Calendar'!$S$1744&gt;=GRID_FROM)*('Dvd Calendar'!$S$1744&lt;=GRID_TO)*('Dvd Calendar'!$S$1744&gt;VAL_DATE)=0,"",'Dvd Calendar'!$S$1744*1000000000+ISNUMBER('Dvd Calendar'!$S$1745)*100000000+0*10000000+(N('Dvd Calendar'!$S$1743)&gt;0)*(N('Dvd Calendar'!$S$1743)&lt;=VAL_SERIAL)*1000000+17*1000+55))</f>
        <v/>
      </c>
      <c r="GH176" s="35">
        <f>IF(N('Dvd Calendar'!$T$1744)=0,"",IF(('Dvd Calendar'!$T$1744&gt;=GRID_FROM)*('Dvd Calendar'!$T$1744&lt;=GRID_TO)*('Dvd Calendar'!$T$1744&gt;VAL_DATE)=0,"",'Dvd Calendar'!$T$1744*1000000000+ISNUMBER('Dvd Calendar'!$T$1745)*100000000+0*10000000+(N('Dvd Calendar'!$T$1743)&gt;0)*(N('Dvd Calendar'!$T$1743)&lt;=VAL_SERIAL)*1000000+17*1000+56))</f>
        <v/>
      </c>
      <c r="GI176" s="35">
        <f>IF(N('Dvd Calendar'!$U$1744)=0,"",IF(('Dvd Calendar'!$U$1744&gt;=GRID_FROM)*('Dvd Calendar'!$U$1744&lt;=GRID_TO)*('Dvd Calendar'!$U$1744&gt;VAL_DATE)=0,"",'Dvd Calendar'!$U$1744*1000000000+ISNUMBER('Dvd Calendar'!$U$1745)*100000000+0*10000000+(N('Dvd Calendar'!$U$1743)&gt;0)*(N('Dvd Calendar'!$U$1743)&lt;=VAL_SERIAL)*1000000+17*1000+57))</f>
        <v/>
      </c>
      <c r="GJ176" s="35">
        <f>IF(N('Dvd Calendar'!$V$1744)=0,"",IF(('Dvd Calendar'!$V$1744&gt;=GRID_FROM)*('Dvd Calendar'!$V$1744&lt;=GRID_TO)*('Dvd Calendar'!$V$1744&gt;VAL_DATE)=0,"",'Dvd Calendar'!$V$1744*1000000000+ISNUMBER('Dvd Calendar'!$V$1745)*100000000+0*10000000+(N('Dvd Calendar'!$V$1743)&gt;0)*(N('Dvd Calendar'!$V$1743)&lt;=VAL_SERIAL)*1000000+17*1000+58))</f>
        <v/>
      </c>
      <c r="GK176" s="35">
        <f>IF(N('Dvd Calendar'!$W$1744)=0,"",IF(('Dvd Calendar'!$W$1744&gt;=GRID_FROM)*('Dvd Calendar'!$W$1744&lt;=GRID_TO)*('Dvd Calendar'!$W$1744&gt;VAL_DATE)=0,"",'Dvd Calendar'!$W$1744*1000000000+ISNUMBER('Dvd Calendar'!$W$1745)*100000000+0*10000000+(N('Dvd Calendar'!$W$1743)&gt;0)*(N('Dvd Calendar'!$W$1743)&lt;=VAL_SERIAL)*1000000+17*1000+59))</f>
        <v/>
      </c>
      <c r="GL176" s="35">
        <f>IF(N('Dvd Calendar'!$X$1744)=0,"",IF(('Dvd Calendar'!$X$1744&gt;=GRID_FROM)*('Dvd Calendar'!$X$1744&lt;=GRID_TO)*('Dvd Calendar'!$X$1744&gt;VAL_DATE)=0,"",'Dvd Calendar'!$X$1744*1000000000+ISNUMBER('Dvd Calendar'!$X$1745)*100000000+0*10000000+(N('Dvd Calendar'!$X$1743)&gt;0)*(N('Dvd Calendar'!$X$1743)&lt;=VAL_SERIAL)*1000000+17*1000+60))</f>
        <v/>
      </c>
      <c r="GM176" s="35">
        <f>IF(N('Dvd Calendar'!$Y$1744)=0,"",IF(('Dvd Calendar'!$Y$1744&gt;=GRID_FROM)*('Dvd Calendar'!$Y$1744&lt;=GRID_TO)*('Dvd Calendar'!$Y$1744&gt;VAL_DATE)=0,"",'Dvd Calendar'!$Y$1744*1000000000+ISNUMBER('Dvd Calendar'!$Y$1745)*100000000+0*10000000+(N('Dvd Calendar'!$Y$1743)&gt;0)*(N('Dvd Calendar'!$Y$1743)&lt;=VAL_SERIAL)*1000000+17*1000+61))</f>
        <v/>
      </c>
      <c r="GN176" s="35">
        <f>IF(N('Dvd Calendar'!$Z$1744)=0,"",IF(('Dvd Calendar'!$Z$1744&gt;=GRID_FROM)*('Dvd Calendar'!$Z$1744&lt;=GRID_TO)*('Dvd Calendar'!$Z$1744&gt;VAL_DATE)=0,"",'Dvd Calendar'!$Z$1744*1000000000+ISNUMBER('Dvd Calendar'!$Z$1745)*100000000+0*10000000+(N('Dvd Calendar'!$Z$1743)&gt;0)*(N('Dvd Calendar'!$Z$1743)&lt;=VAL_SERIAL)*1000000+17*1000+62))</f>
        <v/>
      </c>
      <c r="GO176" s="35">
        <f>IF(N('Dvd Calendar'!$AA$1744)=0,"",IF(('Dvd Calendar'!$AA$1744&gt;=GRID_FROM)*('Dvd Calendar'!$AA$1744&lt;=GRID_TO)*('Dvd Calendar'!$AA$1744&gt;VAL_DATE)=0,"",'Dvd Calendar'!$AA$1744*1000000000+ISNUMBER('Dvd Calendar'!$AA$1745)*100000000+0*10000000+(N('Dvd Calendar'!$AA$1743)&gt;0)*(N('Dvd Calendar'!$AA$1743)&lt;=VAL_SERIAL)*1000000+17*1000+63))</f>
        <v/>
      </c>
      <c r="GP176" s="35">
        <f>IF(N('Dvd Calendar'!$AB$1744)=0,"",IF(('Dvd Calendar'!$AB$1744&gt;=GRID_FROM)*('Dvd Calendar'!$AB$1744&lt;=GRID_TO)*('Dvd Calendar'!$AB$1744&gt;VAL_DATE)=0,"",'Dvd Calendar'!$AB$1744*1000000000+ISNUMBER('Dvd Calendar'!$AB$1745)*100000000+0*10000000+(N('Dvd Calendar'!$AB$1743)&gt;0)*(N('Dvd Calendar'!$AB$1743)&lt;=VAL_SERIAL)*1000000+17*1000+64))</f>
        <v/>
      </c>
      <c r="GQ176" s="35">
        <f>IF(N('Dvd Calendar'!$AC$1744)=0,"",IF(('Dvd Calendar'!$AC$1744&gt;=GRID_FROM)*('Dvd Calendar'!$AC$1744&lt;=GRID_TO)*('Dvd Calendar'!$AC$1744&gt;VAL_DATE)=0,"",'Dvd Calendar'!$AC$1744*1000000000+ISNUMBER('Dvd Calendar'!$AC$1745)*100000000+0*10000000+(N('Dvd Calendar'!$AC$1743)&gt;0)*(N('Dvd Calendar'!$AC$1743)&lt;=VAL_SERIAL)*1000000+17*1000+65))</f>
        <v/>
      </c>
    </row>
    <row r="177">
      <c r="B177" s="2">
        <f>IF(HSCEI!$C$24="","",HSCEI!$C$24)</f>
        <v/>
      </c>
      <c r="C177" s="106">
        <f>IF(EE177="","",IF(ISNUMBER('Dvd Calendar'!$E$1751)=FALSE,"",IF((('Dvd Calendar'!$E$1753=TYPE1)*(TYPE1&lt;&gt;"")+('Dvd Calendar'!$E$1753=TYPE2)*(TYPE2&lt;&gt;"")+('Dvd Calendar'!$E$1753=TYPE3)*(TYPE3&lt;&gt;"")+('Dvd Calendar'!$E$1753=TYPE4)*(TYPE4&lt;&gt;"")+('Dvd Calendar'!$E$1753=SPECIAL_LBL)*(INC_SPECIALS="Y"))=0,"",'Dvd Calendar'!$E$1751)))</f>
        <v/>
      </c>
      <c r="D177" s="106">
        <f>IF(EF177="","",IF(ISNUMBER('Dvd Calendar'!$F$1751)=FALSE,"",IF((('Dvd Calendar'!$F$1753=TYPE1)*(TYPE1&lt;&gt;"")+('Dvd Calendar'!$F$1753=TYPE2)*(TYPE2&lt;&gt;"")+('Dvd Calendar'!$F$1753=TYPE3)*(TYPE3&lt;&gt;"")+('Dvd Calendar'!$F$1753=TYPE4)*(TYPE4&lt;&gt;"")+('Dvd Calendar'!$F$1753=SPECIAL_LBL)*(INC_SPECIALS="Y"))=0,"",'Dvd Calendar'!$F$1751)))</f>
        <v/>
      </c>
      <c r="E177" s="106">
        <f>IF(EG177="","",IF(ISNUMBER('Dvd Calendar'!$G$1751)=FALSE,"",IF((('Dvd Calendar'!$G$1753=TYPE1)*(TYPE1&lt;&gt;"")+('Dvd Calendar'!$G$1753=TYPE2)*(TYPE2&lt;&gt;"")+('Dvd Calendar'!$G$1753=TYPE3)*(TYPE3&lt;&gt;"")+('Dvd Calendar'!$G$1753=TYPE4)*(TYPE4&lt;&gt;"")+('Dvd Calendar'!$G$1753=SPECIAL_LBL)*(INC_SPECIALS="Y"))=0,"",'Dvd Calendar'!$G$1751)))</f>
        <v/>
      </c>
      <c r="F177" s="106">
        <f>IF(EH177="","",IF(ISNUMBER('Dvd Calendar'!$H$1751)=FALSE,"",IF((('Dvd Calendar'!$H$1753=TYPE1)*(TYPE1&lt;&gt;"")+('Dvd Calendar'!$H$1753=TYPE2)*(TYPE2&lt;&gt;"")+('Dvd Calendar'!$H$1753=TYPE3)*(TYPE3&lt;&gt;"")+('Dvd Calendar'!$H$1753=TYPE4)*(TYPE4&lt;&gt;"")+('Dvd Calendar'!$H$1753=SPECIAL_LBL)*(INC_SPECIALS="Y"))=0,"",'Dvd Calendar'!$H$1751)))</f>
        <v/>
      </c>
      <c r="G177" s="106">
        <f>IF(EI177="","",IF(ISNUMBER('Dvd Calendar'!$I$1751)=FALSE,"",IF((('Dvd Calendar'!$I$1753=TYPE1)*(TYPE1&lt;&gt;"")+('Dvd Calendar'!$I$1753=TYPE2)*(TYPE2&lt;&gt;"")+('Dvd Calendar'!$I$1753=TYPE3)*(TYPE3&lt;&gt;"")+('Dvd Calendar'!$I$1753=TYPE4)*(TYPE4&lt;&gt;"")+('Dvd Calendar'!$I$1753=SPECIAL_LBL)*(INC_SPECIALS="Y"))=0,"",'Dvd Calendar'!$I$1751)))</f>
        <v/>
      </c>
      <c r="H177" s="106">
        <f>IF(EJ177="","",IF(ISNUMBER('Dvd Calendar'!$J$1751)=FALSE,"",IF((('Dvd Calendar'!$J$1753=TYPE1)*(TYPE1&lt;&gt;"")+('Dvd Calendar'!$J$1753=TYPE2)*(TYPE2&lt;&gt;"")+('Dvd Calendar'!$J$1753=TYPE3)*(TYPE3&lt;&gt;"")+('Dvd Calendar'!$J$1753=TYPE4)*(TYPE4&lt;&gt;"")+('Dvd Calendar'!$J$1753=SPECIAL_LBL)*(INC_SPECIALS="Y"))=0,"",'Dvd Calendar'!$J$1751)))</f>
        <v/>
      </c>
      <c r="I177" s="106">
        <f>IF(EK177="","",IF(ISNUMBER('Dvd Calendar'!$K$1751)=FALSE,"",IF((('Dvd Calendar'!$K$1753=TYPE1)*(TYPE1&lt;&gt;"")+('Dvd Calendar'!$K$1753=TYPE2)*(TYPE2&lt;&gt;"")+('Dvd Calendar'!$K$1753=TYPE3)*(TYPE3&lt;&gt;"")+('Dvd Calendar'!$K$1753=TYPE4)*(TYPE4&lt;&gt;"")+('Dvd Calendar'!$K$1753=SPECIAL_LBL)*(INC_SPECIALS="Y"))=0,"",'Dvd Calendar'!$K$1751)))</f>
        <v/>
      </c>
      <c r="J177" s="106">
        <f>IF(EL177="","",IF(ISNUMBER('Dvd Calendar'!$L$1751)=FALSE,"",IF((('Dvd Calendar'!$L$1753=TYPE1)*(TYPE1&lt;&gt;"")+('Dvd Calendar'!$L$1753=TYPE2)*(TYPE2&lt;&gt;"")+('Dvd Calendar'!$L$1753=TYPE3)*(TYPE3&lt;&gt;"")+('Dvd Calendar'!$L$1753=TYPE4)*(TYPE4&lt;&gt;"")+('Dvd Calendar'!$L$1753=SPECIAL_LBL)*(INC_SPECIALS="Y"))=0,"",'Dvd Calendar'!$L$1751)))</f>
        <v/>
      </c>
      <c r="K177" s="106">
        <f>IF(EM177="","",IF(ISNUMBER('Dvd Calendar'!$M$1751)=FALSE,"",IF((('Dvd Calendar'!$M$1753=TYPE1)*(TYPE1&lt;&gt;"")+('Dvd Calendar'!$M$1753=TYPE2)*(TYPE2&lt;&gt;"")+('Dvd Calendar'!$M$1753=TYPE3)*(TYPE3&lt;&gt;"")+('Dvd Calendar'!$M$1753=TYPE4)*(TYPE4&lt;&gt;"")+('Dvd Calendar'!$M$1753=SPECIAL_LBL)*(INC_SPECIALS="Y"))=0,"",'Dvd Calendar'!$M$1751)))</f>
        <v/>
      </c>
      <c r="L177" s="106">
        <f>IF(EN177="","",IF(ISNUMBER('Dvd Calendar'!$N$1751)=FALSE,"",IF((('Dvd Calendar'!$N$1753=TYPE1)*(TYPE1&lt;&gt;"")+('Dvd Calendar'!$N$1753=TYPE2)*(TYPE2&lt;&gt;"")+('Dvd Calendar'!$N$1753=TYPE3)*(TYPE3&lt;&gt;"")+('Dvd Calendar'!$N$1753=TYPE4)*(TYPE4&lt;&gt;"")+('Dvd Calendar'!$N$1753=SPECIAL_LBL)*(INC_SPECIALS="Y"))=0,"",'Dvd Calendar'!$N$1751)))</f>
        <v/>
      </c>
      <c r="M177" s="106">
        <f>IF(EO177="","",IF(ISNUMBER('Dvd Calendar'!$O$1751)=FALSE,"",IF((('Dvd Calendar'!$O$1753=TYPE1)*(TYPE1&lt;&gt;"")+('Dvd Calendar'!$O$1753=TYPE2)*(TYPE2&lt;&gt;"")+('Dvd Calendar'!$O$1753=TYPE3)*(TYPE3&lt;&gt;"")+('Dvd Calendar'!$O$1753=TYPE4)*(TYPE4&lt;&gt;"")+('Dvd Calendar'!$O$1753=SPECIAL_LBL)*(INC_SPECIALS="Y"))=0,"",'Dvd Calendar'!$O$1751)))</f>
        <v/>
      </c>
      <c r="N177" s="106">
        <f>IF(EP177="","",IF(ISNUMBER('Dvd Calendar'!$P$1751)=FALSE,"",IF((('Dvd Calendar'!$P$1753=TYPE1)*(TYPE1&lt;&gt;"")+('Dvd Calendar'!$P$1753=TYPE2)*(TYPE2&lt;&gt;"")+('Dvd Calendar'!$P$1753=TYPE3)*(TYPE3&lt;&gt;"")+('Dvd Calendar'!$P$1753=TYPE4)*(TYPE4&lt;&gt;"")+('Dvd Calendar'!$P$1753=SPECIAL_LBL)*(INC_SPECIALS="Y"))=0,"",'Dvd Calendar'!$P$1751)))</f>
        <v/>
      </c>
      <c r="O177" s="106">
        <f>IF(EQ177="","",IF(ISNUMBER('Dvd Calendar'!$Q$1751)=FALSE,"",IF((('Dvd Calendar'!$Q$1753=TYPE1)*(TYPE1&lt;&gt;"")+('Dvd Calendar'!$Q$1753=TYPE2)*(TYPE2&lt;&gt;"")+('Dvd Calendar'!$Q$1753=TYPE3)*(TYPE3&lt;&gt;"")+('Dvd Calendar'!$Q$1753=TYPE4)*(TYPE4&lt;&gt;"")+('Dvd Calendar'!$Q$1753=SPECIAL_LBL)*(INC_SPECIALS="Y"))=0,"",'Dvd Calendar'!$Q$1751)))</f>
        <v/>
      </c>
      <c r="P177" s="106">
        <f>IF(ER177="","",IF(ISNUMBER('Dvd Calendar'!$R$1751)=FALSE,"",IF((('Dvd Calendar'!$R$1753=TYPE1)*(TYPE1&lt;&gt;"")+('Dvd Calendar'!$R$1753=TYPE2)*(TYPE2&lt;&gt;"")+('Dvd Calendar'!$R$1753=TYPE3)*(TYPE3&lt;&gt;"")+('Dvd Calendar'!$R$1753=TYPE4)*(TYPE4&lt;&gt;"")+('Dvd Calendar'!$R$1753=SPECIAL_LBL)*(INC_SPECIALS="Y"))=0,"",'Dvd Calendar'!$R$1751)))</f>
        <v/>
      </c>
      <c r="Q177" s="106">
        <f>IF(ES177="","",IF(ISNUMBER('Dvd Calendar'!$S$1751)=FALSE,"",IF((('Dvd Calendar'!$S$1753=TYPE1)*(TYPE1&lt;&gt;"")+('Dvd Calendar'!$S$1753=TYPE2)*(TYPE2&lt;&gt;"")+('Dvd Calendar'!$S$1753=TYPE3)*(TYPE3&lt;&gt;"")+('Dvd Calendar'!$S$1753=TYPE4)*(TYPE4&lt;&gt;"")+('Dvd Calendar'!$S$1753=SPECIAL_LBL)*(INC_SPECIALS="Y"))=0,"",'Dvd Calendar'!$S$1751)))</f>
        <v/>
      </c>
      <c r="R177" s="106">
        <f>IF(ET177="","",IF(ISNUMBER('Dvd Calendar'!$T$1751)=FALSE,"",IF((('Dvd Calendar'!$T$1753=TYPE1)*(TYPE1&lt;&gt;"")+('Dvd Calendar'!$T$1753=TYPE2)*(TYPE2&lt;&gt;"")+('Dvd Calendar'!$T$1753=TYPE3)*(TYPE3&lt;&gt;"")+('Dvd Calendar'!$T$1753=TYPE4)*(TYPE4&lt;&gt;"")+('Dvd Calendar'!$T$1753=SPECIAL_LBL)*(INC_SPECIALS="Y"))=0,"",'Dvd Calendar'!$T$1751)))</f>
        <v/>
      </c>
      <c r="S177" s="106">
        <f>IF(EU177="","",IF(ISNUMBER('Dvd Calendar'!$U$1751)=FALSE,"",IF((('Dvd Calendar'!$U$1753=TYPE1)*(TYPE1&lt;&gt;"")+('Dvd Calendar'!$U$1753=TYPE2)*(TYPE2&lt;&gt;"")+('Dvd Calendar'!$U$1753=TYPE3)*(TYPE3&lt;&gt;"")+('Dvd Calendar'!$U$1753=TYPE4)*(TYPE4&lt;&gt;"")+('Dvd Calendar'!$U$1753=SPECIAL_LBL)*(INC_SPECIALS="Y"))=0,"",'Dvd Calendar'!$U$1751)))</f>
        <v/>
      </c>
      <c r="T177" s="106">
        <f>IF(EV177="","",IF(ISNUMBER('Dvd Calendar'!$V$1751)=FALSE,"",IF((('Dvd Calendar'!$V$1753=TYPE1)*(TYPE1&lt;&gt;"")+('Dvd Calendar'!$V$1753=TYPE2)*(TYPE2&lt;&gt;"")+('Dvd Calendar'!$V$1753=TYPE3)*(TYPE3&lt;&gt;"")+('Dvd Calendar'!$V$1753=TYPE4)*(TYPE4&lt;&gt;"")+('Dvd Calendar'!$V$1753=SPECIAL_LBL)*(INC_SPECIALS="Y"))=0,"",'Dvd Calendar'!$V$1751)))</f>
        <v/>
      </c>
      <c r="U177" s="106">
        <f>IF(EW177="","",IF(ISNUMBER('Dvd Calendar'!$W$1751)=FALSE,"",IF((('Dvd Calendar'!$W$1753=TYPE1)*(TYPE1&lt;&gt;"")+('Dvd Calendar'!$W$1753=TYPE2)*(TYPE2&lt;&gt;"")+('Dvd Calendar'!$W$1753=TYPE3)*(TYPE3&lt;&gt;"")+('Dvd Calendar'!$W$1753=TYPE4)*(TYPE4&lt;&gt;"")+('Dvd Calendar'!$W$1753=SPECIAL_LBL)*(INC_SPECIALS="Y"))=0,"",'Dvd Calendar'!$W$1751)))</f>
        <v/>
      </c>
      <c r="V177" s="106">
        <f>IF(EX177="","",IF(ISNUMBER('Dvd Calendar'!$X$1751)=FALSE,"",IF((('Dvd Calendar'!$X$1753=TYPE1)*(TYPE1&lt;&gt;"")+('Dvd Calendar'!$X$1753=TYPE2)*(TYPE2&lt;&gt;"")+('Dvd Calendar'!$X$1753=TYPE3)*(TYPE3&lt;&gt;"")+('Dvd Calendar'!$X$1753=TYPE4)*(TYPE4&lt;&gt;"")+('Dvd Calendar'!$X$1753=SPECIAL_LBL)*(INC_SPECIALS="Y"))=0,"",'Dvd Calendar'!$X$1751)))</f>
        <v/>
      </c>
      <c r="W177" s="106">
        <f>IF(EY177="","",IF(ISNUMBER('Dvd Calendar'!$Y$1751)=FALSE,"",IF((('Dvd Calendar'!$Y$1753=TYPE1)*(TYPE1&lt;&gt;"")+('Dvd Calendar'!$Y$1753=TYPE2)*(TYPE2&lt;&gt;"")+('Dvd Calendar'!$Y$1753=TYPE3)*(TYPE3&lt;&gt;"")+('Dvd Calendar'!$Y$1753=TYPE4)*(TYPE4&lt;&gt;"")+('Dvd Calendar'!$Y$1753=SPECIAL_LBL)*(INC_SPECIALS="Y"))=0,"",'Dvd Calendar'!$Y$1751)))</f>
        <v/>
      </c>
      <c r="X177" s="106">
        <f>IF(EZ177="","",IF(ISNUMBER('Dvd Calendar'!$Z$1751)=FALSE,"",IF((('Dvd Calendar'!$Z$1753=TYPE1)*(TYPE1&lt;&gt;"")+('Dvd Calendar'!$Z$1753=TYPE2)*(TYPE2&lt;&gt;"")+('Dvd Calendar'!$Z$1753=TYPE3)*(TYPE3&lt;&gt;"")+('Dvd Calendar'!$Z$1753=TYPE4)*(TYPE4&lt;&gt;"")+('Dvd Calendar'!$Z$1753=SPECIAL_LBL)*(INC_SPECIALS="Y"))=0,"",'Dvd Calendar'!$Z$1751)))</f>
        <v/>
      </c>
      <c r="Y177" s="106">
        <f>IF(FA177="","",IF(ISNUMBER('Dvd Calendar'!$AA$1751)=FALSE,"",IF((('Dvd Calendar'!$AA$1753=TYPE1)*(TYPE1&lt;&gt;"")+('Dvd Calendar'!$AA$1753=TYPE2)*(TYPE2&lt;&gt;"")+('Dvd Calendar'!$AA$1753=TYPE3)*(TYPE3&lt;&gt;"")+('Dvd Calendar'!$AA$1753=TYPE4)*(TYPE4&lt;&gt;"")+('Dvd Calendar'!$AA$1753=SPECIAL_LBL)*(INC_SPECIALS="Y"))=0,"",'Dvd Calendar'!$AA$1751)))</f>
        <v/>
      </c>
      <c r="Z177" s="106">
        <f>IF(FB177="","",IF(ISNUMBER('Dvd Calendar'!$AB$1751)=FALSE,"",IF((('Dvd Calendar'!$AB$1753=TYPE1)*(TYPE1&lt;&gt;"")+('Dvd Calendar'!$AB$1753=TYPE2)*(TYPE2&lt;&gt;"")+('Dvd Calendar'!$AB$1753=TYPE3)*(TYPE3&lt;&gt;"")+('Dvd Calendar'!$AB$1753=TYPE4)*(TYPE4&lt;&gt;"")+('Dvd Calendar'!$AB$1753=SPECIAL_LBL)*(INC_SPECIALS="Y"))=0,"",'Dvd Calendar'!$AB$1751)))</f>
        <v/>
      </c>
      <c r="AA177" s="106">
        <f>IF(FC177="","",IF(ISNUMBER('Dvd Calendar'!$AC$1751)=FALSE,"",IF((('Dvd Calendar'!$AC$1753=TYPE1)*(TYPE1&lt;&gt;"")+('Dvd Calendar'!$AC$1753=TYPE2)*(TYPE2&lt;&gt;"")+('Dvd Calendar'!$AC$1753=TYPE3)*(TYPE3&lt;&gt;"")+('Dvd Calendar'!$AC$1753=TYPE4)*(TYPE4&lt;&gt;"")+('Dvd Calendar'!$AC$1753=SPECIAL_LBL)*(INC_SPECIALS="Y"))=0,"",'Dvd Calendar'!$AC$1751)))</f>
        <v/>
      </c>
      <c r="AB177" s="106">
        <f>IF(FD177="","",IF(ISNUMBER('Dvd Calendar'!$AD$1751)=FALSE,"",IF((('Dvd Calendar'!$AD$1753=TYPE1)*(TYPE1&lt;&gt;"")+('Dvd Calendar'!$AD$1753=TYPE2)*(TYPE2&lt;&gt;"")+('Dvd Calendar'!$AD$1753=TYPE3)*(TYPE3&lt;&gt;"")+('Dvd Calendar'!$AD$1753=TYPE4)*(TYPE4&lt;&gt;"")+('Dvd Calendar'!$AD$1753=SPECIAL_LBL)*(INC_SPECIALS="Y"))=0,"",'Dvd Calendar'!$AD$1751)))</f>
        <v/>
      </c>
      <c r="AC177" s="106">
        <f>IF(FE177="","",IF(ISNUMBER('Dvd Calendar'!$AE$1751)=FALSE,"",IF((('Dvd Calendar'!$AE$1753=TYPE1)*(TYPE1&lt;&gt;"")+('Dvd Calendar'!$AE$1753=TYPE2)*(TYPE2&lt;&gt;"")+('Dvd Calendar'!$AE$1753=TYPE3)*(TYPE3&lt;&gt;"")+('Dvd Calendar'!$AE$1753=TYPE4)*(TYPE4&lt;&gt;"")+('Dvd Calendar'!$AE$1753=SPECIAL_LBL)*(INC_SPECIALS="Y"))=0,"",'Dvd Calendar'!$AE$1751)))</f>
        <v/>
      </c>
      <c r="AD177" s="106">
        <f>IF(FF177="","",IF(ISNUMBER('Dvd Calendar'!$AF$1751)=FALSE,"",IF((('Dvd Calendar'!$AF$1753=TYPE1)*(TYPE1&lt;&gt;"")+('Dvd Calendar'!$AF$1753=TYPE2)*(TYPE2&lt;&gt;"")+('Dvd Calendar'!$AF$1753=TYPE3)*(TYPE3&lt;&gt;"")+('Dvd Calendar'!$AF$1753=TYPE4)*(TYPE4&lt;&gt;"")+('Dvd Calendar'!$AF$1753=SPECIAL_LBL)*(INC_SPECIALS="Y"))=0,"",'Dvd Calendar'!$AF$1751)))</f>
        <v/>
      </c>
      <c r="AE177" s="106">
        <f>IF(FG177="","",IF(ISNUMBER('Dvd Calendar'!$AG$1751)=FALSE,"",IF((('Dvd Calendar'!$AG$1753=TYPE1)*(TYPE1&lt;&gt;"")+('Dvd Calendar'!$AG$1753=TYPE2)*(TYPE2&lt;&gt;"")+('Dvd Calendar'!$AG$1753=TYPE3)*(TYPE3&lt;&gt;"")+('Dvd Calendar'!$AG$1753=TYPE4)*(TYPE4&lt;&gt;"")+('Dvd Calendar'!$AG$1753=SPECIAL_LBL)*(INC_SPECIALS="Y"))=0,"",'Dvd Calendar'!$AG$1751)))</f>
        <v/>
      </c>
      <c r="AF177" s="106">
        <f>IF(FH177="","",IF(ISNUMBER('Dvd Calendar'!$AH$1751)=FALSE,"",IF((('Dvd Calendar'!$AH$1753=TYPE1)*(TYPE1&lt;&gt;"")+('Dvd Calendar'!$AH$1753=TYPE2)*(TYPE2&lt;&gt;"")+('Dvd Calendar'!$AH$1753=TYPE3)*(TYPE3&lt;&gt;"")+('Dvd Calendar'!$AH$1753=TYPE4)*(TYPE4&lt;&gt;"")+('Dvd Calendar'!$AH$1753=SPECIAL_LBL)*(INC_SPECIALS="Y"))=0,"",'Dvd Calendar'!$AH$1751)))</f>
        <v/>
      </c>
      <c r="AG177" s="106">
        <f>IF(FI177="","",IF(ISNUMBER('Dvd Calendar'!$AI$1751)=FALSE,"",IF((('Dvd Calendar'!$AI$1753=TYPE1)*(TYPE1&lt;&gt;"")+('Dvd Calendar'!$AI$1753=TYPE2)*(TYPE2&lt;&gt;"")+('Dvd Calendar'!$AI$1753=TYPE3)*(TYPE3&lt;&gt;"")+('Dvd Calendar'!$AI$1753=TYPE4)*(TYPE4&lt;&gt;"")+('Dvd Calendar'!$AI$1753=SPECIAL_LBL)*(INC_SPECIALS="Y"))=0,"",'Dvd Calendar'!$AI$1751)))</f>
        <v/>
      </c>
      <c r="AH177" s="106">
        <f>IF(FJ177="","",IF(ISNUMBER('Dvd Calendar'!$AJ$1751)=FALSE,"",IF((('Dvd Calendar'!$AJ$1753=TYPE1)*(TYPE1&lt;&gt;"")+('Dvd Calendar'!$AJ$1753=TYPE2)*(TYPE2&lt;&gt;"")+('Dvd Calendar'!$AJ$1753=TYPE3)*(TYPE3&lt;&gt;"")+('Dvd Calendar'!$AJ$1753=TYPE4)*(TYPE4&lt;&gt;"")+('Dvd Calendar'!$AJ$1753=SPECIAL_LBL)*(INC_SPECIALS="Y"))=0,"",'Dvd Calendar'!$AJ$1751)))</f>
        <v/>
      </c>
      <c r="AI177" s="106">
        <f>IF(FK177="","",IF(ISNUMBER('Dvd Calendar'!$AK$1751)=FALSE,"",IF((('Dvd Calendar'!$AK$1753=TYPE1)*(TYPE1&lt;&gt;"")+('Dvd Calendar'!$AK$1753=TYPE2)*(TYPE2&lt;&gt;"")+('Dvd Calendar'!$AK$1753=TYPE3)*(TYPE3&lt;&gt;"")+('Dvd Calendar'!$AK$1753=TYPE4)*(TYPE4&lt;&gt;"")+('Dvd Calendar'!$AK$1753=SPECIAL_LBL)*(INC_SPECIALS="Y"))=0,"",'Dvd Calendar'!$AK$1751)))</f>
        <v/>
      </c>
      <c r="AJ177" s="106">
        <f>IF(FL177="","",IF(ISNUMBER('Dvd Calendar'!$AL$1751)=FALSE,"",IF((('Dvd Calendar'!$AL$1753=TYPE1)*(TYPE1&lt;&gt;"")+('Dvd Calendar'!$AL$1753=TYPE2)*(TYPE2&lt;&gt;"")+('Dvd Calendar'!$AL$1753=TYPE3)*(TYPE3&lt;&gt;"")+('Dvd Calendar'!$AL$1753=TYPE4)*(TYPE4&lt;&gt;"")+('Dvd Calendar'!$AL$1753=SPECIAL_LBL)*(INC_SPECIALS="Y"))=0,"",'Dvd Calendar'!$AL$1751)))</f>
        <v/>
      </c>
      <c r="AK177" s="106">
        <f>IF(FM177="","",IF(ISNUMBER('Dvd Calendar'!$AM$1751)=FALSE,"",IF((('Dvd Calendar'!$AM$1753=TYPE1)*(TYPE1&lt;&gt;"")+('Dvd Calendar'!$AM$1753=TYPE2)*(TYPE2&lt;&gt;"")+('Dvd Calendar'!$AM$1753=TYPE3)*(TYPE3&lt;&gt;"")+('Dvd Calendar'!$AM$1753=TYPE4)*(TYPE4&lt;&gt;"")+('Dvd Calendar'!$AM$1753=SPECIAL_LBL)*(INC_SPECIALS="Y"))=0,"",'Dvd Calendar'!$AM$1751)))</f>
        <v/>
      </c>
      <c r="AL177" s="106">
        <f>IF(FN177="","",IF(ISNUMBER('Dvd Calendar'!$AN$1751)=FALSE,"",IF((('Dvd Calendar'!$AN$1753=TYPE1)*(TYPE1&lt;&gt;"")+('Dvd Calendar'!$AN$1753=TYPE2)*(TYPE2&lt;&gt;"")+('Dvd Calendar'!$AN$1753=TYPE3)*(TYPE3&lt;&gt;"")+('Dvd Calendar'!$AN$1753=TYPE4)*(TYPE4&lt;&gt;"")+('Dvd Calendar'!$AN$1753=SPECIAL_LBL)*(INC_SPECIALS="Y"))=0,"",'Dvd Calendar'!$AN$1751)))</f>
        <v/>
      </c>
      <c r="AM177" s="106">
        <f>IF(FO177="","",IF(ISNUMBER('Dvd Calendar'!$AO$1751)=FALSE,"",IF((('Dvd Calendar'!$AO$1753=TYPE1)*(TYPE1&lt;&gt;"")+('Dvd Calendar'!$AO$1753=TYPE2)*(TYPE2&lt;&gt;"")+('Dvd Calendar'!$AO$1753=TYPE3)*(TYPE3&lt;&gt;"")+('Dvd Calendar'!$AO$1753=TYPE4)*(TYPE4&lt;&gt;"")+('Dvd Calendar'!$AO$1753=SPECIAL_LBL)*(INC_SPECIALS="Y"))=0,"",'Dvd Calendar'!$AO$1751)))</f>
        <v/>
      </c>
      <c r="AN177" s="106">
        <f>IF(FP177="","",IF(ISNUMBER('Dvd Calendar'!$AP$1751)=FALSE,"",IF((('Dvd Calendar'!$AP$1753=TYPE1)*(TYPE1&lt;&gt;"")+('Dvd Calendar'!$AP$1753=TYPE2)*(TYPE2&lt;&gt;"")+('Dvd Calendar'!$AP$1753=TYPE3)*(TYPE3&lt;&gt;"")+('Dvd Calendar'!$AP$1753=TYPE4)*(TYPE4&lt;&gt;"")+('Dvd Calendar'!$AP$1753=SPECIAL_LBL)*(INC_SPECIALS="Y"))=0,"",'Dvd Calendar'!$AP$1751)))</f>
        <v/>
      </c>
      <c r="AO177" s="106">
        <f>IF(FQ177="","",IF(ISNUMBER('Dvd Calendar'!$AQ$1751)=FALSE,"",IF((('Dvd Calendar'!$AQ$1753=TYPE1)*(TYPE1&lt;&gt;"")+('Dvd Calendar'!$AQ$1753=TYPE2)*(TYPE2&lt;&gt;"")+('Dvd Calendar'!$AQ$1753=TYPE3)*(TYPE3&lt;&gt;"")+('Dvd Calendar'!$AQ$1753=TYPE4)*(TYPE4&lt;&gt;"")+('Dvd Calendar'!$AQ$1753=SPECIAL_LBL)*(INC_SPECIALS="Y"))=0,"",'Dvd Calendar'!$AQ$1751)))</f>
        <v/>
      </c>
      <c r="AP177" s="106">
        <f>IF(FR177="","",IF(ISNUMBER('Dvd Calendar'!$AR$1751)=FALSE,"",IF((('Dvd Calendar'!$AR$1753=TYPE1)*(TYPE1&lt;&gt;"")+('Dvd Calendar'!$AR$1753=TYPE2)*(TYPE2&lt;&gt;"")+('Dvd Calendar'!$AR$1753=TYPE3)*(TYPE3&lt;&gt;"")+('Dvd Calendar'!$AR$1753=TYPE4)*(TYPE4&lt;&gt;"")+('Dvd Calendar'!$AR$1753=SPECIAL_LBL)*(INC_SPECIALS="Y"))=0,"",'Dvd Calendar'!$AR$1751)))</f>
        <v/>
      </c>
      <c r="AQ177" s="106">
        <f>IF(FS177="","",IF(ISNUMBER('Dvd Calendar'!$E$1756)=FALSE,"",'Dvd Calendar'!$E$1756))</f>
        <v/>
      </c>
      <c r="AR177" s="106">
        <f>IF(FT177="","",IF(ISNUMBER('Dvd Calendar'!$F$1756)=FALSE,"",'Dvd Calendar'!$F$1756))</f>
        <v/>
      </c>
      <c r="AS177" s="106">
        <f>IF(FU177="","",IF(ISNUMBER('Dvd Calendar'!$G$1756)=FALSE,"",'Dvd Calendar'!$G$1756))</f>
        <v/>
      </c>
      <c r="AT177" s="106">
        <f>IF(FV177="","",IF(ISNUMBER('Dvd Calendar'!$H$1756)=FALSE,"",'Dvd Calendar'!$H$1756))</f>
        <v/>
      </c>
      <c r="AU177" s="106">
        <f>IF(FW177="","",IF(ISNUMBER('Dvd Calendar'!$I$1756)=FALSE,"",'Dvd Calendar'!$I$1756))</f>
        <v/>
      </c>
      <c r="AV177" s="106">
        <f>IF(FX177="","",IF(ISNUMBER('Dvd Calendar'!$J$1756)=FALSE,"",'Dvd Calendar'!$J$1756))</f>
        <v/>
      </c>
      <c r="AW177" s="106">
        <f>IF(FY177="","",IF(ISNUMBER('Dvd Calendar'!$K$1756)=FALSE,"",'Dvd Calendar'!$K$1756))</f>
        <v/>
      </c>
      <c r="AX177" s="106">
        <f>IF(FZ177="","",IF(ISNUMBER('Dvd Calendar'!$L$1756)=FALSE,"",'Dvd Calendar'!$L$1756))</f>
        <v/>
      </c>
      <c r="AY177" s="106">
        <f>IF(GA177="","",IF(ISNUMBER('Dvd Calendar'!$M$1756)=FALSE,"",'Dvd Calendar'!$M$1756))</f>
        <v/>
      </c>
      <c r="AZ177" s="106">
        <f>IF(GB177="","",IF(ISNUMBER('Dvd Calendar'!$N$1756)=FALSE,"",'Dvd Calendar'!$N$1756))</f>
        <v/>
      </c>
      <c r="BA177" s="106">
        <f>IF(GC177="","",IF(ISNUMBER('Dvd Calendar'!$O$1756)=FALSE,"",'Dvd Calendar'!$O$1756))</f>
        <v/>
      </c>
      <c r="BB177" s="106">
        <f>IF(GD177="","",IF(ISNUMBER('Dvd Calendar'!$P$1756)=FALSE,"",'Dvd Calendar'!$P$1756))</f>
        <v/>
      </c>
      <c r="BC177" s="106">
        <f>IF(GE177="","",IF(ISNUMBER('Dvd Calendar'!$Q$1756)=FALSE,"",'Dvd Calendar'!$Q$1756))</f>
        <v/>
      </c>
      <c r="BD177" s="106">
        <f>IF(GF177="","",IF(ISNUMBER('Dvd Calendar'!$R$1756)=FALSE,"",'Dvd Calendar'!$R$1756))</f>
        <v/>
      </c>
      <c r="BE177" s="106">
        <f>IF(GG177="","",IF(ISNUMBER('Dvd Calendar'!$S$1756)=FALSE,"",'Dvd Calendar'!$S$1756))</f>
        <v/>
      </c>
      <c r="BF177" s="106">
        <f>IF(GH177="","",IF(ISNUMBER('Dvd Calendar'!$T$1756)=FALSE,"",'Dvd Calendar'!$T$1756))</f>
        <v/>
      </c>
      <c r="BG177" s="106">
        <f>IF(GI177="","",IF(ISNUMBER('Dvd Calendar'!$U$1756)=FALSE,"",'Dvd Calendar'!$U$1756))</f>
        <v/>
      </c>
      <c r="BH177" s="106">
        <f>IF(GJ177="","",IF(ISNUMBER('Dvd Calendar'!$V$1756)=FALSE,"",'Dvd Calendar'!$V$1756))</f>
        <v/>
      </c>
      <c r="BI177" s="106">
        <f>IF(GK177="","",IF(ISNUMBER('Dvd Calendar'!$W$1756)=FALSE,"",'Dvd Calendar'!$W$1756))</f>
        <v/>
      </c>
      <c r="BJ177" s="106">
        <f>IF(GL177="","",IF(ISNUMBER('Dvd Calendar'!$X$1756)=FALSE,"",'Dvd Calendar'!$X$1756))</f>
        <v/>
      </c>
      <c r="BK177" s="106">
        <f>IF(GM177="","",IF(ISNUMBER('Dvd Calendar'!$Y$1756)=FALSE,"",'Dvd Calendar'!$Y$1756))</f>
        <v/>
      </c>
      <c r="BL177" s="106">
        <f>IF(GN177="","",IF(ISNUMBER('Dvd Calendar'!$Z$1756)=FALSE,"",'Dvd Calendar'!$Z$1756))</f>
        <v/>
      </c>
      <c r="BM177" s="106">
        <f>IF(GO177="","",IF(ISNUMBER('Dvd Calendar'!$AA$1756)=FALSE,"",'Dvd Calendar'!$AA$1756))</f>
        <v/>
      </c>
      <c r="BN177" s="106">
        <f>IF(GP177="","",IF(ISNUMBER('Dvd Calendar'!$AB$1756)=FALSE,"",'Dvd Calendar'!$AB$1756))</f>
        <v/>
      </c>
      <c r="BO177" s="106">
        <f>IF(GQ177="","",IF(ISNUMBER('Dvd Calendar'!$AC$1756)=FALSE,"",'Dvd Calendar'!$AC$1756))</f>
        <v/>
      </c>
      <c r="BQ177" s="106">
        <f>IF(C177="","",IFERROR(C177*HSCEI!$B$24*HSCEI!$G$24/HSCEI!$B$3,""))</f>
        <v/>
      </c>
      <c r="BR177" s="106">
        <f>IF(D177="","",IFERROR(D177*HSCEI!$B$24*HSCEI!$G$24/HSCEI!$B$3,""))</f>
        <v/>
      </c>
      <c r="BS177" s="106">
        <f>IF(E177="","",IFERROR(E177*HSCEI!$B$24*HSCEI!$G$24/HSCEI!$B$3,""))</f>
        <v/>
      </c>
      <c r="BT177" s="106">
        <f>IF(F177="","",IFERROR(F177*HSCEI!$B$24*HSCEI!$G$24/HSCEI!$B$3,""))</f>
        <v/>
      </c>
      <c r="BU177" s="106">
        <f>IF(G177="","",IFERROR(G177*HSCEI!$B$24*HSCEI!$G$24/HSCEI!$B$3,""))</f>
        <v/>
      </c>
      <c r="BV177" s="106">
        <f>IF(H177="","",IFERROR(H177*HSCEI!$B$24*HSCEI!$G$24/HSCEI!$B$3,""))</f>
        <v/>
      </c>
      <c r="BW177" s="106">
        <f>IF(I177="","",IFERROR(I177*HSCEI!$B$24*HSCEI!$G$24/HSCEI!$B$3,""))</f>
        <v/>
      </c>
      <c r="BX177" s="106">
        <f>IF(J177="","",IFERROR(J177*HSCEI!$B$24*HSCEI!$G$24/HSCEI!$B$3,""))</f>
        <v/>
      </c>
      <c r="BY177" s="106">
        <f>IF(K177="","",IFERROR(K177*HSCEI!$B$24*HSCEI!$G$24/HSCEI!$B$3,""))</f>
        <v/>
      </c>
      <c r="BZ177" s="106">
        <f>IF(L177="","",IFERROR(L177*HSCEI!$B$24*HSCEI!$G$24/HSCEI!$B$3,""))</f>
        <v/>
      </c>
      <c r="CA177" s="106">
        <f>IF(M177="","",IFERROR(M177*HSCEI!$B$24*HSCEI!$G$24/HSCEI!$B$3,""))</f>
        <v/>
      </c>
      <c r="CB177" s="106">
        <f>IF(N177="","",IFERROR(N177*HSCEI!$B$24*HSCEI!$G$24/HSCEI!$B$3,""))</f>
        <v/>
      </c>
      <c r="CC177" s="106">
        <f>IF(O177="","",IFERROR(O177*HSCEI!$B$24*HSCEI!$G$24/HSCEI!$B$3,""))</f>
        <v/>
      </c>
      <c r="CD177" s="106">
        <f>IF(P177="","",IFERROR(P177*HSCEI!$B$24*HSCEI!$G$24/HSCEI!$B$3,""))</f>
        <v/>
      </c>
      <c r="CE177" s="106">
        <f>IF(Q177="","",IFERROR(Q177*HSCEI!$B$24*HSCEI!$G$24/HSCEI!$B$3,""))</f>
        <v/>
      </c>
      <c r="CF177" s="106">
        <f>IF(R177="","",IFERROR(R177*HSCEI!$B$24*HSCEI!$G$24/HSCEI!$B$3,""))</f>
        <v/>
      </c>
      <c r="CG177" s="106">
        <f>IF(S177="","",IFERROR(S177*HSCEI!$B$24*HSCEI!$G$24/HSCEI!$B$3,""))</f>
        <v/>
      </c>
      <c r="CH177" s="106">
        <f>IF(T177="","",IFERROR(T177*HSCEI!$B$24*HSCEI!$G$24/HSCEI!$B$3,""))</f>
        <v/>
      </c>
      <c r="CI177" s="106">
        <f>IF(U177="","",IFERROR(U177*HSCEI!$B$24*HSCEI!$G$24/HSCEI!$B$3,""))</f>
        <v/>
      </c>
      <c r="CJ177" s="106">
        <f>IF(V177="","",IFERROR(V177*HSCEI!$B$24*HSCEI!$G$24/HSCEI!$B$3,""))</f>
        <v/>
      </c>
      <c r="CK177" s="106">
        <f>IF(W177="","",IFERROR(W177*HSCEI!$B$24*HSCEI!$G$24/HSCEI!$B$3,""))</f>
        <v/>
      </c>
      <c r="CL177" s="106">
        <f>IF(X177="","",IFERROR(X177*HSCEI!$B$24*HSCEI!$G$24/HSCEI!$B$3,""))</f>
        <v/>
      </c>
      <c r="CM177" s="106">
        <f>IF(Y177="","",IFERROR(Y177*HSCEI!$B$24*HSCEI!$G$24/HSCEI!$B$3,""))</f>
        <v/>
      </c>
      <c r="CN177" s="106">
        <f>IF(Z177="","",IFERROR(Z177*HSCEI!$B$24*HSCEI!$G$24/HSCEI!$B$3,""))</f>
        <v/>
      </c>
      <c r="CO177" s="106">
        <f>IF(AA177="","",IFERROR(AA177*HSCEI!$B$24*HSCEI!$G$24/HSCEI!$B$3,""))</f>
        <v/>
      </c>
      <c r="CP177" s="106">
        <f>IF(AB177="","",IFERROR(AB177*HSCEI!$B$24*HSCEI!$G$24/HSCEI!$B$3,""))</f>
        <v/>
      </c>
      <c r="CQ177" s="106">
        <f>IF(AC177="","",IFERROR(AC177*HSCEI!$B$24*HSCEI!$G$24/HSCEI!$B$3,""))</f>
        <v/>
      </c>
      <c r="CR177" s="106">
        <f>IF(AD177="","",IFERROR(AD177*HSCEI!$B$24*HSCEI!$G$24/HSCEI!$B$3,""))</f>
        <v/>
      </c>
      <c r="CS177" s="106">
        <f>IF(AE177="","",IFERROR(AE177*HSCEI!$B$24*HSCEI!$G$24/HSCEI!$B$3,""))</f>
        <v/>
      </c>
      <c r="CT177" s="106">
        <f>IF(AF177="","",IFERROR(AF177*HSCEI!$B$24*HSCEI!$G$24/HSCEI!$B$3,""))</f>
        <v/>
      </c>
      <c r="CU177" s="106">
        <f>IF(AG177="","",IFERROR(AG177*HSCEI!$B$24*HSCEI!$G$24/HSCEI!$B$3,""))</f>
        <v/>
      </c>
      <c r="CV177" s="106">
        <f>IF(AH177="","",IFERROR(AH177*HSCEI!$B$24*HSCEI!$G$24/HSCEI!$B$3,""))</f>
        <v/>
      </c>
      <c r="CW177" s="106">
        <f>IF(AI177="","",IFERROR(AI177*HSCEI!$B$24*HSCEI!$G$24/HSCEI!$B$3,""))</f>
        <v/>
      </c>
      <c r="CX177" s="106">
        <f>IF(AJ177="","",IFERROR(AJ177*HSCEI!$B$24*HSCEI!$G$24/HSCEI!$B$3,""))</f>
        <v/>
      </c>
      <c r="CY177" s="106">
        <f>IF(AK177="","",IFERROR(AK177*HSCEI!$B$24*HSCEI!$G$24/HSCEI!$B$3,""))</f>
        <v/>
      </c>
      <c r="CZ177" s="106">
        <f>IF(AL177="","",IFERROR(AL177*HSCEI!$B$24*HSCEI!$G$24/HSCEI!$B$3,""))</f>
        <v/>
      </c>
      <c r="DA177" s="106">
        <f>IF(AM177="","",IFERROR(AM177*HSCEI!$B$24*HSCEI!$G$24/HSCEI!$B$3,""))</f>
        <v/>
      </c>
      <c r="DB177" s="106">
        <f>IF(AN177="","",IFERROR(AN177*HSCEI!$B$24*HSCEI!$G$24/HSCEI!$B$3,""))</f>
        <v/>
      </c>
      <c r="DC177" s="106">
        <f>IF(AO177="","",IFERROR(AO177*HSCEI!$B$24*HSCEI!$G$24/HSCEI!$B$3,""))</f>
        <v/>
      </c>
      <c r="DD177" s="106">
        <f>IF(AP177="","",IFERROR(AP177*HSCEI!$B$24*HSCEI!$G$24/HSCEI!$B$3,""))</f>
        <v/>
      </c>
      <c r="DE177" s="106">
        <f>IF(AQ177="","",IFERROR(AQ177*HSCEI!$B$24*HSCEI!$G$24/HSCEI!$B$3,""))</f>
        <v/>
      </c>
      <c r="DF177" s="106">
        <f>IF(AR177="","",IFERROR(AR177*HSCEI!$B$24*HSCEI!$G$24/HSCEI!$B$3,""))</f>
        <v/>
      </c>
      <c r="DG177" s="106">
        <f>IF(AS177="","",IFERROR(AS177*HSCEI!$B$24*HSCEI!$G$24/HSCEI!$B$3,""))</f>
        <v/>
      </c>
      <c r="DH177" s="106">
        <f>IF(AT177="","",IFERROR(AT177*HSCEI!$B$24*HSCEI!$G$24/HSCEI!$B$3,""))</f>
        <v/>
      </c>
      <c r="DI177" s="106">
        <f>IF(AU177="","",IFERROR(AU177*HSCEI!$B$24*HSCEI!$G$24/HSCEI!$B$3,""))</f>
        <v/>
      </c>
      <c r="DJ177" s="106">
        <f>IF(AV177="","",IFERROR(AV177*HSCEI!$B$24*HSCEI!$G$24/HSCEI!$B$3,""))</f>
        <v/>
      </c>
      <c r="DK177" s="106">
        <f>IF(AW177="","",IFERROR(AW177*HSCEI!$B$24*HSCEI!$G$24/HSCEI!$B$3,""))</f>
        <v/>
      </c>
      <c r="DL177" s="106">
        <f>IF(AX177="","",IFERROR(AX177*HSCEI!$B$24*HSCEI!$G$24/HSCEI!$B$3,""))</f>
        <v/>
      </c>
      <c r="DM177" s="106">
        <f>IF(AY177="","",IFERROR(AY177*HSCEI!$B$24*HSCEI!$G$24/HSCEI!$B$3,""))</f>
        <v/>
      </c>
      <c r="DN177" s="106">
        <f>IF(AZ177="","",IFERROR(AZ177*HSCEI!$B$24*HSCEI!$G$24/HSCEI!$B$3,""))</f>
        <v/>
      </c>
      <c r="DO177" s="106">
        <f>IF(BA177="","",IFERROR(BA177*HSCEI!$B$24*HSCEI!$G$24/HSCEI!$B$3,""))</f>
        <v/>
      </c>
      <c r="DP177" s="106">
        <f>IF(BB177="","",IFERROR(BB177*HSCEI!$B$24*HSCEI!$G$24/HSCEI!$B$3,""))</f>
        <v/>
      </c>
      <c r="DQ177" s="106">
        <f>IF(BC177="","",IFERROR(BC177*HSCEI!$B$24*HSCEI!$G$24/HSCEI!$B$3,""))</f>
        <v/>
      </c>
      <c r="DR177" s="106">
        <f>IF(BD177="","",IFERROR(BD177*HSCEI!$B$24*HSCEI!$G$24/HSCEI!$B$3,""))</f>
        <v/>
      </c>
      <c r="DS177" s="106">
        <f>IF(BE177="","",IFERROR(BE177*HSCEI!$B$24*HSCEI!$G$24/HSCEI!$B$3,""))</f>
        <v/>
      </c>
      <c r="DT177" s="106">
        <f>IF(BF177="","",IFERROR(BF177*HSCEI!$B$24*HSCEI!$G$24/HSCEI!$B$3,""))</f>
        <v/>
      </c>
      <c r="DU177" s="106">
        <f>IF(BG177="","",IFERROR(BG177*HSCEI!$B$24*HSCEI!$G$24/HSCEI!$B$3,""))</f>
        <v/>
      </c>
      <c r="DV177" s="106">
        <f>IF(BH177="","",IFERROR(BH177*HSCEI!$B$24*HSCEI!$G$24/HSCEI!$B$3,""))</f>
        <v/>
      </c>
      <c r="DW177" s="106">
        <f>IF(BI177="","",IFERROR(BI177*HSCEI!$B$24*HSCEI!$G$24/HSCEI!$B$3,""))</f>
        <v/>
      </c>
      <c r="DX177" s="106">
        <f>IF(BJ177="","",IFERROR(BJ177*HSCEI!$B$24*HSCEI!$G$24/HSCEI!$B$3,""))</f>
        <v/>
      </c>
      <c r="DY177" s="106">
        <f>IF(BK177="","",IFERROR(BK177*HSCEI!$B$24*HSCEI!$G$24/HSCEI!$B$3,""))</f>
        <v/>
      </c>
      <c r="DZ177" s="106">
        <f>IF(BL177="","",IFERROR(BL177*HSCEI!$B$24*HSCEI!$G$24/HSCEI!$B$3,""))</f>
        <v/>
      </c>
      <c r="EA177" s="106">
        <f>IF(BM177="","",IFERROR(BM177*HSCEI!$B$24*HSCEI!$G$24/HSCEI!$B$3,""))</f>
        <v/>
      </c>
      <c r="EB177" s="106">
        <f>IF(BN177="","",IFERROR(BN177*HSCEI!$B$24*HSCEI!$G$24/HSCEI!$B$3,""))</f>
        <v/>
      </c>
      <c r="EC177" s="106">
        <f>IF(BO177="","",IFERROR(BO177*HSCEI!$B$24*HSCEI!$G$24/HSCEI!$B$3,""))</f>
        <v/>
      </c>
      <c r="EE177" s="35">
        <f>IF(N('Dvd Calendar'!$E$1748)=0,"",IF(('Dvd Calendar'!$E$1748&gt;=GRID_FROM)*('Dvd Calendar'!$E$1748&lt;=GRID_TO)*('Dvd Calendar'!$E$1748&lt;=VAL_DATE)=0,"",'Dvd Calendar'!$E$1748*1000000000+ISNUMBER('Dvd Calendar'!$E$1751)*100000000+('Dvd Calendar'!$E$1753=SPECIAL_LBL)*10000000+0*1000000+18*1000+1))</f>
        <v/>
      </c>
      <c r="EF177" s="35">
        <f>IF(N('Dvd Calendar'!$F$1748)=0,"",IF(('Dvd Calendar'!$F$1748&gt;=GRID_FROM)*('Dvd Calendar'!$F$1748&lt;=GRID_TO)*('Dvd Calendar'!$F$1748&lt;=VAL_DATE)=0,"",'Dvd Calendar'!$F$1748*1000000000+ISNUMBER('Dvd Calendar'!$F$1751)*100000000+('Dvd Calendar'!$F$1753=SPECIAL_LBL)*10000000+0*1000000+18*1000+2))</f>
        <v/>
      </c>
      <c r="EG177" s="35">
        <f>IF(N('Dvd Calendar'!$G$1748)=0,"",IF(('Dvd Calendar'!$G$1748&gt;=GRID_FROM)*('Dvd Calendar'!$G$1748&lt;=GRID_TO)*('Dvd Calendar'!$G$1748&lt;=VAL_DATE)=0,"",'Dvd Calendar'!$G$1748*1000000000+ISNUMBER('Dvd Calendar'!$G$1751)*100000000+('Dvd Calendar'!$G$1753=SPECIAL_LBL)*10000000+0*1000000+18*1000+3))</f>
        <v/>
      </c>
      <c r="EH177" s="35">
        <f>IF(N('Dvd Calendar'!$H$1748)=0,"",IF(('Dvd Calendar'!$H$1748&gt;=GRID_FROM)*('Dvd Calendar'!$H$1748&lt;=GRID_TO)*('Dvd Calendar'!$H$1748&lt;=VAL_DATE)=0,"",'Dvd Calendar'!$H$1748*1000000000+ISNUMBER('Dvd Calendar'!$H$1751)*100000000+('Dvd Calendar'!$H$1753=SPECIAL_LBL)*10000000+0*1000000+18*1000+4))</f>
        <v/>
      </c>
      <c r="EI177" s="35">
        <f>IF(N('Dvd Calendar'!$I$1748)=0,"",IF(('Dvd Calendar'!$I$1748&gt;=GRID_FROM)*('Dvd Calendar'!$I$1748&lt;=GRID_TO)*('Dvd Calendar'!$I$1748&lt;=VAL_DATE)=0,"",'Dvd Calendar'!$I$1748*1000000000+ISNUMBER('Dvd Calendar'!$I$1751)*100000000+('Dvd Calendar'!$I$1753=SPECIAL_LBL)*10000000+0*1000000+18*1000+5))</f>
        <v/>
      </c>
      <c r="EJ177" s="35">
        <f>IF(N('Dvd Calendar'!$J$1748)=0,"",IF(('Dvd Calendar'!$J$1748&gt;=GRID_FROM)*('Dvd Calendar'!$J$1748&lt;=GRID_TO)*('Dvd Calendar'!$J$1748&lt;=VAL_DATE)=0,"",'Dvd Calendar'!$J$1748*1000000000+ISNUMBER('Dvd Calendar'!$J$1751)*100000000+('Dvd Calendar'!$J$1753=SPECIAL_LBL)*10000000+0*1000000+18*1000+6))</f>
        <v/>
      </c>
      <c r="EK177" s="35">
        <f>IF(N('Dvd Calendar'!$K$1748)=0,"",IF(('Dvd Calendar'!$K$1748&gt;=GRID_FROM)*('Dvd Calendar'!$K$1748&lt;=GRID_TO)*('Dvd Calendar'!$K$1748&lt;=VAL_DATE)=0,"",'Dvd Calendar'!$K$1748*1000000000+ISNUMBER('Dvd Calendar'!$K$1751)*100000000+('Dvd Calendar'!$K$1753=SPECIAL_LBL)*10000000+0*1000000+18*1000+7))</f>
        <v/>
      </c>
      <c r="EL177" s="35">
        <f>IF(N('Dvd Calendar'!$L$1748)=0,"",IF(('Dvd Calendar'!$L$1748&gt;=GRID_FROM)*('Dvd Calendar'!$L$1748&lt;=GRID_TO)*('Dvd Calendar'!$L$1748&lt;=VAL_DATE)=0,"",'Dvd Calendar'!$L$1748*1000000000+ISNUMBER('Dvd Calendar'!$L$1751)*100000000+('Dvd Calendar'!$L$1753=SPECIAL_LBL)*10000000+0*1000000+18*1000+8))</f>
        <v/>
      </c>
      <c r="EM177" s="35">
        <f>IF(N('Dvd Calendar'!$M$1748)=0,"",IF(('Dvd Calendar'!$M$1748&gt;=GRID_FROM)*('Dvd Calendar'!$M$1748&lt;=GRID_TO)*('Dvd Calendar'!$M$1748&lt;=VAL_DATE)=0,"",'Dvd Calendar'!$M$1748*1000000000+ISNUMBER('Dvd Calendar'!$M$1751)*100000000+('Dvd Calendar'!$M$1753=SPECIAL_LBL)*10000000+0*1000000+18*1000+9))</f>
        <v/>
      </c>
      <c r="EN177" s="35">
        <f>IF(N('Dvd Calendar'!$N$1748)=0,"",IF(('Dvd Calendar'!$N$1748&gt;=GRID_FROM)*('Dvd Calendar'!$N$1748&lt;=GRID_TO)*('Dvd Calendar'!$N$1748&lt;=VAL_DATE)=0,"",'Dvd Calendar'!$N$1748*1000000000+ISNUMBER('Dvd Calendar'!$N$1751)*100000000+('Dvd Calendar'!$N$1753=SPECIAL_LBL)*10000000+0*1000000+18*1000+10))</f>
        <v/>
      </c>
      <c r="EO177" s="35">
        <f>IF(N('Dvd Calendar'!$O$1748)=0,"",IF(('Dvd Calendar'!$O$1748&gt;=GRID_FROM)*('Dvd Calendar'!$O$1748&lt;=GRID_TO)*('Dvd Calendar'!$O$1748&lt;=VAL_DATE)=0,"",'Dvd Calendar'!$O$1748*1000000000+ISNUMBER('Dvd Calendar'!$O$1751)*100000000+('Dvd Calendar'!$O$1753=SPECIAL_LBL)*10000000+0*1000000+18*1000+11))</f>
        <v/>
      </c>
      <c r="EP177" s="35">
        <f>IF(N('Dvd Calendar'!$P$1748)=0,"",IF(('Dvd Calendar'!$P$1748&gt;=GRID_FROM)*('Dvd Calendar'!$P$1748&lt;=GRID_TO)*('Dvd Calendar'!$P$1748&lt;=VAL_DATE)=0,"",'Dvd Calendar'!$P$1748*1000000000+ISNUMBER('Dvd Calendar'!$P$1751)*100000000+('Dvd Calendar'!$P$1753=SPECIAL_LBL)*10000000+0*1000000+18*1000+12))</f>
        <v/>
      </c>
      <c r="EQ177" s="35">
        <f>IF(N('Dvd Calendar'!$Q$1748)=0,"",IF(('Dvd Calendar'!$Q$1748&gt;=GRID_FROM)*('Dvd Calendar'!$Q$1748&lt;=GRID_TO)*('Dvd Calendar'!$Q$1748&lt;=VAL_DATE)=0,"",'Dvd Calendar'!$Q$1748*1000000000+ISNUMBER('Dvd Calendar'!$Q$1751)*100000000+('Dvd Calendar'!$Q$1753=SPECIAL_LBL)*10000000+0*1000000+18*1000+13))</f>
        <v/>
      </c>
      <c r="ER177" s="35">
        <f>IF(N('Dvd Calendar'!$R$1748)=0,"",IF(('Dvd Calendar'!$R$1748&gt;=GRID_FROM)*('Dvd Calendar'!$R$1748&lt;=GRID_TO)*('Dvd Calendar'!$R$1748&lt;=VAL_DATE)=0,"",'Dvd Calendar'!$R$1748*1000000000+ISNUMBER('Dvd Calendar'!$R$1751)*100000000+('Dvd Calendar'!$R$1753=SPECIAL_LBL)*10000000+0*1000000+18*1000+14))</f>
        <v/>
      </c>
      <c r="ES177" s="35">
        <f>IF(N('Dvd Calendar'!$S$1748)=0,"",IF(('Dvd Calendar'!$S$1748&gt;=GRID_FROM)*('Dvd Calendar'!$S$1748&lt;=GRID_TO)*('Dvd Calendar'!$S$1748&lt;=VAL_DATE)=0,"",'Dvd Calendar'!$S$1748*1000000000+ISNUMBER('Dvd Calendar'!$S$1751)*100000000+('Dvd Calendar'!$S$1753=SPECIAL_LBL)*10000000+0*1000000+18*1000+15))</f>
        <v/>
      </c>
      <c r="ET177" s="35">
        <f>IF(N('Dvd Calendar'!$T$1748)=0,"",IF(('Dvd Calendar'!$T$1748&gt;=GRID_FROM)*('Dvd Calendar'!$T$1748&lt;=GRID_TO)*('Dvd Calendar'!$T$1748&lt;=VAL_DATE)=0,"",'Dvd Calendar'!$T$1748*1000000000+ISNUMBER('Dvd Calendar'!$T$1751)*100000000+('Dvd Calendar'!$T$1753=SPECIAL_LBL)*10000000+0*1000000+18*1000+16))</f>
        <v/>
      </c>
      <c r="EU177" s="35">
        <f>IF(N('Dvd Calendar'!$U$1748)=0,"",IF(('Dvd Calendar'!$U$1748&gt;=GRID_FROM)*('Dvd Calendar'!$U$1748&lt;=GRID_TO)*('Dvd Calendar'!$U$1748&lt;=VAL_DATE)=0,"",'Dvd Calendar'!$U$1748*1000000000+ISNUMBER('Dvd Calendar'!$U$1751)*100000000+('Dvd Calendar'!$U$1753=SPECIAL_LBL)*10000000+0*1000000+18*1000+17))</f>
        <v/>
      </c>
      <c r="EV177" s="35">
        <f>IF(N('Dvd Calendar'!$V$1748)=0,"",IF(('Dvd Calendar'!$V$1748&gt;=GRID_FROM)*('Dvd Calendar'!$V$1748&lt;=GRID_TO)*('Dvd Calendar'!$V$1748&lt;=VAL_DATE)=0,"",'Dvd Calendar'!$V$1748*1000000000+ISNUMBER('Dvd Calendar'!$V$1751)*100000000+('Dvd Calendar'!$V$1753=SPECIAL_LBL)*10000000+0*1000000+18*1000+18))</f>
        <v/>
      </c>
      <c r="EW177" s="35">
        <f>IF(N('Dvd Calendar'!$W$1748)=0,"",IF(('Dvd Calendar'!$W$1748&gt;=GRID_FROM)*('Dvd Calendar'!$W$1748&lt;=GRID_TO)*('Dvd Calendar'!$W$1748&lt;=VAL_DATE)=0,"",'Dvd Calendar'!$W$1748*1000000000+ISNUMBER('Dvd Calendar'!$W$1751)*100000000+('Dvd Calendar'!$W$1753=SPECIAL_LBL)*10000000+0*1000000+18*1000+19))</f>
        <v/>
      </c>
      <c r="EX177" s="35">
        <f>IF(N('Dvd Calendar'!$X$1748)=0,"",IF(('Dvd Calendar'!$X$1748&gt;=GRID_FROM)*('Dvd Calendar'!$X$1748&lt;=GRID_TO)*('Dvd Calendar'!$X$1748&lt;=VAL_DATE)=0,"",'Dvd Calendar'!$X$1748*1000000000+ISNUMBER('Dvd Calendar'!$X$1751)*100000000+('Dvd Calendar'!$X$1753=SPECIAL_LBL)*10000000+0*1000000+18*1000+20))</f>
        <v/>
      </c>
      <c r="EY177" s="35">
        <f>IF(N('Dvd Calendar'!$Y$1748)=0,"",IF(('Dvd Calendar'!$Y$1748&gt;=GRID_FROM)*('Dvd Calendar'!$Y$1748&lt;=GRID_TO)*('Dvd Calendar'!$Y$1748&lt;=VAL_DATE)=0,"",'Dvd Calendar'!$Y$1748*1000000000+ISNUMBER('Dvd Calendar'!$Y$1751)*100000000+('Dvd Calendar'!$Y$1753=SPECIAL_LBL)*10000000+0*1000000+18*1000+21))</f>
        <v/>
      </c>
      <c r="EZ177" s="35">
        <f>IF(N('Dvd Calendar'!$Z$1748)=0,"",IF(('Dvd Calendar'!$Z$1748&gt;=GRID_FROM)*('Dvd Calendar'!$Z$1748&lt;=GRID_TO)*('Dvd Calendar'!$Z$1748&lt;=VAL_DATE)=0,"",'Dvd Calendar'!$Z$1748*1000000000+ISNUMBER('Dvd Calendar'!$Z$1751)*100000000+('Dvd Calendar'!$Z$1753=SPECIAL_LBL)*10000000+0*1000000+18*1000+22))</f>
        <v/>
      </c>
      <c r="FA177" s="35">
        <f>IF(N('Dvd Calendar'!$AA$1748)=0,"",IF(('Dvd Calendar'!$AA$1748&gt;=GRID_FROM)*('Dvd Calendar'!$AA$1748&lt;=GRID_TO)*('Dvd Calendar'!$AA$1748&lt;=VAL_DATE)=0,"",'Dvd Calendar'!$AA$1748*1000000000+ISNUMBER('Dvd Calendar'!$AA$1751)*100000000+('Dvd Calendar'!$AA$1753=SPECIAL_LBL)*10000000+0*1000000+18*1000+23))</f>
        <v/>
      </c>
      <c r="FB177" s="35">
        <f>IF(N('Dvd Calendar'!$AB$1748)=0,"",IF(('Dvd Calendar'!$AB$1748&gt;=GRID_FROM)*('Dvd Calendar'!$AB$1748&lt;=GRID_TO)*('Dvd Calendar'!$AB$1748&lt;=VAL_DATE)=0,"",'Dvd Calendar'!$AB$1748*1000000000+ISNUMBER('Dvd Calendar'!$AB$1751)*100000000+('Dvd Calendar'!$AB$1753=SPECIAL_LBL)*10000000+0*1000000+18*1000+24))</f>
        <v/>
      </c>
      <c r="FC177" s="35">
        <f>IF(N('Dvd Calendar'!$AC$1748)=0,"",IF(('Dvd Calendar'!$AC$1748&gt;=GRID_FROM)*('Dvd Calendar'!$AC$1748&lt;=GRID_TO)*('Dvd Calendar'!$AC$1748&lt;=VAL_DATE)=0,"",'Dvd Calendar'!$AC$1748*1000000000+ISNUMBER('Dvd Calendar'!$AC$1751)*100000000+('Dvd Calendar'!$AC$1753=SPECIAL_LBL)*10000000+0*1000000+18*1000+25))</f>
        <v/>
      </c>
      <c r="FD177" s="35">
        <f>IF(N('Dvd Calendar'!$AD$1748)=0,"",IF(('Dvd Calendar'!$AD$1748&gt;=GRID_FROM)*('Dvd Calendar'!$AD$1748&lt;=GRID_TO)*('Dvd Calendar'!$AD$1748&lt;=VAL_DATE)=0,"",'Dvd Calendar'!$AD$1748*1000000000+ISNUMBER('Dvd Calendar'!$AD$1751)*100000000+('Dvd Calendar'!$AD$1753=SPECIAL_LBL)*10000000+0*1000000+18*1000+26))</f>
        <v/>
      </c>
      <c r="FE177" s="35">
        <f>IF(N('Dvd Calendar'!$AE$1748)=0,"",IF(('Dvd Calendar'!$AE$1748&gt;=GRID_FROM)*('Dvd Calendar'!$AE$1748&lt;=GRID_TO)*('Dvd Calendar'!$AE$1748&lt;=VAL_DATE)=0,"",'Dvd Calendar'!$AE$1748*1000000000+ISNUMBER('Dvd Calendar'!$AE$1751)*100000000+('Dvd Calendar'!$AE$1753=SPECIAL_LBL)*10000000+0*1000000+18*1000+27))</f>
        <v/>
      </c>
      <c r="FF177" s="35">
        <f>IF(N('Dvd Calendar'!$AF$1748)=0,"",IF(('Dvd Calendar'!$AF$1748&gt;=GRID_FROM)*('Dvd Calendar'!$AF$1748&lt;=GRID_TO)*('Dvd Calendar'!$AF$1748&lt;=VAL_DATE)=0,"",'Dvd Calendar'!$AF$1748*1000000000+ISNUMBER('Dvd Calendar'!$AF$1751)*100000000+('Dvd Calendar'!$AF$1753=SPECIAL_LBL)*10000000+0*1000000+18*1000+28))</f>
        <v/>
      </c>
      <c r="FG177" s="35">
        <f>IF(N('Dvd Calendar'!$AG$1748)=0,"",IF(('Dvd Calendar'!$AG$1748&gt;=GRID_FROM)*('Dvd Calendar'!$AG$1748&lt;=GRID_TO)*('Dvd Calendar'!$AG$1748&lt;=VAL_DATE)=0,"",'Dvd Calendar'!$AG$1748*1000000000+ISNUMBER('Dvd Calendar'!$AG$1751)*100000000+('Dvd Calendar'!$AG$1753=SPECIAL_LBL)*10000000+0*1000000+18*1000+29))</f>
        <v/>
      </c>
      <c r="FH177" s="35">
        <f>IF(N('Dvd Calendar'!$AH$1748)=0,"",IF(('Dvd Calendar'!$AH$1748&gt;=GRID_FROM)*('Dvd Calendar'!$AH$1748&lt;=GRID_TO)*('Dvd Calendar'!$AH$1748&lt;=VAL_DATE)=0,"",'Dvd Calendar'!$AH$1748*1000000000+ISNUMBER('Dvd Calendar'!$AH$1751)*100000000+('Dvd Calendar'!$AH$1753=SPECIAL_LBL)*10000000+0*1000000+18*1000+30))</f>
        <v/>
      </c>
      <c r="FI177" s="35">
        <f>IF(N('Dvd Calendar'!$AI$1748)=0,"",IF(('Dvd Calendar'!$AI$1748&gt;=GRID_FROM)*('Dvd Calendar'!$AI$1748&lt;=GRID_TO)*('Dvd Calendar'!$AI$1748&lt;=VAL_DATE)=0,"",'Dvd Calendar'!$AI$1748*1000000000+ISNUMBER('Dvd Calendar'!$AI$1751)*100000000+('Dvd Calendar'!$AI$1753=SPECIAL_LBL)*10000000+0*1000000+18*1000+31))</f>
        <v/>
      </c>
      <c r="FJ177" s="35">
        <f>IF(N('Dvd Calendar'!$AJ$1748)=0,"",IF(('Dvd Calendar'!$AJ$1748&gt;=GRID_FROM)*('Dvd Calendar'!$AJ$1748&lt;=GRID_TO)*('Dvd Calendar'!$AJ$1748&lt;=VAL_DATE)=0,"",'Dvd Calendar'!$AJ$1748*1000000000+ISNUMBER('Dvd Calendar'!$AJ$1751)*100000000+('Dvd Calendar'!$AJ$1753=SPECIAL_LBL)*10000000+0*1000000+18*1000+32))</f>
        <v/>
      </c>
      <c r="FK177" s="35">
        <f>IF(N('Dvd Calendar'!$AK$1748)=0,"",IF(('Dvd Calendar'!$AK$1748&gt;=GRID_FROM)*('Dvd Calendar'!$AK$1748&lt;=GRID_TO)*('Dvd Calendar'!$AK$1748&lt;=VAL_DATE)=0,"",'Dvd Calendar'!$AK$1748*1000000000+ISNUMBER('Dvd Calendar'!$AK$1751)*100000000+('Dvd Calendar'!$AK$1753=SPECIAL_LBL)*10000000+0*1000000+18*1000+33))</f>
        <v/>
      </c>
      <c r="FL177" s="35">
        <f>IF(N('Dvd Calendar'!$AL$1748)=0,"",IF(('Dvd Calendar'!$AL$1748&gt;=GRID_FROM)*('Dvd Calendar'!$AL$1748&lt;=GRID_TO)*('Dvd Calendar'!$AL$1748&lt;=VAL_DATE)=0,"",'Dvd Calendar'!$AL$1748*1000000000+ISNUMBER('Dvd Calendar'!$AL$1751)*100000000+('Dvd Calendar'!$AL$1753=SPECIAL_LBL)*10000000+0*1000000+18*1000+34))</f>
        <v/>
      </c>
      <c r="FM177" s="35">
        <f>IF(N('Dvd Calendar'!$AM$1748)=0,"",IF(('Dvd Calendar'!$AM$1748&gt;=GRID_FROM)*('Dvd Calendar'!$AM$1748&lt;=GRID_TO)*('Dvd Calendar'!$AM$1748&lt;=VAL_DATE)=0,"",'Dvd Calendar'!$AM$1748*1000000000+ISNUMBER('Dvd Calendar'!$AM$1751)*100000000+('Dvd Calendar'!$AM$1753=SPECIAL_LBL)*10000000+0*1000000+18*1000+35))</f>
        <v/>
      </c>
      <c r="FN177" s="35">
        <f>IF(N('Dvd Calendar'!$AN$1748)=0,"",IF(('Dvd Calendar'!$AN$1748&gt;=GRID_FROM)*('Dvd Calendar'!$AN$1748&lt;=GRID_TO)*('Dvd Calendar'!$AN$1748&lt;=VAL_DATE)=0,"",'Dvd Calendar'!$AN$1748*1000000000+ISNUMBER('Dvd Calendar'!$AN$1751)*100000000+('Dvd Calendar'!$AN$1753=SPECIAL_LBL)*10000000+0*1000000+18*1000+36))</f>
        <v/>
      </c>
      <c r="FO177" s="35">
        <f>IF(N('Dvd Calendar'!$AO$1748)=0,"",IF(('Dvd Calendar'!$AO$1748&gt;=GRID_FROM)*('Dvd Calendar'!$AO$1748&lt;=GRID_TO)*('Dvd Calendar'!$AO$1748&lt;=VAL_DATE)=0,"",'Dvd Calendar'!$AO$1748*1000000000+ISNUMBER('Dvd Calendar'!$AO$1751)*100000000+('Dvd Calendar'!$AO$1753=SPECIAL_LBL)*10000000+0*1000000+18*1000+37))</f>
        <v/>
      </c>
      <c r="FP177" s="35">
        <f>IF(N('Dvd Calendar'!$AP$1748)=0,"",IF(('Dvd Calendar'!$AP$1748&gt;=GRID_FROM)*('Dvd Calendar'!$AP$1748&lt;=GRID_TO)*('Dvd Calendar'!$AP$1748&lt;=VAL_DATE)=0,"",'Dvd Calendar'!$AP$1748*1000000000+ISNUMBER('Dvd Calendar'!$AP$1751)*100000000+('Dvd Calendar'!$AP$1753=SPECIAL_LBL)*10000000+0*1000000+18*1000+38))</f>
        <v/>
      </c>
      <c r="FQ177" s="35">
        <f>IF(N('Dvd Calendar'!$AQ$1748)=0,"",IF(('Dvd Calendar'!$AQ$1748&gt;=GRID_FROM)*('Dvd Calendar'!$AQ$1748&lt;=GRID_TO)*('Dvd Calendar'!$AQ$1748&lt;=VAL_DATE)=0,"",'Dvd Calendar'!$AQ$1748*1000000000+ISNUMBER('Dvd Calendar'!$AQ$1751)*100000000+('Dvd Calendar'!$AQ$1753=SPECIAL_LBL)*10000000+0*1000000+18*1000+39))</f>
        <v/>
      </c>
      <c r="FR177" s="35">
        <f>IF(N('Dvd Calendar'!$AR$1748)=0,"",IF(('Dvd Calendar'!$AR$1748&gt;=GRID_FROM)*('Dvd Calendar'!$AR$1748&lt;=GRID_TO)*('Dvd Calendar'!$AR$1748&lt;=VAL_DATE)=0,"",'Dvd Calendar'!$AR$1748*1000000000+ISNUMBER('Dvd Calendar'!$AR$1751)*100000000+('Dvd Calendar'!$AR$1753=SPECIAL_LBL)*10000000+0*1000000+18*1000+40))</f>
        <v/>
      </c>
      <c r="FS177" s="35">
        <f>IF(N('Dvd Calendar'!$E$1755)=0,"",IF(('Dvd Calendar'!$E$1755&gt;=GRID_FROM)*('Dvd Calendar'!$E$1755&lt;=GRID_TO)*('Dvd Calendar'!$E$1755&gt;VAL_DATE)=0,"",'Dvd Calendar'!$E$1755*1000000000+ISNUMBER('Dvd Calendar'!$E$1756)*100000000+0*10000000+(N('Dvd Calendar'!$E$1754)&gt;0)*(N('Dvd Calendar'!$E$1754)&lt;=VAL_SERIAL)*1000000+18*1000+41))</f>
        <v/>
      </c>
      <c r="FT177" s="35">
        <f>IF(N('Dvd Calendar'!$F$1755)=0,"",IF(('Dvd Calendar'!$F$1755&gt;=GRID_FROM)*('Dvd Calendar'!$F$1755&lt;=GRID_TO)*('Dvd Calendar'!$F$1755&gt;VAL_DATE)=0,"",'Dvd Calendar'!$F$1755*1000000000+ISNUMBER('Dvd Calendar'!$F$1756)*100000000+0*10000000+(N('Dvd Calendar'!$F$1754)&gt;0)*(N('Dvd Calendar'!$F$1754)&lt;=VAL_SERIAL)*1000000+18*1000+42))</f>
        <v/>
      </c>
      <c r="FU177" s="35">
        <f>IF(N('Dvd Calendar'!$G$1755)=0,"",IF(('Dvd Calendar'!$G$1755&gt;=GRID_FROM)*('Dvd Calendar'!$G$1755&lt;=GRID_TO)*('Dvd Calendar'!$G$1755&gt;VAL_DATE)=0,"",'Dvd Calendar'!$G$1755*1000000000+ISNUMBER('Dvd Calendar'!$G$1756)*100000000+0*10000000+(N('Dvd Calendar'!$G$1754)&gt;0)*(N('Dvd Calendar'!$G$1754)&lt;=VAL_SERIAL)*1000000+18*1000+43))</f>
        <v/>
      </c>
      <c r="FV177" s="35">
        <f>IF(N('Dvd Calendar'!$H$1755)=0,"",IF(('Dvd Calendar'!$H$1755&gt;=GRID_FROM)*('Dvd Calendar'!$H$1755&lt;=GRID_TO)*('Dvd Calendar'!$H$1755&gt;VAL_DATE)=0,"",'Dvd Calendar'!$H$1755*1000000000+ISNUMBER('Dvd Calendar'!$H$1756)*100000000+0*10000000+(N('Dvd Calendar'!$H$1754)&gt;0)*(N('Dvd Calendar'!$H$1754)&lt;=VAL_SERIAL)*1000000+18*1000+44))</f>
        <v/>
      </c>
      <c r="FW177" s="35">
        <f>IF(N('Dvd Calendar'!$I$1755)=0,"",IF(('Dvd Calendar'!$I$1755&gt;=GRID_FROM)*('Dvd Calendar'!$I$1755&lt;=GRID_TO)*('Dvd Calendar'!$I$1755&gt;VAL_DATE)=0,"",'Dvd Calendar'!$I$1755*1000000000+ISNUMBER('Dvd Calendar'!$I$1756)*100000000+0*10000000+(N('Dvd Calendar'!$I$1754)&gt;0)*(N('Dvd Calendar'!$I$1754)&lt;=VAL_SERIAL)*1000000+18*1000+45))</f>
        <v/>
      </c>
      <c r="FX177" s="35">
        <f>IF(N('Dvd Calendar'!$J$1755)=0,"",IF(('Dvd Calendar'!$J$1755&gt;=GRID_FROM)*('Dvd Calendar'!$J$1755&lt;=GRID_TO)*('Dvd Calendar'!$J$1755&gt;VAL_DATE)=0,"",'Dvd Calendar'!$J$1755*1000000000+ISNUMBER('Dvd Calendar'!$J$1756)*100000000+0*10000000+(N('Dvd Calendar'!$J$1754)&gt;0)*(N('Dvd Calendar'!$J$1754)&lt;=VAL_SERIAL)*1000000+18*1000+46))</f>
        <v/>
      </c>
      <c r="FY177" s="35">
        <f>IF(N('Dvd Calendar'!$K$1755)=0,"",IF(('Dvd Calendar'!$K$1755&gt;=GRID_FROM)*('Dvd Calendar'!$K$1755&lt;=GRID_TO)*('Dvd Calendar'!$K$1755&gt;VAL_DATE)=0,"",'Dvd Calendar'!$K$1755*1000000000+ISNUMBER('Dvd Calendar'!$K$1756)*100000000+0*10000000+(N('Dvd Calendar'!$K$1754)&gt;0)*(N('Dvd Calendar'!$K$1754)&lt;=VAL_SERIAL)*1000000+18*1000+47))</f>
        <v/>
      </c>
      <c r="FZ177" s="35">
        <f>IF(N('Dvd Calendar'!$L$1755)=0,"",IF(('Dvd Calendar'!$L$1755&gt;=GRID_FROM)*('Dvd Calendar'!$L$1755&lt;=GRID_TO)*('Dvd Calendar'!$L$1755&gt;VAL_DATE)=0,"",'Dvd Calendar'!$L$1755*1000000000+ISNUMBER('Dvd Calendar'!$L$1756)*100000000+0*10000000+(N('Dvd Calendar'!$L$1754)&gt;0)*(N('Dvd Calendar'!$L$1754)&lt;=VAL_SERIAL)*1000000+18*1000+48))</f>
        <v/>
      </c>
      <c r="GA177" s="35">
        <f>IF(N('Dvd Calendar'!$M$1755)=0,"",IF(('Dvd Calendar'!$M$1755&gt;=GRID_FROM)*('Dvd Calendar'!$M$1755&lt;=GRID_TO)*('Dvd Calendar'!$M$1755&gt;VAL_DATE)=0,"",'Dvd Calendar'!$M$1755*1000000000+ISNUMBER('Dvd Calendar'!$M$1756)*100000000+0*10000000+(N('Dvd Calendar'!$M$1754)&gt;0)*(N('Dvd Calendar'!$M$1754)&lt;=VAL_SERIAL)*1000000+18*1000+49))</f>
        <v/>
      </c>
      <c r="GB177" s="35">
        <f>IF(N('Dvd Calendar'!$N$1755)=0,"",IF(('Dvd Calendar'!$N$1755&gt;=GRID_FROM)*('Dvd Calendar'!$N$1755&lt;=GRID_TO)*('Dvd Calendar'!$N$1755&gt;VAL_DATE)=0,"",'Dvd Calendar'!$N$1755*1000000000+ISNUMBER('Dvd Calendar'!$N$1756)*100000000+0*10000000+(N('Dvd Calendar'!$N$1754)&gt;0)*(N('Dvd Calendar'!$N$1754)&lt;=VAL_SERIAL)*1000000+18*1000+50))</f>
        <v/>
      </c>
      <c r="GC177" s="35">
        <f>IF(N('Dvd Calendar'!$O$1755)=0,"",IF(('Dvd Calendar'!$O$1755&gt;=GRID_FROM)*('Dvd Calendar'!$O$1755&lt;=GRID_TO)*('Dvd Calendar'!$O$1755&gt;VAL_DATE)=0,"",'Dvd Calendar'!$O$1755*1000000000+ISNUMBER('Dvd Calendar'!$O$1756)*100000000+0*10000000+(N('Dvd Calendar'!$O$1754)&gt;0)*(N('Dvd Calendar'!$O$1754)&lt;=VAL_SERIAL)*1000000+18*1000+51))</f>
        <v/>
      </c>
      <c r="GD177" s="35">
        <f>IF(N('Dvd Calendar'!$P$1755)=0,"",IF(('Dvd Calendar'!$P$1755&gt;=GRID_FROM)*('Dvd Calendar'!$P$1755&lt;=GRID_TO)*('Dvd Calendar'!$P$1755&gt;VAL_DATE)=0,"",'Dvd Calendar'!$P$1755*1000000000+ISNUMBER('Dvd Calendar'!$P$1756)*100000000+0*10000000+(N('Dvd Calendar'!$P$1754)&gt;0)*(N('Dvd Calendar'!$P$1754)&lt;=VAL_SERIAL)*1000000+18*1000+52))</f>
        <v/>
      </c>
      <c r="GE177" s="35">
        <f>IF(N('Dvd Calendar'!$Q$1755)=0,"",IF(('Dvd Calendar'!$Q$1755&gt;=GRID_FROM)*('Dvd Calendar'!$Q$1755&lt;=GRID_TO)*('Dvd Calendar'!$Q$1755&gt;VAL_DATE)=0,"",'Dvd Calendar'!$Q$1755*1000000000+ISNUMBER('Dvd Calendar'!$Q$1756)*100000000+0*10000000+(N('Dvd Calendar'!$Q$1754)&gt;0)*(N('Dvd Calendar'!$Q$1754)&lt;=VAL_SERIAL)*1000000+18*1000+53))</f>
        <v/>
      </c>
      <c r="GF177" s="35">
        <f>IF(N('Dvd Calendar'!$R$1755)=0,"",IF(('Dvd Calendar'!$R$1755&gt;=GRID_FROM)*('Dvd Calendar'!$R$1755&lt;=GRID_TO)*('Dvd Calendar'!$R$1755&gt;VAL_DATE)=0,"",'Dvd Calendar'!$R$1755*1000000000+ISNUMBER('Dvd Calendar'!$R$1756)*100000000+0*10000000+(N('Dvd Calendar'!$R$1754)&gt;0)*(N('Dvd Calendar'!$R$1754)&lt;=VAL_SERIAL)*1000000+18*1000+54))</f>
        <v/>
      </c>
      <c r="GG177" s="35">
        <f>IF(N('Dvd Calendar'!$S$1755)=0,"",IF(('Dvd Calendar'!$S$1755&gt;=GRID_FROM)*('Dvd Calendar'!$S$1755&lt;=GRID_TO)*('Dvd Calendar'!$S$1755&gt;VAL_DATE)=0,"",'Dvd Calendar'!$S$1755*1000000000+ISNUMBER('Dvd Calendar'!$S$1756)*100000000+0*10000000+(N('Dvd Calendar'!$S$1754)&gt;0)*(N('Dvd Calendar'!$S$1754)&lt;=VAL_SERIAL)*1000000+18*1000+55))</f>
        <v/>
      </c>
      <c r="GH177" s="35">
        <f>IF(N('Dvd Calendar'!$T$1755)=0,"",IF(('Dvd Calendar'!$T$1755&gt;=GRID_FROM)*('Dvd Calendar'!$T$1755&lt;=GRID_TO)*('Dvd Calendar'!$T$1755&gt;VAL_DATE)=0,"",'Dvd Calendar'!$T$1755*1000000000+ISNUMBER('Dvd Calendar'!$T$1756)*100000000+0*10000000+(N('Dvd Calendar'!$T$1754)&gt;0)*(N('Dvd Calendar'!$T$1754)&lt;=VAL_SERIAL)*1000000+18*1000+56))</f>
        <v/>
      </c>
      <c r="GI177" s="35">
        <f>IF(N('Dvd Calendar'!$U$1755)=0,"",IF(('Dvd Calendar'!$U$1755&gt;=GRID_FROM)*('Dvd Calendar'!$U$1755&lt;=GRID_TO)*('Dvd Calendar'!$U$1755&gt;VAL_DATE)=0,"",'Dvd Calendar'!$U$1755*1000000000+ISNUMBER('Dvd Calendar'!$U$1756)*100000000+0*10000000+(N('Dvd Calendar'!$U$1754)&gt;0)*(N('Dvd Calendar'!$U$1754)&lt;=VAL_SERIAL)*1000000+18*1000+57))</f>
        <v/>
      </c>
      <c r="GJ177" s="35">
        <f>IF(N('Dvd Calendar'!$V$1755)=0,"",IF(('Dvd Calendar'!$V$1755&gt;=GRID_FROM)*('Dvd Calendar'!$V$1755&lt;=GRID_TO)*('Dvd Calendar'!$V$1755&gt;VAL_DATE)=0,"",'Dvd Calendar'!$V$1755*1000000000+ISNUMBER('Dvd Calendar'!$V$1756)*100000000+0*10000000+(N('Dvd Calendar'!$V$1754)&gt;0)*(N('Dvd Calendar'!$V$1754)&lt;=VAL_SERIAL)*1000000+18*1000+58))</f>
        <v/>
      </c>
      <c r="GK177" s="35">
        <f>IF(N('Dvd Calendar'!$W$1755)=0,"",IF(('Dvd Calendar'!$W$1755&gt;=GRID_FROM)*('Dvd Calendar'!$W$1755&lt;=GRID_TO)*('Dvd Calendar'!$W$1755&gt;VAL_DATE)=0,"",'Dvd Calendar'!$W$1755*1000000000+ISNUMBER('Dvd Calendar'!$W$1756)*100000000+0*10000000+(N('Dvd Calendar'!$W$1754)&gt;0)*(N('Dvd Calendar'!$W$1754)&lt;=VAL_SERIAL)*1000000+18*1000+59))</f>
        <v/>
      </c>
      <c r="GL177" s="35">
        <f>IF(N('Dvd Calendar'!$X$1755)=0,"",IF(('Dvd Calendar'!$X$1755&gt;=GRID_FROM)*('Dvd Calendar'!$X$1755&lt;=GRID_TO)*('Dvd Calendar'!$X$1755&gt;VAL_DATE)=0,"",'Dvd Calendar'!$X$1755*1000000000+ISNUMBER('Dvd Calendar'!$X$1756)*100000000+0*10000000+(N('Dvd Calendar'!$X$1754)&gt;0)*(N('Dvd Calendar'!$X$1754)&lt;=VAL_SERIAL)*1000000+18*1000+60))</f>
        <v/>
      </c>
      <c r="GM177" s="35">
        <f>IF(N('Dvd Calendar'!$Y$1755)=0,"",IF(('Dvd Calendar'!$Y$1755&gt;=GRID_FROM)*('Dvd Calendar'!$Y$1755&lt;=GRID_TO)*('Dvd Calendar'!$Y$1755&gt;VAL_DATE)=0,"",'Dvd Calendar'!$Y$1755*1000000000+ISNUMBER('Dvd Calendar'!$Y$1756)*100000000+0*10000000+(N('Dvd Calendar'!$Y$1754)&gt;0)*(N('Dvd Calendar'!$Y$1754)&lt;=VAL_SERIAL)*1000000+18*1000+61))</f>
        <v/>
      </c>
      <c r="GN177" s="35">
        <f>IF(N('Dvd Calendar'!$Z$1755)=0,"",IF(('Dvd Calendar'!$Z$1755&gt;=GRID_FROM)*('Dvd Calendar'!$Z$1755&lt;=GRID_TO)*('Dvd Calendar'!$Z$1755&gt;VAL_DATE)=0,"",'Dvd Calendar'!$Z$1755*1000000000+ISNUMBER('Dvd Calendar'!$Z$1756)*100000000+0*10000000+(N('Dvd Calendar'!$Z$1754)&gt;0)*(N('Dvd Calendar'!$Z$1754)&lt;=VAL_SERIAL)*1000000+18*1000+62))</f>
        <v/>
      </c>
      <c r="GO177" s="35">
        <f>IF(N('Dvd Calendar'!$AA$1755)=0,"",IF(('Dvd Calendar'!$AA$1755&gt;=GRID_FROM)*('Dvd Calendar'!$AA$1755&lt;=GRID_TO)*('Dvd Calendar'!$AA$1755&gt;VAL_DATE)=0,"",'Dvd Calendar'!$AA$1755*1000000000+ISNUMBER('Dvd Calendar'!$AA$1756)*100000000+0*10000000+(N('Dvd Calendar'!$AA$1754)&gt;0)*(N('Dvd Calendar'!$AA$1754)&lt;=VAL_SERIAL)*1000000+18*1000+63))</f>
        <v/>
      </c>
      <c r="GP177" s="35">
        <f>IF(N('Dvd Calendar'!$AB$1755)=0,"",IF(('Dvd Calendar'!$AB$1755&gt;=GRID_FROM)*('Dvd Calendar'!$AB$1755&lt;=GRID_TO)*('Dvd Calendar'!$AB$1755&gt;VAL_DATE)=0,"",'Dvd Calendar'!$AB$1755*1000000000+ISNUMBER('Dvd Calendar'!$AB$1756)*100000000+0*10000000+(N('Dvd Calendar'!$AB$1754)&gt;0)*(N('Dvd Calendar'!$AB$1754)&lt;=VAL_SERIAL)*1000000+18*1000+64))</f>
        <v/>
      </c>
      <c r="GQ177" s="35">
        <f>IF(N('Dvd Calendar'!$AC$1755)=0,"",IF(('Dvd Calendar'!$AC$1755&gt;=GRID_FROM)*('Dvd Calendar'!$AC$1755&lt;=GRID_TO)*('Dvd Calendar'!$AC$1755&gt;VAL_DATE)=0,"",'Dvd Calendar'!$AC$1755*1000000000+ISNUMBER('Dvd Calendar'!$AC$1756)*100000000+0*10000000+(N('Dvd Calendar'!$AC$1754)&gt;0)*(N('Dvd Calendar'!$AC$1754)&lt;=VAL_SERIAL)*1000000+18*1000+65))</f>
        <v/>
      </c>
    </row>
    <row r="178">
      <c r="B178" s="2">
        <f>IF(HSCEI!$C$25="","",HSCEI!$C$25)</f>
        <v/>
      </c>
      <c r="C178" s="106">
        <f>IF(EE178="","",IF(ISNUMBER('Dvd Calendar'!$E$1762)=FALSE,"",IF((('Dvd Calendar'!$E$1764=TYPE1)*(TYPE1&lt;&gt;"")+('Dvd Calendar'!$E$1764=TYPE2)*(TYPE2&lt;&gt;"")+('Dvd Calendar'!$E$1764=TYPE3)*(TYPE3&lt;&gt;"")+('Dvd Calendar'!$E$1764=TYPE4)*(TYPE4&lt;&gt;"")+('Dvd Calendar'!$E$1764=SPECIAL_LBL)*(INC_SPECIALS="Y"))=0,"",'Dvd Calendar'!$E$1762)))</f>
        <v/>
      </c>
      <c r="D178" s="106">
        <f>IF(EF178="","",IF(ISNUMBER('Dvd Calendar'!$F$1762)=FALSE,"",IF((('Dvd Calendar'!$F$1764=TYPE1)*(TYPE1&lt;&gt;"")+('Dvd Calendar'!$F$1764=TYPE2)*(TYPE2&lt;&gt;"")+('Dvd Calendar'!$F$1764=TYPE3)*(TYPE3&lt;&gt;"")+('Dvd Calendar'!$F$1764=TYPE4)*(TYPE4&lt;&gt;"")+('Dvd Calendar'!$F$1764=SPECIAL_LBL)*(INC_SPECIALS="Y"))=0,"",'Dvd Calendar'!$F$1762)))</f>
        <v/>
      </c>
      <c r="E178" s="106">
        <f>IF(EG178="","",IF(ISNUMBER('Dvd Calendar'!$G$1762)=FALSE,"",IF((('Dvd Calendar'!$G$1764=TYPE1)*(TYPE1&lt;&gt;"")+('Dvd Calendar'!$G$1764=TYPE2)*(TYPE2&lt;&gt;"")+('Dvd Calendar'!$G$1764=TYPE3)*(TYPE3&lt;&gt;"")+('Dvd Calendar'!$G$1764=TYPE4)*(TYPE4&lt;&gt;"")+('Dvd Calendar'!$G$1764=SPECIAL_LBL)*(INC_SPECIALS="Y"))=0,"",'Dvd Calendar'!$G$1762)))</f>
        <v/>
      </c>
      <c r="F178" s="106">
        <f>IF(EH178="","",IF(ISNUMBER('Dvd Calendar'!$H$1762)=FALSE,"",IF((('Dvd Calendar'!$H$1764=TYPE1)*(TYPE1&lt;&gt;"")+('Dvd Calendar'!$H$1764=TYPE2)*(TYPE2&lt;&gt;"")+('Dvd Calendar'!$H$1764=TYPE3)*(TYPE3&lt;&gt;"")+('Dvd Calendar'!$H$1764=TYPE4)*(TYPE4&lt;&gt;"")+('Dvd Calendar'!$H$1764=SPECIAL_LBL)*(INC_SPECIALS="Y"))=0,"",'Dvd Calendar'!$H$1762)))</f>
        <v/>
      </c>
      <c r="G178" s="106">
        <f>IF(EI178="","",IF(ISNUMBER('Dvd Calendar'!$I$1762)=FALSE,"",IF((('Dvd Calendar'!$I$1764=TYPE1)*(TYPE1&lt;&gt;"")+('Dvd Calendar'!$I$1764=TYPE2)*(TYPE2&lt;&gt;"")+('Dvd Calendar'!$I$1764=TYPE3)*(TYPE3&lt;&gt;"")+('Dvd Calendar'!$I$1764=TYPE4)*(TYPE4&lt;&gt;"")+('Dvd Calendar'!$I$1764=SPECIAL_LBL)*(INC_SPECIALS="Y"))=0,"",'Dvd Calendar'!$I$1762)))</f>
        <v/>
      </c>
      <c r="H178" s="106">
        <f>IF(EJ178="","",IF(ISNUMBER('Dvd Calendar'!$J$1762)=FALSE,"",IF((('Dvd Calendar'!$J$1764=TYPE1)*(TYPE1&lt;&gt;"")+('Dvd Calendar'!$J$1764=TYPE2)*(TYPE2&lt;&gt;"")+('Dvd Calendar'!$J$1764=TYPE3)*(TYPE3&lt;&gt;"")+('Dvd Calendar'!$J$1764=TYPE4)*(TYPE4&lt;&gt;"")+('Dvd Calendar'!$J$1764=SPECIAL_LBL)*(INC_SPECIALS="Y"))=0,"",'Dvd Calendar'!$J$1762)))</f>
        <v/>
      </c>
      <c r="I178" s="106">
        <f>IF(EK178="","",IF(ISNUMBER('Dvd Calendar'!$K$1762)=FALSE,"",IF((('Dvd Calendar'!$K$1764=TYPE1)*(TYPE1&lt;&gt;"")+('Dvd Calendar'!$K$1764=TYPE2)*(TYPE2&lt;&gt;"")+('Dvd Calendar'!$K$1764=TYPE3)*(TYPE3&lt;&gt;"")+('Dvd Calendar'!$K$1764=TYPE4)*(TYPE4&lt;&gt;"")+('Dvd Calendar'!$K$1764=SPECIAL_LBL)*(INC_SPECIALS="Y"))=0,"",'Dvd Calendar'!$K$1762)))</f>
        <v/>
      </c>
      <c r="J178" s="106">
        <f>IF(EL178="","",IF(ISNUMBER('Dvd Calendar'!$L$1762)=FALSE,"",IF((('Dvd Calendar'!$L$1764=TYPE1)*(TYPE1&lt;&gt;"")+('Dvd Calendar'!$L$1764=TYPE2)*(TYPE2&lt;&gt;"")+('Dvd Calendar'!$L$1764=TYPE3)*(TYPE3&lt;&gt;"")+('Dvd Calendar'!$L$1764=TYPE4)*(TYPE4&lt;&gt;"")+('Dvd Calendar'!$L$1764=SPECIAL_LBL)*(INC_SPECIALS="Y"))=0,"",'Dvd Calendar'!$L$1762)))</f>
        <v/>
      </c>
      <c r="K178" s="106">
        <f>IF(EM178="","",IF(ISNUMBER('Dvd Calendar'!$M$1762)=FALSE,"",IF((('Dvd Calendar'!$M$1764=TYPE1)*(TYPE1&lt;&gt;"")+('Dvd Calendar'!$M$1764=TYPE2)*(TYPE2&lt;&gt;"")+('Dvd Calendar'!$M$1764=TYPE3)*(TYPE3&lt;&gt;"")+('Dvd Calendar'!$M$1764=TYPE4)*(TYPE4&lt;&gt;"")+('Dvd Calendar'!$M$1764=SPECIAL_LBL)*(INC_SPECIALS="Y"))=0,"",'Dvd Calendar'!$M$1762)))</f>
        <v/>
      </c>
      <c r="L178" s="106">
        <f>IF(EN178="","",IF(ISNUMBER('Dvd Calendar'!$N$1762)=FALSE,"",IF((('Dvd Calendar'!$N$1764=TYPE1)*(TYPE1&lt;&gt;"")+('Dvd Calendar'!$N$1764=TYPE2)*(TYPE2&lt;&gt;"")+('Dvd Calendar'!$N$1764=TYPE3)*(TYPE3&lt;&gt;"")+('Dvd Calendar'!$N$1764=TYPE4)*(TYPE4&lt;&gt;"")+('Dvd Calendar'!$N$1764=SPECIAL_LBL)*(INC_SPECIALS="Y"))=0,"",'Dvd Calendar'!$N$1762)))</f>
        <v/>
      </c>
      <c r="M178" s="106">
        <f>IF(EO178="","",IF(ISNUMBER('Dvd Calendar'!$O$1762)=FALSE,"",IF((('Dvd Calendar'!$O$1764=TYPE1)*(TYPE1&lt;&gt;"")+('Dvd Calendar'!$O$1764=TYPE2)*(TYPE2&lt;&gt;"")+('Dvd Calendar'!$O$1764=TYPE3)*(TYPE3&lt;&gt;"")+('Dvd Calendar'!$O$1764=TYPE4)*(TYPE4&lt;&gt;"")+('Dvd Calendar'!$O$1764=SPECIAL_LBL)*(INC_SPECIALS="Y"))=0,"",'Dvd Calendar'!$O$1762)))</f>
        <v/>
      </c>
      <c r="N178" s="106">
        <f>IF(EP178="","",IF(ISNUMBER('Dvd Calendar'!$P$1762)=FALSE,"",IF((('Dvd Calendar'!$P$1764=TYPE1)*(TYPE1&lt;&gt;"")+('Dvd Calendar'!$P$1764=TYPE2)*(TYPE2&lt;&gt;"")+('Dvd Calendar'!$P$1764=TYPE3)*(TYPE3&lt;&gt;"")+('Dvd Calendar'!$P$1764=TYPE4)*(TYPE4&lt;&gt;"")+('Dvd Calendar'!$P$1764=SPECIAL_LBL)*(INC_SPECIALS="Y"))=0,"",'Dvd Calendar'!$P$1762)))</f>
        <v/>
      </c>
      <c r="O178" s="106">
        <f>IF(EQ178="","",IF(ISNUMBER('Dvd Calendar'!$Q$1762)=FALSE,"",IF((('Dvd Calendar'!$Q$1764=TYPE1)*(TYPE1&lt;&gt;"")+('Dvd Calendar'!$Q$1764=TYPE2)*(TYPE2&lt;&gt;"")+('Dvd Calendar'!$Q$1764=TYPE3)*(TYPE3&lt;&gt;"")+('Dvd Calendar'!$Q$1764=TYPE4)*(TYPE4&lt;&gt;"")+('Dvd Calendar'!$Q$1764=SPECIAL_LBL)*(INC_SPECIALS="Y"))=0,"",'Dvd Calendar'!$Q$1762)))</f>
        <v/>
      </c>
      <c r="P178" s="106">
        <f>IF(ER178="","",IF(ISNUMBER('Dvd Calendar'!$R$1762)=FALSE,"",IF((('Dvd Calendar'!$R$1764=TYPE1)*(TYPE1&lt;&gt;"")+('Dvd Calendar'!$R$1764=TYPE2)*(TYPE2&lt;&gt;"")+('Dvd Calendar'!$R$1764=TYPE3)*(TYPE3&lt;&gt;"")+('Dvd Calendar'!$R$1764=TYPE4)*(TYPE4&lt;&gt;"")+('Dvd Calendar'!$R$1764=SPECIAL_LBL)*(INC_SPECIALS="Y"))=0,"",'Dvd Calendar'!$R$1762)))</f>
        <v/>
      </c>
      <c r="Q178" s="106">
        <f>IF(ES178="","",IF(ISNUMBER('Dvd Calendar'!$S$1762)=FALSE,"",IF((('Dvd Calendar'!$S$1764=TYPE1)*(TYPE1&lt;&gt;"")+('Dvd Calendar'!$S$1764=TYPE2)*(TYPE2&lt;&gt;"")+('Dvd Calendar'!$S$1764=TYPE3)*(TYPE3&lt;&gt;"")+('Dvd Calendar'!$S$1764=TYPE4)*(TYPE4&lt;&gt;"")+('Dvd Calendar'!$S$1764=SPECIAL_LBL)*(INC_SPECIALS="Y"))=0,"",'Dvd Calendar'!$S$1762)))</f>
        <v/>
      </c>
      <c r="R178" s="106">
        <f>IF(ET178="","",IF(ISNUMBER('Dvd Calendar'!$T$1762)=FALSE,"",IF((('Dvd Calendar'!$T$1764=TYPE1)*(TYPE1&lt;&gt;"")+('Dvd Calendar'!$T$1764=TYPE2)*(TYPE2&lt;&gt;"")+('Dvd Calendar'!$T$1764=TYPE3)*(TYPE3&lt;&gt;"")+('Dvd Calendar'!$T$1764=TYPE4)*(TYPE4&lt;&gt;"")+('Dvd Calendar'!$T$1764=SPECIAL_LBL)*(INC_SPECIALS="Y"))=0,"",'Dvd Calendar'!$T$1762)))</f>
        <v/>
      </c>
      <c r="S178" s="106">
        <f>IF(EU178="","",IF(ISNUMBER('Dvd Calendar'!$U$1762)=FALSE,"",IF((('Dvd Calendar'!$U$1764=TYPE1)*(TYPE1&lt;&gt;"")+('Dvd Calendar'!$U$1764=TYPE2)*(TYPE2&lt;&gt;"")+('Dvd Calendar'!$U$1764=TYPE3)*(TYPE3&lt;&gt;"")+('Dvd Calendar'!$U$1764=TYPE4)*(TYPE4&lt;&gt;"")+('Dvd Calendar'!$U$1764=SPECIAL_LBL)*(INC_SPECIALS="Y"))=0,"",'Dvd Calendar'!$U$1762)))</f>
        <v/>
      </c>
      <c r="T178" s="106">
        <f>IF(EV178="","",IF(ISNUMBER('Dvd Calendar'!$V$1762)=FALSE,"",IF((('Dvd Calendar'!$V$1764=TYPE1)*(TYPE1&lt;&gt;"")+('Dvd Calendar'!$V$1764=TYPE2)*(TYPE2&lt;&gt;"")+('Dvd Calendar'!$V$1764=TYPE3)*(TYPE3&lt;&gt;"")+('Dvd Calendar'!$V$1764=TYPE4)*(TYPE4&lt;&gt;"")+('Dvd Calendar'!$V$1764=SPECIAL_LBL)*(INC_SPECIALS="Y"))=0,"",'Dvd Calendar'!$V$1762)))</f>
        <v/>
      </c>
      <c r="U178" s="106">
        <f>IF(EW178="","",IF(ISNUMBER('Dvd Calendar'!$W$1762)=FALSE,"",IF((('Dvd Calendar'!$W$1764=TYPE1)*(TYPE1&lt;&gt;"")+('Dvd Calendar'!$W$1764=TYPE2)*(TYPE2&lt;&gt;"")+('Dvd Calendar'!$W$1764=TYPE3)*(TYPE3&lt;&gt;"")+('Dvd Calendar'!$W$1764=TYPE4)*(TYPE4&lt;&gt;"")+('Dvd Calendar'!$W$1764=SPECIAL_LBL)*(INC_SPECIALS="Y"))=0,"",'Dvd Calendar'!$W$1762)))</f>
        <v/>
      </c>
      <c r="V178" s="106">
        <f>IF(EX178="","",IF(ISNUMBER('Dvd Calendar'!$X$1762)=FALSE,"",IF((('Dvd Calendar'!$X$1764=TYPE1)*(TYPE1&lt;&gt;"")+('Dvd Calendar'!$X$1764=TYPE2)*(TYPE2&lt;&gt;"")+('Dvd Calendar'!$X$1764=TYPE3)*(TYPE3&lt;&gt;"")+('Dvd Calendar'!$X$1764=TYPE4)*(TYPE4&lt;&gt;"")+('Dvd Calendar'!$X$1764=SPECIAL_LBL)*(INC_SPECIALS="Y"))=0,"",'Dvd Calendar'!$X$1762)))</f>
        <v/>
      </c>
      <c r="W178" s="106">
        <f>IF(EY178="","",IF(ISNUMBER('Dvd Calendar'!$Y$1762)=FALSE,"",IF((('Dvd Calendar'!$Y$1764=TYPE1)*(TYPE1&lt;&gt;"")+('Dvd Calendar'!$Y$1764=TYPE2)*(TYPE2&lt;&gt;"")+('Dvd Calendar'!$Y$1764=TYPE3)*(TYPE3&lt;&gt;"")+('Dvd Calendar'!$Y$1764=TYPE4)*(TYPE4&lt;&gt;"")+('Dvd Calendar'!$Y$1764=SPECIAL_LBL)*(INC_SPECIALS="Y"))=0,"",'Dvd Calendar'!$Y$1762)))</f>
        <v/>
      </c>
      <c r="X178" s="106">
        <f>IF(EZ178="","",IF(ISNUMBER('Dvd Calendar'!$Z$1762)=FALSE,"",IF((('Dvd Calendar'!$Z$1764=TYPE1)*(TYPE1&lt;&gt;"")+('Dvd Calendar'!$Z$1764=TYPE2)*(TYPE2&lt;&gt;"")+('Dvd Calendar'!$Z$1764=TYPE3)*(TYPE3&lt;&gt;"")+('Dvd Calendar'!$Z$1764=TYPE4)*(TYPE4&lt;&gt;"")+('Dvd Calendar'!$Z$1764=SPECIAL_LBL)*(INC_SPECIALS="Y"))=0,"",'Dvd Calendar'!$Z$1762)))</f>
        <v/>
      </c>
      <c r="Y178" s="106">
        <f>IF(FA178="","",IF(ISNUMBER('Dvd Calendar'!$AA$1762)=FALSE,"",IF((('Dvd Calendar'!$AA$1764=TYPE1)*(TYPE1&lt;&gt;"")+('Dvd Calendar'!$AA$1764=TYPE2)*(TYPE2&lt;&gt;"")+('Dvd Calendar'!$AA$1764=TYPE3)*(TYPE3&lt;&gt;"")+('Dvd Calendar'!$AA$1764=TYPE4)*(TYPE4&lt;&gt;"")+('Dvd Calendar'!$AA$1764=SPECIAL_LBL)*(INC_SPECIALS="Y"))=0,"",'Dvd Calendar'!$AA$1762)))</f>
        <v/>
      </c>
      <c r="Z178" s="106">
        <f>IF(FB178="","",IF(ISNUMBER('Dvd Calendar'!$AB$1762)=FALSE,"",IF((('Dvd Calendar'!$AB$1764=TYPE1)*(TYPE1&lt;&gt;"")+('Dvd Calendar'!$AB$1764=TYPE2)*(TYPE2&lt;&gt;"")+('Dvd Calendar'!$AB$1764=TYPE3)*(TYPE3&lt;&gt;"")+('Dvd Calendar'!$AB$1764=TYPE4)*(TYPE4&lt;&gt;"")+('Dvd Calendar'!$AB$1764=SPECIAL_LBL)*(INC_SPECIALS="Y"))=0,"",'Dvd Calendar'!$AB$1762)))</f>
        <v/>
      </c>
      <c r="AA178" s="106">
        <f>IF(FC178="","",IF(ISNUMBER('Dvd Calendar'!$AC$1762)=FALSE,"",IF((('Dvd Calendar'!$AC$1764=TYPE1)*(TYPE1&lt;&gt;"")+('Dvd Calendar'!$AC$1764=TYPE2)*(TYPE2&lt;&gt;"")+('Dvd Calendar'!$AC$1764=TYPE3)*(TYPE3&lt;&gt;"")+('Dvd Calendar'!$AC$1764=TYPE4)*(TYPE4&lt;&gt;"")+('Dvd Calendar'!$AC$1764=SPECIAL_LBL)*(INC_SPECIALS="Y"))=0,"",'Dvd Calendar'!$AC$1762)))</f>
        <v/>
      </c>
      <c r="AB178" s="106">
        <f>IF(FD178="","",IF(ISNUMBER('Dvd Calendar'!$AD$1762)=FALSE,"",IF((('Dvd Calendar'!$AD$1764=TYPE1)*(TYPE1&lt;&gt;"")+('Dvd Calendar'!$AD$1764=TYPE2)*(TYPE2&lt;&gt;"")+('Dvd Calendar'!$AD$1764=TYPE3)*(TYPE3&lt;&gt;"")+('Dvd Calendar'!$AD$1764=TYPE4)*(TYPE4&lt;&gt;"")+('Dvd Calendar'!$AD$1764=SPECIAL_LBL)*(INC_SPECIALS="Y"))=0,"",'Dvd Calendar'!$AD$1762)))</f>
        <v/>
      </c>
      <c r="AC178" s="106">
        <f>IF(FE178="","",IF(ISNUMBER('Dvd Calendar'!$AE$1762)=FALSE,"",IF((('Dvd Calendar'!$AE$1764=TYPE1)*(TYPE1&lt;&gt;"")+('Dvd Calendar'!$AE$1764=TYPE2)*(TYPE2&lt;&gt;"")+('Dvd Calendar'!$AE$1764=TYPE3)*(TYPE3&lt;&gt;"")+('Dvd Calendar'!$AE$1764=TYPE4)*(TYPE4&lt;&gt;"")+('Dvd Calendar'!$AE$1764=SPECIAL_LBL)*(INC_SPECIALS="Y"))=0,"",'Dvd Calendar'!$AE$1762)))</f>
        <v/>
      </c>
      <c r="AD178" s="106">
        <f>IF(FF178="","",IF(ISNUMBER('Dvd Calendar'!$AF$1762)=FALSE,"",IF((('Dvd Calendar'!$AF$1764=TYPE1)*(TYPE1&lt;&gt;"")+('Dvd Calendar'!$AF$1764=TYPE2)*(TYPE2&lt;&gt;"")+('Dvd Calendar'!$AF$1764=TYPE3)*(TYPE3&lt;&gt;"")+('Dvd Calendar'!$AF$1764=TYPE4)*(TYPE4&lt;&gt;"")+('Dvd Calendar'!$AF$1764=SPECIAL_LBL)*(INC_SPECIALS="Y"))=0,"",'Dvd Calendar'!$AF$1762)))</f>
        <v/>
      </c>
      <c r="AE178" s="106">
        <f>IF(FG178="","",IF(ISNUMBER('Dvd Calendar'!$AG$1762)=FALSE,"",IF((('Dvd Calendar'!$AG$1764=TYPE1)*(TYPE1&lt;&gt;"")+('Dvd Calendar'!$AG$1764=TYPE2)*(TYPE2&lt;&gt;"")+('Dvd Calendar'!$AG$1764=TYPE3)*(TYPE3&lt;&gt;"")+('Dvd Calendar'!$AG$1764=TYPE4)*(TYPE4&lt;&gt;"")+('Dvd Calendar'!$AG$1764=SPECIAL_LBL)*(INC_SPECIALS="Y"))=0,"",'Dvd Calendar'!$AG$1762)))</f>
        <v/>
      </c>
      <c r="AF178" s="106">
        <f>IF(FH178="","",IF(ISNUMBER('Dvd Calendar'!$AH$1762)=FALSE,"",IF((('Dvd Calendar'!$AH$1764=TYPE1)*(TYPE1&lt;&gt;"")+('Dvd Calendar'!$AH$1764=TYPE2)*(TYPE2&lt;&gt;"")+('Dvd Calendar'!$AH$1764=TYPE3)*(TYPE3&lt;&gt;"")+('Dvd Calendar'!$AH$1764=TYPE4)*(TYPE4&lt;&gt;"")+('Dvd Calendar'!$AH$1764=SPECIAL_LBL)*(INC_SPECIALS="Y"))=0,"",'Dvd Calendar'!$AH$1762)))</f>
        <v/>
      </c>
      <c r="AG178" s="106">
        <f>IF(FI178="","",IF(ISNUMBER('Dvd Calendar'!$AI$1762)=FALSE,"",IF((('Dvd Calendar'!$AI$1764=TYPE1)*(TYPE1&lt;&gt;"")+('Dvd Calendar'!$AI$1764=TYPE2)*(TYPE2&lt;&gt;"")+('Dvd Calendar'!$AI$1764=TYPE3)*(TYPE3&lt;&gt;"")+('Dvd Calendar'!$AI$1764=TYPE4)*(TYPE4&lt;&gt;"")+('Dvd Calendar'!$AI$1764=SPECIAL_LBL)*(INC_SPECIALS="Y"))=0,"",'Dvd Calendar'!$AI$1762)))</f>
        <v/>
      </c>
      <c r="AH178" s="106">
        <f>IF(FJ178="","",IF(ISNUMBER('Dvd Calendar'!$AJ$1762)=FALSE,"",IF((('Dvd Calendar'!$AJ$1764=TYPE1)*(TYPE1&lt;&gt;"")+('Dvd Calendar'!$AJ$1764=TYPE2)*(TYPE2&lt;&gt;"")+('Dvd Calendar'!$AJ$1764=TYPE3)*(TYPE3&lt;&gt;"")+('Dvd Calendar'!$AJ$1764=TYPE4)*(TYPE4&lt;&gt;"")+('Dvd Calendar'!$AJ$1764=SPECIAL_LBL)*(INC_SPECIALS="Y"))=0,"",'Dvd Calendar'!$AJ$1762)))</f>
        <v/>
      </c>
      <c r="AI178" s="106">
        <f>IF(FK178="","",IF(ISNUMBER('Dvd Calendar'!$AK$1762)=FALSE,"",IF((('Dvd Calendar'!$AK$1764=TYPE1)*(TYPE1&lt;&gt;"")+('Dvd Calendar'!$AK$1764=TYPE2)*(TYPE2&lt;&gt;"")+('Dvd Calendar'!$AK$1764=TYPE3)*(TYPE3&lt;&gt;"")+('Dvd Calendar'!$AK$1764=TYPE4)*(TYPE4&lt;&gt;"")+('Dvd Calendar'!$AK$1764=SPECIAL_LBL)*(INC_SPECIALS="Y"))=0,"",'Dvd Calendar'!$AK$1762)))</f>
        <v/>
      </c>
      <c r="AJ178" s="106">
        <f>IF(FL178="","",IF(ISNUMBER('Dvd Calendar'!$AL$1762)=FALSE,"",IF((('Dvd Calendar'!$AL$1764=TYPE1)*(TYPE1&lt;&gt;"")+('Dvd Calendar'!$AL$1764=TYPE2)*(TYPE2&lt;&gt;"")+('Dvd Calendar'!$AL$1764=TYPE3)*(TYPE3&lt;&gt;"")+('Dvd Calendar'!$AL$1764=TYPE4)*(TYPE4&lt;&gt;"")+('Dvd Calendar'!$AL$1764=SPECIAL_LBL)*(INC_SPECIALS="Y"))=0,"",'Dvd Calendar'!$AL$1762)))</f>
        <v/>
      </c>
      <c r="AK178" s="106">
        <f>IF(FM178="","",IF(ISNUMBER('Dvd Calendar'!$AM$1762)=FALSE,"",IF((('Dvd Calendar'!$AM$1764=TYPE1)*(TYPE1&lt;&gt;"")+('Dvd Calendar'!$AM$1764=TYPE2)*(TYPE2&lt;&gt;"")+('Dvd Calendar'!$AM$1764=TYPE3)*(TYPE3&lt;&gt;"")+('Dvd Calendar'!$AM$1764=TYPE4)*(TYPE4&lt;&gt;"")+('Dvd Calendar'!$AM$1764=SPECIAL_LBL)*(INC_SPECIALS="Y"))=0,"",'Dvd Calendar'!$AM$1762)))</f>
        <v/>
      </c>
      <c r="AL178" s="106">
        <f>IF(FN178="","",IF(ISNUMBER('Dvd Calendar'!$AN$1762)=FALSE,"",IF((('Dvd Calendar'!$AN$1764=TYPE1)*(TYPE1&lt;&gt;"")+('Dvd Calendar'!$AN$1764=TYPE2)*(TYPE2&lt;&gt;"")+('Dvd Calendar'!$AN$1764=TYPE3)*(TYPE3&lt;&gt;"")+('Dvd Calendar'!$AN$1764=TYPE4)*(TYPE4&lt;&gt;"")+('Dvd Calendar'!$AN$1764=SPECIAL_LBL)*(INC_SPECIALS="Y"))=0,"",'Dvd Calendar'!$AN$1762)))</f>
        <v/>
      </c>
      <c r="AM178" s="106">
        <f>IF(FO178="","",IF(ISNUMBER('Dvd Calendar'!$AO$1762)=FALSE,"",IF((('Dvd Calendar'!$AO$1764=TYPE1)*(TYPE1&lt;&gt;"")+('Dvd Calendar'!$AO$1764=TYPE2)*(TYPE2&lt;&gt;"")+('Dvd Calendar'!$AO$1764=TYPE3)*(TYPE3&lt;&gt;"")+('Dvd Calendar'!$AO$1764=TYPE4)*(TYPE4&lt;&gt;"")+('Dvd Calendar'!$AO$1764=SPECIAL_LBL)*(INC_SPECIALS="Y"))=0,"",'Dvd Calendar'!$AO$1762)))</f>
        <v/>
      </c>
      <c r="AN178" s="106">
        <f>IF(FP178="","",IF(ISNUMBER('Dvd Calendar'!$AP$1762)=FALSE,"",IF((('Dvd Calendar'!$AP$1764=TYPE1)*(TYPE1&lt;&gt;"")+('Dvd Calendar'!$AP$1764=TYPE2)*(TYPE2&lt;&gt;"")+('Dvd Calendar'!$AP$1764=TYPE3)*(TYPE3&lt;&gt;"")+('Dvd Calendar'!$AP$1764=TYPE4)*(TYPE4&lt;&gt;"")+('Dvd Calendar'!$AP$1764=SPECIAL_LBL)*(INC_SPECIALS="Y"))=0,"",'Dvd Calendar'!$AP$1762)))</f>
        <v/>
      </c>
      <c r="AO178" s="106">
        <f>IF(FQ178="","",IF(ISNUMBER('Dvd Calendar'!$AQ$1762)=FALSE,"",IF((('Dvd Calendar'!$AQ$1764=TYPE1)*(TYPE1&lt;&gt;"")+('Dvd Calendar'!$AQ$1764=TYPE2)*(TYPE2&lt;&gt;"")+('Dvd Calendar'!$AQ$1764=TYPE3)*(TYPE3&lt;&gt;"")+('Dvd Calendar'!$AQ$1764=TYPE4)*(TYPE4&lt;&gt;"")+('Dvd Calendar'!$AQ$1764=SPECIAL_LBL)*(INC_SPECIALS="Y"))=0,"",'Dvd Calendar'!$AQ$1762)))</f>
        <v/>
      </c>
      <c r="AP178" s="106">
        <f>IF(FR178="","",IF(ISNUMBER('Dvd Calendar'!$AR$1762)=FALSE,"",IF((('Dvd Calendar'!$AR$1764=TYPE1)*(TYPE1&lt;&gt;"")+('Dvd Calendar'!$AR$1764=TYPE2)*(TYPE2&lt;&gt;"")+('Dvd Calendar'!$AR$1764=TYPE3)*(TYPE3&lt;&gt;"")+('Dvd Calendar'!$AR$1764=TYPE4)*(TYPE4&lt;&gt;"")+('Dvd Calendar'!$AR$1764=SPECIAL_LBL)*(INC_SPECIALS="Y"))=0,"",'Dvd Calendar'!$AR$1762)))</f>
        <v/>
      </c>
      <c r="AQ178" s="106">
        <f>IF(FS178="","",IF(ISNUMBER('Dvd Calendar'!$E$1767)=FALSE,"",'Dvd Calendar'!$E$1767))</f>
        <v/>
      </c>
      <c r="AR178" s="106">
        <f>IF(FT178="","",IF(ISNUMBER('Dvd Calendar'!$F$1767)=FALSE,"",'Dvd Calendar'!$F$1767))</f>
        <v/>
      </c>
      <c r="AS178" s="106">
        <f>IF(FU178="","",IF(ISNUMBER('Dvd Calendar'!$G$1767)=FALSE,"",'Dvd Calendar'!$G$1767))</f>
        <v/>
      </c>
      <c r="AT178" s="106">
        <f>IF(FV178="","",IF(ISNUMBER('Dvd Calendar'!$H$1767)=FALSE,"",'Dvd Calendar'!$H$1767))</f>
        <v/>
      </c>
      <c r="AU178" s="106">
        <f>IF(FW178="","",IF(ISNUMBER('Dvd Calendar'!$I$1767)=FALSE,"",'Dvd Calendar'!$I$1767))</f>
        <v/>
      </c>
      <c r="AV178" s="106">
        <f>IF(FX178="","",IF(ISNUMBER('Dvd Calendar'!$J$1767)=FALSE,"",'Dvd Calendar'!$J$1767))</f>
        <v/>
      </c>
      <c r="AW178" s="106">
        <f>IF(FY178="","",IF(ISNUMBER('Dvd Calendar'!$K$1767)=FALSE,"",'Dvd Calendar'!$K$1767))</f>
        <v/>
      </c>
      <c r="AX178" s="106">
        <f>IF(FZ178="","",IF(ISNUMBER('Dvd Calendar'!$L$1767)=FALSE,"",'Dvd Calendar'!$L$1767))</f>
        <v/>
      </c>
      <c r="AY178" s="106">
        <f>IF(GA178="","",IF(ISNUMBER('Dvd Calendar'!$M$1767)=FALSE,"",'Dvd Calendar'!$M$1767))</f>
        <v/>
      </c>
      <c r="AZ178" s="106">
        <f>IF(GB178="","",IF(ISNUMBER('Dvd Calendar'!$N$1767)=FALSE,"",'Dvd Calendar'!$N$1767))</f>
        <v/>
      </c>
      <c r="BA178" s="106">
        <f>IF(GC178="","",IF(ISNUMBER('Dvd Calendar'!$O$1767)=FALSE,"",'Dvd Calendar'!$O$1767))</f>
        <v/>
      </c>
      <c r="BB178" s="106">
        <f>IF(GD178="","",IF(ISNUMBER('Dvd Calendar'!$P$1767)=FALSE,"",'Dvd Calendar'!$P$1767))</f>
        <v/>
      </c>
      <c r="BC178" s="106">
        <f>IF(GE178="","",IF(ISNUMBER('Dvd Calendar'!$Q$1767)=FALSE,"",'Dvd Calendar'!$Q$1767))</f>
        <v/>
      </c>
      <c r="BD178" s="106">
        <f>IF(GF178="","",IF(ISNUMBER('Dvd Calendar'!$R$1767)=FALSE,"",'Dvd Calendar'!$R$1767))</f>
        <v/>
      </c>
      <c r="BE178" s="106">
        <f>IF(GG178="","",IF(ISNUMBER('Dvd Calendar'!$S$1767)=FALSE,"",'Dvd Calendar'!$S$1767))</f>
        <v/>
      </c>
      <c r="BF178" s="106">
        <f>IF(GH178="","",IF(ISNUMBER('Dvd Calendar'!$T$1767)=FALSE,"",'Dvd Calendar'!$T$1767))</f>
        <v/>
      </c>
      <c r="BG178" s="106">
        <f>IF(GI178="","",IF(ISNUMBER('Dvd Calendar'!$U$1767)=FALSE,"",'Dvd Calendar'!$U$1767))</f>
        <v/>
      </c>
      <c r="BH178" s="106">
        <f>IF(GJ178="","",IF(ISNUMBER('Dvd Calendar'!$V$1767)=FALSE,"",'Dvd Calendar'!$V$1767))</f>
        <v/>
      </c>
      <c r="BI178" s="106">
        <f>IF(GK178="","",IF(ISNUMBER('Dvd Calendar'!$W$1767)=FALSE,"",'Dvd Calendar'!$W$1767))</f>
        <v/>
      </c>
      <c r="BJ178" s="106">
        <f>IF(GL178="","",IF(ISNUMBER('Dvd Calendar'!$X$1767)=FALSE,"",'Dvd Calendar'!$X$1767))</f>
        <v/>
      </c>
      <c r="BK178" s="106">
        <f>IF(GM178="","",IF(ISNUMBER('Dvd Calendar'!$Y$1767)=FALSE,"",'Dvd Calendar'!$Y$1767))</f>
        <v/>
      </c>
      <c r="BL178" s="106">
        <f>IF(GN178="","",IF(ISNUMBER('Dvd Calendar'!$Z$1767)=FALSE,"",'Dvd Calendar'!$Z$1767))</f>
        <v/>
      </c>
      <c r="BM178" s="106">
        <f>IF(GO178="","",IF(ISNUMBER('Dvd Calendar'!$AA$1767)=FALSE,"",'Dvd Calendar'!$AA$1767))</f>
        <v/>
      </c>
      <c r="BN178" s="106">
        <f>IF(GP178="","",IF(ISNUMBER('Dvd Calendar'!$AB$1767)=FALSE,"",'Dvd Calendar'!$AB$1767))</f>
        <v/>
      </c>
      <c r="BO178" s="106">
        <f>IF(GQ178="","",IF(ISNUMBER('Dvd Calendar'!$AC$1767)=FALSE,"",'Dvd Calendar'!$AC$1767))</f>
        <v/>
      </c>
      <c r="BQ178" s="106">
        <f>IF(C178="","",IFERROR(C178*HSCEI!$B$25*HSCEI!$G$25/HSCEI!$B$3,""))</f>
        <v/>
      </c>
      <c r="BR178" s="106">
        <f>IF(D178="","",IFERROR(D178*HSCEI!$B$25*HSCEI!$G$25/HSCEI!$B$3,""))</f>
        <v/>
      </c>
      <c r="BS178" s="106">
        <f>IF(E178="","",IFERROR(E178*HSCEI!$B$25*HSCEI!$G$25/HSCEI!$B$3,""))</f>
        <v/>
      </c>
      <c r="BT178" s="106">
        <f>IF(F178="","",IFERROR(F178*HSCEI!$B$25*HSCEI!$G$25/HSCEI!$B$3,""))</f>
        <v/>
      </c>
      <c r="BU178" s="106">
        <f>IF(G178="","",IFERROR(G178*HSCEI!$B$25*HSCEI!$G$25/HSCEI!$B$3,""))</f>
        <v/>
      </c>
      <c r="BV178" s="106">
        <f>IF(H178="","",IFERROR(H178*HSCEI!$B$25*HSCEI!$G$25/HSCEI!$B$3,""))</f>
        <v/>
      </c>
      <c r="BW178" s="106">
        <f>IF(I178="","",IFERROR(I178*HSCEI!$B$25*HSCEI!$G$25/HSCEI!$B$3,""))</f>
        <v/>
      </c>
      <c r="BX178" s="106">
        <f>IF(J178="","",IFERROR(J178*HSCEI!$B$25*HSCEI!$G$25/HSCEI!$B$3,""))</f>
        <v/>
      </c>
      <c r="BY178" s="106">
        <f>IF(K178="","",IFERROR(K178*HSCEI!$B$25*HSCEI!$G$25/HSCEI!$B$3,""))</f>
        <v/>
      </c>
      <c r="BZ178" s="106">
        <f>IF(L178="","",IFERROR(L178*HSCEI!$B$25*HSCEI!$G$25/HSCEI!$B$3,""))</f>
        <v/>
      </c>
      <c r="CA178" s="106">
        <f>IF(M178="","",IFERROR(M178*HSCEI!$B$25*HSCEI!$G$25/HSCEI!$B$3,""))</f>
        <v/>
      </c>
      <c r="CB178" s="106">
        <f>IF(N178="","",IFERROR(N178*HSCEI!$B$25*HSCEI!$G$25/HSCEI!$B$3,""))</f>
        <v/>
      </c>
      <c r="CC178" s="106">
        <f>IF(O178="","",IFERROR(O178*HSCEI!$B$25*HSCEI!$G$25/HSCEI!$B$3,""))</f>
        <v/>
      </c>
      <c r="CD178" s="106">
        <f>IF(P178="","",IFERROR(P178*HSCEI!$B$25*HSCEI!$G$25/HSCEI!$B$3,""))</f>
        <v/>
      </c>
      <c r="CE178" s="106">
        <f>IF(Q178="","",IFERROR(Q178*HSCEI!$B$25*HSCEI!$G$25/HSCEI!$B$3,""))</f>
        <v/>
      </c>
      <c r="CF178" s="106">
        <f>IF(R178="","",IFERROR(R178*HSCEI!$B$25*HSCEI!$G$25/HSCEI!$B$3,""))</f>
        <v/>
      </c>
      <c r="CG178" s="106">
        <f>IF(S178="","",IFERROR(S178*HSCEI!$B$25*HSCEI!$G$25/HSCEI!$B$3,""))</f>
        <v/>
      </c>
      <c r="CH178" s="106">
        <f>IF(T178="","",IFERROR(T178*HSCEI!$B$25*HSCEI!$G$25/HSCEI!$B$3,""))</f>
        <v/>
      </c>
      <c r="CI178" s="106">
        <f>IF(U178="","",IFERROR(U178*HSCEI!$B$25*HSCEI!$G$25/HSCEI!$B$3,""))</f>
        <v/>
      </c>
      <c r="CJ178" s="106">
        <f>IF(V178="","",IFERROR(V178*HSCEI!$B$25*HSCEI!$G$25/HSCEI!$B$3,""))</f>
        <v/>
      </c>
      <c r="CK178" s="106">
        <f>IF(W178="","",IFERROR(W178*HSCEI!$B$25*HSCEI!$G$25/HSCEI!$B$3,""))</f>
        <v/>
      </c>
      <c r="CL178" s="106">
        <f>IF(X178="","",IFERROR(X178*HSCEI!$B$25*HSCEI!$G$25/HSCEI!$B$3,""))</f>
        <v/>
      </c>
      <c r="CM178" s="106">
        <f>IF(Y178="","",IFERROR(Y178*HSCEI!$B$25*HSCEI!$G$25/HSCEI!$B$3,""))</f>
        <v/>
      </c>
      <c r="CN178" s="106">
        <f>IF(Z178="","",IFERROR(Z178*HSCEI!$B$25*HSCEI!$G$25/HSCEI!$B$3,""))</f>
        <v/>
      </c>
      <c r="CO178" s="106">
        <f>IF(AA178="","",IFERROR(AA178*HSCEI!$B$25*HSCEI!$G$25/HSCEI!$B$3,""))</f>
        <v/>
      </c>
      <c r="CP178" s="106">
        <f>IF(AB178="","",IFERROR(AB178*HSCEI!$B$25*HSCEI!$G$25/HSCEI!$B$3,""))</f>
        <v/>
      </c>
      <c r="CQ178" s="106">
        <f>IF(AC178="","",IFERROR(AC178*HSCEI!$B$25*HSCEI!$G$25/HSCEI!$B$3,""))</f>
        <v/>
      </c>
      <c r="CR178" s="106">
        <f>IF(AD178="","",IFERROR(AD178*HSCEI!$B$25*HSCEI!$G$25/HSCEI!$B$3,""))</f>
        <v/>
      </c>
      <c r="CS178" s="106">
        <f>IF(AE178="","",IFERROR(AE178*HSCEI!$B$25*HSCEI!$G$25/HSCEI!$B$3,""))</f>
        <v/>
      </c>
      <c r="CT178" s="106">
        <f>IF(AF178="","",IFERROR(AF178*HSCEI!$B$25*HSCEI!$G$25/HSCEI!$B$3,""))</f>
        <v/>
      </c>
      <c r="CU178" s="106">
        <f>IF(AG178="","",IFERROR(AG178*HSCEI!$B$25*HSCEI!$G$25/HSCEI!$B$3,""))</f>
        <v/>
      </c>
      <c r="CV178" s="106">
        <f>IF(AH178="","",IFERROR(AH178*HSCEI!$B$25*HSCEI!$G$25/HSCEI!$B$3,""))</f>
        <v/>
      </c>
      <c r="CW178" s="106">
        <f>IF(AI178="","",IFERROR(AI178*HSCEI!$B$25*HSCEI!$G$25/HSCEI!$B$3,""))</f>
        <v/>
      </c>
      <c r="CX178" s="106">
        <f>IF(AJ178="","",IFERROR(AJ178*HSCEI!$B$25*HSCEI!$G$25/HSCEI!$B$3,""))</f>
        <v/>
      </c>
      <c r="CY178" s="106">
        <f>IF(AK178="","",IFERROR(AK178*HSCEI!$B$25*HSCEI!$G$25/HSCEI!$B$3,""))</f>
        <v/>
      </c>
      <c r="CZ178" s="106">
        <f>IF(AL178="","",IFERROR(AL178*HSCEI!$B$25*HSCEI!$G$25/HSCEI!$B$3,""))</f>
        <v/>
      </c>
      <c r="DA178" s="106">
        <f>IF(AM178="","",IFERROR(AM178*HSCEI!$B$25*HSCEI!$G$25/HSCEI!$B$3,""))</f>
        <v/>
      </c>
      <c r="DB178" s="106">
        <f>IF(AN178="","",IFERROR(AN178*HSCEI!$B$25*HSCEI!$G$25/HSCEI!$B$3,""))</f>
        <v/>
      </c>
      <c r="DC178" s="106">
        <f>IF(AO178="","",IFERROR(AO178*HSCEI!$B$25*HSCEI!$G$25/HSCEI!$B$3,""))</f>
        <v/>
      </c>
      <c r="DD178" s="106">
        <f>IF(AP178="","",IFERROR(AP178*HSCEI!$B$25*HSCEI!$G$25/HSCEI!$B$3,""))</f>
        <v/>
      </c>
      <c r="DE178" s="106">
        <f>IF(AQ178="","",IFERROR(AQ178*HSCEI!$B$25*HSCEI!$G$25/HSCEI!$B$3,""))</f>
        <v/>
      </c>
      <c r="DF178" s="106">
        <f>IF(AR178="","",IFERROR(AR178*HSCEI!$B$25*HSCEI!$G$25/HSCEI!$B$3,""))</f>
        <v/>
      </c>
      <c r="DG178" s="106">
        <f>IF(AS178="","",IFERROR(AS178*HSCEI!$B$25*HSCEI!$G$25/HSCEI!$B$3,""))</f>
        <v/>
      </c>
      <c r="DH178" s="106">
        <f>IF(AT178="","",IFERROR(AT178*HSCEI!$B$25*HSCEI!$G$25/HSCEI!$B$3,""))</f>
        <v/>
      </c>
      <c r="DI178" s="106">
        <f>IF(AU178="","",IFERROR(AU178*HSCEI!$B$25*HSCEI!$G$25/HSCEI!$B$3,""))</f>
        <v/>
      </c>
      <c r="DJ178" s="106">
        <f>IF(AV178="","",IFERROR(AV178*HSCEI!$B$25*HSCEI!$G$25/HSCEI!$B$3,""))</f>
        <v/>
      </c>
      <c r="DK178" s="106">
        <f>IF(AW178="","",IFERROR(AW178*HSCEI!$B$25*HSCEI!$G$25/HSCEI!$B$3,""))</f>
        <v/>
      </c>
      <c r="DL178" s="106">
        <f>IF(AX178="","",IFERROR(AX178*HSCEI!$B$25*HSCEI!$G$25/HSCEI!$B$3,""))</f>
        <v/>
      </c>
      <c r="DM178" s="106">
        <f>IF(AY178="","",IFERROR(AY178*HSCEI!$B$25*HSCEI!$G$25/HSCEI!$B$3,""))</f>
        <v/>
      </c>
      <c r="DN178" s="106">
        <f>IF(AZ178="","",IFERROR(AZ178*HSCEI!$B$25*HSCEI!$G$25/HSCEI!$B$3,""))</f>
        <v/>
      </c>
      <c r="DO178" s="106">
        <f>IF(BA178="","",IFERROR(BA178*HSCEI!$B$25*HSCEI!$G$25/HSCEI!$B$3,""))</f>
        <v/>
      </c>
      <c r="DP178" s="106">
        <f>IF(BB178="","",IFERROR(BB178*HSCEI!$B$25*HSCEI!$G$25/HSCEI!$B$3,""))</f>
        <v/>
      </c>
      <c r="DQ178" s="106">
        <f>IF(BC178="","",IFERROR(BC178*HSCEI!$B$25*HSCEI!$G$25/HSCEI!$B$3,""))</f>
        <v/>
      </c>
      <c r="DR178" s="106">
        <f>IF(BD178="","",IFERROR(BD178*HSCEI!$B$25*HSCEI!$G$25/HSCEI!$B$3,""))</f>
        <v/>
      </c>
      <c r="DS178" s="106">
        <f>IF(BE178="","",IFERROR(BE178*HSCEI!$B$25*HSCEI!$G$25/HSCEI!$B$3,""))</f>
        <v/>
      </c>
      <c r="DT178" s="106">
        <f>IF(BF178="","",IFERROR(BF178*HSCEI!$B$25*HSCEI!$G$25/HSCEI!$B$3,""))</f>
        <v/>
      </c>
      <c r="DU178" s="106">
        <f>IF(BG178="","",IFERROR(BG178*HSCEI!$B$25*HSCEI!$G$25/HSCEI!$B$3,""))</f>
        <v/>
      </c>
      <c r="DV178" s="106">
        <f>IF(BH178="","",IFERROR(BH178*HSCEI!$B$25*HSCEI!$G$25/HSCEI!$B$3,""))</f>
        <v/>
      </c>
      <c r="DW178" s="106">
        <f>IF(BI178="","",IFERROR(BI178*HSCEI!$B$25*HSCEI!$G$25/HSCEI!$B$3,""))</f>
        <v/>
      </c>
      <c r="DX178" s="106">
        <f>IF(BJ178="","",IFERROR(BJ178*HSCEI!$B$25*HSCEI!$G$25/HSCEI!$B$3,""))</f>
        <v/>
      </c>
      <c r="DY178" s="106">
        <f>IF(BK178="","",IFERROR(BK178*HSCEI!$B$25*HSCEI!$G$25/HSCEI!$B$3,""))</f>
        <v/>
      </c>
      <c r="DZ178" s="106">
        <f>IF(BL178="","",IFERROR(BL178*HSCEI!$B$25*HSCEI!$G$25/HSCEI!$B$3,""))</f>
        <v/>
      </c>
      <c r="EA178" s="106">
        <f>IF(BM178="","",IFERROR(BM178*HSCEI!$B$25*HSCEI!$G$25/HSCEI!$B$3,""))</f>
        <v/>
      </c>
      <c r="EB178" s="106">
        <f>IF(BN178="","",IFERROR(BN178*HSCEI!$B$25*HSCEI!$G$25/HSCEI!$B$3,""))</f>
        <v/>
      </c>
      <c r="EC178" s="106">
        <f>IF(BO178="","",IFERROR(BO178*HSCEI!$B$25*HSCEI!$G$25/HSCEI!$B$3,""))</f>
        <v/>
      </c>
      <c r="EE178" s="35">
        <f>IF(N('Dvd Calendar'!$E$1759)=0,"",IF(('Dvd Calendar'!$E$1759&gt;=GRID_FROM)*('Dvd Calendar'!$E$1759&lt;=GRID_TO)*('Dvd Calendar'!$E$1759&lt;=VAL_DATE)=0,"",'Dvd Calendar'!$E$1759*1000000000+ISNUMBER('Dvd Calendar'!$E$1762)*100000000+('Dvd Calendar'!$E$1764=SPECIAL_LBL)*10000000+0*1000000+19*1000+1))</f>
        <v/>
      </c>
      <c r="EF178" s="35">
        <f>IF(N('Dvd Calendar'!$F$1759)=0,"",IF(('Dvd Calendar'!$F$1759&gt;=GRID_FROM)*('Dvd Calendar'!$F$1759&lt;=GRID_TO)*('Dvd Calendar'!$F$1759&lt;=VAL_DATE)=0,"",'Dvd Calendar'!$F$1759*1000000000+ISNUMBER('Dvd Calendar'!$F$1762)*100000000+('Dvd Calendar'!$F$1764=SPECIAL_LBL)*10000000+0*1000000+19*1000+2))</f>
        <v/>
      </c>
      <c r="EG178" s="35">
        <f>IF(N('Dvd Calendar'!$G$1759)=0,"",IF(('Dvd Calendar'!$G$1759&gt;=GRID_FROM)*('Dvd Calendar'!$G$1759&lt;=GRID_TO)*('Dvd Calendar'!$G$1759&lt;=VAL_DATE)=0,"",'Dvd Calendar'!$G$1759*1000000000+ISNUMBER('Dvd Calendar'!$G$1762)*100000000+('Dvd Calendar'!$G$1764=SPECIAL_LBL)*10000000+0*1000000+19*1000+3))</f>
        <v/>
      </c>
      <c r="EH178" s="35">
        <f>IF(N('Dvd Calendar'!$H$1759)=0,"",IF(('Dvd Calendar'!$H$1759&gt;=GRID_FROM)*('Dvd Calendar'!$H$1759&lt;=GRID_TO)*('Dvd Calendar'!$H$1759&lt;=VAL_DATE)=0,"",'Dvd Calendar'!$H$1759*1000000000+ISNUMBER('Dvd Calendar'!$H$1762)*100000000+('Dvd Calendar'!$H$1764=SPECIAL_LBL)*10000000+0*1000000+19*1000+4))</f>
        <v/>
      </c>
      <c r="EI178" s="35">
        <f>IF(N('Dvd Calendar'!$I$1759)=0,"",IF(('Dvd Calendar'!$I$1759&gt;=GRID_FROM)*('Dvd Calendar'!$I$1759&lt;=GRID_TO)*('Dvd Calendar'!$I$1759&lt;=VAL_DATE)=0,"",'Dvd Calendar'!$I$1759*1000000000+ISNUMBER('Dvd Calendar'!$I$1762)*100000000+('Dvd Calendar'!$I$1764=SPECIAL_LBL)*10000000+0*1000000+19*1000+5))</f>
        <v/>
      </c>
      <c r="EJ178" s="35">
        <f>IF(N('Dvd Calendar'!$J$1759)=0,"",IF(('Dvd Calendar'!$J$1759&gt;=GRID_FROM)*('Dvd Calendar'!$J$1759&lt;=GRID_TO)*('Dvd Calendar'!$J$1759&lt;=VAL_DATE)=0,"",'Dvd Calendar'!$J$1759*1000000000+ISNUMBER('Dvd Calendar'!$J$1762)*100000000+('Dvd Calendar'!$J$1764=SPECIAL_LBL)*10000000+0*1000000+19*1000+6))</f>
        <v/>
      </c>
      <c r="EK178" s="35">
        <f>IF(N('Dvd Calendar'!$K$1759)=0,"",IF(('Dvd Calendar'!$K$1759&gt;=GRID_FROM)*('Dvd Calendar'!$K$1759&lt;=GRID_TO)*('Dvd Calendar'!$K$1759&lt;=VAL_DATE)=0,"",'Dvd Calendar'!$K$1759*1000000000+ISNUMBER('Dvd Calendar'!$K$1762)*100000000+('Dvd Calendar'!$K$1764=SPECIAL_LBL)*10000000+0*1000000+19*1000+7))</f>
        <v/>
      </c>
      <c r="EL178" s="35">
        <f>IF(N('Dvd Calendar'!$L$1759)=0,"",IF(('Dvd Calendar'!$L$1759&gt;=GRID_FROM)*('Dvd Calendar'!$L$1759&lt;=GRID_TO)*('Dvd Calendar'!$L$1759&lt;=VAL_DATE)=0,"",'Dvd Calendar'!$L$1759*1000000000+ISNUMBER('Dvd Calendar'!$L$1762)*100000000+('Dvd Calendar'!$L$1764=SPECIAL_LBL)*10000000+0*1000000+19*1000+8))</f>
        <v/>
      </c>
      <c r="EM178" s="35">
        <f>IF(N('Dvd Calendar'!$M$1759)=0,"",IF(('Dvd Calendar'!$M$1759&gt;=GRID_FROM)*('Dvd Calendar'!$M$1759&lt;=GRID_TO)*('Dvd Calendar'!$M$1759&lt;=VAL_DATE)=0,"",'Dvd Calendar'!$M$1759*1000000000+ISNUMBER('Dvd Calendar'!$M$1762)*100000000+('Dvd Calendar'!$M$1764=SPECIAL_LBL)*10000000+0*1000000+19*1000+9))</f>
        <v/>
      </c>
      <c r="EN178" s="35">
        <f>IF(N('Dvd Calendar'!$N$1759)=0,"",IF(('Dvd Calendar'!$N$1759&gt;=GRID_FROM)*('Dvd Calendar'!$N$1759&lt;=GRID_TO)*('Dvd Calendar'!$N$1759&lt;=VAL_DATE)=0,"",'Dvd Calendar'!$N$1759*1000000000+ISNUMBER('Dvd Calendar'!$N$1762)*100000000+('Dvd Calendar'!$N$1764=SPECIAL_LBL)*10000000+0*1000000+19*1000+10))</f>
        <v/>
      </c>
      <c r="EO178" s="35">
        <f>IF(N('Dvd Calendar'!$O$1759)=0,"",IF(('Dvd Calendar'!$O$1759&gt;=GRID_FROM)*('Dvd Calendar'!$O$1759&lt;=GRID_TO)*('Dvd Calendar'!$O$1759&lt;=VAL_DATE)=0,"",'Dvd Calendar'!$O$1759*1000000000+ISNUMBER('Dvd Calendar'!$O$1762)*100000000+('Dvd Calendar'!$O$1764=SPECIAL_LBL)*10000000+0*1000000+19*1000+11))</f>
        <v/>
      </c>
      <c r="EP178" s="35">
        <f>IF(N('Dvd Calendar'!$P$1759)=0,"",IF(('Dvd Calendar'!$P$1759&gt;=GRID_FROM)*('Dvd Calendar'!$P$1759&lt;=GRID_TO)*('Dvd Calendar'!$P$1759&lt;=VAL_DATE)=0,"",'Dvd Calendar'!$P$1759*1000000000+ISNUMBER('Dvd Calendar'!$P$1762)*100000000+('Dvd Calendar'!$P$1764=SPECIAL_LBL)*10000000+0*1000000+19*1000+12))</f>
        <v/>
      </c>
      <c r="EQ178" s="35">
        <f>IF(N('Dvd Calendar'!$Q$1759)=0,"",IF(('Dvd Calendar'!$Q$1759&gt;=GRID_FROM)*('Dvd Calendar'!$Q$1759&lt;=GRID_TO)*('Dvd Calendar'!$Q$1759&lt;=VAL_DATE)=0,"",'Dvd Calendar'!$Q$1759*1000000000+ISNUMBER('Dvd Calendar'!$Q$1762)*100000000+('Dvd Calendar'!$Q$1764=SPECIAL_LBL)*10000000+0*1000000+19*1000+13))</f>
        <v/>
      </c>
      <c r="ER178" s="35">
        <f>IF(N('Dvd Calendar'!$R$1759)=0,"",IF(('Dvd Calendar'!$R$1759&gt;=GRID_FROM)*('Dvd Calendar'!$R$1759&lt;=GRID_TO)*('Dvd Calendar'!$R$1759&lt;=VAL_DATE)=0,"",'Dvd Calendar'!$R$1759*1000000000+ISNUMBER('Dvd Calendar'!$R$1762)*100000000+('Dvd Calendar'!$R$1764=SPECIAL_LBL)*10000000+0*1000000+19*1000+14))</f>
        <v/>
      </c>
      <c r="ES178" s="35">
        <f>IF(N('Dvd Calendar'!$S$1759)=0,"",IF(('Dvd Calendar'!$S$1759&gt;=GRID_FROM)*('Dvd Calendar'!$S$1759&lt;=GRID_TO)*('Dvd Calendar'!$S$1759&lt;=VAL_DATE)=0,"",'Dvd Calendar'!$S$1759*1000000000+ISNUMBER('Dvd Calendar'!$S$1762)*100000000+('Dvd Calendar'!$S$1764=SPECIAL_LBL)*10000000+0*1000000+19*1000+15))</f>
        <v/>
      </c>
      <c r="ET178" s="35">
        <f>IF(N('Dvd Calendar'!$T$1759)=0,"",IF(('Dvd Calendar'!$T$1759&gt;=GRID_FROM)*('Dvd Calendar'!$T$1759&lt;=GRID_TO)*('Dvd Calendar'!$T$1759&lt;=VAL_DATE)=0,"",'Dvd Calendar'!$T$1759*1000000000+ISNUMBER('Dvd Calendar'!$T$1762)*100000000+('Dvd Calendar'!$T$1764=SPECIAL_LBL)*10000000+0*1000000+19*1000+16))</f>
        <v/>
      </c>
      <c r="EU178" s="35">
        <f>IF(N('Dvd Calendar'!$U$1759)=0,"",IF(('Dvd Calendar'!$U$1759&gt;=GRID_FROM)*('Dvd Calendar'!$U$1759&lt;=GRID_TO)*('Dvd Calendar'!$U$1759&lt;=VAL_DATE)=0,"",'Dvd Calendar'!$U$1759*1000000000+ISNUMBER('Dvd Calendar'!$U$1762)*100000000+('Dvd Calendar'!$U$1764=SPECIAL_LBL)*10000000+0*1000000+19*1000+17))</f>
        <v/>
      </c>
      <c r="EV178" s="35">
        <f>IF(N('Dvd Calendar'!$V$1759)=0,"",IF(('Dvd Calendar'!$V$1759&gt;=GRID_FROM)*('Dvd Calendar'!$V$1759&lt;=GRID_TO)*('Dvd Calendar'!$V$1759&lt;=VAL_DATE)=0,"",'Dvd Calendar'!$V$1759*1000000000+ISNUMBER('Dvd Calendar'!$V$1762)*100000000+('Dvd Calendar'!$V$1764=SPECIAL_LBL)*10000000+0*1000000+19*1000+18))</f>
        <v/>
      </c>
      <c r="EW178" s="35">
        <f>IF(N('Dvd Calendar'!$W$1759)=0,"",IF(('Dvd Calendar'!$W$1759&gt;=GRID_FROM)*('Dvd Calendar'!$W$1759&lt;=GRID_TO)*('Dvd Calendar'!$W$1759&lt;=VAL_DATE)=0,"",'Dvd Calendar'!$W$1759*1000000000+ISNUMBER('Dvd Calendar'!$W$1762)*100000000+('Dvd Calendar'!$W$1764=SPECIAL_LBL)*10000000+0*1000000+19*1000+19))</f>
        <v/>
      </c>
      <c r="EX178" s="35">
        <f>IF(N('Dvd Calendar'!$X$1759)=0,"",IF(('Dvd Calendar'!$X$1759&gt;=GRID_FROM)*('Dvd Calendar'!$X$1759&lt;=GRID_TO)*('Dvd Calendar'!$X$1759&lt;=VAL_DATE)=0,"",'Dvd Calendar'!$X$1759*1000000000+ISNUMBER('Dvd Calendar'!$X$1762)*100000000+('Dvd Calendar'!$X$1764=SPECIAL_LBL)*10000000+0*1000000+19*1000+20))</f>
        <v/>
      </c>
      <c r="EY178" s="35">
        <f>IF(N('Dvd Calendar'!$Y$1759)=0,"",IF(('Dvd Calendar'!$Y$1759&gt;=GRID_FROM)*('Dvd Calendar'!$Y$1759&lt;=GRID_TO)*('Dvd Calendar'!$Y$1759&lt;=VAL_DATE)=0,"",'Dvd Calendar'!$Y$1759*1000000000+ISNUMBER('Dvd Calendar'!$Y$1762)*100000000+('Dvd Calendar'!$Y$1764=SPECIAL_LBL)*10000000+0*1000000+19*1000+21))</f>
        <v/>
      </c>
      <c r="EZ178" s="35">
        <f>IF(N('Dvd Calendar'!$Z$1759)=0,"",IF(('Dvd Calendar'!$Z$1759&gt;=GRID_FROM)*('Dvd Calendar'!$Z$1759&lt;=GRID_TO)*('Dvd Calendar'!$Z$1759&lt;=VAL_DATE)=0,"",'Dvd Calendar'!$Z$1759*1000000000+ISNUMBER('Dvd Calendar'!$Z$1762)*100000000+('Dvd Calendar'!$Z$1764=SPECIAL_LBL)*10000000+0*1000000+19*1000+22))</f>
        <v/>
      </c>
      <c r="FA178" s="35">
        <f>IF(N('Dvd Calendar'!$AA$1759)=0,"",IF(('Dvd Calendar'!$AA$1759&gt;=GRID_FROM)*('Dvd Calendar'!$AA$1759&lt;=GRID_TO)*('Dvd Calendar'!$AA$1759&lt;=VAL_DATE)=0,"",'Dvd Calendar'!$AA$1759*1000000000+ISNUMBER('Dvd Calendar'!$AA$1762)*100000000+('Dvd Calendar'!$AA$1764=SPECIAL_LBL)*10000000+0*1000000+19*1000+23))</f>
        <v/>
      </c>
      <c r="FB178" s="35">
        <f>IF(N('Dvd Calendar'!$AB$1759)=0,"",IF(('Dvd Calendar'!$AB$1759&gt;=GRID_FROM)*('Dvd Calendar'!$AB$1759&lt;=GRID_TO)*('Dvd Calendar'!$AB$1759&lt;=VAL_DATE)=0,"",'Dvd Calendar'!$AB$1759*1000000000+ISNUMBER('Dvd Calendar'!$AB$1762)*100000000+('Dvd Calendar'!$AB$1764=SPECIAL_LBL)*10000000+0*1000000+19*1000+24))</f>
        <v/>
      </c>
      <c r="FC178" s="35">
        <f>IF(N('Dvd Calendar'!$AC$1759)=0,"",IF(('Dvd Calendar'!$AC$1759&gt;=GRID_FROM)*('Dvd Calendar'!$AC$1759&lt;=GRID_TO)*('Dvd Calendar'!$AC$1759&lt;=VAL_DATE)=0,"",'Dvd Calendar'!$AC$1759*1000000000+ISNUMBER('Dvd Calendar'!$AC$1762)*100000000+('Dvd Calendar'!$AC$1764=SPECIAL_LBL)*10000000+0*1000000+19*1000+25))</f>
        <v/>
      </c>
      <c r="FD178" s="35">
        <f>IF(N('Dvd Calendar'!$AD$1759)=0,"",IF(('Dvd Calendar'!$AD$1759&gt;=GRID_FROM)*('Dvd Calendar'!$AD$1759&lt;=GRID_TO)*('Dvd Calendar'!$AD$1759&lt;=VAL_DATE)=0,"",'Dvd Calendar'!$AD$1759*1000000000+ISNUMBER('Dvd Calendar'!$AD$1762)*100000000+('Dvd Calendar'!$AD$1764=SPECIAL_LBL)*10000000+0*1000000+19*1000+26))</f>
        <v/>
      </c>
      <c r="FE178" s="35">
        <f>IF(N('Dvd Calendar'!$AE$1759)=0,"",IF(('Dvd Calendar'!$AE$1759&gt;=GRID_FROM)*('Dvd Calendar'!$AE$1759&lt;=GRID_TO)*('Dvd Calendar'!$AE$1759&lt;=VAL_DATE)=0,"",'Dvd Calendar'!$AE$1759*1000000000+ISNUMBER('Dvd Calendar'!$AE$1762)*100000000+('Dvd Calendar'!$AE$1764=SPECIAL_LBL)*10000000+0*1000000+19*1000+27))</f>
        <v/>
      </c>
      <c r="FF178" s="35">
        <f>IF(N('Dvd Calendar'!$AF$1759)=0,"",IF(('Dvd Calendar'!$AF$1759&gt;=GRID_FROM)*('Dvd Calendar'!$AF$1759&lt;=GRID_TO)*('Dvd Calendar'!$AF$1759&lt;=VAL_DATE)=0,"",'Dvd Calendar'!$AF$1759*1000000000+ISNUMBER('Dvd Calendar'!$AF$1762)*100000000+('Dvd Calendar'!$AF$1764=SPECIAL_LBL)*10000000+0*1000000+19*1000+28))</f>
        <v/>
      </c>
      <c r="FG178" s="35">
        <f>IF(N('Dvd Calendar'!$AG$1759)=0,"",IF(('Dvd Calendar'!$AG$1759&gt;=GRID_FROM)*('Dvd Calendar'!$AG$1759&lt;=GRID_TO)*('Dvd Calendar'!$AG$1759&lt;=VAL_DATE)=0,"",'Dvd Calendar'!$AG$1759*1000000000+ISNUMBER('Dvd Calendar'!$AG$1762)*100000000+('Dvd Calendar'!$AG$1764=SPECIAL_LBL)*10000000+0*1000000+19*1000+29))</f>
        <v/>
      </c>
      <c r="FH178" s="35">
        <f>IF(N('Dvd Calendar'!$AH$1759)=0,"",IF(('Dvd Calendar'!$AH$1759&gt;=GRID_FROM)*('Dvd Calendar'!$AH$1759&lt;=GRID_TO)*('Dvd Calendar'!$AH$1759&lt;=VAL_DATE)=0,"",'Dvd Calendar'!$AH$1759*1000000000+ISNUMBER('Dvd Calendar'!$AH$1762)*100000000+('Dvd Calendar'!$AH$1764=SPECIAL_LBL)*10000000+0*1000000+19*1000+30))</f>
        <v/>
      </c>
      <c r="FI178" s="35">
        <f>IF(N('Dvd Calendar'!$AI$1759)=0,"",IF(('Dvd Calendar'!$AI$1759&gt;=GRID_FROM)*('Dvd Calendar'!$AI$1759&lt;=GRID_TO)*('Dvd Calendar'!$AI$1759&lt;=VAL_DATE)=0,"",'Dvd Calendar'!$AI$1759*1000000000+ISNUMBER('Dvd Calendar'!$AI$1762)*100000000+('Dvd Calendar'!$AI$1764=SPECIAL_LBL)*10000000+0*1000000+19*1000+31))</f>
        <v/>
      </c>
      <c r="FJ178" s="35">
        <f>IF(N('Dvd Calendar'!$AJ$1759)=0,"",IF(('Dvd Calendar'!$AJ$1759&gt;=GRID_FROM)*('Dvd Calendar'!$AJ$1759&lt;=GRID_TO)*('Dvd Calendar'!$AJ$1759&lt;=VAL_DATE)=0,"",'Dvd Calendar'!$AJ$1759*1000000000+ISNUMBER('Dvd Calendar'!$AJ$1762)*100000000+('Dvd Calendar'!$AJ$1764=SPECIAL_LBL)*10000000+0*1000000+19*1000+32))</f>
        <v/>
      </c>
      <c r="FK178" s="35">
        <f>IF(N('Dvd Calendar'!$AK$1759)=0,"",IF(('Dvd Calendar'!$AK$1759&gt;=GRID_FROM)*('Dvd Calendar'!$AK$1759&lt;=GRID_TO)*('Dvd Calendar'!$AK$1759&lt;=VAL_DATE)=0,"",'Dvd Calendar'!$AK$1759*1000000000+ISNUMBER('Dvd Calendar'!$AK$1762)*100000000+('Dvd Calendar'!$AK$1764=SPECIAL_LBL)*10000000+0*1000000+19*1000+33))</f>
        <v/>
      </c>
      <c r="FL178" s="35">
        <f>IF(N('Dvd Calendar'!$AL$1759)=0,"",IF(('Dvd Calendar'!$AL$1759&gt;=GRID_FROM)*('Dvd Calendar'!$AL$1759&lt;=GRID_TO)*('Dvd Calendar'!$AL$1759&lt;=VAL_DATE)=0,"",'Dvd Calendar'!$AL$1759*1000000000+ISNUMBER('Dvd Calendar'!$AL$1762)*100000000+('Dvd Calendar'!$AL$1764=SPECIAL_LBL)*10000000+0*1000000+19*1000+34))</f>
        <v/>
      </c>
      <c r="FM178" s="35">
        <f>IF(N('Dvd Calendar'!$AM$1759)=0,"",IF(('Dvd Calendar'!$AM$1759&gt;=GRID_FROM)*('Dvd Calendar'!$AM$1759&lt;=GRID_TO)*('Dvd Calendar'!$AM$1759&lt;=VAL_DATE)=0,"",'Dvd Calendar'!$AM$1759*1000000000+ISNUMBER('Dvd Calendar'!$AM$1762)*100000000+('Dvd Calendar'!$AM$1764=SPECIAL_LBL)*10000000+0*1000000+19*1000+35))</f>
        <v/>
      </c>
      <c r="FN178" s="35">
        <f>IF(N('Dvd Calendar'!$AN$1759)=0,"",IF(('Dvd Calendar'!$AN$1759&gt;=GRID_FROM)*('Dvd Calendar'!$AN$1759&lt;=GRID_TO)*('Dvd Calendar'!$AN$1759&lt;=VAL_DATE)=0,"",'Dvd Calendar'!$AN$1759*1000000000+ISNUMBER('Dvd Calendar'!$AN$1762)*100000000+('Dvd Calendar'!$AN$1764=SPECIAL_LBL)*10000000+0*1000000+19*1000+36))</f>
        <v/>
      </c>
      <c r="FO178" s="35">
        <f>IF(N('Dvd Calendar'!$AO$1759)=0,"",IF(('Dvd Calendar'!$AO$1759&gt;=GRID_FROM)*('Dvd Calendar'!$AO$1759&lt;=GRID_TO)*('Dvd Calendar'!$AO$1759&lt;=VAL_DATE)=0,"",'Dvd Calendar'!$AO$1759*1000000000+ISNUMBER('Dvd Calendar'!$AO$1762)*100000000+('Dvd Calendar'!$AO$1764=SPECIAL_LBL)*10000000+0*1000000+19*1000+37))</f>
        <v/>
      </c>
      <c r="FP178" s="35">
        <f>IF(N('Dvd Calendar'!$AP$1759)=0,"",IF(('Dvd Calendar'!$AP$1759&gt;=GRID_FROM)*('Dvd Calendar'!$AP$1759&lt;=GRID_TO)*('Dvd Calendar'!$AP$1759&lt;=VAL_DATE)=0,"",'Dvd Calendar'!$AP$1759*1000000000+ISNUMBER('Dvd Calendar'!$AP$1762)*100000000+('Dvd Calendar'!$AP$1764=SPECIAL_LBL)*10000000+0*1000000+19*1000+38))</f>
        <v/>
      </c>
      <c r="FQ178" s="35">
        <f>IF(N('Dvd Calendar'!$AQ$1759)=0,"",IF(('Dvd Calendar'!$AQ$1759&gt;=GRID_FROM)*('Dvd Calendar'!$AQ$1759&lt;=GRID_TO)*('Dvd Calendar'!$AQ$1759&lt;=VAL_DATE)=0,"",'Dvd Calendar'!$AQ$1759*1000000000+ISNUMBER('Dvd Calendar'!$AQ$1762)*100000000+('Dvd Calendar'!$AQ$1764=SPECIAL_LBL)*10000000+0*1000000+19*1000+39))</f>
        <v/>
      </c>
      <c r="FR178" s="35">
        <f>IF(N('Dvd Calendar'!$AR$1759)=0,"",IF(('Dvd Calendar'!$AR$1759&gt;=GRID_FROM)*('Dvd Calendar'!$AR$1759&lt;=GRID_TO)*('Dvd Calendar'!$AR$1759&lt;=VAL_DATE)=0,"",'Dvd Calendar'!$AR$1759*1000000000+ISNUMBER('Dvd Calendar'!$AR$1762)*100000000+('Dvd Calendar'!$AR$1764=SPECIAL_LBL)*10000000+0*1000000+19*1000+40))</f>
        <v/>
      </c>
      <c r="FS178" s="35">
        <f>IF(N('Dvd Calendar'!$E$1766)=0,"",IF(('Dvd Calendar'!$E$1766&gt;=GRID_FROM)*('Dvd Calendar'!$E$1766&lt;=GRID_TO)*('Dvd Calendar'!$E$1766&gt;VAL_DATE)=0,"",'Dvd Calendar'!$E$1766*1000000000+ISNUMBER('Dvd Calendar'!$E$1767)*100000000+0*10000000+(N('Dvd Calendar'!$E$1765)&gt;0)*(N('Dvd Calendar'!$E$1765)&lt;=VAL_SERIAL)*1000000+19*1000+41))</f>
        <v/>
      </c>
      <c r="FT178" s="35">
        <f>IF(N('Dvd Calendar'!$F$1766)=0,"",IF(('Dvd Calendar'!$F$1766&gt;=GRID_FROM)*('Dvd Calendar'!$F$1766&lt;=GRID_TO)*('Dvd Calendar'!$F$1766&gt;VAL_DATE)=0,"",'Dvd Calendar'!$F$1766*1000000000+ISNUMBER('Dvd Calendar'!$F$1767)*100000000+0*10000000+(N('Dvd Calendar'!$F$1765)&gt;0)*(N('Dvd Calendar'!$F$1765)&lt;=VAL_SERIAL)*1000000+19*1000+42))</f>
        <v/>
      </c>
      <c r="FU178" s="35">
        <f>IF(N('Dvd Calendar'!$G$1766)=0,"",IF(('Dvd Calendar'!$G$1766&gt;=GRID_FROM)*('Dvd Calendar'!$G$1766&lt;=GRID_TO)*('Dvd Calendar'!$G$1766&gt;VAL_DATE)=0,"",'Dvd Calendar'!$G$1766*1000000000+ISNUMBER('Dvd Calendar'!$G$1767)*100000000+0*10000000+(N('Dvd Calendar'!$G$1765)&gt;0)*(N('Dvd Calendar'!$G$1765)&lt;=VAL_SERIAL)*1000000+19*1000+43))</f>
        <v/>
      </c>
      <c r="FV178" s="35">
        <f>IF(N('Dvd Calendar'!$H$1766)=0,"",IF(('Dvd Calendar'!$H$1766&gt;=GRID_FROM)*('Dvd Calendar'!$H$1766&lt;=GRID_TO)*('Dvd Calendar'!$H$1766&gt;VAL_DATE)=0,"",'Dvd Calendar'!$H$1766*1000000000+ISNUMBER('Dvd Calendar'!$H$1767)*100000000+0*10000000+(N('Dvd Calendar'!$H$1765)&gt;0)*(N('Dvd Calendar'!$H$1765)&lt;=VAL_SERIAL)*1000000+19*1000+44))</f>
        <v/>
      </c>
      <c r="FW178" s="35">
        <f>IF(N('Dvd Calendar'!$I$1766)=0,"",IF(('Dvd Calendar'!$I$1766&gt;=GRID_FROM)*('Dvd Calendar'!$I$1766&lt;=GRID_TO)*('Dvd Calendar'!$I$1766&gt;VAL_DATE)=0,"",'Dvd Calendar'!$I$1766*1000000000+ISNUMBER('Dvd Calendar'!$I$1767)*100000000+0*10000000+(N('Dvd Calendar'!$I$1765)&gt;0)*(N('Dvd Calendar'!$I$1765)&lt;=VAL_SERIAL)*1000000+19*1000+45))</f>
        <v/>
      </c>
      <c r="FX178" s="35">
        <f>IF(N('Dvd Calendar'!$J$1766)=0,"",IF(('Dvd Calendar'!$J$1766&gt;=GRID_FROM)*('Dvd Calendar'!$J$1766&lt;=GRID_TO)*('Dvd Calendar'!$J$1766&gt;VAL_DATE)=0,"",'Dvd Calendar'!$J$1766*1000000000+ISNUMBER('Dvd Calendar'!$J$1767)*100000000+0*10000000+(N('Dvd Calendar'!$J$1765)&gt;0)*(N('Dvd Calendar'!$J$1765)&lt;=VAL_SERIAL)*1000000+19*1000+46))</f>
        <v/>
      </c>
      <c r="FY178" s="35">
        <f>IF(N('Dvd Calendar'!$K$1766)=0,"",IF(('Dvd Calendar'!$K$1766&gt;=GRID_FROM)*('Dvd Calendar'!$K$1766&lt;=GRID_TO)*('Dvd Calendar'!$K$1766&gt;VAL_DATE)=0,"",'Dvd Calendar'!$K$1766*1000000000+ISNUMBER('Dvd Calendar'!$K$1767)*100000000+0*10000000+(N('Dvd Calendar'!$K$1765)&gt;0)*(N('Dvd Calendar'!$K$1765)&lt;=VAL_SERIAL)*1000000+19*1000+47))</f>
        <v/>
      </c>
      <c r="FZ178" s="35">
        <f>IF(N('Dvd Calendar'!$L$1766)=0,"",IF(('Dvd Calendar'!$L$1766&gt;=GRID_FROM)*('Dvd Calendar'!$L$1766&lt;=GRID_TO)*('Dvd Calendar'!$L$1766&gt;VAL_DATE)=0,"",'Dvd Calendar'!$L$1766*1000000000+ISNUMBER('Dvd Calendar'!$L$1767)*100000000+0*10000000+(N('Dvd Calendar'!$L$1765)&gt;0)*(N('Dvd Calendar'!$L$1765)&lt;=VAL_SERIAL)*1000000+19*1000+48))</f>
        <v/>
      </c>
      <c r="GA178" s="35">
        <f>IF(N('Dvd Calendar'!$M$1766)=0,"",IF(('Dvd Calendar'!$M$1766&gt;=GRID_FROM)*('Dvd Calendar'!$M$1766&lt;=GRID_TO)*('Dvd Calendar'!$M$1766&gt;VAL_DATE)=0,"",'Dvd Calendar'!$M$1766*1000000000+ISNUMBER('Dvd Calendar'!$M$1767)*100000000+0*10000000+(N('Dvd Calendar'!$M$1765)&gt;0)*(N('Dvd Calendar'!$M$1765)&lt;=VAL_SERIAL)*1000000+19*1000+49))</f>
        <v/>
      </c>
      <c r="GB178" s="35">
        <f>IF(N('Dvd Calendar'!$N$1766)=0,"",IF(('Dvd Calendar'!$N$1766&gt;=GRID_FROM)*('Dvd Calendar'!$N$1766&lt;=GRID_TO)*('Dvd Calendar'!$N$1766&gt;VAL_DATE)=0,"",'Dvd Calendar'!$N$1766*1000000000+ISNUMBER('Dvd Calendar'!$N$1767)*100000000+0*10000000+(N('Dvd Calendar'!$N$1765)&gt;0)*(N('Dvd Calendar'!$N$1765)&lt;=VAL_SERIAL)*1000000+19*1000+50))</f>
        <v/>
      </c>
      <c r="GC178" s="35">
        <f>IF(N('Dvd Calendar'!$O$1766)=0,"",IF(('Dvd Calendar'!$O$1766&gt;=GRID_FROM)*('Dvd Calendar'!$O$1766&lt;=GRID_TO)*('Dvd Calendar'!$O$1766&gt;VAL_DATE)=0,"",'Dvd Calendar'!$O$1766*1000000000+ISNUMBER('Dvd Calendar'!$O$1767)*100000000+0*10000000+(N('Dvd Calendar'!$O$1765)&gt;0)*(N('Dvd Calendar'!$O$1765)&lt;=VAL_SERIAL)*1000000+19*1000+51))</f>
        <v/>
      </c>
      <c r="GD178" s="35">
        <f>IF(N('Dvd Calendar'!$P$1766)=0,"",IF(('Dvd Calendar'!$P$1766&gt;=GRID_FROM)*('Dvd Calendar'!$P$1766&lt;=GRID_TO)*('Dvd Calendar'!$P$1766&gt;VAL_DATE)=0,"",'Dvd Calendar'!$P$1766*1000000000+ISNUMBER('Dvd Calendar'!$P$1767)*100000000+0*10000000+(N('Dvd Calendar'!$P$1765)&gt;0)*(N('Dvd Calendar'!$P$1765)&lt;=VAL_SERIAL)*1000000+19*1000+52))</f>
        <v/>
      </c>
      <c r="GE178" s="35">
        <f>IF(N('Dvd Calendar'!$Q$1766)=0,"",IF(('Dvd Calendar'!$Q$1766&gt;=GRID_FROM)*('Dvd Calendar'!$Q$1766&lt;=GRID_TO)*('Dvd Calendar'!$Q$1766&gt;VAL_DATE)=0,"",'Dvd Calendar'!$Q$1766*1000000000+ISNUMBER('Dvd Calendar'!$Q$1767)*100000000+0*10000000+(N('Dvd Calendar'!$Q$1765)&gt;0)*(N('Dvd Calendar'!$Q$1765)&lt;=VAL_SERIAL)*1000000+19*1000+53))</f>
        <v/>
      </c>
      <c r="GF178" s="35">
        <f>IF(N('Dvd Calendar'!$R$1766)=0,"",IF(('Dvd Calendar'!$R$1766&gt;=GRID_FROM)*('Dvd Calendar'!$R$1766&lt;=GRID_TO)*('Dvd Calendar'!$R$1766&gt;VAL_DATE)=0,"",'Dvd Calendar'!$R$1766*1000000000+ISNUMBER('Dvd Calendar'!$R$1767)*100000000+0*10000000+(N('Dvd Calendar'!$R$1765)&gt;0)*(N('Dvd Calendar'!$R$1765)&lt;=VAL_SERIAL)*1000000+19*1000+54))</f>
        <v/>
      </c>
      <c r="GG178" s="35">
        <f>IF(N('Dvd Calendar'!$S$1766)=0,"",IF(('Dvd Calendar'!$S$1766&gt;=GRID_FROM)*('Dvd Calendar'!$S$1766&lt;=GRID_TO)*('Dvd Calendar'!$S$1766&gt;VAL_DATE)=0,"",'Dvd Calendar'!$S$1766*1000000000+ISNUMBER('Dvd Calendar'!$S$1767)*100000000+0*10000000+(N('Dvd Calendar'!$S$1765)&gt;0)*(N('Dvd Calendar'!$S$1765)&lt;=VAL_SERIAL)*1000000+19*1000+55))</f>
        <v/>
      </c>
      <c r="GH178" s="35">
        <f>IF(N('Dvd Calendar'!$T$1766)=0,"",IF(('Dvd Calendar'!$T$1766&gt;=GRID_FROM)*('Dvd Calendar'!$T$1766&lt;=GRID_TO)*('Dvd Calendar'!$T$1766&gt;VAL_DATE)=0,"",'Dvd Calendar'!$T$1766*1000000000+ISNUMBER('Dvd Calendar'!$T$1767)*100000000+0*10000000+(N('Dvd Calendar'!$T$1765)&gt;0)*(N('Dvd Calendar'!$T$1765)&lt;=VAL_SERIAL)*1000000+19*1000+56))</f>
        <v/>
      </c>
      <c r="GI178" s="35">
        <f>IF(N('Dvd Calendar'!$U$1766)=0,"",IF(('Dvd Calendar'!$U$1766&gt;=GRID_FROM)*('Dvd Calendar'!$U$1766&lt;=GRID_TO)*('Dvd Calendar'!$U$1766&gt;VAL_DATE)=0,"",'Dvd Calendar'!$U$1766*1000000000+ISNUMBER('Dvd Calendar'!$U$1767)*100000000+0*10000000+(N('Dvd Calendar'!$U$1765)&gt;0)*(N('Dvd Calendar'!$U$1765)&lt;=VAL_SERIAL)*1000000+19*1000+57))</f>
        <v/>
      </c>
      <c r="GJ178" s="35">
        <f>IF(N('Dvd Calendar'!$V$1766)=0,"",IF(('Dvd Calendar'!$V$1766&gt;=GRID_FROM)*('Dvd Calendar'!$V$1766&lt;=GRID_TO)*('Dvd Calendar'!$V$1766&gt;VAL_DATE)=0,"",'Dvd Calendar'!$V$1766*1000000000+ISNUMBER('Dvd Calendar'!$V$1767)*100000000+0*10000000+(N('Dvd Calendar'!$V$1765)&gt;0)*(N('Dvd Calendar'!$V$1765)&lt;=VAL_SERIAL)*1000000+19*1000+58))</f>
        <v/>
      </c>
      <c r="GK178" s="35">
        <f>IF(N('Dvd Calendar'!$W$1766)=0,"",IF(('Dvd Calendar'!$W$1766&gt;=GRID_FROM)*('Dvd Calendar'!$W$1766&lt;=GRID_TO)*('Dvd Calendar'!$W$1766&gt;VAL_DATE)=0,"",'Dvd Calendar'!$W$1766*1000000000+ISNUMBER('Dvd Calendar'!$W$1767)*100000000+0*10000000+(N('Dvd Calendar'!$W$1765)&gt;0)*(N('Dvd Calendar'!$W$1765)&lt;=VAL_SERIAL)*1000000+19*1000+59))</f>
        <v/>
      </c>
      <c r="GL178" s="35">
        <f>IF(N('Dvd Calendar'!$X$1766)=0,"",IF(('Dvd Calendar'!$X$1766&gt;=GRID_FROM)*('Dvd Calendar'!$X$1766&lt;=GRID_TO)*('Dvd Calendar'!$X$1766&gt;VAL_DATE)=0,"",'Dvd Calendar'!$X$1766*1000000000+ISNUMBER('Dvd Calendar'!$X$1767)*100000000+0*10000000+(N('Dvd Calendar'!$X$1765)&gt;0)*(N('Dvd Calendar'!$X$1765)&lt;=VAL_SERIAL)*1000000+19*1000+60))</f>
        <v/>
      </c>
      <c r="GM178" s="35">
        <f>IF(N('Dvd Calendar'!$Y$1766)=0,"",IF(('Dvd Calendar'!$Y$1766&gt;=GRID_FROM)*('Dvd Calendar'!$Y$1766&lt;=GRID_TO)*('Dvd Calendar'!$Y$1766&gt;VAL_DATE)=0,"",'Dvd Calendar'!$Y$1766*1000000000+ISNUMBER('Dvd Calendar'!$Y$1767)*100000000+0*10000000+(N('Dvd Calendar'!$Y$1765)&gt;0)*(N('Dvd Calendar'!$Y$1765)&lt;=VAL_SERIAL)*1000000+19*1000+61))</f>
        <v/>
      </c>
      <c r="GN178" s="35">
        <f>IF(N('Dvd Calendar'!$Z$1766)=0,"",IF(('Dvd Calendar'!$Z$1766&gt;=GRID_FROM)*('Dvd Calendar'!$Z$1766&lt;=GRID_TO)*('Dvd Calendar'!$Z$1766&gt;VAL_DATE)=0,"",'Dvd Calendar'!$Z$1766*1000000000+ISNUMBER('Dvd Calendar'!$Z$1767)*100000000+0*10000000+(N('Dvd Calendar'!$Z$1765)&gt;0)*(N('Dvd Calendar'!$Z$1765)&lt;=VAL_SERIAL)*1000000+19*1000+62))</f>
        <v/>
      </c>
      <c r="GO178" s="35">
        <f>IF(N('Dvd Calendar'!$AA$1766)=0,"",IF(('Dvd Calendar'!$AA$1766&gt;=GRID_FROM)*('Dvd Calendar'!$AA$1766&lt;=GRID_TO)*('Dvd Calendar'!$AA$1766&gt;VAL_DATE)=0,"",'Dvd Calendar'!$AA$1766*1000000000+ISNUMBER('Dvd Calendar'!$AA$1767)*100000000+0*10000000+(N('Dvd Calendar'!$AA$1765)&gt;0)*(N('Dvd Calendar'!$AA$1765)&lt;=VAL_SERIAL)*1000000+19*1000+63))</f>
        <v/>
      </c>
      <c r="GP178" s="35">
        <f>IF(N('Dvd Calendar'!$AB$1766)=0,"",IF(('Dvd Calendar'!$AB$1766&gt;=GRID_FROM)*('Dvd Calendar'!$AB$1766&lt;=GRID_TO)*('Dvd Calendar'!$AB$1766&gt;VAL_DATE)=0,"",'Dvd Calendar'!$AB$1766*1000000000+ISNUMBER('Dvd Calendar'!$AB$1767)*100000000+0*10000000+(N('Dvd Calendar'!$AB$1765)&gt;0)*(N('Dvd Calendar'!$AB$1765)&lt;=VAL_SERIAL)*1000000+19*1000+64))</f>
        <v/>
      </c>
      <c r="GQ178" s="35">
        <f>IF(N('Dvd Calendar'!$AC$1766)=0,"",IF(('Dvd Calendar'!$AC$1766&gt;=GRID_FROM)*('Dvd Calendar'!$AC$1766&lt;=GRID_TO)*('Dvd Calendar'!$AC$1766&gt;VAL_DATE)=0,"",'Dvd Calendar'!$AC$1766*1000000000+ISNUMBER('Dvd Calendar'!$AC$1767)*100000000+0*10000000+(N('Dvd Calendar'!$AC$1765)&gt;0)*(N('Dvd Calendar'!$AC$1765)&lt;=VAL_SERIAL)*1000000+19*1000+65))</f>
        <v/>
      </c>
    </row>
    <row r="179">
      <c r="B179" s="2">
        <f>IF(HSCEI!$C$26="","",HSCEI!$C$26)</f>
        <v/>
      </c>
      <c r="C179" s="106">
        <f>IF(EE179="","",IF(ISNUMBER('Dvd Calendar'!$E$1773)=FALSE,"",IF((('Dvd Calendar'!$E$1775=TYPE1)*(TYPE1&lt;&gt;"")+('Dvd Calendar'!$E$1775=TYPE2)*(TYPE2&lt;&gt;"")+('Dvd Calendar'!$E$1775=TYPE3)*(TYPE3&lt;&gt;"")+('Dvd Calendar'!$E$1775=TYPE4)*(TYPE4&lt;&gt;"")+('Dvd Calendar'!$E$1775=SPECIAL_LBL)*(INC_SPECIALS="Y"))=0,"",'Dvd Calendar'!$E$1773)))</f>
        <v/>
      </c>
      <c r="D179" s="106">
        <f>IF(EF179="","",IF(ISNUMBER('Dvd Calendar'!$F$1773)=FALSE,"",IF((('Dvd Calendar'!$F$1775=TYPE1)*(TYPE1&lt;&gt;"")+('Dvd Calendar'!$F$1775=TYPE2)*(TYPE2&lt;&gt;"")+('Dvd Calendar'!$F$1775=TYPE3)*(TYPE3&lt;&gt;"")+('Dvd Calendar'!$F$1775=TYPE4)*(TYPE4&lt;&gt;"")+('Dvd Calendar'!$F$1775=SPECIAL_LBL)*(INC_SPECIALS="Y"))=0,"",'Dvd Calendar'!$F$1773)))</f>
        <v/>
      </c>
      <c r="E179" s="106">
        <f>IF(EG179="","",IF(ISNUMBER('Dvd Calendar'!$G$1773)=FALSE,"",IF((('Dvd Calendar'!$G$1775=TYPE1)*(TYPE1&lt;&gt;"")+('Dvd Calendar'!$G$1775=TYPE2)*(TYPE2&lt;&gt;"")+('Dvd Calendar'!$G$1775=TYPE3)*(TYPE3&lt;&gt;"")+('Dvd Calendar'!$G$1775=TYPE4)*(TYPE4&lt;&gt;"")+('Dvd Calendar'!$G$1775=SPECIAL_LBL)*(INC_SPECIALS="Y"))=0,"",'Dvd Calendar'!$G$1773)))</f>
        <v/>
      </c>
      <c r="F179" s="106">
        <f>IF(EH179="","",IF(ISNUMBER('Dvd Calendar'!$H$1773)=FALSE,"",IF((('Dvd Calendar'!$H$1775=TYPE1)*(TYPE1&lt;&gt;"")+('Dvd Calendar'!$H$1775=TYPE2)*(TYPE2&lt;&gt;"")+('Dvd Calendar'!$H$1775=TYPE3)*(TYPE3&lt;&gt;"")+('Dvd Calendar'!$H$1775=TYPE4)*(TYPE4&lt;&gt;"")+('Dvd Calendar'!$H$1775=SPECIAL_LBL)*(INC_SPECIALS="Y"))=0,"",'Dvd Calendar'!$H$1773)))</f>
        <v/>
      </c>
      <c r="G179" s="106">
        <f>IF(EI179="","",IF(ISNUMBER('Dvd Calendar'!$I$1773)=FALSE,"",IF((('Dvd Calendar'!$I$1775=TYPE1)*(TYPE1&lt;&gt;"")+('Dvd Calendar'!$I$1775=TYPE2)*(TYPE2&lt;&gt;"")+('Dvd Calendar'!$I$1775=TYPE3)*(TYPE3&lt;&gt;"")+('Dvd Calendar'!$I$1775=TYPE4)*(TYPE4&lt;&gt;"")+('Dvd Calendar'!$I$1775=SPECIAL_LBL)*(INC_SPECIALS="Y"))=0,"",'Dvd Calendar'!$I$1773)))</f>
        <v/>
      </c>
      <c r="H179" s="106">
        <f>IF(EJ179="","",IF(ISNUMBER('Dvd Calendar'!$J$1773)=FALSE,"",IF((('Dvd Calendar'!$J$1775=TYPE1)*(TYPE1&lt;&gt;"")+('Dvd Calendar'!$J$1775=TYPE2)*(TYPE2&lt;&gt;"")+('Dvd Calendar'!$J$1775=TYPE3)*(TYPE3&lt;&gt;"")+('Dvd Calendar'!$J$1775=TYPE4)*(TYPE4&lt;&gt;"")+('Dvd Calendar'!$J$1775=SPECIAL_LBL)*(INC_SPECIALS="Y"))=0,"",'Dvd Calendar'!$J$1773)))</f>
        <v/>
      </c>
      <c r="I179" s="106">
        <f>IF(EK179="","",IF(ISNUMBER('Dvd Calendar'!$K$1773)=FALSE,"",IF((('Dvd Calendar'!$K$1775=TYPE1)*(TYPE1&lt;&gt;"")+('Dvd Calendar'!$K$1775=TYPE2)*(TYPE2&lt;&gt;"")+('Dvd Calendar'!$K$1775=TYPE3)*(TYPE3&lt;&gt;"")+('Dvd Calendar'!$K$1775=TYPE4)*(TYPE4&lt;&gt;"")+('Dvd Calendar'!$K$1775=SPECIAL_LBL)*(INC_SPECIALS="Y"))=0,"",'Dvd Calendar'!$K$1773)))</f>
        <v/>
      </c>
      <c r="J179" s="106">
        <f>IF(EL179="","",IF(ISNUMBER('Dvd Calendar'!$L$1773)=FALSE,"",IF((('Dvd Calendar'!$L$1775=TYPE1)*(TYPE1&lt;&gt;"")+('Dvd Calendar'!$L$1775=TYPE2)*(TYPE2&lt;&gt;"")+('Dvd Calendar'!$L$1775=TYPE3)*(TYPE3&lt;&gt;"")+('Dvd Calendar'!$L$1775=TYPE4)*(TYPE4&lt;&gt;"")+('Dvd Calendar'!$L$1775=SPECIAL_LBL)*(INC_SPECIALS="Y"))=0,"",'Dvd Calendar'!$L$1773)))</f>
        <v/>
      </c>
      <c r="K179" s="106">
        <f>IF(EM179="","",IF(ISNUMBER('Dvd Calendar'!$M$1773)=FALSE,"",IF((('Dvd Calendar'!$M$1775=TYPE1)*(TYPE1&lt;&gt;"")+('Dvd Calendar'!$M$1775=TYPE2)*(TYPE2&lt;&gt;"")+('Dvd Calendar'!$M$1775=TYPE3)*(TYPE3&lt;&gt;"")+('Dvd Calendar'!$M$1775=TYPE4)*(TYPE4&lt;&gt;"")+('Dvd Calendar'!$M$1775=SPECIAL_LBL)*(INC_SPECIALS="Y"))=0,"",'Dvd Calendar'!$M$1773)))</f>
        <v/>
      </c>
      <c r="L179" s="106">
        <f>IF(EN179="","",IF(ISNUMBER('Dvd Calendar'!$N$1773)=FALSE,"",IF((('Dvd Calendar'!$N$1775=TYPE1)*(TYPE1&lt;&gt;"")+('Dvd Calendar'!$N$1775=TYPE2)*(TYPE2&lt;&gt;"")+('Dvd Calendar'!$N$1775=TYPE3)*(TYPE3&lt;&gt;"")+('Dvd Calendar'!$N$1775=TYPE4)*(TYPE4&lt;&gt;"")+('Dvd Calendar'!$N$1775=SPECIAL_LBL)*(INC_SPECIALS="Y"))=0,"",'Dvd Calendar'!$N$1773)))</f>
        <v/>
      </c>
      <c r="M179" s="106">
        <f>IF(EO179="","",IF(ISNUMBER('Dvd Calendar'!$O$1773)=FALSE,"",IF((('Dvd Calendar'!$O$1775=TYPE1)*(TYPE1&lt;&gt;"")+('Dvd Calendar'!$O$1775=TYPE2)*(TYPE2&lt;&gt;"")+('Dvd Calendar'!$O$1775=TYPE3)*(TYPE3&lt;&gt;"")+('Dvd Calendar'!$O$1775=TYPE4)*(TYPE4&lt;&gt;"")+('Dvd Calendar'!$O$1775=SPECIAL_LBL)*(INC_SPECIALS="Y"))=0,"",'Dvd Calendar'!$O$1773)))</f>
        <v/>
      </c>
      <c r="N179" s="106">
        <f>IF(EP179="","",IF(ISNUMBER('Dvd Calendar'!$P$1773)=FALSE,"",IF((('Dvd Calendar'!$P$1775=TYPE1)*(TYPE1&lt;&gt;"")+('Dvd Calendar'!$P$1775=TYPE2)*(TYPE2&lt;&gt;"")+('Dvd Calendar'!$P$1775=TYPE3)*(TYPE3&lt;&gt;"")+('Dvd Calendar'!$P$1775=TYPE4)*(TYPE4&lt;&gt;"")+('Dvd Calendar'!$P$1775=SPECIAL_LBL)*(INC_SPECIALS="Y"))=0,"",'Dvd Calendar'!$P$1773)))</f>
        <v/>
      </c>
      <c r="O179" s="106">
        <f>IF(EQ179="","",IF(ISNUMBER('Dvd Calendar'!$Q$1773)=FALSE,"",IF((('Dvd Calendar'!$Q$1775=TYPE1)*(TYPE1&lt;&gt;"")+('Dvd Calendar'!$Q$1775=TYPE2)*(TYPE2&lt;&gt;"")+('Dvd Calendar'!$Q$1775=TYPE3)*(TYPE3&lt;&gt;"")+('Dvd Calendar'!$Q$1775=TYPE4)*(TYPE4&lt;&gt;"")+('Dvd Calendar'!$Q$1775=SPECIAL_LBL)*(INC_SPECIALS="Y"))=0,"",'Dvd Calendar'!$Q$1773)))</f>
        <v/>
      </c>
      <c r="P179" s="106">
        <f>IF(ER179="","",IF(ISNUMBER('Dvd Calendar'!$R$1773)=FALSE,"",IF((('Dvd Calendar'!$R$1775=TYPE1)*(TYPE1&lt;&gt;"")+('Dvd Calendar'!$R$1775=TYPE2)*(TYPE2&lt;&gt;"")+('Dvd Calendar'!$R$1775=TYPE3)*(TYPE3&lt;&gt;"")+('Dvd Calendar'!$R$1775=TYPE4)*(TYPE4&lt;&gt;"")+('Dvd Calendar'!$R$1775=SPECIAL_LBL)*(INC_SPECIALS="Y"))=0,"",'Dvd Calendar'!$R$1773)))</f>
        <v/>
      </c>
      <c r="Q179" s="106">
        <f>IF(ES179="","",IF(ISNUMBER('Dvd Calendar'!$S$1773)=FALSE,"",IF((('Dvd Calendar'!$S$1775=TYPE1)*(TYPE1&lt;&gt;"")+('Dvd Calendar'!$S$1775=TYPE2)*(TYPE2&lt;&gt;"")+('Dvd Calendar'!$S$1775=TYPE3)*(TYPE3&lt;&gt;"")+('Dvd Calendar'!$S$1775=TYPE4)*(TYPE4&lt;&gt;"")+('Dvd Calendar'!$S$1775=SPECIAL_LBL)*(INC_SPECIALS="Y"))=0,"",'Dvd Calendar'!$S$1773)))</f>
        <v/>
      </c>
      <c r="R179" s="106">
        <f>IF(ET179="","",IF(ISNUMBER('Dvd Calendar'!$T$1773)=FALSE,"",IF((('Dvd Calendar'!$T$1775=TYPE1)*(TYPE1&lt;&gt;"")+('Dvd Calendar'!$T$1775=TYPE2)*(TYPE2&lt;&gt;"")+('Dvd Calendar'!$T$1775=TYPE3)*(TYPE3&lt;&gt;"")+('Dvd Calendar'!$T$1775=TYPE4)*(TYPE4&lt;&gt;"")+('Dvd Calendar'!$T$1775=SPECIAL_LBL)*(INC_SPECIALS="Y"))=0,"",'Dvd Calendar'!$T$1773)))</f>
        <v/>
      </c>
      <c r="S179" s="106">
        <f>IF(EU179="","",IF(ISNUMBER('Dvd Calendar'!$U$1773)=FALSE,"",IF((('Dvd Calendar'!$U$1775=TYPE1)*(TYPE1&lt;&gt;"")+('Dvd Calendar'!$U$1775=TYPE2)*(TYPE2&lt;&gt;"")+('Dvd Calendar'!$U$1775=TYPE3)*(TYPE3&lt;&gt;"")+('Dvd Calendar'!$U$1775=TYPE4)*(TYPE4&lt;&gt;"")+('Dvd Calendar'!$U$1775=SPECIAL_LBL)*(INC_SPECIALS="Y"))=0,"",'Dvd Calendar'!$U$1773)))</f>
        <v/>
      </c>
      <c r="T179" s="106">
        <f>IF(EV179="","",IF(ISNUMBER('Dvd Calendar'!$V$1773)=FALSE,"",IF((('Dvd Calendar'!$V$1775=TYPE1)*(TYPE1&lt;&gt;"")+('Dvd Calendar'!$V$1775=TYPE2)*(TYPE2&lt;&gt;"")+('Dvd Calendar'!$V$1775=TYPE3)*(TYPE3&lt;&gt;"")+('Dvd Calendar'!$V$1775=TYPE4)*(TYPE4&lt;&gt;"")+('Dvd Calendar'!$V$1775=SPECIAL_LBL)*(INC_SPECIALS="Y"))=0,"",'Dvd Calendar'!$V$1773)))</f>
        <v/>
      </c>
      <c r="U179" s="106">
        <f>IF(EW179="","",IF(ISNUMBER('Dvd Calendar'!$W$1773)=FALSE,"",IF((('Dvd Calendar'!$W$1775=TYPE1)*(TYPE1&lt;&gt;"")+('Dvd Calendar'!$W$1775=TYPE2)*(TYPE2&lt;&gt;"")+('Dvd Calendar'!$W$1775=TYPE3)*(TYPE3&lt;&gt;"")+('Dvd Calendar'!$W$1775=TYPE4)*(TYPE4&lt;&gt;"")+('Dvd Calendar'!$W$1775=SPECIAL_LBL)*(INC_SPECIALS="Y"))=0,"",'Dvd Calendar'!$W$1773)))</f>
        <v/>
      </c>
      <c r="V179" s="106">
        <f>IF(EX179="","",IF(ISNUMBER('Dvd Calendar'!$X$1773)=FALSE,"",IF((('Dvd Calendar'!$X$1775=TYPE1)*(TYPE1&lt;&gt;"")+('Dvd Calendar'!$X$1775=TYPE2)*(TYPE2&lt;&gt;"")+('Dvd Calendar'!$X$1775=TYPE3)*(TYPE3&lt;&gt;"")+('Dvd Calendar'!$X$1775=TYPE4)*(TYPE4&lt;&gt;"")+('Dvd Calendar'!$X$1775=SPECIAL_LBL)*(INC_SPECIALS="Y"))=0,"",'Dvd Calendar'!$X$1773)))</f>
        <v/>
      </c>
      <c r="W179" s="106">
        <f>IF(EY179="","",IF(ISNUMBER('Dvd Calendar'!$Y$1773)=FALSE,"",IF((('Dvd Calendar'!$Y$1775=TYPE1)*(TYPE1&lt;&gt;"")+('Dvd Calendar'!$Y$1775=TYPE2)*(TYPE2&lt;&gt;"")+('Dvd Calendar'!$Y$1775=TYPE3)*(TYPE3&lt;&gt;"")+('Dvd Calendar'!$Y$1775=TYPE4)*(TYPE4&lt;&gt;"")+('Dvd Calendar'!$Y$1775=SPECIAL_LBL)*(INC_SPECIALS="Y"))=0,"",'Dvd Calendar'!$Y$1773)))</f>
        <v/>
      </c>
      <c r="X179" s="106">
        <f>IF(EZ179="","",IF(ISNUMBER('Dvd Calendar'!$Z$1773)=FALSE,"",IF((('Dvd Calendar'!$Z$1775=TYPE1)*(TYPE1&lt;&gt;"")+('Dvd Calendar'!$Z$1775=TYPE2)*(TYPE2&lt;&gt;"")+('Dvd Calendar'!$Z$1775=TYPE3)*(TYPE3&lt;&gt;"")+('Dvd Calendar'!$Z$1775=TYPE4)*(TYPE4&lt;&gt;"")+('Dvd Calendar'!$Z$1775=SPECIAL_LBL)*(INC_SPECIALS="Y"))=0,"",'Dvd Calendar'!$Z$1773)))</f>
        <v/>
      </c>
      <c r="Y179" s="106">
        <f>IF(FA179="","",IF(ISNUMBER('Dvd Calendar'!$AA$1773)=FALSE,"",IF((('Dvd Calendar'!$AA$1775=TYPE1)*(TYPE1&lt;&gt;"")+('Dvd Calendar'!$AA$1775=TYPE2)*(TYPE2&lt;&gt;"")+('Dvd Calendar'!$AA$1775=TYPE3)*(TYPE3&lt;&gt;"")+('Dvd Calendar'!$AA$1775=TYPE4)*(TYPE4&lt;&gt;"")+('Dvd Calendar'!$AA$1775=SPECIAL_LBL)*(INC_SPECIALS="Y"))=0,"",'Dvd Calendar'!$AA$1773)))</f>
        <v/>
      </c>
      <c r="Z179" s="106">
        <f>IF(FB179="","",IF(ISNUMBER('Dvd Calendar'!$AB$1773)=FALSE,"",IF((('Dvd Calendar'!$AB$1775=TYPE1)*(TYPE1&lt;&gt;"")+('Dvd Calendar'!$AB$1775=TYPE2)*(TYPE2&lt;&gt;"")+('Dvd Calendar'!$AB$1775=TYPE3)*(TYPE3&lt;&gt;"")+('Dvd Calendar'!$AB$1775=TYPE4)*(TYPE4&lt;&gt;"")+('Dvd Calendar'!$AB$1775=SPECIAL_LBL)*(INC_SPECIALS="Y"))=0,"",'Dvd Calendar'!$AB$1773)))</f>
        <v/>
      </c>
      <c r="AA179" s="106">
        <f>IF(FC179="","",IF(ISNUMBER('Dvd Calendar'!$AC$1773)=FALSE,"",IF((('Dvd Calendar'!$AC$1775=TYPE1)*(TYPE1&lt;&gt;"")+('Dvd Calendar'!$AC$1775=TYPE2)*(TYPE2&lt;&gt;"")+('Dvd Calendar'!$AC$1775=TYPE3)*(TYPE3&lt;&gt;"")+('Dvd Calendar'!$AC$1775=TYPE4)*(TYPE4&lt;&gt;"")+('Dvd Calendar'!$AC$1775=SPECIAL_LBL)*(INC_SPECIALS="Y"))=0,"",'Dvd Calendar'!$AC$1773)))</f>
        <v/>
      </c>
      <c r="AB179" s="106">
        <f>IF(FD179="","",IF(ISNUMBER('Dvd Calendar'!$AD$1773)=FALSE,"",IF((('Dvd Calendar'!$AD$1775=TYPE1)*(TYPE1&lt;&gt;"")+('Dvd Calendar'!$AD$1775=TYPE2)*(TYPE2&lt;&gt;"")+('Dvd Calendar'!$AD$1775=TYPE3)*(TYPE3&lt;&gt;"")+('Dvd Calendar'!$AD$1775=TYPE4)*(TYPE4&lt;&gt;"")+('Dvd Calendar'!$AD$1775=SPECIAL_LBL)*(INC_SPECIALS="Y"))=0,"",'Dvd Calendar'!$AD$1773)))</f>
        <v/>
      </c>
      <c r="AC179" s="106">
        <f>IF(FE179="","",IF(ISNUMBER('Dvd Calendar'!$AE$1773)=FALSE,"",IF((('Dvd Calendar'!$AE$1775=TYPE1)*(TYPE1&lt;&gt;"")+('Dvd Calendar'!$AE$1775=TYPE2)*(TYPE2&lt;&gt;"")+('Dvd Calendar'!$AE$1775=TYPE3)*(TYPE3&lt;&gt;"")+('Dvd Calendar'!$AE$1775=TYPE4)*(TYPE4&lt;&gt;"")+('Dvd Calendar'!$AE$1775=SPECIAL_LBL)*(INC_SPECIALS="Y"))=0,"",'Dvd Calendar'!$AE$1773)))</f>
        <v/>
      </c>
      <c r="AD179" s="106">
        <f>IF(FF179="","",IF(ISNUMBER('Dvd Calendar'!$AF$1773)=FALSE,"",IF((('Dvd Calendar'!$AF$1775=TYPE1)*(TYPE1&lt;&gt;"")+('Dvd Calendar'!$AF$1775=TYPE2)*(TYPE2&lt;&gt;"")+('Dvd Calendar'!$AF$1775=TYPE3)*(TYPE3&lt;&gt;"")+('Dvd Calendar'!$AF$1775=TYPE4)*(TYPE4&lt;&gt;"")+('Dvd Calendar'!$AF$1775=SPECIAL_LBL)*(INC_SPECIALS="Y"))=0,"",'Dvd Calendar'!$AF$1773)))</f>
        <v/>
      </c>
      <c r="AE179" s="106">
        <f>IF(FG179="","",IF(ISNUMBER('Dvd Calendar'!$AG$1773)=FALSE,"",IF((('Dvd Calendar'!$AG$1775=TYPE1)*(TYPE1&lt;&gt;"")+('Dvd Calendar'!$AG$1775=TYPE2)*(TYPE2&lt;&gt;"")+('Dvd Calendar'!$AG$1775=TYPE3)*(TYPE3&lt;&gt;"")+('Dvd Calendar'!$AG$1775=TYPE4)*(TYPE4&lt;&gt;"")+('Dvd Calendar'!$AG$1775=SPECIAL_LBL)*(INC_SPECIALS="Y"))=0,"",'Dvd Calendar'!$AG$1773)))</f>
        <v/>
      </c>
      <c r="AF179" s="106">
        <f>IF(FH179="","",IF(ISNUMBER('Dvd Calendar'!$AH$1773)=FALSE,"",IF((('Dvd Calendar'!$AH$1775=TYPE1)*(TYPE1&lt;&gt;"")+('Dvd Calendar'!$AH$1775=TYPE2)*(TYPE2&lt;&gt;"")+('Dvd Calendar'!$AH$1775=TYPE3)*(TYPE3&lt;&gt;"")+('Dvd Calendar'!$AH$1775=TYPE4)*(TYPE4&lt;&gt;"")+('Dvd Calendar'!$AH$1775=SPECIAL_LBL)*(INC_SPECIALS="Y"))=0,"",'Dvd Calendar'!$AH$1773)))</f>
        <v/>
      </c>
      <c r="AG179" s="106">
        <f>IF(FI179="","",IF(ISNUMBER('Dvd Calendar'!$AI$1773)=FALSE,"",IF((('Dvd Calendar'!$AI$1775=TYPE1)*(TYPE1&lt;&gt;"")+('Dvd Calendar'!$AI$1775=TYPE2)*(TYPE2&lt;&gt;"")+('Dvd Calendar'!$AI$1775=TYPE3)*(TYPE3&lt;&gt;"")+('Dvd Calendar'!$AI$1775=TYPE4)*(TYPE4&lt;&gt;"")+('Dvd Calendar'!$AI$1775=SPECIAL_LBL)*(INC_SPECIALS="Y"))=0,"",'Dvd Calendar'!$AI$1773)))</f>
        <v/>
      </c>
      <c r="AH179" s="106">
        <f>IF(FJ179="","",IF(ISNUMBER('Dvd Calendar'!$AJ$1773)=FALSE,"",IF((('Dvd Calendar'!$AJ$1775=TYPE1)*(TYPE1&lt;&gt;"")+('Dvd Calendar'!$AJ$1775=TYPE2)*(TYPE2&lt;&gt;"")+('Dvd Calendar'!$AJ$1775=TYPE3)*(TYPE3&lt;&gt;"")+('Dvd Calendar'!$AJ$1775=TYPE4)*(TYPE4&lt;&gt;"")+('Dvd Calendar'!$AJ$1775=SPECIAL_LBL)*(INC_SPECIALS="Y"))=0,"",'Dvd Calendar'!$AJ$1773)))</f>
        <v/>
      </c>
      <c r="AI179" s="106">
        <f>IF(FK179="","",IF(ISNUMBER('Dvd Calendar'!$AK$1773)=FALSE,"",IF((('Dvd Calendar'!$AK$1775=TYPE1)*(TYPE1&lt;&gt;"")+('Dvd Calendar'!$AK$1775=TYPE2)*(TYPE2&lt;&gt;"")+('Dvd Calendar'!$AK$1775=TYPE3)*(TYPE3&lt;&gt;"")+('Dvd Calendar'!$AK$1775=TYPE4)*(TYPE4&lt;&gt;"")+('Dvd Calendar'!$AK$1775=SPECIAL_LBL)*(INC_SPECIALS="Y"))=0,"",'Dvd Calendar'!$AK$1773)))</f>
        <v/>
      </c>
      <c r="AJ179" s="106">
        <f>IF(FL179="","",IF(ISNUMBER('Dvd Calendar'!$AL$1773)=FALSE,"",IF((('Dvd Calendar'!$AL$1775=TYPE1)*(TYPE1&lt;&gt;"")+('Dvd Calendar'!$AL$1775=TYPE2)*(TYPE2&lt;&gt;"")+('Dvd Calendar'!$AL$1775=TYPE3)*(TYPE3&lt;&gt;"")+('Dvd Calendar'!$AL$1775=TYPE4)*(TYPE4&lt;&gt;"")+('Dvd Calendar'!$AL$1775=SPECIAL_LBL)*(INC_SPECIALS="Y"))=0,"",'Dvd Calendar'!$AL$1773)))</f>
        <v/>
      </c>
      <c r="AK179" s="106">
        <f>IF(FM179="","",IF(ISNUMBER('Dvd Calendar'!$AM$1773)=FALSE,"",IF((('Dvd Calendar'!$AM$1775=TYPE1)*(TYPE1&lt;&gt;"")+('Dvd Calendar'!$AM$1775=TYPE2)*(TYPE2&lt;&gt;"")+('Dvd Calendar'!$AM$1775=TYPE3)*(TYPE3&lt;&gt;"")+('Dvd Calendar'!$AM$1775=TYPE4)*(TYPE4&lt;&gt;"")+('Dvd Calendar'!$AM$1775=SPECIAL_LBL)*(INC_SPECIALS="Y"))=0,"",'Dvd Calendar'!$AM$1773)))</f>
        <v/>
      </c>
      <c r="AL179" s="106">
        <f>IF(FN179="","",IF(ISNUMBER('Dvd Calendar'!$AN$1773)=FALSE,"",IF((('Dvd Calendar'!$AN$1775=TYPE1)*(TYPE1&lt;&gt;"")+('Dvd Calendar'!$AN$1775=TYPE2)*(TYPE2&lt;&gt;"")+('Dvd Calendar'!$AN$1775=TYPE3)*(TYPE3&lt;&gt;"")+('Dvd Calendar'!$AN$1775=TYPE4)*(TYPE4&lt;&gt;"")+('Dvd Calendar'!$AN$1775=SPECIAL_LBL)*(INC_SPECIALS="Y"))=0,"",'Dvd Calendar'!$AN$1773)))</f>
        <v/>
      </c>
      <c r="AM179" s="106">
        <f>IF(FO179="","",IF(ISNUMBER('Dvd Calendar'!$AO$1773)=FALSE,"",IF((('Dvd Calendar'!$AO$1775=TYPE1)*(TYPE1&lt;&gt;"")+('Dvd Calendar'!$AO$1775=TYPE2)*(TYPE2&lt;&gt;"")+('Dvd Calendar'!$AO$1775=TYPE3)*(TYPE3&lt;&gt;"")+('Dvd Calendar'!$AO$1775=TYPE4)*(TYPE4&lt;&gt;"")+('Dvd Calendar'!$AO$1775=SPECIAL_LBL)*(INC_SPECIALS="Y"))=0,"",'Dvd Calendar'!$AO$1773)))</f>
        <v/>
      </c>
      <c r="AN179" s="106">
        <f>IF(FP179="","",IF(ISNUMBER('Dvd Calendar'!$AP$1773)=FALSE,"",IF((('Dvd Calendar'!$AP$1775=TYPE1)*(TYPE1&lt;&gt;"")+('Dvd Calendar'!$AP$1775=TYPE2)*(TYPE2&lt;&gt;"")+('Dvd Calendar'!$AP$1775=TYPE3)*(TYPE3&lt;&gt;"")+('Dvd Calendar'!$AP$1775=TYPE4)*(TYPE4&lt;&gt;"")+('Dvd Calendar'!$AP$1775=SPECIAL_LBL)*(INC_SPECIALS="Y"))=0,"",'Dvd Calendar'!$AP$1773)))</f>
        <v/>
      </c>
      <c r="AO179" s="106">
        <f>IF(FQ179="","",IF(ISNUMBER('Dvd Calendar'!$AQ$1773)=FALSE,"",IF((('Dvd Calendar'!$AQ$1775=TYPE1)*(TYPE1&lt;&gt;"")+('Dvd Calendar'!$AQ$1775=TYPE2)*(TYPE2&lt;&gt;"")+('Dvd Calendar'!$AQ$1775=TYPE3)*(TYPE3&lt;&gt;"")+('Dvd Calendar'!$AQ$1775=TYPE4)*(TYPE4&lt;&gt;"")+('Dvd Calendar'!$AQ$1775=SPECIAL_LBL)*(INC_SPECIALS="Y"))=0,"",'Dvd Calendar'!$AQ$1773)))</f>
        <v/>
      </c>
      <c r="AP179" s="106">
        <f>IF(FR179="","",IF(ISNUMBER('Dvd Calendar'!$AR$1773)=FALSE,"",IF((('Dvd Calendar'!$AR$1775=TYPE1)*(TYPE1&lt;&gt;"")+('Dvd Calendar'!$AR$1775=TYPE2)*(TYPE2&lt;&gt;"")+('Dvd Calendar'!$AR$1775=TYPE3)*(TYPE3&lt;&gt;"")+('Dvd Calendar'!$AR$1775=TYPE4)*(TYPE4&lt;&gt;"")+('Dvd Calendar'!$AR$1775=SPECIAL_LBL)*(INC_SPECIALS="Y"))=0,"",'Dvd Calendar'!$AR$1773)))</f>
        <v/>
      </c>
      <c r="AQ179" s="106">
        <f>IF(FS179="","",IF(ISNUMBER('Dvd Calendar'!$E$1778)=FALSE,"",'Dvd Calendar'!$E$1778))</f>
        <v/>
      </c>
      <c r="AR179" s="106">
        <f>IF(FT179="","",IF(ISNUMBER('Dvd Calendar'!$F$1778)=FALSE,"",'Dvd Calendar'!$F$1778))</f>
        <v/>
      </c>
      <c r="AS179" s="106">
        <f>IF(FU179="","",IF(ISNUMBER('Dvd Calendar'!$G$1778)=FALSE,"",'Dvd Calendar'!$G$1778))</f>
        <v/>
      </c>
      <c r="AT179" s="106">
        <f>IF(FV179="","",IF(ISNUMBER('Dvd Calendar'!$H$1778)=FALSE,"",'Dvd Calendar'!$H$1778))</f>
        <v/>
      </c>
      <c r="AU179" s="106">
        <f>IF(FW179="","",IF(ISNUMBER('Dvd Calendar'!$I$1778)=FALSE,"",'Dvd Calendar'!$I$1778))</f>
        <v/>
      </c>
      <c r="AV179" s="106">
        <f>IF(FX179="","",IF(ISNUMBER('Dvd Calendar'!$J$1778)=FALSE,"",'Dvd Calendar'!$J$1778))</f>
        <v/>
      </c>
      <c r="AW179" s="106">
        <f>IF(FY179="","",IF(ISNUMBER('Dvd Calendar'!$K$1778)=FALSE,"",'Dvd Calendar'!$K$1778))</f>
        <v/>
      </c>
      <c r="AX179" s="106">
        <f>IF(FZ179="","",IF(ISNUMBER('Dvd Calendar'!$L$1778)=FALSE,"",'Dvd Calendar'!$L$1778))</f>
        <v/>
      </c>
      <c r="AY179" s="106">
        <f>IF(GA179="","",IF(ISNUMBER('Dvd Calendar'!$M$1778)=FALSE,"",'Dvd Calendar'!$M$1778))</f>
        <v/>
      </c>
      <c r="AZ179" s="106">
        <f>IF(GB179="","",IF(ISNUMBER('Dvd Calendar'!$N$1778)=FALSE,"",'Dvd Calendar'!$N$1778))</f>
        <v/>
      </c>
      <c r="BA179" s="106">
        <f>IF(GC179="","",IF(ISNUMBER('Dvd Calendar'!$O$1778)=FALSE,"",'Dvd Calendar'!$O$1778))</f>
        <v/>
      </c>
      <c r="BB179" s="106">
        <f>IF(GD179="","",IF(ISNUMBER('Dvd Calendar'!$P$1778)=FALSE,"",'Dvd Calendar'!$P$1778))</f>
        <v/>
      </c>
      <c r="BC179" s="106">
        <f>IF(GE179="","",IF(ISNUMBER('Dvd Calendar'!$Q$1778)=FALSE,"",'Dvd Calendar'!$Q$1778))</f>
        <v/>
      </c>
      <c r="BD179" s="106">
        <f>IF(GF179="","",IF(ISNUMBER('Dvd Calendar'!$R$1778)=FALSE,"",'Dvd Calendar'!$R$1778))</f>
        <v/>
      </c>
      <c r="BE179" s="106">
        <f>IF(GG179="","",IF(ISNUMBER('Dvd Calendar'!$S$1778)=FALSE,"",'Dvd Calendar'!$S$1778))</f>
        <v/>
      </c>
      <c r="BF179" s="106">
        <f>IF(GH179="","",IF(ISNUMBER('Dvd Calendar'!$T$1778)=FALSE,"",'Dvd Calendar'!$T$1778))</f>
        <v/>
      </c>
      <c r="BG179" s="106">
        <f>IF(GI179="","",IF(ISNUMBER('Dvd Calendar'!$U$1778)=FALSE,"",'Dvd Calendar'!$U$1778))</f>
        <v/>
      </c>
      <c r="BH179" s="106">
        <f>IF(GJ179="","",IF(ISNUMBER('Dvd Calendar'!$V$1778)=FALSE,"",'Dvd Calendar'!$V$1778))</f>
        <v/>
      </c>
      <c r="BI179" s="106">
        <f>IF(GK179="","",IF(ISNUMBER('Dvd Calendar'!$W$1778)=FALSE,"",'Dvd Calendar'!$W$1778))</f>
        <v/>
      </c>
      <c r="BJ179" s="106">
        <f>IF(GL179="","",IF(ISNUMBER('Dvd Calendar'!$X$1778)=FALSE,"",'Dvd Calendar'!$X$1778))</f>
        <v/>
      </c>
      <c r="BK179" s="106">
        <f>IF(GM179="","",IF(ISNUMBER('Dvd Calendar'!$Y$1778)=FALSE,"",'Dvd Calendar'!$Y$1778))</f>
        <v/>
      </c>
      <c r="BL179" s="106">
        <f>IF(GN179="","",IF(ISNUMBER('Dvd Calendar'!$Z$1778)=FALSE,"",'Dvd Calendar'!$Z$1778))</f>
        <v/>
      </c>
      <c r="BM179" s="106">
        <f>IF(GO179="","",IF(ISNUMBER('Dvd Calendar'!$AA$1778)=FALSE,"",'Dvd Calendar'!$AA$1778))</f>
        <v/>
      </c>
      <c r="BN179" s="106">
        <f>IF(GP179="","",IF(ISNUMBER('Dvd Calendar'!$AB$1778)=FALSE,"",'Dvd Calendar'!$AB$1778))</f>
        <v/>
      </c>
      <c r="BO179" s="106">
        <f>IF(GQ179="","",IF(ISNUMBER('Dvd Calendar'!$AC$1778)=FALSE,"",'Dvd Calendar'!$AC$1778))</f>
        <v/>
      </c>
      <c r="BQ179" s="106">
        <f>IF(C179="","",IFERROR(C179*HSCEI!$B$26*HSCEI!$G$26/HSCEI!$B$3,""))</f>
        <v/>
      </c>
      <c r="BR179" s="106">
        <f>IF(D179="","",IFERROR(D179*HSCEI!$B$26*HSCEI!$G$26/HSCEI!$B$3,""))</f>
        <v/>
      </c>
      <c r="BS179" s="106">
        <f>IF(E179="","",IFERROR(E179*HSCEI!$B$26*HSCEI!$G$26/HSCEI!$B$3,""))</f>
        <v/>
      </c>
      <c r="BT179" s="106">
        <f>IF(F179="","",IFERROR(F179*HSCEI!$B$26*HSCEI!$G$26/HSCEI!$B$3,""))</f>
        <v/>
      </c>
      <c r="BU179" s="106">
        <f>IF(G179="","",IFERROR(G179*HSCEI!$B$26*HSCEI!$G$26/HSCEI!$B$3,""))</f>
        <v/>
      </c>
      <c r="BV179" s="106">
        <f>IF(H179="","",IFERROR(H179*HSCEI!$B$26*HSCEI!$G$26/HSCEI!$B$3,""))</f>
        <v/>
      </c>
      <c r="BW179" s="106">
        <f>IF(I179="","",IFERROR(I179*HSCEI!$B$26*HSCEI!$G$26/HSCEI!$B$3,""))</f>
        <v/>
      </c>
      <c r="BX179" s="106">
        <f>IF(J179="","",IFERROR(J179*HSCEI!$B$26*HSCEI!$G$26/HSCEI!$B$3,""))</f>
        <v/>
      </c>
      <c r="BY179" s="106">
        <f>IF(K179="","",IFERROR(K179*HSCEI!$B$26*HSCEI!$G$26/HSCEI!$B$3,""))</f>
        <v/>
      </c>
      <c r="BZ179" s="106">
        <f>IF(L179="","",IFERROR(L179*HSCEI!$B$26*HSCEI!$G$26/HSCEI!$B$3,""))</f>
        <v/>
      </c>
      <c r="CA179" s="106">
        <f>IF(M179="","",IFERROR(M179*HSCEI!$B$26*HSCEI!$G$26/HSCEI!$B$3,""))</f>
        <v/>
      </c>
      <c r="CB179" s="106">
        <f>IF(N179="","",IFERROR(N179*HSCEI!$B$26*HSCEI!$G$26/HSCEI!$B$3,""))</f>
        <v/>
      </c>
      <c r="CC179" s="106">
        <f>IF(O179="","",IFERROR(O179*HSCEI!$B$26*HSCEI!$G$26/HSCEI!$B$3,""))</f>
        <v/>
      </c>
      <c r="CD179" s="106">
        <f>IF(P179="","",IFERROR(P179*HSCEI!$B$26*HSCEI!$G$26/HSCEI!$B$3,""))</f>
        <v/>
      </c>
      <c r="CE179" s="106">
        <f>IF(Q179="","",IFERROR(Q179*HSCEI!$B$26*HSCEI!$G$26/HSCEI!$B$3,""))</f>
        <v/>
      </c>
      <c r="CF179" s="106">
        <f>IF(R179="","",IFERROR(R179*HSCEI!$B$26*HSCEI!$G$26/HSCEI!$B$3,""))</f>
        <v/>
      </c>
      <c r="CG179" s="106">
        <f>IF(S179="","",IFERROR(S179*HSCEI!$B$26*HSCEI!$G$26/HSCEI!$B$3,""))</f>
        <v/>
      </c>
      <c r="CH179" s="106">
        <f>IF(T179="","",IFERROR(T179*HSCEI!$B$26*HSCEI!$G$26/HSCEI!$B$3,""))</f>
        <v/>
      </c>
      <c r="CI179" s="106">
        <f>IF(U179="","",IFERROR(U179*HSCEI!$B$26*HSCEI!$G$26/HSCEI!$B$3,""))</f>
        <v/>
      </c>
      <c r="CJ179" s="106">
        <f>IF(V179="","",IFERROR(V179*HSCEI!$B$26*HSCEI!$G$26/HSCEI!$B$3,""))</f>
        <v/>
      </c>
      <c r="CK179" s="106">
        <f>IF(W179="","",IFERROR(W179*HSCEI!$B$26*HSCEI!$G$26/HSCEI!$B$3,""))</f>
        <v/>
      </c>
      <c r="CL179" s="106">
        <f>IF(X179="","",IFERROR(X179*HSCEI!$B$26*HSCEI!$G$26/HSCEI!$B$3,""))</f>
        <v/>
      </c>
      <c r="CM179" s="106">
        <f>IF(Y179="","",IFERROR(Y179*HSCEI!$B$26*HSCEI!$G$26/HSCEI!$B$3,""))</f>
        <v/>
      </c>
      <c r="CN179" s="106">
        <f>IF(Z179="","",IFERROR(Z179*HSCEI!$B$26*HSCEI!$G$26/HSCEI!$B$3,""))</f>
        <v/>
      </c>
      <c r="CO179" s="106">
        <f>IF(AA179="","",IFERROR(AA179*HSCEI!$B$26*HSCEI!$G$26/HSCEI!$B$3,""))</f>
        <v/>
      </c>
      <c r="CP179" s="106">
        <f>IF(AB179="","",IFERROR(AB179*HSCEI!$B$26*HSCEI!$G$26/HSCEI!$B$3,""))</f>
        <v/>
      </c>
      <c r="CQ179" s="106">
        <f>IF(AC179="","",IFERROR(AC179*HSCEI!$B$26*HSCEI!$G$26/HSCEI!$B$3,""))</f>
        <v/>
      </c>
      <c r="CR179" s="106">
        <f>IF(AD179="","",IFERROR(AD179*HSCEI!$B$26*HSCEI!$G$26/HSCEI!$B$3,""))</f>
        <v/>
      </c>
      <c r="CS179" s="106">
        <f>IF(AE179="","",IFERROR(AE179*HSCEI!$B$26*HSCEI!$G$26/HSCEI!$B$3,""))</f>
        <v/>
      </c>
      <c r="CT179" s="106">
        <f>IF(AF179="","",IFERROR(AF179*HSCEI!$B$26*HSCEI!$G$26/HSCEI!$B$3,""))</f>
        <v/>
      </c>
      <c r="CU179" s="106">
        <f>IF(AG179="","",IFERROR(AG179*HSCEI!$B$26*HSCEI!$G$26/HSCEI!$B$3,""))</f>
        <v/>
      </c>
      <c r="CV179" s="106">
        <f>IF(AH179="","",IFERROR(AH179*HSCEI!$B$26*HSCEI!$G$26/HSCEI!$B$3,""))</f>
        <v/>
      </c>
      <c r="CW179" s="106">
        <f>IF(AI179="","",IFERROR(AI179*HSCEI!$B$26*HSCEI!$G$26/HSCEI!$B$3,""))</f>
        <v/>
      </c>
      <c r="CX179" s="106">
        <f>IF(AJ179="","",IFERROR(AJ179*HSCEI!$B$26*HSCEI!$G$26/HSCEI!$B$3,""))</f>
        <v/>
      </c>
      <c r="CY179" s="106">
        <f>IF(AK179="","",IFERROR(AK179*HSCEI!$B$26*HSCEI!$G$26/HSCEI!$B$3,""))</f>
        <v/>
      </c>
      <c r="CZ179" s="106">
        <f>IF(AL179="","",IFERROR(AL179*HSCEI!$B$26*HSCEI!$G$26/HSCEI!$B$3,""))</f>
        <v/>
      </c>
      <c r="DA179" s="106">
        <f>IF(AM179="","",IFERROR(AM179*HSCEI!$B$26*HSCEI!$G$26/HSCEI!$B$3,""))</f>
        <v/>
      </c>
      <c r="DB179" s="106">
        <f>IF(AN179="","",IFERROR(AN179*HSCEI!$B$26*HSCEI!$G$26/HSCEI!$B$3,""))</f>
        <v/>
      </c>
      <c r="DC179" s="106">
        <f>IF(AO179="","",IFERROR(AO179*HSCEI!$B$26*HSCEI!$G$26/HSCEI!$B$3,""))</f>
        <v/>
      </c>
      <c r="DD179" s="106">
        <f>IF(AP179="","",IFERROR(AP179*HSCEI!$B$26*HSCEI!$G$26/HSCEI!$B$3,""))</f>
        <v/>
      </c>
      <c r="DE179" s="106">
        <f>IF(AQ179="","",IFERROR(AQ179*HSCEI!$B$26*HSCEI!$G$26/HSCEI!$B$3,""))</f>
        <v/>
      </c>
      <c r="DF179" s="106">
        <f>IF(AR179="","",IFERROR(AR179*HSCEI!$B$26*HSCEI!$G$26/HSCEI!$B$3,""))</f>
        <v/>
      </c>
      <c r="DG179" s="106">
        <f>IF(AS179="","",IFERROR(AS179*HSCEI!$B$26*HSCEI!$G$26/HSCEI!$B$3,""))</f>
        <v/>
      </c>
      <c r="DH179" s="106">
        <f>IF(AT179="","",IFERROR(AT179*HSCEI!$B$26*HSCEI!$G$26/HSCEI!$B$3,""))</f>
        <v/>
      </c>
      <c r="DI179" s="106">
        <f>IF(AU179="","",IFERROR(AU179*HSCEI!$B$26*HSCEI!$G$26/HSCEI!$B$3,""))</f>
        <v/>
      </c>
      <c r="DJ179" s="106">
        <f>IF(AV179="","",IFERROR(AV179*HSCEI!$B$26*HSCEI!$G$26/HSCEI!$B$3,""))</f>
        <v/>
      </c>
      <c r="DK179" s="106">
        <f>IF(AW179="","",IFERROR(AW179*HSCEI!$B$26*HSCEI!$G$26/HSCEI!$B$3,""))</f>
        <v/>
      </c>
      <c r="DL179" s="106">
        <f>IF(AX179="","",IFERROR(AX179*HSCEI!$B$26*HSCEI!$G$26/HSCEI!$B$3,""))</f>
        <v/>
      </c>
      <c r="DM179" s="106">
        <f>IF(AY179="","",IFERROR(AY179*HSCEI!$B$26*HSCEI!$G$26/HSCEI!$B$3,""))</f>
        <v/>
      </c>
      <c r="DN179" s="106">
        <f>IF(AZ179="","",IFERROR(AZ179*HSCEI!$B$26*HSCEI!$G$26/HSCEI!$B$3,""))</f>
        <v/>
      </c>
      <c r="DO179" s="106">
        <f>IF(BA179="","",IFERROR(BA179*HSCEI!$B$26*HSCEI!$G$26/HSCEI!$B$3,""))</f>
        <v/>
      </c>
      <c r="DP179" s="106">
        <f>IF(BB179="","",IFERROR(BB179*HSCEI!$B$26*HSCEI!$G$26/HSCEI!$B$3,""))</f>
        <v/>
      </c>
      <c r="DQ179" s="106">
        <f>IF(BC179="","",IFERROR(BC179*HSCEI!$B$26*HSCEI!$G$26/HSCEI!$B$3,""))</f>
        <v/>
      </c>
      <c r="DR179" s="106">
        <f>IF(BD179="","",IFERROR(BD179*HSCEI!$B$26*HSCEI!$G$26/HSCEI!$B$3,""))</f>
        <v/>
      </c>
      <c r="DS179" s="106">
        <f>IF(BE179="","",IFERROR(BE179*HSCEI!$B$26*HSCEI!$G$26/HSCEI!$B$3,""))</f>
        <v/>
      </c>
      <c r="DT179" s="106">
        <f>IF(BF179="","",IFERROR(BF179*HSCEI!$B$26*HSCEI!$G$26/HSCEI!$B$3,""))</f>
        <v/>
      </c>
      <c r="DU179" s="106">
        <f>IF(BG179="","",IFERROR(BG179*HSCEI!$B$26*HSCEI!$G$26/HSCEI!$B$3,""))</f>
        <v/>
      </c>
      <c r="DV179" s="106">
        <f>IF(BH179="","",IFERROR(BH179*HSCEI!$B$26*HSCEI!$G$26/HSCEI!$B$3,""))</f>
        <v/>
      </c>
      <c r="DW179" s="106">
        <f>IF(BI179="","",IFERROR(BI179*HSCEI!$B$26*HSCEI!$G$26/HSCEI!$B$3,""))</f>
        <v/>
      </c>
      <c r="DX179" s="106">
        <f>IF(BJ179="","",IFERROR(BJ179*HSCEI!$B$26*HSCEI!$G$26/HSCEI!$B$3,""))</f>
        <v/>
      </c>
      <c r="DY179" s="106">
        <f>IF(BK179="","",IFERROR(BK179*HSCEI!$B$26*HSCEI!$G$26/HSCEI!$B$3,""))</f>
        <v/>
      </c>
      <c r="DZ179" s="106">
        <f>IF(BL179="","",IFERROR(BL179*HSCEI!$B$26*HSCEI!$G$26/HSCEI!$B$3,""))</f>
        <v/>
      </c>
      <c r="EA179" s="106">
        <f>IF(BM179="","",IFERROR(BM179*HSCEI!$B$26*HSCEI!$G$26/HSCEI!$B$3,""))</f>
        <v/>
      </c>
      <c r="EB179" s="106">
        <f>IF(BN179="","",IFERROR(BN179*HSCEI!$B$26*HSCEI!$G$26/HSCEI!$B$3,""))</f>
        <v/>
      </c>
      <c r="EC179" s="106">
        <f>IF(BO179="","",IFERROR(BO179*HSCEI!$B$26*HSCEI!$G$26/HSCEI!$B$3,""))</f>
        <v/>
      </c>
      <c r="EE179" s="35">
        <f>IF(N('Dvd Calendar'!$E$1770)=0,"",IF(('Dvd Calendar'!$E$1770&gt;=GRID_FROM)*('Dvd Calendar'!$E$1770&lt;=GRID_TO)*('Dvd Calendar'!$E$1770&lt;=VAL_DATE)=0,"",'Dvd Calendar'!$E$1770*1000000000+ISNUMBER('Dvd Calendar'!$E$1773)*100000000+('Dvd Calendar'!$E$1775=SPECIAL_LBL)*10000000+0*1000000+20*1000+1))</f>
        <v/>
      </c>
      <c r="EF179" s="35">
        <f>IF(N('Dvd Calendar'!$F$1770)=0,"",IF(('Dvd Calendar'!$F$1770&gt;=GRID_FROM)*('Dvd Calendar'!$F$1770&lt;=GRID_TO)*('Dvd Calendar'!$F$1770&lt;=VAL_DATE)=0,"",'Dvd Calendar'!$F$1770*1000000000+ISNUMBER('Dvd Calendar'!$F$1773)*100000000+('Dvd Calendar'!$F$1775=SPECIAL_LBL)*10000000+0*1000000+20*1000+2))</f>
        <v/>
      </c>
      <c r="EG179" s="35">
        <f>IF(N('Dvd Calendar'!$G$1770)=0,"",IF(('Dvd Calendar'!$G$1770&gt;=GRID_FROM)*('Dvd Calendar'!$G$1770&lt;=GRID_TO)*('Dvd Calendar'!$G$1770&lt;=VAL_DATE)=0,"",'Dvd Calendar'!$G$1770*1000000000+ISNUMBER('Dvd Calendar'!$G$1773)*100000000+('Dvd Calendar'!$G$1775=SPECIAL_LBL)*10000000+0*1000000+20*1000+3))</f>
        <v/>
      </c>
      <c r="EH179" s="35">
        <f>IF(N('Dvd Calendar'!$H$1770)=0,"",IF(('Dvd Calendar'!$H$1770&gt;=GRID_FROM)*('Dvd Calendar'!$H$1770&lt;=GRID_TO)*('Dvd Calendar'!$H$1770&lt;=VAL_DATE)=0,"",'Dvd Calendar'!$H$1770*1000000000+ISNUMBER('Dvd Calendar'!$H$1773)*100000000+('Dvd Calendar'!$H$1775=SPECIAL_LBL)*10000000+0*1000000+20*1000+4))</f>
        <v/>
      </c>
      <c r="EI179" s="35">
        <f>IF(N('Dvd Calendar'!$I$1770)=0,"",IF(('Dvd Calendar'!$I$1770&gt;=GRID_FROM)*('Dvd Calendar'!$I$1770&lt;=GRID_TO)*('Dvd Calendar'!$I$1770&lt;=VAL_DATE)=0,"",'Dvd Calendar'!$I$1770*1000000000+ISNUMBER('Dvd Calendar'!$I$1773)*100000000+('Dvd Calendar'!$I$1775=SPECIAL_LBL)*10000000+0*1000000+20*1000+5))</f>
        <v/>
      </c>
      <c r="EJ179" s="35">
        <f>IF(N('Dvd Calendar'!$J$1770)=0,"",IF(('Dvd Calendar'!$J$1770&gt;=GRID_FROM)*('Dvd Calendar'!$J$1770&lt;=GRID_TO)*('Dvd Calendar'!$J$1770&lt;=VAL_DATE)=0,"",'Dvd Calendar'!$J$1770*1000000000+ISNUMBER('Dvd Calendar'!$J$1773)*100000000+('Dvd Calendar'!$J$1775=SPECIAL_LBL)*10000000+0*1000000+20*1000+6))</f>
        <v/>
      </c>
      <c r="EK179" s="35">
        <f>IF(N('Dvd Calendar'!$K$1770)=0,"",IF(('Dvd Calendar'!$K$1770&gt;=GRID_FROM)*('Dvd Calendar'!$K$1770&lt;=GRID_TO)*('Dvd Calendar'!$K$1770&lt;=VAL_DATE)=0,"",'Dvd Calendar'!$K$1770*1000000000+ISNUMBER('Dvd Calendar'!$K$1773)*100000000+('Dvd Calendar'!$K$1775=SPECIAL_LBL)*10000000+0*1000000+20*1000+7))</f>
        <v/>
      </c>
      <c r="EL179" s="35">
        <f>IF(N('Dvd Calendar'!$L$1770)=0,"",IF(('Dvd Calendar'!$L$1770&gt;=GRID_FROM)*('Dvd Calendar'!$L$1770&lt;=GRID_TO)*('Dvd Calendar'!$L$1770&lt;=VAL_DATE)=0,"",'Dvd Calendar'!$L$1770*1000000000+ISNUMBER('Dvd Calendar'!$L$1773)*100000000+('Dvd Calendar'!$L$1775=SPECIAL_LBL)*10000000+0*1000000+20*1000+8))</f>
        <v/>
      </c>
      <c r="EM179" s="35">
        <f>IF(N('Dvd Calendar'!$M$1770)=0,"",IF(('Dvd Calendar'!$M$1770&gt;=GRID_FROM)*('Dvd Calendar'!$M$1770&lt;=GRID_TO)*('Dvd Calendar'!$M$1770&lt;=VAL_DATE)=0,"",'Dvd Calendar'!$M$1770*1000000000+ISNUMBER('Dvd Calendar'!$M$1773)*100000000+('Dvd Calendar'!$M$1775=SPECIAL_LBL)*10000000+0*1000000+20*1000+9))</f>
        <v/>
      </c>
      <c r="EN179" s="35">
        <f>IF(N('Dvd Calendar'!$N$1770)=0,"",IF(('Dvd Calendar'!$N$1770&gt;=GRID_FROM)*('Dvd Calendar'!$N$1770&lt;=GRID_TO)*('Dvd Calendar'!$N$1770&lt;=VAL_DATE)=0,"",'Dvd Calendar'!$N$1770*1000000000+ISNUMBER('Dvd Calendar'!$N$1773)*100000000+('Dvd Calendar'!$N$1775=SPECIAL_LBL)*10000000+0*1000000+20*1000+10))</f>
        <v/>
      </c>
      <c r="EO179" s="35">
        <f>IF(N('Dvd Calendar'!$O$1770)=0,"",IF(('Dvd Calendar'!$O$1770&gt;=GRID_FROM)*('Dvd Calendar'!$O$1770&lt;=GRID_TO)*('Dvd Calendar'!$O$1770&lt;=VAL_DATE)=0,"",'Dvd Calendar'!$O$1770*1000000000+ISNUMBER('Dvd Calendar'!$O$1773)*100000000+('Dvd Calendar'!$O$1775=SPECIAL_LBL)*10000000+0*1000000+20*1000+11))</f>
        <v/>
      </c>
      <c r="EP179" s="35">
        <f>IF(N('Dvd Calendar'!$P$1770)=0,"",IF(('Dvd Calendar'!$P$1770&gt;=GRID_FROM)*('Dvd Calendar'!$P$1770&lt;=GRID_TO)*('Dvd Calendar'!$P$1770&lt;=VAL_DATE)=0,"",'Dvd Calendar'!$P$1770*1000000000+ISNUMBER('Dvd Calendar'!$P$1773)*100000000+('Dvd Calendar'!$P$1775=SPECIAL_LBL)*10000000+0*1000000+20*1000+12))</f>
        <v/>
      </c>
      <c r="EQ179" s="35">
        <f>IF(N('Dvd Calendar'!$Q$1770)=0,"",IF(('Dvd Calendar'!$Q$1770&gt;=GRID_FROM)*('Dvd Calendar'!$Q$1770&lt;=GRID_TO)*('Dvd Calendar'!$Q$1770&lt;=VAL_DATE)=0,"",'Dvd Calendar'!$Q$1770*1000000000+ISNUMBER('Dvd Calendar'!$Q$1773)*100000000+('Dvd Calendar'!$Q$1775=SPECIAL_LBL)*10000000+0*1000000+20*1000+13))</f>
        <v/>
      </c>
      <c r="ER179" s="35">
        <f>IF(N('Dvd Calendar'!$R$1770)=0,"",IF(('Dvd Calendar'!$R$1770&gt;=GRID_FROM)*('Dvd Calendar'!$R$1770&lt;=GRID_TO)*('Dvd Calendar'!$R$1770&lt;=VAL_DATE)=0,"",'Dvd Calendar'!$R$1770*1000000000+ISNUMBER('Dvd Calendar'!$R$1773)*100000000+('Dvd Calendar'!$R$1775=SPECIAL_LBL)*10000000+0*1000000+20*1000+14))</f>
        <v/>
      </c>
      <c r="ES179" s="35">
        <f>IF(N('Dvd Calendar'!$S$1770)=0,"",IF(('Dvd Calendar'!$S$1770&gt;=GRID_FROM)*('Dvd Calendar'!$S$1770&lt;=GRID_TO)*('Dvd Calendar'!$S$1770&lt;=VAL_DATE)=0,"",'Dvd Calendar'!$S$1770*1000000000+ISNUMBER('Dvd Calendar'!$S$1773)*100000000+('Dvd Calendar'!$S$1775=SPECIAL_LBL)*10000000+0*1000000+20*1000+15))</f>
        <v/>
      </c>
      <c r="ET179" s="35">
        <f>IF(N('Dvd Calendar'!$T$1770)=0,"",IF(('Dvd Calendar'!$T$1770&gt;=GRID_FROM)*('Dvd Calendar'!$T$1770&lt;=GRID_TO)*('Dvd Calendar'!$T$1770&lt;=VAL_DATE)=0,"",'Dvd Calendar'!$T$1770*1000000000+ISNUMBER('Dvd Calendar'!$T$1773)*100000000+('Dvd Calendar'!$T$1775=SPECIAL_LBL)*10000000+0*1000000+20*1000+16))</f>
        <v/>
      </c>
      <c r="EU179" s="35">
        <f>IF(N('Dvd Calendar'!$U$1770)=0,"",IF(('Dvd Calendar'!$U$1770&gt;=GRID_FROM)*('Dvd Calendar'!$U$1770&lt;=GRID_TO)*('Dvd Calendar'!$U$1770&lt;=VAL_DATE)=0,"",'Dvd Calendar'!$U$1770*1000000000+ISNUMBER('Dvd Calendar'!$U$1773)*100000000+('Dvd Calendar'!$U$1775=SPECIAL_LBL)*10000000+0*1000000+20*1000+17))</f>
        <v/>
      </c>
      <c r="EV179" s="35">
        <f>IF(N('Dvd Calendar'!$V$1770)=0,"",IF(('Dvd Calendar'!$V$1770&gt;=GRID_FROM)*('Dvd Calendar'!$V$1770&lt;=GRID_TO)*('Dvd Calendar'!$V$1770&lt;=VAL_DATE)=0,"",'Dvd Calendar'!$V$1770*1000000000+ISNUMBER('Dvd Calendar'!$V$1773)*100000000+('Dvd Calendar'!$V$1775=SPECIAL_LBL)*10000000+0*1000000+20*1000+18))</f>
        <v/>
      </c>
      <c r="EW179" s="35">
        <f>IF(N('Dvd Calendar'!$W$1770)=0,"",IF(('Dvd Calendar'!$W$1770&gt;=GRID_FROM)*('Dvd Calendar'!$W$1770&lt;=GRID_TO)*('Dvd Calendar'!$W$1770&lt;=VAL_DATE)=0,"",'Dvd Calendar'!$W$1770*1000000000+ISNUMBER('Dvd Calendar'!$W$1773)*100000000+('Dvd Calendar'!$W$1775=SPECIAL_LBL)*10000000+0*1000000+20*1000+19))</f>
        <v/>
      </c>
      <c r="EX179" s="35">
        <f>IF(N('Dvd Calendar'!$X$1770)=0,"",IF(('Dvd Calendar'!$X$1770&gt;=GRID_FROM)*('Dvd Calendar'!$X$1770&lt;=GRID_TO)*('Dvd Calendar'!$X$1770&lt;=VAL_DATE)=0,"",'Dvd Calendar'!$X$1770*1000000000+ISNUMBER('Dvd Calendar'!$X$1773)*100000000+('Dvd Calendar'!$X$1775=SPECIAL_LBL)*10000000+0*1000000+20*1000+20))</f>
        <v/>
      </c>
      <c r="EY179" s="35">
        <f>IF(N('Dvd Calendar'!$Y$1770)=0,"",IF(('Dvd Calendar'!$Y$1770&gt;=GRID_FROM)*('Dvd Calendar'!$Y$1770&lt;=GRID_TO)*('Dvd Calendar'!$Y$1770&lt;=VAL_DATE)=0,"",'Dvd Calendar'!$Y$1770*1000000000+ISNUMBER('Dvd Calendar'!$Y$1773)*100000000+('Dvd Calendar'!$Y$1775=SPECIAL_LBL)*10000000+0*1000000+20*1000+21))</f>
        <v/>
      </c>
      <c r="EZ179" s="35">
        <f>IF(N('Dvd Calendar'!$Z$1770)=0,"",IF(('Dvd Calendar'!$Z$1770&gt;=GRID_FROM)*('Dvd Calendar'!$Z$1770&lt;=GRID_TO)*('Dvd Calendar'!$Z$1770&lt;=VAL_DATE)=0,"",'Dvd Calendar'!$Z$1770*1000000000+ISNUMBER('Dvd Calendar'!$Z$1773)*100000000+('Dvd Calendar'!$Z$1775=SPECIAL_LBL)*10000000+0*1000000+20*1000+22))</f>
        <v/>
      </c>
      <c r="FA179" s="35">
        <f>IF(N('Dvd Calendar'!$AA$1770)=0,"",IF(('Dvd Calendar'!$AA$1770&gt;=GRID_FROM)*('Dvd Calendar'!$AA$1770&lt;=GRID_TO)*('Dvd Calendar'!$AA$1770&lt;=VAL_DATE)=0,"",'Dvd Calendar'!$AA$1770*1000000000+ISNUMBER('Dvd Calendar'!$AA$1773)*100000000+('Dvd Calendar'!$AA$1775=SPECIAL_LBL)*10000000+0*1000000+20*1000+23))</f>
        <v/>
      </c>
      <c r="FB179" s="35">
        <f>IF(N('Dvd Calendar'!$AB$1770)=0,"",IF(('Dvd Calendar'!$AB$1770&gt;=GRID_FROM)*('Dvd Calendar'!$AB$1770&lt;=GRID_TO)*('Dvd Calendar'!$AB$1770&lt;=VAL_DATE)=0,"",'Dvd Calendar'!$AB$1770*1000000000+ISNUMBER('Dvd Calendar'!$AB$1773)*100000000+('Dvd Calendar'!$AB$1775=SPECIAL_LBL)*10000000+0*1000000+20*1000+24))</f>
        <v/>
      </c>
      <c r="FC179" s="35">
        <f>IF(N('Dvd Calendar'!$AC$1770)=0,"",IF(('Dvd Calendar'!$AC$1770&gt;=GRID_FROM)*('Dvd Calendar'!$AC$1770&lt;=GRID_TO)*('Dvd Calendar'!$AC$1770&lt;=VAL_DATE)=0,"",'Dvd Calendar'!$AC$1770*1000000000+ISNUMBER('Dvd Calendar'!$AC$1773)*100000000+('Dvd Calendar'!$AC$1775=SPECIAL_LBL)*10000000+0*1000000+20*1000+25))</f>
        <v/>
      </c>
      <c r="FD179" s="35">
        <f>IF(N('Dvd Calendar'!$AD$1770)=0,"",IF(('Dvd Calendar'!$AD$1770&gt;=GRID_FROM)*('Dvd Calendar'!$AD$1770&lt;=GRID_TO)*('Dvd Calendar'!$AD$1770&lt;=VAL_DATE)=0,"",'Dvd Calendar'!$AD$1770*1000000000+ISNUMBER('Dvd Calendar'!$AD$1773)*100000000+('Dvd Calendar'!$AD$1775=SPECIAL_LBL)*10000000+0*1000000+20*1000+26))</f>
        <v/>
      </c>
      <c r="FE179" s="35">
        <f>IF(N('Dvd Calendar'!$AE$1770)=0,"",IF(('Dvd Calendar'!$AE$1770&gt;=GRID_FROM)*('Dvd Calendar'!$AE$1770&lt;=GRID_TO)*('Dvd Calendar'!$AE$1770&lt;=VAL_DATE)=0,"",'Dvd Calendar'!$AE$1770*1000000000+ISNUMBER('Dvd Calendar'!$AE$1773)*100000000+('Dvd Calendar'!$AE$1775=SPECIAL_LBL)*10000000+0*1000000+20*1000+27))</f>
        <v/>
      </c>
      <c r="FF179" s="35">
        <f>IF(N('Dvd Calendar'!$AF$1770)=0,"",IF(('Dvd Calendar'!$AF$1770&gt;=GRID_FROM)*('Dvd Calendar'!$AF$1770&lt;=GRID_TO)*('Dvd Calendar'!$AF$1770&lt;=VAL_DATE)=0,"",'Dvd Calendar'!$AF$1770*1000000000+ISNUMBER('Dvd Calendar'!$AF$1773)*100000000+('Dvd Calendar'!$AF$1775=SPECIAL_LBL)*10000000+0*1000000+20*1000+28))</f>
        <v/>
      </c>
      <c r="FG179" s="35">
        <f>IF(N('Dvd Calendar'!$AG$1770)=0,"",IF(('Dvd Calendar'!$AG$1770&gt;=GRID_FROM)*('Dvd Calendar'!$AG$1770&lt;=GRID_TO)*('Dvd Calendar'!$AG$1770&lt;=VAL_DATE)=0,"",'Dvd Calendar'!$AG$1770*1000000000+ISNUMBER('Dvd Calendar'!$AG$1773)*100000000+('Dvd Calendar'!$AG$1775=SPECIAL_LBL)*10000000+0*1000000+20*1000+29))</f>
        <v/>
      </c>
      <c r="FH179" s="35">
        <f>IF(N('Dvd Calendar'!$AH$1770)=0,"",IF(('Dvd Calendar'!$AH$1770&gt;=GRID_FROM)*('Dvd Calendar'!$AH$1770&lt;=GRID_TO)*('Dvd Calendar'!$AH$1770&lt;=VAL_DATE)=0,"",'Dvd Calendar'!$AH$1770*1000000000+ISNUMBER('Dvd Calendar'!$AH$1773)*100000000+('Dvd Calendar'!$AH$1775=SPECIAL_LBL)*10000000+0*1000000+20*1000+30))</f>
        <v/>
      </c>
      <c r="FI179" s="35">
        <f>IF(N('Dvd Calendar'!$AI$1770)=0,"",IF(('Dvd Calendar'!$AI$1770&gt;=GRID_FROM)*('Dvd Calendar'!$AI$1770&lt;=GRID_TO)*('Dvd Calendar'!$AI$1770&lt;=VAL_DATE)=0,"",'Dvd Calendar'!$AI$1770*1000000000+ISNUMBER('Dvd Calendar'!$AI$1773)*100000000+('Dvd Calendar'!$AI$1775=SPECIAL_LBL)*10000000+0*1000000+20*1000+31))</f>
        <v/>
      </c>
      <c r="FJ179" s="35">
        <f>IF(N('Dvd Calendar'!$AJ$1770)=0,"",IF(('Dvd Calendar'!$AJ$1770&gt;=GRID_FROM)*('Dvd Calendar'!$AJ$1770&lt;=GRID_TO)*('Dvd Calendar'!$AJ$1770&lt;=VAL_DATE)=0,"",'Dvd Calendar'!$AJ$1770*1000000000+ISNUMBER('Dvd Calendar'!$AJ$1773)*100000000+('Dvd Calendar'!$AJ$1775=SPECIAL_LBL)*10000000+0*1000000+20*1000+32))</f>
        <v/>
      </c>
      <c r="FK179" s="35">
        <f>IF(N('Dvd Calendar'!$AK$1770)=0,"",IF(('Dvd Calendar'!$AK$1770&gt;=GRID_FROM)*('Dvd Calendar'!$AK$1770&lt;=GRID_TO)*('Dvd Calendar'!$AK$1770&lt;=VAL_DATE)=0,"",'Dvd Calendar'!$AK$1770*1000000000+ISNUMBER('Dvd Calendar'!$AK$1773)*100000000+('Dvd Calendar'!$AK$1775=SPECIAL_LBL)*10000000+0*1000000+20*1000+33))</f>
        <v/>
      </c>
      <c r="FL179" s="35">
        <f>IF(N('Dvd Calendar'!$AL$1770)=0,"",IF(('Dvd Calendar'!$AL$1770&gt;=GRID_FROM)*('Dvd Calendar'!$AL$1770&lt;=GRID_TO)*('Dvd Calendar'!$AL$1770&lt;=VAL_DATE)=0,"",'Dvd Calendar'!$AL$1770*1000000000+ISNUMBER('Dvd Calendar'!$AL$1773)*100000000+('Dvd Calendar'!$AL$1775=SPECIAL_LBL)*10000000+0*1000000+20*1000+34))</f>
        <v/>
      </c>
      <c r="FM179" s="35">
        <f>IF(N('Dvd Calendar'!$AM$1770)=0,"",IF(('Dvd Calendar'!$AM$1770&gt;=GRID_FROM)*('Dvd Calendar'!$AM$1770&lt;=GRID_TO)*('Dvd Calendar'!$AM$1770&lt;=VAL_DATE)=0,"",'Dvd Calendar'!$AM$1770*1000000000+ISNUMBER('Dvd Calendar'!$AM$1773)*100000000+('Dvd Calendar'!$AM$1775=SPECIAL_LBL)*10000000+0*1000000+20*1000+35))</f>
        <v/>
      </c>
      <c r="FN179" s="35">
        <f>IF(N('Dvd Calendar'!$AN$1770)=0,"",IF(('Dvd Calendar'!$AN$1770&gt;=GRID_FROM)*('Dvd Calendar'!$AN$1770&lt;=GRID_TO)*('Dvd Calendar'!$AN$1770&lt;=VAL_DATE)=0,"",'Dvd Calendar'!$AN$1770*1000000000+ISNUMBER('Dvd Calendar'!$AN$1773)*100000000+('Dvd Calendar'!$AN$1775=SPECIAL_LBL)*10000000+0*1000000+20*1000+36))</f>
        <v/>
      </c>
      <c r="FO179" s="35">
        <f>IF(N('Dvd Calendar'!$AO$1770)=0,"",IF(('Dvd Calendar'!$AO$1770&gt;=GRID_FROM)*('Dvd Calendar'!$AO$1770&lt;=GRID_TO)*('Dvd Calendar'!$AO$1770&lt;=VAL_DATE)=0,"",'Dvd Calendar'!$AO$1770*1000000000+ISNUMBER('Dvd Calendar'!$AO$1773)*100000000+('Dvd Calendar'!$AO$1775=SPECIAL_LBL)*10000000+0*1000000+20*1000+37))</f>
        <v/>
      </c>
      <c r="FP179" s="35">
        <f>IF(N('Dvd Calendar'!$AP$1770)=0,"",IF(('Dvd Calendar'!$AP$1770&gt;=GRID_FROM)*('Dvd Calendar'!$AP$1770&lt;=GRID_TO)*('Dvd Calendar'!$AP$1770&lt;=VAL_DATE)=0,"",'Dvd Calendar'!$AP$1770*1000000000+ISNUMBER('Dvd Calendar'!$AP$1773)*100000000+('Dvd Calendar'!$AP$1775=SPECIAL_LBL)*10000000+0*1000000+20*1000+38))</f>
        <v/>
      </c>
      <c r="FQ179" s="35">
        <f>IF(N('Dvd Calendar'!$AQ$1770)=0,"",IF(('Dvd Calendar'!$AQ$1770&gt;=GRID_FROM)*('Dvd Calendar'!$AQ$1770&lt;=GRID_TO)*('Dvd Calendar'!$AQ$1770&lt;=VAL_DATE)=0,"",'Dvd Calendar'!$AQ$1770*1000000000+ISNUMBER('Dvd Calendar'!$AQ$1773)*100000000+('Dvd Calendar'!$AQ$1775=SPECIAL_LBL)*10000000+0*1000000+20*1000+39))</f>
        <v/>
      </c>
      <c r="FR179" s="35">
        <f>IF(N('Dvd Calendar'!$AR$1770)=0,"",IF(('Dvd Calendar'!$AR$1770&gt;=GRID_FROM)*('Dvd Calendar'!$AR$1770&lt;=GRID_TO)*('Dvd Calendar'!$AR$1770&lt;=VAL_DATE)=0,"",'Dvd Calendar'!$AR$1770*1000000000+ISNUMBER('Dvd Calendar'!$AR$1773)*100000000+('Dvd Calendar'!$AR$1775=SPECIAL_LBL)*10000000+0*1000000+20*1000+40))</f>
        <v/>
      </c>
      <c r="FS179" s="35">
        <f>IF(N('Dvd Calendar'!$E$1777)=0,"",IF(('Dvd Calendar'!$E$1777&gt;=GRID_FROM)*('Dvd Calendar'!$E$1777&lt;=GRID_TO)*('Dvd Calendar'!$E$1777&gt;VAL_DATE)=0,"",'Dvd Calendar'!$E$1777*1000000000+ISNUMBER('Dvd Calendar'!$E$1778)*100000000+0*10000000+(N('Dvd Calendar'!$E$1776)&gt;0)*(N('Dvd Calendar'!$E$1776)&lt;=VAL_SERIAL)*1000000+20*1000+41))</f>
        <v/>
      </c>
      <c r="FT179" s="35">
        <f>IF(N('Dvd Calendar'!$F$1777)=0,"",IF(('Dvd Calendar'!$F$1777&gt;=GRID_FROM)*('Dvd Calendar'!$F$1777&lt;=GRID_TO)*('Dvd Calendar'!$F$1777&gt;VAL_DATE)=0,"",'Dvd Calendar'!$F$1777*1000000000+ISNUMBER('Dvd Calendar'!$F$1778)*100000000+0*10000000+(N('Dvd Calendar'!$F$1776)&gt;0)*(N('Dvd Calendar'!$F$1776)&lt;=VAL_SERIAL)*1000000+20*1000+42))</f>
        <v/>
      </c>
      <c r="FU179" s="35">
        <f>IF(N('Dvd Calendar'!$G$1777)=0,"",IF(('Dvd Calendar'!$G$1777&gt;=GRID_FROM)*('Dvd Calendar'!$G$1777&lt;=GRID_TO)*('Dvd Calendar'!$G$1777&gt;VAL_DATE)=0,"",'Dvd Calendar'!$G$1777*1000000000+ISNUMBER('Dvd Calendar'!$G$1778)*100000000+0*10000000+(N('Dvd Calendar'!$G$1776)&gt;0)*(N('Dvd Calendar'!$G$1776)&lt;=VAL_SERIAL)*1000000+20*1000+43))</f>
        <v/>
      </c>
      <c r="FV179" s="35">
        <f>IF(N('Dvd Calendar'!$H$1777)=0,"",IF(('Dvd Calendar'!$H$1777&gt;=GRID_FROM)*('Dvd Calendar'!$H$1777&lt;=GRID_TO)*('Dvd Calendar'!$H$1777&gt;VAL_DATE)=0,"",'Dvd Calendar'!$H$1777*1000000000+ISNUMBER('Dvd Calendar'!$H$1778)*100000000+0*10000000+(N('Dvd Calendar'!$H$1776)&gt;0)*(N('Dvd Calendar'!$H$1776)&lt;=VAL_SERIAL)*1000000+20*1000+44))</f>
        <v/>
      </c>
      <c r="FW179" s="35">
        <f>IF(N('Dvd Calendar'!$I$1777)=0,"",IF(('Dvd Calendar'!$I$1777&gt;=GRID_FROM)*('Dvd Calendar'!$I$1777&lt;=GRID_TO)*('Dvd Calendar'!$I$1777&gt;VAL_DATE)=0,"",'Dvd Calendar'!$I$1777*1000000000+ISNUMBER('Dvd Calendar'!$I$1778)*100000000+0*10000000+(N('Dvd Calendar'!$I$1776)&gt;0)*(N('Dvd Calendar'!$I$1776)&lt;=VAL_SERIAL)*1000000+20*1000+45))</f>
        <v/>
      </c>
      <c r="FX179" s="35">
        <f>IF(N('Dvd Calendar'!$J$1777)=0,"",IF(('Dvd Calendar'!$J$1777&gt;=GRID_FROM)*('Dvd Calendar'!$J$1777&lt;=GRID_TO)*('Dvd Calendar'!$J$1777&gt;VAL_DATE)=0,"",'Dvd Calendar'!$J$1777*1000000000+ISNUMBER('Dvd Calendar'!$J$1778)*100000000+0*10000000+(N('Dvd Calendar'!$J$1776)&gt;0)*(N('Dvd Calendar'!$J$1776)&lt;=VAL_SERIAL)*1000000+20*1000+46))</f>
        <v/>
      </c>
      <c r="FY179" s="35">
        <f>IF(N('Dvd Calendar'!$K$1777)=0,"",IF(('Dvd Calendar'!$K$1777&gt;=GRID_FROM)*('Dvd Calendar'!$K$1777&lt;=GRID_TO)*('Dvd Calendar'!$K$1777&gt;VAL_DATE)=0,"",'Dvd Calendar'!$K$1777*1000000000+ISNUMBER('Dvd Calendar'!$K$1778)*100000000+0*10000000+(N('Dvd Calendar'!$K$1776)&gt;0)*(N('Dvd Calendar'!$K$1776)&lt;=VAL_SERIAL)*1000000+20*1000+47))</f>
        <v/>
      </c>
      <c r="FZ179" s="35">
        <f>IF(N('Dvd Calendar'!$L$1777)=0,"",IF(('Dvd Calendar'!$L$1777&gt;=GRID_FROM)*('Dvd Calendar'!$L$1777&lt;=GRID_TO)*('Dvd Calendar'!$L$1777&gt;VAL_DATE)=0,"",'Dvd Calendar'!$L$1777*1000000000+ISNUMBER('Dvd Calendar'!$L$1778)*100000000+0*10000000+(N('Dvd Calendar'!$L$1776)&gt;0)*(N('Dvd Calendar'!$L$1776)&lt;=VAL_SERIAL)*1000000+20*1000+48))</f>
        <v/>
      </c>
      <c r="GA179" s="35">
        <f>IF(N('Dvd Calendar'!$M$1777)=0,"",IF(('Dvd Calendar'!$M$1777&gt;=GRID_FROM)*('Dvd Calendar'!$M$1777&lt;=GRID_TO)*('Dvd Calendar'!$M$1777&gt;VAL_DATE)=0,"",'Dvd Calendar'!$M$1777*1000000000+ISNUMBER('Dvd Calendar'!$M$1778)*100000000+0*10000000+(N('Dvd Calendar'!$M$1776)&gt;0)*(N('Dvd Calendar'!$M$1776)&lt;=VAL_SERIAL)*1000000+20*1000+49))</f>
        <v/>
      </c>
      <c r="GB179" s="35">
        <f>IF(N('Dvd Calendar'!$N$1777)=0,"",IF(('Dvd Calendar'!$N$1777&gt;=GRID_FROM)*('Dvd Calendar'!$N$1777&lt;=GRID_TO)*('Dvd Calendar'!$N$1777&gt;VAL_DATE)=0,"",'Dvd Calendar'!$N$1777*1000000000+ISNUMBER('Dvd Calendar'!$N$1778)*100000000+0*10000000+(N('Dvd Calendar'!$N$1776)&gt;0)*(N('Dvd Calendar'!$N$1776)&lt;=VAL_SERIAL)*1000000+20*1000+50))</f>
        <v/>
      </c>
      <c r="GC179" s="35">
        <f>IF(N('Dvd Calendar'!$O$1777)=0,"",IF(('Dvd Calendar'!$O$1777&gt;=GRID_FROM)*('Dvd Calendar'!$O$1777&lt;=GRID_TO)*('Dvd Calendar'!$O$1777&gt;VAL_DATE)=0,"",'Dvd Calendar'!$O$1777*1000000000+ISNUMBER('Dvd Calendar'!$O$1778)*100000000+0*10000000+(N('Dvd Calendar'!$O$1776)&gt;0)*(N('Dvd Calendar'!$O$1776)&lt;=VAL_SERIAL)*1000000+20*1000+51))</f>
        <v/>
      </c>
      <c r="GD179" s="35">
        <f>IF(N('Dvd Calendar'!$P$1777)=0,"",IF(('Dvd Calendar'!$P$1777&gt;=GRID_FROM)*('Dvd Calendar'!$P$1777&lt;=GRID_TO)*('Dvd Calendar'!$P$1777&gt;VAL_DATE)=0,"",'Dvd Calendar'!$P$1777*1000000000+ISNUMBER('Dvd Calendar'!$P$1778)*100000000+0*10000000+(N('Dvd Calendar'!$P$1776)&gt;0)*(N('Dvd Calendar'!$P$1776)&lt;=VAL_SERIAL)*1000000+20*1000+52))</f>
        <v/>
      </c>
      <c r="GE179" s="35">
        <f>IF(N('Dvd Calendar'!$Q$1777)=0,"",IF(('Dvd Calendar'!$Q$1777&gt;=GRID_FROM)*('Dvd Calendar'!$Q$1777&lt;=GRID_TO)*('Dvd Calendar'!$Q$1777&gt;VAL_DATE)=0,"",'Dvd Calendar'!$Q$1777*1000000000+ISNUMBER('Dvd Calendar'!$Q$1778)*100000000+0*10000000+(N('Dvd Calendar'!$Q$1776)&gt;0)*(N('Dvd Calendar'!$Q$1776)&lt;=VAL_SERIAL)*1000000+20*1000+53))</f>
        <v/>
      </c>
      <c r="GF179" s="35">
        <f>IF(N('Dvd Calendar'!$R$1777)=0,"",IF(('Dvd Calendar'!$R$1777&gt;=GRID_FROM)*('Dvd Calendar'!$R$1777&lt;=GRID_TO)*('Dvd Calendar'!$R$1777&gt;VAL_DATE)=0,"",'Dvd Calendar'!$R$1777*1000000000+ISNUMBER('Dvd Calendar'!$R$1778)*100000000+0*10000000+(N('Dvd Calendar'!$R$1776)&gt;0)*(N('Dvd Calendar'!$R$1776)&lt;=VAL_SERIAL)*1000000+20*1000+54))</f>
        <v/>
      </c>
      <c r="GG179" s="35">
        <f>IF(N('Dvd Calendar'!$S$1777)=0,"",IF(('Dvd Calendar'!$S$1777&gt;=GRID_FROM)*('Dvd Calendar'!$S$1777&lt;=GRID_TO)*('Dvd Calendar'!$S$1777&gt;VAL_DATE)=0,"",'Dvd Calendar'!$S$1777*1000000000+ISNUMBER('Dvd Calendar'!$S$1778)*100000000+0*10000000+(N('Dvd Calendar'!$S$1776)&gt;0)*(N('Dvd Calendar'!$S$1776)&lt;=VAL_SERIAL)*1000000+20*1000+55))</f>
        <v/>
      </c>
      <c r="GH179" s="35">
        <f>IF(N('Dvd Calendar'!$T$1777)=0,"",IF(('Dvd Calendar'!$T$1777&gt;=GRID_FROM)*('Dvd Calendar'!$T$1777&lt;=GRID_TO)*('Dvd Calendar'!$T$1777&gt;VAL_DATE)=0,"",'Dvd Calendar'!$T$1777*1000000000+ISNUMBER('Dvd Calendar'!$T$1778)*100000000+0*10000000+(N('Dvd Calendar'!$T$1776)&gt;0)*(N('Dvd Calendar'!$T$1776)&lt;=VAL_SERIAL)*1000000+20*1000+56))</f>
        <v/>
      </c>
      <c r="GI179" s="35">
        <f>IF(N('Dvd Calendar'!$U$1777)=0,"",IF(('Dvd Calendar'!$U$1777&gt;=GRID_FROM)*('Dvd Calendar'!$U$1777&lt;=GRID_TO)*('Dvd Calendar'!$U$1777&gt;VAL_DATE)=0,"",'Dvd Calendar'!$U$1777*1000000000+ISNUMBER('Dvd Calendar'!$U$1778)*100000000+0*10000000+(N('Dvd Calendar'!$U$1776)&gt;0)*(N('Dvd Calendar'!$U$1776)&lt;=VAL_SERIAL)*1000000+20*1000+57))</f>
        <v/>
      </c>
      <c r="GJ179" s="35">
        <f>IF(N('Dvd Calendar'!$V$1777)=0,"",IF(('Dvd Calendar'!$V$1777&gt;=GRID_FROM)*('Dvd Calendar'!$V$1777&lt;=GRID_TO)*('Dvd Calendar'!$V$1777&gt;VAL_DATE)=0,"",'Dvd Calendar'!$V$1777*1000000000+ISNUMBER('Dvd Calendar'!$V$1778)*100000000+0*10000000+(N('Dvd Calendar'!$V$1776)&gt;0)*(N('Dvd Calendar'!$V$1776)&lt;=VAL_SERIAL)*1000000+20*1000+58))</f>
        <v/>
      </c>
      <c r="GK179" s="35">
        <f>IF(N('Dvd Calendar'!$W$1777)=0,"",IF(('Dvd Calendar'!$W$1777&gt;=GRID_FROM)*('Dvd Calendar'!$W$1777&lt;=GRID_TO)*('Dvd Calendar'!$W$1777&gt;VAL_DATE)=0,"",'Dvd Calendar'!$W$1777*1000000000+ISNUMBER('Dvd Calendar'!$W$1778)*100000000+0*10000000+(N('Dvd Calendar'!$W$1776)&gt;0)*(N('Dvd Calendar'!$W$1776)&lt;=VAL_SERIAL)*1000000+20*1000+59))</f>
        <v/>
      </c>
      <c r="GL179" s="35">
        <f>IF(N('Dvd Calendar'!$X$1777)=0,"",IF(('Dvd Calendar'!$X$1777&gt;=GRID_FROM)*('Dvd Calendar'!$X$1777&lt;=GRID_TO)*('Dvd Calendar'!$X$1777&gt;VAL_DATE)=0,"",'Dvd Calendar'!$X$1777*1000000000+ISNUMBER('Dvd Calendar'!$X$1778)*100000000+0*10000000+(N('Dvd Calendar'!$X$1776)&gt;0)*(N('Dvd Calendar'!$X$1776)&lt;=VAL_SERIAL)*1000000+20*1000+60))</f>
        <v/>
      </c>
      <c r="GM179" s="35">
        <f>IF(N('Dvd Calendar'!$Y$1777)=0,"",IF(('Dvd Calendar'!$Y$1777&gt;=GRID_FROM)*('Dvd Calendar'!$Y$1777&lt;=GRID_TO)*('Dvd Calendar'!$Y$1777&gt;VAL_DATE)=0,"",'Dvd Calendar'!$Y$1777*1000000000+ISNUMBER('Dvd Calendar'!$Y$1778)*100000000+0*10000000+(N('Dvd Calendar'!$Y$1776)&gt;0)*(N('Dvd Calendar'!$Y$1776)&lt;=VAL_SERIAL)*1000000+20*1000+61))</f>
        <v/>
      </c>
      <c r="GN179" s="35">
        <f>IF(N('Dvd Calendar'!$Z$1777)=0,"",IF(('Dvd Calendar'!$Z$1777&gt;=GRID_FROM)*('Dvd Calendar'!$Z$1777&lt;=GRID_TO)*('Dvd Calendar'!$Z$1777&gt;VAL_DATE)=0,"",'Dvd Calendar'!$Z$1777*1000000000+ISNUMBER('Dvd Calendar'!$Z$1778)*100000000+0*10000000+(N('Dvd Calendar'!$Z$1776)&gt;0)*(N('Dvd Calendar'!$Z$1776)&lt;=VAL_SERIAL)*1000000+20*1000+62))</f>
        <v/>
      </c>
      <c r="GO179" s="35">
        <f>IF(N('Dvd Calendar'!$AA$1777)=0,"",IF(('Dvd Calendar'!$AA$1777&gt;=GRID_FROM)*('Dvd Calendar'!$AA$1777&lt;=GRID_TO)*('Dvd Calendar'!$AA$1777&gt;VAL_DATE)=0,"",'Dvd Calendar'!$AA$1777*1000000000+ISNUMBER('Dvd Calendar'!$AA$1778)*100000000+0*10000000+(N('Dvd Calendar'!$AA$1776)&gt;0)*(N('Dvd Calendar'!$AA$1776)&lt;=VAL_SERIAL)*1000000+20*1000+63))</f>
        <v/>
      </c>
      <c r="GP179" s="35">
        <f>IF(N('Dvd Calendar'!$AB$1777)=0,"",IF(('Dvd Calendar'!$AB$1777&gt;=GRID_FROM)*('Dvd Calendar'!$AB$1777&lt;=GRID_TO)*('Dvd Calendar'!$AB$1777&gt;VAL_DATE)=0,"",'Dvd Calendar'!$AB$1777*1000000000+ISNUMBER('Dvd Calendar'!$AB$1778)*100000000+0*10000000+(N('Dvd Calendar'!$AB$1776)&gt;0)*(N('Dvd Calendar'!$AB$1776)&lt;=VAL_SERIAL)*1000000+20*1000+64))</f>
        <v/>
      </c>
      <c r="GQ179" s="35">
        <f>IF(N('Dvd Calendar'!$AC$1777)=0,"",IF(('Dvd Calendar'!$AC$1777&gt;=GRID_FROM)*('Dvd Calendar'!$AC$1777&lt;=GRID_TO)*('Dvd Calendar'!$AC$1777&gt;VAL_DATE)=0,"",'Dvd Calendar'!$AC$1777*1000000000+ISNUMBER('Dvd Calendar'!$AC$1778)*100000000+0*10000000+(N('Dvd Calendar'!$AC$1776)&gt;0)*(N('Dvd Calendar'!$AC$1776)&lt;=VAL_SERIAL)*1000000+20*1000+65))</f>
        <v/>
      </c>
    </row>
    <row r="180">
      <c r="B180" s="2">
        <f>IF(HSCEI!$C$27="","",HSCEI!$C$27)</f>
        <v/>
      </c>
      <c r="C180" s="106">
        <f>IF(EE180="","",IF(ISNUMBER('Dvd Calendar'!$E$1784)=FALSE,"",IF((('Dvd Calendar'!$E$1786=TYPE1)*(TYPE1&lt;&gt;"")+('Dvd Calendar'!$E$1786=TYPE2)*(TYPE2&lt;&gt;"")+('Dvd Calendar'!$E$1786=TYPE3)*(TYPE3&lt;&gt;"")+('Dvd Calendar'!$E$1786=TYPE4)*(TYPE4&lt;&gt;"")+('Dvd Calendar'!$E$1786=SPECIAL_LBL)*(INC_SPECIALS="Y"))=0,"",'Dvd Calendar'!$E$1784)))</f>
        <v/>
      </c>
      <c r="D180" s="106">
        <f>IF(EF180="","",IF(ISNUMBER('Dvd Calendar'!$F$1784)=FALSE,"",IF((('Dvd Calendar'!$F$1786=TYPE1)*(TYPE1&lt;&gt;"")+('Dvd Calendar'!$F$1786=TYPE2)*(TYPE2&lt;&gt;"")+('Dvd Calendar'!$F$1786=TYPE3)*(TYPE3&lt;&gt;"")+('Dvd Calendar'!$F$1786=TYPE4)*(TYPE4&lt;&gt;"")+('Dvd Calendar'!$F$1786=SPECIAL_LBL)*(INC_SPECIALS="Y"))=0,"",'Dvd Calendar'!$F$1784)))</f>
        <v/>
      </c>
      <c r="E180" s="106">
        <f>IF(EG180="","",IF(ISNUMBER('Dvd Calendar'!$G$1784)=FALSE,"",IF((('Dvd Calendar'!$G$1786=TYPE1)*(TYPE1&lt;&gt;"")+('Dvd Calendar'!$G$1786=TYPE2)*(TYPE2&lt;&gt;"")+('Dvd Calendar'!$G$1786=TYPE3)*(TYPE3&lt;&gt;"")+('Dvd Calendar'!$G$1786=TYPE4)*(TYPE4&lt;&gt;"")+('Dvd Calendar'!$G$1786=SPECIAL_LBL)*(INC_SPECIALS="Y"))=0,"",'Dvd Calendar'!$G$1784)))</f>
        <v/>
      </c>
      <c r="F180" s="106">
        <f>IF(EH180="","",IF(ISNUMBER('Dvd Calendar'!$H$1784)=FALSE,"",IF((('Dvd Calendar'!$H$1786=TYPE1)*(TYPE1&lt;&gt;"")+('Dvd Calendar'!$H$1786=TYPE2)*(TYPE2&lt;&gt;"")+('Dvd Calendar'!$H$1786=TYPE3)*(TYPE3&lt;&gt;"")+('Dvd Calendar'!$H$1786=TYPE4)*(TYPE4&lt;&gt;"")+('Dvd Calendar'!$H$1786=SPECIAL_LBL)*(INC_SPECIALS="Y"))=0,"",'Dvd Calendar'!$H$1784)))</f>
        <v/>
      </c>
      <c r="G180" s="106">
        <f>IF(EI180="","",IF(ISNUMBER('Dvd Calendar'!$I$1784)=FALSE,"",IF((('Dvd Calendar'!$I$1786=TYPE1)*(TYPE1&lt;&gt;"")+('Dvd Calendar'!$I$1786=TYPE2)*(TYPE2&lt;&gt;"")+('Dvd Calendar'!$I$1786=TYPE3)*(TYPE3&lt;&gt;"")+('Dvd Calendar'!$I$1786=TYPE4)*(TYPE4&lt;&gt;"")+('Dvd Calendar'!$I$1786=SPECIAL_LBL)*(INC_SPECIALS="Y"))=0,"",'Dvd Calendar'!$I$1784)))</f>
        <v/>
      </c>
      <c r="H180" s="106">
        <f>IF(EJ180="","",IF(ISNUMBER('Dvd Calendar'!$J$1784)=FALSE,"",IF((('Dvd Calendar'!$J$1786=TYPE1)*(TYPE1&lt;&gt;"")+('Dvd Calendar'!$J$1786=TYPE2)*(TYPE2&lt;&gt;"")+('Dvd Calendar'!$J$1786=TYPE3)*(TYPE3&lt;&gt;"")+('Dvd Calendar'!$J$1786=TYPE4)*(TYPE4&lt;&gt;"")+('Dvd Calendar'!$J$1786=SPECIAL_LBL)*(INC_SPECIALS="Y"))=0,"",'Dvd Calendar'!$J$1784)))</f>
        <v/>
      </c>
      <c r="I180" s="106">
        <f>IF(EK180="","",IF(ISNUMBER('Dvd Calendar'!$K$1784)=FALSE,"",IF((('Dvd Calendar'!$K$1786=TYPE1)*(TYPE1&lt;&gt;"")+('Dvd Calendar'!$K$1786=TYPE2)*(TYPE2&lt;&gt;"")+('Dvd Calendar'!$K$1786=TYPE3)*(TYPE3&lt;&gt;"")+('Dvd Calendar'!$K$1786=TYPE4)*(TYPE4&lt;&gt;"")+('Dvd Calendar'!$K$1786=SPECIAL_LBL)*(INC_SPECIALS="Y"))=0,"",'Dvd Calendar'!$K$1784)))</f>
        <v/>
      </c>
      <c r="J180" s="106">
        <f>IF(EL180="","",IF(ISNUMBER('Dvd Calendar'!$L$1784)=FALSE,"",IF((('Dvd Calendar'!$L$1786=TYPE1)*(TYPE1&lt;&gt;"")+('Dvd Calendar'!$L$1786=TYPE2)*(TYPE2&lt;&gt;"")+('Dvd Calendar'!$L$1786=TYPE3)*(TYPE3&lt;&gt;"")+('Dvd Calendar'!$L$1786=TYPE4)*(TYPE4&lt;&gt;"")+('Dvd Calendar'!$L$1786=SPECIAL_LBL)*(INC_SPECIALS="Y"))=0,"",'Dvd Calendar'!$L$1784)))</f>
        <v/>
      </c>
      <c r="K180" s="106">
        <f>IF(EM180="","",IF(ISNUMBER('Dvd Calendar'!$M$1784)=FALSE,"",IF((('Dvd Calendar'!$M$1786=TYPE1)*(TYPE1&lt;&gt;"")+('Dvd Calendar'!$M$1786=TYPE2)*(TYPE2&lt;&gt;"")+('Dvd Calendar'!$M$1786=TYPE3)*(TYPE3&lt;&gt;"")+('Dvd Calendar'!$M$1786=TYPE4)*(TYPE4&lt;&gt;"")+('Dvd Calendar'!$M$1786=SPECIAL_LBL)*(INC_SPECIALS="Y"))=0,"",'Dvd Calendar'!$M$1784)))</f>
        <v/>
      </c>
      <c r="L180" s="106">
        <f>IF(EN180="","",IF(ISNUMBER('Dvd Calendar'!$N$1784)=FALSE,"",IF((('Dvd Calendar'!$N$1786=TYPE1)*(TYPE1&lt;&gt;"")+('Dvd Calendar'!$N$1786=TYPE2)*(TYPE2&lt;&gt;"")+('Dvd Calendar'!$N$1786=TYPE3)*(TYPE3&lt;&gt;"")+('Dvd Calendar'!$N$1786=TYPE4)*(TYPE4&lt;&gt;"")+('Dvd Calendar'!$N$1786=SPECIAL_LBL)*(INC_SPECIALS="Y"))=0,"",'Dvd Calendar'!$N$1784)))</f>
        <v/>
      </c>
      <c r="M180" s="106">
        <f>IF(EO180="","",IF(ISNUMBER('Dvd Calendar'!$O$1784)=FALSE,"",IF((('Dvd Calendar'!$O$1786=TYPE1)*(TYPE1&lt;&gt;"")+('Dvd Calendar'!$O$1786=TYPE2)*(TYPE2&lt;&gt;"")+('Dvd Calendar'!$O$1786=TYPE3)*(TYPE3&lt;&gt;"")+('Dvd Calendar'!$O$1786=TYPE4)*(TYPE4&lt;&gt;"")+('Dvd Calendar'!$O$1786=SPECIAL_LBL)*(INC_SPECIALS="Y"))=0,"",'Dvd Calendar'!$O$1784)))</f>
        <v/>
      </c>
      <c r="N180" s="106">
        <f>IF(EP180="","",IF(ISNUMBER('Dvd Calendar'!$P$1784)=FALSE,"",IF((('Dvd Calendar'!$P$1786=TYPE1)*(TYPE1&lt;&gt;"")+('Dvd Calendar'!$P$1786=TYPE2)*(TYPE2&lt;&gt;"")+('Dvd Calendar'!$P$1786=TYPE3)*(TYPE3&lt;&gt;"")+('Dvd Calendar'!$P$1786=TYPE4)*(TYPE4&lt;&gt;"")+('Dvd Calendar'!$P$1786=SPECIAL_LBL)*(INC_SPECIALS="Y"))=0,"",'Dvd Calendar'!$P$1784)))</f>
        <v/>
      </c>
      <c r="O180" s="106">
        <f>IF(EQ180="","",IF(ISNUMBER('Dvd Calendar'!$Q$1784)=FALSE,"",IF((('Dvd Calendar'!$Q$1786=TYPE1)*(TYPE1&lt;&gt;"")+('Dvd Calendar'!$Q$1786=TYPE2)*(TYPE2&lt;&gt;"")+('Dvd Calendar'!$Q$1786=TYPE3)*(TYPE3&lt;&gt;"")+('Dvd Calendar'!$Q$1786=TYPE4)*(TYPE4&lt;&gt;"")+('Dvd Calendar'!$Q$1786=SPECIAL_LBL)*(INC_SPECIALS="Y"))=0,"",'Dvd Calendar'!$Q$1784)))</f>
        <v/>
      </c>
      <c r="P180" s="106">
        <f>IF(ER180="","",IF(ISNUMBER('Dvd Calendar'!$R$1784)=FALSE,"",IF((('Dvd Calendar'!$R$1786=TYPE1)*(TYPE1&lt;&gt;"")+('Dvd Calendar'!$R$1786=TYPE2)*(TYPE2&lt;&gt;"")+('Dvd Calendar'!$R$1786=TYPE3)*(TYPE3&lt;&gt;"")+('Dvd Calendar'!$R$1786=TYPE4)*(TYPE4&lt;&gt;"")+('Dvd Calendar'!$R$1786=SPECIAL_LBL)*(INC_SPECIALS="Y"))=0,"",'Dvd Calendar'!$R$1784)))</f>
        <v/>
      </c>
      <c r="Q180" s="106">
        <f>IF(ES180="","",IF(ISNUMBER('Dvd Calendar'!$S$1784)=FALSE,"",IF((('Dvd Calendar'!$S$1786=TYPE1)*(TYPE1&lt;&gt;"")+('Dvd Calendar'!$S$1786=TYPE2)*(TYPE2&lt;&gt;"")+('Dvd Calendar'!$S$1786=TYPE3)*(TYPE3&lt;&gt;"")+('Dvd Calendar'!$S$1786=TYPE4)*(TYPE4&lt;&gt;"")+('Dvd Calendar'!$S$1786=SPECIAL_LBL)*(INC_SPECIALS="Y"))=0,"",'Dvd Calendar'!$S$1784)))</f>
        <v/>
      </c>
      <c r="R180" s="106">
        <f>IF(ET180="","",IF(ISNUMBER('Dvd Calendar'!$T$1784)=FALSE,"",IF((('Dvd Calendar'!$T$1786=TYPE1)*(TYPE1&lt;&gt;"")+('Dvd Calendar'!$T$1786=TYPE2)*(TYPE2&lt;&gt;"")+('Dvd Calendar'!$T$1786=TYPE3)*(TYPE3&lt;&gt;"")+('Dvd Calendar'!$T$1786=TYPE4)*(TYPE4&lt;&gt;"")+('Dvd Calendar'!$T$1786=SPECIAL_LBL)*(INC_SPECIALS="Y"))=0,"",'Dvd Calendar'!$T$1784)))</f>
        <v/>
      </c>
      <c r="S180" s="106">
        <f>IF(EU180="","",IF(ISNUMBER('Dvd Calendar'!$U$1784)=FALSE,"",IF((('Dvd Calendar'!$U$1786=TYPE1)*(TYPE1&lt;&gt;"")+('Dvd Calendar'!$U$1786=TYPE2)*(TYPE2&lt;&gt;"")+('Dvd Calendar'!$U$1786=TYPE3)*(TYPE3&lt;&gt;"")+('Dvd Calendar'!$U$1786=TYPE4)*(TYPE4&lt;&gt;"")+('Dvd Calendar'!$U$1786=SPECIAL_LBL)*(INC_SPECIALS="Y"))=0,"",'Dvd Calendar'!$U$1784)))</f>
        <v/>
      </c>
      <c r="T180" s="106">
        <f>IF(EV180="","",IF(ISNUMBER('Dvd Calendar'!$V$1784)=FALSE,"",IF((('Dvd Calendar'!$V$1786=TYPE1)*(TYPE1&lt;&gt;"")+('Dvd Calendar'!$V$1786=TYPE2)*(TYPE2&lt;&gt;"")+('Dvd Calendar'!$V$1786=TYPE3)*(TYPE3&lt;&gt;"")+('Dvd Calendar'!$V$1786=TYPE4)*(TYPE4&lt;&gt;"")+('Dvd Calendar'!$V$1786=SPECIAL_LBL)*(INC_SPECIALS="Y"))=0,"",'Dvd Calendar'!$V$1784)))</f>
        <v/>
      </c>
      <c r="U180" s="106">
        <f>IF(EW180="","",IF(ISNUMBER('Dvd Calendar'!$W$1784)=FALSE,"",IF((('Dvd Calendar'!$W$1786=TYPE1)*(TYPE1&lt;&gt;"")+('Dvd Calendar'!$W$1786=TYPE2)*(TYPE2&lt;&gt;"")+('Dvd Calendar'!$W$1786=TYPE3)*(TYPE3&lt;&gt;"")+('Dvd Calendar'!$W$1786=TYPE4)*(TYPE4&lt;&gt;"")+('Dvd Calendar'!$W$1786=SPECIAL_LBL)*(INC_SPECIALS="Y"))=0,"",'Dvd Calendar'!$W$1784)))</f>
        <v/>
      </c>
      <c r="V180" s="106">
        <f>IF(EX180="","",IF(ISNUMBER('Dvd Calendar'!$X$1784)=FALSE,"",IF((('Dvd Calendar'!$X$1786=TYPE1)*(TYPE1&lt;&gt;"")+('Dvd Calendar'!$X$1786=TYPE2)*(TYPE2&lt;&gt;"")+('Dvd Calendar'!$X$1786=TYPE3)*(TYPE3&lt;&gt;"")+('Dvd Calendar'!$X$1786=TYPE4)*(TYPE4&lt;&gt;"")+('Dvd Calendar'!$X$1786=SPECIAL_LBL)*(INC_SPECIALS="Y"))=0,"",'Dvd Calendar'!$X$1784)))</f>
        <v/>
      </c>
      <c r="W180" s="106">
        <f>IF(EY180="","",IF(ISNUMBER('Dvd Calendar'!$Y$1784)=FALSE,"",IF((('Dvd Calendar'!$Y$1786=TYPE1)*(TYPE1&lt;&gt;"")+('Dvd Calendar'!$Y$1786=TYPE2)*(TYPE2&lt;&gt;"")+('Dvd Calendar'!$Y$1786=TYPE3)*(TYPE3&lt;&gt;"")+('Dvd Calendar'!$Y$1786=TYPE4)*(TYPE4&lt;&gt;"")+('Dvd Calendar'!$Y$1786=SPECIAL_LBL)*(INC_SPECIALS="Y"))=0,"",'Dvd Calendar'!$Y$1784)))</f>
        <v/>
      </c>
      <c r="X180" s="106">
        <f>IF(EZ180="","",IF(ISNUMBER('Dvd Calendar'!$Z$1784)=FALSE,"",IF((('Dvd Calendar'!$Z$1786=TYPE1)*(TYPE1&lt;&gt;"")+('Dvd Calendar'!$Z$1786=TYPE2)*(TYPE2&lt;&gt;"")+('Dvd Calendar'!$Z$1786=TYPE3)*(TYPE3&lt;&gt;"")+('Dvd Calendar'!$Z$1786=TYPE4)*(TYPE4&lt;&gt;"")+('Dvd Calendar'!$Z$1786=SPECIAL_LBL)*(INC_SPECIALS="Y"))=0,"",'Dvd Calendar'!$Z$1784)))</f>
        <v/>
      </c>
      <c r="Y180" s="106">
        <f>IF(FA180="","",IF(ISNUMBER('Dvd Calendar'!$AA$1784)=FALSE,"",IF((('Dvd Calendar'!$AA$1786=TYPE1)*(TYPE1&lt;&gt;"")+('Dvd Calendar'!$AA$1786=TYPE2)*(TYPE2&lt;&gt;"")+('Dvd Calendar'!$AA$1786=TYPE3)*(TYPE3&lt;&gt;"")+('Dvd Calendar'!$AA$1786=TYPE4)*(TYPE4&lt;&gt;"")+('Dvd Calendar'!$AA$1786=SPECIAL_LBL)*(INC_SPECIALS="Y"))=0,"",'Dvd Calendar'!$AA$1784)))</f>
        <v/>
      </c>
      <c r="Z180" s="106">
        <f>IF(FB180="","",IF(ISNUMBER('Dvd Calendar'!$AB$1784)=FALSE,"",IF((('Dvd Calendar'!$AB$1786=TYPE1)*(TYPE1&lt;&gt;"")+('Dvd Calendar'!$AB$1786=TYPE2)*(TYPE2&lt;&gt;"")+('Dvd Calendar'!$AB$1786=TYPE3)*(TYPE3&lt;&gt;"")+('Dvd Calendar'!$AB$1786=TYPE4)*(TYPE4&lt;&gt;"")+('Dvd Calendar'!$AB$1786=SPECIAL_LBL)*(INC_SPECIALS="Y"))=0,"",'Dvd Calendar'!$AB$1784)))</f>
        <v/>
      </c>
      <c r="AA180" s="106">
        <f>IF(FC180="","",IF(ISNUMBER('Dvd Calendar'!$AC$1784)=FALSE,"",IF((('Dvd Calendar'!$AC$1786=TYPE1)*(TYPE1&lt;&gt;"")+('Dvd Calendar'!$AC$1786=TYPE2)*(TYPE2&lt;&gt;"")+('Dvd Calendar'!$AC$1786=TYPE3)*(TYPE3&lt;&gt;"")+('Dvd Calendar'!$AC$1786=TYPE4)*(TYPE4&lt;&gt;"")+('Dvd Calendar'!$AC$1786=SPECIAL_LBL)*(INC_SPECIALS="Y"))=0,"",'Dvd Calendar'!$AC$1784)))</f>
        <v/>
      </c>
      <c r="AB180" s="106">
        <f>IF(FD180="","",IF(ISNUMBER('Dvd Calendar'!$AD$1784)=FALSE,"",IF((('Dvd Calendar'!$AD$1786=TYPE1)*(TYPE1&lt;&gt;"")+('Dvd Calendar'!$AD$1786=TYPE2)*(TYPE2&lt;&gt;"")+('Dvd Calendar'!$AD$1786=TYPE3)*(TYPE3&lt;&gt;"")+('Dvd Calendar'!$AD$1786=TYPE4)*(TYPE4&lt;&gt;"")+('Dvd Calendar'!$AD$1786=SPECIAL_LBL)*(INC_SPECIALS="Y"))=0,"",'Dvd Calendar'!$AD$1784)))</f>
        <v/>
      </c>
      <c r="AC180" s="106">
        <f>IF(FE180="","",IF(ISNUMBER('Dvd Calendar'!$AE$1784)=FALSE,"",IF((('Dvd Calendar'!$AE$1786=TYPE1)*(TYPE1&lt;&gt;"")+('Dvd Calendar'!$AE$1786=TYPE2)*(TYPE2&lt;&gt;"")+('Dvd Calendar'!$AE$1786=TYPE3)*(TYPE3&lt;&gt;"")+('Dvd Calendar'!$AE$1786=TYPE4)*(TYPE4&lt;&gt;"")+('Dvd Calendar'!$AE$1786=SPECIAL_LBL)*(INC_SPECIALS="Y"))=0,"",'Dvd Calendar'!$AE$1784)))</f>
        <v/>
      </c>
      <c r="AD180" s="106">
        <f>IF(FF180="","",IF(ISNUMBER('Dvd Calendar'!$AF$1784)=FALSE,"",IF((('Dvd Calendar'!$AF$1786=TYPE1)*(TYPE1&lt;&gt;"")+('Dvd Calendar'!$AF$1786=TYPE2)*(TYPE2&lt;&gt;"")+('Dvd Calendar'!$AF$1786=TYPE3)*(TYPE3&lt;&gt;"")+('Dvd Calendar'!$AF$1786=TYPE4)*(TYPE4&lt;&gt;"")+('Dvd Calendar'!$AF$1786=SPECIAL_LBL)*(INC_SPECIALS="Y"))=0,"",'Dvd Calendar'!$AF$1784)))</f>
        <v/>
      </c>
      <c r="AE180" s="106">
        <f>IF(FG180="","",IF(ISNUMBER('Dvd Calendar'!$AG$1784)=FALSE,"",IF((('Dvd Calendar'!$AG$1786=TYPE1)*(TYPE1&lt;&gt;"")+('Dvd Calendar'!$AG$1786=TYPE2)*(TYPE2&lt;&gt;"")+('Dvd Calendar'!$AG$1786=TYPE3)*(TYPE3&lt;&gt;"")+('Dvd Calendar'!$AG$1786=TYPE4)*(TYPE4&lt;&gt;"")+('Dvd Calendar'!$AG$1786=SPECIAL_LBL)*(INC_SPECIALS="Y"))=0,"",'Dvd Calendar'!$AG$1784)))</f>
        <v/>
      </c>
      <c r="AF180" s="106">
        <f>IF(FH180="","",IF(ISNUMBER('Dvd Calendar'!$AH$1784)=FALSE,"",IF((('Dvd Calendar'!$AH$1786=TYPE1)*(TYPE1&lt;&gt;"")+('Dvd Calendar'!$AH$1786=TYPE2)*(TYPE2&lt;&gt;"")+('Dvd Calendar'!$AH$1786=TYPE3)*(TYPE3&lt;&gt;"")+('Dvd Calendar'!$AH$1786=TYPE4)*(TYPE4&lt;&gt;"")+('Dvd Calendar'!$AH$1786=SPECIAL_LBL)*(INC_SPECIALS="Y"))=0,"",'Dvd Calendar'!$AH$1784)))</f>
        <v/>
      </c>
      <c r="AG180" s="106">
        <f>IF(FI180="","",IF(ISNUMBER('Dvd Calendar'!$AI$1784)=FALSE,"",IF((('Dvd Calendar'!$AI$1786=TYPE1)*(TYPE1&lt;&gt;"")+('Dvd Calendar'!$AI$1786=TYPE2)*(TYPE2&lt;&gt;"")+('Dvd Calendar'!$AI$1786=TYPE3)*(TYPE3&lt;&gt;"")+('Dvd Calendar'!$AI$1786=TYPE4)*(TYPE4&lt;&gt;"")+('Dvd Calendar'!$AI$1786=SPECIAL_LBL)*(INC_SPECIALS="Y"))=0,"",'Dvd Calendar'!$AI$1784)))</f>
        <v/>
      </c>
      <c r="AH180" s="106">
        <f>IF(FJ180="","",IF(ISNUMBER('Dvd Calendar'!$AJ$1784)=FALSE,"",IF((('Dvd Calendar'!$AJ$1786=TYPE1)*(TYPE1&lt;&gt;"")+('Dvd Calendar'!$AJ$1786=TYPE2)*(TYPE2&lt;&gt;"")+('Dvd Calendar'!$AJ$1786=TYPE3)*(TYPE3&lt;&gt;"")+('Dvd Calendar'!$AJ$1786=TYPE4)*(TYPE4&lt;&gt;"")+('Dvd Calendar'!$AJ$1786=SPECIAL_LBL)*(INC_SPECIALS="Y"))=0,"",'Dvd Calendar'!$AJ$1784)))</f>
        <v/>
      </c>
      <c r="AI180" s="106">
        <f>IF(FK180="","",IF(ISNUMBER('Dvd Calendar'!$AK$1784)=FALSE,"",IF((('Dvd Calendar'!$AK$1786=TYPE1)*(TYPE1&lt;&gt;"")+('Dvd Calendar'!$AK$1786=TYPE2)*(TYPE2&lt;&gt;"")+('Dvd Calendar'!$AK$1786=TYPE3)*(TYPE3&lt;&gt;"")+('Dvd Calendar'!$AK$1786=TYPE4)*(TYPE4&lt;&gt;"")+('Dvd Calendar'!$AK$1786=SPECIAL_LBL)*(INC_SPECIALS="Y"))=0,"",'Dvd Calendar'!$AK$1784)))</f>
        <v/>
      </c>
      <c r="AJ180" s="106">
        <f>IF(FL180="","",IF(ISNUMBER('Dvd Calendar'!$AL$1784)=FALSE,"",IF((('Dvd Calendar'!$AL$1786=TYPE1)*(TYPE1&lt;&gt;"")+('Dvd Calendar'!$AL$1786=TYPE2)*(TYPE2&lt;&gt;"")+('Dvd Calendar'!$AL$1786=TYPE3)*(TYPE3&lt;&gt;"")+('Dvd Calendar'!$AL$1786=TYPE4)*(TYPE4&lt;&gt;"")+('Dvd Calendar'!$AL$1786=SPECIAL_LBL)*(INC_SPECIALS="Y"))=0,"",'Dvd Calendar'!$AL$1784)))</f>
        <v/>
      </c>
      <c r="AK180" s="106">
        <f>IF(FM180="","",IF(ISNUMBER('Dvd Calendar'!$AM$1784)=FALSE,"",IF((('Dvd Calendar'!$AM$1786=TYPE1)*(TYPE1&lt;&gt;"")+('Dvd Calendar'!$AM$1786=TYPE2)*(TYPE2&lt;&gt;"")+('Dvd Calendar'!$AM$1786=TYPE3)*(TYPE3&lt;&gt;"")+('Dvd Calendar'!$AM$1786=TYPE4)*(TYPE4&lt;&gt;"")+('Dvd Calendar'!$AM$1786=SPECIAL_LBL)*(INC_SPECIALS="Y"))=0,"",'Dvd Calendar'!$AM$1784)))</f>
        <v/>
      </c>
      <c r="AL180" s="106">
        <f>IF(FN180="","",IF(ISNUMBER('Dvd Calendar'!$AN$1784)=FALSE,"",IF((('Dvd Calendar'!$AN$1786=TYPE1)*(TYPE1&lt;&gt;"")+('Dvd Calendar'!$AN$1786=TYPE2)*(TYPE2&lt;&gt;"")+('Dvd Calendar'!$AN$1786=TYPE3)*(TYPE3&lt;&gt;"")+('Dvd Calendar'!$AN$1786=TYPE4)*(TYPE4&lt;&gt;"")+('Dvd Calendar'!$AN$1786=SPECIAL_LBL)*(INC_SPECIALS="Y"))=0,"",'Dvd Calendar'!$AN$1784)))</f>
        <v/>
      </c>
      <c r="AM180" s="106">
        <f>IF(FO180="","",IF(ISNUMBER('Dvd Calendar'!$AO$1784)=FALSE,"",IF((('Dvd Calendar'!$AO$1786=TYPE1)*(TYPE1&lt;&gt;"")+('Dvd Calendar'!$AO$1786=TYPE2)*(TYPE2&lt;&gt;"")+('Dvd Calendar'!$AO$1786=TYPE3)*(TYPE3&lt;&gt;"")+('Dvd Calendar'!$AO$1786=TYPE4)*(TYPE4&lt;&gt;"")+('Dvd Calendar'!$AO$1786=SPECIAL_LBL)*(INC_SPECIALS="Y"))=0,"",'Dvd Calendar'!$AO$1784)))</f>
        <v/>
      </c>
      <c r="AN180" s="106">
        <f>IF(FP180="","",IF(ISNUMBER('Dvd Calendar'!$AP$1784)=FALSE,"",IF((('Dvd Calendar'!$AP$1786=TYPE1)*(TYPE1&lt;&gt;"")+('Dvd Calendar'!$AP$1786=TYPE2)*(TYPE2&lt;&gt;"")+('Dvd Calendar'!$AP$1786=TYPE3)*(TYPE3&lt;&gt;"")+('Dvd Calendar'!$AP$1786=TYPE4)*(TYPE4&lt;&gt;"")+('Dvd Calendar'!$AP$1786=SPECIAL_LBL)*(INC_SPECIALS="Y"))=0,"",'Dvd Calendar'!$AP$1784)))</f>
        <v/>
      </c>
      <c r="AO180" s="106">
        <f>IF(FQ180="","",IF(ISNUMBER('Dvd Calendar'!$AQ$1784)=FALSE,"",IF((('Dvd Calendar'!$AQ$1786=TYPE1)*(TYPE1&lt;&gt;"")+('Dvd Calendar'!$AQ$1786=TYPE2)*(TYPE2&lt;&gt;"")+('Dvd Calendar'!$AQ$1786=TYPE3)*(TYPE3&lt;&gt;"")+('Dvd Calendar'!$AQ$1786=TYPE4)*(TYPE4&lt;&gt;"")+('Dvd Calendar'!$AQ$1786=SPECIAL_LBL)*(INC_SPECIALS="Y"))=0,"",'Dvd Calendar'!$AQ$1784)))</f>
        <v/>
      </c>
      <c r="AP180" s="106">
        <f>IF(FR180="","",IF(ISNUMBER('Dvd Calendar'!$AR$1784)=FALSE,"",IF((('Dvd Calendar'!$AR$1786=TYPE1)*(TYPE1&lt;&gt;"")+('Dvd Calendar'!$AR$1786=TYPE2)*(TYPE2&lt;&gt;"")+('Dvd Calendar'!$AR$1786=TYPE3)*(TYPE3&lt;&gt;"")+('Dvd Calendar'!$AR$1786=TYPE4)*(TYPE4&lt;&gt;"")+('Dvd Calendar'!$AR$1786=SPECIAL_LBL)*(INC_SPECIALS="Y"))=0,"",'Dvd Calendar'!$AR$1784)))</f>
        <v/>
      </c>
      <c r="AQ180" s="106">
        <f>IF(FS180="","",IF(ISNUMBER('Dvd Calendar'!$E$1789)=FALSE,"",'Dvd Calendar'!$E$1789))</f>
        <v/>
      </c>
      <c r="AR180" s="106">
        <f>IF(FT180="","",IF(ISNUMBER('Dvd Calendar'!$F$1789)=FALSE,"",'Dvd Calendar'!$F$1789))</f>
        <v/>
      </c>
      <c r="AS180" s="106">
        <f>IF(FU180="","",IF(ISNUMBER('Dvd Calendar'!$G$1789)=FALSE,"",'Dvd Calendar'!$G$1789))</f>
        <v/>
      </c>
      <c r="AT180" s="106">
        <f>IF(FV180="","",IF(ISNUMBER('Dvd Calendar'!$H$1789)=FALSE,"",'Dvd Calendar'!$H$1789))</f>
        <v/>
      </c>
      <c r="AU180" s="106">
        <f>IF(FW180="","",IF(ISNUMBER('Dvd Calendar'!$I$1789)=FALSE,"",'Dvd Calendar'!$I$1789))</f>
        <v/>
      </c>
      <c r="AV180" s="106">
        <f>IF(FX180="","",IF(ISNUMBER('Dvd Calendar'!$J$1789)=FALSE,"",'Dvd Calendar'!$J$1789))</f>
        <v/>
      </c>
      <c r="AW180" s="106">
        <f>IF(FY180="","",IF(ISNUMBER('Dvd Calendar'!$K$1789)=FALSE,"",'Dvd Calendar'!$K$1789))</f>
        <v/>
      </c>
      <c r="AX180" s="106">
        <f>IF(FZ180="","",IF(ISNUMBER('Dvd Calendar'!$L$1789)=FALSE,"",'Dvd Calendar'!$L$1789))</f>
        <v/>
      </c>
      <c r="AY180" s="106">
        <f>IF(GA180="","",IF(ISNUMBER('Dvd Calendar'!$M$1789)=FALSE,"",'Dvd Calendar'!$M$1789))</f>
        <v/>
      </c>
      <c r="AZ180" s="106">
        <f>IF(GB180="","",IF(ISNUMBER('Dvd Calendar'!$N$1789)=FALSE,"",'Dvd Calendar'!$N$1789))</f>
        <v/>
      </c>
      <c r="BA180" s="106">
        <f>IF(GC180="","",IF(ISNUMBER('Dvd Calendar'!$O$1789)=FALSE,"",'Dvd Calendar'!$O$1789))</f>
        <v/>
      </c>
      <c r="BB180" s="106">
        <f>IF(GD180="","",IF(ISNUMBER('Dvd Calendar'!$P$1789)=FALSE,"",'Dvd Calendar'!$P$1789))</f>
        <v/>
      </c>
      <c r="BC180" s="106">
        <f>IF(GE180="","",IF(ISNUMBER('Dvd Calendar'!$Q$1789)=FALSE,"",'Dvd Calendar'!$Q$1789))</f>
        <v/>
      </c>
      <c r="BD180" s="106">
        <f>IF(GF180="","",IF(ISNUMBER('Dvd Calendar'!$R$1789)=FALSE,"",'Dvd Calendar'!$R$1789))</f>
        <v/>
      </c>
      <c r="BE180" s="106">
        <f>IF(GG180="","",IF(ISNUMBER('Dvd Calendar'!$S$1789)=FALSE,"",'Dvd Calendar'!$S$1789))</f>
        <v/>
      </c>
      <c r="BF180" s="106">
        <f>IF(GH180="","",IF(ISNUMBER('Dvd Calendar'!$T$1789)=FALSE,"",'Dvd Calendar'!$T$1789))</f>
        <v/>
      </c>
      <c r="BG180" s="106">
        <f>IF(GI180="","",IF(ISNUMBER('Dvd Calendar'!$U$1789)=FALSE,"",'Dvd Calendar'!$U$1789))</f>
        <v/>
      </c>
      <c r="BH180" s="106">
        <f>IF(GJ180="","",IF(ISNUMBER('Dvd Calendar'!$V$1789)=FALSE,"",'Dvd Calendar'!$V$1789))</f>
        <v/>
      </c>
      <c r="BI180" s="106">
        <f>IF(GK180="","",IF(ISNUMBER('Dvd Calendar'!$W$1789)=FALSE,"",'Dvd Calendar'!$W$1789))</f>
        <v/>
      </c>
      <c r="BJ180" s="106">
        <f>IF(GL180="","",IF(ISNUMBER('Dvd Calendar'!$X$1789)=FALSE,"",'Dvd Calendar'!$X$1789))</f>
        <v/>
      </c>
      <c r="BK180" s="106">
        <f>IF(GM180="","",IF(ISNUMBER('Dvd Calendar'!$Y$1789)=FALSE,"",'Dvd Calendar'!$Y$1789))</f>
        <v/>
      </c>
      <c r="BL180" s="106">
        <f>IF(GN180="","",IF(ISNUMBER('Dvd Calendar'!$Z$1789)=FALSE,"",'Dvd Calendar'!$Z$1789))</f>
        <v/>
      </c>
      <c r="BM180" s="106">
        <f>IF(GO180="","",IF(ISNUMBER('Dvd Calendar'!$AA$1789)=FALSE,"",'Dvd Calendar'!$AA$1789))</f>
        <v/>
      </c>
      <c r="BN180" s="106">
        <f>IF(GP180="","",IF(ISNUMBER('Dvd Calendar'!$AB$1789)=FALSE,"",'Dvd Calendar'!$AB$1789))</f>
        <v/>
      </c>
      <c r="BO180" s="106">
        <f>IF(GQ180="","",IF(ISNUMBER('Dvd Calendar'!$AC$1789)=FALSE,"",'Dvd Calendar'!$AC$1789))</f>
        <v/>
      </c>
      <c r="BQ180" s="106">
        <f>IF(C180="","",IFERROR(C180*HSCEI!$B$27*HSCEI!$G$27/HSCEI!$B$3,""))</f>
        <v/>
      </c>
      <c r="BR180" s="106">
        <f>IF(D180="","",IFERROR(D180*HSCEI!$B$27*HSCEI!$G$27/HSCEI!$B$3,""))</f>
        <v/>
      </c>
      <c r="BS180" s="106">
        <f>IF(E180="","",IFERROR(E180*HSCEI!$B$27*HSCEI!$G$27/HSCEI!$B$3,""))</f>
        <v/>
      </c>
      <c r="BT180" s="106">
        <f>IF(F180="","",IFERROR(F180*HSCEI!$B$27*HSCEI!$G$27/HSCEI!$B$3,""))</f>
        <v/>
      </c>
      <c r="BU180" s="106">
        <f>IF(G180="","",IFERROR(G180*HSCEI!$B$27*HSCEI!$G$27/HSCEI!$B$3,""))</f>
        <v/>
      </c>
      <c r="BV180" s="106">
        <f>IF(H180="","",IFERROR(H180*HSCEI!$B$27*HSCEI!$G$27/HSCEI!$B$3,""))</f>
        <v/>
      </c>
      <c r="BW180" s="106">
        <f>IF(I180="","",IFERROR(I180*HSCEI!$B$27*HSCEI!$G$27/HSCEI!$B$3,""))</f>
        <v/>
      </c>
      <c r="BX180" s="106">
        <f>IF(J180="","",IFERROR(J180*HSCEI!$B$27*HSCEI!$G$27/HSCEI!$B$3,""))</f>
        <v/>
      </c>
      <c r="BY180" s="106">
        <f>IF(K180="","",IFERROR(K180*HSCEI!$B$27*HSCEI!$G$27/HSCEI!$B$3,""))</f>
        <v/>
      </c>
      <c r="BZ180" s="106">
        <f>IF(L180="","",IFERROR(L180*HSCEI!$B$27*HSCEI!$G$27/HSCEI!$B$3,""))</f>
        <v/>
      </c>
      <c r="CA180" s="106">
        <f>IF(M180="","",IFERROR(M180*HSCEI!$B$27*HSCEI!$G$27/HSCEI!$B$3,""))</f>
        <v/>
      </c>
      <c r="CB180" s="106">
        <f>IF(N180="","",IFERROR(N180*HSCEI!$B$27*HSCEI!$G$27/HSCEI!$B$3,""))</f>
        <v/>
      </c>
      <c r="CC180" s="106">
        <f>IF(O180="","",IFERROR(O180*HSCEI!$B$27*HSCEI!$G$27/HSCEI!$B$3,""))</f>
        <v/>
      </c>
      <c r="CD180" s="106">
        <f>IF(P180="","",IFERROR(P180*HSCEI!$B$27*HSCEI!$G$27/HSCEI!$B$3,""))</f>
        <v/>
      </c>
      <c r="CE180" s="106">
        <f>IF(Q180="","",IFERROR(Q180*HSCEI!$B$27*HSCEI!$G$27/HSCEI!$B$3,""))</f>
        <v/>
      </c>
      <c r="CF180" s="106">
        <f>IF(R180="","",IFERROR(R180*HSCEI!$B$27*HSCEI!$G$27/HSCEI!$B$3,""))</f>
        <v/>
      </c>
      <c r="CG180" s="106">
        <f>IF(S180="","",IFERROR(S180*HSCEI!$B$27*HSCEI!$G$27/HSCEI!$B$3,""))</f>
        <v/>
      </c>
      <c r="CH180" s="106">
        <f>IF(T180="","",IFERROR(T180*HSCEI!$B$27*HSCEI!$G$27/HSCEI!$B$3,""))</f>
        <v/>
      </c>
      <c r="CI180" s="106">
        <f>IF(U180="","",IFERROR(U180*HSCEI!$B$27*HSCEI!$G$27/HSCEI!$B$3,""))</f>
        <v/>
      </c>
      <c r="CJ180" s="106">
        <f>IF(V180="","",IFERROR(V180*HSCEI!$B$27*HSCEI!$G$27/HSCEI!$B$3,""))</f>
        <v/>
      </c>
      <c r="CK180" s="106">
        <f>IF(W180="","",IFERROR(W180*HSCEI!$B$27*HSCEI!$G$27/HSCEI!$B$3,""))</f>
        <v/>
      </c>
      <c r="CL180" s="106">
        <f>IF(X180="","",IFERROR(X180*HSCEI!$B$27*HSCEI!$G$27/HSCEI!$B$3,""))</f>
        <v/>
      </c>
      <c r="CM180" s="106">
        <f>IF(Y180="","",IFERROR(Y180*HSCEI!$B$27*HSCEI!$G$27/HSCEI!$B$3,""))</f>
        <v/>
      </c>
      <c r="CN180" s="106">
        <f>IF(Z180="","",IFERROR(Z180*HSCEI!$B$27*HSCEI!$G$27/HSCEI!$B$3,""))</f>
        <v/>
      </c>
      <c r="CO180" s="106">
        <f>IF(AA180="","",IFERROR(AA180*HSCEI!$B$27*HSCEI!$G$27/HSCEI!$B$3,""))</f>
        <v/>
      </c>
      <c r="CP180" s="106">
        <f>IF(AB180="","",IFERROR(AB180*HSCEI!$B$27*HSCEI!$G$27/HSCEI!$B$3,""))</f>
        <v/>
      </c>
      <c r="CQ180" s="106">
        <f>IF(AC180="","",IFERROR(AC180*HSCEI!$B$27*HSCEI!$G$27/HSCEI!$B$3,""))</f>
        <v/>
      </c>
      <c r="CR180" s="106">
        <f>IF(AD180="","",IFERROR(AD180*HSCEI!$B$27*HSCEI!$G$27/HSCEI!$B$3,""))</f>
        <v/>
      </c>
      <c r="CS180" s="106">
        <f>IF(AE180="","",IFERROR(AE180*HSCEI!$B$27*HSCEI!$G$27/HSCEI!$B$3,""))</f>
        <v/>
      </c>
      <c r="CT180" s="106">
        <f>IF(AF180="","",IFERROR(AF180*HSCEI!$B$27*HSCEI!$G$27/HSCEI!$B$3,""))</f>
        <v/>
      </c>
      <c r="CU180" s="106">
        <f>IF(AG180="","",IFERROR(AG180*HSCEI!$B$27*HSCEI!$G$27/HSCEI!$B$3,""))</f>
        <v/>
      </c>
      <c r="CV180" s="106">
        <f>IF(AH180="","",IFERROR(AH180*HSCEI!$B$27*HSCEI!$G$27/HSCEI!$B$3,""))</f>
        <v/>
      </c>
      <c r="CW180" s="106">
        <f>IF(AI180="","",IFERROR(AI180*HSCEI!$B$27*HSCEI!$G$27/HSCEI!$B$3,""))</f>
        <v/>
      </c>
      <c r="CX180" s="106">
        <f>IF(AJ180="","",IFERROR(AJ180*HSCEI!$B$27*HSCEI!$G$27/HSCEI!$B$3,""))</f>
        <v/>
      </c>
      <c r="CY180" s="106">
        <f>IF(AK180="","",IFERROR(AK180*HSCEI!$B$27*HSCEI!$G$27/HSCEI!$B$3,""))</f>
        <v/>
      </c>
      <c r="CZ180" s="106">
        <f>IF(AL180="","",IFERROR(AL180*HSCEI!$B$27*HSCEI!$G$27/HSCEI!$B$3,""))</f>
        <v/>
      </c>
      <c r="DA180" s="106">
        <f>IF(AM180="","",IFERROR(AM180*HSCEI!$B$27*HSCEI!$G$27/HSCEI!$B$3,""))</f>
        <v/>
      </c>
      <c r="DB180" s="106">
        <f>IF(AN180="","",IFERROR(AN180*HSCEI!$B$27*HSCEI!$G$27/HSCEI!$B$3,""))</f>
        <v/>
      </c>
      <c r="DC180" s="106">
        <f>IF(AO180="","",IFERROR(AO180*HSCEI!$B$27*HSCEI!$G$27/HSCEI!$B$3,""))</f>
        <v/>
      </c>
      <c r="DD180" s="106">
        <f>IF(AP180="","",IFERROR(AP180*HSCEI!$B$27*HSCEI!$G$27/HSCEI!$B$3,""))</f>
        <v/>
      </c>
      <c r="DE180" s="106">
        <f>IF(AQ180="","",IFERROR(AQ180*HSCEI!$B$27*HSCEI!$G$27/HSCEI!$B$3,""))</f>
        <v/>
      </c>
      <c r="DF180" s="106">
        <f>IF(AR180="","",IFERROR(AR180*HSCEI!$B$27*HSCEI!$G$27/HSCEI!$B$3,""))</f>
        <v/>
      </c>
      <c r="DG180" s="106">
        <f>IF(AS180="","",IFERROR(AS180*HSCEI!$B$27*HSCEI!$G$27/HSCEI!$B$3,""))</f>
        <v/>
      </c>
      <c r="DH180" s="106">
        <f>IF(AT180="","",IFERROR(AT180*HSCEI!$B$27*HSCEI!$G$27/HSCEI!$B$3,""))</f>
        <v/>
      </c>
      <c r="DI180" s="106">
        <f>IF(AU180="","",IFERROR(AU180*HSCEI!$B$27*HSCEI!$G$27/HSCEI!$B$3,""))</f>
        <v/>
      </c>
      <c r="DJ180" s="106">
        <f>IF(AV180="","",IFERROR(AV180*HSCEI!$B$27*HSCEI!$G$27/HSCEI!$B$3,""))</f>
        <v/>
      </c>
      <c r="DK180" s="106">
        <f>IF(AW180="","",IFERROR(AW180*HSCEI!$B$27*HSCEI!$G$27/HSCEI!$B$3,""))</f>
        <v/>
      </c>
      <c r="DL180" s="106">
        <f>IF(AX180="","",IFERROR(AX180*HSCEI!$B$27*HSCEI!$G$27/HSCEI!$B$3,""))</f>
        <v/>
      </c>
      <c r="DM180" s="106">
        <f>IF(AY180="","",IFERROR(AY180*HSCEI!$B$27*HSCEI!$G$27/HSCEI!$B$3,""))</f>
        <v/>
      </c>
      <c r="DN180" s="106">
        <f>IF(AZ180="","",IFERROR(AZ180*HSCEI!$B$27*HSCEI!$G$27/HSCEI!$B$3,""))</f>
        <v/>
      </c>
      <c r="DO180" s="106">
        <f>IF(BA180="","",IFERROR(BA180*HSCEI!$B$27*HSCEI!$G$27/HSCEI!$B$3,""))</f>
        <v/>
      </c>
      <c r="DP180" s="106">
        <f>IF(BB180="","",IFERROR(BB180*HSCEI!$B$27*HSCEI!$G$27/HSCEI!$B$3,""))</f>
        <v/>
      </c>
      <c r="DQ180" s="106">
        <f>IF(BC180="","",IFERROR(BC180*HSCEI!$B$27*HSCEI!$G$27/HSCEI!$B$3,""))</f>
        <v/>
      </c>
      <c r="DR180" s="106">
        <f>IF(BD180="","",IFERROR(BD180*HSCEI!$B$27*HSCEI!$G$27/HSCEI!$B$3,""))</f>
        <v/>
      </c>
      <c r="DS180" s="106">
        <f>IF(BE180="","",IFERROR(BE180*HSCEI!$B$27*HSCEI!$G$27/HSCEI!$B$3,""))</f>
        <v/>
      </c>
      <c r="DT180" s="106">
        <f>IF(BF180="","",IFERROR(BF180*HSCEI!$B$27*HSCEI!$G$27/HSCEI!$B$3,""))</f>
        <v/>
      </c>
      <c r="DU180" s="106">
        <f>IF(BG180="","",IFERROR(BG180*HSCEI!$B$27*HSCEI!$G$27/HSCEI!$B$3,""))</f>
        <v/>
      </c>
      <c r="DV180" s="106">
        <f>IF(BH180="","",IFERROR(BH180*HSCEI!$B$27*HSCEI!$G$27/HSCEI!$B$3,""))</f>
        <v/>
      </c>
      <c r="DW180" s="106">
        <f>IF(BI180="","",IFERROR(BI180*HSCEI!$B$27*HSCEI!$G$27/HSCEI!$B$3,""))</f>
        <v/>
      </c>
      <c r="DX180" s="106">
        <f>IF(BJ180="","",IFERROR(BJ180*HSCEI!$B$27*HSCEI!$G$27/HSCEI!$B$3,""))</f>
        <v/>
      </c>
      <c r="DY180" s="106">
        <f>IF(BK180="","",IFERROR(BK180*HSCEI!$B$27*HSCEI!$G$27/HSCEI!$B$3,""))</f>
        <v/>
      </c>
      <c r="DZ180" s="106">
        <f>IF(BL180="","",IFERROR(BL180*HSCEI!$B$27*HSCEI!$G$27/HSCEI!$B$3,""))</f>
        <v/>
      </c>
      <c r="EA180" s="106">
        <f>IF(BM180="","",IFERROR(BM180*HSCEI!$B$27*HSCEI!$G$27/HSCEI!$B$3,""))</f>
        <v/>
      </c>
      <c r="EB180" s="106">
        <f>IF(BN180="","",IFERROR(BN180*HSCEI!$B$27*HSCEI!$G$27/HSCEI!$B$3,""))</f>
        <v/>
      </c>
      <c r="EC180" s="106">
        <f>IF(BO180="","",IFERROR(BO180*HSCEI!$B$27*HSCEI!$G$27/HSCEI!$B$3,""))</f>
        <v/>
      </c>
      <c r="EE180" s="35">
        <f>IF(N('Dvd Calendar'!$E$1781)=0,"",IF(('Dvd Calendar'!$E$1781&gt;=GRID_FROM)*('Dvd Calendar'!$E$1781&lt;=GRID_TO)*('Dvd Calendar'!$E$1781&lt;=VAL_DATE)=0,"",'Dvd Calendar'!$E$1781*1000000000+ISNUMBER('Dvd Calendar'!$E$1784)*100000000+('Dvd Calendar'!$E$1786=SPECIAL_LBL)*10000000+0*1000000+21*1000+1))</f>
        <v/>
      </c>
      <c r="EF180" s="35">
        <f>IF(N('Dvd Calendar'!$F$1781)=0,"",IF(('Dvd Calendar'!$F$1781&gt;=GRID_FROM)*('Dvd Calendar'!$F$1781&lt;=GRID_TO)*('Dvd Calendar'!$F$1781&lt;=VAL_DATE)=0,"",'Dvd Calendar'!$F$1781*1000000000+ISNUMBER('Dvd Calendar'!$F$1784)*100000000+('Dvd Calendar'!$F$1786=SPECIAL_LBL)*10000000+0*1000000+21*1000+2))</f>
        <v/>
      </c>
      <c r="EG180" s="35">
        <f>IF(N('Dvd Calendar'!$G$1781)=0,"",IF(('Dvd Calendar'!$G$1781&gt;=GRID_FROM)*('Dvd Calendar'!$G$1781&lt;=GRID_TO)*('Dvd Calendar'!$G$1781&lt;=VAL_DATE)=0,"",'Dvd Calendar'!$G$1781*1000000000+ISNUMBER('Dvd Calendar'!$G$1784)*100000000+('Dvd Calendar'!$G$1786=SPECIAL_LBL)*10000000+0*1000000+21*1000+3))</f>
        <v/>
      </c>
      <c r="EH180" s="35">
        <f>IF(N('Dvd Calendar'!$H$1781)=0,"",IF(('Dvd Calendar'!$H$1781&gt;=GRID_FROM)*('Dvd Calendar'!$H$1781&lt;=GRID_TO)*('Dvd Calendar'!$H$1781&lt;=VAL_DATE)=0,"",'Dvd Calendar'!$H$1781*1000000000+ISNUMBER('Dvd Calendar'!$H$1784)*100000000+('Dvd Calendar'!$H$1786=SPECIAL_LBL)*10000000+0*1000000+21*1000+4))</f>
        <v/>
      </c>
      <c r="EI180" s="35">
        <f>IF(N('Dvd Calendar'!$I$1781)=0,"",IF(('Dvd Calendar'!$I$1781&gt;=GRID_FROM)*('Dvd Calendar'!$I$1781&lt;=GRID_TO)*('Dvd Calendar'!$I$1781&lt;=VAL_DATE)=0,"",'Dvd Calendar'!$I$1781*1000000000+ISNUMBER('Dvd Calendar'!$I$1784)*100000000+('Dvd Calendar'!$I$1786=SPECIAL_LBL)*10000000+0*1000000+21*1000+5))</f>
        <v/>
      </c>
      <c r="EJ180" s="35">
        <f>IF(N('Dvd Calendar'!$J$1781)=0,"",IF(('Dvd Calendar'!$J$1781&gt;=GRID_FROM)*('Dvd Calendar'!$J$1781&lt;=GRID_TO)*('Dvd Calendar'!$J$1781&lt;=VAL_DATE)=0,"",'Dvd Calendar'!$J$1781*1000000000+ISNUMBER('Dvd Calendar'!$J$1784)*100000000+('Dvd Calendar'!$J$1786=SPECIAL_LBL)*10000000+0*1000000+21*1000+6))</f>
        <v/>
      </c>
      <c r="EK180" s="35">
        <f>IF(N('Dvd Calendar'!$K$1781)=0,"",IF(('Dvd Calendar'!$K$1781&gt;=GRID_FROM)*('Dvd Calendar'!$K$1781&lt;=GRID_TO)*('Dvd Calendar'!$K$1781&lt;=VAL_DATE)=0,"",'Dvd Calendar'!$K$1781*1000000000+ISNUMBER('Dvd Calendar'!$K$1784)*100000000+('Dvd Calendar'!$K$1786=SPECIAL_LBL)*10000000+0*1000000+21*1000+7))</f>
        <v/>
      </c>
      <c r="EL180" s="35">
        <f>IF(N('Dvd Calendar'!$L$1781)=0,"",IF(('Dvd Calendar'!$L$1781&gt;=GRID_FROM)*('Dvd Calendar'!$L$1781&lt;=GRID_TO)*('Dvd Calendar'!$L$1781&lt;=VAL_DATE)=0,"",'Dvd Calendar'!$L$1781*1000000000+ISNUMBER('Dvd Calendar'!$L$1784)*100000000+('Dvd Calendar'!$L$1786=SPECIAL_LBL)*10000000+0*1000000+21*1000+8))</f>
        <v/>
      </c>
      <c r="EM180" s="35">
        <f>IF(N('Dvd Calendar'!$M$1781)=0,"",IF(('Dvd Calendar'!$M$1781&gt;=GRID_FROM)*('Dvd Calendar'!$M$1781&lt;=GRID_TO)*('Dvd Calendar'!$M$1781&lt;=VAL_DATE)=0,"",'Dvd Calendar'!$M$1781*1000000000+ISNUMBER('Dvd Calendar'!$M$1784)*100000000+('Dvd Calendar'!$M$1786=SPECIAL_LBL)*10000000+0*1000000+21*1000+9))</f>
        <v/>
      </c>
      <c r="EN180" s="35">
        <f>IF(N('Dvd Calendar'!$N$1781)=0,"",IF(('Dvd Calendar'!$N$1781&gt;=GRID_FROM)*('Dvd Calendar'!$N$1781&lt;=GRID_TO)*('Dvd Calendar'!$N$1781&lt;=VAL_DATE)=0,"",'Dvd Calendar'!$N$1781*1000000000+ISNUMBER('Dvd Calendar'!$N$1784)*100000000+('Dvd Calendar'!$N$1786=SPECIAL_LBL)*10000000+0*1000000+21*1000+10))</f>
        <v/>
      </c>
      <c r="EO180" s="35">
        <f>IF(N('Dvd Calendar'!$O$1781)=0,"",IF(('Dvd Calendar'!$O$1781&gt;=GRID_FROM)*('Dvd Calendar'!$O$1781&lt;=GRID_TO)*('Dvd Calendar'!$O$1781&lt;=VAL_DATE)=0,"",'Dvd Calendar'!$O$1781*1000000000+ISNUMBER('Dvd Calendar'!$O$1784)*100000000+('Dvd Calendar'!$O$1786=SPECIAL_LBL)*10000000+0*1000000+21*1000+11))</f>
        <v/>
      </c>
      <c r="EP180" s="35">
        <f>IF(N('Dvd Calendar'!$P$1781)=0,"",IF(('Dvd Calendar'!$P$1781&gt;=GRID_FROM)*('Dvd Calendar'!$P$1781&lt;=GRID_TO)*('Dvd Calendar'!$P$1781&lt;=VAL_DATE)=0,"",'Dvd Calendar'!$P$1781*1000000000+ISNUMBER('Dvd Calendar'!$P$1784)*100000000+('Dvd Calendar'!$P$1786=SPECIAL_LBL)*10000000+0*1000000+21*1000+12))</f>
        <v/>
      </c>
      <c r="EQ180" s="35">
        <f>IF(N('Dvd Calendar'!$Q$1781)=0,"",IF(('Dvd Calendar'!$Q$1781&gt;=GRID_FROM)*('Dvd Calendar'!$Q$1781&lt;=GRID_TO)*('Dvd Calendar'!$Q$1781&lt;=VAL_DATE)=0,"",'Dvd Calendar'!$Q$1781*1000000000+ISNUMBER('Dvd Calendar'!$Q$1784)*100000000+('Dvd Calendar'!$Q$1786=SPECIAL_LBL)*10000000+0*1000000+21*1000+13))</f>
        <v/>
      </c>
      <c r="ER180" s="35">
        <f>IF(N('Dvd Calendar'!$R$1781)=0,"",IF(('Dvd Calendar'!$R$1781&gt;=GRID_FROM)*('Dvd Calendar'!$R$1781&lt;=GRID_TO)*('Dvd Calendar'!$R$1781&lt;=VAL_DATE)=0,"",'Dvd Calendar'!$R$1781*1000000000+ISNUMBER('Dvd Calendar'!$R$1784)*100000000+('Dvd Calendar'!$R$1786=SPECIAL_LBL)*10000000+0*1000000+21*1000+14))</f>
        <v/>
      </c>
      <c r="ES180" s="35">
        <f>IF(N('Dvd Calendar'!$S$1781)=0,"",IF(('Dvd Calendar'!$S$1781&gt;=GRID_FROM)*('Dvd Calendar'!$S$1781&lt;=GRID_TO)*('Dvd Calendar'!$S$1781&lt;=VAL_DATE)=0,"",'Dvd Calendar'!$S$1781*1000000000+ISNUMBER('Dvd Calendar'!$S$1784)*100000000+('Dvd Calendar'!$S$1786=SPECIAL_LBL)*10000000+0*1000000+21*1000+15))</f>
        <v/>
      </c>
      <c r="ET180" s="35">
        <f>IF(N('Dvd Calendar'!$T$1781)=0,"",IF(('Dvd Calendar'!$T$1781&gt;=GRID_FROM)*('Dvd Calendar'!$T$1781&lt;=GRID_TO)*('Dvd Calendar'!$T$1781&lt;=VAL_DATE)=0,"",'Dvd Calendar'!$T$1781*1000000000+ISNUMBER('Dvd Calendar'!$T$1784)*100000000+('Dvd Calendar'!$T$1786=SPECIAL_LBL)*10000000+0*1000000+21*1000+16))</f>
        <v/>
      </c>
      <c r="EU180" s="35">
        <f>IF(N('Dvd Calendar'!$U$1781)=0,"",IF(('Dvd Calendar'!$U$1781&gt;=GRID_FROM)*('Dvd Calendar'!$U$1781&lt;=GRID_TO)*('Dvd Calendar'!$U$1781&lt;=VAL_DATE)=0,"",'Dvd Calendar'!$U$1781*1000000000+ISNUMBER('Dvd Calendar'!$U$1784)*100000000+('Dvd Calendar'!$U$1786=SPECIAL_LBL)*10000000+0*1000000+21*1000+17))</f>
        <v/>
      </c>
      <c r="EV180" s="35">
        <f>IF(N('Dvd Calendar'!$V$1781)=0,"",IF(('Dvd Calendar'!$V$1781&gt;=GRID_FROM)*('Dvd Calendar'!$V$1781&lt;=GRID_TO)*('Dvd Calendar'!$V$1781&lt;=VAL_DATE)=0,"",'Dvd Calendar'!$V$1781*1000000000+ISNUMBER('Dvd Calendar'!$V$1784)*100000000+('Dvd Calendar'!$V$1786=SPECIAL_LBL)*10000000+0*1000000+21*1000+18))</f>
        <v/>
      </c>
      <c r="EW180" s="35">
        <f>IF(N('Dvd Calendar'!$W$1781)=0,"",IF(('Dvd Calendar'!$W$1781&gt;=GRID_FROM)*('Dvd Calendar'!$W$1781&lt;=GRID_TO)*('Dvd Calendar'!$W$1781&lt;=VAL_DATE)=0,"",'Dvd Calendar'!$W$1781*1000000000+ISNUMBER('Dvd Calendar'!$W$1784)*100000000+('Dvd Calendar'!$W$1786=SPECIAL_LBL)*10000000+0*1000000+21*1000+19))</f>
        <v/>
      </c>
      <c r="EX180" s="35">
        <f>IF(N('Dvd Calendar'!$X$1781)=0,"",IF(('Dvd Calendar'!$X$1781&gt;=GRID_FROM)*('Dvd Calendar'!$X$1781&lt;=GRID_TO)*('Dvd Calendar'!$X$1781&lt;=VAL_DATE)=0,"",'Dvd Calendar'!$X$1781*1000000000+ISNUMBER('Dvd Calendar'!$X$1784)*100000000+('Dvd Calendar'!$X$1786=SPECIAL_LBL)*10000000+0*1000000+21*1000+20))</f>
        <v/>
      </c>
      <c r="EY180" s="35">
        <f>IF(N('Dvd Calendar'!$Y$1781)=0,"",IF(('Dvd Calendar'!$Y$1781&gt;=GRID_FROM)*('Dvd Calendar'!$Y$1781&lt;=GRID_TO)*('Dvd Calendar'!$Y$1781&lt;=VAL_DATE)=0,"",'Dvd Calendar'!$Y$1781*1000000000+ISNUMBER('Dvd Calendar'!$Y$1784)*100000000+('Dvd Calendar'!$Y$1786=SPECIAL_LBL)*10000000+0*1000000+21*1000+21))</f>
        <v/>
      </c>
      <c r="EZ180" s="35">
        <f>IF(N('Dvd Calendar'!$Z$1781)=0,"",IF(('Dvd Calendar'!$Z$1781&gt;=GRID_FROM)*('Dvd Calendar'!$Z$1781&lt;=GRID_TO)*('Dvd Calendar'!$Z$1781&lt;=VAL_DATE)=0,"",'Dvd Calendar'!$Z$1781*1000000000+ISNUMBER('Dvd Calendar'!$Z$1784)*100000000+('Dvd Calendar'!$Z$1786=SPECIAL_LBL)*10000000+0*1000000+21*1000+22))</f>
        <v/>
      </c>
      <c r="FA180" s="35">
        <f>IF(N('Dvd Calendar'!$AA$1781)=0,"",IF(('Dvd Calendar'!$AA$1781&gt;=GRID_FROM)*('Dvd Calendar'!$AA$1781&lt;=GRID_TO)*('Dvd Calendar'!$AA$1781&lt;=VAL_DATE)=0,"",'Dvd Calendar'!$AA$1781*1000000000+ISNUMBER('Dvd Calendar'!$AA$1784)*100000000+('Dvd Calendar'!$AA$1786=SPECIAL_LBL)*10000000+0*1000000+21*1000+23))</f>
        <v/>
      </c>
      <c r="FB180" s="35">
        <f>IF(N('Dvd Calendar'!$AB$1781)=0,"",IF(('Dvd Calendar'!$AB$1781&gt;=GRID_FROM)*('Dvd Calendar'!$AB$1781&lt;=GRID_TO)*('Dvd Calendar'!$AB$1781&lt;=VAL_DATE)=0,"",'Dvd Calendar'!$AB$1781*1000000000+ISNUMBER('Dvd Calendar'!$AB$1784)*100000000+('Dvd Calendar'!$AB$1786=SPECIAL_LBL)*10000000+0*1000000+21*1000+24))</f>
        <v/>
      </c>
      <c r="FC180" s="35">
        <f>IF(N('Dvd Calendar'!$AC$1781)=0,"",IF(('Dvd Calendar'!$AC$1781&gt;=GRID_FROM)*('Dvd Calendar'!$AC$1781&lt;=GRID_TO)*('Dvd Calendar'!$AC$1781&lt;=VAL_DATE)=0,"",'Dvd Calendar'!$AC$1781*1000000000+ISNUMBER('Dvd Calendar'!$AC$1784)*100000000+('Dvd Calendar'!$AC$1786=SPECIAL_LBL)*10000000+0*1000000+21*1000+25))</f>
        <v/>
      </c>
      <c r="FD180" s="35">
        <f>IF(N('Dvd Calendar'!$AD$1781)=0,"",IF(('Dvd Calendar'!$AD$1781&gt;=GRID_FROM)*('Dvd Calendar'!$AD$1781&lt;=GRID_TO)*('Dvd Calendar'!$AD$1781&lt;=VAL_DATE)=0,"",'Dvd Calendar'!$AD$1781*1000000000+ISNUMBER('Dvd Calendar'!$AD$1784)*100000000+('Dvd Calendar'!$AD$1786=SPECIAL_LBL)*10000000+0*1000000+21*1000+26))</f>
        <v/>
      </c>
      <c r="FE180" s="35">
        <f>IF(N('Dvd Calendar'!$AE$1781)=0,"",IF(('Dvd Calendar'!$AE$1781&gt;=GRID_FROM)*('Dvd Calendar'!$AE$1781&lt;=GRID_TO)*('Dvd Calendar'!$AE$1781&lt;=VAL_DATE)=0,"",'Dvd Calendar'!$AE$1781*1000000000+ISNUMBER('Dvd Calendar'!$AE$1784)*100000000+('Dvd Calendar'!$AE$1786=SPECIAL_LBL)*10000000+0*1000000+21*1000+27))</f>
        <v/>
      </c>
      <c r="FF180" s="35">
        <f>IF(N('Dvd Calendar'!$AF$1781)=0,"",IF(('Dvd Calendar'!$AF$1781&gt;=GRID_FROM)*('Dvd Calendar'!$AF$1781&lt;=GRID_TO)*('Dvd Calendar'!$AF$1781&lt;=VAL_DATE)=0,"",'Dvd Calendar'!$AF$1781*1000000000+ISNUMBER('Dvd Calendar'!$AF$1784)*100000000+('Dvd Calendar'!$AF$1786=SPECIAL_LBL)*10000000+0*1000000+21*1000+28))</f>
        <v/>
      </c>
      <c r="FG180" s="35">
        <f>IF(N('Dvd Calendar'!$AG$1781)=0,"",IF(('Dvd Calendar'!$AG$1781&gt;=GRID_FROM)*('Dvd Calendar'!$AG$1781&lt;=GRID_TO)*('Dvd Calendar'!$AG$1781&lt;=VAL_DATE)=0,"",'Dvd Calendar'!$AG$1781*1000000000+ISNUMBER('Dvd Calendar'!$AG$1784)*100000000+('Dvd Calendar'!$AG$1786=SPECIAL_LBL)*10000000+0*1000000+21*1000+29))</f>
        <v/>
      </c>
      <c r="FH180" s="35">
        <f>IF(N('Dvd Calendar'!$AH$1781)=0,"",IF(('Dvd Calendar'!$AH$1781&gt;=GRID_FROM)*('Dvd Calendar'!$AH$1781&lt;=GRID_TO)*('Dvd Calendar'!$AH$1781&lt;=VAL_DATE)=0,"",'Dvd Calendar'!$AH$1781*1000000000+ISNUMBER('Dvd Calendar'!$AH$1784)*100000000+('Dvd Calendar'!$AH$1786=SPECIAL_LBL)*10000000+0*1000000+21*1000+30))</f>
        <v/>
      </c>
      <c r="FI180" s="35">
        <f>IF(N('Dvd Calendar'!$AI$1781)=0,"",IF(('Dvd Calendar'!$AI$1781&gt;=GRID_FROM)*('Dvd Calendar'!$AI$1781&lt;=GRID_TO)*('Dvd Calendar'!$AI$1781&lt;=VAL_DATE)=0,"",'Dvd Calendar'!$AI$1781*1000000000+ISNUMBER('Dvd Calendar'!$AI$1784)*100000000+('Dvd Calendar'!$AI$1786=SPECIAL_LBL)*10000000+0*1000000+21*1000+31))</f>
        <v/>
      </c>
      <c r="FJ180" s="35">
        <f>IF(N('Dvd Calendar'!$AJ$1781)=0,"",IF(('Dvd Calendar'!$AJ$1781&gt;=GRID_FROM)*('Dvd Calendar'!$AJ$1781&lt;=GRID_TO)*('Dvd Calendar'!$AJ$1781&lt;=VAL_DATE)=0,"",'Dvd Calendar'!$AJ$1781*1000000000+ISNUMBER('Dvd Calendar'!$AJ$1784)*100000000+('Dvd Calendar'!$AJ$1786=SPECIAL_LBL)*10000000+0*1000000+21*1000+32))</f>
        <v/>
      </c>
      <c r="FK180" s="35">
        <f>IF(N('Dvd Calendar'!$AK$1781)=0,"",IF(('Dvd Calendar'!$AK$1781&gt;=GRID_FROM)*('Dvd Calendar'!$AK$1781&lt;=GRID_TO)*('Dvd Calendar'!$AK$1781&lt;=VAL_DATE)=0,"",'Dvd Calendar'!$AK$1781*1000000000+ISNUMBER('Dvd Calendar'!$AK$1784)*100000000+('Dvd Calendar'!$AK$1786=SPECIAL_LBL)*10000000+0*1000000+21*1000+33))</f>
        <v/>
      </c>
      <c r="FL180" s="35">
        <f>IF(N('Dvd Calendar'!$AL$1781)=0,"",IF(('Dvd Calendar'!$AL$1781&gt;=GRID_FROM)*('Dvd Calendar'!$AL$1781&lt;=GRID_TO)*('Dvd Calendar'!$AL$1781&lt;=VAL_DATE)=0,"",'Dvd Calendar'!$AL$1781*1000000000+ISNUMBER('Dvd Calendar'!$AL$1784)*100000000+('Dvd Calendar'!$AL$1786=SPECIAL_LBL)*10000000+0*1000000+21*1000+34))</f>
        <v/>
      </c>
      <c r="FM180" s="35">
        <f>IF(N('Dvd Calendar'!$AM$1781)=0,"",IF(('Dvd Calendar'!$AM$1781&gt;=GRID_FROM)*('Dvd Calendar'!$AM$1781&lt;=GRID_TO)*('Dvd Calendar'!$AM$1781&lt;=VAL_DATE)=0,"",'Dvd Calendar'!$AM$1781*1000000000+ISNUMBER('Dvd Calendar'!$AM$1784)*100000000+('Dvd Calendar'!$AM$1786=SPECIAL_LBL)*10000000+0*1000000+21*1000+35))</f>
        <v/>
      </c>
      <c r="FN180" s="35">
        <f>IF(N('Dvd Calendar'!$AN$1781)=0,"",IF(('Dvd Calendar'!$AN$1781&gt;=GRID_FROM)*('Dvd Calendar'!$AN$1781&lt;=GRID_TO)*('Dvd Calendar'!$AN$1781&lt;=VAL_DATE)=0,"",'Dvd Calendar'!$AN$1781*1000000000+ISNUMBER('Dvd Calendar'!$AN$1784)*100000000+('Dvd Calendar'!$AN$1786=SPECIAL_LBL)*10000000+0*1000000+21*1000+36))</f>
        <v/>
      </c>
      <c r="FO180" s="35">
        <f>IF(N('Dvd Calendar'!$AO$1781)=0,"",IF(('Dvd Calendar'!$AO$1781&gt;=GRID_FROM)*('Dvd Calendar'!$AO$1781&lt;=GRID_TO)*('Dvd Calendar'!$AO$1781&lt;=VAL_DATE)=0,"",'Dvd Calendar'!$AO$1781*1000000000+ISNUMBER('Dvd Calendar'!$AO$1784)*100000000+('Dvd Calendar'!$AO$1786=SPECIAL_LBL)*10000000+0*1000000+21*1000+37))</f>
        <v/>
      </c>
      <c r="FP180" s="35">
        <f>IF(N('Dvd Calendar'!$AP$1781)=0,"",IF(('Dvd Calendar'!$AP$1781&gt;=GRID_FROM)*('Dvd Calendar'!$AP$1781&lt;=GRID_TO)*('Dvd Calendar'!$AP$1781&lt;=VAL_DATE)=0,"",'Dvd Calendar'!$AP$1781*1000000000+ISNUMBER('Dvd Calendar'!$AP$1784)*100000000+('Dvd Calendar'!$AP$1786=SPECIAL_LBL)*10000000+0*1000000+21*1000+38))</f>
        <v/>
      </c>
      <c r="FQ180" s="35">
        <f>IF(N('Dvd Calendar'!$AQ$1781)=0,"",IF(('Dvd Calendar'!$AQ$1781&gt;=GRID_FROM)*('Dvd Calendar'!$AQ$1781&lt;=GRID_TO)*('Dvd Calendar'!$AQ$1781&lt;=VAL_DATE)=0,"",'Dvd Calendar'!$AQ$1781*1000000000+ISNUMBER('Dvd Calendar'!$AQ$1784)*100000000+('Dvd Calendar'!$AQ$1786=SPECIAL_LBL)*10000000+0*1000000+21*1000+39))</f>
        <v/>
      </c>
      <c r="FR180" s="35">
        <f>IF(N('Dvd Calendar'!$AR$1781)=0,"",IF(('Dvd Calendar'!$AR$1781&gt;=GRID_FROM)*('Dvd Calendar'!$AR$1781&lt;=GRID_TO)*('Dvd Calendar'!$AR$1781&lt;=VAL_DATE)=0,"",'Dvd Calendar'!$AR$1781*1000000000+ISNUMBER('Dvd Calendar'!$AR$1784)*100000000+('Dvd Calendar'!$AR$1786=SPECIAL_LBL)*10000000+0*1000000+21*1000+40))</f>
        <v/>
      </c>
      <c r="FS180" s="35">
        <f>IF(N('Dvd Calendar'!$E$1788)=0,"",IF(('Dvd Calendar'!$E$1788&gt;=GRID_FROM)*('Dvd Calendar'!$E$1788&lt;=GRID_TO)*('Dvd Calendar'!$E$1788&gt;VAL_DATE)=0,"",'Dvd Calendar'!$E$1788*1000000000+ISNUMBER('Dvd Calendar'!$E$1789)*100000000+0*10000000+(N('Dvd Calendar'!$E$1787)&gt;0)*(N('Dvd Calendar'!$E$1787)&lt;=VAL_SERIAL)*1000000+21*1000+41))</f>
        <v/>
      </c>
      <c r="FT180" s="35">
        <f>IF(N('Dvd Calendar'!$F$1788)=0,"",IF(('Dvd Calendar'!$F$1788&gt;=GRID_FROM)*('Dvd Calendar'!$F$1788&lt;=GRID_TO)*('Dvd Calendar'!$F$1788&gt;VAL_DATE)=0,"",'Dvd Calendar'!$F$1788*1000000000+ISNUMBER('Dvd Calendar'!$F$1789)*100000000+0*10000000+(N('Dvd Calendar'!$F$1787)&gt;0)*(N('Dvd Calendar'!$F$1787)&lt;=VAL_SERIAL)*1000000+21*1000+42))</f>
        <v/>
      </c>
      <c r="FU180" s="35">
        <f>IF(N('Dvd Calendar'!$G$1788)=0,"",IF(('Dvd Calendar'!$G$1788&gt;=GRID_FROM)*('Dvd Calendar'!$G$1788&lt;=GRID_TO)*('Dvd Calendar'!$G$1788&gt;VAL_DATE)=0,"",'Dvd Calendar'!$G$1788*1000000000+ISNUMBER('Dvd Calendar'!$G$1789)*100000000+0*10000000+(N('Dvd Calendar'!$G$1787)&gt;0)*(N('Dvd Calendar'!$G$1787)&lt;=VAL_SERIAL)*1000000+21*1000+43))</f>
        <v/>
      </c>
      <c r="FV180" s="35">
        <f>IF(N('Dvd Calendar'!$H$1788)=0,"",IF(('Dvd Calendar'!$H$1788&gt;=GRID_FROM)*('Dvd Calendar'!$H$1788&lt;=GRID_TO)*('Dvd Calendar'!$H$1788&gt;VAL_DATE)=0,"",'Dvd Calendar'!$H$1788*1000000000+ISNUMBER('Dvd Calendar'!$H$1789)*100000000+0*10000000+(N('Dvd Calendar'!$H$1787)&gt;0)*(N('Dvd Calendar'!$H$1787)&lt;=VAL_SERIAL)*1000000+21*1000+44))</f>
        <v/>
      </c>
      <c r="FW180" s="35">
        <f>IF(N('Dvd Calendar'!$I$1788)=0,"",IF(('Dvd Calendar'!$I$1788&gt;=GRID_FROM)*('Dvd Calendar'!$I$1788&lt;=GRID_TO)*('Dvd Calendar'!$I$1788&gt;VAL_DATE)=0,"",'Dvd Calendar'!$I$1788*1000000000+ISNUMBER('Dvd Calendar'!$I$1789)*100000000+0*10000000+(N('Dvd Calendar'!$I$1787)&gt;0)*(N('Dvd Calendar'!$I$1787)&lt;=VAL_SERIAL)*1000000+21*1000+45))</f>
        <v/>
      </c>
      <c r="FX180" s="35">
        <f>IF(N('Dvd Calendar'!$J$1788)=0,"",IF(('Dvd Calendar'!$J$1788&gt;=GRID_FROM)*('Dvd Calendar'!$J$1788&lt;=GRID_TO)*('Dvd Calendar'!$J$1788&gt;VAL_DATE)=0,"",'Dvd Calendar'!$J$1788*1000000000+ISNUMBER('Dvd Calendar'!$J$1789)*100000000+0*10000000+(N('Dvd Calendar'!$J$1787)&gt;0)*(N('Dvd Calendar'!$J$1787)&lt;=VAL_SERIAL)*1000000+21*1000+46))</f>
        <v/>
      </c>
      <c r="FY180" s="35">
        <f>IF(N('Dvd Calendar'!$K$1788)=0,"",IF(('Dvd Calendar'!$K$1788&gt;=GRID_FROM)*('Dvd Calendar'!$K$1788&lt;=GRID_TO)*('Dvd Calendar'!$K$1788&gt;VAL_DATE)=0,"",'Dvd Calendar'!$K$1788*1000000000+ISNUMBER('Dvd Calendar'!$K$1789)*100000000+0*10000000+(N('Dvd Calendar'!$K$1787)&gt;0)*(N('Dvd Calendar'!$K$1787)&lt;=VAL_SERIAL)*1000000+21*1000+47))</f>
        <v/>
      </c>
      <c r="FZ180" s="35">
        <f>IF(N('Dvd Calendar'!$L$1788)=0,"",IF(('Dvd Calendar'!$L$1788&gt;=GRID_FROM)*('Dvd Calendar'!$L$1788&lt;=GRID_TO)*('Dvd Calendar'!$L$1788&gt;VAL_DATE)=0,"",'Dvd Calendar'!$L$1788*1000000000+ISNUMBER('Dvd Calendar'!$L$1789)*100000000+0*10000000+(N('Dvd Calendar'!$L$1787)&gt;0)*(N('Dvd Calendar'!$L$1787)&lt;=VAL_SERIAL)*1000000+21*1000+48))</f>
        <v/>
      </c>
      <c r="GA180" s="35">
        <f>IF(N('Dvd Calendar'!$M$1788)=0,"",IF(('Dvd Calendar'!$M$1788&gt;=GRID_FROM)*('Dvd Calendar'!$M$1788&lt;=GRID_TO)*('Dvd Calendar'!$M$1788&gt;VAL_DATE)=0,"",'Dvd Calendar'!$M$1788*1000000000+ISNUMBER('Dvd Calendar'!$M$1789)*100000000+0*10000000+(N('Dvd Calendar'!$M$1787)&gt;0)*(N('Dvd Calendar'!$M$1787)&lt;=VAL_SERIAL)*1000000+21*1000+49))</f>
        <v/>
      </c>
      <c r="GB180" s="35">
        <f>IF(N('Dvd Calendar'!$N$1788)=0,"",IF(('Dvd Calendar'!$N$1788&gt;=GRID_FROM)*('Dvd Calendar'!$N$1788&lt;=GRID_TO)*('Dvd Calendar'!$N$1788&gt;VAL_DATE)=0,"",'Dvd Calendar'!$N$1788*1000000000+ISNUMBER('Dvd Calendar'!$N$1789)*100000000+0*10000000+(N('Dvd Calendar'!$N$1787)&gt;0)*(N('Dvd Calendar'!$N$1787)&lt;=VAL_SERIAL)*1000000+21*1000+50))</f>
        <v/>
      </c>
      <c r="GC180" s="35">
        <f>IF(N('Dvd Calendar'!$O$1788)=0,"",IF(('Dvd Calendar'!$O$1788&gt;=GRID_FROM)*('Dvd Calendar'!$O$1788&lt;=GRID_TO)*('Dvd Calendar'!$O$1788&gt;VAL_DATE)=0,"",'Dvd Calendar'!$O$1788*1000000000+ISNUMBER('Dvd Calendar'!$O$1789)*100000000+0*10000000+(N('Dvd Calendar'!$O$1787)&gt;0)*(N('Dvd Calendar'!$O$1787)&lt;=VAL_SERIAL)*1000000+21*1000+51))</f>
        <v/>
      </c>
      <c r="GD180" s="35">
        <f>IF(N('Dvd Calendar'!$P$1788)=0,"",IF(('Dvd Calendar'!$P$1788&gt;=GRID_FROM)*('Dvd Calendar'!$P$1788&lt;=GRID_TO)*('Dvd Calendar'!$P$1788&gt;VAL_DATE)=0,"",'Dvd Calendar'!$P$1788*1000000000+ISNUMBER('Dvd Calendar'!$P$1789)*100000000+0*10000000+(N('Dvd Calendar'!$P$1787)&gt;0)*(N('Dvd Calendar'!$P$1787)&lt;=VAL_SERIAL)*1000000+21*1000+52))</f>
        <v/>
      </c>
      <c r="GE180" s="35">
        <f>IF(N('Dvd Calendar'!$Q$1788)=0,"",IF(('Dvd Calendar'!$Q$1788&gt;=GRID_FROM)*('Dvd Calendar'!$Q$1788&lt;=GRID_TO)*('Dvd Calendar'!$Q$1788&gt;VAL_DATE)=0,"",'Dvd Calendar'!$Q$1788*1000000000+ISNUMBER('Dvd Calendar'!$Q$1789)*100000000+0*10000000+(N('Dvd Calendar'!$Q$1787)&gt;0)*(N('Dvd Calendar'!$Q$1787)&lt;=VAL_SERIAL)*1000000+21*1000+53))</f>
        <v/>
      </c>
      <c r="GF180" s="35">
        <f>IF(N('Dvd Calendar'!$R$1788)=0,"",IF(('Dvd Calendar'!$R$1788&gt;=GRID_FROM)*('Dvd Calendar'!$R$1788&lt;=GRID_TO)*('Dvd Calendar'!$R$1788&gt;VAL_DATE)=0,"",'Dvd Calendar'!$R$1788*1000000000+ISNUMBER('Dvd Calendar'!$R$1789)*100000000+0*10000000+(N('Dvd Calendar'!$R$1787)&gt;0)*(N('Dvd Calendar'!$R$1787)&lt;=VAL_SERIAL)*1000000+21*1000+54))</f>
        <v/>
      </c>
      <c r="GG180" s="35">
        <f>IF(N('Dvd Calendar'!$S$1788)=0,"",IF(('Dvd Calendar'!$S$1788&gt;=GRID_FROM)*('Dvd Calendar'!$S$1788&lt;=GRID_TO)*('Dvd Calendar'!$S$1788&gt;VAL_DATE)=0,"",'Dvd Calendar'!$S$1788*1000000000+ISNUMBER('Dvd Calendar'!$S$1789)*100000000+0*10000000+(N('Dvd Calendar'!$S$1787)&gt;0)*(N('Dvd Calendar'!$S$1787)&lt;=VAL_SERIAL)*1000000+21*1000+55))</f>
        <v/>
      </c>
      <c r="GH180" s="35">
        <f>IF(N('Dvd Calendar'!$T$1788)=0,"",IF(('Dvd Calendar'!$T$1788&gt;=GRID_FROM)*('Dvd Calendar'!$T$1788&lt;=GRID_TO)*('Dvd Calendar'!$T$1788&gt;VAL_DATE)=0,"",'Dvd Calendar'!$T$1788*1000000000+ISNUMBER('Dvd Calendar'!$T$1789)*100000000+0*10000000+(N('Dvd Calendar'!$T$1787)&gt;0)*(N('Dvd Calendar'!$T$1787)&lt;=VAL_SERIAL)*1000000+21*1000+56))</f>
        <v/>
      </c>
      <c r="GI180" s="35">
        <f>IF(N('Dvd Calendar'!$U$1788)=0,"",IF(('Dvd Calendar'!$U$1788&gt;=GRID_FROM)*('Dvd Calendar'!$U$1788&lt;=GRID_TO)*('Dvd Calendar'!$U$1788&gt;VAL_DATE)=0,"",'Dvd Calendar'!$U$1788*1000000000+ISNUMBER('Dvd Calendar'!$U$1789)*100000000+0*10000000+(N('Dvd Calendar'!$U$1787)&gt;0)*(N('Dvd Calendar'!$U$1787)&lt;=VAL_SERIAL)*1000000+21*1000+57))</f>
        <v/>
      </c>
      <c r="GJ180" s="35">
        <f>IF(N('Dvd Calendar'!$V$1788)=0,"",IF(('Dvd Calendar'!$V$1788&gt;=GRID_FROM)*('Dvd Calendar'!$V$1788&lt;=GRID_TO)*('Dvd Calendar'!$V$1788&gt;VAL_DATE)=0,"",'Dvd Calendar'!$V$1788*1000000000+ISNUMBER('Dvd Calendar'!$V$1789)*100000000+0*10000000+(N('Dvd Calendar'!$V$1787)&gt;0)*(N('Dvd Calendar'!$V$1787)&lt;=VAL_SERIAL)*1000000+21*1000+58))</f>
        <v/>
      </c>
      <c r="GK180" s="35">
        <f>IF(N('Dvd Calendar'!$W$1788)=0,"",IF(('Dvd Calendar'!$W$1788&gt;=GRID_FROM)*('Dvd Calendar'!$W$1788&lt;=GRID_TO)*('Dvd Calendar'!$W$1788&gt;VAL_DATE)=0,"",'Dvd Calendar'!$W$1788*1000000000+ISNUMBER('Dvd Calendar'!$W$1789)*100000000+0*10000000+(N('Dvd Calendar'!$W$1787)&gt;0)*(N('Dvd Calendar'!$W$1787)&lt;=VAL_SERIAL)*1000000+21*1000+59))</f>
        <v/>
      </c>
      <c r="GL180" s="35">
        <f>IF(N('Dvd Calendar'!$X$1788)=0,"",IF(('Dvd Calendar'!$X$1788&gt;=GRID_FROM)*('Dvd Calendar'!$X$1788&lt;=GRID_TO)*('Dvd Calendar'!$X$1788&gt;VAL_DATE)=0,"",'Dvd Calendar'!$X$1788*1000000000+ISNUMBER('Dvd Calendar'!$X$1789)*100000000+0*10000000+(N('Dvd Calendar'!$X$1787)&gt;0)*(N('Dvd Calendar'!$X$1787)&lt;=VAL_SERIAL)*1000000+21*1000+60))</f>
        <v/>
      </c>
      <c r="GM180" s="35">
        <f>IF(N('Dvd Calendar'!$Y$1788)=0,"",IF(('Dvd Calendar'!$Y$1788&gt;=GRID_FROM)*('Dvd Calendar'!$Y$1788&lt;=GRID_TO)*('Dvd Calendar'!$Y$1788&gt;VAL_DATE)=0,"",'Dvd Calendar'!$Y$1788*1000000000+ISNUMBER('Dvd Calendar'!$Y$1789)*100000000+0*10000000+(N('Dvd Calendar'!$Y$1787)&gt;0)*(N('Dvd Calendar'!$Y$1787)&lt;=VAL_SERIAL)*1000000+21*1000+61))</f>
        <v/>
      </c>
      <c r="GN180" s="35">
        <f>IF(N('Dvd Calendar'!$Z$1788)=0,"",IF(('Dvd Calendar'!$Z$1788&gt;=GRID_FROM)*('Dvd Calendar'!$Z$1788&lt;=GRID_TO)*('Dvd Calendar'!$Z$1788&gt;VAL_DATE)=0,"",'Dvd Calendar'!$Z$1788*1000000000+ISNUMBER('Dvd Calendar'!$Z$1789)*100000000+0*10000000+(N('Dvd Calendar'!$Z$1787)&gt;0)*(N('Dvd Calendar'!$Z$1787)&lt;=VAL_SERIAL)*1000000+21*1000+62))</f>
        <v/>
      </c>
      <c r="GO180" s="35">
        <f>IF(N('Dvd Calendar'!$AA$1788)=0,"",IF(('Dvd Calendar'!$AA$1788&gt;=GRID_FROM)*('Dvd Calendar'!$AA$1788&lt;=GRID_TO)*('Dvd Calendar'!$AA$1788&gt;VAL_DATE)=0,"",'Dvd Calendar'!$AA$1788*1000000000+ISNUMBER('Dvd Calendar'!$AA$1789)*100000000+0*10000000+(N('Dvd Calendar'!$AA$1787)&gt;0)*(N('Dvd Calendar'!$AA$1787)&lt;=VAL_SERIAL)*1000000+21*1000+63))</f>
        <v/>
      </c>
      <c r="GP180" s="35">
        <f>IF(N('Dvd Calendar'!$AB$1788)=0,"",IF(('Dvd Calendar'!$AB$1788&gt;=GRID_FROM)*('Dvd Calendar'!$AB$1788&lt;=GRID_TO)*('Dvd Calendar'!$AB$1788&gt;VAL_DATE)=0,"",'Dvd Calendar'!$AB$1788*1000000000+ISNUMBER('Dvd Calendar'!$AB$1789)*100000000+0*10000000+(N('Dvd Calendar'!$AB$1787)&gt;0)*(N('Dvd Calendar'!$AB$1787)&lt;=VAL_SERIAL)*1000000+21*1000+64))</f>
        <v/>
      </c>
      <c r="GQ180" s="35">
        <f>IF(N('Dvd Calendar'!$AC$1788)=0,"",IF(('Dvd Calendar'!$AC$1788&gt;=GRID_FROM)*('Dvd Calendar'!$AC$1788&lt;=GRID_TO)*('Dvd Calendar'!$AC$1788&gt;VAL_DATE)=0,"",'Dvd Calendar'!$AC$1788*1000000000+ISNUMBER('Dvd Calendar'!$AC$1789)*100000000+0*10000000+(N('Dvd Calendar'!$AC$1787)&gt;0)*(N('Dvd Calendar'!$AC$1787)&lt;=VAL_SERIAL)*1000000+21*1000+65))</f>
        <v/>
      </c>
    </row>
    <row r="181">
      <c r="B181" s="2">
        <f>IF(HSCEI!$C$28="","",HSCEI!$C$28)</f>
        <v/>
      </c>
      <c r="C181" s="106">
        <f>IF(EE181="","",IF(ISNUMBER('Dvd Calendar'!$E$1795)=FALSE,"",IF((('Dvd Calendar'!$E$1797=TYPE1)*(TYPE1&lt;&gt;"")+('Dvd Calendar'!$E$1797=TYPE2)*(TYPE2&lt;&gt;"")+('Dvd Calendar'!$E$1797=TYPE3)*(TYPE3&lt;&gt;"")+('Dvd Calendar'!$E$1797=TYPE4)*(TYPE4&lt;&gt;"")+('Dvd Calendar'!$E$1797=SPECIAL_LBL)*(INC_SPECIALS="Y"))=0,"",'Dvd Calendar'!$E$1795)))</f>
        <v/>
      </c>
      <c r="D181" s="106">
        <f>IF(EF181="","",IF(ISNUMBER('Dvd Calendar'!$F$1795)=FALSE,"",IF((('Dvd Calendar'!$F$1797=TYPE1)*(TYPE1&lt;&gt;"")+('Dvd Calendar'!$F$1797=TYPE2)*(TYPE2&lt;&gt;"")+('Dvd Calendar'!$F$1797=TYPE3)*(TYPE3&lt;&gt;"")+('Dvd Calendar'!$F$1797=TYPE4)*(TYPE4&lt;&gt;"")+('Dvd Calendar'!$F$1797=SPECIAL_LBL)*(INC_SPECIALS="Y"))=0,"",'Dvd Calendar'!$F$1795)))</f>
        <v/>
      </c>
      <c r="E181" s="106">
        <f>IF(EG181="","",IF(ISNUMBER('Dvd Calendar'!$G$1795)=FALSE,"",IF((('Dvd Calendar'!$G$1797=TYPE1)*(TYPE1&lt;&gt;"")+('Dvd Calendar'!$G$1797=TYPE2)*(TYPE2&lt;&gt;"")+('Dvd Calendar'!$G$1797=TYPE3)*(TYPE3&lt;&gt;"")+('Dvd Calendar'!$G$1797=TYPE4)*(TYPE4&lt;&gt;"")+('Dvd Calendar'!$G$1797=SPECIAL_LBL)*(INC_SPECIALS="Y"))=0,"",'Dvd Calendar'!$G$1795)))</f>
        <v/>
      </c>
      <c r="F181" s="106">
        <f>IF(EH181="","",IF(ISNUMBER('Dvd Calendar'!$H$1795)=FALSE,"",IF((('Dvd Calendar'!$H$1797=TYPE1)*(TYPE1&lt;&gt;"")+('Dvd Calendar'!$H$1797=TYPE2)*(TYPE2&lt;&gt;"")+('Dvd Calendar'!$H$1797=TYPE3)*(TYPE3&lt;&gt;"")+('Dvd Calendar'!$H$1797=TYPE4)*(TYPE4&lt;&gt;"")+('Dvd Calendar'!$H$1797=SPECIAL_LBL)*(INC_SPECIALS="Y"))=0,"",'Dvd Calendar'!$H$1795)))</f>
        <v/>
      </c>
      <c r="G181" s="106">
        <f>IF(EI181="","",IF(ISNUMBER('Dvd Calendar'!$I$1795)=FALSE,"",IF((('Dvd Calendar'!$I$1797=TYPE1)*(TYPE1&lt;&gt;"")+('Dvd Calendar'!$I$1797=TYPE2)*(TYPE2&lt;&gt;"")+('Dvd Calendar'!$I$1797=TYPE3)*(TYPE3&lt;&gt;"")+('Dvd Calendar'!$I$1797=TYPE4)*(TYPE4&lt;&gt;"")+('Dvd Calendar'!$I$1797=SPECIAL_LBL)*(INC_SPECIALS="Y"))=0,"",'Dvd Calendar'!$I$1795)))</f>
        <v/>
      </c>
      <c r="H181" s="106">
        <f>IF(EJ181="","",IF(ISNUMBER('Dvd Calendar'!$J$1795)=FALSE,"",IF((('Dvd Calendar'!$J$1797=TYPE1)*(TYPE1&lt;&gt;"")+('Dvd Calendar'!$J$1797=TYPE2)*(TYPE2&lt;&gt;"")+('Dvd Calendar'!$J$1797=TYPE3)*(TYPE3&lt;&gt;"")+('Dvd Calendar'!$J$1797=TYPE4)*(TYPE4&lt;&gt;"")+('Dvd Calendar'!$J$1797=SPECIAL_LBL)*(INC_SPECIALS="Y"))=0,"",'Dvd Calendar'!$J$1795)))</f>
        <v/>
      </c>
      <c r="I181" s="106">
        <f>IF(EK181="","",IF(ISNUMBER('Dvd Calendar'!$K$1795)=FALSE,"",IF((('Dvd Calendar'!$K$1797=TYPE1)*(TYPE1&lt;&gt;"")+('Dvd Calendar'!$K$1797=TYPE2)*(TYPE2&lt;&gt;"")+('Dvd Calendar'!$K$1797=TYPE3)*(TYPE3&lt;&gt;"")+('Dvd Calendar'!$K$1797=TYPE4)*(TYPE4&lt;&gt;"")+('Dvd Calendar'!$K$1797=SPECIAL_LBL)*(INC_SPECIALS="Y"))=0,"",'Dvd Calendar'!$K$1795)))</f>
        <v/>
      </c>
      <c r="J181" s="106">
        <f>IF(EL181="","",IF(ISNUMBER('Dvd Calendar'!$L$1795)=FALSE,"",IF((('Dvd Calendar'!$L$1797=TYPE1)*(TYPE1&lt;&gt;"")+('Dvd Calendar'!$L$1797=TYPE2)*(TYPE2&lt;&gt;"")+('Dvd Calendar'!$L$1797=TYPE3)*(TYPE3&lt;&gt;"")+('Dvd Calendar'!$L$1797=TYPE4)*(TYPE4&lt;&gt;"")+('Dvd Calendar'!$L$1797=SPECIAL_LBL)*(INC_SPECIALS="Y"))=0,"",'Dvd Calendar'!$L$1795)))</f>
        <v/>
      </c>
      <c r="K181" s="106">
        <f>IF(EM181="","",IF(ISNUMBER('Dvd Calendar'!$M$1795)=FALSE,"",IF((('Dvd Calendar'!$M$1797=TYPE1)*(TYPE1&lt;&gt;"")+('Dvd Calendar'!$M$1797=TYPE2)*(TYPE2&lt;&gt;"")+('Dvd Calendar'!$M$1797=TYPE3)*(TYPE3&lt;&gt;"")+('Dvd Calendar'!$M$1797=TYPE4)*(TYPE4&lt;&gt;"")+('Dvd Calendar'!$M$1797=SPECIAL_LBL)*(INC_SPECIALS="Y"))=0,"",'Dvd Calendar'!$M$1795)))</f>
        <v/>
      </c>
      <c r="L181" s="106">
        <f>IF(EN181="","",IF(ISNUMBER('Dvd Calendar'!$N$1795)=FALSE,"",IF((('Dvd Calendar'!$N$1797=TYPE1)*(TYPE1&lt;&gt;"")+('Dvd Calendar'!$N$1797=TYPE2)*(TYPE2&lt;&gt;"")+('Dvd Calendar'!$N$1797=TYPE3)*(TYPE3&lt;&gt;"")+('Dvd Calendar'!$N$1797=TYPE4)*(TYPE4&lt;&gt;"")+('Dvd Calendar'!$N$1797=SPECIAL_LBL)*(INC_SPECIALS="Y"))=0,"",'Dvd Calendar'!$N$1795)))</f>
        <v/>
      </c>
      <c r="M181" s="106">
        <f>IF(EO181="","",IF(ISNUMBER('Dvd Calendar'!$O$1795)=FALSE,"",IF((('Dvd Calendar'!$O$1797=TYPE1)*(TYPE1&lt;&gt;"")+('Dvd Calendar'!$O$1797=TYPE2)*(TYPE2&lt;&gt;"")+('Dvd Calendar'!$O$1797=TYPE3)*(TYPE3&lt;&gt;"")+('Dvd Calendar'!$O$1797=TYPE4)*(TYPE4&lt;&gt;"")+('Dvd Calendar'!$O$1797=SPECIAL_LBL)*(INC_SPECIALS="Y"))=0,"",'Dvd Calendar'!$O$1795)))</f>
        <v/>
      </c>
      <c r="N181" s="106">
        <f>IF(EP181="","",IF(ISNUMBER('Dvd Calendar'!$P$1795)=FALSE,"",IF((('Dvd Calendar'!$P$1797=TYPE1)*(TYPE1&lt;&gt;"")+('Dvd Calendar'!$P$1797=TYPE2)*(TYPE2&lt;&gt;"")+('Dvd Calendar'!$P$1797=TYPE3)*(TYPE3&lt;&gt;"")+('Dvd Calendar'!$P$1797=TYPE4)*(TYPE4&lt;&gt;"")+('Dvd Calendar'!$P$1797=SPECIAL_LBL)*(INC_SPECIALS="Y"))=0,"",'Dvd Calendar'!$P$1795)))</f>
        <v/>
      </c>
      <c r="O181" s="106">
        <f>IF(EQ181="","",IF(ISNUMBER('Dvd Calendar'!$Q$1795)=FALSE,"",IF((('Dvd Calendar'!$Q$1797=TYPE1)*(TYPE1&lt;&gt;"")+('Dvd Calendar'!$Q$1797=TYPE2)*(TYPE2&lt;&gt;"")+('Dvd Calendar'!$Q$1797=TYPE3)*(TYPE3&lt;&gt;"")+('Dvd Calendar'!$Q$1797=TYPE4)*(TYPE4&lt;&gt;"")+('Dvd Calendar'!$Q$1797=SPECIAL_LBL)*(INC_SPECIALS="Y"))=0,"",'Dvd Calendar'!$Q$1795)))</f>
        <v/>
      </c>
      <c r="P181" s="106">
        <f>IF(ER181="","",IF(ISNUMBER('Dvd Calendar'!$R$1795)=FALSE,"",IF((('Dvd Calendar'!$R$1797=TYPE1)*(TYPE1&lt;&gt;"")+('Dvd Calendar'!$R$1797=TYPE2)*(TYPE2&lt;&gt;"")+('Dvd Calendar'!$R$1797=TYPE3)*(TYPE3&lt;&gt;"")+('Dvd Calendar'!$R$1797=TYPE4)*(TYPE4&lt;&gt;"")+('Dvd Calendar'!$R$1797=SPECIAL_LBL)*(INC_SPECIALS="Y"))=0,"",'Dvd Calendar'!$R$1795)))</f>
        <v/>
      </c>
      <c r="Q181" s="106">
        <f>IF(ES181="","",IF(ISNUMBER('Dvd Calendar'!$S$1795)=FALSE,"",IF((('Dvd Calendar'!$S$1797=TYPE1)*(TYPE1&lt;&gt;"")+('Dvd Calendar'!$S$1797=TYPE2)*(TYPE2&lt;&gt;"")+('Dvd Calendar'!$S$1797=TYPE3)*(TYPE3&lt;&gt;"")+('Dvd Calendar'!$S$1797=TYPE4)*(TYPE4&lt;&gt;"")+('Dvd Calendar'!$S$1797=SPECIAL_LBL)*(INC_SPECIALS="Y"))=0,"",'Dvd Calendar'!$S$1795)))</f>
        <v/>
      </c>
      <c r="R181" s="106">
        <f>IF(ET181="","",IF(ISNUMBER('Dvd Calendar'!$T$1795)=FALSE,"",IF((('Dvd Calendar'!$T$1797=TYPE1)*(TYPE1&lt;&gt;"")+('Dvd Calendar'!$T$1797=TYPE2)*(TYPE2&lt;&gt;"")+('Dvd Calendar'!$T$1797=TYPE3)*(TYPE3&lt;&gt;"")+('Dvd Calendar'!$T$1797=TYPE4)*(TYPE4&lt;&gt;"")+('Dvd Calendar'!$T$1797=SPECIAL_LBL)*(INC_SPECIALS="Y"))=0,"",'Dvd Calendar'!$T$1795)))</f>
        <v/>
      </c>
      <c r="S181" s="106">
        <f>IF(EU181="","",IF(ISNUMBER('Dvd Calendar'!$U$1795)=FALSE,"",IF((('Dvd Calendar'!$U$1797=TYPE1)*(TYPE1&lt;&gt;"")+('Dvd Calendar'!$U$1797=TYPE2)*(TYPE2&lt;&gt;"")+('Dvd Calendar'!$U$1797=TYPE3)*(TYPE3&lt;&gt;"")+('Dvd Calendar'!$U$1797=TYPE4)*(TYPE4&lt;&gt;"")+('Dvd Calendar'!$U$1797=SPECIAL_LBL)*(INC_SPECIALS="Y"))=0,"",'Dvd Calendar'!$U$1795)))</f>
        <v/>
      </c>
      <c r="T181" s="106">
        <f>IF(EV181="","",IF(ISNUMBER('Dvd Calendar'!$V$1795)=FALSE,"",IF((('Dvd Calendar'!$V$1797=TYPE1)*(TYPE1&lt;&gt;"")+('Dvd Calendar'!$V$1797=TYPE2)*(TYPE2&lt;&gt;"")+('Dvd Calendar'!$V$1797=TYPE3)*(TYPE3&lt;&gt;"")+('Dvd Calendar'!$V$1797=TYPE4)*(TYPE4&lt;&gt;"")+('Dvd Calendar'!$V$1797=SPECIAL_LBL)*(INC_SPECIALS="Y"))=0,"",'Dvd Calendar'!$V$1795)))</f>
        <v/>
      </c>
      <c r="U181" s="106">
        <f>IF(EW181="","",IF(ISNUMBER('Dvd Calendar'!$W$1795)=FALSE,"",IF((('Dvd Calendar'!$W$1797=TYPE1)*(TYPE1&lt;&gt;"")+('Dvd Calendar'!$W$1797=TYPE2)*(TYPE2&lt;&gt;"")+('Dvd Calendar'!$W$1797=TYPE3)*(TYPE3&lt;&gt;"")+('Dvd Calendar'!$W$1797=TYPE4)*(TYPE4&lt;&gt;"")+('Dvd Calendar'!$W$1797=SPECIAL_LBL)*(INC_SPECIALS="Y"))=0,"",'Dvd Calendar'!$W$1795)))</f>
        <v/>
      </c>
      <c r="V181" s="106">
        <f>IF(EX181="","",IF(ISNUMBER('Dvd Calendar'!$X$1795)=FALSE,"",IF((('Dvd Calendar'!$X$1797=TYPE1)*(TYPE1&lt;&gt;"")+('Dvd Calendar'!$X$1797=TYPE2)*(TYPE2&lt;&gt;"")+('Dvd Calendar'!$X$1797=TYPE3)*(TYPE3&lt;&gt;"")+('Dvd Calendar'!$X$1797=TYPE4)*(TYPE4&lt;&gt;"")+('Dvd Calendar'!$X$1797=SPECIAL_LBL)*(INC_SPECIALS="Y"))=0,"",'Dvd Calendar'!$X$1795)))</f>
        <v/>
      </c>
      <c r="W181" s="106">
        <f>IF(EY181="","",IF(ISNUMBER('Dvd Calendar'!$Y$1795)=FALSE,"",IF((('Dvd Calendar'!$Y$1797=TYPE1)*(TYPE1&lt;&gt;"")+('Dvd Calendar'!$Y$1797=TYPE2)*(TYPE2&lt;&gt;"")+('Dvd Calendar'!$Y$1797=TYPE3)*(TYPE3&lt;&gt;"")+('Dvd Calendar'!$Y$1797=TYPE4)*(TYPE4&lt;&gt;"")+('Dvd Calendar'!$Y$1797=SPECIAL_LBL)*(INC_SPECIALS="Y"))=0,"",'Dvd Calendar'!$Y$1795)))</f>
        <v/>
      </c>
      <c r="X181" s="106">
        <f>IF(EZ181="","",IF(ISNUMBER('Dvd Calendar'!$Z$1795)=FALSE,"",IF((('Dvd Calendar'!$Z$1797=TYPE1)*(TYPE1&lt;&gt;"")+('Dvd Calendar'!$Z$1797=TYPE2)*(TYPE2&lt;&gt;"")+('Dvd Calendar'!$Z$1797=TYPE3)*(TYPE3&lt;&gt;"")+('Dvd Calendar'!$Z$1797=TYPE4)*(TYPE4&lt;&gt;"")+('Dvd Calendar'!$Z$1797=SPECIAL_LBL)*(INC_SPECIALS="Y"))=0,"",'Dvd Calendar'!$Z$1795)))</f>
        <v/>
      </c>
      <c r="Y181" s="106">
        <f>IF(FA181="","",IF(ISNUMBER('Dvd Calendar'!$AA$1795)=FALSE,"",IF((('Dvd Calendar'!$AA$1797=TYPE1)*(TYPE1&lt;&gt;"")+('Dvd Calendar'!$AA$1797=TYPE2)*(TYPE2&lt;&gt;"")+('Dvd Calendar'!$AA$1797=TYPE3)*(TYPE3&lt;&gt;"")+('Dvd Calendar'!$AA$1797=TYPE4)*(TYPE4&lt;&gt;"")+('Dvd Calendar'!$AA$1797=SPECIAL_LBL)*(INC_SPECIALS="Y"))=0,"",'Dvd Calendar'!$AA$1795)))</f>
        <v/>
      </c>
      <c r="Z181" s="106">
        <f>IF(FB181="","",IF(ISNUMBER('Dvd Calendar'!$AB$1795)=FALSE,"",IF((('Dvd Calendar'!$AB$1797=TYPE1)*(TYPE1&lt;&gt;"")+('Dvd Calendar'!$AB$1797=TYPE2)*(TYPE2&lt;&gt;"")+('Dvd Calendar'!$AB$1797=TYPE3)*(TYPE3&lt;&gt;"")+('Dvd Calendar'!$AB$1797=TYPE4)*(TYPE4&lt;&gt;"")+('Dvd Calendar'!$AB$1797=SPECIAL_LBL)*(INC_SPECIALS="Y"))=0,"",'Dvd Calendar'!$AB$1795)))</f>
        <v/>
      </c>
      <c r="AA181" s="106">
        <f>IF(FC181="","",IF(ISNUMBER('Dvd Calendar'!$AC$1795)=FALSE,"",IF((('Dvd Calendar'!$AC$1797=TYPE1)*(TYPE1&lt;&gt;"")+('Dvd Calendar'!$AC$1797=TYPE2)*(TYPE2&lt;&gt;"")+('Dvd Calendar'!$AC$1797=TYPE3)*(TYPE3&lt;&gt;"")+('Dvd Calendar'!$AC$1797=TYPE4)*(TYPE4&lt;&gt;"")+('Dvd Calendar'!$AC$1797=SPECIAL_LBL)*(INC_SPECIALS="Y"))=0,"",'Dvd Calendar'!$AC$1795)))</f>
        <v/>
      </c>
      <c r="AB181" s="106">
        <f>IF(FD181="","",IF(ISNUMBER('Dvd Calendar'!$AD$1795)=FALSE,"",IF((('Dvd Calendar'!$AD$1797=TYPE1)*(TYPE1&lt;&gt;"")+('Dvd Calendar'!$AD$1797=TYPE2)*(TYPE2&lt;&gt;"")+('Dvd Calendar'!$AD$1797=TYPE3)*(TYPE3&lt;&gt;"")+('Dvd Calendar'!$AD$1797=TYPE4)*(TYPE4&lt;&gt;"")+('Dvd Calendar'!$AD$1797=SPECIAL_LBL)*(INC_SPECIALS="Y"))=0,"",'Dvd Calendar'!$AD$1795)))</f>
        <v/>
      </c>
      <c r="AC181" s="106">
        <f>IF(FE181="","",IF(ISNUMBER('Dvd Calendar'!$AE$1795)=FALSE,"",IF((('Dvd Calendar'!$AE$1797=TYPE1)*(TYPE1&lt;&gt;"")+('Dvd Calendar'!$AE$1797=TYPE2)*(TYPE2&lt;&gt;"")+('Dvd Calendar'!$AE$1797=TYPE3)*(TYPE3&lt;&gt;"")+('Dvd Calendar'!$AE$1797=TYPE4)*(TYPE4&lt;&gt;"")+('Dvd Calendar'!$AE$1797=SPECIAL_LBL)*(INC_SPECIALS="Y"))=0,"",'Dvd Calendar'!$AE$1795)))</f>
        <v/>
      </c>
      <c r="AD181" s="106">
        <f>IF(FF181="","",IF(ISNUMBER('Dvd Calendar'!$AF$1795)=FALSE,"",IF((('Dvd Calendar'!$AF$1797=TYPE1)*(TYPE1&lt;&gt;"")+('Dvd Calendar'!$AF$1797=TYPE2)*(TYPE2&lt;&gt;"")+('Dvd Calendar'!$AF$1797=TYPE3)*(TYPE3&lt;&gt;"")+('Dvd Calendar'!$AF$1797=TYPE4)*(TYPE4&lt;&gt;"")+('Dvd Calendar'!$AF$1797=SPECIAL_LBL)*(INC_SPECIALS="Y"))=0,"",'Dvd Calendar'!$AF$1795)))</f>
        <v/>
      </c>
      <c r="AE181" s="106">
        <f>IF(FG181="","",IF(ISNUMBER('Dvd Calendar'!$AG$1795)=FALSE,"",IF((('Dvd Calendar'!$AG$1797=TYPE1)*(TYPE1&lt;&gt;"")+('Dvd Calendar'!$AG$1797=TYPE2)*(TYPE2&lt;&gt;"")+('Dvd Calendar'!$AG$1797=TYPE3)*(TYPE3&lt;&gt;"")+('Dvd Calendar'!$AG$1797=TYPE4)*(TYPE4&lt;&gt;"")+('Dvd Calendar'!$AG$1797=SPECIAL_LBL)*(INC_SPECIALS="Y"))=0,"",'Dvd Calendar'!$AG$1795)))</f>
        <v/>
      </c>
      <c r="AF181" s="106">
        <f>IF(FH181="","",IF(ISNUMBER('Dvd Calendar'!$AH$1795)=FALSE,"",IF((('Dvd Calendar'!$AH$1797=TYPE1)*(TYPE1&lt;&gt;"")+('Dvd Calendar'!$AH$1797=TYPE2)*(TYPE2&lt;&gt;"")+('Dvd Calendar'!$AH$1797=TYPE3)*(TYPE3&lt;&gt;"")+('Dvd Calendar'!$AH$1797=TYPE4)*(TYPE4&lt;&gt;"")+('Dvd Calendar'!$AH$1797=SPECIAL_LBL)*(INC_SPECIALS="Y"))=0,"",'Dvd Calendar'!$AH$1795)))</f>
        <v/>
      </c>
      <c r="AG181" s="106">
        <f>IF(FI181="","",IF(ISNUMBER('Dvd Calendar'!$AI$1795)=FALSE,"",IF((('Dvd Calendar'!$AI$1797=TYPE1)*(TYPE1&lt;&gt;"")+('Dvd Calendar'!$AI$1797=TYPE2)*(TYPE2&lt;&gt;"")+('Dvd Calendar'!$AI$1797=TYPE3)*(TYPE3&lt;&gt;"")+('Dvd Calendar'!$AI$1797=TYPE4)*(TYPE4&lt;&gt;"")+('Dvd Calendar'!$AI$1797=SPECIAL_LBL)*(INC_SPECIALS="Y"))=0,"",'Dvd Calendar'!$AI$1795)))</f>
        <v/>
      </c>
      <c r="AH181" s="106">
        <f>IF(FJ181="","",IF(ISNUMBER('Dvd Calendar'!$AJ$1795)=FALSE,"",IF((('Dvd Calendar'!$AJ$1797=TYPE1)*(TYPE1&lt;&gt;"")+('Dvd Calendar'!$AJ$1797=TYPE2)*(TYPE2&lt;&gt;"")+('Dvd Calendar'!$AJ$1797=TYPE3)*(TYPE3&lt;&gt;"")+('Dvd Calendar'!$AJ$1797=TYPE4)*(TYPE4&lt;&gt;"")+('Dvd Calendar'!$AJ$1797=SPECIAL_LBL)*(INC_SPECIALS="Y"))=0,"",'Dvd Calendar'!$AJ$1795)))</f>
        <v/>
      </c>
      <c r="AI181" s="106">
        <f>IF(FK181="","",IF(ISNUMBER('Dvd Calendar'!$AK$1795)=FALSE,"",IF((('Dvd Calendar'!$AK$1797=TYPE1)*(TYPE1&lt;&gt;"")+('Dvd Calendar'!$AK$1797=TYPE2)*(TYPE2&lt;&gt;"")+('Dvd Calendar'!$AK$1797=TYPE3)*(TYPE3&lt;&gt;"")+('Dvd Calendar'!$AK$1797=TYPE4)*(TYPE4&lt;&gt;"")+('Dvd Calendar'!$AK$1797=SPECIAL_LBL)*(INC_SPECIALS="Y"))=0,"",'Dvd Calendar'!$AK$1795)))</f>
        <v/>
      </c>
      <c r="AJ181" s="106">
        <f>IF(FL181="","",IF(ISNUMBER('Dvd Calendar'!$AL$1795)=FALSE,"",IF((('Dvd Calendar'!$AL$1797=TYPE1)*(TYPE1&lt;&gt;"")+('Dvd Calendar'!$AL$1797=TYPE2)*(TYPE2&lt;&gt;"")+('Dvd Calendar'!$AL$1797=TYPE3)*(TYPE3&lt;&gt;"")+('Dvd Calendar'!$AL$1797=TYPE4)*(TYPE4&lt;&gt;"")+('Dvd Calendar'!$AL$1797=SPECIAL_LBL)*(INC_SPECIALS="Y"))=0,"",'Dvd Calendar'!$AL$1795)))</f>
        <v/>
      </c>
      <c r="AK181" s="106">
        <f>IF(FM181="","",IF(ISNUMBER('Dvd Calendar'!$AM$1795)=FALSE,"",IF((('Dvd Calendar'!$AM$1797=TYPE1)*(TYPE1&lt;&gt;"")+('Dvd Calendar'!$AM$1797=TYPE2)*(TYPE2&lt;&gt;"")+('Dvd Calendar'!$AM$1797=TYPE3)*(TYPE3&lt;&gt;"")+('Dvd Calendar'!$AM$1797=TYPE4)*(TYPE4&lt;&gt;"")+('Dvd Calendar'!$AM$1797=SPECIAL_LBL)*(INC_SPECIALS="Y"))=0,"",'Dvd Calendar'!$AM$1795)))</f>
        <v/>
      </c>
      <c r="AL181" s="106">
        <f>IF(FN181="","",IF(ISNUMBER('Dvd Calendar'!$AN$1795)=FALSE,"",IF((('Dvd Calendar'!$AN$1797=TYPE1)*(TYPE1&lt;&gt;"")+('Dvd Calendar'!$AN$1797=TYPE2)*(TYPE2&lt;&gt;"")+('Dvd Calendar'!$AN$1797=TYPE3)*(TYPE3&lt;&gt;"")+('Dvd Calendar'!$AN$1797=TYPE4)*(TYPE4&lt;&gt;"")+('Dvd Calendar'!$AN$1797=SPECIAL_LBL)*(INC_SPECIALS="Y"))=0,"",'Dvd Calendar'!$AN$1795)))</f>
        <v/>
      </c>
      <c r="AM181" s="106">
        <f>IF(FO181="","",IF(ISNUMBER('Dvd Calendar'!$AO$1795)=FALSE,"",IF((('Dvd Calendar'!$AO$1797=TYPE1)*(TYPE1&lt;&gt;"")+('Dvd Calendar'!$AO$1797=TYPE2)*(TYPE2&lt;&gt;"")+('Dvd Calendar'!$AO$1797=TYPE3)*(TYPE3&lt;&gt;"")+('Dvd Calendar'!$AO$1797=TYPE4)*(TYPE4&lt;&gt;"")+('Dvd Calendar'!$AO$1797=SPECIAL_LBL)*(INC_SPECIALS="Y"))=0,"",'Dvd Calendar'!$AO$1795)))</f>
        <v/>
      </c>
      <c r="AN181" s="106">
        <f>IF(FP181="","",IF(ISNUMBER('Dvd Calendar'!$AP$1795)=FALSE,"",IF((('Dvd Calendar'!$AP$1797=TYPE1)*(TYPE1&lt;&gt;"")+('Dvd Calendar'!$AP$1797=TYPE2)*(TYPE2&lt;&gt;"")+('Dvd Calendar'!$AP$1797=TYPE3)*(TYPE3&lt;&gt;"")+('Dvd Calendar'!$AP$1797=TYPE4)*(TYPE4&lt;&gt;"")+('Dvd Calendar'!$AP$1797=SPECIAL_LBL)*(INC_SPECIALS="Y"))=0,"",'Dvd Calendar'!$AP$1795)))</f>
        <v/>
      </c>
      <c r="AO181" s="106">
        <f>IF(FQ181="","",IF(ISNUMBER('Dvd Calendar'!$AQ$1795)=FALSE,"",IF((('Dvd Calendar'!$AQ$1797=TYPE1)*(TYPE1&lt;&gt;"")+('Dvd Calendar'!$AQ$1797=TYPE2)*(TYPE2&lt;&gt;"")+('Dvd Calendar'!$AQ$1797=TYPE3)*(TYPE3&lt;&gt;"")+('Dvd Calendar'!$AQ$1797=TYPE4)*(TYPE4&lt;&gt;"")+('Dvd Calendar'!$AQ$1797=SPECIAL_LBL)*(INC_SPECIALS="Y"))=0,"",'Dvd Calendar'!$AQ$1795)))</f>
        <v/>
      </c>
      <c r="AP181" s="106">
        <f>IF(FR181="","",IF(ISNUMBER('Dvd Calendar'!$AR$1795)=FALSE,"",IF((('Dvd Calendar'!$AR$1797=TYPE1)*(TYPE1&lt;&gt;"")+('Dvd Calendar'!$AR$1797=TYPE2)*(TYPE2&lt;&gt;"")+('Dvd Calendar'!$AR$1797=TYPE3)*(TYPE3&lt;&gt;"")+('Dvd Calendar'!$AR$1797=TYPE4)*(TYPE4&lt;&gt;"")+('Dvd Calendar'!$AR$1797=SPECIAL_LBL)*(INC_SPECIALS="Y"))=0,"",'Dvd Calendar'!$AR$1795)))</f>
        <v/>
      </c>
      <c r="AQ181" s="106">
        <f>IF(FS181="","",IF(ISNUMBER('Dvd Calendar'!$E$1800)=FALSE,"",'Dvd Calendar'!$E$1800))</f>
        <v/>
      </c>
      <c r="AR181" s="106">
        <f>IF(FT181="","",IF(ISNUMBER('Dvd Calendar'!$F$1800)=FALSE,"",'Dvd Calendar'!$F$1800))</f>
        <v/>
      </c>
      <c r="AS181" s="106">
        <f>IF(FU181="","",IF(ISNUMBER('Dvd Calendar'!$G$1800)=FALSE,"",'Dvd Calendar'!$G$1800))</f>
        <v/>
      </c>
      <c r="AT181" s="106">
        <f>IF(FV181="","",IF(ISNUMBER('Dvd Calendar'!$H$1800)=FALSE,"",'Dvd Calendar'!$H$1800))</f>
        <v/>
      </c>
      <c r="AU181" s="106">
        <f>IF(FW181="","",IF(ISNUMBER('Dvd Calendar'!$I$1800)=FALSE,"",'Dvd Calendar'!$I$1800))</f>
        <v/>
      </c>
      <c r="AV181" s="106">
        <f>IF(FX181="","",IF(ISNUMBER('Dvd Calendar'!$J$1800)=FALSE,"",'Dvd Calendar'!$J$1800))</f>
        <v/>
      </c>
      <c r="AW181" s="106">
        <f>IF(FY181="","",IF(ISNUMBER('Dvd Calendar'!$K$1800)=FALSE,"",'Dvd Calendar'!$K$1800))</f>
        <v/>
      </c>
      <c r="AX181" s="106">
        <f>IF(FZ181="","",IF(ISNUMBER('Dvd Calendar'!$L$1800)=FALSE,"",'Dvd Calendar'!$L$1800))</f>
        <v/>
      </c>
      <c r="AY181" s="106">
        <f>IF(GA181="","",IF(ISNUMBER('Dvd Calendar'!$M$1800)=FALSE,"",'Dvd Calendar'!$M$1800))</f>
        <v/>
      </c>
      <c r="AZ181" s="106">
        <f>IF(GB181="","",IF(ISNUMBER('Dvd Calendar'!$N$1800)=FALSE,"",'Dvd Calendar'!$N$1800))</f>
        <v/>
      </c>
      <c r="BA181" s="106">
        <f>IF(GC181="","",IF(ISNUMBER('Dvd Calendar'!$O$1800)=FALSE,"",'Dvd Calendar'!$O$1800))</f>
        <v/>
      </c>
      <c r="BB181" s="106">
        <f>IF(GD181="","",IF(ISNUMBER('Dvd Calendar'!$P$1800)=FALSE,"",'Dvd Calendar'!$P$1800))</f>
        <v/>
      </c>
      <c r="BC181" s="106">
        <f>IF(GE181="","",IF(ISNUMBER('Dvd Calendar'!$Q$1800)=FALSE,"",'Dvd Calendar'!$Q$1800))</f>
        <v/>
      </c>
      <c r="BD181" s="106">
        <f>IF(GF181="","",IF(ISNUMBER('Dvd Calendar'!$R$1800)=FALSE,"",'Dvd Calendar'!$R$1800))</f>
        <v/>
      </c>
      <c r="BE181" s="106">
        <f>IF(GG181="","",IF(ISNUMBER('Dvd Calendar'!$S$1800)=FALSE,"",'Dvd Calendar'!$S$1800))</f>
        <v/>
      </c>
      <c r="BF181" s="106">
        <f>IF(GH181="","",IF(ISNUMBER('Dvd Calendar'!$T$1800)=FALSE,"",'Dvd Calendar'!$T$1800))</f>
        <v/>
      </c>
      <c r="BG181" s="106">
        <f>IF(GI181="","",IF(ISNUMBER('Dvd Calendar'!$U$1800)=FALSE,"",'Dvd Calendar'!$U$1800))</f>
        <v/>
      </c>
      <c r="BH181" s="106">
        <f>IF(GJ181="","",IF(ISNUMBER('Dvd Calendar'!$V$1800)=FALSE,"",'Dvd Calendar'!$V$1800))</f>
        <v/>
      </c>
      <c r="BI181" s="106">
        <f>IF(GK181="","",IF(ISNUMBER('Dvd Calendar'!$W$1800)=FALSE,"",'Dvd Calendar'!$W$1800))</f>
        <v/>
      </c>
      <c r="BJ181" s="106">
        <f>IF(GL181="","",IF(ISNUMBER('Dvd Calendar'!$X$1800)=FALSE,"",'Dvd Calendar'!$X$1800))</f>
        <v/>
      </c>
      <c r="BK181" s="106">
        <f>IF(GM181="","",IF(ISNUMBER('Dvd Calendar'!$Y$1800)=FALSE,"",'Dvd Calendar'!$Y$1800))</f>
        <v/>
      </c>
      <c r="BL181" s="106">
        <f>IF(GN181="","",IF(ISNUMBER('Dvd Calendar'!$Z$1800)=FALSE,"",'Dvd Calendar'!$Z$1800))</f>
        <v/>
      </c>
      <c r="BM181" s="106">
        <f>IF(GO181="","",IF(ISNUMBER('Dvd Calendar'!$AA$1800)=FALSE,"",'Dvd Calendar'!$AA$1800))</f>
        <v/>
      </c>
      <c r="BN181" s="106">
        <f>IF(GP181="","",IF(ISNUMBER('Dvd Calendar'!$AB$1800)=FALSE,"",'Dvd Calendar'!$AB$1800))</f>
        <v/>
      </c>
      <c r="BO181" s="106">
        <f>IF(GQ181="","",IF(ISNUMBER('Dvd Calendar'!$AC$1800)=FALSE,"",'Dvd Calendar'!$AC$1800))</f>
        <v/>
      </c>
      <c r="BQ181" s="106">
        <f>IF(C181="","",IFERROR(C181*HSCEI!$B$28*HSCEI!$G$28/HSCEI!$B$3,""))</f>
        <v/>
      </c>
      <c r="BR181" s="106">
        <f>IF(D181="","",IFERROR(D181*HSCEI!$B$28*HSCEI!$G$28/HSCEI!$B$3,""))</f>
        <v/>
      </c>
      <c r="BS181" s="106">
        <f>IF(E181="","",IFERROR(E181*HSCEI!$B$28*HSCEI!$G$28/HSCEI!$B$3,""))</f>
        <v/>
      </c>
      <c r="BT181" s="106">
        <f>IF(F181="","",IFERROR(F181*HSCEI!$B$28*HSCEI!$G$28/HSCEI!$B$3,""))</f>
        <v/>
      </c>
      <c r="BU181" s="106">
        <f>IF(G181="","",IFERROR(G181*HSCEI!$B$28*HSCEI!$G$28/HSCEI!$B$3,""))</f>
        <v/>
      </c>
      <c r="BV181" s="106">
        <f>IF(H181="","",IFERROR(H181*HSCEI!$B$28*HSCEI!$G$28/HSCEI!$B$3,""))</f>
        <v/>
      </c>
      <c r="BW181" s="106">
        <f>IF(I181="","",IFERROR(I181*HSCEI!$B$28*HSCEI!$G$28/HSCEI!$B$3,""))</f>
        <v/>
      </c>
      <c r="BX181" s="106">
        <f>IF(J181="","",IFERROR(J181*HSCEI!$B$28*HSCEI!$G$28/HSCEI!$B$3,""))</f>
        <v/>
      </c>
      <c r="BY181" s="106">
        <f>IF(K181="","",IFERROR(K181*HSCEI!$B$28*HSCEI!$G$28/HSCEI!$B$3,""))</f>
        <v/>
      </c>
      <c r="BZ181" s="106">
        <f>IF(L181="","",IFERROR(L181*HSCEI!$B$28*HSCEI!$G$28/HSCEI!$B$3,""))</f>
        <v/>
      </c>
      <c r="CA181" s="106">
        <f>IF(M181="","",IFERROR(M181*HSCEI!$B$28*HSCEI!$G$28/HSCEI!$B$3,""))</f>
        <v/>
      </c>
      <c r="CB181" s="106">
        <f>IF(N181="","",IFERROR(N181*HSCEI!$B$28*HSCEI!$G$28/HSCEI!$B$3,""))</f>
        <v/>
      </c>
      <c r="CC181" s="106">
        <f>IF(O181="","",IFERROR(O181*HSCEI!$B$28*HSCEI!$G$28/HSCEI!$B$3,""))</f>
        <v/>
      </c>
      <c r="CD181" s="106">
        <f>IF(P181="","",IFERROR(P181*HSCEI!$B$28*HSCEI!$G$28/HSCEI!$B$3,""))</f>
        <v/>
      </c>
      <c r="CE181" s="106">
        <f>IF(Q181="","",IFERROR(Q181*HSCEI!$B$28*HSCEI!$G$28/HSCEI!$B$3,""))</f>
        <v/>
      </c>
      <c r="CF181" s="106">
        <f>IF(R181="","",IFERROR(R181*HSCEI!$B$28*HSCEI!$G$28/HSCEI!$B$3,""))</f>
        <v/>
      </c>
      <c r="CG181" s="106">
        <f>IF(S181="","",IFERROR(S181*HSCEI!$B$28*HSCEI!$G$28/HSCEI!$B$3,""))</f>
        <v/>
      </c>
      <c r="CH181" s="106">
        <f>IF(T181="","",IFERROR(T181*HSCEI!$B$28*HSCEI!$G$28/HSCEI!$B$3,""))</f>
        <v/>
      </c>
      <c r="CI181" s="106">
        <f>IF(U181="","",IFERROR(U181*HSCEI!$B$28*HSCEI!$G$28/HSCEI!$B$3,""))</f>
        <v/>
      </c>
      <c r="CJ181" s="106">
        <f>IF(V181="","",IFERROR(V181*HSCEI!$B$28*HSCEI!$G$28/HSCEI!$B$3,""))</f>
        <v/>
      </c>
      <c r="CK181" s="106">
        <f>IF(W181="","",IFERROR(W181*HSCEI!$B$28*HSCEI!$G$28/HSCEI!$B$3,""))</f>
        <v/>
      </c>
      <c r="CL181" s="106">
        <f>IF(X181="","",IFERROR(X181*HSCEI!$B$28*HSCEI!$G$28/HSCEI!$B$3,""))</f>
        <v/>
      </c>
      <c r="CM181" s="106">
        <f>IF(Y181="","",IFERROR(Y181*HSCEI!$B$28*HSCEI!$G$28/HSCEI!$B$3,""))</f>
        <v/>
      </c>
      <c r="CN181" s="106">
        <f>IF(Z181="","",IFERROR(Z181*HSCEI!$B$28*HSCEI!$G$28/HSCEI!$B$3,""))</f>
        <v/>
      </c>
      <c r="CO181" s="106">
        <f>IF(AA181="","",IFERROR(AA181*HSCEI!$B$28*HSCEI!$G$28/HSCEI!$B$3,""))</f>
        <v/>
      </c>
      <c r="CP181" s="106">
        <f>IF(AB181="","",IFERROR(AB181*HSCEI!$B$28*HSCEI!$G$28/HSCEI!$B$3,""))</f>
        <v/>
      </c>
      <c r="CQ181" s="106">
        <f>IF(AC181="","",IFERROR(AC181*HSCEI!$B$28*HSCEI!$G$28/HSCEI!$B$3,""))</f>
        <v/>
      </c>
      <c r="CR181" s="106">
        <f>IF(AD181="","",IFERROR(AD181*HSCEI!$B$28*HSCEI!$G$28/HSCEI!$B$3,""))</f>
        <v/>
      </c>
      <c r="CS181" s="106">
        <f>IF(AE181="","",IFERROR(AE181*HSCEI!$B$28*HSCEI!$G$28/HSCEI!$B$3,""))</f>
        <v/>
      </c>
      <c r="CT181" s="106">
        <f>IF(AF181="","",IFERROR(AF181*HSCEI!$B$28*HSCEI!$G$28/HSCEI!$B$3,""))</f>
        <v/>
      </c>
      <c r="CU181" s="106">
        <f>IF(AG181="","",IFERROR(AG181*HSCEI!$B$28*HSCEI!$G$28/HSCEI!$B$3,""))</f>
        <v/>
      </c>
      <c r="CV181" s="106">
        <f>IF(AH181="","",IFERROR(AH181*HSCEI!$B$28*HSCEI!$G$28/HSCEI!$B$3,""))</f>
        <v/>
      </c>
      <c r="CW181" s="106">
        <f>IF(AI181="","",IFERROR(AI181*HSCEI!$B$28*HSCEI!$G$28/HSCEI!$B$3,""))</f>
        <v/>
      </c>
      <c r="CX181" s="106">
        <f>IF(AJ181="","",IFERROR(AJ181*HSCEI!$B$28*HSCEI!$G$28/HSCEI!$B$3,""))</f>
        <v/>
      </c>
      <c r="CY181" s="106">
        <f>IF(AK181="","",IFERROR(AK181*HSCEI!$B$28*HSCEI!$G$28/HSCEI!$B$3,""))</f>
        <v/>
      </c>
      <c r="CZ181" s="106">
        <f>IF(AL181="","",IFERROR(AL181*HSCEI!$B$28*HSCEI!$G$28/HSCEI!$B$3,""))</f>
        <v/>
      </c>
      <c r="DA181" s="106">
        <f>IF(AM181="","",IFERROR(AM181*HSCEI!$B$28*HSCEI!$G$28/HSCEI!$B$3,""))</f>
        <v/>
      </c>
      <c r="DB181" s="106">
        <f>IF(AN181="","",IFERROR(AN181*HSCEI!$B$28*HSCEI!$G$28/HSCEI!$B$3,""))</f>
        <v/>
      </c>
      <c r="DC181" s="106">
        <f>IF(AO181="","",IFERROR(AO181*HSCEI!$B$28*HSCEI!$G$28/HSCEI!$B$3,""))</f>
        <v/>
      </c>
      <c r="DD181" s="106">
        <f>IF(AP181="","",IFERROR(AP181*HSCEI!$B$28*HSCEI!$G$28/HSCEI!$B$3,""))</f>
        <v/>
      </c>
      <c r="DE181" s="106">
        <f>IF(AQ181="","",IFERROR(AQ181*HSCEI!$B$28*HSCEI!$G$28/HSCEI!$B$3,""))</f>
        <v/>
      </c>
      <c r="DF181" s="106">
        <f>IF(AR181="","",IFERROR(AR181*HSCEI!$B$28*HSCEI!$G$28/HSCEI!$B$3,""))</f>
        <v/>
      </c>
      <c r="DG181" s="106">
        <f>IF(AS181="","",IFERROR(AS181*HSCEI!$B$28*HSCEI!$G$28/HSCEI!$B$3,""))</f>
        <v/>
      </c>
      <c r="DH181" s="106">
        <f>IF(AT181="","",IFERROR(AT181*HSCEI!$B$28*HSCEI!$G$28/HSCEI!$B$3,""))</f>
        <v/>
      </c>
      <c r="DI181" s="106">
        <f>IF(AU181="","",IFERROR(AU181*HSCEI!$B$28*HSCEI!$G$28/HSCEI!$B$3,""))</f>
        <v/>
      </c>
      <c r="DJ181" s="106">
        <f>IF(AV181="","",IFERROR(AV181*HSCEI!$B$28*HSCEI!$G$28/HSCEI!$B$3,""))</f>
        <v/>
      </c>
      <c r="DK181" s="106">
        <f>IF(AW181="","",IFERROR(AW181*HSCEI!$B$28*HSCEI!$G$28/HSCEI!$B$3,""))</f>
        <v/>
      </c>
      <c r="DL181" s="106">
        <f>IF(AX181="","",IFERROR(AX181*HSCEI!$B$28*HSCEI!$G$28/HSCEI!$B$3,""))</f>
        <v/>
      </c>
      <c r="DM181" s="106">
        <f>IF(AY181="","",IFERROR(AY181*HSCEI!$B$28*HSCEI!$G$28/HSCEI!$B$3,""))</f>
        <v/>
      </c>
      <c r="DN181" s="106">
        <f>IF(AZ181="","",IFERROR(AZ181*HSCEI!$B$28*HSCEI!$G$28/HSCEI!$B$3,""))</f>
        <v/>
      </c>
      <c r="DO181" s="106">
        <f>IF(BA181="","",IFERROR(BA181*HSCEI!$B$28*HSCEI!$G$28/HSCEI!$B$3,""))</f>
        <v/>
      </c>
      <c r="DP181" s="106">
        <f>IF(BB181="","",IFERROR(BB181*HSCEI!$B$28*HSCEI!$G$28/HSCEI!$B$3,""))</f>
        <v/>
      </c>
      <c r="DQ181" s="106">
        <f>IF(BC181="","",IFERROR(BC181*HSCEI!$B$28*HSCEI!$G$28/HSCEI!$B$3,""))</f>
        <v/>
      </c>
      <c r="DR181" s="106">
        <f>IF(BD181="","",IFERROR(BD181*HSCEI!$B$28*HSCEI!$G$28/HSCEI!$B$3,""))</f>
        <v/>
      </c>
      <c r="DS181" s="106">
        <f>IF(BE181="","",IFERROR(BE181*HSCEI!$B$28*HSCEI!$G$28/HSCEI!$B$3,""))</f>
        <v/>
      </c>
      <c r="DT181" s="106">
        <f>IF(BF181="","",IFERROR(BF181*HSCEI!$B$28*HSCEI!$G$28/HSCEI!$B$3,""))</f>
        <v/>
      </c>
      <c r="DU181" s="106">
        <f>IF(BG181="","",IFERROR(BG181*HSCEI!$B$28*HSCEI!$G$28/HSCEI!$B$3,""))</f>
        <v/>
      </c>
      <c r="DV181" s="106">
        <f>IF(BH181="","",IFERROR(BH181*HSCEI!$B$28*HSCEI!$G$28/HSCEI!$B$3,""))</f>
        <v/>
      </c>
      <c r="DW181" s="106">
        <f>IF(BI181="","",IFERROR(BI181*HSCEI!$B$28*HSCEI!$G$28/HSCEI!$B$3,""))</f>
        <v/>
      </c>
      <c r="DX181" s="106">
        <f>IF(BJ181="","",IFERROR(BJ181*HSCEI!$B$28*HSCEI!$G$28/HSCEI!$B$3,""))</f>
        <v/>
      </c>
      <c r="DY181" s="106">
        <f>IF(BK181="","",IFERROR(BK181*HSCEI!$B$28*HSCEI!$G$28/HSCEI!$B$3,""))</f>
        <v/>
      </c>
      <c r="DZ181" s="106">
        <f>IF(BL181="","",IFERROR(BL181*HSCEI!$B$28*HSCEI!$G$28/HSCEI!$B$3,""))</f>
        <v/>
      </c>
      <c r="EA181" s="106">
        <f>IF(BM181="","",IFERROR(BM181*HSCEI!$B$28*HSCEI!$G$28/HSCEI!$B$3,""))</f>
        <v/>
      </c>
      <c r="EB181" s="106">
        <f>IF(BN181="","",IFERROR(BN181*HSCEI!$B$28*HSCEI!$G$28/HSCEI!$B$3,""))</f>
        <v/>
      </c>
      <c r="EC181" s="106">
        <f>IF(BO181="","",IFERROR(BO181*HSCEI!$B$28*HSCEI!$G$28/HSCEI!$B$3,""))</f>
        <v/>
      </c>
      <c r="EE181" s="35">
        <f>IF(N('Dvd Calendar'!$E$1792)=0,"",IF(('Dvd Calendar'!$E$1792&gt;=GRID_FROM)*('Dvd Calendar'!$E$1792&lt;=GRID_TO)*('Dvd Calendar'!$E$1792&lt;=VAL_DATE)=0,"",'Dvd Calendar'!$E$1792*1000000000+ISNUMBER('Dvd Calendar'!$E$1795)*100000000+('Dvd Calendar'!$E$1797=SPECIAL_LBL)*10000000+0*1000000+22*1000+1))</f>
        <v/>
      </c>
      <c r="EF181" s="35">
        <f>IF(N('Dvd Calendar'!$F$1792)=0,"",IF(('Dvd Calendar'!$F$1792&gt;=GRID_FROM)*('Dvd Calendar'!$F$1792&lt;=GRID_TO)*('Dvd Calendar'!$F$1792&lt;=VAL_DATE)=0,"",'Dvd Calendar'!$F$1792*1000000000+ISNUMBER('Dvd Calendar'!$F$1795)*100000000+('Dvd Calendar'!$F$1797=SPECIAL_LBL)*10000000+0*1000000+22*1000+2))</f>
        <v/>
      </c>
      <c r="EG181" s="35">
        <f>IF(N('Dvd Calendar'!$G$1792)=0,"",IF(('Dvd Calendar'!$G$1792&gt;=GRID_FROM)*('Dvd Calendar'!$G$1792&lt;=GRID_TO)*('Dvd Calendar'!$G$1792&lt;=VAL_DATE)=0,"",'Dvd Calendar'!$G$1792*1000000000+ISNUMBER('Dvd Calendar'!$G$1795)*100000000+('Dvd Calendar'!$G$1797=SPECIAL_LBL)*10000000+0*1000000+22*1000+3))</f>
        <v/>
      </c>
      <c r="EH181" s="35">
        <f>IF(N('Dvd Calendar'!$H$1792)=0,"",IF(('Dvd Calendar'!$H$1792&gt;=GRID_FROM)*('Dvd Calendar'!$H$1792&lt;=GRID_TO)*('Dvd Calendar'!$H$1792&lt;=VAL_DATE)=0,"",'Dvd Calendar'!$H$1792*1000000000+ISNUMBER('Dvd Calendar'!$H$1795)*100000000+('Dvd Calendar'!$H$1797=SPECIAL_LBL)*10000000+0*1000000+22*1000+4))</f>
        <v/>
      </c>
      <c r="EI181" s="35">
        <f>IF(N('Dvd Calendar'!$I$1792)=0,"",IF(('Dvd Calendar'!$I$1792&gt;=GRID_FROM)*('Dvd Calendar'!$I$1792&lt;=GRID_TO)*('Dvd Calendar'!$I$1792&lt;=VAL_DATE)=0,"",'Dvd Calendar'!$I$1792*1000000000+ISNUMBER('Dvd Calendar'!$I$1795)*100000000+('Dvd Calendar'!$I$1797=SPECIAL_LBL)*10000000+0*1000000+22*1000+5))</f>
        <v/>
      </c>
      <c r="EJ181" s="35">
        <f>IF(N('Dvd Calendar'!$J$1792)=0,"",IF(('Dvd Calendar'!$J$1792&gt;=GRID_FROM)*('Dvd Calendar'!$J$1792&lt;=GRID_TO)*('Dvd Calendar'!$J$1792&lt;=VAL_DATE)=0,"",'Dvd Calendar'!$J$1792*1000000000+ISNUMBER('Dvd Calendar'!$J$1795)*100000000+('Dvd Calendar'!$J$1797=SPECIAL_LBL)*10000000+0*1000000+22*1000+6))</f>
        <v/>
      </c>
      <c r="EK181" s="35">
        <f>IF(N('Dvd Calendar'!$K$1792)=0,"",IF(('Dvd Calendar'!$K$1792&gt;=GRID_FROM)*('Dvd Calendar'!$K$1792&lt;=GRID_TO)*('Dvd Calendar'!$K$1792&lt;=VAL_DATE)=0,"",'Dvd Calendar'!$K$1792*1000000000+ISNUMBER('Dvd Calendar'!$K$1795)*100000000+('Dvd Calendar'!$K$1797=SPECIAL_LBL)*10000000+0*1000000+22*1000+7))</f>
        <v/>
      </c>
      <c r="EL181" s="35">
        <f>IF(N('Dvd Calendar'!$L$1792)=0,"",IF(('Dvd Calendar'!$L$1792&gt;=GRID_FROM)*('Dvd Calendar'!$L$1792&lt;=GRID_TO)*('Dvd Calendar'!$L$1792&lt;=VAL_DATE)=0,"",'Dvd Calendar'!$L$1792*1000000000+ISNUMBER('Dvd Calendar'!$L$1795)*100000000+('Dvd Calendar'!$L$1797=SPECIAL_LBL)*10000000+0*1000000+22*1000+8))</f>
        <v/>
      </c>
      <c r="EM181" s="35">
        <f>IF(N('Dvd Calendar'!$M$1792)=0,"",IF(('Dvd Calendar'!$M$1792&gt;=GRID_FROM)*('Dvd Calendar'!$M$1792&lt;=GRID_TO)*('Dvd Calendar'!$M$1792&lt;=VAL_DATE)=0,"",'Dvd Calendar'!$M$1792*1000000000+ISNUMBER('Dvd Calendar'!$M$1795)*100000000+('Dvd Calendar'!$M$1797=SPECIAL_LBL)*10000000+0*1000000+22*1000+9))</f>
        <v/>
      </c>
      <c r="EN181" s="35">
        <f>IF(N('Dvd Calendar'!$N$1792)=0,"",IF(('Dvd Calendar'!$N$1792&gt;=GRID_FROM)*('Dvd Calendar'!$N$1792&lt;=GRID_TO)*('Dvd Calendar'!$N$1792&lt;=VAL_DATE)=0,"",'Dvd Calendar'!$N$1792*1000000000+ISNUMBER('Dvd Calendar'!$N$1795)*100000000+('Dvd Calendar'!$N$1797=SPECIAL_LBL)*10000000+0*1000000+22*1000+10))</f>
        <v/>
      </c>
      <c r="EO181" s="35">
        <f>IF(N('Dvd Calendar'!$O$1792)=0,"",IF(('Dvd Calendar'!$O$1792&gt;=GRID_FROM)*('Dvd Calendar'!$O$1792&lt;=GRID_TO)*('Dvd Calendar'!$O$1792&lt;=VAL_DATE)=0,"",'Dvd Calendar'!$O$1792*1000000000+ISNUMBER('Dvd Calendar'!$O$1795)*100000000+('Dvd Calendar'!$O$1797=SPECIAL_LBL)*10000000+0*1000000+22*1000+11))</f>
        <v/>
      </c>
      <c r="EP181" s="35">
        <f>IF(N('Dvd Calendar'!$P$1792)=0,"",IF(('Dvd Calendar'!$P$1792&gt;=GRID_FROM)*('Dvd Calendar'!$P$1792&lt;=GRID_TO)*('Dvd Calendar'!$P$1792&lt;=VAL_DATE)=0,"",'Dvd Calendar'!$P$1792*1000000000+ISNUMBER('Dvd Calendar'!$P$1795)*100000000+('Dvd Calendar'!$P$1797=SPECIAL_LBL)*10000000+0*1000000+22*1000+12))</f>
        <v/>
      </c>
      <c r="EQ181" s="35">
        <f>IF(N('Dvd Calendar'!$Q$1792)=0,"",IF(('Dvd Calendar'!$Q$1792&gt;=GRID_FROM)*('Dvd Calendar'!$Q$1792&lt;=GRID_TO)*('Dvd Calendar'!$Q$1792&lt;=VAL_DATE)=0,"",'Dvd Calendar'!$Q$1792*1000000000+ISNUMBER('Dvd Calendar'!$Q$1795)*100000000+('Dvd Calendar'!$Q$1797=SPECIAL_LBL)*10000000+0*1000000+22*1000+13))</f>
        <v/>
      </c>
      <c r="ER181" s="35">
        <f>IF(N('Dvd Calendar'!$R$1792)=0,"",IF(('Dvd Calendar'!$R$1792&gt;=GRID_FROM)*('Dvd Calendar'!$R$1792&lt;=GRID_TO)*('Dvd Calendar'!$R$1792&lt;=VAL_DATE)=0,"",'Dvd Calendar'!$R$1792*1000000000+ISNUMBER('Dvd Calendar'!$R$1795)*100000000+('Dvd Calendar'!$R$1797=SPECIAL_LBL)*10000000+0*1000000+22*1000+14))</f>
        <v/>
      </c>
      <c r="ES181" s="35">
        <f>IF(N('Dvd Calendar'!$S$1792)=0,"",IF(('Dvd Calendar'!$S$1792&gt;=GRID_FROM)*('Dvd Calendar'!$S$1792&lt;=GRID_TO)*('Dvd Calendar'!$S$1792&lt;=VAL_DATE)=0,"",'Dvd Calendar'!$S$1792*1000000000+ISNUMBER('Dvd Calendar'!$S$1795)*100000000+('Dvd Calendar'!$S$1797=SPECIAL_LBL)*10000000+0*1000000+22*1000+15))</f>
        <v/>
      </c>
      <c r="ET181" s="35">
        <f>IF(N('Dvd Calendar'!$T$1792)=0,"",IF(('Dvd Calendar'!$T$1792&gt;=GRID_FROM)*('Dvd Calendar'!$T$1792&lt;=GRID_TO)*('Dvd Calendar'!$T$1792&lt;=VAL_DATE)=0,"",'Dvd Calendar'!$T$1792*1000000000+ISNUMBER('Dvd Calendar'!$T$1795)*100000000+('Dvd Calendar'!$T$1797=SPECIAL_LBL)*10000000+0*1000000+22*1000+16))</f>
        <v/>
      </c>
      <c r="EU181" s="35">
        <f>IF(N('Dvd Calendar'!$U$1792)=0,"",IF(('Dvd Calendar'!$U$1792&gt;=GRID_FROM)*('Dvd Calendar'!$U$1792&lt;=GRID_TO)*('Dvd Calendar'!$U$1792&lt;=VAL_DATE)=0,"",'Dvd Calendar'!$U$1792*1000000000+ISNUMBER('Dvd Calendar'!$U$1795)*100000000+('Dvd Calendar'!$U$1797=SPECIAL_LBL)*10000000+0*1000000+22*1000+17))</f>
        <v/>
      </c>
      <c r="EV181" s="35">
        <f>IF(N('Dvd Calendar'!$V$1792)=0,"",IF(('Dvd Calendar'!$V$1792&gt;=GRID_FROM)*('Dvd Calendar'!$V$1792&lt;=GRID_TO)*('Dvd Calendar'!$V$1792&lt;=VAL_DATE)=0,"",'Dvd Calendar'!$V$1792*1000000000+ISNUMBER('Dvd Calendar'!$V$1795)*100000000+('Dvd Calendar'!$V$1797=SPECIAL_LBL)*10000000+0*1000000+22*1000+18))</f>
        <v/>
      </c>
      <c r="EW181" s="35">
        <f>IF(N('Dvd Calendar'!$W$1792)=0,"",IF(('Dvd Calendar'!$W$1792&gt;=GRID_FROM)*('Dvd Calendar'!$W$1792&lt;=GRID_TO)*('Dvd Calendar'!$W$1792&lt;=VAL_DATE)=0,"",'Dvd Calendar'!$W$1792*1000000000+ISNUMBER('Dvd Calendar'!$W$1795)*100000000+('Dvd Calendar'!$W$1797=SPECIAL_LBL)*10000000+0*1000000+22*1000+19))</f>
        <v/>
      </c>
      <c r="EX181" s="35">
        <f>IF(N('Dvd Calendar'!$X$1792)=0,"",IF(('Dvd Calendar'!$X$1792&gt;=GRID_FROM)*('Dvd Calendar'!$X$1792&lt;=GRID_TO)*('Dvd Calendar'!$X$1792&lt;=VAL_DATE)=0,"",'Dvd Calendar'!$X$1792*1000000000+ISNUMBER('Dvd Calendar'!$X$1795)*100000000+('Dvd Calendar'!$X$1797=SPECIAL_LBL)*10000000+0*1000000+22*1000+20))</f>
        <v/>
      </c>
      <c r="EY181" s="35">
        <f>IF(N('Dvd Calendar'!$Y$1792)=0,"",IF(('Dvd Calendar'!$Y$1792&gt;=GRID_FROM)*('Dvd Calendar'!$Y$1792&lt;=GRID_TO)*('Dvd Calendar'!$Y$1792&lt;=VAL_DATE)=0,"",'Dvd Calendar'!$Y$1792*1000000000+ISNUMBER('Dvd Calendar'!$Y$1795)*100000000+('Dvd Calendar'!$Y$1797=SPECIAL_LBL)*10000000+0*1000000+22*1000+21))</f>
        <v/>
      </c>
      <c r="EZ181" s="35">
        <f>IF(N('Dvd Calendar'!$Z$1792)=0,"",IF(('Dvd Calendar'!$Z$1792&gt;=GRID_FROM)*('Dvd Calendar'!$Z$1792&lt;=GRID_TO)*('Dvd Calendar'!$Z$1792&lt;=VAL_DATE)=0,"",'Dvd Calendar'!$Z$1792*1000000000+ISNUMBER('Dvd Calendar'!$Z$1795)*100000000+('Dvd Calendar'!$Z$1797=SPECIAL_LBL)*10000000+0*1000000+22*1000+22))</f>
        <v/>
      </c>
      <c r="FA181" s="35">
        <f>IF(N('Dvd Calendar'!$AA$1792)=0,"",IF(('Dvd Calendar'!$AA$1792&gt;=GRID_FROM)*('Dvd Calendar'!$AA$1792&lt;=GRID_TO)*('Dvd Calendar'!$AA$1792&lt;=VAL_DATE)=0,"",'Dvd Calendar'!$AA$1792*1000000000+ISNUMBER('Dvd Calendar'!$AA$1795)*100000000+('Dvd Calendar'!$AA$1797=SPECIAL_LBL)*10000000+0*1000000+22*1000+23))</f>
        <v/>
      </c>
      <c r="FB181" s="35">
        <f>IF(N('Dvd Calendar'!$AB$1792)=0,"",IF(('Dvd Calendar'!$AB$1792&gt;=GRID_FROM)*('Dvd Calendar'!$AB$1792&lt;=GRID_TO)*('Dvd Calendar'!$AB$1792&lt;=VAL_DATE)=0,"",'Dvd Calendar'!$AB$1792*1000000000+ISNUMBER('Dvd Calendar'!$AB$1795)*100000000+('Dvd Calendar'!$AB$1797=SPECIAL_LBL)*10000000+0*1000000+22*1000+24))</f>
        <v/>
      </c>
      <c r="FC181" s="35">
        <f>IF(N('Dvd Calendar'!$AC$1792)=0,"",IF(('Dvd Calendar'!$AC$1792&gt;=GRID_FROM)*('Dvd Calendar'!$AC$1792&lt;=GRID_TO)*('Dvd Calendar'!$AC$1792&lt;=VAL_DATE)=0,"",'Dvd Calendar'!$AC$1792*1000000000+ISNUMBER('Dvd Calendar'!$AC$1795)*100000000+('Dvd Calendar'!$AC$1797=SPECIAL_LBL)*10000000+0*1000000+22*1000+25))</f>
        <v/>
      </c>
      <c r="FD181" s="35">
        <f>IF(N('Dvd Calendar'!$AD$1792)=0,"",IF(('Dvd Calendar'!$AD$1792&gt;=GRID_FROM)*('Dvd Calendar'!$AD$1792&lt;=GRID_TO)*('Dvd Calendar'!$AD$1792&lt;=VAL_DATE)=0,"",'Dvd Calendar'!$AD$1792*1000000000+ISNUMBER('Dvd Calendar'!$AD$1795)*100000000+('Dvd Calendar'!$AD$1797=SPECIAL_LBL)*10000000+0*1000000+22*1000+26))</f>
        <v/>
      </c>
      <c r="FE181" s="35">
        <f>IF(N('Dvd Calendar'!$AE$1792)=0,"",IF(('Dvd Calendar'!$AE$1792&gt;=GRID_FROM)*('Dvd Calendar'!$AE$1792&lt;=GRID_TO)*('Dvd Calendar'!$AE$1792&lt;=VAL_DATE)=0,"",'Dvd Calendar'!$AE$1792*1000000000+ISNUMBER('Dvd Calendar'!$AE$1795)*100000000+('Dvd Calendar'!$AE$1797=SPECIAL_LBL)*10000000+0*1000000+22*1000+27))</f>
        <v/>
      </c>
      <c r="FF181" s="35">
        <f>IF(N('Dvd Calendar'!$AF$1792)=0,"",IF(('Dvd Calendar'!$AF$1792&gt;=GRID_FROM)*('Dvd Calendar'!$AF$1792&lt;=GRID_TO)*('Dvd Calendar'!$AF$1792&lt;=VAL_DATE)=0,"",'Dvd Calendar'!$AF$1792*1000000000+ISNUMBER('Dvd Calendar'!$AF$1795)*100000000+('Dvd Calendar'!$AF$1797=SPECIAL_LBL)*10000000+0*1000000+22*1000+28))</f>
        <v/>
      </c>
      <c r="FG181" s="35">
        <f>IF(N('Dvd Calendar'!$AG$1792)=0,"",IF(('Dvd Calendar'!$AG$1792&gt;=GRID_FROM)*('Dvd Calendar'!$AG$1792&lt;=GRID_TO)*('Dvd Calendar'!$AG$1792&lt;=VAL_DATE)=0,"",'Dvd Calendar'!$AG$1792*1000000000+ISNUMBER('Dvd Calendar'!$AG$1795)*100000000+('Dvd Calendar'!$AG$1797=SPECIAL_LBL)*10000000+0*1000000+22*1000+29))</f>
        <v/>
      </c>
      <c r="FH181" s="35">
        <f>IF(N('Dvd Calendar'!$AH$1792)=0,"",IF(('Dvd Calendar'!$AH$1792&gt;=GRID_FROM)*('Dvd Calendar'!$AH$1792&lt;=GRID_TO)*('Dvd Calendar'!$AH$1792&lt;=VAL_DATE)=0,"",'Dvd Calendar'!$AH$1792*1000000000+ISNUMBER('Dvd Calendar'!$AH$1795)*100000000+('Dvd Calendar'!$AH$1797=SPECIAL_LBL)*10000000+0*1000000+22*1000+30))</f>
        <v/>
      </c>
      <c r="FI181" s="35">
        <f>IF(N('Dvd Calendar'!$AI$1792)=0,"",IF(('Dvd Calendar'!$AI$1792&gt;=GRID_FROM)*('Dvd Calendar'!$AI$1792&lt;=GRID_TO)*('Dvd Calendar'!$AI$1792&lt;=VAL_DATE)=0,"",'Dvd Calendar'!$AI$1792*1000000000+ISNUMBER('Dvd Calendar'!$AI$1795)*100000000+('Dvd Calendar'!$AI$1797=SPECIAL_LBL)*10000000+0*1000000+22*1000+31))</f>
        <v/>
      </c>
      <c r="FJ181" s="35">
        <f>IF(N('Dvd Calendar'!$AJ$1792)=0,"",IF(('Dvd Calendar'!$AJ$1792&gt;=GRID_FROM)*('Dvd Calendar'!$AJ$1792&lt;=GRID_TO)*('Dvd Calendar'!$AJ$1792&lt;=VAL_DATE)=0,"",'Dvd Calendar'!$AJ$1792*1000000000+ISNUMBER('Dvd Calendar'!$AJ$1795)*100000000+('Dvd Calendar'!$AJ$1797=SPECIAL_LBL)*10000000+0*1000000+22*1000+32))</f>
        <v/>
      </c>
      <c r="FK181" s="35">
        <f>IF(N('Dvd Calendar'!$AK$1792)=0,"",IF(('Dvd Calendar'!$AK$1792&gt;=GRID_FROM)*('Dvd Calendar'!$AK$1792&lt;=GRID_TO)*('Dvd Calendar'!$AK$1792&lt;=VAL_DATE)=0,"",'Dvd Calendar'!$AK$1792*1000000000+ISNUMBER('Dvd Calendar'!$AK$1795)*100000000+('Dvd Calendar'!$AK$1797=SPECIAL_LBL)*10000000+0*1000000+22*1000+33))</f>
        <v/>
      </c>
      <c r="FL181" s="35">
        <f>IF(N('Dvd Calendar'!$AL$1792)=0,"",IF(('Dvd Calendar'!$AL$1792&gt;=GRID_FROM)*('Dvd Calendar'!$AL$1792&lt;=GRID_TO)*('Dvd Calendar'!$AL$1792&lt;=VAL_DATE)=0,"",'Dvd Calendar'!$AL$1792*1000000000+ISNUMBER('Dvd Calendar'!$AL$1795)*100000000+('Dvd Calendar'!$AL$1797=SPECIAL_LBL)*10000000+0*1000000+22*1000+34))</f>
        <v/>
      </c>
      <c r="FM181" s="35">
        <f>IF(N('Dvd Calendar'!$AM$1792)=0,"",IF(('Dvd Calendar'!$AM$1792&gt;=GRID_FROM)*('Dvd Calendar'!$AM$1792&lt;=GRID_TO)*('Dvd Calendar'!$AM$1792&lt;=VAL_DATE)=0,"",'Dvd Calendar'!$AM$1792*1000000000+ISNUMBER('Dvd Calendar'!$AM$1795)*100000000+('Dvd Calendar'!$AM$1797=SPECIAL_LBL)*10000000+0*1000000+22*1000+35))</f>
        <v/>
      </c>
      <c r="FN181" s="35">
        <f>IF(N('Dvd Calendar'!$AN$1792)=0,"",IF(('Dvd Calendar'!$AN$1792&gt;=GRID_FROM)*('Dvd Calendar'!$AN$1792&lt;=GRID_TO)*('Dvd Calendar'!$AN$1792&lt;=VAL_DATE)=0,"",'Dvd Calendar'!$AN$1792*1000000000+ISNUMBER('Dvd Calendar'!$AN$1795)*100000000+('Dvd Calendar'!$AN$1797=SPECIAL_LBL)*10000000+0*1000000+22*1000+36))</f>
        <v/>
      </c>
      <c r="FO181" s="35">
        <f>IF(N('Dvd Calendar'!$AO$1792)=0,"",IF(('Dvd Calendar'!$AO$1792&gt;=GRID_FROM)*('Dvd Calendar'!$AO$1792&lt;=GRID_TO)*('Dvd Calendar'!$AO$1792&lt;=VAL_DATE)=0,"",'Dvd Calendar'!$AO$1792*1000000000+ISNUMBER('Dvd Calendar'!$AO$1795)*100000000+('Dvd Calendar'!$AO$1797=SPECIAL_LBL)*10000000+0*1000000+22*1000+37))</f>
        <v/>
      </c>
      <c r="FP181" s="35">
        <f>IF(N('Dvd Calendar'!$AP$1792)=0,"",IF(('Dvd Calendar'!$AP$1792&gt;=GRID_FROM)*('Dvd Calendar'!$AP$1792&lt;=GRID_TO)*('Dvd Calendar'!$AP$1792&lt;=VAL_DATE)=0,"",'Dvd Calendar'!$AP$1792*1000000000+ISNUMBER('Dvd Calendar'!$AP$1795)*100000000+('Dvd Calendar'!$AP$1797=SPECIAL_LBL)*10000000+0*1000000+22*1000+38))</f>
        <v/>
      </c>
      <c r="FQ181" s="35">
        <f>IF(N('Dvd Calendar'!$AQ$1792)=0,"",IF(('Dvd Calendar'!$AQ$1792&gt;=GRID_FROM)*('Dvd Calendar'!$AQ$1792&lt;=GRID_TO)*('Dvd Calendar'!$AQ$1792&lt;=VAL_DATE)=0,"",'Dvd Calendar'!$AQ$1792*1000000000+ISNUMBER('Dvd Calendar'!$AQ$1795)*100000000+('Dvd Calendar'!$AQ$1797=SPECIAL_LBL)*10000000+0*1000000+22*1000+39))</f>
        <v/>
      </c>
      <c r="FR181" s="35">
        <f>IF(N('Dvd Calendar'!$AR$1792)=0,"",IF(('Dvd Calendar'!$AR$1792&gt;=GRID_FROM)*('Dvd Calendar'!$AR$1792&lt;=GRID_TO)*('Dvd Calendar'!$AR$1792&lt;=VAL_DATE)=0,"",'Dvd Calendar'!$AR$1792*1000000000+ISNUMBER('Dvd Calendar'!$AR$1795)*100000000+('Dvd Calendar'!$AR$1797=SPECIAL_LBL)*10000000+0*1000000+22*1000+40))</f>
        <v/>
      </c>
      <c r="FS181" s="35">
        <f>IF(N('Dvd Calendar'!$E$1799)=0,"",IF(('Dvd Calendar'!$E$1799&gt;=GRID_FROM)*('Dvd Calendar'!$E$1799&lt;=GRID_TO)*('Dvd Calendar'!$E$1799&gt;VAL_DATE)=0,"",'Dvd Calendar'!$E$1799*1000000000+ISNUMBER('Dvd Calendar'!$E$1800)*100000000+0*10000000+(N('Dvd Calendar'!$E$1798)&gt;0)*(N('Dvd Calendar'!$E$1798)&lt;=VAL_SERIAL)*1000000+22*1000+41))</f>
        <v/>
      </c>
      <c r="FT181" s="35">
        <f>IF(N('Dvd Calendar'!$F$1799)=0,"",IF(('Dvd Calendar'!$F$1799&gt;=GRID_FROM)*('Dvd Calendar'!$F$1799&lt;=GRID_TO)*('Dvd Calendar'!$F$1799&gt;VAL_DATE)=0,"",'Dvd Calendar'!$F$1799*1000000000+ISNUMBER('Dvd Calendar'!$F$1800)*100000000+0*10000000+(N('Dvd Calendar'!$F$1798)&gt;0)*(N('Dvd Calendar'!$F$1798)&lt;=VAL_SERIAL)*1000000+22*1000+42))</f>
        <v/>
      </c>
      <c r="FU181" s="35">
        <f>IF(N('Dvd Calendar'!$G$1799)=0,"",IF(('Dvd Calendar'!$G$1799&gt;=GRID_FROM)*('Dvd Calendar'!$G$1799&lt;=GRID_TO)*('Dvd Calendar'!$G$1799&gt;VAL_DATE)=0,"",'Dvd Calendar'!$G$1799*1000000000+ISNUMBER('Dvd Calendar'!$G$1800)*100000000+0*10000000+(N('Dvd Calendar'!$G$1798)&gt;0)*(N('Dvd Calendar'!$G$1798)&lt;=VAL_SERIAL)*1000000+22*1000+43))</f>
        <v/>
      </c>
      <c r="FV181" s="35">
        <f>IF(N('Dvd Calendar'!$H$1799)=0,"",IF(('Dvd Calendar'!$H$1799&gt;=GRID_FROM)*('Dvd Calendar'!$H$1799&lt;=GRID_TO)*('Dvd Calendar'!$H$1799&gt;VAL_DATE)=0,"",'Dvd Calendar'!$H$1799*1000000000+ISNUMBER('Dvd Calendar'!$H$1800)*100000000+0*10000000+(N('Dvd Calendar'!$H$1798)&gt;0)*(N('Dvd Calendar'!$H$1798)&lt;=VAL_SERIAL)*1000000+22*1000+44))</f>
        <v/>
      </c>
      <c r="FW181" s="35">
        <f>IF(N('Dvd Calendar'!$I$1799)=0,"",IF(('Dvd Calendar'!$I$1799&gt;=GRID_FROM)*('Dvd Calendar'!$I$1799&lt;=GRID_TO)*('Dvd Calendar'!$I$1799&gt;VAL_DATE)=0,"",'Dvd Calendar'!$I$1799*1000000000+ISNUMBER('Dvd Calendar'!$I$1800)*100000000+0*10000000+(N('Dvd Calendar'!$I$1798)&gt;0)*(N('Dvd Calendar'!$I$1798)&lt;=VAL_SERIAL)*1000000+22*1000+45))</f>
        <v/>
      </c>
      <c r="FX181" s="35">
        <f>IF(N('Dvd Calendar'!$J$1799)=0,"",IF(('Dvd Calendar'!$J$1799&gt;=GRID_FROM)*('Dvd Calendar'!$J$1799&lt;=GRID_TO)*('Dvd Calendar'!$J$1799&gt;VAL_DATE)=0,"",'Dvd Calendar'!$J$1799*1000000000+ISNUMBER('Dvd Calendar'!$J$1800)*100000000+0*10000000+(N('Dvd Calendar'!$J$1798)&gt;0)*(N('Dvd Calendar'!$J$1798)&lt;=VAL_SERIAL)*1000000+22*1000+46))</f>
        <v/>
      </c>
      <c r="FY181" s="35">
        <f>IF(N('Dvd Calendar'!$K$1799)=0,"",IF(('Dvd Calendar'!$K$1799&gt;=GRID_FROM)*('Dvd Calendar'!$K$1799&lt;=GRID_TO)*('Dvd Calendar'!$K$1799&gt;VAL_DATE)=0,"",'Dvd Calendar'!$K$1799*1000000000+ISNUMBER('Dvd Calendar'!$K$1800)*100000000+0*10000000+(N('Dvd Calendar'!$K$1798)&gt;0)*(N('Dvd Calendar'!$K$1798)&lt;=VAL_SERIAL)*1000000+22*1000+47))</f>
        <v/>
      </c>
      <c r="FZ181" s="35">
        <f>IF(N('Dvd Calendar'!$L$1799)=0,"",IF(('Dvd Calendar'!$L$1799&gt;=GRID_FROM)*('Dvd Calendar'!$L$1799&lt;=GRID_TO)*('Dvd Calendar'!$L$1799&gt;VAL_DATE)=0,"",'Dvd Calendar'!$L$1799*1000000000+ISNUMBER('Dvd Calendar'!$L$1800)*100000000+0*10000000+(N('Dvd Calendar'!$L$1798)&gt;0)*(N('Dvd Calendar'!$L$1798)&lt;=VAL_SERIAL)*1000000+22*1000+48))</f>
        <v/>
      </c>
      <c r="GA181" s="35">
        <f>IF(N('Dvd Calendar'!$M$1799)=0,"",IF(('Dvd Calendar'!$M$1799&gt;=GRID_FROM)*('Dvd Calendar'!$M$1799&lt;=GRID_TO)*('Dvd Calendar'!$M$1799&gt;VAL_DATE)=0,"",'Dvd Calendar'!$M$1799*1000000000+ISNUMBER('Dvd Calendar'!$M$1800)*100000000+0*10000000+(N('Dvd Calendar'!$M$1798)&gt;0)*(N('Dvd Calendar'!$M$1798)&lt;=VAL_SERIAL)*1000000+22*1000+49))</f>
        <v/>
      </c>
      <c r="GB181" s="35">
        <f>IF(N('Dvd Calendar'!$N$1799)=0,"",IF(('Dvd Calendar'!$N$1799&gt;=GRID_FROM)*('Dvd Calendar'!$N$1799&lt;=GRID_TO)*('Dvd Calendar'!$N$1799&gt;VAL_DATE)=0,"",'Dvd Calendar'!$N$1799*1000000000+ISNUMBER('Dvd Calendar'!$N$1800)*100000000+0*10000000+(N('Dvd Calendar'!$N$1798)&gt;0)*(N('Dvd Calendar'!$N$1798)&lt;=VAL_SERIAL)*1000000+22*1000+50))</f>
        <v/>
      </c>
      <c r="GC181" s="35">
        <f>IF(N('Dvd Calendar'!$O$1799)=0,"",IF(('Dvd Calendar'!$O$1799&gt;=GRID_FROM)*('Dvd Calendar'!$O$1799&lt;=GRID_TO)*('Dvd Calendar'!$O$1799&gt;VAL_DATE)=0,"",'Dvd Calendar'!$O$1799*1000000000+ISNUMBER('Dvd Calendar'!$O$1800)*100000000+0*10000000+(N('Dvd Calendar'!$O$1798)&gt;0)*(N('Dvd Calendar'!$O$1798)&lt;=VAL_SERIAL)*1000000+22*1000+51))</f>
        <v/>
      </c>
      <c r="GD181" s="35">
        <f>IF(N('Dvd Calendar'!$P$1799)=0,"",IF(('Dvd Calendar'!$P$1799&gt;=GRID_FROM)*('Dvd Calendar'!$P$1799&lt;=GRID_TO)*('Dvd Calendar'!$P$1799&gt;VAL_DATE)=0,"",'Dvd Calendar'!$P$1799*1000000000+ISNUMBER('Dvd Calendar'!$P$1800)*100000000+0*10000000+(N('Dvd Calendar'!$P$1798)&gt;0)*(N('Dvd Calendar'!$P$1798)&lt;=VAL_SERIAL)*1000000+22*1000+52))</f>
        <v/>
      </c>
      <c r="GE181" s="35">
        <f>IF(N('Dvd Calendar'!$Q$1799)=0,"",IF(('Dvd Calendar'!$Q$1799&gt;=GRID_FROM)*('Dvd Calendar'!$Q$1799&lt;=GRID_TO)*('Dvd Calendar'!$Q$1799&gt;VAL_DATE)=0,"",'Dvd Calendar'!$Q$1799*1000000000+ISNUMBER('Dvd Calendar'!$Q$1800)*100000000+0*10000000+(N('Dvd Calendar'!$Q$1798)&gt;0)*(N('Dvd Calendar'!$Q$1798)&lt;=VAL_SERIAL)*1000000+22*1000+53))</f>
        <v/>
      </c>
      <c r="GF181" s="35">
        <f>IF(N('Dvd Calendar'!$R$1799)=0,"",IF(('Dvd Calendar'!$R$1799&gt;=GRID_FROM)*('Dvd Calendar'!$R$1799&lt;=GRID_TO)*('Dvd Calendar'!$R$1799&gt;VAL_DATE)=0,"",'Dvd Calendar'!$R$1799*1000000000+ISNUMBER('Dvd Calendar'!$R$1800)*100000000+0*10000000+(N('Dvd Calendar'!$R$1798)&gt;0)*(N('Dvd Calendar'!$R$1798)&lt;=VAL_SERIAL)*1000000+22*1000+54))</f>
        <v/>
      </c>
      <c r="GG181" s="35">
        <f>IF(N('Dvd Calendar'!$S$1799)=0,"",IF(('Dvd Calendar'!$S$1799&gt;=GRID_FROM)*('Dvd Calendar'!$S$1799&lt;=GRID_TO)*('Dvd Calendar'!$S$1799&gt;VAL_DATE)=0,"",'Dvd Calendar'!$S$1799*1000000000+ISNUMBER('Dvd Calendar'!$S$1800)*100000000+0*10000000+(N('Dvd Calendar'!$S$1798)&gt;0)*(N('Dvd Calendar'!$S$1798)&lt;=VAL_SERIAL)*1000000+22*1000+55))</f>
        <v/>
      </c>
      <c r="GH181" s="35">
        <f>IF(N('Dvd Calendar'!$T$1799)=0,"",IF(('Dvd Calendar'!$T$1799&gt;=GRID_FROM)*('Dvd Calendar'!$T$1799&lt;=GRID_TO)*('Dvd Calendar'!$T$1799&gt;VAL_DATE)=0,"",'Dvd Calendar'!$T$1799*1000000000+ISNUMBER('Dvd Calendar'!$T$1800)*100000000+0*10000000+(N('Dvd Calendar'!$T$1798)&gt;0)*(N('Dvd Calendar'!$T$1798)&lt;=VAL_SERIAL)*1000000+22*1000+56))</f>
        <v/>
      </c>
      <c r="GI181" s="35">
        <f>IF(N('Dvd Calendar'!$U$1799)=0,"",IF(('Dvd Calendar'!$U$1799&gt;=GRID_FROM)*('Dvd Calendar'!$U$1799&lt;=GRID_TO)*('Dvd Calendar'!$U$1799&gt;VAL_DATE)=0,"",'Dvd Calendar'!$U$1799*1000000000+ISNUMBER('Dvd Calendar'!$U$1800)*100000000+0*10000000+(N('Dvd Calendar'!$U$1798)&gt;0)*(N('Dvd Calendar'!$U$1798)&lt;=VAL_SERIAL)*1000000+22*1000+57))</f>
        <v/>
      </c>
      <c r="GJ181" s="35">
        <f>IF(N('Dvd Calendar'!$V$1799)=0,"",IF(('Dvd Calendar'!$V$1799&gt;=GRID_FROM)*('Dvd Calendar'!$V$1799&lt;=GRID_TO)*('Dvd Calendar'!$V$1799&gt;VAL_DATE)=0,"",'Dvd Calendar'!$V$1799*1000000000+ISNUMBER('Dvd Calendar'!$V$1800)*100000000+0*10000000+(N('Dvd Calendar'!$V$1798)&gt;0)*(N('Dvd Calendar'!$V$1798)&lt;=VAL_SERIAL)*1000000+22*1000+58))</f>
        <v/>
      </c>
      <c r="GK181" s="35">
        <f>IF(N('Dvd Calendar'!$W$1799)=0,"",IF(('Dvd Calendar'!$W$1799&gt;=GRID_FROM)*('Dvd Calendar'!$W$1799&lt;=GRID_TO)*('Dvd Calendar'!$W$1799&gt;VAL_DATE)=0,"",'Dvd Calendar'!$W$1799*1000000000+ISNUMBER('Dvd Calendar'!$W$1800)*100000000+0*10000000+(N('Dvd Calendar'!$W$1798)&gt;0)*(N('Dvd Calendar'!$W$1798)&lt;=VAL_SERIAL)*1000000+22*1000+59))</f>
        <v/>
      </c>
      <c r="GL181" s="35">
        <f>IF(N('Dvd Calendar'!$X$1799)=0,"",IF(('Dvd Calendar'!$X$1799&gt;=GRID_FROM)*('Dvd Calendar'!$X$1799&lt;=GRID_TO)*('Dvd Calendar'!$X$1799&gt;VAL_DATE)=0,"",'Dvd Calendar'!$X$1799*1000000000+ISNUMBER('Dvd Calendar'!$X$1800)*100000000+0*10000000+(N('Dvd Calendar'!$X$1798)&gt;0)*(N('Dvd Calendar'!$X$1798)&lt;=VAL_SERIAL)*1000000+22*1000+60))</f>
        <v/>
      </c>
      <c r="GM181" s="35">
        <f>IF(N('Dvd Calendar'!$Y$1799)=0,"",IF(('Dvd Calendar'!$Y$1799&gt;=GRID_FROM)*('Dvd Calendar'!$Y$1799&lt;=GRID_TO)*('Dvd Calendar'!$Y$1799&gt;VAL_DATE)=0,"",'Dvd Calendar'!$Y$1799*1000000000+ISNUMBER('Dvd Calendar'!$Y$1800)*100000000+0*10000000+(N('Dvd Calendar'!$Y$1798)&gt;0)*(N('Dvd Calendar'!$Y$1798)&lt;=VAL_SERIAL)*1000000+22*1000+61))</f>
        <v/>
      </c>
      <c r="GN181" s="35">
        <f>IF(N('Dvd Calendar'!$Z$1799)=0,"",IF(('Dvd Calendar'!$Z$1799&gt;=GRID_FROM)*('Dvd Calendar'!$Z$1799&lt;=GRID_TO)*('Dvd Calendar'!$Z$1799&gt;VAL_DATE)=0,"",'Dvd Calendar'!$Z$1799*1000000000+ISNUMBER('Dvd Calendar'!$Z$1800)*100000000+0*10000000+(N('Dvd Calendar'!$Z$1798)&gt;0)*(N('Dvd Calendar'!$Z$1798)&lt;=VAL_SERIAL)*1000000+22*1000+62))</f>
        <v/>
      </c>
      <c r="GO181" s="35">
        <f>IF(N('Dvd Calendar'!$AA$1799)=0,"",IF(('Dvd Calendar'!$AA$1799&gt;=GRID_FROM)*('Dvd Calendar'!$AA$1799&lt;=GRID_TO)*('Dvd Calendar'!$AA$1799&gt;VAL_DATE)=0,"",'Dvd Calendar'!$AA$1799*1000000000+ISNUMBER('Dvd Calendar'!$AA$1800)*100000000+0*10000000+(N('Dvd Calendar'!$AA$1798)&gt;0)*(N('Dvd Calendar'!$AA$1798)&lt;=VAL_SERIAL)*1000000+22*1000+63))</f>
        <v/>
      </c>
      <c r="GP181" s="35">
        <f>IF(N('Dvd Calendar'!$AB$1799)=0,"",IF(('Dvd Calendar'!$AB$1799&gt;=GRID_FROM)*('Dvd Calendar'!$AB$1799&lt;=GRID_TO)*('Dvd Calendar'!$AB$1799&gt;VAL_DATE)=0,"",'Dvd Calendar'!$AB$1799*1000000000+ISNUMBER('Dvd Calendar'!$AB$1800)*100000000+0*10000000+(N('Dvd Calendar'!$AB$1798)&gt;0)*(N('Dvd Calendar'!$AB$1798)&lt;=VAL_SERIAL)*1000000+22*1000+64))</f>
        <v/>
      </c>
      <c r="GQ181" s="35">
        <f>IF(N('Dvd Calendar'!$AC$1799)=0,"",IF(('Dvd Calendar'!$AC$1799&gt;=GRID_FROM)*('Dvd Calendar'!$AC$1799&lt;=GRID_TO)*('Dvd Calendar'!$AC$1799&gt;VAL_DATE)=0,"",'Dvd Calendar'!$AC$1799*1000000000+ISNUMBER('Dvd Calendar'!$AC$1800)*100000000+0*10000000+(N('Dvd Calendar'!$AC$1798)&gt;0)*(N('Dvd Calendar'!$AC$1798)&lt;=VAL_SERIAL)*1000000+22*1000+65))</f>
        <v/>
      </c>
    </row>
    <row r="182">
      <c r="B182" s="2">
        <f>IF(HSCEI!$C$29="","",HSCEI!$C$29)</f>
        <v/>
      </c>
      <c r="C182" s="106">
        <f>IF(EE182="","",IF(ISNUMBER('Dvd Calendar'!$E$1806)=FALSE,"",IF((('Dvd Calendar'!$E$1808=TYPE1)*(TYPE1&lt;&gt;"")+('Dvd Calendar'!$E$1808=TYPE2)*(TYPE2&lt;&gt;"")+('Dvd Calendar'!$E$1808=TYPE3)*(TYPE3&lt;&gt;"")+('Dvd Calendar'!$E$1808=TYPE4)*(TYPE4&lt;&gt;"")+('Dvd Calendar'!$E$1808=SPECIAL_LBL)*(INC_SPECIALS="Y"))=0,"",'Dvd Calendar'!$E$1806)))</f>
        <v/>
      </c>
      <c r="D182" s="106">
        <f>IF(EF182="","",IF(ISNUMBER('Dvd Calendar'!$F$1806)=FALSE,"",IF((('Dvd Calendar'!$F$1808=TYPE1)*(TYPE1&lt;&gt;"")+('Dvd Calendar'!$F$1808=TYPE2)*(TYPE2&lt;&gt;"")+('Dvd Calendar'!$F$1808=TYPE3)*(TYPE3&lt;&gt;"")+('Dvd Calendar'!$F$1808=TYPE4)*(TYPE4&lt;&gt;"")+('Dvd Calendar'!$F$1808=SPECIAL_LBL)*(INC_SPECIALS="Y"))=0,"",'Dvd Calendar'!$F$1806)))</f>
        <v/>
      </c>
      <c r="E182" s="106">
        <f>IF(EG182="","",IF(ISNUMBER('Dvd Calendar'!$G$1806)=FALSE,"",IF((('Dvd Calendar'!$G$1808=TYPE1)*(TYPE1&lt;&gt;"")+('Dvd Calendar'!$G$1808=TYPE2)*(TYPE2&lt;&gt;"")+('Dvd Calendar'!$G$1808=TYPE3)*(TYPE3&lt;&gt;"")+('Dvd Calendar'!$G$1808=TYPE4)*(TYPE4&lt;&gt;"")+('Dvd Calendar'!$G$1808=SPECIAL_LBL)*(INC_SPECIALS="Y"))=0,"",'Dvd Calendar'!$G$1806)))</f>
        <v/>
      </c>
      <c r="F182" s="106">
        <f>IF(EH182="","",IF(ISNUMBER('Dvd Calendar'!$H$1806)=FALSE,"",IF((('Dvd Calendar'!$H$1808=TYPE1)*(TYPE1&lt;&gt;"")+('Dvd Calendar'!$H$1808=TYPE2)*(TYPE2&lt;&gt;"")+('Dvd Calendar'!$H$1808=TYPE3)*(TYPE3&lt;&gt;"")+('Dvd Calendar'!$H$1808=TYPE4)*(TYPE4&lt;&gt;"")+('Dvd Calendar'!$H$1808=SPECIAL_LBL)*(INC_SPECIALS="Y"))=0,"",'Dvd Calendar'!$H$1806)))</f>
        <v/>
      </c>
      <c r="G182" s="106">
        <f>IF(EI182="","",IF(ISNUMBER('Dvd Calendar'!$I$1806)=FALSE,"",IF((('Dvd Calendar'!$I$1808=TYPE1)*(TYPE1&lt;&gt;"")+('Dvd Calendar'!$I$1808=TYPE2)*(TYPE2&lt;&gt;"")+('Dvd Calendar'!$I$1808=TYPE3)*(TYPE3&lt;&gt;"")+('Dvd Calendar'!$I$1808=TYPE4)*(TYPE4&lt;&gt;"")+('Dvd Calendar'!$I$1808=SPECIAL_LBL)*(INC_SPECIALS="Y"))=0,"",'Dvd Calendar'!$I$1806)))</f>
        <v/>
      </c>
      <c r="H182" s="106">
        <f>IF(EJ182="","",IF(ISNUMBER('Dvd Calendar'!$J$1806)=FALSE,"",IF((('Dvd Calendar'!$J$1808=TYPE1)*(TYPE1&lt;&gt;"")+('Dvd Calendar'!$J$1808=TYPE2)*(TYPE2&lt;&gt;"")+('Dvd Calendar'!$J$1808=TYPE3)*(TYPE3&lt;&gt;"")+('Dvd Calendar'!$J$1808=TYPE4)*(TYPE4&lt;&gt;"")+('Dvd Calendar'!$J$1808=SPECIAL_LBL)*(INC_SPECIALS="Y"))=0,"",'Dvd Calendar'!$J$1806)))</f>
        <v/>
      </c>
      <c r="I182" s="106">
        <f>IF(EK182="","",IF(ISNUMBER('Dvd Calendar'!$K$1806)=FALSE,"",IF((('Dvd Calendar'!$K$1808=TYPE1)*(TYPE1&lt;&gt;"")+('Dvd Calendar'!$K$1808=TYPE2)*(TYPE2&lt;&gt;"")+('Dvd Calendar'!$K$1808=TYPE3)*(TYPE3&lt;&gt;"")+('Dvd Calendar'!$K$1808=TYPE4)*(TYPE4&lt;&gt;"")+('Dvd Calendar'!$K$1808=SPECIAL_LBL)*(INC_SPECIALS="Y"))=0,"",'Dvd Calendar'!$K$1806)))</f>
        <v/>
      </c>
      <c r="J182" s="106">
        <f>IF(EL182="","",IF(ISNUMBER('Dvd Calendar'!$L$1806)=FALSE,"",IF((('Dvd Calendar'!$L$1808=TYPE1)*(TYPE1&lt;&gt;"")+('Dvd Calendar'!$L$1808=TYPE2)*(TYPE2&lt;&gt;"")+('Dvd Calendar'!$L$1808=TYPE3)*(TYPE3&lt;&gt;"")+('Dvd Calendar'!$L$1808=TYPE4)*(TYPE4&lt;&gt;"")+('Dvd Calendar'!$L$1808=SPECIAL_LBL)*(INC_SPECIALS="Y"))=0,"",'Dvd Calendar'!$L$1806)))</f>
        <v/>
      </c>
      <c r="K182" s="106">
        <f>IF(EM182="","",IF(ISNUMBER('Dvd Calendar'!$M$1806)=FALSE,"",IF((('Dvd Calendar'!$M$1808=TYPE1)*(TYPE1&lt;&gt;"")+('Dvd Calendar'!$M$1808=TYPE2)*(TYPE2&lt;&gt;"")+('Dvd Calendar'!$M$1808=TYPE3)*(TYPE3&lt;&gt;"")+('Dvd Calendar'!$M$1808=TYPE4)*(TYPE4&lt;&gt;"")+('Dvd Calendar'!$M$1808=SPECIAL_LBL)*(INC_SPECIALS="Y"))=0,"",'Dvd Calendar'!$M$1806)))</f>
        <v/>
      </c>
      <c r="L182" s="106">
        <f>IF(EN182="","",IF(ISNUMBER('Dvd Calendar'!$N$1806)=FALSE,"",IF((('Dvd Calendar'!$N$1808=TYPE1)*(TYPE1&lt;&gt;"")+('Dvd Calendar'!$N$1808=TYPE2)*(TYPE2&lt;&gt;"")+('Dvd Calendar'!$N$1808=TYPE3)*(TYPE3&lt;&gt;"")+('Dvd Calendar'!$N$1808=TYPE4)*(TYPE4&lt;&gt;"")+('Dvd Calendar'!$N$1808=SPECIAL_LBL)*(INC_SPECIALS="Y"))=0,"",'Dvd Calendar'!$N$1806)))</f>
        <v/>
      </c>
      <c r="M182" s="106">
        <f>IF(EO182="","",IF(ISNUMBER('Dvd Calendar'!$O$1806)=FALSE,"",IF((('Dvd Calendar'!$O$1808=TYPE1)*(TYPE1&lt;&gt;"")+('Dvd Calendar'!$O$1808=TYPE2)*(TYPE2&lt;&gt;"")+('Dvd Calendar'!$O$1808=TYPE3)*(TYPE3&lt;&gt;"")+('Dvd Calendar'!$O$1808=TYPE4)*(TYPE4&lt;&gt;"")+('Dvd Calendar'!$O$1808=SPECIAL_LBL)*(INC_SPECIALS="Y"))=0,"",'Dvd Calendar'!$O$1806)))</f>
        <v/>
      </c>
      <c r="N182" s="106">
        <f>IF(EP182="","",IF(ISNUMBER('Dvd Calendar'!$P$1806)=FALSE,"",IF((('Dvd Calendar'!$P$1808=TYPE1)*(TYPE1&lt;&gt;"")+('Dvd Calendar'!$P$1808=TYPE2)*(TYPE2&lt;&gt;"")+('Dvd Calendar'!$P$1808=TYPE3)*(TYPE3&lt;&gt;"")+('Dvd Calendar'!$P$1808=TYPE4)*(TYPE4&lt;&gt;"")+('Dvd Calendar'!$P$1808=SPECIAL_LBL)*(INC_SPECIALS="Y"))=0,"",'Dvd Calendar'!$P$1806)))</f>
        <v/>
      </c>
      <c r="O182" s="106">
        <f>IF(EQ182="","",IF(ISNUMBER('Dvd Calendar'!$Q$1806)=FALSE,"",IF((('Dvd Calendar'!$Q$1808=TYPE1)*(TYPE1&lt;&gt;"")+('Dvd Calendar'!$Q$1808=TYPE2)*(TYPE2&lt;&gt;"")+('Dvd Calendar'!$Q$1808=TYPE3)*(TYPE3&lt;&gt;"")+('Dvd Calendar'!$Q$1808=TYPE4)*(TYPE4&lt;&gt;"")+('Dvd Calendar'!$Q$1808=SPECIAL_LBL)*(INC_SPECIALS="Y"))=0,"",'Dvd Calendar'!$Q$1806)))</f>
        <v/>
      </c>
      <c r="P182" s="106">
        <f>IF(ER182="","",IF(ISNUMBER('Dvd Calendar'!$R$1806)=FALSE,"",IF((('Dvd Calendar'!$R$1808=TYPE1)*(TYPE1&lt;&gt;"")+('Dvd Calendar'!$R$1808=TYPE2)*(TYPE2&lt;&gt;"")+('Dvd Calendar'!$R$1808=TYPE3)*(TYPE3&lt;&gt;"")+('Dvd Calendar'!$R$1808=TYPE4)*(TYPE4&lt;&gt;"")+('Dvd Calendar'!$R$1808=SPECIAL_LBL)*(INC_SPECIALS="Y"))=0,"",'Dvd Calendar'!$R$1806)))</f>
        <v/>
      </c>
      <c r="Q182" s="106">
        <f>IF(ES182="","",IF(ISNUMBER('Dvd Calendar'!$S$1806)=FALSE,"",IF((('Dvd Calendar'!$S$1808=TYPE1)*(TYPE1&lt;&gt;"")+('Dvd Calendar'!$S$1808=TYPE2)*(TYPE2&lt;&gt;"")+('Dvd Calendar'!$S$1808=TYPE3)*(TYPE3&lt;&gt;"")+('Dvd Calendar'!$S$1808=TYPE4)*(TYPE4&lt;&gt;"")+('Dvd Calendar'!$S$1808=SPECIAL_LBL)*(INC_SPECIALS="Y"))=0,"",'Dvd Calendar'!$S$1806)))</f>
        <v/>
      </c>
      <c r="R182" s="106">
        <f>IF(ET182="","",IF(ISNUMBER('Dvd Calendar'!$T$1806)=FALSE,"",IF((('Dvd Calendar'!$T$1808=TYPE1)*(TYPE1&lt;&gt;"")+('Dvd Calendar'!$T$1808=TYPE2)*(TYPE2&lt;&gt;"")+('Dvd Calendar'!$T$1808=TYPE3)*(TYPE3&lt;&gt;"")+('Dvd Calendar'!$T$1808=TYPE4)*(TYPE4&lt;&gt;"")+('Dvd Calendar'!$T$1808=SPECIAL_LBL)*(INC_SPECIALS="Y"))=0,"",'Dvd Calendar'!$T$1806)))</f>
        <v/>
      </c>
      <c r="S182" s="106">
        <f>IF(EU182="","",IF(ISNUMBER('Dvd Calendar'!$U$1806)=FALSE,"",IF((('Dvd Calendar'!$U$1808=TYPE1)*(TYPE1&lt;&gt;"")+('Dvd Calendar'!$U$1808=TYPE2)*(TYPE2&lt;&gt;"")+('Dvd Calendar'!$U$1808=TYPE3)*(TYPE3&lt;&gt;"")+('Dvd Calendar'!$U$1808=TYPE4)*(TYPE4&lt;&gt;"")+('Dvd Calendar'!$U$1808=SPECIAL_LBL)*(INC_SPECIALS="Y"))=0,"",'Dvd Calendar'!$U$1806)))</f>
        <v/>
      </c>
      <c r="T182" s="106">
        <f>IF(EV182="","",IF(ISNUMBER('Dvd Calendar'!$V$1806)=FALSE,"",IF((('Dvd Calendar'!$V$1808=TYPE1)*(TYPE1&lt;&gt;"")+('Dvd Calendar'!$V$1808=TYPE2)*(TYPE2&lt;&gt;"")+('Dvd Calendar'!$V$1808=TYPE3)*(TYPE3&lt;&gt;"")+('Dvd Calendar'!$V$1808=TYPE4)*(TYPE4&lt;&gt;"")+('Dvd Calendar'!$V$1808=SPECIAL_LBL)*(INC_SPECIALS="Y"))=0,"",'Dvd Calendar'!$V$1806)))</f>
        <v/>
      </c>
      <c r="U182" s="106">
        <f>IF(EW182="","",IF(ISNUMBER('Dvd Calendar'!$W$1806)=FALSE,"",IF((('Dvd Calendar'!$W$1808=TYPE1)*(TYPE1&lt;&gt;"")+('Dvd Calendar'!$W$1808=TYPE2)*(TYPE2&lt;&gt;"")+('Dvd Calendar'!$W$1808=TYPE3)*(TYPE3&lt;&gt;"")+('Dvd Calendar'!$W$1808=TYPE4)*(TYPE4&lt;&gt;"")+('Dvd Calendar'!$W$1808=SPECIAL_LBL)*(INC_SPECIALS="Y"))=0,"",'Dvd Calendar'!$W$1806)))</f>
        <v/>
      </c>
      <c r="V182" s="106">
        <f>IF(EX182="","",IF(ISNUMBER('Dvd Calendar'!$X$1806)=FALSE,"",IF((('Dvd Calendar'!$X$1808=TYPE1)*(TYPE1&lt;&gt;"")+('Dvd Calendar'!$X$1808=TYPE2)*(TYPE2&lt;&gt;"")+('Dvd Calendar'!$X$1808=TYPE3)*(TYPE3&lt;&gt;"")+('Dvd Calendar'!$X$1808=TYPE4)*(TYPE4&lt;&gt;"")+('Dvd Calendar'!$X$1808=SPECIAL_LBL)*(INC_SPECIALS="Y"))=0,"",'Dvd Calendar'!$X$1806)))</f>
        <v/>
      </c>
      <c r="W182" s="106">
        <f>IF(EY182="","",IF(ISNUMBER('Dvd Calendar'!$Y$1806)=FALSE,"",IF((('Dvd Calendar'!$Y$1808=TYPE1)*(TYPE1&lt;&gt;"")+('Dvd Calendar'!$Y$1808=TYPE2)*(TYPE2&lt;&gt;"")+('Dvd Calendar'!$Y$1808=TYPE3)*(TYPE3&lt;&gt;"")+('Dvd Calendar'!$Y$1808=TYPE4)*(TYPE4&lt;&gt;"")+('Dvd Calendar'!$Y$1808=SPECIAL_LBL)*(INC_SPECIALS="Y"))=0,"",'Dvd Calendar'!$Y$1806)))</f>
        <v/>
      </c>
      <c r="X182" s="106">
        <f>IF(EZ182="","",IF(ISNUMBER('Dvd Calendar'!$Z$1806)=FALSE,"",IF((('Dvd Calendar'!$Z$1808=TYPE1)*(TYPE1&lt;&gt;"")+('Dvd Calendar'!$Z$1808=TYPE2)*(TYPE2&lt;&gt;"")+('Dvd Calendar'!$Z$1808=TYPE3)*(TYPE3&lt;&gt;"")+('Dvd Calendar'!$Z$1808=TYPE4)*(TYPE4&lt;&gt;"")+('Dvd Calendar'!$Z$1808=SPECIAL_LBL)*(INC_SPECIALS="Y"))=0,"",'Dvd Calendar'!$Z$1806)))</f>
        <v/>
      </c>
      <c r="Y182" s="106">
        <f>IF(FA182="","",IF(ISNUMBER('Dvd Calendar'!$AA$1806)=FALSE,"",IF((('Dvd Calendar'!$AA$1808=TYPE1)*(TYPE1&lt;&gt;"")+('Dvd Calendar'!$AA$1808=TYPE2)*(TYPE2&lt;&gt;"")+('Dvd Calendar'!$AA$1808=TYPE3)*(TYPE3&lt;&gt;"")+('Dvd Calendar'!$AA$1808=TYPE4)*(TYPE4&lt;&gt;"")+('Dvd Calendar'!$AA$1808=SPECIAL_LBL)*(INC_SPECIALS="Y"))=0,"",'Dvd Calendar'!$AA$1806)))</f>
        <v/>
      </c>
      <c r="Z182" s="106">
        <f>IF(FB182="","",IF(ISNUMBER('Dvd Calendar'!$AB$1806)=FALSE,"",IF((('Dvd Calendar'!$AB$1808=TYPE1)*(TYPE1&lt;&gt;"")+('Dvd Calendar'!$AB$1808=TYPE2)*(TYPE2&lt;&gt;"")+('Dvd Calendar'!$AB$1808=TYPE3)*(TYPE3&lt;&gt;"")+('Dvd Calendar'!$AB$1808=TYPE4)*(TYPE4&lt;&gt;"")+('Dvd Calendar'!$AB$1808=SPECIAL_LBL)*(INC_SPECIALS="Y"))=0,"",'Dvd Calendar'!$AB$1806)))</f>
        <v/>
      </c>
      <c r="AA182" s="106">
        <f>IF(FC182="","",IF(ISNUMBER('Dvd Calendar'!$AC$1806)=FALSE,"",IF((('Dvd Calendar'!$AC$1808=TYPE1)*(TYPE1&lt;&gt;"")+('Dvd Calendar'!$AC$1808=TYPE2)*(TYPE2&lt;&gt;"")+('Dvd Calendar'!$AC$1808=TYPE3)*(TYPE3&lt;&gt;"")+('Dvd Calendar'!$AC$1808=TYPE4)*(TYPE4&lt;&gt;"")+('Dvd Calendar'!$AC$1808=SPECIAL_LBL)*(INC_SPECIALS="Y"))=0,"",'Dvd Calendar'!$AC$1806)))</f>
        <v/>
      </c>
      <c r="AB182" s="106">
        <f>IF(FD182="","",IF(ISNUMBER('Dvd Calendar'!$AD$1806)=FALSE,"",IF((('Dvd Calendar'!$AD$1808=TYPE1)*(TYPE1&lt;&gt;"")+('Dvd Calendar'!$AD$1808=TYPE2)*(TYPE2&lt;&gt;"")+('Dvd Calendar'!$AD$1808=TYPE3)*(TYPE3&lt;&gt;"")+('Dvd Calendar'!$AD$1808=TYPE4)*(TYPE4&lt;&gt;"")+('Dvd Calendar'!$AD$1808=SPECIAL_LBL)*(INC_SPECIALS="Y"))=0,"",'Dvd Calendar'!$AD$1806)))</f>
        <v/>
      </c>
      <c r="AC182" s="106">
        <f>IF(FE182="","",IF(ISNUMBER('Dvd Calendar'!$AE$1806)=FALSE,"",IF((('Dvd Calendar'!$AE$1808=TYPE1)*(TYPE1&lt;&gt;"")+('Dvd Calendar'!$AE$1808=TYPE2)*(TYPE2&lt;&gt;"")+('Dvd Calendar'!$AE$1808=TYPE3)*(TYPE3&lt;&gt;"")+('Dvd Calendar'!$AE$1808=TYPE4)*(TYPE4&lt;&gt;"")+('Dvd Calendar'!$AE$1808=SPECIAL_LBL)*(INC_SPECIALS="Y"))=0,"",'Dvd Calendar'!$AE$1806)))</f>
        <v/>
      </c>
      <c r="AD182" s="106">
        <f>IF(FF182="","",IF(ISNUMBER('Dvd Calendar'!$AF$1806)=FALSE,"",IF((('Dvd Calendar'!$AF$1808=TYPE1)*(TYPE1&lt;&gt;"")+('Dvd Calendar'!$AF$1808=TYPE2)*(TYPE2&lt;&gt;"")+('Dvd Calendar'!$AF$1808=TYPE3)*(TYPE3&lt;&gt;"")+('Dvd Calendar'!$AF$1808=TYPE4)*(TYPE4&lt;&gt;"")+('Dvd Calendar'!$AF$1808=SPECIAL_LBL)*(INC_SPECIALS="Y"))=0,"",'Dvd Calendar'!$AF$1806)))</f>
        <v/>
      </c>
      <c r="AE182" s="106">
        <f>IF(FG182="","",IF(ISNUMBER('Dvd Calendar'!$AG$1806)=FALSE,"",IF((('Dvd Calendar'!$AG$1808=TYPE1)*(TYPE1&lt;&gt;"")+('Dvd Calendar'!$AG$1808=TYPE2)*(TYPE2&lt;&gt;"")+('Dvd Calendar'!$AG$1808=TYPE3)*(TYPE3&lt;&gt;"")+('Dvd Calendar'!$AG$1808=TYPE4)*(TYPE4&lt;&gt;"")+('Dvd Calendar'!$AG$1808=SPECIAL_LBL)*(INC_SPECIALS="Y"))=0,"",'Dvd Calendar'!$AG$1806)))</f>
        <v/>
      </c>
      <c r="AF182" s="106">
        <f>IF(FH182="","",IF(ISNUMBER('Dvd Calendar'!$AH$1806)=FALSE,"",IF((('Dvd Calendar'!$AH$1808=TYPE1)*(TYPE1&lt;&gt;"")+('Dvd Calendar'!$AH$1808=TYPE2)*(TYPE2&lt;&gt;"")+('Dvd Calendar'!$AH$1808=TYPE3)*(TYPE3&lt;&gt;"")+('Dvd Calendar'!$AH$1808=TYPE4)*(TYPE4&lt;&gt;"")+('Dvd Calendar'!$AH$1808=SPECIAL_LBL)*(INC_SPECIALS="Y"))=0,"",'Dvd Calendar'!$AH$1806)))</f>
        <v/>
      </c>
      <c r="AG182" s="106">
        <f>IF(FI182="","",IF(ISNUMBER('Dvd Calendar'!$AI$1806)=FALSE,"",IF((('Dvd Calendar'!$AI$1808=TYPE1)*(TYPE1&lt;&gt;"")+('Dvd Calendar'!$AI$1808=TYPE2)*(TYPE2&lt;&gt;"")+('Dvd Calendar'!$AI$1808=TYPE3)*(TYPE3&lt;&gt;"")+('Dvd Calendar'!$AI$1808=TYPE4)*(TYPE4&lt;&gt;"")+('Dvd Calendar'!$AI$1808=SPECIAL_LBL)*(INC_SPECIALS="Y"))=0,"",'Dvd Calendar'!$AI$1806)))</f>
        <v/>
      </c>
      <c r="AH182" s="106">
        <f>IF(FJ182="","",IF(ISNUMBER('Dvd Calendar'!$AJ$1806)=FALSE,"",IF((('Dvd Calendar'!$AJ$1808=TYPE1)*(TYPE1&lt;&gt;"")+('Dvd Calendar'!$AJ$1808=TYPE2)*(TYPE2&lt;&gt;"")+('Dvd Calendar'!$AJ$1808=TYPE3)*(TYPE3&lt;&gt;"")+('Dvd Calendar'!$AJ$1808=TYPE4)*(TYPE4&lt;&gt;"")+('Dvd Calendar'!$AJ$1808=SPECIAL_LBL)*(INC_SPECIALS="Y"))=0,"",'Dvd Calendar'!$AJ$1806)))</f>
        <v/>
      </c>
      <c r="AI182" s="106">
        <f>IF(FK182="","",IF(ISNUMBER('Dvd Calendar'!$AK$1806)=FALSE,"",IF((('Dvd Calendar'!$AK$1808=TYPE1)*(TYPE1&lt;&gt;"")+('Dvd Calendar'!$AK$1808=TYPE2)*(TYPE2&lt;&gt;"")+('Dvd Calendar'!$AK$1808=TYPE3)*(TYPE3&lt;&gt;"")+('Dvd Calendar'!$AK$1808=TYPE4)*(TYPE4&lt;&gt;"")+('Dvd Calendar'!$AK$1808=SPECIAL_LBL)*(INC_SPECIALS="Y"))=0,"",'Dvd Calendar'!$AK$1806)))</f>
        <v/>
      </c>
      <c r="AJ182" s="106">
        <f>IF(FL182="","",IF(ISNUMBER('Dvd Calendar'!$AL$1806)=FALSE,"",IF((('Dvd Calendar'!$AL$1808=TYPE1)*(TYPE1&lt;&gt;"")+('Dvd Calendar'!$AL$1808=TYPE2)*(TYPE2&lt;&gt;"")+('Dvd Calendar'!$AL$1808=TYPE3)*(TYPE3&lt;&gt;"")+('Dvd Calendar'!$AL$1808=TYPE4)*(TYPE4&lt;&gt;"")+('Dvd Calendar'!$AL$1808=SPECIAL_LBL)*(INC_SPECIALS="Y"))=0,"",'Dvd Calendar'!$AL$1806)))</f>
        <v/>
      </c>
      <c r="AK182" s="106">
        <f>IF(FM182="","",IF(ISNUMBER('Dvd Calendar'!$AM$1806)=FALSE,"",IF((('Dvd Calendar'!$AM$1808=TYPE1)*(TYPE1&lt;&gt;"")+('Dvd Calendar'!$AM$1808=TYPE2)*(TYPE2&lt;&gt;"")+('Dvd Calendar'!$AM$1808=TYPE3)*(TYPE3&lt;&gt;"")+('Dvd Calendar'!$AM$1808=TYPE4)*(TYPE4&lt;&gt;"")+('Dvd Calendar'!$AM$1808=SPECIAL_LBL)*(INC_SPECIALS="Y"))=0,"",'Dvd Calendar'!$AM$1806)))</f>
        <v/>
      </c>
      <c r="AL182" s="106">
        <f>IF(FN182="","",IF(ISNUMBER('Dvd Calendar'!$AN$1806)=FALSE,"",IF((('Dvd Calendar'!$AN$1808=TYPE1)*(TYPE1&lt;&gt;"")+('Dvd Calendar'!$AN$1808=TYPE2)*(TYPE2&lt;&gt;"")+('Dvd Calendar'!$AN$1808=TYPE3)*(TYPE3&lt;&gt;"")+('Dvd Calendar'!$AN$1808=TYPE4)*(TYPE4&lt;&gt;"")+('Dvd Calendar'!$AN$1808=SPECIAL_LBL)*(INC_SPECIALS="Y"))=0,"",'Dvd Calendar'!$AN$1806)))</f>
        <v/>
      </c>
      <c r="AM182" s="106">
        <f>IF(FO182="","",IF(ISNUMBER('Dvd Calendar'!$AO$1806)=FALSE,"",IF((('Dvd Calendar'!$AO$1808=TYPE1)*(TYPE1&lt;&gt;"")+('Dvd Calendar'!$AO$1808=TYPE2)*(TYPE2&lt;&gt;"")+('Dvd Calendar'!$AO$1808=TYPE3)*(TYPE3&lt;&gt;"")+('Dvd Calendar'!$AO$1808=TYPE4)*(TYPE4&lt;&gt;"")+('Dvd Calendar'!$AO$1808=SPECIAL_LBL)*(INC_SPECIALS="Y"))=0,"",'Dvd Calendar'!$AO$1806)))</f>
        <v/>
      </c>
      <c r="AN182" s="106">
        <f>IF(FP182="","",IF(ISNUMBER('Dvd Calendar'!$AP$1806)=FALSE,"",IF((('Dvd Calendar'!$AP$1808=TYPE1)*(TYPE1&lt;&gt;"")+('Dvd Calendar'!$AP$1808=TYPE2)*(TYPE2&lt;&gt;"")+('Dvd Calendar'!$AP$1808=TYPE3)*(TYPE3&lt;&gt;"")+('Dvd Calendar'!$AP$1808=TYPE4)*(TYPE4&lt;&gt;"")+('Dvd Calendar'!$AP$1808=SPECIAL_LBL)*(INC_SPECIALS="Y"))=0,"",'Dvd Calendar'!$AP$1806)))</f>
        <v/>
      </c>
      <c r="AO182" s="106">
        <f>IF(FQ182="","",IF(ISNUMBER('Dvd Calendar'!$AQ$1806)=FALSE,"",IF((('Dvd Calendar'!$AQ$1808=TYPE1)*(TYPE1&lt;&gt;"")+('Dvd Calendar'!$AQ$1808=TYPE2)*(TYPE2&lt;&gt;"")+('Dvd Calendar'!$AQ$1808=TYPE3)*(TYPE3&lt;&gt;"")+('Dvd Calendar'!$AQ$1808=TYPE4)*(TYPE4&lt;&gt;"")+('Dvd Calendar'!$AQ$1808=SPECIAL_LBL)*(INC_SPECIALS="Y"))=0,"",'Dvd Calendar'!$AQ$1806)))</f>
        <v/>
      </c>
      <c r="AP182" s="106">
        <f>IF(FR182="","",IF(ISNUMBER('Dvd Calendar'!$AR$1806)=FALSE,"",IF((('Dvd Calendar'!$AR$1808=TYPE1)*(TYPE1&lt;&gt;"")+('Dvd Calendar'!$AR$1808=TYPE2)*(TYPE2&lt;&gt;"")+('Dvd Calendar'!$AR$1808=TYPE3)*(TYPE3&lt;&gt;"")+('Dvd Calendar'!$AR$1808=TYPE4)*(TYPE4&lt;&gt;"")+('Dvd Calendar'!$AR$1808=SPECIAL_LBL)*(INC_SPECIALS="Y"))=0,"",'Dvd Calendar'!$AR$1806)))</f>
        <v/>
      </c>
      <c r="AQ182" s="106">
        <f>IF(FS182="","",IF(ISNUMBER('Dvd Calendar'!$E$1811)=FALSE,"",'Dvd Calendar'!$E$1811))</f>
        <v/>
      </c>
      <c r="AR182" s="106">
        <f>IF(FT182="","",IF(ISNUMBER('Dvd Calendar'!$F$1811)=FALSE,"",'Dvd Calendar'!$F$1811))</f>
        <v/>
      </c>
      <c r="AS182" s="106">
        <f>IF(FU182="","",IF(ISNUMBER('Dvd Calendar'!$G$1811)=FALSE,"",'Dvd Calendar'!$G$1811))</f>
        <v/>
      </c>
      <c r="AT182" s="106">
        <f>IF(FV182="","",IF(ISNUMBER('Dvd Calendar'!$H$1811)=FALSE,"",'Dvd Calendar'!$H$1811))</f>
        <v/>
      </c>
      <c r="AU182" s="106">
        <f>IF(FW182="","",IF(ISNUMBER('Dvd Calendar'!$I$1811)=FALSE,"",'Dvd Calendar'!$I$1811))</f>
        <v/>
      </c>
      <c r="AV182" s="106">
        <f>IF(FX182="","",IF(ISNUMBER('Dvd Calendar'!$J$1811)=FALSE,"",'Dvd Calendar'!$J$1811))</f>
        <v/>
      </c>
      <c r="AW182" s="106">
        <f>IF(FY182="","",IF(ISNUMBER('Dvd Calendar'!$K$1811)=FALSE,"",'Dvd Calendar'!$K$1811))</f>
        <v/>
      </c>
      <c r="AX182" s="106">
        <f>IF(FZ182="","",IF(ISNUMBER('Dvd Calendar'!$L$1811)=FALSE,"",'Dvd Calendar'!$L$1811))</f>
        <v/>
      </c>
      <c r="AY182" s="106">
        <f>IF(GA182="","",IF(ISNUMBER('Dvd Calendar'!$M$1811)=FALSE,"",'Dvd Calendar'!$M$1811))</f>
        <v/>
      </c>
      <c r="AZ182" s="106">
        <f>IF(GB182="","",IF(ISNUMBER('Dvd Calendar'!$N$1811)=FALSE,"",'Dvd Calendar'!$N$1811))</f>
        <v/>
      </c>
      <c r="BA182" s="106">
        <f>IF(GC182="","",IF(ISNUMBER('Dvd Calendar'!$O$1811)=FALSE,"",'Dvd Calendar'!$O$1811))</f>
        <v/>
      </c>
      <c r="BB182" s="106">
        <f>IF(GD182="","",IF(ISNUMBER('Dvd Calendar'!$P$1811)=FALSE,"",'Dvd Calendar'!$P$1811))</f>
        <v/>
      </c>
      <c r="BC182" s="106">
        <f>IF(GE182="","",IF(ISNUMBER('Dvd Calendar'!$Q$1811)=FALSE,"",'Dvd Calendar'!$Q$1811))</f>
        <v/>
      </c>
      <c r="BD182" s="106">
        <f>IF(GF182="","",IF(ISNUMBER('Dvd Calendar'!$R$1811)=FALSE,"",'Dvd Calendar'!$R$1811))</f>
        <v/>
      </c>
      <c r="BE182" s="106">
        <f>IF(GG182="","",IF(ISNUMBER('Dvd Calendar'!$S$1811)=FALSE,"",'Dvd Calendar'!$S$1811))</f>
        <v/>
      </c>
      <c r="BF182" s="106">
        <f>IF(GH182="","",IF(ISNUMBER('Dvd Calendar'!$T$1811)=FALSE,"",'Dvd Calendar'!$T$1811))</f>
        <v/>
      </c>
      <c r="BG182" s="106">
        <f>IF(GI182="","",IF(ISNUMBER('Dvd Calendar'!$U$1811)=FALSE,"",'Dvd Calendar'!$U$1811))</f>
        <v/>
      </c>
      <c r="BH182" s="106">
        <f>IF(GJ182="","",IF(ISNUMBER('Dvd Calendar'!$V$1811)=FALSE,"",'Dvd Calendar'!$V$1811))</f>
        <v/>
      </c>
      <c r="BI182" s="106">
        <f>IF(GK182="","",IF(ISNUMBER('Dvd Calendar'!$W$1811)=FALSE,"",'Dvd Calendar'!$W$1811))</f>
        <v/>
      </c>
      <c r="BJ182" s="106">
        <f>IF(GL182="","",IF(ISNUMBER('Dvd Calendar'!$X$1811)=FALSE,"",'Dvd Calendar'!$X$1811))</f>
        <v/>
      </c>
      <c r="BK182" s="106">
        <f>IF(GM182="","",IF(ISNUMBER('Dvd Calendar'!$Y$1811)=FALSE,"",'Dvd Calendar'!$Y$1811))</f>
        <v/>
      </c>
      <c r="BL182" s="106">
        <f>IF(GN182="","",IF(ISNUMBER('Dvd Calendar'!$Z$1811)=FALSE,"",'Dvd Calendar'!$Z$1811))</f>
        <v/>
      </c>
      <c r="BM182" s="106">
        <f>IF(GO182="","",IF(ISNUMBER('Dvd Calendar'!$AA$1811)=FALSE,"",'Dvd Calendar'!$AA$1811))</f>
        <v/>
      </c>
      <c r="BN182" s="106">
        <f>IF(GP182="","",IF(ISNUMBER('Dvd Calendar'!$AB$1811)=FALSE,"",'Dvd Calendar'!$AB$1811))</f>
        <v/>
      </c>
      <c r="BO182" s="106">
        <f>IF(GQ182="","",IF(ISNUMBER('Dvd Calendar'!$AC$1811)=FALSE,"",'Dvd Calendar'!$AC$1811))</f>
        <v/>
      </c>
      <c r="BQ182" s="106">
        <f>IF(C182="","",IFERROR(C182*HSCEI!$B$29*HSCEI!$G$29/HSCEI!$B$3,""))</f>
        <v/>
      </c>
      <c r="BR182" s="106">
        <f>IF(D182="","",IFERROR(D182*HSCEI!$B$29*HSCEI!$G$29/HSCEI!$B$3,""))</f>
        <v/>
      </c>
      <c r="BS182" s="106">
        <f>IF(E182="","",IFERROR(E182*HSCEI!$B$29*HSCEI!$G$29/HSCEI!$B$3,""))</f>
        <v/>
      </c>
      <c r="BT182" s="106">
        <f>IF(F182="","",IFERROR(F182*HSCEI!$B$29*HSCEI!$G$29/HSCEI!$B$3,""))</f>
        <v/>
      </c>
      <c r="BU182" s="106">
        <f>IF(G182="","",IFERROR(G182*HSCEI!$B$29*HSCEI!$G$29/HSCEI!$B$3,""))</f>
        <v/>
      </c>
      <c r="BV182" s="106">
        <f>IF(H182="","",IFERROR(H182*HSCEI!$B$29*HSCEI!$G$29/HSCEI!$B$3,""))</f>
        <v/>
      </c>
      <c r="BW182" s="106">
        <f>IF(I182="","",IFERROR(I182*HSCEI!$B$29*HSCEI!$G$29/HSCEI!$B$3,""))</f>
        <v/>
      </c>
      <c r="BX182" s="106">
        <f>IF(J182="","",IFERROR(J182*HSCEI!$B$29*HSCEI!$G$29/HSCEI!$B$3,""))</f>
        <v/>
      </c>
      <c r="BY182" s="106">
        <f>IF(K182="","",IFERROR(K182*HSCEI!$B$29*HSCEI!$G$29/HSCEI!$B$3,""))</f>
        <v/>
      </c>
      <c r="BZ182" s="106">
        <f>IF(L182="","",IFERROR(L182*HSCEI!$B$29*HSCEI!$G$29/HSCEI!$B$3,""))</f>
        <v/>
      </c>
      <c r="CA182" s="106">
        <f>IF(M182="","",IFERROR(M182*HSCEI!$B$29*HSCEI!$G$29/HSCEI!$B$3,""))</f>
        <v/>
      </c>
      <c r="CB182" s="106">
        <f>IF(N182="","",IFERROR(N182*HSCEI!$B$29*HSCEI!$G$29/HSCEI!$B$3,""))</f>
        <v/>
      </c>
      <c r="CC182" s="106">
        <f>IF(O182="","",IFERROR(O182*HSCEI!$B$29*HSCEI!$G$29/HSCEI!$B$3,""))</f>
        <v/>
      </c>
      <c r="CD182" s="106">
        <f>IF(P182="","",IFERROR(P182*HSCEI!$B$29*HSCEI!$G$29/HSCEI!$B$3,""))</f>
        <v/>
      </c>
      <c r="CE182" s="106">
        <f>IF(Q182="","",IFERROR(Q182*HSCEI!$B$29*HSCEI!$G$29/HSCEI!$B$3,""))</f>
        <v/>
      </c>
      <c r="CF182" s="106">
        <f>IF(R182="","",IFERROR(R182*HSCEI!$B$29*HSCEI!$G$29/HSCEI!$B$3,""))</f>
        <v/>
      </c>
      <c r="CG182" s="106">
        <f>IF(S182="","",IFERROR(S182*HSCEI!$B$29*HSCEI!$G$29/HSCEI!$B$3,""))</f>
        <v/>
      </c>
      <c r="CH182" s="106">
        <f>IF(T182="","",IFERROR(T182*HSCEI!$B$29*HSCEI!$G$29/HSCEI!$B$3,""))</f>
        <v/>
      </c>
      <c r="CI182" s="106">
        <f>IF(U182="","",IFERROR(U182*HSCEI!$B$29*HSCEI!$G$29/HSCEI!$B$3,""))</f>
        <v/>
      </c>
      <c r="CJ182" s="106">
        <f>IF(V182="","",IFERROR(V182*HSCEI!$B$29*HSCEI!$G$29/HSCEI!$B$3,""))</f>
        <v/>
      </c>
      <c r="CK182" s="106">
        <f>IF(W182="","",IFERROR(W182*HSCEI!$B$29*HSCEI!$G$29/HSCEI!$B$3,""))</f>
        <v/>
      </c>
      <c r="CL182" s="106">
        <f>IF(X182="","",IFERROR(X182*HSCEI!$B$29*HSCEI!$G$29/HSCEI!$B$3,""))</f>
        <v/>
      </c>
      <c r="CM182" s="106">
        <f>IF(Y182="","",IFERROR(Y182*HSCEI!$B$29*HSCEI!$G$29/HSCEI!$B$3,""))</f>
        <v/>
      </c>
      <c r="CN182" s="106">
        <f>IF(Z182="","",IFERROR(Z182*HSCEI!$B$29*HSCEI!$G$29/HSCEI!$B$3,""))</f>
        <v/>
      </c>
      <c r="CO182" s="106">
        <f>IF(AA182="","",IFERROR(AA182*HSCEI!$B$29*HSCEI!$G$29/HSCEI!$B$3,""))</f>
        <v/>
      </c>
      <c r="CP182" s="106">
        <f>IF(AB182="","",IFERROR(AB182*HSCEI!$B$29*HSCEI!$G$29/HSCEI!$B$3,""))</f>
        <v/>
      </c>
      <c r="CQ182" s="106">
        <f>IF(AC182="","",IFERROR(AC182*HSCEI!$B$29*HSCEI!$G$29/HSCEI!$B$3,""))</f>
        <v/>
      </c>
      <c r="CR182" s="106">
        <f>IF(AD182="","",IFERROR(AD182*HSCEI!$B$29*HSCEI!$G$29/HSCEI!$B$3,""))</f>
        <v/>
      </c>
      <c r="CS182" s="106">
        <f>IF(AE182="","",IFERROR(AE182*HSCEI!$B$29*HSCEI!$G$29/HSCEI!$B$3,""))</f>
        <v/>
      </c>
      <c r="CT182" s="106">
        <f>IF(AF182="","",IFERROR(AF182*HSCEI!$B$29*HSCEI!$G$29/HSCEI!$B$3,""))</f>
        <v/>
      </c>
      <c r="CU182" s="106">
        <f>IF(AG182="","",IFERROR(AG182*HSCEI!$B$29*HSCEI!$G$29/HSCEI!$B$3,""))</f>
        <v/>
      </c>
      <c r="CV182" s="106">
        <f>IF(AH182="","",IFERROR(AH182*HSCEI!$B$29*HSCEI!$G$29/HSCEI!$B$3,""))</f>
        <v/>
      </c>
      <c r="CW182" s="106">
        <f>IF(AI182="","",IFERROR(AI182*HSCEI!$B$29*HSCEI!$G$29/HSCEI!$B$3,""))</f>
        <v/>
      </c>
      <c r="CX182" s="106">
        <f>IF(AJ182="","",IFERROR(AJ182*HSCEI!$B$29*HSCEI!$G$29/HSCEI!$B$3,""))</f>
        <v/>
      </c>
      <c r="CY182" s="106">
        <f>IF(AK182="","",IFERROR(AK182*HSCEI!$B$29*HSCEI!$G$29/HSCEI!$B$3,""))</f>
        <v/>
      </c>
      <c r="CZ182" s="106">
        <f>IF(AL182="","",IFERROR(AL182*HSCEI!$B$29*HSCEI!$G$29/HSCEI!$B$3,""))</f>
        <v/>
      </c>
      <c r="DA182" s="106">
        <f>IF(AM182="","",IFERROR(AM182*HSCEI!$B$29*HSCEI!$G$29/HSCEI!$B$3,""))</f>
        <v/>
      </c>
      <c r="DB182" s="106">
        <f>IF(AN182="","",IFERROR(AN182*HSCEI!$B$29*HSCEI!$G$29/HSCEI!$B$3,""))</f>
        <v/>
      </c>
      <c r="DC182" s="106">
        <f>IF(AO182="","",IFERROR(AO182*HSCEI!$B$29*HSCEI!$G$29/HSCEI!$B$3,""))</f>
        <v/>
      </c>
      <c r="DD182" s="106">
        <f>IF(AP182="","",IFERROR(AP182*HSCEI!$B$29*HSCEI!$G$29/HSCEI!$B$3,""))</f>
        <v/>
      </c>
      <c r="DE182" s="106">
        <f>IF(AQ182="","",IFERROR(AQ182*HSCEI!$B$29*HSCEI!$G$29/HSCEI!$B$3,""))</f>
        <v/>
      </c>
      <c r="DF182" s="106">
        <f>IF(AR182="","",IFERROR(AR182*HSCEI!$B$29*HSCEI!$G$29/HSCEI!$B$3,""))</f>
        <v/>
      </c>
      <c r="DG182" s="106">
        <f>IF(AS182="","",IFERROR(AS182*HSCEI!$B$29*HSCEI!$G$29/HSCEI!$B$3,""))</f>
        <v/>
      </c>
      <c r="DH182" s="106">
        <f>IF(AT182="","",IFERROR(AT182*HSCEI!$B$29*HSCEI!$G$29/HSCEI!$B$3,""))</f>
        <v/>
      </c>
      <c r="DI182" s="106">
        <f>IF(AU182="","",IFERROR(AU182*HSCEI!$B$29*HSCEI!$G$29/HSCEI!$B$3,""))</f>
        <v/>
      </c>
      <c r="DJ182" s="106">
        <f>IF(AV182="","",IFERROR(AV182*HSCEI!$B$29*HSCEI!$G$29/HSCEI!$B$3,""))</f>
        <v/>
      </c>
      <c r="DK182" s="106">
        <f>IF(AW182="","",IFERROR(AW182*HSCEI!$B$29*HSCEI!$G$29/HSCEI!$B$3,""))</f>
        <v/>
      </c>
      <c r="DL182" s="106">
        <f>IF(AX182="","",IFERROR(AX182*HSCEI!$B$29*HSCEI!$G$29/HSCEI!$B$3,""))</f>
        <v/>
      </c>
      <c r="DM182" s="106">
        <f>IF(AY182="","",IFERROR(AY182*HSCEI!$B$29*HSCEI!$G$29/HSCEI!$B$3,""))</f>
        <v/>
      </c>
      <c r="DN182" s="106">
        <f>IF(AZ182="","",IFERROR(AZ182*HSCEI!$B$29*HSCEI!$G$29/HSCEI!$B$3,""))</f>
        <v/>
      </c>
      <c r="DO182" s="106">
        <f>IF(BA182="","",IFERROR(BA182*HSCEI!$B$29*HSCEI!$G$29/HSCEI!$B$3,""))</f>
        <v/>
      </c>
      <c r="DP182" s="106">
        <f>IF(BB182="","",IFERROR(BB182*HSCEI!$B$29*HSCEI!$G$29/HSCEI!$B$3,""))</f>
        <v/>
      </c>
      <c r="DQ182" s="106">
        <f>IF(BC182="","",IFERROR(BC182*HSCEI!$B$29*HSCEI!$G$29/HSCEI!$B$3,""))</f>
        <v/>
      </c>
      <c r="DR182" s="106">
        <f>IF(BD182="","",IFERROR(BD182*HSCEI!$B$29*HSCEI!$G$29/HSCEI!$B$3,""))</f>
        <v/>
      </c>
      <c r="DS182" s="106">
        <f>IF(BE182="","",IFERROR(BE182*HSCEI!$B$29*HSCEI!$G$29/HSCEI!$B$3,""))</f>
        <v/>
      </c>
      <c r="DT182" s="106">
        <f>IF(BF182="","",IFERROR(BF182*HSCEI!$B$29*HSCEI!$G$29/HSCEI!$B$3,""))</f>
        <v/>
      </c>
      <c r="DU182" s="106">
        <f>IF(BG182="","",IFERROR(BG182*HSCEI!$B$29*HSCEI!$G$29/HSCEI!$B$3,""))</f>
        <v/>
      </c>
      <c r="DV182" s="106">
        <f>IF(BH182="","",IFERROR(BH182*HSCEI!$B$29*HSCEI!$G$29/HSCEI!$B$3,""))</f>
        <v/>
      </c>
      <c r="DW182" s="106">
        <f>IF(BI182="","",IFERROR(BI182*HSCEI!$B$29*HSCEI!$G$29/HSCEI!$B$3,""))</f>
        <v/>
      </c>
      <c r="DX182" s="106">
        <f>IF(BJ182="","",IFERROR(BJ182*HSCEI!$B$29*HSCEI!$G$29/HSCEI!$B$3,""))</f>
        <v/>
      </c>
      <c r="DY182" s="106">
        <f>IF(BK182="","",IFERROR(BK182*HSCEI!$B$29*HSCEI!$G$29/HSCEI!$B$3,""))</f>
        <v/>
      </c>
      <c r="DZ182" s="106">
        <f>IF(BL182="","",IFERROR(BL182*HSCEI!$B$29*HSCEI!$G$29/HSCEI!$B$3,""))</f>
        <v/>
      </c>
      <c r="EA182" s="106">
        <f>IF(BM182="","",IFERROR(BM182*HSCEI!$B$29*HSCEI!$G$29/HSCEI!$B$3,""))</f>
        <v/>
      </c>
      <c r="EB182" s="106">
        <f>IF(BN182="","",IFERROR(BN182*HSCEI!$B$29*HSCEI!$G$29/HSCEI!$B$3,""))</f>
        <v/>
      </c>
      <c r="EC182" s="106">
        <f>IF(BO182="","",IFERROR(BO182*HSCEI!$B$29*HSCEI!$G$29/HSCEI!$B$3,""))</f>
        <v/>
      </c>
      <c r="EE182" s="35">
        <f>IF(N('Dvd Calendar'!$E$1803)=0,"",IF(('Dvd Calendar'!$E$1803&gt;=GRID_FROM)*('Dvd Calendar'!$E$1803&lt;=GRID_TO)*('Dvd Calendar'!$E$1803&lt;=VAL_DATE)=0,"",'Dvd Calendar'!$E$1803*1000000000+ISNUMBER('Dvd Calendar'!$E$1806)*100000000+('Dvd Calendar'!$E$1808=SPECIAL_LBL)*10000000+0*1000000+23*1000+1))</f>
        <v/>
      </c>
      <c r="EF182" s="35">
        <f>IF(N('Dvd Calendar'!$F$1803)=0,"",IF(('Dvd Calendar'!$F$1803&gt;=GRID_FROM)*('Dvd Calendar'!$F$1803&lt;=GRID_TO)*('Dvd Calendar'!$F$1803&lt;=VAL_DATE)=0,"",'Dvd Calendar'!$F$1803*1000000000+ISNUMBER('Dvd Calendar'!$F$1806)*100000000+('Dvd Calendar'!$F$1808=SPECIAL_LBL)*10000000+0*1000000+23*1000+2))</f>
        <v/>
      </c>
      <c r="EG182" s="35">
        <f>IF(N('Dvd Calendar'!$G$1803)=0,"",IF(('Dvd Calendar'!$G$1803&gt;=GRID_FROM)*('Dvd Calendar'!$G$1803&lt;=GRID_TO)*('Dvd Calendar'!$G$1803&lt;=VAL_DATE)=0,"",'Dvd Calendar'!$G$1803*1000000000+ISNUMBER('Dvd Calendar'!$G$1806)*100000000+('Dvd Calendar'!$G$1808=SPECIAL_LBL)*10000000+0*1000000+23*1000+3))</f>
        <v/>
      </c>
      <c r="EH182" s="35">
        <f>IF(N('Dvd Calendar'!$H$1803)=0,"",IF(('Dvd Calendar'!$H$1803&gt;=GRID_FROM)*('Dvd Calendar'!$H$1803&lt;=GRID_TO)*('Dvd Calendar'!$H$1803&lt;=VAL_DATE)=0,"",'Dvd Calendar'!$H$1803*1000000000+ISNUMBER('Dvd Calendar'!$H$1806)*100000000+('Dvd Calendar'!$H$1808=SPECIAL_LBL)*10000000+0*1000000+23*1000+4))</f>
        <v/>
      </c>
      <c r="EI182" s="35">
        <f>IF(N('Dvd Calendar'!$I$1803)=0,"",IF(('Dvd Calendar'!$I$1803&gt;=GRID_FROM)*('Dvd Calendar'!$I$1803&lt;=GRID_TO)*('Dvd Calendar'!$I$1803&lt;=VAL_DATE)=0,"",'Dvd Calendar'!$I$1803*1000000000+ISNUMBER('Dvd Calendar'!$I$1806)*100000000+('Dvd Calendar'!$I$1808=SPECIAL_LBL)*10000000+0*1000000+23*1000+5))</f>
        <v/>
      </c>
      <c r="EJ182" s="35">
        <f>IF(N('Dvd Calendar'!$J$1803)=0,"",IF(('Dvd Calendar'!$J$1803&gt;=GRID_FROM)*('Dvd Calendar'!$J$1803&lt;=GRID_TO)*('Dvd Calendar'!$J$1803&lt;=VAL_DATE)=0,"",'Dvd Calendar'!$J$1803*1000000000+ISNUMBER('Dvd Calendar'!$J$1806)*100000000+('Dvd Calendar'!$J$1808=SPECIAL_LBL)*10000000+0*1000000+23*1000+6))</f>
        <v/>
      </c>
      <c r="EK182" s="35">
        <f>IF(N('Dvd Calendar'!$K$1803)=0,"",IF(('Dvd Calendar'!$K$1803&gt;=GRID_FROM)*('Dvd Calendar'!$K$1803&lt;=GRID_TO)*('Dvd Calendar'!$K$1803&lt;=VAL_DATE)=0,"",'Dvd Calendar'!$K$1803*1000000000+ISNUMBER('Dvd Calendar'!$K$1806)*100000000+('Dvd Calendar'!$K$1808=SPECIAL_LBL)*10000000+0*1000000+23*1000+7))</f>
        <v/>
      </c>
      <c r="EL182" s="35">
        <f>IF(N('Dvd Calendar'!$L$1803)=0,"",IF(('Dvd Calendar'!$L$1803&gt;=GRID_FROM)*('Dvd Calendar'!$L$1803&lt;=GRID_TO)*('Dvd Calendar'!$L$1803&lt;=VAL_DATE)=0,"",'Dvd Calendar'!$L$1803*1000000000+ISNUMBER('Dvd Calendar'!$L$1806)*100000000+('Dvd Calendar'!$L$1808=SPECIAL_LBL)*10000000+0*1000000+23*1000+8))</f>
        <v/>
      </c>
      <c r="EM182" s="35">
        <f>IF(N('Dvd Calendar'!$M$1803)=0,"",IF(('Dvd Calendar'!$M$1803&gt;=GRID_FROM)*('Dvd Calendar'!$M$1803&lt;=GRID_TO)*('Dvd Calendar'!$M$1803&lt;=VAL_DATE)=0,"",'Dvd Calendar'!$M$1803*1000000000+ISNUMBER('Dvd Calendar'!$M$1806)*100000000+('Dvd Calendar'!$M$1808=SPECIAL_LBL)*10000000+0*1000000+23*1000+9))</f>
        <v/>
      </c>
      <c r="EN182" s="35">
        <f>IF(N('Dvd Calendar'!$N$1803)=0,"",IF(('Dvd Calendar'!$N$1803&gt;=GRID_FROM)*('Dvd Calendar'!$N$1803&lt;=GRID_TO)*('Dvd Calendar'!$N$1803&lt;=VAL_DATE)=0,"",'Dvd Calendar'!$N$1803*1000000000+ISNUMBER('Dvd Calendar'!$N$1806)*100000000+('Dvd Calendar'!$N$1808=SPECIAL_LBL)*10000000+0*1000000+23*1000+10))</f>
        <v/>
      </c>
      <c r="EO182" s="35">
        <f>IF(N('Dvd Calendar'!$O$1803)=0,"",IF(('Dvd Calendar'!$O$1803&gt;=GRID_FROM)*('Dvd Calendar'!$O$1803&lt;=GRID_TO)*('Dvd Calendar'!$O$1803&lt;=VAL_DATE)=0,"",'Dvd Calendar'!$O$1803*1000000000+ISNUMBER('Dvd Calendar'!$O$1806)*100000000+('Dvd Calendar'!$O$1808=SPECIAL_LBL)*10000000+0*1000000+23*1000+11))</f>
        <v/>
      </c>
      <c r="EP182" s="35">
        <f>IF(N('Dvd Calendar'!$P$1803)=0,"",IF(('Dvd Calendar'!$P$1803&gt;=GRID_FROM)*('Dvd Calendar'!$P$1803&lt;=GRID_TO)*('Dvd Calendar'!$P$1803&lt;=VAL_DATE)=0,"",'Dvd Calendar'!$P$1803*1000000000+ISNUMBER('Dvd Calendar'!$P$1806)*100000000+('Dvd Calendar'!$P$1808=SPECIAL_LBL)*10000000+0*1000000+23*1000+12))</f>
        <v/>
      </c>
      <c r="EQ182" s="35">
        <f>IF(N('Dvd Calendar'!$Q$1803)=0,"",IF(('Dvd Calendar'!$Q$1803&gt;=GRID_FROM)*('Dvd Calendar'!$Q$1803&lt;=GRID_TO)*('Dvd Calendar'!$Q$1803&lt;=VAL_DATE)=0,"",'Dvd Calendar'!$Q$1803*1000000000+ISNUMBER('Dvd Calendar'!$Q$1806)*100000000+('Dvd Calendar'!$Q$1808=SPECIAL_LBL)*10000000+0*1000000+23*1000+13))</f>
        <v/>
      </c>
      <c r="ER182" s="35">
        <f>IF(N('Dvd Calendar'!$R$1803)=0,"",IF(('Dvd Calendar'!$R$1803&gt;=GRID_FROM)*('Dvd Calendar'!$R$1803&lt;=GRID_TO)*('Dvd Calendar'!$R$1803&lt;=VAL_DATE)=0,"",'Dvd Calendar'!$R$1803*1000000000+ISNUMBER('Dvd Calendar'!$R$1806)*100000000+('Dvd Calendar'!$R$1808=SPECIAL_LBL)*10000000+0*1000000+23*1000+14))</f>
        <v/>
      </c>
      <c r="ES182" s="35">
        <f>IF(N('Dvd Calendar'!$S$1803)=0,"",IF(('Dvd Calendar'!$S$1803&gt;=GRID_FROM)*('Dvd Calendar'!$S$1803&lt;=GRID_TO)*('Dvd Calendar'!$S$1803&lt;=VAL_DATE)=0,"",'Dvd Calendar'!$S$1803*1000000000+ISNUMBER('Dvd Calendar'!$S$1806)*100000000+('Dvd Calendar'!$S$1808=SPECIAL_LBL)*10000000+0*1000000+23*1000+15))</f>
        <v/>
      </c>
      <c r="ET182" s="35">
        <f>IF(N('Dvd Calendar'!$T$1803)=0,"",IF(('Dvd Calendar'!$T$1803&gt;=GRID_FROM)*('Dvd Calendar'!$T$1803&lt;=GRID_TO)*('Dvd Calendar'!$T$1803&lt;=VAL_DATE)=0,"",'Dvd Calendar'!$T$1803*1000000000+ISNUMBER('Dvd Calendar'!$T$1806)*100000000+('Dvd Calendar'!$T$1808=SPECIAL_LBL)*10000000+0*1000000+23*1000+16))</f>
        <v/>
      </c>
      <c r="EU182" s="35">
        <f>IF(N('Dvd Calendar'!$U$1803)=0,"",IF(('Dvd Calendar'!$U$1803&gt;=GRID_FROM)*('Dvd Calendar'!$U$1803&lt;=GRID_TO)*('Dvd Calendar'!$U$1803&lt;=VAL_DATE)=0,"",'Dvd Calendar'!$U$1803*1000000000+ISNUMBER('Dvd Calendar'!$U$1806)*100000000+('Dvd Calendar'!$U$1808=SPECIAL_LBL)*10000000+0*1000000+23*1000+17))</f>
        <v/>
      </c>
      <c r="EV182" s="35">
        <f>IF(N('Dvd Calendar'!$V$1803)=0,"",IF(('Dvd Calendar'!$V$1803&gt;=GRID_FROM)*('Dvd Calendar'!$V$1803&lt;=GRID_TO)*('Dvd Calendar'!$V$1803&lt;=VAL_DATE)=0,"",'Dvd Calendar'!$V$1803*1000000000+ISNUMBER('Dvd Calendar'!$V$1806)*100000000+('Dvd Calendar'!$V$1808=SPECIAL_LBL)*10000000+0*1000000+23*1000+18))</f>
        <v/>
      </c>
      <c r="EW182" s="35">
        <f>IF(N('Dvd Calendar'!$W$1803)=0,"",IF(('Dvd Calendar'!$W$1803&gt;=GRID_FROM)*('Dvd Calendar'!$W$1803&lt;=GRID_TO)*('Dvd Calendar'!$W$1803&lt;=VAL_DATE)=0,"",'Dvd Calendar'!$W$1803*1000000000+ISNUMBER('Dvd Calendar'!$W$1806)*100000000+('Dvd Calendar'!$W$1808=SPECIAL_LBL)*10000000+0*1000000+23*1000+19))</f>
        <v/>
      </c>
      <c r="EX182" s="35">
        <f>IF(N('Dvd Calendar'!$X$1803)=0,"",IF(('Dvd Calendar'!$X$1803&gt;=GRID_FROM)*('Dvd Calendar'!$X$1803&lt;=GRID_TO)*('Dvd Calendar'!$X$1803&lt;=VAL_DATE)=0,"",'Dvd Calendar'!$X$1803*1000000000+ISNUMBER('Dvd Calendar'!$X$1806)*100000000+('Dvd Calendar'!$X$1808=SPECIAL_LBL)*10000000+0*1000000+23*1000+20))</f>
        <v/>
      </c>
      <c r="EY182" s="35">
        <f>IF(N('Dvd Calendar'!$Y$1803)=0,"",IF(('Dvd Calendar'!$Y$1803&gt;=GRID_FROM)*('Dvd Calendar'!$Y$1803&lt;=GRID_TO)*('Dvd Calendar'!$Y$1803&lt;=VAL_DATE)=0,"",'Dvd Calendar'!$Y$1803*1000000000+ISNUMBER('Dvd Calendar'!$Y$1806)*100000000+('Dvd Calendar'!$Y$1808=SPECIAL_LBL)*10000000+0*1000000+23*1000+21))</f>
        <v/>
      </c>
      <c r="EZ182" s="35">
        <f>IF(N('Dvd Calendar'!$Z$1803)=0,"",IF(('Dvd Calendar'!$Z$1803&gt;=GRID_FROM)*('Dvd Calendar'!$Z$1803&lt;=GRID_TO)*('Dvd Calendar'!$Z$1803&lt;=VAL_DATE)=0,"",'Dvd Calendar'!$Z$1803*1000000000+ISNUMBER('Dvd Calendar'!$Z$1806)*100000000+('Dvd Calendar'!$Z$1808=SPECIAL_LBL)*10000000+0*1000000+23*1000+22))</f>
        <v/>
      </c>
      <c r="FA182" s="35">
        <f>IF(N('Dvd Calendar'!$AA$1803)=0,"",IF(('Dvd Calendar'!$AA$1803&gt;=GRID_FROM)*('Dvd Calendar'!$AA$1803&lt;=GRID_TO)*('Dvd Calendar'!$AA$1803&lt;=VAL_DATE)=0,"",'Dvd Calendar'!$AA$1803*1000000000+ISNUMBER('Dvd Calendar'!$AA$1806)*100000000+('Dvd Calendar'!$AA$1808=SPECIAL_LBL)*10000000+0*1000000+23*1000+23))</f>
        <v/>
      </c>
      <c r="FB182" s="35">
        <f>IF(N('Dvd Calendar'!$AB$1803)=0,"",IF(('Dvd Calendar'!$AB$1803&gt;=GRID_FROM)*('Dvd Calendar'!$AB$1803&lt;=GRID_TO)*('Dvd Calendar'!$AB$1803&lt;=VAL_DATE)=0,"",'Dvd Calendar'!$AB$1803*1000000000+ISNUMBER('Dvd Calendar'!$AB$1806)*100000000+('Dvd Calendar'!$AB$1808=SPECIAL_LBL)*10000000+0*1000000+23*1000+24))</f>
        <v/>
      </c>
      <c r="FC182" s="35">
        <f>IF(N('Dvd Calendar'!$AC$1803)=0,"",IF(('Dvd Calendar'!$AC$1803&gt;=GRID_FROM)*('Dvd Calendar'!$AC$1803&lt;=GRID_TO)*('Dvd Calendar'!$AC$1803&lt;=VAL_DATE)=0,"",'Dvd Calendar'!$AC$1803*1000000000+ISNUMBER('Dvd Calendar'!$AC$1806)*100000000+('Dvd Calendar'!$AC$1808=SPECIAL_LBL)*10000000+0*1000000+23*1000+25))</f>
        <v/>
      </c>
      <c r="FD182" s="35">
        <f>IF(N('Dvd Calendar'!$AD$1803)=0,"",IF(('Dvd Calendar'!$AD$1803&gt;=GRID_FROM)*('Dvd Calendar'!$AD$1803&lt;=GRID_TO)*('Dvd Calendar'!$AD$1803&lt;=VAL_DATE)=0,"",'Dvd Calendar'!$AD$1803*1000000000+ISNUMBER('Dvd Calendar'!$AD$1806)*100000000+('Dvd Calendar'!$AD$1808=SPECIAL_LBL)*10000000+0*1000000+23*1000+26))</f>
        <v/>
      </c>
      <c r="FE182" s="35">
        <f>IF(N('Dvd Calendar'!$AE$1803)=0,"",IF(('Dvd Calendar'!$AE$1803&gt;=GRID_FROM)*('Dvd Calendar'!$AE$1803&lt;=GRID_TO)*('Dvd Calendar'!$AE$1803&lt;=VAL_DATE)=0,"",'Dvd Calendar'!$AE$1803*1000000000+ISNUMBER('Dvd Calendar'!$AE$1806)*100000000+('Dvd Calendar'!$AE$1808=SPECIAL_LBL)*10000000+0*1000000+23*1000+27))</f>
        <v/>
      </c>
      <c r="FF182" s="35">
        <f>IF(N('Dvd Calendar'!$AF$1803)=0,"",IF(('Dvd Calendar'!$AF$1803&gt;=GRID_FROM)*('Dvd Calendar'!$AF$1803&lt;=GRID_TO)*('Dvd Calendar'!$AF$1803&lt;=VAL_DATE)=0,"",'Dvd Calendar'!$AF$1803*1000000000+ISNUMBER('Dvd Calendar'!$AF$1806)*100000000+('Dvd Calendar'!$AF$1808=SPECIAL_LBL)*10000000+0*1000000+23*1000+28))</f>
        <v/>
      </c>
      <c r="FG182" s="35">
        <f>IF(N('Dvd Calendar'!$AG$1803)=0,"",IF(('Dvd Calendar'!$AG$1803&gt;=GRID_FROM)*('Dvd Calendar'!$AG$1803&lt;=GRID_TO)*('Dvd Calendar'!$AG$1803&lt;=VAL_DATE)=0,"",'Dvd Calendar'!$AG$1803*1000000000+ISNUMBER('Dvd Calendar'!$AG$1806)*100000000+('Dvd Calendar'!$AG$1808=SPECIAL_LBL)*10000000+0*1000000+23*1000+29))</f>
        <v/>
      </c>
      <c r="FH182" s="35">
        <f>IF(N('Dvd Calendar'!$AH$1803)=0,"",IF(('Dvd Calendar'!$AH$1803&gt;=GRID_FROM)*('Dvd Calendar'!$AH$1803&lt;=GRID_TO)*('Dvd Calendar'!$AH$1803&lt;=VAL_DATE)=0,"",'Dvd Calendar'!$AH$1803*1000000000+ISNUMBER('Dvd Calendar'!$AH$1806)*100000000+('Dvd Calendar'!$AH$1808=SPECIAL_LBL)*10000000+0*1000000+23*1000+30))</f>
        <v/>
      </c>
      <c r="FI182" s="35">
        <f>IF(N('Dvd Calendar'!$AI$1803)=0,"",IF(('Dvd Calendar'!$AI$1803&gt;=GRID_FROM)*('Dvd Calendar'!$AI$1803&lt;=GRID_TO)*('Dvd Calendar'!$AI$1803&lt;=VAL_DATE)=0,"",'Dvd Calendar'!$AI$1803*1000000000+ISNUMBER('Dvd Calendar'!$AI$1806)*100000000+('Dvd Calendar'!$AI$1808=SPECIAL_LBL)*10000000+0*1000000+23*1000+31))</f>
        <v/>
      </c>
      <c r="FJ182" s="35">
        <f>IF(N('Dvd Calendar'!$AJ$1803)=0,"",IF(('Dvd Calendar'!$AJ$1803&gt;=GRID_FROM)*('Dvd Calendar'!$AJ$1803&lt;=GRID_TO)*('Dvd Calendar'!$AJ$1803&lt;=VAL_DATE)=0,"",'Dvd Calendar'!$AJ$1803*1000000000+ISNUMBER('Dvd Calendar'!$AJ$1806)*100000000+('Dvd Calendar'!$AJ$1808=SPECIAL_LBL)*10000000+0*1000000+23*1000+32))</f>
        <v/>
      </c>
      <c r="FK182" s="35">
        <f>IF(N('Dvd Calendar'!$AK$1803)=0,"",IF(('Dvd Calendar'!$AK$1803&gt;=GRID_FROM)*('Dvd Calendar'!$AK$1803&lt;=GRID_TO)*('Dvd Calendar'!$AK$1803&lt;=VAL_DATE)=0,"",'Dvd Calendar'!$AK$1803*1000000000+ISNUMBER('Dvd Calendar'!$AK$1806)*100000000+('Dvd Calendar'!$AK$1808=SPECIAL_LBL)*10000000+0*1000000+23*1000+33))</f>
        <v/>
      </c>
      <c r="FL182" s="35">
        <f>IF(N('Dvd Calendar'!$AL$1803)=0,"",IF(('Dvd Calendar'!$AL$1803&gt;=GRID_FROM)*('Dvd Calendar'!$AL$1803&lt;=GRID_TO)*('Dvd Calendar'!$AL$1803&lt;=VAL_DATE)=0,"",'Dvd Calendar'!$AL$1803*1000000000+ISNUMBER('Dvd Calendar'!$AL$1806)*100000000+('Dvd Calendar'!$AL$1808=SPECIAL_LBL)*10000000+0*1000000+23*1000+34))</f>
        <v/>
      </c>
      <c r="FM182" s="35">
        <f>IF(N('Dvd Calendar'!$AM$1803)=0,"",IF(('Dvd Calendar'!$AM$1803&gt;=GRID_FROM)*('Dvd Calendar'!$AM$1803&lt;=GRID_TO)*('Dvd Calendar'!$AM$1803&lt;=VAL_DATE)=0,"",'Dvd Calendar'!$AM$1803*1000000000+ISNUMBER('Dvd Calendar'!$AM$1806)*100000000+('Dvd Calendar'!$AM$1808=SPECIAL_LBL)*10000000+0*1000000+23*1000+35))</f>
        <v/>
      </c>
      <c r="FN182" s="35">
        <f>IF(N('Dvd Calendar'!$AN$1803)=0,"",IF(('Dvd Calendar'!$AN$1803&gt;=GRID_FROM)*('Dvd Calendar'!$AN$1803&lt;=GRID_TO)*('Dvd Calendar'!$AN$1803&lt;=VAL_DATE)=0,"",'Dvd Calendar'!$AN$1803*1000000000+ISNUMBER('Dvd Calendar'!$AN$1806)*100000000+('Dvd Calendar'!$AN$1808=SPECIAL_LBL)*10000000+0*1000000+23*1000+36))</f>
        <v/>
      </c>
      <c r="FO182" s="35">
        <f>IF(N('Dvd Calendar'!$AO$1803)=0,"",IF(('Dvd Calendar'!$AO$1803&gt;=GRID_FROM)*('Dvd Calendar'!$AO$1803&lt;=GRID_TO)*('Dvd Calendar'!$AO$1803&lt;=VAL_DATE)=0,"",'Dvd Calendar'!$AO$1803*1000000000+ISNUMBER('Dvd Calendar'!$AO$1806)*100000000+('Dvd Calendar'!$AO$1808=SPECIAL_LBL)*10000000+0*1000000+23*1000+37))</f>
        <v/>
      </c>
      <c r="FP182" s="35">
        <f>IF(N('Dvd Calendar'!$AP$1803)=0,"",IF(('Dvd Calendar'!$AP$1803&gt;=GRID_FROM)*('Dvd Calendar'!$AP$1803&lt;=GRID_TO)*('Dvd Calendar'!$AP$1803&lt;=VAL_DATE)=0,"",'Dvd Calendar'!$AP$1803*1000000000+ISNUMBER('Dvd Calendar'!$AP$1806)*100000000+('Dvd Calendar'!$AP$1808=SPECIAL_LBL)*10000000+0*1000000+23*1000+38))</f>
        <v/>
      </c>
      <c r="FQ182" s="35">
        <f>IF(N('Dvd Calendar'!$AQ$1803)=0,"",IF(('Dvd Calendar'!$AQ$1803&gt;=GRID_FROM)*('Dvd Calendar'!$AQ$1803&lt;=GRID_TO)*('Dvd Calendar'!$AQ$1803&lt;=VAL_DATE)=0,"",'Dvd Calendar'!$AQ$1803*1000000000+ISNUMBER('Dvd Calendar'!$AQ$1806)*100000000+('Dvd Calendar'!$AQ$1808=SPECIAL_LBL)*10000000+0*1000000+23*1000+39))</f>
        <v/>
      </c>
      <c r="FR182" s="35">
        <f>IF(N('Dvd Calendar'!$AR$1803)=0,"",IF(('Dvd Calendar'!$AR$1803&gt;=GRID_FROM)*('Dvd Calendar'!$AR$1803&lt;=GRID_TO)*('Dvd Calendar'!$AR$1803&lt;=VAL_DATE)=0,"",'Dvd Calendar'!$AR$1803*1000000000+ISNUMBER('Dvd Calendar'!$AR$1806)*100000000+('Dvd Calendar'!$AR$1808=SPECIAL_LBL)*10000000+0*1000000+23*1000+40))</f>
        <v/>
      </c>
      <c r="FS182" s="35">
        <f>IF(N('Dvd Calendar'!$E$1810)=0,"",IF(('Dvd Calendar'!$E$1810&gt;=GRID_FROM)*('Dvd Calendar'!$E$1810&lt;=GRID_TO)*('Dvd Calendar'!$E$1810&gt;VAL_DATE)=0,"",'Dvd Calendar'!$E$1810*1000000000+ISNUMBER('Dvd Calendar'!$E$1811)*100000000+0*10000000+(N('Dvd Calendar'!$E$1809)&gt;0)*(N('Dvd Calendar'!$E$1809)&lt;=VAL_SERIAL)*1000000+23*1000+41))</f>
        <v/>
      </c>
      <c r="FT182" s="35">
        <f>IF(N('Dvd Calendar'!$F$1810)=0,"",IF(('Dvd Calendar'!$F$1810&gt;=GRID_FROM)*('Dvd Calendar'!$F$1810&lt;=GRID_TO)*('Dvd Calendar'!$F$1810&gt;VAL_DATE)=0,"",'Dvd Calendar'!$F$1810*1000000000+ISNUMBER('Dvd Calendar'!$F$1811)*100000000+0*10000000+(N('Dvd Calendar'!$F$1809)&gt;0)*(N('Dvd Calendar'!$F$1809)&lt;=VAL_SERIAL)*1000000+23*1000+42))</f>
        <v/>
      </c>
      <c r="FU182" s="35">
        <f>IF(N('Dvd Calendar'!$G$1810)=0,"",IF(('Dvd Calendar'!$G$1810&gt;=GRID_FROM)*('Dvd Calendar'!$G$1810&lt;=GRID_TO)*('Dvd Calendar'!$G$1810&gt;VAL_DATE)=0,"",'Dvd Calendar'!$G$1810*1000000000+ISNUMBER('Dvd Calendar'!$G$1811)*100000000+0*10000000+(N('Dvd Calendar'!$G$1809)&gt;0)*(N('Dvd Calendar'!$G$1809)&lt;=VAL_SERIAL)*1000000+23*1000+43))</f>
        <v/>
      </c>
      <c r="FV182" s="35">
        <f>IF(N('Dvd Calendar'!$H$1810)=0,"",IF(('Dvd Calendar'!$H$1810&gt;=GRID_FROM)*('Dvd Calendar'!$H$1810&lt;=GRID_TO)*('Dvd Calendar'!$H$1810&gt;VAL_DATE)=0,"",'Dvd Calendar'!$H$1810*1000000000+ISNUMBER('Dvd Calendar'!$H$1811)*100000000+0*10000000+(N('Dvd Calendar'!$H$1809)&gt;0)*(N('Dvd Calendar'!$H$1809)&lt;=VAL_SERIAL)*1000000+23*1000+44))</f>
        <v/>
      </c>
      <c r="FW182" s="35">
        <f>IF(N('Dvd Calendar'!$I$1810)=0,"",IF(('Dvd Calendar'!$I$1810&gt;=GRID_FROM)*('Dvd Calendar'!$I$1810&lt;=GRID_TO)*('Dvd Calendar'!$I$1810&gt;VAL_DATE)=0,"",'Dvd Calendar'!$I$1810*1000000000+ISNUMBER('Dvd Calendar'!$I$1811)*100000000+0*10000000+(N('Dvd Calendar'!$I$1809)&gt;0)*(N('Dvd Calendar'!$I$1809)&lt;=VAL_SERIAL)*1000000+23*1000+45))</f>
        <v/>
      </c>
      <c r="FX182" s="35">
        <f>IF(N('Dvd Calendar'!$J$1810)=0,"",IF(('Dvd Calendar'!$J$1810&gt;=GRID_FROM)*('Dvd Calendar'!$J$1810&lt;=GRID_TO)*('Dvd Calendar'!$J$1810&gt;VAL_DATE)=0,"",'Dvd Calendar'!$J$1810*1000000000+ISNUMBER('Dvd Calendar'!$J$1811)*100000000+0*10000000+(N('Dvd Calendar'!$J$1809)&gt;0)*(N('Dvd Calendar'!$J$1809)&lt;=VAL_SERIAL)*1000000+23*1000+46))</f>
        <v/>
      </c>
      <c r="FY182" s="35">
        <f>IF(N('Dvd Calendar'!$K$1810)=0,"",IF(('Dvd Calendar'!$K$1810&gt;=GRID_FROM)*('Dvd Calendar'!$K$1810&lt;=GRID_TO)*('Dvd Calendar'!$K$1810&gt;VAL_DATE)=0,"",'Dvd Calendar'!$K$1810*1000000000+ISNUMBER('Dvd Calendar'!$K$1811)*100000000+0*10000000+(N('Dvd Calendar'!$K$1809)&gt;0)*(N('Dvd Calendar'!$K$1809)&lt;=VAL_SERIAL)*1000000+23*1000+47))</f>
        <v/>
      </c>
      <c r="FZ182" s="35">
        <f>IF(N('Dvd Calendar'!$L$1810)=0,"",IF(('Dvd Calendar'!$L$1810&gt;=GRID_FROM)*('Dvd Calendar'!$L$1810&lt;=GRID_TO)*('Dvd Calendar'!$L$1810&gt;VAL_DATE)=0,"",'Dvd Calendar'!$L$1810*1000000000+ISNUMBER('Dvd Calendar'!$L$1811)*100000000+0*10000000+(N('Dvd Calendar'!$L$1809)&gt;0)*(N('Dvd Calendar'!$L$1809)&lt;=VAL_SERIAL)*1000000+23*1000+48))</f>
        <v/>
      </c>
      <c r="GA182" s="35">
        <f>IF(N('Dvd Calendar'!$M$1810)=0,"",IF(('Dvd Calendar'!$M$1810&gt;=GRID_FROM)*('Dvd Calendar'!$M$1810&lt;=GRID_TO)*('Dvd Calendar'!$M$1810&gt;VAL_DATE)=0,"",'Dvd Calendar'!$M$1810*1000000000+ISNUMBER('Dvd Calendar'!$M$1811)*100000000+0*10000000+(N('Dvd Calendar'!$M$1809)&gt;0)*(N('Dvd Calendar'!$M$1809)&lt;=VAL_SERIAL)*1000000+23*1000+49))</f>
        <v/>
      </c>
      <c r="GB182" s="35">
        <f>IF(N('Dvd Calendar'!$N$1810)=0,"",IF(('Dvd Calendar'!$N$1810&gt;=GRID_FROM)*('Dvd Calendar'!$N$1810&lt;=GRID_TO)*('Dvd Calendar'!$N$1810&gt;VAL_DATE)=0,"",'Dvd Calendar'!$N$1810*1000000000+ISNUMBER('Dvd Calendar'!$N$1811)*100000000+0*10000000+(N('Dvd Calendar'!$N$1809)&gt;0)*(N('Dvd Calendar'!$N$1809)&lt;=VAL_SERIAL)*1000000+23*1000+50))</f>
        <v/>
      </c>
      <c r="GC182" s="35">
        <f>IF(N('Dvd Calendar'!$O$1810)=0,"",IF(('Dvd Calendar'!$O$1810&gt;=GRID_FROM)*('Dvd Calendar'!$O$1810&lt;=GRID_TO)*('Dvd Calendar'!$O$1810&gt;VAL_DATE)=0,"",'Dvd Calendar'!$O$1810*1000000000+ISNUMBER('Dvd Calendar'!$O$1811)*100000000+0*10000000+(N('Dvd Calendar'!$O$1809)&gt;0)*(N('Dvd Calendar'!$O$1809)&lt;=VAL_SERIAL)*1000000+23*1000+51))</f>
        <v/>
      </c>
      <c r="GD182" s="35">
        <f>IF(N('Dvd Calendar'!$P$1810)=0,"",IF(('Dvd Calendar'!$P$1810&gt;=GRID_FROM)*('Dvd Calendar'!$P$1810&lt;=GRID_TO)*('Dvd Calendar'!$P$1810&gt;VAL_DATE)=0,"",'Dvd Calendar'!$P$1810*1000000000+ISNUMBER('Dvd Calendar'!$P$1811)*100000000+0*10000000+(N('Dvd Calendar'!$P$1809)&gt;0)*(N('Dvd Calendar'!$P$1809)&lt;=VAL_SERIAL)*1000000+23*1000+52))</f>
        <v/>
      </c>
      <c r="GE182" s="35">
        <f>IF(N('Dvd Calendar'!$Q$1810)=0,"",IF(('Dvd Calendar'!$Q$1810&gt;=GRID_FROM)*('Dvd Calendar'!$Q$1810&lt;=GRID_TO)*('Dvd Calendar'!$Q$1810&gt;VAL_DATE)=0,"",'Dvd Calendar'!$Q$1810*1000000000+ISNUMBER('Dvd Calendar'!$Q$1811)*100000000+0*10000000+(N('Dvd Calendar'!$Q$1809)&gt;0)*(N('Dvd Calendar'!$Q$1809)&lt;=VAL_SERIAL)*1000000+23*1000+53))</f>
        <v/>
      </c>
      <c r="GF182" s="35">
        <f>IF(N('Dvd Calendar'!$R$1810)=0,"",IF(('Dvd Calendar'!$R$1810&gt;=GRID_FROM)*('Dvd Calendar'!$R$1810&lt;=GRID_TO)*('Dvd Calendar'!$R$1810&gt;VAL_DATE)=0,"",'Dvd Calendar'!$R$1810*1000000000+ISNUMBER('Dvd Calendar'!$R$1811)*100000000+0*10000000+(N('Dvd Calendar'!$R$1809)&gt;0)*(N('Dvd Calendar'!$R$1809)&lt;=VAL_SERIAL)*1000000+23*1000+54))</f>
        <v/>
      </c>
      <c r="GG182" s="35">
        <f>IF(N('Dvd Calendar'!$S$1810)=0,"",IF(('Dvd Calendar'!$S$1810&gt;=GRID_FROM)*('Dvd Calendar'!$S$1810&lt;=GRID_TO)*('Dvd Calendar'!$S$1810&gt;VAL_DATE)=0,"",'Dvd Calendar'!$S$1810*1000000000+ISNUMBER('Dvd Calendar'!$S$1811)*100000000+0*10000000+(N('Dvd Calendar'!$S$1809)&gt;0)*(N('Dvd Calendar'!$S$1809)&lt;=VAL_SERIAL)*1000000+23*1000+55))</f>
        <v/>
      </c>
      <c r="GH182" s="35">
        <f>IF(N('Dvd Calendar'!$T$1810)=0,"",IF(('Dvd Calendar'!$T$1810&gt;=GRID_FROM)*('Dvd Calendar'!$T$1810&lt;=GRID_TO)*('Dvd Calendar'!$T$1810&gt;VAL_DATE)=0,"",'Dvd Calendar'!$T$1810*1000000000+ISNUMBER('Dvd Calendar'!$T$1811)*100000000+0*10000000+(N('Dvd Calendar'!$T$1809)&gt;0)*(N('Dvd Calendar'!$T$1809)&lt;=VAL_SERIAL)*1000000+23*1000+56))</f>
        <v/>
      </c>
      <c r="GI182" s="35">
        <f>IF(N('Dvd Calendar'!$U$1810)=0,"",IF(('Dvd Calendar'!$U$1810&gt;=GRID_FROM)*('Dvd Calendar'!$U$1810&lt;=GRID_TO)*('Dvd Calendar'!$U$1810&gt;VAL_DATE)=0,"",'Dvd Calendar'!$U$1810*1000000000+ISNUMBER('Dvd Calendar'!$U$1811)*100000000+0*10000000+(N('Dvd Calendar'!$U$1809)&gt;0)*(N('Dvd Calendar'!$U$1809)&lt;=VAL_SERIAL)*1000000+23*1000+57))</f>
        <v/>
      </c>
      <c r="GJ182" s="35">
        <f>IF(N('Dvd Calendar'!$V$1810)=0,"",IF(('Dvd Calendar'!$V$1810&gt;=GRID_FROM)*('Dvd Calendar'!$V$1810&lt;=GRID_TO)*('Dvd Calendar'!$V$1810&gt;VAL_DATE)=0,"",'Dvd Calendar'!$V$1810*1000000000+ISNUMBER('Dvd Calendar'!$V$1811)*100000000+0*10000000+(N('Dvd Calendar'!$V$1809)&gt;0)*(N('Dvd Calendar'!$V$1809)&lt;=VAL_SERIAL)*1000000+23*1000+58))</f>
        <v/>
      </c>
      <c r="GK182" s="35">
        <f>IF(N('Dvd Calendar'!$W$1810)=0,"",IF(('Dvd Calendar'!$W$1810&gt;=GRID_FROM)*('Dvd Calendar'!$W$1810&lt;=GRID_TO)*('Dvd Calendar'!$W$1810&gt;VAL_DATE)=0,"",'Dvd Calendar'!$W$1810*1000000000+ISNUMBER('Dvd Calendar'!$W$1811)*100000000+0*10000000+(N('Dvd Calendar'!$W$1809)&gt;0)*(N('Dvd Calendar'!$W$1809)&lt;=VAL_SERIAL)*1000000+23*1000+59))</f>
        <v/>
      </c>
      <c r="GL182" s="35">
        <f>IF(N('Dvd Calendar'!$X$1810)=0,"",IF(('Dvd Calendar'!$X$1810&gt;=GRID_FROM)*('Dvd Calendar'!$X$1810&lt;=GRID_TO)*('Dvd Calendar'!$X$1810&gt;VAL_DATE)=0,"",'Dvd Calendar'!$X$1810*1000000000+ISNUMBER('Dvd Calendar'!$X$1811)*100000000+0*10000000+(N('Dvd Calendar'!$X$1809)&gt;0)*(N('Dvd Calendar'!$X$1809)&lt;=VAL_SERIAL)*1000000+23*1000+60))</f>
        <v/>
      </c>
      <c r="GM182" s="35">
        <f>IF(N('Dvd Calendar'!$Y$1810)=0,"",IF(('Dvd Calendar'!$Y$1810&gt;=GRID_FROM)*('Dvd Calendar'!$Y$1810&lt;=GRID_TO)*('Dvd Calendar'!$Y$1810&gt;VAL_DATE)=0,"",'Dvd Calendar'!$Y$1810*1000000000+ISNUMBER('Dvd Calendar'!$Y$1811)*100000000+0*10000000+(N('Dvd Calendar'!$Y$1809)&gt;0)*(N('Dvd Calendar'!$Y$1809)&lt;=VAL_SERIAL)*1000000+23*1000+61))</f>
        <v/>
      </c>
      <c r="GN182" s="35">
        <f>IF(N('Dvd Calendar'!$Z$1810)=0,"",IF(('Dvd Calendar'!$Z$1810&gt;=GRID_FROM)*('Dvd Calendar'!$Z$1810&lt;=GRID_TO)*('Dvd Calendar'!$Z$1810&gt;VAL_DATE)=0,"",'Dvd Calendar'!$Z$1810*1000000000+ISNUMBER('Dvd Calendar'!$Z$1811)*100000000+0*10000000+(N('Dvd Calendar'!$Z$1809)&gt;0)*(N('Dvd Calendar'!$Z$1809)&lt;=VAL_SERIAL)*1000000+23*1000+62))</f>
        <v/>
      </c>
      <c r="GO182" s="35">
        <f>IF(N('Dvd Calendar'!$AA$1810)=0,"",IF(('Dvd Calendar'!$AA$1810&gt;=GRID_FROM)*('Dvd Calendar'!$AA$1810&lt;=GRID_TO)*('Dvd Calendar'!$AA$1810&gt;VAL_DATE)=0,"",'Dvd Calendar'!$AA$1810*1000000000+ISNUMBER('Dvd Calendar'!$AA$1811)*100000000+0*10000000+(N('Dvd Calendar'!$AA$1809)&gt;0)*(N('Dvd Calendar'!$AA$1809)&lt;=VAL_SERIAL)*1000000+23*1000+63))</f>
        <v/>
      </c>
      <c r="GP182" s="35">
        <f>IF(N('Dvd Calendar'!$AB$1810)=0,"",IF(('Dvd Calendar'!$AB$1810&gt;=GRID_FROM)*('Dvd Calendar'!$AB$1810&lt;=GRID_TO)*('Dvd Calendar'!$AB$1810&gt;VAL_DATE)=0,"",'Dvd Calendar'!$AB$1810*1000000000+ISNUMBER('Dvd Calendar'!$AB$1811)*100000000+0*10000000+(N('Dvd Calendar'!$AB$1809)&gt;0)*(N('Dvd Calendar'!$AB$1809)&lt;=VAL_SERIAL)*1000000+23*1000+64))</f>
        <v/>
      </c>
      <c r="GQ182" s="35">
        <f>IF(N('Dvd Calendar'!$AC$1810)=0,"",IF(('Dvd Calendar'!$AC$1810&gt;=GRID_FROM)*('Dvd Calendar'!$AC$1810&lt;=GRID_TO)*('Dvd Calendar'!$AC$1810&gt;VAL_DATE)=0,"",'Dvd Calendar'!$AC$1810*1000000000+ISNUMBER('Dvd Calendar'!$AC$1811)*100000000+0*10000000+(N('Dvd Calendar'!$AC$1809)&gt;0)*(N('Dvd Calendar'!$AC$1809)&lt;=VAL_SERIAL)*1000000+23*1000+65))</f>
        <v/>
      </c>
    </row>
    <row r="183">
      <c r="B183" s="2">
        <f>IF(HSCEI!$C$30="","",HSCEI!$C$30)</f>
        <v/>
      </c>
      <c r="C183" s="106">
        <f>IF(EE183="","",IF(ISNUMBER('Dvd Calendar'!$E$1817)=FALSE,"",IF((('Dvd Calendar'!$E$1819=TYPE1)*(TYPE1&lt;&gt;"")+('Dvd Calendar'!$E$1819=TYPE2)*(TYPE2&lt;&gt;"")+('Dvd Calendar'!$E$1819=TYPE3)*(TYPE3&lt;&gt;"")+('Dvd Calendar'!$E$1819=TYPE4)*(TYPE4&lt;&gt;"")+('Dvd Calendar'!$E$1819=SPECIAL_LBL)*(INC_SPECIALS="Y"))=0,"",'Dvd Calendar'!$E$1817)))</f>
        <v/>
      </c>
      <c r="D183" s="106">
        <f>IF(EF183="","",IF(ISNUMBER('Dvd Calendar'!$F$1817)=FALSE,"",IF((('Dvd Calendar'!$F$1819=TYPE1)*(TYPE1&lt;&gt;"")+('Dvd Calendar'!$F$1819=TYPE2)*(TYPE2&lt;&gt;"")+('Dvd Calendar'!$F$1819=TYPE3)*(TYPE3&lt;&gt;"")+('Dvd Calendar'!$F$1819=TYPE4)*(TYPE4&lt;&gt;"")+('Dvd Calendar'!$F$1819=SPECIAL_LBL)*(INC_SPECIALS="Y"))=0,"",'Dvd Calendar'!$F$1817)))</f>
        <v/>
      </c>
      <c r="E183" s="106">
        <f>IF(EG183="","",IF(ISNUMBER('Dvd Calendar'!$G$1817)=FALSE,"",IF((('Dvd Calendar'!$G$1819=TYPE1)*(TYPE1&lt;&gt;"")+('Dvd Calendar'!$G$1819=TYPE2)*(TYPE2&lt;&gt;"")+('Dvd Calendar'!$G$1819=TYPE3)*(TYPE3&lt;&gt;"")+('Dvd Calendar'!$G$1819=TYPE4)*(TYPE4&lt;&gt;"")+('Dvd Calendar'!$G$1819=SPECIAL_LBL)*(INC_SPECIALS="Y"))=0,"",'Dvd Calendar'!$G$1817)))</f>
        <v/>
      </c>
      <c r="F183" s="106">
        <f>IF(EH183="","",IF(ISNUMBER('Dvd Calendar'!$H$1817)=FALSE,"",IF((('Dvd Calendar'!$H$1819=TYPE1)*(TYPE1&lt;&gt;"")+('Dvd Calendar'!$H$1819=TYPE2)*(TYPE2&lt;&gt;"")+('Dvd Calendar'!$H$1819=TYPE3)*(TYPE3&lt;&gt;"")+('Dvd Calendar'!$H$1819=TYPE4)*(TYPE4&lt;&gt;"")+('Dvd Calendar'!$H$1819=SPECIAL_LBL)*(INC_SPECIALS="Y"))=0,"",'Dvd Calendar'!$H$1817)))</f>
        <v/>
      </c>
      <c r="G183" s="106">
        <f>IF(EI183="","",IF(ISNUMBER('Dvd Calendar'!$I$1817)=FALSE,"",IF((('Dvd Calendar'!$I$1819=TYPE1)*(TYPE1&lt;&gt;"")+('Dvd Calendar'!$I$1819=TYPE2)*(TYPE2&lt;&gt;"")+('Dvd Calendar'!$I$1819=TYPE3)*(TYPE3&lt;&gt;"")+('Dvd Calendar'!$I$1819=TYPE4)*(TYPE4&lt;&gt;"")+('Dvd Calendar'!$I$1819=SPECIAL_LBL)*(INC_SPECIALS="Y"))=0,"",'Dvd Calendar'!$I$1817)))</f>
        <v/>
      </c>
      <c r="H183" s="106">
        <f>IF(EJ183="","",IF(ISNUMBER('Dvd Calendar'!$J$1817)=FALSE,"",IF((('Dvd Calendar'!$J$1819=TYPE1)*(TYPE1&lt;&gt;"")+('Dvd Calendar'!$J$1819=TYPE2)*(TYPE2&lt;&gt;"")+('Dvd Calendar'!$J$1819=TYPE3)*(TYPE3&lt;&gt;"")+('Dvd Calendar'!$J$1819=TYPE4)*(TYPE4&lt;&gt;"")+('Dvd Calendar'!$J$1819=SPECIAL_LBL)*(INC_SPECIALS="Y"))=0,"",'Dvd Calendar'!$J$1817)))</f>
        <v/>
      </c>
      <c r="I183" s="106">
        <f>IF(EK183="","",IF(ISNUMBER('Dvd Calendar'!$K$1817)=FALSE,"",IF((('Dvd Calendar'!$K$1819=TYPE1)*(TYPE1&lt;&gt;"")+('Dvd Calendar'!$K$1819=TYPE2)*(TYPE2&lt;&gt;"")+('Dvd Calendar'!$K$1819=TYPE3)*(TYPE3&lt;&gt;"")+('Dvd Calendar'!$K$1819=TYPE4)*(TYPE4&lt;&gt;"")+('Dvd Calendar'!$K$1819=SPECIAL_LBL)*(INC_SPECIALS="Y"))=0,"",'Dvd Calendar'!$K$1817)))</f>
        <v/>
      </c>
      <c r="J183" s="106">
        <f>IF(EL183="","",IF(ISNUMBER('Dvd Calendar'!$L$1817)=FALSE,"",IF((('Dvd Calendar'!$L$1819=TYPE1)*(TYPE1&lt;&gt;"")+('Dvd Calendar'!$L$1819=TYPE2)*(TYPE2&lt;&gt;"")+('Dvd Calendar'!$L$1819=TYPE3)*(TYPE3&lt;&gt;"")+('Dvd Calendar'!$L$1819=TYPE4)*(TYPE4&lt;&gt;"")+('Dvd Calendar'!$L$1819=SPECIAL_LBL)*(INC_SPECIALS="Y"))=0,"",'Dvd Calendar'!$L$1817)))</f>
        <v/>
      </c>
      <c r="K183" s="106">
        <f>IF(EM183="","",IF(ISNUMBER('Dvd Calendar'!$M$1817)=FALSE,"",IF((('Dvd Calendar'!$M$1819=TYPE1)*(TYPE1&lt;&gt;"")+('Dvd Calendar'!$M$1819=TYPE2)*(TYPE2&lt;&gt;"")+('Dvd Calendar'!$M$1819=TYPE3)*(TYPE3&lt;&gt;"")+('Dvd Calendar'!$M$1819=TYPE4)*(TYPE4&lt;&gt;"")+('Dvd Calendar'!$M$1819=SPECIAL_LBL)*(INC_SPECIALS="Y"))=0,"",'Dvd Calendar'!$M$1817)))</f>
        <v/>
      </c>
      <c r="L183" s="106">
        <f>IF(EN183="","",IF(ISNUMBER('Dvd Calendar'!$N$1817)=FALSE,"",IF((('Dvd Calendar'!$N$1819=TYPE1)*(TYPE1&lt;&gt;"")+('Dvd Calendar'!$N$1819=TYPE2)*(TYPE2&lt;&gt;"")+('Dvd Calendar'!$N$1819=TYPE3)*(TYPE3&lt;&gt;"")+('Dvd Calendar'!$N$1819=TYPE4)*(TYPE4&lt;&gt;"")+('Dvd Calendar'!$N$1819=SPECIAL_LBL)*(INC_SPECIALS="Y"))=0,"",'Dvd Calendar'!$N$1817)))</f>
        <v/>
      </c>
      <c r="M183" s="106">
        <f>IF(EO183="","",IF(ISNUMBER('Dvd Calendar'!$O$1817)=FALSE,"",IF((('Dvd Calendar'!$O$1819=TYPE1)*(TYPE1&lt;&gt;"")+('Dvd Calendar'!$O$1819=TYPE2)*(TYPE2&lt;&gt;"")+('Dvd Calendar'!$O$1819=TYPE3)*(TYPE3&lt;&gt;"")+('Dvd Calendar'!$O$1819=TYPE4)*(TYPE4&lt;&gt;"")+('Dvd Calendar'!$O$1819=SPECIAL_LBL)*(INC_SPECIALS="Y"))=0,"",'Dvd Calendar'!$O$1817)))</f>
        <v/>
      </c>
      <c r="N183" s="106">
        <f>IF(EP183="","",IF(ISNUMBER('Dvd Calendar'!$P$1817)=FALSE,"",IF((('Dvd Calendar'!$P$1819=TYPE1)*(TYPE1&lt;&gt;"")+('Dvd Calendar'!$P$1819=TYPE2)*(TYPE2&lt;&gt;"")+('Dvd Calendar'!$P$1819=TYPE3)*(TYPE3&lt;&gt;"")+('Dvd Calendar'!$P$1819=TYPE4)*(TYPE4&lt;&gt;"")+('Dvd Calendar'!$P$1819=SPECIAL_LBL)*(INC_SPECIALS="Y"))=0,"",'Dvd Calendar'!$P$1817)))</f>
        <v/>
      </c>
      <c r="O183" s="106">
        <f>IF(EQ183="","",IF(ISNUMBER('Dvd Calendar'!$Q$1817)=FALSE,"",IF((('Dvd Calendar'!$Q$1819=TYPE1)*(TYPE1&lt;&gt;"")+('Dvd Calendar'!$Q$1819=TYPE2)*(TYPE2&lt;&gt;"")+('Dvd Calendar'!$Q$1819=TYPE3)*(TYPE3&lt;&gt;"")+('Dvd Calendar'!$Q$1819=TYPE4)*(TYPE4&lt;&gt;"")+('Dvd Calendar'!$Q$1819=SPECIAL_LBL)*(INC_SPECIALS="Y"))=0,"",'Dvd Calendar'!$Q$1817)))</f>
        <v/>
      </c>
      <c r="P183" s="106">
        <f>IF(ER183="","",IF(ISNUMBER('Dvd Calendar'!$R$1817)=FALSE,"",IF((('Dvd Calendar'!$R$1819=TYPE1)*(TYPE1&lt;&gt;"")+('Dvd Calendar'!$R$1819=TYPE2)*(TYPE2&lt;&gt;"")+('Dvd Calendar'!$R$1819=TYPE3)*(TYPE3&lt;&gt;"")+('Dvd Calendar'!$R$1819=TYPE4)*(TYPE4&lt;&gt;"")+('Dvd Calendar'!$R$1819=SPECIAL_LBL)*(INC_SPECIALS="Y"))=0,"",'Dvd Calendar'!$R$1817)))</f>
        <v/>
      </c>
      <c r="Q183" s="106">
        <f>IF(ES183="","",IF(ISNUMBER('Dvd Calendar'!$S$1817)=FALSE,"",IF((('Dvd Calendar'!$S$1819=TYPE1)*(TYPE1&lt;&gt;"")+('Dvd Calendar'!$S$1819=TYPE2)*(TYPE2&lt;&gt;"")+('Dvd Calendar'!$S$1819=TYPE3)*(TYPE3&lt;&gt;"")+('Dvd Calendar'!$S$1819=TYPE4)*(TYPE4&lt;&gt;"")+('Dvd Calendar'!$S$1819=SPECIAL_LBL)*(INC_SPECIALS="Y"))=0,"",'Dvd Calendar'!$S$1817)))</f>
        <v/>
      </c>
      <c r="R183" s="106">
        <f>IF(ET183="","",IF(ISNUMBER('Dvd Calendar'!$T$1817)=FALSE,"",IF((('Dvd Calendar'!$T$1819=TYPE1)*(TYPE1&lt;&gt;"")+('Dvd Calendar'!$T$1819=TYPE2)*(TYPE2&lt;&gt;"")+('Dvd Calendar'!$T$1819=TYPE3)*(TYPE3&lt;&gt;"")+('Dvd Calendar'!$T$1819=TYPE4)*(TYPE4&lt;&gt;"")+('Dvd Calendar'!$T$1819=SPECIAL_LBL)*(INC_SPECIALS="Y"))=0,"",'Dvd Calendar'!$T$1817)))</f>
        <v/>
      </c>
      <c r="S183" s="106">
        <f>IF(EU183="","",IF(ISNUMBER('Dvd Calendar'!$U$1817)=FALSE,"",IF((('Dvd Calendar'!$U$1819=TYPE1)*(TYPE1&lt;&gt;"")+('Dvd Calendar'!$U$1819=TYPE2)*(TYPE2&lt;&gt;"")+('Dvd Calendar'!$U$1819=TYPE3)*(TYPE3&lt;&gt;"")+('Dvd Calendar'!$U$1819=TYPE4)*(TYPE4&lt;&gt;"")+('Dvd Calendar'!$U$1819=SPECIAL_LBL)*(INC_SPECIALS="Y"))=0,"",'Dvd Calendar'!$U$1817)))</f>
        <v/>
      </c>
      <c r="T183" s="106">
        <f>IF(EV183="","",IF(ISNUMBER('Dvd Calendar'!$V$1817)=FALSE,"",IF((('Dvd Calendar'!$V$1819=TYPE1)*(TYPE1&lt;&gt;"")+('Dvd Calendar'!$V$1819=TYPE2)*(TYPE2&lt;&gt;"")+('Dvd Calendar'!$V$1819=TYPE3)*(TYPE3&lt;&gt;"")+('Dvd Calendar'!$V$1819=TYPE4)*(TYPE4&lt;&gt;"")+('Dvd Calendar'!$V$1819=SPECIAL_LBL)*(INC_SPECIALS="Y"))=0,"",'Dvd Calendar'!$V$1817)))</f>
        <v/>
      </c>
      <c r="U183" s="106">
        <f>IF(EW183="","",IF(ISNUMBER('Dvd Calendar'!$W$1817)=FALSE,"",IF((('Dvd Calendar'!$W$1819=TYPE1)*(TYPE1&lt;&gt;"")+('Dvd Calendar'!$W$1819=TYPE2)*(TYPE2&lt;&gt;"")+('Dvd Calendar'!$W$1819=TYPE3)*(TYPE3&lt;&gt;"")+('Dvd Calendar'!$W$1819=TYPE4)*(TYPE4&lt;&gt;"")+('Dvd Calendar'!$W$1819=SPECIAL_LBL)*(INC_SPECIALS="Y"))=0,"",'Dvd Calendar'!$W$1817)))</f>
        <v/>
      </c>
      <c r="V183" s="106">
        <f>IF(EX183="","",IF(ISNUMBER('Dvd Calendar'!$X$1817)=FALSE,"",IF((('Dvd Calendar'!$X$1819=TYPE1)*(TYPE1&lt;&gt;"")+('Dvd Calendar'!$X$1819=TYPE2)*(TYPE2&lt;&gt;"")+('Dvd Calendar'!$X$1819=TYPE3)*(TYPE3&lt;&gt;"")+('Dvd Calendar'!$X$1819=TYPE4)*(TYPE4&lt;&gt;"")+('Dvd Calendar'!$X$1819=SPECIAL_LBL)*(INC_SPECIALS="Y"))=0,"",'Dvd Calendar'!$X$1817)))</f>
        <v/>
      </c>
      <c r="W183" s="106">
        <f>IF(EY183="","",IF(ISNUMBER('Dvd Calendar'!$Y$1817)=FALSE,"",IF((('Dvd Calendar'!$Y$1819=TYPE1)*(TYPE1&lt;&gt;"")+('Dvd Calendar'!$Y$1819=TYPE2)*(TYPE2&lt;&gt;"")+('Dvd Calendar'!$Y$1819=TYPE3)*(TYPE3&lt;&gt;"")+('Dvd Calendar'!$Y$1819=TYPE4)*(TYPE4&lt;&gt;"")+('Dvd Calendar'!$Y$1819=SPECIAL_LBL)*(INC_SPECIALS="Y"))=0,"",'Dvd Calendar'!$Y$1817)))</f>
        <v/>
      </c>
      <c r="X183" s="106">
        <f>IF(EZ183="","",IF(ISNUMBER('Dvd Calendar'!$Z$1817)=FALSE,"",IF((('Dvd Calendar'!$Z$1819=TYPE1)*(TYPE1&lt;&gt;"")+('Dvd Calendar'!$Z$1819=TYPE2)*(TYPE2&lt;&gt;"")+('Dvd Calendar'!$Z$1819=TYPE3)*(TYPE3&lt;&gt;"")+('Dvd Calendar'!$Z$1819=TYPE4)*(TYPE4&lt;&gt;"")+('Dvd Calendar'!$Z$1819=SPECIAL_LBL)*(INC_SPECIALS="Y"))=0,"",'Dvd Calendar'!$Z$1817)))</f>
        <v/>
      </c>
      <c r="Y183" s="106">
        <f>IF(FA183="","",IF(ISNUMBER('Dvd Calendar'!$AA$1817)=FALSE,"",IF((('Dvd Calendar'!$AA$1819=TYPE1)*(TYPE1&lt;&gt;"")+('Dvd Calendar'!$AA$1819=TYPE2)*(TYPE2&lt;&gt;"")+('Dvd Calendar'!$AA$1819=TYPE3)*(TYPE3&lt;&gt;"")+('Dvd Calendar'!$AA$1819=TYPE4)*(TYPE4&lt;&gt;"")+('Dvd Calendar'!$AA$1819=SPECIAL_LBL)*(INC_SPECIALS="Y"))=0,"",'Dvd Calendar'!$AA$1817)))</f>
        <v/>
      </c>
      <c r="Z183" s="106">
        <f>IF(FB183="","",IF(ISNUMBER('Dvd Calendar'!$AB$1817)=FALSE,"",IF((('Dvd Calendar'!$AB$1819=TYPE1)*(TYPE1&lt;&gt;"")+('Dvd Calendar'!$AB$1819=TYPE2)*(TYPE2&lt;&gt;"")+('Dvd Calendar'!$AB$1819=TYPE3)*(TYPE3&lt;&gt;"")+('Dvd Calendar'!$AB$1819=TYPE4)*(TYPE4&lt;&gt;"")+('Dvd Calendar'!$AB$1819=SPECIAL_LBL)*(INC_SPECIALS="Y"))=0,"",'Dvd Calendar'!$AB$1817)))</f>
        <v/>
      </c>
      <c r="AA183" s="106">
        <f>IF(FC183="","",IF(ISNUMBER('Dvd Calendar'!$AC$1817)=FALSE,"",IF((('Dvd Calendar'!$AC$1819=TYPE1)*(TYPE1&lt;&gt;"")+('Dvd Calendar'!$AC$1819=TYPE2)*(TYPE2&lt;&gt;"")+('Dvd Calendar'!$AC$1819=TYPE3)*(TYPE3&lt;&gt;"")+('Dvd Calendar'!$AC$1819=TYPE4)*(TYPE4&lt;&gt;"")+('Dvd Calendar'!$AC$1819=SPECIAL_LBL)*(INC_SPECIALS="Y"))=0,"",'Dvd Calendar'!$AC$1817)))</f>
        <v/>
      </c>
      <c r="AB183" s="106">
        <f>IF(FD183="","",IF(ISNUMBER('Dvd Calendar'!$AD$1817)=FALSE,"",IF((('Dvd Calendar'!$AD$1819=TYPE1)*(TYPE1&lt;&gt;"")+('Dvd Calendar'!$AD$1819=TYPE2)*(TYPE2&lt;&gt;"")+('Dvd Calendar'!$AD$1819=TYPE3)*(TYPE3&lt;&gt;"")+('Dvd Calendar'!$AD$1819=TYPE4)*(TYPE4&lt;&gt;"")+('Dvd Calendar'!$AD$1819=SPECIAL_LBL)*(INC_SPECIALS="Y"))=0,"",'Dvd Calendar'!$AD$1817)))</f>
        <v/>
      </c>
      <c r="AC183" s="106">
        <f>IF(FE183="","",IF(ISNUMBER('Dvd Calendar'!$AE$1817)=FALSE,"",IF((('Dvd Calendar'!$AE$1819=TYPE1)*(TYPE1&lt;&gt;"")+('Dvd Calendar'!$AE$1819=TYPE2)*(TYPE2&lt;&gt;"")+('Dvd Calendar'!$AE$1819=TYPE3)*(TYPE3&lt;&gt;"")+('Dvd Calendar'!$AE$1819=TYPE4)*(TYPE4&lt;&gt;"")+('Dvd Calendar'!$AE$1819=SPECIAL_LBL)*(INC_SPECIALS="Y"))=0,"",'Dvd Calendar'!$AE$1817)))</f>
        <v/>
      </c>
      <c r="AD183" s="106">
        <f>IF(FF183="","",IF(ISNUMBER('Dvd Calendar'!$AF$1817)=FALSE,"",IF((('Dvd Calendar'!$AF$1819=TYPE1)*(TYPE1&lt;&gt;"")+('Dvd Calendar'!$AF$1819=TYPE2)*(TYPE2&lt;&gt;"")+('Dvd Calendar'!$AF$1819=TYPE3)*(TYPE3&lt;&gt;"")+('Dvd Calendar'!$AF$1819=TYPE4)*(TYPE4&lt;&gt;"")+('Dvd Calendar'!$AF$1819=SPECIAL_LBL)*(INC_SPECIALS="Y"))=0,"",'Dvd Calendar'!$AF$1817)))</f>
        <v/>
      </c>
      <c r="AE183" s="106">
        <f>IF(FG183="","",IF(ISNUMBER('Dvd Calendar'!$AG$1817)=FALSE,"",IF((('Dvd Calendar'!$AG$1819=TYPE1)*(TYPE1&lt;&gt;"")+('Dvd Calendar'!$AG$1819=TYPE2)*(TYPE2&lt;&gt;"")+('Dvd Calendar'!$AG$1819=TYPE3)*(TYPE3&lt;&gt;"")+('Dvd Calendar'!$AG$1819=TYPE4)*(TYPE4&lt;&gt;"")+('Dvd Calendar'!$AG$1819=SPECIAL_LBL)*(INC_SPECIALS="Y"))=0,"",'Dvd Calendar'!$AG$1817)))</f>
        <v/>
      </c>
      <c r="AF183" s="106">
        <f>IF(FH183="","",IF(ISNUMBER('Dvd Calendar'!$AH$1817)=FALSE,"",IF((('Dvd Calendar'!$AH$1819=TYPE1)*(TYPE1&lt;&gt;"")+('Dvd Calendar'!$AH$1819=TYPE2)*(TYPE2&lt;&gt;"")+('Dvd Calendar'!$AH$1819=TYPE3)*(TYPE3&lt;&gt;"")+('Dvd Calendar'!$AH$1819=TYPE4)*(TYPE4&lt;&gt;"")+('Dvd Calendar'!$AH$1819=SPECIAL_LBL)*(INC_SPECIALS="Y"))=0,"",'Dvd Calendar'!$AH$1817)))</f>
        <v/>
      </c>
      <c r="AG183" s="106">
        <f>IF(FI183="","",IF(ISNUMBER('Dvd Calendar'!$AI$1817)=FALSE,"",IF((('Dvd Calendar'!$AI$1819=TYPE1)*(TYPE1&lt;&gt;"")+('Dvd Calendar'!$AI$1819=TYPE2)*(TYPE2&lt;&gt;"")+('Dvd Calendar'!$AI$1819=TYPE3)*(TYPE3&lt;&gt;"")+('Dvd Calendar'!$AI$1819=TYPE4)*(TYPE4&lt;&gt;"")+('Dvd Calendar'!$AI$1819=SPECIAL_LBL)*(INC_SPECIALS="Y"))=0,"",'Dvd Calendar'!$AI$1817)))</f>
        <v/>
      </c>
      <c r="AH183" s="106">
        <f>IF(FJ183="","",IF(ISNUMBER('Dvd Calendar'!$AJ$1817)=FALSE,"",IF((('Dvd Calendar'!$AJ$1819=TYPE1)*(TYPE1&lt;&gt;"")+('Dvd Calendar'!$AJ$1819=TYPE2)*(TYPE2&lt;&gt;"")+('Dvd Calendar'!$AJ$1819=TYPE3)*(TYPE3&lt;&gt;"")+('Dvd Calendar'!$AJ$1819=TYPE4)*(TYPE4&lt;&gt;"")+('Dvd Calendar'!$AJ$1819=SPECIAL_LBL)*(INC_SPECIALS="Y"))=0,"",'Dvd Calendar'!$AJ$1817)))</f>
        <v/>
      </c>
      <c r="AI183" s="106">
        <f>IF(FK183="","",IF(ISNUMBER('Dvd Calendar'!$AK$1817)=FALSE,"",IF((('Dvd Calendar'!$AK$1819=TYPE1)*(TYPE1&lt;&gt;"")+('Dvd Calendar'!$AK$1819=TYPE2)*(TYPE2&lt;&gt;"")+('Dvd Calendar'!$AK$1819=TYPE3)*(TYPE3&lt;&gt;"")+('Dvd Calendar'!$AK$1819=TYPE4)*(TYPE4&lt;&gt;"")+('Dvd Calendar'!$AK$1819=SPECIAL_LBL)*(INC_SPECIALS="Y"))=0,"",'Dvd Calendar'!$AK$1817)))</f>
        <v/>
      </c>
      <c r="AJ183" s="106">
        <f>IF(FL183="","",IF(ISNUMBER('Dvd Calendar'!$AL$1817)=FALSE,"",IF((('Dvd Calendar'!$AL$1819=TYPE1)*(TYPE1&lt;&gt;"")+('Dvd Calendar'!$AL$1819=TYPE2)*(TYPE2&lt;&gt;"")+('Dvd Calendar'!$AL$1819=TYPE3)*(TYPE3&lt;&gt;"")+('Dvd Calendar'!$AL$1819=TYPE4)*(TYPE4&lt;&gt;"")+('Dvd Calendar'!$AL$1819=SPECIAL_LBL)*(INC_SPECIALS="Y"))=0,"",'Dvd Calendar'!$AL$1817)))</f>
        <v/>
      </c>
      <c r="AK183" s="106">
        <f>IF(FM183="","",IF(ISNUMBER('Dvd Calendar'!$AM$1817)=FALSE,"",IF((('Dvd Calendar'!$AM$1819=TYPE1)*(TYPE1&lt;&gt;"")+('Dvd Calendar'!$AM$1819=TYPE2)*(TYPE2&lt;&gt;"")+('Dvd Calendar'!$AM$1819=TYPE3)*(TYPE3&lt;&gt;"")+('Dvd Calendar'!$AM$1819=TYPE4)*(TYPE4&lt;&gt;"")+('Dvd Calendar'!$AM$1819=SPECIAL_LBL)*(INC_SPECIALS="Y"))=0,"",'Dvd Calendar'!$AM$1817)))</f>
        <v/>
      </c>
      <c r="AL183" s="106">
        <f>IF(FN183="","",IF(ISNUMBER('Dvd Calendar'!$AN$1817)=FALSE,"",IF((('Dvd Calendar'!$AN$1819=TYPE1)*(TYPE1&lt;&gt;"")+('Dvd Calendar'!$AN$1819=TYPE2)*(TYPE2&lt;&gt;"")+('Dvd Calendar'!$AN$1819=TYPE3)*(TYPE3&lt;&gt;"")+('Dvd Calendar'!$AN$1819=TYPE4)*(TYPE4&lt;&gt;"")+('Dvd Calendar'!$AN$1819=SPECIAL_LBL)*(INC_SPECIALS="Y"))=0,"",'Dvd Calendar'!$AN$1817)))</f>
        <v/>
      </c>
      <c r="AM183" s="106">
        <f>IF(FO183="","",IF(ISNUMBER('Dvd Calendar'!$AO$1817)=FALSE,"",IF((('Dvd Calendar'!$AO$1819=TYPE1)*(TYPE1&lt;&gt;"")+('Dvd Calendar'!$AO$1819=TYPE2)*(TYPE2&lt;&gt;"")+('Dvd Calendar'!$AO$1819=TYPE3)*(TYPE3&lt;&gt;"")+('Dvd Calendar'!$AO$1819=TYPE4)*(TYPE4&lt;&gt;"")+('Dvd Calendar'!$AO$1819=SPECIAL_LBL)*(INC_SPECIALS="Y"))=0,"",'Dvd Calendar'!$AO$1817)))</f>
        <v/>
      </c>
      <c r="AN183" s="106">
        <f>IF(FP183="","",IF(ISNUMBER('Dvd Calendar'!$AP$1817)=FALSE,"",IF((('Dvd Calendar'!$AP$1819=TYPE1)*(TYPE1&lt;&gt;"")+('Dvd Calendar'!$AP$1819=TYPE2)*(TYPE2&lt;&gt;"")+('Dvd Calendar'!$AP$1819=TYPE3)*(TYPE3&lt;&gt;"")+('Dvd Calendar'!$AP$1819=TYPE4)*(TYPE4&lt;&gt;"")+('Dvd Calendar'!$AP$1819=SPECIAL_LBL)*(INC_SPECIALS="Y"))=0,"",'Dvd Calendar'!$AP$1817)))</f>
        <v/>
      </c>
      <c r="AO183" s="106">
        <f>IF(FQ183="","",IF(ISNUMBER('Dvd Calendar'!$AQ$1817)=FALSE,"",IF((('Dvd Calendar'!$AQ$1819=TYPE1)*(TYPE1&lt;&gt;"")+('Dvd Calendar'!$AQ$1819=TYPE2)*(TYPE2&lt;&gt;"")+('Dvd Calendar'!$AQ$1819=TYPE3)*(TYPE3&lt;&gt;"")+('Dvd Calendar'!$AQ$1819=TYPE4)*(TYPE4&lt;&gt;"")+('Dvd Calendar'!$AQ$1819=SPECIAL_LBL)*(INC_SPECIALS="Y"))=0,"",'Dvd Calendar'!$AQ$1817)))</f>
        <v/>
      </c>
      <c r="AP183" s="106">
        <f>IF(FR183="","",IF(ISNUMBER('Dvd Calendar'!$AR$1817)=FALSE,"",IF((('Dvd Calendar'!$AR$1819=TYPE1)*(TYPE1&lt;&gt;"")+('Dvd Calendar'!$AR$1819=TYPE2)*(TYPE2&lt;&gt;"")+('Dvd Calendar'!$AR$1819=TYPE3)*(TYPE3&lt;&gt;"")+('Dvd Calendar'!$AR$1819=TYPE4)*(TYPE4&lt;&gt;"")+('Dvd Calendar'!$AR$1819=SPECIAL_LBL)*(INC_SPECIALS="Y"))=0,"",'Dvd Calendar'!$AR$1817)))</f>
        <v/>
      </c>
      <c r="AQ183" s="106">
        <f>IF(FS183="","",IF(ISNUMBER('Dvd Calendar'!$E$1822)=FALSE,"",'Dvd Calendar'!$E$1822))</f>
        <v/>
      </c>
      <c r="AR183" s="106">
        <f>IF(FT183="","",IF(ISNUMBER('Dvd Calendar'!$F$1822)=FALSE,"",'Dvd Calendar'!$F$1822))</f>
        <v/>
      </c>
      <c r="AS183" s="106">
        <f>IF(FU183="","",IF(ISNUMBER('Dvd Calendar'!$G$1822)=FALSE,"",'Dvd Calendar'!$G$1822))</f>
        <v/>
      </c>
      <c r="AT183" s="106">
        <f>IF(FV183="","",IF(ISNUMBER('Dvd Calendar'!$H$1822)=FALSE,"",'Dvd Calendar'!$H$1822))</f>
        <v/>
      </c>
      <c r="AU183" s="106">
        <f>IF(FW183="","",IF(ISNUMBER('Dvd Calendar'!$I$1822)=FALSE,"",'Dvd Calendar'!$I$1822))</f>
        <v/>
      </c>
      <c r="AV183" s="106">
        <f>IF(FX183="","",IF(ISNUMBER('Dvd Calendar'!$J$1822)=FALSE,"",'Dvd Calendar'!$J$1822))</f>
        <v/>
      </c>
      <c r="AW183" s="106">
        <f>IF(FY183="","",IF(ISNUMBER('Dvd Calendar'!$K$1822)=FALSE,"",'Dvd Calendar'!$K$1822))</f>
        <v/>
      </c>
      <c r="AX183" s="106">
        <f>IF(FZ183="","",IF(ISNUMBER('Dvd Calendar'!$L$1822)=FALSE,"",'Dvd Calendar'!$L$1822))</f>
        <v/>
      </c>
      <c r="AY183" s="106">
        <f>IF(GA183="","",IF(ISNUMBER('Dvd Calendar'!$M$1822)=FALSE,"",'Dvd Calendar'!$M$1822))</f>
        <v/>
      </c>
      <c r="AZ183" s="106">
        <f>IF(GB183="","",IF(ISNUMBER('Dvd Calendar'!$N$1822)=FALSE,"",'Dvd Calendar'!$N$1822))</f>
        <v/>
      </c>
      <c r="BA183" s="106">
        <f>IF(GC183="","",IF(ISNUMBER('Dvd Calendar'!$O$1822)=FALSE,"",'Dvd Calendar'!$O$1822))</f>
        <v/>
      </c>
      <c r="BB183" s="106">
        <f>IF(GD183="","",IF(ISNUMBER('Dvd Calendar'!$P$1822)=FALSE,"",'Dvd Calendar'!$P$1822))</f>
        <v/>
      </c>
      <c r="BC183" s="106">
        <f>IF(GE183="","",IF(ISNUMBER('Dvd Calendar'!$Q$1822)=FALSE,"",'Dvd Calendar'!$Q$1822))</f>
        <v/>
      </c>
      <c r="BD183" s="106">
        <f>IF(GF183="","",IF(ISNUMBER('Dvd Calendar'!$R$1822)=FALSE,"",'Dvd Calendar'!$R$1822))</f>
        <v/>
      </c>
      <c r="BE183" s="106">
        <f>IF(GG183="","",IF(ISNUMBER('Dvd Calendar'!$S$1822)=FALSE,"",'Dvd Calendar'!$S$1822))</f>
        <v/>
      </c>
      <c r="BF183" s="106">
        <f>IF(GH183="","",IF(ISNUMBER('Dvd Calendar'!$T$1822)=FALSE,"",'Dvd Calendar'!$T$1822))</f>
        <v/>
      </c>
      <c r="BG183" s="106">
        <f>IF(GI183="","",IF(ISNUMBER('Dvd Calendar'!$U$1822)=FALSE,"",'Dvd Calendar'!$U$1822))</f>
        <v/>
      </c>
      <c r="BH183" s="106">
        <f>IF(GJ183="","",IF(ISNUMBER('Dvd Calendar'!$V$1822)=FALSE,"",'Dvd Calendar'!$V$1822))</f>
        <v/>
      </c>
      <c r="BI183" s="106">
        <f>IF(GK183="","",IF(ISNUMBER('Dvd Calendar'!$W$1822)=FALSE,"",'Dvd Calendar'!$W$1822))</f>
        <v/>
      </c>
      <c r="BJ183" s="106">
        <f>IF(GL183="","",IF(ISNUMBER('Dvd Calendar'!$X$1822)=FALSE,"",'Dvd Calendar'!$X$1822))</f>
        <v/>
      </c>
      <c r="BK183" s="106">
        <f>IF(GM183="","",IF(ISNUMBER('Dvd Calendar'!$Y$1822)=FALSE,"",'Dvd Calendar'!$Y$1822))</f>
        <v/>
      </c>
      <c r="BL183" s="106">
        <f>IF(GN183="","",IF(ISNUMBER('Dvd Calendar'!$Z$1822)=FALSE,"",'Dvd Calendar'!$Z$1822))</f>
        <v/>
      </c>
      <c r="BM183" s="106">
        <f>IF(GO183="","",IF(ISNUMBER('Dvd Calendar'!$AA$1822)=FALSE,"",'Dvd Calendar'!$AA$1822))</f>
        <v/>
      </c>
      <c r="BN183" s="106">
        <f>IF(GP183="","",IF(ISNUMBER('Dvd Calendar'!$AB$1822)=FALSE,"",'Dvd Calendar'!$AB$1822))</f>
        <v/>
      </c>
      <c r="BO183" s="106">
        <f>IF(GQ183="","",IF(ISNUMBER('Dvd Calendar'!$AC$1822)=FALSE,"",'Dvd Calendar'!$AC$1822))</f>
        <v/>
      </c>
      <c r="BQ183" s="106">
        <f>IF(C183="","",IFERROR(C183*HSCEI!$B$30*HSCEI!$G$30/HSCEI!$B$3,""))</f>
        <v/>
      </c>
      <c r="BR183" s="106">
        <f>IF(D183="","",IFERROR(D183*HSCEI!$B$30*HSCEI!$G$30/HSCEI!$B$3,""))</f>
        <v/>
      </c>
      <c r="BS183" s="106">
        <f>IF(E183="","",IFERROR(E183*HSCEI!$B$30*HSCEI!$G$30/HSCEI!$B$3,""))</f>
        <v/>
      </c>
      <c r="BT183" s="106">
        <f>IF(F183="","",IFERROR(F183*HSCEI!$B$30*HSCEI!$G$30/HSCEI!$B$3,""))</f>
        <v/>
      </c>
      <c r="BU183" s="106">
        <f>IF(G183="","",IFERROR(G183*HSCEI!$B$30*HSCEI!$G$30/HSCEI!$B$3,""))</f>
        <v/>
      </c>
      <c r="BV183" s="106">
        <f>IF(H183="","",IFERROR(H183*HSCEI!$B$30*HSCEI!$G$30/HSCEI!$B$3,""))</f>
        <v/>
      </c>
      <c r="BW183" s="106">
        <f>IF(I183="","",IFERROR(I183*HSCEI!$B$30*HSCEI!$G$30/HSCEI!$B$3,""))</f>
        <v/>
      </c>
      <c r="BX183" s="106">
        <f>IF(J183="","",IFERROR(J183*HSCEI!$B$30*HSCEI!$G$30/HSCEI!$B$3,""))</f>
        <v/>
      </c>
      <c r="BY183" s="106">
        <f>IF(K183="","",IFERROR(K183*HSCEI!$B$30*HSCEI!$G$30/HSCEI!$B$3,""))</f>
        <v/>
      </c>
      <c r="BZ183" s="106">
        <f>IF(L183="","",IFERROR(L183*HSCEI!$B$30*HSCEI!$G$30/HSCEI!$B$3,""))</f>
        <v/>
      </c>
      <c r="CA183" s="106">
        <f>IF(M183="","",IFERROR(M183*HSCEI!$B$30*HSCEI!$G$30/HSCEI!$B$3,""))</f>
        <v/>
      </c>
      <c r="CB183" s="106">
        <f>IF(N183="","",IFERROR(N183*HSCEI!$B$30*HSCEI!$G$30/HSCEI!$B$3,""))</f>
        <v/>
      </c>
      <c r="CC183" s="106">
        <f>IF(O183="","",IFERROR(O183*HSCEI!$B$30*HSCEI!$G$30/HSCEI!$B$3,""))</f>
        <v/>
      </c>
      <c r="CD183" s="106">
        <f>IF(P183="","",IFERROR(P183*HSCEI!$B$30*HSCEI!$G$30/HSCEI!$B$3,""))</f>
        <v/>
      </c>
      <c r="CE183" s="106">
        <f>IF(Q183="","",IFERROR(Q183*HSCEI!$B$30*HSCEI!$G$30/HSCEI!$B$3,""))</f>
        <v/>
      </c>
      <c r="CF183" s="106">
        <f>IF(R183="","",IFERROR(R183*HSCEI!$B$30*HSCEI!$G$30/HSCEI!$B$3,""))</f>
        <v/>
      </c>
      <c r="CG183" s="106">
        <f>IF(S183="","",IFERROR(S183*HSCEI!$B$30*HSCEI!$G$30/HSCEI!$B$3,""))</f>
        <v/>
      </c>
      <c r="CH183" s="106">
        <f>IF(T183="","",IFERROR(T183*HSCEI!$B$30*HSCEI!$G$30/HSCEI!$B$3,""))</f>
        <v/>
      </c>
      <c r="CI183" s="106">
        <f>IF(U183="","",IFERROR(U183*HSCEI!$B$30*HSCEI!$G$30/HSCEI!$B$3,""))</f>
        <v/>
      </c>
      <c r="CJ183" s="106">
        <f>IF(V183="","",IFERROR(V183*HSCEI!$B$30*HSCEI!$G$30/HSCEI!$B$3,""))</f>
        <v/>
      </c>
      <c r="CK183" s="106">
        <f>IF(W183="","",IFERROR(W183*HSCEI!$B$30*HSCEI!$G$30/HSCEI!$B$3,""))</f>
        <v/>
      </c>
      <c r="CL183" s="106">
        <f>IF(X183="","",IFERROR(X183*HSCEI!$B$30*HSCEI!$G$30/HSCEI!$B$3,""))</f>
        <v/>
      </c>
      <c r="CM183" s="106">
        <f>IF(Y183="","",IFERROR(Y183*HSCEI!$B$30*HSCEI!$G$30/HSCEI!$B$3,""))</f>
        <v/>
      </c>
      <c r="CN183" s="106">
        <f>IF(Z183="","",IFERROR(Z183*HSCEI!$B$30*HSCEI!$G$30/HSCEI!$B$3,""))</f>
        <v/>
      </c>
      <c r="CO183" s="106">
        <f>IF(AA183="","",IFERROR(AA183*HSCEI!$B$30*HSCEI!$G$30/HSCEI!$B$3,""))</f>
        <v/>
      </c>
      <c r="CP183" s="106">
        <f>IF(AB183="","",IFERROR(AB183*HSCEI!$B$30*HSCEI!$G$30/HSCEI!$B$3,""))</f>
        <v/>
      </c>
      <c r="CQ183" s="106">
        <f>IF(AC183="","",IFERROR(AC183*HSCEI!$B$30*HSCEI!$G$30/HSCEI!$B$3,""))</f>
        <v/>
      </c>
      <c r="CR183" s="106">
        <f>IF(AD183="","",IFERROR(AD183*HSCEI!$B$30*HSCEI!$G$30/HSCEI!$B$3,""))</f>
        <v/>
      </c>
      <c r="CS183" s="106">
        <f>IF(AE183="","",IFERROR(AE183*HSCEI!$B$30*HSCEI!$G$30/HSCEI!$B$3,""))</f>
        <v/>
      </c>
      <c r="CT183" s="106">
        <f>IF(AF183="","",IFERROR(AF183*HSCEI!$B$30*HSCEI!$G$30/HSCEI!$B$3,""))</f>
        <v/>
      </c>
      <c r="CU183" s="106">
        <f>IF(AG183="","",IFERROR(AG183*HSCEI!$B$30*HSCEI!$G$30/HSCEI!$B$3,""))</f>
        <v/>
      </c>
      <c r="CV183" s="106">
        <f>IF(AH183="","",IFERROR(AH183*HSCEI!$B$30*HSCEI!$G$30/HSCEI!$B$3,""))</f>
        <v/>
      </c>
      <c r="CW183" s="106">
        <f>IF(AI183="","",IFERROR(AI183*HSCEI!$B$30*HSCEI!$G$30/HSCEI!$B$3,""))</f>
        <v/>
      </c>
      <c r="CX183" s="106">
        <f>IF(AJ183="","",IFERROR(AJ183*HSCEI!$B$30*HSCEI!$G$30/HSCEI!$B$3,""))</f>
        <v/>
      </c>
      <c r="CY183" s="106">
        <f>IF(AK183="","",IFERROR(AK183*HSCEI!$B$30*HSCEI!$G$30/HSCEI!$B$3,""))</f>
        <v/>
      </c>
      <c r="CZ183" s="106">
        <f>IF(AL183="","",IFERROR(AL183*HSCEI!$B$30*HSCEI!$G$30/HSCEI!$B$3,""))</f>
        <v/>
      </c>
      <c r="DA183" s="106">
        <f>IF(AM183="","",IFERROR(AM183*HSCEI!$B$30*HSCEI!$G$30/HSCEI!$B$3,""))</f>
        <v/>
      </c>
      <c r="DB183" s="106">
        <f>IF(AN183="","",IFERROR(AN183*HSCEI!$B$30*HSCEI!$G$30/HSCEI!$B$3,""))</f>
        <v/>
      </c>
      <c r="DC183" s="106">
        <f>IF(AO183="","",IFERROR(AO183*HSCEI!$B$30*HSCEI!$G$30/HSCEI!$B$3,""))</f>
        <v/>
      </c>
      <c r="DD183" s="106">
        <f>IF(AP183="","",IFERROR(AP183*HSCEI!$B$30*HSCEI!$G$30/HSCEI!$B$3,""))</f>
        <v/>
      </c>
      <c r="DE183" s="106">
        <f>IF(AQ183="","",IFERROR(AQ183*HSCEI!$B$30*HSCEI!$G$30/HSCEI!$B$3,""))</f>
        <v/>
      </c>
      <c r="DF183" s="106">
        <f>IF(AR183="","",IFERROR(AR183*HSCEI!$B$30*HSCEI!$G$30/HSCEI!$B$3,""))</f>
        <v/>
      </c>
      <c r="DG183" s="106">
        <f>IF(AS183="","",IFERROR(AS183*HSCEI!$B$30*HSCEI!$G$30/HSCEI!$B$3,""))</f>
        <v/>
      </c>
      <c r="DH183" s="106">
        <f>IF(AT183="","",IFERROR(AT183*HSCEI!$B$30*HSCEI!$G$30/HSCEI!$B$3,""))</f>
        <v/>
      </c>
      <c r="DI183" s="106">
        <f>IF(AU183="","",IFERROR(AU183*HSCEI!$B$30*HSCEI!$G$30/HSCEI!$B$3,""))</f>
        <v/>
      </c>
      <c r="DJ183" s="106">
        <f>IF(AV183="","",IFERROR(AV183*HSCEI!$B$30*HSCEI!$G$30/HSCEI!$B$3,""))</f>
        <v/>
      </c>
      <c r="DK183" s="106">
        <f>IF(AW183="","",IFERROR(AW183*HSCEI!$B$30*HSCEI!$G$30/HSCEI!$B$3,""))</f>
        <v/>
      </c>
      <c r="DL183" s="106">
        <f>IF(AX183="","",IFERROR(AX183*HSCEI!$B$30*HSCEI!$G$30/HSCEI!$B$3,""))</f>
        <v/>
      </c>
      <c r="DM183" s="106">
        <f>IF(AY183="","",IFERROR(AY183*HSCEI!$B$30*HSCEI!$G$30/HSCEI!$B$3,""))</f>
        <v/>
      </c>
      <c r="DN183" s="106">
        <f>IF(AZ183="","",IFERROR(AZ183*HSCEI!$B$30*HSCEI!$G$30/HSCEI!$B$3,""))</f>
        <v/>
      </c>
      <c r="DO183" s="106">
        <f>IF(BA183="","",IFERROR(BA183*HSCEI!$B$30*HSCEI!$G$30/HSCEI!$B$3,""))</f>
        <v/>
      </c>
      <c r="DP183" s="106">
        <f>IF(BB183="","",IFERROR(BB183*HSCEI!$B$30*HSCEI!$G$30/HSCEI!$B$3,""))</f>
        <v/>
      </c>
      <c r="DQ183" s="106">
        <f>IF(BC183="","",IFERROR(BC183*HSCEI!$B$30*HSCEI!$G$30/HSCEI!$B$3,""))</f>
        <v/>
      </c>
      <c r="DR183" s="106">
        <f>IF(BD183="","",IFERROR(BD183*HSCEI!$B$30*HSCEI!$G$30/HSCEI!$B$3,""))</f>
        <v/>
      </c>
      <c r="DS183" s="106">
        <f>IF(BE183="","",IFERROR(BE183*HSCEI!$B$30*HSCEI!$G$30/HSCEI!$B$3,""))</f>
        <v/>
      </c>
      <c r="DT183" s="106">
        <f>IF(BF183="","",IFERROR(BF183*HSCEI!$B$30*HSCEI!$G$30/HSCEI!$B$3,""))</f>
        <v/>
      </c>
      <c r="DU183" s="106">
        <f>IF(BG183="","",IFERROR(BG183*HSCEI!$B$30*HSCEI!$G$30/HSCEI!$B$3,""))</f>
        <v/>
      </c>
      <c r="DV183" s="106">
        <f>IF(BH183="","",IFERROR(BH183*HSCEI!$B$30*HSCEI!$G$30/HSCEI!$B$3,""))</f>
        <v/>
      </c>
      <c r="DW183" s="106">
        <f>IF(BI183="","",IFERROR(BI183*HSCEI!$B$30*HSCEI!$G$30/HSCEI!$B$3,""))</f>
        <v/>
      </c>
      <c r="DX183" s="106">
        <f>IF(BJ183="","",IFERROR(BJ183*HSCEI!$B$30*HSCEI!$G$30/HSCEI!$B$3,""))</f>
        <v/>
      </c>
      <c r="DY183" s="106">
        <f>IF(BK183="","",IFERROR(BK183*HSCEI!$B$30*HSCEI!$G$30/HSCEI!$B$3,""))</f>
        <v/>
      </c>
      <c r="DZ183" s="106">
        <f>IF(BL183="","",IFERROR(BL183*HSCEI!$B$30*HSCEI!$G$30/HSCEI!$B$3,""))</f>
        <v/>
      </c>
      <c r="EA183" s="106">
        <f>IF(BM183="","",IFERROR(BM183*HSCEI!$B$30*HSCEI!$G$30/HSCEI!$B$3,""))</f>
        <v/>
      </c>
      <c r="EB183" s="106">
        <f>IF(BN183="","",IFERROR(BN183*HSCEI!$B$30*HSCEI!$G$30/HSCEI!$B$3,""))</f>
        <v/>
      </c>
      <c r="EC183" s="106">
        <f>IF(BO183="","",IFERROR(BO183*HSCEI!$B$30*HSCEI!$G$30/HSCEI!$B$3,""))</f>
        <v/>
      </c>
      <c r="EE183" s="35">
        <f>IF(N('Dvd Calendar'!$E$1814)=0,"",IF(('Dvd Calendar'!$E$1814&gt;=GRID_FROM)*('Dvd Calendar'!$E$1814&lt;=GRID_TO)*('Dvd Calendar'!$E$1814&lt;=VAL_DATE)=0,"",'Dvd Calendar'!$E$1814*1000000000+ISNUMBER('Dvd Calendar'!$E$1817)*100000000+('Dvd Calendar'!$E$1819=SPECIAL_LBL)*10000000+0*1000000+24*1000+1))</f>
        <v/>
      </c>
      <c r="EF183" s="35">
        <f>IF(N('Dvd Calendar'!$F$1814)=0,"",IF(('Dvd Calendar'!$F$1814&gt;=GRID_FROM)*('Dvd Calendar'!$F$1814&lt;=GRID_TO)*('Dvd Calendar'!$F$1814&lt;=VAL_DATE)=0,"",'Dvd Calendar'!$F$1814*1000000000+ISNUMBER('Dvd Calendar'!$F$1817)*100000000+('Dvd Calendar'!$F$1819=SPECIAL_LBL)*10000000+0*1000000+24*1000+2))</f>
        <v/>
      </c>
      <c r="EG183" s="35">
        <f>IF(N('Dvd Calendar'!$G$1814)=0,"",IF(('Dvd Calendar'!$G$1814&gt;=GRID_FROM)*('Dvd Calendar'!$G$1814&lt;=GRID_TO)*('Dvd Calendar'!$G$1814&lt;=VAL_DATE)=0,"",'Dvd Calendar'!$G$1814*1000000000+ISNUMBER('Dvd Calendar'!$G$1817)*100000000+('Dvd Calendar'!$G$1819=SPECIAL_LBL)*10000000+0*1000000+24*1000+3))</f>
        <v/>
      </c>
      <c r="EH183" s="35">
        <f>IF(N('Dvd Calendar'!$H$1814)=0,"",IF(('Dvd Calendar'!$H$1814&gt;=GRID_FROM)*('Dvd Calendar'!$H$1814&lt;=GRID_TO)*('Dvd Calendar'!$H$1814&lt;=VAL_DATE)=0,"",'Dvd Calendar'!$H$1814*1000000000+ISNUMBER('Dvd Calendar'!$H$1817)*100000000+('Dvd Calendar'!$H$1819=SPECIAL_LBL)*10000000+0*1000000+24*1000+4))</f>
        <v/>
      </c>
      <c r="EI183" s="35">
        <f>IF(N('Dvd Calendar'!$I$1814)=0,"",IF(('Dvd Calendar'!$I$1814&gt;=GRID_FROM)*('Dvd Calendar'!$I$1814&lt;=GRID_TO)*('Dvd Calendar'!$I$1814&lt;=VAL_DATE)=0,"",'Dvd Calendar'!$I$1814*1000000000+ISNUMBER('Dvd Calendar'!$I$1817)*100000000+('Dvd Calendar'!$I$1819=SPECIAL_LBL)*10000000+0*1000000+24*1000+5))</f>
        <v/>
      </c>
      <c r="EJ183" s="35">
        <f>IF(N('Dvd Calendar'!$J$1814)=0,"",IF(('Dvd Calendar'!$J$1814&gt;=GRID_FROM)*('Dvd Calendar'!$J$1814&lt;=GRID_TO)*('Dvd Calendar'!$J$1814&lt;=VAL_DATE)=0,"",'Dvd Calendar'!$J$1814*1000000000+ISNUMBER('Dvd Calendar'!$J$1817)*100000000+('Dvd Calendar'!$J$1819=SPECIAL_LBL)*10000000+0*1000000+24*1000+6))</f>
        <v/>
      </c>
      <c r="EK183" s="35">
        <f>IF(N('Dvd Calendar'!$K$1814)=0,"",IF(('Dvd Calendar'!$K$1814&gt;=GRID_FROM)*('Dvd Calendar'!$K$1814&lt;=GRID_TO)*('Dvd Calendar'!$K$1814&lt;=VAL_DATE)=0,"",'Dvd Calendar'!$K$1814*1000000000+ISNUMBER('Dvd Calendar'!$K$1817)*100000000+('Dvd Calendar'!$K$1819=SPECIAL_LBL)*10000000+0*1000000+24*1000+7))</f>
        <v/>
      </c>
      <c r="EL183" s="35">
        <f>IF(N('Dvd Calendar'!$L$1814)=0,"",IF(('Dvd Calendar'!$L$1814&gt;=GRID_FROM)*('Dvd Calendar'!$L$1814&lt;=GRID_TO)*('Dvd Calendar'!$L$1814&lt;=VAL_DATE)=0,"",'Dvd Calendar'!$L$1814*1000000000+ISNUMBER('Dvd Calendar'!$L$1817)*100000000+('Dvd Calendar'!$L$1819=SPECIAL_LBL)*10000000+0*1000000+24*1000+8))</f>
        <v/>
      </c>
      <c r="EM183" s="35">
        <f>IF(N('Dvd Calendar'!$M$1814)=0,"",IF(('Dvd Calendar'!$M$1814&gt;=GRID_FROM)*('Dvd Calendar'!$M$1814&lt;=GRID_TO)*('Dvd Calendar'!$M$1814&lt;=VAL_DATE)=0,"",'Dvd Calendar'!$M$1814*1000000000+ISNUMBER('Dvd Calendar'!$M$1817)*100000000+('Dvd Calendar'!$M$1819=SPECIAL_LBL)*10000000+0*1000000+24*1000+9))</f>
        <v/>
      </c>
      <c r="EN183" s="35">
        <f>IF(N('Dvd Calendar'!$N$1814)=0,"",IF(('Dvd Calendar'!$N$1814&gt;=GRID_FROM)*('Dvd Calendar'!$N$1814&lt;=GRID_TO)*('Dvd Calendar'!$N$1814&lt;=VAL_DATE)=0,"",'Dvd Calendar'!$N$1814*1000000000+ISNUMBER('Dvd Calendar'!$N$1817)*100000000+('Dvd Calendar'!$N$1819=SPECIAL_LBL)*10000000+0*1000000+24*1000+10))</f>
        <v/>
      </c>
      <c r="EO183" s="35">
        <f>IF(N('Dvd Calendar'!$O$1814)=0,"",IF(('Dvd Calendar'!$O$1814&gt;=GRID_FROM)*('Dvd Calendar'!$O$1814&lt;=GRID_TO)*('Dvd Calendar'!$O$1814&lt;=VAL_DATE)=0,"",'Dvd Calendar'!$O$1814*1000000000+ISNUMBER('Dvd Calendar'!$O$1817)*100000000+('Dvd Calendar'!$O$1819=SPECIAL_LBL)*10000000+0*1000000+24*1000+11))</f>
        <v/>
      </c>
      <c r="EP183" s="35">
        <f>IF(N('Dvd Calendar'!$P$1814)=0,"",IF(('Dvd Calendar'!$P$1814&gt;=GRID_FROM)*('Dvd Calendar'!$P$1814&lt;=GRID_TO)*('Dvd Calendar'!$P$1814&lt;=VAL_DATE)=0,"",'Dvd Calendar'!$P$1814*1000000000+ISNUMBER('Dvd Calendar'!$P$1817)*100000000+('Dvd Calendar'!$P$1819=SPECIAL_LBL)*10000000+0*1000000+24*1000+12))</f>
        <v/>
      </c>
      <c r="EQ183" s="35">
        <f>IF(N('Dvd Calendar'!$Q$1814)=0,"",IF(('Dvd Calendar'!$Q$1814&gt;=GRID_FROM)*('Dvd Calendar'!$Q$1814&lt;=GRID_TO)*('Dvd Calendar'!$Q$1814&lt;=VAL_DATE)=0,"",'Dvd Calendar'!$Q$1814*1000000000+ISNUMBER('Dvd Calendar'!$Q$1817)*100000000+('Dvd Calendar'!$Q$1819=SPECIAL_LBL)*10000000+0*1000000+24*1000+13))</f>
        <v/>
      </c>
      <c r="ER183" s="35">
        <f>IF(N('Dvd Calendar'!$R$1814)=0,"",IF(('Dvd Calendar'!$R$1814&gt;=GRID_FROM)*('Dvd Calendar'!$R$1814&lt;=GRID_TO)*('Dvd Calendar'!$R$1814&lt;=VAL_DATE)=0,"",'Dvd Calendar'!$R$1814*1000000000+ISNUMBER('Dvd Calendar'!$R$1817)*100000000+('Dvd Calendar'!$R$1819=SPECIAL_LBL)*10000000+0*1000000+24*1000+14))</f>
        <v/>
      </c>
      <c r="ES183" s="35">
        <f>IF(N('Dvd Calendar'!$S$1814)=0,"",IF(('Dvd Calendar'!$S$1814&gt;=GRID_FROM)*('Dvd Calendar'!$S$1814&lt;=GRID_TO)*('Dvd Calendar'!$S$1814&lt;=VAL_DATE)=0,"",'Dvd Calendar'!$S$1814*1000000000+ISNUMBER('Dvd Calendar'!$S$1817)*100000000+('Dvd Calendar'!$S$1819=SPECIAL_LBL)*10000000+0*1000000+24*1000+15))</f>
        <v/>
      </c>
      <c r="ET183" s="35">
        <f>IF(N('Dvd Calendar'!$T$1814)=0,"",IF(('Dvd Calendar'!$T$1814&gt;=GRID_FROM)*('Dvd Calendar'!$T$1814&lt;=GRID_TO)*('Dvd Calendar'!$T$1814&lt;=VAL_DATE)=0,"",'Dvd Calendar'!$T$1814*1000000000+ISNUMBER('Dvd Calendar'!$T$1817)*100000000+('Dvd Calendar'!$T$1819=SPECIAL_LBL)*10000000+0*1000000+24*1000+16))</f>
        <v/>
      </c>
      <c r="EU183" s="35">
        <f>IF(N('Dvd Calendar'!$U$1814)=0,"",IF(('Dvd Calendar'!$U$1814&gt;=GRID_FROM)*('Dvd Calendar'!$U$1814&lt;=GRID_TO)*('Dvd Calendar'!$U$1814&lt;=VAL_DATE)=0,"",'Dvd Calendar'!$U$1814*1000000000+ISNUMBER('Dvd Calendar'!$U$1817)*100000000+('Dvd Calendar'!$U$1819=SPECIAL_LBL)*10000000+0*1000000+24*1000+17))</f>
        <v/>
      </c>
      <c r="EV183" s="35">
        <f>IF(N('Dvd Calendar'!$V$1814)=0,"",IF(('Dvd Calendar'!$V$1814&gt;=GRID_FROM)*('Dvd Calendar'!$V$1814&lt;=GRID_TO)*('Dvd Calendar'!$V$1814&lt;=VAL_DATE)=0,"",'Dvd Calendar'!$V$1814*1000000000+ISNUMBER('Dvd Calendar'!$V$1817)*100000000+('Dvd Calendar'!$V$1819=SPECIAL_LBL)*10000000+0*1000000+24*1000+18))</f>
        <v/>
      </c>
      <c r="EW183" s="35">
        <f>IF(N('Dvd Calendar'!$W$1814)=0,"",IF(('Dvd Calendar'!$W$1814&gt;=GRID_FROM)*('Dvd Calendar'!$W$1814&lt;=GRID_TO)*('Dvd Calendar'!$W$1814&lt;=VAL_DATE)=0,"",'Dvd Calendar'!$W$1814*1000000000+ISNUMBER('Dvd Calendar'!$W$1817)*100000000+('Dvd Calendar'!$W$1819=SPECIAL_LBL)*10000000+0*1000000+24*1000+19))</f>
        <v/>
      </c>
      <c r="EX183" s="35">
        <f>IF(N('Dvd Calendar'!$X$1814)=0,"",IF(('Dvd Calendar'!$X$1814&gt;=GRID_FROM)*('Dvd Calendar'!$X$1814&lt;=GRID_TO)*('Dvd Calendar'!$X$1814&lt;=VAL_DATE)=0,"",'Dvd Calendar'!$X$1814*1000000000+ISNUMBER('Dvd Calendar'!$X$1817)*100000000+('Dvd Calendar'!$X$1819=SPECIAL_LBL)*10000000+0*1000000+24*1000+20))</f>
        <v/>
      </c>
      <c r="EY183" s="35">
        <f>IF(N('Dvd Calendar'!$Y$1814)=0,"",IF(('Dvd Calendar'!$Y$1814&gt;=GRID_FROM)*('Dvd Calendar'!$Y$1814&lt;=GRID_TO)*('Dvd Calendar'!$Y$1814&lt;=VAL_DATE)=0,"",'Dvd Calendar'!$Y$1814*1000000000+ISNUMBER('Dvd Calendar'!$Y$1817)*100000000+('Dvd Calendar'!$Y$1819=SPECIAL_LBL)*10000000+0*1000000+24*1000+21))</f>
        <v/>
      </c>
      <c r="EZ183" s="35">
        <f>IF(N('Dvd Calendar'!$Z$1814)=0,"",IF(('Dvd Calendar'!$Z$1814&gt;=GRID_FROM)*('Dvd Calendar'!$Z$1814&lt;=GRID_TO)*('Dvd Calendar'!$Z$1814&lt;=VAL_DATE)=0,"",'Dvd Calendar'!$Z$1814*1000000000+ISNUMBER('Dvd Calendar'!$Z$1817)*100000000+('Dvd Calendar'!$Z$1819=SPECIAL_LBL)*10000000+0*1000000+24*1000+22))</f>
        <v/>
      </c>
      <c r="FA183" s="35">
        <f>IF(N('Dvd Calendar'!$AA$1814)=0,"",IF(('Dvd Calendar'!$AA$1814&gt;=GRID_FROM)*('Dvd Calendar'!$AA$1814&lt;=GRID_TO)*('Dvd Calendar'!$AA$1814&lt;=VAL_DATE)=0,"",'Dvd Calendar'!$AA$1814*1000000000+ISNUMBER('Dvd Calendar'!$AA$1817)*100000000+('Dvd Calendar'!$AA$1819=SPECIAL_LBL)*10000000+0*1000000+24*1000+23))</f>
        <v/>
      </c>
      <c r="FB183" s="35">
        <f>IF(N('Dvd Calendar'!$AB$1814)=0,"",IF(('Dvd Calendar'!$AB$1814&gt;=GRID_FROM)*('Dvd Calendar'!$AB$1814&lt;=GRID_TO)*('Dvd Calendar'!$AB$1814&lt;=VAL_DATE)=0,"",'Dvd Calendar'!$AB$1814*1000000000+ISNUMBER('Dvd Calendar'!$AB$1817)*100000000+('Dvd Calendar'!$AB$1819=SPECIAL_LBL)*10000000+0*1000000+24*1000+24))</f>
        <v/>
      </c>
      <c r="FC183" s="35">
        <f>IF(N('Dvd Calendar'!$AC$1814)=0,"",IF(('Dvd Calendar'!$AC$1814&gt;=GRID_FROM)*('Dvd Calendar'!$AC$1814&lt;=GRID_TO)*('Dvd Calendar'!$AC$1814&lt;=VAL_DATE)=0,"",'Dvd Calendar'!$AC$1814*1000000000+ISNUMBER('Dvd Calendar'!$AC$1817)*100000000+('Dvd Calendar'!$AC$1819=SPECIAL_LBL)*10000000+0*1000000+24*1000+25))</f>
        <v/>
      </c>
      <c r="FD183" s="35">
        <f>IF(N('Dvd Calendar'!$AD$1814)=0,"",IF(('Dvd Calendar'!$AD$1814&gt;=GRID_FROM)*('Dvd Calendar'!$AD$1814&lt;=GRID_TO)*('Dvd Calendar'!$AD$1814&lt;=VAL_DATE)=0,"",'Dvd Calendar'!$AD$1814*1000000000+ISNUMBER('Dvd Calendar'!$AD$1817)*100000000+('Dvd Calendar'!$AD$1819=SPECIAL_LBL)*10000000+0*1000000+24*1000+26))</f>
        <v/>
      </c>
      <c r="FE183" s="35">
        <f>IF(N('Dvd Calendar'!$AE$1814)=0,"",IF(('Dvd Calendar'!$AE$1814&gt;=GRID_FROM)*('Dvd Calendar'!$AE$1814&lt;=GRID_TO)*('Dvd Calendar'!$AE$1814&lt;=VAL_DATE)=0,"",'Dvd Calendar'!$AE$1814*1000000000+ISNUMBER('Dvd Calendar'!$AE$1817)*100000000+('Dvd Calendar'!$AE$1819=SPECIAL_LBL)*10000000+0*1000000+24*1000+27))</f>
        <v/>
      </c>
      <c r="FF183" s="35">
        <f>IF(N('Dvd Calendar'!$AF$1814)=0,"",IF(('Dvd Calendar'!$AF$1814&gt;=GRID_FROM)*('Dvd Calendar'!$AF$1814&lt;=GRID_TO)*('Dvd Calendar'!$AF$1814&lt;=VAL_DATE)=0,"",'Dvd Calendar'!$AF$1814*1000000000+ISNUMBER('Dvd Calendar'!$AF$1817)*100000000+('Dvd Calendar'!$AF$1819=SPECIAL_LBL)*10000000+0*1000000+24*1000+28))</f>
        <v/>
      </c>
      <c r="FG183" s="35">
        <f>IF(N('Dvd Calendar'!$AG$1814)=0,"",IF(('Dvd Calendar'!$AG$1814&gt;=GRID_FROM)*('Dvd Calendar'!$AG$1814&lt;=GRID_TO)*('Dvd Calendar'!$AG$1814&lt;=VAL_DATE)=0,"",'Dvd Calendar'!$AG$1814*1000000000+ISNUMBER('Dvd Calendar'!$AG$1817)*100000000+('Dvd Calendar'!$AG$1819=SPECIAL_LBL)*10000000+0*1000000+24*1000+29))</f>
        <v/>
      </c>
      <c r="FH183" s="35">
        <f>IF(N('Dvd Calendar'!$AH$1814)=0,"",IF(('Dvd Calendar'!$AH$1814&gt;=GRID_FROM)*('Dvd Calendar'!$AH$1814&lt;=GRID_TO)*('Dvd Calendar'!$AH$1814&lt;=VAL_DATE)=0,"",'Dvd Calendar'!$AH$1814*1000000000+ISNUMBER('Dvd Calendar'!$AH$1817)*100000000+('Dvd Calendar'!$AH$1819=SPECIAL_LBL)*10000000+0*1000000+24*1000+30))</f>
        <v/>
      </c>
      <c r="FI183" s="35">
        <f>IF(N('Dvd Calendar'!$AI$1814)=0,"",IF(('Dvd Calendar'!$AI$1814&gt;=GRID_FROM)*('Dvd Calendar'!$AI$1814&lt;=GRID_TO)*('Dvd Calendar'!$AI$1814&lt;=VAL_DATE)=0,"",'Dvd Calendar'!$AI$1814*1000000000+ISNUMBER('Dvd Calendar'!$AI$1817)*100000000+('Dvd Calendar'!$AI$1819=SPECIAL_LBL)*10000000+0*1000000+24*1000+31))</f>
        <v/>
      </c>
      <c r="FJ183" s="35">
        <f>IF(N('Dvd Calendar'!$AJ$1814)=0,"",IF(('Dvd Calendar'!$AJ$1814&gt;=GRID_FROM)*('Dvd Calendar'!$AJ$1814&lt;=GRID_TO)*('Dvd Calendar'!$AJ$1814&lt;=VAL_DATE)=0,"",'Dvd Calendar'!$AJ$1814*1000000000+ISNUMBER('Dvd Calendar'!$AJ$1817)*100000000+('Dvd Calendar'!$AJ$1819=SPECIAL_LBL)*10000000+0*1000000+24*1000+32))</f>
        <v/>
      </c>
      <c r="FK183" s="35">
        <f>IF(N('Dvd Calendar'!$AK$1814)=0,"",IF(('Dvd Calendar'!$AK$1814&gt;=GRID_FROM)*('Dvd Calendar'!$AK$1814&lt;=GRID_TO)*('Dvd Calendar'!$AK$1814&lt;=VAL_DATE)=0,"",'Dvd Calendar'!$AK$1814*1000000000+ISNUMBER('Dvd Calendar'!$AK$1817)*100000000+('Dvd Calendar'!$AK$1819=SPECIAL_LBL)*10000000+0*1000000+24*1000+33))</f>
        <v/>
      </c>
      <c r="FL183" s="35">
        <f>IF(N('Dvd Calendar'!$AL$1814)=0,"",IF(('Dvd Calendar'!$AL$1814&gt;=GRID_FROM)*('Dvd Calendar'!$AL$1814&lt;=GRID_TO)*('Dvd Calendar'!$AL$1814&lt;=VAL_DATE)=0,"",'Dvd Calendar'!$AL$1814*1000000000+ISNUMBER('Dvd Calendar'!$AL$1817)*100000000+('Dvd Calendar'!$AL$1819=SPECIAL_LBL)*10000000+0*1000000+24*1000+34))</f>
        <v/>
      </c>
      <c r="FM183" s="35">
        <f>IF(N('Dvd Calendar'!$AM$1814)=0,"",IF(('Dvd Calendar'!$AM$1814&gt;=GRID_FROM)*('Dvd Calendar'!$AM$1814&lt;=GRID_TO)*('Dvd Calendar'!$AM$1814&lt;=VAL_DATE)=0,"",'Dvd Calendar'!$AM$1814*1000000000+ISNUMBER('Dvd Calendar'!$AM$1817)*100000000+('Dvd Calendar'!$AM$1819=SPECIAL_LBL)*10000000+0*1000000+24*1000+35))</f>
        <v/>
      </c>
      <c r="FN183" s="35">
        <f>IF(N('Dvd Calendar'!$AN$1814)=0,"",IF(('Dvd Calendar'!$AN$1814&gt;=GRID_FROM)*('Dvd Calendar'!$AN$1814&lt;=GRID_TO)*('Dvd Calendar'!$AN$1814&lt;=VAL_DATE)=0,"",'Dvd Calendar'!$AN$1814*1000000000+ISNUMBER('Dvd Calendar'!$AN$1817)*100000000+('Dvd Calendar'!$AN$1819=SPECIAL_LBL)*10000000+0*1000000+24*1000+36))</f>
        <v/>
      </c>
      <c r="FO183" s="35">
        <f>IF(N('Dvd Calendar'!$AO$1814)=0,"",IF(('Dvd Calendar'!$AO$1814&gt;=GRID_FROM)*('Dvd Calendar'!$AO$1814&lt;=GRID_TO)*('Dvd Calendar'!$AO$1814&lt;=VAL_DATE)=0,"",'Dvd Calendar'!$AO$1814*1000000000+ISNUMBER('Dvd Calendar'!$AO$1817)*100000000+('Dvd Calendar'!$AO$1819=SPECIAL_LBL)*10000000+0*1000000+24*1000+37))</f>
        <v/>
      </c>
      <c r="FP183" s="35">
        <f>IF(N('Dvd Calendar'!$AP$1814)=0,"",IF(('Dvd Calendar'!$AP$1814&gt;=GRID_FROM)*('Dvd Calendar'!$AP$1814&lt;=GRID_TO)*('Dvd Calendar'!$AP$1814&lt;=VAL_DATE)=0,"",'Dvd Calendar'!$AP$1814*1000000000+ISNUMBER('Dvd Calendar'!$AP$1817)*100000000+('Dvd Calendar'!$AP$1819=SPECIAL_LBL)*10000000+0*1000000+24*1000+38))</f>
        <v/>
      </c>
      <c r="FQ183" s="35">
        <f>IF(N('Dvd Calendar'!$AQ$1814)=0,"",IF(('Dvd Calendar'!$AQ$1814&gt;=GRID_FROM)*('Dvd Calendar'!$AQ$1814&lt;=GRID_TO)*('Dvd Calendar'!$AQ$1814&lt;=VAL_DATE)=0,"",'Dvd Calendar'!$AQ$1814*1000000000+ISNUMBER('Dvd Calendar'!$AQ$1817)*100000000+('Dvd Calendar'!$AQ$1819=SPECIAL_LBL)*10000000+0*1000000+24*1000+39))</f>
        <v/>
      </c>
      <c r="FR183" s="35">
        <f>IF(N('Dvd Calendar'!$AR$1814)=0,"",IF(('Dvd Calendar'!$AR$1814&gt;=GRID_FROM)*('Dvd Calendar'!$AR$1814&lt;=GRID_TO)*('Dvd Calendar'!$AR$1814&lt;=VAL_DATE)=0,"",'Dvd Calendar'!$AR$1814*1000000000+ISNUMBER('Dvd Calendar'!$AR$1817)*100000000+('Dvd Calendar'!$AR$1819=SPECIAL_LBL)*10000000+0*1000000+24*1000+40))</f>
        <v/>
      </c>
      <c r="FS183" s="35">
        <f>IF(N('Dvd Calendar'!$E$1821)=0,"",IF(('Dvd Calendar'!$E$1821&gt;=GRID_FROM)*('Dvd Calendar'!$E$1821&lt;=GRID_TO)*('Dvd Calendar'!$E$1821&gt;VAL_DATE)=0,"",'Dvd Calendar'!$E$1821*1000000000+ISNUMBER('Dvd Calendar'!$E$1822)*100000000+0*10000000+(N('Dvd Calendar'!$E$1820)&gt;0)*(N('Dvd Calendar'!$E$1820)&lt;=VAL_SERIAL)*1000000+24*1000+41))</f>
        <v/>
      </c>
      <c r="FT183" s="35">
        <f>IF(N('Dvd Calendar'!$F$1821)=0,"",IF(('Dvd Calendar'!$F$1821&gt;=GRID_FROM)*('Dvd Calendar'!$F$1821&lt;=GRID_TO)*('Dvd Calendar'!$F$1821&gt;VAL_DATE)=0,"",'Dvd Calendar'!$F$1821*1000000000+ISNUMBER('Dvd Calendar'!$F$1822)*100000000+0*10000000+(N('Dvd Calendar'!$F$1820)&gt;0)*(N('Dvd Calendar'!$F$1820)&lt;=VAL_SERIAL)*1000000+24*1000+42))</f>
        <v/>
      </c>
      <c r="FU183" s="35">
        <f>IF(N('Dvd Calendar'!$G$1821)=0,"",IF(('Dvd Calendar'!$G$1821&gt;=GRID_FROM)*('Dvd Calendar'!$G$1821&lt;=GRID_TO)*('Dvd Calendar'!$G$1821&gt;VAL_DATE)=0,"",'Dvd Calendar'!$G$1821*1000000000+ISNUMBER('Dvd Calendar'!$G$1822)*100000000+0*10000000+(N('Dvd Calendar'!$G$1820)&gt;0)*(N('Dvd Calendar'!$G$1820)&lt;=VAL_SERIAL)*1000000+24*1000+43))</f>
        <v/>
      </c>
      <c r="FV183" s="35">
        <f>IF(N('Dvd Calendar'!$H$1821)=0,"",IF(('Dvd Calendar'!$H$1821&gt;=GRID_FROM)*('Dvd Calendar'!$H$1821&lt;=GRID_TO)*('Dvd Calendar'!$H$1821&gt;VAL_DATE)=0,"",'Dvd Calendar'!$H$1821*1000000000+ISNUMBER('Dvd Calendar'!$H$1822)*100000000+0*10000000+(N('Dvd Calendar'!$H$1820)&gt;0)*(N('Dvd Calendar'!$H$1820)&lt;=VAL_SERIAL)*1000000+24*1000+44))</f>
        <v/>
      </c>
      <c r="FW183" s="35">
        <f>IF(N('Dvd Calendar'!$I$1821)=0,"",IF(('Dvd Calendar'!$I$1821&gt;=GRID_FROM)*('Dvd Calendar'!$I$1821&lt;=GRID_TO)*('Dvd Calendar'!$I$1821&gt;VAL_DATE)=0,"",'Dvd Calendar'!$I$1821*1000000000+ISNUMBER('Dvd Calendar'!$I$1822)*100000000+0*10000000+(N('Dvd Calendar'!$I$1820)&gt;0)*(N('Dvd Calendar'!$I$1820)&lt;=VAL_SERIAL)*1000000+24*1000+45))</f>
        <v/>
      </c>
      <c r="FX183" s="35">
        <f>IF(N('Dvd Calendar'!$J$1821)=0,"",IF(('Dvd Calendar'!$J$1821&gt;=GRID_FROM)*('Dvd Calendar'!$J$1821&lt;=GRID_TO)*('Dvd Calendar'!$J$1821&gt;VAL_DATE)=0,"",'Dvd Calendar'!$J$1821*1000000000+ISNUMBER('Dvd Calendar'!$J$1822)*100000000+0*10000000+(N('Dvd Calendar'!$J$1820)&gt;0)*(N('Dvd Calendar'!$J$1820)&lt;=VAL_SERIAL)*1000000+24*1000+46))</f>
        <v/>
      </c>
      <c r="FY183" s="35">
        <f>IF(N('Dvd Calendar'!$K$1821)=0,"",IF(('Dvd Calendar'!$K$1821&gt;=GRID_FROM)*('Dvd Calendar'!$K$1821&lt;=GRID_TO)*('Dvd Calendar'!$K$1821&gt;VAL_DATE)=0,"",'Dvd Calendar'!$K$1821*1000000000+ISNUMBER('Dvd Calendar'!$K$1822)*100000000+0*10000000+(N('Dvd Calendar'!$K$1820)&gt;0)*(N('Dvd Calendar'!$K$1820)&lt;=VAL_SERIAL)*1000000+24*1000+47))</f>
        <v/>
      </c>
      <c r="FZ183" s="35">
        <f>IF(N('Dvd Calendar'!$L$1821)=0,"",IF(('Dvd Calendar'!$L$1821&gt;=GRID_FROM)*('Dvd Calendar'!$L$1821&lt;=GRID_TO)*('Dvd Calendar'!$L$1821&gt;VAL_DATE)=0,"",'Dvd Calendar'!$L$1821*1000000000+ISNUMBER('Dvd Calendar'!$L$1822)*100000000+0*10000000+(N('Dvd Calendar'!$L$1820)&gt;0)*(N('Dvd Calendar'!$L$1820)&lt;=VAL_SERIAL)*1000000+24*1000+48))</f>
        <v/>
      </c>
      <c r="GA183" s="35">
        <f>IF(N('Dvd Calendar'!$M$1821)=0,"",IF(('Dvd Calendar'!$M$1821&gt;=GRID_FROM)*('Dvd Calendar'!$M$1821&lt;=GRID_TO)*('Dvd Calendar'!$M$1821&gt;VAL_DATE)=0,"",'Dvd Calendar'!$M$1821*1000000000+ISNUMBER('Dvd Calendar'!$M$1822)*100000000+0*10000000+(N('Dvd Calendar'!$M$1820)&gt;0)*(N('Dvd Calendar'!$M$1820)&lt;=VAL_SERIAL)*1000000+24*1000+49))</f>
        <v/>
      </c>
      <c r="GB183" s="35">
        <f>IF(N('Dvd Calendar'!$N$1821)=0,"",IF(('Dvd Calendar'!$N$1821&gt;=GRID_FROM)*('Dvd Calendar'!$N$1821&lt;=GRID_TO)*('Dvd Calendar'!$N$1821&gt;VAL_DATE)=0,"",'Dvd Calendar'!$N$1821*1000000000+ISNUMBER('Dvd Calendar'!$N$1822)*100000000+0*10000000+(N('Dvd Calendar'!$N$1820)&gt;0)*(N('Dvd Calendar'!$N$1820)&lt;=VAL_SERIAL)*1000000+24*1000+50))</f>
        <v/>
      </c>
      <c r="GC183" s="35">
        <f>IF(N('Dvd Calendar'!$O$1821)=0,"",IF(('Dvd Calendar'!$O$1821&gt;=GRID_FROM)*('Dvd Calendar'!$O$1821&lt;=GRID_TO)*('Dvd Calendar'!$O$1821&gt;VAL_DATE)=0,"",'Dvd Calendar'!$O$1821*1000000000+ISNUMBER('Dvd Calendar'!$O$1822)*100000000+0*10000000+(N('Dvd Calendar'!$O$1820)&gt;0)*(N('Dvd Calendar'!$O$1820)&lt;=VAL_SERIAL)*1000000+24*1000+51))</f>
        <v/>
      </c>
      <c r="GD183" s="35">
        <f>IF(N('Dvd Calendar'!$P$1821)=0,"",IF(('Dvd Calendar'!$P$1821&gt;=GRID_FROM)*('Dvd Calendar'!$P$1821&lt;=GRID_TO)*('Dvd Calendar'!$P$1821&gt;VAL_DATE)=0,"",'Dvd Calendar'!$P$1821*1000000000+ISNUMBER('Dvd Calendar'!$P$1822)*100000000+0*10000000+(N('Dvd Calendar'!$P$1820)&gt;0)*(N('Dvd Calendar'!$P$1820)&lt;=VAL_SERIAL)*1000000+24*1000+52))</f>
        <v/>
      </c>
      <c r="GE183" s="35">
        <f>IF(N('Dvd Calendar'!$Q$1821)=0,"",IF(('Dvd Calendar'!$Q$1821&gt;=GRID_FROM)*('Dvd Calendar'!$Q$1821&lt;=GRID_TO)*('Dvd Calendar'!$Q$1821&gt;VAL_DATE)=0,"",'Dvd Calendar'!$Q$1821*1000000000+ISNUMBER('Dvd Calendar'!$Q$1822)*100000000+0*10000000+(N('Dvd Calendar'!$Q$1820)&gt;0)*(N('Dvd Calendar'!$Q$1820)&lt;=VAL_SERIAL)*1000000+24*1000+53))</f>
        <v/>
      </c>
      <c r="GF183" s="35">
        <f>IF(N('Dvd Calendar'!$R$1821)=0,"",IF(('Dvd Calendar'!$R$1821&gt;=GRID_FROM)*('Dvd Calendar'!$R$1821&lt;=GRID_TO)*('Dvd Calendar'!$R$1821&gt;VAL_DATE)=0,"",'Dvd Calendar'!$R$1821*1000000000+ISNUMBER('Dvd Calendar'!$R$1822)*100000000+0*10000000+(N('Dvd Calendar'!$R$1820)&gt;0)*(N('Dvd Calendar'!$R$1820)&lt;=VAL_SERIAL)*1000000+24*1000+54))</f>
        <v/>
      </c>
      <c r="GG183" s="35">
        <f>IF(N('Dvd Calendar'!$S$1821)=0,"",IF(('Dvd Calendar'!$S$1821&gt;=GRID_FROM)*('Dvd Calendar'!$S$1821&lt;=GRID_TO)*('Dvd Calendar'!$S$1821&gt;VAL_DATE)=0,"",'Dvd Calendar'!$S$1821*1000000000+ISNUMBER('Dvd Calendar'!$S$1822)*100000000+0*10000000+(N('Dvd Calendar'!$S$1820)&gt;0)*(N('Dvd Calendar'!$S$1820)&lt;=VAL_SERIAL)*1000000+24*1000+55))</f>
        <v/>
      </c>
      <c r="GH183" s="35">
        <f>IF(N('Dvd Calendar'!$T$1821)=0,"",IF(('Dvd Calendar'!$T$1821&gt;=GRID_FROM)*('Dvd Calendar'!$T$1821&lt;=GRID_TO)*('Dvd Calendar'!$T$1821&gt;VAL_DATE)=0,"",'Dvd Calendar'!$T$1821*1000000000+ISNUMBER('Dvd Calendar'!$T$1822)*100000000+0*10000000+(N('Dvd Calendar'!$T$1820)&gt;0)*(N('Dvd Calendar'!$T$1820)&lt;=VAL_SERIAL)*1000000+24*1000+56))</f>
        <v/>
      </c>
      <c r="GI183" s="35">
        <f>IF(N('Dvd Calendar'!$U$1821)=0,"",IF(('Dvd Calendar'!$U$1821&gt;=GRID_FROM)*('Dvd Calendar'!$U$1821&lt;=GRID_TO)*('Dvd Calendar'!$U$1821&gt;VAL_DATE)=0,"",'Dvd Calendar'!$U$1821*1000000000+ISNUMBER('Dvd Calendar'!$U$1822)*100000000+0*10000000+(N('Dvd Calendar'!$U$1820)&gt;0)*(N('Dvd Calendar'!$U$1820)&lt;=VAL_SERIAL)*1000000+24*1000+57))</f>
        <v/>
      </c>
      <c r="GJ183" s="35">
        <f>IF(N('Dvd Calendar'!$V$1821)=0,"",IF(('Dvd Calendar'!$V$1821&gt;=GRID_FROM)*('Dvd Calendar'!$V$1821&lt;=GRID_TO)*('Dvd Calendar'!$V$1821&gt;VAL_DATE)=0,"",'Dvd Calendar'!$V$1821*1000000000+ISNUMBER('Dvd Calendar'!$V$1822)*100000000+0*10000000+(N('Dvd Calendar'!$V$1820)&gt;0)*(N('Dvd Calendar'!$V$1820)&lt;=VAL_SERIAL)*1000000+24*1000+58))</f>
        <v/>
      </c>
      <c r="GK183" s="35">
        <f>IF(N('Dvd Calendar'!$W$1821)=0,"",IF(('Dvd Calendar'!$W$1821&gt;=GRID_FROM)*('Dvd Calendar'!$W$1821&lt;=GRID_TO)*('Dvd Calendar'!$W$1821&gt;VAL_DATE)=0,"",'Dvd Calendar'!$W$1821*1000000000+ISNUMBER('Dvd Calendar'!$W$1822)*100000000+0*10000000+(N('Dvd Calendar'!$W$1820)&gt;0)*(N('Dvd Calendar'!$W$1820)&lt;=VAL_SERIAL)*1000000+24*1000+59))</f>
        <v/>
      </c>
      <c r="GL183" s="35">
        <f>IF(N('Dvd Calendar'!$X$1821)=0,"",IF(('Dvd Calendar'!$X$1821&gt;=GRID_FROM)*('Dvd Calendar'!$X$1821&lt;=GRID_TO)*('Dvd Calendar'!$X$1821&gt;VAL_DATE)=0,"",'Dvd Calendar'!$X$1821*1000000000+ISNUMBER('Dvd Calendar'!$X$1822)*100000000+0*10000000+(N('Dvd Calendar'!$X$1820)&gt;0)*(N('Dvd Calendar'!$X$1820)&lt;=VAL_SERIAL)*1000000+24*1000+60))</f>
        <v/>
      </c>
      <c r="GM183" s="35">
        <f>IF(N('Dvd Calendar'!$Y$1821)=0,"",IF(('Dvd Calendar'!$Y$1821&gt;=GRID_FROM)*('Dvd Calendar'!$Y$1821&lt;=GRID_TO)*('Dvd Calendar'!$Y$1821&gt;VAL_DATE)=0,"",'Dvd Calendar'!$Y$1821*1000000000+ISNUMBER('Dvd Calendar'!$Y$1822)*100000000+0*10000000+(N('Dvd Calendar'!$Y$1820)&gt;0)*(N('Dvd Calendar'!$Y$1820)&lt;=VAL_SERIAL)*1000000+24*1000+61))</f>
        <v/>
      </c>
      <c r="GN183" s="35">
        <f>IF(N('Dvd Calendar'!$Z$1821)=0,"",IF(('Dvd Calendar'!$Z$1821&gt;=GRID_FROM)*('Dvd Calendar'!$Z$1821&lt;=GRID_TO)*('Dvd Calendar'!$Z$1821&gt;VAL_DATE)=0,"",'Dvd Calendar'!$Z$1821*1000000000+ISNUMBER('Dvd Calendar'!$Z$1822)*100000000+0*10000000+(N('Dvd Calendar'!$Z$1820)&gt;0)*(N('Dvd Calendar'!$Z$1820)&lt;=VAL_SERIAL)*1000000+24*1000+62))</f>
        <v/>
      </c>
      <c r="GO183" s="35">
        <f>IF(N('Dvd Calendar'!$AA$1821)=0,"",IF(('Dvd Calendar'!$AA$1821&gt;=GRID_FROM)*('Dvd Calendar'!$AA$1821&lt;=GRID_TO)*('Dvd Calendar'!$AA$1821&gt;VAL_DATE)=0,"",'Dvd Calendar'!$AA$1821*1000000000+ISNUMBER('Dvd Calendar'!$AA$1822)*100000000+0*10000000+(N('Dvd Calendar'!$AA$1820)&gt;0)*(N('Dvd Calendar'!$AA$1820)&lt;=VAL_SERIAL)*1000000+24*1000+63))</f>
        <v/>
      </c>
      <c r="GP183" s="35">
        <f>IF(N('Dvd Calendar'!$AB$1821)=0,"",IF(('Dvd Calendar'!$AB$1821&gt;=GRID_FROM)*('Dvd Calendar'!$AB$1821&lt;=GRID_TO)*('Dvd Calendar'!$AB$1821&gt;VAL_DATE)=0,"",'Dvd Calendar'!$AB$1821*1000000000+ISNUMBER('Dvd Calendar'!$AB$1822)*100000000+0*10000000+(N('Dvd Calendar'!$AB$1820)&gt;0)*(N('Dvd Calendar'!$AB$1820)&lt;=VAL_SERIAL)*1000000+24*1000+64))</f>
        <v/>
      </c>
      <c r="GQ183" s="35">
        <f>IF(N('Dvd Calendar'!$AC$1821)=0,"",IF(('Dvd Calendar'!$AC$1821&gt;=GRID_FROM)*('Dvd Calendar'!$AC$1821&lt;=GRID_TO)*('Dvd Calendar'!$AC$1821&gt;VAL_DATE)=0,"",'Dvd Calendar'!$AC$1821*1000000000+ISNUMBER('Dvd Calendar'!$AC$1822)*100000000+0*10000000+(N('Dvd Calendar'!$AC$1820)&gt;0)*(N('Dvd Calendar'!$AC$1820)&lt;=VAL_SERIAL)*1000000+24*1000+65))</f>
        <v/>
      </c>
    </row>
    <row r="184">
      <c r="B184" s="2">
        <f>IF(HSCEI!$C$31="","",HSCEI!$C$31)</f>
        <v/>
      </c>
      <c r="C184" s="106">
        <f>IF(EE184="","",IF(ISNUMBER('Dvd Calendar'!$E$1828)=FALSE,"",IF((('Dvd Calendar'!$E$1830=TYPE1)*(TYPE1&lt;&gt;"")+('Dvd Calendar'!$E$1830=TYPE2)*(TYPE2&lt;&gt;"")+('Dvd Calendar'!$E$1830=TYPE3)*(TYPE3&lt;&gt;"")+('Dvd Calendar'!$E$1830=TYPE4)*(TYPE4&lt;&gt;"")+('Dvd Calendar'!$E$1830=SPECIAL_LBL)*(INC_SPECIALS="Y"))=0,"",'Dvd Calendar'!$E$1828)))</f>
        <v/>
      </c>
      <c r="D184" s="106">
        <f>IF(EF184="","",IF(ISNUMBER('Dvd Calendar'!$F$1828)=FALSE,"",IF((('Dvd Calendar'!$F$1830=TYPE1)*(TYPE1&lt;&gt;"")+('Dvd Calendar'!$F$1830=TYPE2)*(TYPE2&lt;&gt;"")+('Dvd Calendar'!$F$1830=TYPE3)*(TYPE3&lt;&gt;"")+('Dvd Calendar'!$F$1830=TYPE4)*(TYPE4&lt;&gt;"")+('Dvd Calendar'!$F$1830=SPECIAL_LBL)*(INC_SPECIALS="Y"))=0,"",'Dvd Calendar'!$F$1828)))</f>
        <v/>
      </c>
      <c r="E184" s="106">
        <f>IF(EG184="","",IF(ISNUMBER('Dvd Calendar'!$G$1828)=FALSE,"",IF((('Dvd Calendar'!$G$1830=TYPE1)*(TYPE1&lt;&gt;"")+('Dvd Calendar'!$G$1830=TYPE2)*(TYPE2&lt;&gt;"")+('Dvd Calendar'!$G$1830=TYPE3)*(TYPE3&lt;&gt;"")+('Dvd Calendar'!$G$1830=TYPE4)*(TYPE4&lt;&gt;"")+('Dvd Calendar'!$G$1830=SPECIAL_LBL)*(INC_SPECIALS="Y"))=0,"",'Dvd Calendar'!$G$1828)))</f>
        <v/>
      </c>
      <c r="F184" s="106">
        <f>IF(EH184="","",IF(ISNUMBER('Dvd Calendar'!$H$1828)=FALSE,"",IF((('Dvd Calendar'!$H$1830=TYPE1)*(TYPE1&lt;&gt;"")+('Dvd Calendar'!$H$1830=TYPE2)*(TYPE2&lt;&gt;"")+('Dvd Calendar'!$H$1830=TYPE3)*(TYPE3&lt;&gt;"")+('Dvd Calendar'!$H$1830=TYPE4)*(TYPE4&lt;&gt;"")+('Dvd Calendar'!$H$1830=SPECIAL_LBL)*(INC_SPECIALS="Y"))=0,"",'Dvd Calendar'!$H$1828)))</f>
        <v/>
      </c>
      <c r="G184" s="106">
        <f>IF(EI184="","",IF(ISNUMBER('Dvd Calendar'!$I$1828)=FALSE,"",IF((('Dvd Calendar'!$I$1830=TYPE1)*(TYPE1&lt;&gt;"")+('Dvd Calendar'!$I$1830=TYPE2)*(TYPE2&lt;&gt;"")+('Dvd Calendar'!$I$1830=TYPE3)*(TYPE3&lt;&gt;"")+('Dvd Calendar'!$I$1830=TYPE4)*(TYPE4&lt;&gt;"")+('Dvd Calendar'!$I$1830=SPECIAL_LBL)*(INC_SPECIALS="Y"))=0,"",'Dvd Calendar'!$I$1828)))</f>
        <v/>
      </c>
      <c r="H184" s="106">
        <f>IF(EJ184="","",IF(ISNUMBER('Dvd Calendar'!$J$1828)=FALSE,"",IF((('Dvd Calendar'!$J$1830=TYPE1)*(TYPE1&lt;&gt;"")+('Dvd Calendar'!$J$1830=TYPE2)*(TYPE2&lt;&gt;"")+('Dvd Calendar'!$J$1830=TYPE3)*(TYPE3&lt;&gt;"")+('Dvd Calendar'!$J$1830=TYPE4)*(TYPE4&lt;&gt;"")+('Dvd Calendar'!$J$1830=SPECIAL_LBL)*(INC_SPECIALS="Y"))=0,"",'Dvd Calendar'!$J$1828)))</f>
        <v/>
      </c>
      <c r="I184" s="106">
        <f>IF(EK184="","",IF(ISNUMBER('Dvd Calendar'!$K$1828)=FALSE,"",IF((('Dvd Calendar'!$K$1830=TYPE1)*(TYPE1&lt;&gt;"")+('Dvd Calendar'!$K$1830=TYPE2)*(TYPE2&lt;&gt;"")+('Dvd Calendar'!$K$1830=TYPE3)*(TYPE3&lt;&gt;"")+('Dvd Calendar'!$K$1830=TYPE4)*(TYPE4&lt;&gt;"")+('Dvd Calendar'!$K$1830=SPECIAL_LBL)*(INC_SPECIALS="Y"))=0,"",'Dvd Calendar'!$K$1828)))</f>
        <v/>
      </c>
      <c r="J184" s="106">
        <f>IF(EL184="","",IF(ISNUMBER('Dvd Calendar'!$L$1828)=FALSE,"",IF((('Dvd Calendar'!$L$1830=TYPE1)*(TYPE1&lt;&gt;"")+('Dvd Calendar'!$L$1830=TYPE2)*(TYPE2&lt;&gt;"")+('Dvd Calendar'!$L$1830=TYPE3)*(TYPE3&lt;&gt;"")+('Dvd Calendar'!$L$1830=TYPE4)*(TYPE4&lt;&gt;"")+('Dvd Calendar'!$L$1830=SPECIAL_LBL)*(INC_SPECIALS="Y"))=0,"",'Dvd Calendar'!$L$1828)))</f>
        <v/>
      </c>
      <c r="K184" s="106">
        <f>IF(EM184="","",IF(ISNUMBER('Dvd Calendar'!$M$1828)=FALSE,"",IF((('Dvd Calendar'!$M$1830=TYPE1)*(TYPE1&lt;&gt;"")+('Dvd Calendar'!$M$1830=TYPE2)*(TYPE2&lt;&gt;"")+('Dvd Calendar'!$M$1830=TYPE3)*(TYPE3&lt;&gt;"")+('Dvd Calendar'!$M$1830=TYPE4)*(TYPE4&lt;&gt;"")+('Dvd Calendar'!$M$1830=SPECIAL_LBL)*(INC_SPECIALS="Y"))=0,"",'Dvd Calendar'!$M$1828)))</f>
        <v/>
      </c>
      <c r="L184" s="106">
        <f>IF(EN184="","",IF(ISNUMBER('Dvd Calendar'!$N$1828)=FALSE,"",IF((('Dvd Calendar'!$N$1830=TYPE1)*(TYPE1&lt;&gt;"")+('Dvd Calendar'!$N$1830=TYPE2)*(TYPE2&lt;&gt;"")+('Dvd Calendar'!$N$1830=TYPE3)*(TYPE3&lt;&gt;"")+('Dvd Calendar'!$N$1830=TYPE4)*(TYPE4&lt;&gt;"")+('Dvd Calendar'!$N$1830=SPECIAL_LBL)*(INC_SPECIALS="Y"))=0,"",'Dvd Calendar'!$N$1828)))</f>
        <v/>
      </c>
      <c r="M184" s="106">
        <f>IF(EO184="","",IF(ISNUMBER('Dvd Calendar'!$O$1828)=FALSE,"",IF((('Dvd Calendar'!$O$1830=TYPE1)*(TYPE1&lt;&gt;"")+('Dvd Calendar'!$O$1830=TYPE2)*(TYPE2&lt;&gt;"")+('Dvd Calendar'!$O$1830=TYPE3)*(TYPE3&lt;&gt;"")+('Dvd Calendar'!$O$1830=TYPE4)*(TYPE4&lt;&gt;"")+('Dvd Calendar'!$O$1830=SPECIAL_LBL)*(INC_SPECIALS="Y"))=0,"",'Dvd Calendar'!$O$1828)))</f>
        <v/>
      </c>
      <c r="N184" s="106">
        <f>IF(EP184="","",IF(ISNUMBER('Dvd Calendar'!$P$1828)=FALSE,"",IF((('Dvd Calendar'!$P$1830=TYPE1)*(TYPE1&lt;&gt;"")+('Dvd Calendar'!$P$1830=TYPE2)*(TYPE2&lt;&gt;"")+('Dvd Calendar'!$P$1830=TYPE3)*(TYPE3&lt;&gt;"")+('Dvd Calendar'!$P$1830=TYPE4)*(TYPE4&lt;&gt;"")+('Dvd Calendar'!$P$1830=SPECIAL_LBL)*(INC_SPECIALS="Y"))=0,"",'Dvd Calendar'!$P$1828)))</f>
        <v/>
      </c>
      <c r="O184" s="106">
        <f>IF(EQ184="","",IF(ISNUMBER('Dvd Calendar'!$Q$1828)=FALSE,"",IF((('Dvd Calendar'!$Q$1830=TYPE1)*(TYPE1&lt;&gt;"")+('Dvd Calendar'!$Q$1830=TYPE2)*(TYPE2&lt;&gt;"")+('Dvd Calendar'!$Q$1830=TYPE3)*(TYPE3&lt;&gt;"")+('Dvd Calendar'!$Q$1830=TYPE4)*(TYPE4&lt;&gt;"")+('Dvd Calendar'!$Q$1830=SPECIAL_LBL)*(INC_SPECIALS="Y"))=0,"",'Dvd Calendar'!$Q$1828)))</f>
        <v/>
      </c>
      <c r="P184" s="106">
        <f>IF(ER184="","",IF(ISNUMBER('Dvd Calendar'!$R$1828)=FALSE,"",IF((('Dvd Calendar'!$R$1830=TYPE1)*(TYPE1&lt;&gt;"")+('Dvd Calendar'!$R$1830=TYPE2)*(TYPE2&lt;&gt;"")+('Dvd Calendar'!$R$1830=TYPE3)*(TYPE3&lt;&gt;"")+('Dvd Calendar'!$R$1830=TYPE4)*(TYPE4&lt;&gt;"")+('Dvd Calendar'!$R$1830=SPECIAL_LBL)*(INC_SPECIALS="Y"))=0,"",'Dvd Calendar'!$R$1828)))</f>
        <v/>
      </c>
      <c r="Q184" s="106">
        <f>IF(ES184="","",IF(ISNUMBER('Dvd Calendar'!$S$1828)=FALSE,"",IF((('Dvd Calendar'!$S$1830=TYPE1)*(TYPE1&lt;&gt;"")+('Dvd Calendar'!$S$1830=TYPE2)*(TYPE2&lt;&gt;"")+('Dvd Calendar'!$S$1830=TYPE3)*(TYPE3&lt;&gt;"")+('Dvd Calendar'!$S$1830=TYPE4)*(TYPE4&lt;&gt;"")+('Dvd Calendar'!$S$1830=SPECIAL_LBL)*(INC_SPECIALS="Y"))=0,"",'Dvd Calendar'!$S$1828)))</f>
        <v/>
      </c>
      <c r="R184" s="106">
        <f>IF(ET184="","",IF(ISNUMBER('Dvd Calendar'!$T$1828)=FALSE,"",IF((('Dvd Calendar'!$T$1830=TYPE1)*(TYPE1&lt;&gt;"")+('Dvd Calendar'!$T$1830=TYPE2)*(TYPE2&lt;&gt;"")+('Dvd Calendar'!$T$1830=TYPE3)*(TYPE3&lt;&gt;"")+('Dvd Calendar'!$T$1830=TYPE4)*(TYPE4&lt;&gt;"")+('Dvd Calendar'!$T$1830=SPECIAL_LBL)*(INC_SPECIALS="Y"))=0,"",'Dvd Calendar'!$T$1828)))</f>
        <v/>
      </c>
      <c r="S184" s="106">
        <f>IF(EU184="","",IF(ISNUMBER('Dvd Calendar'!$U$1828)=FALSE,"",IF((('Dvd Calendar'!$U$1830=TYPE1)*(TYPE1&lt;&gt;"")+('Dvd Calendar'!$U$1830=TYPE2)*(TYPE2&lt;&gt;"")+('Dvd Calendar'!$U$1830=TYPE3)*(TYPE3&lt;&gt;"")+('Dvd Calendar'!$U$1830=TYPE4)*(TYPE4&lt;&gt;"")+('Dvd Calendar'!$U$1830=SPECIAL_LBL)*(INC_SPECIALS="Y"))=0,"",'Dvd Calendar'!$U$1828)))</f>
        <v/>
      </c>
      <c r="T184" s="106">
        <f>IF(EV184="","",IF(ISNUMBER('Dvd Calendar'!$V$1828)=FALSE,"",IF((('Dvd Calendar'!$V$1830=TYPE1)*(TYPE1&lt;&gt;"")+('Dvd Calendar'!$V$1830=TYPE2)*(TYPE2&lt;&gt;"")+('Dvd Calendar'!$V$1830=TYPE3)*(TYPE3&lt;&gt;"")+('Dvd Calendar'!$V$1830=TYPE4)*(TYPE4&lt;&gt;"")+('Dvd Calendar'!$V$1830=SPECIAL_LBL)*(INC_SPECIALS="Y"))=0,"",'Dvd Calendar'!$V$1828)))</f>
        <v/>
      </c>
      <c r="U184" s="106">
        <f>IF(EW184="","",IF(ISNUMBER('Dvd Calendar'!$W$1828)=FALSE,"",IF((('Dvd Calendar'!$W$1830=TYPE1)*(TYPE1&lt;&gt;"")+('Dvd Calendar'!$W$1830=TYPE2)*(TYPE2&lt;&gt;"")+('Dvd Calendar'!$W$1830=TYPE3)*(TYPE3&lt;&gt;"")+('Dvd Calendar'!$W$1830=TYPE4)*(TYPE4&lt;&gt;"")+('Dvd Calendar'!$W$1830=SPECIAL_LBL)*(INC_SPECIALS="Y"))=0,"",'Dvd Calendar'!$W$1828)))</f>
        <v/>
      </c>
      <c r="V184" s="106">
        <f>IF(EX184="","",IF(ISNUMBER('Dvd Calendar'!$X$1828)=FALSE,"",IF((('Dvd Calendar'!$X$1830=TYPE1)*(TYPE1&lt;&gt;"")+('Dvd Calendar'!$X$1830=TYPE2)*(TYPE2&lt;&gt;"")+('Dvd Calendar'!$X$1830=TYPE3)*(TYPE3&lt;&gt;"")+('Dvd Calendar'!$X$1830=TYPE4)*(TYPE4&lt;&gt;"")+('Dvd Calendar'!$X$1830=SPECIAL_LBL)*(INC_SPECIALS="Y"))=0,"",'Dvd Calendar'!$X$1828)))</f>
        <v/>
      </c>
      <c r="W184" s="106">
        <f>IF(EY184="","",IF(ISNUMBER('Dvd Calendar'!$Y$1828)=FALSE,"",IF((('Dvd Calendar'!$Y$1830=TYPE1)*(TYPE1&lt;&gt;"")+('Dvd Calendar'!$Y$1830=TYPE2)*(TYPE2&lt;&gt;"")+('Dvd Calendar'!$Y$1830=TYPE3)*(TYPE3&lt;&gt;"")+('Dvd Calendar'!$Y$1830=TYPE4)*(TYPE4&lt;&gt;"")+('Dvd Calendar'!$Y$1830=SPECIAL_LBL)*(INC_SPECIALS="Y"))=0,"",'Dvd Calendar'!$Y$1828)))</f>
        <v/>
      </c>
      <c r="X184" s="106">
        <f>IF(EZ184="","",IF(ISNUMBER('Dvd Calendar'!$Z$1828)=FALSE,"",IF((('Dvd Calendar'!$Z$1830=TYPE1)*(TYPE1&lt;&gt;"")+('Dvd Calendar'!$Z$1830=TYPE2)*(TYPE2&lt;&gt;"")+('Dvd Calendar'!$Z$1830=TYPE3)*(TYPE3&lt;&gt;"")+('Dvd Calendar'!$Z$1830=TYPE4)*(TYPE4&lt;&gt;"")+('Dvd Calendar'!$Z$1830=SPECIAL_LBL)*(INC_SPECIALS="Y"))=0,"",'Dvd Calendar'!$Z$1828)))</f>
        <v/>
      </c>
      <c r="Y184" s="106">
        <f>IF(FA184="","",IF(ISNUMBER('Dvd Calendar'!$AA$1828)=FALSE,"",IF((('Dvd Calendar'!$AA$1830=TYPE1)*(TYPE1&lt;&gt;"")+('Dvd Calendar'!$AA$1830=TYPE2)*(TYPE2&lt;&gt;"")+('Dvd Calendar'!$AA$1830=TYPE3)*(TYPE3&lt;&gt;"")+('Dvd Calendar'!$AA$1830=TYPE4)*(TYPE4&lt;&gt;"")+('Dvd Calendar'!$AA$1830=SPECIAL_LBL)*(INC_SPECIALS="Y"))=0,"",'Dvd Calendar'!$AA$1828)))</f>
        <v/>
      </c>
      <c r="Z184" s="106">
        <f>IF(FB184="","",IF(ISNUMBER('Dvd Calendar'!$AB$1828)=FALSE,"",IF((('Dvd Calendar'!$AB$1830=TYPE1)*(TYPE1&lt;&gt;"")+('Dvd Calendar'!$AB$1830=TYPE2)*(TYPE2&lt;&gt;"")+('Dvd Calendar'!$AB$1830=TYPE3)*(TYPE3&lt;&gt;"")+('Dvd Calendar'!$AB$1830=TYPE4)*(TYPE4&lt;&gt;"")+('Dvd Calendar'!$AB$1830=SPECIAL_LBL)*(INC_SPECIALS="Y"))=0,"",'Dvd Calendar'!$AB$1828)))</f>
        <v/>
      </c>
      <c r="AA184" s="106">
        <f>IF(FC184="","",IF(ISNUMBER('Dvd Calendar'!$AC$1828)=FALSE,"",IF((('Dvd Calendar'!$AC$1830=TYPE1)*(TYPE1&lt;&gt;"")+('Dvd Calendar'!$AC$1830=TYPE2)*(TYPE2&lt;&gt;"")+('Dvd Calendar'!$AC$1830=TYPE3)*(TYPE3&lt;&gt;"")+('Dvd Calendar'!$AC$1830=TYPE4)*(TYPE4&lt;&gt;"")+('Dvd Calendar'!$AC$1830=SPECIAL_LBL)*(INC_SPECIALS="Y"))=0,"",'Dvd Calendar'!$AC$1828)))</f>
        <v/>
      </c>
      <c r="AB184" s="106">
        <f>IF(FD184="","",IF(ISNUMBER('Dvd Calendar'!$AD$1828)=FALSE,"",IF((('Dvd Calendar'!$AD$1830=TYPE1)*(TYPE1&lt;&gt;"")+('Dvd Calendar'!$AD$1830=TYPE2)*(TYPE2&lt;&gt;"")+('Dvd Calendar'!$AD$1830=TYPE3)*(TYPE3&lt;&gt;"")+('Dvd Calendar'!$AD$1830=TYPE4)*(TYPE4&lt;&gt;"")+('Dvd Calendar'!$AD$1830=SPECIAL_LBL)*(INC_SPECIALS="Y"))=0,"",'Dvd Calendar'!$AD$1828)))</f>
        <v/>
      </c>
      <c r="AC184" s="106">
        <f>IF(FE184="","",IF(ISNUMBER('Dvd Calendar'!$AE$1828)=FALSE,"",IF((('Dvd Calendar'!$AE$1830=TYPE1)*(TYPE1&lt;&gt;"")+('Dvd Calendar'!$AE$1830=TYPE2)*(TYPE2&lt;&gt;"")+('Dvd Calendar'!$AE$1830=TYPE3)*(TYPE3&lt;&gt;"")+('Dvd Calendar'!$AE$1830=TYPE4)*(TYPE4&lt;&gt;"")+('Dvd Calendar'!$AE$1830=SPECIAL_LBL)*(INC_SPECIALS="Y"))=0,"",'Dvd Calendar'!$AE$1828)))</f>
        <v/>
      </c>
      <c r="AD184" s="106">
        <f>IF(FF184="","",IF(ISNUMBER('Dvd Calendar'!$AF$1828)=FALSE,"",IF((('Dvd Calendar'!$AF$1830=TYPE1)*(TYPE1&lt;&gt;"")+('Dvd Calendar'!$AF$1830=TYPE2)*(TYPE2&lt;&gt;"")+('Dvd Calendar'!$AF$1830=TYPE3)*(TYPE3&lt;&gt;"")+('Dvd Calendar'!$AF$1830=TYPE4)*(TYPE4&lt;&gt;"")+('Dvd Calendar'!$AF$1830=SPECIAL_LBL)*(INC_SPECIALS="Y"))=0,"",'Dvd Calendar'!$AF$1828)))</f>
        <v/>
      </c>
      <c r="AE184" s="106">
        <f>IF(FG184="","",IF(ISNUMBER('Dvd Calendar'!$AG$1828)=FALSE,"",IF((('Dvd Calendar'!$AG$1830=TYPE1)*(TYPE1&lt;&gt;"")+('Dvd Calendar'!$AG$1830=TYPE2)*(TYPE2&lt;&gt;"")+('Dvd Calendar'!$AG$1830=TYPE3)*(TYPE3&lt;&gt;"")+('Dvd Calendar'!$AG$1830=TYPE4)*(TYPE4&lt;&gt;"")+('Dvd Calendar'!$AG$1830=SPECIAL_LBL)*(INC_SPECIALS="Y"))=0,"",'Dvd Calendar'!$AG$1828)))</f>
        <v/>
      </c>
      <c r="AF184" s="106">
        <f>IF(FH184="","",IF(ISNUMBER('Dvd Calendar'!$AH$1828)=FALSE,"",IF((('Dvd Calendar'!$AH$1830=TYPE1)*(TYPE1&lt;&gt;"")+('Dvd Calendar'!$AH$1830=TYPE2)*(TYPE2&lt;&gt;"")+('Dvd Calendar'!$AH$1830=TYPE3)*(TYPE3&lt;&gt;"")+('Dvd Calendar'!$AH$1830=TYPE4)*(TYPE4&lt;&gt;"")+('Dvd Calendar'!$AH$1830=SPECIAL_LBL)*(INC_SPECIALS="Y"))=0,"",'Dvd Calendar'!$AH$1828)))</f>
        <v/>
      </c>
      <c r="AG184" s="106">
        <f>IF(FI184="","",IF(ISNUMBER('Dvd Calendar'!$AI$1828)=FALSE,"",IF((('Dvd Calendar'!$AI$1830=TYPE1)*(TYPE1&lt;&gt;"")+('Dvd Calendar'!$AI$1830=TYPE2)*(TYPE2&lt;&gt;"")+('Dvd Calendar'!$AI$1830=TYPE3)*(TYPE3&lt;&gt;"")+('Dvd Calendar'!$AI$1830=TYPE4)*(TYPE4&lt;&gt;"")+('Dvd Calendar'!$AI$1830=SPECIAL_LBL)*(INC_SPECIALS="Y"))=0,"",'Dvd Calendar'!$AI$1828)))</f>
        <v/>
      </c>
      <c r="AH184" s="106">
        <f>IF(FJ184="","",IF(ISNUMBER('Dvd Calendar'!$AJ$1828)=FALSE,"",IF((('Dvd Calendar'!$AJ$1830=TYPE1)*(TYPE1&lt;&gt;"")+('Dvd Calendar'!$AJ$1830=TYPE2)*(TYPE2&lt;&gt;"")+('Dvd Calendar'!$AJ$1830=TYPE3)*(TYPE3&lt;&gt;"")+('Dvd Calendar'!$AJ$1830=TYPE4)*(TYPE4&lt;&gt;"")+('Dvd Calendar'!$AJ$1830=SPECIAL_LBL)*(INC_SPECIALS="Y"))=0,"",'Dvd Calendar'!$AJ$1828)))</f>
        <v/>
      </c>
      <c r="AI184" s="106">
        <f>IF(FK184="","",IF(ISNUMBER('Dvd Calendar'!$AK$1828)=FALSE,"",IF((('Dvd Calendar'!$AK$1830=TYPE1)*(TYPE1&lt;&gt;"")+('Dvd Calendar'!$AK$1830=TYPE2)*(TYPE2&lt;&gt;"")+('Dvd Calendar'!$AK$1830=TYPE3)*(TYPE3&lt;&gt;"")+('Dvd Calendar'!$AK$1830=TYPE4)*(TYPE4&lt;&gt;"")+('Dvd Calendar'!$AK$1830=SPECIAL_LBL)*(INC_SPECIALS="Y"))=0,"",'Dvd Calendar'!$AK$1828)))</f>
        <v/>
      </c>
      <c r="AJ184" s="106">
        <f>IF(FL184="","",IF(ISNUMBER('Dvd Calendar'!$AL$1828)=FALSE,"",IF((('Dvd Calendar'!$AL$1830=TYPE1)*(TYPE1&lt;&gt;"")+('Dvd Calendar'!$AL$1830=TYPE2)*(TYPE2&lt;&gt;"")+('Dvd Calendar'!$AL$1830=TYPE3)*(TYPE3&lt;&gt;"")+('Dvd Calendar'!$AL$1830=TYPE4)*(TYPE4&lt;&gt;"")+('Dvd Calendar'!$AL$1830=SPECIAL_LBL)*(INC_SPECIALS="Y"))=0,"",'Dvd Calendar'!$AL$1828)))</f>
        <v/>
      </c>
      <c r="AK184" s="106">
        <f>IF(FM184="","",IF(ISNUMBER('Dvd Calendar'!$AM$1828)=FALSE,"",IF((('Dvd Calendar'!$AM$1830=TYPE1)*(TYPE1&lt;&gt;"")+('Dvd Calendar'!$AM$1830=TYPE2)*(TYPE2&lt;&gt;"")+('Dvd Calendar'!$AM$1830=TYPE3)*(TYPE3&lt;&gt;"")+('Dvd Calendar'!$AM$1830=TYPE4)*(TYPE4&lt;&gt;"")+('Dvd Calendar'!$AM$1830=SPECIAL_LBL)*(INC_SPECIALS="Y"))=0,"",'Dvd Calendar'!$AM$1828)))</f>
        <v/>
      </c>
      <c r="AL184" s="106">
        <f>IF(FN184="","",IF(ISNUMBER('Dvd Calendar'!$AN$1828)=FALSE,"",IF((('Dvd Calendar'!$AN$1830=TYPE1)*(TYPE1&lt;&gt;"")+('Dvd Calendar'!$AN$1830=TYPE2)*(TYPE2&lt;&gt;"")+('Dvd Calendar'!$AN$1830=TYPE3)*(TYPE3&lt;&gt;"")+('Dvd Calendar'!$AN$1830=TYPE4)*(TYPE4&lt;&gt;"")+('Dvd Calendar'!$AN$1830=SPECIAL_LBL)*(INC_SPECIALS="Y"))=0,"",'Dvd Calendar'!$AN$1828)))</f>
        <v/>
      </c>
      <c r="AM184" s="106">
        <f>IF(FO184="","",IF(ISNUMBER('Dvd Calendar'!$AO$1828)=FALSE,"",IF((('Dvd Calendar'!$AO$1830=TYPE1)*(TYPE1&lt;&gt;"")+('Dvd Calendar'!$AO$1830=TYPE2)*(TYPE2&lt;&gt;"")+('Dvd Calendar'!$AO$1830=TYPE3)*(TYPE3&lt;&gt;"")+('Dvd Calendar'!$AO$1830=TYPE4)*(TYPE4&lt;&gt;"")+('Dvd Calendar'!$AO$1830=SPECIAL_LBL)*(INC_SPECIALS="Y"))=0,"",'Dvd Calendar'!$AO$1828)))</f>
        <v/>
      </c>
      <c r="AN184" s="106">
        <f>IF(FP184="","",IF(ISNUMBER('Dvd Calendar'!$AP$1828)=FALSE,"",IF((('Dvd Calendar'!$AP$1830=TYPE1)*(TYPE1&lt;&gt;"")+('Dvd Calendar'!$AP$1830=TYPE2)*(TYPE2&lt;&gt;"")+('Dvd Calendar'!$AP$1830=TYPE3)*(TYPE3&lt;&gt;"")+('Dvd Calendar'!$AP$1830=TYPE4)*(TYPE4&lt;&gt;"")+('Dvd Calendar'!$AP$1830=SPECIAL_LBL)*(INC_SPECIALS="Y"))=0,"",'Dvd Calendar'!$AP$1828)))</f>
        <v/>
      </c>
      <c r="AO184" s="106">
        <f>IF(FQ184="","",IF(ISNUMBER('Dvd Calendar'!$AQ$1828)=FALSE,"",IF((('Dvd Calendar'!$AQ$1830=TYPE1)*(TYPE1&lt;&gt;"")+('Dvd Calendar'!$AQ$1830=TYPE2)*(TYPE2&lt;&gt;"")+('Dvd Calendar'!$AQ$1830=TYPE3)*(TYPE3&lt;&gt;"")+('Dvd Calendar'!$AQ$1830=TYPE4)*(TYPE4&lt;&gt;"")+('Dvd Calendar'!$AQ$1830=SPECIAL_LBL)*(INC_SPECIALS="Y"))=0,"",'Dvd Calendar'!$AQ$1828)))</f>
        <v/>
      </c>
      <c r="AP184" s="106">
        <f>IF(FR184="","",IF(ISNUMBER('Dvd Calendar'!$AR$1828)=FALSE,"",IF((('Dvd Calendar'!$AR$1830=TYPE1)*(TYPE1&lt;&gt;"")+('Dvd Calendar'!$AR$1830=TYPE2)*(TYPE2&lt;&gt;"")+('Dvd Calendar'!$AR$1830=TYPE3)*(TYPE3&lt;&gt;"")+('Dvd Calendar'!$AR$1830=TYPE4)*(TYPE4&lt;&gt;"")+('Dvd Calendar'!$AR$1830=SPECIAL_LBL)*(INC_SPECIALS="Y"))=0,"",'Dvd Calendar'!$AR$1828)))</f>
        <v/>
      </c>
      <c r="AQ184" s="106">
        <f>IF(FS184="","",IF(ISNUMBER('Dvd Calendar'!$E$1833)=FALSE,"",'Dvd Calendar'!$E$1833))</f>
        <v/>
      </c>
      <c r="AR184" s="106">
        <f>IF(FT184="","",IF(ISNUMBER('Dvd Calendar'!$F$1833)=FALSE,"",'Dvd Calendar'!$F$1833))</f>
        <v/>
      </c>
      <c r="AS184" s="106">
        <f>IF(FU184="","",IF(ISNUMBER('Dvd Calendar'!$G$1833)=FALSE,"",'Dvd Calendar'!$G$1833))</f>
        <v/>
      </c>
      <c r="AT184" s="106">
        <f>IF(FV184="","",IF(ISNUMBER('Dvd Calendar'!$H$1833)=FALSE,"",'Dvd Calendar'!$H$1833))</f>
        <v/>
      </c>
      <c r="AU184" s="106">
        <f>IF(FW184="","",IF(ISNUMBER('Dvd Calendar'!$I$1833)=FALSE,"",'Dvd Calendar'!$I$1833))</f>
        <v/>
      </c>
      <c r="AV184" s="106">
        <f>IF(FX184="","",IF(ISNUMBER('Dvd Calendar'!$J$1833)=FALSE,"",'Dvd Calendar'!$J$1833))</f>
        <v/>
      </c>
      <c r="AW184" s="106">
        <f>IF(FY184="","",IF(ISNUMBER('Dvd Calendar'!$K$1833)=FALSE,"",'Dvd Calendar'!$K$1833))</f>
        <v/>
      </c>
      <c r="AX184" s="106">
        <f>IF(FZ184="","",IF(ISNUMBER('Dvd Calendar'!$L$1833)=FALSE,"",'Dvd Calendar'!$L$1833))</f>
        <v/>
      </c>
      <c r="AY184" s="106">
        <f>IF(GA184="","",IF(ISNUMBER('Dvd Calendar'!$M$1833)=FALSE,"",'Dvd Calendar'!$M$1833))</f>
        <v/>
      </c>
      <c r="AZ184" s="106">
        <f>IF(GB184="","",IF(ISNUMBER('Dvd Calendar'!$N$1833)=FALSE,"",'Dvd Calendar'!$N$1833))</f>
        <v/>
      </c>
      <c r="BA184" s="106">
        <f>IF(GC184="","",IF(ISNUMBER('Dvd Calendar'!$O$1833)=FALSE,"",'Dvd Calendar'!$O$1833))</f>
        <v/>
      </c>
      <c r="BB184" s="106">
        <f>IF(GD184="","",IF(ISNUMBER('Dvd Calendar'!$P$1833)=FALSE,"",'Dvd Calendar'!$P$1833))</f>
        <v/>
      </c>
      <c r="BC184" s="106">
        <f>IF(GE184="","",IF(ISNUMBER('Dvd Calendar'!$Q$1833)=FALSE,"",'Dvd Calendar'!$Q$1833))</f>
        <v/>
      </c>
      <c r="BD184" s="106">
        <f>IF(GF184="","",IF(ISNUMBER('Dvd Calendar'!$R$1833)=FALSE,"",'Dvd Calendar'!$R$1833))</f>
        <v/>
      </c>
      <c r="BE184" s="106">
        <f>IF(GG184="","",IF(ISNUMBER('Dvd Calendar'!$S$1833)=FALSE,"",'Dvd Calendar'!$S$1833))</f>
        <v/>
      </c>
      <c r="BF184" s="106">
        <f>IF(GH184="","",IF(ISNUMBER('Dvd Calendar'!$T$1833)=FALSE,"",'Dvd Calendar'!$T$1833))</f>
        <v/>
      </c>
      <c r="BG184" s="106">
        <f>IF(GI184="","",IF(ISNUMBER('Dvd Calendar'!$U$1833)=FALSE,"",'Dvd Calendar'!$U$1833))</f>
        <v/>
      </c>
      <c r="BH184" s="106">
        <f>IF(GJ184="","",IF(ISNUMBER('Dvd Calendar'!$V$1833)=FALSE,"",'Dvd Calendar'!$V$1833))</f>
        <v/>
      </c>
      <c r="BI184" s="106">
        <f>IF(GK184="","",IF(ISNUMBER('Dvd Calendar'!$W$1833)=FALSE,"",'Dvd Calendar'!$W$1833))</f>
        <v/>
      </c>
      <c r="BJ184" s="106">
        <f>IF(GL184="","",IF(ISNUMBER('Dvd Calendar'!$X$1833)=FALSE,"",'Dvd Calendar'!$X$1833))</f>
        <v/>
      </c>
      <c r="BK184" s="106">
        <f>IF(GM184="","",IF(ISNUMBER('Dvd Calendar'!$Y$1833)=FALSE,"",'Dvd Calendar'!$Y$1833))</f>
        <v/>
      </c>
      <c r="BL184" s="106">
        <f>IF(GN184="","",IF(ISNUMBER('Dvd Calendar'!$Z$1833)=FALSE,"",'Dvd Calendar'!$Z$1833))</f>
        <v/>
      </c>
      <c r="BM184" s="106">
        <f>IF(GO184="","",IF(ISNUMBER('Dvd Calendar'!$AA$1833)=FALSE,"",'Dvd Calendar'!$AA$1833))</f>
        <v/>
      </c>
      <c r="BN184" s="106">
        <f>IF(GP184="","",IF(ISNUMBER('Dvd Calendar'!$AB$1833)=FALSE,"",'Dvd Calendar'!$AB$1833))</f>
        <v/>
      </c>
      <c r="BO184" s="106">
        <f>IF(GQ184="","",IF(ISNUMBER('Dvd Calendar'!$AC$1833)=FALSE,"",'Dvd Calendar'!$AC$1833))</f>
        <v/>
      </c>
      <c r="BQ184" s="106">
        <f>IF(C184="","",IFERROR(C184*HSCEI!$B$31*HSCEI!$G$31/HSCEI!$B$3,""))</f>
        <v/>
      </c>
      <c r="BR184" s="106">
        <f>IF(D184="","",IFERROR(D184*HSCEI!$B$31*HSCEI!$G$31/HSCEI!$B$3,""))</f>
        <v/>
      </c>
      <c r="BS184" s="106">
        <f>IF(E184="","",IFERROR(E184*HSCEI!$B$31*HSCEI!$G$31/HSCEI!$B$3,""))</f>
        <v/>
      </c>
      <c r="BT184" s="106">
        <f>IF(F184="","",IFERROR(F184*HSCEI!$B$31*HSCEI!$G$31/HSCEI!$B$3,""))</f>
        <v/>
      </c>
      <c r="BU184" s="106">
        <f>IF(G184="","",IFERROR(G184*HSCEI!$B$31*HSCEI!$G$31/HSCEI!$B$3,""))</f>
        <v/>
      </c>
      <c r="BV184" s="106">
        <f>IF(H184="","",IFERROR(H184*HSCEI!$B$31*HSCEI!$G$31/HSCEI!$B$3,""))</f>
        <v/>
      </c>
      <c r="BW184" s="106">
        <f>IF(I184="","",IFERROR(I184*HSCEI!$B$31*HSCEI!$G$31/HSCEI!$B$3,""))</f>
        <v/>
      </c>
      <c r="BX184" s="106">
        <f>IF(J184="","",IFERROR(J184*HSCEI!$B$31*HSCEI!$G$31/HSCEI!$B$3,""))</f>
        <v/>
      </c>
      <c r="BY184" s="106">
        <f>IF(K184="","",IFERROR(K184*HSCEI!$B$31*HSCEI!$G$31/HSCEI!$B$3,""))</f>
        <v/>
      </c>
      <c r="BZ184" s="106">
        <f>IF(L184="","",IFERROR(L184*HSCEI!$B$31*HSCEI!$G$31/HSCEI!$B$3,""))</f>
        <v/>
      </c>
      <c r="CA184" s="106">
        <f>IF(M184="","",IFERROR(M184*HSCEI!$B$31*HSCEI!$G$31/HSCEI!$B$3,""))</f>
        <v/>
      </c>
      <c r="CB184" s="106">
        <f>IF(N184="","",IFERROR(N184*HSCEI!$B$31*HSCEI!$G$31/HSCEI!$B$3,""))</f>
        <v/>
      </c>
      <c r="CC184" s="106">
        <f>IF(O184="","",IFERROR(O184*HSCEI!$B$31*HSCEI!$G$31/HSCEI!$B$3,""))</f>
        <v/>
      </c>
      <c r="CD184" s="106">
        <f>IF(P184="","",IFERROR(P184*HSCEI!$B$31*HSCEI!$G$31/HSCEI!$B$3,""))</f>
        <v/>
      </c>
      <c r="CE184" s="106">
        <f>IF(Q184="","",IFERROR(Q184*HSCEI!$B$31*HSCEI!$G$31/HSCEI!$B$3,""))</f>
        <v/>
      </c>
      <c r="CF184" s="106">
        <f>IF(R184="","",IFERROR(R184*HSCEI!$B$31*HSCEI!$G$31/HSCEI!$B$3,""))</f>
        <v/>
      </c>
      <c r="CG184" s="106">
        <f>IF(S184="","",IFERROR(S184*HSCEI!$B$31*HSCEI!$G$31/HSCEI!$B$3,""))</f>
        <v/>
      </c>
      <c r="CH184" s="106">
        <f>IF(T184="","",IFERROR(T184*HSCEI!$B$31*HSCEI!$G$31/HSCEI!$B$3,""))</f>
        <v/>
      </c>
      <c r="CI184" s="106">
        <f>IF(U184="","",IFERROR(U184*HSCEI!$B$31*HSCEI!$G$31/HSCEI!$B$3,""))</f>
        <v/>
      </c>
      <c r="CJ184" s="106">
        <f>IF(V184="","",IFERROR(V184*HSCEI!$B$31*HSCEI!$G$31/HSCEI!$B$3,""))</f>
        <v/>
      </c>
      <c r="CK184" s="106">
        <f>IF(W184="","",IFERROR(W184*HSCEI!$B$31*HSCEI!$G$31/HSCEI!$B$3,""))</f>
        <v/>
      </c>
      <c r="CL184" s="106">
        <f>IF(X184="","",IFERROR(X184*HSCEI!$B$31*HSCEI!$G$31/HSCEI!$B$3,""))</f>
        <v/>
      </c>
      <c r="CM184" s="106">
        <f>IF(Y184="","",IFERROR(Y184*HSCEI!$B$31*HSCEI!$G$31/HSCEI!$B$3,""))</f>
        <v/>
      </c>
      <c r="CN184" s="106">
        <f>IF(Z184="","",IFERROR(Z184*HSCEI!$B$31*HSCEI!$G$31/HSCEI!$B$3,""))</f>
        <v/>
      </c>
      <c r="CO184" s="106">
        <f>IF(AA184="","",IFERROR(AA184*HSCEI!$B$31*HSCEI!$G$31/HSCEI!$B$3,""))</f>
        <v/>
      </c>
      <c r="CP184" s="106">
        <f>IF(AB184="","",IFERROR(AB184*HSCEI!$B$31*HSCEI!$G$31/HSCEI!$B$3,""))</f>
        <v/>
      </c>
      <c r="CQ184" s="106">
        <f>IF(AC184="","",IFERROR(AC184*HSCEI!$B$31*HSCEI!$G$31/HSCEI!$B$3,""))</f>
        <v/>
      </c>
      <c r="CR184" s="106">
        <f>IF(AD184="","",IFERROR(AD184*HSCEI!$B$31*HSCEI!$G$31/HSCEI!$B$3,""))</f>
        <v/>
      </c>
      <c r="CS184" s="106">
        <f>IF(AE184="","",IFERROR(AE184*HSCEI!$B$31*HSCEI!$G$31/HSCEI!$B$3,""))</f>
        <v/>
      </c>
      <c r="CT184" s="106">
        <f>IF(AF184="","",IFERROR(AF184*HSCEI!$B$31*HSCEI!$G$31/HSCEI!$B$3,""))</f>
        <v/>
      </c>
      <c r="CU184" s="106">
        <f>IF(AG184="","",IFERROR(AG184*HSCEI!$B$31*HSCEI!$G$31/HSCEI!$B$3,""))</f>
        <v/>
      </c>
      <c r="CV184" s="106">
        <f>IF(AH184="","",IFERROR(AH184*HSCEI!$B$31*HSCEI!$G$31/HSCEI!$B$3,""))</f>
        <v/>
      </c>
      <c r="CW184" s="106">
        <f>IF(AI184="","",IFERROR(AI184*HSCEI!$B$31*HSCEI!$G$31/HSCEI!$B$3,""))</f>
        <v/>
      </c>
      <c r="CX184" s="106">
        <f>IF(AJ184="","",IFERROR(AJ184*HSCEI!$B$31*HSCEI!$G$31/HSCEI!$B$3,""))</f>
        <v/>
      </c>
      <c r="CY184" s="106">
        <f>IF(AK184="","",IFERROR(AK184*HSCEI!$B$31*HSCEI!$G$31/HSCEI!$B$3,""))</f>
        <v/>
      </c>
      <c r="CZ184" s="106">
        <f>IF(AL184="","",IFERROR(AL184*HSCEI!$B$31*HSCEI!$G$31/HSCEI!$B$3,""))</f>
        <v/>
      </c>
      <c r="DA184" s="106">
        <f>IF(AM184="","",IFERROR(AM184*HSCEI!$B$31*HSCEI!$G$31/HSCEI!$B$3,""))</f>
        <v/>
      </c>
      <c r="DB184" s="106">
        <f>IF(AN184="","",IFERROR(AN184*HSCEI!$B$31*HSCEI!$G$31/HSCEI!$B$3,""))</f>
        <v/>
      </c>
      <c r="DC184" s="106">
        <f>IF(AO184="","",IFERROR(AO184*HSCEI!$B$31*HSCEI!$G$31/HSCEI!$B$3,""))</f>
        <v/>
      </c>
      <c r="DD184" s="106">
        <f>IF(AP184="","",IFERROR(AP184*HSCEI!$B$31*HSCEI!$G$31/HSCEI!$B$3,""))</f>
        <v/>
      </c>
      <c r="DE184" s="106">
        <f>IF(AQ184="","",IFERROR(AQ184*HSCEI!$B$31*HSCEI!$G$31/HSCEI!$B$3,""))</f>
        <v/>
      </c>
      <c r="DF184" s="106">
        <f>IF(AR184="","",IFERROR(AR184*HSCEI!$B$31*HSCEI!$G$31/HSCEI!$B$3,""))</f>
        <v/>
      </c>
      <c r="DG184" s="106">
        <f>IF(AS184="","",IFERROR(AS184*HSCEI!$B$31*HSCEI!$G$31/HSCEI!$B$3,""))</f>
        <v/>
      </c>
      <c r="DH184" s="106">
        <f>IF(AT184="","",IFERROR(AT184*HSCEI!$B$31*HSCEI!$G$31/HSCEI!$B$3,""))</f>
        <v/>
      </c>
      <c r="DI184" s="106">
        <f>IF(AU184="","",IFERROR(AU184*HSCEI!$B$31*HSCEI!$G$31/HSCEI!$B$3,""))</f>
        <v/>
      </c>
      <c r="DJ184" s="106">
        <f>IF(AV184="","",IFERROR(AV184*HSCEI!$B$31*HSCEI!$G$31/HSCEI!$B$3,""))</f>
        <v/>
      </c>
      <c r="DK184" s="106">
        <f>IF(AW184="","",IFERROR(AW184*HSCEI!$B$31*HSCEI!$G$31/HSCEI!$B$3,""))</f>
        <v/>
      </c>
      <c r="DL184" s="106">
        <f>IF(AX184="","",IFERROR(AX184*HSCEI!$B$31*HSCEI!$G$31/HSCEI!$B$3,""))</f>
        <v/>
      </c>
      <c r="DM184" s="106">
        <f>IF(AY184="","",IFERROR(AY184*HSCEI!$B$31*HSCEI!$G$31/HSCEI!$B$3,""))</f>
        <v/>
      </c>
      <c r="DN184" s="106">
        <f>IF(AZ184="","",IFERROR(AZ184*HSCEI!$B$31*HSCEI!$G$31/HSCEI!$B$3,""))</f>
        <v/>
      </c>
      <c r="DO184" s="106">
        <f>IF(BA184="","",IFERROR(BA184*HSCEI!$B$31*HSCEI!$G$31/HSCEI!$B$3,""))</f>
        <v/>
      </c>
      <c r="DP184" s="106">
        <f>IF(BB184="","",IFERROR(BB184*HSCEI!$B$31*HSCEI!$G$31/HSCEI!$B$3,""))</f>
        <v/>
      </c>
      <c r="DQ184" s="106">
        <f>IF(BC184="","",IFERROR(BC184*HSCEI!$B$31*HSCEI!$G$31/HSCEI!$B$3,""))</f>
        <v/>
      </c>
      <c r="DR184" s="106">
        <f>IF(BD184="","",IFERROR(BD184*HSCEI!$B$31*HSCEI!$G$31/HSCEI!$B$3,""))</f>
        <v/>
      </c>
      <c r="DS184" s="106">
        <f>IF(BE184="","",IFERROR(BE184*HSCEI!$B$31*HSCEI!$G$31/HSCEI!$B$3,""))</f>
        <v/>
      </c>
      <c r="DT184" s="106">
        <f>IF(BF184="","",IFERROR(BF184*HSCEI!$B$31*HSCEI!$G$31/HSCEI!$B$3,""))</f>
        <v/>
      </c>
      <c r="DU184" s="106">
        <f>IF(BG184="","",IFERROR(BG184*HSCEI!$B$31*HSCEI!$G$31/HSCEI!$B$3,""))</f>
        <v/>
      </c>
      <c r="DV184" s="106">
        <f>IF(BH184="","",IFERROR(BH184*HSCEI!$B$31*HSCEI!$G$31/HSCEI!$B$3,""))</f>
        <v/>
      </c>
      <c r="DW184" s="106">
        <f>IF(BI184="","",IFERROR(BI184*HSCEI!$B$31*HSCEI!$G$31/HSCEI!$B$3,""))</f>
        <v/>
      </c>
      <c r="DX184" s="106">
        <f>IF(BJ184="","",IFERROR(BJ184*HSCEI!$B$31*HSCEI!$G$31/HSCEI!$B$3,""))</f>
        <v/>
      </c>
      <c r="DY184" s="106">
        <f>IF(BK184="","",IFERROR(BK184*HSCEI!$B$31*HSCEI!$G$31/HSCEI!$B$3,""))</f>
        <v/>
      </c>
      <c r="DZ184" s="106">
        <f>IF(BL184="","",IFERROR(BL184*HSCEI!$B$31*HSCEI!$G$31/HSCEI!$B$3,""))</f>
        <v/>
      </c>
      <c r="EA184" s="106">
        <f>IF(BM184="","",IFERROR(BM184*HSCEI!$B$31*HSCEI!$G$31/HSCEI!$B$3,""))</f>
        <v/>
      </c>
      <c r="EB184" s="106">
        <f>IF(BN184="","",IFERROR(BN184*HSCEI!$B$31*HSCEI!$G$31/HSCEI!$B$3,""))</f>
        <v/>
      </c>
      <c r="EC184" s="106">
        <f>IF(BO184="","",IFERROR(BO184*HSCEI!$B$31*HSCEI!$G$31/HSCEI!$B$3,""))</f>
        <v/>
      </c>
      <c r="EE184" s="35">
        <f>IF(N('Dvd Calendar'!$E$1825)=0,"",IF(('Dvd Calendar'!$E$1825&gt;=GRID_FROM)*('Dvd Calendar'!$E$1825&lt;=GRID_TO)*('Dvd Calendar'!$E$1825&lt;=VAL_DATE)=0,"",'Dvd Calendar'!$E$1825*1000000000+ISNUMBER('Dvd Calendar'!$E$1828)*100000000+('Dvd Calendar'!$E$1830=SPECIAL_LBL)*10000000+0*1000000+25*1000+1))</f>
        <v/>
      </c>
      <c r="EF184" s="35">
        <f>IF(N('Dvd Calendar'!$F$1825)=0,"",IF(('Dvd Calendar'!$F$1825&gt;=GRID_FROM)*('Dvd Calendar'!$F$1825&lt;=GRID_TO)*('Dvd Calendar'!$F$1825&lt;=VAL_DATE)=0,"",'Dvd Calendar'!$F$1825*1000000000+ISNUMBER('Dvd Calendar'!$F$1828)*100000000+('Dvd Calendar'!$F$1830=SPECIAL_LBL)*10000000+0*1000000+25*1000+2))</f>
        <v/>
      </c>
      <c r="EG184" s="35">
        <f>IF(N('Dvd Calendar'!$G$1825)=0,"",IF(('Dvd Calendar'!$G$1825&gt;=GRID_FROM)*('Dvd Calendar'!$G$1825&lt;=GRID_TO)*('Dvd Calendar'!$G$1825&lt;=VAL_DATE)=0,"",'Dvd Calendar'!$G$1825*1000000000+ISNUMBER('Dvd Calendar'!$G$1828)*100000000+('Dvd Calendar'!$G$1830=SPECIAL_LBL)*10000000+0*1000000+25*1000+3))</f>
        <v/>
      </c>
      <c r="EH184" s="35">
        <f>IF(N('Dvd Calendar'!$H$1825)=0,"",IF(('Dvd Calendar'!$H$1825&gt;=GRID_FROM)*('Dvd Calendar'!$H$1825&lt;=GRID_TO)*('Dvd Calendar'!$H$1825&lt;=VAL_DATE)=0,"",'Dvd Calendar'!$H$1825*1000000000+ISNUMBER('Dvd Calendar'!$H$1828)*100000000+('Dvd Calendar'!$H$1830=SPECIAL_LBL)*10000000+0*1000000+25*1000+4))</f>
        <v/>
      </c>
      <c r="EI184" s="35">
        <f>IF(N('Dvd Calendar'!$I$1825)=0,"",IF(('Dvd Calendar'!$I$1825&gt;=GRID_FROM)*('Dvd Calendar'!$I$1825&lt;=GRID_TO)*('Dvd Calendar'!$I$1825&lt;=VAL_DATE)=0,"",'Dvd Calendar'!$I$1825*1000000000+ISNUMBER('Dvd Calendar'!$I$1828)*100000000+('Dvd Calendar'!$I$1830=SPECIAL_LBL)*10000000+0*1000000+25*1000+5))</f>
        <v/>
      </c>
      <c r="EJ184" s="35">
        <f>IF(N('Dvd Calendar'!$J$1825)=0,"",IF(('Dvd Calendar'!$J$1825&gt;=GRID_FROM)*('Dvd Calendar'!$J$1825&lt;=GRID_TO)*('Dvd Calendar'!$J$1825&lt;=VAL_DATE)=0,"",'Dvd Calendar'!$J$1825*1000000000+ISNUMBER('Dvd Calendar'!$J$1828)*100000000+('Dvd Calendar'!$J$1830=SPECIAL_LBL)*10000000+0*1000000+25*1000+6))</f>
        <v/>
      </c>
      <c r="EK184" s="35">
        <f>IF(N('Dvd Calendar'!$K$1825)=0,"",IF(('Dvd Calendar'!$K$1825&gt;=GRID_FROM)*('Dvd Calendar'!$K$1825&lt;=GRID_TO)*('Dvd Calendar'!$K$1825&lt;=VAL_DATE)=0,"",'Dvd Calendar'!$K$1825*1000000000+ISNUMBER('Dvd Calendar'!$K$1828)*100000000+('Dvd Calendar'!$K$1830=SPECIAL_LBL)*10000000+0*1000000+25*1000+7))</f>
        <v/>
      </c>
      <c r="EL184" s="35">
        <f>IF(N('Dvd Calendar'!$L$1825)=0,"",IF(('Dvd Calendar'!$L$1825&gt;=GRID_FROM)*('Dvd Calendar'!$L$1825&lt;=GRID_TO)*('Dvd Calendar'!$L$1825&lt;=VAL_DATE)=0,"",'Dvd Calendar'!$L$1825*1000000000+ISNUMBER('Dvd Calendar'!$L$1828)*100000000+('Dvd Calendar'!$L$1830=SPECIAL_LBL)*10000000+0*1000000+25*1000+8))</f>
        <v/>
      </c>
      <c r="EM184" s="35">
        <f>IF(N('Dvd Calendar'!$M$1825)=0,"",IF(('Dvd Calendar'!$M$1825&gt;=GRID_FROM)*('Dvd Calendar'!$M$1825&lt;=GRID_TO)*('Dvd Calendar'!$M$1825&lt;=VAL_DATE)=0,"",'Dvd Calendar'!$M$1825*1000000000+ISNUMBER('Dvd Calendar'!$M$1828)*100000000+('Dvd Calendar'!$M$1830=SPECIAL_LBL)*10000000+0*1000000+25*1000+9))</f>
        <v/>
      </c>
      <c r="EN184" s="35">
        <f>IF(N('Dvd Calendar'!$N$1825)=0,"",IF(('Dvd Calendar'!$N$1825&gt;=GRID_FROM)*('Dvd Calendar'!$N$1825&lt;=GRID_TO)*('Dvd Calendar'!$N$1825&lt;=VAL_DATE)=0,"",'Dvd Calendar'!$N$1825*1000000000+ISNUMBER('Dvd Calendar'!$N$1828)*100000000+('Dvd Calendar'!$N$1830=SPECIAL_LBL)*10000000+0*1000000+25*1000+10))</f>
        <v/>
      </c>
      <c r="EO184" s="35">
        <f>IF(N('Dvd Calendar'!$O$1825)=0,"",IF(('Dvd Calendar'!$O$1825&gt;=GRID_FROM)*('Dvd Calendar'!$O$1825&lt;=GRID_TO)*('Dvd Calendar'!$O$1825&lt;=VAL_DATE)=0,"",'Dvd Calendar'!$O$1825*1000000000+ISNUMBER('Dvd Calendar'!$O$1828)*100000000+('Dvd Calendar'!$O$1830=SPECIAL_LBL)*10000000+0*1000000+25*1000+11))</f>
        <v/>
      </c>
      <c r="EP184" s="35">
        <f>IF(N('Dvd Calendar'!$P$1825)=0,"",IF(('Dvd Calendar'!$P$1825&gt;=GRID_FROM)*('Dvd Calendar'!$P$1825&lt;=GRID_TO)*('Dvd Calendar'!$P$1825&lt;=VAL_DATE)=0,"",'Dvd Calendar'!$P$1825*1000000000+ISNUMBER('Dvd Calendar'!$P$1828)*100000000+('Dvd Calendar'!$P$1830=SPECIAL_LBL)*10000000+0*1000000+25*1000+12))</f>
        <v/>
      </c>
      <c r="EQ184" s="35">
        <f>IF(N('Dvd Calendar'!$Q$1825)=0,"",IF(('Dvd Calendar'!$Q$1825&gt;=GRID_FROM)*('Dvd Calendar'!$Q$1825&lt;=GRID_TO)*('Dvd Calendar'!$Q$1825&lt;=VAL_DATE)=0,"",'Dvd Calendar'!$Q$1825*1000000000+ISNUMBER('Dvd Calendar'!$Q$1828)*100000000+('Dvd Calendar'!$Q$1830=SPECIAL_LBL)*10000000+0*1000000+25*1000+13))</f>
        <v/>
      </c>
      <c r="ER184" s="35">
        <f>IF(N('Dvd Calendar'!$R$1825)=0,"",IF(('Dvd Calendar'!$R$1825&gt;=GRID_FROM)*('Dvd Calendar'!$R$1825&lt;=GRID_TO)*('Dvd Calendar'!$R$1825&lt;=VAL_DATE)=0,"",'Dvd Calendar'!$R$1825*1000000000+ISNUMBER('Dvd Calendar'!$R$1828)*100000000+('Dvd Calendar'!$R$1830=SPECIAL_LBL)*10000000+0*1000000+25*1000+14))</f>
        <v/>
      </c>
      <c r="ES184" s="35">
        <f>IF(N('Dvd Calendar'!$S$1825)=0,"",IF(('Dvd Calendar'!$S$1825&gt;=GRID_FROM)*('Dvd Calendar'!$S$1825&lt;=GRID_TO)*('Dvd Calendar'!$S$1825&lt;=VAL_DATE)=0,"",'Dvd Calendar'!$S$1825*1000000000+ISNUMBER('Dvd Calendar'!$S$1828)*100000000+('Dvd Calendar'!$S$1830=SPECIAL_LBL)*10000000+0*1000000+25*1000+15))</f>
        <v/>
      </c>
      <c r="ET184" s="35">
        <f>IF(N('Dvd Calendar'!$T$1825)=0,"",IF(('Dvd Calendar'!$T$1825&gt;=GRID_FROM)*('Dvd Calendar'!$T$1825&lt;=GRID_TO)*('Dvd Calendar'!$T$1825&lt;=VAL_DATE)=0,"",'Dvd Calendar'!$T$1825*1000000000+ISNUMBER('Dvd Calendar'!$T$1828)*100000000+('Dvd Calendar'!$T$1830=SPECIAL_LBL)*10000000+0*1000000+25*1000+16))</f>
        <v/>
      </c>
      <c r="EU184" s="35">
        <f>IF(N('Dvd Calendar'!$U$1825)=0,"",IF(('Dvd Calendar'!$U$1825&gt;=GRID_FROM)*('Dvd Calendar'!$U$1825&lt;=GRID_TO)*('Dvd Calendar'!$U$1825&lt;=VAL_DATE)=0,"",'Dvd Calendar'!$U$1825*1000000000+ISNUMBER('Dvd Calendar'!$U$1828)*100000000+('Dvd Calendar'!$U$1830=SPECIAL_LBL)*10000000+0*1000000+25*1000+17))</f>
        <v/>
      </c>
      <c r="EV184" s="35">
        <f>IF(N('Dvd Calendar'!$V$1825)=0,"",IF(('Dvd Calendar'!$V$1825&gt;=GRID_FROM)*('Dvd Calendar'!$V$1825&lt;=GRID_TO)*('Dvd Calendar'!$V$1825&lt;=VAL_DATE)=0,"",'Dvd Calendar'!$V$1825*1000000000+ISNUMBER('Dvd Calendar'!$V$1828)*100000000+('Dvd Calendar'!$V$1830=SPECIAL_LBL)*10000000+0*1000000+25*1000+18))</f>
        <v/>
      </c>
      <c r="EW184" s="35">
        <f>IF(N('Dvd Calendar'!$W$1825)=0,"",IF(('Dvd Calendar'!$W$1825&gt;=GRID_FROM)*('Dvd Calendar'!$W$1825&lt;=GRID_TO)*('Dvd Calendar'!$W$1825&lt;=VAL_DATE)=0,"",'Dvd Calendar'!$W$1825*1000000000+ISNUMBER('Dvd Calendar'!$W$1828)*100000000+('Dvd Calendar'!$W$1830=SPECIAL_LBL)*10000000+0*1000000+25*1000+19))</f>
        <v/>
      </c>
      <c r="EX184" s="35">
        <f>IF(N('Dvd Calendar'!$X$1825)=0,"",IF(('Dvd Calendar'!$X$1825&gt;=GRID_FROM)*('Dvd Calendar'!$X$1825&lt;=GRID_TO)*('Dvd Calendar'!$X$1825&lt;=VAL_DATE)=0,"",'Dvd Calendar'!$X$1825*1000000000+ISNUMBER('Dvd Calendar'!$X$1828)*100000000+('Dvd Calendar'!$X$1830=SPECIAL_LBL)*10000000+0*1000000+25*1000+20))</f>
        <v/>
      </c>
      <c r="EY184" s="35">
        <f>IF(N('Dvd Calendar'!$Y$1825)=0,"",IF(('Dvd Calendar'!$Y$1825&gt;=GRID_FROM)*('Dvd Calendar'!$Y$1825&lt;=GRID_TO)*('Dvd Calendar'!$Y$1825&lt;=VAL_DATE)=0,"",'Dvd Calendar'!$Y$1825*1000000000+ISNUMBER('Dvd Calendar'!$Y$1828)*100000000+('Dvd Calendar'!$Y$1830=SPECIAL_LBL)*10000000+0*1000000+25*1000+21))</f>
        <v/>
      </c>
      <c r="EZ184" s="35">
        <f>IF(N('Dvd Calendar'!$Z$1825)=0,"",IF(('Dvd Calendar'!$Z$1825&gt;=GRID_FROM)*('Dvd Calendar'!$Z$1825&lt;=GRID_TO)*('Dvd Calendar'!$Z$1825&lt;=VAL_DATE)=0,"",'Dvd Calendar'!$Z$1825*1000000000+ISNUMBER('Dvd Calendar'!$Z$1828)*100000000+('Dvd Calendar'!$Z$1830=SPECIAL_LBL)*10000000+0*1000000+25*1000+22))</f>
        <v/>
      </c>
      <c r="FA184" s="35">
        <f>IF(N('Dvd Calendar'!$AA$1825)=0,"",IF(('Dvd Calendar'!$AA$1825&gt;=GRID_FROM)*('Dvd Calendar'!$AA$1825&lt;=GRID_TO)*('Dvd Calendar'!$AA$1825&lt;=VAL_DATE)=0,"",'Dvd Calendar'!$AA$1825*1000000000+ISNUMBER('Dvd Calendar'!$AA$1828)*100000000+('Dvd Calendar'!$AA$1830=SPECIAL_LBL)*10000000+0*1000000+25*1000+23))</f>
        <v/>
      </c>
      <c r="FB184" s="35">
        <f>IF(N('Dvd Calendar'!$AB$1825)=0,"",IF(('Dvd Calendar'!$AB$1825&gt;=GRID_FROM)*('Dvd Calendar'!$AB$1825&lt;=GRID_TO)*('Dvd Calendar'!$AB$1825&lt;=VAL_DATE)=0,"",'Dvd Calendar'!$AB$1825*1000000000+ISNUMBER('Dvd Calendar'!$AB$1828)*100000000+('Dvd Calendar'!$AB$1830=SPECIAL_LBL)*10000000+0*1000000+25*1000+24))</f>
        <v/>
      </c>
      <c r="FC184" s="35">
        <f>IF(N('Dvd Calendar'!$AC$1825)=0,"",IF(('Dvd Calendar'!$AC$1825&gt;=GRID_FROM)*('Dvd Calendar'!$AC$1825&lt;=GRID_TO)*('Dvd Calendar'!$AC$1825&lt;=VAL_DATE)=0,"",'Dvd Calendar'!$AC$1825*1000000000+ISNUMBER('Dvd Calendar'!$AC$1828)*100000000+('Dvd Calendar'!$AC$1830=SPECIAL_LBL)*10000000+0*1000000+25*1000+25))</f>
        <v/>
      </c>
      <c r="FD184" s="35">
        <f>IF(N('Dvd Calendar'!$AD$1825)=0,"",IF(('Dvd Calendar'!$AD$1825&gt;=GRID_FROM)*('Dvd Calendar'!$AD$1825&lt;=GRID_TO)*('Dvd Calendar'!$AD$1825&lt;=VAL_DATE)=0,"",'Dvd Calendar'!$AD$1825*1000000000+ISNUMBER('Dvd Calendar'!$AD$1828)*100000000+('Dvd Calendar'!$AD$1830=SPECIAL_LBL)*10000000+0*1000000+25*1000+26))</f>
        <v/>
      </c>
      <c r="FE184" s="35">
        <f>IF(N('Dvd Calendar'!$AE$1825)=0,"",IF(('Dvd Calendar'!$AE$1825&gt;=GRID_FROM)*('Dvd Calendar'!$AE$1825&lt;=GRID_TO)*('Dvd Calendar'!$AE$1825&lt;=VAL_DATE)=0,"",'Dvd Calendar'!$AE$1825*1000000000+ISNUMBER('Dvd Calendar'!$AE$1828)*100000000+('Dvd Calendar'!$AE$1830=SPECIAL_LBL)*10000000+0*1000000+25*1000+27))</f>
        <v/>
      </c>
      <c r="FF184" s="35">
        <f>IF(N('Dvd Calendar'!$AF$1825)=0,"",IF(('Dvd Calendar'!$AF$1825&gt;=GRID_FROM)*('Dvd Calendar'!$AF$1825&lt;=GRID_TO)*('Dvd Calendar'!$AF$1825&lt;=VAL_DATE)=0,"",'Dvd Calendar'!$AF$1825*1000000000+ISNUMBER('Dvd Calendar'!$AF$1828)*100000000+('Dvd Calendar'!$AF$1830=SPECIAL_LBL)*10000000+0*1000000+25*1000+28))</f>
        <v/>
      </c>
      <c r="FG184" s="35">
        <f>IF(N('Dvd Calendar'!$AG$1825)=0,"",IF(('Dvd Calendar'!$AG$1825&gt;=GRID_FROM)*('Dvd Calendar'!$AG$1825&lt;=GRID_TO)*('Dvd Calendar'!$AG$1825&lt;=VAL_DATE)=0,"",'Dvd Calendar'!$AG$1825*1000000000+ISNUMBER('Dvd Calendar'!$AG$1828)*100000000+('Dvd Calendar'!$AG$1830=SPECIAL_LBL)*10000000+0*1000000+25*1000+29))</f>
        <v/>
      </c>
      <c r="FH184" s="35">
        <f>IF(N('Dvd Calendar'!$AH$1825)=0,"",IF(('Dvd Calendar'!$AH$1825&gt;=GRID_FROM)*('Dvd Calendar'!$AH$1825&lt;=GRID_TO)*('Dvd Calendar'!$AH$1825&lt;=VAL_DATE)=0,"",'Dvd Calendar'!$AH$1825*1000000000+ISNUMBER('Dvd Calendar'!$AH$1828)*100000000+('Dvd Calendar'!$AH$1830=SPECIAL_LBL)*10000000+0*1000000+25*1000+30))</f>
        <v/>
      </c>
      <c r="FI184" s="35">
        <f>IF(N('Dvd Calendar'!$AI$1825)=0,"",IF(('Dvd Calendar'!$AI$1825&gt;=GRID_FROM)*('Dvd Calendar'!$AI$1825&lt;=GRID_TO)*('Dvd Calendar'!$AI$1825&lt;=VAL_DATE)=0,"",'Dvd Calendar'!$AI$1825*1000000000+ISNUMBER('Dvd Calendar'!$AI$1828)*100000000+('Dvd Calendar'!$AI$1830=SPECIAL_LBL)*10000000+0*1000000+25*1000+31))</f>
        <v/>
      </c>
      <c r="FJ184" s="35">
        <f>IF(N('Dvd Calendar'!$AJ$1825)=0,"",IF(('Dvd Calendar'!$AJ$1825&gt;=GRID_FROM)*('Dvd Calendar'!$AJ$1825&lt;=GRID_TO)*('Dvd Calendar'!$AJ$1825&lt;=VAL_DATE)=0,"",'Dvd Calendar'!$AJ$1825*1000000000+ISNUMBER('Dvd Calendar'!$AJ$1828)*100000000+('Dvd Calendar'!$AJ$1830=SPECIAL_LBL)*10000000+0*1000000+25*1000+32))</f>
        <v/>
      </c>
      <c r="FK184" s="35">
        <f>IF(N('Dvd Calendar'!$AK$1825)=0,"",IF(('Dvd Calendar'!$AK$1825&gt;=GRID_FROM)*('Dvd Calendar'!$AK$1825&lt;=GRID_TO)*('Dvd Calendar'!$AK$1825&lt;=VAL_DATE)=0,"",'Dvd Calendar'!$AK$1825*1000000000+ISNUMBER('Dvd Calendar'!$AK$1828)*100000000+('Dvd Calendar'!$AK$1830=SPECIAL_LBL)*10000000+0*1000000+25*1000+33))</f>
        <v/>
      </c>
      <c r="FL184" s="35">
        <f>IF(N('Dvd Calendar'!$AL$1825)=0,"",IF(('Dvd Calendar'!$AL$1825&gt;=GRID_FROM)*('Dvd Calendar'!$AL$1825&lt;=GRID_TO)*('Dvd Calendar'!$AL$1825&lt;=VAL_DATE)=0,"",'Dvd Calendar'!$AL$1825*1000000000+ISNUMBER('Dvd Calendar'!$AL$1828)*100000000+('Dvd Calendar'!$AL$1830=SPECIAL_LBL)*10000000+0*1000000+25*1000+34))</f>
        <v/>
      </c>
      <c r="FM184" s="35">
        <f>IF(N('Dvd Calendar'!$AM$1825)=0,"",IF(('Dvd Calendar'!$AM$1825&gt;=GRID_FROM)*('Dvd Calendar'!$AM$1825&lt;=GRID_TO)*('Dvd Calendar'!$AM$1825&lt;=VAL_DATE)=0,"",'Dvd Calendar'!$AM$1825*1000000000+ISNUMBER('Dvd Calendar'!$AM$1828)*100000000+('Dvd Calendar'!$AM$1830=SPECIAL_LBL)*10000000+0*1000000+25*1000+35))</f>
        <v/>
      </c>
      <c r="FN184" s="35">
        <f>IF(N('Dvd Calendar'!$AN$1825)=0,"",IF(('Dvd Calendar'!$AN$1825&gt;=GRID_FROM)*('Dvd Calendar'!$AN$1825&lt;=GRID_TO)*('Dvd Calendar'!$AN$1825&lt;=VAL_DATE)=0,"",'Dvd Calendar'!$AN$1825*1000000000+ISNUMBER('Dvd Calendar'!$AN$1828)*100000000+('Dvd Calendar'!$AN$1830=SPECIAL_LBL)*10000000+0*1000000+25*1000+36))</f>
        <v/>
      </c>
      <c r="FO184" s="35">
        <f>IF(N('Dvd Calendar'!$AO$1825)=0,"",IF(('Dvd Calendar'!$AO$1825&gt;=GRID_FROM)*('Dvd Calendar'!$AO$1825&lt;=GRID_TO)*('Dvd Calendar'!$AO$1825&lt;=VAL_DATE)=0,"",'Dvd Calendar'!$AO$1825*1000000000+ISNUMBER('Dvd Calendar'!$AO$1828)*100000000+('Dvd Calendar'!$AO$1830=SPECIAL_LBL)*10000000+0*1000000+25*1000+37))</f>
        <v/>
      </c>
      <c r="FP184" s="35">
        <f>IF(N('Dvd Calendar'!$AP$1825)=0,"",IF(('Dvd Calendar'!$AP$1825&gt;=GRID_FROM)*('Dvd Calendar'!$AP$1825&lt;=GRID_TO)*('Dvd Calendar'!$AP$1825&lt;=VAL_DATE)=0,"",'Dvd Calendar'!$AP$1825*1000000000+ISNUMBER('Dvd Calendar'!$AP$1828)*100000000+('Dvd Calendar'!$AP$1830=SPECIAL_LBL)*10000000+0*1000000+25*1000+38))</f>
        <v/>
      </c>
      <c r="FQ184" s="35">
        <f>IF(N('Dvd Calendar'!$AQ$1825)=0,"",IF(('Dvd Calendar'!$AQ$1825&gt;=GRID_FROM)*('Dvd Calendar'!$AQ$1825&lt;=GRID_TO)*('Dvd Calendar'!$AQ$1825&lt;=VAL_DATE)=0,"",'Dvd Calendar'!$AQ$1825*1000000000+ISNUMBER('Dvd Calendar'!$AQ$1828)*100000000+('Dvd Calendar'!$AQ$1830=SPECIAL_LBL)*10000000+0*1000000+25*1000+39))</f>
        <v/>
      </c>
      <c r="FR184" s="35">
        <f>IF(N('Dvd Calendar'!$AR$1825)=0,"",IF(('Dvd Calendar'!$AR$1825&gt;=GRID_FROM)*('Dvd Calendar'!$AR$1825&lt;=GRID_TO)*('Dvd Calendar'!$AR$1825&lt;=VAL_DATE)=0,"",'Dvd Calendar'!$AR$1825*1000000000+ISNUMBER('Dvd Calendar'!$AR$1828)*100000000+('Dvd Calendar'!$AR$1830=SPECIAL_LBL)*10000000+0*1000000+25*1000+40))</f>
        <v/>
      </c>
      <c r="FS184" s="35">
        <f>IF(N('Dvd Calendar'!$E$1832)=0,"",IF(('Dvd Calendar'!$E$1832&gt;=GRID_FROM)*('Dvd Calendar'!$E$1832&lt;=GRID_TO)*('Dvd Calendar'!$E$1832&gt;VAL_DATE)=0,"",'Dvd Calendar'!$E$1832*1000000000+ISNUMBER('Dvd Calendar'!$E$1833)*100000000+0*10000000+(N('Dvd Calendar'!$E$1831)&gt;0)*(N('Dvd Calendar'!$E$1831)&lt;=VAL_SERIAL)*1000000+25*1000+41))</f>
        <v/>
      </c>
      <c r="FT184" s="35">
        <f>IF(N('Dvd Calendar'!$F$1832)=0,"",IF(('Dvd Calendar'!$F$1832&gt;=GRID_FROM)*('Dvd Calendar'!$F$1832&lt;=GRID_TO)*('Dvd Calendar'!$F$1832&gt;VAL_DATE)=0,"",'Dvd Calendar'!$F$1832*1000000000+ISNUMBER('Dvd Calendar'!$F$1833)*100000000+0*10000000+(N('Dvd Calendar'!$F$1831)&gt;0)*(N('Dvd Calendar'!$F$1831)&lt;=VAL_SERIAL)*1000000+25*1000+42))</f>
        <v/>
      </c>
      <c r="FU184" s="35">
        <f>IF(N('Dvd Calendar'!$G$1832)=0,"",IF(('Dvd Calendar'!$G$1832&gt;=GRID_FROM)*('Dvd Calendar'!$G$1832&lt;=GRID_TO)*('Dvd Calendar'!$G$1832&gt;VAL_DATE)=0,"",'Dvd Calendar'!$G$1832*1000000000+ISNUMBER('Dvd Calendar'!$G$1833)*100000000+0*10000000+(N('Dvd Calendar'!$G$1831)&gt;0)*(N('Dvd Calendar'!$G$1831)&lt;=VAL_SERIAL)*1000000+25*1000+43))</f>
        <v/>
      </c>
      <c r="FV184" s="35">
        <f>IF(N('Dvd Calendar'!$H$1832)=0,"",IF(('Dvd Calendar'!$H$1832&gt;=GRID_FROM)*('Dvd Calendar'!$H$1832&lt;=GRID_TO)*('Dvd Calendar'!$H$1832&gt;VAL_DATE)=0,"",'Dvd Calendar'!$H$1832*1000000000+ISNUMBER('Dvd Calendar'!$H$1833)*100000000+0*10000000+(N('Dvd Calendar'!$H$1831)&gt;0)*(N('Dvd Calendar'!$H$1831)&lt;=VAL_SERIAL)*1000000+25*1000+44))</f>
        <v/>
      </c>
      <c r="FW184" s="35">
        <f>IF(N('Dvd Calendar'!$I$1832)=0,"",IF(('Dvd Calendar'!$I$1832&gt;=GRID_FROM)*('Dvd Calendar'!$I$1832&lt;=GRID_TO)*('Dvd Calendar'!$I$1832&gt;VAL_DATE)=0,"",'Dvd Calendar'!$I$1832*1000000000+ISNUMBER('Dvd Calendar'!$I$1833)*100000000+0*10000000+(N('Dvd Calendar'!$I$1831)&gt;0)*(N('Dvd Calendar'!$I$1831)&lt;=VAL_SERIAL)*1000000+25*1000+45))</f>
        <v/>
      </c>
      <c r="FX184" s="35">
        <f>IF(N('Dvd Calendar'!$J$1832)=0,"",IF(('Dvd Calendar'!$J$1832&gt;=GRID_FROM)*('Dvd Calendar'!$J$1832&lt;=GRID_TO)*('Dvd Calendar'!$J$1832&gt;VAL_DATE)=0,"",'Dvd Calendar'!$J$1832*1000000000+ISNUMBER('Dvd Calendar'!$J$1833)*100000000+0*10000000+(N('Dvd Calendar'!$J$1831)&gt;0)*(N('Dvd Calendar'!$J$1831)&lt;=VAL_SERIAL)*1000000+25*1000+46))</f>
        <v/>
      </c>
      <c r="FY184" s="35">
        <f>IF(N('Dvd Calendar'!$K$1832)=0,"",IF(('Dvd Calendar'!$K$1832&gt;=GRID_FROM)*('Dvd Calendar'!$K$1832&lt;=GRID_TO)*('Dvd Calendar'!$K$1832&gt;VAL_DATE)=0,"",'Dvd Calendar'!$K$1832*1000000000+ISNUMBER('Dvd Calendar'!$K$1833)*100000000+0*10000000+(N('Dvd Calendar'!$K$1831)&gt;0)*(N('Dvd Calendar'!$K$1831)&lt;=VAL_SERIAL)*1000000+25*1000+47))</f>
        <v/>
      </c>
      <c r="FZ184" s="35">
        <f>IF(N('Dvd Calendar'!$L$1832)=0,"",IF(('Dvd Calendar'!$L$1832&gt;=GRID_FROM)*('Dvd Calendar'!$L$1832&lt;=GRID_TO)*('Dvd Calendar'!$L$1832&gt;VAL_DATE)=0,"",'Dvd Calendar'!$L$1832*1000000000+ISNUMBER('Dvd Calendar'!$L$1833)*100000000+0*10000000+(N('Dvd Calendar'!$L$1831)&gt;0)*(N('Dvd Calendar'!$L$1831)&lt;=VAL_SERIAL)*1000000+25*1000+48))</f>
        <v/>
      </c>
      <c r="GA184" s="35">
        <f>IF(N('Dvd Calendar'!$M$1832)=0,"",IF(('Dvd Calendar'!$M$1832&gt;=GRID_FROM)*('Dvd Calendar'!$M$1832&lt;=GRID_TO)*('Dvd Calendar'!$M$1832&gt;VAL_DATE)=0,"",'Dvd Calendar'!$M$1832*1000000000+ISNUMBER('Dvd Calendar'!$M$1833)*100000000+0*10000000+(N('Dvd Calendar'!$M$1831)&gt;0)*(N('Dvd Calendar'!$M$1831)&lt;=VAL_SERIAL)*1000000+25*1000+49))</f>
        <v/>
      </c>
      <c r="GB184" s="35">
        <f>IF(N('Dvd Calendar'!$N$1832)=0,"",IF(('Dvd Calendar'!$N$1832&gt;=GRID_FROM)*('Dvd Calendar'!$N$1832&lt;=GRID_TO)*('Dvd Calendar'!$N$1832&gt;VAL_DATE)=0,"",'Dvd Calendar'!$N$1832*1000000000+ISNUMBER('Dvd Calendar'!$N$1833)*100000000+0*10000000+(N('Dvd Calendar'!$N$1831)&gt;0)*(N('Dvd Calendar'!$N$1831)&lt;=VAL_SERIAL)*1000000+25*1000+50))</f>
        <v/>
      </c>
      <c r="GC184" s="35">
        <f>IF(N('Dvd Calendar'!$O$1832)=0,"",IF(('Dvd Calendar'!$O$1832&gt;=GRID_FROM)*('Dvd Calendar'!$O$1832&lt;=GRID_TO)*('Dvd Calendar'!$O$1832&gt;VAL_DATE)=0,"",'Dvd Calendar'!$O$1832*1000000000+ISNUMBER('Dvd Calendar'!$O$1833)*100000000+0*10000000+(N('Dvd Calendar'!$O$1831)&gt;0)*(N('Dvd Calendar'!$O$1831)&lt;=VAL_SERIAL)*1000000+25*1000+51))</f>
        <v/>
      </c>
      <c r="GD184" s="35">
        <f>IF(N('Dvd Calendar'!$P$1832)=0,"",IF(('Dvd Calendar'!$P$1832&gt;=GRID_FROM)*('Dvd Calendar'!$P$1832&lt;=GRID_TO)*('Dvd Calendar'!$P$1832&gt;VAL_DATE)=0,"",'Dvd Calendar'!$P$1832*1000000000+ISNUMBER('Dvd Calendar'!$P$1833)*100000000+0*10000000+(N('Dvd Calendar'!$P$1831)&gt;0)*(N('Dvd Calendar'!$P$1831)&lt;=VAL_SERIAL)*1000000+25*1000+52))</f>
        <v/>
      </c>
      <c r="GE184" s="35">
        <f>IF(N('Dvd Calendar'!$Q$1832)=0,"",IF(('Dvd Calendar'!$Q$1832&gt;=GRID_FROM)*('Dvd Calendar'!$Q$1832&lt;=GRID_TO)*('Dvd Calendar'!$Q$1832&gt;VAL_DATE)=0,"",'Dvd Calendar'!$Q$1832*1000000000+ISNUMBER('Dvd Calendar'!$Q$1833)*100000000+0*10000000+(N('Dvd Calendar'!$Q$1831)&gt;0)*(N('Dvd Calendar'!$Q$1831)&lt;=VAL_SERIAL)*1000000+25*1000+53))</f>
        <v/>
      </c>
      <c r="GF184" s="35">
        <f>IF(N('Dvd Calendar'!$R$1832)=0,"",IF(('Dvd Calendar'!$R$1832&gt;=GRID_FROM)*('Dvd Calendar'!$R$1832&lt;=GRID_TO)*('Dvd Calendar'!$R$1832&gt;VAL_DATE)=0,"",'Dvd Calendar'!$R$1832*1000000000+ISNUMBER('Dvd Calendar'!$R$1833)*100000000+0*10000000+(N('Dvd Calendar'!$R$1831)&gt;0)*(N('Dvd Calendar'!$R$1831)&lt;=VAL_SERIAL)*1000000+25*1000+54))</f>
        <v/>
      </c>
      <c r="GG184" s="35">
        <f>IF(N('Dvd Calendar'!$S$1832)=0,"",IF(('Dvd Calendar'!$S$1832&gt;=GRID_FROM)*('Dvd Calendar'!$S$1832&lt;=GRID_TO)*('Dvd Calendar'!$S$1832&gt;VAL_DATE)=0,"",'Dvd Calendar'!$S$1832*1000000000+ISNUMBER('Dvd Calendar'!$S$1833)*100000000+0*10000000+(N('Dvd Calendar'!$S$1831)&gt;0)*(N('Dvd Calendar'!$S$1831)&lt;=VAL_SERIAL)*1000000+25*1000+55))</f>
        <v/>
      </c>
      <c r="GH184" s="35">
        <f>IF(N('Dvd Calendar'!$T$1832)=0,"",IF(('Dvd Calendar'!$T$1832&gt;=GRID_FROM)*('Dvd Calendar'!$T$1832&lt;=GRID_TO)*('Dvd Calendar'!$T$1832&gt;VAL_DATE)=0,"",'Dvd Calendar'!$T$1832*1000000000+ISNUMBER('Dvd Calendar'!$T$1833)*100000000+0*10000000+(N('Dvd Calendar'!$T$1831)&gt;0)*(N('Dvd Calendar'!$T$1831)&lt;=VAL_SERIAL)*1000000+25*1000+56))</f>
        <v/>
      </c>
      <c r="GI184" s="35">
        <f>IF(N('Dvd Calendar'!$U$1832)=0,"",IF(('Dvd Calendar'!$U$1832&gt;=GRID_FROM)*('Dvd Calendar'!$U$1832&lt;=GRID_TO)*('Dvd Calendar'!$U$1832&gt;VAL_DATE)=0,"",'Dvd Calendar'!$U$1832*1000000000+ISNUMBER('Dvd Calendar'!$U$1833)*100000000+0*10000000+(N('Dvd Calendar'!$U$1831)&gt;0)*(N('Dvd Calendar'!$U$1831)&lt;=VAL_SERIAL)*1000000+25*1000+57))</f>
        <v/>
      </c>
      <c r="GJ184" s="35">
        <f>IF(N('Dvd Calendar'!$V$1832)=0,"",IF(('Dvd Calendar'!$V$1832&gt;=GRID_FROM)*('Dvd Calendar'!$V$1832&lt;=GRID_TO)*('Dvd Calendar'!$V$1832&gt;VAL_DATE)=0,"",'Dvd Calendar'!$V$1832*1000000000+ISNUMBER('Dvd Calendar'!$V$1833)*100000000+0*10000000+(N('Dvd Calendar'!$V$1831)&gt;0)*(N('Dvd Calendar'!$V$1831)&lt;=VAL_SERIAL)*1000000+25*1000+58))</f>
        <v/>
      </c>
      <c r="GK184" s="35">
        <f>IF(N('Dvd Calendar'!$W$1832)=0,"",IF(('Dvd Calendar'!$W$1832&gt;=GRID_FROM)*('Dvd Calendar'!$W$1832&lt;=GRID_TO)*('Dvd Calendar'!$W$1832&gt;VAL_DATE)=0,"",'Dvd Calendar'!$W$1832*1000000000+ISNUMBER('Dvd Calendar'!$W$1833)*100000000+0*10000000+(N('Dvd Calendar'!$W$1831)&gt;0)*(N('Dvd Calendar'!$W$1831)&lt;=VAL_SERIAL)*1000000+25*1000+59))</f>
        <v/>
      </c>
      <c r="GL184" s="35">
        <f>IF(N('Dvd Calendar'!$X$1832)=0,"",IF(('Dvd Calendar'!$X$1832&gt;=GRID_FROM)*('Dvd Calendar'!$X$1832&lt;=GRID_TO)*('Dvd Calendar'!$X$1832&gt;VAL_DATE)=0,"",'Dvd Calendar'!$X$1832*1000000000+ISNUMBER('Dvd Calendar'!$X$1833)*100000000+0*10000000+(N('Dvd Calendar'!$X$1831)&gt;0)*(N('Dvd Calendar'!$X$1831)&lt;=VAL_SERIAL)*1000000+25*1000+60))</f>
        <v/>
      </c>
      <c r="GM184" s="35">
        <f>IF(N('Dvd Calendar'!$Y$1832)=0,"",IF(('Dvd Calendar'!$Y$1832&gt;=GRID_FROM)*('Dvd Calendar'!$Y$1832&lt;=GRID_TO)*('Dvd Calendar'!$Y$1832&gt;VAL_DATE)=0,"",'Dvd Calendar'!$Y$1832*1000000000+ISNUMBER('Dvd Calendar'!$Y$1833)*100000000+0*10000000+(N('Dvd Calendar'!$Y$1831)&gt;0)*(N('Dvd Calendar'!$Y$1831)&lt;=VAL_SERIAL)*1000000+25*1000+61))</f>
        <v/>
      </c>
      <c r="GN184" s="35">
        <f>IF(N('Dvd Calendar'!$Z$1832)=0,"",IF(('Dvd Calendar'!$Z$1832&gt;=GRID_FROM)*('Dvd Calendar'!$Z$1832&lt;=GRID_TO)*('Dvd Calendar'!$Z$1832&gt;VAL_DATE)=0,"",'Dvd Calendar'!$Z$1832*1000000000+ISNUMBER('Dvd Calendar'!$Z$1833)*100000000+0*10000000+(N('Dvd Calendar'!$Z$1831)&gt;0)*(N('Dvd Calendar'!$Z$1831)&lt;=VAL_SERIAL)*1000000+25*1000+62))</f>
        <v/>
      </c>
      <c r="GO184" s="35">
        <f>IF(N('Dvd Calendar'!$AA$1832)=0,"",IF(('Dvd Calendar'!$AA$1832&gt;=GRID_FROM)*('Dvd Calendar'!$AA$1832&lt;=GRID_TO)*('Dvd Calendar'!$AA$1832&gt;VAL_DATE)=0,"",'Dvd Calendar'!$AA$1832*1000000000+ISNUMBER('Dvd Calendar'!$AA$1833)*100000000+0*10000000+(N('Dvd Calendar'!$AA$1831)&gt;0)*(N('Dvd Calendar'!$AA$1831)&lt;=VAL_SERIAL)*1000000+25*1000+63))</f>
        <v/>
      </c>
      <c r="GP184" s="35">
        <f>IF(N('Dvd Calendar'!$AB$1832)=0,"",IF(('Dvd Calendar'!$AB$1832&gt;=GRID_FROM)*('Dvd Calendar'!$AB$1832&lt;=GRID_TO)*('Dvd Calendar'!$AB$1832&gt;VAL_DATE)=0,"",'Dvd Calendar'!$AB$1832*1000000000+ISNUMBER('Dvd Calendar'!$AB$1833)*100000000+0*10000000+(N('Dvd Calendar'!$AB$1831)&gt;0)*(N('Dvd Calendar'!$AB$1831)&lt;=VAL_SERIAL)*1000000+25*1000+64))</f>
        <v/>
      </c>
      <c r="GQ184" s="35">
        <f>IF(N('Dvd Calendar'!$AC$1832)=0,"",IF(('Dvd Calendar'!$AC$1832&gt;=GRID_FROM)*('Dvd Calendar'!$AC$1832&lt;=GRID_TO)*('Dvd Calendar'!$AC$1832&gt;VAL_DATE)=0,"",'Dvd Calendar'!$AC$1832*1000000000+ISNUMBER('Dvd Calendar'!$AC$1833)*100000000+0*10000000+(N('Dvd Calendar'!$AC$1831)&gt;0)*(N('Dvd Calendar'!$AC$1831)&lt;=VAL_SERIAL)*1000000+25*1000+65))</f>
        <v/>
      </c>
    </row>
    <row r="185">
      <c r="B185" s="2">
        <f>IF(HSCEI!$C$32="","",HSCEI!$C$32)</f>
        <v/>
      </c>
      <c r="C185" s="106">
        <f>IF(EE185="","",IF(ISNUMBER('Dvd Calendar'!$E$1839)=FALSE,"",IF((('Dvd Calendar'!$E$1841=TYPE1)*(TYPE1&lt;&gt;"")+('Dvd Calendar'!$E$1841=TYPE2)*(TYPE2&lt;&gt;"")+('Dvd Calendar'!$E$1841=TYPE3)*(TYPE3&lt;&gt;"")+('Dvd Calendar'!$E$1841=TYPE4)*(TYPE4&lt;&gt;"")+('Dvd Calendar'!$E$1841=SPECIAL_LBL)*(INC_SPECIALS="Y"))=0,"",'Dvd Calendar'!$E$1839)))</f>
        <v/>
      </c>
      <c r="D185" s="106">
        <f>IF(EF185="","",IF(ISNUMBER('Dvd Calendar'!$F$1839)=FALSE,"",IF((('Dvd Calendar'!$F$1841=TYPE1)*(TYPE1&lt;&gt;"")+('Dvd Calendar'!$F$1841=TYPE2)*(TYPE2&lt;&gt;"")+('Dvd Calendar'!$F$1841=TYPE3)*(TYPE3&lt;&gt;"")+('Dvd Calendar'!$F$1841=TYPE4)*(TYPE4&lt;&gt;"")+('Dvd Calendar'!$F$1841=SPECIAL_LBL)*(INC_SPECIALS="Y"))=0,"",'Dvd Calendar'!$F$1839)))</f>
        <v/>
      </c>
      <c r="E185" s="106">
        <f>IF(EG185="","",IF(ISNUMBER('Dvd Calendar'!$G$1839)=FALSE,"",IF((('Dvd Calendar'!$G$1841=TYPE1)*(TYPE1&lt;&gt;"")+('Dvd Calendar'!$G$1841=TYPE2)*(TYPE2&lt;&gt;"")+('Dvd Calendar'!$G$1841=TYPE3)*(TYPE3&lt;&gt;"")+('Dvd Calendar'!$G$1841=TYPE4)*(TYPE4&lt;&gt;"")+('Dvd Calendar'!$G$1841=SPECIAL_LBL)*(INC_SPECIALS="Y"))=0,"",'Dvd Calendar'!$G$1839)))</f>
        <v/>
      </c>
      <c r="F185" s="106">
        <f>IF(EH185="","",IF(ISNUMBER('Dvd Calendar'!$H$1839)=FALSE,"",IF((('Dvd Calendar'!$H$1841=TYPE1)*(TYPE1&lt;&gt;"")+('Dvd Calendar'!$H$1841=TYPE2)*(TYPE2&lt;&gt;"")+('Dvd Calendar'!$H$1841=TYPE3)*(TYPE3&lt;&gt;"")+('Dvd Calendar'!$H$1841=TYPE4)*(TYPE4&lt;&gt;"")+('Dvd Calendar'!$H$1841=SPECIAL_LBL)*(INC_SPECIALS="Y"))=0,"",'Dvd Calendar'!$H$1839)))</f>
        <v/>
      </c>
      <c r="G185" s="106">
        <f>IF(EI185="","",IF(ISNUMBER('Dvd Calendar'!$I$1839)=FALSE,"",IF((('Dvd Calendar'!$I$1841=TYPE1)*(TYPE1&lt;&gt;"")+('Dvd Calendar'!$I$1841=TYPE2)*(TYPE2&lt;&gt;"")+('Dvd Calendar'!$I$1841=TYPE3)*(TYPE3&lt;&gt;"")+('Dvd Calendar'!$I$1841=TYPE4)*(TYPE4&lt;&gt;"")+('Dvd Calendar'!$I$1841=SPECIAL_LBL)*(INC_SPECIALS="Y"))=0,"",'Dvd Calendar'!$I$1839)))</f>
        <v/>
      </c>
      <c r="H185" s="106">
        <f>IF(EJ185="","",IF(ISNUMBER('Dvd Calendar'!$J$1839)=FALSE,"",IF((('Dvd Calendar'!$J$1841=TYPE1)*(TYPE1&lt;&gt;"")+('Dvd Calendar'!$J$1841=TYPE2)*(TYPE2&lt;&gt;"")+('Dvd Calendar'!$J$1841=TYPE3)*(TYPE3&lt;&gt;"")+('Dvd Calendar'!$J$1841=TYPE4)*(TYPE4&lt;&gt;"")+('Dvd Calendar'!$J$1841=SPECIAL_LBL)*(INC_SPECIALS="Y"))=0,"",'Dvd Calendar'!$J$1839)))</f>
        <v/>
      </c>
      <c r="I185" s="106">
        <f>IF(EK185="","",IF(ISNUMBER('Dvd Calendar'!$K$1839)=FALSE,"",IF((('Dvd Calendar'!$K$1841=TYPE1)*(TYPE1&lt;&gt;"")+('Dvd Calendar'!$K$1841=TYPE2)*(TYPE2&lt;&gt;"")+('Dvd Calendar'!$K$1841=TYPE3)*(TYPE3&lt;&gt;"")+('Dvd Calendar'!$K$1841=TYPE4)*(TYPE4&lt;&gt;"")+('Dvd Calendar'!$K$1841=SPECIAL_LBL)*(INC_SPECIALS="Y"))=0,"",'Dvd Calendar'!$K$1839)))</f>
        <v/>
      </c>
      <c r="J185" s="106">
        <f>IF(EL185="","",IF(ISNUMBER('Dvd Calendar'!$L$1839)=FALSE,"",IF((('Dvd Calendar'!$L$1841=TYPE1)*(TYPE1&lt;&gt;"")+('Dvd Calendar'!$L$1841=TYPE2)*(TYPE2&lt;&gt;"")+('Dvd Calendar'!$L$1841=TYPE3)*(TYPE3&lt;&gt;"")+('Dvd Calendar'!$L$1841=TYPE4)*(TYPE4&lt;&gt;"")+('Dvd Calendar'!$L$1841=SPECIAL_LBL)*(INC_SPECIALS="Y"))=0,"",'Dvd Calendar'!$L$1839)))</f>
        <v/>
      </c>
      <c r="K185" s="106">
        <f>IF(EM185="","",IF(ISNUMBER('Dvd Calendar'!$M$1839)=FALSE,"",IF((('Dvd Calendar'!$M$1841=TYPE1)*(TYPE1&lt;&gt;"")+('Dvd Calendar'!$M$1841=TYPE2)*(TYPE2&lt;&gt;"")+('Dvd Calendar'!$M$1841=TYPE3)*(TYPE3&lt;&gt;"")+('Dvd Calendar'!$M$1841=TYPE4)*(TYPE4&lt;&gt;"")+('Dvd Calendar'!$M$1841=SPECIAL_LBL)*(INC_SPECIALS="Y"))=0,"",'Dvd Calendar'!$M$1839)))</f>
        <v/>
      </c>
      <c r="L185" s="106">
        <f>IF(EN185="","",IF(ISNUMBER('Dvd Calendar'!$N$1839)=FALSE,"",IF((('Dvd Calendar'!$N$1841=TYPE1)*(TYPE1&lt;&gt;"")+('Dvd Calendar'!$N$1841=TYPE2)*(TYPE2&lt;&gt;"")+('Dvd Calendar'!$N$1841=TYPE3)*(TYPE3&lt;&gt;"")+('Dvd Calendar'!$N$1841=TYPE4)*(TYPE4&lt;&gt;"")+('Dvd Calendar'!$N$1841=SPECIAL_LBL)*(INC_SPECIALS="Y"))=0,"",'Dvd Calendar'!$N$1839)))</f>
        <v/>
      </c>
      <c r="M185" s="106">
        <f>IF(EO185="","",IF(ISNUMBER('Dvd Calendar'!$O$1839)=FALSE,"",IF((('Dvd Calendar'!$O$1841=TYPE1)*(TYPE1&lt;&gt;"")+('Dvd Calendar'!$O$1841=TYPE2)*(TYPE2&lt;&gt;"")+('Dvd Calendar'!$O$1841=TYPE3)*(TYPE3&lt;&gt;"")+('Dvd Calendar'!$O$1841=TYPE4)*(TYPE4&lt;&gt;"")+('Dvd Calendar'!$O$1841=SPECIAL_LBL)*(INC_SPECIALS="Y"))=0,"",'Dvd Calendar'!$O$1839)))</f>
        <v/>
      </c>
      <c r="N185" s="106">
        <f>IF(EP185="","",IF(ISNUMBER('Dvd Calendar'!$P$1839)=FALSE,"",IF((('Dvd Calendar'!$P$1841=TYPE1)*(TYPE1&lt;&gt;"")+('Dvd Calendar'!$P$1841=TYPE2)*(TYPE2&lt;&gt;"")+('Dvd Calendar'!$P$1841=TYPE3)*(TYPE3&lt;&gt;"")+('Dvd Calendar'!$P$1841=TYPE4)*(TYPE4&lt;&gt;"")+('Dvd Calendar'!$P$1841=SPECIAL_LBL)*(INC_SPECIALS="Y"))=0,"",'Dvd Calendar'!$P$1839)))</f>
        <v/>
      </c>
      <c r="O185" s="106">
        <f>IF(EQ185="","",IF(ISNUMBER('Dvd Calendar'!$Q$1839)=FALSE,"",IF((('Dvd Calendar'!$Q$1841=TYPE1)*(TYPE1&lt;&gt;"")+('Dvd Calendar'!$Q$1841=TYPE2)*(TYPE2&lt;&gt;"")+('Dvd Calendar'!$Q$1841=TYPE3)*(TYPE3&lt;&gt;"")+('Dvd Calendar'!$Q$1841=TYPE4)*(TYPE4&lt;&gt;"")+('Dvd Calendar'!$Q$1841=SPECIAL_LBL)*(INC_SPECIALS="Y"))=0,"",'Dvd Calendar'!$Q$1839)))</f>
        <v/>
      </c>
      <c r="P185" s="106">
        <f>IF(ER185="","",IF(ISNUMBER('Dvd Calendar'!$R$1839)=FALSE,"",IF((('Dvd Calendar'!$R$1841=TYPE1)*(TYPE1&lt;&gt;"")+('Dvd Calendar'!$R$1841=TYPE2)*(TYPE2&lt;&gt;"")+('Dvd Calendar'!$R$1841=TYPE3)*(TYPE3&lt;&gt;"")+('Dvd Calendar'!$R$1841=TYPE4)*(TYPE4&lt;&gt;"")+('Dvd Calendar'!$R$1841=SPECIAL_LBL)*(INC_SPECIALS="Y"))=0,"",'Dvd Calendar'!$R$1839)))</f>
        <v/>
      </c>
      <c r="Q185" s="106">
        <f>IF(ES185="","",IF(ISNUMBER('Dvd Calendar'!$S$1839)=FALSE,"",IF((('Dvd Calendar'!$S$1841=TYPE1)*(TYPE1&lt;&gt;"")+('Dvd Calendar'!$S$1841=TYPE2)*(TYPE2&lt;&gt;"")+('Dvd Calendar'!$S$1841=TYPE3)*(TYPE3&lt;&gt;"")+('Dvd Calendar'!$S$1841=TYPE4)*(TYPE4&lt;&gt;"")+('Dvd Calendar'!$S$1841=SPECIAL_LBL)*(INC_SPECIALS="Y"))=0,"",'Dvd Calendar'!$S$1839)))</f>
        <v/>
      </c>
      <c r="R185" s="106">
        <f>IF(ET185="","",IF(ISNUMBER('Dvd Calendar'!$T$1839)=FALSE,"",IF((('Dvd Calendar'!$T$1841=TYPE1)*(TYPE1&lt;&gt;"")+('Dvd Calendar'!$T$1841=TYPE2)*(TYPE2&lt;&gt;"")+('Dvd Calendar'!$T$1841=TYPE3)*(TYPE3&lt;&gt;"")+('Dvd Calendar'!$T$1841=TYPE4)*(TYPE4&lt;&gt;"")+('Dvd Calendar'!$T$1841=SPECIAL_LBL)*(INC_SPECIALS="Y"))=0,"",'Dvd Calendar'!$T$1839)))</f>
        <v/>
      </c>
      <c r="S185" s="106">
        <f>IF(EU185="","",IF(ISNUMBER('Dvd Calendar'!$U$1839)=FALSE,"",IF((('Dvd Calendar'!$U$1841=TYPE1)*(TYPE1&lt;&gt;"")+('Dvd Calendar'!$U$1841=TYPE2)*(TYPE2&lt;&gt;"")+('Dvd Calendar'!$U$1841=TYPE3)*(TYPE3&lt;&gt;"")+('Dvd Calendar'!$U$1841=TYPE4)*(TYPE4&lt;&gt;"")+('Dvd Calendar'!$U$1841=SPECIAL_LBL)*(INC_SPECIALS="Y"))=0,"",'Dvd Calendar'!$U$1839)))</f>
        <v/>
      </c>
      <c r="T185" s="106">
        <f>IF(EV185="","",IF(ISNUMBER('Dvd Calendar'!$V$1839)=FALSE,"",IF((('Dvd Calendar'!$V$1841=TYPE1)*(TYPE1&lt;&gt;"")+('Dvd Calendar'!$V$1841=TYPE2)*(TYPE2&lt;&gt;"")+('Dvd Calendar'!$V$1841=TYPE3)*(TYPE3&lt;&gt;"")+('Dvd Calendar'!$V$1841=TYPE4)*(TYPE4&lt;&gt;"")+('Dvd Calendar'!$V$1841=SPECIAL_LBL)*(INC_SPECIALS="Y"))=0,"",'Dvd Calendar'!$V$1839)))</f>
        <v/>
      </c>
      <c r="U185" s="106">
        <f>IF(EW185="","",IF(ISNUMBER('Dvd Calendar'!$W$1839)=FALSE,"",IF((('Dvd Calendar'!$W$1841=TYPE1)*(TYPE1&lt;&gt;"")+('Dvd Calendar'!$W$1841=TYPE2)*(TYPE2&lt;&gt;"")+('Dvd Calendar'!$W$1841=TYPE3)*(TYPE3&lt;&gt;"")+('Dvd Calendar'!$W$1841=TYPE4)*(TYPE4&lt;&gt;"")+('Dvd Calendar'!$W$1841=SPECIAL_LBL)*(INC_SPECIALS="Y"))=0,"",'Dvd Calendar'!$W$1839)))</f>
        <v/>
      </c>
      <c r="V185" s="106">
        <f>IF(EX185="","",IF(ISNUMBER('Dvd Calendar'!$X$1839)=FALSE,"",IF((('Dvd Calendar'!$X$1841=TYPE1)*(TYPE1&lt;&gt;"")+('Dvd Calendar'!$X$1841=TYPE2)*(TYPE2&lt;&gt;"")+('Dvd Calendar'!$X$1841=TYPE3)*(TYPE3&lt;&gt;"")+('Dvd Calendar'!$X$1841=TYPE4)*(TYPE4&lt;&gt;"")+('Dvd Calendar'!$X$1841=SPECIAL_LBL)*(INC_SPECIALS="Y"))=0,"",'Dvd Calendar'!$X$1839)))</f>
        <v/>
      </c>
      <c r="W185" s="106">
        <f>IF(EY185="","",IF(ISNUMBER('Dvd Calendar'!$Y$1839)=FALSE,"",IF((('Dvd Calendar'!$Y$1841=TYPE1)*(TYPE1&lt;&gt;"")+('Dvd Calendar'!$Y$1841=TYPE2)*(TYPE2&lt;&gt;"")+('Dvd Calendar'!$Y$1841=TYPE3)*(TYPE3&lt;&gt;"")+('Dvd Calendar'!$Y$1841=TYPE4)*(TYPE4&lt;&gt;"")+('Dvd Calendar'!$Y$1841=SPECIAL_LBL)*(INC_SPECIALS="Y"))=0,"",'Dvd Calendar'!$Y$1839)))</f>
        <v/>
      </c>
      <c r="X185" s="106">
        <f>IF(EZ185="","",IF(ISNUMBER('Dvd Calendar'!$Z$1839)=FALSE,"",IF((('Dvd Calendar'!$Z$1841=TYPE1)*(TYPE1&lt;&gt;"")+('Dvd Calendar'!$Z$1841=TYPE2)*(TYPE2&lt;&gt;"")+('Dvd Calendar'!$Z$1841=TYPE3)*(TYPE3&lt;&gt;"")+('Dvd Calendar'!$Z$1841=TYPE4)*(TYPE4&lt;&gt;"")+('Dvd Calendar'!$Z$1841=SPECIAL_LBL)*(INC_SPECIALS="Y"))=0,"",'Dvd Calendar'!$Z$1839)))</f>
        <v/>
      </c>
      <c r="Y185" s="106">
        <f>IF(FA185="","",IF(ISNUMBER('Dvd Calendar'!$AA$1839)=FALSE,"",IF((('Dvd Calendar'!$AA$1841=TYPE1)*(TYPE1&lt;&gt;"")+('Dvd Calendar'!$AA$1841=TYPE2)*(TYPE2&lt;&gt;"")+('Dvd Calendar'!$AA$1841=TYPE3)*(TYPE3&lt;&gt;"")+('Dvd Calendar'!$AA$1841=TYPE4)*(TYPE4&lt;&gt;"")+('Dvd Calendar'!$AA$1841=SPECIAL_LBL)*(INC_SPECIALS="Y"))=0,"",'Dvd Calendar'!$AA$1839)))</f>
        <v/>
      </c>
      <c r="Z185" s="106">
        <f>IF(FB185="","",IF(ISNUMBER('Dvd Calendar'!$AB$1839)=FALSE,"",IF((('Dvd Calendar'!$AB$1841=TYPE1)*(TYPE1&lt;&gt;"")+('Dvd Calendar'!$AB$1841=TYPE2)*(TYPE2&lt;&gt;"")+('Dvd Calendar'!$AB$1841=TYPE3)*(TYPE3&lt;&gt;"")+('Dvd Calendar'!$AB$1841=TYPE4)*(TYPE4&lt;&gt;"")+('Dvd Calendar'!$AB$1841=SPECIAL_LBL)*(INC_SPECIALS="Y"))=0,"",'Dvd Calendar'!$AB$1839)))</f>
        <v/>
      </c>
      <c r="AA185" s="106">
        <f>IF(FC185="","",IF(ISNUMBER('Dvd Calendar'!$AC$1839)=FALSE,"",IF((('Dvd Calendar'!$AC$1841=TYPE1)*(TYPE1&lt;&gt;"")+('Dvd Calendar'!$AC$1841=TYPE2)*(TYPE2&lt;&gt;"")+('Dvd Calendar'!$AC$1841=TYPE3)*(TYPE3&lt;&gt;"")+('Dvd Calendar'!$AC$1841=TYPE4)*(TYPE4&lt;&gt;"")+('Dvd Calendar'!$AC$1841=SPECIAL_LBL)*(INC_SPECIALS="Y"))=0,"",'Dvd Calendar'!$AC$1839)))</f>
        <v/>
      </c>
      <c r="AB185" s="106">
        <f>IF(FD185="","",IF(ISNUMBER('Dvd Calendar'!$AD$1839)=FALSE,"",IF((('Dvd Calendar'!$AD$1841=TYPE1)*(TYPE1&lt;&gt;"")+('Dvd Calendar'!$AD$1841=TYPE2)*(TYPE2&lt;&gt;"")+('Dvd Calendar'!$AD$1841=TYPE3)*(TYPE3&lt;&gt;"")+('Dvd Calendar'!$AD$1841=TYPE4)*(TYPE4&lt;&gt;"")+('Dvd Calendar'!$AD$1841=SPECIAL_LBL)*(INC_SPECIALS="Y"))=0,"",'Dvd Calendar'!$AD$1839)))</f>
        <v/>
      </c>
      <c r="AC185" s="106">
        <f>IF(FE185="","",IF(ISNUMBER('Dvd Calendar'!$AE$1839)=FALSE,"",IF((('Dvd Calendar'!$AE$1841=TYPE1)*(TYPE1&lt;&gt;"")+('Dvd Calendar'!$AE$1841=TYPE2)*(TYPE2&lt;&gt;"")+('Dvd Calendar'!$AE$1841=TYPE3)*(TYPE3&lt;&gt;"")+('Dvd Calendar'!$AE$1841=TYPE4)*(TYPE4&lt;&gt;"")+('Dvd Calendar'!$AE$1841=SPECIAL_LBL)*(INC_SPECIALS="Y"))=0,"",'Dvd Calendar'!$AE$1839)))</f>
        <v/>
      </c>
      <c r="AD185" s="106">
        <f>IF(FF185="","",IF(ISNUMBER('Dvd Calendar'!$AF$1839)=FALSE,"",IF((('Dvd Calendar'!$AF$1841=TYPE1)*(TYPE1&lt;&gt;"")+('Dvd Calendar'!$AF$1841=TYPE2)*(TYPE2&lt;&gt;"")+('Dvd Calendar'!$AF$1841=TYPE3)*(TYPE3&lt;&gt;"")+('Dvd Calendar'!$AF$1841=TYPE4)*(TYPE4&lt;&gt;"")+('Dvd Calendar'!$AF$1841=SPECIAL_LBL)*(INC_SPECIALS="Y"))=0,"",'Dvd Calendar'!$AF$1839)))</f>
        <v/>
      </c>
      <c r="AE185" s="106">
        <f>IF(FG185="","",IF(ISNUMBER('Dvd Calendar'!$AG$1839)=FALSE,"",IF((('Dvd Calendar'!$AG$1841=TYPE1)*(TYPE1&lt;&gt;"")+('Dvd Calendar'!$AG$1841=TYPE2)*(TYPE2&lt;&gt;"")+('Dvd Calendar'!$AG$1841=TYPE3)*(TYPE3&lt;&gt;"")+('Dvd Calendar'!$AG$1841=TYPE4)*(TYPE4&lt;&gt;"")+('Dvd Calendar'!$AG$1841=SPECIAL_LBL)*(INC_SPECIALS="Y"))=0,"",'Dvd Calendar'!$AG$1839)))</f>
        <v/>
      </c>
      <c r="AF185" s="106">
        <f>IF(FH185="","",IF(ISNUMBER('Dvd Calendar'!$AH$1839)=FALSE,"",IF((('Dvd Calendar'!$AH$1841=TYPE1)*(TYPE1&lt;&gt;"")+('Dvd Calendar'!$AH$1841=TYPE2)*(TYPE2&lt;&gt;"")+('Dvd Calendar'!$AH$1841=TYPE3)*(TYPE3&lt;&gt;"")+('Dvd Calendar'!$AH$1841=TYPE4)*(TYPE4&lt;&gt;"")+('Dvd Calendar'!$AH$1841=SPECIAL_LBL)*(INC_SPECIALS="Y"))=0,"",'Dvd Calendar'!$AH$1839)))</f>
        <v/>
      </c>
      <c r="AG185" s="106">
        <f>IF(FI185="","",IF(ISNUMBER('Dvd Calendar'!$AI$1839)=FALSE,"",IF((('Dvd Calendar'!$AI$1841=TYPE1)*(TYPE1&lt;&gt;"")+('Dvd Calendar'!$AI$1841=TYPE2)*(TYPE2&lt;&gt;"")+('Dvd Calendar'!$AI$1841=TYPE3)*(TYPE3&lt;&gt;"")+('Dvd Calendar'!$AI$1841=TYPE4)*(TYPE4&lt;&gt;"")+('Dvd Calendar'!$AI$1841=SPECIAL_LBL)*(INC_SPECIALS="Y"))=0,"",'Dvd Calendar'!$AI$1839)))</f>
        <v/>
      </c>
      <c r="AH185" s="106">
        <f>IF(FJ185="","",IF(ISNUMBER('Dvd Calendar'!$AJ$1839)=FALSE,"",IF((('Dvd Calendar'!$AJ$1841=TYPE1)*(TYPE1&lt;&gt;"")+('Dvd Calendar'!$AJ$1841=TYPE2)*(TYPE2&lt;&gt;"")+('Dvd Calendar'!$AJ$1841=TYPE3)*(TYPE3&lt;&gt;"")+('Dvd Calendar'!$AJ$1841=TYPE4)*(TYPE4&lt;&gt;"")+('Dvd Calendar'!$AJ$1841=SPECIAL_LBL)*(INC_SPECIALS="Y"))=0,"",'Dvd Calendar'!$AJ$1839)))</f>
        <v/>
      </c>
      <c r="AI185" s="106">
        <f>IF(FK185="","",IF(ISNUMBER('Dvd Calendar'!$AK$1839)=FALSE,"",IF((('Dvd Calendar'!$AK$1841=TYPE1)*(TYPE1&lt;&gt;"")+('Dvd Calendar'!$AK$1841=TYPE2)*(TYPE2&lt;&gt;"")+('Dvd Calendar'!$AK$1841=TYPE3)*(TYPE3&lt;&gt;"")+('Dvd Calendar'!$AK$1841=TYPE4)*(TYPE4&lt;&gt;"")+('Dvd Calendar'!$AK$1841=SPECIAL_LBL)*(INC_SPECIALS="Y"))=0,"",'Dvd Calendar'!$AK$1839)))</f>
        <v/>
      </c>
      <c r="AJ185" s="106">
        <f>IF(FL185="","",IF(ISNUMBER('Dvd Calendar'!$AL$1839)=FALSE,"",IF((('Dvd Calendar'!$AL$1841=TYPE1)*(TYPE1&lt;&gt;"")+('Dvd Calendar'!$AL$1841=TYPE2)*(TYPE2&lt;&gt;"")+('Dvd Calendar'!$AL$1841=TYPE3)*(TYPE3&lt;&gt;"")+('Dvd Calendar'!$AL$1841=TYPE4)*(TYPE4&lt;&gt;"")+('Dvd Calendar'!$AL$1841=SPECIAL_LBL)*(INC_SPECIALS="Y"))=0,"",'Dvd Calendar'!$AL$1839)))</f>
        <v/>
      </c>
      <c r="AK185" s="106">
        <f>IF(FM185="","",IF(ISNUMBER('Dvd Calendar'!$AM$1839)=FALSE,"",IF((('Dvd Calendar'!$AM$1841=TYPE1)*(TYPE1&lt;&gt;"")+('Dvd Calendar'!$AM$1841=TYPE2)*(TYPE2&lt;&gt;"")+('Dvd Calendar'!$AM$1841=TYPE3)*(TYPE3&lt;&gt;"")+('Dvd Calendar'!$AM$1841=TYPE4)*(TYPE4&lt;&gt;"")+('Dvd Calendar'!$AM$1841=SPECIAL_LBL)*(INC_SPECIALS="Y"))=0,"",'Dvd Calendar'!$AM$1839)))</f>
        <v/>
      </c>
      <c r="AL185" s="106">
        <f>IF(FN185="","",IF(ISNUMBER('Dvd Calendar'!$AN$1839)=FALSE,"",IF((('Dvd Calendar'!$AN$1841=TYPE1)*(TYPE1&lt;&gt;"")+('Dvd Calendar'!$AN$1841=TYPE2)*(TYPE2&lt;&gt;"")+('Dvd Calendar'!$AN$1841=TYPE3)*(TYPE3&lt;&gt;"")+('Dvd Calendar'!$AN$1841=TYPE4)*(TYPE4&lt;&gt;"")+('Dvd Calendar'!$AN$1841=SPECIAL_LBL)*(INC_SPECIALS="Y"))=0,"",'Dvd Calendar'!$AN$1839)))</f>
        <v/>
      </c>
      <c r="AM185" s="106">
        <f>IF(FO185="","",IF(ISNUMBER('Dvd Calendar'!$AO$1839)=FALSE,"",IF((('Dvd Calendar'!$AO$1841=TYPE1)*(TYPE1&lt;&gt;"")+('Dvd Calendar'!$AO$1841=TYPE2)*(TYPE2&lt;&gt;"")+('Dvd Calendar'!$AO$1841=TYPE3)*(TYPE3&lt;&gt;"")+('Dvd Calendar'!$AO$1841=TYPE4)*(TYPE4&lt;&gt;"")+('Dvd Calendar'!$AO$1841=SPECIAL_LBL)*(INC_SPECIALS="Y"))=0,"",'Dvd Calendar'!$AO$1839)))</f>
        <v/>
      </c>
      <c r="AN185" s="106">
        <f>IF(FP185="","",IF(ISNUMBER('Dvd Calendar'!$AP$1839)=FALSE,"",IF((('Dvd Calendar'!$AP$1841=TYPE1)*(TYPE1&lt;&gt;"")+('Dvd Calendar'!$AP$1841=TYPE2)*(TYPE2&lt;&gt;"")+('Dvd Calendar'!$AP$1841=TYPE3)*(TYPE3&lt;&gt;"")+('Dvd Calendar'!$AP$1841=TYPE4)*(TYPE4&lt;&gt;"")+('Dvd Calendar'!$AP$1841=SPECIAL_LBL)*(INC_SPECIALS="Y"))=0,"",'Dvd Calendar'!$AP$1839)))</f>
        <v/>
      </c>
      <c r="AO185" s="106">
        <f>IF(FQ185="","",IF(ISNUMBER('Dvd Calendar'!$AQ$1839)=FALSE,"",IF((('Dvd Calendar'!$AQ$1841=TYPE1)*(TYPE1&lt;&gt;"")+('Dvd Calendar'!$AQ$1841=TYPE2)*(TYPE2&lt;&gt;"")+('Dvd Calendar'!$AQ$1841=TYPE3)*(TYPE3&lt;&gt;"")+('Dvd Calendar'!$AQ$1841=TYPE4)*(TYPE4&lt;&gt;"")+('Dvd Calendar'!$AQ$1841=SPECIAL_LBL)*(INC_SPECIALS="Y"))=0,"",'Dvd Calendar'!$AQ$1839)))</f>
        <v/>
      </c>
      <c r="AP185" s="106">
        <f>IF(FR185="","",IF(ISNUMBER('Dvd Calendar'!$AR$1839)=FALSE,"",IF((('Dvd Calendar'!$AR$1841=TYPE1)*(TYPE1&lt;&gt;"")+('Dvd Calendar'!$AR$1841=TYPE2)*(TYPE2&lt;&gt;"")+('Dvd Calendar'!$AR$1841=TYPE3)*(TYPE3&lt;&gt;"")+('Dvd Calendar'!$AR$1841=TYPE4)*(TYPE4&lt;&gt;"")+('Dvd Calendar'!$AR$1841=SPECIAL_LBL)*(INC_SPECIALS="Y"))=0,"",'Dvd Calendar'!$AR$1839)))</f>
        <v/>
      </c>
      <c r="AQ185" s="106">
        <f>IF(FS185="","",IF(ISNUMBER('Dvd Calendar'!$E$1844)=FALSE,"",'Dvd Calendar'!$E$1844))</f>
        <v/>
      </c>
      <c r="AR185" s="106">
        <f>IF(FT185="","",IF(ISNUMBER('Dvd Calendar'!$F$1844)=FALSE,"",'Dvd Calendar'!$F$1844))</f>
        <v/>
      </c>
      <c r="AS185" s="106">
        <f>IF(FU185="","",IF(ISNUMBER('Dvd Calendar'!$G$1844)=FALSE,"",'Dvd Calendar'!$G$1844))</f>
        <v/>
      </c>
      <c r="AT185" s="106">
        <f>IF(FV185="","",IF(ISNUMBER('Dvd Calendar'!$H$1844)=FALSE,"",'Dvd Calendar'!$H$1844))</f>
        <v/>
      </c>
      <c r="AU185" s="106">
        <f>IF(FW185="","",IF(ISNUMBER('Dvd Calendar'!$I$1844)=FALSE,"",'Dvd Calendar'!$I$1844))</f>
        <v/>
      </c>
      <c r="AV185" s="106">
        <f>IF(FX185="","",IF(ISNUMBER('Dvd Calendar'!$J$1844)=FALSE,"",'Dvd Calendar'!$J$1844))</f>
        <v/>
      </c>
      <c r="AW185" s="106">
        <f>IF(FY185="","",IF(ISNUMBER('Dvd Calendar'!$K$1844)=FALSE,"",'Dvd Calendar'!$K$1844))</f>
        <v/>
      </c>
      <c r="AX185" s="106">
        <f>IF(FZ185="","",IF(ISNUMBER('Dvd Calendar'!$L$1844)=FALSE,"",'Dvd Calendar'!$L$1844))</f>
        <v/>
      </c>
      <c r="AY185" s="106">
        <f>IF(GA185="","",IF(ISNUMBER('Dvd Calendar'!$M$1844)=FALSE,"",'Dvd Calendar'!$M$1844))</f>
        <v/>
      </c>
      <c r="AZ185" s="106">
        <f>IF(GB185="","",IF(ISNUMBER('Dvd Calendar'!$N$1844)=FALSE,"",'Dvd Calendar'!$N$1844))</f>
        <v/>
      </c>
      <c r="BA185" s="106">
        <f>IF(GC185="","",IF(ISNUMBER('Dvd Calendar'!$O$1844)=FALSE,"",'Dvd Calendar'!$O$1844))</f>
        <v/>
      </c>
      <c r="BB185" s="106">
        <f>IF(GD185="","",IF(ISNUMBER('Dvd Calendar'!$P$1844)=FALSE,"",'Dvd Calendar'!$P$1844))</f>
        <v/>
      </c>
      <c r="BC185" s="106">
        <f>IF(GE185="","",IF(ISNUMBER('Dvd Calendar'!$Q$1844)=FALSE,"",'Dvd Calendar'!$Q$1844))</f>
        <v/>
      </c>
      <c r="BD185" s="106">
        <f>IF(GF185="","",IF(ISNUMBER('Dvd Calendar'!$R$1844)=FALSE,"",'Dvd Calendar'!$R$1844))</f>
        <v/>
      </c>
      <c r="BE185" s="106">
        <f>IF(GG185="","",IF(ISNUMBER('Dvd Calendar'!$S$1844)=FALSE,"",'Dvd Calendar'!$S$1844))</f>
        <v/>
      </c>
      <c r="BF185" s="106">
        <f>IF(GH185="","",IF(ISNUMBER('Dvd Calendar'!$T$1844)=FALSE,"",'Dvd Calendar'!$T$1844))</f>
        <v/>
      </c>
      <c r="BG185" s="106">
        <f>IF(GI185="","",IF(ISNUMBER('Dvd Calendar'!$U$1844)=FALSE,"",'Dvd Calendar'!$U$1844))</f>
        <v/>
      </c>
      <c r="BH185" s="106">
        <f>IF(GJ185="","",IF(ISNUMBER('Dvd Calendar'!$V$1844)=FALSE,"",'Dvd Calendar'!$V$1844))</f>
        <v/>
      </c>
      <c r="BI185" s="106">
        <f>IF(GK185="","",IF(ISNUMBER('Dvd Calendar'!$W$1844)=FALSE,"",'Dvd Calendar'!$W$1844))</f>
        <v/>
      </c>
      <c r="BJ185" s="106">
        <f>IF(GL185="","",IF(ISNUMBER('Dvd Calendar'!$X$1844)=FALSE,"",'Dvd Calendar'!$X$1844))</f>
        <v/>
      </c>
      <c r="BK185" s="106">
        <f>IF(GM185="","",IF(ISNUMBER('Dvd Calendar'!$Y$1844)=FALSE,"",'Dvd Calendar'!$Y$1844))</f>
        <v/>
      </c>
      <c r="BL185" s="106">
        <f>IF(GN185="","",IF(ISNUMBER('Dvd Calendar'!$Z$1844)=FALSE,"",'Dvd Calendar'!$Z$1844))</f>
        <v/>
      </c>
      <c r="BM185" s="106">
        <f>IF(GO185="","",IF(ISNUMBER('Dvd Calendar'!$AA$1844)=FALSE,"",'Dvd Calendar'!$AA$1844))</f>
        <v/>
      </c>
      <c r="BN185" s="106">
        <f>IF(GP185="","",IF(ISNUMBER('Dvd Calendar'!$AB$1844)=FALSE,"",'Dvd Calendar'!$AB$1844))</f>
        <v/>
      </c>
      <c r="BO185" s="106">
        <f>IF(GQ185="","",IF(ISNUMBER('Dvd Calendar'!$AC$1844)=FALSE,"",'Dvd Calendar'!$AC$1844))</f>
        <v/>
      </c>
      <c r="BQ185" s="106">
        <f>IF(C185="","",IFERROR(C185*HSCEI!$B$32*HSCEI!$G$32/HSCEI!$B$3,""))</f>
        <v/>
      </c>
      <c r="BR185" s="106">
        <f>IF(D185="","",IFERROR(D185*HSCEI!$B$32*HSCEI!$G$32/HSCEI!$B$3,""))</f>
        <v/>
      </c>
      <c r="BS185" s="106">
        <f>IF(E185="","",IFERROR(E185*HSCEI!$B$32*HSCEI!$G$32/HSCEI!$B$3,""))</f>
        <v/>
      </c>
      <c r="BT185" s="106">
        <f>IF(F185="","",IFERROR(F185*HSCEI!$B$32*HSCEI!$G$32/HSCEI!$B$3,""))</f>
        <v/>
      </c>
      <c r="BU185" s="106">
        <f>IF(G185="","",IFERROR(G185*HSCEI!$B$32*HSCEI!$G$32/HSCEI!$B$3,""))</f>
        <v/>
      </c>
      <c r="BV185" s="106">
        <f>IF(H185="","",IFERROR(H185*HSCEI!$B$32*HSCEI!$G$32/HSCEI!$B$3,""))</f>
        <v/>
      </c>
      <c r="BW185" s="106">
        <f>IF(I185="","",IFERROR(I185*HSCEI!$B$32*HSCEI!$G$32/HSCEI!$B$3,""))</f>
        <v/>
      </c>
      <c r="BX185" s="106">
        <f>IF(J185="","",IFERROR(J185*HSCEI!$B$32*HSCEI!$G$32/HSCEI!$B$3,""))</f>
        <v/>
      </c>
      <c r="BY185" s="106">
        <f>IF(K185="","",IFERROR(K185*HSCEI!$B$32*HSCEI!$G$32/HSCEI!$B$3,""))</f>
        <v/>
      </c>
      <c r="BZ185" s="106">
        <f>IF(L185="","",IFERROR(L185*HSCEI!$B$32*HSCEI!$G$32/HSCEI!$B$3,""))</f>
        <v/>
      </c>
      <c r="CA185" s="106">
        <f>IF(M185="","",IFERROR(M185*HSCEI!$B$32*HSCEI!$G$32/HSCEI!$B$3,""))</f>
        <v/>
      </c>
      <c r="CB185" s="106">
        <f>IF(N185="","",IFERROR(N185*HSCEI!$B$32*HSCEI!$G$32/HSCEI!$B$3,""))</f>
        <v/>
      </c>
      <c r="CC185" s="106">
        <f>IF(O185="","",IFERROR(O185*HSCEI!$B$32*HSCEI!$G$32/HSCEI!$B$3,""))</f>
        <v/>
      </c>
      <c r="CD185" s="106">
        <f>IF(P185="","",IFERROR(P185*HSCEI!$B$32*HSCEI!$G$32/HSCEI!$B$3,""))</f>
        <v/>
      </c>
      <c r="CE185" s="106">
        <f>IF(Q185="","",IFERROR(Q185*HSCEI!$B$32*HSCEI!$G$32/HSCEI!$B$3,""))</f>
        <v/>
      </c>
      <c r="CF185" s="106">
        <f>IF(R185="","",IFERROR(R185*HSCEI!$B$32*HSCEI!$G$32/HSCEI!$B$3,""))</f>
        <v/>
      </c>
      <c r="CG185" s="106">
        <f>IF(S185="","",IFERROR(S185*HSCEI!$B$32*HSCEI!$G$32/HSCEI!$B$3,""))</f>
        <v/>
      </c>
      <c r="CH185" s="106">
        <f>IF(T185="","",IFERROR(T185*HSCEI!$B$32*HSCEI!$G$32/HSCEI!$B$3,""))</f>
        <v/>
      </c>
      <c r="CI185" s="106">
        <f>IF(U185="","",IFERROR(U185*HSCEI!$B$32*HSCEI!$G$32/HSCEI!$B$3,""))</f>
        <v/>
      </c>
      <c r="CJ185" s="106">
        <f>IF(V185="","",IFERROR(V185*HSCEI!$B$32*HSCEI!$G$32/HSCEI!$B$3,""))</f>
        <v/>
      </c>
      <c r="CK185" s="106">
        <f>IF(W185="","",IFERROR(W185*HSCEI!$B$32*HSCEI!$G$32/HSCEI!$B$3,""))</f>
        <v/>
      </c>
      <c r="CL185" s="106">
        <f>IF(X185="","",IFERROR(X185*HSCEI!$B$32*HSCEI!$G$32/HSCEI!$B$3,""))</f>
        <v/>
      </c>
      <c r="CM185" s="106">
        <f>IF(Y185="","",IFERROR(Y185*HSCEI!$B$32*HSCEI!$G$32/HSCEI!$B$3,""))</f>
        <v/>
      </c>
      <c r="CN185" s="106">
        <f>IF(Z185="","",IFERROR(Z185*HSCEI!$B$32*HSCEI!$G$32/HSCEI!$B$3,""))</f>
        <v/>
      </c>
      <c r="CO185" s="106">
        <f>IF(AA185="","",IFERROR(AA185*HSCEI!$B$32*HSCEI!$G$32/HSCEI!$B$3,""))</f>
        <v/>
      </c>
      <c r="CP185" s="106">
        <f>IF(AB185="","",IFERROR(AB185*HSCEI!$B$32*HSCEI!$G$32/HSCEI!$B$3,""))</f>
        <v/>
      </c>
      <c r="CQ185" s="106">
        <f>IF(AC185="","",IFERROR(AC185*HSCEI!$B$32*HSCEI!$G$32/HSCEI!$B$3,""))</f>
        <v/>
      </c>
      <c r="CR185" s="106">
        <f>IF(AD185="","",IFERROR(AD185*HSCEI!$B$32*HSCEI!$G$32/HSCEI!$B$3,""))</f>
        <v/>
      </c>
      <c r="CS185" s="106">
        <f>IF(AE185="","",IFERROR(AE185*HSCEI!$B$32*HSCEI!$G$32/HSCEI!$B$3,""))</f>
        <v/>
      </c>
      <c r="CT185" s="106">
        <f>IF(AF185="","",IFERROR(AF185*HSCEI!$B$32*HSCEI!$G$32/HSCEI!$B$3,""))</f>
        <v/>
      </c>
      <c r="CU185" s="106">
        <f>IF(AG185="","",IFERROR(AG185*HSCEI!$B$32*HSCEI!$G$32/HSCEI!$B$3,""))</f>
        <v/>
      </c>
      <c r="CV185" s="106">
        <f>IF(AH185="","",IFERROR(AH185*HSCEI!$B$32*HSCEI!$G$32/HSCEI!$B$3,""))</f>
        <v/>
      </c>
      <c r="CW185" s="106">
        <f>IF(AI185="","",IFERROR(AI185*HSCEI!$B$32*HSCEI!$G$32/HSCEI!$B$3,""))</f>
        <v/>
      </c>
      <c r="CX185" s="106">
        <f>IF(AJ185="","",IFERROR(AJ185*HSCEI!$B$32*HSCEI!$G$32/HSCEI!$B$3,""))</f>
        <v/>
      </c>
      <c r="CY185" s="106">
        <f>IF(AK185="","",IFERROR(AK185*HSCEI!$B$32*HSCEI!$G$32/HSCEI!$B$3,""))</f>
        <v/>
      </c>
      <c r="CZ185" s="106">
        <f>IF(AL185="","",IFERROR(AL185*HSCEI!$B$32*HSCEI!$G$32/HSCEI!$B$3,""))</f>
        <v/>
      </c>
      <c r="DA185" s="106">
        <f>IF(AM185="","",IFERROR(AM185*HSCEI!$B$32*HSCEI!$G$32/HSCEI!$B$3,""))</f>
        <v/>
      </c>
      <c r="DB185" s="106">
        <f>IF(AN185="","",IFERROR(AN185*HSCEI!$B$32*HSCEI!$G$32/HSCEI!$B$3,""))</f>
        <v/>
      </c>
      <c r="DC185" s="106">
        <f>IF(AO185="","",IFERROR(AO185*HSCEI!$B$32*HSCEI!$G$32/HSCEI!$B$3,""))</f>
        <v/>
      </c>
      <c r="DD185" s="106">
        <f>IF(AP185="","",IFERROR(AP185*HSCEI!$B$32*HSCEI!$G$32/HSCEI!$B$3,""))</f>
        <v/>
      </c>
      <c r="DE185" s="106">
        <f>IF(AQ185="","",IFERROR(AQ185*HSCEI!$B$32*HSCEI!$G$32/HSCEI!$B$3,""))</f>
        <v/>
      </c>
      <c r="DF185" s="106">
        <f>IF(AR185="","",IFERROR(AR185*HSCEI!$B$32*HSCEI!$G$32/HSCEI!$B$3,""))</f>
        <v/>
      </c>
      <c r="DG185" s="106">
        <f>IF(AS185="","",IFERROR(AS185*HSCEI!$B$32*HSCEI!$G$32/HSCEI!$B$3,""))</f>
        <v/>
      </c>
      <c r="DH185" s="106">
        <f>IF(AT185="","",IFERROR(AT185*HSCEI!$B$32*HSCEI!$G$32/HSCEI!$B$3,""))</f>
        <v/>
      </c>
      <c r="DI185" s="106">
        <f>IF(AU185="","",IFERROR(AU185*HSCEI!$B$32*HSCEI!$G$32/HSCEI!$B$3,""))</f>
        <v/>
      </c>
      <c r="DJ185" s="106">
        <f>IF(AV185="","",IFERROR(AV185*HSCEI!$B$32*HSCEI!$G$32/HSCEI!$B$3,""))</f>
        <v/>
      </c>
      <c r="DK185" s="106">
        <f>IF(AW185="","",IFERROR(AW185*HSCEI!$B$32*HSCEI!$G$32/HSCEI!$B$3,""))</f>
        <v/>
      </c>
      <c r="DL185" s="106">
        <f>IF(AX185="","",IFERROR(AX185*HSCEI!$B$32*HSCEI!$G$32/HSCEI!$B$3,""))</f>
        <v/>
      </c>
      <c r="DM185" s="106">
        <f>IF(AY185="","",IFERROR(AY185*HSCEI!$B$32*HSCEI!$G$32/HSCEI!$B$3,""))</f>
        <v/>
      </c>
      <c r="DN185" s="106">
        <f>IF(AZ185="","",IFERROR(AZ185*HSCEI!$B$32*HSCEI!$G$32/HSCEI!$B$3,""))</f>
        <v/>
      </c>
      <c r="DO185" s="106">
        <f>IF(BA185="","",IFERROR(BA185*HSCEI!$B$32*HSCEI!$G$32/HSCEI!$B$3,""))</f>
        <v/>
      </c>
      <c r="DP185" s="106">
        <f>IF(BB185="","",IFERROR(BB185*HSCEI!$B$32*HSCEI!$G$32/HSCEI!$B$3,""))</f>
        <v/>
      </c>
      <c r="DQ185" s="106">
        <f>IF(BC185="","",IFERROR(BC185*HSCEI!$B$32*HSCEI!$G$32/HSCEI!$B$3,""))</f>
        <v/>
      </c>
      <c r="DR185" s="106">
        <f>IF(BD185="","",IFERROR(BD185*HSCEI!$B$32*HSCEI!$G$32/HSCEI!$B$3,""))</f>
        <v/>
      </c>
      <c r="DS185" s="106">
        <f>IF(BE185="","",IFERROR(BE185*HSCEI!$B$32*HSCEI!$G$32/HSCEI!$B$3,""))</f>
        <v/>
      </c>
      <c r="DT185" s="106">
        <f>IF(BF185="","",IFERROR(BF185*HSCEI!$B$32*HSCEI!$G$32/HSCEI!$B$3,""))</f>
        <v/>
      </c>
      <c r="DU185" s="106">
        <f>IF(BG185="","",IFERROR(BG185*HSCEI!$B$32*HSCEI!$G$32/HSCEI!$B$3,""))</f>
        <v/>
      </c>
      <c r="DV185" s="106">
        <f>IF(BH185="","",IFERROR(BH185*HSCEI!$B$32*HSCEI!$G$32/HSCEI!$B$3,""))</f>
        <v/>
      </c>
      <c r="DW185" s="106">
        <f>IF(BI185="","",IFERROR(BI185*HSCEI!$B$32*HSCEI!$G$32/HSCEI!$B$3,""))</f>
        <v/>
      </c>
      <c r="DX185" s="106">
        <f>IF(BJ185="","",IFERROR(BJ185*HSCEI!$B$32*HSCEI!$G$32/HSCEI!$B$3,""))</f>
        <v/>
      </c>
      <c r="DY185" s="106">
        <f>IF(BK185="","",IFERROR(BK185*HSCEI!$B$32*HSCEI!$G$32/HSCEI!$B$3,""))</f>
        <v/>
      </c>
      <c r="DZ185" s="106">
        <f>IF(BL185="","",IFERROR(BL185*HSCEI!$B$32*HSCEI!$G$32/HSCEI!$B$3,""))</f>
        <v/>
      </c>
      <c r="EA185" s="106">
        <f>IF(BM185="","",IFERROR(BM185*HSCEI!$B$32*HSCEI!$G$32/HSCEI!$B$3,""))</f>
        <v/>
      </c>
      <c r="EB185" s="106">
        <f>IF(BN185="","",IFERROR(BN185*HSCEI!$B$32*HSCEI!$G$32/HSCEI!$B$3,""))</f>
        <v/>
      </c>
      <c r="EC185" s="106">
        <f>IF(BO185="","",IFERROR(BO185*HSCEI!$B$32*HSCEI!$G$32/HSCEI!$B$3,""))</f>
        <v/>
      </c>
      <c r="EE185" s="35">
        <f>IF(N('Dvd Calendar'!$E$1836)=0,"",IF(('Dvd Calendar'!$E$1836&gt;=GRID_FROM)*('Dvd Calendar'!$E$1836&lt;=GRID_TO)*('Dvd Calendar'!$E$1836&lt;=VAL_DATE)=0,"",'Dvd Calendar'!$E$1836*1000000000+ISNUMBER('Dvd Calendar'!$E$1839)*100000000+('Dvd Calendar'!$E$1841=SPECIAL_LBL)*10000000+0*1000000+26*1000+1))</f>
        <v/>
      </c>
      <c r="EF185" s="35">
        <f>IF(N('Dvd Calendar'!$F$1836)=0,"",IF(('Dvd Calendar'!$F$1836&gt;=GRID_FROM)*('Dvd Calendar'!$F$1836&lt;=GRID_TO)*('Dvd Calendar'!$F$1836&lt;=VAL_DATE)=0,"",'Dvd Calendar'!$F$1836*1000000000+ISNUMBER('Dvd Calendar'!$F$1839)*100000000+('Dvd Calendar'!$F$1841=SPECIAL_LBL)*10000000+0*1000000+26*1000+2))</f>
        <v/>
      </c>
      <c r="EG185" s="35">
        <f>IF(N('Dvd Calendar'!$G$1836)=0,"",IF(('Dvd Calendar'!$G$1836&gt;=GRID_FROM)*('Dvd Calendar'!$G$1836&lt;=GRID_TO)*('Dvd Calendar'!$G$1836&lt;=VAL_DATE)=0,"",'Dvd Calendar'!$G$1836*1000000000+ISNUMBER('Dvd Calendar'!$G$1839)*100000000+('Dvd Calendar'!$G$1841=SPECIAL_LBL)*10000000+0*1000000+26*1000+3))</f>
        <v/>
      </c>
      <c r="EH185" s="35">
        <f>IF(N('Dvd Calendar'!$H$1836)=0,"",IF(('Dvd Calendar'!$H$1836&gt;=GRID_FROM)*('Dvd Calendar'!$H$1836&lt;=GRID_TO)*('Dvd Calendar'!$H$1836&lt;=VAL_DATE)=0,"",'Dvd Calendar'!$H$1836*1000000000+ISNUMBER('Dvd Calendar'!$H$1839)*100000000+('Dvd Calendar'!$H$1841=SPECIAL_LBL)*10000000+0*1000000+26*1000+4))</f>
        <v/>
      </c>
      <c r="EI185" s="35">
        <f>IF(N('Dvd Calendar'!$I$1836)=0,"",IF(('Dvd Calendar'!$I$1836&gt;=GRID_FROM)*('Dvd Calendar'!$I$1836&lt;=GRID_TO)*('Dvd Calendar'!$I$1836&lt;=VAL_DATE)=0,"",'Dvd Calendar'!$I$1836*1000000000+ISNUMBER('Dvd Calendar'!$I$1839)*100000000+('Dvd Calendar'!$I$1841=SPECIAL_LBL)*10000000+0*1000000+26*1000+5))</f>
        <v/>
      </c>
      <c r="EJ185" s="35">
        <f>IF(N('Dvd Calendar'!$J$1836)=0,"",IF(('Dvd Calendar'!$J$1836&gt;=GRID_FROM)*('Dvd Calendar'!$J$1836&lt;=GRID_TO)*('Dvd Calendar'!$J$1836&lt;=VAL_DATE)=0,"",'Dvd Calendar'!$J$1836*1000000000+ISNUMBER('Dvd Calendar'!$J$1839)*100000000+('Dvd Calendar'!$J$1841=SPECIAL_LBL)*10000000+0*1000000+26*1000+6))</f>
        <v/>
      </c>
      <c r="EK185" s="35">
        <f>IF(N('Dvd Calendar'!$K$1836)=0,"",IF(('Dvd Calendar'!$K$1836&gt;=GRID_FROM)*('Dvd Calendar'!$K$1836&lt;=GRID_TO)*('Dvd Calendar'!$K$1836&lt;=VAL_DATE)=0,"",'Dvd Calendar'!$K$1836*1000000000+ISNUMBER('Dvd Calendar'!$K$1839)*100000000+('Dvd Calendar'!$K$1841=SPECIAL_LBL)*10000000+0*1000000+26*1000+7))</f>
        <v/>
      </c>
      <c r="EL185" s="35">
        <f>IF(N('Dvd Calendar'!$L$1836)=0,"",IF(('Dvd Calendar'!$L$1836&gt;=GRID_FROM)*('Dvd Calendar'!$L$1836&lt;=GRID_TO)*('Dvd Calendar'!$L$1836&lt;=VAL_DATE)=0,"",'Dvd Calendar'!$L$1836*1000000000+ISNUMBER('Dvd Calendar'!$L$1839)*100000000+('Dvd Calendar'!$L$1841=SPECIAL_LBL)*10000000+0*1000000+26*1000+8))</f>
        <v/>
      </c>
      <c r="EM185" s="35">
        <f>IF(N('Dvd Calendar'!$M$1836)=0,"",IF(('Dvd Calendar'!$M$1836&gt;=GRID_FROM)*('Dvd Calendar'!$M$1836&lt;=GRID_TO)*('Dvd Calendar'!$M$1836&lt;=VAL_DATE)=0,"",'Dvd Calendar'!$M$1836*1000000000+ISNUMBER('Dvd Calendar'!$M$1839)*100000000+('Dvd Calendar'!$M$1841=SPECIAL_LBL)*10000000+0*1000000+26*1000+9))</f>
        <v/>
      </c>
      <c r="EN185" s="35">
        <f>IF(N('Dvd Calendar'!$N$1836)=0,"",IF(('Dvd Calendar'!$N$1836&gt;=GRID_FROM)*('Dvd Calendar'!$N$1836&lt;=GRID_TO)*('Dvd Calendar'!$N$1836&lt;=VAL_DATE)=0,"",'Dvd Calendar'!$N$1836*1000000000+ISNUMBER('Dvd Calendar'!$N$1839)*100000000+('Dvd Calendar'!$N$1841=SPECIAL_LBL)*10000000+0*1000000+26*1000+10))</f>
        <v/>
      </c>
      <c r="EO185" s="35">
        <f>IF(N('Dvd Calendar'!$O$1836)=0,"",IF(('Dvd Calendar'!$O$1836&gt;=GRID_FROM)*('Dvd Calendar'!$O$1836&lt;=GRID_TO)*('Dvd Calendar'!$O$1836&lt;=VAL_DATE)=0,"",'Dvd Calendar'!$O$1836*1000000000+ISNUMBER('Dvd Calendar'!$O$1839)*100000000+('Dvd Calendar'!$O$1841=SPECIAL_LBL)*10000000+0*1000000+26*1000+11))</f>
        <v/>
      </c>
      <c r="EP185" s="35">
        <f>IF(N('Dvd Calendar'!$P$1836)=0,"",IF(('Dvd Calendar'!$P$1836&gt;=GRID_FROM)*('Dvd Calendar'!$P$1836&lt;=GRID_TO)*('Dvd Calendar'!$P$1836&lt;=VAL_DATE)=0,"",'Dvd Calendar'!$P$1836*1000000000+ISNUMBER('Dvd Calendar'!$P$1839)*100000000+('Dvd Calendar'!$P$1841=SPECIAL_LBL)*10000000+0*1000000+26*1000+12))</f>
        <v/>
      </c>
      <c r="EQ185" s="35">
        <f>IF(N('Dvd Calendar'!$Q$1836)=0,"",IF(('Dvd Calendar'!$Q$1836&gt;=GRID_FROM)*('Dvd Calendar'!$Q$1836&lt;=GRID_TO)*('Dvd Calendar'!$Q$1836&lt;=VAL_DATE)=0,"",'Dvd Calendar'!$Q$1836*1000000000+ISNUMBER('Dvd Calendar'!$Q$1839)*100000000+('Dvd Calendar'!$Q$1841=SPECIAL_LBL)*10000000+0*1000000+26*1000+13))</f>
        <v/>
      </c>
      <c r="ER185" s="35">
        <f>IF(N('Dvd Calendar'!$R$1836)=0,"",IF(('Dvd Calendar'!$R$1836&gt;=GRID_FROM)*('Dvd Calendar'!$R$1836&lt;=GRID_TO)*('Dvd Calendar'!$R$1836&lt;=VAL_DATE)=0,"",'Dvd Calendar'!$R$1836*1000000000+ISNUMBER('Dvd Calendar'!$R$1839)*100000000+('Dvd Calendar'!$R$1841=SPECIAL_LBL)*10000000+0*1000000+26*1000+14))</f>
        <v/>
      </c>
      <c r="ES185" s="35">
        <f>IF(N('Dvd Calendar'!$S$1836)=0,"",IF(('Dvd Calendar'!$S$1836&gt;=GRID_FROM)*('Dvd Calendar'!$S$1836&lt;=GRID_TO)*('Dvd Calendar'!$S$1836&lt;=VAL_DATE)=0,"",'Dvd Calendar'!$S$1836*1000000000+ISNUMBER('Dvd Calendar'!$S$1839)*100000000+('Dvd Calendar'!$S$1841=SPECIAL_LBL)*10000000+0*1000000+26*1000+15))</f>
        <v/>
      </c>
      <c r="ET185" s="35">
        <f>IF(N('Dvd Calendar'!$T$1836)=0,"",IF(('Dvd Calendar'!$T$1836&gt;=GRID_FROM)*('Dvd Calendar'!$T$1836&lt;=GRID_TO)*('Dvd Calendar'!$T$1836&lt;=VAL_DATE)=0,"",'Dvd Calendar'!$T$1836*1000000000+ISNUMBER('Dvd Calendar'!$T$1839)*100000000+('Dvd Calendar'!$T$1841=SPECIAL_LBL)*10000000+0*1000000+26*1000+16))</f>
        <v/>
      </c>
      <c r="EU185" s="35">
        <f>IF(N('Dvd Calendar'!$U$1836)=0,"",IF(('Dvd Calendar'!$U$1836&gt;=GRID_FROM)*('Dvd Calendar'!$U$1836&lt;=GRID_TO)*('Dvd Calendar'!$U$1836&lt;=VAL_DATE)=0,"",'Dvd Calendar'!$U$1836*1000000000+ISNUMBER('Dvd Calendar'!$U$1839)*100000000+('Dvd Calendar'!$U$1841=SPECIAL_LBL)*10000000+0*1000000+26*1000+17))</f>
        <v/>
      </c>
      <c r="EV185" s="35">
        <f>IF(N('Dvd Calendar'!$V$1836)=0,"",IF(('Dvd Calendar'!$V$1836&gt;=GRID_FROM)*('Dvd Calendar'!$V$1836&lt;=GRID_TO)*('Dvd Calendar'!$V$1836&lt;=VAL_DATE)=0,"",'Dvd Calendar'!$V$1836*1000000000+ISNUMBER('Dvd Calendar'!$V$1839)*100000000+('Dvd Calendar'!$V$1841=SPECIAL_LBL)*10000000+0*1000000+26*1000+18))</f>
        <v/>
      </c>
      <c r="EW185" s="35">
        <f>IF(N('Dvd Calendar'!$W$1836)=0,"",IF(('Dvd Calendar'!$W$1836&gt;=GRID_FROM)*('Dvd Calendar'!$W$1836&lt;=GRID_TO)*('Dvd Calendar'!$W$1836&lt;=VAL_DATE)=0,"",'Dvd Calendar'!$W$1836*1000000000+ISNUMBER('Dvd Calendar'!$W$1839)*100000000+('Dvd Calendar'!$W$1841=SPECIAL_LBL)*10000000+0*1000000+26*1000+19))</f>
        <v/>
      </c>
      <c r="EX185" s="35">
        <f>IF(N('Dvd Calendar'!$X$1836)=0,"",IF(('Dvd Calendar'!$X$1836&gt;=GRID_FROM)*('Dvd Calendar'!$X$1836&lt;=GRID_TO)*('Dvd Calendar'!$X$1836&lt;=VAL_DATE)=0,"",'Dvd Calendar'!$X$1836*1000000000+ISNUMBER('Dvd Calendar'!$X$1839)*100000000+('Dvd Calendar'!$X$1841=SPECIAL_LBL)*10000000+0*1000000+26*1000+20))</f>
        <v/>
      </c>
      <c r="EY185" s="35">
        <f>IF(N('Dvd Calendar'!$Y$1836)=0,"",IF(('Dvd Calendar'!$Y$1836&gt;=GRID_FROM)*('Dvd Calendar'!$Y$1836&lt;=GRID_TO)*('Dvd Calendar'!$Y$1836&lt;=VAL_DATE)=0,"",'Dvd Calendar'!$Y$1836*1000000000+ISNUMBER('Dvd Calendar'!$Y$1839)*100000000+('Dvd Calendar'!$Y$1841=SPECIAL_LBL)*10000000+0*1000000+26*1000+21))</f>
        <v/>
      </c>
      <c r="EZ185" s="35">
        <f>IF(N('Dvd Calendar'!$Z$1836)=0,"",IF(('Dvd Calendar'!$Z$1836&gt;=GRID_FROM)*('Dvd Calendar'!$Z$1836&lt;=GRID_TO)*('Dvd Calendar'!$Z$1836&lt;=VAL_DATE)=0,"",'Dvd Calendar'!$Z$1836*1000000000+ISNUMBER('Dvd Calendar'!$Z$1839)*100000000+('Dvd Calendar'!$Z$1841=SPECIAL_LBL)*10000000+0*1000000+26*1000+22))</f>
        <v/>
      </c>
      <c r="FA185" s="35">
        <f>IF(N('Dvd Calendar'!$AA$1836)=0,"",IF(('Dvd Calendar'!$AA$1836&gt;=GRID_FROM)*('Dvd Calendar'!$AA$1836&lt;=GRID_TO)*('Dvd Calendar'!$AA$1836&lt;=VAL_DATE)=0,"",'Dvd Calendar'!$AA$1836*1000000000+ISNUMBER('Dvd Calendar'!$AA$1839)*100000000+('Dvd Calendar'!$AA$1841=SPECIAL_LBL)*10000000+0*1000000+26*1000+23))</f>
        <v/>
      </c>
      <c r="FB185" s="35">
        <f>IF(N('Dvd Calendar'!$AB$1836)=0,"",IF(('Dvd Calendar'!$AB$1836&gt;=GRID_FROM)*('Dvd Calendar'!$AB$1836&lt;=GRID_TO)*('Dvd Calendar'!$AB$1836&lt;=VAL_DATE)=0,"",'Dvd Calendar'!$AB$1836*1000000000+ISNUMBER('Dvd Calendar'!$AB$1839)*100000000+('Dvd Calendar'!$AB$1841=SPECIAL_LBL)*10000000+0*1000000+26*1000+24))</f>
        <v/>
      </c>
      <c r="FC185" s="35">
        <f>IF(N('Dvd Calendar'!$AC$1836)=0,"",IF(('Dvd Calendar'!$AC$1836&gt;=GRID_FROM)*('Dvd Calendar'!$AC$1836&lt;=GRID_TO)*('Dvd Calendar'!$AC$1836&lt;=VAL_DATE)=0,"",'Dvd Calendar'!$AC$1836*1000000000+ISNUMBER('Dvd Calendar'!$AC$1839)*100000000+('Dvd Calendar'!$AC$1841=SPECIAL_LBL)*10000000+0*1000000+26*1000+25))</f>
        <v/>
      </c>
      <c r="FD185" s="35">
        <f>IF(N('Dvd Calendar'!$AD$1836)=0,"",IF(('Dvd Calendar'!$AD$1836&gt;=GRID_FROM)*('Dvd Calendar'!$AD$1836&lt;=GRID_TO)*('Dvd Calendar'!$AD$1836&lt;=VAL_DATE)=0,"",'Dvd Calendar'!$AD$1836*1000000000+ISNUMBER('Dvd Calendar'!$AD$1839)*100000000+('Dvd Calendar'!$AD$1841=SPECIAL_LBL)*10000000+0*1000000+26*1000+26))</f>
        <v/>
      </c>
      <c r="FE185" s="35">
        <f>IF(N('Dvd Calendar'!$AE$1836)=0,"",IF(('Dvd Calendar'!$AE$1836&gt;=GRID_FROM)*('Dvd Calendar'!$AE$1836&lt;=GRID_TO)*('Dvd Calendar'!$AE$1836&lt;=VAL_DATE)=0,"",'Dvd Calendar'!$AE$1836*1000000000+ISNUMBER('Dvd Calendar'!$AE$1839)*100000000+('Dvd Calendar'!$AE$1841=SPECIAL_LBL)*10000000+0*1000000+26*1000+27))</f>
        <v/>
      </c>
      <c r="FF185" s="35">
        <f>IF(N('Dvd Calendar'!$AF$1836)=0,"",IF(('Dvd Calendar'!$AF$1836&gt;=GRID_FROM)*('Dvd Calendar'!$AF$1836&lt;=GRID_TO)*('Dvd Calendar'!$AF$1836&lt;=VAL_DATE)=0,"",'Dvd Calendar'!$AF$1836*1000000000+ISNUMBER('Dvd Calendar'!$AF$1839)*100000000+('Dvd Calendar'!$AF$1841=SPECIAL_LBL)*10000000+0*1000000+26*1000+28))</f>
        <v/>
      </c>
      <c r="FG185" s="35">
        <f>IF(N('Dvd Calendar'!$AG$1836)=0,"",IF(('Dvd Calendar'!$AG$1836&gt;=GRID_FROM)*('Dvd Calendar'!$AG$1836&lt;=GRID_TO)*('Dvd Calendar'!$AG$1836&lt;=VAL_DATE)=0,"",'Dvd Calendar'!$AG$1836*1000000000+ISNUMBER('Dvd Calendar'!$AG$1839)*100000000+('Dvd Calendar'!$AG$1841=SPECIAL_LBL)*10000000+0*1000000+26*1000+29))</f>
        <v/>
      </c>
      <c r="FH185" s="35">
        <f>IF(N('Dvd Calendar'!$AH$1836)=0,"",IF(('Dvd Calendar'!$AH$1836&gt;=GRID_FROM)*('Dvd Calendar'!$AH$1836&lt;=GRID_TO)*('Dvd Calendar'!$AH$1836&lt;=VAL_DATE)=0,"",'Dvd Calendar'!$AH$1836*1000000000+ISNUMBER('Dvd Calendar'!$AH$1839)*100000000+('Dvd Calendar'!$AH$1841=SPECIAL_LBL)*10000000+0*1000000+26*1000+30))</f>
        <v/>
      </c>
      <c r="FI185" s="35">
        <f>IF(N('Dvd Calendar'!$AI$1836)=0,"",IF(('Dvd Calendar'!$AI$1836&gt;=GRID_FROM)*('Dvd Calendar'!$AI$1836&lt;=GRID_TO)*('Dvd Calendar'!$AI$1836&lt;=VAL_DATE)=0,"",'Dvd Calendar'!$AI$1836*1000000000+ISNUMBER('Dvd Calendar'!$AI$1839)*100000000+('Dvd Calendar'!$AI$1841=SPECIAL_LBL)*10000000+0*1000000+26*1000+31))</f>
        <v/>
      </c>
      <c r="FJ185" s="35">
        <f>IF(N('Dvd Calendar'!$AJ$1836)=0,"",IF(('Dvd Calendar'!$AJ$1836&gt;=GRID_FROM)*('Dvd Calendar'!$AJ$1836&lt;=GRID_TO)*('Dvd Calendar'!$AJ$1836&lt;=VAL_DATE)=0,"",'Dvd Calendar'!$AJ$1836*1000000000+ISNUMBER('Dvd Calendar'!$AJ$1839)*100000000+('Dvd Calendar'!$AJ$1841=SPECIAL_LBL)*10000000+0*1000000+26*1000+32))</f>
        <v/>
      </c>
      <c r="FK185" s="35">
        <f>IF(N('Dvd Calendar'!$AK$1836)=0,"",IF(('Dvd Calendar'!$AK$1836&gt;=GRID_FROM)*('Dvd Calendar'!$AK$1836&lt;=GRID_TO)*('Dvd Calendar'!$AK$1836&lt;=VAL_DATE)=0,"",'Dvd Calendar'!$AK$1836*1000000000+ISNUMBER('Dvd Calendar'!$AK$1839)*100000000+('Dvd Calendar'!$AK$1841=SPECIAL_LBL)*10000000+0*1000000+26*1000+33))</f>
        <v/>
      </c>
      <c r="FL185" s="35">
        <f>IF(N('Dvd Calendar'!$AL$1836)=0,"",IF(('Dvd Calendar'!$AL$1836&gt;=GRID_FROM)*('Dvd Calendar'!$AL$1836&lt;=GRID_TO)*('Dvd Calendar'!$AL$1836&lt;=VAL_DATE)=0,"",'Dvd Calendar'!$AL$1836*1000000000+ISNUMBER('Dvd Calendar'!$AL$1839)*100000000+('Dvd Calendar'!$AL$1841=SPECIAL_LBL)*10000000+0*1000000+26*1000+34))</f>
        <v/>
      </c>
      <c r="FM185" s="35">
        <f>IF(N('Dvd Calendar'!$AM$1836)=0,"",IF(('Dvd Calendar'!$AM$1836&gt;=GRID_FROM)*('Dvd Calendar'!$AM$1836&lt;=GRID_TO)*('Dvd Calendar'!$AM$1836&lt;=VAL_DATE)=0,"",'Dvd Calendar'!$AM$1836*1000000000+ISNUMBER('Dvd Calendar'!$AM$1839)*100000000+('Dvd Calendar'!$AM$1841=SPECIAL_LBL)*10000000+0*1000000+26*1000+35))</f>
        <v/>
      </c>
      <c r="FN185" s="35">
        <f>IF(N('Dvd Calendar'!$AN$1836)=0,"",IF(('Dvd Calendar'!$AN$1836&gt;=GRID_FROM)*('Dvd Calendar'!$AN$1836&lt;=GRID_TO)*('Dvd Calendar'!$AN$1836&lt;=VAL_DATE)=0,"",'Dvd Calendar'!$AN$1836*1000000000+ISNUMBER('Dvd Calendar'!$AN$1839)*100000000+('Dvd Calendar'!$AN$1841=SPECIAL_LBL)*10000000+0*1000000+26*1000+36))</f>
        <v/>
      </c>
      <c r="FO185" s="35">
        <f>IF(N('Dvd Calendar'!$AO$1836)=0,"",IF(('Dvd Calendar'!$AO$1836&gt;=GRID_FROM)*('Dvd Calendar'!$AO$1836&lt;=GRID_TO)*('Dvd Calendar'!$AO$1836&lt;=VAL_DATE)=0,"",'Dvd Calendar'!$AO$1836*1000000000+ISNUMBER('Dvd Calendar'!$AO$1839)*100000000+('Dvd Calendar'!$AO$1841=SPECIAL_LBL)*10000000+0*1000000+26*1000+37))</f>
        <v/>
      </c>
      <c r="FP185" s="35">
        <f>IF(N('Dvd Calendar'!$AP$1836)=0,"",IF(('Dvd Calendar'!$AP$1836&gt;=GRID_FROM)*('Dvd Calendar'!$AP$1836&lt;=GRID_TO)*('Dvd Calendar'!$AP$1836&lt;=VAL_DATE)=0,"",'Dvd Calendar'!$AP$1836*1000000000+ISNUMBER('Dvd Calendar'!$AP$1839)*100000000+('Dvd Calendar'!$AP$1841=SPECIAL_LBL)*10000000+0*1000000+26*1000+38))</f>
        <v/>
      </c>
      <c r="FQ185" s="35">
        <f>IF(N('Dvd Calendar'!$AQ$1836)=0,"",IF(('Dvd Calendar'!$AQ$1836&gt;=GRID_FROM)*('Dvd Calendar'!$AQ$1836&lt;=GRID_TO)*('Dvd Calendar'!$AQ$1836&lt;=VAL_DATE)=0,"",'Dvd Calendar'!$AQ$1836*1000000000+ISNUMBER('Dvd Calendar'!$AQ$1839)*100000000+('Dvd Calendar'!$AQ$1841=SPECIAL_LBL)*10000000+0*1000000+26*1000+39))</f>
        <v/>
      </c>
      <c r="FR185" s="35">
        <f>IF(N('Dvd Calendar'!$AR$1836)=0,"",IF(('Dvd Calendar'!$AR$1836&gt;=GRID_FROM)*('Dvd Calendar'!$AR$1836&lt;=GRID_TO)*('Dvd Calendar'!$AR$1836&lt;=VAL_DATE)=0,"",'Dvd Calendar'!$AR$1836*1000000000+ISNUMBER('Dvd Calendar'!$AR$1839)*100000000+('Dvd Calendar'!$AR$1841=SPECIAL_LBL)*10000000+0*1000000+26*1000+40))</f>
        <v/>
      </c>
      <c r="FS185" s="35">
        <f>IF(N('Dvd Calendar'!$E$1843)=0,"",IF(('Dvd Calendar'!$E$1843&gt;=GRID_FROM)*('Dvd Calendar'!$E$1843&lt;=GRID_TO)*('Dvd Calendar'!$E$1843&gt;VAL_DATE)=0,"",'Dvd Calendar'!$E$1843*1000000000+ISNUMBER('Dvd Calendar'!$E$1844)*100000000+0*10000000+(N('Dvd Calendar'!$E$1842)&gt;0)*(N('Dvd Calendar'!$E$1842)&lt;=VAL_SERIAL)*1000000+26*1000+41))</f>
        <v/>
      </c>
      <c r="FT185" s="35">
        <f>IF(N('Dvd Calendar'!$F$1843)=0,"",IF(('Dvd Calendar'!$F$1843&gt;=GRID_FROM)*('Dvd Calendar'!$F$1843&lt;=GRID_TO)*('Dvd Calendar'!$F$1843&gt;VAL_DATE)=0,"",'Dvd Calendar'!$F$1843*1000000000+ISNUMBER('Dvd Calendar'!$F$1844)*100000000+0*10000000+(N('Dvd Calendar'!$F$1842)&gt;0)*(N('Dvd Calendar'!$F$1842)&lt;=VAL_SERIAL)*1000000+26*1000+42))</f>
        <v/>
      </c>
      <c r="FU185" s="35">
        <f>IF(N('Dvd Calendar'!$G$1843)=0,"",IF(('Dvd Calendar'!$G$1843&gt;=GRID_FROM)*('Dvd Calendar'!$G$1843&lt;=GRID_TO)*('Dvd Calendar'!$G$1843&gt;VAL_DATE)=0,"",'Dvd Calendar'!$G$1843*1000000000+ISNUMBER('Dvd Calendar'!$G$1844)*100000000+0*10000000+(N('Dvd Calendar'!$G$1842)&gt;0)*(N('Dvd Calendar'!$G$1842)&lt;=VAL_SERIAL)*1000000+26*1000+43))</f>
        <v/>
      </c>
      <c r="FV185" s="35">
        <f>IF(N('Dvd Calendar'!$H$1843)=0,"",IF(('Dvd Calendar'!$H$1843&gt;=GRID_FROM)*('Dvd Calendar'!$H$1843&lt;=GRID_TO)*('Dvd Calendar'!$H$1843&gt;VAL_DATE)=0,"",'Dvd Calendar'!$H$1843*1000000000+ISNUMBER('Dvd Calendar'!$H$1844)*100000000+0*10000000+(N('Dvd Calendar'!$H$1842)&gt;0)*(N('Dvd Calendar'!$H$1842)&lt;=VAL_SERIAL)*1000000+26*1000+44))</f>
        <v/>
      </c>
      <c r="FW185" s="35">
        <f>IF(N('Dvd Calendar'!$I$1843)=0,"",IF(('Dvd Calendar'!$I$1843&gt;=GRID_FROM)*('Dvd Calendar'!$I$1843&lt;=GRID_TO)*('Dvd Calendar'!$I$1843&gt;VAL_DATE)=0,"",'Dvd Calendar'!$I$1843*1000000000+ISNUMBER('Dvd Calendar'!$I$1844)*100000000+0*10000000+(N('Dvd Calendar'!$I$1842)&gt;0)*(N('Dvd Calendar'!$I$1842)&lt;=VAL_SERIAL)*1000000+26*1000+45))</f>
        <v/>
      </c>
      <c r="FX185" s="35">
        <f>IF(N('Dvd Calendar'!$J$1843)=0,"",IF(('Dvd Calendar'!$J$1843&gt;=GRID_FROM)*('Dvd Calendar'!$J$1843&lt;=GRID_TO)*('Dvd Calendar'!$J$1843&gt;VAL_DATE)=0,"",'Dvd Calendar'!$J$1843*1000000000+ISNUMBER('Dvd Calendar'!$J$1844)*100000000+0*10000000+(N('Dvd Calendar'!$J$1842)&gt;0)*(N('Dvd Calendar'!$J$1842)&lt;=VAL_SERIAL)*1000000+26*1000+46))</f>
        <v/>
      </c>
      <c r="FY185" s="35">
        <f>IF(N('Dvd Calendar'!$K$1843)=0,"",IF(('Dvd Calendar'!$K$1843&gt;=GRID_FROM)*('Dvd Calendar'!$K$1843&lt;=GRID_TO)*('Dvd Calendar'!$K$1843&gt;VAL_DATE)=0,"",'Dvd Calendar'!$K$1843*1000000000+ISNUMBER('Dvd Calendar'!$K$1844)*100000000+0*10000000+(N('Dvd Calendar'!$K$1842)&gt;0)*(N('Dvd Calendar'!$K$1842)&lt;=VAL_SERIAL)*1000000+26*1000+47))</f>
        <v/>
      </c>
      <c r="FZ185" s="35">
        <f>IF(N('Dvd Calendar'!$L$1843)=0,"",IF(('Dvd Calendar'!$L$1843&gt;=GRID_FROM)*('Dvd Calendar'!$L$1843&lt;=GRID_TO)*('Dvd Calendar'!$L$1843&gt;VAL_DATE)=0,"",'Dvd Calendar'!$L$1843*1000000000+ISNUMBER('Dvd Calendar'!$L$1844)*100000000+0*10000000+(N('Dvd Calendar'!$L$1842)&gt;0)*(N('Dvd Calendar'!$L$1842)&lt;=VAL_SERIAL)*1000000+26*1000+48))</f>
        <v/>
      </c>
      <c r="GA185" s="35">
        <f>IF(N('Dvd Calendar'!$M$1843)=0,"",IF(('Dvd Calendar'!$M$1843&gt;=GRID_FROM)*('Dvd Calendar'!$M$1843&lt;=GRID_TO)*('Dvd Calendar'!$M$1843&gt;VAL_DATE)=0,"",'Dvd Calendar'!$M$1843*1000000000+ISNUMBER('Dvd Calendar'!$M$1844)*100000000+0*10000000+(N('Dvd Calendar'!$M$1842)&gt;0)*(N('Dvd Calendar'!$M$1842)&lt;=VAL_SERIAL)*1000000+26*1000+49))</f>
        <v/>
      </c>
      <c r="GB185" s="35">
        <f>IF(N('Dvd Calendar'!$N$1843)=0,"",IF(('Dvd Calendar'!$N$1843&gt;=GRID_FROM)*('Dvd Calendar'!$N$1843&lt;=GRID_TO)*('Dvd Calendar'!$N$1843&gt;VAL_DATE)=0,"",'Dvd Calendar'!$N$1843*1000000000+ISNUMBER('Dvd Calendar'!$N$1844)*100000000+0*10000000+(N('Dvd Calendar'!$N$1842)&gt;0)*(N('Dvd Calendar'!$N$1842)&lt;=VAL_SERIAL)*1000000+26*1000+50))</f>
        <v/>
      </c>
      <c r="GC185" s="35">
        <f>IF(N('Dvd Calendar'!$O$1843)=0,"",IF(('Dvd Calendar'!$O$1843&gt;=GRID_FROM)*('Dvd Calendar'!$O$1843&lt;=GRID_TO)*('Dvd Calendar'!$O$1843&gt;VAL_DATE)=0,"",'Dvd Calendar'!$O$1843*1000000000+ISNUMBER('Dvd Calendar'!$O$1844)*100000000+0*10000000+(N('Dvd Calendar'!$O$1842)&gt;0)*(N('Dvd Calendar'!$O$1842)&lt;=VAL_SERIAL)*1000000+26*1000+51))</f>
        <v/>
      </c>
      <c r="GD185" s="35">
        <f>IF(N('Dvd Calendar'!$P$1843)=0,"",IF(('Dvd Calendar'!$P$1843&gt;=GRID_FROM)*('Dvd Calendar'!$P$1843&lt;=GRID_TO)*('Dvd Calendar'!$P$1843&gt;VAL_DATE)=0,"",'Dvd Calendar'!$P$1843*1000000000+ISNUMBER('Dvd Calendar'!$P$1844)*100000000+0*10000000+(N('Dvd Calendar'!$P$1842)&gt;0)*(N('Dvd Calendar'!$P$1842)&lt;=VAL_SERIAL)*1000000+26*1000+52))</f>
        <v/>
      </c>
      <c r="GE185" s="35">
        <f>IF(N('Dvd Calendar'!$Q$1843)=0,"",IF(('Dvd Calendar'!$Q$1843&gt;=GRID_FROM)*('Dvd Calendar'!$Q$1843&lt;=GRID_TO)*('Dvd Calendar'!$Q$1843&gt;VAL_DATE)=0,"",'Dvd Calendar'!$Q$1843*1000000000+ISNUMBER('Dvd Calendar'!$Q$1844)*100000000+0*10000000+(N('Dvd Calendar'!$Q$1842)&gt;0)*(N('Dvd Calendar'!$Q$1842)&lt;=VAL_SERIAL)*1000000+26*1000+53))</f>
        <v/>
      </c>
      <c r="GF185" s="35">
        <f>IF(N('Dvd Calendar'!$R$1843)=0,"",IF(('Dvd Calendar'!$R$1843&gt;=GRID_FROM)*('Dvd Calendar'!$R$1843&lt;=GRID_TO)*('Dvd Calendar'!$R$1843&gt;VAL_DATE)=0,"",'Dvd Calendar'!$R$1843*1000000000+ISNUMBER('Dvd Calendar'!$R$1844)*100000000+0*10000000+(N('Dvd Calendar'!$R$1842)&gt;0)*(N('Dvd Calendar'!$R$1842)&lt;=VAL_SERIAL)*1000000+26*1000+54))</f>
        <v/>
      </c>
      <c r="GG185" s="35">
        <f>IF(N('Dvd Calendar'!$S$1843)=0,"",IF(('Dvd Calendar'!$S$1843&gt;=GRID_FROM)*('Dvd Calendar'!$S$1843&lt;=GRID_TO)*('Dvd Calendar'!$S$1843&gt;VAL_DATE)=0,"",'Dvd Calendar'!$S$1843*1000000000+ISNUMBER('Dvd Calendar'!$S$1844)*100000000+0*10000000+(N('Dvd Calendar'!$S$1842)&gt;0)*(N('Dvd Calendar'!$S$1842)&lt;=VAL_SERIAL)*1000000+26*1000+55))</f>
        <v/>
      </c>
      <c r="GH185" s="35">
        <f>IF(N('Dvd Calendar'!$T$1843)=0,"",IF(('Dvd Calendar'!$T$1843&gt;=GRID_FROM)*('Dvd Calendar'!$T$1843&lt;=GRID_TO)*('Dvd Calendar'!$T$1843&gt;VAL_DATE)=0,"",'Dvd Calendar'!$T$1843*1000000000+ISNUMBER('Dvd Calendar'!$T$1844)*100000000+0*10000000+(N('Dvd Calendar'!$T$1842)&gt;0)*(N('Dvd Calendar'!$T$1842)&lt;=VAL_SERIAL)*1000000+26*1000+56))</f>
        <v/>
      </c>
      <c r="GI185" s="35">
        <f>IF(N('Dvd Calendar'!$U$1843)=0,"",IF(('Dvd Calendar'!$U$1843&gt;=GRID_FROM)*('Dvd Calendar'!$U$1843&lt;=GRID_TO)*('Dvd Calendar'!$U$1843&gt;VAL_DATE)=0,"",'Dvd Calendar'!$U$1843*1000000000+ISNUMBER('Dvd Calendar'!$U$1844)*100000000+0*10000000+(N('Dvd Calendar'!$U$1842)&gt;0)*(N('Dvd Calendar'!$U$1842)&lt;=VAL_SERIAL)*1000000+26*1000+57))</f>
        <v/>
      </c>
      <c r="GJ185" s="35">
        <f>IF(N('Dvd Calendar'!$V$1843)=0,"",IF(('Dvd Calendar'!$V$1843&gt;=GRID_FROM)*('Dvd Calendar'!$V$1843&lt;=GRID_TO)*('Dvd Calendar'!$V$1843&gt;VAL_DATE)=0,"",'Dvd Calendar'!$V$1843*1000000000+ISNUMBER('Dvd Calendar'!$V$1844)*100000000+0*10000000+(N('Dvd Calendar'!$V$1842)&gt;0)*(N('Dvd Calendar'!$V$1842)&lt;=VAL_SERIAL)*1000000+26*1000+58))</f>
        <v/>
      </c>
      <c r="GK185" s="35">
        <f>IF(N('Dvd Calendar'!$W$1843)=0,"",IF(('Dvd Calendar'!$W$1843&gt;=GRID_FROM)*('Dvd Calendar'!$W$1843&lt;=GRID_TO)*('Dvd Calendar'!$W$1843&gt;VAL_DATE)=0,"",'Dvd Calendar'!$W$1843*1000000000+ISNUMBER('Dvd Calendar'!$W$1844)*100000000+0*10000000+(N('Dvd Calendar'!$W$1842)&gt;0)*(N('Dvd Calendar'!$W$1842)&lt;=VAL_SERIAL)*1000000+26*1000+59))</f>
        <v/>
      </c>
      <c r="GL185" s="35">
        <f>IF(N('Dvd Calendar'!$X$1843)=0,"",IF(('Dvd Calendar'!$X$1843&gt;=GRID_FROM)*('Dvd Calendar'!$X$1843&lt;=GRID_TO)*('Dvd Calendar'!$X$1843&gt;VAL_DATE)=0,"",'Dvd Calendar'!$X$1843*1000000000+ISNUMBER('Dvd Calendar'!$X$1844)*100000000+0*10000000+(N('Dvd Calendar'!$X$1842)&gt;0)*(N('Dvd Calendar'!$X$1842)&lt;=VAL_SERIAL)*1000000+26*1000+60))</f>
        <v/>
      </c>
      <c r="GM185" s="35">
        <f>IF(N('Dvd Calendar'!$Y$1843)=0,"",IF(('Dvd Calendar'!$Y$1843&gt;=GRID_FROM)*('Dvd Calendar'!$Y$1843&lt;=GRID_TO)*('Dvd Calendar'!$Y$1843&gt;VAL_DATE)=0,"",'Dvd Calendar'!$Y$1843*1000000000+ISNUMBER('Dvd Calendar'!$Y$1844)*100000000+0*10000000+(N('Dvd Calendar'!$Y$1842)&gt;0)*(N('Dvd Calendar'!$Y$1842)&lt;=VAL_SERIAL)*1000000+26*1000+61))</f>
        <v/>
      </c>
      <c r="GN185" s="35">
        <f>IF(N('Dvd Calendar'!$Z$1843)=0,"",IF(('Dvd Calendar'!$Z$1843&gt;=GRID_FROM)*('Dvd Calendar'!$Z$1843&lt;=GRID_TO)*('Dvd Calendar'!$Z$1843&gt;VAL_DATE)=0,"",'Dvd Calendar'!$Z$1843*1000000000+ISNUMBER('Dvd Calendar'!$Z$1844)*100000000+0*10000000+(N('Dvd Calendar'!$Z$1842)&gt;0)*(N('Dvd Calendar'!$Z$1842)&lt;=VAL_SERIAL)*1000000+26*1000+62))</f>
        <v/>
      </c>
      <c r="GO185" s="35">
        <f>IF(N('Dvd Calendar'!$AA$1843)=0,"",IF(('Dvd Calendar'!$AA$1843&gt;=GRID_FROM)*('Dvd Calendar'!$AA$1843&lt;=GRID_TO)*('Dvd Calendar'!$AA$1843&gt;VAL_DATE)=0,"",'Dvd Calendar'!$AA$1843*1000000000+ISNUMBER('Dvd Calendar'!$AA$1844)*100000000+0*10000000+(N('Dvd Calendar'!$AA$1842)&gt;0)*(N('Dvd Calendar'!$AA$1842)&lt;=VAL_SERIAL)*1000000+26*1000+63))</f>
        <v/>
      </c>
      <c r="GP185" s="35">
        <f>IF(N('Dvd Calendar'!$AB$1843)=0,"",IF(('Dvd Calendar'!$AB$1843&gt;=GRID_FROM)*('Dvd Calendar'!$AB$1843&lt;=GRID_TO)*('Dvd Calendar'!$AB$1843&gt;VAL_DATE)=0,"",'Dvd Calendar'!$AB$1843*1000000000+ISNUMBER('Dvd Calendar'!$AB$1844)*100000000+0*10000000+(N('Dvd Calendar'!$AB$1842)&gt;0)*(N('Dvd Calendar'!$AB$1842)&lt;=VAL_SERIAL)*1000000+26*1000+64))</f>
        <v/>
      </c>
      <c r="GQ185" s="35">
        <f>IF(N('Dvd Calendar'!$AC$1843)=0,"",IF(('Dvd Calendar'!$AC$1843&gt;=GRID_FROM)*('Dvd Calendar'!$AC$1843&lt;=GRID_TO)*('Dvd Calendar'!$AC$1843&gt;VAL_DATE)=0,"",'Dvd Calendar'!$AC$1843*1000000000+ISNUMBER('Dvd Calendar'!$AC$1844)*100000000+0*10000000+(N('Dvd Calendar'!$AC$1842)&gt;0)*(N('Dvd Calendar'!$AC$1842)&lt;=VAL_SERIAL)*1000000+26*1000+65))</f>
        <v/>
      </c>
    </row>
    <row r="186">
      <c r="B186" s="2">
        <f>IF(HSCEI!$C$33="","",HSCEI!$C$33)</f>
        <v/>
      </c>
      <c r="C186" s="106">
        <f>IF(EE186="","",IF(ISNUMBER('Dvd Calendar'!$E$1850)=FALSE,"",IF((('Dvd Calendar'!$E$1852=TYPE1)*(TYPE1&lt;&gt;"")+('Dvd Calendar'!$E$1852=TYPE2)*(TYPE2&lt;&gt;"")+('Dvd Calendar'!$E$1852=TYPE3)*(TYPE3&lt;&gt;"")+('Dvd Calendar'!$E$1852=TYPE4)*(TYPE4&lt;&gt;"")+('Dvd Calendar'!$E$1852=SPECIAL_LBL)*(INC_SPECIALS="Y"))=0,"",'Dvd Calendar'!$E$1850)))</f>
        <v/>
      </c>
      <c r="D186" s="106">
        <f>IF(EF186="","",IF(ISNUMBER('Dvd Calendar'!$F$1850)=FALSE,"",IF((('Dvd Calendar'!$F$1852=TYPE1)*(TYPE1&lt;&gt;"")+('Dvd Calendar'!$F$1852=TYPE2)*(TYPE2&lt;&gt;"")+('Dvd Calendar'!$F$1852=TYPE3)*(TYPE3&lt;&gt;"")+('Dvd Calendar'!$F$1852=TYPE4)*(TYPE4&lt;&gt;"")+('Dvd Calendar'!$F$1852=SPECIAL_LBL)*(INC_SPECIALS="Y"))=0,"",'Dvd Calendar'!$F$1850)))</f>
        <v/>
      </c>
      <c r="E186" s="106">
        <f>IF(EG186="","",IF(ISNUMBER('Dvd Calendar'!$G$1850)=FALSE,"",IF((('Dvd Calendar'!$G$1852=TYPE1)*(TYPE1&lt;&gt;"")+('Dvd Calendar'!$G$1852=TYPE2)*(TYPE2&lt;&gt;"")+('Dvd Calendar'!$G$1852=TYPE3)*(TYPE3&lt;&gt;"")+('Dvd Calendar'!$G$1852=TYPE4)*(TYPE4&lt;&gt;"")+('Dvd Calendar'!$G$1852=SPECIAL_LBL)*(INC_SPECIALS="Y"))=0,"",'Dvd Calendar'!$G$1850)))</f>
        <v/>
      </c>
      <c r="F186" s="106">
        <f>IF(EH186="","",IF(ISNUMBER('Dvd Calendar'!$H$1850)=FALSE,"",IF((('Dvd Calendar'!$H$1852=TYPE1)*(TYPE1&lt;&gt;"")+('Dvd Calendar'!$H$1852=TYPE2)*(TYPE2&lt;&gt;"")+('Dvd Calendar'!$H$1852=TYPE3)*(TYPE3&lt;&gt;"")+('Dvd Calendar'!$H$1852=TYPE4)*(TYPE4&lt;&gt;"")+('Dvd Calendar'!$H$1852=SPECIAL_LBL)*(INC_SPECIALS="Y"))=0,"",'Dvd Calendar'!$H$1850)))</f>
        <v/>
      </c>
      <c r="G186" s="106">
        <f>IF(EI186="","",IF(ISNUMBER('Dvd Calendar'!$I$1850)=FALSE,"",IF((('Dvd Calendar'!$I$1852=TYPE1)*(TYPE1&lt;&gt;"")+('Dvd Calendar'!$I$1852=TYPE2)*(TYPE2&lt;&gt;"")+('Dvd Calendar'!$I$1852=TYPE3)*(TYPE3&lt;&gt;"")+('Dvd Calendar'!$I$1852=TYPE4)*(TYPE4&lt;&gt;"")+('Dvd Calendar'!$I$1852=SPECIAL_LBL)*(INC_SPECIALS="Y"))=0,"",'Dvd Calendar'!$I$1850)))</f>
        <v/>
      </c>
      <c r="H186" s="106">
        <f>IF(EJ186="","",IF(ISNUMBER('Dvd Calendar'!$J$1850)=FALSE,"",IF((('Dvd Calendar'!$J$1852=TYPE1)*(TYPE1&lt;&gt;"")+('Dvd Calendar'!$J$1852=TYPE2)*(TYPE2&lt;&gt;"")+('Dvd Calendar'!$J$1852=TYPE3)*(TYPE3&lt;&gt;"")+('Dvd Calendar'!$J$1852=TYPE4)*(TYPE4&lt;&gt;"")+('Dvd Calendar'!$J$1852=SPECIAL_LBL)*(INC_SPECIALS="Y"))=0,"",'Dvd Calendar'!$J$1850)))</f>
        <v/>
      </c>
      <c r="I186" s="106">
        <f>IF(EK186="","",IF(ISNUMBER('Dvd Calendar'!$K$1850)=FALSE,"",IF((('Dvd Calendar'!$K$1852=TYPE1)*(TYPE1&lt;&gt;"")+('Dvd Calendar'!$K$1852=TYPE2)*(TYPE2&lt;&gt;"")+('Dvd Calendar'!$K$1852=TYPE3)*(TYPE3&lt;&gt;"")+('Dvd Calendar'!$K$1852=TYPE4)*(TYPE4&lt;&gt;"")+('Dvd Calendar'!$K$1852=SPECIAL_LBL)*(INC_SPECIALS="Y"))=0,"",'Dvd Calendar'!$K$1850)))</f>
        <v/>
      </c>
      <c r="J186" s="106">
        <f>IF(EL186="","",IF(ISNUMBER('Dvd Calendar'!$L$1850)=FALSE,"",IF((('Dvd Calendar'!$L$1852=TYPE1)*(TYPE1&lt;&gt;"")+('Dvd Calendar'!$L$1852=TYPE2)*(TYPE2&lt;&gt;"")+('Dvd Calendar'!$L$1852=TYPE3)*(TYPE3&lt;&gt;"")+('Dvd Calendar'!$L$1852=TYPE4)*(TYPE4&lt;&gt;"")+('Dvd Calendar'!$L$1852=SPECIAL_LBL)*(INC_SPECIALS="Y"))=0,"",'Dvd Calendar'!$L$1850)))</f>
        <v/>
      </c>
      <c r="K186" s="106">
        <f>IF(EM186="","",IF(ISNUMBER('Dvd Calendar'!$M$1850)=FALSE,"",IF((('Dvd Calendar'!$M$1852=TYPE1)*(TYPE1&lt;&gt;"")+('Dvd Calendar'!$M$1852=TYPE2)*(TYPE2&lt;&gt;"")+('Dvd Calendar'!$M$1852=TYPE3)*(TYPE3&lt;&gt;"")+('Dvd Calendar'!$M$1852=TYPE4)*(TYPE4&lt;&gt;"")+('Dvd Calendar'!$M$1852=SPECIAL_LBL)*(INC_SPECIALS="Y"))=0,"",'Dvd Calendar'!$M$1850)))</f>
        <v/>
      </c>
      <c r="L186" s="106">
        <f>IF(EN186="","",IF(ISNUMBER('Dvd Calendar'!$N$1850)=FALSE,"",IF((('Dvd Calendar'!$N$1852=TYPE1)*(TYPE1&lt;&gt;"")+('Dvd Calendar'!$N$1852=TYPE2)*(TYPE2&lt;&gt;"")+('Dvd Calendar'!$N$1852=TYPE3)*(TYPE3&lt;&gt;"")+('Dvd Calendar'!$N$1852=TYPE4)*(TYPE4&lt;&gt;"")+('Dvd Calendar'!$N$1852=SPECIAL_LBL)*(INC_SPECIALS="Y"))=0,"",'Dvd Calendar'!$N$1850)))</f>
        <v/>
      </c>
      <c r="M186" s="106">
        <f>IF(EO186="","",IF(ISNUMBER('Dvd Calendar'!$O$1850)=FALSE,"",IF((('Dvd Calendar'!$O$1852=TYPE1)*(TYPE1&lt;&gt;"")+('Dvd Calendar'!$O$1852=TYPE2)*(TYPE2&lt;&gt;"")+('Dvd Calendar'!$O$1852=TYPE3)*(TYPE3&lt;&gt;"")+('Dvd Calendar'!$O$1852=TYPE4)*(TYPE4&lt;&gt;"")+('Dvd Calendar'!$O$1852=SPECIAL_LBL)*(INC_SPECIALS="Y"))=0,"",'Dvd Calendar'!$O$1850)))</f>
        <v/>
      </c>
      <c r="N186" s="106">
        <f>IF(EP186="","",IF(ISNUMBER('Dvd Calendar'!$P$1850)=FALSE,"",IF((('Dvd Calendar'!$P$1852=TYPE1)*(TYPE1&lt;&gt;"")+('Dvd Calendar'!$P$1852=TYPE2)*(TYPE2&lt;&gt;"")+('Dvd Calendar'!$P$1852=TYPE3)*(TYPE3&lt;&gt;"")+('Dvd Calendar'!$P$1852=TYPE4)*(TYPE4&lt;&gt;"")+('Dvd Calendar'!$P$1852=SPECIAL_LBL)*(INC_SPECIALS="Y"))=0,"",'Dvd Calendar'!$P$1850)))</f>
        <v/>
      </c>
      <c r="O186" s="106">
        <f>IF(EQ186="","",IF(ISNUMBER('Dvd Calendar'!$Q$1850)=FALSE,"",IF((('Dvd Calendar'!$Q$1852=TYPE1)*(TYPE1&lt;&gt;"")+('Dvd Calendar'!$Q$1852=TYPE2)*(TYPE2&lt;&gt;"")+('Dvd Calendar'!$Q$1852=TYPE3)*(TYPE3&lt;&gt;"")+('Dvd Calendar'!$Q$1852=TYPE4)*(TYPE4&lt;&gt;"")+('Dvd Calendar'!$Q$1852=SPECIAL_LBL)*(INC_SPECIALS="Y"))=0,"",'Dvd Calendar'!$Q$1850)))</f>
        <v/>
      </c>
      <c r="P186" s="106">
        <f>IF(ER186="","",IF(ISNUMBER('Dvd Calendar'!$R$1850)=FALSE,"",IF((('Dvd Calendar'!$R$1852=TYPE1)*(TYPE1&lt;&gt;"")+('Dvd Calendar'!$R$1852=TYPE2)*(TYPE2&lt;&gt;"")+('Dvd Calendar'!$R$1852=TYPE3)*(TYPE3&lt;&gt;"")+('Dvd Calendar'!$R$1852=TYPE4)*(TYPE4&lt;&gt;"")+('Dvd Calendar'!$R$1852=SPECIAL_LBL)*(INC_SPECIALS="Y"))=0,"",'Dvd Calendar'!$R$1850)))</f>
        <v/>
      </c>
      <c r="Q186" s="106">
        <f>IF(ES186="","",IF(ISNUMBER('Dvd Calendar'!$S$1850)=FALSE,"",IF((('Dvd Calendar'!$S$1852=TYPE1)*(TYPE1&lt;&gt;"")+('Dvd Calendar'!$S$1852=TYPE2)*(TYPE2&lt;&gt;"")+('Dvd Calendar'!$S$1852=TYPE3)*(TYPE3&lt;&gt;"")+('Dvd Calendar'!$S$1852=TYPE4)*(TYPE4&lt;&gt;"")+('Dvd Calendar'!$S$1852=SPECIAL_LBL)*(INC_SPECIALS="Y"))=0,"",'Dvd Calendar'!$S$1850)))</f>
        <v/>
      </c>
      <c r="R186" s="106">
        <f>IF(ET186="","",IF(ISNUMBER('Dvd Calendar'!$T$1850)=FALSE,"",IF((('Dvd Calendar'!$T$1852=TYPE1)*(TYPE1&lt;&gt;"")+('Dvd Calendar'!$T$1852=TYPE2)*(TYPE2&lt;&gt;"")+('Dvd Calendar'!$T$1852=TYPE3)*(TYPE3&lt;&gt;"")+('Dvd Calendar'!$T$1852=TYPE4)*(TYPE4&lt;&gt;"")+('Dvd Calendar'!$T$1852=SPECIAL_LBL)*(INC_SPECIALS="Y"))=0,"",'Dvd Calendar'!$T$1850)))</f>
        <v/>
      </c>
      <c r="S186" s="106">
        <f>IF(EU186="","",IF(ISNUMBER('Dvd Calendar'!$U$1850)=FALSE,"",IF((('Dvd Calendar'!$U$1852=TYPE1)*(TYPE1&lt;&gt;"")+('Dvd Calendar'!$U$1852=TYPE2)*(TYPE2&lt;&gt;"")+('Dvd Calendar'!$U$1852=TYPE3)*(TYPE3&lt;&gt;"")+('Dvd Calendar'!$U$1852=TYPE4)*(TYPE4&lt;&gt;"")+('Dvd Calendar'!$U$1852=SPECIAL_LBL)*(INC_SPECIALS="Y"))=0,"",'Dvd Calendar'!$U$1850)))</f>
        <v/>
      </c>
      <c r="T186" s="106">
        <f>IF(EV186="","",IF(ISNUMBER('Dvd Calendar'!$V$1850)=FALSE,"",IF((('Dvd Calendar'!$V$1852=TYPE1)*(TYPE1&lt;&gt;"")+('Dvd Calendar'!$V$1852=TYPE2)*(TYPE2&lt;&gt;"")+('Dvd Calendar'!$V$1852=TYPE3)*(TYPE3&lt;&gt;"")+('Dvd Calendar'!$V$1852=TYPE4)*(TYPE4&lt;&gt;"")+('Dvd Calendar'!$V$1852=SPECIAL_LBL)*(INC_SPECIALS="Y"))=0,"",'Dvd Calendar'!$V$1850)))</f>
        <v/>
      </c>
      <c r="U186" s="106">
        <f>IF(EW186="","",IF(ISNUMBER('Dvd Calendar'!$W$1850)=FALSE,"",IF((('Dvd Calendar'!$W$1852=TYPE1)*(TYPE1&lt;&gt;"")+('Dvd Calendar'!$W$1852=TYPE2)*(TYPE2&lt;&gt;"")+('Dvd Calendar'!$W$1852=TYPE3)*(TYPE3&lt;&gt;"")+('Dvd Calendar'!$W$1852=TYPE4)*(TYPE4&lt;&gt;"")+('Dvd Calendar'!$W$1852=SPECIAL_LBL)*(INC_SPECIALS="Y"))=0,"",'Dvd Calendar'!$W$1850)))</f>
        <v/>
      </c>
      <c r="V186" s="106">
        <f>IF(EX186="","",IF(ISNUMBER('Dvd Calendar'!$X$1850)=FALSE,"",IF((('Dvd Calendar'!$X$1852=TYPE1)*(TYPE1&lt;&gt;"")+('Dvd Calendar'!$X$1852=TYPE2)*(TYPE2&lt;&gt;"")+('Dvd Calendar'!$X$1852=TYPE3)*(TYPE3&lt;&gt;"")+('Dvd Calendar'!$X$1852=TYPE4)*(TYPE4&lt;&gt;"")+('Dvd Calendar'!$X$1852=SPECIAL_LBL)*(INC_SPECIALS="Y"))=0,"",'Dvd Calendar'!$X$1850)))</f>
        <v/>
      </c>
      <c r="W186" s="106">
        <f>IF(EY186="","",IF(ISNUMBER('Dvd Calendar'!$Y$1850)=FALSE,"",IF((('Dvd Calendar'!$Y$1852=TYPE1)*(TYPE1&lt;&gt;"")+('Dvd Calendar'!$Y$1852=TYPE2)*(TYPE2&lt;&gt;"")+('Dvd Calendar'!$Y$1852=TYPE3)*(TYPE3&lt;&gt;"")+('Dvd Calendar'!$Y$1852=TYPE4)*(TYPE4&lt;&gt;"")+('Dvd Calendar'!$Y$1852=SPECIAL_LBL)*(INC_SPECIALS="Y"))=0,"",'Dvd Calendar'!$Y$1850)))</f>
        <v/>
      </c>
      <c r="X186" s="106">
        <f>IF(EZ186="","",IF(ISNUMBER('Dvd Calendar'!$Z$1850)=FALSE,"",IF((('Dvd Calendar'!$Z$1852=TYPE1)*(TYPE1&lt;&gt;"")+('Dvd Calendar'!$Z$1852=TYPE2)*(TYPE2&lt;&gt;"")+('Dvd Calendar'!$Z$1852=TYPE3)*(TYPE3&lt;&gt;"")+('Dvd Calendar'!$Z$1852=TYPE4)*(TYPE4&lt;&gt;"")+('Dvd Calendar'!$Z$1852=SPECIAL_LBL)*(INC_SPECIALS="Y"))=0,"",'Dvd Calendar'!$Z$1850)))</f>
        <v/>
      </c>
      <c r="Y186" s="106">
        <f>IF(FA186="","",IF(ISNUMBER('Dvd Calendar'!$AA$1850)=FALSE,"",IF((('Dvd Calendar'!$AA$1852=TYPE1)*(TYPE1&lt;&gt;"")+('Dvd Calendar'!$AA$1852=TYPE2)*(TYPE2&lt;&gt;"")+('Dvd Calendar'!$AA$1852=TYPE3)*(TYPE3&lt;&gt;"")+('Dvd Calendar'!$AA$1852=TYPE4)*(TYPE4&lt;&gt;"")+('Dvd Calendar'!$AA$1852=SPECIAL_LBL)*(INC_SPECIALS="Y"))=0,"",'Dvd Calendar'!$AA$1850)))</f>
        <v/>
      </c>
      <c r="Z186" s="106">
        <f>IF(FB186="","",IF(ISNUMBER('Dvd Calendar'!$AB$1850)=FALSE,"",IF((('Dvd Calendar'!$AB$1852=TYPE1)*(TYPE1&lt;&gt;"")+('Dvd Calendar'!$AB$1852=TYPE2)*(TYPE2&lt;&gt;"")+('Dvd Calendar'!$AB$1852=TYPE3)*(TYPE3&lt;&gt;"")+('Dvd Calendar'!$AB$1852=TYPE4)*(TYPE4&lt;&gt;"")+('Dvd Calendar'!$AB$1852=SPECIAL_LBL)*(INC_SPECIALS="Y"))=0,"",'Dvd Calendar'!$AB$1850)))</f>
        <v/>
      </c>
      <c r="AA186" s="106">
        <f>IF(FC186="","",IF(ISNUMBER('Dvd Calendar'!$AC$1850)=FALSE,"",IF((('Dvd Calendar'!$AC$1852=TYPE1)*(TYPE1&lt;&gt;"")+('Dvd Calendar'!$AC$1852=TYPE2)*(TYPE2&lt;&gt;"")+('Dvd Calendar'!$AC$1852=TYPE3)*(TYPE3&lt;&gt;"")+('Dvd Calendar'!$AC$1852=TYPE4)*(TYPE4&lt;&gt;"")+('Dvd Calendar'!$AC$1852=SPECIAL_LBL)*(INC_SPECIALS="Y"))=0,"",'Dvd Calendar'!$AC$1850)))</f>
        <v/>
      </c>
      <c r="AB186" s="106">
        <f>IF(FD186="","",IF(ISNUMBER('Dvd Calendar'!$AD$1850)=FALSE,"",IF((('Dvd Calendar'!$AD$1852=TYPE1)*(TYPE1&lt;&gt;"")+('Dvd Calendar'!$AD$1852=TYPE2)*(TYPE2&lt;&gt;"")+('Dvd Calendar'!$AD$1852=TYPE3)*(TYPE3&lt;&gt;"")+('Dvd Calendar'!$AD$1852=TYPE4)*(TYPE4&lt;&gt;"")+('Dvd Calendar'!$AD$1852=SPECIAL_LBL)*(INC_SPECIALS="Y"))=0,"",'Dvd Calendar'!$AD$1850)))</f>
        <v/>
      </c>
      <c r="AC186" s="106">
        <f>IF(FE186="","",IF(ISNUMBER('Dvd Calendar'!$AE$1850)=FALSE,"",IF((('Dvd Calendar'!$AE$1852=TYPE1)*(TYPE1&lt;&gt;"")+('Dvd Calendar'!$AE$1852=TYPE2)*(TYPE2&lt;&gt;"")+('Dvd Calendar'!$AE$1852=TYPE3)*(TYPE3&lt;&gt;"")+('Dvd Calendar'!$AE$1852=TYPE4)*(TYPE4&lt;&gt;"")+('Dvd Calendar'!$AE$1852=SPECIAL_LBL)*(INC_SPECIALS="Y"))=0,"",'Dvd Calendar'!$AE$1850)))</f>
        <v/>
      </c>
      <c r="AD186" s="106">
        <f>IF(FF186="","",IF(ISNUMBER('Dvd Calendar'!$AF$1850)=FALSE,"",IF((('Dvd Calendar'!$AF$1852=TYPE1)*(TYPE1&lt;&gt;"")+('Dvd Calendar'!$AF$1852=TYPE2)*(TYPE2&lt;&gt;"")+('Dvd Calendar'!$AF$1852=TYPE3)*(TYPE3&lt;&gt;"")+('Dvd Calendar'!$AF$1852=TYPE4)*(TYPE4&lt;&gt;"")+('Dvd Calendar'!$AF$1852=SPECIAL_LBL)*(INC_SPECIALS="Y"))=0,"",'Dvd Calendar'!$AF$1850)))</f>
        <v/>
      </c>
      <c r="AE186" s="106">
        <f>IF(FG186="","",IF(ISNUMBER('Dvd Calendar'!$AG$1850)=FALSE,"",IF((('Dvd Calendar'!$AG$1852=TYPE1)*(TYPE1&lt;&gt;"")+('Dvd Calendar'!$AG$1852=TYPE2)*(TYPE2&lt;&gt;"")+('Dvd Calendar'!$AG$1852=TYPE3)*(TYPE3&lt;&gt;"")+('Dvd Calendar'!$AG$1852=TYPE4)*(TYPE4&lt;&gt;"")+('Dvd Calendar'!$AG$1852=SPECIAL_LBL)*(INC_SPECIALS="Y"))=0,"",'Dvd Calendar'!$AG$1850)))</f>
        <v/>
      </c>
      <c r="AF186" s="106">
        <f>IF(FH186="","",IF(ISNUMBER('Dvd Calendar'!$AH$1850)=FALSE,"",IF((('Dvd Calendar'!$AH$1852=TYPE1)*(TYPE1&lt;&gt;"")+('Dvd Calendar'!$AH$1852=TYPE2)*(TYPE2&lt;&gt;"")+('Dvd Calendar'!$AH$1852=TYPE3)*(TYPE3&lt;&gt;"")+('Dvd Calendar'!$AH$1852=TYPE4)*(TYPE4&lt;&gt;"")+('Dvd Calendar'!$AH$1852=SPECIAL_LBL)*(INC_SPECIALS="Y"))=0,"",'Dvd Calendar'!$AH$1850)))</f>
        <v/>
      </c>
      <c r="AG186" s="106">
        <f>IF(FI186="","",IF(ISNUMBER('Dvd Calendar'!$AI$1850)=FALSE,"",IF((('Dvd Calendar'!$AI$1852=TYPE1)*(TYPE1&lt;&gt;"")+('Dvd Calendar'!$AI$1852=TYPE2)*(TYPE2&lt;&gt;"")+('Dvd Calendar'!$AI$1852=TYPE3)*(TYPE3&lt;&gt;"")+('Dvd Calendar'!$AI$1852=TYPE4)*(TYPE4&lt;&gt;"")+('Dvd Calendar'!$AI$1852=SPECIAL_LBL)*(INC_SPECIALS="Y"))=0,"",'Dvd Calendar'!$AI$1850)))</f>
        <v/>
      </c>
      <c r="AH186" s="106">
        <f>IF(FJ186="","",IF(ISNUMBER('Dvd Calendar'!$AJ$1850)=FALSE,"",IF((('Dvd Calendar'!$AJ$1852=TYPE1)*(TYPE1&lt;&gt;"")+('Dvd Calendar'!$AJ$1852=TYPE2)*(TYPE2&lt;&gt;"")+('Dvd Calendar'!$AJ$1852=TYPE3)*(TYPE3&lt;&gt;"")+('Dvd Calendar'!$AJ$1852=TYPE4)*(TYPE4&lt;&gt;"")+('Dvd Calendar'!$AJ$1852=SPECIAL_LBL)*(INC_SPECIALS="Y"))=0,"",'Dvd Calendar'!$AJ$1850)))</f>
        <v/>
      </c>
      <c r="AI186" s="106">
        <f>IF(FK186="","",IF(ISNUMBER('Dvd Calendar'!$AK$1850)=FALSE,"",IF((('Dvd Calendar'!$AK$1852=TYPE1)*(TYPE1&lt;&gt;"")+('Dvd Calendar'!$AK$1852=TYPE2)*(TYPE2&lt;&gt;"")+('Dvd Calendar'!$AK$1852=TYPE3)*(TYPE3&lt;&gt;"")+('Dvd Calendar'!$AK$1852=TYPE4)*(TYPE4&lt;&gt;"")+('Dvd Calendar'!$AK$1852=SPECIAL_LBL)*(INC_SPECIALS="Y"))=0,"",'Dvd Calendar'!$AK$1850)))</f>
        <v/>
      </c>
      <c r="AJ186" s="106">
        <f>IF(FL186="","",IF(ISNUMBER('Dvd Calendar'!$AL$1850)=FALSE,"",IF((('Dvd Calendar'!$AL$1852=TYPE1)*(TYPE1&lt;&gt;"")+('Dvd Calendar'!$AL$1852=TYPE2)*(TYPE2&lt;&gt;"")+('Dvd Calendar'!$AL$1852=TYPE3)*(TYPE3&lt;&gt;"")+('Dvd Calendar'!$AL$1852=TYPE4)*(TYPE4&lt;&gt;"")+('Dvd Calendar'!$AL$1852=SPECIAL_LBL)*(INC_SPECIALS="Y"))=0,"",'Dvd Calendar'!$AL$1850)))</f>
        <v/>
      </c>
      <c r="AK186" s="106">
        <f>IF(FM186="","",IF(ISNUMBER('Dvd Calendar'!$AM$1850)=FALSE,"",IF((('Dvd Calendar'!$AM$1852=TYPE1)*(TYPE1&lt;&gt;"")+('Dvd Calendar'!$AM$1852=TYPE2)*(TYPE2&lt;&gt;"")+('Dvd Calendar'!$AM$1852=TYPE3)*(TYPE3&lt;&gt;"")+('Dvd Calendar'!$AM$1852=TYPE4)*(TYPE4&lt;&gt;"")+('Dvd Calendar'!$AM$1852=SPECIAL_LBL)*(INC_SPECIALS="Y"))=0,"",'Dvd Calendar'!$AM$1850)))</f>
        <v/>
      </c>
      <c r="AL186" s="106">
        <f>IF(FN186="","",IF(ISNUMBER('Dvd Calendar'!$AN$1850)=FALSE,"",IF((('Dvd Calendar'!$AN$1852=TYPE1)*(TYPE1&lt;&gt;"")+('Dvd Calendar'!$AN$1852=TYPE2)*(TYPE2&lt;&gt;"")+('Dvd Calendar'!$AN$1852=TYPE3)*(TYPE3&lt;&gt;"")+('Dvd Calendar'!$AN$1852=TYPE4)*(TYPE4&lt;&gt;"")+('Dvd Calendar'!$AN$1852=SPECIAL_LBL)*(INC_SPECIALS="Y"))=0,"",'Dvd Calendar'!$AN$1850)))</f>
        <v/>
      </c>
      <c r="AM186" s="106">
        <f>IF(FO186="","",IF(ISNUMBER('Dvd Calendar'!$AO$1850)=FALSE,"",IF((('Dvd Calendar'!$AO$1852=TYPE1)*(TYPE1&lt;&gt;"")+('Dvd Calendar'!$AO$1852=TYPE2)*(TYPE2&lt;&gt;"")+('Dvd Calendar'!$AO$1852=TYPE3)*(TYPE3&lt;&gt;"")+('Dvd Calendar'!$AO$1852=TYPE4)*(TYPE4&lt;&gt;"")+('Dvd Calendar'!$AO$1852=SPECIAL_LBL)*(INC_SPECIALS="Y"))=0,"",'Dvd Calendar'!$AO$1850)))</f>
        <v/>
      </c>
      <c r="AN186" s="106">
        <f>IF(FP186="","",IF(ISNUMBER('Dvd Calendar'!$AP$1850)=FALSE,"",IF((('Dvd Calendar'!$AP$1852=TYPE1)*(TYPE1&lt;&gt;"")+('Dvd Calendar'!$AP$1852=TYPE2)*(TYPE2&lt;&gt;"")+('Dvd Calendar'!$AP$1852=TYPE3)*(TYPE3&lt;&gt;"")+('Dvd Calendar'!$AP$1852=TYPE4)*(TYPE4&lt;&gt;"")+('Dvd Calendar'!$AP$1852=SPECIAL_LBL)*(INC_SPECIALS="Y"))=0,"",'Dvd Calendar'!$AP$1850)))</f>
        <v/>
      </c>
      <c r="AO186" s="106">
        <f>IF(FQ186="","",IF(ISNUMBER('Dvd Calendar'!$AQ$1850)=FALSE,"",IF((('Dvd Calendar'!$AQ$1852=TYPE1)*(TYPE1&lt;&gt;"")+('Dvd Calendar'!$AQ$1852=TYPE2)*(TYPE2&lt;&gt;"")+('Dvd Calendar'!$AQ$1852=TYPE3)*(TYPE3&lt;&gt;"")+('Dvd Calendar'!$AQ$1852=TYPE4)*(TYPE4&lt;&gt;"")+('Dvd Calendar'!$AQ$1852=SPECIAL_LBL)*(INC_SPECIALS="Y"))=0,"",'Dvd Calendar'!$AQ$1850)))</f>
        <v/>
      </c>
      <c r="AP186" s="106">
        <f>IF(FR186="","",IF(ISNUMBER('Dvd Calendar'!$AR$1850)=FALSE,"",IF((('Dvd Calendar'!$AR$1852=TYPE1)*(TYPE1&lt;&gt;"")+('Dvd Calendar'!$AR$1852=TYPE2)*(TYPE2&lt;&gt;"")+('Dvd Calendar'!$AR$1852=TYPE3)*(TYPE3&lt;&gt;"")+('Dvd Calendar'!$AR$1852=TYPE4)*(TYPE4&lt;&gt;"")+('Dvd Calendar'!$AR$1852=SPECIAL_LBL)*(INC_SPECIALS="Y"))=0,"",'Dvd Calendar'!$AR$1850)))</f>
        <v/>
      </c>
      <c r="AQ186" s="106">
        <f>IF(FS186="","",IF(ISNUMBER('Dvd Calendar'!$E$1855)=FALSE,"",'Dvd Calendar'!$E$1855))</f>
        <v/>
      </c>
      <c r="AR186" s="106">
        <f>IF(FT186="","",IF(ISNUMBER('Dvd Calendar'!$F$1855)=FALSE,"",'Dvd Calendar'!$F$1855))</f>
        <v/>
      </c>
      <c r="AS186" s="106">
        <f>IF(FU186="","",IF(ISNUMBER('Dvd Calendar'!$G$1855)=FALSE,"",'Dvd Calendar'!$G$1855))</f>
        <v/>
      </c>
      <c r="AT186" s="106">
        <f>IF(FV186="","",IF(ISNUMBER('Dvd Calendar'!$H$1855)=FALSE,"",'Dvd Calendar'!$H$1855))</f>
        <v/>
      </c>
      <c r="AU186" s="106">
        <f>IF(FW186="","",IF(ISNUMBER('Dvd Calendar'!$I$1855)=FALSE,"",'Dvd Calendar'!$I$1855))</f>
        <v/>
      </c>
      <c r="AV186" s="106">
        <f>IF(FX186="","",IF(ISNUMBER('Dvd Calendar'!$J$1855)=FALSE,"",'Dvd Calendar'!$J$1855))</f>
        <v/>
      </c>
      <c r="AW186" s="106">
        <f>IF(FY186="","",IF(ISNUMBER('Dvd Calendar'!$K$1855)=FALSE,"",'Dvd Calendar'!$K$1855))</f>
        <v/>
      </c>
      <c r="AX186" s="106">
        <f>IF(FZ186="","",IF(ISNUMBER('Dvd Calendar'!$L$1855)=FALSE,"",'Dvd Calendar'!$L$1855))</f>
        <v/>
      </c>
      <c r="AY186" s="106">
        <f>IF(GA186="","",IF(ISNUMBER('Dvd Calendar'!$M$1855)=FALSE,"",'Dvd Calendar'!$M$1855))</f>
        <v/>
      </c>
      <c r="AZ186" s="106">
        <f>IF(GB186="","",IF(ISNUMBER('Dvd Calendar'!$N$1855)=FALSE,"",'Dvd Calendar'!$N$1855))</f>
        <v/>
      </c>
      <c r="BA186" s="106">
        <f>IF(GC186="","",IF(ISNUMBER('Dvd Calendar'!$O$1855)=FALSE,"",'Dvd Calendar'!$O$1855))</f>
        <v/>
      </c>
      <c r="BB186" s="106">
        <f>IF(GD186="","",IF(ISNUMBER('Dvd Calendar'!$P$1855)=FALSE,"",'Dvd Calendar'!$P$1855))</f>
        <v/>
      </c>
      <c r="BC186" s="106">
        <f>IF(GE186="","",IF(ISNUMBER('Dvd Calendar'!$Q$1855)=FALSE,"",'Dvd Calendar'!$Q$1855))</f>
        <v/>
      </c>
      <c r="BD186" s="106">
        <f>IF(GF186="","",IF(ISNUMBER('Dvd Calendar'!$R$1855)=FALSE,"",'Dvd Calendar'!$R$1855))</f>
        <v/>
      </c>
      <c r="BE186" s="106">
        <f>IF(GG186="","",IF(ISNUMBER('Dvd Calendar'!$S$1855)=FALSE,"",'Dvd Calendar'!$S$1855))</f>
        <v/>
      </c>
      <c r="BF186" s="106">
        <f>IF(GH186="","",IF(ISNUMBER('Dvd Calendar'!$T$1855)=FALSE,"",'Dvd Calendar'!$T$1855))</f>
        <v/>
      </c>
      <c r="BG186" s="106">
        <f>IF(GI186="","",IF(ISNUMBER('Dvd Calendar'!$U$1855)=FALSE,"",'Dvd Calendar'!$U$1855))</f>
        <v/>
      </c>
      <c r="BH186" s="106">
        <f>IF(GJ186="","",IF(ISNUMBER('Dvd Calendar'!$V$1855)=FALSE,"",'Dvd Calendar'!$V$1855))</f>
        <v/>
      </c>
      <c r="BI186" s="106">
        <f>IF(GK186="","",IF(ISNUMBER('Dvd Calendar'!$W$1855)=FALSE,"",'Dvd Calendar'!$W$1855))</f>
        <v/>
      </c>
      <c r="BJ186" s="106">
        <f>IF(GL186="","",IF(ISNUMBER('Dvd Calendar'!$X$1855)=FALSE,"",'Dvd Calendar'!$X$1855))</f>
        <v/>
      </c>
      <c r="BK186" s="106">
        <f>IF(GM186="","",IF(ISNUMBER('Dvd Calendar'!$Y$1855)=FALSE,"",'Dvd Calendar'!$Y$1855))</f>
        <v/>
      </c>
      <c r="BL186" s="106">
        <f>IF(GN186="","",IF(ISNUMBER('Dvd Calendar'!$Z$1855)=FALSE,"",'Dvd Calendar'!$Z$1855))</f>
        <v/>
      </c>
      <c r="BM186" s="106">
        <f>IF(GO186="","",IF(ISNUMBER('Dvd Calendar'!$AA$1855)=FALSE,"",'Dvd Calendar'!$AA$1855))</f>
        <v/>
      </c>
      <c r="BN186" s="106">
        <f>IF(GP186="","",IF(ISNUMBER('Dvd Calendar'!$AB$1855)=FALSE,"",'Dvd Calendar'!$AB$1855))</f>
        <v/>
      </c>
      <c r="BO186" s="106">
        <f>IF(GQ186="","",IF(ISNUMBER('Dvd Calendar'!$AC$1855)=FALSE,"",'Dvd Calendar'!$AC$1855))</f>
        <v/>
      </c>
      <c r="BQ186" s="106">
        <f>IF(C186="","",IFERROR(C186*HSCEI!$B$33*HSCEI!$G$33/HSCEI!$B$3,""))</f>
        <v/>
      </c>
      <c r="BR186" s="106">
        <f>IF(D186="","",IFERROR(D186*HSCEI!$B$33*HSCEI!$G$33/HSCEI!$B$3,""))</f>
        <v/>
      </c>
      <c r="BS186" s="106">
        <f>IF(E186="","",IFERROR(E186*HSCEI!$B$33*HSCEI!$G$33/HSCEI!$B$3,""))</f>
        <v/>
      </c>
      <c r="BT186" s="106">
        <f>IF(F186="","",IFERROR(F186*HSCEI!$B$33*HSCEI!$G$33/HSCEI!$B$3,""))</f>
        <v/>
      </c>
      <c r="BU186" s="106">
        <f>IF(G186="","",IFERROR(G186*HSCEI!$B$33*HSCEI!$G$33/HSCEI!$B$3,""))</f>
        <v/>
      </c>
      <c r="BV186" s="106">
        <f>IF(H186="","",IFERROR(H186*HSCEI!$B$33*HSCEI!$G$33/HSCEI!$B$3,""))</f>
        <v/>
      </c>
      <c r="BW186" s="106">
        <f>IF(I186="","",IFERROR(I186*HSCEI!$B$33*HSCEI!$G$33/HSCEI!$B$3,""))</f>
        <v/>
      </c>
      <c r="BX186" s="106">
        <f>IF(J186="","",IFERROR(J186*HSCEI!$B$33*HSCEI!$G$33/HSCEI!$B$3,""))</f>
        <v/>
      </c>
      <c r="BY186" s="106">
        <f>IF(K186="","",IFERROR(K186*HSCEI!$B$33*HSCEI!$G$33/HSCEI!$B$3,""))</f>
        <v/>
      </c>
      <c r="BZ186" s="106">
        <f>IF(L186="","",IFERROR(L186*HSCEI!$B$33*HSCEI!$G$33/HSCEI!$B$3,""))</f>
        <v/>
      </c>
      <c r="CA186" s="106">
        <f>IF(M186="","",IFERROR(M186*HSCEI!$B$33*HSCEI!$G$33/HSCEI!$B$3,""))</f>
        <v/>
      </c>
      <c r="CB186" s="106">
        <f>IF(N186="","",IFERROR(N186*HSCEI!$B$33*HSCEI!$G$33/HSCEI!$B$3,""))</f>
        <v/>
      </c>
      <c r="CC186" s="106">
        <f>IF(O186="","",IFERROR(O186*HSCEI!$B$33*HSCEI!$G$33/HSCEI!$B$3,""))</f>
        <v/>
      </c>
      <c r="CD186" s="106">
        <f>IF(P186="","",IFERROR(P186*HSCEI!$B$33*HSCEI!$G$33/HSCEI!$B$3,""))</f>
        <v/>
      </c>
      <c r="CE186" s="106">
        <f>IF(Q186="","",IFERROR(Q186*HSCEI!$B$33*HSCEI!$G$33/HSCEI!$B$3,""))</f>
        <v/>
      </c>
      <c r="CF186" s="106">
        <f>IF(R186="","",IFERROR(R186*HSCEI!$B$33*HSCEI!$G$33/HSCEI!$B$3,""))</f>
        <v/>
      </c>
      <c r="CG186" s="106">
        <f>IF(S186="","",IFERROR(S186*HSCEI!$B$33*HSCEI!$G$33/HSCEI!$B$3,""))</f>
        <v/>
      </c>
      <c r="CH186" s="106">
        <f>IF(T186="","",IFERROR(T186*HSCEI!$B$33*HSCEI!$G$33/HSCEI!$B$3,""))</f>
        <v/>
      </c>
      <c r="CI186" s="106">
        <f>IF(U186="","",IFERROR(U186*HSCEI!$B$33*HSCEI!$G$33/HSCEI!$B$3,""))</f>
        <v/>
      </c>
      <c r="CJ186" s="106">
        <f>IF(V186="","",IFERROR(V186*HSCEI!$B$33*HSCEI!$G$33/HSCEI!$B$3,""))</f>
        <v/>
      </c>
      <c r="CK186" s="106">
        <f>IF(W186="","",IFERROR(W186*HSCEI!$B$33*HSCEI!$G$33/HSCEI!$B$3,""))</f>
        <v/>
      </c>
      <c r="CL186" s="106">
        <f>IF(X186="","",IFERROR(X186*HSCEI!$B$33*HSCEI!$G$33/HSCEI!$B$3,""))</f>
        <v/>
      </c>
      <c r="CM186" s="106">
        <f>IF(Y186="","",IFERROR(Y186*HSCEI!$B$33*HSCEI!$G$33/HSCEI!$B$3,""))</f>
        <v/>
      </c>
      <c r="CN186" s="106">
        <f>IF(Z186="","",IFERROR(Z186*HSCEI!$B$33*HSCEI!$G$33/HSCEI!$B$3,""))</f>
        <v/>
      </c>
      <c r="CO186" s="106">
        <f>IF(AA186="","",IFERROR(AA186*HSCEI!$B$33*HSCEI!$G$33/HSCEI!$B$3,""))</f>
        <v/>
      </c>
      <c r="CP186" s="106">
        <f>IF(AB186="","",IFERROR(AB186*HSCEI!$B$33*HSCEI!$G$33/HSCEI!$B$3,""))</f>
        <v/>
      </c>
      <c r="CQ186" s="106">
        <f>IF(AC186="","",IFERROR(AC186*HSCEI!$B$33*HSCEI!$G$33/HSCEI!$B$3,""))</f>
        <v/>
      </c>
      <c r="CR186" s="106">
        <f>IF(AD186="","",IFERROR(AD186*HSCEI!$B$33*HSCEI!$G$33/HSCEI!$B$3,""))</f>
        <v/>
      </c>
      <c r="CS186" s="106">
        <f>IF(AE186="","",IFERROR(AE186*HSCEI!$B$33*HSCEI!$G$33/HSCEI!$B$3,""))</f>
        <v/>
      </c>
      <c r="CT186" s="106">
        <f>IF(AF186="","",IFERROR(AF186*HSCEI!$B$33*HSCEI!$G$33/HSCEI!$B$3,""))</f>
        <v/>
      </c>
      <c r="CU186" s="106">
        <f>IF(AG186="","",IFERROR(AG186*HSCEI!$B$33*HSCEI!$G$33/HSCEI!$B$3,""))</f>
        <v/>
      </c>
      <c r="CV186" s="106">
        <f>IF(AH186="","",IFERROR(AH186*HSCEI!$B$33*HSCEI!$G$33/HSCEI!$B$3,""))</f>
        <v/>
      </c>
      <c r="CW186" s="106">
        <f>IF(AI186="","",IFERROR(AI186*HSCEI!$B$33*HSCEI!$G$33/HSCEI!$B$3,""))</f>
        <v/>
      </c>
      <c r="CX186" s="106">
        <f>IF(AJ186="","",IFERROR(AJ186*HSCEI!$B$33*HSCEI!$G$33/HSCEI!$B$3,""))</f>
        <v/>
      </c>
      <c r="CY186" s="106">
        <f>IF(AK186="","",IFERROR(AK186*HSCEI!$B$33*HSCEI!$G$33/HSCEI!$B$3,""))</f>
        <v/>
      </c>
      <c r="CZ186" s="106">
        <f>IF(AL186="","",IFERROR(AL186*HSCEI!$B$33*HSCEI!$G$33/HSCEI!$B$3,""))</f>
        <v/>
      </c>
      <c r="DA186" s="106">
        <f>IF(AM186="","",IFERROR(AM186*HSCEI!$B$33*HSCEI!$G$33/HSCEI!$B$3,""))</f>
        <v/>
      </c>
      <c r="DB186" s="106">
        <f>IF(AN186="","",IFERROR(AN186*HSCEI!$B$33*HSCEI!$G$33/HSCEI!$B$3,""))</f>
        <v/>
      </c>
      <c r="DC186" s="106">
        <f>IF(AO186="","",IFERROR(AO186*HSCEI!$B$33*HSCEI!$G$33/HSCEI!$B$3,""))</f>
        <v/>
      </c>
      <c r="DD186" s="106">
        <f>IF(AP186="","",IFERROR(AP186*HSCEI!$B$33*HSCEI!$G$33/HSCEI!$B$3,""))</f>
        <v/>
      </c>
      <c r="DE186" s="106">
        <f>IF(AQ186="","",IFERROR(AQ186*HSCEI!$B$33*HSCEI!$G$33/HSCEI!$B$3,""))</f>
        <v/>
      </c>
      <c r="DF186" s="106">
        <f>IF(AR186="","",IFERROR(AR186*HSCEI!$B$33*HSCEI!$G$33/HSCEI!$B$3,""))</f>
        <v/>
      </c>
      <c r="DG186" s="106">
        <f>IF(AS186="","",IFERROR(AS186*HSCEI!$B$33*HSCEI!$G$33/HSCEI!$B$3,""))</f>
        <v/>
      </c>
      <c r="DH186" s="106">
        <f>IF(AT186="","",IFERROR(AT186*HSCEI!$B$33*HSCEI!$G$33/HSCEI!$B$3,""))</f>
        <v/>
      </c>
      <c r="DI186" s="106">
        <f>IF(AU186="","",IFERROR(AU186*HSCEI!$B$33*HSCEI!$G$33/HSCEI!$B$3,""))</f>
        <v/>
      </c>
      <c r="DJ186" s="106">
        <f>IF(AV186="","",IFERROR(AV186*HSCEI!$B$33*HSCEI!$G$33/HSCEI!$B$3,""))</f>
        <v/>
      </c>
      <c r="DK186" s="106">
        <f>IF(AW186="","",IFERROR(AW186*HSCEI!$B$33*HSCEI!$G$33/HSCEI!$B$3,""))</f>
        <v/>
      </c>
      <c r="DL186" s="106">
        <f>IF(AX186="","",IFERROR(AX186*HSCEI!$B$33*HSCEI!$G$33/HSCEI!$B$3,""))</f>
        <v/>
      </c>
      <c r="DM186" s="106">
        <f>IF(AY186="","",IFERROR(AY186*HSCEI!$B$33*HSCEI!$G$33/HSCEI!$B$3,""))</f>
        <v/>
      </c>
      <c r="DN186" s="106">
        <f>IF(AZ186="","",IFERROR(AZ186*HSCEI!$B$33*HSCEI!$G$33/HSCEI!$B$3,""))</f>
        <v/>
      </c>
      <c r="DO186" s="106">
        <f>IF(BA186="","",IFERROR(BA186*HSCEI!$B$33*HSCEI!$G$33/HSCEI!$B$3,""))</f>
        <v/>
      </c>
      <c r="DP186" s="106">
        <f>IF(BB186="","",IFERROR(BB186*HSCEI!$B$33*HSCEI!$G$33/HSCEI!$B$3,""))</f>
        <v/>
      </c>
      <c r="DQ186" s="106">
        <f>IF(BC186="","",IFERROR(BC186*HSCEI!$B$33*HSCEI!$G$33/HSCEI!$B$3,""))</f>
        <v/>
      </c>
      <c r="DR186" s="106">
        <f>IF(BD186="","",IFERROR(BD186*HSCEI!$B$33*HSCEI!$G$33/HSCEI!$B$3,""))</f>
        <v/>
      </c>
      <c r="DS186" s="106">
        <f>IF(BE186="","",IFERROR(BE186*HSCEI!$B$33*HSCEI!$G$33/HSCEI!$B$3,""))</f>
        <v/>
      </c>
      <c r="DT186" s="106">
        <f>IF(BF186="","",IFERROR(BF186*HSCEI!$B$33*HSCEI!$G$33/HSCEI!$B$3,""))</f>
        <v/>
      </c>
      <c r="DU186" s="106">
        <f>IF(BG186="","",IFERROR(BG186*HSCEI!$B$33*HSCEI!$G$33/HSCEI!$B$3,""))</f>
        <v/>
      </c>
      <c r="DV186" s="106">
        <f>IF(BH186="","",IFERROR(BH186*HSCEI!$B$33*HSCEI!$G$33/HSCEI!$B$3,""))</f>
        <v/>
      </c>
      <c r="DW186" s="106">
        <f>IF(BI186="","",IFERROR(BI186*HSCEI!$B$33*HSCEI!$G$33/HSCEI!$B$3,""))</f>
        <v/>
      </c>
      <c r="DX186" s="106">
        <f>IF(BJ186="","",IFERROR(BJ186*HSCEI!$B$33*HSCEI!$G$33/HSCEI!$B$3,""))</f>
        <v/>
      </c>
      <c r="DY186" s="106">
        <f>IF(BK186="","",IFERROR(BK186*HSCEI!$B$33*HSCEI!$G$33/HSCEI!$B$3,""))</f>
        <v/>
      </c>
      <c r="DZ186" s="106">
        <f>IF(BL186="","",IFERROR(BL186*HSCEI!$B$33*HSCEI!$G$33/HSCEI!$B$3,""))</f>
        <v/>
      </c>
      <c r="EA186" s="106">
        <f>IF(BM186="","",IFERROR(BM186*HSCEI!$B$33*HSCEI!$G$33/HSCEI!$B$3,""))</f>
        <v/>
      </c>
      <c r="EB186" s="106">
        <f>IF(BN186="","",IFERROR(BN186*HSCEI!$B$33*HSCEI!$G$33/HSCEI!$B$3,""))</f>
        <v/>
      </c>
      <c r="EC186" s="106">
        <f>IF(BO186="","",IFERROR(BO186*HSCEI!$B$33*HSCEI!$G$33/HSCEI!$B$3,""))</f>
        <v/>
      </c>
      <c r="EE186" s="35">
        <f>IF(N('Dvd Calendar'!$E$1847)=0,"",IF(('Dvd Calendar'!$E$1847&gt;=GRID_FROM)*('Dvd Calendar'!$E$1847&lt;=GRID_TO)*('Dvd Calendar'!$E$1847&lt;=VAL_DATE)=0,"",'Dvd Calendar'!$E$1847*1000000000+ISNUMBER('Dvd Calendar'!$E$1850)*100000000+('Dvd Calendar'!$E$1852=SPECIAL_LBL)*10000000+0*1000000+27*1000+1))</f>
        <v/>
      </c>
      <c r="EF186" s="35">
        <f>IF(N('Dvd Calendar'!$F$1847)=0,"",IF(('Dvd Calendar'!$F$1847&gt;=GRID_FROM)*('Dvd Calendar'!$F$1847&lt;=GRID_TO)*('Dvd Calendar'!$F$1847&lt;=VAL_DATE)=0,"",'Dvd Calendar'!$F$1847*1000000000+ISNUMBER('Dvd Calendar'!$F$1850)*100000000+('Dvd Calendar'!$F$1852=SPECIAL_LBL)*10000000+0*1000000+27*1000+2))</f>
        <v/>
      </c>
      <c r="EG186" s="35">
        <f>IF(N('Dvd Calendar'!$G$1847)=0,"",IF(('Dvd Calendar'!$G$1847&gt;=GRID_FROM)*('Dvd Calendar'!$G$1847&lt;=GRID_TO)*('Dvd Calendar'!$G$1847&lt;=VAL_DATE)=0,"",'Dvd Calendar'!$G$1847*1000000000+ISNUMBER('Dvd Calendar'!$G$1850)*100000000+('Dvd Calendar'!$G$1852=SPECIAL_LBL)*10000000+0*1000000+27*1000+3))</f>
        <v/>
      </c>
      <c r="EH186" s="35">
        <f>IF(N('Dvd Calendar'!$H$1847)=0,"",IF(('Dvd Calendar'!$H$1847&gt;=GRID_FROM)*('Dvd Calendar'!$H$1847&lt;=GRID_TO)*('Dvd Calendar'!$H$1847&lt;=VAL_DATE)=0,"",'Dvd Calendar'!$H$1847*1000000000+ISNUMBER('Dvd Calendar'!$H$1850)*100000000+('Dvd Calendar'!$H$1852=SPECIAL_LBL)*10000000+0*1000000+27*1000+4))</f>
        <v/>
      </c>
      <c r="EI186" s="35">
        <f>IF(N('Dvd Calendar'!$I$1847)=0,"",IF(('Dvd Calendar'!$I$1847&gt;=GRID_FROM)*('Dvd Calendar'!$I$1847&lt;=GRID_TO)*('Dvd Calendar'!$I$1847&lt;=VAL_DATE)=0,"",'Dvd Calendar'!$I$1847*1000000000+ISNUMBER('Dvd Calendar'!$I$1850)*100000000+('Dvd Calendar'!$I$1852=SPECIAL_LBL)*10000000+0*1000000+27*1000+5))</f>
        <v/>
      </c>
      <c r="EJ186" s="35">
        <f>IF(N('Dvd Calendar'!$J$1847)=0,"",IF(('Dvd Calendar'!$J$1847&gt;=GRID_FROM)*('Dvd Calendar'!$J$1847&lt;=GRID_TO)*('Dvd Calendar'!$J$1847&lt;=VAL_DATE)=0,"",'Dvd Calendar'!$J$1847*1000000000+ISNUMBER('Dvd Calendar'!$J$1850)*100000000+('Dvd Calendar'!$J$1852=SPECIAL_LBL)*10000000+0*1000000+27*1000+6))</f>
        <v/>
      </c>
      <c r="EK186" s="35">
        <f>IF(N('Dvd Calendar'!$K$1847)=0,"",IF(('Dvd Calendar'!$K$1847&gt;=GRID_FROM)*('Dvd Calendar'!$K$1847&lt;=GRID_TO)*('Dvd Calendar'!$K$1847&lt;=VAL_DATE)=0,"",'Dvd Calendar'!$K$1847*1000000000+ISNUMBER('Dvd Calendar'!$K$1850)*100000000+('Dvd Calendar'!$K$1852=SPECIAL_LBL)*10000000+0*1000000+27*1000+7))</f>
        <v/>
      </c>
      <c r="EL186" s="35">
        <f>IF(N('Dvd Calendar'!$L$1847)=0,"",IF(('Dvd Calendar'!$L$1847&gt;=GRID_FROM)*('Dvd Calendar'!$L$1847&lt;=GRID_TO)*('Dvd Calendar'!$L$1847&lt;=VAL_DATE)=0,"",'Dvd Calendar'!$L$1847*1000000000+ISNUMBER('Dvd Calendar'!$L$1850)*100000000+('Dvd Calendar'!$L$1852=SPECIAL_LBL)*10000000+0*1000000+27*1000+8))</f>
        <v/>
      </c>
      <c r="EM186" s="35">
        <f>IF(N('Dvd Calendar'!$M$1847)=0,"",IF(('Dvd Calendar'!$M$1847&gt;=GRID_FROM)*('Dvd Calendar'!$M$1847&lt;=GRID_TO)*('Dvd Calendar'!$M$1847&lt;=VAL_DATE)=0,"",'Dvd Calendar'!$M$1847*1000000000+ISNUMBER('Dvd Calendar'!$M$1850)*100000000+('Dvd Calendar'!$M$1852=SPECIAL_LBL)*10000000+0*1000000+27*1000+9))</f>
        <v/>
      </c>
      <c r="EN186" s="35">
        <f>IF(N('Dvd Calendar'!$N$1847)=0,"",IF(('Dvd Calendar'!$N$1847&gt;=GRID_FROM)*('Dvd Calendar'!$N$1847&lt;=GRID_TO)*('Dvd Calendar'!$N$1847&lt;=VAL_DATE)=0,"",'Dvd Calendar'!$N$1847*1000000000+ISNUMBER('Dvd Calendar'!$N$1850)*100000000+('Dvd Calendar'!$N$1852=SPECIAL_LBL)*10000000+0*1000000+27*1000+10))</f>
        <v/>
      </c>
      <c r="EO186" s="35">
        <f>IF(N('Dvd Calendar'!$O$1847)=0,"",IF(('Dvd Calendar'!$O$1847&gt;=GRID_FROM)*('Dvd Calendar'!$O$1847&lt;=GRID_TO)*('Dvd Calendar'!$O$1847&lt;=VAL_DATE)=0,"",'Dvd Calendar'!$O$1847*1000000000+ISNUMBER('Dvd Calendar'!$O$1850)*100000000+('Dvd Calendar'!$O$1852=SPECIAL_LBL)*10000000+0*1000000+27*1000+11))</f>
        <v/>
      </c>
      <c r="EP186" s="35">
        <f>IF(N('Dvd Calendar'!$P$1847)=0,"",IF(('Dvd Calendar'!$P$1847&gt;=GRID_FROM)*('Dvd Calendar'!$P$1847&lt;=GRID_TO)*('Dvd Calendar'!$P$1847&lt;=VAL_DATE)=0,"",'Dvd Calendar'!$P$1847*1000000000+ISNUMBER('Dvd Calendar'!$P$1850)*100000000+('Dvd Calendar'!$P$1852=SPECIAL_LBL)*10000000+0*1000000+27*1000+12))</f>
        <v/>
      </c>
      <c r="EQ186" s="35">
        <f>IF(N('Dvd Calendar'!$Q$1847)=0,"",IF(('Dvd Calendar'!$Q$1847&gt;=GRID_FROM)*('Dvd Calendar'!$Q$1847&lt;=GRID_TO)*('Dvd Calendar'!$Q$1847&lt;=VAL_DATE)=0,"",'Dvd Calendar'!$Q$1847*1000000000+ISNUMBER('Dvd Calendar'!$Q$1850)*100000000+('Dvd Calendar'!$Q$1852=SPECIAL_LBL)*10000000+0*1000000+27*1000+13))</f>
        <v/>
      </c>
      <c r="ER186" s="35">
        <f>IF(N('Dvd Calendar'!$R$1847)=0,"",IF(('Dvd Calendar'!$R$1847&gt;=GRID_FROM)*('Dvd Calendar'!$R$1847&lt;=GRID_TO)*('Dvd Calendar'!$R$1847&lt;=VAL_DATE)=0,"",'Dvd Calendar'!$R$1847*1000000000+ISNUMBER('Dvd Calendar'!$R$1850)*100000000+('Dvd Calendar'!$R$1852=SPECIAL_LBL)*10000000+0*1000000+27*1000+14))</f>
        <v/>
      </c>
      <c r="ES186" s="35">
        <f>IF(N('Dvd Calendar'!$S$1847)=0,"",IF(('Dvd Calendar'!$S$1847&gt;=GRID_FROM)*('Dvd Calendar'!$S$1847&lt;=GRID_TO)*('Dvd Calendar'!$S$1847&lt;=VAL_DATE)=0,"",'Dvd Calendar'!$S$1847*1000000000+ISNUMBER('Dvd Calendar'!$S$1850)*100000000+('Dvd Calendar'!$S$1852=SPECIAL_LBL)*10000000+0*1000000+27*1000+15))</f>
        <v/>
      </c>
      <c r="ET186" s="35">
        <f>IF(N('Dvd Calendar'!$T$1847)=0,"",IF(('Dvd Calendar'!$T$1847&gt;=GRID_FROM)*('Dvd Calendar'!$T$1847&lt;=GRID_TO)*('Dvd Calendar'!$T$1847&lt;=VAL_DATE)=0,"",'Dvd Calendar'!$T$1847*1000000000+ISNUMBER('Dvd Calendar'!$T$1850)*100000000+('Dvd Calendar'!$T$1852=SPECIAL_LBL)*10000000+0*1000000+27*1000+16))</f>
        <v/>
      </c>
      <c r="EU186" s="35">
        <f>IF(N('Dvd Calendar'!$U$1847)=0,"",IF(('Dvd Calendar'!$U$1847&gt;=GRID_FROM)*('Dvd Calendar'!$U$1847&lt;=GRID_TO)*('Dvd Calendar'!$U$1847&lt;=VAL_DATE)=0,"",'Dvd Calendar'!$U$1847*1000000000+ISNUMBER('Dvd Calendar'!$U$1850)*100000000+('Dvd Calendar'!$U$1852=SPECIAL_LBL)*10000000+0*1000000+27*1000+17))</f>
        <v/>
      </c>
      <c r="EV186" s="35">
        <f>IF(N('Dvd Calendar'!$V$1847)=0,"",IF(('Dvd Calendar'!$V$1847&gt;=GRID_FROM)*('Dvd Calendar'!$V$1847&lt;=GRID_TO)*('Dvd Calendar'!$V$1847&lt;=VAL_DATE)=0,"",'Dvd Calendar'!$V$1847*1000000000+ISNUMBER('Dvd Calendar'!$V$1850)*100000000+('Dvd Calendar'!$V$1852=SPECIAL_LBL)*10000000+0*1000000+27*1000+18))</f>
        <v/>
      </c>
      <c r="EW186" s="35">
        <f>IF(N('Dvd Calendar'!$W$1847)=0,"",IF(('Dvd Calendar'!$W$1847&gt;=GRID_FROM)*('Dvd Calendar'!$W$1847&lt;=GRID_TO)*('Dvd Calendar'!$W$1847&lt;=VAL_DATE)=0,"",'Dvd Calendar'!$W$1847*1000000000+ISNUMBER('Dvd Calendar'!$W$1850)*100000000+('Dvd Calendar'!$W$1852=SPECIAL_LBL)*10000000+0*1000000+27*1000+19))</f>
        <v/>
      </c>
      <c r="EX186" s="35">
        <f>IF(N('Dvd Calendar'!$X$1847)=0,"",IF(('Dvd Calendar'!$X$1847&gt;=GRID_FROM)*('Dvd Calendar'!$X$1847&lt;=GRID_TO)*('Dvd Calendar'!$X$1847&lt;=VAL_DATE)=0,"",'Dvd Calendar'!$X$1847*1000000000+ISNUMBER('Dvd Calendar'!$X$1850)*100000000+('Dvd Calendar'!$X$1852=SPECIAL_LBL)*10000000+0*1000000+27*1000+20))</f>
        <v/>
      </c>
      <c r="EY186" s="35">
        <f>IF(N('Dvd Calendar'!$Y$1847)=0,"",IF(('Dvd Calendar'!$Y$1847&gt;=GRID_FROM)*('Dvd Calendar'!$Y$1847&lt;=GRID_TO)*('Dvd Calendar'!$Y$1847&lt;=VAL_DATE)=0,"",'Dvd Calendar'!$Y$1847*1000000000+ISNUMBER('Dvd Calendar'!$Y$1850)*100000000+('Dvd Calendar'!$Y$1852=SPECIAL_LBL)*10000000+0*1000000+27*1000+21))</f>
        <v/>
      </c>
      <c r="EZ186" s="35">
        <f>IF(N('Dvd Calendar'!$Z$1847)=0,"",IF(('Dvd Calendar'!$Z$1847&gt;=GRID_FROM)*('Dvd Calendar'!$Z$1847&lt;=GRID_TO)*('Dvd Calendar'!$Z$1847&lt;=VAL_DATE)=0,"",'Dvd Calendar'!$Z$1847*1000000000+ISNUMBER('Dvd Calendar'!$Z$1850)*100000000+('Dvd Calendar'!$Z$1852=SPECIAL_LBL)*10000000+0*1000000+27*1000+22))</f>
        <v/>
      </c>
      <c r="FA186" s="35">
        <f>IF(N('Dvd Calendar'!$AA$1847)=0,"",IF(('Dvd Calendar'!$AA$1847&gt;=GRID_FROM)*('Dvd Calendar'!$AA$1847&lt;=GRID_TO)*('Dvd Calendar'!$AA$1847&lt;=VAL_DATE)=0,"",'Dvd Calendar'!$AA$1847*1000000000+ISNUMBER('Dvd Calendar'!$AA$1850)*100000000+('Dvd Calendar'!$AA$1852=SPECIAL_LBL)*10000000+0*1000000+27*1000+23))</f>
        <v/>
      </c>
      <c r="FB186" s="35">
        <f>IF(N('Dvd Calendar'!$AB$1847)=0,"",IF(('Dvd Calendar'!$AB$1847&gt;=GRID_FROM)*('Dvd Calendar'!$AB$1847&lt;=GRID_TO)*('Dvd Calendar'!$AB$1847&lt;=VAL_DATE)=0,"",'Dvd Calendar'!$AB$1847*1000000000+ISNUMBER('Dvd Calendar'!$AB$1850)*100000000+('Dvd Calendar'!$AB$1852=SPECIAL_LBL)*10000000+0*1000000+27*1000+24))</f>
        <v/>
      </c>
      <c r="FC186" s="35">
        <f>IF(N('Dvd Calendar'!$AC$1847)=0,"",IF(('Dvd Calendar'!$AC$1847&gt;=GRID_FROM)*('Dvd Calendar'!$AC$1847&lt;=GRID_TO)*('Dvd Calendar'!$AC$1847&lt;=VAL_DATE)=0,"",'Dvd Calendar'!$AC$1847*1000000000+ISNUMBER('Dvd Calendar'!$AC$1850)*100000000+('Dvd Calendar'!$AC$1852=SPECIAL_LBL)*10000000+0*1000000+27*1000+25))</f>
        <v/>
      </c>
      <c r="FD186" s="35">
        <f>IF(N('Dvd Calendar'!$AD$1847)=0,"",IF(('Dvd Calendar'!$AD$1847&gt;=GRID_FROM)*('Dvd Calendar'!$AD$1847&lt;=GRID_TO)*('Dvd Calendar'!$AD$1847&lt;=VAL_DATE)=0,"",'Dvd Calendar'!$AD$1847*1000000000+ISNUMBER('Dvd Calendar'!$AD$1850)*100000000+('Dvd Calendar'!$AD$1852=SPECIAL_LBL)*10000000+0*1000000+27*1000+26))</f>
        <v/>
      </c>
      <c r="FE186" s="35">
        <f>IF(N('Dvd Calendar'!$AE$1847)=0,"",IF(('Dvd Calendar'!$AE$1847&gt;=GRID_FROM)*('Dvd Calendar'!$AE$1847&lt;=GRID_TO)*('Dvd Calendar'!$AE$1847&lt;=VAL_DATE)=0,"",'Dvd Calendar'!$AE$1847*1000000000+ISNUMBER('Dvd Calendar'!$AE$1850)*100000000+('Dvd Calendar'!$AE$1852=SPECIAL_LBL)*10000000+0*1000000+27*1000+27))</f>
        <v/>
      </c>
      <c r="FF186" s="35">
        <f>IF(N('Dvd Calendar'!$AF$1847)=0,"",IF(('Dvd Calendar'!$AF$1847&gt;=GRID_FROM)*('Dvd Calendar'!$AF$1847&lt;=GRID_TO)*('Dvd Calendar'!$AF$1847&lt;=VAL_DATE)=0,"",'Dvd Calendar'!$AF$1847*1000000000+ISNUMBER('Dvd Calendar'!$AF$1850)*100000000+('Dvd Calendar'!$AF$1852=SPECIAL_LBL)*10000000+0*1000000+27*1000+28))</f>
        <v/>
      </c>
      <c r="FG186" s="35">
        <f>IF(N('Dvd Calendar'!$AG$1847)=0,"",IF(('Dvd Calendar'!$AG$1847&gt;=GRID_FROM)*('Dvd Calendar'!$AG$1847&lt;=GRID_TO)*('Dvd Calendar'!$AG$1847&lt;=VAL_DATE)=0,"",'Dvd Calendar'!$AG$1847*1000000000+ISNUMBER('Dvd Calendar'!$AG$1850)*100000000+('Dvd Calendar'!$AG$1852=SPECIAL_LBL)*10000000+0*1000000+27*1000+29))</f>
        <v/>
      </c>
      <c r="FH186" s="35">
        <f>IF(N('Dvd Calendar'!$AH$1847)=0,"",IF(('Dvd Calendar'!$AH$1847&gt;=GRID_FROM)*('Dvd Calendar'!$AH$1847&lt;=GRID_TO)*('Dvd Calendar'!$AH$1847&lt;=VAL_DATE)=0,"",'Dvd Calendar'!$AH$1847*1000000000+ISNUMBER('Dvd Calendar'!$AH$1850)*100000000+('Dvd Calendar'!$AH$1852=SPECIAL_LBL)*10000000+0*1000000+27*1000+30))</f>
        <v/>
      </c>
      <c r="FI186" s="35">
        <f>IF(N('Dvd Calendar'!$AI$1847)=0,"",IF(('Dvd Calendar'!$AI$1847&gt;=GRID_FROM)*('Dvd Calendar'!$AI$1847&lt;=GRID_TO)*('Dvd Calendar'!$AI$1847&lt;=VAL_DATE)=0,"",'Dvd Calendar'!$AI$1847*1000000000+ISNUMBER('Dvd Calendar'!$AI$1850)*100000000+('Dvd Calendar'!$AI$1852=SPECIAL_LBL)*10000000+0*1000000+27*1000+31))</f>
        <v/>
      </c>
      <c r="FJ186" s="35">
        <f>IF(N('Dvd Calendar'!$AJ$1847)=0,"",IF(('Dvd Calendar'!$AJ$1847&gt;=GRID_FROM)*('Dvd Calendar'!$AJ$1847&lt;=GRID_TO)*('Dvd Calendar'!$AJ$1847&lt;=VAL_DATE)=0,"",'Dvd Calendar'!$AJ$1847*1000000000+ISNUMBER('Dvd Calendar'!$AJ$1850)*100000000+('Dvd Calendar'!$AJ$1852=SPECIAL_LBL)*10000000+0*1000000+27*1000+32))</f>
        <v/>
      </c>
      <c r="FK186" s="35">
        <f>IF(N('Dvd Calendar'!$AK$1847)=0,"",IF(('Dvd Calendar'!$AK$1847&gt;=GRID_FROM)*('Dvd Calendar'!$AK$1847&lt;=GRID_TO)*('Dvd Calendar'!$AK$1847&lt;=VAL_DATE)=0,"",'Dvd Calendar'!$AK$1847*1000000000+ISNUMBER('Dvd Calendar'!$AK$1850)*100000000+('Dvd Calendar'!$AK$1852=SPECIAL_LBL)*10000000+0*1000000+27*1000+33))</f>
        <v/>
      </c>
      <c r="FL186" s="35">
        <f>IF(N('Dvd Calendar'!$AL$1847)=0,"",IF(('Dvd Calendar'!$AL$1847&gt;=GRID_FROM)*('Dvd Calendar'!$AL$1847&lt;=GRID_TO)*('Dvd Calendar'!$AL$1847&lt;=VAL_DATE)=0,"",'Dvd Calendar'!$AL$1847*1000000000+ISNUMBER('Dvd Calendar'!$AL$1850)*100000000+('Dvd Calendar'!$AL$1852=SPECIAL_LBL)*10000000+0*1000000+27*1000+34))</f>
        <v/>
      </c>
      <c r="FM186" s="35">
        <f>IF(N('Dvd Calendar'!$AM$1847)=0,"",IF(('Dvd Calendar'!$AM$1847&gt;=GRID_FROM)*('Dvd Calendar'!$AM$1847&lt;=GRID_TO)*('Dvd Calendar'!$AM$1847&lt;=VAL_DATE)=0,"",'Dvd Calendar'!$AM$1847*1000000000+ISNUMBER('Dvd Calendar'!$AM$1850)*100000000+('Dvd Calendar'!$AM$1852=SPECIAL_LBL)*10000000+0*1000000+27*1000+35))</f>
        <v/>
      </c>
      <c r="FN186" s="35">
        <f>IF(N('Dvd Calendar'!$AN$1847)=0,"",IF(('Dvd Calendar'!$AN$1847&gt;=GRID_FROM)*('Dvd Calendar'!$AN$1847&lt;=GRID_TO)*('Dvd Calendar'!$AN$1847&lt;=VAL_DATE)=0,"",'Dvd Calendar'!$AN$1847*1000000000+ISNUMBER('Dvd Calendar'!$AN$1850)*100000000+('Dvd Calendar'!$AN$1852=SPECIAL_LBL)*10000000+0*1000000+27*1000+36))</f>
        <v/>
      </c>
      <c r="FO186" s="35">
        <f>IF(N('Dvd Calendar'!$AO$1847)=0,"",IF(('Dvd Calendar'!$AO$1847&gt;=GRID_FROM)*('Dvd Calendar'!$AO$1847&lt;=GRID_TO)*('Dvd Calendar'!$AO$1847&lt;=VAL_DATE)=0,"",'Dvd Calendar'!$AO$1847*1000000000+ISNUMBER('Dvd Calendar'!$AO$1850)*100000000+('Dvd Calendar'!$AO$1852=SPECIAL_LBL)*10000000+0*1000000+27*1000+37))</f>
        <v/>
      </c>
      <c r="FP186" s="35">
        <f>IF(N('Dvd Calendar'!$AP$1847)=0,"",IF(('Dvd Calendar'!$AP$1847&gt;=GRID_FROM)*('Dvd Calendar'!$AP$1847&lt;=GRID_TO)*('Dvd Calendar'!$AP$1847&lt;=VAL_DATE)=0,"",'Dvd Calendar'!$AP$1847*1000000000+ISNUMBER('Dvd Calendar'!$AP$1850)*100000000+('Dvd Calendar'!$AP$1852=SPECIAL_LBL)*10000000+0*1000000+27*1000+38))</f>
        <v/>
      </c>
      <c r="FQ186" s="35">
        <f>IF(N('Dvd Calendar'!$AQ$1847)=0,"",IF(('Dvd Calendar'!$AQ$1847&gt;=GRID_FROM)*('Dvd Calendar'!$AQ$1847&lt;=GRID_TO)*('Dvd Calendar'!$AQ$1847&lt;=VAL_DATE)=0,"",'Dvd Calendar'!$AQ$1847*1000000000+ISNUMBER('Dvd Calendar'!$AQ$1850)*100000000+('Dvd Calendar'!$AQ$1852=SPECIAL_LBL)*10000000+0*1000000+27*1000+39))</f>
        <v/>
      </c>
      <c r="FR186" s="35">
        <f>IF(N('Dvd Calendar'!$AR$1847)=0,"",IF(('Dvd Calendar'!$AR$1847&gt;=GRID_FROM)*('Dvd Calendar'!$AR$1847&lt;=GRID_TO)*('Dvd Calendar'!$AR$1847&lt;=VAL_DATE)=0,"",'Dvd Calendar'!$AR$1847*1000000000+ISNUMBER('Dvd Calendar'!$AR$1850)*100000000+('Dvd Calendar'!$AR$1852=SPECIAL_LBL)*10000000+0*1000000+27*1000+40))</f>
        <v/>
      </c>
      <c r="FS186" s="35">
        <f>IF(N('Dvd Calendar'!$E$1854)=0,"",IF(('Dvd Calendar'!$E$1854&gt;=GRID_FROM)*('Dvd Calendar'!$E$1854&lt;=GRID_TO)*('Dvd Calendar'!$E$1854&gt;VAL_DATE)=0,"",'Dvd Calendar'!$E$1854*1000000000+ISNUMBER('Dvd Calendar'!$E$1855)*100000000+0*10000000+(N('Dvd Calendar'!$E$1853)&gt;0)*(N('Dvd Calendar'!$E$1853)&lt;=VAL_SERIAL)*1000000+27*1000+41))</f>
        <v/>
      </c>
      <c r="FT186" s="35">
        <f>IF(N('Dvd Calendar'!$F$1854)=0,"",IF(('Dvd Calendar'!$F$1854&gt;=GRID_FROM)*('Dvd Calendar'!$F$1854&lt;=GRID_TO)*('Dvd Calendar'!$F$1854&gt;VAL_DATE)=0,"",'Dvd Calendar'!$F$1854*1000000000+ISNUMBER('Dvd Calendar'!$F$1855)*100000000+0*10000000+(N('Dvd Calendar'!$F$1853)&gt;0)*(N('Dvd Calendar'!$F$1853)&lt;=VAL_SERIAL)*1000000+27*1000+42))</f>
        <v/>
      </c>
      <c r="FU186" s="35">
        <f>IF(N('Dvd Calendar'!$G$1854)=0,"",IF(('Dvd Calendar'!$G$1854&gt;=GRID_FROM)*('Dvd Calendar'!$G$1854&lt;=GRID_TO)*('Dvd Calendar'!$G$1854&gt;VAL_DATE)=0,"",'Dvd Calendar'!$G$1854*1000000000+ISNUMBER('Dvd Calendar'!$G$1855)*100000000+0*10000000+(N('Dvd Calendar'!$G$1853)&gt;0)*(N('Dvd Calendar'!$G$1853)&lt;=VAL_SERIAL)*1000000+27*1000+43))</f>
        <v/>
      </c>
      <c r="FV186" s="35">
        <f>IF(N('Dvd Calendar'!$H$1854)=0,"",IF(('Dvd Calendar'!$H$1854&gt;=GRID_FROM)*('Dvd Calendar'!$H$1854&lt;=GRID_TO)*('Dvd Calendar'!$H$1854&gt;VAL_DATE)=0,"",'Dvd Calendar'!$H$1854*1000000000+ISNUMBER('Dvd Calendar'!$H$1855)*100000000+0*10000000+(N('Dvd Calendar'!$H$1853)&gt;0)*(N('Dvd Calendar'!$H$1853)&lt;=VAL_SERIAL)*1000000+27*1000+44))</f>
        <v/>
      </c>
      <c r="FW186" s="35">
        <f>IF(N('Dvd Calendar'!$I$1854)=0,"",IF(('Dvd Calendar'!$I$1854&gt;=GRID_FROM)*('Dvd Calendar'!$I$1854&lt;=GRID_TO)*('Dvd Calendar'!$I$1854&gt;VAL_DATE)=0,"",'Dvd Calendar'!$I$1854*1000000000+ISNUMBER('Dvd Calendar'!$I$1855)*100000000+0*10000000+(N('Dvd Calendar'!$I$1853)&gt;0)*(N('Dvd Calendar'!$I$1853)&lt;=VAL_SERIAL)*1000000+27*1000+45))</f>
        <v/>
      </c>
      <c r="FX186" s="35">
        <f>IF(N('Dvd Calendar'!$J$1854)=0,"",IF(('Dvd Calendar'!$J$1854&gt;=GRID_FROM)*('Dvd Calendar'!$J$1854&lt;=GRID_TO)*('Dvd Calendar'!$J$1854&gt;VAL_DATE)=0,"",'Dvd Calendar'!$J$1854*1000000000+ISNUMBER('Dvd Calendar'!$J$1855)*100000000+0*10000000+(N('Dvd Calendar'!$J$1853)&gt;0)*(N('Dvd Calendar'!$J$1853)&lt;=VAL_SERIAL)*1000000+27*1000+46))</f>
        <v/>
      </c>
      <c r="FY186" s="35">
        <f>IF(N('Dvd Calendar'!$K$1854)=0,"",IF(('Dvd Calendar'!$K$1854&gt;=GRID_FROM)*('Dvd Calendar'!$K$1854&lt;=GRID_TO)*('Dvd Calendar'!$K$1854&gt;VAL_DATE)=0,"",'Dvd Calendar'!$K$1854*1000000000+ISNUMBER('Dvd Calendar'!$K$1855)*100000000+0*10000000+(N('Dvd Calendar'!$K$1853)&gt;0)*(N('Dvd Calendar'!$K$1853)&lt;=VAL_SERIAL)*1000000+27*1000+47))</f>
        <v/>
      </c>
      <c r="FZ186" s="35">
        <f>IF(N('Dvd Calendar'!$L$1854)=0,"",IF(('Dvd Calendar'!$L$1854&gt;=GRID_FROM)*('Dvd Calendar'!$L$1854&lt;=GRID_TO)*('Dvd Calendar'!$L$1854&gt;VAL_DATE)=0,"",'Dvd Calendar'!$L$1854*1000000000+ISNUMBER('Dvd Calendar'!$L$1855)*100000000+0*10000000+(N('Dvd Calendar'!$L$1853)&gt;0)*(N('Dvd Calendar'!$L$1853)&lt;=VAL_SERIAL)*1000000+27*1000+48))</f>
        <v/>
      </c>
      <c r="GA186" s="35">
        <f>IF(N('Dvd Calendar'!$M$1854)=0,"",IF(('Dvd Calendar'!$M$1854&gt;=GRID_FROM)*('Dvd Calendar'!$M$1854&lt;=GRID_TO)*('Dvd Calendar'!$M$1854&gt;VAL_DATE)=0,"",'Dvd Calendar'!$M$1854*1000000000+ISNUMBER('Dvd Calendar'!$M$1855)*100000000+0*10000000+(N('Dvd Calendar'!$M$1853)&gt;0)*(N('Dvd Calendar'!$M$1853)&lt;=VAL_SERIAL)*1000000+27*1000+49))</f>
        <v/>
      </c>
      <c r="GB186" s="35">
        <f>IF(N('Dvd Calendar'!$N$1854)=0,"",IF(('Dvd Calendar'!$N$1854&gt;=GRID_FROM)*('Dvd Calendar'!$N$1854&lt;=GRID_TO)*('Dvd Calendar'!$N$1854&gt;VAL_DATE)=0,"",'Dvd Calendar'!$N$1854*1000000000+ISNUMBER('Dvd Calendar'!$N$1855)*100000000+0*10000000+(N('Dvd Calendar'!$N$1853)&gt;0)*(N('Dvd Calendar'!$N$1853)&lt;=VAL_SERIAL)*1000000+27*1000+50))</f>
        <v/>
      </c>
      <c r="GC186" s="35">
        <f>IF(N('Dvd Calendar'!$O$1854)=0,"",IF(('Dvd Calendar'!$O$1854&gt;=GRID_FROM)*('Dvd Calendar'!$O$1854&lt;=GRID_TO)*('Dvd Calendar'!$O$1854&gt;VAL_DATE)=0,"",'Dvd Calendar'!$O$1854*1000000000+ISNUMBER('Dvd Calendar'!$O$1855)*100000000+0*10000000+(N('Dvd Calendar'!$O$1853)&gt;0)*(N('Dvd Calendar'!$O$1853)&lt;=VAL_SERIAL)*1000000+27*1000+51))</f>
        <v/>
      </c>
      <c r="GD186" s="35">
        <f>IF(N('Dvd Calendar'!$P$1854)=0,"",IF(('Dvd Calendar'!$P$1854&gt;=GRID_FROM)*('Dvd Calendar'!$P$1854&lt;=GRID_TO)*('Dvd Calendar'!$P$1854&gt;VAL_DATE)=0,"",'Dvd Calendar'!$P$1854*1000000000+ISNUMBER('Dvd Calendar'!$P$1855)*100000000+0*10000000+(N('Dvd Calendar'!$P$1853)&gt;0)*(N('Dvd Calendar'!$P$1853)&lt;=VAL_SERIAL)*1000000+27*1000+52))</f>
        <v/>
      </c>
      <c r="GE186" s="35">
        <f>IF(N('Dvd Calendar'!$Q$1854)=0,"",IF(('Dvd Calendar'!$Q$1854&gt;=GRID_FROM)*('Dvd Calendar'!$Q$1854&lt;=GRID_TO)*('Dvd Calendar'!$Q$1854&gt;VAL_DATE)=0,"",'Dvd Calendar'!$Q$1854*1000000000+ISNUMBER('Dvd Calendar'!$Q$1855)*100000000+0*10000000+(N('Dvd Calendar'!$Q$1853)&gt;0)*(N('Dvd Calendar'!$Q$1853)&lt;=VAL_SERIAL)*1000000+27*1000+53))</f>
        <v/>
      </c>
      <c r="GF186" s="35">
        <f>IF(N('Dvd Calendar'!$R$1854)=0,"",IF(('Dvd Calendar'!$R$1854&gt;=GRID_FROM)*('Dvd Calendar'!$R$1854&lt;=GRID_TO)*('Dvd Calendar'!$R$1854&gt;VAL_DATE)=0,"",'Dvd Calendar'!$R$1854*1000000000+ISNUMBER('Dvd Calendar'!$R$1855)*100000000+0*10000000+(N('Dvd Calendar'!$R$1853)&gt;0)*(N('Dvd Calendar'!$R$1853)&lt;=VAL_SERIAL)*1000000+27*1000+54))</f>
        <v/>
      </c>
      <c r="GG186" s="35">
        <f>IF(N('Dvd Calendar'!$S$1854)=0,"",IF(('Dvd Calendar'!$S$1854&gt;=GRID_FROM)*('Dvd Calendar'!$S$1854&lt;=GRID_TO)*('Dvd Calendar'!$S$1854&gt;VAL_DATE)=0,"",'Dvd Calendar'!$S$1854*1000000000+ISNUMBER('Dvd Calendar'!$S$1855)*100000000+0*10000000+(N('Dvd Calendar'!$S$1853)&gt;0)*(N('Dvd Calendar'!$S$1853)&lt;=VAL_SERIAL)*1000000+27*1000+55))</f>
        <v/>
      </c>
      <c r="GH186" s="35">
        <f>IF(N('Dvd Calendar'!$T$1854)=0,"",IF(('Dvd Calendar'!$T$1854&gt;=GRID_FROM)*('Dvd Calendar'!$T$1854&lt;=GRID_TO)*('Dvd Calendar'!$T$1854&gt;VAL_DATE)=0,"",'Dvd Calendar'!$T$1854*1000000000+ISNUMBER('Dvd Calendar'!$T$1855)*100000000+0*10000000+(N('Dvd Calendar'!$T$1853)&gt;0)*(N('Dvd Calendar'!$T$1853)&lt;=VAL_SERIAL)*1000000+27*1000+56))</f>
        <v/>
      </c>
      <c r="GI186" s="35">
        <f>IF(N('Dvd Calendar'!$U$1854)=0,"",IF(('Dvd Calendar'!$U$1854&gt;=GRID_FROM)*('Dvd Calendar'!$U$1854&lt;=GRID_TO)*('Dvd Calendar'!$U$1854&gt;VAL_DATE)=0,"",'Dvd Calendar'!$U$1854*1000000000+ISNUMBER('Dvd Calendar'!$U$1855)*100000000+0*10000000+(N('Dvd Calendar'!$U$1853)&gt;0)*(N('Dvd Calendar'!$U$1853)&lt;=VAL_SERIAL)*1000000+27*1000+57))</f>
        <v/>
      </c>
      <c r="GJ186" s="35">
        <f>IF(N('Dvd Calendar'!$V$1854)=0,"",IF(('Dvd Calendar'!$V$1854&gt;=GRID_FROM)*('Dvd Calendar'!$V$1854&lt;=GRID_TO)*('Dvd Calendar'!$V$1854&gt;VAL_DATE)=0,"",'Dvd Calendar'!$V$1854*1000000000+ISNUMBER('Dvd Calendar'!$V$1855)*100000000+0*10000000+(N('Dvd Calendar'!$V$1853)&gt;0)*(N('Dvd Calendar'!$V$1853)&lt;=VAL_SERIAL)*1000000+27*1000+58))</f>
        <v/>
      </c>
      <c r="GK186" s="35">
        <f>IF(N('Dvd Calendar'!$W$1854)=0,"",IF(('Dvd Calendar'!$W$1854&gt;=GRID_FROM)*('Dvd Calendar'!$W$1854&lt;=GRID_TO)*('Dvd Calendar'!$W$1854&gt;VAL_DATE)=0,"",'Dvd Calendar'!$W$1854*1000000000+ISNUMBER('Dvd Calendar'!$W$1855)*100000000+0*10000000+(N('Dvd Calendar'!$W$1853)&gt;0)*(N('Dvd Calendar'!$W$1853)&lt;=VAL_SERIAL)*1000000+27*1000+59))</f>
        <v/>
      </c>
      <c r="GL186" s="35">
        <f>IF(N('Dvd Calendar'!$X$1854)=0,"",IF(('Dvd Calendar'!$X$1854&gt;=GRID_FROM)*('Dvd Calendar'!$X$1854&lt;=GRID_TO)*('Dvd Calendar'!$X$1854&gt;VAL_DATE)=0,"",'Dvd Calendar'!$X$1854*1000000000+ISNUMBER('Dvd Calendar'!$X$1855)*100000000+0*10000000+(N('Dvd Calendar'!$X$1853)&gt;0)*(N('Dvd Calendar'!$X$1853)&lt;=VAL_SERIAL)*1000000+27*1000+60))</f>
        <v/>
      </c>
      <c r="GM186" s="35">
        <f>IF(N('Dvd Calendar'!$Y$1854)=0,"",IF(('Dvd Calendar'!$Y$1854&gt;=GRID_FROM)*('Dvd Calendar'!$Y$1854&lt;=GRID_TO)*('Dvd Calendar'!$Y$1854&gt;VAL_DATE)=0,"",'Dvd Calendar'!$Y$1854*1000000000+ISNUMBER('Dvd Calendar'!$Y$1855)*100000000+0*10000000+(N('Dvd Calendar'!$Y$1853)&gt;0)*(N('Dvd Calendar'!$Y$1853)&lt;=VAL_SERIAL)*1000000+27*1000+61))</f>
        <v/>
      </c>
      <c r="GN186" s="35">
        <f>IF(N('Dvd Calendar'!$Z$1854)=0,"",IF(('Dvd Calendar'!$Z$1854&gt;=GRID_FROM)*('Dvd Calendar'!$Z$1854&lt;=GRID_TO)*('Dvd Calendar'!$Z$1854&gt;VAL_DATE)=0,"",'Dvd Calendar'!$Z$1854*1000000000+ISNUMBER('Dvd Calendar'!$Z$1855)*100000000+0*10000000+(N('Dvd Calendar'!$Z$1853)&gt;0)*(N('Dvd Calendar'!$Z$1853)&lt;=VAL_SERIAL)*1000000+27*1000+62))</f>
        <v/>
      </c>
      <c r="GO186" s="35">
        <f>IF(N('Dvd Calendar'!$AA$1854)=0,"",IF(('Dvd Calendar'!$AA$1854&gt;=GRID_FROM)*('Dvd Calendar'!$AA$1854&lt;=GRID_TO)*('Dvd Calendar'!$AA$1854&gt;VAL_DATE)=0,"",'Dvd Calendar'!$AA$1854*1000000000+ISNUMBER('Dvd Calendar'!$AA$1855)*100000000+0*10000000+(N('Dvd Calendar'!$AA$1853)&gt;0)*(N('Dvd Calendar'!$AA$1853)&lt;=VAL_SERIAL)*1000000+27*1000+63))</f>
        <v/>
      </c>
      <c r="GP186" s="35">
        <f>IF(N('Dvd Calendar'!$AB$1854)=0,"",IF(('Dvd Calendar'!$AB$1854&gt;=GRID_FROM)*('Dvd Calendar'!$AB$1854&lt;=GRID_TO)*('Dvd Calendar'!$AB$1854&gt;VAL_DATE)=0,"",'Dvd Calendar'!$AB$1854*1000000000+ISNUMBER('Dvd Calendar'!$AB$1855)*100000000+0*10000000+(N('Dvd Calendar'!$AB$1853)&gt;0)*(N('Dvd Calendar'!$AB$1853)&lt;=VAL_SERIAL)*1000000+27*1000+64))</f>
        <v/>
      </c>
      <c r="GQ186" s="35">
        <f>IF(N('Dvd Calendar'!$AC$1854)=0,"",IF(('Dvd Calendar'!$AC$1854&gt;=GRID_FROM)*('Dvd Calendar'!$AC$1854&lt;=GRID_TO)*('Dvd Calendar'!$AC$1854&gt;VAL_DATE)=0,"",'Dvd Calendar'!$AC$1854*1000000000+ISNUMBER('Dvd Calendar'!$AC$1855)*100000000+0*10000000+(N('Dvd Calendar'!$AC$1853)&gt;0)*(N('Dvd Calendar'!$AC$1853)&lt;=VAL_SERIAL)*1000000+27*1000+65))</f>
        <v/>
      </c>
    </row>
    <row r="187">
      <c r="B187" s="2">
        <f>IF(HSCEI!$C$34="","",HSCEI!$C$34)</f>
        <v/>
      </c>
      <c r="C187" s="106">
        <f>IF(EE187="","",IF(ISNUMBER('Dvd Calendar'!$E$1861)=FALSE,"",IF((('Dvd Calendar'!$E$1863=TYPE1)*(TYPE1&lt;&gt;"")+('Dvd Calendar'!$E$1863=TYPE2)*(TYPE2&lt;&gt;"")+('Dvd Calendar'!$E$1863=TYPE3)*(TYPE3&lt;&gt;"")+('Dvd Calendar'!$E$1863=TYPE4)*(TYPE4&lt;&gt;"")+('Dvd Calendar'!$E$1863=SPECIAL_LBL)*(INC_SPECIALS="Y"))=0,"",'Dvd Calendar'!$E$1861)))</f>
        <v/>
      </c>
      <c r="D187" s="106">
        <f>IF(EF187="","",IF(ISNUMBER('Dvd Calendar'!$F$1861)=FALSE,"",IF((('Dvd Calendar'!$F$1863=TYPE1)*(TYPE1&lt;&gt;"")+('Dvd Calendar'!$F$1863=TYPE2)*(TYPE2&lt;&gt;"")+('Dvd Calendar'!$F$1863=TYPE3)*(TYPE3&lt;&gt;"")+('Dvd Calendar'!$F$1863=TYPE4)*(TYPE4&lt;&gt;"")+('Dvd Calendar'!$F$1863=SPECIAL_LBL)*(INC_SPECIALS="Y"))=0,"",'Dvd Calendar'!$F$1861)))</f>
        <v/>
      </c>
      <c r="E187" s="106">
        <f>IF(EG187="","",IF(ISNUMBER('Dvd Calendar'!$G$1861)=FALSE,"",IF((('Dvd Calendar'!$G$1863=TYPE1)*(TYPE1&lt;&gt;"")+('Dvd Calendar'!$G$1863=TYPE2)*(TYPE2&lt;&gt;"")+('Dvd Calendar'!$G$1863=TYPE3)*(TYPE3&lt;&gt;"")+('Dvd Calendar'!$G$1863=TYPE4)*(TYPE4&lt;&gt;"")+('Dvd Calendar'!$G$1863=SPECIAL_LBL)*(INC_SPECIALS="Y"))=0,"",'Dvd Calendar'!$G$1861)))</f>
        <v/>
      </c>
      <c r="F187" s="106">
        <f>IF(EH187="","",IF(ISNUMBER('Dvd Calendar'!$H$1861)=FALSE,"",IF((('Dvd Calendar'!$H$1863=TYPE1)*(TYPE1&lt;&gt;"")+('Dvd Calendar'!$H$1863=TYPE2)*(TYPE2&lt;&gt;"")+('Dvd Calendar'!$H$1863=TYPE3)*(TYPE3&lt;&gt;"")+('Dvd Calendar'!$H$1863=TYPE4)*(TYPE4&lt;&gt;"")+('Dvd Calendar'!$H$1863=SPECIAL_LBL)*(INC_SPECIALS="Y"))=0,"",'Dvd Calendar'!$H$1861)))</f>
        <v/>
      </c>
      <c r="G187" s="106">
        <f>IF(EI187="","",IF(ISNUMBER('Dvd Calendar'!$I$1861)=FALSE,"",IF((('Dvd Calendar'!$I$1863=TYPE1)*(TYPE1&lt;&gt;"")+('Dvd Calendar'!$I$1863=TYPE2)*(TYPE2&lt;&gt;"")+('Dvd Calendar'!$I$1863=TYPE3)*(TYPE3&lt;&gt;"")+('Dvd Calendar'!$I$1863=TYPE4)*(TYPE4&lt;&gt;"")+('Dvd Calendar'!$I$1863=SPECIAL_LBL)*(INC_SPECIALS="Y"))=0,"",'Dvd Calendar'!$I$1861)))</f>
        <v/>
      </c>
      <c r="H187" s="106">
        <f>IF(EJ187="","",IF(ISNUMBER('Dvd Calendar'!$J$1861)=FALSE,"",IF((('Dvd Calendar'!$J$1863=TYPE1)*(TYPE1&lt;&gt;"")+('Dvd Calendar'!$J$1863=TYPE2)*(TYPE2&lt;&gt;"")+('Dvd Calendar'!$J$1863=TYPE3)*(TYPE3&lt;&gt;"")+('Dvd Calendar'!$J$1863=TYPE4)*(TYPE4&lt;&gt;"")+('Dvd Calendar'!$J$1863=SPECIAL_LBL)*(INC_SPECIALS="Y"))=0,"",'Dvd Calendar'!$J$1861)))</f>
        <v/>
      </c>
      <c r="I187" s="106">
        <f>IF(EK187="","",IF(ISNUMBER('Dvd Calendar'!$K$1861)=FALSE,"",IF((('Dvd Calendar'!$K$1863=TYPE1)*(TYPE1&lt;&gt;"")+('Dvd Calendar'!$K$1863=TYPE2)*(TYPE2&lt;&gt;"")+('Dvd Calendar'!$K$1863=TYPE3)*(TYPE3&lt;&gt;"")+('Dvd Calendar'!$K$1863=TYPE4)*(TYPE4&lt;&gt;"")+('Dvd Calendar'!$K$1863=SPECIAL_LBL)*(INC_SPECIALS="Y"))=0,"",'Dvd Calendar'!$K$1861)))</f>
        <v/>
      </c>
      <c r="J187" s="106">
        <f>IF(EL187="","",IF(ISNUMBER('Dvd Calendar'!$L$1861)=FALSE,"",IF((('Dvd Calendar'!$L$1863=TYPE1)*(TYPE1&lt;&gt;"")+('Dvd Calendar'!$L$1863=TYPE2)*(TYPE2&lt;&gt;"")+('Dvd Calendar'!$L$1863=TYPE3)*(TYPE3&lt;&gt;"")+('Dvd Calendar'!$L$1863=TYPE4)*(TYPE4&lt;&gt;"")+('Dvd Calendar'!$L$1863=SPECIAL_LBL)*(INC_SPECIALS="Y"))=0,"",'Dvd Calendar'!$L$1861)))</f>
        <v/>
      </c>
      <c r="K187" s="106">
        <f>IF(EM187="","",IF(ISNUMBER('Dvd Calendar'!$M$1861)=FALSE,"",IF((('Dvd Calendar'!$M$1863=TYPE1)*(TYPE1&lt;&gt;"")+('Dvd Calendar'!$M$1863=TYPE2)*(TYPE2&lt;&gt;"")+('Dvd Calendar'!$M$1863=TYPE3)*(TYPE3&lt;&gt;"")+('Dvd Calendar'!$M$1863=TYPE4)*(TYPE4&lt;&gt;"")+('Dvd Calendar'!$M$1863=SPECIAL_LBL)*(INC_SPECIALS="Y"))=0,"",'Dvd Calendar'!$M$1861)))</f>
        <v/>
      </c>
      <c r="L187" s="106">
        <f>IF(EN187="","",IF(ISNUMBER('Dvd Calendar'!$N$1861)=FALSE,"",IF((('Dvd Calendar'!$N$1863=TYPE1)*(TYPE1&lt;&gt;"")+('Dvd Calendar'!$N$1863=TYPE2)*(TYPE2&lt;&gt;"")+('Dvd Calendar'!$N$1863=TYPE3)*(TYPE3&lt;&gt;"")+('Dvd Calendar'!$N$1863=TYPE4)*(TYPE4&lt;&gt;"")+('Dvd Calendar'!$N$1863=SPECIAL_LBL)*(INC_SPECIALS="Y"))=0,"",'Dvd Calendar'!$N$1861)))</f>
        <v/>
      </c>
      <c r="M187" s="106">
        <f>IF(EO187="","",IF(ISNUMBER('Dvd Calendar'!$O$1861)=FALSE,"",IF((('Dvd Calendar'!$O$1863=TYPE1)*(TYPE1&lt;&gt;"")+('Dvd Calendar'!$O$1863=TYPE2)*(TYPE2&lt;&gt;"")+('Dvd Calendar'!$O$1863=TYPE3)*(TYPE3&lt;&gt;"")+('Dvd Calendar'!$O$1863=TYPE4)*(TYPE4&lt;&gt;"")+('Dvd Calendar'!$O$1863=SPECIAL_LBL)*(INC_SPECIALS="Y"))=0,"",'Dvd Calendar'!$O$1861)))</f>
        <v/>
      </c>
      <c r="N187" s="106">
        <f>IF(EP187="","",IF(ISNUMBER('Dvd Calendar'!$P$1861)=FALSE,"",IF((('Dvd Calendar'!$P$1863=TYPE1)*(TYPE1&lt;&gt;"")+('Dvd Calendar'!$P$1863=TYPE2)*(TYPE2&lt;&gt;"")+('Dvd Calendar'!$P$1863=TYPE3)*(TYPE3&lt;&gt;"")+('Dvd Calendar'!$P$1863=TYPE4)*(TYPE4&lt;&gt;"")+('Dvd Calendar'!$P$1863=SPECIAL_LBL)*(INC_SPECIALS="Y"))=0,"",'Dvd Calendar'!$P$1861)))</f>
        <v/>
      </c>
      <c r="O187" s="106">
        <f>IF(EQ187="","",IF(ISNUMBER('Dvd Calendar'!$Q$1861)=FALSE,"",IF((('Dvd Calendar'!$Q$1863=TYPE1)*(TYPE1&lt;&gt;"")+('Dvd Calendar'!$Q$1863=TYPE2)*(TYPE2&lt;&gt;"")+('Dvd Calendar'!$Q$1863=TYPE3)*(TYPE3&lt;&gt;"")+('Dvd Calendar'!$Q$1863=TYPE4)*(TYPE4&lt;&gt;"")+('Dvd Calendar'!$Q$1863=SPECIAL_LBL)*(INC_SPECIALS="Y"))=0,"",'Dvd Calendar'!$Q$1861)))</f>
        <v/>
      </c>
      <c r="P187" s="106">
        <f>IF(ER187="","",IF(ISNUMBER('Dvd Calendar'!$R$1861)=FALSE,"",IF((('Dvd Calendar'!$R$1863=TYPE1)*(TYPE1&lt;&gt;"")+('Dvd Calendar'!$R$1863=TYPE2)*(TYPE2&lt;&gt;"")+('Dvd Calendar'!$R$1863=TYPE3)*(TYPE3&lt;&gt;"")+('Dvd Calendar'!$R$1863=TYPE4)*(TYPE4&lt;&gt;"")+('Dvd Calendar'!$R$1863=SPECIAL_LBL)*(INC_SPECIALS="Y"))=0,"",'Dvd Calendar'!$R$1861)))</f>
        <v/>
      </c>
      <c r="Q187" s="106">
        <f>IF(ES187="","",IF(ISNUMBER('Dvd Calendar'!$S$1861)=FALSE,"",IF((('Dvd Calendar'!$S$1863=TYPE1)*(TYPE1&lt;&gt;"")+('Dvd Calendar'!$S$1863=TYPE2)*(TYPE2&lt;&gt;"")+('Dvd Calendar'!$S$1863=TYPE3)*(TYPE3&lt;&gt;"")+('Dvd Calendar'!$S$1863=TYPE4)*(TYPE4&lt;&gt;"")+('Dvd Calendar'!$S$1863=SPECIAL_LBL)*(INC_SPECIALS="Y"))=0,"",'Dvd Calendar'!$S$1861)))</f>
        <v/>
      </c>
      <c r="R187" s="106">
        <f>IF(ET187="","",IF(ISNUMBER('Dvd Calendar'!$T$1861)=FALSE,"",IF((('Dvd Calendar'!$T$1863=TYPE1)*(TYPE1&lt;&gt;"")+('Dvd Calendar'!$T$1863=TYPE2)*(TYPE2&lt;&gt;"")+('Dvd Calendar'!$T$1863=TYPE3)*(TYPE3&lt;&gt;"")+('Dvd Calendar'!$T$1863=TYPE4)*(TYPE4&lt;&gt;"")+('Dvd Calendar'!$T$1863=SPECIAL_LBL)*(INC_SPECIALS="Y"))=0,"",'Dvd Calendar'!$T$1861)))</f>
        <v/>
      </c>
      <c r="S187" s="106">
        <f>IF(EU187="","",IF(ISNUMBER('Dvd Calendar'!$U$1861)=FALSE,"",IF((('Dvd Calendar'!$U$1863=TYPE1)*(TYPE1&lt;&gt;"")+('Dvd Calendar'!$U$1863=TYPE2)*(TYPE2&lt;&gt;"")+('Dvd Calendar'!$U$1863=TYPE3)*(TYPE3&lt;&gt;"")+('Dvd Calendar'!$U$1863=TYPE4)*(TYPE4&lt;&gt;"")+('Dvd Calendar'!$U$1863=SPECIAL_LBL)*(INC_SPECIALS="Y"))=0,"",'Dvd Calendar'!$U$1861)))</f>
        <v/>
      </c>
      <c r="T187" s="106">
        <f>IF(EV187="","",IF(ISNUMBER('Dvd Calendar'!$V$1861)=FALSE,"",IF((('Dvd Calendar'!$V$1863=TYPE1)*(TYPE1&lt;&gt;"")+('Dvd Calendar'!$V$1863=TYPE2)*(TYPE2&lt;&gt;"")+('Dvd Calendar'!$V$1863=TYPE3)*(TYPE3&lt;&gt;"")+('Dvd Calendar'!$V$1863=TYPE4)*(TYPE4&lt;&gt;"")+('Dvd Calendar'!$V$1863=SPECIAL_LBL)*(INC_SPECIALS="Y"))=0,"",'Dvd Calendar'!$V$1861)))</f>
        <v/>
      </c>
      <c r="U187" s="106">
        <f>IF(EW187="","",IF(ISNUMBER('Dvd Calendar'!$W$1861)=FALSE,"",IF((('Dvd Calendar'!$W$1863=TYPE1)*(TYPE1&lt;&gt;"")+('Dvd Calendar'!$W$1863=TYPE2)*(TYPE2&lt;&gt;"")+('Dvd Calendar'!$W$1863=TYPE3)*(TYPE3&lt;&gt;"")+('Dvd Calendar'!$W$1863=TYPE4)*(TYPE4&lt;&gt;"")+('Dvd Calendar'!$W$1863=SPECIAL_LBL)*(INC_SPECIALS="Y"))=0,"",'Dvd Calendar'!$W$1861)))</f>
        <v/>
      </c>
      <c r="V187" s="106">
        <f>IF(EX187="","",IF(ISNUMBER('Dvd Calendar'!$X$1861)=FALSE,"",IF((('Dvd Calendar'!$X$1863=TYPE1)*(TYPE1&lt;&gt;"")+('Dvd Calendar'!$X$1863=TYPE2)*(TYPE2&lt;&gt;"")+('Dvd Calendar'!$X$1863=TYPE3)*(TYPE3&lt;&gt;"")+('Dvd Calendar'!$X$1863=TYPE4)*(TYPE4&lt;&gt;"")+('Dvd Calendar'!$X$1863=SPECIAL_LBL)*(INC_SPECIALS="Y"))=0,"",'Dvd Calendar'!$X$1861)))</f>
        <v/>
      </c>
      <c r="W187" s="106">
        <f>IF(EY187="","",IF(ISNUMBER('Dvd Calendar'!$Y$1861)=FALSE,"",IF((('Dvd Calendar'!$Y$1863=TYPE1)*(TYPE1&lt;&gt;"")+('Dvd Calendar'!$Y$1863=TYPE2)*(TYPE2&lt;&gt;"")+('Dvd Calendar'!$Y$1863=TYPE3)*(TYPE3&lt;&gt;"")+('Dvd Calendar'!$Y$1863=TYPE4)*(TYPE4&lt;&gt;"")+('Dvd Calendar'!$Y$1863=SPECIAL_LBL)*(INC_SPECIALS="Y"))=0,"",'Dvd Calendar'!$Y$1861)))</f>
        <v/>
      </c>
      <c r="X187" s="106">
        <f>IF(EZ187="","",IF(ISNUMBER('Dvd Calendar'!$Z$1861)=FALSE,"",IF((('Dvd Calendar'!$Z$1863=TYPE1)*(TYPE1&lt;&gt;"")+('Dvd Calendar'!$Z$1863=TYPE2)*(TYPE2&lt;&gt;"")+('Dvd Calendar'!$Z$1863=TYPE3)*(TYPE3&lt;&gt;"")+('Dvd Calendar'!$Z$1863=TYPE4)*(TYPE4&lt;&gt;"")+('Dvd Calendar'!$Z$1863=SPECIAL_LBL)*(INC_SPECIALS="Y"))=0,"",'Dvd Calendar'!$Z$1861)))</f>
        <v/>
      </c>
      <c r="Y187" s="106">
        <f>IF(FA187="","",IF(ISNUMBER('Dvd Calendar'!$AA$1861)=FALSE,"",IF((('Dvd Calendar'!$AA$1863=TYPE1)*(TYPE1&lt;&gt;"")+('Dvd Calendar'!$AA$1863=TYPE2)*(TYPE2&lt;&gt;"")+('Dvd Calendar'!$AA$1863=TYPE3)*(TYPE3&lt;&gt;"")+('Dvd Calendar'!$AA$1863=TYPE4)*(TYPE4&lt;&gt;"")+('Dvd Calendar'!$AA$1863=SPECIAL_LBL)*(INC_SPECIALS="Y"))=0,"",'Dvd Calendar'!$AA$1861)))</f>
        <v/>
      </c>
      <c r="Z187" s="106">
        <f>IF(FB187="","",IF(ISNUMBER('Dvd Calendar'!$AB$1861)=FALSE,"",IF((('Dvd Calendar'!$AB$1863=TYPE1)*(TYPE1&lt;&gt;"")+('Dvd Calendar'!$AB$1863=TYPE2)*(TYPE2&lt;&gt;"")+('Dvd Calendar'!$AB$1863=TYPE3)*(TYPE3&lt;&gt;"")+('Dvd Calendar'!$AB$1863=TYPE4)*(TYPE4&lt;&gt;"")+('Dvd Calendar'!$AB$1863=SPECIAL_LBL)*(INC_SPECIALS="Y"))=0,"",'Dvd Calendar'!$AB$1861)))</f>
        <v/>
      </c>
      <c r="AA187" s="106">
        <f>IF(FC187="","",IF(ISNUMBER('Dvd Calendar'!$AC$1861)=FALSE,"",IF((('Dvd Calendar'!$AC$1863=TYPE1)*(TYPE1&lt;&gt;"")+('Dvd Calendar'!$AC$1863=TYPE2)*(TYPE2&lt;&gt;"")+('Dvd Calendar'!$AC$1863=TYPE3)*(TYPE3&lt;&gt;"")+('Dvd Calendar'!$AC$1863=TYPE4)*(TYPE4&lt;&gt;"")+('Dvd Calendar'!$AC$1863=SPECIAL_LBL)*(INC_SPECIALS="Y"))=0,"",'Dvd Calendar'!$AC$1861)))</f>
        <v/>
      </c>
      <c r="AB187" s="106">
        <f>IF(FD187="","",IF(ISNUMBER('Dvd Calendar'!$AD$1861)=FALSE,"",IF((('Dvd Calendar'!$AD$1863=TYPE1)*(TYPE1&lt;&gt;"")+('Dvd Calendar'!$AD$1863=TYPE2)*(TYPE2&lt;&gt;"")+('Dvd Calendar'!$AD$1863=TYPE3)*(TYPE3&lt;&gt;"")+('Dvd Calendar'!$AD$1863=TYPE4)*(TYPE4&lt;&gt;"")+('Dvd Calendar'!$AD$1863=SPECIAL_LBL)*(INC_SPECIALS="Y"))=0,"",'Dvd Calendar'!$AD$1861)))</f>
        <v/>
      </c>
      <c r="AC187" s="106">
        <f>IF(FE187="","",IF(ISNUMBER('Dvd Calendar'!$AE$1861)=FALSE,"",IF((('Dvd Calendar'!$AE$1863=TYPE1)*(TYPE1&lt;&gt;"")+('Dvd Calendar'!$AE$1863=TYPE2)*(TYPE2&lt;&gt;"")+('Dvd Calendar'!$AE$1863=TYPE3)*(TYPE3&lt;&gt;"")+('Dvd Calendar'!$AE$1863=TYPE4)*(TYPE4&lt;&gt;"")+('Dvd Calendar'!$AE$1863=SPECIAL_LBL)*(INC_SPECIALS="Y"))=0,"",'Dvd Calendar'!$AE$1861)))</f>
        <v/>
      </c>
      <c r="AD187" s="106">
        <f>IF(FF187="","",IF(ISNUMBER('Dvd Calendar'!$AF$1861)=FALSE,"",IF((('Dvd Calendar'!$AF$1863=TYPE1)*(TYPE1&lt;&gt;"")+('Dvd Calendar'!$AF$1863=TYPE2)*(TYPE2&lt;&gt;"")+('Dvd Calendar'!$AF$1863=TYPE3)*(TYPE3&lt;&gt;"")+('Dvd Calendar'!$AF$1863=TYPE4)*(TYPE4&lt;&gt;"")+('Dvd Calendar'!$AF$1863=SPECIAL_LBL)*(INC_SPECIALS="Y"))=0,"",'Dvd Calendar'!$AF$1861)))</f>
        <v/>
      </c>
      <c r="AE187" s="106">
        <f>IF(FG187="","",IF(ISNUMBER('Dvd Calendar'!$AG$1861)=FALSE,"",IF((('Dvd Calendar'!$AG$1863=TYPE1)*(TYPE1&lt;&gt;"")+('Dvd Calendar'!$AG$1863=TYPE2)*(TYPE2&lt;&gt;"")+('Dvd Calendar'!$AG$1863=TYPE3)*(TYPE3&lt;&gt;"")+('Dvd Calendar'!$AG$1863=TYPE4)*(TYPE4&lt;&gt;"")+('Dvd Calendar'!$AG$1863=SPECIAL_LBL)*(INC_SPECIALS="Y"))=0,"",'Dvd Calendar'!$AG$1861)))</f>
        <v/>
      </c>
      <c r="AF187" s="106">
        <f>IF(FH187="","",IF(ISNUMBER('Dvd Calendar'!$AH$1861)=FALSE,"",IF((('Dvd Calendar'!$AH$1863=TYPE1)*(TYPE1&lt;&gt;"")+('Dvd Calendar'!$AH$1863=TYPE2)*(TYPE2&lt;&gt;"")+('Dvd Calendar'!$AH$1863=TYPE3)*(TYPE3&lt;&gt;"")+('Dvd Calendar'!$AH$1863=TYPE4)*(TYPE4&lt;&gt;"")+('Dvd Calendar'!$AH$1863=SPECIAL_LBL)*(INC_SPECIALS="Y"))=0,"",'Dvd Calendar'!$AH$1861)))</f>
        <v/>
      </c>
      <c r="AG187" s="106">
        <f>IF(FI187="","",IF(ISNUMBER('Dvd Calendar'!$AI$1861)=FALSE,"",IF((('Dvd Calendar'!$AI$1863=TYPE1)*(TYPE1&lt;&gt;"")+('Dvd Calendar'!$AI$1863=TYPE2)*(TYPE2&lt;&gt;"")+('Dvd Calendar'!$AI$1863=TYPE3)*(TYPE3&lt;&gt;"")+('Dvd Calendar'!$AI$1863=TYPE4)*(TYPE4&lt;&gt;"")+('Dvd Calendar'!$AI$1863=SPECIAL_LBL)*(INC_SPECIALS="Y"))=0,"",'Dvd Calendar'!$AI$1861)))</f>
        <v/>
      </c>
      <c r="AH187" s="106">
        <f>IF(FJ187="","",IF(ISNUMBER('Dvd Calendar'!$AJ$1861)=FALSE,"",IF((('Dvd Calendar'!$AJ$1863=TYPE1)*(TYPE1&lt;&gt;"")+('Dvd Calendar'!$AJ$1863=TYPE2)*(TYPE2&lt;&gt;"")+('Dvd Calendar'!$AJ$1863=TYPE3)*(TYPE3&lt;&gt;"")+('Dvd Calendar'!$AJ$1863=TYPE4)*(TYPE4&lt;&gt;"")+('Dvd Calendar'!$AJ$1863=SPECIAL_LBL)*(INC_SPECIALS="Y"))=0,"",'Dvd Calendar'!$AJ$1861)))</f>
        <v/>
      </c>
      <c r="AI187" s="106">
        <f>IF(FK187="","",IF(ISNUMBER('Dvd Calendar'!$AK$1861)=FALSE,"",IF((('Dvd Calendar'!$AK$1863=TYPE1)*(TYPE1&lt;&gt;"")+('Dvd Calendar'!$AK$1863=TYPE2)*(TYPE2&lt;&gt;"")+('Dvd Calendar'!$AK$1863=TYPE3)*(TYPE3&lt;&gt;"")+('Dvd Calendar'!$AK$1863=TYPE4)*(TYPE4&lt;&gt;"")+('Dvd Calendar'!$AK$1863=SPECIAL_LBL)*(INC_SPECIALS="Y"))=0,"",'Dvd Calendar'!$AK$1861)))</f>
        <v/>
      </c>
      <c r="AJ187" s="106">
        <f>IF(FL187="","",IF(ISNUMBER('Dvd Calendar'!$AL$1861)=FALSE,"",IF((('Dvd Calendar'!$AL$1863=TYPE1)*(TYPE1&lt;&gt;"")+('Dvd Calendar'!$AL$1863=TYPE2)*(TYPE2&lt;&gt;"")+('Dvd Calendar'!$AL$1863=TYPE3)*(TYPE3&lt;&gt;"")+('Dvd Calendar'!$AL$1863=TYPE4)*(TYPE4&lt;&gt;"")+('Dvd Calendar'!$AL$1863=SPECIAL_LBL)*(INC_SPECIALS="Y"))=0,"",'Dvd Calendar'!$AL$1861)))</f>
        <v/>
      </c>
      <c r="AK187" s="106">
        <f>IF(FM187="","",IF(ISNUMBER('Dvd Calendar'!$AM$1861)=FALSE,"",IF((('Dvd Calendar'!$AM$1863=TYPE1)*(TYPE1&lt;&gt;"")+('Dvd Calendar'!$AM$1863=TYPE2)*(TYPE2&lt;&gt;"")+('Dvd Calendar'!$AM$1863=TYPE3)*(TYPE3&lt;&gt;"")+('Dvd Calendar'!$AM$1863=TYPE4)*(TYPE4&lt;&gt;"")+('Dvd Calendar'!$AM$1863=SPECIAL_LBL)*(INC_SPECIALS="Y"))=0,"",'Dvd Calendar'!$AM$1861)))</f>
        <v/>
      </c>
      <c r="AL187" s="106">
        <f>IF(FN187="","",IF(ISNUMBER('Dvd Calendar'!$AN$1861)=FALSE,"",IF((('Dvd Calendar'!$AN$1863=TYPE1)*(TYPE1&lt;&gt;"")+('Dvd Calendar'!$AN$1863=TYPE2)*(TYPE2&lt;&gt;"")+('Dvd Calendar'!$AN$1863=TYPE3)*(TYPE3&lt;&gt;"")+('Dvd Calendar'!$AN$1863=TYPE4)*(TYPE4&lt;&gt;"")+('Dvd Calendar'!$AN$1863=SPECIAL_LBL)*(INC_SPECIALS="Y"))=0,"",'Dvd Calendar'!$AN$1861)))</f>
        <v/>
      </c>
      <c r="AM187" s="106">
        <f>IF(FO187="","",IF(ISNUMBER('Dvd Calendar'!$AO$1861)=FALSE,"",IF((('Dvd Calendar'!$AO$1863=TYPE1)*(TYPE1&lt;&gt;"")+('Dvd Calendar'!$AO$1863=TYPE2)*(TYPE2&lt;&gt;"")+('Dvd Calendar'!$AO$1863=TYPE3)*(TYPE3&lt;&gt;"")+('Dvd Calendar'!$AO$1863=TYPE4)*(TYPE4&lt;&gt;"")+('Dvd Calendar'!$AO$1863=SPECIAL_LBL)*(INC_SPECIALS="Y"))=0,"",'Dvd Calendar'!$AO$1861)))</f>
        <v/>
      </c>
      <c r="AN187" s="106">
        <f>IF(FP187="","",IF(ISNUMBER('Dvd Calendar'!$AP$1861)=FALSE,"",IF((('Dvd Calendar'!$AP$1863=TYPE1)*(TYPE1&lt;&gt;"")+('Dvd Calendar'!$AP$1863=TYPE2)*(TYPE2&lt;&gt;"")+('Dvd Calendar'!$AP$1863=TYPE3)*(TYPE3&lt;&gt;"")+('Dvd Calendar'!$AP$1863=TYPE4)*(TYPE4&lt;&gt;"")+('Dvd Calendar'!$AP$1863=SPECIAL_LBL)*(INC_SPECIALS="Y"))=0,"",'Dvd Calendar'!$AP$1861)))</f>
        <v/>
      </c>
      <c r="AO187" s="106">
        <f>IF(FQ187="","",IF(ISNUMBER('Dvd Calendar'!$AQ$1861)=FALSE,"",IF((('Dvd Calendar'!$AQ$1863=TYPE1)*(TYPE1&lt;&gt;"")+('Dvd Calendar'!$AQ$1863=TYPE2)*(TYPE2&lt;&gt;"")+('Dvd Calendar'!$AQ$1863=TYPE3)*(TYPE3&lt;&gt;"")+('Dvd Calendar'!$AQ$1863=TYPE4)*(TYPE4&lt;&gt;"")+('Dvd Calendar'!$AQ$1863=SPECIAL_LBL)*(INC_SPECIALS="Y"))=0,"",'Dvd Calendar'!$AQ$1861)))</f>
        <v/>
      </c>
      <c r="AP187" s="106">
        <f>IF(FR187="","",IF(ISNUMBER('Dvd Calendar'!$AR$1861)=FALSE,"",IF((('Dvd Calendar'!$AR$1863=TYPE1)*(TYPE1&lt;&gt;"")+('Dvd Calendar'!$AR$1863=TYPE2)*(TYPE2&lt;&gt;"")+('Dvd Calendar'!$AR$1863=TYPE3)*(TYPE3&lt;&gt;"")+('Dvd Calendar'!$AR$1863=TYPE4)*(TYPE4&lt;&gt;"")+('Dvd Calendar'!$AR$1863=SPECIAL_LBL)*(INC_SPECIALS="Y"))=0,"",'Dvd Calendar'!$AR$1861)))</f>
        <v/>
      </c>
      <c r="AQ187" s="106">
        <f>IF(FS187="","",IF(ISNUMBER('Dvd Calendar'!$E$1866)=FALSE,"",'Dvd Calendar'!$E$1866))</f>
        <v/>
      </c>
      <c r="AR187" s="106">
        <f>IF(FT187="","",IF(ISNUMBER('Dvd Calendar'!$F$1866)=FALSE,"",'Dvd Calendar'!$F$1866))</f>
        <v/>
      </c>
      <c r="AS187" s="106">
        <f>IF(FU187="","",IF(ISNUMBER('Dvd Calendar'!$G$1866)=FALSE,"",'Dvd Calendar'!$G$1866))</f>
        <v/>
      </c>
      <c r="AT187" s="106">
        <f>IF(FV187="","",IF(ISNUMBER('Dvd Calendar'!$H$1866)=FALSE,"",'Dvd Calendar'!$H$1866))</f>
        <v/>
      </c>
      <c r="AU187" s="106">
        <f>IF(FW187="","",IF(ISNUMBER('Dvd Calendar'!$I$1866)=FALSE,"",'Dvd Calendar'!$I$1866))</f>
        <v/>
      </c>
      <c r="AV187" s="106">
        <f>IF(FX187="","",IF(ISNUMBER('Dvd Calendar'!$J$1866)=FALSE,"",'Dvd Calendar'!$J$1866))</f>
        <v/>
      </c>
      <c r="AW187" s="106">
        <f>IF(FY187="","",IF(ISNUMBER('Dvd Calendar'!$K$1866)=FALSE,"",'Dvd Calendar'!$K$1866))</f>
        <v/>
      </c>
      <c r="AX187" s="106">
        <f>IF(FZ187="","",IF(ISNUMBER('Dvd Calendar'!$L$1866)=FALSE,"",'Dvd Calendar'!$L$1866))</f>
        <v/>
      </c>
      <c r="AY187" s="106">
        <f>IF(GA187="","",IF(ISNUMBER('Dvd Calendar'!$M$1866)=FALSE,"",'Dvd Calendar'!$M$1866))</f>
        <v/>
      </c>
      <c r="AZ187" s="106">
        <f>IF(GB187="","",IF(ISNUMBER('Dvd Calendar'!$N$1866)=FALSE,"",'Dvd Calendar'!$N$1866))</f>
        <v/>
      </c>
      <c r="BA187" s="106">
        <f>IF(GC187="","",IF(ISNUMBER('Dvd Calendar'!$O$1866)=FALSE,"",'Dvd Calendar'!$O$1866))</f>
        <v/>
      </c>
      <c r="BB187" s="106">
        <f>IF(GD187="","",IF(ISNUMBER('Dvd Calendar'!$P$1866)=FALSE,"",'Dvd Calendar'!$P$1866))</f>
        <v/>
      </c>
      <c r="BC187" s="106">
        <f>IF(GE187="","",IF(ISNUMBER('Dvd Calendar'!$Q$1866)=FALSE,"",'Dvd Calendar'!$Q$1866))</f>
        <v/>
      </c>
      <c r="BD187" s="106">
        <f>IF(GF187="","",IF(ISNUMBER('Dvd Calendar'!$R$1866)=FALSE,"",'Dvd Calendar'!$R$1866))</f>
        <v/>
      </c>
      <c r="BE187" s="106">
        <f>IF(GG187="","",IF(ISNUMBER('Dvd Calendar'!$S$1866)=FALSE,"",'Dvd Calendar'!$S$1866))</f>
        <v/>
      </c>
      <c r="BF187" s="106">
        <f>IF(GH187="","",IF(ISNUMBER('Dvd Calendar'!$T$1866)=FALSE,"",'Dvd Calendar'!$T$1866))</f>
        <v/>
      </c>
      <c r="BG187" s="106">
        <f>IF(GI187="","",IF(ISNUMBER('Dvd Calendar'!$U$1866)=FALSE,"",'Dvd Calendar'!$U$1866))</f>
        <v/>
      </c>
      <c r="BH187" s="106">
        <f>IF(GJ187="","",IF(ISNUMBER('Dvd Calendar'!$V$1866)=FALSE,"",'Dvd Calendar'!$V$1866))</f>
        <v/>
      </c>
      <c r="BI187" s="106">
        <f>IF(GK187="","",IF(ISNUMBER('Dvd Calendar'!$W$1866)=FALSE,"",'Dvd Calendar'!$W$1866))</f>
        <v/>
      </c>
      <c r="BJ187" s="106">
        <f>IF(GL187="","",IF(ISNUMBER('Dvd Calendar'!$X$1866)=FALSE,"",'Dvd Calendar'!$X$1866))</f>
        <v/>
      </c>
      <c r="BK187" s="106">
        <f>IF(GM187="","",IF(ISNUMBER('Dvd Calendar'!$Y$1866)=FALSE,"",'Dvd Calendar'!$Y$1866))</f>
        <v/>
      </c>
      <c r="BL187" s="106">
        <f>IF(GN187="","",IF(ISNUMBER('Dvd Calendar'!$Z$1866)=FALSE,"",'Dvd Calendar'!$Z$1866))</f>
        <v/>
      </c>
      <c r="BM187" s="106">
        <f>IF(GO187="","",IF(ISNUMBER('Dvd Calendar'!$AA$1866)=FALSE,"",'Dvd Calendar'!$AA$1866))</f>
        <v/>
      </c>
      <c r="BN187" s="106">
        <f>IF(GP187="","",IF(ISNUMBER('Dvd Calendar'!$AB$1866)=FALSE,"",'Dvd Calendar'!$AB$1866))</f>
        <v/>
      </c>
      <c r="BO187" s="106">
        <f>IF(GQ187="","",IF(ISNUMBER('Dvd Calendar'!$AC$1866)=FALSE,"",'Dvd Calendar'!$AC$1866))</f>
        <v/>
      </c>
      <c r="BQ187" s="106">
        <f>IF(C187="","",IFERROR(C187*HSCEI!$B$34*HSCEI!$G$34/HSCEI!$B$3,""))</f>
        <v/>
      </c>
      <c r="BR187" s="106">
        <f>IF(D187="","",IFERROR(D187*HSCEI!$B$34*HSCEI!$G$34/HSCEI!$B$3,""))</f>
        <v/>
      </c>
      <c r="BS187" s="106">
        <f>IF(E187="","",IFERROR(E187*HSCEI!$B$34*HSCEI!$G$34/HSCEI!$B$3,""))</f>
        <v/>
      </c>
      <c r="BT187" s="106">
        <f>IF(F187="","",IFERROR(F187*HSCEI!$B$34*HSCEI!$G$34/HSCEI!$B$3,""))</f>
        <v/>
      </c>
      <c r="BU187" s="106">
        <f>IF(G187="","",IFERROR(G187*HSCEI!$B$34*HSCEI!$G$34/HSCEI!$B$3,""))</f>
        <v/>
      </c>
      <c r="BV187" s="106">
        <f>IF(H187="","",IFERROR(H187*HSCEI!$B$34*HSCEI!$G$34/HSCEI!$B$3,""))</f>
        <v/>
      </c>
      <c r="BW187" s="106">
        <f>IF(I187="","",IFERROR(I187*HSCEI!$B$34*HSCEI!$G$34/HSCEI!$B$3,""))</f>
        <v/>
      </c>
      <c r="BX187" s="106">
        <f>IF(J187="","",IFERROR(J187*HSCEI!$B$34*HSCEI!$G$34/HSCEI!$B$3,""))</f>
        <v/>
      </c>
      <c r="BY187" s="106">
        <f>IF(K187="","",IFERROR(K187*HSCEI!$B$34*HSCEI!$G$34/HSCEI!$B$3,""))</f>
        <v/>
      </c>
      <c r="BZ187" s="106">
        <f>IF(L187="","",IFERROR(L187*HSCEI!$B$34*HSCEI!$G$34/HSCEI!$B$3,""))</f>
        <v/>
      </c>
      <c r="CA187" s="106">
        <f>IF(M187="","",IFERROR(M187*HSCEI!$B$34*HSCEI!$G$34/HSCEI!$B$3,""))</f>
        <v/>
      </c>
      <c r="CB187" s="106">
        <f>IF(N187="","",IFERROR(N187*HSCEI!$B$34*HSCEI!$G$34/HSCEI!$B$3,""))</f>
        <v/>
      </c>
      <c r="CC187" s="106">
        <f>IF(O187="","",IFERROR(O187*HSCEI!$B$34*HSCEI!$G$34/HSCEI!$B$3,""))</f>
        <v/>
      </c>
      <c r="CD187" s="106">
        <f>IF(P187="","",IFERROR(P187*HSCEI!$B$34*HSCEI!$G$34/HSCEI!$B$3,""))</f>
        <v/>
      </c>
      <c r="CE187" s="106">
        <f>IF(Q187="","",IFERROR(Q187*HSCEI!$B$34*HSCEI!$G$34/HSCEI!$B$3,""))</f>
        <v/>
      </c>
      <c r="CF187" s="106">
        <f>IF(R187="","",IFERROR(R187*HSCEI!$B$34*HSCEI!$G$34/HSCEI!$B$3,""))</f>
        <v/>
      </c>
      <c r="CG187" s="106">
        <f>IF(S187="","",IFERROR(S187*HSCEI!$B$34*HSCEI!$G$34/HSCEI!$B$3,""))</f>
        <v/>
      </c>
      <c r="CH187" s="106">
        <f>IF(T187="","",IFERROR(T187*HSCEI!$B$34*HSCEI!$G$34/HSCEI!$B$3,""))</f>
        <v/>
      </c>
      <c r="CI187" s="106">
        <f>IF(U187="","",IFERROR(U187*HSCEI!$B$34*HSCEI!$G$34/HSCEI!$B$3,""))</f>
        <v/>
      </c>
      <c r="CJ187" s="106">
        <f>IF(V187="","",IFERROR(V187*HSCEI!$B$34*HSCEI!$G$34/HSCEI!$B$3,""))</f>
        <v/>
      </c>
      <c r="CK187" s="106">
        <f>IF(W187="","",IFERROR(W187*HSCEI!$B$34*HSCEI!$G$34/HSCEI!$B$3,""))</f>
        <v/>
      </c>
      <c r="CL187" s="106">
        <f>IF(X187="","",IFERROR(X187*HSCEI!$B$34*HSCEI!$G$34/HSCEI!$B$3,""))</f>
        <v/>
      </c>
      <c r="CM187" s="106">
        <f>IF(Y187="","",IFERROR(Y187*HSCEI!$B$34*HSCEI!$G$34/HSCEI!$B$3,""))</f>
        <v/>
      </c>
      <c r="CN187" s="106">
        <f>IF(Z187="","",IFERROR(Z187*HSCEI!$B$34*HSCEI!$G$34/HSCEI!$B$3,""))</f>
        <v/>
      </c>
      <c r="CO187" s="106">
        <f>IF(AA187="","",IFERROR(AA187*HSCEI!$B$34*HSCEI!$G$34/HSCEI!$B$3,""))</f>
        <v/>
      </c>
      <c r="CP187" s="106">
        <f>IF(AB187="","",IFERROR(AB187*HSCEI!$B$34*HSCEI!$G$34/HSCEI!$B$3,""))</f>
        <v/>
      </c>
      <c r="CQ187" s="106">
        <f>IF(AC187="","",IFERROR(AC187*HSCEI!$B$34*HSCEI!$G$34/HSCEI!$B$3,""))</f>
        <v/>
      </c>
      <c r="CR187" s="106">
        <f>IF(AD187="","",IFERROR(AD187*HSCEI!$B$34*HSCEI!$G$34/HSCEI!$B$3,""))</f>
        <v/>
      </c>
      <c r="CS187" s="106">
        <f>IF(AE187="","",IFERROR(AE187*HSCEI!$B$34*HSCEI!$G$34/HSCEI!$B$3,""))</f>
        <v/>
      </c>
      <c r="CT187" s="106">
        <f>IF(AF187="","",IFERROR(AF187*HSCEI!$B$34*HSCEI!$G$34/HSCEI!$B$3,""))</f>
        <v/>
      </c>
      <c r="CU187" s="106">
        <f>IF(AG187="","",IFERROR(AG187*HSCEI!$B$34*HSCEI!$G$34/HSCEI!$B$3,""))</f>
        <v/>
      </c>
      <c r="CV187" s="106">
        <f>IF(AH187="","",IFERROR(AH187*HSCEI!$B$34*HSCEI!$G$34/HSCEI!$B$3,""))</f>
        <v/>
      </c>
      <c r="CW187" s="106">
        <f>IF(AI187="","",IFERROR(AI187*HSCEI!$B$34*HSCEI!$G$34/HSCEI!$B$3,""))</f>
        <v/>
      </c>
      <c r="CX187" s="106">
        <f>IF(AJ187="","",IFERROR(AJ187*HSCEI!$B$34*HSCEI!$G$34/HSCEI!$B$3,""))</f>
        <v/>
      </c>
      <c r="CY187" s="106">
        <f>IF(AK187="","",IFERROR(AK187*HSCEI!$B$34*HSCEI!$G$34/HSCEI!$B$3,""))</f>
        <v/>
      </c>
      <c r="CZ187" s="106">
        <f>IF(AL187="","",IFERROR(AL187*HSCEI!$B$34*HSCEI!$G$34/HSCEI!$B$3,""))</f>
        <v/>
      </c>
      <c r="DA187" s="106">
        <f>IF(AM187="","",IFERROR(AM187*HSCEI!$B$34*HSCEI!$G$34/HSCEI!$B$3,""))</f>
        <v/>
      </c>
      <c r="DB187" s="106">
        <f>IF(AN187="","",IFERROR(AN187*HSCEI!$B$34*HSCEI!$G$34/HSCEI!$B$3,""))</f>
        <v/>
      </c>
      <c r="DC187" s="106">
        <f>IF(AO187="","",IFERROR(AO187*HSCEI!$B$34*HSCEI!$G$34/HSCEI!$B$3,""))</f>
        <v/>
      </c>
      <c r="DD187" s="106">
        <f>IF(AP187="","",IFERROR(AP187*HSCEI!$B$34*HSCEI!$G$34/HSCEI!$B$3,""))</f>
        <v/>
      </c>
      <c r="DE187" s="106">
        <f>IF(AQ187="","",IFERROR(AQ187*HSCEI!$B$34*HSCEI!$G$34/HSCEI!$B$3,""))</f>
        <v/>
      </c>
      <c r="DF187" s="106">
        <f>IF(AR187="","",IFERROR(AR187*HSCEI!$B$34*HSCEI!$G$34/HSCEI!$B$3,""))</f>
        <v/>
      </c>
      <c r="DG187" s="106">
        <f>IF(AS187="","",IFERROR(AS187*HSCEI!$B$34*HSCEI!$G$34/HSCEI!$B$3,""))</f>
        <v/>
      </c>
      <c r="DH187" s="106">
        <f>IF(AT187="","",IFERROR(AT187*HSCEI!$B$34*HSCEI!$G$34/HSCEI!$B$3,""))</f>
        <v/>
      </c>
      <c r="DI187" s="106">
        <f>IF(AU187="","",IFERROR(AU187*HSCEI!$B$34*HSCEI!$G$34/HSCEI!$B$3,""))</f>
        <v/>
      </c>
      <c r="DJ187" s="106">
        <f>IF(AV187="","",IFERROR(AV187*HSCEI!$B$34*HSCEI!$G$34/HSCEI!$B$3,""))</f>
        <v/>
      </c>
      <c r="DK187" s="106">
        <f>IF(AW187="","",IFERROR(AW187*HSCEI!$B$34*HSCEI!$G$34/HSCEI!$B$3,""))</f>
        <v/>
      </c>
      <c r="DL187" s="106">
        <f>IF(AX187="","",IFERROR(AX187*HSCEI!$B$34*HSCEI!$G$34/HSCEI!$B$3,""))</f>
        <v/>
      </c>
      <c r="DM187" s="106">
        <f>IF(AY187="","",IFERROR(AY187*HSCEI!$B$34*HSCEI!$G$34/HSCEI!$B$3,""))</f>
        <v/>
      </c>
      <c r="DN187" s="106">
        <f>IF(AZ187="","",IFERROR(AZ187*HSCEI!$B$34*HSCEI!$G$34/HSCEI!$B$3,""))</f>
        <v/>
      </c>
      <c r="DO187" s="106">
        <f>IF(BA187="","",IFERROR(BA187*HSCEI!$B$34*HSCEI!$G$34/HSCEI!$B$3,""))</f>
        <v/>
      </c>
      <c r="DP187" s="106">
        <f>IF(BB187="","",IFERROR(BB187*HSCEI!$B$34*HSCEI!$G$34/HSCEI!$B$3,""))</f>
        <v/>
      </c>
      <c r="DQ187" s="106">
        <f>IF(BC187="","",IFERROR(BC187*HSCEI!$B$34*HSCEI!$G$34/HSCEI!$B$3,""))</f>
        <v/>
      </c>
      <c r="DR187" s="106">
        <f>IF(BD187="","",IFERROR(BD187*HSCEI!$B$34*HSCEI!$G$34/HSCEI!$B$3,""))</f>
        <v/>
      </c>
      <c r="DS187" s="106">
        <f>IF(BE187="","",IFERROR(BE187*HSCEI!$B$34*HSCEI!$G$34/HSCEI!$B$3,""))</f>
        <v/>
      </c>
      <c r="DT187" s="106">
        <f>IF(BF187="","",IFERROR(BF187*HSCEI!$B$34*HSCEI!$G$34/HSCEI!$B$3,""))</f>
        <v/>
      </c>
      <c r="DU187" s="106">
        <f>IF(BG187="","",IFERROR(BG187*HSCEI!$B$34*HSCEI!$G$34/HSCEI!$B$3,""))</f>
        <v/>
      </c>
      <c r="DV187" s="106">
        <f>IF(BH187="","",IFERROR(BH187*HSCEI!$B$34*HSCEI!$G$34/HSCEI!$B$3,""))</f>
        <v/>
      </c>
      <c r="DW187" s="106">
        <f>IF(BI187="","",IFERROR(BI187*HSCEI!$B$34*HSCEI!$G$34/HSCEI!$B$3,""))</f>
        <v/>
      </c>
      <c r="DX187" s="106">
        <f>IF(BJ187="","",IFERROR(BJ187*HSCEI!$B$34*HSCEI!$G$34/HSCEI!$B$3,""))</f>
        <v/>
      </c>
      <c r="DY187" s="106">
        <f>IF(BK187="","",IFERROR(BK187*HSCEI!$B$34*HSCEI!$G$34/HSCEI!$B$3,""))</f>
        <v/>
      </c>
      <c r="DZ187" s="106">
        <f>IF(BL187="","",IFERROR(BL187*HSCEI!$B$34*HSCEI!$G$34/HSCEI!$B$3,""))</f>
        <v/>
      </c>
      <c r="EA187" s="106">
        <f>IF(BM187="","",IFERROR(BM187*HSCEI!$B$34*HSCEI!$G$34/HSCEI!$B$3,""))</f>
        <v/>
      </c>
      <c r="EB187" s="106">
        <f>IF(BN187="","",IFERROR(BN187*HSCEI!$B$34*HSCEI!$G$34/HSCEI!$B$3,""))</f>
        <v/>
      </c>
      <c r="EC187" s="106">
        <f>IF(BO187="","",IFERROR(BO187*HSCEI!$B$34*HSCEI!$G$34/HSCEI!$B$3,""))</f>
        <v/>
      </c>
      <c r="EE187" s="35">
        <f>IF(N('Dvd Calendar'!$E$1858)=0,"",IF(('Dvd Calendar'!$E$1858&gt;=GRID_FROM)*('Dvd Calendar'!$E$1858&lt;=GRID_TO)*('Dvd Calendar'!$E$1858&lt;=VAL_DATE)=0,"",'Dvd Calendar'!$E$1858*1000000000+ISNUMBER('Dvd Calendar'!$E$1861)*100000000+('Dvd Calendar'!$E$1863=SPECIAL_LBL)*10000000+0*1000000+28*1000+1))</f>
        <v/>
      </c>
      <c r="EF187" s="35">
        <f>IF(N('Dvd Calendar'!$F$1858)=0,"",IF(('Dvd Calendar'!$F$1858&gt;=GRID_FROM)*('Dvd Calendar'!$F$1858&lt;=GRID_TO)*('Dvd Calendar'!$F$1858&lt;=VAL_DATE)=0,"",'Dvd Calendar'!$F$1858*1000000000+ISNUMBER('Dvd Calendar'!$F$1861)*100000000+('Dvd Calendar'!$F$1863=SPECIAL_LBL)*10000000+0*1000000+28*1000+2))</f>
        <v/>
      </c>
      <c r="EG187" s="35">
        <f>IF(N('Dvd Calendar'!$G$1858)=0,"",IF(('Dvd Calendar'!$G$1858&gt;=GRID_FROM)*('Dvd Calendar'!$G$1858&lt;=GRID_TO)*('Dvd Calendar'!$G$1858&lt;=VAL_DATE)=0,"",'Dvd Calendar'!$G$1858*1000000000+ISNUMBER('Dvd Calendar'!$G$1861)*100000000+('Dvd Calendar'!$G$1863=SPECIAL_LBL)*10000000+0*1000000+28*1000+3))</f>
        <v/>
      </c>
      <c r="EH187" s="35">
        <f>IF(N('Dvd Calendar'!$H$1858)=0,"",IF(('Dvd Calendar'!$H$1858&gt;=GRID_FROM)*('Dvd Calendar'!$H$1858&lt;=GRID_TO)*('Dvd Calendar'!$H$1858&lt;=VAL_DATE)=0,"",'Dvd Calendar'!$H$1858*1000000000+ISNUMBER('Dvd Calendar'!$H$1861)*100000000+('Dvd Calendar'!$H$1863=SPECIAL_LBL)*10000000+0*1000000+28*1000+4))</f>
        <v/>
      </c>
      <c r="EI187" s="35">
        <f>IF(N('Dvd Calendar'!$I$1858)=0,"",IF(('Dvd Calendar'!$I$1858&gt;=GRID_FROM)*('Dvd Calendar'!$I$1858&lt;=GRID_TO)*('Dvd Calendar'!$I$1858&lt;=VAL_DATE)=0,"",'Dvd Calendar'!$I$1858*1000000000+ISNUMBER('Dvd Calendar'!$I$1861)*100000000+('Dvd Calendar'!$I$1863=SPECIAL_LBL)*10000000+0*1000000+28*1000+5))</f>
        <v/>
      </c>
      <c r="EJ187" s="35">
        <f>IF(N('Dvd Calendar'!$J$1858)=0,"",IF(('Dvd Calendar'!$J$1858&gt;=GRID_FROM)*('Dvd Calendar'!$J$1858&lt;=GRID_TO)*('Dvd Calendar'!$J$1858&lt;=VAL_DATE)=0,"",'Dvd Calendar'!$J$1858*1000000000+ISNUMBER('Dvd Calendar'!$J$1861)*100000000+('Dvd Calendar'!$J$1863=SPECIAL_LBL)*10000000+0*1000000+28*1000+6))</f>
        <v/>
      </c>
      <c r="EK187" s="35">
        <f>IF(N('Dvd Calendar'!$K$1858)=0,"",IF(('Dvd Calendar'!$K$1858&gt;=GRID_FROM)*('Dvd Calendar'!$K$1858&lt;=GRID_TO)*('Dvd Calendar'!$K$1858&lt;=VAL_DATE)=0,"",'Dvd Calendar'!$K$1858*1000000000+ISNUMBER('Dvd Calendar'!$K$1861)*100000000+('Dvd Calendar'!$K$1863=SPECIAL_LBL)*10000000+0*1000000+28*1000+7))</f>
        <v/>
      </c>
      <c r="EL187" s="35">
        <f>IF(N('Dvd Calendar'!$L$1858)=0,"",IF(('Dvd Calendar'!$L$1858&gt;=GRID_FROM)*('Dvd Calendar'!$L$1858&lt;=GRID_TO)*('Dvd Calendar'!$L$1858&lt;=VAL_DATE)=0,"",'Dvd Calendar'!$L$1858*1000000000+ISNUMBER('Dvd Calendar'!$L$1861)*100000000+('Dvd Calendar'!$L$1863=SPECIAL_LBL)*10000000+0*1000000+28*1000+8))</f>
        <v/>
      </c>
      <c r="EM187" s="35">
        <f>IF(N('Dvd Calendar'!$M$1858)=0,"",IF(('Dvd Calendar'!$M$1858&gt;=GRID_FROM)*('Dvd Calendar'!$M$1858&lt;=GRID_TO)*('Dvd Calendar'!$M$1858&lt;=VAL_DATE)=0,"",'Dvd Calendar'!$M$1858*1000000000+ISNUMBER('Dvd Calendar'!$M$1861)*100000000+('Dvd Calendar'!$M$1863=SPECIAL_LBL)*10000000+0*1000000+28*1000+9))</f>
        <v/>
      </c>
      <c r="EN187" s="35">
        <f>IF(N('Dvd Calendar'!$N$1858)=0,"",IF(('Dvd Calendar'!$N$1858&gt;=GRID_FROM)*('Dvd Calendar'!$N$1858&lt;=GRID_TO)*('Dvd Calendar'!$N$1858&lt;=VAL_DATE)=0,"",'Dvd Calendar'!$N$1858*1000000000+ISNUMBER('Dvd Calendar'!$N$1861)*100000000+('Dvd Calendar'!$N$1863=SPECIAL_LBL)*10000000+0*1000000+28*1000+10))</f>
        <v/>
      </c>
      <c r="EO187" s="35">
        <f>IF(N('Dvd Calendar'!$O$1858)=0,"",IF(('Dvd Calendar'!$O$1858&gt;=GRID_FROM)*('Dvd Calendar'!$O$1858&lt;=GRID_TO)*('Dvd Calendar'!$O$1858&lt;=VAL_DATE)=0,"",'Dvd Calendar'!$O$1858*1000000000+ISNUMBER('Dvd Calendar'!$O$1861)*100000000+('Dvd Calendar'!$O$1863=SPECIAL_LBL)*10000000+0*1000000+28*1000+11))</f>
        <v/>
      </c>
      <c r="EP187" s="35">
        <f>IF(N('Dvd Calendar'!$P$1858)=0,"",IF(('Dvd Calendar'!$P$1858&gt;=GRID_FROM)*('Dvd Calendar'!$P$1858&lt;=GRID_TO)*('Dvd Calendar'!$P$1858&lt;=VAL_DATE)=0,"",'Dvd Calendar'!$P$1858*1000000000+ISNUMBER('Dvd Calendar'!$P$1861)*100000000+('Dvd Calendar'!$P$1863=SPECIAL_LBL)*10000000+0*1000000+28*1000+12))</f>
        <v/>
      </c>
      <c r="EQ187" s="35">
        <f>IF(N('Dvd Calendar'!$Q$1858)=0,"",IF(('Dvd Calendar'!$Q$1858&gt;=GRID_FROM)*('Dvd Calendar'!$Q$1858&lt;=GRID_TO)*('Dvd Calendar'!$Q$1858&lt;=VAL_DATE)=0,"",'Dvd Calendar'!$Q$1858*1000000000+ISNUMBER('Dvd Calendar'!$Q$1861)*100000000+('Dvd Calendar'!$Q$1863=SPECIAL_LBL)*10000000+0*1000000+28*1000+13))</f>
        <v/>
      </c>
      <c r="ER187" s="35">
        <f>IF(N('Dvd Calendar'!$R$1858)=0,"",IF(('Dvd Calendar'!$R$1858&gt;=GRID_FROM)*('Dvd Calendar'!$R$1858&lt;=GRID_TO)*('Dvd Calendar'!$R$1858&lt;=VAL_DATE)=0,"",'Dvd Calendar'!$R$1858*1000000000+ISNUMBER('Dvd Calendar'!$R$1861)*100000000+('Dvd Calendar'!$R$1863=SPECIAL_LBL)*10000000+0*1000000+28*1000+14))</f>
        <v/>
      </c>
      <c r="ES187" s="35">
        <f>IF(N('Dvd Calendar'!$S$1858)=0,"",IF(('Dvd Calendar'!$S$1858&gt;=GRID_FROM)*('Dvd Calendar'!$S$1858&lt;=GRID_TO)*('Dvd Calendar'!$S$1858&lt;=VAL_DATE)=0,"",'Dvd Calendar'!$S$1858*1000000000+ISNUMBER('Dvd Calendar'!$S$1861)*100000000+('Dvd Calendar'!$S$1863=SPECIAL_LBL)*10000000+0*1000000+28*1000+15))</f>
        <v/>
      </c>
      <c r="ET187" s="35">
        <f>IF(N('Dvd Calendar'!$T$1858)=0,"",IF(('Dvd Calendar'!$T$1858&gt;=GRID_FROM)*('Dvd Calendar'!$T$1858&lt;=GRID_TO)*('Dvd Calendar'!$T$1858&lt;=VAL_DATE)=0,"",'Dvd Calendar'!$T$1858*1000000000+ISNUMBER('Dvd Calendar'!$T$1861)*100000000+('Dvd Calendar'!$T$1863=SPECIAL_LBL)*10000000+0*1000000+28*1000+16))</f>
        <v/>
      </c>
      <c r="EU187" s="35">
        <f>IF(N('Dvd Calendar'!$U$1858)=0,"",IF(('Dvd Calendar'!$U$1858&gt;=GRID_FROM)*('Dvd Calendar'!$U$1858&lt;=GRID_TO)*('Dvd Calendar'!$U$1858&lt;=VAL_DATE)=0,"",'Dvd Calendar'!$U$1858*1000000000+ISNUMBER('Dvd Calendar'!$U$1861)*100000000+('Dvd Calendar'!$U$1863=SPECIAL_LBL)*10000000+0*1000000+28*1000+17))</f>
        <v/>
      </c>
      <c r="EV187" s="35">
        <f>IF(N('Dvd Calendar'!$V$1858)=0,"",IF(('Dvd Calendar'!$V$1858&gt;=GRID_FROM)*('Dvd Calendar'!$V$1858&lt;=GRID_TO)*('Dvd Calendar'!$V$1858&lt;=VAL_DATE)=0,"",'Dvd Calendar'!$V$1858*1000000000+ISNUMBER('Dvd Calendar'!$V$1861)*100000000+('Dvd Calendar'!$V$1863=SPECIAL_LBL)*10000000+0*1000000+28*1000+18))</f>
        <v/>
      </c>
      <c r="EW187" s="35">
        <f>IF(N('Dvd Calendar'!$W$1858)=0,"",IF(('Dvd Calendar'!$W$1858&gt;=GRID_FROM)*('Dvd Calendar'!$W$1858&lt;=GRID_TO)*('Dvd Calendar'!$W$1858&lt;=VAL_DATE)=0,"",'Dvd Calendar'!$W$1858*1000000000+ISNUMBER('Dvd Calendar'!$W$1861)*100000000+('Dvd Calendar'!$W$1863=SPECIAL_LBL)*10000000+0*1000000+28*1000+19))</f>
        <v/>
      </c>
      <c r="EX187" s="35">
        <f>IF(N('Dvd Calendar'!$X$1858)=0,"",IF(('Dvd Calendar'!$X$1858&gt;=GRID_FROM)*('Dvd Calendar'!$X$1858&lt;=GRID_TO)*('Dvd Calendar'!$X$1858&lt;=VAL_DATE)=0,"",'Dvd Calendar'!$X$1858*1000000000+ISNUMBER('Dvd Calendar'!$X$1861)*100000000+('Dvd Calendar'!$X$1863=SPECIAL_LBL)*10000000+0*1000000+28*1000+20))</f>
        <v/>
      </c>
      <c r="EY187" s="35">
        <f>IF(N('Dvd Calendar'!$Y$1858)=0,"",IF(('Dvd Calendar'!$Y$1858&gt;=GRID_FROM)*('Dvd Calendar'!$Y$1858&lt;=GRID_TO)*('Dvd Calendar'!$Y$1858&lt;=VAL_DATE)=0,"",'Dvd Calendar'!$Y$1858*1000000000+ISNUMBER('Dvd Calendar'!$Y$1861)*100000000+('Dvd Calendar'!$Y$1863=SPECIAL_LBL)*10000000+0*1000000+28*1000+21))</f>
        <v/>
      </c>
      <c r="EZ187" s="35">
        <f>IF(N('Dvd Calendar'!$Z$1858)=0,"",IF(('Dvd Calendar'!$Z$1858&gt;=GRID_FROM)*('Dvd Calendar'!$Z$1858&lt;=GRID_TO)*('Dvd Calendar'!$Z$1858&lt;=VAL_DATE)=0,"",'Dvd Calendar'!$Z$1858*1000000000+ISNUMBER('Dvd Calendar'!$Z$1861)*100000000+('Dvd Calendar'!$Z$1863=SPECIAL_LBL)*10000000+0*1000000+28*1000+22))</f>
        <v/>
      </c>
      <c r="FA187" s="35">
        <f>IF(N('Dvd Calendar'!$AA$1858)=0,"",IF(('Dvd Calendar'!$AA$1858&gt;=GRID_FROM)*('Dvd Calendar'!$AA$1858&lt;=GRID_TO)*('Dvd Calendar'!$AA$1858&lt;=VAL_DATE)=0,"",'Dvd Calendar'!$AA$1858*1000000000+ISNUMBER('Dvd Calendar'!$AA$1861)*100000000+('Dvd Calendar'!$AA$1863=SPECIAL_LBL)*10000000+0*1000000+28*1000+23))</f>
        <v/>
      </c>
      <c r="FB187" s="35">
        <f>IF(N('Dvd Calendar'!$AB$1858)=0,"",IF(('Dvd Calendar'!$AB$1858&gt;=GRID_FROM)*('Dvd Calendar'!$AB$1858&lt;=GRID_TO)*('Dvd Calendar'!$AB$1858&lt;=VAL_DATE)=0,"",'Dvd Calendar'!$AB$1858*1000000000+ISNUMBER('Dvd Calendar'!$AB$1861)*100000000+('Dvd Calendar'!$AB$1863=SPECIAL_LBL)*10000000+0*1000000+28*1000+24))</f>
        <v/>
      </c>
      <c r="FC187" s="35">
        <f>IF(N('Dvd Calendar'!$AC$1858)=0,"",IF(('Dvd Calendar'!$AC$1858&gt;=GRID_FROM)*('Dvd Calendar'!$AC$1858&lt;=GRID_TO)*('Dvd Calendar'!$AC$1858&lt;=VAL_DATE)=0,"",'Dvd Calendar'!$AC$1858*1000000000+ISNUMBER('Dvd Calendar'!$AC$1861)*100000000+('Dvd Calendar'!$AC$1863=SPECIAL_LBL)*10000000+0*1000000+28*1000+25))</f>
        <v/>
      </c>
      <c r="FD187" s="35">
        <f>IF(N('Dvd Calendar'!$AD$1858)=0,"",IF(('Dvd Calendar'!$AD$1858&gt;=GRID_FROM)*('Dvd Calendar'!$AD$1858&lt;=GRID_TO)*('Dvd Calendar'!$AD$1858&lt;=VAL_DATE)=0,"",'Dvd Calendar'!$AD$1858*1000000000+ISNUMBER('Dvd Calendar'!$AD$1861)*100000000+('Dvd Calendar'!$AD$1863=SPECIAL_LBL)*10000000+0*1000000+28*1000+26))</f>
        <v/>
      </c>
      <c r="FE187" s="35">
        <f>IF(N('Dvd Calendar'!$AE$1858)=0,"",IF(('Dvd Calendar'!$AE$1858&gt;=GRID_FROM)*('Dvd Calendar'!$AE$1858&lt;=GRID_TO)*('Dvd Calendar'!$AE$1858&lt;=VAL_DATE)=0,"",'Dvd Calendar'!$AE$1858*1000000000+ISNUMBER('Dvd Calendar'!$AE$1861)*100000000+('Dvd Calendar'!$AE$1863=SPECIAL_LBL)*10000000+0*1000000+28*1000+27))</f>
        <v/>
      </c>
      <c r="FF187" s="35">
        <f>IF(N('Dvd Calendar'!$AF$1858)=0,"",IF(('Dvd Calendar'!$AF$1858&gt;=GRID_FROM)*('Dvd Calendar'!$AF$1858&lt;=GRID_TO)*('Dvd Calendar'!$AF$1858&lt;=VAL_DATE)=0,"",'Dvd Calendar'!$AF$1858*1000000000+ISNUMBER('Dvd Calendar'!$AF$1861)*100000000+('Dvd Calendar'!$AF$1863=SPECIAL_LBL)*10000000+0*1000000+28*1000+28))</f>
        <v/>
      </c>
      <c r="FG187" s="35">
        <f>IF(N('Dvd Calendar'!$AG$1858)=0,"",IF(('Dvd Calendar'!$AG$1858&gt;=GRID_FROM)*('Dvd Calendar'!$AG$1858&lt;=GRID_TO)*('Dvd Calendar'!$AG$1858&lt;=VAL_DATE)=0,"",'Dvd Calendar'!$AG$1858*1000000000+ISNUMBER('Dvd Calendar'!$AG$1861)*100000000+('Dvd Calendar'!$AG$1863=SPECIAL_LBL)*10000000+0*1000000+28*1000+29))</f>
        <v/>
      </c>
      <c r="FH187" s="35">
        <f>IF(N('Dvd Calendar'!$AH$1858)=0,"",IF(('Dvd Calendar'!$AH$1858&gt;=GRID_FROM)*('Dvd Calendar'!$AH$1858&lt;=GRID_TO)*('Dvd Calendar'!$AH$1858&lt;=VAL_DATE)=0,"",'Dvd Calendar'!$AH$1858*1000000000+ISNUMBER('Dvd Calendar'!$AH$1861)*100000000+('Dvd Calendar'!$AH$1863=SPECIAL_LBL)*10000000+0*1000000+28*1000+30))</f>
        <v/>
      </c>
      <c r="FI187" s="35">
        <f>IF(N('Dvd Calendar'!$AI$1858)=0,"",IF(('Dvd Calendar'!$AI$1858&gt;=GRID_FROM)*('Dvd Calendar'!$AI$1858&lt;=GRID_TO)*('Dvd Calendar'!$AI$1858&lt;=VAL_DATE)=0,"",'Dvd Calendar'!$AI$1858*1000000000+ISNUMBER('Dvd Calendar'!$AI$1861)*100000000+('Dvd Calendar'!$AI$1863=SPECIAL_LBL)*10000000+0*1000000+28*1000+31))</f>
        <v/>
      </c>
      <c r="FJ187" s="35">
        <f>IF(N('Dvd Calendar'!$AJ$1858)=0,"",IF(('Dvd Calendar'!$AJ$1858&gt;=GRID_FROM)*('Dvd Calendar'!$AJ$1858&lt;=GRID_TO)*('Dvd Calendar'!$AJ$1858&lt;=VAL_DATE)=0,"",'Dvd Calendar'!$AJ$1858*1000000000+ISNUMBER('Dvd Calendar'!$AJ$1861)*100000000+('Dvd Calendar'!$AJ$1863=SPECIAL_LBL)*10000000+0*1000000+28*1000+32))</f>
        <v/>
      </c>
      <c r="FK187" s="35">
        <f>IF(N('Dvd Calendar'!$AK$1858)=0,"",IF(('Dvd Calendar'!$AK$1858&gt;=GRID_FROM)*('Dvd Calendar'!$AK$1858&lt;=GRID_TO)*('Dvd Calendar'!$AK$1858&lt;=VAL_DATE)=0,"",'Dvd Calendar'!$AK$1858*1000000000+ISNUMBER('Dvd Calendar'!$AK$1861)*100000000+('Dvd Calendar'!$AK$1863=SPECIAL_LBL)*10000000+0*1000000+28*1000+33))</f>
        <v/>
      </c>
      <c r="FL187" s="35">
        <f>IF(N('Dvd Calendar'!$AL$1858)=0,"",IF(('Dvd Calendar'!$AL$1858&gt;=GRID_FROM)*('Dvd Calendar'!$AL$1858&lt;=GRID_TO)*('Dvd Calendar'!$AL$1858&lt;=VAL_DATE)=0,"",'Dvd Calendar'!$AL$1858*1000000000+ISNUMBER('Dvd Calendar'!$AL$1861)*100000000+('Dvd Calendar'!$AL$1863=SPECIAL_LBL)*10000000+0*1000000+28*1000+34))</f>
        <v/>
      </c>
      <c r="FM187" s="35">
        <f>IF(N('Dvd Calendar'!$AM$1858)=0,"",IF(('Dvd Calendar'!$AM$1858&gt;=GRID_FROM)*('Dvd Calendar'!$AM$1858&lt;=GRID_TO)*('Dvd Calendar'!$AM$1858&lt;=VAL_DATE)=0,"",'Dvd Calendar'!$AM$1858*1000000000+ISNUMBER('Dvd Calendar'!$AM$1861)*100000000+('Dvd Calendar'!$AM$1863=SPECIAL_LBL)*10000000+0*1000000+28*1000+35))</f>
        <v/>
      </c>
      <c r="FN187" s="35">
        <f>IF(N('Dvd Calendar'!$AN$1858)=0,"",IF(('Dvd Calendar'!$AN$1858&gt;=GRID_FROM)*('Dvd Calendar'!$AN$1858&lt;=GRID_TO)*('Dvd Calendar'!$AN$1858&lt;=VAL_DATE)=0,"",'Dvd Calendar'!$AN$1858*1000000000+ISNUMBER('Dvd Calendar'!$AN$1861)*100000000+('Dvd Calendar'!$AN$1863=SPECIAL_LBL)*10000000+0*1000000+28*1000+36))</f>
        <v/>
      </c>
      <c r="FO187" s="35">
        <f>IF(N('Dvd Calendar'!$AO$1858)=0,"",IF(('Dvd Calendar'!$AO$1858&gt;=GRID_FROM)*('Dvd Calendar'!$AO$1858&lt;=GRID_TO)*('Dvd Calendar'!$AO$1858&lt;=VAL_DATE)=0,"",'Dvd Calendar'!$AO$1858*1000000000+ISNUMBER('Dvd Calendar'!$AO$1861)*100000000+('Dvd Calendar'!$AO$1863=SPECIAL_LBL)*10000000+0*1000000+28*1000+37))</f>
        <v/>
      </c>
      <c r="FP187" s="35">
        <f>IF(N('Dvd Calendar'!$AP$1858)=0,"",IF(('Dvd Calendar'!$AP$1858&gt;=GRID_FROM)*('Dvd Calendar'!$AP$1858&lt;=GRID_TO)*('Dvd Calendar'!$AP$1858&lt;=VAL_DATE)=0,"",'Dvd Calendar'!$AP$1858*1000000000+ISNUMBER('Dvd Calendar'!$AP$1861)*100000000+('Dvd Calendar'!$AP$1863=SPECIAL_LBL)*10000000+0*1000000+28*1000+38))</f>
        <v/>
      </c>
      <c r="FQ187" s="35">
        <f>IF(N('Dvd Calendar'!$AQ$1858)=0,"",IF(('Dvd Calendar'!$AQ$1858&gt;=GRID_FROM)*('Dvd Calendar'!$AQ$1858&lt;=GRID_TO)*('Dvd Calendar'!$AQ$1858&lt;=VAL_DATE)=0,"",'Dvd Calendar'!$AQ$1858*1000000000+ISNUMBER('Dvd Calendar'!$AQ$1861)*100000000+('Dvd Calendar'!$AQ$1863=SPECIAL_LBL)*10000000+0*1000000+28*1000+39))</f>
        <v/>
      </c>
      <c r="FR187" s="35">
        <f>IF(N('Dvd Calendar'!$AR$1858)=0,"",IF(('Dvd Calendar'!$AR$1858&gt;=GRID_FROM)*('Dvd Calendar'!$AR$1858&lt;=GRID_TO)*('Dvd Calendar'!$AR$1858&lt;=VAL_DATE)=0,"",'Dvd Calendar'!$AR$1858*1000000000+ISNUMBER('Dvd Calendar'!$AR$1861)*100000000+('Dvd Calendar'!$AR$1863=SPECIAL_LBL)*10000000+0*1000000+28*1000+40))</f>
        <v/>
      </c>
      <c r="FS187" s="35">
        <f>IF(N('Dvd Calendar'!$E$1865)=0,"",IF(('Dvd Calendar'!$E$1865&gt;=GRID_FROM)*('Dvd Calendar'!$E$1865&lt;=GRID_TO)*('Dvd Calendar'!$E$1865&gt;VAL_DATE)=0,"",'Dvd Calendar'!$E$1865*1000000000+ISNUMBER('Dvd Calendar'!$E$1866)*100000000+0*10000000+(N('Dvd Calendar'!$E$1864)&gt;0)*(N('Dvd Calendar'!$E$1864)&lt;=VAL_SERIAL)*1000000+28*1000+41))</f>
        <v/>
      </c>
      <c r="FT187" s="35">
        <f>IF(N('Dvd Calendar'!$F$1865)=0,"",IF(('Dvd Calendar'!$F$1865&gt;=GRID_FROM)*('Dvd Calendar'!$F$1865&lt;=GRID_TO)*('Dvd Calendar'!$F$1865&gt;VAL_DATE)=0,"",'Dvd Calendar'!$F$1865*1000000000+ISNUMBER('Dvd Calendar'!$F$1866)*100000000+0*10000000+(N('Dvd Calendar'!$F$1864)&gt;0)*(N('Dvd Calendar'!$F$1864)&lt;=VAL_SERIAL)*1000000+28*1000+42))</f>
        <v/>
      </c>
      <c r="FU187" s="35">
        <f>IF(N('Dvd Calendar'!$G$1865)=0,"",IF(('Dvd Calendar'!$G$1865&gt;=GRID_FROM)*('Dvd Calendar'!$G$1865&lt;=GRID_TO)*('Dvd Calendar'!$G$1865&gt;VAL_DATE)=0,"",'Dvd Calendar'!$G$1865*1000000000+ISNUMBER('Dvd Calendar'!$G$1866)*100000000+0*10000000+(N('Dvd Calendar'!$G$1864)&gt;0)*(N('Dvd Calendar'!$G$1864)&lt;=VAL_SERIAL)*1000000+28*1000+43))</f>
        <v/>
      </c>
      <c r="FV187" s="35">
        <f>IF(N('Dvd Calendar'!$H$1865)=0,"",IF(('Dvd Calendar'!$H$1865&gt;=GRID_FROM)*('Dvd Calendar'!$H$1865&lt;=GRID_TO)*('Dvd Calendar'!$H$1865&gt;VAL_DATE)=0,"",'Dvd Calendar'!$H$1865*1000000000+ISNUMBER('Dvd Calendar'!$H$1866)*100000000+0*10000000+(N('Dvd Calendar'!$H$1864)&gt;0)*(N('Dvd Calendar'!$H$1864)&lt;=VAL_SERIAL)*1000000+28*1000+44))</f>
        <v/>
      </c>
      <c r="FW187" s="35">
        <f>IF(N('Dvd Calendar'!$I$1865)=0,"",IF(('Dvd Calendar'!$I$1865&gt;=GRID_FROM)*('Dvd Calendar'!$I$1865&lt;=GRID_TO)*('Dvd Calendar'!$I$1865&gt;VAL_DATE)=0,"",'Dvd Calendar'!$I$1865*1000000000+ISNUMBER('Dvd Calendar'!$I$1866)*100000000+0*10000000+(N('Dvd Calendar'!$I$1864)&gt;0)*(N('Dvd Calendar'!$I$1864)&lt;=VAL_SERIAL)*1000000+28*1000+45))</f>
        <v/>
      </c>
      <c r="FX187" s="35">
        <f>IF(N('Dvd Calendar'!$J$1865)=0,"",IF(('Dvd Calendar'!$J$1865&gt;=GRID_FROM)*('Dvd Calendar'!$J$1865&lt;=GRID_TO)*('Dvd Calendar'!$J$1865&gt;VAL_DATE)=0,"",'Dvd Calendar'!$J$1865*1000000000+ISNUMBER('Dvd Calendar'!$J$1866)*100000000+0*10000000+(N('Dvd Calendar'!$J$1864)&gt;0)*(N('Dvd Calendar'!$J$1864)&lt;=VAL_SERIAL)*1000000+28*1000+46))</f>
        <v/>
      </c>
      <c r="FY187" s="35">
        <f>IF(N('Dvd Calendar'!$K$1865)=0,"",IF(('Dvd Calendar'!$K$1865&gt;=GRID_FROM)*('Dvd Calendar'!$K$1865&lt;=GRID_TO)*('Dvd Calendar'!$K$1865&gt;VAL_DATE)=0,"",'Dvd Calendar'!$K$1865*1000000000+ISNUMBER('Dvd Calendar'!$K$1866)*100000000+0*10000000+(N('Dvd Calendar'!$K$1864)&gt;0)*(N('Dvd Calendar'!$K$1864)&lt;=VAL_SERIAL)*1000000+28*1000+47))</f>
        <v/>
      </c>
      <c r="FZ187" s="35">
        <f>IF(N('Dvd Calendar'!$L$1865)=0,"",IF(('Dvd Calendar'!$L$1865&gt;=GRID_FROM)*('Dvd Calendar'!$L$1865&lt;=GRID_TO)*('Dvd Calendar'!$L$1865&gt;VAL_DATE)=0,"",'Dvd Calendar'!$L$1865*1000000000+ISNUMBER('Dvd Calendar'!$L$1866)*100000000+0*10000000+(N('Dvd Calendar'!$L$1864)&gt;0)*(N('Dvd Calendar'!$L$1864)&lt;=VAL_SERIAL)*1000000+28*1000+48))</f>
        <v/>
      </c>
      <c r="GA187" s="35">
        <f>IF(N('Dvd Calendar'!$M$1865)=0,"",IF(('Dvd Calendar'!$M$1865&gt;=GRID_FROM)*('Dvd Calendar'!$M$1865&lt;=GRID_TO)*('Dvd Calendar'!$M$1865&gt;VAL_DATE)=0,"",'Dvd Calendar'!$M$1865*1000000000+ISNUMBER('Dvd Calendar'!$M$1866)*100000000+0*10000000+(N('Dvd Calendar'!$M$1864)&gt;0)*(N('Dvd Calendar'!$M$1864)&lt;=VAL_SERIAL)*1000000+28*1000+49))</f>
        <v/>
      </c>
      <c r="GB187" s="35">
        <f>IF(N('Dvd Calendar'!$N$1865)=0,"",IF(('Dvd Calendar'!$N$1865&gt;=GRID_FROM)*('Dvd Calendar'!$N$1865&lt;=GRID_TO)*('Dvd Calendar'!$N$1865&gt;VAL_DATE)=0,"",'Dvd Calendar'!$N$1865*1000000000+ISNUMBER('Dvd Calendar'!$N$1866)*100000000+0*10000000+(N('Dvd Calendar'!$N$1864)&gt;0)*(N('Dvd Calendar'!$N$1864)&lt;=VAL_SERIAL)*1000000+28*1000+50))</f>
        <v/>
      </c>
      <c r="GC187" s="35">
        <f>IF(N('Dvd Calendar'!$O$1865)=0,"",IF(('Dvd Calendar'!$O$1865&gt;=GRID_FROM)*('Dvd Calendar'!$O$1865&lt;=GRID_TO)*('Dvd Calendar'!$O$1865&gt;VAL_DATE)=0,"",'Dvd Calendar'!$O$1865*1000000000+ISNUMBER('Dvd Calendar'!$O$1866)*100000000+0*10000000+(N('Dvd Calendar'!$O$1864)&gt;0)*(N('Dvd Calendar'!$O$1864)&lt;=VAL_SERIAL)*1000000+28*1000+51))</f>
        <v/>
      </c>
      <c r="GD187" s="35">
        <f>IF(N('Dvd Calendar'!$P$1865)=0,"",IF(('Dvd Calendar'!$P$1865&gt;=GRID_FROM)*('Dvd Calendar'!$P$1865&lt;=GRID_TO)*('Dvd Calendar'!$P$1865&gt;VAL_DATE)=0,"",'Dvd Calendar'!$P$1865*1000000000+ISNUMBER('Dvd Calendar'!$P$1866)*100000000+0*10000000+(N('Dvd Calendar'!$P$1864)&gt;0)*(N('Dvd Calendar'!$P$1864)&lt;=VAL_SERIAL)*1000000+28*1000+52))</f>
        <v/>
      </c>
      <c r="GE187" s="35">
        <f>IF(N('Dvd Calendar'!$Q$1865)=0,"",IF(('Dvd Calendar'!$Q$1865&gt;=GRID_FROM)*('Dvd Calendar'!$Q$1865&lt;=GRID_TO)*('Dvd Calendar'!$Q$1865&gt;VAL_DATE)=0,"",'Dvd Calendar'!$Q$1865*1000000000+ISNUMBER('Dvd Calendar'!$Q$1866)*100000000+0*10000000+(N('Dvd Calendar'!$Q$1864)&gt;0)*(N('Dvd Calendar'!$Q$1864)&lt;=VAL_SERIAL)*1000000+28*1000+53))</f>
        <v/>
      </c>
      <c r="GF187" s="35">
        <f>IF(N('Dvd Calendar'!$R$1865)=0,"",IF(('Dvd Calendar'!$R$1865&gt;=GRID_FROM)*('Dvd Calendar'!$R$1865&lt;=GRID_TO)*('Dvd Calendar'!$R$1865&gt;VAL_DATE)=0,"",'Dvd Calendar'!$R$1865*1000000000+ISNUMBER('Dvd Calendar'!$R$1866)*100000000+0*10000000+(N('Dvd Calendar'!$R$1864)&gt;0)*(N('Dvd Calendar'!$R$1864)&lt;=VAL_SERIAL)*1000000+28*1000+54))</f>
        <v/>
      </c>
      <c r="GG187" s="35">
        <f>IF(N('Dvd Calendar'!$S$1865)=0,"",IF(('Dvd Calendar'!$S$1865&gt;=GRID_FROM)*('Dvd Calendar'!$S$1865&lt;=GRID_TO)*('Dvd Calendar'!$S$1865&gt;VAL_DATE)=0,"",'Dvd Calendar'!$S$1865*1000000000+ISNUMBER('Dvd Calendar'!$S$1866)*100000000+0*10000000+(N('Dvd Calendar'!$S$1864)&gt;0)*(N('Dvd Calendar'!$S$1864)&lt;=VAL_SERIAL)*1000000+28*1000+55))</f>
        <v/>
      </c>
      <c r="GH187" s="35">
        <f>IF(N('Dvd Calendar'!$T$1865)=0,"",IF(('Dvd Calendar'!$T$1865&gt;=GRID_FROM)*('Dvd Calendar'!$T$1865&lt;=GRID_TO)*('Dvd Calendar'!$T$1865&gt;VAL_DATE)=0,"",'Dvd Calendar'!$T$1865*1000000000+ISNUMBER('Dvd Calendar'!$T$1866)*100000000+0*10000000+(N('Dvd Calendar'!$T$1864)&gt;0)*(N('Dvd Calendar'!$T$1864)&lt;=VAL_SERIAL)*1000000+28*1000+56))</f>
        <v/>
      </c>
      <c r="GI187" s="35">
        <f>IF(N('Dvd Calendar'!$U$1865)=0,"",IF(('Dvd Calendar'!$U$1865&gt;=GRID_FROM)*('Dvd Calendar'!$U$1865&lt;=GRID_TO)*('Dvd Calendar'!$U$1865&gt;VAL_DATE)=0,"",'Dvd Calendar'!$U$1865*1000000000+ISNUMBER('Dvd Calendar'!$U$1866)*100000000+0*10000000+(N('Dvd Calendar'!$U$1864)&gt;0)*(N('Dvd Calendar'!$U$1864)&lt;=VAL_SERIAL)*1000000+28*1000+57))</f>
        <v/>
      </c>
      <c r="GJ187" s="35">
        <f>IF(N('Dvd Calendar'!$V$1865)=0,"",IF(('Dvd Calendar'!$V$1865&gt;=GRID_FROM)*('Dvd Calendar'!$V$1865&lt;=GRID_TO)*('Dvd Calendar'!$V$1865&gt;VAL_DATE)=0,"",'Dvd Calendar'!$V$1865*1000000000+ISNUMBER('Dvd Calendar'!$V$1866)*100000000+0*10000000+(N('Dvd Calendar'!$V$1864)&gt;0)*(N('Dvd Calendar'!$V$1864)&lt;=VAL_SERIAL)*1000000+28*1000+58))</f>
        <v/>
      </c>
      <c r="GK187" s="35">
        <f>IF(N('Dvd Calendar'!$W$1865)=0,"",IF(('Dvd Calendar'!$W$1865&gt;=GRID_FROM)*('Dvd Calendar'!$W$1865&lt;=GRID_TO)*('Dvd Calendar'!$W$1865&gt;VAL_DATE)=0,"",'Dvd Calendar'!$W$1865*1000000000+ISNUMBER('Dvd Calendar'!$W$1866)*100000000+0*10000000+(N('Dvd Calendar'!$W$1864)&gt;0)*(N('Dvd Calendar'!$W$1864)&lt;=VAL_SERIAL)*1000000+28*1000+59))</f>
        <v/>
      </c>
      <c r="GL187" s="35">
        <f>IF(N('Dvd Calendar'!$X$1865)=0,"",IF(('Dvd Calendar'!$X$1865&gt;=GRID_FROM)*('Dvd Calendar'!$X$1865&lt;=GRID_TO)*('Dvd Calendar'!$X$1865&gt;VAL_DATE)=0,"",'Dvd Calendar'!$X$1865*1000000000+ISNUMBER('Dvd Calendar'!$X$1866)*100000000+0*10000000+(N('Dvd Calendar'!$X$1864)&gt;0)*(N('Dvd Calendar'!$X$1864)&lt;=VAL_SERIAL)*1000000+28*1000+60))</f>
        <v/>
      </c>
      <c r="GM187" s="35">
        <f>IF(N('Dvd Calendar'!$Y$1865)=0,"",IF(('Dvd Calendar'!$Y$1865&gt;=GRID_FROM)*('Dvd Calendar'!$Y$1865&lt;=GRID_TO)*('Dvd Calendar'!$Y$1865&gt;VAL_DATE)=0,"",'Dvd Calendar'!$Y$1865*1000000000+ISNUMBER('Dvd Calendar'!$Y$1866)*100000000+0*10000000+(N('Dvd Calendar'!$Y$1864)&gt;0)*(N('Dvd Calendar'!$Y$1864)&lt;=VAL_SERIAL)*1000000+28*1000+61))</f>
        <v/>
      </c>
      <c r="GN187" s="35">
        <f>IF(N('Dvd Calendar'!$Z$1865)=0,"",IF(('Dvd Calendar'!$Z$1865&gt;=GRID_FROM)*('Dvd Calendar'!$Z$1865&lt;=GRID_TO)*('Dvd Calendar'!$Z$1865&gt;VAL_DATE)=0,"",'Dvd Calendar'!$Z$1865*1000000000+ISNUMBER('Dvd Calendar'!$Z$1866)*100000000+0*10000000+(N('Dvd Calendar'!$Z$1864)&gt;0)*(N('Dvd Calendar'!$Z$1864)&lt;=VAL_SERIAL)*1000000+28*1000+62))</f>
        <v/>
      </c>
      <c r="GO187" s="35">
        <f>IF(N('Dvd Calendar'!$AA$1865)=0,"",IF(('Dvd Calendar'!$AA$1865&gt;=GRID_FROM)*('Dvd Calendar'!$AA$1865&lt;=GRID_TO)*('Dvd Calendar'!$AA$1865&gt;VAL_DATE)=0,"",'Dvd Calendar'!$AA$1865*1000000000+ISNUMBER('Dvd Calendar'!$AA$1866)*100000000+0*10000000+(N('Dvd Calendar'!$AA$1864)&gt;0)*(N('Dvd Calendar'!$AA$1864)&lt;=VAL_SERIAL)*1000000+28*1000+63))</f>
        <v/>
      </c>
      <c r="GP187" s="35">
        <f>IF(N('Dvd Calendar'!$AB$1865)=0,"",IF(('Dvd Calendar'!$AB$1865&gt;=GRID_FROM)*('Dvd Calendar'!$AB$1865&lt;=GRID_TO)*('Dvd Calendar'!$AB$1865&gt;VAL_DATE)=0,"",'Dvd Calendar'!$AB$1865*1000000000+ISNUMBER('Dvd Calendar'!$AB$1866)*100000000+0*10000000+(N('Dvd Calendar'!$AB$1864)&gt;0)*(N('Dvd Calendar'!$AB$1864)&lt;=VAL_SERIAL)*1000000+28*1000+64))</f>
        <v/>
      </c>
      <c r="GQ187" s="35">
        <f>IF(N('Dvd Calendar'!$AC$1865)=0,"",IF(('Dvd Calendar'!$AC$1865&gt;=GRID_FROM)*('Dvd Calendar'!$AC$1865&lt;=GRID_TO)*('Dvd Calendar'!$AC$1865&gt;VAL_DATE)=0,"",'Dvd Calendar'!$AC$1865*1000000000+ISNUMBER('Dvd Calendar'!$AC$1866)*100000000+0*10000000+(N('Dvd Calendar'!$AC$1864)&gt;0)*(N('Dvd Calendar'!$AC$1864)&lt;=VAL_SERIAL)*1000000+28*1000+65))</f>
        <v/>
      </c>
    </row>
    <row r="188">
      <c r="B188" s="2">
        <f>IF(HSCEI!$C$35="","",HSCEI!$C$35)</f>
        <v/>
      </c>
      <c r="C188" s="106">
        <f>IF(EE188="","",IF(ISNUMBER('Dvd Calendar'!$E$1872)=FALSE,"",IF((('Dvd Calendar'!$E$1874=TYPE1)*(TYPE1&lt;&gt;"")+('Dvd Calendar'!$E$1874=TYPE2)*(TYPE2&lt;&gt;"")+('Dvd Calendar'!$E$1874=TYPE3)*(TYPE3&lt;&gt;"")+('Dvd Calendar'!$E$1874=TYPE4)*(TYPE4&lt;&gt;"")+('Dvd Calendar'!$E$1874=SPECIAL_LBL)*(INC_SPECIALS="Y"))=0,"",'Dvd Calendar'!$E$1872)))</f>
        <v/>
      </c>
      <c r="D188" s="106">
        <f>IF(EF188="","",IF(ISNUMBER('Dvd Calendar'!$F$1872)=FALSE,"",IF((('Dvd Calendar'!$F$1874=TYPE1)*(TYPE1&lt;&gt;"")+('Dvd Calendar'!$F$1874=TYPE2)*(TYPE2&lt;&gt;"")+('Dvd Calendar'!$F$1874=TYPE3)*(TYPE3&lt;&gt;"")+('Dvd Calendar'!$F$1874=TYPE4)*(TYPE4&lt;&gt;"")+('Dvd Calendar'!$F$1874=SPECIAL_LBL)*(INC_SPECIALS="Y"))=0,"",'Dvd Calendar'!$F$1872)))</f>
        <v/>
      </c>
      <c r="E188" s="106">
        <f>IF(EG188="","",IF(ISNUMBER('Dvd Calendar'!$G$1872)=FALSE,"",IF((('Dvd Calendar'!$G$1874=TYPE1)*(TYPE1&lt;&gt;"")+('Dvd Calendar'!$G$1874=TYPE2)*(TYPE2&lt;&gt;"")+('Dvd Calendar'!$G$1874=TYPE3)*(TYPE3&lt;&gt;"")+('Dvd Calendar'!$G$1874=TYPE4)*(TYPE4&lt;&gt;"")+('Dvd Calendar'!$G$1874=SPECIAL_LBL)*(INC_SPECIALS="Y"))=0,"",'Dvd Calendar'!$G$1872)))</f>
        <v/>
      </c>
      <c r="F188" s="106">
        <f>IF(EH188="","",IF(ISNUMBER('Dvd Calendar'!$H$1872)=FALSE,"",IF((('Dvd Calendar'!$H$1874=TYPE1)*(TYPE1&lt;&gt;"")+('Dvd Calendar'!$H$1874=TYPE2)*(TYPE2&lt;&gt;"")+('Dvd Calendar'!$H$1874=TYPE3)*(TYPE3&lt;&gt;"")+('Dvd Calendar'!$H$1874=TYPE4)*(TYPE4&lt;&gt;"")+('Dvd Calendar'!$H$1874=SPECIAL_LBL)*(INC_SPECIALS="Y"))=0,"",'Dvd Calendar'!$H$1872)))</f>
        <v/>
      </c>
      <c r="G188" s="106">
        <f>IF(EI188="","",IF(ISNUMBER('Dvd Calendar'!$I$1872)=FALSE,"",IF((('Dvd Calendar'!$I$1874=TYPE1)*(TYPE1&lt;&gt;"")+('Dvd Calendar'!$I$1874=TYPE2)*(TYPE2&lt;&gt;"")+('Dvd Calendar'!$I$1874=TYPE3)*(TYPE3&lt;&gt;"")+('Dvd Calendar'!$I$1874=TYPE4)*(TYPE4&lt;&gt;"")+('Dvd Calendar'!$I$1874=SPECIAL_LBL)*(INC_SPECIALS="Y"))=0,"",'Dvd Calendar'!$I$1872)))</f>
        <v/>
      </c>
      <c r="H188" s="106">
        <f>IF(EJ188="","",IF(ISNUMBER('Dvd Calendar'!$J$1872)=FALSE,"",IF((('Dvd Calendar'!$J$1874=TYPE1)*(TYPE1&lt;&gt;"")+('Dvd Calendar'!$J$1874=TYPE2)*(TYPE2&lt;&gt;"")+('Dvd Calendar'!$J$1874=TYPE3)*(TYPE3&lt;&gt;"")+('Dvd Calendar'!$J$1874=TYPE4)*(TYPE4&lt;&gt;"")+('Dvd Calendar'!$J$1874=SPECIAL_LBL)*(INC_SPECIALS="Y"))=0,"",'Dvd Calendar'!$J$1872)))</f>
        <v/>
      </c>
      <c r="I188" s="106">
        <f>IF(EK188="","",IF(ISNUMBER('Dvd Calendar'!$K$1872)=FALSE,"",IF((('Dvd Calendar'!$K$1874=TYPE1)*(TYPE1&lt;&gt;"")+('Dvd Calendar'!$K$1874=TYPE2)*(TYPE2&lt;&gt;"")+('Dvd Calendar'!$K$1874=TYPE3)*(TYPE3&lt;&gt;"")+('Dvd Calendar'!$K$1874=TYPE4)*(TYPE4&lt;&gt;"")+('Dvd Calendar'!$K$1874=SPECIAL_LBL)*(INC_SPECIALS="Y"))=0,"",'Dvd Calendar'!$K$1872)))</f>
        <v/>
      </c>
      <c r="J188" s="106">
        <f>IF(EL188="","",IF(ISNUMBER('Dvd Calendar'!$L$1872)=FALSE,"",IF((('Dvd Calendar'!$L$1874=TYPE1)*(TYPE1&lt;&gt;"")+('Dvd Calendar'!$L$1874=TYPE2)*(TYPE2&lt;&gt;"")+('Dvd Calendar'!$L$1874=TYPE3)*(TYPE3&lt;&gt;"")+('Dvd Calendar'!$L$1874=TYPE4)*(TYPE4&lt;&gt;"")+('Dvd Calendar'!$L$1874=SPECIAL_LBL)*(INC_SPECIALS="Y"))=0,"",'Dvd Calendar'!$L$1872)))</f>
        <v/>
      </c>
      <c r="K188" s="106">
        <f>IF(EM188="","",IF(ISNUMBER('Dvd Calendar'!$M$1872)=FALSE,"",IF((('Dvd Calendar'!$M$1874=TYPE1)*(TYPE1&lt;&gt;"")+('Dvd Calendar'!$M$1874=TYPE2)*(TYPE2&lt;&gt;"")+('Dvd Calendar'!$M$1874=TYPE3)*(TYPE3&lt;&gt;"")+('Dvd Calendar'!$M$1874=TYPE4)*(TYPE4&lt;&gt;"")+('Dvd Calendar'!$M$1874=SPECIAL_LBL)*(INC_SPECIALS="Y"))=0,"",'Dvd Calendar'!$M$1872)))</f>
        <v/>
      </c>
      <c r="L188" s="106">
        <f>IF(EN188="","",IF(ISNUMBER('Dvd Calendar'!$N$1872)=FALSE,"",IF((('Dvd Calendar'!$N$1874=TYPE1)*(TYPE1&lt;&gt;"")+('Dvd Calendar'!$N$1874=TYPE2)*(TYPE2&lt;&gt;"")+('Dvd Calendar'!$N$1874=TYPE3)*(TYPE3&lt;&gt;"")+('Dvd Calendar'!$N$1874=TYPE4)*(TYPE4&lt;&gt;"")+('Dvd Calendar'!$N$1874=SPECIAL_LBL)*(INC_SPECIALS="Y"))=0,"",'Dvd Calendar'!$N$1872)))</f>
        <v/>
      </c>
      <c r="M188" s="106">
        <f>IF(EO188="","",IF(ISNUMBER('Dvd Calendar'!$O$1872)=FALSE,"",IF((('Dvd Calendar'!$O$1874=TYPE1)*(TYPE1&lt;&gt;"")+('Dvd Calendar'!$O$1874=TYPE2)*(TYPE2&lt;&gt;"")+('Dvd Calendar'!$O$1874=TYPE3)*(TYPE3&lt;&gt;"")+('Dvd Calendar'!$O$1874=TYPE4)*(TYPE4&lt;&gt;"")+('Dvd Calendar'!$O$1874=SPECIAL_LBL)*(INC_SPECIALS="Y"))=0,"",'Dvd Calendar'!$O$1872)))</f>
        <v/>
      </c>
      <c r="N188" s="106">
        <f>IF(EP188="","",IF(ISNUMBER('Dvd Calendar'!$P$1872)=FALSE,"",IF((('Dvd Calendar'!$P$1874=TYPE1)*(TYPE1&lt;&gt;"")+('Dvd Calendar'!$P$1874=TYPE2)*(TYPE2&lt;&gt;"")+('Dvd Calendar'!$P$1874=TYPE3)*(TYPE3&lt;&gt;"")+('Dvd Calendar'!$P$1874=TYPE4)*(TYPE4&lt;&gt;"")+('Dvd Calendar'!$P$1874=SPECIAL_LBL)*(INC_SPECIALS="Y"))=0,"",'Dvd Calendar'!$P$1872)))</f>
        <v/>
      </c>
      <c r="O188" s="106">
        <f>IF(EQ188="","",IF(ISNUMBER('Dvd Calendar'!$Q$1872)=FALSE,"",IF((('Dvd Calendar'!$Q$1874=TYPE1)*(TYPE1&lt;&gt;"")+('Dvd Calendar'!$Q$1874=TYPE2)*(TYPE2&lt;&gt;"")+('Dvd Calendar'!$Q$1874=TYPE3)*(TYPE3&lt;&gt;"")+('Dvd Calendar'!$Q$1874=TYPE4)*(TYPE4&lt;&gt;"")+('Dvd Calendar'!$Q$1874=SPECIAL_LBL)*(INC_SPECIALS="Y"))=0,"",'Dvd Calendar'!$Q$1872)))</f>
        <v/>
      </c>
      <c r="P188" s="106">
        <f>IF(ER188="","",IF(ISNUMBER('Dvd Calendar'!$R$1872)=FALSE,"",IF((('Dvd Calendar'!$R$1874=TYPE1)*(TYPE1&lt;&gt;"")+('Dvd Calendar'!$R$1874=TYPE2)*(TYPE2&lt;&gt;"")+('Dvd Calendar'!$R$1874=TYPE3)*(TYPE3&lt;&gt;"")+('Dvd Calendar'!$R$1874=TYPE4)*(TYPE4&lt;&gt;"")+('Dvd Calendar'!$R$1874=SPECIAL_LBL)*(INC_SPECIALS="Y"))=0,"",'Dvd Calendar'!$R$1872)))</f>
        <v/>
      </c>
      <c r="Q188" s="106">
        <f>IF(ES188="","",IF(ISNUMBER('Dvd Calendar'!$S$1872)=FALSE,"",IF((('Dvd Calendar'!$S$1874=TYPE1)*(TYPE1&lt;&gt;"")+('Dvd Calendar'!$S$1874=TYPE2)*(TYPE2&lt;&gt;"")+('Dvd Calendar'!$S$1874=TYPE3)*(TYPE3&lt;&gt;"")+('Dvd Calendar'!$S$1874=TYPE4)*(TYPE4&lt;&gt;"")+('Dvd Calendar'!$S$1874=SPECIAL_LBL)*(INC_SPECIALS="Y"))=0,"",'Dvd Calendar'!$S$1872)))</f>
        <v/>
      </c>
      <c r="R188" s="106">
        <f>IF(ET188="","",IF(ISNUMBER('Dvd Calendar'!$T$1872)=FALSE,"",IF((('Dvd Calendar'!$T$1874=TYPE1)*(TYPE1&lt;&gt;"")+('Dvd Calendar'!$T$1874=TYPE2)*(TYPE2&lt;&gt;"")+('Dvd Calendar'!$T$1874=TYPE3)*(TYPE3&lt;&gt;"")+('Dvd Calendar'!$T$1874=TYPE4)*(TYPE4&lt;&gt;"")+('Dvd Calendar'!$T$1874=SPECIAL_LBL)*(INC_SPECIALS="Y"))=0,"",'Dvd Calendar'!$T$1872)))</f>
        <v/>
      </c>
      <c r="S188" s="106">
        <f>IF(EU188="","",IF(ISNUMBER('Dvd Calendar'!$U$1872)=FALSE,"",IF((('Dvd Calendar'!$U$1874=TYPE1)*(TYPE1&lt;&gt;"")+('Dvd Calendar'!$U$1874=TYPE2)*(TYPE2&lt;&gt;"")+('Dvd Calendar'!$U$1874=TYPE3)*(TYPE3&lt;&gt;"")+('Dvd Calendar'!$U$1874=TYPE4)*(TYPE4&lt;&gt;"")+('Dvd Calendar'!$U$1874=SPECIAL_LBL)*(INC_SPECIALS="Y"))=0,"",'Dvd Calendar'!$U$1872)))</f>
        <v/>
      </c>
      <c r="T188" s="106">
        <f>IF(EV188="","",IF(ISNUMBER('Dvd Calendar'!$V$1872)=FALSE,"",IF((('Dvd Calendar'!$V$1874=TYPE1)*(TYPE1&lt;&gt;"")+('Dvd Calendar'!$V$1874=TYPE2)*(TYPE2&lt;&gt;"")+('Dvd Calendar'!$V$1874=TYPE3)*(TYPE3&lt;&gt;"")+('Dvd Calendar'!$V$1874=TYPE4)*(TYPE4&lt;&gt;"")+('Dvd Calendar'!$V$1874=SPECIAL_LBL)*(INC_SPECIALS="Y"))=0,"",'Dvd Calendar'!$V$1872)))</f>
        <v/>
      </c>
      <c r="U188" s="106">
        <f>IF(EW188="","",IF(ISNUMBER('Dvd Calendar'!$W$1872)=FALSE,"",IF((('Dvd Calendar'!$W$1874=TYPE1)*(TYPE1&lt;&gt;"")+('Dvd Calendar'!$W$1874=TYPE2)*(TYPE2&lt;&gt;"")+('Dvd Calendar'!$W$1874=TYPE3)*(TYPE3&lt;&gt;"")+('Dvd Calendar'!$W$1874=TYPE4)*(TYPE4&lt;&gt;"")+('Dvd Calendar'!$W$1874=SPECIAL_LBL)*(INC_SPECIALS="Y"))=0,"",'Dvd Calendar'!$W$1872)))</f>
        <v/>
      </c>
      <c r="V188" s="106">
        <f>IF(EX188="","",IF(ISNUMBER('Dvd Calendar'!$X$1872)=FALSE,"",IF((('Dvd Calendar'!$X$1874=TYPE1)*(TYPE1&lt;&gt;"")+('Dvd Calendar'!$X$1874=TYPE2)*(TYPE2&lt;&gt;"")+('Dvd Calendar'!$X$1874=TYPE3)*(TYPE3&lt;&gt;"")+('Dvd Calendar'!$X$1874=TYPE4)*(TYPE4&lt;&gt;"")+('Dvd Calendar'!$X$1874=SPECIAL_LBL)*(INC_SPECIALS="Y"))=0,"",'Dvd Calendar'!$X$1872)))</f>
        <v/>
      </c>
      <c r="W188" s="106">
        <f>IF(EY188="","",IF(ISNUMBER('Dvd Calendar'!$Y$1872)=FALSE,"",IF((('Dvd Calendar'!$Y$1874=TYPE1)*(TYPE1&lt;&gt;"")+('Dvd Calendar'!$Y$1874=TYPE2)*(TYPE2&lt;&gt;"")+('Dvd Calendar'!$Y$1874=TYPE3)*(TYPE3&lt;&gt;"")+('Dvd Calendar'!$Y$1874=TYPE4)*(TYPE4&lt;&gt;"")+('Dvd Calendar'!$Y$1874=SPECIAL_LBL)*(INC_SPECIALS="Y"))=0,"",'Dvd Calendar'!$Y$1872)))</f>
        <v/>
      </c>
      <c r="X188" s="106">
        <f>IF(EZ188="","",IF(ISNUMBER('Dvd Calendar'!$Z$1872)=FALSE,"",IF((('Dvd Calendar'!$Z$1874=TYPE1)*(TYPE1&lt;&gt;"")+('Dvd Calendar'!$Z$1874=TYPE2)*(TYPE2&lt;&gt;"")+('Dvd Calendar'!$Z$1874=TYPE3)*(TYPE3&lt;&gt;"")+('Dvd Calendar'!$Z$1874=TYPE4)*(TYPE4&lt;&gt;"")+('Dvd Calendar'!$Z$1874=SPECIAL_LBL)*(INC_SPECIALS="Y"))=0,"",'Dvd Calendar'!$Z$1872)))</f>
        <v/>
      </c>
      <c r="Y188" s="106">
        <f>IF(FA188="","",IF(ISNUMBER('Dvd Calendar'!$AA$1872)=FALSE,"",IF((('Dvd Calendar'!$AA$1874=TYPE1)*(TYPE1&lt;&gt;"")+('Dvd Calendar'!$AA$1874=TYPE2)*(TYPE2&lt;&gt;"")+('Dvd Calendar'!$AA$1874=TYPE3)*(TYPE3&lt;&gt;"")+('Dvd Calendar'!$AA$1874=TYPE4)*(TYPE4&lt;&gt;"")+('Dvd Calendar'!$AA$1874=SPECIAL_LBL)*(INC_SPECIALS="Y"))=0,"",'Dvd Calendar'!$AA$1872)))</f>
        <v/>
      </c>
      <c r="Z188" s="106">
        <f>IF(FB188="","",IF(ISNUMBER('Dvd Calendar'!$AB$1872)=FALSE,"",IF((('Dvd Calendar'!$AB$1874=TYPE1)*(TYPE1&lt;&gt;"")+('Dvd Calendar'!$AB$1874=TYPE2)*(TYPE2&lt;&gt;"")+('Dvd Calendar'!$AB$1874=TYPE3)*(TYPE3&lt;&gt;"")+('Dvd Calendar'!$AB$1874=TYPE4)*(TYPE4&lt;&gt;"")+('Dvd Calendar'!$AB$1874=SPECIAL_LBL)*(INC_SPECIALS="Y"))=0,"",'Dvd Calendar'!$AB$1872)))</f>
        <v/>
      </c>
      <c r="AA188" s="106">
        <f>IF(FC188="","",IF(ISNUMBER('Dvd Calendar'!$AC$1872)=FALSE,"",IF((('Dvd Calendar'!$AC$1874=TYPE1)*(TYPE1&lt;&gt;"")+('Dvd Calendar'!$AC$1874=TYPE2)*(TYPE2&lt;&gt;"")+('Dvd Calendar'!$AC$1874=TYPE3)*(TYPE3&lt;&gt;"")+('Dvd Calendar'!$AC$1874=TYPE4)*(TYPE4&lt;&gt;"")+('Dvd Calendar'!$AC$1874=SPECIAL_LBL)*(INC_SPECIALS="Y"))=0,"",'Dvd Calendar'!$AC$1872)))</f>
        <v/>
      </c>
      <c r="AB188" s="106">
        <f>IF(FD188="","",IF(ISNUMBER('Dvd Calendar'!$AD$1872)=FALSE,"",IF((('Dvd Calendar'!$AD$1874=TYPE1)*(TYPE1&lt;&gt;"")+('Dvd Calendar'!$AD$1874=TYPE2)*(TYPE2&lt;&gt;"")+('Dvd Calendar'!$AD$1874=TYPE3)*(TYPE3&lt;&gt;"")+('Dvd Calendar'!$AD$1874=TYPE4)*(TYPE4&lt;&gt;"")+('Dvd Calendar'!$AD$1874=SPECIAL_LBL)*(INC_SPECIALS="Y"))=0,"",'Dvd Calendar'!$AD$1872)))</f>
        <v/>
      </c>
      <c r="AC188" s="106">
        <f>IF(FE188="","",IF(ISNUMBER('Dvd Calendar'!$AE$1872)=FALSE,"",IF((('Dvd Calendar'!$AE$1874=TYPE1)*(TYPE1&lt;&gt;"")+('Dvd Calendar'!$AE$1874=TYPE2)*(TYPE2&lt;&gt;"")+('Dvd Calendar'!$AE$1874=TYPE3)*(TYPE3&lt;&gt;"")+('Dvd Calendar'!$AE$1874=TYPE4)*(TYPE4&lt;&gt;"")+('Dvd Calendar'!$AE$1874=SPECIAL_LBL)*(INC_SPECIALS="Y"))=0,"",'Dvd Calendar'!$AE$1872)))</f>
        <v/>
      </c>
      <c r="AD188" s="106">
        <f>IF(FF188="","",IF(ISNUMBER('Dvd Calendar'!$AF$1872)=FALSE,"",IF((('Dvd Calendar'!$AF$1874=TYPE1)*(TYPE1&lt;&gt;"")+('Dvd Calendar'!$AF$1874=TYPE2)*(TYPE2&lt;&gt;"")+('Dvd Calendar'!$AF$1874=TYPE3)*(TYPE3&lt;&gt;"")+('Dvd Calendar'!$AF$1874=TYPE4)*(TYPE4&lt;&gt;"")+('Dvd Calendar'!$AF$1874=SPECIAL_LBL)*(INC_SPECIALS="Y"))=0,"",'Dvd Calendar'!$AF$1872)))</f>
        <v/>
      </c>
      <c r="AE188" s="106">
        <f>IF(FG188="","",IF(ISNUMBER('Dvd Calendar'!$AG$1872)=FALSE,"",IF((('Dvd Calendar'!$AG$1874=TYPE1)*(TYPE1&lt;&gt;"")+('Dvd Calendar'!$AG$1874=TYPE2)*(TYPE2&lt;&gt;"")+('Dvd Calendar'!$AG$1874=TYPE3)*(TYPE3&lt;&gt;"")+('Dvd Calendar'!$AG$1874=TYPE4)*(TYPE4&lt;&gt;"")+('Dvd Calendar'!$AG$1874=SPECIAL_LBL)*(INC_SPECIALS="Y"))=0,"",'Dvd Calendar'!$AG$1872)))</f>
        <v/>
      </c>
      <c r="AF188" s="106">
        <f>IF(FH188="","",IF(ISNUMBER('Dvd Calendar'!$AH$1872)=FALSE,"",IF((('Dvd Calendar'!$AH$1874=TYPE1)*(TYPE1&lt;&gt;"")+('Dvd Calendar'!$AH$1874=TYPE2)*(TYPE2&lt;&gt;"")+('Dvd Calendar'!$AH$1874=TYPE3)*(TYPE3&lt;&gt;"")+('Dvd Calendar'!$AH$1874=TYPE4)*(TYPE4&lt;&gt;"")+('Dvd Calendar'!$AH$1874=SPECIAL_LBL)*(INC_SPECIALS="Y"))=0,"",'Dvd Calendar'!$AH$1872)))</f>
        <v/>
      </c>
      <c r="AG188" s="106">
        <f>IF(FI188="","",IF(ISNUMBER('Dvd Calendar'!$AI$1872)=FALSE,"",IF((('Dvd Calendar'!$AI$1874=TYPE1)*(TYPE1&lt;&gt;"")+('Dvd Calendar'!$AI$1874=TYPE2)*(TYPE2&lt;&gt;"")+('Dvd Calendar'!$AI$1874=TYPE3)*(TYPE3&lt;&gt;"")+('Dvd Calendar'!$AI$1874=TYPE4)*(TYPE4&lt;&gt;"")+('Dvd Calendar'!$AI$1874=SPECIAL_LBL)*(INC_SPECIALS="Y"))=0,"",'Dvd Calendar'!$AI$1872)))</f>
        <v/>
      </c>
      <c r="AH188" s="106">
        <f>IF(FJ188="","",IF(ISNUMBER('Dvd Calendar'!$AJ$1872)=FALSE,"",IF((('Dvd Calendar'!$AJ$1874=TYPE1)*(TYPE1&lt;&gt;"")+('Dvd Calendar'!$AJ$1874=TYPE2)*(TYPE2&lt;&gt;"")+('Dvd Calendar'!$AJ$1874=TYPE3)*(TYPE3&lt;&gt;"")+('Dvd Calendar'!$AJ$1874=TYPE4)*(TYPE4&lt;&gt;"")+('Dvd Calendar'!$AJ$1874=SPECIAL_LBL)*(INC_SPECIALS="Y"))=0,"",'Dvd Calendar'!$AJ$1872)))</f>
        <v/>
      </c>
      <c r="AI188" s="106">
        <f>IF(FK188="","",IF(ISNUMBER('Dvd Calendar'!$AK$1872)=FALSE,"",IF((('Dvd Calendar'!$AK$1874=TYPE1)*(TYPE1&lt;&gt;"")+('Dvd Calendar'!$AK$1874=TYPE2)*(TYPE2&lt;&gt;"")+('Dvd Calendar'!$AK$1874=TYPE3)*(TYPE3&lt;&gt;"")+('Dvd Calendar'!$AK$1874=TYPE4)*(TYPE4&lt;&gt;"")+('Dvd Calendar'!$AK$1874=SPECIAL_LBL)*(INC_SPECIALS="Y"))=0,"",'Dvd Calendar'!$AK$1872)))</f>
        <v/>
      </c>
      <c r="AJ188" s="106">
        <f>IF(FL188="","",IF(ISNUMBER('Dvd Calendar'!$AL$1872)=FALSE,"",IF((('Dvd Calendar'!$AL$1874=TYPE1)*(TYPE1&lt;&gt;"")+('Dvd Calendar'!$AL$1874=TYPE2)*(TYPE2&lt;&gt;"")+('Dvd Calendar'!$AL$1874=TYPE3)*(TYPE3&lt;&gt;"")+('Dvd Calendar'!$AL$1874=TYPE4)*(TYPE4&lt;&gt;"")+('Dvd Calendar'!$AL$1874=SPECIAL_LBL)*(INC_SPECIALS="Y"))=0,"",'Dvd Calendar'!$AL$1872)))</f>
        <v/>
      </c>
      <c r="AK188" s="106">
        <f>IF(FM188="","",IF(ISNUMBER('Dvd Calendar'!$AM$1872)=FALSE,"",IF((('Dvd Calendar'!$AM$1874=TYPE1)*(TYPE1&lt;&gt;"")+('Dvd Calendar'!$AM$1874=TYPE2)*(TYPE2&lt;&gt;"")+('Dvd Calendar'!$AM$1874=TYPE3)*(TYPE3&lt;&gt;"")+('Dvd Calendar'!$AM$1874=TYPE4)*(TYPE4&lt;&gt;"")+('Dvd Calendar'!$AM$1874=SPECIAL_LBL)*(INC_SPECIALS="Y"))=0,"",'Dvd Calendar'!$AM$1872)))</f>
        <v/>
      </c>
      <c r="AL188" s="106">
        <f>IF(FN188="","",IF(ISNUMBER('Dvd Calendar'!$AN$1872)=FALSE,"",IF((('Dvd Calendar'!$AN$1874=TYPE1)*(TYPE1&lt;&gt;"")+('Dvd Calendar'!$AN$1874=TYPE2)*(TYPE2&lt;&gt;"")+('Dvd Calendar'!$AN$1874=TYPE3)*(TYPE3&lt;&gt;"")+('Dvd Calendar'!$AN$1874=TYPE4)*(TYPE4&lt;&gt;"")+('Dvd Calendar'!$AN$1874=SPECIAL_LBL)*(INC_SPECIALS="Y"))=0,"",'Dvd Calendar'!$AN$1872)))</f>
        <v/>
      </c>
      <c r="AM188" s="106">
        <f>IF(FO188="","",IF(ISNUMBER('Dvd Calendar'!$AO$1872)=FALSE,"",IF((('Dvd Calendar'!$AO$1874=TYPE1)*(TYPE1&lt;&gt;"")+('Dvd Calendar'!$AO$1874=TYPE2)*(TYPE2&lt;&gt;"")+('Dvd Calendar'!$AO$1874=TYPE3)*(TYPE3&lt;&gt;"")+('Dvd Calendar'!$AO$1874=TYPE4)*(TYPE4&lt;&gt;"")+('Dvd Calendar'!$AO$1874=SPECIAL_LBL)*(INC_SPECIALS="Y"))=0,"",'Dvd Calendar'!$AO$1872)))</f>
        <v/>
      </c>
      <c r="AN188" s="106">
        <f>IF(FP188="","",IF(ISNUMBER('Dvd Calendar'!$AP$1872)=FALSE,"",IF((('Dvd Calendar'!$AP$1874=TYPE1)*(TYPE1&lt;&gt;"")+('Dvd Calendar'!$AP$1874=TYPE2)*(TYPE2&lt;&gt;"")+('Dvd Calendar'!$AP$1874=TYPE3)*(TYPE3&lt;&gt;"")+('Dvd Calendar'!$AP$1874=TYPE4)*(TYPE4&lt;&gt;"")+('Dvd Calendar'!$AP$1874=SPECIAL_LBL)*(INC_SPECIALS="Y"))=0,"",'Dvd Calendar'!$AP$1872)))</f>
        <v/>
      </c>
      <c r="AO188" s="106">
        <f>IF(FQ188="","",IF(ISNUMBER('Dvd Calendar'!$AQ$1872)=FALSE,"",IF((('Dvd Calendar'!$AQ$1874=TYPE1)*(TYPE1&lt;&gt;"")+('Dvd Calendar'!$AQ$1874=TYPE2)*(TYPE2&lt;&gt;"")+('Dvd Calendar'!$AQ$1874=TYPE3)*(TYPE3&lt;&gt;"")+('Dvd Calendar'!$AQ$1874=TYPE4)*(TYPE4&lt;&gt;"")+('Dvd Calendar'!$AQ$1874=SPECIAL_LBL)*(INC_SPECIALS="Y"))=0,"",'Dvd Calendar'!$AQ$1872)))</f>
        <v/>
      </c>
      <c r="AP188" s="106">
        <f>IF(FR188="","",IF(ISNUMBER('Dvd Calendar'!$AR$1872)=FALSE,"",IF((('Dvd Calendar'!$AR$1874=TYPE1)*(TYPE1&lt;&gt;"")+('Dvd Calendar'!$AR$1874=TYPE2)*(TYPE2&lt;&gt;"")+('Dvd Calendar'!$AR$1874=TYPE3)*(TYPE3&lt;&gt;"")+('Dvd Calendar'!$AR$1874=TYPE4)*(TYPE4&lt;&gt;"")+('Dvd Calendar'!$AR$1874=SPECIAL_LBL)*(INC_SPECIALS="Y"))=0,"",'Dvd Calendar'!$AR$1872)))</f>
        <v/>
      </c>
      <c r="AQ188" s="106">
        <f>IF(FS188="","",IF(ISNUMBER('Dvd Calendar'!$E$1877)=FALSE,"",'Dvd Calendar'!$E$1877))</f>
        <v/>
      </c>
      <c r="AR188" s="106">
        <f>IF(FT188="","",IF(ISNUMBER('Dvd Calendar'!$F$1877)=FALSE,"",'Dvd Calendar'!$F$1877))</f>
        <v/>
      </c>
      <c r="AS188" s="106">
        <f>IF(FU188="","",IF(ISNUMBER('Dvd Calendar'!$G$1877)=FALSE,"",'Dvd Calendar'!$G$1877))</f>
        <v/>
      </c>
      <c r="AT188" s="106">
        <f>IF(FV188="","",IF(ISNUMBER('Dvd Calendar'!$H$1877)=FALSE,"",'Dvd Calendar'!$H$1877))</f>
        <v/>
      </c>
      <c r="AU188" s="106">
        <f>IF(FW188="","",IF(ISNUMBER('Dvd Calendar'!$I$1877)=FALSE,"",'Dvd Calendar'!$I$1877))</f>
        <v/>
      </c>
      <c r="AV188" s="106">
        <f>IF(FX188="","",IF(ISNUMBER('Dvd Calendar'!$J$1877)=FALSE,"",'Dvd Calendar'!$J$1877))</f>
        <v/>
      </c>
      <c r="AW188" s="106">
        <f>IF(FY188="","",IF(ISNUMBER('Dvd Calendar'!$K$1877)=FALSE,"",'Dvd Calendar'!$K$1877))</f>
        <v/>
      </c>
      <c r="AX188" s="106">
        <f>IF(FZ188="","",IF(ISNUMBER('Dvd Calendar'!$L$1877)=FALSE,"",'Dvd Calendar'!$L$1877))</f>
        <v/>
      </c>
      <c r="AY188" s="106">
        <f>IF(GA188="","",IF(ISNUMBER('Dvd Calendar'!$M$1877)=FALSE,"",'Dvd Calendar'!$M$1877))</f>
        <v/>
      </c>
      <c r="AZ188" s="106">
        <f>IF(GB188="","",IF(ISNUMBER('Dvd Calendar'!$N$1877)=FALSE,"",'Dvd Calendar'!$N$1877))</f>
        <v/>
      </c>
      <c r="BA188" s="106">
        <f>IF(GC188="","",IF(ISNUMBER('Dvd Calendar'!$O$1877)=FALSE,"",'Dvd Calendar'!$O$1877))</f>
        <v/>
      </c>
      <c r="BB188" s="106">
        <f>IF(GD188="","",IF(ISNUMBER('Dvd Calendar'!$P$1877)=FALSE,"",'Dvd Calendar'!$P$1877))</f>
        <v/>
      </c>
      <c r="BC188" s="106">
        <f>IF(GE188="","",IF(ISNUMBER('Dvd Calendar'!$Q$1877)=FALSE,"",'Dvd Calendar'!$Q$1877))</f>
        <v/>
      </c>
      <c r="BD188" s="106">
        <f>IF(GF188="","",IF(ISNUMBER('Dvd Calendar'!$R$1877)=FALSE,"",'Dvd Calendar'!$R$1877))</f>
        <v/>
      </c>
      <c r="BE188" s="106">
        <f>IF(GG188="","",IF(ISNUMBER('Dvd Calendar'!$S$1877)=FALSE,"",'Dvd Calendar'!$S$1877))</f>
        <v/>
      </c>
      <c r="BF188" s="106">
        <f>IF(GH188="","",IF(ISNUMBER('Dvd Calendar'!$T$1877)=FALSE,"",'Dvd Calendar'!$T$1877))</f>
        <v/>
      </c>
      <c r="BG188" s="106">
        <f>IF(GI188="","",IF(ISNUMBER('Dvd Calendar'!$U$1877)=FALSE,"",'Dvd Calendar'!$U$1877))</f>
        <v/>
      </c>
      <c r="BH188" s="106">
        <f>IF(GJ188="","",IF(ISNUMBER('Dvd Calendar'!$V$1877)=FALSE,"",'Dvd Calendar'!$V$1877))</f>
        <v/>
      </c>
      <c r="BI188" s="106">
        <f>IF(GK188="","",IF(ISNUMBER('Dvd Calendar'!$W$1877)=FALSE,"",'Dvd Calendar'!$W$1877))</f>
        <v/>
      </c>
      <c r="BJ188" s="106">
        <f>IF(GL188="","",IF(ISNUMBER('Dvd Calendar'!$X$1877)=FALSE,"",'Dvd Calendar'!$X$1877))</f>
        <v/>
      </c>
      <c r="BK188" s="106">
        <f>IF(GM188="","",IF(ISNUMBER('Dvd Calendar'!$Y$1877)=FALSE,"",'Dvd Calendar'!$Y$1877))</f>
        <v/>
      </c>
      <c r="BL188" s="106">
        <f>IF(GN188="","",IF(ISNUMBER('Dvd Calendar'!$Z$1877)=FALSE,"",'Dvd Calendar'!$Z$1877))</f>
        <v/>
      </c>
      <c r="BM188" s="106">
        <f>IF(GO188="","",IF(ISNUMBER('Dvd Calendar'!$AA$1877)=FALSE,"",'Dvd Calendar'!$AA$1877))</f>
        <v/>
      </c>
      <c r="BN188" s="106">
        <f>IF(GP188="","",IF(ISNUMBER('Dvd Calendar'!$AB$1877)=FALSE,"",'Dvd Calendar'!$AB$1877))</f>
        <v/>
      </c>
      <c r="BO188" s="106">
        <f>IF(GQ188="","",IF(ISNUMBER('Dvd Calendar'!$AC$1877)=FALSE,"",'Dvd Calendar'!$AC$1877))</f>
        <v/>
      </c>
      <c r="BQ188" s="106">
        <f>IF(C188="","",IFERROR(C188*HSCEI!$B$35*HSCEI!$G$35/HSCEI!$B$3,""))</f>
        <v/>
      </c>
      <c r="BR188" s="106">
        <f>IF(D188="","",IFERROR(D188*HSCEI!$B$35*HSCEI!$G$35/HSCEI!$B$3,""))</f>
        <v/>
      </c>
      <c r="BS188" s="106">
        <f>IF(E188="","",IFERROR(E188*HSCEI!$B$35*HSCEI!$G$35/HSCEI!$B$3,""))</f>
        <v/>
      </c>
      <c r="BT188" s="106">
        <f>IF(F188="","",IFERROR(F188*HSCEI!$B$35*HSCEI!$G$35/HSCEI!$B$3,""))</f>
        <v/>
      </c>
      <c r="BU188" s="106">
        <f>IF(G188="","",IFERROR(G188*HSCEI!$B$35*HSCEI!$G$35/HSCEI!$B$3,""))</f>
        <v/>
      </c>
      <c r="BV188" s="106">
        <f>IF(H188="","",IFERROR(H188*HSCEI!$B$35*HSCEI!$G$35/HSCEI!$B$3,""))</f>
        <v/>
      </c>
      <c r="BW188" s="106">
        <f>IF(I188="","",IFERROR(I188*HSCEI!$B$35*HSCEI!$G$35/HSCEI!$B$3,""))</f>
        <v/>
      </c>
      <c r="BX188" s="106">
        <f>IF(J188="","",IFERROR(J188*HSCEI!$B$35*HSCEI!$G$35/HSCEI!$B$3,""))</f>
        <v/>
      </c>
      <c r="BY188" s="106">
        <f>IF(K188="","",IFERROR(K188*HSCEI!$B$35*HSCEI!$G$35/HSCEI!$B$3,""))</f>
        <v/>
      </c>
      <c r="BZ188" s="106">
        <f>IF(L188="","",IFERROR(L188*HSCEI!$B$35*HSCEI!$G$35/HSCEI!$B$3,""))</f>
        <v/>
      </c>
      <c r="CA188" s="106">
        <f>IF(M188="","",IFERROR(M188*HSCEI!$B$35*HSCEI!$G$35/HSCEI!$B$3,""))</f>
        <v/>
      </c>
      <c r="CB188" s="106">
        <f>IF(N188="","",IFERROR(N188*HSCEI!$B$35*HSCEI!$G$35/HSCEI!$B$3,""))</f>
        <v/>
      </c>
      <c r="CC188" s="106">
        <f>IF(O188="","",IFERROR(O188*HSCEI!$B$35*HSCEI!$G$35/HSCEI!$B$3,""))</f>
        <v/>
      </c>
      <c r="CD188" s="106">
        <f>IF(P188="","",IFERROR(P188*HSCEI!$B$35*HSCEI!$G$35/HSCEI!$B$3,""))</f>
        <v/>
      </c>
      <c r="CE188" s="106">
        <f>IF(Q188="","",IFERROR(Q188*HSCEI!$B$35*HSCEI!$G$35/HSCEI!$B$3,""))</f>
        <v/>
      </c>
      <c r="CF188" s="106">
        <f>IF(R188="","",IFERROR(R188*HSCEI!$B$35*HSCEI!$G$35/HSCEI!$B$3,""))</f>
        <v/>
      </c>
      <c r="CG188" s="106">
        <f>IF(S188="","",IFERROR(S188*HSCEI!$B$35*HSCEI!$G$35/HSCEI!$B$3,""))</f>
        <v/>
      </c>
      <c r="CH188" s="106">
        <f>IF(T188="","",IFERROR(T188*HSCEI!$B$35*HSCEI!$G$35/HSCEI!$B$3,""))</f>
        <v/>
      </c>
      <c r="CI188" s="106">
        <f>IF(U188="","",IFERROR(U188*HSCEI!$B$35*HSCEI!$G$35/HSCEI!$B$3,""))</f>
        <v/>
      </c>
      <c r="CJ188" s="106">
        <f>IF(V188="","",IFERROR(V188*HSCEI!$B$35*HSCEI!$G$35/HSCEI!$B$3,""))</f>
        <v/>
      </c>
      <c r="CK188" s="106">
        <f>IF(W188="","",IFERROR(W188*HSCEI!$B$35*HSCEI!$G$35/HSCEI!$B$3,""))</f>
        <v/>
      </c>
      <c r="CL188" s="106">
        <f>IF(X188="","",IFERROR(X188*HSCEI!$B$35*HSCEI!$G$35/HSCEI!$B$3,""))</f>
        <v/>
      </c>
      <c r="CM188" s="106">
        <f>IF(Y188="","",IFERROR(Y188*HSCEI!$B$35*HSCEI!$G$35/HSCEI!$B$3,""))</f>
        <v/>
      </c>
      <c r="CN188" s="106">
        <f>IF(Z188="","",IFERROR(Z188*HSCEI!$B$35*HSCEI!$G$35/HSCEI!$B$3,""))</f>
        <v/>
      </c>
      <c r="CO188" s="106">
        <f>IF(AA188="","",IFERROR(AA188*HSCEI!$B$35*HSCEI!$G$35/HSCEI!$B$3,""))</f>
        <v/>
      </c>
      <c r="CP188" s="106">
        <f>IF(AB188="","",IFERROR(AB188*HSCEI!$B$35*HSCEI!$G$35/HSCEI!$B$3,""))</f>
        <v/>
      </c>
      <c r="CQ188" s="106">
        <f>IF(AC188="","",IFERROR(AC188*HSCEI!$B$35*HSCEI!$G$35/HSCEI!$B$3,""))</f>
        <v/>
      </c>
      <c r="CR188" s="106">
        <f>IF(AD188="","",IFERROR(AD188*HSCEI!$B$35*HSCEI!$G$35/HSCEI!$B$3,""))</f>
        <v/>
      </c>
      <c r="CS188" s="106">
        <f>IF(AE188="","",IFERROR(AE188*HSCEI!$B$35*HSCEI!$G$35/HSCEI!$B$3,""))</f>
        <v/>
      </c>
      <c r="CT188" s="106">
        <f>IF(AF188="","",IFERROR(AF188*HSCEI!$B$35*HSCEI!$G$35/HSCEI!$B$3,""))</f>
        <v/>
      </c>
      <c r="CU188" s="106">
        <f>IF(AG188="","",IFERROR(AG188*HSCEI!$B$35*HSCEI!$G$35/HSCEI!$B$3,""))</f>
        <v/>
      </c>
      <c r="CV188" s="106">
        <f>IF(AH188="","",IFERROR(AH188*HSCEI!$B$35*HSCEI!$G$35/HSCEI!$B$3,""))</f>
        <v/>
      </c>
      <c r="CW188" s="106">
        <f>IF(AI188="","",IFERROR(AI188*HSCEI!$B$35*HSCEI!$G$35/HSCEI!$B$3,""))</f>
        <v/>
      </c>
      <c r="CX188" s="106">
        <f>IF(AJ188="","",IFERROR(AJ188*HSCEI!$B$35*HSCEI!$G$35/HSCEI!$B$3,""))</f>
        <v/>
      </c>
      <c r="CY188" s="106">
        <f>IF(AK188="","",IFERROR(AK188*HSCEI!$B$35*HSCEI!$G$35/HSCEI!$B$3,""))</f>
        <v/>
      </c>
      <c r="CZ188" s="106">
        <f>IF(AL188="","",IFERROR(AL188*HSCEI!$B$35*HSCEI!$G$35/HSCEI!$B$3,""))</f>
        <v/>
      </c>
      <c r="DA188" s="106">
        <f>IF(AM188="","",IFERROR(AM188*HSCEI!$B$35*HSCEI!$G$35/HSCEI!$B$3,""))</f>
        <v/>
      </c>
      <c r="DB188" s="106">
        <f>IF(AN188="","",IFERROR(AN188*HSCEI!$B$35*HSCEI!$G$35/HSCEI!$B$3,""))</f>
        <v/>
      </c>
      <c r="DC188" s="106">
        <f>IF(AO188="","",IFERROR(AO188*HSCEI!$B$35*HSCEI!$G$35/HSCEI!$B$3,""))</f>
        <v/>
      </c>
      <c r="DD188" s="106">
        <f>IF(AP188="","",IFERROR(AP188*HSCEI!$B$35*HSCEI!$G$35/HSCEI!$B$3,""))</f>
        <v/>
      </c>
      <c r="DE188" s="106">
        <f>IF(AQ188="","",IFERROR(AQ188*HSCEI!$B$35*HSCEI!$G$35/HSCEI!$B$3,""))</f>
        <v/>
      </c>
      <c r="DF188" s="106">
        <f>IF(AR188="","",IFERROR(AR188*HSCEI!$B$35*HSCEI!$G$35/HSCEI!$B$3,""))</f>
        <v/>
      </c>
      <c r="DG188" s="106">
        <f>IF(AS188="","",IFERROR(AS188*HSCEI!$B$35*HSCEI!$G$35/HSCEI!$B$3,""))</f>
        <v/>
      </c>
      <c r="DH188" s="106">
        <f>IF(AT188="","",IFERROR(AT188*HSCEI!$B$35*HSCEI!$G$35/HSCEI!$B$3,""))</f>
        <v/>
      </c>
      <c r="DI188" s="106">
        <f>IF(AU188="","",IFERROR(AU188*HSCEI!$B$35*HSCEI!$G$35/HSCEI!$B$3,""))</f>
        <v/>
      </c>
      <c r="DJ188" s="106">
        <f>IF(AV188="","",IFERROR(AV188*HSCEI!$B$35*HSCEI!$G$35/HSCEI!$B$3,""))</f>
        <v/>
      </c>
      <c r="DK188" s="106">
        <f>IF(AW188="","",IFERROR(AW188*HSCEI!$B$35*HSCEI!$G$35/HSCEI!$B$3,""))</f>
        <v/>
      </c>
      <c r="DL188" s="106">
        <f>IF(AX188="","",IFERROR(AX188*HSCEI!$B$35*HSCEI!$G$35/HSCEI!$B$3,""))</f>
        <v/>
      </c>
      <c r="DM188" s="106">
        <f>IF(AY188="","",IFERROR(AY188*HSCEI!$B$35*HSCEI!$G$35/HSCEI!$B$3,""))</f>
        <v/>
      </c>
      <c r="DN188" s="106">
        <f>IF(AZ188="","",IFERROR(AZ188*HSCEI!$B$35*HSCEI!$G$35/HSCEI!$B$3,""))</f>
        <v/>
      </c>
      <c r="DO188" s="106">
        <f>IF(BA188="","",IFERROR(BA188*HSCEI!$B$35*HSCEI!$G$35/HSCEI!$B$3,""))</f>
        <v/>
      </c>
      <c r="DP188" s="106">
        <f>IF(BB188="","",IFERROR(BB188*HSCEI!$B$35*HSCEI!$G$35/HSCEI!$B$3,""))</f>
        <v/>
      </c>
      <c r="DQ188" s="106">
        <f>IF(BC188="","",IFERROR(BC188*HSCEI!$B$35*HSCEI!$G$35/HSCEI!$B$3,""))</f>
        <v/>
      </c>
      <c r="DR188" s="106">
        <f>IF(BD188="","",IFERROR(BD188*HSCEI!$B$35*HSCEI!$G$35/HSCEI!$B$3,""))</f>
        <v/>
      </c>
      <c r="DS188" s="106">
        <f>IF(BE188="","",IFERROR(BE188*HSCEI!$B$35*HSCEI!$G$35/HSCEI!$B$3,""))</f>
        <v/>
      </c>
      <c r="DT188" s="106">
        <f>IF(BF188="","",IFERROR(BF188*HSCEI!$B$35*HSCEI!$G$35/HSCEI!$B$3,""))</f>
        <v/>
      </c>
      <c r="DU188" s="106">
        <f>IF(BG188="","",IFERROR(BG188*HSCEI!$B$35*HSCEI!$G$35/HSCEI!$B$3,""))</f>
        <v/>
      </c>
      <c r="DV188" s="106">
        <f>IF(BH188="","",IFERROR(BH188*HSCEI!$B$35*HSCEI!$G$35/HSCEI!$B$3,""))</f>
        <v/>
      </c>
      <c r="DW188" s="106">
        <f>IF(BI188="","",IFERROR(BI188*HSCEI!$B$35*HSCEI!$G$35/HSCEI!$B$3,""))</f>
        <v/>
      </c>
      <c r="DX188" s="106">
        <f>IF(BJ188="","",IFERROR(BJ188*HSCEI!$B$35*HSCEI!$G$35/HSCEI!$B$3,""))</f>
        <v/>
      </c>
      <c r="DY188" s="106">
        <f>IF(BK188="","",IFERROR(BK188*HSCEI!$B$35*HSCEI!$G$35/HSCEI!$B$3,""))</f>
        <v/>
      </c>
      <c r="DZ188" s="106">
        <f>IF(BL188="","",IFERROR(BL188*HSCEI!$B$35*HSCEI!$G$35/HSCEI!$B$3,""))</f>
        <v/>
      </c>
      <c r="EA188" s="106">
        <f>IF(BM188="","",IFERROR(BM188*HSCEI!$B$35*HSCEI!$G$35/HSCEI!$B$3,""))</f>
        <v/>
      </c>
      <c r="EB188" s="106">
        <f>IF(BN188="","",IFERROR(BN188*HSCEI!$B$35*HSCEI!$G$35/HSCEI!$B$3,""))</f>
        <v/>
      </c>
      <c r="EC188" s="106">
        <f>IF(BO188="","",IFERROR(BO188*HSCEI!$B$35*HSCEI!$G$35/HSCEI!$B$3,""))</f>
        <v/>
      </c>
      <c r="EE188" s="35">
        <f>IF(N('Dvd Calendar'!$E$1869)=0,"",IF(('Dvd Calendar'!$E$1869&gt;=GRID_FROM)*('Dvd Calendar'!$E$1869&lt;=GRID_TO)*('Dvd Calendar'!$E$1869&lt;=VAL_DATE)=0,"",'Dvd Calendar'!$E$1869*1000000000+ISNUMBER('Dvd Calendar'!$E$1872)*100000000+('Dvd Calendar'!$E$1874=SPECIAL_LBL)*10000000+0*1000000+29*1000+1))</f>
        <v/>
      </c>
      <c r="EF188" s="35">
        <f>IF(N('Dvd Calendar'!$F$1869)=0,"",IF(('Dvd Calendar'!$F$1869&gt;=GRID_FROM)*('Dvd Calendar'!$F$1869&lt;=GRID_TO)*('Dvd Calendar'!$F$1869&lt;=VAL_DATE)=0,"",'Dvd Calendar'!$F$1869*1000000000+ISNUMBER('Dvd Calendar'!$F$1872)*100000000+('Dvd Calendar'!$F$1874=SPECIAL_LBL)*10000000+0*1000000+29*1000+2))</f>
        <v/>
      </c>
      <c r="EG188" s="35">
        <f>IF(N('Dvd Calendar'!$G$1869)=0,"",IF(('Dvd Calendar'!$G$1869&gt;=GRID_FROM)*('Dvd Calendar'!$G$1869&lt;=GRID_TO)*('Dvd Calendar'!$G$1869&lt;=VAL_DATE)=0,"",'Dvd Calendar'!$G$1869*1000000000+ISNUMBER('Dvd Calendar'!$G$1872)*100000000+('Dvd Calendar'!$G$1874=SPECIAL_LBL)*10000000+0*1000000+29*1000+3))</f>
        <v/>
      </c>
      <c r="EH188" s="35">
        <f>IF(N('Dvd Calendar'!$H$1869)=0,"",IF(('Dvd Calendar'!$H$1869&gt;=GRID_FROM)*('Dvd Calendar'!$H$1869&lt;=GRID_TO)*('Dvd Calendar'!$H$1869&lt;=VAL_DATE)=0,"",'Dvd Calendar'!$H$1869*1000000000+ISNUMBER('Dvd Calendar'!$H$1872)*100000000+('Dvd Calendar'!$H$1874=SPECIAL_LBL)*10000000+0*1000000+29*1000+4))</f>
        <v/>
      </c>
      <c r="EI188" s="35">
        <f>IF(N('Dvd Calendar'!$I$1869)=0,"",IF(('Dvd Calendar'!$I$1869&gt;=GRID_FROM)*('Dvd Calendar'!$I$1869&lt;=GRID_TO)*('Dvd Calendar'!$I$1869&lt;=VAL_DATE)=0,"",'Dvd Calendar'!$I$1869*1000000000+ISNUMBER('Dvd Calendar'!$I$1872)*100000000+('Dvd Calendar'!$I$1874=SPECIAL_LBL)*10000000+0*1000000+29*1000+5))</f>
        <v/>
      </c>
      <c r="EJ188" s="35">
        <f>IF(N('Dvd Calendar'!$J$1869)=0,"",IF(('Dvd Calendar'!$J$1869&gt;=GRID_FROM)*('Dvd Calendar'!$J$1869&lt;=GRID_TO)*('Dvd Calendar'!$J$1869&lt;=VAL_DATE)=0,"",'Dvd Calendar'!$J$1869*1000000000+ISNUMBER('Dvd Calendar'!$J$1872)*100000000+('Dvd Calendar'!$J$1874=SPECIAL_LBL)*10000000+0*1000000+29*1000+6))</f>
        <v/>
      </c>
      <c r="EK188" s="35">
        <f>IF(N('Dvd Calendar'!$K$1869)=0,"",IF(('Dvd Calendar'!$K$1869&gt;=GRID_FROM)*('Dvd Calendar'!$K$1869&lt;=GRID_TO)*('Dvd Calendar'!$K$1869&lt;=VAL_DATE)=0,"",'Dvd Calendar'!$K$1869*1000000000+ISNUMBER('Dvd Calendar'!$K$1872)*100000000+('Dvd Calendar'!$K$1874=SPECIAL_LBL)*10000000+0*1000000+29*1000+7))</f>
        <v/>
      </c>
      <c r="EL188" s="35">
        <f>IF(N('Dvd Calendar'!$L$1869)=0,"",IF(('Dvd Calendar'!$L$1869&gt;=GRID_FROM)*('Dvd Calendar'!$L$1869&lt;=GRID_TO)*('Dvd Calendar'!$L$1869&lt;=VAL_DATE)=0,"",'Dvd Calendar'!$L$1869*1000000000+ISNUMBER('Dvd Calendar'!$L$1872)*100000000+('Dvd Calendar'!$L$1874=SPECIAL_LBL)*10000000+0*1000000+29*1000+8))</f>
        <v/>
      </c>
      <c r="EM188" s="35">
        <f>IF(N('Dvd Calendar'!$M$1869)=0,"",IF(('Dvd Calendar'!$M$1869&gt;=GRID_FROM)*('Dvd Calendar'!$M$1869&lt;=GRID_TO)*('Dvd Calendar'!$M$1869&lt;=VAL_DATE)=0,"",'Dvd Calendar'!$M$1869*1000000000+ISNUMBER('Dvd Calendar'!$M$1872)*100000000+('Dvd Calendar'!$M$1874=SPECIAL_LBL)*10000000+0*1000000+29*1000+9))</f>
        <v/>
      </c>
      <c r="EN188" s="35">
        <f>IF(N('Dvd Calendar'!$N$1869)=0,"",IF(('Dvd Calendar'!$N$1869&gt;=GRID_FROM)*('Dvd Calendar'!$N$1869&lt;=GRID_TO)*('Dvd Calendar'!$N$1869&lt;=VAL_DATE)=0,"",'Dvd Calendar'!$N$1869*1000000000+ISNUMBER('Dvd Calendar'!$N$1872)*100000000+('Dvd Calendar'!$N$1874=SPECIAL_LBL)*10000000+0*1000000+29*1000+10))</f>
        <v/>
      </c>
      <c r="EO188" s="35">
        <f>IF(N('Dvd Calendar'!$O$1869)=0,"",IF(('Dvd Calendar'!$O$1869&gt;=GRID_FROM)*('Dvd Calendar'!$O$1869&lt;=GRID_TO)*('Dvd Calendar'!$O$1869&lt;=VAL_DATE)=0,"",'Dvd Calendar'!$O$1869*1000000000+ISNUMBER('Dvd Calendar'!$O$1872)*100000000+('Dvd Calendar'!$O$1874=SPECIAL_LBL)*10000000+0*1000000+29*1000+11))</f>
        <v/>
      </c>
      <c r="EP188" s="35">
        <f>IF(N('Dvd Calendar'!$P$1869)=0,"",IF(('Dvd Calendar'!$P$1869&gt;=GRID_FROM)*('Dvd Calendar'!$P$1869&lt;=GRID_TO)*('Dvd Calendar'!$P$1869&lt;=VAL_DATE)=0,"",'Dvd Calendar'!$P$1869*1000000000+ISNUMBER('Dvd Calendar'!$P$1872)*100000000+('Dvd Calendar'!$P$1874=SPECIAL_LBL)*10000000+0*1000000+29*1000+12))</f>
        <v/>
      </c>
      <c r="EQ188" s="35">
        <f>IF(N('Dvd Calendar'!$Q$1869)=0,"",IF(('Dvd Calendar'!$Q$1869&gt;=GRID_FROM)*('Dvd Calendar'!$Q$1869&lt;=GRID_TO)*('Dvd Calendar'!$Q$1869&lt;=VAL_DATE)=0,"",'Dvd Calendar'!$Q$1869*1000000000+ISNUMBER('Dvd Calendar'!$Q$1872)*100000000+('Dvd Calendar'!$Q$1874=SPECIAL_LBL)*10000000+0*1000000+29*1000+13))</f>
        <v/>
      </c>
      <c r="ER188" s="35">
        <f>IF(N('Dvd Calendar'!$R$1869)=0,"",IF(('Dvd Calendar'!$R$1869&gt;=GRID_FROM)*('Dvd Calendar'!$R$1869&lt;=GRID_TO)*('Dvd Calendar'!$R$1869&lt;=VAL_DATE)=0,"",'Dvd Calendar'!$R$1869*1000000000+ISNUMBER('Dvd Calendar'!$R$1872)*100000000+('Dvd Calendar'!$R$1874=SPECIAL_LBL)*10000000+0*1000000+29*1000+14))</f>
        <v/>
      </c>
      <c r="ES188" s="35">
        <f>IF(N('Dvd Calendar'!$S$1869)=0,"",IF(('Dvd Calendar'!$S$1869&gt;=GRID_FROM)*('Dvd Calendar'!$S$1869&lt;=GRID_TO)*('Dvd Calendar'!$S$1869&lt;=VAL_DATE)=0,"",'Dvd Calendar'!$S$1869*1000000000+ISNUMBER('Dvd Calendar'!$S$1872)*100000000+('Dvd Calendar'!$S$1874=SPECIAL_LBL)*10000000+0*1000000+29*1000+15))</f>
        <v/>
      </c>
      <c r="ET188" s="35">
        <f>IF(N('Dvd Calendar'!$T$1869)=0,"",IF(('Dvd Calendar'!$T$1869&gt;=GRID_FROM)*('Dvd Calendar'!$T$1869&lt;=GRID_TO)*('Dvd Calendar'!$T$1869&lt;=VAL_DATE)=0,"",'Dvd Calendar'!$T$1869*1000000000+ISNUMBER('Dvd Calendar'!$T$1872)*100000000+('Dvd Calendar'!$T$1874=SPECIAL_LBL)*10000000+0*1000000+29*1000+16))</f>
        <v/>
      </c>
      <c r="EU188" s="35">
        <f>IF(N('Dvd Calendar'!$U$1869)=0,"",IF(('Dvd Calendar'!$U$1869&gt;=GRID_FROM)*('Dvd Calendar'!$U$1869&lt;=GRID_TO)*('Dvd Calendar'!$U$1869&lt;=VAL_DATE)=0,"",'Dvd Calendar'!$U$1869*1000000000+ISNUMBER('Dvd Calendar'!$U$1872)*100000000+('Dvd Calendar'!$U$1874=SPECIAL_LBL)*10000000+0*1000000+29*1000+17))</f>
        <v/>
      </c>
      <c r="EV188" s="35">
        <f>IF(N('Dvd Calendar'!$V$1869)=0,"",IF(('Dvd Calendar'!$V$1869&gt;=GRID_FROM)*('Dvd Calendar'!$V$1869&lt;=GRID_TO)*('Dvd Calendar'!$V$1869&lt;=VAL_DATE)=0,"",'Dvd Calendar'!$V$1869*1000000000+ISNUMBER('Dvd Calendar'!$V$1872)*100000000+('Dvd Calendar'!$V$1874=SPECIAL_LBL)*10000000+0*1000000+29*1000+18))</f>
        <v/>
      </c>
      <c r="EW188" s="35">
        <f>IF(N('Dvd Calendar'!$W$1869)=0,"",IF(('Dvd Calendar'!$W$1869&gt;=GRID_FROM)*('Dvd Calendar'!$W$1869&lt;=GRID_TO)*('Dvd Calendar'!$W$1869&lt;=VAL_DATE)=0,"",'Dvd Calendar'!$W$1869*1000000000+ISNUMBER('Dvd Calendar'!$W$1872)*100000000+('Dvd Calendar'!$W$1874=SPECIAL_LBL)*10000000+0*1000000+29*1000+19))</f>
        <v/>
      </c>
      <c r="EX188" s="35">
        <f>IF(N('Dvd Calendar'!$X$1869)=0,"",IF(('Dvd Calendar'!$X$1869&gt;=GRID_FROM)*('Dvd Calendar'!$X$1869&lt;=GRID_TO)*('Dvd Calendar'!$X$1869&lt;=VAL_DATE)=0,"",'Dvd Calendar'!$X$1869*1000000000+ISNUMBER('Dvd Calendar'!$X$1872)*100000000+('Dvd Calendar'!$X$1874=SPECIAL_LBL)*10000000+0*1000000+29*1000+20))</f>
        <v/>
      </c>
      <c r="EY188" s="35">
        <f>IF(N('Dvd Calendar'!$Y$1869)=0,"",IF(('Dvd Calendar'!$Y$1869&gt;=GRID_FROM)*('Dvd Calendar'!$Y$1869&lt;=GRID_TO)*('Dvd Calendar'!$Y$1869&lt;=VAL_DATE)=0,"",'Dvd Calendar'!$Y$1869*1000000000+ISNUMBER('Dvd Calendar'!$Y$1872)*100000000+('Dvd Calendar'!$Y$1874=SPECIAL_LBL)*10000000+0*1000000+29*1000+21))</f>
        <v/>
      </c>
      <c r="EZ188" s="35">
        <f>IF(N('Dvd Calendar'!$Z$1869)=0,"",IF(('Dvd Calendar'!$Z$1869&gt;=GRID_FROM)*('Dvd Calendar'!$Z$1869&lt;=GRID_TO)*('Dvd Calendar'!$Z$1869&lt;=VAL_DATE)=0,"",'Dvd Calendar'!$Z$1869*1000000000+ISNUMBER('Dvd Calendar'!$Z$1872)*100000000+('Dvd Calendar'!$Z$1874=SPECIAL_LBL)*10000000+0*1000000+29*1000+22))</f>
        <v/>
      </c>
      <c r="FA188" s="35">
        <f>IF(N('Dvd Calendar'!$AA$1869)=0,"",IF(('Dvd Calendar'!$AA$1869&gt;=GRID_FROM)*('Dvd Calendar'!$AA$1869&lt;=GRID_TO)*('Dvd Calendar'!$AA$1869&lt;=VAL_DATE)=0,"",'Dvd Calendar'!$AA$1869*1000000000+ISNUMBER('Dvd Calendar'!$AA$1872)*100000000+('Dvd Calendar'!$AA$1874=SPECIAL_LBL)*10000000+0*1000000+29*1000+23))</f>
        <v/>
      </c>
      <c r="FB188" s="35">
        <f>IF(N('Dvd Calendar'!$AB$1869)=0,"",IF(('Dvd Calendar'!$AB$1869&gt;=GRID_FROM)*('Dvd Calendar'!$AB$1869&lt;=GRID_TO)*('Dvd Calendar'!$AB$1869&lt;=VAL_DATE)=0,"",'Dvd Calendar'!$AB$1869*1000000000+ISNUMBER('Dvd Calendar'!$AB$1872)*100000000+('Dvd Calendar'!$AB$1874=SPECIAL_LBL)*10000000+0*1000000+29*1000+24))</f>
        <v/>
      </c>
      <c r="FC188" s="35">
        <f>IF(N('Dvd Calendar'!$AC$1869)=0,"",IF(('Dvd Calendar'!$AC$1869&gt;=GRID_FROM)*('Dvd Calendar'!$AC$1869&lt;=GRID_TO)*('Dvd Calendar'!$AC$1869&lt;=VAL_DATE)=0,"",'Dvd Calendar'!$AC$1869*1000000000+ISNUMBER('Dvd Calendar'!$AC$1872)*100000000+('Dvd Calendar'!$AC$1874=SPECIAL_LBL)*10000000+0*1000000+29*1000+25))</f>
        <v/>
      </c>
      <c r="FD188" s="35">
        <f>IF(N('Dvd Calendar'!$AD$1869)=0,"",IF(('Dvd Calendar'!$AD$1869&gt;=GRID_FROM)*('Dvd Calendar'!$AD$1869&lt;=GRID_TO)*('Dvd Calendar'!$AD$1869&lt;=VAL_DATE)=0,"",'Dvd Calendar'!$AD$1869*1000000000+ISNUMBER('Dvd Calendar'!$AD$1872)*100000000+('Dvd Calendar'!$AD$1874=SPECIAL_LBL)*10000000+0*1000000+29*1000+26))</f>
        <v/>
      </c>
      <c r="FE188" s="35">
        <f>IF(N('Dvd Calendar'!$AE$1869)=0,"",IF(('Dvd Calendar'!$AE$1869&gt;=GRID_FROM)*('Dvd Calendar'!$AE$1869&lt;=GRID_TO)*('Dvd Calendar'!$AE$1869&lt;=VAL_DATE)=0,"",'Dvd Calendar'!$AE$1869*1000000000+ISNUMBER('Dvd Calendar'!$AE$1872)*100000000+('Dvd Calendar'!$AE$1874=SPECIAL_LBL)*10000000+0*1000000+29*1000+27))</f>
        <v/>
      </c>
      <c r="FF188" s="35">
        <f>IF(N('Dvd Calendar'!$AF$1869)=0,"",IF(('Dvd Calendar'!$AF$1869&gt;=GRID_FROM)*('Dvd Calendar'!$AF$1869&lt;=GRID_TO)*('Dvd Calendar'!$AF$1869&lt;=VAL_DATE)=0,"",'Dvd Calendar'!$AF$1869*1000000000+ISNUMBER('Dvd Calendar'!$AF$1872)*100000000+('Dvd Calendar'!$AF$1874=SPECIAL_LBL)*10000000+0*1000000+29*1000+28))</f>
        <v/>
      </c>
      <c r="FG188" s="35">
        <f>IF(N('Dvd Calendar'!$AG$1869)=0,"",IF(('Dvd Calendar'!$AG$1869&gt;=GRID_FROM)*('Dvd Calendar'!$AG$1869&lt;=GRID_TO)*('Dvd Calendar'!$AG$1869&lt;=VAL_DATE)=0,"",'Dvd Calendar'!$AG$1869*1000000000+ISNUMBER('Dvd Calendar'!$AG$1872)*100000000+('Dvd Calendar'!$AG$1874=SPECIAL_LBL)*10000000+0*1000000+29*1000+29))</f>
        <v/>
      </c>
      <c r="FH188" s="35">
        <f>IF(N('Dvd Calendar'!$AH$1869)=0,"",IF(('Dvd Calendar'!$AH$1869&gt;=GRID_FROM)*('Dvd Calendar'!$AH$1869&lt;=GRID_TO)*('Dvd Calendar'!$AH$1869&lt;=VAL_DATE)=0,"",'Dvd Calendar'!$AH$1869*1000000000+ISNUMBER('Dvd Calendar'!$AH$1872)*100000000+('Dvd Calendar'!$AH$1874=SPECIAL_LBL)*10000000+0*1000000+29*1000+30))</f>
        <v/>
      </c>
      <c r="FI188" s="35">
        <f>IF(N('Dvd Calendar'!$AI$1869)=0,"",IF(('Dvd Calendar'!$AI$1869&gt;=GRID_FROM)*('Dvd Calendar'!$AI$1869&lt;=GRID_TO)*('Dvd Calendar'!$AI$1869&lt;=VAL_DATE)=0,"",'Dvd Calendar'!$AI$1869*1000000000+ISNUMBER('Dvd Calendar'!$AI$1872)*100000000+('Dvd Calendar'!$AI$1874=SPECIAL_LBL)*10000000+0*1000000+29*1000+31))</f>
        <v/>
      </c>
      <c r="FJ188" s="35">
        <f>IF(N('Dvd Calendar'!$AJ$1869)=0,"",IF(('Dvd Calendar'!$AJ$1869&gt;=GRID_FROM)*('Dvd Calendar'!$AJ$1869&lt;=GRID_TO)*('Dvd Calendar'!$AJ$1869&lt;=VAL_DATE)=0,"",'Dvd Calendar'!$AJ$1869*1000000000+ISNUMBER('Dvd Calendar'!$AJ$1872)*100000000+('Dvd Calendar'!$AJ$1874=SPECIAL_LBL)*10000000+0*1000000+29*1000+32))</f>
        <v/>
      </c>
      <c r="FK188" s="35">
        <f>IF(N('Dvd Calendar'!$AK$1869)=0,"",IF(('Dvd Calendar'!$AK$1869&gt;=GRID_FROM)*('Dvd Calendar'!$AK$1869&lt;=GRID_TO)*('Dvd Calendar'!$AK$1869&lt;=VAL_DATE)=0,"",'Dvd Calendar'!$AK$1869*1000000000+ISNUMBER('Dvd Calendar'!$AK$1872)*100000000+('Dvd Calendar'!$AK$1874=SPECIAL_LBL)*10000000+0*1000000+29*1000+33))</f>
        <v/>
      </c>
      <c r="FL188" s="35">
        <f>IF(N('Dvd Calendar'!$AL$1869)=0,"",IF(('Dvd Calendar'!$AL$1869&gt;=GRID_FROM)*('Dvd Calendar'!$AL$1869&lt;=GRID_TO)*('Dvd Calendar'!$AL$1869&lt;=VAL_DATE)=0,"",'Dvd Calendar'!$AL$1869*1000000000+ISNUMBER('Dvd Calendar'!$AL$1872)*100000000+('Dvd Calendar'!$AL$1874=SPECIAL_LBL)*10000000+0*1000000+29*1000+34))</f>
        <v/>
      </c>
      <c r="FM188" s="35">
        <f>IF(N('Dvd Calendar'!$AM$1869)=0,"",IF(('Dvd Calendar'!$AM$1869&gt;=GRID_FROM)*('Dvd Calendar'!$AM$1869&lt;=GRID_TO)*('Dvd Calendar'!$AM$1869&lt;=VAL_DATE)=0,"",'Dvd Calendar'!$AM$1869*1000000000+ISNUMBER('Dvd Calendar'!$AM$1872)*100000000+('Dvd Calendar'!$AM$1874=SPECIAL_LBL)*10000000+0*1000000+29*1000+35))</f>
        <v/>
      </c>
      <c r="FN188" s="35">
        <f>IF(N('Dvd Calendar'!$AN$1869)=0,"",IF(('Dvd Calendar'!$AN$1869&gt;=GRID_FROM)*('Dvd Calendar'!$AN$1869&lt;=GRID_TO)*('Dvd Calendar'!$AN$1869&lt;=VAL_DATE)=0,"",'Dvd Calendar'!$AN$1869*1000000000+ISNUMBER('Dvd Calendar'!$AN$1872)*100000000+('Dvd Calendar'!$AN$1874=SPECIAL_LBL)*10000000+0*1000000+29*1000+36))</f>
        <v/>
      </c>
      <c r="FO188" s="35">
        <f>IF(N('Dvd Calendar'!$AO$1869)=0,"",IF(('Dvd Calendar'!$AO$1869&gt;=GRID_FROM)*('Dvd Calendar'!$AO$1869&lt;=GRID_TO)*('Dvd Calendar'!$AO$1869&lt;=VAL_DATE)=0,"",'Dvd Calendar'!$AO$1869*1000000000+ISNUMBER('Dvd Calendar'!$AO$1872)*100000000+('Dvd Calendar'!$AO$1874=SPECIAL_LBL)*10000000+0*1000000+29*1000+37))</f>
        <v/>
      </c>
      <c r="FP188" s="35">
        <f>IF(N('Dvd Calendar'!$AP$1869)=0,"",IF(('Dvd Calendar'!$AP$1869&gt;=GRID_FROM)*('Dvd Calendar'!$AP$1869&lt;=GRID_TO)*('Dvd Calendar'!$AP$1869&lt;=VAL_DATE)=0,"",'Dvd Calendar'!$AP$1869*1000000000+ISNUMBER('Dvd Calendar'!$AP$1872)*100000000+('Dvd Calendar'!$AP$1874=SPECIAL_LBL)*10000000+0*1000000+29*1000+38))</f>
        <v/>
      </c>
      <c r="FQ188" s="35">
        <f>IF(N('Dvd Calendar'!$AQ$1869)=0,"",IF(('Dvd Calendar'!$AQ$1869&gt;=GRID_FROM)*('Dvd Calendar'!$AQ$1869&lt;=GRID_TO)*('Dvd Calendar'!$AQ$1869&lt;=VAL_DATE)=0,"",'Dvd Calendar'!$AQ$1869*1000000000+ISNUMBER('Dvd Calendar'!$AQ$1872)*100000000+('Dvd Calendar'!$AQ$1874=SPECIAL_LBL)*10000000+0*1000000+29*1000+39))</f>
        <v/>
      </c>
      <c r="FR188" s="35">
        <f>IF(N('Dvd Calendar'!$AR$1869)=0,"",IF(('Dvd Calendar'!$AR$1869&gt;=GRID_FROM)*('Dvd Calendar'!$AR$1869&lt;=GRID_TO)*('Dvd Calendar'!$AR$1869&lt;=VAL_DATE)=0,"",'Dvd Calendar'!$AR$1869*1000000000+ISNUMBER('Dvd Calendar'!$AR$1872)*100000000+('Dvd Calendar'!$AR$1874=SPECIAL_LBL)*10000000+0*1000000+29*1000+40))</f>
        <v/>
      </c>
      <c r="FS188" s="35">
        <f>IF(N('Dvd Calendar'!$E$1876)=0,"",IF(('Dvd Calendar'!$E$1876&gt;=GRID_FROM)*('Dvd Calendar'!$E$1876&lt;=GRID_TO)*('Dvd Calendar'!$E$1876&gt;VAL_DATE)=0,"",'Dvd Calendar'!$E$1876*1000000000+ISNUMBER('Dvd Calendar'!$E$1877)*100000000+0*10000000+(N('Dvd Calendar'!$E$1875)&gt;0)*(N('Dvd Calendar'!$E$1875)&lt;=VAL_SERIAL)*1000000+29*1000+41))</f>
        <v/>
      </c>
      <c r="FT188" s="35">
        <f>IF(N('Dvd Calendar'!$F$1876)=0,"",IF(('Dvd Calendar'!$F$1876&gt;=GRID_FROM)*('Dvd Calendar'!$F$1876&lt;=GRID_TO)*('Dvd Calendar'!$F$1876&gt;VAL_DATE)=0,"",'Dvd Calendar'!$F$1876*1000000000+ISNUMBER('Dvd Calendar'!$F$1877)*100000000+0*10000000+(N('Dvd Calendar'!$F$1875)&gt;0)*(N('Dvd Calendar'!$F$1875)&lt;=VAL_SERIAL)*1000000+29*1000+42))</f>
        <v/>
      </c>
      <c r="FU188" s="35">
        <f>IF(N('Dvd Calendar'!$G$1876)=0,"",IF(('Dvd Calendar'!$G$1876&gt;=GRID_FROM)*('Dvd Calendar'!$G$1876&lt;=GRID_TO)*('Dvd Calendar'!$G$1876&gt;VAL_DATE)=0,"",'Dvd Calendar'!$G$1876*1000000000+ISNUMBER('Dvd Calendar'!$G$1877)*100000000+0*10000000+(N('Dvd Calendar'!$G$1875)&gt;0)*(N('Dvd Calendar'!$G$1875)&lt;=VAL_SERIAL)*1000000+29*1000+43))</f>
        <v/>
      </c>
      <c r="FV188" s="35">
        <f>IF(N('Dvd Calendar'!$H$1876)=0,"",IF(('Dvd Calendar'!$H$1876&gt;=GRID_FROM)*('Dvd Calendar'!$H$1876&lt;=GRID_TO)*('Dvd Calendar'!$H$1876&gt;VAL_DATE)=0,"",'Dvd Calendar'!$H$1876*1000000000+ISNUMBER('Dvd Calendar'!$H$1877)*100000000+0*10000000+(N('Dvd Calendar'!$H$1875)&gt;0)*(N('Dvd Calendar'!$H$1875)&lt;=VAL_SERIAL)*1000000+29*1000+44))</f>
        <v/>
      </c>
      <c r="FW188" s="35">
        <f>IF(N('Dvd Calendar'!$I$1876)=0,"",IF(('Dvd Calendar'!$I$1876&gt;=GRID_FROM)*('Dvd Calendar'!$I$1876&lt;=GRID_TO)*('Dvd Calendar'!$I$1876&gt;VAL_DATE)=0,"",'Dvd Calendar'!$I$1876*1000000000+ISNUMBER('Dvd Calendar'!$I$1877)*100000000+0*10000000+(N('Dvd Calendar'!$I$1875)&gt;0)*(N('Dvd Calendar'!$I$1875)&lt;=VAL_SERIAL)*1000000+29*1000+45))</f>
        <v/>
      </c>
      <c r="FX188" s="35">
        <f>IF(N('Dvd Calendar'!$J$1876)=0,"",IF(('Dvd Calendar'!$J$1876&gt;=GRID_FROM)*('Dvd Calendar'!$J$1876&lt;=GRID_TO)*('Dvd Calendar'!$J$1876&gt;VAL_DATE)=0,"",'Dvd Calendar'!$J$1876*1000000000+ISNUMBER('Dvd Calendar'!$J$1877)*100000000+0*10000000+(N('Dvd Calendar'!$J$1875)&gt;0)*(N('Dvd Calendar'!$J$1875)&lt;=VAL_SERIAL)*1000000+29*1000+46))</f>
        <v/>
      </c>
      <c r="FY188" s="35">
        <f>IF(N('Dvd Calendar'!$K$1876)=0,"",IF(('Dvd Calendar'!$K$1876&gt;=GRID_FROM)*('Dvd Calendar'!$K$1876&lt;=GRID_TO)*('Dvd Calendar'!$K$1876&gt;VAL_DATE)=0,"",'Dvd Calendar'!$K$1876*1000000000+ISNUMBER('Dvd Calendar'!$K$1877)*100000000+0*10000000+(N('Dvd Calendar'!$K$1875)&gt;0)*(N('Dvd Calendar'!$K$1875)&lt;=VAL_SERIAL)*1000000+29*1000+47))</f>
        <v/>
      </c>
      <c r="FZ188" s="35">
        <f>IF(N('Dvd Calendar'!$L$1876)=0,"",IF(('Dvd Calendar'!$L$1876&gt;=GRID_FROM)*('Dvd Calendar'!$L$1876&lt;=GRID_TO)*('Dvd Calendar'!$L$1876&gt;VAL_DATE)=0,"",'Dvd Calendar'!$L$1876*1000000000+ISNUMBER('Dvd Calendar'!$L$1877)*100000000+0*10000000+(N('Dvd Calendar'!$L$1875)&gt;0)*(N('Dvd Calendar'!$L$1875)&lt;=VAL_SERIAL)*1000000+29*1000+48))</f>
        <v/>
      </c>
      <c r="GA188" s="35">
        <f>IF(N('Dvd Calendar'!$M$1876)=0,"",IF(('Dvd Calendar'!$M$1876&gt;=GRID_FROM)*('Dvd Calendar'!$M$1876&lt;=GRID_TO)*('Dvd Calendar'!$M$1876&gt;VAL_DATE)=0,"",'Dvd Calendar'!$M$1876*1000000000+ISNUMBER('Dvd Calendar'!$M$1877)*100000000+0*10000000+(N('Dvd Calendar'!$M$1875)&gt;0)*(N('Dvd Calendar'!$M$1875)&lt;=VAL_SERIAL)*1000000+29*1000+49))</f>
        <v/>
      </c>
      <c r="GB188" s="35">
        <f>IF(N('Dvd Calendar'!$N$1876)=0,"",IF(('Dvd Calendar'!$N$1876&gt;=GRID_FROM)*('Dvd Calendar'!$N$1876&lt;=GRID_TO)*('Dvd Calendar'!$N$1876&gt;VAL_DATE)=0,"",'Dvd Calendar'!$N$1876*1000000000+ISNUMBER('Dvd Calendar'!$N$1877)*100000000+0*10000000+(N('Dvd Calendar'!$N$1875)&gt;0)*(N('Dvd Calendar'!$N$1875)&lt;=VAL_SERIAL)*1000000+29*1000+50))</f>
        <v/>
      </c>
      <c r="GC188" s="35">
        <f>IF(N('Dvd Calendar'!$O$1876)=0,"",IF(('Dvd Calendar'!$O$1876&gt;=GRID_FROM)*('Dvd Calendar'!$O$1876&lt;=GRID_TO)*('Dvd Calendar'!$O$1876&gt;VAL_DATE)=0,"",'Dvd Calendar'!$O$1876*1000000000+ISNUMBER('Dvd Calendar'!$O$1877)*100000000+0*10000000+(N('Dvd Calendar'!$O$1875)&gt;0)*(N('Dvd Calendar'!$O$1875)&lt;=VAL_SERIAL)*1000000+29*1000+51))</f>
        <v/>
      </c>
      <c r="GD188" s="35">
        <f>IF(N('Dvd Calendar'!$P$1876)=0,"",IF(('Dvd Calendar'!$P$1876&gt;=GRID_FROM)*('Dvd Calendar'!$P$1876&lt;=GRID_TO)*('Dvd Calendar'!$P$1876&gt;VAL_DATE)=0,"",'Dvd Calendar'!$P$1876*1000000000+ISNUMBER('Dvd Calendar'!$P$1877)*100000000+0*10000000+(N('Dvd Calendar'!$P$1875)&gt;0)*(N('Dvd Calendar'!$P$1875)&lt;=VAL_SERIAL)*1000000+29*1000+52))</f>
        <v/>
      </c>
      <c r="GE188" s="35">
        <f>IF(N('Dvd Calendar'!$Q$1876)=0,"",IF(('Dvd Calendar'!$Q$1876&gt;=GRID_FROM)*('Dvd Calendar'!$Q$1876&lt;=GRID_TO)*('Dvd Calendar'!$Q$1876&gt;VAL_DATE)=0,"",'Dvd Calendar'!$Q$1876*1000000000+ISNUMBER('Dvd Calendar'!$Q$1877)*100000000+0*10000000+(N('Dvd Calendar'!$Q$1875)&gt;0)*(N('Dvd Calendar'!$Q$1875)&lt;=VAL_SERIAL)*1000000+29*1000+53))</f>
        <v/>
      </c>
      <c r="GF188" s="35">
        <f>IF(N('Dvd Calendar'!$R$1876)=0,"",IF(('Dvd Calendar'!$R$1876&gt;=GRID_FROM)*('Dvd Calendar'!$R$1876&lt;=GRID_TO)*('Dvd Calendar'!$R$1876&gt;VAL_DATE)=0,"",'Dvd Calendar'!$R$1876*1000000000+ISNUMBER('Dvd Calendar'!$R$1877)*100000000+0*10000000+(N('Dvd Calendar'!$R$1875)&gt;0)*(N('Dvd Calendar'!$R$1875)&lt;=VAL_SERIAL)*1000000+29*1000+54))</f>
        <v/>
      </c>
      <c r="GG188" s="35">
        <f>IF(N('Dvd Calendar'!$S$1876)=0,"",IF(('Dvd Calendar'!$S$1876&gt;=GRID_FROM)*('Dvd Calendar'!$S$1876&lt;=GRID_TO)*('Dvd Calendar'!$S$1876&gt;VAL_DATE)=0,"",'Dvd Calendar'!$S$1876*1000000000+ISNUMBER('Dvd Calendar'!$S$1877)*100000000+0*10000000+(N('Dvd Calendar'!$S$1875)&gt;0)*(N('Dvd Calendar'!$S$1875)&lt;=VAL_SERIAL)*1000000+29*1000+55))</f>
        <v/>
      </c>
      <c r="GH188" s="35">
        <f>IF(N('Dvd Calendar'!$T$1876)=0,"",IF(('Dvd Calendar'!$T$1876&gt;=GRID_FROM)*('Dvd Calendar'!$T$1876&lt;=GRID_TO)*('Dvd Calendar'!$T$1876&gt;VAL_DATE)=0,"",'Dvd Calendar'!$T$1876*1000000000+ISNUMBER('Dvd Calendar'!$T$1877)*100000000+0*10000000+(N('Dvd Calendar'!$T$1875)&gt;0)*(N('Dvd Calendar'!$T$1875)&lt;=VAL_SERIAL)*1000000+29*1000+56))</f>
        <v/>
      </c>
      <c r="GI188" s="35">
        <f>IF(N('Dvd Calendar'!$U$1876)=0,"",IF(('Dvd Calendar'!$U$1876&gt;=GRID_FROM)*('Dvd Calendar'!$U$1876&lt;=GRID_TO)*('Dvd Calendar'!$U$1876&gt;VAL_DATE)=0,"",'Dvd Calendar'!$U$1876*1000000000+ISNUMBER('Dvd Calendar'!$U$1877)*100000000+0*10000000+(N('Dvd Calendar'!$U$1875)&gt;0)*(N('Dvd Calendar'!$U$1875)&lt;=VAL_SERIAL)*1000000+29*1000+57))</f>
        <v/>
      </c>
      <c r="GJ188" s="35">
        <f>IF(N('Dvd Calendar'!$V$1876)=0,"",IF(('Dvd Calendar'!$V$1876&gt;=GRID_FROM)*('Dvd Calendar'!$V$1876&lt;=GRID_TO)*('Dvd Calendar'!$V$1876&gt;VAL_DATE)=0,"",'Dvd Calendar'!$V$1876*1000000000+ISNUMBER('Dvd Calendar'!$V$1877)*100000000+0*10000000+(N('Dvd Calendar'!$V$1875)&gt;0)*(N('Dvd Calendar'!$V$1875)&lt;=VAL_SERIAL)*1000000+29*1000+58))</f>
        <v/>
      </c>
      <c r="GK188" s="35">
        <f>IF(N('Dvd Calendar'!$W$1876)=0,"",IF(('Dvd Calendar'!$W$1876&gt;=GRID_FROM)*('Dvd Calendar'!$W$1876&lt;=GRID_TO)*('Dvd Calendar'!$W$1876&gt;VAL_DATE)=0,"",'Dvd Calendar'!$W$1876*1000000000+ISNUMBER('Dvd Calendar'!$W$1877)*100000000+0*10000000+(N('Dvd Calendar'!$W$1875)&gt;0)*(N('Dvd Calendar'!$W$1875)&lt;=VAL_SERIAL)*1000000+29*1000+59))</f>
        <v/>
      </c>
      <c r="GL188" s="35">
        <f>IF(N('Dvd Calendar'!$X$1876)=0,"",IF(('Dvd Calendar'!$X$1876&gt;=GRID_FROM)*('Dvd Calendar'!$X$1876&lt;=GRID_TO)*('Dvd Calendar'!$X$1876&gt;VAL_DATE)=0,"",'Dvd Calendar'!$X$1876*1000000000+ISNUMBER('Dvd Calendar'!$X$1877)*100000000+0*10000000+(N('Dvd Calendar'!$X$1875)&gt;0)*(N('Dvd Calendar'!$X$1875)&lt;=VAL_SERIAL)*1000000+29*1000+60))</f>
        <v/>
      </c>
      <c r="GM188" s="35">
        <f>IF(N('Dvd Calendar'!$Y$1876)=0,"",IF(('Dvd Calendar'!$Y$1876&gt;=GRID_FROM)*('Dvd Calendar'!$Y$1876&lt;=GRID_TO)*('Dvd Calendar'!$Y$1876&gt;VAL_DATE)=0,"",'Dvd Calendar'!$Y$1876*1000000000+ISNUMBER('Dvd Calendar'!$Y$1877)*100000000+0*10000000+(N('Dvd Calendar'!$Y$1875)&gt;0)*(N('Dvd Calendar'!$Y$1875)&lt;=VAL_SERIAL)*1000000+29*1000+61))</f>
        <v/>
      </c>
      <c r="GN188" s="35">
        <f>IF(N('Dvd Calendar'!$Z$1876)=0,"",IF(('Dvd Calendar'!$Z$1876&gt;=GRID_FROM)*('Dvd Calendar'!$Z$1876&lt;=GRID_TO)*('Dvd Calendar'!$Z$1876&gt;VAL_DATE)=0,"",'Dvd Calendar'!$Z$1876*1000000000+ISNUMBER('Dvd Calendar'!$Z$1877)*100000000+0*10000000+(N('Dvd Calendar'!$Z$1875)&gt;0)*(N('Dvd Calendar'!$Z$1875)&lt;=VAL_SERIAL)*1000000+29*1000+62))</f>
        <v/>
      </c>
      <c r="GO188" s="35">
        <f>IF(N('Dvd Calendar'!$AA$1876)=0,"",IF(('Dvd Calendar'!$AA$1876&gt;=GRID_FROM)*('Dvd Calendar'!$AA$1876&lt;=GRID_TO)*('Dvd Calendar'!$AA$1876&gt;VAL_DATE)=0,"",'Dvd Calendar'!$AA$1876*1000000000+ISNUMBER('Dvd Calendar'!$AA$1877)*100000000+0*10000000+(N('Dvd Calendar'!$AA$1875)&gt;0)*(N('Dvd Calendar'!$AA$1875)&lt;=VAL_SERIAL)*1000000+29*1000+63))</f>
        <v/>
      </c>
      <c r="GP188" s="35">
        <f>IF(N('Dvd Calendar'!$AB$1876)=0,"",IF(('Dvd Calendar'!$AB$1876&gt;=GRID_FROM)*('Dvd Calendar'!$AB$1876&lt;=GRID_TO)*('Dvd Calendar'!$AB$1876&gt;VAL_DATE)=0,"",'Dvd Calendar'!$AB$1876*1000000000+ISNUMBER('Dvd Calendar'!$AB$1877)*100000000+0*10000000+(N('Dvd Calendar'!$AB$1875)&gt;0)*(N('Dvd Calendar'!$AB$1875)&lt;=VAL_SERIAL)*1000000+29*1000+64))</f>
        <v/>
      </c>
      <c r="GQ188" s="35">
        <f>IF(N('Dvd Calendar'!$AC$1876)=0,"",IF(('Dvd Calendar'!$AC$1876&gt;=GRID_FROM)*('Dvd Calendar'!$AC$1876&lt;=GRID_TO)*('Dvd Calendar'!$AC$1876&gt;VAL_DATE)=0,"",'Dvd Calendar'!$AC$1876*1000000000+ISNUMBER('Dvd Calendar'!$AC$1877)*100000000+0*10000000+(N('Dvd Calendar'!$AC$1875)&gt;0)*(N('Dvd Calendar'!$AC$1875)&lt;=VAL_SERIAL)*1000000+29*1000+65))</f>
        <v/>
      </c>
    </row>
    <row r="189">
      <c r="B189" s="2">
        <f>IF(HSCEI!$C$36="","",HSCEI!$C$36)</f>
        <v/>
      </c>
      <c r="C189" s="106">
        <f>IF(EE189="","",IF(ISNUMBER('Dvd Calendar'!$E$1883)=FALSE,"",IF((('Dvd Calendar'!$E$1885=TYPE1)*(TYPE1&lt;&gt;"")+('Dvd Calendar'!$E$1885=TYPE2)*(TYPE2&lt;&gt;"")+('Dvd Calendar'!$E$1885=TYPE3)*(TYPE3&lt;&gt;"")+('Dvd Calendar'!$E$1885=TYPE4)*(TYPE4&lt;&gt;"")+('Dvd Calendar'!$E$1885=SPECIAL_LBL)*(INC_SPECIALS="Y"))=0,"",'Dvd Calendar'!$E$1883)))</f>
        <v/>
      </c>
      <c r="D189" s="106">
        <f>IF(EF189="","",IF(ISNUMBER('Dvd Calendar'!$F$1883)=FALSE,"",IF((('Dvd Calendar'!$F$1885=TYPE1)*(TYPE1&lt;&gt;"")+('Dvd Calendar'!$F$1885=TYPE2)*(TYPE2&lt;&gt;"")+('Dvd Calendar'!$F$1885=TYPE3)*(TYPE3&lt;&gt;"")+('Dvd Calendar'!$F$1885=TYPE4)*(TYPE4&lt;&gt;"")+('Dvd Calendar'!$F$1885=SPECIAL_LBL)*(INC_SPECIALS="Y"))=0,"",'Dvd Calendar'!$F$1883)))</f>
        <v/>
      </c>
      <c r="E189" s="106">
        <f>IF(EG189="","",IF(ISNUMBER('Dvd Calendar'!$G$1883)=FALSE,"",IF((('Dvd Calendar'!$G$1885=TYPE1)*(TYPE1&lt;&gt;"")+('Dvd Calendar'!$G$1885=TYPE2)*(TYPE2&lt;&gt;"")+('Dvd Calendar'!$G$1885=TYPE3)*(TYPE3&lt;&gt;"")+('Dvd Calendar'!$G$1885=TYPE4)*(TYPE4&lt;&gt;"")+('Dvd Calendar'!$G$1885=SPECIAL_LBL)*(INC_SPECIALS="Y"))=0,"",'Dvd Calendar'!$G$1883)))</f>
        <v/>
      </c>
      <c r="F189" s="106">
        <f>IF(EH189="","",IF(ISNUMBER('Dvd Calendar'!$H$1883)=FALSE,"",IF((('Dvd Calendar'!$H$1885=TYPE1)*(TYPE1&lt;&gt;"")+('Dvd Calendar'!$H$1885=TYPE2)*(TYPE2&lt;&gt;"")+('Dvd Calendar'!$H$1885=TYPE3)*(TYPE3&lt;&gt;"")+('Dvd Calendar'!$H$1885=TYPE4)*(TYPE4&lt;&gt;"")+('Dvd Calendar'!$H$1885=SPECIAL_LBL)*(INC_SPECIALS="Y"))=0,"",'Dvd Calendar'!$H$1883)))</f>
        <v/>
      </c>
      <c r="G189" s="106">
        <f>IF(EI189="","",IF(ISNUMBER('Dvd Calendar'!$I$1883)=FALSE,"",IF((('Dvd Calendar'!$I$1885=TYPE1)*(TYPE1&lt;&gt;"")+('Dvd Calendar'!$I$1885=TYPE2)*(TYPE2&lt;&gt;"")+('Dvd Calendar'!$I$1885=TYPE3)*(TYPE3&lt;&gt;"")+('Dvd Calendar'!$I$1885=TYPE4)*(TYPE4&lt;&gt;"")+('Dvd Calendar'!$I$1885=SPECIAL_LBL)*(INC_SPECIALS="Y"))=0,"",'Dvd Calendar'!$I$1883)))</f>
        <v/>
      </c>
      <c r="H189" s="106">
        <f>IF(EJ189="","",IF(ISNUMBER('Dvd Calendar'!$J$1883)=FALSE,"",IF((('Dvd Calendar'!$J$1885=TYPE1)*(TYPE1&lt;&gt;"")+('Dvd Calendar'!$J$1885=TYPE2)*(TYPE2&lt;&gt;"")+('Dvd Calendar'!$J$1885=TYPE3)*(TYPE3&lt;&gt;"")+('Dvd Calendar'!$J$1885=TYPE4)*(TYPE4&lt;&gt;"")+('Dvd Calendar'!$J$1885=SPECIAL_LBL)*(INC_SPECIALS="Y"))=0,"",'Dvd Calendar'!$J$1883)))</f>
        <v/>
      </c>
      <c r="I189" s="106">
        <f>IF(EK189="","",IF(ISNUMBER('Dvd Calendar'!$K$1883)=FALSE,"",IF((('Dvd Calendar'!$K$1885=TYPE1)*(TYPE1&lt;&gt;"")+('Dvd Calendar'!$K$1885=TYPE2)*(TYPE2&lt;&gt;"")+('Dvd Calendar'!$K$1885=TYPE3)*(TYPE3&lt;&gt;"")+('Dvd Calendar'!$K$1885=TYPE4)*(TYPE4&lt;&gt;"")+('Dvd Calendar'!$K$1885=SPECIAL_LBL)*(INC_SPECIALS="Y"))=0,"",'Dvd Calendar'!$K$1883)))</f>
        <v/>
      </c>
      <c r="J189" s="106">
        <f>IF(EL189="","",IF(ISNUMBER('Dvd Calendar'!$L$1883)=FALSE,"",IF((('Dvd Calendar'!$L$1885=TYPE1)*(TYPE1&lt;&gt;"")+('Dvd Calendar'!$L$1885=TYPE2)*(TYPE2&lt;&gt;"")+('Dvd Calendar'!$L$1885=TYPE3)*(TYPE3&lt;&gt;"")+('Dvd Calendar'!$L$1885=TYPE4)*(TYPE4&lt;&gt;"")+('Dvd Calendar'!$L$1885=SPECIAL_LBL)*(INC_SPECIALS="Y"))=0,"",'Dvd Calendar'!$L$1883)))</f>
        <v/>
      </c>
      <c r="K189" s="106">
        <f>IF(EM189="","",IF(ISNUMBER('Dvd Calendar'!$M$1883)=FALSE,"",IF((('Dvd Calendar'!$M$1885=TYPE1)*(TYPE1&lt;&gt;"")+('Dvd Calendar'!$M$1885=TYPE2)*(TYPE2&lt;&gt;"")+('Dvd Calendar'!$M$1885=TYPE3)*(TYPE3&lt;&gt;"")+('Dvd Calendar'!$M$1885=TYPE4)*(TYPE4&lt;&gt;"")+('Dvd Calendar'!$M$1885=SPECIAL_LBL)*(INC_SPECIALS="Y"))=0,"",'Dvd Calendar'!$M$1883)))</f>
        <v/>
      </c>
      <c r="L189" s="106">
        <f>IF(EN189="","",IF(ISNUMBER('Dvd Calendar'!$N$1883)=FALSE,"",IF((('Dvd Calendar'!$N$1885=TYPE1)*(TYPE1&lt;&gt;"")+('Dvd Calendar'!$N$1885=TYPE2)*(TYPE2&lt;&gt;"")+('Dvd Calendar'!$N$1885=TYPE3)*(TYPE3&lt;&gt;"")+('Dvd Calendar'!$N$1885=TYPE4)*(TYPE4&lt;&gt;"")+('Dvd Calendar'!$N$1885=SPECIAL_LBL)*(INC_SPECIALS="Y"))=0,"",'Dvd Calendar'!$N$1883)))</f>
        <v/>
      </c>
      <c r="M189" s="106">
        <f>IF(EO189="","",IF(ISNUMBER('Dvd Calendar'!$O$1883)=FALSE,"",IF((('Dvd Calendar'!$O$1885=TYPE1)*(TYPE1&lt;&gt;"")+('Dvd Calendar'!$O$1885=TYPE2)*(TYPE2&lt;&gt;"")+('Dvd Calendar'!$O$1885=TYPE3)*(TYPE3&lt;&gt;"")+('Dvd Calendar'!$O$1885=TYPE4)*(TYPE4&lt;&gt;"")+('Dvd Calendar'!$O$1885=SPECIAL_LBL)*(INC_SPECIALS="Y"))=0,"",'Dvd Calendar'!$O$1883)))</f>
        <v/>
      </c>
      <c r="N189" s="106">
        <f>IF(EP189="","",IF(ISNUMBER('Dvd Calendar'!$P$1883)=FALSE,"",IF((('Dvd Calendar'!$P$1885=TYPE1)*(TYPE1&lt;&gt;"")+('Dvd Calendar'!$P$1885=TYPE2)*(TYPE2&lt;&gt;"")+('Dvd Calendar'!$P$1885=TYPE3)*(TYPE3&lt;&gt;"")+('Dvd Calendar'!$P$1885=TYPE4)*(TYPE4&lt;&gt;"")+('Dvd Calendar'!$P$1885=SPECIAL_LBL)*(INC_SPECIALS="Y"))=0,"",'Dvd Calendar'!$P$1883)))</f>
        <v/>
      </c>
      <c r="O189" s="106">
        <f>IF(EQ189="","",IF(ISNUMBER('Dvd Calendar'!$Q$1883)=FALSE,"",IF((('Dvd Calendar'!$Q$1885=TYPE1)*(TYPE1&lt;&gt;"")+('Dvd Calendar'!$Q$1885=TYPE2)*(TYPE2&lt;&gt;"")+('Dvd Calendar'!$Q$1885=TYPE3)*(TYPE3&lt;&gt;"")+('Dvd Calendar'!$Q$1885=TYPE4)*(TYPE4&lt;&gt;"")+('Dvd Calendar'!$Q$1885=SPECIAL_LBL)*(INC_SPECIALS="Y"))=0,"",'Dvd Calendar'!$Q$1883)))</f>
        <v/>
      </c>
      <c r="P189" s="106">
        <f>IF(ER189="","",IF(ISNUMBER('Dvd Calendar'!$R$1883)=FALSE,"",IF((('Dvd Calendar'!$R$1885=TYPE1)*(TYPE1&lt;&gt;"")+('Dvd Calendar'!$R$1885=TYPE2)*(TYPE2&lt;&gt;"")+('Dvd Calendar'!$R$1885=TYPE3)*(TYPE3&lt;&gt;"")+('Dvd Calendar'!$R$1885=TYPE4)*(TYPE4&lt;&gt;"")+('Dvd Calendar'!$R$1885=SPECIAL_LBL)*(INC_SPECIALS="Y"))=0,"",'Dvd Calendar'!$R$1883)))</f>
        <v/>
      </c>
      <c r="Q189" s="106">
        <f>IF(ES189="","",IF(ISNUMBER('Dvd Calendar'!$S$1883)=FALSE,"",IF((('Dvd Calendar'!$S$1885=TYPE1)*(TYPE1&lt;&gt;"")+('Dvd Calendar'!$S$1885=TYPE2)*(TYPE2&lt;&gt;"")+('Dvd Calendar'!$S$1885=TYPE3)*(TYPE3&lt;&gt;"")+('Dvd Calendar'!$S$1885=TYPE4)*(TYPE4&lt;&gt;"")+('Dvd Calendar'!$S$1885=SPECIAL_LBL)*(INC_SPECIALS="Y"))=0,"",'Dvd Calendar'!$S$1883)))</f>
        <v/>
      </c>
      <c r="R189" s="106">
        <f>IF(ET189="","",IF(ISNUMBER('Dvd Calendar'!$T$1883)=FALSE,"",IF((('Dvd Calendar'!$T$1885=TYPE1)*(TYPE1&lt;&gt;"")+('Dvd Calendar'!$T$1885=TYPE2)*(TYPE2&lt;&gt;"")+('Dvd Calendar'!$T$1885=TYPE3)*(TYPE3&lt;&gt;"")+('Dvd Calendar'!$T$1885=TYPE4)*(TYPE4&lt;&gt;"")+('Dvd Calendar'!$T$1885=SPECIAL_LBL)*(INC_SPECIALS="Y"))=0,"",'Dvd Calendar'!$T$1883)))</f>
        <v/>
      </c>
      <c r="S189" s="106">
        <f>IF(EU189="","",IF(ISNUMBER('Dvd Calendar'!$U$1883)=FALSE,"",IF((('Dvd Calendar'!$U$1885=TYPE1)*(TYPE1&lt;&gt;"")+('Dvd Calendar'!$U$1885=TYPE2)*(TYPE2&lt;&gt;"")+('Dvd Calendar'!$U$1885=TYPE3)*(TYPE3&lt;&gt;"")+('Dvd Calendar'!$U$1885=TYPE4)*(TYPE4&lt;&gt;"")+('Dvd Calendar'!$U$1885=SPECIAL_LBL)*(INC_SPECIALS="Y"))=0,"",'Dvd Calendar'!$U$1883)))</f>
        <v/>
      </c>
      <c r="T189" s="106">
        <f>IF(EV189="","",IF(ISNUMBER('Dvd Calendar'!$V$1883)=FALSE,"",IF((('Dvd Calendar'!$V$1885=TYPE1)*(TYPE1&lt;&gt;"")+('Dvd Calendar'!$V$1885=TYPE2)*(TYPE2&lt;&gt;"")+('Dvd Calendar'!$V$1885=TYPE3)*(TYPE3&lt;&gt;"")+('Dvd Calendar'!$V$1885=TYPE4)*(TYPE4&lt;&gt;"")+('Dvd Calendar'!$V$1885=SPECIAL_LBL)*(INC_SPECIALS="Y"))=0,"",'Dvd Calendar'!$V$1883)))</f>
        <v/>
      </c>
      <c r="U189" s="106">
        <f>IF(EW189="","",IF(ISNUMBER('Dvd Calendar'!$W$1883)=FALSE,"",IF((('Dvd Calendar'!$W$1885=TYPE1)*(TYPE1&lt;&gt;"")+('Dvd Calendar'!$W$1885=TYPE2)*(TYPE2&lt;&gt;"")+('Dvd Calendar'!$W$1885=TYPE3)*(TYPE3&lt;&gt;"")+('Dvd Calendar'!$W$1885=TYPE4)*(TYPE4&lt;&gt;"")+('Dvd Calendar'!$W$1885=SPECIAL_LBL)*(INC_SPECIALS="Y"))=0,"",'Dvd Calendar'!$W$1883)))</f>
        <v/>
      </c>
      <c r="V189" s="106">
        <f>IF(EX189="","",IF(ISNUMBER('Dvd Calendar'!$X$1883)=FALSE,"",IF((('Dvd Calendar'!$X$1885=TYPE1)*(TYPE1&lt;&gt;"")+('Dvd Calendar'!$X$1885=TYPE2)*(TYPE2&lt;&gt;"")+('Dvd Calendar'!$X$1885=TYPE3)*(TYPE3&lt;&gt;"")+('Dvd Calendar'!$X$1885=TYPE4)*(TYPE4&lt;&gt;"")+('Dvd Calendar'!$X$1885=SPECIAL_LBL)*(INC_SPECIALS="Y"))=0,"",'Dvd Calendar'!$X$1883)))</f>
        <v/>
      </c>
      <c r="W189" s="106">
        <f>IF(EY189="","",IF(ISNUMBER('Dvd Calendar'!$Y$1883)=FALSE,"",IF((('Dvd Calendar'!$Y$1885=TYPE1)*(TYPE1&lt;&gt;"")+('Dvd Calendar'!$Y$1885=TYPE2)*(TYPE2&lt;&gt;"")+('Dvd Calendar'!$Y$1885=TYPE3)*(TYPE3&lt;&gt;"")+('Dvd Calendar'!$Y$1885=TYPE4)*(TYPE4&lt;&gt;"")+('Dvd Calendar'!$Y$1885=SPECIAL_LBL)*(INC_SPECIALS="Y"))=0,"",'Dvd Calendar'!$Y$1883)))</f>
        <v/>
      </c>
      <c r="X189" s="106">
        <f>IF(EZ189="","",IF(ISNUMBER('Dvd Calendar'!$Z$1883)=FALSE,"",IF((('Dvd Calendar'!$Z$1885=TYPE1)*(TYPE1&lt;&gt;"")+('Dvd Calendar'!$Z$1885=TYPE2)*(TYPE2&lt;&gt;"")+('Dvd Calendar'!$Z$1885=TYPE3)*(TYPE3&lt;&gt;"")+('Dvd Calendar'!$Z$1885=TYPE4)*(TYPE4&lt;&gt;"")+('Dvd Calendar'!$Z$1885=SPECIAL_LBL)*(INC_SPECIALS="Y"))=0,"",'Dvd Calendar'!$Z$1883)))</f>
        <v/>
      </c>
      <c r="Y189" s="106">
        <f>IF(FA189="","",IF(ISNUMBER('Dvd Calendar'!$AA$1883)=FALSE,"",IF((('Dvd Calendar'!$AA$1885=TYPE1)*(TYPE1&lt;&gt;"")+('Dvd Calendar'!$AA$1885=TYPE2)*(TYPE2&lt;&gt;"")+('Dvd Calendar'!$AA$1885=TYPE3)*(TYPE3&lt;&gt;"")+('Dvd Calendar'!$AA$1885=TYPE4)*(TYPE4&lt;&gt;"")+('Dvd Calendar'!$AA$1885=SPECIAL_LBL)*(INC_SPECIALS="Y"))=0,"",'Dvd Calendar'!$AA$1883)))</f>
        <v/>
      </c>
      <c r="Z189" s="106">
        <f>IF(FB189="","",IF(ISNUMBER('Dvd Calendar'!$AB$1883)=FALSE,"",IF((('Dvd Calendar'!$AB$1885=TYPE1)*(TYPE1&lt;&gt;"")+('Dvd Calendar'!$AB$1885=TYPE2)*(TYPE2&lt;&gt;"")+('Dvd Calendar'!$AB$1885=TYPE3)*(TYPE3&lt;&gt;"")+('Dvd Calendar'!$AB$1885=TYPE4)*(TYPE4&lt;&gt;"")+('Dvd Calendar'!$AB$1885=SPECIAL_LBL)*(INC_SPECIALS="Y"))=0,"",'Dvd Calendar'!$AB$1883)))</f>
        <v/>
      </c>
      <c r="AA189" s="106">
        <f>IF(FC189="","",IF(ISNUMBER('Dvd Calendar'!$AC$1883)=FALSE,"",IF((('Dvd Calendar'!$AC$1885=TYPE1)*(TYPE1&lt;&gt;"")+('Dvd Calendar'!$AC$1885=TYPE2)*(TYPE2&lt;&gt;"")+('Dvd Calendar'!$AC$1885=TYPE3)*(TYPE3&lt;&gt;"")+('Dvd Calendar'!$AC$1885=TYPE4)*(TYPE4&lt;&gt;"")+('Dvd Calendar'!$AC$1885=SPECIAL_LBL)*(INC_SPECIALS="Y"))=0,"",'Dvd Calendar'!$AC$1883)))</f>
        <v/>
      </c>
      <c r="AB189" s="106">
        <f>IF(FD189="","",IF(ISNUMBER('Dvd Calendar'!$AD$1883)=FALSE,"",IF((('Dvd Calendar'!$AD$1885=TYPE1)*(TYPE1&lt;&gt;"")+('Dvd Calendar'!$AD$1885=TYPE2)*(TYPE2&lt;&gt;"")+('Dvd Calendar'!$AD$1885=TYPE3)*(TYPE3&lt;&gt;"")+('Dvd Calendar'!$AD$1885=TYPE4)*(TYPE4&lt;&gt;"")+('Dvd Calendar'!$AD$1885=SPECIAL_LBL)*(INC_SPECIALS="Y"))=0,"",'Dvd Calendar'!$AD$1883)))</f>
        <v/>
      </c>
      <c r="AC189" s="106">
        <f>IF(FE189="","",IF(ISNUMBER('Dvd Calendar'!$AE$1883)=FALSE,"",IF((('Dvd Calendar'!$AE$1885=TYPE1)*(TYPE1&lt;&gt;"")+('Dvd Calendar'!$AE$1885=TYPE2)*(TYPE2&lt;&gt;"")+('Dvd Calendar'!$AE$1885=TYPE3)*(TYPE3&lt;&gt;"")+('Dvd Calendar'!$AE$1885=TYPE4)*(TYPE4&lt;&gt;"")+('Dvd Calendar'!$AE$1885=SPECIAL_LBL)*(INC_SPECIALS="Y"))=0,"",'Dvd Calendar'!$AE$1883)))</f>
        <v/>
      </c>
      <c r="AD189" s="106">
        <f>IF(FF189="","",IF(ISNUMBER('Dvd Calendar'!$AF$1883)=FALSE,"",IF((('Dvd Calendar'!$AF$1885=TYPE1)*(TYPE1&lt;&gt;"")+('Dvd Calendar'!$AF$1885=TYPE2)*(TYPE2&lt;&gt;"")+('Dvd Calendar'!$AF$1885=TYPE3)*(TYPE3&lt;&gt;"")+('Dvd Calendar'!$AF$1885=TYPE4)*(TYPE4&lt;&gt;"")+('Dvd Calendar'!$AF$1885=SPECIAL_LBL)*(INC_SPECIALS="Y"))=0,"",'Dvd Calendar'!$AF$1883)))</f>
        <v/>
      </c>
      <c r="AE189" s="106">
        <f>IF(FG189="","",IF(ISNUMBER('Dvd Calendar'!$AG$1883)=FALSE,"",IF((('Dvd Calendar'!$AG$1885=TYPE1)*(TYPE1&lt;&gt;"")+('Dvd Calendar'!$AG$1885=TYPE2)*(TYPE2&lt;&gt;"")+('Dvd Calendar'!$AG$1885=TYPE3)*(TYPE3&lt;&gt;"")+('Dvd Calendar'!$AG$1885=TYPE4)*(TYPE4&lt;&gt;"")+('Dvd Calendar'!$AG$1885=SPECIAL_LBL)*(INC_SPECIALS="Y"))=0,"",'Dvd Calendar'!$AG$1883)))</f>
        <v/>
      </c>
      <c r="AF189" s="106">
        <f>IF(FH189="","",IF(ISNUMBER('Dvd Calendar'!$AH$1883)=FALSE,"",IF((('Dvd Calendar'!$AH$1885=TYPE1)*(TYPE1&lt;&gt;"")+('Dvd Calendar'!$AH$1885=TYPE2)*(TYPE2&lt;&gt;"")+('Dvd Calendar'!$AH$1885=TYPE3)*(TYPE3&lt;&gt;"")+('Dvd Calendar'!$AH$1885=TYPE4)*(TYPE4&lt;&gt;"")+('Dvd Calendar'!$AH$1885=SPECIAL_LBL)*(INC_SPECIALS="Y"))=0,"",'Dvd Calendar'!$AH$1883)))</f>
        <v/>
      </c>
      <c r="AG189" s="106">
        <f>IF(FI189="","",IF(ISNUMBER('Dvd Calendar'!$AI$1883)=FALSE,"",IF((('Dvd Calendar'!$AI$1885=TYPE1)*(TYPE1&lt;&gt;"")+('Dvd Calendar'!$AI$1885=TYPE2)*(TYPE2&lt;&gt;"")+('Dvd Calendar'!$AI$1885=TYPE3)*(TYPE3&lt;&gt;"")+('Dvd Calendar'!$AI$1885=TYPE4)*(TYPE4&lt;&gt;"")+('Dvd Calendar'!$AI$1885=SPECIAL_LBL)*(INC_SPECIALS="Y"))=0,"",'Dvd Calendar'!$AI$1883)))</f>
        <v/>
      </c>
      <c r="AH189" s="106">
        <f>IF(FJ189="","",IF(ISNUMBER('Dvd Calendar'!$AJ$1883)=FALSE,"",IF((('Dvd Calendar'!$AJ$1885=TYPE1)*(TYPE1&lt;&gt;"")+('Dvd Calendar'!$AJ$1885=TYPE2)*(TYPE2&lt;&gt;"")+('Dvd Calendar'!$AJ$1885=TYPE3)*(TYPE3&lt;&gt;"")+('Dvd Calendar'!$AJ$1885=TYPE4)*(TYPE4&lt;&gt;"")+('Dvd Calendar'!$AJ$1885=SPECIAL_LBL)*(INC_SPECIALS="Y"))=0,"",'Dvd Calendar'!$AJ$1883)))</f>
        <v/>
      </c>
      <c r="AI189" s="106">
        <f>IF(FK189="","",IF(ISNUMBER('Dvd Calendar'!$AK$1883)=FALSE,"",IF((('Dvd Calendar'!$AK$1885=TYPE1)*(TYPE1&lt;&gt;"")+('Dvd Calendar'!$AK$1885=TYPE2)*(TYPE2&lt;&gt;"")+('Dvd Calendar'!$AK$1885=TYPE3)*(TYPE3&lt;&gt;"")+('Dvd Calendar'!$AK$1885=TYPE4)*(TYPE4&lt;&gt;"")+('Dvd Calendar'!$AK$1885=SPECIAL_LBL)*(INC_SPECIALS="Y"))=0,"",'Dvd Calendar'!$AK$1883)))</f>
        <v/>
      </c>
      <c r="AJ189" s="106">
        <f>IF(FL189="","",IF(ISNUMBER('Dvd Calendar'!$AL$1883)=FALSE,"",IF((('Dvd Calendar'!$AL$1885=TYPE1)*(TYPE1&lt;&gt;"")+('Dvd Calendar'!$AL$1885=TYPE2)*(TYPE2&lt;&gt;"")+('Dvd Calendar'!$AL$1885=TYPE3)*(TYPE3&lt;&gt;"")+('Dvd Calendar'!$AL$1885=TYPE4)*(TYPE4&lt;&gt;"")+('Dvd Calendar'!$AL$1885=SPECIAL_LBL)*(INC_SPECIALS="Y"))=0,"",'Dvd Calendar'!$AL$1883)))</f>
        <v/>
      </c>
      <c r="AK189" s="106">
        <f>IF(FM189="","",IF(ISNUMBER('Dvd Calendar'!$AM$1883)=FALSE,"",IF((('Dvd Calendar'!$AM$1885=TYPE1)*(TYPE1&lt;&gt;"")+('Dvd Calendar'!$AM$1885=TYPE2)*(TYPE2&lt;&gt;"")+('Dvd Calendar'!$AM$1885=TYPE3)*(TYPE3&lt;&gt;"")+('Dvd Calendar'!$AM$1885=TYPE4)*(TYPE4&lt;&gt;"")+('Dvd Calendar'!$AM$1885=SPECIAL_LBL)*(INC_SPECIALS="Y"))=0,"",'Dvd Calendar'!$AM$1883)))</f>
        <v/>
      </c>
      <c r="AL189" s="106">
        <f>IF(FN189="","",IF(ISNUMBER('Dvd Calendar'!$AN$1883)=FALSE,"",IF((('Dvd Calendar'!$AN$1885=TYPE1)*(TYPE1&lt;&gt;"")+('Dvd Calendar'!$AN$1885=TYPE2)*(TYPE2&lt;&gt;"")+('Dvd Calendar'!$AN$1885=TYPE3)*(TYPE3&lt;&gt;"")+('Dvd Calendar'!$AN$1885=TYPE4)*(TYPE4&lt;&gt;"")+('Dvd Calendar'!$AN$1885=SPECIAL_LBL)*(INC_SPECIALS="Y"))=0,"",'Dvd Calendar'!$AN$1883)))</f>
        <v/>
      </c>
      <c r="AM189" s="106">
        <f>IF(FO189="","",IF(ISNUMBER('Dvd Calendar'!$AO$1883)=FALSE,"",IF((('Dvd Calendar'!$AO$1885=TYPE1)*(TYPE1&lt;&gt;"")+('Dvd Calendar'!$AO$1885=TYPE2)*(TYPE2&lt;&gt;"")+('Dvd Calendar'!$AO$1885=TYPE3)*(TYPE3&lt;&gt;"")+('Dvd Calendar'!$AO$1885=TYPE4)*(TYPE4&lt;&gt;"")+('Dvd Calendar'!$AO$1885=SPECIAL_LBL)*(INC_SPECIALS="Y"))=0,"",'Dvd Calendar'!$AO$1883)))</f>
        <v/>
      </c>
      <c r="AN189" s="106">
        <f>IF(FP189="","",IF(ISNUMBER('Dvd Calendar'!$AP$1883)=FALSE,"",IF((('Dvd Calendar'!$AP$1885=TYPE1)*(TYPE1&lt;&gt;"")+('Dvd Calendar'!$AP$1885=TYPE2)*(TYPE2&lt;&gt;"")+('Dvd Calendar'!$AP$1885=TYPE3)*(TYPE3&lt;&gt;"")+('Dvd Calendar'!$AP$1885=TYPE4)*(TYPE4&lt;&gt;"")+('Dvd Calendar'!$AP$1885=SPECIAL_LBL)*(INC_SPECIALS="Y"))=0,"",'Dvd Calendar'!$AP$1883)))</f>
        <v/>
      </c>
      <c r="AO189" s="106">
        <f>IF(FQ189="","",IF(ISNUMBER('Dvd Calendar'!$AQ$1883)=FALSE,"",IF((('Dvd Calendar'!$AQ$1885=TYPE1)*(TYPE1&lt;&gt;"")+('Dvd Calendar'!$AQ$1885=TYPE2)*(TYPE2&lt;&gt;"")+('Dvd Calendar'!$AQ$1885=TYPE3)*(TYPE3&lt;&gt;"")+('Dvd Calendar'!$AQ$1885=TYPE4)*(TYPE4&lt;&gt;"")+('Dvd Calendar'!$AQ$1885=SPECIAL_LBL)*(INC_SPECIALS="Y"))=0,"",'Dvd Calendar'!$AQ$1883)))</f>
        <v/>
      </c>
      <c r="AP189" s="106">
        <f>IF(FR189="","",IF(ISNUMBER('Dvd Calendar'!$AR$1883)=FALSE,"",IF((('Dvd Calendar'!$AR$1885=TYPE1)*(TYPE1&lt;&gt;"")+('Dvd Calendar'!$AR$1885=TYPE2)*(TYPE2&lt;&gt;"")+('Dvd Calendar'!$AR$1885=TYPE3)*(TYPE3&lt;&gt;"")+('Dvd Calendar'!$AR$1885=TYPE4)*(TYPE4&lt;&gt;"")+('Dvd Calendar'!$AR$1885=SPECIAL_LBL)*(INC_SPECIALS="Y"))=0,"",'Dvd Calendar'!$AR$1883)))</f>
        <v/>
      </c>
      <c r="AQ189" s="106">
        <f>IF(FS189="","",IF(ISNUMBER('Dvd Calendar'!$E$1888)=FALSE,"",'Dvd Calendar'!$E$1888))</f>
        <v/>
      </c>
      <c r="AR189" s="106">
        <f>IF(FT189="","",IF(ISNUMBER('Dvd Calendar'!$F$1888)=FALSE,"",'Dvd Calendar'!$F$1888))</f>
        <v/>
      </c>
      <c r="AS189" s="106">
        <f>IF(FU189="","",IF(ISNUMBER('Dvd Calendar'!$G$1888)=FALSE,"",'Dvd Calendar'!$G$1888))</f>
        <v/>
      </c>
      <c r="AT189" s="106">
        <f>IF(FV189="","",IF(ISNUMBER('Dvd Calendar'!$H$1888)=FALSE,"",'Dvd Calendar'!$H$1888))</f>
        <v/>
      </c>
      <c r="AU189" s="106">
        <f>IF(FW189="","",IF(ISNUMBER('Dvd Calendar'!$I$1888)=FALSE,"",'Dvd Calendar'!$I$1888))</f>
        <v/>
      </c>
      <c r="AV189" s="106">
        <f>IF(FX189="","",IF(ISNUMBER('Dvd Calendar'!$J$1888)=FALSE,"",'Dvd Calendar'!$J$1888))</f>
        <v/>
      </c>
      <c r="AW189" s="106">
        <f>IF(FY189="","",IF(ISNUMBER('Dvd Calendar'!$K$1888)=FALSE,"",'Dvd Calendar'!$K$1888))</f>
        <v/>
      </c>
      <c r="AX189" s="106">
        <f>IF(FZ189="","",IF(ISNUMBER('Dvd Calendar'!$L$1888)=FALSE,"",'Dvd Calendar'!$L$1888))</f>
        <v/>
      </c>
      <c r="AY189" s="106">
        <f>IF(GA189="","",IF(ISNUMBER('Dvd Calendar'!$M$1888)=FALSE,"",'Dvd Calendar'!$M$1888))</f>
        <v/>
      </c>
      <c r="AZ189" s="106">
        <f>IF(GB189="","",IF(ISNUMBER('Dvd Calendar'!$N$1888)=FALSE,"",'Dvd Calendar'!$N$1888))</f>
        <v/>
      </c>
      <c r="BA189" s="106">
        <f>IF(GC189="","",IF(ISNUMBER('Dvd Calendar'!$O$1888)=FALSE,"",'Dvd Calendar'!$O$1888))</f>
        <v/>
      </c>
      <c r="BB189" s="106">
        <f>IF(GD189="","",IF(ISNUMBER('Dvd Calendar'!$P$1888)=FALSE,"",'Dvd Calendar'!$P$1888))</f>
        <v/>
      </c>
      <c r="BC189" s="106">
        <f>IF(GE189="","",IF(ISNUMBER('Dvd Calendar'!$Q$1888)=FALSE,"",'Dvd Calendar'!$Q$1888))</f>
        <v/>
      </c>
      <c r="BD189" s="106">
        <f>IF(GF189="","",IF(ISNUMBER('Dvd Calendar'!$R$1888)=FALSE,"",'Dvd Calendar'!$R$1888))</f>
        <v/>
      </c>
      <c r="BE189" s="106">
        <f>IF(GG189="","",IF(ISNUMBER('Dvd Calendar'!$S$1888)=FALSE,"",'Dvd Calendar'!$S$1888))</f>
        <v/>
      </c>
      <c r="BF189" s="106">
        <f>IF(GH189="","",IF(ISNUMBER('Dvd Calendar'!$T$1888)=FALSE,"",'Dvd Calendar'!$T$1888))</f>
        <v/>
      </c>
      <c r="BG189" s="106">
        <f>IF(GI189="","",IF(ISNUMBER('Dvd Calendar'!$U$1888)=FALSE,"",'Dvd Calendar'!$U$1888))</f>
        <v/>
      </c>
      <c r="BH189" s="106">
        <f>IF(GJ189="","",IF(ISNUMBER('Dvd Calendar'!$V$1888)=FALSE,"",'Dvd Calendar'!$V$1888))</f>
        <v/>
      </c>
      <c r="BI189" s="106">
        <f>IF(GK189="","",IF(ISNUMBER('Dvd Calendar'!$W$1888)=FALSE,"",'Dvd Calendar'!$W$1888))</f>
        <v/>
      </c>
      <c r="BJ189" s="106">
        <f>IF(GL189="","",IF(ISNUMBER('Dvd Calendar'!$X$1888)=FALSE,"",'Dvd Calendar'!$X$1888))</f>
        <v/>
      </c>
      <c r="BK189" s="106">
        <f>IF(GM189="","",IF(ISNUMBER('Dvd Calendar'!$Y$1888)=FALSE,"",'Dvd Calendar'!$Y$1888))</f>
        <v/>
      </c>
      <c r="BL189" s="106">
        <f>IF(GN189="","",IF(ISNUMBER('Dvd Calendar'!$Z$1888)=FALSE,"",'Dvd Calendar'!$Z$1888))</f>
        <v/>
      </c>
      <c r="BM189" s="106">
        <f>IF(GO189="","",IF(ISNUMBER('Dvd Calendar'!$AA$1888)=FALSE,"",'Dvd Calendar'!$AA$1888))</f>
        <v/>
      </c>
      <c r="BN189" s="106">
        <f>IF(GP189="","",IF(ISNUMBER('Dvd Calendar'!$AB$1888)=FALSE,"",'Dvd Calendar'!$AB$1888))</f>
        <v/>
      </c>
      <c r="BO189" s="106">
        <f>IF(GQ189="","",IF(ISNUMBER('Dvd Calendar'!$AC$1888)=FALSE,"",'Dvd Calendar'!$AC$1888))</f>
        <v/>
      </c>
      <c r="BQ189" s="106">
        <f>IF(C189="","",IFERROR(C189*HSCEI!$B$36*HSCEI!$G$36/HSCEI!$B$3,""))</f>
        <v/>
      </c>
      <c r="BR189" s="106">
        <f>IF(D189="","",IFERROR(D189*HSCEI!$B$36*HSCEI!$G$36/HSCEI!$B$3,""))</f>
        <v/>
      </c>
      <c r="BS189" s="106">
        <f>IF(E189="","",IFERROR(E189*HSCEI!$B$36*HSCEI!$G$36/HSCEI!$B$3,""))</f>
        <v/>
      </c>
      <c r="BT189" s="106">
        <f>IF(F189="","",IFERROR(F189*HSCEI!$B$36*HSCEI!$G$36/HSCEI!$B$3,""))</f>
        <v/>
      </c>
      <c r="BU189" s="106">
        <f>IF(G189="","",IFERROR(G189*HSCEI!$B$36*HSCEI!$G$36/HSCEI!$B$3,""))</f>
        <v/>
      </c>
      <c r="BV189" s="106">
        <f>IF(H189="","",IFERROR(H189*HSCEI!$B$36*HSCEI!$G$36/HSCEI!$B$3,""))</f>
        <v/>
      </c>
      <c r="BW189" s="106">
        <f>IF(I189="","",IFERROR(I189*HSCEI!$B$36*HSCEI!$G$36/HSCEI!$B$3,""))</f>
        <v/>
      </c>
      <c r="BX189" s="106">
        <f>IF(J189="","",IFERROR(J189*HSCEI!$B$36*HSCEI!$G$36/HSCEI!$B$3,""))</f>
        <v/>
      </c>
      <c r="BY189" s="106">
        <f>IF(K189="","",IFERROR(K189*HSCEI!$B$36*HSCEI!$G$36/HSCEI!$B$3,""))</f>
        <v/>
      </c>
      <c r="BZ189" s="106">
        <f>IF(L189="","",IFERROR(L189*HSCEI!$B$36*HSCEI!$G$36/HSCEI!$B$3,""))</f>
        <v/>
      </c>
      <c r="CA189" s="106">
        <f>IF(M189="","",IFERROR(M189*HSCEI!$B$36*HSCEI!$G$36/HSCEI!$B$3,""))</f>
        <v/>
      </c>
      <c r="CB189" s="106">
        <f>IF(N189="","",IFERROR(N189*HSCEI!$B$36*HSCEI!$G$36/HSCEI!$B$3,""))</f>
        <v/>
      </c>
      <c r="CC189" s="106">
        <f>IF(O189="","",IFERROR(O189*HSCEI!$B$36*HSCEI!$G$36/HSCEI!$B$3,""))</f>
        <v/>
      </c>
      <c r="CD189" s="106">
        <f>IF(P189="","",IFERROR(P189*HSCEI!$B$36*HSCEI!$G$36/HSCEI!$B$3,""))</f>
        <v/>
      </c>
      <c r="CE189" s="106">
        <f>IF(Q189="","",IFERROR(Q189*HSCEI!$B$36*HSCEI!$G$36/HSCEI!$B$3,""))</f>
        <v/>
      </c>
      <c r="CF189" s="106">
        <f>IF(R189="","",IFERROR(R189*HSCEI!$B$36*HSCEI!$G$36/HSCEI!$B$3,""))</f>
        <v/>
      </c>
      <c r="CG189" s="106">
        <f>IF(S189="","",IFERROR(S189*HSCEI!$B$36*HSCEI!$G$36/HSCEI!$B$3,""))</f>
        <v/>
      </c>
      <c r="CH189" s="106">
        <f>IF(T189="","",IFERROR(T189*HSCEI!$B$36*HSCEI!$G$36/HSCEI!$B$3,""))</f>
        <v/>
      </c>
      <c r="CI189" s="106">
        <f>IF(U189="","",IFERROR(U189*HSCEI!$B$36*HSCEI!$G$36/HSCEI!$B$3,""))</f>
        <v/>
      </c>
      <c r="CJ189" s="106">
        <f>IF(V189="","",IFERROR(V189*HSCEI!$B$36*HSCEI!$G$36/HSCEI!$B$3,""))</f>
        <v/>
      </c>
      <c r="CK189" s="106">
        <f>IF(W189="","",IFERROR(W189*HSCEI!$B$36*HSCEI!$G$36/HSCEI!$B$3,""))</f>
        <v/>
      </c>
      <c r="CL189" s="106">
        <f>IF(X189="","",IFERROR(X189*HSCEI!$B$36*HSCEI!$G$36/HSCEI!$B$3,""))</f>
        <v/>
      </c>
      <c r="CM189" s="106">
        <f>IF(Y189="","",IFERROR(Y189*HSCEI!$B$36*HSCEI!$G$36/HSCEI!$B$3,""))</f>
        <v/>
      </c>
      <c r="CN189" s="106">
        <f>IF(Z189="","",IFERROR(Z189*HSCEI!$B$36*HSCEI!$G$36/HSCEI!$B$3,""))</f>
        <v/>
      </c>
      <c r="CO189" s="106">
        <f>IF(AA189="","",IFERROR(AA189*HSCEI!$B$36*HSCEI!$G$36/HSCEI!$B$3,""))</f>
        <v/>
      </c>
      <c r="CP189" s="106">
        <f>IF(AB189="","",IFERROR(AB189*HSCEI!$B$36*HSCEI!$G$36/HSCEI!$B$3,""))</f>
        <v/>
      </c>
      <c r="CQ189" s="106">
        <f>IF(AC189="","",IFERROR(AC189*HSCEI!$B$36*HSCEI!$G$36/HSCEI!$B$3,""))</f>
        <v/>
      </c>
      <c r="CR189" s="106">
        <f>IF(AD189="","",IFERROR(AD189*HSCEI!$B$36*HSCEI!$G$36/HSCEI!$B$3,""))</f>
        <v/>
      </c>
      <c r="CS189" s="106">
        <f>IF(AE189="","",IFERROR(AE189*HSCEI!$B$36*HSCEI!$G$36/HSCEI!$B$3,""))</f>
        <v/>
      </c>
      <c r="CT189" s="106">
        <f>IF(AF189="","",IFERROR(AF189*HSCEI!$B$36*HSCEI!$G$36/HSCEI!$B$3,""))</f>
        <v/>
      </c>
      <c r="CU189" s="106">
        <f>IF(AG189="","",IFERROR(AG189*HSCEI!$B$36*HSCEI!$G$36/HSCEI!$B$3,""))</f>
        <v/>
      </c>
      <c r="CV189" s="106">
        <f>IF(AH189="","",IFERROR(AH189*HSCEI!$B$36*HSCEI!$G$36/HSCEI!$B$3,""))</f>
        <v/>
      </c>
      <c r="CW189" s="106">
        <f>IF(AI189="","",IFERROR(AI189*HSCEI!$B$36*HSCEI!$G$36/HSCEI!$B$3,""))</f>
        <v/>
      </c>
      <c r="CX189" s="106">
        <f>IF(AJ189="","",IFERROR(AJ189*HSCEI!$B$36*HSCEI!$G$36/HSCEI!$B$3,""))</f>
        <v/>
      </c>
      <c r="CY189" s="106">
        <f>IF(AK189="","",IFERROR(AK189*HSCEI!$B$36*HSCEI!$G$36/HSCEI!$B$3,""))</f>
        <v/>
      </c>
      <c r="CZ189" s="106">
        <f>IF(AL189="","",IFERROR(AL189*HSCEI!$B$36*HSCEI!$G$36/HSCEI!$B$3,""))</f>
        <v/>
      </c>
      <c r="DA189" s="106">
        <f>IF(AM189="","",IFERROR(AM189*HSCEI!$B$36*HSCEI!$G$36/HSCEI!$B$3,""))</f>
        <v/>
      </c>
      <c r="DB189" s="106">
        <f>IF(AN189="","",IFERROR(AN189*HSCEI!$B$36*HSCEI!$G$36/HSCEI!$B$3,""))</f>
        <v/>
      </c>
      <c r="DC189" s="106">
        <f>IF(AO189="","",IFERROR(AO189*HSCEI!$B$36*HSCEI!$G$36/HSCEI!$B$3,""))</f>
        <v/>
      </c>
      <c r="DD189" s="106">
        <f>IF(AP189="","",IFERROR(AP189*HSCEI!$B$36*HSCEI!$G$36/HSCEI!$B$3,""))</f>
        <v/>
      </c>
      <c r="DE189" s="106">
        <f>IF(AQ189="","",IFERROR(AQ189*HSCEI!$B$36*HSCEI!$G$36/HSCEI!$B$3,""))</f>
        <v/>
      </c>
      <c r="DF189" s="106">
        <f>IF(AR189="","",IFERROR(AR189*HSCEI!$B$36*HSCEI!$G$36/HSCEI!$B$3,""))</f>
        <v/>
      </c>
      <c r="DG189" s="106">
        <f>IF(AS189="","",IFERROR(AS189*HSCEI!$B$36*HSCEI!$G$36/HSCEI!$B$3,""))</f>
        <v/>
      </c>
      <c r="DH189" s="106">
        <f>IF(AT189="","",IFERROR(AT189*HSCEI!$B$36*HSCEI!$G$36/HSCEI!$B$3,""))</f>
        <v/>
      </c>
      <c r="DI189" s="106">
        <f>IF(AU189="","",IFERROR(AU189*HSCEI!$B$36*HSCEI!$G$36/HSCEI!$B$3,""))</f>
        <v/>
      </c>
      <c r="DJ189" s="106">
        <f>IF(AV189="","",IFERROR(AV189*HSCEI!$B$36*HSCEI!$G$36/HSCEI!$B$3,""))</f>
        <v/>
      </c>
      <c r="DK189" s="106">
        <f>IF(AW189="","",IFERROR(AW189*HSCEI!$B$36*HSCEI!$G$36/HSCEI!$B$3,""))</f>
        <v/>
      </c>
      <c r="DL189" s="106">
        <f>IF(AX189="","",IFERROR(AX189*HSCEI!$B$36*HSCEI!$G$36/HSCEI!$B$3,""))</f>
        <v/>
      </c>
      <c r="DM189" s="106">
        <f>IF(AY189="","",IFERROR(AY189*HSCEI!$B$36*HSCEI!$G$36/HSCEI!$B$3,""))</f>
        <v/>
      </c>
      <c r="DN189" s="106">
        <f>IF(AZ189="","",IFERROR(AZ189*HSCEI!$B$36*HSCEI!$G$36/HSCEI!$B$3,""))</f>
        <v/>
      </c>
      <c r="DO189" s="106">
        <f>IF(BA189="","",IFERROR(BA189*HSCEI!$B$36*HSCEI!$G$36/HSCEI!$B$3,""))</f>
        <v/>
      </c>
      <c r="DP189" s="106">
        <f>IF(BB189="","",IFERROR(BB189*HSCEI!$B$36*HSCEI!$G$36/HSCEI!$B$3,""))</f>
        <v/>
      </c>
      <c r="DQ189" s="106">
        <f>IF(BC189="","",IFERROR(BC189*HSCEI!$B$36*HSCEI!$G$36/HSCEI!$B$3,""))</f>
        <v/>
      </c>
      <c r="DR189" s="106">
        <f>IF(BD189="","",IFERROR(BD189*HSCEI!$B$36*HSCEI!$G$36/HSCEI!$B$3,""))</f>
        <v/>
      </c>
      <c r="DS189" s="106">
        <f>IF(BE189="","",IFERROR(BE189*HSCEI!$B$36*HSCEI!$G$36/HSCEI!$B$3,""))</f>
        <v/>
      </c>
      <c r="DT189" s="106">
        <f>IF(BF189="","",IFERROR(BF189*HSCEI!$B$36*HSCEI!$G$36/HSCEI!$B$3,""))</f>
        <v/>
      </c>
      <c r="DU189" s="106">
        <f>IF(BG189="","",IFERROR(BG189*HSCEI!$B$36*HSCEI!$G$36/HSCEI!$B$3,""))</f>
        <v/>
      </c>
      <c r="DV189" s="106">
        <f>IF(BH189="","",IFERROR(BH189*HSCEI!$B$36*HSCEI!$G$36/HSCEI!$B$3,""))</f>
        <v/>
      </c>
      <c r="DW189" s="106">
        <f>IF(BI189="","",IFERROR(BI189*HSCEI!$B$36*HSCEI!$G$36/HSCEI!$B$3,""))</f>
        <v/>
      </c>
      <c r="DX189" s="106">
        <f>IF(BJ189="","",IFERROR(BJ189*HSCEI!$B$36*HSCEI!$G$36/HSCEI!$B$3,""))</f>
        <v/>
      </c>
      <c r="DY189" s="106">
        <f>IF(BK189="","",IFERROR(BK189*HSCEI!$B$36*HSCEI!$G$36/HSCEI!$B$3,""))</f>
        <v/>
      </c>
      <c r="DZ189" s="106">
        <f>IF(BL189="","",IFERROR(BL189*HSCEI!$B$36*HSCEI!$G$36/HSCEI!$B$3,""))</f>
        <v/>
      </c>
      <c r="EA189" s="106">
        <f>IF(BM189="","",IFERROR(BM189*HSCEI!$B$36*HSCEI!$G$36/HSCEI!$B$3,""))</f>
        <v/>
      </c>
      <c r="EB189" s="106">
        <f>IF(BN189="","",IFERROR(BN189*HSCEI!$B$36*HSCEI!$G$36/HSCEI!$B$3,""))</f>
        <v/>
      </c>
      <c r="EC189" s="106">
        <f>IF(BO189="","",IFERROR(BO189*HSCEI!$B$36*HSCEI!$G$36/HSCEI!$B$3,""))</f>
        <v/>
      </c>
      <c r="EE189" s="35">
        <f>IF(N('Dvd Calendar'!$E$1880)=0,"",IF(('Dvd Calendar'!$E$1880&gt;=GRID_FROM)*('Dvd Calendar'!$E$1880&lt;=GRID_TO)*('Dvd Calendar'!$E$1880&lt;=VAL_DATE)=0,"",'Dvd Calendar'!$E$1880*1000000000+ISNUMBER('Dvd Calendar'!$E$1883)*100000000+('Dvd Calendar'!$E$1885=SPECIAL_LBL)*10000000+0*1000000+30*1000+1))</f>
        <v/>
      </c>
      <c r="EF189" s="35">
        <f>IF(N('Dvd Calendar'!$F$1880)=0,"",IF(('Dvd Calendar'!$F$1880&gt;=GRID_FROM)*('Dvd Calendar'!$F$1880&lt;=GRID_TO)*('Dvd Calendar'!$F$1880&lt;=VAL_DATE)=0,"",'Dvd Calendar'!$F$1880*1000000000+ISNUMBER('Dvd Calendar'!$F$1883)*100000000+('Dvd Calendar'!$F$1885=SPECIAL_LBL)*10000000+0*1000000+30*1000+2))</f>
        <v/>
      </c>
      <c r="EG189" s="35">
        <f>IF(N('Dvd Calendar'!$G$1880)=0,"",IF(('Dvd Calendar'!$G$1880&gt;=GRID_FROM)*('Dvd Calendar'!$G$1880&lt;=GRID_TO)*('Dvd Calendar'!$G$1880&lt;=VAL_DATE)=0,"",'Dvd Calendar'!$G$1880*1000000000+ISNUMBER('Dvd Calendar'!$G$1883)*100000000+('Dvd Calendar'!$G$1885=SPECIAL_LBL)*10000000+0*1000000+30*1000+3))</f>
        <v/>
      </c>
      <c r="EH189" s="35">
        <f>IF(N('Dvd Calendar'!$H$1880)=0,"",IF(('Dvd Calendar'!$H$1880&gt;=GRID_FROM)*('Dvd Calendar'!$H$1880&lt;=GRID_TO)*('Dvd Calendar'!$H$1880&lt;=VAL_DATE)=0,"",'Dvd Calendar'!$H$1880*1000000000+ISNUMBER('Dvd Calendar'!$H$1883)*100000000+('Dvd Calendar'!$H$1885=SPECIAL_LBL)*10000000+0*1000000+30*1000+4))</f>
        <v/>
      </c>
      <c r="EI189" s="35">
        <f>IF(N('Dvd Calendar'!$I$1880)=0,"",IF(('Dvd Calendar'!$I$1880&gt;=GRID_FROM)*('Dvd Calendar'!$I$1880&lt;=GRID_TO)*('Dvd Calendar'!$I$1880&lt;=VAL_DATE)=0,"",'Dvd Calendar'!$I$1880*1000000000+ISNUMBER('Dvd Calendar'!$I$1883)*100000000+('Dvd Calendar'!$I$1885=SPECIAL_LBL)*10000000+0*1000000+30*1000+5))</f>
        <v/>
      </c>
      <c r="EJ189" s="35">
        <f>IF(N('Dvd Calendar'!$J$1880)=0,"",IF(('Dvd Calendar'!$J$1880&gt;=GRID_FROM)*('Dvd Calendar'!$J$1880&lt;=GRID_TO)*('Dvd Calendar'!$J$1880&lt;=VAL_DATE)=0,"",'Dvd Calendar'!$J$1880*1000000000+ISNUMBER('Dvd Calendar'!$J$1883)*100000000+('Dvd Calendar'!$J$1885=SPECIAL_LBL)*10000000+0*1000000+30*1000+6))</f>
        <v/>
      </c>
      <c r="EK189" s="35">
        <f>IF(N('Dvd Calendar'!$K$1880)=0,"",IF(('Dvd Calendar'!$K$1880&gt;=GRID_FROM)*('Dvd Calendar'!$K$1880&lt;=GRID_TO)*('Dvd Calendar'!$K$1880&lt;=VAL_DATE)=0,"",'Dvd Calendar'!$K$1880*1000000000+ISNUMBER('Dvd Calendar'!$K$1883)*100000000+('Dvd Calendar'!$K$1885=SPECIAL_LBL)*10000000+0*1000000+30*1000+7))</f>
        <v/>
      </c>
      <c r="EL189" s="35">
        <f>IF(N('Dvd Calendar'!$L$1880)=0,"",IF(('Dvd Calendar'!$L$1880&gt;=GRID_FROM)*('Dvd Calendar'!$L$1880&lt;=GRID_TO)*('Dvd Calendar'!$L$1880&lt;=VAL_DATE)=0,"",'Dvd Calendar'!$L$1880*1000000000+ISNUMBER('Dvd Calendar'!$L$1883)*100000000+('Dvd Calendar'!$L$1885=SPECIAL_LBL)*10000000+0*1000000+30*1000+8))</f>
        <v/>
      </c>
      <c r="EM189" s="35">
        <f>IF(N('Dvd Calendar'!$M$1880)=0,"",IF(('Dvd Calendar'!$M$1880&gt;=GRID_FROM)*('Dvd Calendar'!$M$1880&lt;=GRID_TO)*('Dvd Calendar'!$M$1880&lt;=VAL_DATE)=0,"",'Dvd Calendar'!$M$1880*1000000000+ISNUMBER('Dvd Calendar'!$M$1883)*100000000+('Dvd Calendar'!$M$1885=SPECIAL_LBL)*10000000+0*1000000+30*1000+9))</f>
        <v/>
      </c>
      <c r="EN189" s="35">
        <f>IF(N('Dvd Calendar'!$N$1880)=0,"",IF(('Dvd Calendar'!$N$1880&gt;=GRID_FROM)*('Dvd Calendar'!$N$1880&lt;=GRID_TO)*('Dvd Calendar'!$N$1880&lt;=VAL_DATE)=0,"",'Dvd Calendar'!$N$1880*1000000000+ISNUMBER('Dvd Calendar'!$N$1883)*100000000+('Dvd Calendar'!$N$1885=SPECIAL_LBL)*10000000+0*1000000+30*1000+10))</f>
        <v/>
      </c>
      <c r="EO189" s="35">
        <f>IF(N('Dvd Calendar'!$O$1880)=0,"",IF(('Dvd Calendar'!$O$1880&gt;=GRID_FROM)*('Dvd Calendar'!$O$1880&lt;=GRID_TO)*('Dvd Calendar'!$O$1880&lt;=VAL_DATE)=0,"",'Dvd Calendar'!$O$1880*1000000000+ISNUMBER('Dvd Calendar'!$O$1883)*100000000+('Dvd Calendar'!$O$1885=SPECIAL_LBL)*10000000+0*1000000+30*1000+11))</f>
        <v/>
      </c>
      <c r="EP189" s="35">
        <f>IF(N('Dvd Calendar'!$P$1880)=0,"",IF(('Dvd Calendar'!$P$1880&gt;=GRID_FROM)*('Dvd Calendar'!$P$1880&lt;=GRID_TO)*('Dvd Calendar'!$P$1880&lt;=VAL_DATE)=0,"",'Dvd Calendar'!$P$1880*1000000000+ISNUMBER('Dvd Calendar'!$P$1883)*100000000+('Dvd Calendar'!$P$1885=SPECIAL_LBL)*10000000+0*1000000+30*1000+12))</f>
        <v/>
      </c>
      <c r="EQ189" s="35">
        <f>IF(N('Dvd Calendar'!$Q$1880)=0,"",IF(('Dvd Calendar'!$Q$1880&gt;=GRID_FROM)*('Dvd Calendar'!$Q$1880&lt;=GRID_TO)*('Dvd Calendar'!$Q$1880&lt;=VAL_DATE)=0,"",'Dvd Calendar'!$Q$1880*1000000000+ISNUMBER('Dvd Calendar'!$Q$1883)*100000000+('Dvd Calendar'!$Q$1885=SPECIAL_LBL)*10000000+0*1000000+30*1000+13))</f>
        <v/>
      </c>
      <c r="ER189" s="35">
        <f>IF(N('Dvd Calendar'!$R$1880)=0,"",IF(('Dvd Calendar'!$R$1880&gt;=GRID_FROM)*('Dvd Calendar'!$R$1880&lt;=GRID_TO)*('Dvd Calendar'!$R$1880&lt;=VAL_DATE)=0,"",'Dvd Calendar'!$R$1880*1000000000+ISNUMBER('Dvd Calendar'!$R$1883)*100000000+('Dvd Calendar'!$R$1885=SPECIAL_LBL)*10000000+0*1000000+30*1000+14))</f>
        <v/>
      </c>
      <c r="ES189" s="35">
        <f>IF(N('Dvd Calendar'!$S$1880)=0,"",IF(('Dvd Calendar'!$S$1880&gt;=GRID_FROM)*('Dvd Calendar'!$S$1880&lt;=GRID_TO)*('Dvd Calendar'!$S$1880&lt;=VAL_DATE)=0,"",'Dvd Calendar'!$S$1880*1000000000+ISNUMBER('Dvd Calendar'!$S$1883)*100000000+('Dvd Calendar'!$S$1885=SPECIAL_LBL)*10000000+0*1000000+30*1000+15))</f>
        <v/>
      </c>
      <c r="ET189" s="35">
        <f>IF(N('Dvd Calendar'!$T$1880)=0,"",IF(('Dvd Calendar'!$T$1880&gt;=GRID_FROM)*('Dvd Calendar'!$T$1880&lt;=GRID_TO)*('Dvd Calendar'!$T$1880&lt;=VAL_DATE)=0,"",'Dvd Calendar'!$T$1880*1000000000+ISNUMBER('Dvd Calendar'!$T$1883)*100000000+('Dvd Calendar'!$T$1885=SPECIAL_LBL)*10000000+0*1000000+30*1000+16))</f>
        <v/>
      </c>
      <c r="EU189" s="35">
        <f>IF(N('Dvd Calendar'!$U$1880)=0,"",IF(('Dvd Calendar'!$U$1880&gt;=GRID_FROM)*('Dvd Calendar'!$U$1880&lt;=GRID_TO)*('Dvd Calendar'!$U$1880&lt;=VAL_DATE)=0,"",'Dvd Calendar'!$U$1880*1000000000+ISNUMBER('Dvd Calendar'!$U$1883)*100000000+('Dvd Calendar'!$U$1885=SPECIAL_LBL)*10000000+0*1000000+30*1000+17))</f>
        <v/>
      </c>
      <c r="EV189" s="35">
        <f>IF(N('Dvd Calendar'!$V$1880)=0,"",IF(('Dvd Calendar'!$V$1880&gt;=GRID_FROM)*('Dvd Calendar'!$V$1880&lt;=GRID_TO)*('Dvd Calendar'!$V$1880&lt;=VAL_DATE)=0,"",'Dvd Calendar'!$V$1880*1000000000+ISNUMBER('Dvd Calendar'!$V$1883)*100000000+('Dvd Calendar'!$V$1885=SPECIAL_LBL)*10000000+0*1000000+30*1000+18))</f>
        <v/>
      </c>
      <c r="EW189" s="35">
        <f>IF(N('Dvd Calendar'!$W$1880)=0,"",IF(('Dvd Calendar'!$W$1880&gt;=GRID_FROM)*('Dvd Calendar'!$W$1880&lt;=GRID_TO)*('Dvd Calendar'!$W$1880&lt;=VAL_DATE)=0,"",'Dvd Calendar'!$W$1880*1000000000+ISNUMBER('Dvd Calendar'!$W$1883)*100000000+('Dvd Calendar'!$W$1885=SPECIAL_LBL)*10000000+0*1000000+30*1000+19))</f>
        <v/>
      </c>
      <c r="EX189" s="35">
        <f>IF(N('Dvd Calendar'!$X$1880)=0,"",IF(('Dvd Calendar'!$X$1880&gt;=GRID_FROM)*('Dvd Calendar'!$X$1880&lt;=GRID_TO)*('Dvd Calendar'!$X$1880&lt;=VAL_DATE)=0,"",'Dvd Calendar'!$X$1880*1000000000+ISNUMBER('Dvd Calendar'!$X$1883)*100000000+('Dvd Calendar'!$X$1885=SPECIAL_LBL)*10000000+0*1000000+30*1000+20))</f>
        <v/>
      </c>
      <c r="EY189" s="35">
        <f>IF(N('Dvd Calendar'!$Y$1880)=0,"",IF(('Dvd Calendar'!$Y$1880&gt;=GRID_FROM)*('Dvd Calendar'!$Y$1880&lt;=GRID_TO)*('Dvd Calendar'!$Y$1880&lt;=VAL_DATE)=0,"",'Dvd Calendar'!$Y$1880*1000000000+ISNUMBER('Dvd Calendar'!$Y$1883)*100000000+('Dvd Calendar'!$Y$1885=SPECIAL_LBL)*10000000+0*1000000+30*1000+21))</f>
        <v/>
      </c>
      <c r="EZ189" s="35">
        <f>IF(N('Dvd Calendar'!$Z$1880)=0,"",IF(('Dvd Calendar'!$Z$1880&gt;=GRID_FROM)*('Dvd Calendar'!$Z$1880&lt;=GRID_TO)*('Dvd Calendar'!$Z$1880&lt;=VAL_DATE)=0,"",'Dvd Calendar'!$Z$1880*1000000000+ISNUMBER('Dvd Calendar'!$Z$1883)*100000000+('Dvd Calendar'!$Z$1885=SPECIAL_LBL)*10000000+0*1000000+30*1000+22))</f>
        <v/>
      </c>
      <c r="FA189" s="35">
        <f>IF(N('Dvd Calendar'!$AA$1880)=0,"",IF(('Dvd Calendar'!$AA$1880&gt;=GRID_FROM)*('Dvd Calendar'!$AA$1880&lt;=GRID_TO)*('Dvd Calendar'!$AA$1880&lt;=VAL_DATE)=0,"",'Dvd Calendar'!$AA$1880*1000000000+ISNUMBER('Dvd Calendar'!$AA$1883)*100000000+('Dvd Calendar'!$AA$1885=SPECIAL_LBL)*10000000+0*1000000+30*1000+23))</f>
        <v/>
      </c>
      <c r="FB189" s="35">
        <f>IF(N('Dvd Calendar'!$AB$1880)=0,"",IF(('Dvd Calendar'!$AB$1880&gt;=GRID_FROM)*('Dvd Calendar'!$AB$1880&lt;=GRID_TO)*('Dvd Calendar'!$AB$1880&lt;=VAL_DATE)=0,"",'Dvd Calendar'!$AB$1880*1000000000+ISNUMBER('Dvd Calendar'!$AB$1883)*100000000+('Dvd Calendar'!$AB$1885=SPECIAL_LBL)*10000000+0*1000000+30*1000+24))</f>
        <v/>
      </c>
      <c r="FC189" s="35">
        <f>IF(N('Dvd Calendar'!$AC$1880)=0,"",IF(('Dvd Calendar'!$AC$1880&gt;=GRID_FROM)*('Dvd Calendar'!$AC$1880&lt;=GRID_TO)*('Dvd Calendar'!$AC$1880&lt;=VAL_DATE)=0,"",'Dvd Calendar'!$AC$1880*1000000000+ISNUMBER('Dvd Calendar'!$AC$1883)*100000000+('Dvd Calendar'!$AC$1885=SPECIAL_LBL)*10000000+0*1000000+30*1000+25))</f>
        <v/>
      </c>
      <c r="FD189" s="35">
        <f>IF(N('Dvd Calendar'!$AD$1880)=0,"",IF(('Dvd Calendar'!$AD$1880&gt;=GRID_FROM)*('Dvd Calendar'!$AD$1880&lt;=GRID_TO)*('Dvd Calendar'!$AD$1880&lt;=VAL_DATE)=0,"",'Dvd Calendar'!$AD$1880*1000000000+ISNUMBER('Dvd Calendar'!$AD$1883)*100000000+('Dvd Calendar'!$AD$1885=SPECIAL_LBL)*10000000+0*1000000+30*1000+26))</f>
        <v/>
      </c>
      <c r="FE189" s="35">
        <f>IF(N('Dvd Calendar'!$AE$1880)=0,"",IF(('Dvd Calendar'!$AE$1880&gt;=GRID_FROM)*('Dvd Calendar'!$AE$1880&lt;=GRID_TO)*('Dvd Calendar'!$AE$1880&lt;=VAL_DATE)=0,"",'Dvd Calendar'!$AE$1880*1000000000+ISNUMBER('Dvd Calendar'!$AE$1883)*100000000+('Dvd Calendar'!$AE$1885=SPECIAL_LBL)*10000000+0*1000000+30*1000+27))</f>
        <v/>
      </c>
      <c r="FF189" s="35">
        <f>IF(N('Dvd Calendar'!$AF$1880)=0,"",IF(('Dvd Calendar'!$AF$1880&gt;=GRID_FROM)*('Dvd Calendar'!$AF$1880&lt;=GRID_TO)*('Dvd Calendar'!$AF$1880&lt;=VAL_DATE)=0,"",'Dvd Calendar'!$AF$1880*1000000000+ISNUMBER('Dvd Calendar'!$AF$1883)*100000000+('Dvd Calendar'!$AF$1885=SPECIAL_LBL)*10000000+0*1000000+30*1000+28))</f>
        <v/>
      </c>
      <c r="FG189" s="35">
        <f>IF(N('Dvd Calendar'!$AG$1880)=0,"",IF(('Dvd Calendar'!$AG$1880&gt;=GRID_FROM)*('Dvd Calendar'!$AG$1880&lt;=GRID_TO)*('Dvd Calendar'!$AG$1880&lt;=VAL_DATE)=0,"",'Dvd Calendar'!$AG$1880*1000000000+ISNUMBER('Dvd Calendar'!$AG$1883)*100000000+('Dvd Calendar'!$AG$1885=SPECIAL_LBL)*10000000+0*1000000+30*1000+29))</f>
        <v/>
      </c>
      <c r="FH189" s="35">
        <f>IF(N('Dvd Calendar'!$AH$1880)=0,"",IF(('Dvd Calendar'!$AH$1880&gt;=GRID_FROM)*('Dvd Calendar'!$AH$1880&lt;=GRID_TO)*('Dvd Calendar'!$AH$1880&lt;=VAL_DATE)=0,"",'Dvd Calendar'!$AH$1880*1000000000+ISNUMBER('Dvd Calendar'!$AH$1883)*100000000+('Dvd Calendar'!$AH$1885=SPECIAL_LBL)*10000000+0*1000000+30*1000+30))</f>
        <v/>
      </c>
      <c r="FI189" s="35">
        <f>IF(N('Dvd Calendar'!$AI$1880)=0,"",IF(('Dvd Calendar'!$AI$1880&gt;=GRID_FROM)*('Dvd Calendar'!$AI$1880&lt;=GRID_TO)*('Dvd Calendar'!$AI$1880&lt;=VAL_DATE)=0,"",'Dvd Calendar'!$AI$1880*1000000000+ISNUMBER('Dvd Calendar'!$AI$1883)*100000000+('Dvd Calendar'!$AI$1885=SPECIAL_LBL)*10000000+0*1000000+30*1000+31))</f>
        <v/>
      </c>
      <c r="FJ189" s="35">
        <f>IF(N('Dvd Calendar'!$AJ$1880)=0,"",IF(('Dvd Calendar'!$AJ$1880&gt;=GRID_FROM)*('Dvd Calendar'!$AJ$1880&lt;=GRID_TO)*('Dvd Calendar'!$AJ$1880&lt;=VAL_DATE)=0,"",'Dvd Calendar'!$AJ$1880*1000000000+ISNUMBER('Dvd Calendar'!$AJ$1883)*100000000+('Dvd Calendar'!$AJ$1885=SPECIAL_LBL)*10000000+0*1000000+30*1000+32))</f>
        <v/>
      </c>
      <c r="FK189" s="35">
        <f>IF(N('Dvd Calendar'!$AK$1880)=0,"",IF(('Dvd Calendar'!$AK$1880&gt;=GRID_FROM)*('Dvd Calendar'!$AK$1880&lt;=GRID_TO)*('Dvd Calendar'!$AK$1880&lt;=VAL_DATE)=0,"",'Dvd Calendar'!$AK$1880*1000000000+ISNUMBER('Dvd Calendar'!$AK$1883)*100000000+('Dvd Calendar'!$AK$1885=SPECIAL_LBL)*10000000+0*1000000+30*1000+33))</f>
        <v/>
      </c>
      <c r="FL189" s="35">
        <f>IF(N('Dvd Calendar'!$AL$1880)=0,"",IF(('Dvd Calendar'!$AL$1880&gt;=GRID_FROM)*('Dvd Calendar'!$AL$1880&lt;=GRID_TO)*('Dvd Calendar'!$AL$1880&lt;=VAL_DATE)=0,"",'Dvd Calendar'!$AL$1880*1000000000+ISNUMBER('Dvd Calendar'!$AL$1883)*100000000+('Dvd Calendar'!$AL$1885=SPECIAL_LBL)*10000000+0*1000000+30*1000+34))</f>
        <v/>
      </c>
      <c r="FM189" s="35">
        <f>IF(N('Dvd Calendar'!$AM$1880)=0,"",IF(('Dvd Calendar'!$AM$1880&gt;=GRID_FROM)*('Dvd Calendar'!$AM$1880&lt;=GRID_TO)*('Dvd Calendar'!$AM$1880&lt;=VAL_DATE)=0,"",'Dvd Calendar'!$AM$1880*1000000000+ISNUMBER('Dvd Calendar'!$AM$1883)*100000000+('Dvd Calendar'!$AM$1885=SPECIAL_LBL)*10000000+0*1000000+30*1000+35))</f>
        <v/>
      </c>
      <c r="FN189" s="35">
        <f>IF(N('Dvd Calendar'!$AN$1880)=0,"",IF(('Dvd Calendar'!$AN$1880&gt;=GRID_FROM)*('Dvd Calendar'!$AN$1880&lt;=GRID_TO)*('Dvd Calendar'!$AN$1880&lt;=VAL_DATE)=0,"",'Dvd Calendar'!$AN$1880*1000000000+ISNUMBER('Dvd Calendar'!$AN$1883)*100000000+('Dvd Calendar'!$AN$1885=SPECIAL_LBL)*10000000+0*1000000+30*1000+36))</f>
        <v/>
      </c>
      <c r="FO189" s="35">
        <f>IF(N('Dvd Calendar'!$AO$1880)=0,"",IF(('Dvd Calendar'!$AO$1880&gt;=GRID_FROM)*('Dvd Calendar'!$AO$1880&lt;=GRID_TO)*('Dvd Calendar'!$AO$1880&lt;=VAL_DATE)=0,"",'Dvd Calendar'!$AO$1880*1000000000+ISNUMBER('Dvd Calendar'!$AO$1883)*100000000+('Dvd Calendar'!$AO$1885=SPECIAL_LBL)*10000000+0*1000000+30*1000+37))</f>
        <v/>
      </c>
      <c r="FP189" s="35">
        <f>IF(N('Dvd Calendar'!$AP$1880)=0,"",IF(('Dvd Calendar'!$AP$1880&gt;=GRID_FROM)*('Dvd Calendar'!$AP$1880&lt;=GRID_TO)*('Dvd Calendar'!$AP$1880&lt;=VAL_DATE)=0,"",'Dvd Calendar'!$AP$1880*1000000000+ISNUMBER('Dvd Calendar'!$AP$1883)*100000000+('Dvd Calendar'!$AP$1885=SPECIAL_LBL)*10000000+0*1000000+30*1000+38))</f>
        <v/>
      </c>
      <c r="FQ189" s="35">
        <f>IF(N('Dvd Calendar'!$AQ$1880)=0,"",IF(('Dvd Calendar'!$AQ$1880&gt;=GRID_FROM)*('Dvd Calendar'!$AQ$1880&lt;=GRID_TO)*('Dvd Calendar'!$AQ$1880&lt;=VAL_DATE)=0,"",'Dvd Calendar'!$AQ$1880*1000000000+ISNUMBER('Dvd Calendar'!$AQ$1883)*100000000+('Dvd Calendar'!$AQ$1885=SPECIAL_LBL)*10000000+0*1000000+30*1000+39))</f>
        <v/>
      </c>
      <c r="FR189" s="35">
        <f>IF(N('Dvd Calendar'!$AR$1880)=0,"",IF(('Dvd Calendar'!$AR$1880&gt;=GRID_FROM)*('Dvd Calendar'!$AR$1880&lt;=GRID_TO)*('Dvd Calendar'!$AR$1880&lt;=VAL_DATE)=0,"",'Dvd Calendar'!$AR$1880*1000000000+ISNUMBER('Dvd Calendar'!$AR$1883)*100000000+('Dvd Calendar'!$AR$1885=SPECIAL_LBL)*10000000+0*1000000+30*1000+40))</f>
        <v/>
      </c>
      <c r="FS189" s="35">
        <f>IF(N('Dvd Calendar'!$E$1887)=0,"",IF(('Dvd Calendar'!$E$1887&gt;=GRID_FROM)*('Dvd Calendar'!$E$1887&lt;=GRID_TO)*('Dvd Calendar'!$E$1887&gt;VAL_DATE)=0,"",'Dvd Calendar'!$E$1887*1000000000+ISNUMBER('Dvd Calendar'!$E$1888)*100000000+0*10000000+(N('Dvd Calendar'!$E$1886)&gt;0)*(N('Dvd Calendar'!$E$1886)&lt;=VAL_SERIAL)*1000000+30*1000+41))</f>
        <v/>
      </c>
      <c r="FT189" s="35">
        <f>IF(N('Dvd Calendar'!$F$1887)=0,"",IF(('Dvd Calendar'!$F$1887&gt;=GRID_FROM)*('Dvd Calendar'!$F$1887&lt;=GRID_TO)*('Dvd Calendar'!$F$1887&gt;VAL_DATE)=0,"",'Dvd Calendar'!$F$1887*1000000000+ISNUMBER('Dvd Calendar'!$F$1888)*100000000+0*10000000+(N('Dvd Calendar'!$F$1886)&gt;0)*(N('Dvd Calendar'!$F$1886)&lt;=VAL_SERIAL)*1000000+30*1000+42))</f>
        <v/>
      </c>
      <c r="FU189" s="35">
        <f>IF(N('Dvd Calendar'!$G$1887)=0,"",IF(('Dvd Calendar'!$G$1887&gt;=GRID_FROM)*('Dvd Calendar'!$G$1887&lt;=GRID_TO)*('Dvd Calendar'!$G$1887&gt;VAL_DATE)=0,"",'Dvd Calendar'!$G$1887*1000000000+ISNUMBER('Dvd Calendar'!$G$1888)*100000000+0*10000000+(N('Dvd Calendar'!$G$1886)&gt;0)*(N('Dvd Calendar'!$G$1886)&lt;=VAL_SERIAL)*1000000+30*1000+43))</f>
        <v/>
      </c>
      <c r="FV189" s="35">
        <f>IF(N('Dvd Calendar'!$H$1887)=0,"",IF(('Dvd Calendar'!$H$1887&gt;=GRID_FROM)*('Dvd Calendar'!$H$1887&lt;=GRID_TO)*('Dvd Calendar'!$H$1887&gt;VAL_DATE)=0,"",'Dvd Calendar'!$H$1887*1000000000+ISNUMBER('Dvd Calendar'!$H$1888)*100000000+0*10000000+(N('Dvd Calendar'!$H$1886)&gt;0)*(N('Dvd Calendar'!$H$1886)&lt;=VAL_SERIAL)*1000000+30*1000+44))</f>
        <v/>
      </c>
      <c r="FW189" s="35">
        <f>IF(N('Dvd Calendar'!$I$1887)=0,"",IF(('Dvd Calendar'!$I$1887&gt;=GRID_FROM)*('Dvd Calendar'!$I$1887&lt;=GRID_TO)*('Dvd Calendar'!$I$1887&gt;VAL_DATE)=0,"",'Dvd Calendar'!$I$1887*1000000000+ISNUMBER('Dvd Calendar'!$I$1888)*100000000+0*10000000+(N('Dvd Calendar'!$I$1886)&gt;0)*(N('Dvd Calendar'!$I$1886)&lt;=VAL_SERIAL)*1000000+30*1000+45))</f>
        <v/>
      </c>
      <c r="FX189" s="35">
        <f>IF(N('Dvd Calendar'!$J$1887)=0,"",IF(('Dvd Calendar'!$J$1887&gt;=GRID_FROM)*('Dvd Calendar'!$J$1887&lt;=GRID_TO)*('Dvd Calendar'!$J$1887&gt;VAL_DATE)=0,"",'Dvd Calendar'!$J$1887*1000000000+ISNUMBER('Dvd Calendar'!$J$1888)*100000000+0*10000000+(N('Dvd Calendar'!$J$1886)&gt;0)*(N('Dvd Calendar'!$J$1886)&lt;=VAL_SERIAL)*1000000+30*1000+46))</f>
        <v/>
      </c>
      <c r="FY189" s="35">
        <f>IF(N('Dvd Calendar'!$K$1887)=0,"",IF(('Dvd Calendar'!$K$1887&gt;=GRID_FROM)*('Dvd Calendar'!$K$1887&lt;=GRID_TO)*('Dvd Calendar'!$K$1887&gt;VAL_DATE)=0,"",'Dvd Calendar'!$K$1887*1000000000+ISNUMBER('Dvd Calendar'!$K$1888)*100000000+0*10000000+(N('Dvd Calendar'!$K$1886)&gt;0)*(N('Dvd Calendar'!$K$1886)&lt;=VAL_SERIAL)*1000000+30*1000+47))</f>
        <v/>
      </c>
      <c r="FZ189" s="35">
        <f>IF(N('Dvd Calendar'!$L$1887)=0,"",IF(('Dvd Calendar'!$L$1887&gt;=GRID_FROM)*('Dvd Calendar'!$L$1887&lt;=GRID_TO)*('Dvd Calendar'!$L$1887&gt;VAL_DATE)=0,"",'Dvd Calendar'!$L$1887*1000000000+ISNUMBER('Dvd Calendar'!$L$1888)*100000000+0*10000000+(N('Dvd Calendar'!$L$1886)&gt;0)*(N('Dvd Calendar'!$L$1886)&lt;=VAL_SERIAL)*1000000+30*1000+48))</f>
        <v/>
      </c>
      <c r="GA189" s="35">
        <f>IF(N('Dvd Calendar'!$M$1887)=0,"",IF(('Dvd Calendar'!$M$1887&gt;=GRID_FROM)*('Dvd Calendar'!$M$1887&lt;=GRID_TO)*('Dvd Calendar'!$M$1887&gt;VAL_DATE)=0,"",'Dvd Calendar'!$M$1887*1000000000+ISNUMBER('Dvd Calendar'!$M$1888)*100000000+0*10000000+(N('Dvd Calendar'!$M$1886)&gt;0)*(N('Dvd Calendar'!$M$1886)&lt;=VAL_SERIAL)*1000000+30*1000+49))</f>
        <v/>
      </c>
      <c r="GB189" s="35">
        <f>IF(N('Dvd Calendar'!$N$1887)=0,"",IF(('Dvd Calendar'!$N$1887&gt;=GRID_FROM)*('Dvd Calendar'!$N$1887&lt;=GRID_TO)*('Dvd Calendar'!$N$1887&gt;VAL_DATE)=0,"",'Dvd Calendar'!$N$1887*1000000000+ISNUMBER('Dvd Calendar'!$N$1888)*100000000+0*10000000+(N('Dvd Calendar'!$N$1886)&gt;0)*(N('Dvd Calendar'!$N$1886)&lt;=VAL_SERIAL)*1000000+30*1000+50))</f>
        <v/>
      </c>
      <c r="GC189" s="35">
        <f>IF(N('Dvd Calendar'!$O$1887)=0,"",IF(('Dvd Calendar'!$O$1887&gt;=GRID_FROM)*('Dvd Calendar'!$O$1887&lt;=GRID_TO)*('Dvd Calendar'!$O$1887&gt;VAL_DATE)=0,"",'Dvd Calendar'!$O$1887*1000000000+ISNUMBER('Dvd Calendar'!$O$1888)*100000000+0*10000000+(N('Dvd Calendar'!$O$1886)&gt;0)*(N('Dvd Calendar'!$O$1886)&lt;=VAL_SERIAL)*1000000+30*1000+51))</f>
        <v/>
      </c>
      <c r="GD189" s="35">
        <f>IF(N('Dvd Calendar'!$P$1887)=0,"",IF(('Dvd Calendar'!$P$1887&gt;=GRID_FROM)*('Dvd Calendar'!$P$1887&lt;=GRID_TO)*('Dvd Calendar'!$P$1887&gt;VAL_DATE)=0,"",'Dvd Calendar'!$P$1887*1000000000+ISNUMBER('Dvd Calendar'!$P$1888)*100000000+0*10000000+(N('Dvd Calendar'!$P$1886)&gt;0)*(N('Dvd Calendar'!$P$1886)&lt;=VAL_SERIAL)*1000000+30*1000+52))</f>
        <v/>
      </c>
      <c r="GE189" s="35">
        <f>IF(N('Dvd Calendar'!$Q$1887)=0,"",IF(('Dvd Calendar'!$Q$1887&gt;=GRID_FROM)*('Dvd Calendar'!$Q$1887&lt;=GRID_TO)*('Dvd Calendar'!$Q$1887&gt;VAL_DATE)=0,"",'Dvd Calendar'!$Q$1887*1000000000+ISNUMBER('Dvd Calendar'!$Q$1888)*100000000+0*10000000+(N('Dvd Calendar'!$Q$1886)&gt;0)*(N('Dvd Calendar'!$Q$1886)&lt;=VAL_SERIAL)*1000000+30*1000+53))</f>
        <v/>
      </c>
      <c r="GF189" s="35">
        <f>IF(N('Dvd Calendar'!$R$1887)=0,"",IF(('Dvd Calendar'!$R$1887&gt;=GRID_FROM)*('Dvd Calendar'!$R$1887&lt;=GRID_TO)*('Dvd Calendar'!$R$1887&gt;VAL_DATE)=0,"",'Dvd Calendar'!$R$1887*1000000000+ISNUMBER('Dvd Calendar'!$R$1888)*100000000+0*10000000+(N('Dvd Calendar'!$R$1886)&gt;0)*(N('Dvd Calendar'!$R$1886)&lt;=VAL_SERIAL)*1000000+30*1000+54))</f>
        <v/>
      </c>
      <c r="GG189" s="35">
        <f>IF(N('Dvd Calendar'!$S$1887)=0,"",IF(('Dvd Calendar'!$S$1887&gt;=GRID_FROM)*('Dvd Calendar'!$S$1887&lt;=GRID_TO)*('Dvd Calendar'!$S$1887&gt;VAL_DATE)=0,"",'Dvd Calendar'!$S$1887*1000000000+ISNUMBER('Dvd Calendar'!$S$1888)*100000000+0*10000000+(N('Dvd Calendar'!$S$1886)&gt;0)*(N('Dvd Calendar'!$S$1886)&lt;=VAL_SERIAL)*1000000+30*1000+55))</f>
        <v/>
      </c>
      <c r="GH189" s="35">
        <f>IF(N('Dvd Calendar'!$T$1887)=0,"",IF(('Dvd Calendar'!$T$1887&gt;=GRID_FROM)*('Dvd Calendar'!$T$1887&lt;=GRID_TO)*('Dvd Calendar'!$T$1887&gt;VAL_DATE)=0,"",'Dvd Calendar'!$T$1887*1000000000+ISNUMBER('Dvd Calendar'!$T$1888)*100000000+0*10000000+(N('Dvd Calendar'!$T$1886)&gt;0)*(N('Dvd Calendar'!$T$1886)&lt;=VAL_SERIAL)*1000000+30*1000+56))</f>
        <v/>
      </c>
      <c r="GI189" s="35">
        <f>IF(N('Dvd Calendar'!$U$1887)=0,"",IF(('Dvd Calendar'!$U$1887&gt;=GRID_FROM)*('Dvd Calendar'!$U$1887&lt;=GRID_TO)*('Dvd Calendar'!$U$1887&gt;VAL_DATE)=0,"",'Dvd Calendar'!$U$1887*1000000000+ISNUMBER('Dvd Calendar'!$U$1888)*100000000+0*10000000+(N('Dvd Calendar'!$U$1886)&gt;0)*(N('Dvd Calendar'!$U$1886)&lt;=VAL_SERIAL)*1000000+30*1000+57))</f>
        <v/>
      </c>
      <c r="GJ189" s="35">
        <f>IF(N('Dvd Calendar'!$V$1887)=0,"",IF(('Dvd Calendar'!$V$1887&gt;=GRID_FROM)*('Dvd Calendar'!$V$1887&lt;=GRID_TO)*('Dvd Calendar'!$V$1887&gt;VAL_DATE)=0,"",'Dvd Calendar'!$V$1887*1000000000+ISNUMBER('Dvd Calendar'!$V$1888)*100000000+0*10000000+(N('Dvd Calendar'!$V$1886)&gt;0)*(N('Dvd Calendar'!$V$1886)&lt;=VAL_SERIAL)*1000000+30*1000+58))</f>
        <v/>
      </c>
      <c r="GK189" s="35">
        <f>IF(N('Dvd Calendar'!$W$1887)=0,"",IF(('Dvd Calendar'!$W$1887&gt;=GRID_FROM)*('Dvd Calendar'!$W$1887&lt;=GRID_TO)*('Dvd Calendar'!$W$1887&gt;VAL_DATE)=0,"",'Dvd Calendar'!$W$1887*1000000000+ISNUMBER('Dvd Calendar'!$W$1888)*100000000+0*10000000+(N('Dvd Calendar'!$W$1886)&gt;0)*(N('Dvd Calendar'!$W$1886)&lt;=VAL_SERIAL)*1000000+30*1000+59))</f>
        <v/>
      </c>
      <c r="GL189" s="35">
        <f>IF(N('Dvd Calendar'!$X$1887)=0,"",IF(('Dvd Calendar'!$X$1887&gt;=GRID_FROM)*('Dvd Calendar'!$X$1887&lt;=GRID_TO)*('Dvd Calendar'!$X$1887&gt;VAL_DATE)=0,"",'Dvd Calendar'!$X$1887*1000000000+ISNUMBER('Dvd Calendar'!$X$1888)*100000000+0*10000000+(N('Dvd Calendar'!$X$1886)&gt;0)*(N('Dvd Calendar'!$X$1886)&lt;=VAL_SERIAL)*1000000+30*1000+60))</f>
        <v/>
      </c>
      <c r="GM189" s="35">
        <f>IF(N('Dvd Calendar'!$Y$1887)=0,"",IF(('Dvd Calendar'!$Y$1887&gt;=GRID_FROM)*('Dvd Calendar'!$Y$1887&lt;=GRID_TO)*('Dvd Calendar'!$Y$1887&gt;VAL_DATE)=0,"",'Dvd Calendar'!$Y$1887*1000000000+ISNUMBER('Dvd Calendar'!$Y$1888)*100000000+0*10000000+(N('Dvd Calendar'!$Y$1886)&gt;0)*(N('Dvd Calendar'!$Y$1886)&lt;=VAL_SERIAL)*1000000+30*1000+61))</f>
        <v/>
      </c>
      <c r="GN189" s="35">
        <f>IF(N('Dvd Calendar'!$Z$1887)=0,"",IF(('Dvd Calendar'!$Z$1887&gt;=GRID_FROM)*('Dvd Calendar'!$Z$1887&lt;=GRID_TO)*('Dvd Calendar'!$Z$1887&gt;VAL_DATE)=0,"",'Dvd Calendar'!$Z$1887*1000000000+ISNUMBER('Dvd Calendar'!$Z$1888)*100000000+0*10000000+(N('Dvd Calendar'!$Z$1886)&gt;0)*(N('Dvd Calendar'!$Z$1886)&lt;=VAL_SERIAL)*1000000+30*1000+62))</f>
        <v/>
      </c>
      <c r="GO189" s="35">
        <f>IF(N('Dvd Calendar'!$AA$1887)=0,"",IF(('Dvd Calendar'!$AA$1887&gt;=GRID_FROM)*('Dvd Calendar'!$AA$1887&lt;=GRID_TO)*('Dvd Calendar'!$AA$1887&gt;VAL_DATE)=0,"",'Dvd Calendar'!$AA$1887*1000000000+ISNUMBER('Dvd Calendar'!$AA$1888)*100000000+0*10000000+(N('Dvd Calendar'!$AA$1886)&gt;0)*(N('Dvd Calendar'!$AA$1886)&lt;=VAL_SERIAL)*1000000+30*1000+63))</f>
        <v/>
      </c>
      <c r="GP189" s="35">
        <f>IF(N('Dvd Calendar'!$AB$1887)=0,"",IF(('Dvd Calendar'!$AB$1887&gt;=GRID_FROM)*('Dvd Calendar'!$AB$1887&lt;=GRID_TO)*('Dvd Calendar'!$AB$1887&gt;VAL_DATE)=0,"",'Dvd Calendar'!$AB$1887*1000000000+ISNUMBER('Dvd Calendar'!$AB$1888)*100000000+0*10000000+(N('Dvd Calendar'!$AB$1886)&gt;0)*(N('Dvd Calendar'!$AB$1886)&lt;=VAL_SERIAL)*1000000+30*1000+64))</f>
        <v/>
      </c>
      <c r="GQ189" s="35">
        <f>IF(N('Dvd Calendar'!$AC$1887)=0,"",IF(('Dvd Calendar'!$AC$1887&gt;=GRID_FROM)*('Dvd Calendar'!$AC$1887&lt;=GRID_TO)*('Dvd Calendar'!$AC$1887&gt;VAL_DATE)=0,"",'Dvd Calendar'!$AC$1887*1000000000+ISNUMBER('Dvd Calendar'!$AC$1888)*100000000+0*10000000+(N('Dvd Calendar'!$AC$1886)&gt;0)*(N('Dvd Calendar'!$AC$1886)&lt;=VAL_SERIAL)*1000000+30*1000+65))</f>
        <v/>
      </c>
    </row>
    <row r="190">
      <c r="B190" s="2">
        <f>IF(HSCEI!$C$37="","",HSCEI!$C$37)</f>
        <v/>
      </c>
      <c r="C190" s="106">
        <f>IF(EE190="","",IF(ISNUMBER('Dvd Calendar'!$E$1894)=FALSE,"",IF((('Dvd Calendar'!$E$1896=TYPE1)*(TYPE1&lt;&gt;"")+('Dvd Calendar'!$E$1896=TYPE2)*(TYPE2&lt;&gt;"")+('Dvd Calendar'!$E$1896=TYPE3)*(TYPE3&lt;&gt;"")+('Dvd Calendar'!$E$1896=TYPE4)*(TYPE4&lt;&gt;"")+('Dvd Calendar'!$E$1896=SPECIAL_LBL)*(INC_SPECIALS="Y"))=0,"",'Dvd Calendar'!$E$1894)))</f>
        <v/>
      </c>
      <c r="D190" s="106">
        <f>IF(EF190="","",IF(ISNUMBER('Dvd Calendar'!$F$1894)=FALSE,"",IF((('Dvd Calendar'!$F$1896=TYPE1)*(TYPE1&lt;&gt;"")+('Dvd Calendar'!$F$1896=TYPE2)*(TYPE2&lt;&gt;"")+('Dvd Calendar'!$F$1896=TYPE3)*(TYPE3&lt;&gt;"")+('Dvd Calendar'!$F$1896=TYPE4)*(TYPE4&lt;&gt;"")+('Dvd Calendar'!$F$1896=SPECIAL_LBL)*(INC_SPECIALS="Y"))=0,"",'Dvd Calendar'!$F$1894)))</f>
        <v/>
      </c>
      <c r="E190" s="106">
        <f>IF(EG190="","",IF(ISNUMBER('Dvd Calendar'!$G$1894)=FALSE,"",IF((('Dvd Calendar'!$G$1896=TYPE1)*(TYPE1&lt;&gt;"")+('Dvd Calendar'!$G$1896=TYPE2)*(TYPE2&lt;&gt;"")+('Dvd Calendar'!$G$1896=TYPE3)*(TYPE3&lt;&gt;"")+('Dvd Calendar'!$G$1896=TYPE4)*(TYPE4&lt;&gt;"")+('Dvd Calendar'!$G$1896=SPECIAL_LBL)*(INC_SPECIALS="Y"))=0,"",'Dvd Calendar'!$G$1894)))</f>
        <v/>
      </c>
      <c r="F190" s="106">
        <f>IF(EH190="","",IF(ISNUMBER('Dvd Calendar'!$H$1894)=FALSE,"",IF((('Dvd Calendar'!$H$1896=TYPE1)*(TYPE1&lt;&gt;"")+('Dvd Calendar'!$H$1896=TYPE2)*(TYPE2&lt;&gt;"")+('Dvd Calendar'!$H$1896=TYPE3)*(TYPE3&lt;&gt;"")+('Dvd Calendar'!$H$1896=TYPE4)*(TYPE4&lt;&gt;"")+('Dvd Calendar'!$H$1896=SPECIAL_LBL)*(INC_SPECIALS="Y"))=0,"",'Dvd Calendar'!$H$1894)))</f>
        <v/>
      </c>
      <c r="G190" s="106">
        <f>IF(EI190="","",IF(ISNUMBER('Dvd Calendar'!$I$1894)=FALSE,"",IF((('Dvd Calendar'!$I$1896=TYPE1)*(TYPE1&lt;&gt;"")+('Dvd Calendar'!$I$1896=TYPE2)*(TYPE2&lt;&gt;"")+('Dvd Calendar'!$I$1896=TYPE3)*(TYPE3&lt;&gt;"")+('Dvd Calendar'!$I$1896=TYPE4)*(TYPE4&lt;&gt;"")+('Dvd Calendar'!$I$1896=SPECIAL_LBL)*(INC_SPECIALS="Y"))=0,"",'Dvd Calendar'!$I$1894)))</f>
        <v/>
      </c>
      <c r="H190" s="106">
        <f>IF(EJ190="","",IF(ISNUMBER('Dvd Calendar'!$J$1894)=FALSE,"",IF((('Dvd Calendar'!$J$1896=TYPE1)*(TYPE1&lt;&gt;"")+('Dvd Calendar'!$J$1896=TYPE2)*(TYPE2&lt;&gt;"")+('Dvd Calendar'!$J$1896=TYPE3)*(TYPE3&lt;&gt;"")+('Dvd Calendar'!$J$1896=TYPE4)*(TYPE4&lt;&gt;"")+('Dvd Calendar'!$J$1896=SPECIAL_LBL)*(INC_SPECIALS="Y"))=0,"",'Dvd Calendar'!$J$1894)))</f>
        <v/>
      </c>
      <c r="I190" s="106">
        <f>IF(EK190="","",IF(ISNUMBER('Dvd Calendar'!$K$1894)=FALSE,"",IF((('Dvd Calendar'!$K$1896=TYPE1)*(TYPE1&lt;&gt;"")+('Dvd Calendar'!$K$1896=TYPE2)*(TYPE2&lt;&gt;"")+('Dvd Calendar'!$K$1896=TYPE3)*(TYPE3&lt;&gt;"")+('Dvd Calendar'!$K$1896=TYPE4)*(TYPE4&lt;&gt;"")+('Dvd Calendar'!$K$1896=SPECIAL_LBL)*(INC_SPECIALS="Y"))=0,"",'Dvd Calendar'!$K$1894)))</f>
        <v/>
      </c>
      <c r="J190" s="106">
        <f>IF(EL190="","",IF(ISNUMBER('Dvd Calendar'!$L$1894)=FALSE,"",IF((('Dvd Calendar'!$L$1896=TYPE1)*(TYPE1&lt;&gt;"")+('Dvd Calendar'!$L$1896=TYPE2)*(TYPE2&lt;&gt;"")+('Dvd Calendar'!$L$1896=TYPE3)*(TYPE3&lt;&gt;"")+('Dvd Calendar'!$L$1896=TYPE4)*(TYPE4&lt;&gt;"")+('Dvd Calendar'!$L$1896=SPECIAL_LBL)*(INC_SPECIALS="Y"))=0,"",'Dvd Calendar'!$L$1894)))</f>
        <v/>
      </c>
      <c r="K190" s="106">
        <f>IF(EM190="","",IF(ISNUMBER('Dvd Calendar'!$M$1894)=FALSE,"",IF((('Dvd Calendar'!$M$1896=TYPE1)*(TYPE1&lt;&gt;"")+('Dvd Calendar'!$M$1896=TYPE2)*(TYPE2&lt;&gt;"")+('Dvd Calendar'!$M$1896=TYPE3)*(TYPE3&lt;&gt;"")+('Dvd Calendar'!$M$1896=TYPE4)*(TYPE4&lt;&gt;"")+('Dvd Calendar'!$M$1896=SPECIAL_LBL)*(INC_SPECIALS="Y"))=0,"",'Dvd Calendar'!$M$1894)))</f>
        <v/>
      </c>
      <c r="L190" s="106">
        <f>IF(EN190="","",IF(ISNUMBER('Dvd Calendar'!$N$1894)=FALSE,"",IF((('Dvd Calendar'!$N$1896=TYPE1)*(TYPE1&lt;&gt;"")+('Dvd Calendar'!$N$1896=TYPE2)*(TYPE2&lt;&gt;"")+('Dvd Calendar'!$N$1896=TYPE3)*(TYPE3&lt;&gt;"")+('Dvd Calendar'!$N$1896=TYPE4)*(TYPE4&lt;&gt;"")+('Dvd Calendar'!$N$1896=SPECIAL_LBL)*(INC_SPECIALS="Y"))=0,"",'Dvd Calendar'!$N$1894)))</f>
        <v/>
      </c>
      <c r="M190" s="106">
        <f>IF(EO190="","",IF(ISNUMBER('Dvd Calendar'!$O$1894)=FALSE,"",IF((('Dvd Calendar'!$O$1896=TYPE1)*(TYPE1&lt;&gt;"")+('Dvd Calendar'!$O$1896=TYPE2)*(TYPE2&lt;&gt;"")+('Dvd Calendar'!$O$1896=TYPE3)*(TYPE3&lt;&gt;"")+('Dvd Calendar'!$O$1896=TYPE4)*(TYPE4&lt;&gt;"")+('Dvd Calendar'!$O$1896=SPECIAL_LBL)*(INC_SPECIALS="Y"))=0,"",'Dvd Calendar'!$O$1894)))</f>
        <v/>
      </c>
      <c r="N190" s="106">
        <f>IF(EP190="","",IF(ISNUMBER('Dvd Calendar'!$P$1894)=FALSE,"",IF((('Dvd Calendar'!$P$1896=TYPE1)*(TYPE1&lt;&gt;"")+('Dvd Calendar'!$P$1896=TYPE2)*(TYPE2&lt;&gt;"")+('Dvd Calendar'!$P$1896=TYPE3)*(TYPE3&lt;&gt;"")+('Dvd Calendar'!$P$1896=TYPE4)*(TYPE4&lt;&gt;"")+('Dvd Calendar'!$P$1896=SPECIAL_LBL)*(INC_SPECIALS="Y"))=0,"",'Dvd Calendar'!$P$1894)))</f>
        <v/>
      </c>
      <c r="O190" s="106">
        <f>IF(EQ190="","",IF(ISNUMBER('Dvd Calendar'!$Q$1894)=FALSE,"",IF((('Dvd Calendar'!$Q$1896=TYPE1)*(TYPE1&lt;&gt;"")+('Dvd Calendar'!$Q$1896=TYPE2)*(TYPE2&lt;&gt;"")+('Dvd Calendar'!$Q$1896=TYPE3)*(TYPE3&lt;&gt;"")+('Dvd Calendar'!$Q$1896=TYPE4)*(TYPE4&lt;&gt;"")+('Dvd Calendar'!$Q$1896=SPECIAL_LBL)*(INC_SPECIALS="Y"))=0,"",'Dvd Calendar'!$Q$1894)))</f>
        <v/>
      </c>
      <c r="P190" s="106">
        <f>IF(ER190="","",IF(ISNUMBER('Dvd Calendar'!$R$1894)=FALSE,"",IF((('Dvd Calendar'!$R$1896=TYPE1)*(TYPE1&lt;&gt;"")+('Dvd Calendar'!$R$1896=TYPE2)*(TYPE2&lt;&gt;"")+('Dvd Calendar'!$R$1896=TYPE3)*(TYPE3&lt;&gt;"")+('Dvd Calendar'!$R$1896=TYPE4)*(TYPE4&lt;&gt;"")+('Dvd Calendar'!$R$1896=SPECIAL_LBL)*(INC_SPECIALS="Y"))=0,"",'Dvd Calendar'!$R$1894)))</f>
        <v/>
      </c>
      <c r="Q190" s="106">
        <f>IF(ES190="","",IF(ISNUMBER('Dvd Calendar'!$S$1894)=FALSE,"",IF((('Dvd Calendar'!$S$1896=TYPE1)*(TYPE1&lt;&gt;"")+('Dvd Calendar'!$S$1896=TYPE2)*(TYPE2&lt;&gt;"")+('Dvd Calendar'!$S$1896=TYPE3)*(TYPE3&lt;&gt;"")+('Dvd Calendar'!$S$1896=TYPE4)*(TYPE4&lt;&gt;"")+('Dvd Calendar'!$S$1896=SPECIAL_LBL)*(INC_SPECIALS="Y"))=0,"",'Dvd Calendar'!$S$1894)))</f>
        <v/>
      </c>
      <c r="R190" s="106">
        <f>IF(ET190="","",IF(ISNUMBER('Dvd Calendar'!$T$1894)=FALSE,"",IF((('Dvd Calendar'!$T$1896=TYPE1)*(TYPE1&lt;&gt;"")+('Dvd Calendar'!$T$1896=TYPE2)*(TYPE2&lt;&gt;"")+('Dvd Calendar'!$T$1896=TYPE3)*(TYPE3&lt;&gt;"")+('Dvd Calendar'!$T$1896=TYPE4)*(TYPE4&lt;&gt;"")+('Dvd Calendar'!$T$1896=SPECIAL_LBL)*(INC_SPECIALS="Y"))=0,"",'Dvd Calendar'!$T$1894)))</f>
        <v/>
      </c>
      <c r="S190" s="106">
        <f>IF(EU190="","",IF(ISNUMBER('Dvd Calendar'!$U$1894)=FALSE,"",IF((('Dvd Calendar'!$U$1896=TYPE1)*(TYPE1&lt;&gt;"")+('Dvd Calendar'!$U$1896=TYPE2)*(TYPE2&lt;&gt;"")+('Dvd Calendar'!$U$1896=TYPE3)*(TYPE3&lt;&gt;"")+('Dvd Calendar'!$U$1896=TYPE4)*(TYPE4&lt;&gt;"")+('Dvd Calendar'!$U$1896=SPECIAL_LBL)*(INC_SPECIALS="Y"))=0,"",'Dvd Calendar'!$U$1894)))</f>
        <v/>
      </c>
      <c r="T190" s="106">
        <f>IF(EV190="","",IF(ISNUMBER('Dvd Calendar'!$V$1894)=FALSE,"",IF((('Dvd Calendar'!$V$1896=TYPE1)*(TYPE1&lt;&gt;"")+('Dvd Calendar'!$V$1896=TYPE2)*(TYPE2&lt;&gt;"")+('Dvd Calendar'!$V$1896=TYPE3)*(TYPE3&lt;&gt;"")+('Dvd Calendar'!$V$1896=TYPE4)*(TYPE4&lt;&gt;"")+('Dvd Calendar'!$V$1896=SPECIAL_LBL)*(INC_SPECIALS="Y"))=0,"",'Dvd Calendar'!$V$1894)))</f>
        <v/>
      </c>
      <c r="U190" s="106">
        <f>IF(EW190="","",IF(ISNUMBER('Dvd Calendar'!$W$1894)=FALSE,"",IF((('Dvd Calendar'!$W$1896=TYPE1)*(TYPE1&lt;&gt;"")+('Dvd Calendar'!$W$1896=TYPE2)*(TYPE2&lt;&gt;"")+('Dvd Calendar'!$W$1896=TYPE3)*(TYPE3&lt;&gt;"")+('Dvd Calendar'!$W$1896=TYPE4)*(TYPE4&lt;&gt;"")+('Dvd Calendar'!$W$1896=SPECIAL_LBL)*(INC_SPECIALS="Y"))=0,"",'Dvd Calendar'!$W$1894)))</f>
        <v/>
      </c>
      <c r="V190" s="106">
        <f>IF(EX190="","",IF(ISNUMBER('Dvd Calendar'!$X$1894)=FALSE,"",IF((('Dvd Calendar'!$X$1896=TYPE1)*(TYPE1&lt;&gt;"")+('Dvd Calendar'!$X$1896=TYPE2)*(TYPE2&lt;&gt;"")+('Dvd Calendar'!$X$1896=TYPE3)*(TYPE3&lt;&gt;"")+('Dvd Calendar'!$X$1896=TYPE4)*(TYPE4&lt;&gt;"")+('Dvd Calendar'!$X$1896=SPECIAL_LBL)*(INC_SPECIALS="Y"))=0,"",'Dvd Calendar'!$X$1894)))</f>
        <v/>
      </c>
      <c r="W190" s="106">
        <f>IF(EY190="","",IF(ISNUMBER('Dvd Calendar'!$Y$1894)=FALSE,"",IF((('Dvd Calendar'!$Y$1896=TYPE1)*(TYPE1&lt;&gt;"")+('Dvd Calendar'!$Y$1896=TYPE2)*(TYPE2&lt;&gt;"")+('Dvd Calendar'!$Y$1896=TYPE3)*(TYPE3&lt;&gt;"")+('Dvd Calendar'!$Y$1896=TYPE4)*(TYPE4&lt;&gt;"")+('Dvd Calendar'!$Y$1896=SPECIAL_LBL)*(INC_SPECIALS="Y"))=0,"",'Dvd Calendar'!$Y$1894)))</f>
        <v/>
      </c>
      <c r="X190" s="106">
        <f>IF(EZ190="","",IF(ISNUMBER('Dvd Calendar'!$Z$1894)=FALSE,"",IF((('Dvd Calendar'!$Z$1896=TYPE1)*(TYPE1&lt;&gt;"")+('Dvd Calendar'!$Z$1896=TYPE2)*(TYPE2&lt;&gt;"")+('Dvd Calendar'!$Z$1896=TYPE3)*(TYPE3&lt;&gt;"")+('Dvd Calendar'!$Z$1896=TYPE4)*(TYPE4&lt;&gt;"")+('Dvd Calendar'!$Z$1896=SPECIAL_LBL)*(INC_SPECIALS="Y"))=0,"",'Dvd Calendar'!$Z$1894)))</f>
        <v/>
      </c>
      <c r="Y190" s="106">
        <f>IF(FA190="","",IF(ISNUMBER('Dvd Calendar'!$AA$1894)=FALSE,"",IF((('Dvd Calendar'!$AA$1896=TYPE1)*(TYPE1&lt;&gt;"")+('Dvd Calendar'!$AA$1896=TYPE2)*(TYPE2&lt;&gt;"")+('Dvd Calendar'!$AA$1896=TYPE3)*(TYPE3&lt;&gt;"")+('Dvd Calendar'!$AA$1896=TYPE4)*(TYPE4&lt;&gt;"")+('Dvd Calendar'!$AA$1896=SPECIAL_LBL)*(INC_SPECIALS="Y"))=0,"",'Dvd Calendar'!$AA$1894)))</f>
        <v/>
      </c>
      <c r="Z190" s="106">
        <f>IF(FB190="","",IF(ISNUMBER('Dvd Calendar'!$AB$1894)=FALSE,"",IF((('Dvd Calendar'!$AB$1896=TYPE1)*(TYPE1&lt;&gt;"")+('Dvd Calendar'!$AB$1896=TYPE2)*(TYPE2&lt;&gt;"")+('Dvd Calendar'!$AB$1896=TYPE3)*(TYPE3&lt;&gt;"")+('Dvd Calendar'!$AB$1896=TYPE4)*(TYPE4&lt;&gt;"")+('Dvd Calendar'!$AB$1896=SPECIAL_LBL)*(INC_SPECIALS="Y"))=0,"",'Dvd Calendar'!$AB$1894)))</f>
        <v/>
      </c>
      <c r="AA190" s="106">
        <f>IF(FC190="","",IF(ISNUMBER('Dvd Calendar'!$AC$1894)=FALSE,"",IF((('Dvd Calendar'!$AC$1896=TYPE1)*(TYPE1&lt;&gt;"")+('Dvd Calendar'!$AC$1896=TYPE2)*(TYPE2&lt;&gt;"")+('Dvd Calendar'!$AC$1896=TYPE3)*(TYPE3&lt;&gt;"")+('Dvd Calendar'!$AC$1896=TYPE4)*(TYPE4&lt;&gt;"")+('Dvd Calendar'!$AC$1896=SPECIAL_LBL)*(INC_SPECIALS="Y"))=0,"",'Dvd Calendar'!$AC$1894)))</f>
        <v/>
      </c>
      <c r="AB190" s="106">
        <f>IF(FD190="","",IF(ISNUMBER('Dvd Calendar'!$AD$1894)=FALSE,"",IF((('Dvd Calendar'!$AD$1896=TYPE1)*(TYPE1&lt;&gt;"")+('Dvd Calendar'!$AD$1896=TYPE2)*(TYPE2&lt;&gt;"")+('Dvd Calendar'!$AD$1896=TYPE3)*(TYPE3&lt;&gt;"")+('Dvd Calendar'!$AD$1896=TYPE4)*(TYPE4&lt;&gt;"")+('Dvd Calendar'!$AD$1896=SPECIAL_LBL)*(INC_SPECIALS="Y"))=0,"",'Dvd Calendar'!$AD$1894)))</f>
        <v/>
      </c>
      <c r="AC190" s="106">
        <f>IF(FE190="","",IF(ISNUMBER('Dvd Calendar'!$AE$1894)=FALSE,"",IF((('Dvd Calendar'!$AE$1896=TYPE1)*(TYPE1&lt;&gt;"")+('Dvd Calendar'!$AE$1896=TYPE2)*(TYPE2&lt;&gt;"")+('Dvd Calendar'!$AE$1896=TYPE3)*(TYPE3&lt;&gt;"")+('Dvd Calendar'!$AE$1896=TYPE4)*(TYPE4&lt;&gt;"")+('Dvd Calendar'!$AE$1896=SPECIAL_LBL)*(INC_SPECIALS="Y"))=0,"",'Dvd Calendar'!$AE$1894)))</f>
        <v/>
      </c>
      <c r="AD190" s="106">
        <f>IF(FF190="","",IF(ISNUMBER('Dvd Calendar'!$AF$1894)=FALSE,"",IF((('Dvd Calendar'!$AF$1896=TYPE1)*(TYPE1&lt;&gt;"")+('Dvd Calendar'!$AF$1896=TYPE2)*(TYPE2&lt;&gt;"")+('Dvd Calendar'!$AF$1896=TYPE3)*(TYPE3&lt;&gt;"")+('Dvd Calendar'!$AF$1896=TYPE4)*(TYPE4&lt;&gt;"")+('Dvd Calendar'!$AF$1896=SPECIAL_LBL)*(INC_SPECIALS="Y"))=0,"",'Dvd Calendar'!$AF$1894)))</f>
        <v/>
      </c>
      <c r="AE190" s="106">
        <f>IF(FG190="","",IF(ISNUMBER('Dvd Calendar'!$AG$1894)=FALSE,"",IF((('Dvd Calendar'!$AG$1896=TYPE1)*(TYPE1&lt;&gt;"")+('Dvd Calendar'!$AG$1896=TYPE2)*(TYPE2&lt;&gt;"")+('Dvd Calendar'!$AG$1896=TYPE3)*(TYPE3&lt;&gt;"")+('Dvd Calendar'!$AG$1896=TYPE4)*(TYPE4&lt;&gt;"")+('Dvd Calendar'!$AG$1896=SPECIAL_LBL)*(INC_SPECIALS="Y"))=0,"",'Dvd Calendar'!$AG$1894)))</f>
        <v/>
      </c>
      <c r="AF190" s="106">
        <f>IF(FH190="","",IF(ISNUMBER('Dvd Calendar'!$AH$1894)=FALSE,"",IF((('Dvd Calendar'!$AH$1896=TYPE1)*(TYPE1&lt;&gt;"")+('Dvd Calendar'!$AH$1896=TYPE2)*(TYPE2&lt;&gt;"")+('Dvd Calendar'!$AH$1896=TYPE3)*(TYPE3&lt;&gt;"")+('Dvd Calendar'!$AH$1896=TYPE4)*(TYPE4&lt;&gt;"")+('Dvd Calendar'!$AH$1896=SPECIAL_LBL)*(INC_SPECIALS="Y"))=0,"",'Dvd Calendar'!$AH$1894)))</f>
        <v/>
      </c>
      <c r="AG190" s="106">
        <f>IF(FI190="","",IF(ISNUMBER('Dvd Calendar'!$AI$1894)=FALSE,"",IF((('Dvd Calendar'!$AI$1896=TYPE1)*(TYPE1&lt;&gt;"")+('Dvd Calendar'!$AI$1896=TYPE2)*(TYPE2&lt;&gt;"")+('Dvd Calendar'!$AI$1896=TYPE3)*(TYPE3&lt;&gt;"")+('Dvd Calendar'!$AI$1896=TYPE4)*(TYPE4&lt;&gt;"")+('Dvd Calendar'!$AI$1896=SPECIAL_LBL)*(INC_SPECIALS="Y"))=0,"",'Dvd Calendar'!$AI$1894)))</f>
        <v/>
      </c>
      <c r="AH190" s="106">
        <f>IF(FJ190="","",IF(ISNUMBER('Dvd Calendar'!$AJ$1894)=FALSE,"",IF((('Dvd Calendar'!$AJ$1896=TYPE1)*(TYPE1&lt;&gt;"")+('Dvd Calendar'!$AJ$1896=TYPE2)*(TYPE2&lt;&gt;"")+('Dvd Calendar'!$AJ$1896=TYPE3)*(TYPE3&lt;&gt;"")+('Dvd Calendar'!$AJ$1896=TYPE4)*(TYPE4&lt;&gt;"")+('Dvd Calendar'!$AJ$1896=SPECIAL_LBL)*(INC_SPECIALS="Y"))=0,"",'Dvd Calendar'!$AJ$1894)))</f>
        <v/>
      </c>
      <c r="AI190" s="106">
        <f>IF(FK190="","",IF(ISNUMBER('Dvd Calendar'!$AK$1894)=FALSE,"",IF((('Dvd Calendar'!$AK$1896=TYPE1)*(TYPE1&lt;&gt;"")+('Dvd Calendar'!$AK$1896=TYPE2)*(TYPE2&lt;&gt;"")+('Dvd Calendar'!$AK$1896=TYPE3)*(TYPE3&lt;&gt;"")+('Dvd Calendar'!$AK$1896=TYPE4)*(TYPE4&lt;&gt;"")+('Dvd Calendar'!$AK$1896=SPECIAL_LBL)*(INC_SPECIALS="Y"))=0,"",'Dvd Calendar'!$AK$1894)))</f>
        <v/>
      </c>
      <c r="AJ190" s="106">
        <f>IF(FL190="","",IF(ISNUMBER('Dvd Calendar'!$AL$1894)=FALSE,"",IF((('Dvd Calendar'!$AL$1896=TYPE1)*(TYPE1&lt;&gt;"")+('Dvd Calendar'!$AL$1896=TYPE2)*(TYPE2&lt;&gt;"")+('Dvd Calendar'!$AL$1896=TYPE3)*(TYPE3&lt;&gt;"")+('Dvd Calendar'!$AL$1896=TYPE4)*(TYPE4&lt;&gt;"")+('Dvd Calendar'!$AL$1896=SPECIAL_LBL)*(INC_SPECIALS="Y"))=0,"",'Dvd Calendar'!$AL$1894)))</f>
        <v/>
      </c>
      <c r="AK190" s="106">
        <f>IF(FM190="","",IF(ISNUMBER('Dvd Calendar'!$AM$1894)=FALSE,"",IF((('Dvd Calendar'!$AM$1896=TYPE1)*(TYPE1&lt;&gt;"")+('Dvd Calendar'!$AM$1896=TYPE2)*(TYPE2&lt;&gt;"")+('Dvd Calendar'!$AM$1896=TYPE3)*(TYPE3&lt;&gt;"")+('Dvd Calendar'!$AM$1896=TYPE4)*(TYPE4&lt;&gt;"")+('Dvd Calendar'!$AM$1896=SPECIAL_LBL)*(INC_SPECIALS="Y"))=0,"",'Dvd Calendar'!$AM$1894)))</f>
        <v/>
      </c>
      <c r="AL190" s="106">
        <f>IF(FN190="","",IF(ISNUMBER('Dvd Calendar'!$AN$1894)=FALSE,"",IF((('Dvd Calendar'!$AN$1896=TYPE1)*(TYPE1&lt;&gt;"")+('Dvd Calendar'!$AN$1896=TYPE2)*(TYPE2&lt;&gt;"")+('Dvd Calendar'!$AN$1896=TYPE3)*(TYPE3&lt;&gt;"")+('Dvd Calendar'!$AN$1896=TYPE4)*(TYPE4&lt;&gt;"")+('Dvd Calendar'!$AN$1896=SPECIAL_LBL)*(INC_SPECIALS="Y"))=0,"",'Dvd Calendar'!$AN$1894)))</f>
        <v/>
      </c>
      <c r="AM190" s="106">
        <f>IF(FO190="","",IF(ISNUMBER('Dvd Calendar'!$AO$1894)=FALSE,"",IF((('Dvd Calendar'!$AO$1896=TYPE1)*(TYPE1&lt;&gt;"")+('Dvd Calendar'!$AO$1896=TYPE2)*(TYPE2&lt;&gt;"")+('Dvd Calendar'!$AO$1896=TYPE3)*(TYPE3&lt;&gt;"")+('Dvd Calendar'!$AO$1896=TYPE4)*(TYPE4&lt;&gt;"")+('Dvd Calendar'!$AO$1896=SPECIAL_LBL)*(INC_SPECIALS="Y"))=0,"",'Dvd Calendar'!$AO$1894)))</f>
        <v/>
      </c>
      <c r="AN190" s="106">
        <f>IF(FP190="","",IF(ISNUMBER('Dvd Calendar'!$AP$1894)=FALSE,"",IF((('Dvd Calendar'!$AP$1896=TYPE1)*(TYPE1&lt;&gt;"")+('Dvd Calendar'!$AP$1896=TYPE2)*(TYPE2&lt;&gt;"")+('Dvd Calendar'!$AP$1896=TYPE3)*(TYPE3&lt;&gt;"")+('Dvd Calendar'!$AP$1896=TYPE4)*(TYPE4&lt;&gt;"")+('Dvd Calendar'!$AP$1896=SPECIAL_LBL)*(INC_SPECIALS="Y"))=0,"",'Dvd Calendar'!$AP$1894)))</f>
        <v/>
      </c>
      <c r="AO190" s="106">
        <f>IF(FQ190="","",IF(ISNUMBER('Dvd Calendar'!$AQ$1894)=FALSE,"",IF((('Dvd Calendar'!$AQ$1896=TYPE1)*(TYPE1&lt;&gt;"")+('Dvd Calendar'!$AQ$1896=TYPE2)*(TYPE2&lt;&gt;"")+('Dvd Calendar'!$AQ$1896=TYPE3)*(TYPE3&lt;&gt;"")+('Dvd Calendar'!$AQ$1896=TYPE4)*(TYPE4&lt;&gt;"")+('Dvd Calendar'!$AQ$1896=SPECIAL_LBL)*(INC_SPECIALS="Y"))=0,"",'Dvd Calendar'!$AQ$1894)))</f>
        <v/>
      </c>
      <c r="AP190" s="106">
        <f>IF(FR190="","",IF(ISNUMBER('Dvd Calendar'!$AR$1894)=FALSE,"",IF((('Dvd Calendar'!$AR$1896=TYPE1)*(TYPE1&lt;&gt;"")+('Dvd Calendar'!$AR$1896=TYPE2)*(TYPE2&lt;&gt;"")+('Dvd Calendar'!$AR$1896=TYPE3)*(TYPE3&lt;&gt;"")+('Dvd Calendar'!$AR$1896=TYPE4)*(TYPE4&lt;&gt;"")+('Dvd Calendar'!$AR$1896=SPECIAL_LBL)*(INC_SPECIALS="Y"))=0,"",'Dvd Calendar'!$AR$1894)))</f>
        <v/>
      </c>
      <c r="AQ190" s="106">
        <f>IF(FS190="","",IF(ISNUMBER('Dvd Calendar'!$E$1899)=FALSE,"",'Dvd Calendar'!$E$1899))</f>
        <v/>
      </c>
      <c r="AR190" s="106">
        <f>IF(FT190="","",IF(ISNUMBER('Dvd Calendar'!$F$1899)=FALSE,"",'Dvd Calendar'!$F$1899))</f>
        <v/>
      </c>
      <c r="AS190" s="106">
        <f>IF(FU190="","",IF(ISNUMBER('Dvd Calendar'!$G$1899)=FALSE,"",'Dvd Calendar'!$G$1899))</f>
        <v/>
      </c>
      <c r="AT190" s="106">
        <f>IF(FV190="","",IF(ISNUMBER('Dvd Calendar'!$H$1899)=FALSE,"",'Dvd Calendar'!$H$1899))</f>
        <v/>
      </c>
      <c r="AU190" s="106">
        <f>IF(FW190="","",IF(ISNUMBER('Dvd Calendar'!$I$1899)=FALSE,"",'Dvd Calendar'!$I$1899))</f>
        <v/>
      </c>
      <c r="AV190" s="106">
        <f>IF(FX190="","",IF(ISNUMBER('Dvd Calendar'!$J$1899)=FALSE,"",'Dvd Calendar'!$J$1899))</f>
        <v/>
      </c>
      <c r="AW190" s="106">
        <f>IF(FY190="","",IF(ISNUMBER('Dvd Calendar'!$K$1899)=FALSE,"",'Dvd Calendar'!$K$1899))</f>
        <v/>
      </c>
      <c r="AX190" s="106">
        <f>IF(FZ190="","",IF(ISNUMBER('Dvd Calendar'!$L$1899)=FALSE,"",'Dvd Calendar'!$L$1899))</f>
        <v/>
      </c>
      <c r="AY190" s="106">
        <f>IF(GA190="","",IF(ISNUMBER('Dvd Calendar'!$M$1899)=FALSE,"",'Dvd Calendar'!$M$1899))</f>
        <v/>
      </c>
      <c r="AZ190" s="106">
        <f>IF(GB190="","",IF(ISNUMBER('Dvd Calendar'!$N$1899)=FALSE,"",'Dvd Calendar'!$N$1899))</f>
        <v/>
      </c>
      <c r="BA190" s="106">
        <f>IF(GC190="","",IF(ISNUMBER('Dvd Calendar'!$O$1899)=FALSE,"",'Dvd Calendar'!$O$1899))</f>
        <v/>
      </c>
      <c r="BB190" s="106">
        <f>IF(GD190="","",IF(ISNUMBER('Dvd Calendar'!$P$1899)=FALSE,"",'Dvd Calendar'!$P$1899))</f>
        <v/>
      </c>
      <c r="BC190" s="106">
        <f>IF(GE190="","",IF(ISNUMBER('Dvd Calendar'!$Q$1899)=FALSE,"",'Dvd Calendar'!$Q$1899))</f>
        <v/>
      </c>
      <c r="BD190" s="106">
        <f>IF(GF190="","",IF(ISNUMBER('Dvd Calendar'!$R$1899)=FALSE,"",'Dvd Calendar'!$R$1899))</f>
        <v/>
      </c>
      <c r="BE190" s="106">
        <f>IF(GG190="","",IF(ISNUMBER('Dvd Calendar'!$S$1899)=FALSE,"",'Dvd Calendar'!$S$1899))</f>
        <v/>
      </c>
      <c r="BF190" s="106">
        <f>IF(GH190="","",IF(ISNUMBER('Dvd Calendar'!$T$1899)=FALSE,"",'Dvd Calendar'!$T$1899))</f>
        <v/>
      </c>
      <c r="BG190" s="106">
        <f>IF(GI190="","",IF(ISNUMBER('Dvd Calendar'!$U$1899)=FALSE,"",'Dvd Calendar'!$U$1899))</f>
        <v/>
      </c>
      <c r="BH190" s="106">
        <f>IF(GJ190="","",IF(ISNUMBER('Dvd Calendar'!$V$1899)=FALSE,"",'Dvd Calendar'!$V$1899))</f>
        <v/>
      </c>
      <c r="BI190" s="106">
        <f>IF(GK190="","",IF(ISNUMBER('Dvd Calendar'!$W$1899)=FALSE,"",'Dvd Calendar'!$W$1899))</f>
        <v/>
      </c>
      <c r="BJ190" s="106">
        <f>IF(GL190="","",IF(ISNUMBER('Dvd Calendar'!$X$1899)=FALSE,"",'Dvd Calendar'!$X$1899))</f>
        <v/>
      </c>
      <c r="BK190" s="106">
        <f>IF(GM190="","",IF(ISNUMBER('Dvd Calendar'!$Y$1899)=FALSE,"",'Dvd Calendar'!$Y$1899))</f>
        <v/>
      </c>
      <c r="BL190" s="106">
        <f>IF(GN190="","",IF(ISNUMBER('Dvd Calendar'!$Z$1899)=FALSE,"",'Dvd Calendar'!$Z$1899))</f>
        <v/>
      </c>
      <c r="BM190" s="106">
        <f>IF(GO190="","",IF(ISNUMBER('Dvd Calendar'!$AA$1899)=FALSE,"",'Dvd Calendar'!$AA$1899))</f>
        <v/>
      </c>
      <c r="BN190" s="106">
        <f>IF(GP190="","",IF(ISNUMBER('Dvd Calendar'!$AB$1899)=FALSE,"",'Dvd Calendar'!$AB$1899))</f>
        <v/>
      </c>
      <c r="BO190" s="106">
        <f>IF(GQ190="","",IF(ISNUMBER('Dvd Calendar'!$AC$1899)=FALSE,"",'Dvd Calendar'!$AC$1899))</f>
        <v/>
      </c>
      <c r="BQ190" s="106">
        <f>IF(C190="","",IFERROR(C190*HSCEI!$B$37*HSCEI!$G$37/HSCEI!$B$3,""))</f>
        <v/>
      </c>
      <c r="BR190" s="106">
        <f>IF(D190="","",IFERROR(D190*HSCEI!$B$37*HSCEI!$G$37/HSCEI!$B$3,""))</f>
        <v/>
      </c>
      <c r="BS190" s="106">
        <f>IF(E190="","",IFERROR(E190*HSCEI!$B$37*HSCEI!$G$37/HSCEI!$B$3,""))</f>
        <v/>
      </c>
      <c r="BT190" s="106">
        <f>IF(F190="","",IFERROR(F190*HSCEI!$B$37*HSCEI!$G$37/HSCEI!$B$3,""))</f>
        <v/>
      </c>
      <c r="BU190" s="106">
        <f>IF(G190="","",IFERROR(G190*HSCEI!$B$37*HSCEI!$G$37/HSCEI!$B$3,""))</f>
        <v/>
      </c>
      <c r="BV190" s="106">
        <f>IF(H190="","",IFERROR(H190*HSCEI!$B$37*HSCEI!$G$37/HSCEI!$B$3,""))</f>
        <v/>
      </c>
      <c r="BW190" s="106">
        <f>IF(I190="","",IFERROR(I190*HSCEI!$B$37*HSCEI!$G$37/HSCEI!$B$3,""))</f>
        <v/>
      </c>
      <c r="BX190" s="106">
        <f>IF(J190="","",IFERROR(J190*HSCEI!$B$37*HSCEI!$G$37/HSCEI!$B$3,""))</f>
        <v/>
      </c>
      <c r="BY190" s="106">
        <f>IF(K190="","",IFERROR(K190*HSCEI!$B$37*HSCEI!$G$37/HSCEI!$B$3,""))</f>
        <v/>
      </c>
      <c r="BZ190" s="106">
        <f>IF(L190="","",IFERROR(L190*HSCEI!$B$37*HSCEI!$G$37/HSCEI!$B$3,""))</f>
        <v/>
      </c>
      <c r="CA190" s="106">
        <f>IF(M190="","",IFERROR(M190*HSCEI!$B$37*HSCEI!$G$37/HSCEI!$B$3,""))</f>
        <v/>
      </c>
      <c r="CB190" s="106">
        <f>IF(N190="","",IFERROR(N190*HSCEI!$B$37*HSCEI!$G$37/HSCEI!$B$3,""))</f>
        <v/>
      </c>
      <c r="CC190" s="106">
        <f>IF(O190="","",IFERROR(O190*HSCEI!$B$37*HSCEI!$G$37/HSCEI!$B$3,""))</f>
        <v/>
      </c>
      <c r="CD190" s="106">
        <f>IF(P190="","",IFERROR(P190*HSCEI!$B$37*HSCEI!$G$37/HSCEI!$B$3,""))</f>
        <v/>
      </c>
      <c r="CE190" s="106">
        <f>IF(Q190="","",IFERROR(Q190*HSCEI!$B$37*HSCEI!$G$37/HSCEI!$B$3,""))</f>
        <v/>
      </c>
      <c r="CF190" s="106">
        <f>IF(R190="","",IFERROR(R190*HSCEI!$B$37*HSCEI!$G$37/HSCEI!$B$3,""))</f>
        <v/>
      </c>
      <c r="CG190" s="106">
        <f>IF(S190="","",IFERROR(S190*HSCEI!$B$37*HSCEI!$G$37/HSCEI!$B$3,""))</f>
        <v/>
      </c>
      <c r="CH190" s="106">
        <f>IF(T190="","",IFERROR(T190*HSCEI!$B$37*HSCEI!$G$37/HSCEI!$B$3,""))</f>
        <v/>
      </c>
      <c r="CI190" s="106">
        <f>IF(U190="","",IFERROR(U190*HSCEI!$B$37*HSCEI!$G$37/HSCEI!$B$3,""))</f>
        <v/>
      </c>
      <c r="CJ190" s="106">
        <f>IF(V190="","",IFERROR(V190*HSCEI!$B$37*HSCEI!$G$37/HSCEI!$B$3,""))</f>
        <v/>
      </c>
      <c r="CK190" s="106">
        <f>IF(W190="","",IFERROR(W190*HSCEI!$B$37*HSCEI!$G$37/HSCEI!$B$3,""))</f>
        <v/>
      </c>
      <c r="CL190" s="106">
        <f>IF(X190="","",IFERROR(X190*HSCEI!$B$37*HSCEI!$G$37/HSCEI!$B$3,""))</f>
        <v/>
      </c>
      <c r="CM190" s="106">
        <f>IF(Y190="","",IFERROR(Y190*HSCEI!$B$37*HSCEI!$G$37/HSCEI!$B$3,""))</f>
        <v/>
      </c>
      <c r="CN190" s="106">
        <f>IF(Z190="","",IFERROR(Z190*HSCEI!$B$37*HSCEI!$G$37/HSCEI!$B$3,""))</f>
        <v/>
      </c>
      <c r="CO190" s="106">
        <f>IF(AA190="","",IFERROR(AA190*HSCEI!$B$37*HSCEI!$G$37/HSCEI!$B$3,""))</f>
        <v/>
      </c>
      <c r="CP190" s="106">
        <f>IF(AB190="","",IFERROR(AB190*HSCEI!$B$37*HSCEI!$G$37/HSCEI!$B$3,""))</f>
        <v/>
      </c>
      <c r="CQ190" s="106">
        <f>IF(AC190="","",IFERROR(AC190*HSCEI!$B$37*HSCEI!$G$37/HSCEI!$B$3,""))</f>
        <v/>
      </c>
      <c r="CR190" s="106">
        <f>IF(AD190="","",IFERROR(AD190*HSCEI!$B$37*HSCEI!$G$37/HSCEI!$B$3,""))</f>
        <v/>
      </c>
      <c r="CS190" s="106">
        <f>IF(AE190="","",IFERROR(AE190*HSCEI!$B$37*HSCEI!$G$37/HSCEI!$B$3,""))</f>
        <v/>
      </c>
      <c r="CT190" s="106">
        <f>IF(AF190="","",IFERROR(AF190*HSCEI!$B$37*HSCEI!$G$37/HSCEI!$B$3,""))</f>
        <v/>
      </c>
      <c r="CU190" s="106">
        <f>IF(AG190="","",IFERROR(AG190*HSCEI!$B$37*HSCEI!$G$37/HSCEI!$B$3,""))</f>
        <v/>
      </c>
      <c r="CV190" s="106">
        <f>IF(AH190="","",IFERROR(AH190*HSCEI!$B$37*HSCEI!$G$37/HSCEI!$B$3,""))</f>
        <v/>
      </c>
      <c r="CW190" s="106">
        <f>IF(AI190="","",IFERROR(AI190*HSCEI!$B$37*HSCEI!$G$37/HSCEI!$B$3,""))</f>
        <v/>
      </c>
      <c r="CX190" s="106">
        <f>IF(AJ190="","",IFERROR(AJ190*HSCEI!$B$37*HSCEI!$G$37/HSCEI!$B$3,""))</f>
        <v/>
      </c>
      <c r="CY190" s="106">
        <f>IF(AK190="","",IFERROR(AK190*HSCEI!$B$37*HSCEI!$G$37/HSCEI!$B$3,""))</f>
        <v/>
      </c>
      <c r="CZ190" s="106">
        <f>IF(AL190="","",IFERROR(AL190*HSCEI!$B$37*HSCEI!$G$37/HSCEI!$B$3,""))</f>
        <v/>
      </c>
      <c r="DA190" s="106">
        <f>IF(AM190="","",IFERROR(AM190*HSCEI!$B$37*HSCEI!$G$37/HSCEI!$B$3,""))</f>
        <v/>
      </c>
      <c r="DB190" s="106">
        <f>IF(AN190="","",IFERROR(AN190*HSCEI!$B$37*HSCEI!$G$37/HSCEI!$B$3,""))</f>
        <v/>
      </c>
      <c r="DC190" s="106">
        <f>IF(AO190="","",IFERROR(AO190*HSCEI!$B$37*HSCEI!$G$37/HSCEI!$B$3,""))</f>
        <v/>
      </c>
      <c r="DD190" s="106">
        <f>IF(AP190="","",IFERROR(AP190*HSCEI!$B$37*HSCEI!$G$37/HSCEI!$B$3,""))</f>
        <v/>
      </c>
      <c r="DE190" s="106">
        <f>IF(AQ190="","",IFERROR(AQ190*HSCEI!$B$37*HSCEI!$G$37/HSCEI!$B$3,""))</f>
        <v/>
      </c>
      <c r="DF190" s="106">
        <f>IF(AR190="","",IFERROR(AR190*HSCEI!$B$37*HSCEI!$G$37/HSCEI!$B$3,""))</f>
        <v/>
      </c>
      <c r="DG190" s="106">
        <f>IF(AS190="","",IFERROR(AS190*HSCEI!$B$37*HSCEI!$G$37/HSCEI!$B$3,""))</f>
        <v/>
      </c>
      <c r="DH190" s="106">
        <f>IF(AT190="","",IFERROR(AT190*HSCEI!$B$37*HSCEI!$G$37/HSCEI!$B$3,""))</f>
        <v/>
      </c>
      <c r="DI190" s="106">
        <f>IF(AU190="","",IFERROR(AU190*HSCEI!$B$37*HSCEI!$G$37/HSCEI!$B$3,""))</f>
        <v/>
      </c>
      <c r="DJ190" s="106">
        <f>IF(AV190="","",IFERROR(AV190*HSCEI!$B$37*HSCEI!$G$37/HSCEI!$B$3,""))</f>
        <v/>
      </c>
      <c r="DK190" s="106">
        <f>IF(AW190="","",IFERROR(AW190*HSCEI!$B$37*HSCEI!$G$37/HSCEI!$B$3,""))</f>
        <v/>
      </c>
      <c r="DL190" s="106">
        <f>IF(AX190="","",IFERROR(AX190*HSCEI!$B$37*HSCEI!$G$37/HSCEI!$B$3,""))</f>
        <v/>
      </c>
      <c r="DM190" s="106">
        <f>IF(AY190="","",IFERROR(AY190*HSCEI!$B$37*HSCEI!$G$37/HSCEI!$B$3,""))</f>
        <v/>
      </c>
      <c r="DN190" s="106">
        <f>IF(AZ190="","",IFERROR(AZ190*HSCEI!$B$37*HSCEI!$G$37/HSCEI!$B$3,""))</f>
        <v/>
      </c>
      <c r="DO190" s="106">
        <f>IF(BA190="","",IFERROR(BA190*HSCEI!$B$37*HSCEI!$G$37/HSCEI!$B$3,""))</f>
        <v/>
      </c>
      <c r="DP190" s="106">
        <f>IF(BB190="","",IFERROR(BB190*HSCEI!$B$37*HSCEI!$G$37/HSCEI!$B$3,""))</f>
        <v/>
      </c>
      <c r="DQ190" s="106">
        <f>IF(BC190="","",IFERROR(BC190*HSCEI!$B$37*HSCEI!$G$37/HSCEI!$B$3,""))</f>
        <v/>
      </c>
      <c r="DR190" s="106">
        <f>IF(BD190="","",IFERROR(BD190*HSCEI!$B$37*HSCEI!$G$37/HSCEI!$B$3,""))</f>
        <v/>
      </c>
      <c r="DS190" s="106">
        <f>IF(BE190="","",IFERROR(BE190*HSCEI!$B$37*HSCEI!$G$37/HSCEI!$B$3,""))</f>
        <v/>
      </c>
      <c r="DT190" s="106">
        <f>IF(BF190="","",IFERROR(BF190*HSCEI!$B$37*HSCEI!$G$37/HSCEI!$B$3,""))</f>
        <v/>
      </c>
      <c r="DU190" s="106">
        <f>IF(BG190="","",IFERROR(BG190*HSCEI!$B$37*HSCEI!$G$37/HSCEI!$B$3,""))</f>
        <v/>
      </c>
      <c r="DV190" s="106">
        <f>IF(BH190="","",IFERROR(BH190*HSCEI!$B$37*HSCEI!$G$37/HSCEI!$B$3,""))</f>
        <v/>
      </c>
      <c r="DW190" s="106">
        <f>IF(BI190="","",IFERROR(BI190*HSCEI!$B$37*HSCEI!$G$37/HSCEI!$B$3,""))</f>
        <v/>
      </c>
      <c r="DX190" s="106">
        <f>IF(BJ190="","",IFERROR(BJ190*HSCEI!$B$37*HSCEI!$G$37/HSCEI!$B$3,""))</f>
        <v/>
      </c>
      <c r="DY190" s="106">
        <f>IF(BK190="","",IFERROR(BK190*HSCEI!$B$37*HSCEI!$G$37/HSCEI!$B$3,""))</f>
        <v/>
      </c>
      <c r="DZ190" s="106">
        <f>IF(BL190="","",IFERROR(BL190*HSCEI!$B$37*HSCEI!$G$37/HSCEI!$B$3,""))</f>
        <v/>
      </c>
      <c r="EA190" s="106">
        <f>IF(BM190="","",IFERROR(BM190*HSCEI!$B$37*HSCEI!$G$37/HSCEI!$B$3,""))</f>
        <v/>
      </c>
      <c r="EB190" s="106">
        <f>IF(BN190="","",IFERROR(BN190*HSCEI!$B$37*HSCEI!$G$37/HSCEI!$B$3,""))</f>
        <v/>
      </c>
      <c r="EC190" s="106">
        <f>IF(BO190="","",IFERROR(BO190*HSCEI!$B$37*HSCEI!$G$37/HSCEI!$B$3,""))</f>
        <v/>
      </c>
      <c r="EE190" s="35">
        <f>IF(N('Dvd Calendar'!$E$1891)=0,"",IF(('Dvd Calendar'!$E$1891&gt;=GRID_FROM)*('Dvd Calendar'!$E$1891&lt;=GRID_TO)*('Dvd Calendar'!$E$1891&lt;=VAL_DATE)=0,"",'Dvd Calendar'!$E$1891*1000000000+ISNUMBER('Dvd Calendar'!$E$1894)*100000000+('Dvd Calendar'!$E$1896=SPECIAL_LBL)*10000000+0*1000000+31*1000+1))</f>
        <v/>
      </c>
      <c r="EF190" s="35">
        <f>IF(N('Dvd Calendar'!$F$1891)=0,"",IF(('Dvd Calendar'!$F$1891&gt;=GRID_FROM)*('Dvd Calendar'!$F$1891&lt;=GRID_TO)*('Dvd Calendar'!$F$1891&lt;=VAL_DATE)=0,"",'Dvd Calendar'!$F$1891*1000000000+ISNUMBER('Dvd Calendar'!$F$1894)*100000000+('Dvd Calendar'!$F$1896=SPECIAL_LBL)*10000000+0*1000000+31*1000+2))</f>
        <v/>
      </c>
      <c r="EG190" s="35">
        <f>IF(N('Dvd Calendar'!$G$1891)=0,"",IF(('Dvd Calendar'!$G$1891&gt;=GRID_FROM)*('Dvd Calendar'!$G$1891&lt;=GRID_TO)*('Dvd Calendar'!$G$1891&lt;=VAL_DATE)=0,"",'Dvd Calendar'!$G$1891*1000000000+ISNUMBER('Dvd Calendar'!$G$1894)*100000000+('Dvd Calendar'!$G$1896=SPECIAL_LBL)*10000000+0*1000000+31*1000+3))</f>
        <v/>
      </c>
      <c r="EH190" s="35">
        <f>IF(N('Dvd Calendar'!$H$1891)=0,"",IF(('Dvd Calendar'!$H$1891&gt;=GRID_FROM)*('Dvd Calendar'!$H$1891&lt;=GRID_TO)*('Dvd Calendar'!$H$1891&lt;=VAL_DATE)=0,"",'Dvd Calendar'!$H$1891*1000000000+ISNUMBER('Dvd Calendar'!$H$1894)*100000000+('Dvd Calendar'!$H$1896=SPECIAL_LBL)*10000000+0*1000000+31*1000+4))</f>
        <v/>
      </c>
      <c r="EI190" s="35">
        <f>IF(N('Dvd Calendar'!$I$1891)=0,"",IF(('Dvd Calendar'!$I$1891&gt;=GRID_FROM)*('Dvd Calendar'!$I$1891&lt;=GRID_TO)*('Dvd Calendar'!$I$1891&lt;=VAL_DATE)=0,"",'Dvd Calendar'!$I$1891*1000000000+ISNUMBER('Dvd Calendar'!$I$1894)*100000000+('Dvd Calendar'!$I$1896=SPECIAL_LBL)*10000000+0*1000000+31*1000+5))</f>
        <v/>
      </c>
      <c r="EJ190" s="35">
        <f>IF(N('Dvd Calendar'!$J$1891)=0,"",IF(('Dvd Calendar'!$J$1891&gt;=GRID_FROM)*('Dvd Calendar'!$J$1891&lt;=GRID_TO)*('Dvd Calendar'!$J$1891&lt;=VAL_DATE)=0,"",'Dvd Calendar'!$J$1891*1000000000+ISNUMBER('Dvd Calendar'!$J$1894)*100000000+('Dvd Calendar'!$J$1896=SPECIAL_LBL)*10000000+0*1000000+31*1000+6))</f>
        <v/>
      </c>
      <c r="EK190" s="35">
        <f>IF(N('Dvd Calendar'!$K$1891)=0,"",IF(('Dvd Calendar'!$K$1891&gt;=GRID_FROM)*('Dvd Calendar'!$K$1891&lt;=GRID_TO)*('Dvd Calendar'!$K$1891&lt;=VAL_DATE)=0,"",'Dvd Calendar'!$K$1891*1000000000+ISNUMBER('Dvd Calendar'!$K$1894)*100000000+('Dvd Calendar'!$K$1896=SPECIAL_LBL)*10000000+0*1000000+31*1000+7))</f>
        <v/>
      </c>
      <c r="EL190" s="35">
        <f>IF(N('Dvd Calendar'!$L$1891)=0,"",IF(('Dvd Calendar'!$L$1891&gt;=GRID_FROM)*('Dvd Calendar'!$L$1891&lt;=GRID_TO)*('Dvd Calendar'!$L$1891&lt;=VAL_DATE)=0,"",'Dvd Calendar'!$L$1891*1000000000+ISNUMBER('Dvd Calendar'!$L$1894)*100000000+('Dvd Calendar'!$L$1896=SPECIAL_LBL)*10000000+0*1000000+31*1000+8))</f>
        <v/>
      </c>
      <c r="EM190" s="35">
        <f>IF(N('Dvd Calendar'!$M$1891)=0,"",IF(('Dvd Calendar'!$M$1891&gt;=GRID_FROM)*('Dvd Calendar'!$M$1891&lt;=GRID_TO)*('Dvd Calendar'!$M$1891&lt;=VAL_DATE)=0,"",'Dvd Calendar'!$M$1891*1000000000+ISNUMBER('Dvd Calendar'!$M$1894)*100000000+('Dvd Calendar'!$M$1896=SPECIAL_LBL)*10000000+0*1000000+31*1000+9))</f>
        <v/>
      </c>
      <c r="EN190" s="35">
        <f>IF(N('Dvd Calendar'!$N$1891)=0,"",IF(('Dvd Calendar'!$N$1891&gt;=GRID_FROM)*('Dvd Calendar'!$N$1891&lt;=GRID_TO)*('Dvd Calendar'!$N$1891&lt;=VAL_DATE)=0,"",'Dvd Calendar'!$N$1891*1000000000+ISNUMBER('Dvd Calendar'!$N$1894)*100000000+('Dvd Calendar'!$N$1896=SPECIAL_LBL)*10000000+0*1000000+31*1000+10))</f>
        <v/>
      </c>
      <c r="EO190" s="35">
        <f>IF(N('Dvd Calendar'!$O$1891)=0,"",IF(('Dvd Calendar'!$O$1891&gt;=GRID_FROM)*('Dvd Calendar'!$O$1891&lt;=GRID_TO)*('Dvd Calendar'!$O$1891&lt;=VAL_DATE)=0,"",'Dvd Calendar'!$O$1891*1000000000+ISNUMBER('Dvd Calendar'!$O$1894)*100000000+('Dvd Calendar'!$O$1896=SPECIAL_LBL)*10000000+0*1000000+31*1000+11))</f>
        <v/>
      </c>
      <c r="EP190" s="35">
        <f>IF(N('Dvd Calendar'!$P$1891)=0,"",IF(('Dvd Calendar'!$P$1891&gt;=GRID_FROM)*('Dvd Calendar'!$P$1891&lt;=GRID_TO)*('Dvd Calendar'!$P$1891&lt;=VAL_DATE)=0,"",'Dvd Calendar'!$P$1891*1000000000+ISNUMBER('Dvd Calendar'!$P$1894)*100000000+('Dvd Calendar'!$P$1896=SPECIAL_LBL)*10000000+0*1000000+31*1000+12))</f>
        <v/>
      </c>
      <c r="EQ190" s="35">
        <f>IF(N('Dvd Calendar'!$Q$1891)=0,"",IF(('Dvd Calendar'!$Q$1891&gt;=GRID_FROM)*('Dvd Calendar'!$Q$1891&lt;=GRID_TO)*('Dvd Calendar'!$Q$1891&lt;=VAL_DATE)=0,"",'Dvd Calendar'!$Q$1891*1000000000+ISNUMBER('Dvd Calendar'!$Q$1894)*100000000+('Dvd Calendar'!$Q$1896=SPECIAL_LBL)*10000000+0*1000000+31*1000+13))</f>
        <v/>
      </c>
      <c r="ER190" s="35">
        <f>IF(N('Dvd Calendar'!$R$1891)=0,"",IF(('Dvd Calendar'!$R$1891&gt;=GRID_FROM)*('Dvd Calendar'!$R$1891&lt;=GRID_TO)*('Dvd Calendar'!$R$1891&lt;=VAL_DATE)=0,"",'Dvd Calendar'!$R$1891*1000000000+ISNUMBER('Dvd Calendar'!$R$1894)*100000000+('Dvd Calendar'!$R$1896=SPECIAL_LBL)*10000000+0*1000000+31*1000+14))</f>
        <v/>
      </c>
      <c r="ES190" s="35">
        <f>IF(N('Dvd Calendar'!$S$1891)=0,"",IF(('Dvd Calendar'!$S$1891&gt;=GRID_FROM)*('Dvd Calendar'!$S$1891&lt;=GRID_TO)*('Dvd Calendar'!$S$1891&lt;=VAL_DATE)=0,"",'Dvd Calendar'!$S$1891*1000000000+ISNUMBER('Dvd Calendar'!$S$1894)*100000000+('Dvd Calendar'!$S$1896=SPECIAL_LBL)*10000000+0*1000000+31*1000+15))</f>
        <v/>
      </c>
      <c r="ET190" s="35">
        <f>IF(N('Dvd Calendar'!$T$1891)=0,"",IF(('Dvd Calendar'!$T$1891&gt;=GRID_FROM)*('Dvd Calendar'!$T$1891&lt;=GRID_TO)*('Dvd Calendar'!$T$1891&lt;=VAL_DATE)=0,"",'Dvd Calendar'!$T$1891*1000000000+ISNUMBER('Dvd Calendar'!$T$1894)*100000000+('Dvd Calendar'!$T$1896=SPECIAL_LBL)*10000000+0*1000000+31*1000+16))</f>
        <v/>
      </c>
      <c r="EU190" s="35">
        <f>IF(N('Dvd Calendar'!$U$1891)=0,"",IF(('Dvd Calendar'!$U$1891&gt;=GRID_FROM)*('Dvd Calendar'!$U$1891&lt;=GRID_TO)*('Dvd Calendar'!$U$1891&lt;=VAL_DATE)=0,"",'Dvd Calendar'!$U$1891*1000000000+ISNUMBER('Dvd Calendar'!$U$1894)*100000000+('Dvd Calendar'!$U$1896=SPECIAL_LBL)*10000000+0*1000000+31*1000+17))</f>
        <v/>
      </c>
      <c r="EV190" s="35">
        <f>IF(N('Dvd Calendar'!$V$1891)=0,"",IF(('Dvd Calendar'!$V$1891&gt;=GRID_FROM)*('Dvd Calendar'!$V$1891&lt;=GRID_TO)*('Dvd Calendar'!$V$1891&lt;=VAL_DATE)=0,"",'Dvd Calendar'!$V$1891*1000000000+ISNUMBER('Dvd Calendar'!$V$1894)*100000000+('Dvd Calendar'!$V$1896=SPECIAL_LBL)*10000000+0*1000000+31*1000+18))</f>
        <v/>
      </c>
      <c r="EW190" s="35">
        <f>IF(N('Dvd Calendar'!$W$1891)=0,"",IF(('Dvd Calendar'!$W$1891&gt;=GRID_FROM)*('Dvd Calendar'!$W$1891&lt;=GRID_TO)*('Dvd Calendar'!$W$1891&lt;=VAL_DATE)=0,"",'Dvd Calendar'!$W$1891*1000000000+ISNUMBER('Dvd Calendar'!$W$1894)*100000000+('Dvd Calendar'!$W$1896=SPECIAL_LBL)*10000000+0*1000000+31*1000+19))</f>
        <v/>
      </c>
      <c r="EX190" s="35">
        <f>IF(N('Dvd Calendar'!$X$1891)=0,"",IF(('Dvd Calendar'!$X$1891&gt;=GRID_FROM)*('Dvd Calendar'!$X$1891&lt;=GRID_TO)*('Dvd Calendar'!$X$1891&lt;=VAL_DATE)=0,"",'Dvd Calendar'!$X$1891*1000000000+ISNUMBER('Dvd Calendar'!$X$1894)*100000000+('Dvd Calendar'!$X$1896=SPECIAL_LBL)*10000000+0*1000000+31*1000+20))</f>
        <v/>
      </c>
      <c r="EY190" s="35">
        <f>IF(N('Dvd Calendar'!$Y$1891)=0,"",IF(('Dvd Calendar'!$Y$1891&gt;=GRID_FROM)*('Dvd Calendar'!$Y$1891&lt;=GRID_TO)*('Dvd Calendar'!$Y$1891&lt;=VAL_DATE)=0,"",'Dvd Calendar'!$Y$1891*1000000000+ISNUMBER('Dvd Calendar'!$Y$1894)*100000000+('Dvd Calendar'!$Y$1896=SPECIAL_LBL)*10000000+0*1000000+31*1000+21))</f>
        <v/>
      </c>
      <c r="EZ190" s="35">
        <f>IF(N('Dvd Calendar'!$Z$1891)=0,"",IF(('Dvd Calendar'!$Z$1891&gt;=GRID_FROM)*('Dvd Calendar'!$Z$1891&lt;=GRID_TO)*('Dvd Calendar'!$Z$1891&lt;=VAL_DATE)=0,"",'Dvd Calendar'!$Z$1891*1000000000+ISNUMBER('Dvd Calendar'!$Z$1894)*100000000+('Dvd Calendar'!$Z$1896=SPECIAL_LBL)*10000000+0*1000000+31*1000+22))</f>
        <v/>
      </c>
      <c r="FA190" s="35">
        <f>IF(N('Dvd Calendar'!$AA$1891)=0,"",IF(('Dvd Calendar'!$AA$1891&gt;=GRID_FROM)*('Dvd Calendar'!$AA$1891&lt;=GRID_TO)*('Dvd Calendar'!$AA$1891&lt;=VAL_DATE)=0,"",'Dvd Calendar'!$AA$1891*1000000000+ISNUMBER('Dvd Calendar'!$AA$1894)*100000000+('Dvd Calendar'!$AA$1896=SPECIAL_LBL)*10000000+0*1000000+31*1000+23))</f>
        <v/>
      </c>
      <c r="FB190" s="35">
        <f>IF(N('Dvd Calendar'!$AB$1891)=0,"",IF(('Dvd Calendar'!$AB$1891&gt;=GRID_FROM)*('Dvd Calendar'!$AB$1891&lt;=GRID_TO)*('Dvd Calendar'!$AB$1891&lt;=VAL_DATE)=0,"",'Dvd Calendar'!$AB$1891*1000000000+ISNUMBER('Dvd Calendar'!$AB$1894)*100000000+('Dvd Calendar'!$AB$1896=SPECIAL_LBL)*10000000+0*1000000+31*1000+24))</f>
        <v/>
      </c>
      <c r="FC190" s="35">
        <f>IF(N('Dvd Calendar'!$AC$1891)=0,"",IF(('Dvd Calendar'!$AC$1891&gt;=GRID_FROM)*('Dvd Calendar'!$AC$1891&lt;=GRID_TO)*('Dvd Calendar'!$AC$1891&lt;=VAL_DATE)=0,"",'Dvd Calendar'!$AC$1891*1000000000+ISNUMBER('Dvd Calendar'!$AC$1894)*100000000+('Dvd Calendar'!$AC$1896=SPECIAL_LBL)*10000000+0*1000000+31*1000+25))</f>
        <v/>
      </c>
      <c r="FD190" s="35">
        <f>IF(N('Dvd Calendar'!$AD$1891)=0,"",IF(('Dvd Calendar'!$AD$1891&gt;=GRID_FROM)*('Dvd Calendar'!$AD$1891&lt;=GRID_TO)*('Dvd Calendar'!$AD$1891&lt;=VAL_DATE)=0,"",'Dvd Calendar'!$AD$1891*1000000000+ISNUMBER('Dvd Calendar'!$AD$1894)*100000000+('Dvd Calendar'!$AD$1896=SPECIAL_LBL)*10000000+0*1000000+31*1000+26))</f>
        <v/>
      </c>
      <c r="FE190" s="35">
        <f>IF(N('Dvd Calendar'!$AE$1891)=0,"",IF(('Dvd Calendar'!$AE$1891&gt;=GRID_FROM)*('Dvd Calendar'!$AE$1891&lt;=GRID_TO)*('Dvd Calendar'!$AE$1891&lt;=VAL_DATE)=0,"",'Dvd Calendar'!$AE$1891*1000000000+ISNUMBER('Dvd Calendar'!$AE$1894)*100000000+('Dvd Calendar'!$AE$1896=SPECIAL_LBL)*10000000+0*1000000+31*1000+27))</f>
        <v/>
      </c>
      <c r="FF190" s="35">
        <f>IF(N('Dvd Calendar'!$AF$1891)=0,"",IF(('Dvd Calendar'!$AF$1891&gt;=GRID_FROM)*('Dvd Calendar'!$AF$1891&lt;=GRID_TO)*('Dvd Calendar'!$AF$1891&lt;=VAL_DATE)=0,"",'Dvd Calendar'!$AF$1891*1000000000+ISNUMBER('Dvd Calendar'!$AF$1894)*100000000+('Dvd Calendar'!$AF$1896=SPECIAL_LBL)*10000000+0*1000000+31*1000+28))</f>
        <v/>
      </c>
      <c r="FG190" s="35">
        <f>IF(N('Dvd Calendar'!$AG$1891)=0,"",IF(('Dvd Calendar'!$AG$1891&gt;=GRID_FROM)*('Dvd Calendar'!$AG$1891&lt;=GRID_TO)*('Dvd Calendar'!$AG$1891&lt;=VAL_DATE)=0,"",'Dvd Calendar'!$AG$1891*1000000000+ISNUMBER('Dvd Calendar'!$AG$1894)*100000000+('Dvd Calendar'!$AG$1896=SPECIAL_LBL)*10000000+0*1000000+31*1000+29))</f>
        <v/>
      </c>
      <c r="FH190" s="35">
        <f>IF(N('Dvd Calendar'!$AH$1891)=0,"",IF(('Dvd Calendar'!$AH$1891&gt;=GRID_FROM)*('Dvd Calendar'!$AH$1891&lt;=GRID_TO)*('Dvd Calendar'!$AH$1891&lt;=VAL_DATE)=0,"",'Dvd Calendar'!$AH$1891*1000000000+ISNUMBER('Dvd Calendar'!$AH$1894)*100000000+('Dvd Calendar'!$AH$1896=SPECIAL_LBL)*10000000+0*1000000+31*1000+30))</f>
        <v/>
      </c>
      <c r="FI190" s="35">
        <f>IF(N('Dvd Calendar'!$AI$1891)=0,"",IF(('Dvd Calendar'!$AI$1891&gt;=GRID_FROM)*('Dvd Calendar'!$AI$1891&lt;=GRID_TO)*('Dvd Calendar'!$AI$1891&lt;=VAL_DATE)=0,"",'Dvd Calendar'!$AI$1891*1000000000+ISNUMBER('Dvd Calendar'!$AI$1894)*100000000+('Dvd Calendar'!$AI$1896=SPECIAL_LBL)*10000000+0*1000000+31*1000+31))</f>
        <v/>
      </c>
      <c r="FJ190" s="35">
        <f>IF(N('Dvd Calendar'!$AJ$1891)=0,"",IF(('Dvd Calendar'!$AJ$1891&gt;=GRID_FROM)*('Dvd Calendar'!$AJ$1891&lt;=GRID_TO)*('Dvd Calendar'!$AJ$1891&lt;=VAL_DATE)=0,"",'Dvd Calendar'!$AJ$1891*1000000000+ISNUMBER('Dvd Calendar'!$AJ$1894)*100000000+('Dvd Calendar'!$AJ$1896=SPECIAL_LBL)*10000000+0*1000000+31*1000+32))</f>
        <v/>
      </c>
      <c r="FK190" s="35">
        <f>IF(N('Dvd Calendar'!$AK$1891)=0,"",IF(('Dvd Calendar'!$AK$1891&gt;=GRID_FROM)*('Dvd Calendar'!$AK$1891&lt;=GRID_TO)*('Dvd Calendar'!$AK$1891&lt;=VAL_DATE)=0,"",'Dvd Calendar'!$AK$1891*1000000000+ISNUMBER('Dvd Calendar'!$AK$1894)*100000000+('Dvd Calendar'!$AK$1896=SPECIAL_LBL)*10000000+0*1000000+31*1000+33))</f>
        <v/>
      </c>
      <c r="FL190" s="35">
        <f>IF(N('Dvd Calendar'!$AL$1891)=0,"",IF(('Dvd Calendar'!$AL$1891&gt;=GRID_FROM)*('Dvd Calendar'!$AL$1891&lt;=GRID_TO)*('Dvd Calendar'!$AL$1891&lt;=VAL_DATE)=0,"",'Dvd Calendar'!$AL$1891*1000000000+ISNUMBER('Dvd Calendar'!$AL$1894)*100000000+('Dvd Calendar'!$AL$1896=SPECIAL_LBL)*10000000+0*1000000+31*1000+34))</f>
        <v/>
      </c>
      <c r="FM190" s="35">
        <f>IF(N('Dvd Calendar'!$AM$1891)=0,"",IF(('Dvd Calendar'!$AM$1891&gt;=GRID_FROM)*('Dvd Calendar'!$AM$1891&lt;=GRID_TO)*('Dvd Calendar'!$AM$1891&lt;=VAL_DATE)=0,"",'Dvd Calendar'!$AM$1891*1000000000+ISNUMBER('Dvd Calendar'!$AM$1894)*100000000+('Dvd Calendar'!$AM$1896=SPECIAL_LBL)*10000000+0*1000000+31*1000+35))</f>
        <v/>
      </c>
      <c r="FN190" s="35">
        <f>IF(N('Dvd Calendar'!$AN$1891)=0,"",IF(('Dvd Calendar'!$AN$1891&gt;=GRID_FROM)*('Dvd Calendar'!$AN$1891&lt;=GRID_TO)*('Dvd Calendar'!$AN$1891&lt;=VAL_DATE)=0,"",'Dvd Calendar'!$AN$1891*1000000000+ISNUMBER('Dvd Calendar'!$AN$1894)*100000000+('Dvd Calendar'!$AN$1896=SPECIAL_LBL)*10000000+0*1000000+31*1000+36))</f>
        <v/>
      </c>
      <c r="FO190" s="35">
        <f>IF(N('Dvd Calendar'!$AO$1891)=0,"",IF(('Dvd Calendar'!$AO$1891&gt;=GRID_FROM)*('Dvd Calendar'!$AO$1891&lt;=GRID_TO)*('Dvd Calendar'!$AO$1891&lt;=VAL_DATE)=0,"",'Dvd Calendar'!$AO$1891*1000000000+ISNUMBER('Dvd Calendar'!$AO$1894)*100000000+('Dvd Calendar'!$AO$1896=SPECIAL_LBL)*10000000+0*1000000+31*1000+37))</f>
        <v/>
      </c>
      <c r="FP190" s="35">
        <f>IF(N('Dvd Calendar'!$AP$1891)=0,"",IF(('Dvd Calendar'!$AP$1891&gt;=GRID_FROM)*('Dvd Calendar'!$AP$1891&lt;=GRID_TO)*('Dvd Calendar'!$AP$1891&lt;=VAL_DATE)=0,"",'Dvd Calendar'!$AP$1891*1000000000+ISNUMBER('Dvd Calendar'!$AP$1894)*100000000+('Dvd Calendar'!$AP$1896=SPECIAL_LBL)*10000000+0*1000000+31*1000+38))</f>
        <v/>
      </c>
      <c r="FQ190" s="35">
        <f>IF(N('Dvd Calendar'!$AQ$1891)=0,"",IF(('Dvd Calendar'!$AQ$1891&gt;=GRID_FROM)*('Dvd Calendar'!$AQ$1891&lt;=GRID_TO)*('Dvd Calendar'!$AQ$1891&lt;=VAL_DATE)=0,"",'Dvd Calendar'!$AQ$1891*1000000000+ISNUMBER('Dvd Calendar'!$AQ$1894)*100000000+('Dvd Calendar'!$AQ$1896=SPECIAL_LBL)*10000000+0*1000000+31*1000+39))</f>
        <v/>
      </c>
      <c r="FR190" s="35">
        <f>IF(N('Dvd Calendar'!$AR$1891)=0,"",IF(('Dvd Calendar'!$AR$1891&gt;=GRID_FROM)*('Dvd Calendar'!$AR$1891&lt;=GRID_TO)*('Dvd Calendar'!$AR$1891&lt;=VAL_DATE)=0,"",'Dvd Calendar'!$AR$1891*1000000000+ISNUMBER('Dvd Calendar'!$AR$1894)*100000000+('Dvd Calendar'!$AR$1896=SPECIAL_LBL)*10000000+0*1000000+31*1000+40))</f>
        <v/>
      </c>
      <c r="FS190" s="35">
        <f>IF(N('Dvd Calendar'!$E$1898)=0,"",IF(('Dvd Calendar'!$E$1898&gt;=GRID_FROM)*('Dvd Calendar'!$E$1898&lt;=GRID_TO)*('Dvd Calendar'!$E$1898&gt;VAL_DATE)=0,"",'Dvd Calendar'!$E$1898*1000000000+ISNUMBER('Dvd Calendar'!$E$1899)*100000000+0*10000000+(N('Dvd Calendar'!$E$1897)&gt;0)*(N('Dvd Calendar'!$E$1897)&lt;=VAL_SERIAL)*1000000+31*1000+41))</f>
        <v/>
      </c>
      <c r="FT190" s="35">
        <f>IF(N('Dvd Calendar'!$F$1898)=0,"",IF(('Dvd Calendar'!$F$1898&gt;=GRID_FROM)*('Dvd Calendar'!$F$1898&lt;=GRID_TO)*('Dvd Calendar'!$F$1898&gt;VAL_DATE)=0,"",'Dvd Calendar'!$F$1898*1000000000+ISNUMBER('Dvd Calendar'!$F$1899)*100000000+0*10000000+(N('Dvd Calendar'!$F$1897)&gt;0)*(N('Dvd Calendar'!$F$1897)&lt;=VAL_SERIAL)*1000000+31*1000+42))</f>
        <v/>
      </c>
      <c r="FU190" s="35">
        <f>IF(N('Dvd Calendar'!$G$1898)=0,"",IF(('Dvd Calendar'!$G$1898&gt;=GRID_FROM)*('Dvd Calendar'!$G$1898&lt;=GRID_TO)*('Dvd Calendar'!$G$1898&gt;VAL_DATE)=0,"",'Dvd Calendar'!$G$1898*1000000000+ISNUMBER('Dvd Calendar'!$G$1899)*100000000+0*10000000+(N('Dvd Calendar'!$G$1897)&gt;0)*(N('Dvd Calendar'!$G$1897)&lt;=VAL_SERIAL)*1000000+31*1000+43))</f>
        <v/>
      </c>
      <c r="FV190" s="35">
        <f>IF(N('Dvd Calendar'!$H$1898)=0,"",IF(('Dvd Calendar'!$H$1898&gt;=GRID_FROM)*('Dvd Calendar'!$H$1898&lt;=GRID_TO)*('Dvd Calendar'!$H$1898&gt;VAL_DATE)=0,"",'Dvd Calendar'!$H$1898*1000000000+ISNUMBER('Dvd Calendar'!$H$1899)*100000000+0*10000000+(N('Dvd Calendar'!$H$1897)&gt;0)*(N('Dvd Calendar'!$H$1897)&lt;=VAL_SERIAL)*1000000+31*1000+44))</f>
        <v/>
      </c>
      <c r="FW190" s="35">
        <f>IF(N('Dvd Calendar'!$I$1898)=0,"",IF(('Dvd Calendar'!$I$1898&gt;=GRID_FROM)*('Dvd Calendar'!$I$1898&lt;=GRID_TO)*('Dvd Calendar'!$I$1898&gt;VAL_DATE)=0,"",'Dvd Calendar'!$I$1898*1000000000+ISNUMBER('Dvd Calendar'!$I$1899)*100000000+0*10000000+(N('Dvd Calendar'!$I$1897)&gt;0)*(N('Dvd Calendar'!$I$1897)&lt;=VAL_SERIAL)*1000000+31*1000+45))</f>
        <v/>
      </c>
      <c r="FX190" s="35">
        <f>IF(N('Dvd Calendar'!$J$1898)=0,"",IF(('Dvd Calendar'!$J$1898&gt;=GRID_FROM)*('Dvd Calendar'!$J$1898&lt;=GRID_TO)*('Dvd Calendar'!$J$1898&gt;VAL_DATE)=0,"",'Dvd Calendar'!$J$1898*1000000000+ISNUMBER('Dvd Calendar'!$J$1899)*100000000+0*10000000+(N('Dvd Calendar'!$J$1897)&gt;0)*(N('Dvd Calendar'!$J$1897)&lt;=VAL_SERIAL)*1000000+31*1000+46))</f>
        <v/>
      </c>
      <c r="FY190" s="35">
        <f>IF(N('Dvd Calendar'!$K$1898)=0,"",IF(('Dvd Calendar'!$K$1898&gt;=GRID_FROM)*('Dvd Calendar'!$K$1898&lt;=GRID_TO)*('Dvd Calendar'!$K$1898&gt;VAL_DATE)=0,"",'Dvd Calendar'!$K$1898*1000000000+ISNUMBER('Dvd Calendar'!$K$1899)*100000000+0*10000000+(N('Dvd Calendar'!$K$1897)&gt;0)*(N('Dvd Calendar'!$K$1897)&lt;=VAL_SERIAL)*1000000+31*1000+47))</f>
        <v/>
      </c>
      <c r="FZ190" s="35">
        <f>IF(N('Dvd Calendar'!$L$1898)=0,"",IF(('Dvd Calendar'!$L$1898&gt;=GRID_FROM)*('Dvd Calendar'!$L$1898&lt;=GRID_TO)*('Dvd Calendar'!$L$1898&gt;VAL_DATE)=0,"",'Dvd Calendar'!$L$1898*1000000000+ISNUMBER('Dvd Calendar'!$L$1899)*100000000+0*10000000+(N('Dvd Calendar'!$L$1897)&gt;0)*(N('Dvd Calendar'!$L$1897)&lt;=VAL_SERIAL)*1000000+31*1000+48))</f>
        <v/>
      </c>
      <c r="GA190" s="35">
        <f>IF(N('Dvd Calendar'!$M$1898)=0,"",IF(('Dvd Calendar'!$M$1898&gt;=GRID_FROM)*('Dvd Calendar'!$M$1898&lt;=GRID_TO)*('Dvd Calendar'!$M$1898&gt;VAL_DATE)=0,"",'Dvd Calendar'!$M$1898*1000000000+ISNUMBER('Dvd Calendar'!$M$1899)*100000000+0*10000000+(N('Dvd Calendar'!$M$1897)&gt;0)*(N('Dvd Calendar'!$M$1897)&lt;=VAL_SERIAL)*1000000+31*1000+49))</f>
        <v/>
      </c>
      <c r="GB190" s="35">
        <f>IF(N('Dvd Calendar'!$N$1898)=0,"",IF(('Dvd Calendar'!$N$1898&gt;=GRID_FROM)*('Dvd Calendar'!$N$1898&lt;=GRID_TO)*('Dvd Calendar'!$N$1898&gt;VAL_DATE)=0,"",'Dvd Calendar'!$N$1898*1000000000+ISNUMBER('Dvd Calendar'!$N$1899)*100000000+0*10000000+(N('Dvd Calendar'!$N$1897)&gt;0)*(N('Dvd Calendar'!$N$1897)&lt;=VAL_SERIAL)*1000000+31*1000+50))</f>
        <v/>
      </c>
      <c r="GC190" s="35">
        <f>IF(N('Dvd Calendar'!$O$1898)=0,"",IF(('Dvd Calendar'!$O$1898&gt;=GRID_FROM)*('Dvd Calendar'!$O$1898&lt;=GRID_TO)*('Dvd Calendar'!$O$1898&gt;VAL_DATE)=0,"",'Dvd Calendar'!$O$1898*1000000000+ISNUMBER('Dvd Calendar'!$O$1899)*100000000+0*10000000+(N('Dvd Calendar'!$O$1897)&gt;0)*(N('Dvd Calendar'!$O$1897)&lt;=VAL_SERIAL)*1000000+31*1000+51))</f>
        <v/>
      </c>
      <c r="GD190" s="35">
        <f>IF(N('Dvd Calendar'!$P$1898)=0,"",IF(('Dvd Calendar'!$P$1898&gt;=GRID_FROM)*('Dvd Calendar'!$P$1898&lt;=GRID_TO)*('Dvd Calendar'!$P$1898&gt;VAL_DATE)=0,"",'Dvd Calendar'!$P$1898*1000000000+ISNUMBER('Dvd Calendar'!$P$1899)*100000000+0*10000000+(N('Dvd Calendar'!$P$1897)&gt;0)*(N('Dvd Calendar'!$P$1897)&lt;=VAL_SERIAL)*1000000+31*1000+52))</f>
        <v/>
      </c>
      <c r="GE190" s="35">
        <f>IF(N('Dvd Calendar'!$Q$1898)=0,"",IF(('Dvd Calendar'!$Q$1898&gt;=GRID_FROM)*('Dvd Calendar'!$Q$1898&lt;=GRID_TO)*('Dvd Calendar'!$Q$1898&gt;VAL_DATE)=0,"",'Dvd Calendar'!$Q$1898*1000000000+ISNUMBER('Dvd Calendar'!$Q$1899)*100000000+0*10000000+(N('Dvd Calendar'!$Q$1897)&gt;0)*(N('Dvd Calendar'!$Q$1897)&lt;=VAL_SERIAL)*1000000+31*1000+53))</f>
        <v/>
      </c>
      <c r="GF190" s="35">
        <f>IF(N('Dvd Calendar'!$R$1898)=0,"",IF(('Dvd Calendar'!$R$1898&gt;=GRID_FROM)*('Dvd Calendar'!$R$1898&lt;=GRID_TO)*('Dvd Calendar'!$R$1898&gt;VAL_DATE)=0,"",'Dvd Calendar'!$R$1898*1000000000+ISNUMBER('Dvd Calendar'!$R$1899)*100000000+0*10000000+(N('Dvd Calendar'!$R$1897)&gt;0)*(N('Dvd Calendar'!$R$1897)&lt;=VAL_SERIAL)*1000000+31*1000+54))</f>
        <v/>
      </c>
      <c r="GG190" s="35">
        <f>IF(N('Dvd Calendar'!$S$1898)=0,"",IF(('Dvd Calendar'!$S$1898&gt;=GRID_FROM)*('Dvd Calendar'!$S$1898&lt;=GRID_TO)*('Dvd Calendar'!$S$1898&gt;VAL_DATE)=0,"",'Dvd Calendar'!$S$1898*1000000000+ISNUMBER('Dvd Calendar'!$S$1899)*100000000+0*10000000+(N('Dvd Calendar'!$S$1897)&gt;0)*(N('Dvd Calendar'!$S$1897)&lt;=VAL_SERIAL)*1000000+31*1000+55))</f>
        <v/>
      </c>
      <c r="GH190" s="35">
        <f>IF(N('Dvd Calendar'!$T$1898)=0,"",IF(('Dvd Calendar'!$T$1898&gt;=GRID_FROM)*('Dvd Calendar'!$T$1898&lt;=GRID_TO)*('Dvd Calendar'!$T$1898&gt;VAL_DATE)=0,"",'Dvd Calendar'!$T$1898*1000000000+ISNUMBER('Dvd Calendar'!$T$1899)*100000000+0*10000000+(N('Dvd Calendar'!$T$1897)&gt;0)*(N('Dvd Calendar'!$T$1897)&lt;=VAL_SERIAL)*1000000+31*1000+56))</f>
        <v/>
      </c>
      <c r="GI190" s="35">
        <f>IF(N('Dvd Calendar'!$U$1898)=0,"",IF(('Dvd Calendar'!$U$1898&gt;=GRID_FROM)*('Dvd Calendar'!$U$1898&lt;=GRID_TO)*('Dvd Calendar'!$U$1898&gt;VAL_DATE)=0,"",'Dvd Calendar'!$U$1898*1000000000+ISNUMBER('Dvd Calendar'!$U$1899)*100000000+0*10000000+(N('Dvd Calendar'!$U$1897)&gt;0)*(N('Dvd Calendar'!$U$1897)&lt;=VAL_SERIAL)*1000000+31*1000+57))</f>
        <v/>
      </c>
      <c r="GJ190" s="35">
        <f>IF(N('Dvd Calendar'!$V$1898)=0,"",IF(('Dvd Calendar'!$V$1898&gt;=GRID_FROM)*('Dvd Calendar'!$V$1898&lt;=GRID_TO)*('Dvd Calendar'!$V$1898&gt;VAL_DATE)=0,"",'Dvd Calendar'!$V$1898*1000000000+ISNUMBER('Dvd Calendar'!$V$1899)*100000000+0*10000000+(N('Dvd Calendar'!$V$1897)&gt;0)*(N('Dvd Calendar'!$V$1897)&lt;=VAL_SERIAL)*1000000+31*1000+58))</f>
        <v/>
      </c>
      <c r="GK190" s="35">
        <f>IF(N('Dvd Calendar'!$W$1898)=0,"",IF(('Dvd Calendar'!$W$1898&gt;=GRID_FROM)*('Dvd Calendar'!$W$1898&lt;=GRID_TO)*('Dvd Calendar'!$W$1898&gt;VAL_DATE)=0,"",'Dvd Calendar'!$W$1898*1000000000+ISNUMBER('Dvd Calendar'!$W$1899)*100000000+0*10000000+(N('Dvd Calendar'!$W$1897)&gt;0)*(N('Dvd Calendar'!$W$1897)&lt;=VAL_SERIAL)*1000000+31*1000+59))</f>
        <v/>
      </c>
      <c r="GL190" s="35">
        <f>IF(N('Dvd Calendar'!$X$1898)=0,"",IF(('Dvd Calendar'!$X$1898&gt;=GRID_FROM)*('Dvd Calendar'!$X$1898&lt;=GRID_TO)*('Dvd Calendar'!$X$1898&gt;VAL_DATE)=0,"",'Dvd Calendar'!$X$1898*1000000000+ISNUMBER('Dvd Calendar'!$X$1899)*100000000+0*10000000+(N('Dvd Calendar'!$X$1897)&gt;0)*(N('Dvd Calendar'!$X$1897)&lt;=VAL_SERIAL)*1000000+31*1000+60))</f>
        <v/>
      </c>
      <c r="GM190" s="35">
        <f>IF(N('Dvd Calendar'!$Y$1898)=0,"",IF(('Dvd Calendar'!$Y$1898&gt;=GRID_FROM)*('Dvd Calendar'!$Y$1898&lt;=GRID_TO)*('Dvd Calendar'!$Y$1898&gt;VAL_DATE)=0,"",'Dvd Calendar'!$Y$1898*1000000000+ISNUMBER('Dvd Calendar'!$Y$1899)*100000000+0*10000000+(N('Dvd Calendar'!$Y$1897)&gt;0)*(N('Dvd Calendar'!$Y$1897)&lt;=VAL_SERIAL)*1000000+31*1000+61))</f>
        <v/>
      </c>
      <c r="GN190" s="35">
        <f>IF(N('Dvd Calendar'!$Z$1898)=0,"",IF(('Dvd Calendar'!$Z$1898&gt;=GRID_FROM)*('Dvd Calendar'!$Z$1898&lt;=GRID_TO)*('Dvd Calendar'!$Z$1898&gt;VAL_DATE)=0,"",'Dvd Calendar'!$Z$1898*1000000000+ISNUMBER('Dvd Calendar'!$Z$1899)*100000000+0*10000000+(N('Dvd Calendar'!$Z$1897)&gt;0)*(N('Dvd Calendar'!$Z$1897)&lt;=VAL_SERIAL)*1000000+31*1000+62))</f>
        <v/>
      </c>
      <c r="GO190" s="35">
        <f>IF(N('Dvd Calendar'!$AA$1898)=0,"",IF(('Dvd Calendar'!$AA$1898&gt;=GRID_FROM)*('Dvd Calendar'!$AA$1898&lt;=GRID_TO)*('Dvd Calendar'!$AA$1898&gt;VAL_DATE)=0,"",'Dvd Calendar'!$AA$1898*1000000000+ISNUMBER('Dvd Calendar'!$AA$1899)*100000000+0*10000000+(N('Dvd Calendar'!$AA$1897)&gt;0)*(N('Dvd Calendar'!$AA$1897)&lt;=VAL_SERIAL)*1000000+31*1000+63))</f>
        <v/>
      </c>
      <c r="GP190" s="35">
        <f>IF(N('Dvd Calendar'!$AB$1898)=0,"",IF(('Dvd Calendar'!$AB$1898&gt;=GRID_FROM)*('Dvd Calendar'!$AB$1898&lt;=GRID_TO)*('Dvd Calendar'!$AB$1898&gt;VAL_DATE)=0,"",'Dvd Calendar'!$AB$1898*1000000000+ISNUMBER('Dvd Calendar'!$AB$1899)*100000000+0*10000000+(N('Dvd Calendar'!$AB$1897)&gt;0)*(N('Dvd Calendar'!$AB$1897)&lt;=VAL_SERIAL)*1000000+31*1000+64))</f>
        <v/>
      </c>
      <c r="GQ190" s="35">
        <f>IF(N('Dvd Calendar'!$AC$1898)=0,"",IF(('Dvd Calendar'!$AC$1898&gt;=GRID_FROM)*('Dvd Calendar'!$AC$1898&lt;=GRID_TO)*('Dvd Calendar'!$AC$1898&gt;VAL_DATE)=0,"",'Dvd Calendar'!$AC$1898*1000000000+ISNUMBER('Dvd Calendar'!$AC$1899)*100000000+0*10000000+(N('Dvd Calendar'!$AC$1897)&gt;0)*(N('Dvd Calendar'!$AC$1897)&lt;=VAL_SERIAL)*1000000+31*1000+65))</f>
        <v/>
      </c>
    </row>
    <row r="191">
      <c r="B191" s="2">
        <f>IF(HSCEI!$C$38="","",HSCEI!$C$38)</f>
        <v/>
      </c>
      <c r="C191" s="106">
        <f>IF(EE191="","",IF(ISNUMBER('Dvd Calendar'!$E$1905)=FALSE,"",IF((('Dvd Calendar'!$E$1907=TYPE1)*(TYPE1&lt;&gt;"")+('Dvd Calendar'!$E$1907=TYPE2)*(TYPE2&lt;&gt;"")+('Dvd Calendar'!$E$1907=TYPE3)*(TYPE3&lt;&gt;"")+('Dvd Calendar'!$E$1907=TYPE4)*(TYPE4&lt;&gt;"")+('Dvd Calendar'!$E$1907=SPECIAL_LBL)*(INC_SPECIALS="Y"))=0,"",'Dvd Calendar'!$E$1905)))</f>
        <v/>
      </c>
      <c r="D191" s="106">
        <f>IF(EF191="","",IF(ISNUMBER('Dvd Calendar'!$F$1905)=FALSE,"",IF((('Dvd Calendar'!$F$1907=TYPE1)*(TYPE1&lt;&gt;"")+('Dvd Calendar'!$F$1907=TYPE2)*(TYPE2&lt;&gt;"")+('Dvd Calendar'!$F$1907=TYPE3)*(TYPE3&lt;&gt;"")+('Dvd Calendar'!$F$1907=TYPE4)*(TYPE4&lt;&gt;"")+('Dvd Calendar'!$F$1907=SPECIAL_LBL)*(INC_SPECIALS="Y"))=0,"",'Dvd Calendar'!$F$1905)))</f>
        <v/>
      </c>
      <c r="E191" s="106">
        <f>IF(EG191="","",IF(ISNUMBER('Dvd Calendar'!$G$1905)=FALSE,"",IF((('Dvd Calendar'!$G$1907=TYPE1)*(TYPE1&lt;&gt;"")+('Dvd Calendar'!$G$1907=TYPE2)*(TYPE2&lt;&gt;"")+('Dvd Calendar'!$G$1907=TYPE3)*(TYPE3&lt;&gt;"")+('Dvd Calendar'!$G$1907=TYPE4)*(TYPE4&lt;&gt;"")+('Dvd Calendar'!$G$1907=SPECIAL_LBL)*(INC_SPECIALS="Y"))=0,"",'Dvd Calendar'!$G$1905)))</f>
        <v/>
      </c>
      <c r="F191" s="106">
        <f>IF(EH191="","",IF(ISNUMBER('Dvd Calendar'!$H$1905)=FALSE,"",IF((('Dvd Calendar'!$H$1907=TYPE1)*(TYPE1&lt;&gt;"")+('Dvd Calendar'!$H$1907=TYPE2)*(TYPE2&lt;&gt;"")+('Dvd Calendar'!$H$1907=TYPE3)*(TYPE3&lt;&gt;"")+('Dvd Calendar'!$H$1907=TYPE4)*(TYPE4&lt;&gt;"")+('Dvd Calendar'!$H$1907=SPECIAL_LBL)*(INC_SPECIALS="Y"))=0,"",'Dvd Calendar'!$H$1905)))</f>
        <v/>
      </c>
      <c r="G191" s="106">
        <f>IF(EI191="","",IF(ISNUMBER('Dvd Calendar'!$I$1905)=FALSE,"",IF((('Dvd Calendar'!$I$1907=TYPE1)*(TYPE1&lt;&gt;"")+('Dvd Calendar'!$I$1907=TYPE2)*(TYPE2&lt;&gt;"")+('Dvd Calendar'!$I$1907=TYPE3)*(TYPE3&lt;&gt;"")+('Dvd Calendar'!$I$1907=TYPE4)*(TYPE4&lt;&gt;"")+('Dvd Calendar'!$I$1907=SPECIAL_LBL)*(INC_SPECIALS="Y"))=0,"",'Dvd Calendar'!$I$1905)))</f>
        <v/>
      </c>
      <c r="H191" s="106">
        <f>IF(EJ191="","",IF(ISNUMBER('Dvd Calendar'!$J$1905)=FALSE,"",IF((('Dvd Calendar'!$J$1907=TYPE1)*(TYPE1&lt;&gt;"")+('Dvd Calendar'!$J$1907=TYPE2)*(TYPE2&lt;&gt;"")+('Dvd Calendar'!$J$1907=TYPE3)*(TYPE3&lt;&gt;"")+('Dvd Calendar'!$J$1907=TYPE4)*(TYPE4&lt;&gt;"")+('Dvd Calendar'!$J$1907=SPECIAL_LBL)*(INC_SPECIALS="Y"))=0,"",'Dvd Calendar'!$J$1905)))</f>
        <v/>
      </c>
      <c r="I191" s="106">
        <f>IF(EK191="","",IF(ISNUMBER('Dvd Calendar'!$K$1905)=FALSE,"",IF((('Dvd Calendar'!$K$1907=TYPE1)*(TYPE1&lt;&gt;"")+('Dvd Calendar'!$K$1907=TYPE2)*(TYPE2&lt;&gt;"")+('Dvd Calendar'!$K$1907=TYPE3)*(TYPE3&lt;&gt;"")+('Dvd Calendar'!$K$1907=TYPE4)*(TYPE4&lt;&gt;"")+('Dvd Calendar'!$K$1907=SPECIAL_LBL)*(INC_SPECIALS="Y"))=0,"",'Dvd Calendar'!$K$1905)))</f>
        <v/>
      </c>
      <c r="J191" s="106">
        <f>IF(EL191="","",IF(ISNUMBER('Dvd Calendar'!$L$1905)=FALSE,"",IF((('Dvd Calendar'!$L$1907=TYPE1)*(TYPE1&lt;&gt;"")+('Dvd Calendar'!$L$1907=TYPE2)*(TYPE2&lt;&gt;"")+('Dvd Calendar'!$L$1907=TYPE3)*(TYPE3&lt;&gt;"")+('Dvd Calendar'!$L$1907=TYPE4)*(TYPE4&lt;&gt;"")+('Dvd Calendar'!$L$1907=SPECIAL_LBL)*(INC_SPECIALS="Y"))=0,"",'Dvd Calendar'!$L$1905)))</f>
        <v/>
      </c>
      <c r="K191" s="106">
        <f>IF(EM191="","",IF(ISNUMBER('Dvd Calendar'!$M$1905)=FALSE,"",IF((('Dvd Calendar'!$M$1907=TYPE1)*(TYPE1&lt;&gt;"")+('Dvd Calendar'!$M$1907=TYPE2)*(TYPE2&lt;&gt;"")+('Dvd Calendar'!$M$1907=TYPE3)*(TYPE3&lt;&gt;"")+('Dvd Calendar'!$M$1907=TYPE4)*(TYPE4&lt;&gt;"")+('Dvd Calendar'!$M$1907=SPECIAL_LBL)*(INC_SPECIALS="Y"))=0,"",'Dvd Calendar'!$M$1905)))</f>
        <v/>
      </c>
      <c r="L191" s="106">
        <f>IF(EN191="","",IF(ISNUMBER('Dvd Calendar'!$N$1905)=FALSE,"",IF((('Dvd Calendar'!$N$1907=TYPE1)*(TYPE1&lt;&gt;"")+('Dvd Calendar'!$N$1907=TYPE2)*(TYPE2&lt;&gt;"")+('Dvd Calendar'!$N$1907=TYPE3)*(TYPE3&lt;&gt;"")+('Dvd Calendar'!$N$1907=TYPE4)*(TYPE4&lt;&gt;"")+('Dvd Calendar'!$N$1907=SPECIAL_LBL)*(INC_SPECIALS="Y"))=0,"",'Dvd Calendar'!$N$1905)))</f>
        <v/>
      </c>
      <c r="M191" s="106">
        <f>IF(EO191="","",IF(ISNUMBER('Dvd Calendar'!$O$1905)=FALSE,"",IF((('Dvd Calendar'!$O$1907=TYPE1)*(TYPE1&lt;&gt;"")+('Dvd Calendar'!$O$1907=TYPE2)*(TYPE2&lt;&gt;"")+('Dvd Calendar'!$O$1907=TYPE3)*(TYPE3&lt;&gt;"")+('Dvd Calendar'!$O$1907=TYPE4)*(TYPE4&lt;&gt;"")+('Dvd Calendar'!$O$1907=SPECIAL_LBL)*(INC_SPECIALS="Y"))=0,"",'Dvd Calendar'!$O$1905)))</f>
        <v/>
      </c>
      <c r="N191" s="106">
        <f>IF(EP191="","",IF(ISNUMBER('Dvd Calendar'!$P$1905)=FALSE,"",IF((('Dvd Calendar'!$P$1907=TYPE1)*(TYPE1&lt;&gt;"")+('Dvd Calendar'!$P$1907=TYPE2)*(TYPE2&lt;&gt;"")+('Dvd Calendar'!$P$1907=TYPE3)*(TYPE3&lt;&gt;"")+('Dvd Calendar'!$P$1907=TYPE4)*(TYPE4&lt;&gt;"")+('Dvd Calendar'!$P$1907=SPECIAL_LBL)*(INC_SPECIALS="Y"))=0,"",'Dvd Calendar'!$P$1905)))</f>
        <v/>
      </c>
      <c r="O191" s="106">
        <f>IF(EQ191="","",IF(ISNUMBER('Dvd Calendar'!$Q$1905)=FALSE,"",IF((('Dvd Calendar'!$Q$1907=TYPE1)*(TYPE1&lt;&gt;"")+('Dvd Calendar'!$Q$1907=TYPE2)*(TYPE2&lt;&gt;"")+('Dvd Calendar'!$Q$1907=TYPE3)*(TYPE3&lt;&gt;"")+('Dvd Calendar'!$Q$1907=TYPE4)*(TYPE4&lt;&gt;"")+('Dvd Calendar'!$Q$1907=SPECIAL_LBL)*(INC_SPECIALS="Y"))=0,"",'Dvd Calendar'!$Q$1905)))</f>
        <v/>
      </c>
      <c r="P191" s="106">
        <f>IF(ER191="","",IF(ISNUMBER('Dvd Calendar'!$R$1905)=FALSE,"",IF((('Dvd Calendar'!$R$1907=TYPE1)*(TYPE1&lt;&gt;"")+('Dvd Calendar'!$R$1907=TYPE2)*(TYPE2&lt;&gt;"")+('Dvd Calendar'!$R$1907=TYPE3)*(TYPE3&lt;&gt;"")+('Dvd Calendar'!$R$1907=TYPE4)*(TYPE4&lt;&gt;"")+('Dvd Calendar'!$R$1907=SPECIAL_LBL)*(INC_SPECIALS="Y"))=0,"",'Dvd Calendar'!$R$1905)))</f>
        <v/>
      </c>
      <c r="Q191" s="106">
        <f>IF(ES191="","",IF(ISNUMBER('Dvd Calendar'!$S$1905)=FALSE,"",IF((('Dvd Calendar'!$S$1907=TYPE1)*(TYPE1&lt;&gt;"")+('Dvd Calendar'!$S$1907=TYPE2)*(TYPE2&lt;&gt;"")+('Dvd Calendar'!$S$1907=TYPE3)*(TYPE3&lt;&gt;"")+('Dvd Calendar'!$S$1907=TYPE4)*(TYPE4&lt;&gt;"")+('Dvd Calendar'!$S$1907=SPECIAL_LBL)*(INC_SPECIALS="Y"))=0,"",'Dvd Calendar'!$S$1905)))</f>
        <v/>
      </c>
      <c r="R191" s="106">
        <f>IF(ET191="","",IF(ISNUMBER('Dvd Calendar'!$T$1905)=FALSE,"",IF((('Dvd Calendar'!$T$1907=TYPE1)*(TYPE1&lt;&gt;"")+('Dvd Calendar'!$T$1907=TYPE2)*(TYPE2&lt;&gt;"")+('Dvd Calendar'!$T$1907=TYPE3)*(TYPE3&lt;&gt;"")+('Dvd Calendar'!$T$1907=TYPE4)*(TYPE4&lt;&gt;"")+('Dvd Calendar'!$T$1907=SPECIAL_LBL)*(INC_SPECIALS="Y"))=0,"",'Dvd Calendar'!$T$1905)))</f>
        <v/>
      </c>
      <c r="S191" s="106">
        <f>IF(EU191="","",IF(ISNUMBER('Dvd Calendar'!$U$1905)=FALSE,"",IF((('Dvd Calendar'!$U$1907=TYPE1)*(TYPE1&lt;&gt;"")+('Dvd Calendar'!$U$1907=TYPE2)*(TYPE2&lt;&gt;"")+('Dvd Calendar'!$U$1907=TYPE3)*(TYPE3&lt;&gt;"")+('Dvd Calendar'!$U$1907=TYPE4)*(TYPE4&lt;&gt;"")+('Dvd Calendar'!$U$1907=SPECIAL_LBL)*(INC_SPECIALS="Y"))=0,"",'Dvd Calendar'!$U$1905)))</f>
        <v/>
      </c>
      <c r="T191" s="106">
        <f>IF(EV191="","",IF(ISNUMBER('Dvd Calendar'!$V$1905)=FALSE,"",IF((('Dvd Calendar'!$V$1907=TYPE1)*(TYPE1&lt;&gt;"")+('Dvd Calendar'!$V$1907=TYPE2)*(TYPE2&lt;&gt;"")+('Dvd Calendar'!$V$1907=TYPE3)*(TYPE3&lt;&gt;"")+('Dvd Calendar'!$V$1907=TYPE4)*(TYPE4&lt;&gt;"")+('Dvd Calendar'!$V$1907=SPECIAL_LBL)*(INC_SPECIALS="Y"))=0,"",'Dvd Calendar'!$V$1905)))</f>
        <v/>
      </c>
      <c r="U191" s="106">
        <f>IF(EW191="","",IF(ISNUMBER('Dvd Calendar'!$W$1905)=FALSE,"",IF((('Dvd Calendar'!$W$1907=TYPE1)*(TYPE1&lt;&gt;"")+('Dvd Calendar'!$W$1907=TYPE2)*(TYPE2&lt;&gt;"")+('Dvd Calendar'!$W$1907=TYPE3)*(TYPE3&lt;&gt;"")+('Dvd Calendar'!$W$1907=TYPE4)*(TYPE4&lt;&gt;"")+('Dvd Calendar'!$W$1907=SPECIAL_LBL)*(INC_SPECIALS="Y"))=0,"",'Dvd Calendar'!$W$1905)))</f>
        <v/>
      </c>
      <c r="V191" s="106">
        <f>IF(EX191="","",IF(ISNUMBER('Dvd Calendar'!$X$1905)=FALSE,"",IF((('Dvd Calendar'!$X$1907=TYPE1)*(TYPE1&lt;&gt;"")+('Dvd Calendar'!$X$1907=TYPE2)*(TYPE2&lt;&gt;"")+('Dvd Calendar'!$X$1907=TYPE3)*(TYPE3&lt;&gt;"")+('Dvd Calendar'!$X$1907=TYPE4)*(TYPE4&lt;&gt;"")+('Dvd Calendar'!$X$1907=SPECIAL_LBL)*(INC_SPECIALS="Y"))=0,"",'Dvd Calendar'!$X$1905)))</f>
        <v/>
      </c>
      <c r="W191" s="106">
        <f>IF(EY191="","",IF(ISNUMBER('Dvd Calendar'!$Y$1905)=FALSE,"",IF((('Dvd Calendar'!$Y$1907=TYPE1)*(TYPE1&lt;&gt;"")+('Dvd Calendar'!$Y$1907=TYPE2)*(TYPE2&lt;&gt;"")+('Dvd Calendar'!$Y$1907=TYPE3)*(TYPE3&lt;&gt;"")+('Dvd Calendar'!$Y$1907=TYPE4)*(TYPE4&lt;&gt;"")+('Dvd Calendar'!$Y$1907=SPECIAL_LBL)*(INC_SPECIALS="Y"))=0,"",'Dvd Calendar'!$Y$1905)))</f>
        <v/>
      </c>
      <c r="X191" s="106">
        <f>IF(EZ191="","",IF(ISNUMBER('Dvd Calendar'!$Z$1905)=FALSE,"",IF((('Dvd Calendar'!$Z$1907=TYPE1)*(TYPE1&lt;&gt;"")+('Dvd Calendar'!$Z$1907=TYPE2)*(TYPE2&lt;&gt;"")+('Dvd Calendar'!$Z$1907=TYPE3)*(TYPE3&lt;&gt;"")+('Dvd Calendar'!$Z$1907=TYPE4)*(TYPE4&lt;&gt;"")+('Dvd Calendar'!$Z$1907=SPECIAL_LBL)*(INC_SPECIALS="Y"))=0,"",'Dvd Calendar'!$Z$1905)))</f>
        <v/>
      </c>
      <c r="Y191" s="106">
        <f>IF(FA191="","",IF(ISNUMBER('Dvd Calendar'!$AA$1905)=FALSE,"",IF((('Dvd Calendar'!$AA$1907=TYPE1)*(TYPE1&lt;&gt;"")+('Dvd Calendar'!$AA$1907=TYPE2)*(TYPE2&lt;&gt;"")+('Dvd Calendar'!$AA$1907=TYPE3)*(TYPE3&lt;&gt;"")+('Dvd Calendar'!$AA$1907=TYPE4)*(TYPE4&lt;&gt;"")+('Dvd Calendar'!$AA$1907=SPECIAL_LBL)*(INC_SPECIALS="Y"))=0,"",'Dvd Calendar'!$AA$1905)))</f>
        <v/>
      </c>
      <c r="Z191" s="106">
        <f>IF(FB191="","",IF(ISNUMBER('Dvd Calendar'!$AB$1905)=FALSE,"",IF((('Dvd Calendar'!$AB$1907=TYPE1)*(TYPE1&lt;&gt;"")+('Dvd Calendar'!$AB$1907=TYPE2)*(TYPE2&lt;&gt;"")+('Dvd Calendar'!$AB$1907=TYPE3)*(TYPE3&lt;&gt;"")+('Dvd Calendar'!$AB$1907=TYPE4)*(TYPE4&lt;&gt;"")+('Dvd Calendar'!$AB$1907=SPECIAL_LBL)*(INC_SPECIALS="Y"))=0,"",'Dvd Calendar'!$AB$1905)))</f>
        <v/>
      </c>
      <c r="AA191" s="106">
        <f>IF(FC191="","",IF(ISNUMBER('Dvd Calendar'!$AC$1905)=FALSE,"",IF((('Dvd Calendar'!$AC$1907=TYPE1)*(TYPE1&lt;&gt;"")+('Dvd Calendar'!$AC$1907=TYPE2)*(TYPE2&lt;&gt;"")+('Dvd Calendar'!$AC$1907=TYPE3)*(TYPE3&lt;&gt;"")+('Dvd Calendar'!$AC$1907=TYPE4)*(TYPE4&lt;&gt;"")+('Dvd Calendar'!$AC$1907=SPECIAL_LBL)*(INC_SPECIALS="Y"))=0,"",'Dvd Calendar'!$AC$1905)))</f>
        <v/>
      </c>
      <c r="AB191" s="106">
        <f>IF(FD191="","",IF(ISNUMBER('Dvd Calendar'!$AD$1905)=FALSE,"",IF((('Dvd Calendar'!$AD$1907=TYPE1)*(TYPE1&lt;&gt;"")+('Dvd Calendar'!$AD$1907=TYPE2)*(TYPE2&lt;&gt;"")+('Dvd Calendar'!$AD$1907=TYPE3)*(TYPE3&lt;&gt;"")+('Dvd Calendar'!$AD$1907=TYPE4)*(TYPE4&lt;&gt;"")+('Dvd Calendar'!$AD$1907=SPECIAL_LBL)*(INC_SPECIALS="Y"))=0,"",'Dvd Calendar'!$AD$1905)))</f>
        <v/>
      </c>
      <c r="AC191" s="106">
        <f>IF(FE191="","",IF(ISNUMBER('Dvd Calendar'!$AE$1905)=FALSE,"",IF((('Dvd Calendar'!$AE$1907=TYPE1)*(TYPE1&lt;&gt;"")+('Dvd Calendar'!$AE$1907=TYPE2)*(TYPE2&lt;&gt;"")+('Dvd Calendar'!$AE$1907=TYPE3)*(TYPE3&lt;&gt;"")+('Dvd Calendar'!$AE$1907=TYPE4)*(TYPE4&lt;&gt;"")+('Dvd Calendar'!$AE$1907=SPECIAL_LBL)*(INC_SPECIALS="Y"))=0,"",'Dvd Calendar'!$AE$1905)))</f>
        <v/>
      </c>
      <c r="AD191" s="106">
        <f>IF(FF191="","",IF(ISNUMBER('Dvd Calendar'!$AF$1905)=FALSE,"",IF((('Dvd Calendar'!$AF$1907=TYPE1)*(TYPE1&lt;&gt;"")+('Dvd Calendar'!$AF$1907=TYPE2)*(TYPE2&lt;&gt;"")+('Dvd Calendar'!$AF$1907=TYPE3)*(TYPE3&lt;&gt;"")+('Dvd Calendar'!$AF$1907=TYPE4)*(TYPE4&lt;&gt;"")+('Dvd Calendar'!$AF$1907=SPECIAL_LBL)*(INC_SPECIALS="Y"))=0,"",'Dvd Calendar'!$AF$1905)))</f>
        <v/>
      </c>
      <c r="AE191" s="106">
        <f>IF(FG191="","",IF(ISNUMBER('Dvd Calendar'!$AG$1905)=FALSE,"",IF((('Dvd Calendar'!$AG$1907=TYPE1)*(TYPE1&lt;&gt;"")+('Dvd Calendar'!$AG$1907=TYPE2)*(TYPE2&lt;&gt;"")+('Dvd Calendar'!$AG$1907=TYPE3)*(TYPE3&lt;&gt;"")+('Dvd Calendar'!$AG$1907=TYPE4)*(TYPE4&lt;&gt;"")+('Dvd Calendar'!$AG$1907=SPECIAL_LBL)*(INC_SPECIALS="Y"))=0,"",'Dvd Calendar'!$AG$1905)))</f>
        <v/>
      </c>
      <c r="AF191" s="106">
        <f>IF(FH191="","",IF(ISNUMBER('Dvd Calendar'!$AH$1905)=FALSE,"",IF((('Dvd Calendar'!$AH$1907=TYPE1)*(TYPE1&lt;&gt;"")+('Dvd Calendar'!$AH$1907=TYPE2)*(TYPE2&lt;&gt;"")+('Dvd Calendar'!$AH$1907=TYPE3)*(TYPE3&lt;&gt;"")+('Dvd Calendar'!$AH$1907=TYPE4)*(TYPE4&lt;&gt;"")+('Dvd Calendar'!$AH$1907=SPECIAL_LBL)*(INC_SPECIALS="Y"))=0,"",'Dvd Calendar'!$AH$1905)))</f>
        <v/>
      </c>
      <c r="AG191" s="106">
        <f>IF(FI191="","",IF(ISNUMBER('Dvd Calendar'!$AI$1905)=FALSE,"",IF((('Dvd Calendar'!$AI$1907=TYPE1)*(TYPE1&lt;&gt;"")+('Dvd Calendar'!$AI$1907=TYPE2)*(TYPE2&lt;&gt;"")+('Dvd Calendar'!$AI$1907=TYPE3)*(TYPE3&lt;&gt;"")+('Dvd Calendar'!$AI$1907=TYPE4)*(TYPE4&lt;&gt;"")+('Dvd Calendar'!$AI$1907=SPECIAL_LBL)*(INC_SPECIALS="Y"))=0,"",'Dvd Calendar'!$AI$1905)))</f>
        <v/>
      </c>
      <c r="AH191" s="106">
        <f>IF(FJ191="","",IF(ISNUMBER('Dvd Calendar'!$AJ$1905)=FALSE,"",IF((('Dvd Calendar'!$AJ$1907=TYPE1)*(TYPE1&lt;&gt;"")+('Dvd Calendar'!$AJ$1907=TYPE2)*(TYPE2&lt;&gt;"")+('Dvd Calendar'!$AJ$1907=TYPE3)*(TYPE3&lt;&gt;"")+('Dvd Calendar'!$AJ$1907=TYPE4)*(TYPE4&lt;&gt;"")+('Dvd Calendar'!$AJ$1907=SPECIAL_LBL)*(INC_SPECIALS="Y"))=0,"",'Dvd Calendar'!$AJ$1905)))</f>
        <v/>
      </c>
      <c r="AI191" s="106">
        <f>IF(FK191="","",IF(ISNUMBER('Dvd Calendar'!$AK$1905)=FALSE,"",IF((('Dvd Calendar'!$AK$1907=TYPE1)*(TYPE1&lt;&gt;"")+('Dvd Calendar'!$AK$1907=TYPE2)*(TYPE2&lt;&gt;"")+('Dvd Calendar'!$AK$1907=TYPE3)*(TYPE3&lt;&gt;"")+('Dvd Calendar'!$AK$1907=TYPE4)*(TYPE4&lt;&gt;"")+('Dvd Calendar'!$AK$1907=SPECIAL_LBL)*(INC_SPECIALS="Y"))=0,"",'Dvd Calendar'!$AK$1905)))</f>
        <v/>
      </c>
      <c r="AJ191" s="106">
        <f>IF(FL191="","",IF(ISNUMBER('Dvd Calendar'!$AL$1905)=FALSE,"",IF((('Dvd Calendar'!$AL$1907=TYPE1)*(TYPE1&lt;&gt;"")+('Dvd Calendar'!$AL$1907=TYPE2)*(TYPE2&lt;&gt;"")+('Dvd Calendar'!$AL$1907=TYPE3)*(TYPE3&lt;&gt;"")+('Dvd Calendar'!$AL$1907=TYPE4)*(TYPE4&lt;&gt;"")+('Dvd Calendar'!$AL$1907=SPECIAL_LBL)*(INC_SPECIALS="Y"))=0,"",'Dvd Calendar'!$AL$1905)))</f>
        <v/>
      </c>
      <c r="AK191" s="106">
        <f>IF(FM191="","",IF(ISNUMBER('Dvd Calendar'!$AM$1905)=FALSE,"",IF((('Dvd Calendar'!$AM$1907=TYPE1)*(TYPE1&lt;&gt;"")+('Dvd Calendar'!$AM$1907=TYPE2)*(TYPE2&lt;&gt;"")+('Dvd Calendar'!$AM$1907=TYPE3)*(TYPE3&lt;&gt;"")+('Dvd Calendar'!$AM$1907=TYPE4)*(TYPE4&lt;&gt;"")+('Dvd Calendar'!$AM$1907=SPECIAL_LBL)*(INC_SPECIALS="Y"))=0,"",'Dvd Calendar'!$AM$1905)))</f>
        <v/>
      </c>
      <c r="AL191" s="106">
        <f>IF(FN191="","",IF(ISNUMBER('Dvd Calendar'!$AN$1905)=FALSE,"",IF((('Dvd Calendar'!$AN$1907=TYPE1)*(TYPE1&lt;&gt;"")+('Dvd Calendar'!$AN$1907=TYPE2)*(TYPE2&lt;&gt;"")+('Dvd Calendar'!$AN$1907=TYPE3)*(TYPE3&lt;&gt;"")+('Dvd Calendar'!$AN$1907=TYPE4)*(TYPE4&lt;&gt;"")+('Dvd Calendar'!$AN$1907=SPECIAL_LBL)*(INC_SPECIALS="Y"))=0,"",'Dvd Calendar'!$AN$1905)))</f>
        <v/>
      </c>
      <c r="AM191" s="106">
        <f>IF(FO191="","",IF(ISNUMBER('Dvd Calendar'!$AO$1905)=FALSE,"",IF((('Dvd Calendar'!$AO$1907=TYPE1)*(TYPE1&lt;&gt;"")+('Dvd Calendar'!$AO$1907=TYPE2)*(TYPE2&lt;&gt;"")+('Dvd Calendar'!$AO$1907=TYPE3)*(TYPE3&lt;&gt;"")+('Dvd Calendar'!$AO$1907=TYPE4)*(TYPE4&lt;&gt;"")+('Dvd Calendar'!$AO$1907=SPECIAL_LBL)*(INC_SPECIALS="Y"))=0,"",'Dvd Calendar'!$AO$1905)))</f>
        <v/>
      </c>
      <c r="AN191" s="106">
        <f>IF(FP191="","",IF(ISNUMBER('Dvd Calendar'!$AP$1905)=FALSE,"",IF((('Dvd Calendar'!$AP$1907=TYPE1)*(TYPE1&lt;&gt;"")+('Dvd Calendar'!$AP$1907=TYPE2)*(TYPE2&lt;&gt;"")+('Dvd Calendar'!$AP$1907=TYPE3)*(TYPE3&lt;&gt;"")+('Dvd Calendar'!$AP$1907=TYPE4)*(TYPE4&lt;&gt;"")+('Dvd Calendar'!$AP$1907=SPECIAL_LBL)*(INC_SPECIALS="Y"))=0,"",'Dvd Calendar'!$AP$1905)))</f>
        <v/>
      </c>
      <c r="AO191" s="106">
        <f>IF(FQ191="","",IF(ISNUMBER('Dvd Calendar'!$AQ$1905)=FALSE,"",IF((('Dvd Calendar'!$AQ$1907=TYPE1)*(TYPE1&lt;&gt;"")+('Dvd Calendar'!$AQ$1907=TYPE2)*(TYPE2&lt;&gt;"")+('Dvd Calendar'!$AQ$1907=TYPE3)*(TYPE3&lt;&gt;"")+('Dvd Calendar'!$AQ$1907=TYPE4)*(TYPE4&lt;&gt;"")+('Dvd Calendar'!$AQ$1907=SPECIAL_LBL)*(INC_SPECIALS="Y"))=0,"",'Dvd Calendar'!$AQ$1905)))</f>
        <v/>
      </c>
      <c r="AP191" s="106">
        <f>IF(FR191="","",IF(ISNUMBER('Dvd Calendar'!$AR$1905)=FALSE,"",IF((('Dvd Calendar'!$AR$1907=TYPE1)*(TYPE1&lt;&gt;"")+('Dvd Calendar'!$AR$1907=TYPE2)*(TYPE2&lt;&gt;"")+('Dvd Calendar'!$AR$1907=TYPE3)*(TYPE3&lt;&gt;"")+('Dvd Calendar'!$AR$1907=TYPE4)*(TYPE4&lt;&gt;"")+('Dvd Calendar'!$AR$1907=SPECIAL_LBL)*(INC_SPECIALS="Y"))=0,"",'Dvd Calendar'!$AR$1905)))</f>
        <v/>
      </c>
      <c r="AQ191" s="106">
        <f>IF(FS191="","",IF(ISNUMBER('Dvd Calendar'!$E$1910)=FALSE,"",'Dvd Calendar'!$E$1910))</f>
        <v/>
      </c>
      <c r="AR191" s="106">
        <f>IF(FT191="","",IF(ISNUMBER('Dvd Calendar'!$F$1910)=FALSE,"",'Dvd Calendar'!$F$1910))</f>
        <v/>
      </c>
      <c r="AS191" s="106">
        <f>IF(FU191="","",IF(ISNUMBER('Dvd Calendar'!$G$1910)=FALSE,"",'Dvd Calendar'!$G$1910))</f>
        <v/>
      </c>
      <c r="AT191" s="106">
        <f>IF(FV191="","",IF(ISNUMBER('Dvd Calendar'!$H$1910)=FALSE,"",'Dvd Calendar'!$H$1910))</f>
        <v/>
      </c>
      <c r="AU191" s="106">
        <f>IF(FW191="","",IF(ISNUMBER('Dvd Calendar'!$I$1910)=FALSE,"",'Dvd Calendar'!$I$1910))</f>
        <v/>
      </c>
      <c r="AV191" s="106">
        <f>IF(FX191="","",IF(ISNUMBER('Dvd Calendar'!$J$1910)=FALSE,"",'Dvd Calendar'!$J$1910))</f>
        <v/>
      </c>
      <c r="AW191" s="106">
        <f>IF(FY191="","",IF(ISNUMBER('Dvd Calendar'!$K$1910)=FALSE,"",'Dvd Calendar'!$K$1910))</f>
        <v/>
      </c>
      <c r="AX191" s="106">
        <f>IF(FZ191="","",IF(ISNUMBER('Dvd Calendar'!$L$1910)=FALSE,"",'Dvd Calendar'!$L$1910))</f>
        <v/>
      </c>
      <c r="AY191" s="106">
        <f>IF(GA191="","",IF(ISNUMBER('Dvd Calendar'!$M$1910)=FALSE,"",'Dvd Calendar'!$M$1910))</f>
        <v/>
      </c>
      <c r="AZ191" s="106">
        <f>IF(GB191="","",IF(ISNUMBER('Dvd Calendar'!$N$1910)=FALSE,"",'Dvd Calendar'!$N$1910))</f>
        <v/>
      </c>
      <c r="BA191" s="106">
        <f>IF(GC191="","",IF(ISNUMBER('Dvd Calendar'!$O$1910)=FALSE,"",'Dvd Calendar'!$O$1910))</f>
        <v/>
      </c>
      <c r="BB191" s="106">
        <f>IF(GD191="","",IF(ISNUMBER('Dvd Calendar'!$P$1910)=FALSE,"",'Dvd Calendar'!$P$1910))</f>
        <v/>
      </c>
      <c r="BC191" s="106">
        <f>IF(GE191="","",IF(ISNUMBER('Dvd Calendar'!$Q$1910)=FALSE,"",'Dvd Calendar'!$Q$1910))</f>
        <v/>
      </c>
      <c r="BD191" s="106">
        <f>IF(GF191="","",IF(ISNUMBER('Dvd Calendar'!$R$1910)=FALSE,"",'Dvd Calendar'!$R$1910))</f>
        <v/>
      </c>
      <c r="BE191" s="106">
        <f>IF(GG191="","",IF(ISNUMBER('Dvd Calendar'!$S$1910)=FALSE,"",'Dvd Calendar'!$S$1910))</f>
        <v/>
      </c>
      <c r="BF191" s="106">
        <f>IF(GH191="","",IF(ISNUMBER('Dvd Calendar'!$T$1910)=FALSE,"",'Dvd Calendar'!$T$1910))</f>
        <v/>
      </c>
      <c r="BG191" s="106">
        <f>IF(GI191="","",IF(ISNUMBER('Dvd Calendar'!$U$1910)=FALSE,"",'Dvd Calendar'!$U$1910))</f>
        <v/>
      </c>
      <c r="BH191" s="106">
        <f>IF(GJ191="","",IF(ISNUMBER('Dvd Calendar'!$V$1910)=FALSE,"",'Dvd Calendar'!$V$1910))</f>
        <v/>
      </c>
      <c r="BI191" s="106">
        <f>IF(GK191="","",IF(ISNUMBER('Dvd Calendar'!$W$1910)=FALSE,"",'Dvd Calendar'!$W$1910))</f>
        <v/>
      </c>
      <c r="BJ191" s="106">
        <f>IF(GL191="","",IF(ISNUMBER('Dvd Calendar'!$X$1910)=FALSE,"",'Dvd Calendar'!$X$1910))</f>
        <v/>
      </c>
      <c r="BK191" s="106">
        <f>IF(GM191="","",IF(ISNUMBER('Dvd Calendar'!$Y$1910)=FALSE,"",'Dvd Calendar'!$Y$1910))</f>
        <v/>
      </c>
      <c r="BL191" s="106">
        <f>IF(GN191="","",IF(ISNUMBER('Dvd Calendar'!$Z$1910)=FALSE,"",'Dvd Calendar'!$Z$1910))</f>
        <v/>
      </c>
      <c r="BM191" s="106">
        <f>IF(GO191="","",IF(ISNUMBER('Dvd Calendar'!$AA$1910)=FALSE,"",'Dvd Calendar'!$AA$1910))</f>
        <v/>
      </c>
      <c r="BN191" s="106">
        <f>IF(GP191="","",IF(ISNUMBER('Dvd Calendar'!$AB$1910)=FALSE,"",'Dvd Calendar'!$AB$1910))</f>
        <v/>
      </c>
      <c r="BO191" s="106">
        <f>IF(GQ191="","",IF(ISNUMBER('Dvd Calendar'!$AC$1910)=FALSE,"",'Dvd Calendar'!$AC$1910))</f>
        <v/>
      </c>
      <c r="BQ191" s="106">
        <f>IF(C191="","",IFERROR(C191*HSCEI!$B$38*HSCEI!$G$38/HSCEI!$B$3,""))</f>
        <v/>
      </c>
      <c r="BR191" s="106">
        <f>IF(D191="","",IFERROR(D191*HSCEI!$B$38*HSCEI!$G$38/HSCEI!$B$3,""))</f>
        <v/>
      </c>
      <c r="BS191" s="106">
        <f>IF(E191="","",IFERROR(E191*HSCEI!$B$38*HSCEI!$G$38/HSCEI!$B$3,""))</f>
        <v/>
      </c>
      <c r="BT191" s="106">
        <f>IF(F191="","",IFERROR(F191*HSCEI!$B$38*HSCEI!$G$38/HSCEI!$B$3,""))</f>
        <v/>
      </c>
      <c r="BU191" s="106">
        <f>IF(G191="","",IFERROR(G191*HSCEI!$B$38*HSCEI!$G$38/HSCEI!$B$3,""))</f>
        <v/>
      </c>
      <c r="BV191" s="106">
        <f>IF(H191="","",IFERROR(H191*HSCEI!$B$38*HSCEI!$G$38/HSCEI!$B$3,""))</f>
        <v/>
      </c>
      <c r="BW191" s="106">
        <f>IF(I191="","",IFERROR(I191*HSCEI!$B$38*HSCEI!$G$38/HSCEI!$B$3,""))</f>
        <v/>
      </c>
      <c r="BX191" s="106">
        <f>IF(J191="","",IFERROR(J191*HSCEI!$B$38*HSCEI!$G$38/HSCEI!$B$3,""))</f>
        <v/>
      </c>
      <c r="BY191" s="106">
        <f>IF(K191="","",IFERROR(K191*HSCEI!$B$38*HSCEI!$G$38/HSCEI!$B$3,""))</f>
        <v/>
      </c>
      <c r="BZ191" s="106">
        <f>IF(L191="","",IFERROR(L191*HSCEI!$B$38*HSCEI!$G$38/HSCEI!$B$3,""))</f>
        <v/>
      </c>
      <c r="CA191" s="106">
        <f>IF(M191="","",IFERROR(M191*HSCEI!$B$38*HSCEI!$G$38/HSCEI!$B$3,""))</f>
        <v/>
      </c>
      <c r="CB191" s="106">
        <f>IF(N191="","",IFERROR(N191*HSCEI!$B$38*HSCEI!$G$38/HSCEI!$B$3,""))</f>
        <v/>
      </c>
      <c r="CC191" s="106">
        <f>IF(O191="","",IFERROR(O191*HSCEI!$B$38*HSCEI!$G$38/HSCEI!$B$3,""))</f>
        <v/>
      </c>
      <c r="CD191" s="106">
        <f>IF(P191="","",IFERROR(P191*HSCEI!$B$38*HSCEI!$G$38/HSCEI!$B$3,""))</f>
        <v/>
      </c>
      <c r="CE191" s="106">
        <f>IF(Q191="","",IFERROR(Q191*HSCEI!$B$38*HSCEI!$G$38/HSCEI!$B$3,""))</f>
        <v/>
      </c>
      <c r="CF191" s="106">
        <f>IF(R191="","",IFERROR(R191*HSCEI!$B$38*HSCEI!$G$38/HSCEI!$B$3,""))</f>
        <v/>
      </c>
      <c r="CG191" s="106">
        <f>IF(S191="","",IFERROR(S191*HSCEI!$B$38*HSCEI!$G$38/HSCEI!$B$3,""))</f>
        <v/>
      </c>
      <c r="CH191" s="106">
        <f>IF(T191="","",IFERROR(T191*HSCEI!$B$38*HSCEI!$G$38/HSCEI!$B$3,""))</f>
        <v/>
      </c>
      <c r="CI191" s="106">
        <f>IF(U191="","",IFERROR(U191*HSCEI!$B$38*HSCEI!$G$38/HSCEI!$B$3,""))</f>
        <v/>
      </c>
      <c r="CJ191" s="106">
        <f>IF(V191="","",IFERROR(V191*HSCEI!$B$38*HSCEI!$G$38/HSCEI!$B$3,""))</f>
        <v/>
      </c>
      <c r="CK191" s="106">
        <f>IF(W191="","",IFERROR(W191*HSCEI!$B$38*HSCEI!$G$38/HSCEI!$B$3,""))</f>
        <v/>
      </c>
      <c r="CL191" s="106">
        <f>IF(X191="","",IFERROR(X191*HSCEI!$B$38*HSCEI!$G$38/HSCEI!$B$3,""))</f>
        <v/>
      </c>
      <c r="CM191" s="106">
        <f>IF(Y191="","",IFERROR(Y191*HSCEI!$B$38*HSCEI!$G$38/HSCEI!$B$3,""))</f>
        <v/>
      </c>
      <c r="CN191" s="106">
        <f>IF(Z191="","",IFERROR(Z191*HSCEI!$B$38*HSCEI!$G$38/HSCEI!$B$3,""))</f>
        <v/>
      </c>
      <c r="CO191" s="106">
        <f>IF(AA191="","",IFERROR(AA191*HSCEI!$B$38*HSCEI!$G$38/HSCEI!$B$3,""))</f>
        <v/>
      </c>
      <c r="CP191" s="106">
        <f>IF(AB191="","",IFERROR(AB191*HSCEI!$B$38*HSCEI!$G$38/HSCEI!$B$3,""))</f>
        <v/>
      </c>
      <c r="CQ191" s="106">
        <f>IF(AC191="","",IFERROR(AC191*HSCEI!$B$38*HSCEI!$G$38/HSCEI!$B$3,""))</f>
        <v/>
      </c>
      <c r="CR191" s="106">
        <f>IF(AD191="","",IFERROR(AD191*HSCEI!$B$38*HSCEI!$G$38/HSCEI!$B$3,""))</f>
        <v/>
      </c>
      <c r="CS191" s="106">
        <f>IF(AE191="","",IFERROR(AE191*HSCEI!$B$38*HSCEI!$G$38/HSCEI!$B$3,""))</f>
        <v/>
      </c>
      <c r="CT191" s="106">
        <f>IF(AF191="","",IFERROR(AF191*HSCEI!$B$38*HSCEI!$G$38/HSCEI!$B$3,""))</f>
        <v/>
      </c>
      <c r="CU191" s="106">
        <f>IF(AG191="","",IFERROR(AG191*HSCEI!$B$38*HSCEI!$G$38/HSCEI!$B$3,""))</f>
        <v/>
      </c>
      <c r="CV191" s="106">
        <f>IF(AH191="","",IFERROR(AH191*HSCEI!$B$38*HSCEI!$G$38/HSCEI!$B$3,""))</f>
        <v/>
      </c>
      <c r="CW191" s="106">
        <f>IF(AI191="","",IFERROR(AI191*HSCEI!$B$38*HSCEI!$G$38/HSCEI!$B$3,""))</f>
        <v/>
      </c>
      <c r="CX191" s="106">
        <f>IF(AJ191="","",IFERROR(AJ191*HSCEI!$B$38*HSCEI!$G$38/HSCEI!$B$3,""))</f>
        <v/>
      </c>
      <c r="CY191" s="106">
        <f>IF(AK191="","",IFERROR(AK191*HSCEI!$B$38*HSCEI!$G$38/HSCEI!$B$3,""))</f>
        <v/>
      </c>
      <c r="CZ191" s="106">
        <f>IF(AL191="","",IFERROR(AL191*HSCEI!$B$38*HSCEI!$G$38/HSCEI!$B$3,""))</f>
        <v/>
      </c>
      <c r="DA191" s="106">
        <f>IF(AM191="","",IFERROR(AM191*HSCEI!$B$38*HSCEI!$G$38/HSCEI!$B$3,""))</f>
        <v/>
      </c>
      <c r="DB191" s="106">
        <f>IF(AN191="","",IFERROR(AN191*HSCEI!$B$38*HSCEI!$G$38/HSCEI!$B$3,""))</f>
        <v/>
      </c>
      <c r="DC191" s="106">
        <f>IF(AO191="","",IFERROR(AO191*HSCEI!$B$38*HSCEI!$G$38/HSCEI!$B$3,""))</f>
        <v/>
      </c>
      <c r="DD191" s="106">
        <f>IF(AP191="","",IFERROR(AP191*HSCEI!$B$38*HSCEI!$G$38/HSCEI!$B$3,""))</f>
        <v/>
      </c>
      <c r="DE191" s="106">
        <f>IF(AQ191="","",IFERROR(AQ191*HSCEI!$B$38*HSCEI!$G$38/HSCEI!$B$3,""))</f>
        <v/>
      </c>
      <c r="DF191" s="106">
        <f>IF(AR191="","",IFERROR(AR191*HSCEI!$B$38*HSCEI!$G$38/HSCEI!$B$3,""))</f>
        <v/>
      </c>
      <c r="DG191" s="106">
        <f>IF(AS191="","",IFERROR(AS191*HSCEI!$B$38*HSCEI!$G$38/HSCEI!$B$3,""))</f>
        <v/>
      </c>
      <c r="DH191" s="106">
        <f>IF(AT191="","",IFERROR(AT191*HSCEI!$B$38*HSCEI!$G$38/HSCEI!$B$3,""))</f>
        <v/>
      </c>
      <c r="DI191" s="106">
        <f>IF(AU191="","",IFERROR(AU191*HSCEI!$B$38*HSCEI!$G$38/HSCEI!$B$3,""))</f>
        <v/>
      </c>
      <c r="DJ191" s="106">
        <f>IF(AV191="","",IFERROR(AV191*HSCEI!$B$38*HSCEI!$G$38/HSCEI!$B$3,""))</f>
        <v/>
      </c>
      <c r="DK191" s="106">
        <f>IF(AW191="","",IFERROR(AW191*HSCEI!$B$38*HSCEI!$G$38/HSCEI!$B$3,""))</f>
        <v/>
      </c>
      <c r="DL191" s="106">
        <f>IF(AX191="","",IFERROR(AX191*HSCEI!$B$38*HSCEI!$G$38/HSCEI!$B$3,""))</f>
        <v/>
      </c>
      <c r="DM191" s="106">
        <f>IF(AY191="","",IFERROR(AY191*HSCEI!$B$38*HSCEI!$G$38/HSCEI!$B$3,""))</f>
        <v/>
      </c>
      <c r="DN191" s="106">
        <f>IF(AZ191="","",IFERROR(AZ191*HSCEI!$B$38*HSCEI!$G$38/HSCEI!$B$3,""))</f>
        <v/>
      </c>
      <c r="DO191" s="106">
        <f>IF(BA191="","",IFERROR(BA191*HSCEI!$B$38*HSCEI!$G$38/HSCEI!$B$3,""))</f>
        <v/>
      </c>
      <c r="DP191" s="106">
        <f>IF(BB191="","",IFERROR(BB191*HSCEI!$B$38*HSCEI!$G$38/HSCEI!$B$3,""))</f>
        <v/>
      </c>
      <c r="DQ191" s="106">
        <f>IF(BC191="","",IFERROR(BC191*HSCEI!$B$38*HSCEI!$G$38/HSCEI!$B$3,""))</f>
        <v/>
      </c>
      <c r="DR191" s="106">
        <f>IF(BD191="","",IFERROR(BD191*HSCEI!$B$38*HSCEI!$G$38/HSCEI!$B$3,""))</f>
        <v/>
      </c>
      <c r="DS191" s="106">
        <f>IF(BE191="","",IFERROR(BE191*HSCEI!$B$38*HSCEI!$G$38/HSCEI!$B$3,""))</f>
        <v/>
      </c>
      <c r="DT191" s="106">
        <f>IF(BF191="","",IFERROR(BF191*HSCEI!$B$38*HSCEI!$G$38/HSCEI!$B$3,""))</f>
        <v/>
      </c>
      <c r="DU191" s="106">
        <f>IF(BG191="","",IFERROR(BG191*HSCEI!$B$38*HSCEI!$G$38/HSCEI!$B$3,""))</f>
        <v/>
      </c>
      <c r="DV191" s="106">
        <f>IF(BH191="","",IFERROR(BH191*HSCEI!$B$38*HSCEI!$G$38/HSCEI!$B$3,""))</f>
        <v/>
      </c>
      <c r="DW191" s="106">
        <f>IF(BI191="","",IFERROR(BI191*HSCEI!$B$38*HSCEI!$G$38/HSCEI!$B$3,""))</f>
        <v/>
      </c>
      <c r="DX191" s="106">
        <f>IF(BJ191="","",IFERROR(BJ191*HSCEI!$B$38*HSCEI!$G$38/HSCEI!$B$3,""))</f>
        <v/>
      </c>
      <c r="DY191" s="106">
        <f>IF(BK191="","",IFERROR(BK191*HSCEI!$B$38*HSCEI!$G$38/HSCEI!$B$3,""))</f>
        <v/>
      </c>
      <c r="DZ191" s="106">
        <f>IF(BL191="","",IFERROR(BL191*HSCEI!$B$38*HSCEI!$G$38/HSCEI!$B$3,""))</f>
        <v/>
      </c>
      <c r="EA191" s="106">
        <f>IF(BM191="","",IFERROR(BM191*HSCEI!$B$38*HSCEI!$G$38/HSCEI!$B$3,""))</f>
        <v/>
      </c>
      <c r="EB191" s="106">
        <f>IF(BN191="","",IFERROR(BN191*HSCEI!$B$38*HSCEI!$G$38/HSCEI!$B$3,""))</f>
        <v/>
      </c>
      <c r="EC191" s="106">
        <f>IF(BO191="","",IFERROR(BO191*HSCEI!$B$38*HSCEI!$G$38/HSCEI!$B$3,""))</f>
        <v/>
      </c>
      <c r="EE191" s="35">
        <f>IF(N('Dvd Calendar'!$E$1902)=0,"",IF(('Dvd Calendar'!$E$1902&gt;=GRID_FROM)*('Dvd Calendar'!$E$1902&lt;=GRID_TO)*('Dvd Calendar'!$E$1902&lt;=VAL_DATE)=0,"",'Dvd Calendar'!$E$1902*1000000000+ISNUMBER('Dvd Calendar'!$E$1905)*100000000+('Dvd Calendar'!$E$1907=SPECIAL_LBL)*10000000+0*1000000+32*1000+1))</f>
        <v/>
      </c>
      <c r="EF191" s="35">
        <f>IF(N('Dvd Calendar'!$F$1902)=0,"",IF(('Dvd Calendar'!$F$1902&gt;=GRID_FROM)*('Dvd Calendar'!$F$1902&lt;=GRID_TO)*('Dvd Calendar'!$F$1902&lt;=VAL_DATE)=0,"",'Dvd Calendar'!$F$1902*1000000000+ISNUMBER('Dvd Calendar'!$F$1905)*100000000+('Dvd Calendar'!$F$1907=SPECIAL_LBL)*10000000+0*1000000+32*1000+2))</f>
        <v/>
      </c>
      <c r="EG191" s="35">
        <f>IF(N('Dvd Calendar'!$G$1902)=0,"",IF(('Dvd Calendar'!$G$1902&gt;=GRID_FROM)*('Dvd Calendar'!$G$1902&lt;=GRID_TO)*('Dvd Calendar'!$G$1902&lt;=VAL_DATE)=0,"",'Dvd Calendar'!$G$1902*1000000000+ISNUMBER('Dvd Calendar'!$G$1905)*100000000+('Dvd Calendar'!$G$1907=SPECIAL_LBL)*10000000+0*1000000+32*1000+3))</f>
        <v/>
      </c>
      <c r="EH191" s="35">
        <f>IF(N('Dvd Calendar'!$H$1902)=0,"",IF(('Dvd Calendar'!$H$1902&gt;=GRID_FROM)*('Dvd Calendar'!$H$1902&lt;=GRID_TO)*('Dvd Calendar'!$H$1902&lt;=VAL_DATE)=0,"",'Dvd Calendar'!$H$1902*1000000000+ISNUMBER('Dvd Calendar'!$H$1905)*100000000+('Dvd Calendar'!$H$1907=SPECIAL_LBL)*10000000+0*1000000+32*1000+4))</f>
        <v/>
      </c>
      <c r="EI191" s="35">
        <f>IF(N('Dvd Calendar'!$I$1902)=0,"",IF(('Dvd Calendar'!$I$1902&gt;=GRID_FROM)*('Dvd Calendar'!$I$1902&lt;=GRID_TO)*('Dvd Calendar'!$I$1902&lt;=VAL_DATE)=0,"",'Dvd Calendar'!$I$1902*1000000000+ISNUMBER('Dvd Calendar'!$I$1905)*100000000+('Dvd Calendar'!$I$1907=SPECIAL_LBL)*10000000+0*1000000+32*1000+5))</f>
        <v/>
      </c>
      <c r="EJ191" s="35">
        <f>IF(N('Dvd Calendar'!$J$1902)=0,"",IF(('Dvd Calendar'!$J$1902&gt;=GRID_FROM)*('Dvd Calendar'!$J$1902&lt;=GRID_TO)*('Dvd Calendar'!$J$1902&lt;=VAL_DATE)=0,"",'Dvd Calendar'!$J$1902*1000000000+ISNUMBER('Dvd Calendar'!$J$1905)*100000000+('Dvd Calendar'!$J$1907=SPECIAL_LBL)*10000000+0*1000000+32*1000+6))</f>
        <v/>
      </c>
      <c r="EK191" s="35">
        <f>IF(N('Dvd Calendar'!$K$1902)=0,"",IF(('Dvd Calendar'!$K$1902&gt;=GRID_FROM)*('Dvd Calendar'!$K$1902&lt;=GRID_TO)*('Dvd Calendar'!$K$1902&lt;=VAL_DATE)=0,"",'Dvd Calendar'!$K$1902*1000000000+ISNUMBER('Dvd Calendar'!$K$1905)*100000000+('Dvd Calendar'!$K$1907=SPECIAL_LBL)*10000000+0*1000000+32*1000+7))</f>
        <v/>
      </c>
      <c r="EL191" s="35">
        <f>IF(N('Dvd Calendar'!$L$1902)=0,"",IF(('Dvd Calendar'!$L$1902&gt;=GRID_FROM)*('Dvd Calendar'!$L$1902&lt;=GRID_TO)*('Dvd Calendar'!$L$1902&lt;=VAL_DATE)=0,"",'Dvd Calendar'!$L$1902*1000000000+ISNUMBER('Dvd Calendar'!$L$1905)*100000000+('Dvd Calendar'!$L$1907=SPECIAL_LBL)*10000000+0*1000000+32*1000+8))</f>
        <v/>
      </c>
      <c r="EM191" s="35">
        <f>IF(N('Dvd Calendar'!$M$1902)=0,"",IF(('Dvd Calendar'!$M$1902&gt;=GRID_FROM)*('Dvd Calendar'!$M$1902&lt;=GRID_TO)*('Dvd Calendar'!$M$1902&lt;=VAL_DATE)=0,"",'Dvd Calendar'!$M$1902*1000000000+ISNUMBER('Dvd Calendar'!$M$1905)*100000000+('Dvd Calendar'!$M$1907=SPECIAL_LBL)*10000000+0*1000000+32*1000+9))</f>
        <v/>
      </c>
      <c r="EN191" s="35">
        <f>IF(N('Dvd Calendar'!$N$1902)=0,"",IF(('Dvd Calendar'!$N$1902&gt;=GRID_FROM)*('Dvd Calendar'!$N$1902&lt;=GRID_TO)*('Dvd Calendar'!$N$1902&lt;=VAL_DATE)=0,"",'Dvd Calendar'!$N$1902*1000000000+ISNUMBER('Dvd Calendar'!$N$1905)*100000000+('Dvd Calendar'!$N$1907=SPECIAL_LBL)*10000000+0*1000000+32*1000+10))</f>
        <v/>
      </c>
      <c r="EO191" s="35">
        <f>IF(N('Dvd Calendar'!$O$1902)=0,"",IF(('Dvd Calendar'!$O$1902&gt;=GRID_FROM)*('Dvd Calendar'!$O$1902&lt;=GRID_TO)*('Dvd Calendar'!$O$1902&lt;=VAL_DATE)=0,"",'Dvd Calendar'!$O$1902*1000000000+ISNUMBER('Dvd Calendar'!$O$1905)*100000000+('Dvd Calendar'!$O$1907=SPECIAL_LBL)*10000000+0*1000000+32*1000+11))</f>
        <v/>
      </c>
      <c r="EP191" s="35">
        <f>IF(N('Dvd Calendar'!$P$1902)=0,"",IF(('Dvd Calendar'!$P$1902&gt;=GRID_FROM)*('Dvd Calendar'!$P$1902&lt;=GRID_TO)*('Dvd Calendar'!$P$1902&lt;=VAL_DATE)=0,"",'Dvd Calendar'!$P$1902*1000000000+ISNUMBER('Dvd Calendar'!$P$1905)*100000000+('Dvd Calendar'!$P$1907=SPECIAL_LBL)*10000000+0*1000000+32*1000+12))</f>
        <v/>
      </c>
      <c r="EQ191" s="35">
        <f>IF(N('Dvd Calendar'!$Q$1902)=0,"",IF(('Dvd Calendar'!$Q$1902&gt;=GRID_FROM)*('Dvd Calendar'!$Q$1902&lt;=GRID_TO)*('Dvd Calendar'!$Q$1902&lt;=VAL_DATE)=0,"",'Dvd Calendar'!$Q$1902*1000000000+ISNUMBER('Dvd Calendar'!$Q$1905)*100000000+('Dvd Calendar'!$Q$1907=SPECIAL_LBL)*10000000+0*1000000+32*1000+13))</f>
        <v/>
      </c>
      <c r="ER191" s="35">
        <f>IF(N('Dvd Calendar'!$R$1902)=0,"",IF(('Dvd Calendar'!$R$1902&gt;=GRID_FROM)*('Dvd Calendar'!$R$1902&lt;=GRID_TO)*('Dvd Calendar'!$R$1902&lt;=VAL_DATE)=0,"",'Dvd Calendar'!$R$1902*1000000000+ISNUMBER('Dvd Calendar'!$R$1905)*100000000+('Dvd Calendar'!$R$1907=SPECIAL_LBL)*10000000+0*1000000+32*1000+14))</f>
        <v/>
      </c>
      <c r="ES191" s="35">
        <f>IF(N('Dvd Calendar'!$S$1902)=0,"",IF(('Dvd Calendar'!$S$1902&gt;=GRID_FROM)*('Dvd Calendar'!$S$1902&lt;=GRID_TO)*('Dvd Calendar'!$S$1902&lt;=VAL_DATE)=0,"",'Dvd Calendar'!$S$1902*1000000000+ISNUMBER('Dvd Calendar'!$S$1905)*100000000+('Dvd Calendar'!$S$1907=SPECIAL_LBL)*10000000+0*1000000+32*1000+15))</f>
        <v/>
      </c>
      <c r="ET191" s="35">
        <f>IF(N('Dvd Calendar'!$T$1902)=0,"",IF(('Dvd Calendar'!$T$1902&gt;=GRID_FROM)*('Dvd Calendar'!$T$1902&lt;=GRID_TO)*('Dvd Calendar'!$T$1902&lt;=VAL_DATE)=0,"",'Dvd Calendar'!$T$1902*1000000000+ISNUMBER('Dvd Calendar'!$T$1905)*100000000+('Dvd Calendar'!$T$1907=SPECIAL_LBL)*10000000+0*1000000+32*1000+16))</f>
        <v/>
      </c>
      <c r="EU191" s="35">
        <f>IF(N('Dvd Calendar'!$U$1902)=0,"",IF(('Dvd Calendar'!$U$1902&gt;=GRID_FROM)*('Dvd Calendar'!$U$1902&lt;=GRID_TO)*('Dvd Calendar'!$U$1902&lt;=VAL_DATE)=0,"",'Dvd Calendar'!$U$1902*1000000000+ISNUMBER('Dvd Calendar'!$U$1905)*100000000+('Dvd Calendar'!$U$1907=SPECIAL_LBL)*10000000+0*1000000+32*1000+17))</f>
        <v/>
      </c>
      <c r="EV191" s="35">
        <f>IF(N('Dvd Calendar'!$V$1902)=0,"",IF(('Dvd Calendar'!$V$1902&gt;=GRID_FROM)*('Dvd Calendar'!$V$1902&lt;=GRID_TO)*('Dvd Calendar'!$V$1902&lt;=VAL_DATE)=0,"",'Dvd Calendar'!$V$1902*1000000000+ISNUMBER('Dvd Calendar'!$V$1905)*100000000+('Dvd Calendar'!$V$1907=SPECIAL_LBL)*10000000+0*1000000+32*1000+18))</f>
        <v/>
      </c>
      <c r="EW191" s="35">
        <f>IF(N('Dvd Calendar'!$W$1902)=0,"",IF(('Dvd Calendar'!$W$1902&gt;=GRID_FROM)*('Dvd Calendar'!$W$1902&lt;=GRID_TO)*('Dvd Calendar'!$W$1902&lt;=VAL_DATE)=0,"",'Dvd Calendar'!$W$1902*1000000000+ISNUMBER('Dvd Calendar'!$W$1905)*100000000+('Dvd Calendar'!$W$1907=SPECIAL_LBL)*10000000+0*1000000+32*1000+19))</f>
        <v/>
      </c>
      <c r="EX191" s="35">
        <f>IF(N('Dvd Calendar'!$X$1902)=0,"",IF(('Dvd Calendar'!$X$1902&gt;=GRID_FROM)*('Dvd Calendar'!$X$1902&lt;=GRID_TO)*('Dvd Calendar'!$X$1902&lt;=VAL_DATE)=0,"",'Dvd Calendar'!$X$1902*1000000000+ISNUMBER('Dvd Calendar'!$X$1905)*100000000+('Dvd Calendar'!$X$1907=SPECIAL_LBL)*10000000+0*1000000+32*1000+20))</f>
        <v/>
      </c>
      <c r="EY191" s="35">
        <f>IF(N('Dvd Calendar'!$Y$1902)=0,"",IF(('Dvd Calendar'!$Y$1902&gt;=GRID_FROM)*('Dvd Calendar'!$Y$1902&lt;=GRID_TO)*('Dvd Calendar'!$Y$1902&lt;=VAL_DATE)=0,"",'Dvd Calendar'!$Y$1902*1000000000+ISNUMBER('Dvd Calendar'!$Y$1905)*100000000+('Dvd Calendar'!$Y$1907=SPECIAL_LBL)*10000000+0*1000000+32*1000+21))</f>
        <v/>
      </c>
      <c r="EZ191" s="35">
        <f>IF(N('Dvd Calendar'!$Z$1902)=0,"",IF(('Dvd Calendar'!$Z$1902&gt;=GRID_FROM)*('Dvd Calendar'!$Z$1902&lt;=GRID_TO)*('Dvd Calendar'!$Z$1902&lt;=VAL_DATE)=0,"",'Dvd Calendar'!$Z$1902*1000000000+ISNUMBER('Dvd Calendar'!$Z$1905)*100000000+('Dvd Calendar'!$Z$1907=SPECIAL_LBL)*10000000+0*1000000+32*1000+22))</f>
        <v/>
      </c>
      <c r="FA191" s="35">
        <f>IF(N('Dvd Calendar'!$AA$1902)=0,"",IF(('Dvd Calendar'!$AA$1902&gt;=GRID_FROM)*('Dvd Calendar'!$AA$1902&lt;=GRID_TO)*('Dvd Calendar'!$AA$1902&lt;=VAL_DATE)=0,"",'Dvd Calendar'!$AA$1902*1000000000+ISNUMBER('Dvd Calendar'!$AA$1905)*100000000+('Dvd Calendar'!$AA$1907=SPECIAL_LBL)*10000000+0*1000000+32*1000+23))</f>
        <v/>
      </c>
      <c r="FB191" s="35">
        <f>IF(N('Dvd Calendar'!$AB$1902)=0,"",IF(('Dvd Calendar'!$AB$1902&gt;=GRID_FROM)*('Dvd Calendar'!$AB$1902&lt;=GRID_TO)*('Dvd Calendar'!$AB$1902&lt;=VAL_DATE)=0,"",'Dvd Calendar'!$AB$1902*1000000000+ISNUMBER('Dvd Calendar'!$AB$1905)*100000000+('Dvd Calendar'!$AB$1907=SPECIAL_LBL)*10000000+0*1000000+32*1000+24))</f>
        <v/>
      </c>
      <c r="FC191" s="35">
        <f>IF(N('Dvd Calendar'!$AC$1902)=0,"",IF(('Dvd Calendar'!$AC$1902&gt;=GRID_FROM)*('Dvd Calendar'!$AC$1902&lt;=GRID_TO)*('Dvd Calendar'!$AC$1902&lt;=VAL_DATE)=0,"",'Dvd Calendar'!$AC$1902*1000000000+ISNUMBER('Dvd Calendar'!$AC$1905)*100000000+('Dvd Calendar'!$AC$1907=SPECIAL_LBL)*10000000+0*1000000+32*1000+25))</f>
        <v/>
      </c>
      <c r="FD191" s="35">
        <f>IF(N('Dvd Calendar'!$AD$1902)=0,"",IF(('Dvd Calendar'!$AD$1902&gt;=GRID_FROM)*('Dvd Calendar'!$AD$1902&lt;=GRID_TO)*('Dvd Calendar'!$AD$1902&lt;=VAL_DATE)=0,"",'Dvd Calendar'!$AD$1902*1000000000+ISNUMBER('Dvd Calendar'!$AD$1905)*100000000+('Dvd Calendar'!$AD$1907=SPECIAL_LBL)*10000000+0*1000000+32*1000+26))</f>
        <v/>
      </c>
      <c r="FE191" s="35">
        <f>IF(N('Dvd Calendar'!$AE$1902)=0,"",IF(('Dvd Calendar'!$AE$1902&gt;=GRID_FROM)*('Dvd Calendar'!$AE$1902&lt;=GRID_TO)*('Dvd Calendar'!$AE$1902&lt;=VAL_DATE)=0,"",'Dvd Calendar'!$AE$1902*1000000000+ISNUMBER('Dvd Calendar'!$AE$1905)*100000000+('Dvd Calendar'!$AE$1907=SPECIAL_LBL)*10000000+0*1000000+32*1000+27))</f>
        <v/>
      </c>
      <c r="FF191" s="35">
        <f>IF(N('Dvd Calendar'!$AF$1902)=0,"",IF(('Dvd Calendar'!$AF$1902&gt;=GRID_FROM)*('Dvd Calendar'!$AF$1902&lt;=GRID_TO)*('Dvd Calendar'!$AF$1902&lt;=VAL_DATE)=0,"",'Dvd Calendar'!$AF$1902*1000000000+ISNUMBER('Dvd Calendar'!$AF$1905)*100000000+('Dvd Calendar'!$AF$1907=SPECIAL_LBL)*10000000+0*1000000+32*1000+28))</f>
        <v/>
      </c>
      <c r="FG191" s="35">
        <f>IF(N('Dvd Calendar'!$AG$1902)=0,"",IF(('Dvd Calendar'!$AG$1902&gt;=GRID_FROM)*('Dvd Calendar'!$AG$1902&lt;=GRID_TO)*('Dvd Calendar'!$AG$1902&lt;=VAL_DATE)=0,"",'Dvd Calendar'!$AG$1902*1000000000+ISNUMBER('Dvd Calendar'!$AG$1905)*100000000+('Dvd Calendar'!$AG$1907=SPECIAL_LBL)*10000000+0*1000000+32*1000+29))</f>
        <v/>
      </c>
      <c r="FH191" s="35">
        <f>IF(N('Dvd Calendar'!$AH$1902)=0,"",IF(('Dvd Calendar'!$AH$1902&gt;=GRID_FROM)*('Dvd Calendar'!$AH$1902&lt;=GRID_TO)*('Dvd Calendar'!$AH$1902&lt;=VAL_DATE)=0,"",'Dvd Calendar'!$AH$1902*1000000000+ISNUMBER('Dvd Calendar'!$AH$1905)*100000000+('Dvd Calendar'!$AH$1907=SPECIAL_LBL)*10000000+0*1000000+32*1000+30))</f>
        <v/>
      </c>
      <c r="FI191" s="35">
        <f>IF(N('Dvd Calendar'!$AI$1902)=0,"",IF(('Dvd Calendar'!$AI$1902&gt;=GRID_FROM)*('Dvd Calendar'!$AI$1902&lt;=GRID_TO)*('Dvd Calendar'!$AI$1902&lt;=VAL_DATE)=0,"",'Dvd Calendar'!$AI$1902*1000000000+ISNUMBER('Dvd Calendar'!$AI$1905)*100000000+('Dvd Calendar'!$AI$1907=SPECIAL_LBL)*10000000+0*1000000+32*1000+31))</f>
        <v/>
      </c>
      <c r="FJ191" s="35">
        <f>IF(N('Dvd Calendar'!$AJ$1902)=0,"",IF(('Dvd Calendar'!$AJ$1902&gt;=GRID_FROM)*('Dvd Calendar'!$AJ$1902&lt;=GRID_TO)*('Dvd Calendar'!$AJ$1902&lt;=VAL_DATE)=0,"",'Dvd Calendar'!$AJ$1902*1000000000+ISNUMBER('Dvd Calendar'!$AJ$1905)*100000000+('Dvd Calendar'!$AJ$1907=SPECIAL_LBL)*10000000+0*1000000+32*1000+32))</f>
        <v/>
      </c>
      <c r="FK191" s="35">
        <f>IF(N('Dvd Calendar'!$AK$1902)=0,"",IF(('Dvd Calendar'!$AK$1902&gt;=GRID_FROM)*('Dvd Calendar'!$AK$1902&lt;=GRID_TO)*('Dvd Calendar'!$AK$1902&lt;=VAL_DATE)=0,"",'Dvd Calendar'!$AK$1902*1000000000+ISNUMBER('Dvd Calendar'!$AK$1905)*100000000+('Dvd Calendar'!$AK$1907=SPECIAL_LBL)*10000000+0*1000000+32*1000+33))</f>
        <v/>
      </c>
      <c r="FL191" s="35">
        <f>IF(N('Dvd Calendar'!$AL$1902)=0,"",IF(('Dvd Calendar'!$AL$1902&gt;=GRID_FROM)*('Dvd Calendar'!$AL$1902&lt;=GRID_TO)*('Dvd Calendar'!$AL$1902&lt;=VAL_DATE)=0,"",'Dvd Calendar'!$AL$1902*1000000000+ISNUMBER('Dvd Calendar'!$AL$1905)*100000000+('Dvd Calendar'!$AL$1907=SPECIAL_LBL)*10000000+0*1000000+32*1000+34))</f>
        <v/>
      </c>
      <c r="FM191" s="35">
        <f>IF(N('Dvd Calendar'!$AM$1902)=0,"",IF(('Dvd Calendar'!$AM$1902&gt;=GRID_FROM)*('Dvd Calendar'!$AM$1902&lt;=GRID_TO)*('Dvd Calendar'!$AM$1902&lt;=VAL_DATE)=0,"",'Dvd Calendar'!$AM$1902*1000000000+ISNUMBER('Dvd Calendar'!$AM$1905)*100000000+('Dvd Calendar'!$AM$1907=SPECIAL_LBL)*10000000+0*1000000+32*1000+35))</f>
        <v/>
      </c>
      <c r="FN191" s="35">
        <f>IF(N('Dvd Calendar'!$AN$1902)=0,"",IF(('Dvd Calendar'!$AN$1902&gt;=GRID_FROM)*('Dvd Calendar'!$AN$1902&lt;=GRID_TO)*('Dvd Calendar'!$AN$1902&lt;=VAL_DATE)=0,"",'Dvd Calendar'!$AN$1902*1000000000+ISNUMBER('Dvd Calendar'!$AN$1905)*100000000+('Dvd Calendar'!$AN$1907=SPECIAL_LBL)*10000000+0*1000000+32*1000+36))</f>
        <v/>
      </c>
      <c r="FO191" s="35">
        <f>IF(N('Dvd Calendar'!$AO$1902)=0,"",IF(('Dvd Calendar'!$AO$1902&gt;=GRID_FROM)*('Dvd Calendar'!$AO$1902&lt;=GRID_TO)*('Dvd Calendar'!$AO$1902&lt;=VAL_DATE)=0,"",'Dvd Calendar'!$AO$1902*1000000000+ISNUMBER('Dvd Calendar'!$AO$1905)*100000000+('Dvd Calendar'!$AO$1907=SPECIAL_LBL)*10000000+0*1000000+32*1000+37))</f>
        <v/>
      </c>
      <c r="FP191" s="35">
        <f>IF(N('Dvd Calendar'!$AP$1902)=0,"",IF(('Dvd Calendar'!$AP$1902&gt;=GRID_FROM)*('Dvd Calendar'!$AP$1902&lt;=GRID_TO)*('Dvd Calendar'!$AP$1902&lt;=VAL_DATE)=0,"",'Dvd Calendar'!$AP$1902*1000000000+ISNUMBER('Dvd Calendar'!$AP$1905)*100000000+('Dvd Calendar'!$AP$1907=SPECIAL_LBL)*10000000+0*1000000+32*1000+38))</f>
        <v/>
      </c>
      <c r="FQ191" s="35">
        <f>IF(N('Dvd Calendar'!$AQ$1902)=0,"",IF(('Dvd Calendar'!$AQ$1902&gt;=GRID_FROM)*('Dvd Calendar'!$AQ$1902&lt;=GRID_TO)*('Dvd Calendar'!$AQ$1902&lt;=VAL_DATE)=0,"",'Dvd Calendar'!$AQ$1902*1000000000+ISNUMBER('Dvd Calendar'!$AQ$1905)*100000000+('Dvd Calendar'!$AQ$1907=SPECIAL_LBL)*10000000+0*1000000+32*1000+39))</f>
        <v/>
      </c>
      <c r="FR191" s="35">
        <f>IF(N('Dvd Calendar'!$AR$1902)=0,"",IF(('Dvd Calendar'!$AR$1902&gt;=GRID_FROM)*('Dvd Calendar'!$AR$1902&lt;=GRID_TO)*('Dvd Calendar'!$AR$1902&lt;=VAL_DATE)=0,"",'Dvd Calendar'!$AR$1902*1000000000+ISNUMBER('Dvd Calendar'!$AR$1905)*100000000+('Dvd Calendar'!$AR$1907=SPECIAL_LBL)*10000000+0*1000000+32*1000+40))</f>
        <v/>
      </c>
      <c r="FS191" s="35">
        <f>IF(N('Dvd Calendar'!$E$1909)=0,"",IF(('Dvd Calendar'!$E$1909&gt;=GRID_FROM)*('Dvd Calendar'!$E$1909&lt;=GRID_TO)*('Dvd Calendar'!$E$1909&gt;VAL_DATE)=0,"",'Dvd Calendar'!$E$1909*1000000000+ISNUMBER('Dvd Calendar'!$E$1910)*100000000+0*10000000+(N('Dvd Calendar'!$E$1908)&gt;0)*(N('Dvd Calendar'!$E$1908)&lt;=VAL_SERIAL)*1000000+32*1000+41))</f>
        <v/>
      </c>
      <c r="FT191" s="35">
        <f>IF(N('Dvd Calendar'!$F$1909)=0,"",IF(('Dvd Calendar'!$F$1909&gt;=GRID_FROM)*('Dvd Calendar'!$F$1909&lt;=GRID_TO)*('Dvd Calendar'!$F$1909&gt;VAL_DATE)=0,"",'Dvd Calendar'!$F$1909*1000000000+ISNUMBER('Dvd Calendar'!$F$1910)*100000000+0*10000000+(N('Dvd Calendar'!$F$1908)&gt;0)*(N('Dvd Calendar'!$F$1908)&lt;=VAL_SERIAL)*1000000+32*1000+42))</f>
        <v/>
      </c>
      <c r="FU191" s="35">
        <f>IF(N('Dvd Calendar'!$G$1909)=0,"",IF(('Dvd Calendar'!$G$1909&gt;=GRID_FROM)*('Dvd Calendar'!$G$1909&lt;=GRID_TO)*('Dvd Calendar'!$G$1909&gt;VAL_DATE)=0,"",'Dvd Calendar'!$G$1909*1000000000+ISNUMBER('Dvd Calendar'!$G$1910)*100000000+0*10000000+(N('Dvd Calendar'!$G$1908)&gt;0)*(N('Dvd Calendar'!$G$1908)&lt;=VAL_SERIAL)*1000000+32*1000+43))</f>
        <v/>
      </c>
      <c r="FV191" s="35">
        <f>IF(N('Dvd Calendar'!$H$1909)=0,"",IF(('Dvd Calendar'!$H$1909&gt;=GRID_FROM)*('Dvd Calendar'!$H$1909&lt;=GRID_TO)*('Dvd Calendar'!$H$1909&gt;VAL_DATE)=0,"",'Dvd Calendar'!$H$1909*1000000000+ISNUMBER('Dvd Calendar'!$H$1910)*100000000+0*10000000+(N('Dvd Calendar'!$H$1908)&gt;0)*(N('Dvd Calendar'!$H$1908)&lt;=VAL_SERIAL)*1000000+32*1000+44))</f>
        <v/>
      </c>
      <c r="FW191" s="35">
        <f>IF(N('Dvd Calendar'!$I$1909)=0,"",IF(('Dvd Calendar'!$I$1909&gt;=GRID_FROM)*('Dvd Calendar'!$I$1909&lt;=GRID_TO)*('Dvd Calendar'!$I$1909&gt;VAL_DATE)=0,"",'Dvd Calendar'!$I$1909*1000000000+ISNUMBER('Dvd Calendar'!$I$1910)*100000000+0*10000000+(N('Dvd Calendar'!$I$1908)&gt;0)*(N('Dvd Calendar'!$I$1908)&lt;=VAL_SERIAL)*1000000+32*1000+45))</f>
        <v/>
      </c>
      <c r="FX191" s="35">
        <f>IF(N('Dvd Calendar'!$J$1909)=0,"",IF(('Dvd Calendar'!$J$1909&gt;=GRID_FROM)*('Dvd Calendar'!$J$1909&lt;=GRID_TO)*('Dvd Calendar'!$J$1909&gt;VAL_DATE)=0,"",'Dvd Calendar'!$J$1909*1000000000+ISNUMBER('Dvd Calendar'!$J$1910)*100000000+0*10000000+(N('Dvd Calendar'!$J$1908)&gt;0)*(N('Dvd Calendar'!$J$1908)&lt;=VAL_SERIAL)*1000000+32*1000+46))</f>
        <v/>
      </c>
      <c r="FY191" s="35">
        <f>IF(N('Dvd Calendar'!$K$1909)=0,"",IF(('Dvd Calendar'!$K$1909&gt;=GRID_FROM)*('Dvd Calendar'!$K$1909&lt;=GRID_TO)*('Dvd Calendar'!$K$1909&gt;VAL_DATE)=0,"",'Dvd Calendar'!$K$1909*1000000000+ISNUMBER('Dvd Calendar'!$K$1910)*100000000+0*10000000+(N('Dvd Calendar'!$K$1908)&gt;0)*(N('Dvd Calendar'!$K$1908)&lt;=VAL_SERIAL)*1000000+32*1000+47))</f>
        <v/>
      </c>
      <c r="FZ191" s="35">
        <f>IF(N('Dvd Calendar'!$L$1909)=0,"",IF(('Dvd Calendar'!$L$1909&gt;=GRID_FROM)*('Dvd Calendar'!$L$1909&lt;=GRID_TO)*('Dvd Calendar'!$L$1909&gt;VAL_DATE)=0,"",'Dvd Calendar'!$L$1909*1000000000+ISNUMBER('Dvd Calendar'!$L$1910)*100000000+0*10000000+(N('Dvd Calendar'!$L$1908)&gt;0)*(N('Dvd Calendar'!$L$1908)&lt;=VAL_SERIAL)*1000000+32*1000+48))</f>
        <v/>
      </c>
      <c r="GA191" s="35">
        <f>IF(N('Dvd Calendar'!$M$1909)=0,"",IF(('Dvd Calendar'!$M$1909&gt;=GRID_FROM)*('Dvd Calendar'!$M$1909&lt;=GRID_TO)*('Dvd Calendar'!$M$1909&gt;VAL_DATE)=0,"",'Dvd Calendar'!$M$1909*1000000000+ISNUMBER('Dvd Calendar'!$M$1910)*100000000+0*10000000+(N('Dvd Calendar'!$M$1908)&gt;0)*(N('Dvd Calendar'!$M$1908)&lt;=VAL_SERIAL)*1000000+32*1000+49))</f>
        <v/>
      </c>
      <c r="GB191" s="35">
        <f>IF(N('Dvd Calendar'!$N$1909)=0,"",IF(('Dvd Calendar'!$N$1909&gt;=GRID_FROM)*('Dvd Calendar'!$N$1909&lt;=GRID_TO)*('Dvd Calendar'!$N$1909&gt;VAL_DATE)=0,"",'Dvd Calendar'!$N$1909*1000000000+ISNUMBER('Dvd Calendar'!$N$1910)*100000000+0*10000000+(N('Dvd Calendar'!$N$1908)&gt;0)*(N('Dvd Calendar'!$N$1908)&lt;=VAL_SERIAL)*1000000+32*1000+50))</f>
        <v/>
      </c>
      <c r="GC191" s="35">
        <f>IF(N('Dvd Calendar'!$O$1909)=0,"",IF(('Dvd Calendar'!$O$1909&gt;=GRID_FROM)*('Dvd Calendar'!$O$1909&lt;=GRID_TO)*('Dvd Calendar'!$O$1909&gt;VAL_DATE)=0,"",'Dvd Calendar'!$O$1909*1000000000+ISNUMBER('Dvd Calendar'!$O$1910)*100000000+0*10000000+(N('Dvd Calendar'!$O$1908)&gt;0)*(N('Dvd Calendar'!$O$1908)&lt;=VAL_SERIAL)*1000000+32*1000+51))</f>
        <v/>
      </c>
      <c r="GD191" s="35">
        <f>IF(N('Dvd Calendar'!$P$1909)=0,"",IF(('Dvd Calendar'!$P$1909&gt;=GRID_FROM)*('Dvd Calendar'!$P$1909&lt;=GRID_TO)*('Dvd Calendar'!$P$1909&gt;VAL_DATE)=0,"",'Dvd Calendar'!$P$1909*1000000000+ISNUMBER('Dvd Calendar'!$P$1910)*100000000+0*10000000+(N('Dvd Calendar'!$P$1908)&gt;0)*(N('Dvd Calendar'!$P$1908)&lt;=VAL_SERIAL)*1000000+32*1000+52))</f>
        <v/>
      </c>
      <c r="GE191" s="35">
        <f>IF(N('Dvd Calendar'!$Q$1909)=0,"",IF(('Dvd Calendar'!$Q$1909&gt;=GRID_FROM)*('Dvd Calendar'!$Q$1909&lt;=GRID_TO)*('Dvd Calendar'!$Q$1909&gt;VAL_DATE)=0,"",'Dvd Calendar'!$Q$1909*1000000000+ISNUMBER('Dvd Calendar'!$Q$1910)*100000000+0*10000000+(N('Dvd Calendar'!$Q$1908)&gt;0)*(N('Dvd Calendar'!$Q$1908)&lt;=VAL_SERIAL)*1000000+32*1000+53))</f>
        <v/>
      </c>
      <c r="GF191" s="35">
        <f>IF(N('Dvd Calendar'!$R$1909)=0,"",IF(('Dvd Calendar'!$R$1909&gt;=GRID_FROM)*('Dvd Calendar'!$R$1909&lt;=GRID_TO)*('Dvd Calendar'!$R$1909&gt;VAL_DATE)=0,"",'Dvd Calendar'!$R$1909*1000000000+ISNUMBER('Dvd Calendar'!$R$1910)*100000000+0*10000000+(N('Dvd Calendar'!$R$1908)&gt;0)*(N('Dvd Calendar'!$R$1908)&lt;=VAL_SERIAL)*1000000+32*1000+54))</f>
        <v/>
      </c>
      <c r="GG191" s="35">
        <f>IF(N('Dvd Calendar'!$S$1909)=0,"",IF(('Dvd Calendar'!$S$1909&gt;=GRID_FROM)*('Dvd Calendar'!$S$1909&lt;=GRID_TO)*('Dvd Calendar'!$S$1909&gt;VAL_DATE)=0,"",'Dvd Calendar'!$S$1909*1000000000+ISNUMBER('Dvd Calendar'!$S$1910)*100000000+0*10000000+(N('Dvd Calendar'!$S$1908)&gt;0)*(N('Dvd Calendar'!$S$1908)&lt;=VAL_SERIAL)*1000000+32*1000+55))</f>
        <v/>
      </c>
      <c r="GH191" s="35">
        <f>IF(N('Dvd Calendar'!$T$1909)=0,"",IF(('Dvd Calendar'!$T$1909&gt;=GRID_FROM)*('Dvd Calendar'!$T$1909&lt;=GRID_TO)*('Dvd Calendar'!$T$1909&gt;VAL_DATE)=0,"",'Dvd Calendar'!$T$1909*1000000000+ISNUMBER('Dvd Calendar'!$T$1910)*100000000+0*10000000+(N('Dvd Calendar'!$T$1908)&gt;0)*(N('Dvd Calendar'!$T$1908)&lt;=VAL_SERIAL)*1000000+32*1000+56))</f>
        <v/>
      </c>
      <c r="GI191" s="35">
        <f>IF(N('Dvd Calendar'!$U$1909)=0,"",IF(('Dvd Calendar'!$U$1909&gt;=GRID_FROM)*('Dvd Calendar'!$U$1909&lt;=GRID_TO)*('Dvd Calendar'!$U$1909&gt;VAL_DATE)=0,"",'Dvd Calendar'!$U$1909*1000000000+ISNUMBER('Dvd Calendar'!$U$1910)*100000000+0*10000000+(N('Dvd Calendar'!$U$1908)&gt;0)*(N('Dvd Calendar'!$U$1908)&lt;=VAL_SERIAL)*1000000+32*1000+57))</f>
        <v/>
      </c>
      <c r="GJ191" s="35">
        <f>IF(N('Dvd Calendar'!$V$1909)=0,"",IF(('Dvd Calendar'!$V$1909&gt;=GRID_FROM)*('Dvd Calendar'!$V$1909&lt;=GRID_TO)*('Dvd Calendar'!$V$1909&gt;VAL_DATE)=0,"",'Dvd Calendar'!$V$1909*1000000000+ISNUMBER('Dvd Calendar'!$V$1910)*100000000+0*10000000+(N('Dvd Calendar'!$V$1908)&gt;0)*(N('Dvd Calendar'!$V$1908)&lt;=VAL_SERIAL)*1000000+32*1000+58))</f>
        <v/>
      </c>
      <c r="GK191" s="35">
        <f>IF(N('Dvd Calendar'!$W$1909)=0,"",IF(('Dvd Calendar'!$W$1909&gt;=GRID_FROM)*('Dvd Calendar'!$W$1909&lt;=GRID_TO)*('Dvd Calendar'!$W$1909&gt;VAL_DATE)=0,"",'Dvd Calendar'!$W$1909*1000000000+ISNUMBER('Dvd Calendar'!$W$1910)*100000000+0*10000000+(N('Dvd Calendar'!$W$1908)&gt;0)*(N('Dvd Calendar'!$W$1908)&lt;=VAL_SERIAL)*1000000+32*1000+59))</f>
        <v/>
      </c>
      <c r="GL191" s="35">
        <f>IF(N('Dvd Calendar'!$X$1909)=0,"",IF(('Dvd Calendar'!$X$1909&gt;=GRID_FROM)*('Dvd Calendar'!$X$1909&lt;=GRID_TO)*('Dvd Calendar'!$X$1909&gt;VAL_DATE)=0,"",'Dvd Calendar'!$X$1909*1000000000+ISNUMBER('Dvd Calendar'!$X$1910)*100000000+0*10000000+(N('Dvd Calendar'!$X$1908)&gt;0)*(N('Dvd Calendar'!$X$1908)&lt;=VAL_SERIAL)*1000000+32*1000+60))</f>
        <v/>
      </c>
      <c r="GM191" s="35">
        <f>IF(N('Dvd Calendar'!$Y$1909)=0,"",IF(('Dvd Calendar'!$Y$1909&gt;=GRID_FROM)*('Dvd Calendar'!$Y$1909&lt;=GRID_TO)*('Dvd Calendar'!$Y$1909&gt;VAL_DATE)=0,"",'Dvd Calendar'!$Y$1909*1000000000+ISNUMBER('Dvd Calendar'!$Y$1910)*100000000+0*10000000+(N('Dvd Calendar'!$Y$1908)&gt;0)*(N('Dvd Calendar'!$Y$1908)&lt;=VAL_SERIAL)*1000000+32*1000+61))</f>
        <v/>
      </c>
      <c r="GN191" s="35">
        <f>IF(N('Dvd Calendar'!$Z$1909)=0,"",IF(('Dvd Calendar'!$Z$1909&gt;=GRID_FROM)*('Dvd Calendar'!$Z$1909&lt;=GRID_TO)*('Dvd Calendar'!$Z$1909&gt;VAL_DATE)=0,"",'Dvd Calendar'!$Z$1909*1000000000+ISNUMBER('Dvd Calendar'!$Z$1910)*100000000+0*10000000+(N('Dvd Calendar'!$Z$1908)&gt;0)*(N('Dvd Calendar'!$Z$1908)&lt;=VAL_SERIAL)*1000000+32*1000+62))</f>
        <v/>
      </c>
      <c r="GO191" s="35">
        <f>IF(N('Dvd Calendar'!$AA$1909)=0,"",IF(('Dvd Calendar'!$AA$1909&gt;=GRID_FROM)*('Dvd Calendar'!$AA$1909&lt;=GRID_TO)*('Dvd Calendar'!$AA$1909&gt;VAL_DATE)=0,"",'Dvd Calendar'!$AA$1909*1000000000+ISNUMBER('Dvd Calendar'!$AA$1910)*100000000+0*10000000+(N('Dvd Calendar'!$AA$1908)&gt;0)*(N('Dvd Calendar'!$AA$1908)&lt;=VAL_SERIAL)*1000000+32*1000+63))</f>
        <v/>
      </c>
      <c r="GP191" s="35">
        <f>IF(N('Dvd Calendar'!$AB$1909)=0,"",IF(('Dvd Calendar'!$AB$1909&gt;=GRID_FROM)*('Dvd Calendar'!$AB$1909&lt;=GRID_TO)*('Dvd Calendar'!$AB$1909&gt;VAL_DATE)=0,"",'Dvd Calendar'!$AB$1909*1000000000+ISNUMBER('Dvd Calendar'!$AB$1910)*100000000+0*10000000+(N('Dvd Calendar'!$AB$1908)&gt;0)*(N('Dvd Calendar'!$AB$1908)&lt;=VAL_SERIAL)*1000000+32*1000+64))</f>
        <v/>
      </c>
      <c r="GQ191" s="35">
        <f>IF(N('Dvd Calendar'!$AC$1909)=0,"",IF(('Dvd Calendar'!$AC$1909&gt;=GRID_FROM)*('Dvd Calendar'!$AC$1909&lt;=GRID_TO)*('Dvd Calendar'!$AC$1909&gt;VAL_DATE)=0,"",'Dvd Calendar'!$AC$1909*1000000000+ISNUMBER('Dvd Calendar'!$AC$1910)*100000000+0*10000000+(N('Dvd Calendar'!$AC$1908)&gt;0)*(N('Dvd Calendar'!$AC$1908)&lt;=VAL_SERIAL)*1000000+32*1000+65))</f>
        <v/>
      </c>
    </row>
    <row r="192">
      <c r="B192" s="2">
        <f>IF(HSCEI!$C$39="","",HSCEI!$C$39)</f>
        <v/>
      </c>
      <c r="C192" s="106">
        <f>IF(EE192="","",IF(ISNUMBER('Dvd Calendar'!$E$1916)=FALSE,"",IF((('Dvd Calendar'!$E$1918=TYPE1)*(TYPE1&lt;&gt;"")+('Dvd Calendar'!$E$1918=TYPE2)*(TYPE2&lt;&gt;"")+('Dvd Calendar'!$E$1918=TYPE3)*(TYPE3&lt;&gt;"")+('Dvd Calendar'!$E$1918=TYPE4)*(TYPE4&lt;&gt;"")+('Dvd Calendar'!$E$1918=SPECIAL_LBL)*(INC_SPECIALS="Y"))=0,"",'Dvd Calendar'!$E$1916)))</f>
        <v/>
      </c>
      <c r="D192" s="106">
        <f>IF(EF192="","",IF(ISNUMBER('Dvd Calendar'!$F$1916)=FALSE,"",IF((('Dvd Calendar'!$F$1918=TYPE1)*(TYPE1&lt;&gt;"")+('Dvd Calendar'!$F$1918=TYPE2)*(TYPE2&lt;&gt;"")+('Dvd Calendar'!$F$1918=TYPE3)*(TYPE3&lt;&gt;"")+('Dvd Calendar'!$F$1918=TYPE4)*(TYPE4&lt;&gt;"")+('Dvd Calendar'!$F$1918=SPECIAL_LBL)*(INC_SPECIALS="Y"))=0,"",'Dvd Calendar'!$F$1916)))</f>
        <v/>
      </c>
      <c r="E192" s="106">
        <f>IF(EG192="","",IF(ISNUMBER('Dvd Calendar'!$G$1916)=FALSE,"",IF((('Dvd Calendar'!$G$1918=TYPE1)*(TYPE1&lt;&gt;"")+('Dvd Calendar'!$G$1918=TYPE2)*(TYPE2&lt;&gt;"")+('Dvd Calendar'!$G$1918=TYPE3)*(TYPE3&lt;&gt;"")+('Dvd Calendar'!$G$1918=TYPE4)*(TYPE4&lt;&gt;"")+('Dvd Calendar'!$G$1918=SPECIAL_LBL)*(INC_SPECIALS="Y"))=0,"",'Dvd Calendar'!$G$1916)))</f>
        <v/>
      </c>
      <c r="F192" s="106">
        <f>IF(EH192="","",IF(ISNUMBER('Dvd Calendar'!$H$1916)=FALSE,"",IF((('Dvd Calendar'!$H$1918=TYPE1)*(TYPE1&lt;&gt;"")+('Dvd Calendar'!$H$1918=TYPE2)*(TYPE2&lt;&gt;"")+('Dvd Calendar'!$H$1918=TYPE3)*(TYPE3&lt;&gt;"")+('Dvd Calendar'!$H$1918=TYPE4)*(TYPE4&lt;&gt;"")+('Dvd Calendar'!$H$1918=SPECIAL_LBL)*(INC_SPECIALS="Y"))=0,"",'Dvd Calendar'!$H$1916)))</f>
        <v/>
      </c>
      <c r="G192" s="106">
        <f>IF(EI192="","",IF(ISNUMBER('Dvd Calendar'!$I$1916)=FALSE,"",IF((('Dvd Calendar'!$I$1918=TYPE1)*(TYPE1&lt;&gt;"")+('Dvd Calendar'!$I$1918=TYPE2)*(TYPE2&lt;&gt;"")+('Dvd Calendar'!$I$1918=TYPE3)*(TYPE3&lt;&gt;"")+('Dvd Calendar'!$I$1918=TYPE4)*(TYPE4&lt;&gt;"")+('Dvd Calendar'!$I$1918=SPECIAL_LBL)*(INC_SPECIALS="Y"))=0,"",'Dvd Calendar'!$I$1916)))</f>
        <v/>
      </c>
      <c r="H192" s="106">
        <f>IF(EJ192="","",IF(ISNUMBER('Dvd Calendar'!$J$1916)=FALSE,"",IF((('Dvd Calendar'!$J$1918=TYPE1)*(TYPE1&lt;&gt;"")+('Dvd Calendar'!$J$1918=TYPE2)*(TYPE2&lt;&gt;"")+('Dvd Calendar'!$J$1918=TYPE3)*(TYPE3&lt;&gt;"")+('Dvd Calendar'!$J$1918=TYPE4)*(TYPE4&lt;&gt;"")+('Dvd Calendar'!$J$1918=SPECIAL_LBL)*(INC_SPECIALS="Y"))=0,"",'Dvd Calendar'!$J$1916)))</f>
        <v/>
      </c>
      <c r="I192" s="106">
        <f>IF(EK192="","",IF(ISNUMBER('Dvd Calendar'!$K$1916)=FALSE,"",IF((('Dvd Calendar'!$K$1918=TYPE1)*(TYPE1&lt;&gt;"")+('Dvd Calendar'!$K$1918=TYPE2)*(TYPE2&lt;&gt;"")+('Dvd Calendar'!$K$1918=TYPE3)*(TYPE3&lt;&gt;"")+('Dvd Calendar'!$K$1918=TYPE4)*(TYPE4&lt;&gt;"")+('Dvd Calendar'!$K$1918=SPECIAL_LBL)*(INC_SPECIALS="Y"))=0,"",'Dvd Calendar'!$K$1916)))</f>
        <v/>
      </c>
      <c r="J192" s="106">
        <f>IF(EL192="","",IF(ISNUMBER('Dvd Calendar'!$L$1916)=FALSE,"",IF((('Dvd Calendar'!$L$1918=TYPE1)*(TYPE1&lt;&gt;"")+('Dvd Calendar'!$L$1918=TYPE2)*(TYPE2&lt;&gt;"")+('Dvd Calendar'!$L$1918=TYPE3)*(TYPE3&lt;&gt;"")+('Dvd Calendar'!$L$1918=TYPE4)*(TYPE4&lt;&gt;"")+('Dvd Calendar'!$L$1918=SPECIAL_LBL)*(INC_SPECIALS="Y"))=0,"",'Dvd Calendar'!$L$1916)))</f>
        <v/>
      </c>
      <c r="K192" s="106">
        <f>IF(EM192="","",IF(ISNUMBER('Dvd Calendar'!$M$1916)=FALSE,"",IF((('Dvd Calendar'!$M$1918=TYPE1)*(TYPE1&lt;&gt;"")+('Dvd Calendar'!$M$1918=TYPE2)*(TYPE2&lt;&gt;"")+('Dvd Calendar'!$M$1918=TYPE3)*(TYPE3&lt;&gt;"")+('Dvd Calendar'!$M$1918=TYPE4)*(TYPE4&lt;&gt;"")+('Dvd Calendar'!$M$1918=SPECIAL_LBL)*(INC_SPECIALS="Y"))=0,"",'Dvd Calendar'!$M$1916)))</f>
        <v/>
      </c>
      <c r="L192" s="106">
        <f>IF(EN192="","",IF(ISNUMBER('Dvd Calendar'!$N$1916)=FALSE,"",IF((('Dvd Calendar'!$N$1918=TYPE1)*(TYPE1&lt;&gt;"")+('Dvd Calendar'!$N$1918=TYPE2)*(TYPE2&lt;&gt;"")+('Dvd Calendar'!$N$1918=TYPE3)*(TYPE3&lt;&gt;"")+('Dvd Calendar'!$N$1918=TYPE4)*(TYPE4&lt;&gt;"")+('Dvd Calendar'!$N$1918=SPECIAL_LBL)*(INC_SPECIALS="Y"))=0,"",'Dvd Calendar'!$N$1916)))</f>
        <v/>
      </c>
      <c r="M192" s="106">
        <f>IF(EO192="","",IF(ISNUMBER('Dvd Calendar'!$O$1916)=FALSE,"",IF((('Dvd Calendar'!$O$1918=TYPE1)*(TYPE1&lt;&gt;"")+('Dvd Calendar'!$O$1918=TYPE2)*(TYPE2&lt;&gt;"")+('Dvd Calendar'!$O$1918=TYPE3)*(TYPE3&lt;&gt;"")+('Dvd Calendar'!$O$1918=TYPE4)*(TYPE4&lt;&gt;"")+('Dvd Calendar'!$O$1918=SPECIAL_LBL)*(INC_SPECIALS="Y"))=0,"",'Dvd Calendar'!$O$1916)))</f>
        <v/>
      </c>
      <c r="N192" s="106">
        <f>IF(EP192="","",IF(ISNUMBER('Dvd Calendar'!$P$1916)=FALSE,"",IF((('Dvd Calendar'!$P$1918=TYPE1)*(TYPE1&lt;&gt;"")+('Dvd Calendar'!$P$1918=TYPE2)*(TYPE2&lt;&gt;"")+('Dvd Calendar'!$P$1918=TYPE3)*(TYPE3&lt;&gt;"")+('Dvd Calendar'!$P$1918=TYPE4)*(TYPE4&lt;&gt;"")+('Dvd Calendar'!$P$1918=SPECIAL_LBL)*(INC_SPECIALS="Y"))=0,"",'Dvd Calendar'!$P$1916)))</f>
        <v/>
      </c>
      <c r="O192" s="106">
        <f>IF(EQ192="","",IF(ISNUMBER('Dvd Calendar'!$Q$1916)=FALSE,"",IF((('Dvd Calendar'!$Q$1918=TYPE1)*(TYPE1&lt;&gt;"")+('Dvd Calendar'!$Q$1918=TYPE2)*(TYPE2&lt;&gt;"")+('Dvd Calendar'!$Q$1918=TYPE3)*(TYPE3&lt;&gt;"")+('Dvd Calendar'!$Q$1918=TYPE4)*(TYPE4&lt;&gt;"")+('Dvd Calendar'!$Q$1918=SPECIAL_LBL)*(INC_SPECIALS="Y"))=0,"",'Dvd Calendar'!$Q$1916)))</f>
        <v/>
      </c>
      <c r="P192" s="106">
        <f>IF(ER192="","",IF(ISNUMBER('Dvd Calendar'!$R$1916)=FALSE,"",IF((('Dvd Calendar'!$R$1918=TYPE1)*(TYPE1&lt;&gt;"")+('Dvd Calendar'!$R$1918=TYPE2)*(TYPE2&lt;&gt;"")+('Dvd Calendar'!$R$1918=TYPE3)*(TYPE3&lt;&gt;"")+('Dvd Calendar'!$R$1918=TYPE4)*(TYPE4&lt;&gt;"")+('Dvd Calendar'!$R$1918=SPECIAL_LBL)*(INC_SPECIALS="Y"))=0,"",'Dvd Calendar'!$R$1916)))</f>
        <v/>
      </c>
      <c r="Q192" s="106">
        <f>IF(ES192="","",IF(ISNUMBER('Dvd Calendar'!$S$1916)=FALSE,"",IF((('Dvd Calendar'!$S$1918=TYPE1)*(TYPE1&lt;&gt;"")+('Dvd Calendar'!$S$1918=TYPE2)*(TYPE2&lt;&gt;"")+('Dvd Calendar'!$S$1918=TYPE3)*(TYPE3&lt;&gt;"")+('Dvd Calendar'!$S$1918=TYPE4)*(TYPE4&lt;&gt;"")+('Dvd Calendar'!$S$1918=SPECIAL_LBL)*(INC_SPECIALS="Y"))=0,"",'Dvd Calendar'!$S$1916)))</f>
        <v/>
      </c>
      <c r="R192" s="106">
        <f>IF(ET192="","",IF(ISNUMBER('Dvd Calendar'!$T$1916)=FALSE,"",IF((('Dvd Calendar'!$T$1918=TYPE1)*(TYPE1&lt;&gt;"")+('Dvd Calendar'!$T$1918=TYPE2)*(TYPE2&lt;&gt;"")+('Dvd Calendar'!$T$1918=TYPE3)*(TYPE3&lt;&gt;"")+('Dvd Calendar'!$T$1918=TYPE4)*(TYPE4&lt;&gt;"")+('Dvd Calendar'!$T$1918=SPECIAL_LBL)*(INC_SPECIALS="Y"))=0,"",'Dvd Calendar'!$T$1916)))</f>
        <v/>
      </c>
      <c r="S192" s="106">
        <f>IF(EU192="","",IF(ISNUMBER('Dvd Calendar'!$U$1916)=FALSE,"",IF((('Dvd Calendar'!$U$1918=TYPE1)*(TYPE1&lt;&gt;"")+('Dvd Calendar'!$U$1918=TYPE2)*(TYPE2&lt;&gt;"")+('Dvd Calendar'!$U$1918=TYPE3)*(TYPE3&lt;&gt;"")+('Dvd Calendar'!$U$1918=TYPE4)*(TYPE4&lt;&gt;"")+('Dvd Calendar'!$U$1918=SPECIAL_LBL)*(INC_SPECIALS="Y"))=0,"",'Dvd Calendar'!$U$1916)))</f>
        <v/>
      </c>
      <c r="T192" s="106">
        <f>IF(EV192="","",IF(ISNUMBER('Dvd Calendar'!$V$1916)=FALSE,"",IF((('Dvd Calendar'!$V$1918=TYPE1)*(TYPE1&lt;&gt;"")+('Dvd Calendar'!$V$1918=TYPE2)*(TYPE2&lt;&gt;"")+('Dvd Calendar'!$V$1918=TYPE3)*(TYPE3&lt;&gt;"")+('Dvd Calendar'!$V$1918=TYPE4)*(TYPE4&lt;&gt;"")+('Dvd Calendar'!$V$1918=SPECIAL_LBL)*(INC_SPECIALS="Y"))=0,"",'Dvd Calendar'!$V$1916)))</f>
        <v/>
      </c>
      <c r="U192" s="106">
        <f>IF(EW192="","",IF(ISNUMBER('Dvd Calendar'!$W$1916)=FALSE,"",IF((('Dvd Calendar'!$W$1918=TYPE1)*(TYPE1&lt;&gt;"")+('Dvd Calendar'!$W$1918=TYPE2)*(TYPE2&lt;&gt;"")+('Dvd Calendar'!$W$1918=TYPE3)*(TYPE3&lt;&gt;"")+('Dvd Calendar'!$W$1918=TYPE4)*(TYPE4&lt;&gt;"")+('Dvd Calendar'!$W$1918=SPECIAL_LBL)*(INC_SPECIALS="Y"))=0,"",'Dvd Calendar'!$W$1916)))</f>
        <v/>
      </c>
      <c r="V192" s="106">
        <f>IF(EX192="","",IF(ISNUMBER('Dvd Calendar'!$X$1916)=FALSE,"",IF((('Dvd Calendar'!$X$1918=TYPE1)*(TYPE1&lt;&gt;"")+('Dvd Calendar'!$X$1918=TYPE2)*(TYPE2&lt;&gt;"")+('Dvd Calendar'!$X$1918=TYPE3)*(TYPE3&lt;&gt;"")+('Dvd Calendar'!$X$1918=TYPE4)*(TYPE4&lt;&gt;"")+('Dvd Calendar'!$X$1918=SPECIAL_LBL)*(INC_SPECIALS="Y"))=0,"",'Dvd Calendar'!$X$1916)))</f>
        <v/>
      </c>
      <c r="W192" s="106">
        <f>IF(EY192="","",IF(ISNUMBER('Dvd Calendar'!$Y$1916)=FALSE,"",IF((('Dvd Calendar'!$Y$1918=TYPE1)*(TYPE1&lt;&gt;"")+('Dvd Calendar'!$Y$1918=TYPE2)*(TYPE2&lt;&gt;"")+('Dvd Calendar'!$Y$1918=TYPE3)*(TYPE3&lt;&gt;"")+('Dvd Calendar'!$Y$1918=TYPE4)*(TYPE4&lt;&gt;"")+('Dvd Calendar'!$Y$1918=SPECIAL_LBL)*(INC_SPECIALS="Y"))=0,"",'Dvd Calendar'!$Y$1916)))</f>
        <v/>
      </c>
      <c r="X192" s="106">
        <f>IF(EZ192="","",IF(ISNUMBER('Dvd Calendar'!$Z$1916)=FALSE,"",IF((('Dvd Calendar'!$Z$1918=TYPE1)*(TYPE1&lt;&gt;"")+('Dvd Calendar'!$Z$1918=TYPE2)*(TYPE2&lt;&gt;"")+('Dvd Calendar'!$Z$1918=TYPE3)*(TYPE3&lt;&gt;"")+('Dvd Calendar'!$Z$1918=TYPE4)*(TYPE4&lt;&gt;"")+('Dvd Calendar'!$Z$1918=SPECIAL_LBL)*(INC_SPECIALS="Y"))=0,"",'Dvd Calendar'!$Z$1916)))</f>
        <v/>
      </c>
      <c r="Y192" s="106">
        <f>IF(FA192="","",IF(ISNUMBER('Dvd Calendar'!$AA$1916)=FALSE,"",IF((('Dvd Calendar'!$AA$1918=TYPE1)*(TYPE1&lt;&gt;"")+('Dvd Calendar'!$AA$1918=TYPE2)*(TYPE2&lt;&gt;"")+('Dvd Calendar'!$AA$1918=TYPE3)*(TYPE3&lt;&gt;"")+('Dvd Calendar'!$AA$1918=TYPE4)*(TYPE4&lt;&gt;"")+('Dvd Calendar'!$AA$1918=SPECIAL_LBL)*(INC_SPECIALS="Y"))=0,"",'Dvd Calendar'!$AA$1916)))</f>
        <v/>
      </c>
      <c r="Z192" s="106">
        <f>IF(FB192="","",IF(ISNUMBER('Dvd Calendar'!$AB$1916)=FALSE,"",IF((('Dvd Calendar'!$AB$1918=TYPE1)*(TYPE1&lt;&gt;"")+('Dvd Calendar'!$AB$1918=TYPE2)*(TYPE2&lt;&gt;"")+('Dvd Calendar'!$AB$1918=TYPE3)*(TYPE3&lt;&gt;"")+('Dvd Calendar'!$AB$1918=TYPE4)*(TYPE4&lt;&gt;"")+('Dvd Calendar'!$AB$1918=SPECIAL_LBL)*(INC_SPECIALS="Y"))=0,"",'Dvd Calendar'!$AB$1916)))</f>
        <v/>
      </c>
      <c r="AA192" s="106">
        <f>IF(FC192="","",IF(ISNUMBER('Dvd Calendar'!$AC$1916)=FALSE,"",IF((('Dvd Calendar'!$AC$1918=TYPE1)*(TYPE1&lt;&gt;"")+('Dvd Calendar'!$AC$1918=TYPE2)*(TYPE2&lt;&gt;"")+('Dvd Calendar'!$AC$1918=TYPE3)*(TYPE3&lt;&gt;"")+('Dvd Calendar'!$AC$1918=TYPE4)*(TYPE4&lt;&gt;"")+('Dvd Calendar'!$AC$1918=SPECIAL_LBL)*(INC_SPECIALS="Y"))=0,"",'Dvd Calendar'!$AC$1916)))</f>
        <v/>
      </c>
      <c r="AB192" s="106">
        <f>IF(FD192="","",IF(ISNUMBER('Dvd Calendar'!$AD$1916)=FALSE,"",IF((('Dvd Calendar'!$AD$1918=TYPE1)*(TYPE1&lt;&gt;"")+('Dvd Calendar'!$AD$1918=TYPE2)*(TYPE2&lt;&gt;"")+('Dvd Calendar'!$AD$1918=TYPE3)*(TYPE3&lt;&gt;"")+('Dvd Calendar'!$AD$1918=TYPE4)*(TYPE4&lt;&gt;"")+('Dvd Calendar'!$AD$1918=SPECIAL_LBL)*(INC_SPECIALS="Y"))=0,"",'Dvd Calendar'!$AD$1916)))</f>
        <v/>
      </c>
      <c r="AC192" s="106">
        <f>IF(FE192="","",IF(ISNUMBER('Dvd Calendar'!$AE$1916)=FALSE,"",IF((('Dvd Calendar'!$AE$1918=TYPE1)*(TYPE1&lt;&gt;"")+('Dvd Calendar'!$AE$1918=TYPE2)*(TYPE2&lt;&gt;"")+('Dvd Calendar'!$AE$1918=TYPE3)*(TYPE3&lt;&gt;"")+('Dvd Calendar'!$AE$1918=TYPE4)*(TYPE4&lt;&gt;"")+('Dvd Calendar'!$AE$1918=SPECIAL_LBL)*(INC_SPECIALS="Y"))=0,"",'Dvd Calendar'!$AE$1916)))</f>
        <v/>
      </c>
      <c r="AD192" s="106">
        <f>IF(FF192="","",IF(ISNUMBER('Dvd Calendar'!$AF$1916)=FALSE,"",IF((('Dvd Calendar'!$AF$1918=TYPE1)*(TYPE1&lt;&gt;"")+('Dvd Calendar'!$AF$1918=TYPE2)*(TYPE2&lt;&gt;"")+('Dvd Calendar'!$AF$1918=TYPE3)*(TYPE3&lt;&gt;"")+('Dvd Calendar'!$AF$1918=TYPE4)*(TYPE4&lt;&gt;"")+('Dvd Calendar'!$AF$1918=SPECIAL_LBL)*(INC_SPECIALS="Y"))=0,"",'Dvd Calendar'!$AF$1916)))</f>
        <v/>
      </c>
      <c r="AE192" s="106">
        <f>IF(FG192="","",IF(ISNUMBER('Dvd Calendar'!$AG$1916)=FALSE,"",IF((('Dvd Calendar'!$AG$1918=TYPE1)*(TYPE1&lt;&gt;"")+('Dvd Calendar'!$AG$1918=TYPE2)*(TYPE2&lt;&gt;"")+('Dvd Calendar'!$AG$1918=TYPE3)*(TYPE3&lt;&gt;"")+('Dvd Calendar'!$AG$1918=TYPE4)*(TYPE4&lt;&gt;"")+('Dvd Calendar'!$AG$1918=SPECIAL_LBL)*(INC_SPECIALS="Y"))=0,"",'Dvd Calendar'!$AG$1916)))</f>
        <v/>
      </c>
      <c r="AF192" s="106">
        <f>IF(FH192="","",IF(ISNUMBER('Dvd Calendar'!$AH$1916)=FALSE,"",IF((('Dvd Calendar'!$AH$1918=TYPE1)*(TYPE1&lt;&gt;"")+('Dvd Calendar'!$AH$1918=TYPE2)*(TYPE2&lt;&gt;"")+('Dvd Calendar'!$AH$1918=TYPE3)*(TYPE3&lt;&gt;"")+('Dvd Calendar'!$AH$1918=TYPE4)*(TYPE4&lt;&gt;"")+('Dvd Calendar'!$AH$1918=SPECIAL_LBL)*(INC_SPECIALS="Y"))=0,"",'Dvd Calendar'!$AH$1916)))</f>
        <v/>
      </c>
      <c r="AG192" s="106">
        <f>IF(FI192="","",IF(ISNUMBER('Dvd Calendar'!$AI$1916)=FALSE,"",IF((('Dvd Calendar'!$AI$1918=TYPE1)*(TYPE1&lt;&gt;"")+('Dvd Calendar'!$AI$1918=TYPE2)*(TYPE2&lt;&gt;"")+('Dvd Calendar'!$AI$1918=TYPE3)*(TYPE3&lt;&gt;"")+('Dvd Calendar'!$AI$1918=TYPE4)*(TYPE4&lt;&gt;"")+('Dvd Calendar'!$AI$1918=SPECIAL_LBL)*(INC_SPECIALS="Y"))=0,"",'Dvd Calendar'!$AI$1916)))</f>
        <v/>
      </c>
      <c r="AH192" s="106">
        <f>IF(FJ192="","",IF(ISNUMBER('Dvd Calendar'!$AJ$1916)=FALSE,"",IF((('Dvd Calendar'!$AJ$1918=TYPE1)*(TYPE1&lt;&gt;"")+('Dvd Calendar'!$AJ$1918=TYPE2)*(TYPE2&lt;&gt;"")+('Dvd Calendar'!$AJ$1918=TYPE3)*(TYPE3&lt;&gt;"")+('Dvd Calendar'!$AJ$1918=TYPE4)*(TYPE4&lt;&gt;"")+('Dvd Calendar'!$AJ$1918=SPECIAL_LBL)*(INC_SPECIALS="Y"))=0,"",'Dvd Calendar'!$AJ$1916)))</f>
        <v/>
      </c>
      <c r="AI192" s="106">
        <f>IF(FK192="","",IF(ISNUMBER('Dvd Calendar'!$AK$1916)=FALSE,"",IF((('Dvd Calendar'!$AK$1918=TYPE1)*(TYPE1&lt;&gt;"")+('Dvd Calendar'!$AK$1918=TYPE2)*(TYPE2&lt;&gt;"")+('Dvd Calendar'!$AK$1918=TYPE3)*(TYPE3&lt;&gt;"")+('Dvd Calendar'!$AK$1918=TYPE4)*(TYPE4&lt;&gt;"")+('Dvd Calendar'!$AK$1918=SPECIAL_LBL)*(INC_SPECIALS="Y"))=0,"",'Dvd Calendar'!$AK$1916)))</f>
        <v/>
      </c>
      <c r="AJ192" s="106">
        <f>IF(FL192="","",IF(ISNUMBER('Dvd Calendar'!$AL$1916)=FALSE,"",IF((('Dvd Calendar'!$AL$1918=TYPE1)*(TYPE1&lt;&gt;"")+('Dvd Calendar'!$AL$1918=TYPE2)*(TYPE2&lt;&gt;"")+('Dvd Calendar'!$AL$1918=TYPE3)*(TYPE3&lt;&gt;"")+('Dvd Calendar'!$AL$1918=TYPE4)*(TYPE4&lt;&gt;"")+('Dvd Calendar'!$AL$1918=SPECIAL_LBL)*(INC_SPECIALS="Y"))=0,"",'Dvd Calendar'!$AL$1916)))</f>
        <v/>
      </c>
      <c r="AK192" s="106">
        <f>IF(FM192="","",IF(ISNUMBER('Dvd Calendar'!$AM$1916)=FALSE,"",IF((('Dvd Calendar'!$AM$1918=TYPE1)*(TYPE1&lt;&gt;"")+('Dvd Calendar'!$AM$1918=TYPE2)*(TYPE2&lt;&gt;"")+('Dvd Calendar'!$AM$1918=TYPE3)*(TYPE3&lt;&gt;"")+('Dvd Calendar'!$AM$1918=TYPE4)*(TYPE4&lt;&gt;"")+('Dvd Calendar'!$AM$1918=SPECIAL_LBL)*(INC_SPECIALS="Y"))=0,"",'Dvd Calendar'!$AM$1916)))</f>
        <v/>
      </c>
      <c r="AL192" s="106">
        <f>IF(FN192="","",IF(ISNUMBER('Dvd Calendar'!$AN$1916)=FALSE,"",IF((('Dvd Calendar'!$AN$1918=TYPE1)*(TYPE1&lt;&gt;"")+('Dvd Calendar'!$AN$1918=TYPE2)*(TYPE2&lt;&gt;"")+('Dvd Calendar'!$AN$1918=TYPE3)*(TYPE3&lt;&gt;"")+('Dvd Calendar'!$AN$1918=TYPE4)*(TYPE4&lt;&gt;"")+('Dvd Calendar'!$AN$1918=SPECIAL_LBL)*(INC_SPECIALS="Y"))=0,"",'Dvd Calendar'!$AN$1916)))</f>
        <v/>
      </c>
      <c r="AM192" s="106">
        <f>IF(FO192="","",IF(ISNUMBER('Dvd Calendar'!$AO$1916)=FALSE,"",IF((('Dvd Calendar'!$AO$1918=TYPE1)*(TYPE1&lt;&gt;"")+('Dvd Calendar'!$AO$1918=TYPE2)*(TYPE2&lt;&gt;"")+('Dvd Calendar'!$AO$1918=TYPE3)*(TYPE3&lt;&gt;"")+('Dvd Calendar'!$AO$1918=TYPE4)*(TYPE4&lt;&gt;"")+('Dvd Calendar'!$AO$1918=SPECIAL_LBL)*(INC_SPECIALS="Y"))=0,"",'Dvd Calendar'!$AO$1916)))</f>
        <v/>
      </c>
      <c r="AN192" s="106">
        <f>IF(FP192="","",IF(ISNUMBER('Dvd Calendar'!$AP$1916)=FALSE,"",IF((('Dvd Calendar'!$AP$1918=TYPE1)*(TYPE1&lt;&gt;"")+('Dvd Calendar'!$AP$1918=TYPE2)*(TYPE2&lt;&gt;"")+('Dvd Calendar'!$AP$1918=TYPE3)*(TYPE3&lt;&gt;"")+('Dvd Calendar'!$AP$1918=TYPE4)*(TYPE4&lt;&gt;"")+('Dvd Calendar'!$AP$1918=SPECIAL_LBL)*(INC_SPECIALS="Y"))=0,"",'Dvd Calendar'!$AP$1916)))</f>
        <v/>
      </c>
      <c r="AO192" s="106">
        <f>IF(FQ192="","",IF(ISNUMBER('Dvd Calendar'!$AQ$1916)=FALSE,"",IF((('Dvd Calendar'!$AQ$1918=TYPE1)*(TYPE1&lt;&gt;"")+('Dvd Calendar'!$AQ$1918=TYPE2)*(TYPE2&lt;&gt;"")+('Dvd Calendar'!$AQ$1918=TYPE3)*(TYPE3&lt;&gt;"")+('Dvd Calendar'!$AQ$1918=TYPE4)*(TYPE4&lt;&gt;"")+('Dvd Calendar'!$AQ$1918=SPECIAL_LBL)*(INC_SPECIALS="Y"))=0,"",'Dvd Calendar'!$AQ$1916)))</f>
        <v/>
      </c>
      <c r="AP192" s="106">
        <f>IF(FR192="","",IF(ISNUMBER('Dvd Calendar'!$AR$1916)=FALSE,"",IF((('Dvd Calendar'!$AR$1918=TYPE1)*(TYPE1&lt;&gt;"")+('Dvd Calendar'!$AR$1918=TYPE2)*(TYPE2&lt;&gt;"")+('Dvd Calendar'!$AR$1918=TYPE3)*(TYPE3&lt;&gt;"")+('Dvd Calendar'!$AR$1918=TYPE4)*(TYPE4&lt;&gt;"")+('Dvd Calendar'!$AR$1918=SPECIAL_LBL)*(INC_SPECIALS="Y"))=0,"",'Dvd Calendar'!$AR$1916)))</f>
        <v/>
      </c>
      <c r="AQ192" s="106">
        <f>IF(FS192="","",IF(ISNUMBER('Dvd Calendar'!$E$1921)=FALSE,"",'Dvd Calendar'!$E$1921))</f>
        <v/>
      </c>
      <c r="AR192" s="106">
        <f>IF(FT192="","",IF(ISNUMBER('Dvd Calendar'!$F$1921)=FALSE,"",'Dvd Calendar'!$F$1921))</f>
        <v/>
      </c>
      <c r="AS192" s="106">
        <f>IF(FU192="","",IF(ISNUMBER('Dvd Calendar'!$G$1921)=FALSE,"",'Dvd Calendar'!$G$1921))</f>
        <v/>
      </c>
      <c r="AT192" s="106">
        <f>IF(FV192="","",IF(ISNUMBER('Dvd Calendar'!$H$1921)=FALSE,"",'Dvd Calendar'!$H$1921))</f>
        <v/>
      </c>
      <c r="AU192" s="106">
        <f>IF(FW192="","",IF(ISNUMBER('Dvd Calendar'!$I$1921)=FALSE,"",'Dvd Calendar'!$I$1921))</f>
        <v/>
      </c>
      <c r="AV192" s="106">
        <f>IF(FX192="","",IF(ISNUMBER('Dvd Calendar'!$J$1921)=FALSE,"",'Dvd Calendar'!$J$1921))</f>
        <v/>
      </c>
      <c r="AW192" s="106">
        <f>IF(FY192="","",IF(ISNUMBER('Dvd Calendar'!$K$1921)=FALSE,"",'Dvd Calendar'!$K$1921))</f>
        <v/>
      </c>
      <c r="AX192" s="106">
        <f>IF(FZ192="","",IF(ISNUMBER('Dvd Calendar'!$L$1921)=FALSE,"",'Dvd Calendar'!$L$1921))</f>
        <v/>
      </c>
      <c r="AY192" s="106">
        <f>IF(GA192="","",IF(ISNUMBER('Dvd Calendar'!$M$1921)=FALSE,"",'Dvd Calendar'!$M$1921))</f>
        <v/>
      </c>
      <c r="AZ192" s="106">
        <f>IF(GB192="","",IF(ISNUMBER('Dvd Calendar'!$N$1921)=FALSE,"",'Dvd Calendar'!$N$1921))</f>
        <v/>
      </c>
      <c r="BA192" s="106">
        <f>IF(GC192="","",IF(ISNUMBER('Dvd Calendar'!$O$1921)=FALSE,"",'Dvd Calendar'!$O$1921))</f>
        <v/>
      </c>
      <c r="BB192" s="106">
        <f>IF(GD192="","",IF(ISNUMBER('Dvd Calendar'!$P$1921)=FALSE,"",'Dvd Calendar'!$P$1921))</f>
        <v/>
      </c>
      <c r="BC192" s="106">
        <f>IF(GE192="","",IF(ISNUMBER('Dvd Calendar'!$Q$1921)=FALSE,"",'Dvd Calendar'!$Q$1921))</f>
        <v/>
      </c>
      <c r="BD192" s="106">
        <f>IF(GF192="","",IF(ISNUMBER('Dvd Calendar'!$R$1921)=FALSE,"",'Dvd Calendar'!$R$1921))</f>
        <v/>
      </c>
      <c r="BE192" s="106">
        <f>IF(GG192="","",IF(ISNUMBER('Dvd Calendar'!$S$1921)=FALSE,"",'Dvd Calendar'!$S$1921))</f>
        <v/>
      </c>
      <c r="BF192" s="106">
        <f>IF(GH192="","",IF(ISNUMBER('Dvd Calendar'!$T$1921)=FALSE,"",'Dvd Calendar'!$T$1921))</f>
        <v/>
      </c>
      <c r="BG192" s="106">
        <f>IF(GI192="","",IF(ISNUMBER('Dvd Calendar'!$U$1921)=FALSE,"",'Dvd Calendar'!$U$1921))</f>
        <v/>
      </c>
      <c r="BH192" s="106">
        <f>IF(GJ192="","",IF(ISNUMBER('Dvd Calendar'!$V$1921)=FALSE,"",'Dvd Calendar'!$V$1921))</f>
        <v/>
      </c>
      <c r="BI192" s="106">
        <f>IF(GK192="","",IF(ISNUMBER('Dvd Calendar'!$W$1921)=FALSE,"",'Dvd Calendar'!$W$1921))</f>
        <v/>
      </c>
      <c r="BJ192" s="106">
        <f>IF(GL192="","",IF(ISNUMBER('Dvd Calendar'!$X$1921)=FALSE,"",'Dvd Calendar'!$X$1921))</f>
        <v/>
      </c>
      <c r="BK192" s="106">
        <f>IF(GM192="","",IF(ISNUMBER('Dvd Calendar'!$Y$1921)=FALSE,"",'Dvd Calendar'!$Y$1921))</f>
        <v/>
      </c>
      <c r="BL192" s="106">
        <f>IF(GN192="","",IF(ISNUMBER('Dvd Calendar'!$Z$1921)=FALSE,"",'Dvd Calendar'!$Z$1921))</f>
        <v/>
      </c>
      <c r="BM192" s="106">
        <f>IF(GO192="","",IF(ISNUMBER('Dvd Calendar'!$AA$1921)=FALSE,"",'Dvd Calendar'!$AA$1921))</f>
        <v/>
      </c>
      <c r="BN192" s="106">
        <f>IF(GP192="","",IF(ISNUMBER('Dvd Calendar'!$AB$1921)=FALSE,"",'Dvd Calendar'!$AB$1921))</f>
        <v/>
      </c>
      <c r="BO192" s="106">
        <f>IF(GQ192="","",IF(ISNUMBER('Dvd Calendar'!$AC$1921)=FALSE,"",'Dvd Calendar'!$AC$1921))</f>
        <v/>
      </c>
      <c r="BQ192" s="106">
        <f>IF(C192="","",IFERROR(C192*HSCEI!$B$39*HSCEI!$G$39/HSCEI!$B$3,""))</f>
        <v/>
      </c>
      <c r="BR192" s="106">
        <f>IF(D192="","",IFERROR(D192*HSCEI!$B$39*HSCEI!$G$39/HSCEI!$B$3,""))</f>
        <v/>
      </c>
      <c r="BS192" s="106">
        <f>IF(E192="","",IFERROR(E192*HSCEI!$B$39*HSCEI!$G$39/HSCEI!$B$3,""))</f>
        <v/>
      </c>
      <c r="BT192" s="106">
        <f>IF(F192="","",IFERROR(F192*HSCEI!$B$39*HSCEI!$G$39/HSCEI!$B$3,""))</f>
        <v/>
      </c>
      <c r="BU192" s="106">
        <f>IF(G192="","",IFERROR(G192*HSCEI!$B$39*HSCEI!$G$39/HSCEI!$B$3,""))</f>
        <v/>
      </c>
      <c r="BV192" s="106">
        <f>IF(H192="","",IFERROR(H192*HSCEI!$B$39*HSCEI!$G$39/HSCEI!$B$3,""))</f>
        <v/>
      </c>
      <c r="BW192" s="106">
        <f>IF(I192="","",IFERROR(I192*HSCEI!$B$39*HSCEI!$G$39/HSCEI!$B$3,""))</f>
        <v/>
      </c>
      <c r="BX192" s="106">
        <f>IF(J192="","",IFERROR(J192*HSCEI!$B$39*HSCEI!$G$39/HSCEI!$B$3,""))</f>
        <v/>
      </c>
      <c r="BY192" s="106">
        <f>IF(K192="","",IFERROR(K192*HSCEI!$B$39*HSCEI!$G$39/HSCEI!$B$3,""))</f>
        <v/>
      </c>
      <c r="BZ192" s="106">
        <f>IF(L192="","",IFERROR(L192*HSCEI!$B$39*HSCEI!$G$39/HSCEI!$B$3,""))</f>
        <v/>
      </c>
      <c r="CA192" s="106">
        <f>IF(M192="","",IFERROR(M192*HSCEI!$B$39*HSCEI!$G$39/HSCEI!$B$3,""))</f>
        <v/>
      </c>
      <c r="CB192" s="106">
        <f>IF(N192="","",IFERROR(N192*HSCEI!$B$39*HSCEI!$G$39/HSCEI!$B$3,""))</f>
        <v/>
      </c>
      <c r="CC192" s="106">
        <f>IF(O192="","",IFERROR(O192*HSCEI!$B$39*HSCEI!$G$39/HSCEI!$B$3,""))</f>
        <v/>
      </c>
      <c r="CD192" s="106">
        <f>IF(P192="","",IFERROR(P192*HSCEI!$B$39*HSCEI!$G$39/HSCEI!$B$3,""))</f>
        <v/>
      </c>
      <c r="CE192" s="106">
        <f>IF(Q192="","",IFERROR(Q192*HSCEI!$B$39*HSCEI!$G$39/HSCEI!$B$3,""))</f>
        <v/>
      </c>
      <c r="CF192" s="106">
        <f>IF(R192="","",IFERROR(R192*HSCEI!$B$39*HSCEI!$G$39/HSCEI!$B$3,""))</f>
        <v/>
      </c>
      <c r="CG192" s="106">
        <f>IF(S192="","",IFERROR(S192*HSCEI!$B$39*HSCEI!$G$39/HSCEI!$B$3,""))</f>
        <v/>
      </c>
      <c r="CH192" s="106">
        <f>IF(T192="","",IFERROR(T192*HSCEI!$B$39*HSCEI!$G$39/HSCEI!$B$3,""))</f>
        <v/>
      </c>
      <c r="CI192" s="106">
        <f>IF(U192="","",IFERROR(U192*HSCEI!$B$39*HSCEI!$G$39/HSCEI!$B$3,""))</f>
        <v/>
      </c>
      <c r="CJ192" s="106">
        <f>IF(V192="","",IFERROR(V192*HSCEI!$B$39*HSCEI!$G$39/HSCEI!$B$3,""))</f>
        <v/>
      </c>
      <c r="CK192" s="106">
        <f>IF(W192="","",IFERROR(W192*HSCEI!$B$39*HSCEI!$G$39/HSCEI!$B$3,""))</f>
        <v/>
      </c>
      <c r="CL192" s="106">
        <f>IF(X192="","",IFERROR(X192*HSCEI!$B$39*HSCEI!$G$39/HSCEI!$B$3,""))</f>
        <v/>
      </c>
      <c r="CM192" s="106">
        <f>IF(Y192="","",IFERROR(Y192*HSCEI!$B$39*HSCEI!$G$39/HSCEI!$B$3,""))</f>
        <v/>
      </c>
      <c r="CN192" s="106">
        <f>IF(Z192="","",IFERROR(Z192*HSCEI!$B$39*HSCEI!$G$39/HSCEI!$B$3,""))</f>
        <v/>
      </c>
      <c r="CO192" s="106">
        <f>IF(AA192="","",IFERROR(AA192*HSCEI!$B$39*HSCEI!$G$39/HSCEI!$B$3,""))</f>
        <v/>
      </c>
      <c r="CP192" s="106">
        <f>IF(AB192="","",IFERROR(AB192*HSCEI!$B$39*HSCEI!$G$39/HSCEI!$B$3,""))</f>
        <v/>
      </c>
      <c r="CQ192" s="106">
        <f>IF(AC192="","",IFERROR(AC192*HSCEI!$B$39*HSCEI!$G$39/HSCEI!$B$3,""))</f>
        <v/>
      </c>
      <c r="CR192" s="106">
        <f>IF(AD192="","",IFERROR(AD192*HSCEI!$B$39*HSCEI!$G$39/HSCEI!$B$3,""))</f>
        <v/>
      </c>
      <c r="CS192" s="106">
        <f>IF(AE192="","",IFERROR(AE192*HSCEI!$B$39*HSCEI!$G$39/HSCEI!$B$3,""))</f>
        <v/>
      </c>
      <c r="CT192" s="106">
        <f>IF(AF192="","",IFERROR(AF192*HSCEI!$B$39*HSCEI!$G$39/HSCEI!$B$3,""))</f>
        <v/>
      </c>
      <c r="CU192" s="106">
        <f>IF(AG192="","",IFERROR(AG192*HSCEI!$B$39*HSCEI!$G$39/HSCEI!$B$3,""))</f>
        <v/>
      </c>
      <c r="CV192" s="106">
        <f>IF(AH192="","",IFERROR(AH192*HSCEI!$B$39*HSCEI!$G$39/HSCEI!$B$3,""))</f>
        <v/>
      </c>
      <c r="CW192" s="106">
        <f>IF(AI192="","",IFERROR(AI192*HSCEI!$B$39*HSCEI!$G$39/HSCEI!$B$3,""))</f>
        <v/>
      </c>
      <c r="CX192" s="106">
        <f>IF(AJ192="","",IFERROR(AJ192*HSCEI!$B$39*HSCEI!$G$39/HSCEI!$B$3,""))</f>
        <v/>
      </c>
      <c r="CY192" s="106">
        <f>IF(AK192="","",IFERROR(AK192*HSCEI!$B$39*HSCEI!$G$39/HSCEI!$B$3,""))</f>
        <v/>
      </c>
      <c r="CZ192" s="106">
        <f>IF(AL192="","",IFERROR(AL192*HSCEI!$B$39*HSCEI!$G$39/HSCEI!$B$3,""))</f>
        <v/>
      </c>
      <c r="DA192" s="106">
        <f>IF(AM192="","",IFERROR(AM192*HSCEI!$B$39*HSCEI!$G$39/HSCEI!$B$3,""))</f>
        <v/>
      </c>
      <c r="DB192" s="106">
        <f>IF(AN192="","",IFERROR(AN192*HSCEI!$B$39*HSCEI!$G$39/HSCEI!$B$3,""))</f>
        <v/>
      </c>
      <c r="DC192" s="106">
        <f>IF(AO192="","",IFERROR(AO192*HSCEI!$B$39*HSCEI!$G$39/HSCEI!$B$3,""))</f>
        <v/>
      </c>
      <c r="DD192" s="106">
        <f>IF(AP192="","",IFERROR(AP192*HSCEI!$B$39*HSCEI!$G$39/HSCEI!$B$3,""))</f>
        <v/>
      </c>
      <c r="DE192" s="106">
        <f>IF(AQ192="","",IFERROR(AQ192*HSCEI!$B$39*HSCEI!$G$39/HSCEI!$B$3,""))</f>
        <v/>
      </c>
      <c r="DF192" s="106">
        <f>IF(AR192="","",IFERROR(AR192*HSCEI!$B$39*HSCEI!$G$39/HSCEI!$B$3,""))</f>
        <v/>
      </c>
      <c r="DG192" s="106">
        <f>IF(AS192="","",IFERROR(AS192*HSCEI!$B$39*HSCEI!$G$39/HSCEI!$B$3,""))</f>
        <v/>
      </c>
      <c r="DH192" s="106">
        <f>IF(AT192="","",IFERROR(AT192*HSCEI!$B$39*HSCEI!$G$39/HSCEI!$B$3,""))</f>
        <v/>
      </c>
      <c r="DI192" s="106">
        <f>IF(AU192="","",IFERROR(AU192*HSCEI!$B$39*HSCEI!$G$39/HSCEI!$B$3,""))</f>
        <v/>
      </c>
      <c r="DJ192" s="106">
        <f>IF(AV192="","",IFERROR(AV192*HSCEI!$B$39*HSCEI!$G$39/HSCEI!$B$3,""))</f>
        <v/>
      </c>
      <c r="DK192" s="106">
        <f>IF(AW192="","",IFERROR(AW192*HSCEI!$B$39*HSCEI!$G$39/HSCEI!$B$3,""))</f>
        <v/>
      </c>
      <c r="DL192" s="106">
        <f>IF(AX192="","",IFERROR(AX192*HSCEI!$B$39*HSCEI!$G$39/HSCEI!$B$3,""))</f>
        <v/>
      </c>
      <c r="DM192" s="106">
        <f>IF(AY192="","",IFERROR(AY192*HSCEI!$B$39*HSCEI!$G$39/HSCEI!$B$3,""))</f>
        <v/>
      </c>
      <c r="DN192" s="106">
        <f>IF(AZ192="","",IFERROR(AZ192*HSCEI!$B$39*HSCEI!$G$39/HSCEI!$B$3,""))</f>
        <v/>
      </c>
      <c r="DO192" s="106">
        <f>IF(BA192="","",IFERROR(BA192*HSCEI!$B$39*HSCEI!$G$39/HSCEI!$B$3,""))</f>
        <v/>
      </c>
      <c r="DP192" s="106">
        <f>IF(BB192="","",IFERROR(BB192*HSCEI!$B$39*HSCEI!$G$39/HSCEI!$B$3,""))</f>
        <v/>
      </c>
      <c r="DQ192" s="106">
        <f>IF(BC192="","",IFERROR(BC192*HSCEI!$B$39*HSCEI!$G$39/HSCEI!$B$3,""))</f>
        <v/>
      </c>
      <c r="DR192" s="106">
        <f>IF(BD192="","",IFERROR(BD192*HSCEI!$B$39*HSCEI!$G$39/HSCEI!$B$3,""))</f>
        <v/>
      </c>
      <c r="DS192" s="106">
        <f>IF(BE192="","",IFERROR(BE192*HSCEI!$B$39*HSCEI!$G$39/HSCEI!$B$3,""))</f>
        <v/>
      </c>
      <c r="DT192" s="106">
        <f>IF(BF192="","",IFERROR(BF192*HSCEI!$B$39*HSCEI!$G$39/HSCEI!$B$3,""))</f>
        <v/>
      </c>
      <c r="DU192" s="106">
        <f>IF(BG192="","",IFERROR(BG192*HSCEI!$B$39*HSCEI!$G$39/HSCEI!$B$3,""))</f>
        <v/>
      </c>
      <c r="DV192" s="106">
        <f>IF(BH192="","",IFERROR(BH192*HSCEI!$B$39*HSCEI!$G$39/HSCEI!$B$3,""))</f>
        <v/>
      </c>
      <c r="DW192" s="106">
        <f>IF(BI192="","",IFERROR(BI192*HSCEI!$B$39*HSCEI!$G$39/HSCEI!$B$3,""))</f>
        <v/>
      </c>
      <c r="DX192" s="106">
        <f>IF(BJ192="","",IFERROR(BJ192*HSCEI!$B$39*HSCEI!$G$39/HSCEI!$B$3,""))</f>
        <v/>
      </c>
      <c r="DY192" s="106">
        <f>IF(BK192="","",IFERROR(BK192*HSCEI!$B$39*HSCEI!$G$39/HSCEI!$B$3,""))</f>
        <v/>
      </c>
      <c r="DZ192" s="106">
        <f>IF(BL192="","",IFERROR(BL192*HSCEI!$B$39*HSCEI!$G$39/HSCEI!$B$3,""))</f>
        <v/>
      </c>
      <c r="EA192" s="106">
        <f>IF(BM192="","",IFERROR(BM192*HSCEI!$B$39*HSCEI!$G$39/HSCEI!$B$3,""))</f>
        <v/>
      </c>
      <c r="EB192" s="106">
        <f>IF(BN192="","",IFERROR(BN192*HSCEI!$B$39*HSCEI!$G$39/HSCEI!$B$3,""))</f>
        <v/>
      </c>
      <c r="EC192" s="106">
        <f>IF(BO192="","",IFERROR(BO192*HSCEI!$B$39*HSCEI!$G$39/HSCEI!$B$3,""))</f>
        <v/>
      </c>
      <c r="EE192" s="35">
        <f>IF(N('Dvd Calendar'!$E$1913)=0,"",IF(('Dvd Calendar'!$E$1913&gt;=GRID_FROM)*('Dvd Calendar'!$E$1913&lt;=GRID_TO)*('Dvd Calendar'!$E$1913&lt;=VAL_DATE)=0,"",'Dvd Calendar'!$E$1913*1000000000+ISNUMBER('Dvd Calendar'!$E$1916)*100000000+('Dvd Calendar'!$E$1918=SPECIAL_LBL)*10000000+0*1000000+33*1000+1))</f>
        <v/>
      </c>
      <c r="EF192" s="35">
        <f>IF(N('Dvd Calendar'!$F$1913)=0,"",IF(('Dvd Calendar'!$F$1913&gt;=GRID_FROM)*('Dvd Calendar'!$F$1913&lt;=GRID_TO)*('Dvd Calendar'!$F$1913&lt;=VAL_DATE)=0,"",'Dvd Calendar'!$F$1913*1000000000+ISNUMBER('Dvd Calendar'!$F$1916)*100000000+('Dvd Calendar'!$F$1918=SPECIAL_LBL)*10000000+0*1000000+33*1000+2))</f>
        <v/>
      </c>
      <c r="EG192" s="35">
        <f>IF(N('Dvd Calendar'!$G$1913)=0,"",IF(('Dvd Calendar'!$G$1913&gt;=GRID_FROM)*('Dvd Calendar'!$G$1913&lt;=GRID_TO)*('Dvd Calendar'!$G$1913&lt;=VAL_DATE)=0,"",'Dvd Calendar'!$G$1913*1000000000+ISNUMBER('Dvd Calendar'!$G$1916)*100000000+('Dvd Calendar'!$G$1918=SPECIAL_LBL)*10000000+0*1000000+33*1000+3))</f>
        <v/>
      </c>
      <c r="EH192" s="35">
        <f>IF(N('Dvd Calendar'!$H$1913)=0,"",IF(('Dvd Calendar'!$H$1913&gt;=GRID_FROM)*('Dvd Calendar'!$H$1913&lt;=GRID_TO)*('Dvd Calendar'!$H$1913&lt;=VAL_DATE)=0,"",'Dvd Calendar'!$H$1913*1000000000+ISNUMBER('Dvd Calendar'!$H$1916)*100000000+('Dvd Calendar'!$H$1918=SPECIAL_LBL)*10000000+0*1000000+33*1000+4))</f>
        <v/>
      </c>
      <c r="EI192" s="35">
        <f>IF(N('Dvd Calendar'!$I$1913)=0,"",IF(('Dvd Calendar'!$I$1913&gt;=GRID_FROM)*('Dvd Calendar'!$I$1913&lt;=GRID_TO)*('Dvd Calendar'!$I$1913&lt;=VAL_DATE)=0,"",'Dvd Calendar'!$I$1913*1000000000+ISNUMBER('Dvd Calendar'!$I$1916)*100000000+('Dvd Calendar'!$I$1918=SPECIAL_LBL)*10000000+0*1000000+33*1000+5))</f>
        <v/>
      </c>
      <c r="EJ192" s="35">
        <f>IF(N('Dvd Calendar'!$J$1913)=0,"",IF(('Dvd Calendar'!$J$1913&gt;=GRID_FROM)*('Dvd Calendar'!$J$1913&lt;=GRID_TO)*('Dvd Calendar'!$J$1913&lt;=VAL_DATE)=0,"",'Dvd Calendar'!$J$1913*1000000000+ISNUMBER('Dvd Calendar'!$J$1916)*100000000+('Dvd Calendar'!$J$1918=SPECIAL_LBL)*10000000+0*1000000+33*1000+6))</f>
        <v/>
      </c>
      <c r="EK192" s="35">
        <f>IF(N('Dvd Calendar'!$K$1913)=0,"",IF(('Dvd Calendar'!$K$1913&gt;=GRID_FROM)*('Dvd Calendar'!$K$1913&lt;=GRID_TO)*('Dvd Calendar'!$K$1913&lt;=VAL_DATE)=0,"",'Dvd Calendar'!$K$1913*1000000000+ISNUMBER('Dvd Calendar'!$K$1916)*100000000+('Dvd Calendar'!$K$1918=SPECIAL_LBL)*10000000+0*1000000+33*1000+7))</f>
        <v/>
      </c>
      <c r="EL192" s="35">
        <f>IF(N('Dvd Calendar'!$L$1913)=0,"",IF(('Dvd Calendar'!$L$1913&gt;=GRID_FROM)*('Dvd Calendar'!$L$1913&lt;=GRID_TO)*('Dvd Calendar'!$L$1913&lt;=VAL_DATE)=0,"",'Dvd Calendar'!$L$1913*1000000000+ISNUMBER('Dvd Calendar'!$L$1916)*100000000+('Dvd Calendar'!$L$1918=SPECIAL_LBL)*10000000+0*1000000+33*1000+8))</f>
        <v/>
      </c>
      <c r="EM192" s="35">
        <f>IF(N('Dvd Calendar'!$M$1913)=0,"",IF(('Dvd Calendar'!$M$1913&gt;=GRID_FROM)*('Dvd Calendar'!$M$1913&lt;=GRID_TO)*('Dvd Calendar'!$M$1913&lt;=VAL_DATE)=0,"",'Dvd Calendar'!$M$1913*1000000000+ISNUMBER('Dvd Calendar'!$M$1916)*100000000+('Dvd Calendar'!$M$1918=SPECIAL_LBL)*10000000+0*1000000+33*1000+9))</f>
        <v/>
      </c>
      <c r="EN192" s="35">
        <f>IF(N('Dvd Calendar'!$N$1913)=0,"",IF(('Dvd Calendar'!$N$1913&gt;=GRID_FROM)*('Dvd Calendar'!$N$1913&lt;=GRID_TO)*('Dvd Calendar'!$N$1913&lt;=VAL_DATE)=0,"",'Dvd Calendar'!$N$1913*1000000000+ISNUMBER('Dvd Calendar'!$N$1916)*100000000+('Dvd Calendar'!$N$1918=SPECIAL_LBL)*10000000+0*1000000+33*1000+10))</f>
        <v/>
      </c>
      <c r="EO192" s="35">
        <f>IF(N('Dvd Calendar'!$O$1913)=0,"",IF(('Dvd Calendar'!$O$1913&gt;=GRID_FROM)*('Dvd Calendar'!$O$1913&lt;=GRID_TO)*('Dvd Calendar'!$O$1913&lt;=VAL_DATE)=0,"",'Dvd Calendar'!$O$1913*1000000000+ISNUMBER('Dvd Calendar'!$O$1916)*100000000+('Dvd Calendar'!$O$1918=SPECIAL_LBL)*10000000+0*1000000+33*1000+11))</f>
        <v/>
      </c>
      <c r="EP192" s="35">
        <f>IF(N('Dvd Calendar'!$P$1913)=0,"",IF(('Dvd Calendar'!$P$1913&gt;=GRID_FROM)*('Dvd Calendar'!$P$1913&lt;=GRID_TO)*('Dvd Calendar'!$P$1913&lt;=VAL_DATE)=0,"",'Dvd Calendar'!$P$1913*1000000000+ISNUMBER('Dvd Calendar'!$P$1916)*100000000+('Dvd Calendar'!$P$1918=SPECIAL_LBL)*10000000+0*1000000+33*1000+12))</f>
        <v/>
      </c>
      <c r="EQ192" s="35">
        <f>IF(N('Dvd Calendar'!$Q$1913)=0,"",IF(('Dvd Calendar'!$Q$1913&gt;=GRID_FROM)*('Dvd Calendar'!$Q$1913&lt;=GRID_TO)*('Dvd Calendar'!$Q$1913&lt;=VAL_DATE)=0,"",'Dvd Calendar'!$Q$1913*1000000000+ISNUMBER('Dvd Calendar'!$Q$1916)*100000000+('Dvd Calendar'!$Q$1918=SPECIAL_LBL)*10000000+0*1000000+33*1000+13))</f>
        <v/>
      </c>
      <c r="ER192" s="35">
        <f>IF(N('Dvd Calendar'!$R$1913)=0,"",IF(('Dvd Calendar'!$R$1913&gt;=GRID_FROM)*('Dvd Calendar'!$R$1913&lt;=GRID_TO)*('Dvd Calendar'!$R$1913&lt;=VAL_DATE)=0,"",'Dvd Calendar'!$R$1913*1000000000+ISNUMBER('Dvd Calendar'!$R$1916)*100000000+('Dvd Calendar'!$R$1918=SPECIAL_LBL)*10000000+0*1000000+33*1000+14))</f>
        <v/>
      </c>
      <c r="ES192" s="35">
        <f>IF(N('Dvd Calendar'!$S$1913)=0,"",IF(('Dvd Calendar'!$S$1913&gt;=GRID_FROM)*('Dvd Calendar'!$S$1913&lt;=GRID_TO)*('Dvd Calendar'!$S$1913&lt;=VAL_DATE)=0,"",'Dvd Calendar'!$S$1913*1000000000+ISNUMBER('Dvd Calendar'!$S$1916)*100000000+('Dvd Calendar'!$S$1918=SPECIAL_LBL)*10000000+0*1000000+33*1000+15))</f>
        <v/>
      </c>
      <c r="ET192" s="35">
        <f>IF(N('Dvd Calendar'!$T$1913)=0,"",IF(('Dvd Calendar'!$T$1913&gt;=GRID_FROM)*('Dvd Calendar'!$T$1913&lt;=GRID_TO)*('Dvd Calendar'!$T$1913&lt;=VAL_DATE)=0,"",'Dvd Calendar'!$T$1913*1000000000+ISNUMBER('Dvd Calendar'!$T$1916)*100000000+('Dvd Calendar'!$T$1918=SPECIAL_LBL)*10000000+0*1000000+33*1000+16))</f>
        <v/>
      </c>
      <c r="EU192" s="35">
        <f>IF(N('Dvd Calendar'!$U$1913)=0,"",IF(('Dvd Calendar'!$U$1913&gt;=GRID_FROM)*('Dvd Calendar'!$U$1913&lt;=GRID_TO)*('Dvd Calendar'!$U$1913&lt;=VAL_DATE)=0,"",'Dvd Calendar'!$U$1913*1000000000+ISNUMBER('Dvd Calendar'!$U$1916)*100000000+('Dvd Calendar'!$U$1918=SPECIAL_LBL)*10000000+0*1000000+33*1000+17))</f>
        <v/>
      </c>
      <c r="EV192" s="35">
        <f>IF(N('Dvd Calendar'!$V$1913)=0,"",IF(('Dvd Calendar'!$V$1913&gt;=GRID_FROM)*('Dvd Calendar'!$V$1913&lt;=GRID_TO)*('Dvd Calendar'!$V$1913&lt;=VAL_DATE)=0,"",'Dvd Calendar'!$V$1913*1000000000+ISNUMBER('Dvd Calendar'!$V$1916)*100000000+('Dvd Calendar'!$V$1918=SPECIAL_LBL)*10000000+0*1000000+33*1000+18))</f>
        <v/>
      </c>
      <c r="EW192" s="35">
        <f>IF(N('Dvd Calendar'!$W$1913)=0,"",IF(('Dvd Calendar'!$W$1913&gt;=GRID_FROM)*('Dvd Calendar'!$W$1913&lt;=GRID_TO)*('Dvd Calendar'!$W$1913&lt;=VAL_DATE)=0,"",'Dvd Calendar'!$W$1913*1000000000+ISNUMBER('Dvd Calendar'!$W$1916)*100000000+('Dvd Calendar'!$W$1918=SPECIAL_LBL)*10000000+0*1000000+33*1000+19))</f>
        <v/>
      </c>
      <c r="EX192" s="35">
        <f>IF(N('Dvd Calendar'!$X$1913)=0,"",IF(('Dvd Calendar'!$X$1913&gt;=GRID_FROM)*('Dvd Calendar'!$X$1913&lt;=GRID_TO)*('Dvd Calendar'!$X$1913&lt;=VAL_DATE)=0,"",'Dvd Calendar'!$X$1913*1000000000+ISNUMBER('Dvd Calendar'!$X$1916)*100000000+('Dvd Calendar'!$X$1918=SPECIAL_LBL)*10000000+0*1000000+33*1000+20))</f>
        <v/>
      </c>
      <c r="EY192" s="35">
        <f>IF(N('Dvd Calendar'!$Y$1913)=0,"",IF(('Dvd Calendar'!$Y$1913&gt;=GRID_FROM)*('Dvd Calendar'!$Y$1913&lt;=GRID_TO)*('Dvd Calendar'!$Y$1913&lt;=VAL_DATE)=0,"",'Dvd Calendar'!$Y$1913*1000000000+ISNUMBER('Dvd Calendar'!$Y$1916)*100000000+('Dvd Calendar'!$Y$1918=SPECIAL_LBL)*10000000+0*1000000+33*1000+21))</f>
        <v/>
      </c>
      <c r="EZ192" s="35">
        <f>IF(N('Dvd Calendar'!$Z$1913)=0,"",IF(('Dvd Calendar'!$Z$1913&gt;=GRID_FROM)*('Dvd Calendar'!$Z$1913&lt;=GRID_TO)*('Dvd Calendar'!$Z$1913&lt;=VAL_DATE)=0,"",'Dvd Calendar'!$Z$1913*1000000000+ISNUMBER('Dvd Calendar'!$Z$1916)*100000000+('Dvd Calendar'!$Z$1918=SPECIAL_LBL)*10000000+0*1000000+33*1000+22))</f>
        <v/>
      </c>
      <c r="FA192" s="35">
        <f>IF(N('Dvd Calendar'!$AA$1913)=0,"",IF(('Dvd Calendar'!$AA$1913&gt;=GRID_FROM)*('Dvd Calendar'!$AA$1913&lt;=GRID_TO)*('Dvd Calendar'!$AA$1913&lt;=VAL_DATE)=0,"",'Dvd Calendar'!$AA$1913*1000000000+ISNUMBER('Dvd Calendar'!$AA$1916)*100000000+('Dvd Calendar'!$AA$1918=SPECIAL_LBL)*10000000+0*1000000+33*1000+23))</f>
        <v/>
      </c>
      <c r="FB192" s="35">
        <f>IF(N('Dvd Calendar'!$AB$1913)=0,"",IF(('Dvd Calendar'!$AB$1913&gt;=GRID_FROM)*('Dvd Calendar'!$AB$1913&lt;=GRID_TO)*('Dvd Calendar'!$AB$1913&lt;=VAL_DATE)=0,"",'Dvd Calendar'!$AB$1913*1000000000+ISNUMBER('Dvd Calendar'!$AB$1916)*100000000+('Dvd Calendar'!$AB$1918=SPECIAL_LBL)*10000000+0*1000000+33*1000+24))</f>
        <v/>
      </c>
      <c r="FC192" s="35">
        <f>IF(N('Dvd Calendar'!$AC$1913)=0,"",IF(('Dvd Calendar'!$AC$1913&gt;=GRID_FROM)*('Dvd Calendar'!$AC$1913&lt;=GRID_TO)*('Dvd Calendar'!$AC$1913&lt;=VAL_DATE)=0,"",'Dvd Calendar'!$AC$1913*1000000000+ISNUMBER('Dvd Calendar'!$AC$1916)*100000000+('Dvd Calendar'!$AC$1918=SPECIAL_LBL)*10000000+0*1000000+33*1000+25))</f>
        <v/>
      </c>
      <c r="FD192" s="35">
        <f>IF(N('Dvd Calendar'!$AD$1913)=0,"",IF(('Dvd Calendar'!$AD$1913&gt;=GRID_FROM)*('Dvd Calendar'!$AD$1913&lt;=GRID_TO)*('Dvd Calendar'!$AD$1913&lt;=VAL_DATE)=0,"",'Dvd Calendar'!$AD$1913*1000000000+ISNUMBER('Dvd Calendar'!$AD$1916)*100000000+('Dvd Calendar'!$AD$1918=SPECIAL_LBL)*10000000+0*1000000+33*1000+26))</f>
        <v/>
      </c>
      <c r="FE192" s="35">
        <f>IF(N('Dvd Calendar'!$AE$1913)=0,"",IF(('Dvd Calendar'!$AE$1913&gt;=GRID_FROM)*('Dvd Calendar'!$AE$1913&lt;=GRID_TO)*('Dvd Calendar'!$AE$1913&lt;=VAL_DATE)=0,"",'Dvd Calendar'!$AE$1913*1000000000+ISNUMBER('Dvd Calendar'!$AE$1916)*100000000+('Dvd Calendar'!$AE$1918=SPECIAL_LBL)*10000000+0*1000000+33*1000+27))</f>
        <v/>
      </c>
      <c r="FF192" s="35">
        <f>IF(N('Dvd Calendar'!$AF$1913)=0,"",IF(('Dvd Calendar'!$AF$1913&gt;=GRID_FROM)*('Dvd Calendar'!$AF$1913&lt;=GRID_TO)*('Dvd Calendar'!$AF$1913&lt;=VAL_DATE)=0,"",'Dvd Calendar'!$AF$1913*1000000000+ISNUMBER('Dvd Calendar'!$AF$1916)*100000000+('Dvd Calendar'!$AF$1918=SPECIAL_LBL)*10000000+0*1000000+33*1000+28))</f>
        <v/>
      </c>
      <c r="FG192" s="35">
        <f>IF(N('Dvd Calendar'!$AG$1913)=0,"",IF(('Dvd Calendar'!$AG$1913&gt;=GRID_FROM)*('Dvd Calendar'!$AG$1913&lt;=GRID_TO)*('Dvd Calendar'!$AG$1913&lt;=VAL_DATE)=0,"",'Dvd Calendar'!$AG$1913*1000000000+ISNUMBER('Dvd Calendar'!$AG$1916)*100000000+('Dvd Calendar'!$AG$1918=SPECIAL_LBL)*10000000+0*1000000+33*1000+29))</f>
        <v/>
      </c>
      <c r="FH192" s="35">
        <f>IF(N('Dvd Calendar'!$AH$1913)=0,"",IF(('Dvd Calendar'!$AH$1913&gt;=GRID_FROM)*('Dvd Calendar'!$AH$1913&lt;=GRID_TO)*('Dvd Calendar'!$AH$1913&lt;=VAL_DATE)=0,"",'Dvd Calendar'!$AH$1913*1000000000+ISNUMBER('Dvd Calendar'!$AH$1916)*100000000+('Dvd Calendar'!$AH$1918=SPECIAL_LBL)*10000000+0*1000000+33*1000+30))</f>
        <v/>
      </c>
      <c r="FI192" s="35">
        <f>IF(N('Dvd Calendar'!$AI$1913)=0,"",IF(('Dvd Calendar'!$AI$1913&gt;=GRID_FROM)*('Dvd Calendar'!$AI$1913&lt;=GRID_TO)*('Dvd Calendar'!$AI$1913&lt;=VAL_DATE)=0,"",'Dvd Calendar'!$AI$1913*1000000000+ISNUMBER('Dvd Calendar'!$AI$1916)*100000000+('Dvd Calendar'!$AI$1918=SPECIAL_LBL)*10000000+0*1000000+33*1000+31))</f>
        <v/>
      </c>
      <c r="FJ192" s="35">
        <f>IF(N('Dvd Calendar'!$AJ$1913)=0,"",IF(('Dvd Calendar'!$AJ$1913&gt;=GRID_FROM)*('Dvd Calendar'!$AJ$1913&lt;=GRID_TO)*('Dvd Calendar'!$AJ$1913&lt;=VAL_DATE)=0,"",'Dvd Calendar'!$AJ$1913*1000000000+ISNUMBER('Dvd Calendar'!$AJ$1916)*100000000+('Dvd Calendar'!$AJ$1918=SPECIAL_LBL)*10000000+0*1000000+33*1000+32))</f>
        <v/>
      </c>
      <c r="FK192" s="35">
        <f>IF(N('Dvd Calendar'!$AK$1913)=0,"",IF(('Dvd Calendar'!$AK$1913&gt;=GRID_FROM)*('Dvd Calendar'!$AK$1913&lt;=GRID_TO)*('Dvd Calendar'!$AK$1913&lt;=VAL_DATE)=0,"",'Dvd Calendar'!$AK$1913*1000000000+ISNUMBER('Dvd Calendar'!$AK$1916)*100000000+('Dvd Calendar'!$AK$1918=SPECIAL_LBL)*10000000+0*1000000+33*1000+33))</f>
        <v/>
      </c>
      <c r="FL192" s="35">
        <f>IF(N('Dvd Calendar'!$AL$1913)=0,"",IF(('Dvd Calendar'!$AL$1913&gt;=GRID_FROM)*('Dvd Calendar'!$AL$1913&lt;=GRID_TO)*('Dvd Calendar'!$AL$1913&lt;=VAL_DATE)=0,"",'Dvd Calendar'!$AL$1913*1000000000+ISNUMBER('Dvd Calendar'!$AL$1916)*100000000+('Dvd Calendar'!$AL$1918=SPECIAL_LBL)*10000000+0*1000000+33*1000+34))</f>
        <v/>
      </c>
      <c r="FM192" s="35">
        <f>IF(N('Dvd Calendar'!$AM$1913)=0,"",IF(('Dvd Calendar'!$AM$1913&gt;=GRID_FROM)*('Dvd Calendar'!$AM$1913&lt;=GRID_TO)*('Dvd Calendar'!$AM$1913&lt;=VAL_DATE)=0,"",'Dvd Calendar'!$AM$1913*1000000000+ISNUMBER('Dvd Calendar'!$AM$1916)*100000000+('Dvd Calendar'!$AM$1918=SPECIAL_LBL)*10000000+0*1000000+33*1000+35))</f>
        <v/>
      </c>
      <c r="FN192" s="35">
        <f>IF(N('Dvd Calendar'!$AN$1913)=0,"",IF(('Dvd Calendar'!$AN$1913&gt;=GRID_FROM)*('Dvd Calendar'!$AN$1913&lt;=GRID_TO)*('Dvd Calendar'!$AN$1913&lt;=VAL_DATE)=0,"",'Dvd Calendar'!$AN$1913*1000000000+ISNUMBER('Dvd Calendar'!$AN$1916)*100000000+('Dvd Calendar'!$AN$1918=SPECIAL_LBL)*10000000+0*1000000+33*1000+36))</f>
        <v/>
      </c>
      <c r="FO192" s="35">
        <f>IF(N('Dvd Calendar'!$AO$1913)=0,"",IF(('Dvd Calendar'!$AO$1913&gt;=GRID_FROM)*('Dvd Calendar'!$AO$1913&lt;=GRID_TO)*('Dvd Calendar'!$AO$1913&lt;=VAL_DATE)=0,"",'Dvd Calendar'!$AO$1913*1000000000+ISNUMBER('Dvd Calendar'!$AO$1916)*100000000+('Dvd Calendar'!$AO$1918=SPECIAL_LBL)*10000000+0*1000000+33*1000+37))</f>
        <v/>
      </c>
      <c r="FP192" s="35">
        <f>IF(N('Dvd Calendar'!$AP$1913)=0,"",IF(('Dvd Calendar'!$AP$1913&gt;=GRID_FROM)*('Dvd Calendar'!$AP$1913&lt;=GRID_TO)*('Dvd Calendar'!$AP$1913&lt;=VAL_DATE)=0,"",'Dvd Calendar'!$AP$1913*1000000000+ISNUMBER('Dvd Calendar'!$AP$1916)*100000000+('Dvd Calendar'!$AP$1918=SPECIAL_LBL)*10000000+0*1000000+33*1000+38))</f>
        <v/>
      </c>
      <c r="FQ192" s="35">
        <f>IF(N('Dvd Calendar'!$AQ$1913)=0,"",IF(('Dvd Calendar'!$AQ$1913&gt;=GRID_FROM)*('Dvd Calendar'!$AQ$1913&lt;=GRID_TO)*('Dvd Calendar'!$AQ$1913&lt;=VAL_DATE)=0,"",'Dvd Calendar'!$AQ$1913*1000000000+ISNUMBER('Dvd Calendar'!$AQ$1916)*100000000+('Dvd Calendar'!$AQ$1918=SPECIAL_LBL)*10000000+0*1000000+33*1000+39))</f>
        <v/>
      </c>
      <c r="FR192" s="35">
        <f>IF(N('Dvd Calendar'!$AR$1913)=0,"",IF(('Dvd Calendar'!$AR$1913&gt;=GRID_FROM)*('Dvd Calendar'!$AR$1913&lt;=GRID_TO)*('Dvd Calendar'!$AR$1913&lt;=VAL_DATE)=0,"",'Dvd Calendar'!$AR$1913*1000000000+ISNUMBER('Dvd Calendar'!$AR$1916)*100000000+('Dvd Calendar'!$AR$1918=SPECIAL_LBL)*10000000+0*1000000+33*1000+40))</f>
        <v/>
      </c>
      <c r="FS192" s="35">
        <f>IF(N('Dvd Calendar'!$E$1920)=0,"",IF(('Dvd Calendar'!$E$1920&gt;=GRID_FROM)*('Dvd Calendar'!$E$1920&lt;=GRID_TO)*('Dvd Calendar'!$E$1920&gt;VAL_DATE)=0,"",'Dvd Calendar'!$E$1920*1000000000+ISNUMBER('Dvd Calendar'!$E$1921)*100000000+0*10000000+(N('Dvd Calendar'!$E$1919)&gt;0)*(N('Dvd Calendar'!$E$1919)&lt;=VAL_SERIAL)*1000000+33*1000+41))</f>
        <v/>
      </c>
      <c r="FT192" s="35">
        <f>IF(N('Dvd Calendar'!$F$1920)=0,"",IF(('Dvd Calendar'!$F$1920&gt;=GRID_FROM)*('Dvd Calendar'!$F$1920&lt;=GRID_TO)*('Dvd Calendar'!$F$1920&gt;VAL_DATE)=0,"",'Dvd Calendar'!$F$1920*1000000000+ISNUMBER('Dvd Calendar'!$F$1921)*100000000+0*10000000+(N('Dvd Calendar'!$F$1919)&gt;0)*(N('Dvd Calendar'!$F$1919)&lt;=VAL_SERIAL)*1000000+33*1000+42))</f>
        <v/>
      </c>
      <c r="FU192" s="35">
        <f>IF(N('Dvd Calendar'!$G$1920)=0,"",IF(('Dvd Calendar'!$G$1920&gt;=GRID_FROM)*('Dvd Calendar'!$G$1920&lt;=GRID_TO)*('Dvd Calendar'!$G$1920&gt;VAL_DATE)=0,"",'Dvd Calendar'!$G$1920*1000000000+ISNUMBER('Dvd Calendar'!$G$1921)*100000000+0*10000000+(N('Dvd Calendar'!$G$1919)&gt;0)*(N('Dvd Calendar'!$G$1919)&lt;=VAL_SERIAL)*1000000+33*1000+43))</f>
        <v/>
      </c>
      <c r="FV192" s="35">
        <f>IF(N('Dvd Calendar'!$H$1920)=0,"",IF(('Dvd Calendar'!$H$1920&gt;=GRID_FROM)*('Dvd Calendar'!$H$1920&lt;=GRID_TO)*('Dvd Calendar'!$H$1920&gt;VAL_DATE)=0,"",'Dvd Calendar'!$H$1920*1000000000+ISNUMBER('Dvd Calendar'!$H$1921)*100000000+0*10000000+(N('Dvd Calendar'!$H$1919)&gt;0)*(N('Dvd Calendar'!$H$1919)&lt;=VAL_SERIAL)*1000000+33*1000+44))</f>
        <v/>
      </c>
      <c r="FW192" s="35">
        <f>IF(N('Dvd Calendar'!$I$1920)=0,"",IF(('Dvd Calendar'!$I$1920&gt;=GRID_FROM)*('Dvd Calendar'!$I$1920&lt;=GRID_TO)*('Dvd Calendar'!$I$1920&gt;VAL_DATE)=0,"",'Dvd Calendar'!$I$1920*1000000000+ISNUMBER('Dvd Calendar'!$I$1921)*100000000+0*10000000+(N('Dvd Calendar'!$I$1919)&gt;0)*(N('Dvd Calendar'!$I$1919)&lt;=VAL_SERIAL)*1000000+33*1000+45))</f>
        <v/>
      </c>
      <c r="FX192" s="35">
        <f>IF(N('Dvd Calendar'!$J$1920)=0,"",IF(('Dvd Calendar'!$J$1920&gt;=GRID_FROM)*('Dvd Calendar'!$J$1920&lt;=GRID_TO)*('Dvd Calendar'!$J$1920&gt;VAL_DATE)=0,"",'Dvd Calendar'!$J$1920*1000000000+ISNUMBER('Dvd Calendar'!$J$1921)*100000000+0*10000000+(N('Dvd Calendar'!$J$1919)&gt;0)*(N('Dvd Calendar'!$J$1919)&lt;=VAL_SERIAL)*1000000+33*1000+46))</f>
        <v/>
      </c>
      <c r="FY192" s="35">
        <f>IF(N('Dvd Calendar'!$K$1920)=0,"",IF(('Dvd Calendar'!$K$1920&gt;=GRID_FROM)*('Dvd Calendar'!$K$1920&lt;=GRID_TO)*('Dvd Calendar'!$K$1920&gt;VAL_DATE)=0,"",'Dvd Calendar'!$K$1920*1000000000+ISNUMBER('Dvd Calendar'!$K$1921)*100000000+0*10000000+(N('Dvd Calendar'!$K$1919)&gt;0)*(N('Dvd Calendar'!$K$1919)&lt;=VAL_SERIAL)*1000000+33*1000+47))</f>
        <v/>
      </c>
      <c r="FZ192" s="35">
        <f>IF(N('Dvd Calendar'!$L$1920)=0,"",IF(('Dvd Calendar'!$L$1920&gt;=GRID_FROM)*('Dvd Calendar'!$L$1920&lt;=GRID_TO)*('Dvd Calendar'!$L$1920&gt;VAL_DATE)=0,"",'Dvd Calendar'!$L$1920*1000000000+ISNUMBER('Dvd Calendar'!$L$1921)*100000000+0*10000000+(N('Dvd Calendar'!$L$1919)&gt;0)*(N('Dvd Calendar'!$L$1919)&lt;=VAL_SERIAL)*1000000+33*1000+48))</f>
        <v/>
      </c>
      <c r="GA192" s="35">
        <f>IF(N('Dvd Calendar'!$M$1920)=0,"",IF(('Dvd Calendar'!$M$1920&gt;=GRID_FROM)*('Dvd Calendar'!$M$1920&lt;=GRID_TO)*('Dvd Calendar'!$M$1920&gt;VAL_DATE)=0,"",'Dvd Calendar'!$M$1920*1000000000+ISNUMBER('Dvd Calendar'!$M$1921)*100000000+0*10000000+(N('Dvd Calendar'!$M$1919)&gt;0)*(N('Dvd Calendar'!$M$1919)&lt;=VAL_SERIAL)*1000000+33*1000+49))</f>
        <v/>
      </c>
      <c r="GB192" s="35">
        <f>IF(N('Dvd Calendar'!$N$1920)=0,"",IF(('Dvd Calendar'!$N$1920&gt;=GRID_FROM)*('Dvd Calendar'!$N$1920&lt;=GRID_TO)*('Dvd Calendar'!$N$1920&gt;VAL_DATE)=0,"",'Dvd Calendar'!$N$1920*1000000000+ISNUMBER('Dvd Calendar'!$N$1921)*100000000+0*10000000+(N('Dvd Calendar'!$N$1919)&gt;0)*(N('Dvd Calendar'!$N$1919)&lt;=VAL_SERIAL)*1000000+33*1000+50))</f>
        <v/>
      </c>
      <c r="GC192" s="35">
        <f>IF(N('Dvd Calendar'!$O$1920)=0,"",IF(('Dvd Calendar'!$O$1920&gt;=GRID_FROM)*('Dvd Calendar'!$O$1920&lt;=GRID_TO)*('Dvd Calendar'!$O$1920&gt;VAL_DATE)=0,"",'Dvd Calendar'!$O$1920*1000000000+ISNUMBER('Dvd Calendar'!$O$1921)*100000000+0*10000000+(N('Dvd Calendar'!$O$1919)&gt;0)*(N('Dvd Calendar'!$O$1919)&lt;=VAL_SERIAL)*1000000+33*1000+51))</f>
        <v/>
      </c>
      <c r="GD192" s="35">
        <f>IF(N('Dvd Calendar'!$P$1920)=0,"",IF(('Dvd Calendar'!$P$1920&gt;=GRID_FROM)*('Dvd Calendar'!$P$1920&lt;=GRID_TO)*('Dvd Calendar'!$P$1920&gt;VAL_DATE)=0,"",'Dvd Calendar'!$P$1920*1000000000+ISNUMBER('Dvd Calendar'!$P$1921)*100000000+0*10000000+(N('Dvd Calendar'!$P$1919)&gt;0)*(N('Dvd Calendar'!$P$1919)&lt;=VAL_SERIAL)*1000000+33*1000+52))</f>
        <v/>
      </c>
      <c r="GE192" s="35">
        <f>IF(N('Dvd Calendar'!$Q$1920)=0,"",IF(('Dvd Calendar'!$Q$1920&gt;=GRID_FROM)*('Dvd Calendar'!$Q$1920&lt;=GRID_TO)*('Dvd Calendar'!$Q$1920&gt;VAL_DATE)=0,"",'Dvd Calendar'!$Q$1920*1000000000+ISNUMBER('Dvd Calendar'!$Q$1921)*100000000+0*10000000+(N('Dvd Calendar'!$Q$1919)&gt;0)*(N('Dvd Calendar'!$Q$1919)&lt;=VAL_SERIAL)*1000000+33*1000+53))</f>
        <v/>
      </c>
      <c r="GF192" s="35">
        <f>IF(N('Dvd Calendar'!$R$1920)=0,"",IF(('Dvd Calendar'!$R$1920&gt;=GRID_FROM)*('Dvd Calendar'!$R$1920&lt;=GRID_TO)*('Dvd Calendar'!$R$1920&gt;VAL_DATE)=0,"",'Dvd Calendar'!$R$1920*1000000000+ISNUMBER('Dvd Calendar'!$R$1921)*100000000+0*10000000+(N('Dvd Calendar'!$R$1919)&gt;0)*(N('Dvd Calendar'!$R$1919)&lt;=VAL_SERIAL)*1000000+33*1000+54))</f>
        <v/>
      </c>
      <c r="GG192" s="35">
        <f>IF(N('Dvd Calendar'!$S$1920)=0,"",IF(('Dvd Calendar'!$S$1920&gt;=GRID_FROM)*('Dvd Calendar'!$S$1920&lt;=GRID_TO)*('Dvd Calendar'!$S$1920&gt;VAL_DATE)=0,"",'Dvd Calendar'!$S$1920*1000000000+ISNUMBER('Dvd Calendar'!$S$1921)*100000000+0*10000000+(N('Dvd Calendar'!$S$1919)&gt;0)*(N('Dvd Calendar'!$S$1919)&lt;=VAL_SERIAL)*1000000+33*1000+55))</f>
        <v/>
      </c>
      <c r="GH192" s="35">
        <f>IF(N('Dvd Calendar'!$T$1920)=0,"",IF(('Dvd Calendar'!$T$1920&gt;=GRID_FROM)*('Dvd Calendar'!$T$1920&lt;=GRID_TO)*('Dvd Calendar'!$T$1920&gt;VAL_DATE)=0,"",'Dvd Calendar'!$T$1920*1000000000+ISNUMBER('Dvd Calendar'!$T$1921)*100000000+0*10000000+(N('Dvd Calendar'!$T$1919)&gt;0)*(N('Dvd Calendar'!$T$1919)&lt;=VAL_SERIAL)*1000000+33*1000+56))</f>
        <v/>
      </c>
      <c r="GI192" s="35">
        <f>IF(N('Dvd Calendar'!$U$1920)=0,"",IF(('Dvd Calendar'!$U$1920&gt;=GRID_FROM)*('Dvd Calendar'!$U$1920&lt;=GRID_TO)*('Dvd Calendar'!$U$1920&gt;VAL_DATE)=0,"",'Dvd Calendar'!$U$1920*1000000000+ISNUMBER('Dvd Calendar'!$U$1921)*100000000+0*10000000+(N('Dvd Calendar'!$U$1919)&gt;0)*(N('Dvd Calendar'!$U$1919)&lt;=VAL_SERIAL)*1000000+33*1000+57))</f>
        <v/>
      </c>
      <c r="GJ192" s="35">
        <f>IF(N('Dvd Calendar'!$V$1920)=0,"",IF(('Dvd Calendar'!$V$1920&gt;=GRID_FROM)*('Dvd Calendar'!$V$1920&lt;=GRID_TO)*('Dvd Calendar'!$V$1920&gt;VAL_DATE)=0,"",'Dvd Calendar'!$V$1920*1000000000+ISNUMBER('Dvd Calendar'!$V$1921)*100000000+0*10000000+(N('Dvd Calendar'!$V$1919)&gt;0)*(N('Dvd Calendar'!$V$1919)&lt;=VAL_SERIAL)*1000000+33*1000+58))</f>
        <v/>
      </c>
      <c r="GK192" s="35">
        <f>IF(N('Dvd Calendar'!$W$1920)=0,"",IF(('Dvd Calendar'!$W$1920&gt;=GRID_FROM)*('Dvd Calendar'!$W$1920&lt;=GRID_TO)*('Dvd Calendar'!$W$1920&gt;VAL_DATE)=0,"",'Dvd Calendar'!$W$1920*1000000000+ISNUMBER('Dvd Calendar'!$W$1921)*100000000+0*10000000+(N('Dvd Calendar'!$W$1919)&gt;0)*(N('Dvd Calendar'!$W$1919)&lt;=VAL_SERIAL)*1000000+33*1000+59))</f>
        <v/>
      </c>
      <c r="GL192" s="35">
        <f>IF(N('Dvd Calendar'!$X$1920)=0,"",IF(('Dvd Calendar'!$X$1920&gt;=GRID_FROM)*('Dvd Calendar'!$X$1920&lt;=GRID_TO)*('Dvd Calendar'!$X$1920&gt;VAL_DATE)=0,"",'Dvd Calendar'!$X$1920*1000000000+ISNUMBER('Dvd Calendar'!$X$1921)*100000000+0*10000000+(N('Dvd Calendar'!$X$1919)&gt;0)*(N('Dvd Calendar'!$X$1919)&lt;=VAL_SERIAL)*1000000+33*1000+60))</f>
        <v/>
      </c>
      <c r="GM192" s="35">
        <f>IF(N('Dvd Calendar'!$Y$1920)=0,"",IF(('Dvd Calendar'!$Y$1920&gt;=GRID_FROM)*('Dvd Calendar'!$Y$1920&lt;=GRID_TO)*('Dvd Calendar'!$Y$1920&gt;VAL_DATE)=0,"",'Dvd Calendar'!$Y$1920*1000000000+ISNUMBER('Dvd Calendar'!$Y$1921)*100000000+0*10000000+(N('Dvd Calendar'!$Y$1919)&gt;0)*(N('Dvd Calendar'!$Y$1919)&lt;=VAL_SERIAL)*1000000+33*1000+61))</f>
        <v/>
      </c>
      <c r="GN192" s="35">
        <f>IF(N('Dvd Calendar'!$Z$1920)=0,"",IF(('Dvd Calendar'!$Z$1920&gt;=GRID_FROM)*('Dvd Calendar'!$Z$1920&lt;=GRID_TO)*('Dvd Calendar'!$Z$1920&gt;VAL_DATE)=0,"",'Dvd Calendar'!$Z$1920*1000000000+ISNUMBER('Dvd Calendar'!$Z$1921)*100000000+0*10000000+(N('Dvd Calendar'!$Z$1919)&gt;0)*(N('Dvd Calendar'!$Z$1919)&lt;=VAL_SERIAL)*1000000+33*1000+62))</f>
        <v/>
      </c>
      <c r="GO192" s="35">
        <f>IF(N('Dvd Calendar'!$AA$1920)=0,"",IF(('Dvd Calendar'!$AA$1920&gt;=GRID_FROM)*('Dvd Calendar'!$AA$1920&lt;=GRID_TO)*('Dvd Calendar'!$AA$1920&gt;VAL_DATE)=0,"",'Dvd Calendar'!$AA$1920*1000000000+ISNUMBER('Dvd Calendar'!$AA$1921)*100000000+0*10000000+(N('Dvd Calendar'!$AA$1919)&gt;0)*(N('Dvd Calendar'!$AA$1919)&lt;=VAL_SERIAL)*1000000+33*1000+63))</f>
        <v/>
      </c>
      <c r="GP192" s="35">
        <f>IF(N('Dvd Calendar'!$AB$1920)=0,"",IF(('Dvd Calendar'!$AB$1920&gt;=GRID_FROM)*('Dvd Calendar'!$AB$1920&lt;=GRID_TO)*('Dvd Calendar'!$AB$1920&gt;VAL_DATE)=0,"",'Dvd Calendar'!$AB$1920*1000000000+ISNUMBER('Dvd Calendar'!$AB$1921)*100000000+0*10000000+(N('Dvd Calendar'!$AB$1919)&gt;0)*(N('Dvd Calendar'!$AB$1919)&lt;=VAL_SERIAL)*1000000+33*1000+64))</f>
        <v/>
      </c>
      <c r="GQ192" s="35">
        <f>IF(N('Dvd Calendar'!$AC$1920)=0,"",IF(('Dvd Calendar'!$AC$1920&gt;=GRID_FROM)*('Dvd Calendar'!$AC$1920&lt;=GRID_TO)*('Dvd Calendar'!$AC$1920&gt;VAL_DATE)=0,"",'Dvd Calendar'!$AC$1920*1000000000+ISNUMBER('Dvd Calendar'!$AC$1921)*100000000+0*10000000+(N('Dvd Calendar'!$AC$1919)&gt;0)*(N('Dvd Calendar'!$AC$1919)&lt;=VAL_SERIAL)*1000000+33*1000+65))</f>
        <v/>
      </c>
    </row>
    <row r="193">
      <c r="B193" s="2">
        <f>IF(HSCEI!$C$40="","",HSCEI!$C$40)</f>
        <v/>
      </c>
      <c r="C193" s="106">
        <f>IF(EE193="","",IF(ISNUMBER('Dvd Calendar'!$E$1927)=FALSE,"",IF((('Dvd Calendar'!$E$1929=TYPE1)*(TYPE1&lt;&gt;"")+('Dvd Calendar'!$E$1929=TYPE2)*(TYPE2&lt;&gt;"")+('Dvd Calendar'!$E$1929=TYPE3)*(TYPE3&lt;&gt;"")+('Dvd Calendar'!$E$1929=TYPE4)*(TYPE4&lt;&gt;"")+('Dvd Calendar'!$E$1929=SPECIAL_LBL)*(INC_SPECIALS="Y"))=0,"",'Dvd Calendar'!$E$1927)))</f>
        <v/>
      </c>
      <c r="D193" s="106">
        <f>IF(EF193="","",IF(ISNUMBER('Dvd Calendar'!$F$1927)=FALSE,"",IF((('Dvd Calendar'!$F$1929=TYPE1)*(TYPE1&lt;&gt;"")+('Dvd Calendar'!$F$1929=TYPE2)*(TYPE2&lt;&gt;"")+('Dvd Calendar'!$F$1929=TYPE3)*(TYPE3&lt;&gt;"")+('Dvd Calendar'!$F$1929=TYPE4)*(TYPE4&lt;&gt;"")+('Dvd Calendar'!$F$1929=SPECIAL_LBL)*(INC_SPECIALS="Y"))=0,"",'Dvd Calendar'!$F$1927)))</f>
        <v/>
      </c>
      <c r="E193" s="106">
        <f>IF(EG193="","",IF(ISNUMBER('Dvd Calendar'!$G$1927)=FALSE,"",IF((('Dvd Calendar'!$G$1929=TYPE1)*(TYPE1&lt;&gt;"")+('Dvd Calendar'!$G$1929=TYPE2)*(TYPE2&lt;&gt;"")+('Dvd Calendar'!$G$1929=TYPE3)*(TYPE3&lt;&gt;"")+('Dvd Calendar'!$G$1929=TYPE4)*(TYPE4&lt;&gt;"")+('Dvd Calendar'!$G$1929=SPECIAL_LBL)*(INC_SPECIALS="Y"))=0,"",'Dvd Calendar'!$G$1927)))</f>
        <v/>
      </c>
      <c r="F193" s="106">
        <f>IF(EH193="","",IF(ISNUMBER('Dvd Calendar'!$H$1927)=FALSE,"",IF((('Dvd Calendar'!$H$1929=TYPE1)*(TYPE1&lt;&gt;"")+('Dvd Calendar'!$H$1929=TYPE2)*(TYPE2&lt;&gt;"")+('Dvd Calendar'!$H$1929=TYPE3)*(TYPE3&lt;&gt;"")+('Dvd Calendar'!$H$1929=TYPE4)*(TYPE4&lt;&gt;"")+('Dvd Calendar'!$H$1929=SPECIAL_LBL)*(INC_SPECIALS="Y"))=0,"",'Dvd Calendar'!$H$1927)))</f>
        <v/>
      </c>
      <c r="G193" s="106">
        <f>IF(EI193="","",IF(ISNUMBER('Dvd Calendar'!$I$1927)=FALSE,"",IF((('Dvd Calendar'!$I$1929=TYPE1)*(TYPE1&lt;&gt;"")+('Dvd Calendar'!$I$1929=TYPE2)*(TYPE2&lt;&gt;"")+('Dvd Calendar'!$I$1929=TYPE3)*(TYPE3&lt;&gt;"")+('Dvd Calendar'!$I$1929=TYPE4)*(TYPE4&lt;&gt;"")+('Dvd Calendar'!$I$1929=SPECIAL_LBL)*(INC_SPECIALS="Y"))=0,"",'Dvd Calendar'!$I$1927)))</f>
        <v/>
      </c>
      <c r="H193" s="106">
        <f>IF(EJ193="","",IF(ISNUMBER('Dvd Calendar'!$J$1927)=FALSE,"",IF((('Dvd Calendar'!$J$1929=TYPE1)*(TYPE1&lt;&gt;"")+('Dvd Calendar'!$J$1929=TYPE2)*(TYPE2&lt;&gt;"")+('Dvd Calendar'!$J$1929=TYPE3)*(TYPE3&lt;&gt;"")+('Dvd Calendar'!$J$1929=TYPE4)*(TYPE4&lt;&gt;"")+('Dvd Calendar'!$J$1929=SPECIAL_LBL)*(INC_SPECIALS="Y"))=0,"",'Dvd Calendar'!$J$1927)))</f>
        <v/>
      </c>
      <c r="I193" s="106">
        <f>IF(EK193="","",IF(ISNUMBER('Dvd Calendar'!$K$1927)=FALSE,"",IF((('Dvd Calendar'!$K$1929=TYPE1)*(TYPE1&lt;&gt;"")+('Dvd Calendar'!$K$1929=TYPE2)*(TYPE2&lt;&gt;"")+('Dvd Calendar'!$K$1929=TYPE3)*(TYPE3&lt;&gt;"")+('Dvd Calendar'!$K$1929=TYPE4)*(TYPE4&lt;&gt;"")+('Dvd Calendar'!$K$1929=SPECIAL_LBL)*(INC_SPECIALS="Y"))=0,"",'Dvd Calendar'!$K$1927)))</f>
        <v/>
      </c>
      <c r="J193" s="106">
        <f>IF(EL193="","",IF(ISNUMBER('Dvd Calendar'!$L$1927)=FALSE,"",IF((('Dvd Calendar'!$L$1929=TYPE1)*(TYPE1&lt;&gt;"")+('Dvd Calendar'!$L$1929=TYPE2)*(TYPE2&lt;&gt;"")+('Dvd Calendar'!$L$1929=TYPE3)*(TYPE3&lt;&gt;"")+('Dvd Calendar'!$L$1929=TYPE4)*(TYPE4&lt;&gt;"")+('Dvd Calendar'!$L$1929=SPECIAL_LBL)*(INC_SPECIALS="Y"))=0,"",'Dvd Calendar'!$L$1927)))</f>
        <v/>
      </c>
      <c r="K193" s="106">
        <f>IF(EM193="","",IF(ISNUMBER('Dvd Calendar'!$M$1927)=FALSE,"",IF((('Dvd Calendar'!$M$1929=TYPE1)*(TYPE1&lt;&gt;"")+('Dvd Calendar'!$M$1929=TYPE2)*(TYPE2&lt;&gt;"")+('Dvd Calendar'!$M$1929=TYPE3)*(TYPE3&lt;&gt;"")+('Dvd Calendar'!$M$1929=TYPE4)*(TYPE4&lt;&gt;"")+('Dvd Calendar'!$M$1929=SPECIAL_LBL)*(INC_SPECIALS="Y"))=0,"",'Dvd Calendar'!$M$1927)))</f>
        <v/>
      </c>
      <c r="L193" s="106">
        <f>IF(EN193="","",IF(ISNUMBER('Dvd Calendar'!$N$1927)=FALSE,"",IF((('Dvd Calendar'!$N$1929=TYPE1)*(TYPE1&lt;&gt;"")+('Dvd Calendar'!$N$1929=TYPE2)*(TYPE2&lt;&gt;"")+('Dvd Calendar'!$N$1929=TYPE3)*(TYPE3&lt;&gt;"")+('Dvd Calendar'!$N$1929=TYPE4)*(TYPE4&lt;&gt;"")+('Dvd Calendar'!$N$1929=SPECIAL_LBL)*(INC_SPECIALS="Y"))=0,"",'Dvd Calendar'!$N$1927)))</f>
        <v/>
      </c>
      <c r="M193" s="106">
        <f>IF(EO193="","",IF(ISNUMBER('Dvd Calendar'!$O$1927)=FALSE,"",IF((('Dvd Calendar'!$O$1929=TYPE1)*(TYPE1&lt;&gt;"")+('Dvd Calendar'!$O$1929=TYPE2)*(TYPE2&lt;&gt;"")+('Dvd Calendar'!$O$1929=TYPE3)*(TYPE3&lt;&gt;"")+('Dvd Calendar'!$O$1929=TYPE4)*(TYPE4&lt;&gt;"")+('Dvd Calendar'!$O$1929=SPECIAL_LBL)*(INC_SPECIALS="Y"))=0,"",'Dvd Calendar'!$O$1927)))</f>
        <v/>
      </c>
      <c r="N193" s="106">
        <f>IF(EP193="","",IF(ISNUMBER('Dvd Calendar'!$P$1927)=FALSE,"",IF((('Dvd Calendar'!$P$1929=TYPE1)*(TYPE1&lt;&gt;"")+('Dvd Calendar'!$P$1929=TYPE2)*(TYPE2&lt;&gt;"")+('Dvd Calendar'!$P$1929=TYPE3)*(TYPE3&lt;&gt;"")+('Dvd Calendar'!$P$1929=TYPE4)*(TYPE4&lt;&gt;"")+('Dvd Calendar'!$P$1929=SPECIAL_LBL)*(INC_SPECIALS="Y"))=0,"",'Dvd Calendar'!$P$1927)))</f>
        <v/>
      </c>
      <c r="O193" s="106">
        <f>IF(EQ193="","",IF(ISNUMBER('Dvd Calendar'!$Q$1927)=FALSE,"",IF((('Dvd Calendar'!$Q$1929=TYPE1)*(TYPE1&lt;&gt;"")+('Dvd Calendar'!$Q$1929=TYPE2)*(TYPE2&lt;&gt;"")+('Dvd Calendar'!$Q$1929=TYPE3)*(TYPE3&lt;&gt;"")+('Dvd Calendar'!$Q$1929=TYPE4)*(TYPE4&lt;&gt;"")+('Dvd Calendar'!$Q$1929=SPECIAL_LBL)*(INC_SPECIALS="Y"))=0,"",'Dvd Calendar'!$Q$1927)))</f>
        <v/>
      </c>
      <c r="P193" s="106">
        <f>IF(ER193="","",IF(ISNUMBER('Dvd Calendar'!$R$1927)=FALSE,"",IF((('Dvd Calendar'!$R$1929=TYPE1)*(TYPE1&lt;&gt;"")+('Dvd Calendar'!$R$1929=TYPE2)*(TYPE2&lt;&gt;"")+('Dvd Calendar'!$R$1929=TYPE3)*(TYPE3&lt;&gt;"")+('Dvd Calendar'!$R$1929=TYPE4)*(TYPE4&lt;&gt;"")+('Dvd Calendar'!$R$1929=SPECIAL_LBL)*(INC_SPECIALS="Y"))=0,"",'Dvd Calendar'!$R$1927)))</f>
        <v/>
      </c>
      <c r="Q193" s="106">
        <f>IF(ES193="","",IF(ISNUMBER('Dvd Calendar'!$S$1927)=FALSE,"",IF((('Dvd Calendar'!$S$1929=TYPE1)*(TYPE1&lt;&gt;"")+('Dvd Calendar'!$S$1929=TYPE2)*(TYPE2&lt;&gt;"")+('Dvd Calendar'!$S$1929=TYPE3)*(TYPE3&lt;&gt;"")+('Dvd Calendar'!$S$1929=TYPE4)*(TYPE4&lt;&gt;"")+('Dvd Calendar'!$S$1929=SPECIAL_LBL)*(INC_SPECIALS="Y"))=0,"",'Dvd Calendar'!$S$1927)))</f>
        <v/>
      </c>
      <c r="R193" s="106">
        <f>IF(ET193="","",IF(ISNUMBER('Dvd Calendar'!$T$1927)=FALSE,"",IF((('Dvd Calendar'!$T$1929=TYPE1)*(TYPE1&lt;&gt;"")+('Dvd Calendar'!$T$1929=TYPE2)*(TYPE2&lt;&gt;"")+('Dvd Calendar'!$T$1929=TYPE3)*(TYPE3&lt;&gt;"")+('Dvd Calendar'!$T$1929=TYPE4)*(TYPE4&lt;&gt;"")+('Dvd Calendar'!$T$1929=SPECIAL_LBL)*(INC_SPECIALS="Y"))=0,"",'Dvd Calendar'!$T$1927)))</f>
        <v/>
      </c>
      <c r="S193" s="106">
        <f>IF(EU193="","",IF(ISNUMBER('Dvd Calendar'!$U$1927)=FALSE,"",IF((('Dvd Calendar'!$U$1929=TYPE1)*(TYPE1&lt;&gt;"")+('Dvd Calendar'!$U$1929=TYPE2)*(TYPE2&lt;&gt;"")+('Dvd Calendar'!$U$1929=TYPE3)*(TYPE3&lt;&gt;"")+('Dvd Calendar'!$U$1929=TYPE4)*(TYPE4&lt;&gt;"")+('Dvd Calendar'!$U$1929=SPECIAL_LBL)*(INC_SPECIALS="Y"))=0,"",'Dvd Calendar'!$U$1927)))</f>
        <v/>
      </c>
      <c r="T193" s="106">
        <f>IF(EV193="","",IF(ISNUMBER('Dvd Calendar'!$V$1927)=FALSE,"",IF((('Dvd Calendar'!$V$1929=TYPE1)*(TYPE1&lt;&gt;"")+('Dvd Calendar'!$V$1929=TYPE2)*(TYPE2&lt;&gt;"")+('Dvd Calendar'!$V$1929=TYPE3)*(TYPE3&lt;&gt;"")+('Dvd Calendar'!$V$1929=TYPE4)*(TYPE4&lt;&gt;"")+('Dvd Calendar'!$V$1929=SPECIAL_LBL)*(INC_SPECIALS="Y"))=0,"",'Dvd Calendar'!$V$1927)))</f>
        <v/>
      </c>
      <c r="U193" s="106">
        <f>IF(EW193="","",IF(ISNUMBER('Dvd Calendar'!$W$1927)=FALSE,"",IF((('Dvd Calendar'!$W$1929=TYPE1)*(TYPE1&lt;&gt;"")+('Dvd Calendar'!$W$1929=TYPE2)*(TYPE2&lt;&gt;"")+('Dvd Calendar'!$W$1929=TYPE3)*(TYPE3&lt;&gt;"")+('Dvd Calendar'!$W$1929=TYPE4)*(TYPE4&lt;&gt;"")+('Dvd Calendar'!$W$1929=SPECIAL_LBL)*(INC_SPECIALS="Y"))=0,"",'Dvd Calendar'!$W$1927)))</f>
        <v/>
      </c>
      <c r="V193" s="106">
        <f>IF(EX193="","",IF(ISNUMBER('Dvd Calendar'!$X$1927)=FALSE,"",IF((('Dvd Calendar'!$X$1929=TYPE1)*(TYPE1&lt;&gt;"")+('Dvd Calendar'!$X$1929=TYPE2)*(TYPE2&lt;&gt;"")+('Dvd Calendar'!$X$1929=TYPE3)*(TYPE3&lt;&gt;"")+('Dvd Calendar'!$X$1929=TYPE4)*(TYPE4&lt;&gt;"")+('Dvd Calendar'!$X$1929=SPECIAL_LBL)*(INC_SPECIALS="Y"))=0,"",'Dvd Calendar'!$X$1927)))</f>
        <v/>
      </c>
      <c r="W193" s="106">
        <f>IF(EY193="","",IF(ISNUMBER('Dvd Calendar'!$Y$1927)=FALSE,"",IF((('Dvd Calendar'!$Y$1929=TYPE1)*(TYPE1&lt;&gt;"")+('Dvd Calendar'!$Y$1929=TYPE2)*(TYPE2&lt;&gt;"")+('Dvd Calendar'!$Y$1929=TYPE3)*(TYPE3&lt;&gt;"")+('Dvd Calendar'!$Y$1929=TYPE4)*(TYPE4&lt;&gt;"")+('Dvd Calendar'!$Y$1929=SPECIAL_LBL)*(INC_SPECIALS="Y"))=0,"",'Dvd Calendar'!$Y$1927)))</f>
        <v/>
      </c>
      <c r="X193" s="106">
        <f>IF(EZ193="","",IF(ISNUMBER('Dvd Calendar'!$Z$1927)=FALSE,"",IF((('Dvd Calendar'!$Z$1929=TYPE1)*(TYPE1&lt;&gt;"")+('Dvd Calendar'!$Z$1929=TYPE2)*(TYPE2&lt;&gt;"")+('Dvd Calendar'!$Z$1929=TYPE3)*(TYPE3&lt;&gt;"")+('Dvd Calendar'!$Z$1929=TYPE4)*(TYPE4&lt;&gt;"")+('Dvd Calendar'!$Z$1929=SPECIAL_LBL)*(INC_SPECIALS="Y"))=0,"",'Dvd Calendar'!$Z$1927)))</f>
        <v/>
      </c>
      <c r="Y193" s="106">
        <f>IF(FA193="","",IF(ISNUMBER('Dvd Calendar'!$AA$1927)=FALSE,"",IF((('Dvd Calendar'!$AA$1929=TYPE1)*(TYPE1&lt;&gt;"")+('Dvd Calendar'!$AA$1929=TYPE2)*(TYPE2&lt;&gt;"")+('Dvd Calendar'!$AA$1929=TYPE3)*(TYPE3&lt;&gt;"")+('Dvd Calendar'!$AA$1929=TYPE4)*(TYPE4&lt;&gt;"")+('Dvd Calendar'!$AA$1929=SPECIAL_LBL)*(INC_SPECIALS="Y"))=0,"",'Dvd Calendar'!$AA$1927)))</f>
        <v/>
      </c>
      <c r="Z193" s="106">
        <f>IF(FB193="","",IF(ISNUMBER('Dvd Calendar'!$AB$1927)=FALSE,"",IF((('Dvd Calendar'!$AB$1929=TYPE1)*(TYPE1&lt;&gt;"")+('Dvd Calendar'!$AB$1929=TYPE2)*(TYPE2&lt;&gt;"")+('Dvd Calendar'!$AB$1929=TYPE3)*(TYPE3&lt;&gt;"")+('Dvd Calendar'!$AB$1929=TYPE4)*(TYPE4&lt;&gt;"")+('Dvd Calendar'!$AB$1929=SPECIAL_LBL)*(INC_SPECIALS="Y"))=0,"",'Dvd Calendar'!$AB$1927)))</f>
        <v/>
      </c>
      <c r="AA193" s="106">
        <f>IF(FC193="","",IF(ISNUMBER('Dvd Calendar'!$AC$1927)=FALSE,"",IF((('Dvd Calendar'!$AC$1929=TYPE1)*(TYPE1&lt;&gt;"")+('Dvd Calendar'!$AC$1929=TYPE2)*(TYPE2&lt;&gt;"")+('Dvd Calendar'!$AC$1929=TYPE3)*(TYPE3&lt;&gt;"")+('Dvd Calendar'!$AC$1929=TYPE4)*(TYPE4&lt;&gt;"")+('Dvd Calendar'!$AC$1929=SPECIAL_LBL)*(INC_SPECIALS="Y"))=0,"",'Dvd Calendar'!$AC$1927)))</f>
        <v/>
      </c>
      <c r="AB193" s="106">
        <f>IF(FD193="","",IF(ISNUMBER('Dvd Calendar'!$AD$1927)=FALSE,"",IF((('Dvd Calendar'!$AD$1929=TYPE1)*(TYPE1&lt;&gt;"")+('Dvd Calendar'!$AD$1929=TYPE2)*(TYPE2&lt;&gt;"")+('Dvd Calendar'!$AD$1929=TYPE3)*(TYPE3&lt;&gt;"")+('Dvd Calendar'!$AD$1929=TYPE4)*(TYPE4&lt;&gt;"")+('Dvd Calendar'!$AD$1929=SPECIAL_LBL)*(INC_SPECIALS="Y"))=0,"",'Dvd Calendar'!$AD$1927)))</f>
        <v/>
      </c>
      <c r="AC193" s="106">
        <f>IF(FE193="","",IF(ISNUMBER('Dvd Calendar'!$AE$1927)=FALSE,"",IF((('Dvd Calendar'!$AE$1929=TYPE1)*(TYPE1&lt;&gt;"")+('Dvd Calendar'!$AE$1929=TYPE2)*(TYPE2&lt;&gt;"")+('Dvd Calendar'!$AE$1929=TYPE3)*(TYPE3&lt;&gt;"")+('Dvd Calendar'!$AE$1929=TYPE4)*(TYPE4&lt;&gt;"")+('Dvd Calendar'!$AE$1929=SPECIAL_LBL)*(INC_SPECIALS="Y"))=0,"",'Dvd Calendar'!$AE$1927)))</f>
        <v/>
      </c>
      <c r="AD193" s="106">
        <f>IF(FF193="","",IF(ISNUMBER('Dvd Calendar'!$AF$1927)=FALSE,"",IF((('Dvd Calendar'!$AF$1929=TYPE1)*(TYPE1&lt;&gt;"")+('Dvd Calendar'!$AF$1929=TYPE2)*(TYPE2&lt;&gt;"")+('Dvd Calendar'!$AF$1929=TYPE3)*(TYPE3&lt;&gt;"")+('Dvd Calendar'!$AF$1929=TYPE4)*(TYPE4&lt;&gt;"")+('Dvd Calendar'!$AF$1929=SPECIAL_LBL)*(INC_SPECIALS="Y"))=0,"",'Dvd Calendar'!$AF$1927)))</f>
        <v/>
      </c>
      <c r="AE193" s="106">
        <f>IF(FG193="","",IF(ISNUMBER('Dvd Calendar'!$AG$1927)=FALSE,"",IF((('Dvd Calendar'!$AG$1929=TYPE1)*(TYPE1&lt;&gt;"")+('Dvd Calendar'!$AG$1929=TYPE2)*(TYPE2&lt;&gt;"")+('Dvd Calendar'!$AG$1929=TYPE3)*(TYPE3&lt;&gt;"")+('Dvd Calendar'!$AG$1929=TYPE4)*(TYPE4&lt;&gt;"")+('Dvd Calendar'!$AG$1929=SPECIAL_LBL)*(INC_SPECIALS="Y"))=0,"",'Dvd Calendar'!$AG$1927)))</f>
        <v/>
      </c>
      <c r="AF193" s="106">
        <f>IF(FH193="","",IF(ISNUMBER('Dvd Calendar'!$AH$1927)=FALSE,"",IF((('Dvd Calendar'!$AH$1929=TYPE1)*(TYPE1&lt;&gt;"")+('Dvd Calendar'!$AH$1929=TYPE2)*(TYPE2&lt;&gt;"")+('Dvd Calendar'!$AH$1929=TYPE3)*(TYPE3&lt;&gt;"")+('Dvd Calendar'!$AH$1929=TYPE4)*(TYPE4&lt;&gt;"")+('Dvd Calendar'!$AH$1929=SPECIAL_LBL)*(INC_SPECIALS="Y"))=0,"",'Dvd Calendar'!$AH$1927)))</f>
        <v/>
      </c>
      <c r="AG193" s="106">
        <f>IF(FI193="","",IF(ISNUMBER('Dvd Calendar'!$AI$1927)=FALSE,"",IF((('Dvd Calendar'!$AI$1929=TYPE1)*(TYPE1&lt;&gt;"")+('Dvd Calendar'!$AI$1929=TYPE2)*(TYPE2&lt;&gt;"")+('Dvd Calendar'!$AI$1929=TYPE3)*(TYPE3&lt;&gt;"")+('Dvd Calendar'!$AI$1929=TYPE4)*(TYPE4&lt;&gt;"")+('Dvd Calendar'!$AI$1929=SPECIAL_LBL)*(INC_SPECIALS="Y"))=0,"",'Dvd Calendar'!$AI$1927)))</f>
        <v/>
      </c>
      <c r="AH193" s="106">
        <f>IF(FJ193="","",IF(ISNUMBER('Dvd Calendar'!$AJ$1927)=FALSE,"",IF((('Dvd Calendar'!$AJ$1929=TYPE1)*(TYPE1&lt;&gt;"")+('Dvd Calendar'!$AJ$1929=TYPE2)*(TYPE2&lt;&gt;"")+('Dvd Calendar'!$AJ$1929=TYPE3)*(TYPE3&lt;&gt;"")+('Dvd Calendar'!$AJ$1929=TYPE4)*(TYPE4&lt;&gt;"")+('Dvd Calendar'!$AJ$1929=SPECIAL_LBL)*(INC_SPECIALS="Y"))=0,"",'Dvd Calendar'!$AJ$1927)))</f>
        <v/>
      </c>
      <c r="AI193" s="106">
        <f>IF(FK193="","",IF(ISNUMBER('Dvd Calendar'!$AK$1927)=FALSE,"",IF((('Dvd Calendar'!$AK$1929=TYPE1)*(TYPE1&lt;&gt;"")+('Dvd Calendar'!$AK$1929=TYPE2)*(TYPE2&lt;&gt;"")+('Dvd Calendar'!$AK$1929=TYPE3)*(TYPE3&lt;&gt;"")+('Dvd Calendar'!$AK$1929=TYPE4)*(TYPE4&lt;&gt;"")+('Dvd Calendar'!$AK$1929=SPECIAL_LBL)*(INC_SPECIALS="Y"))=0,"",'Dvd Calendar'!$AK$1927)))</f>
        <v/>
      </c>
      <c r="AJ193" s="106">
        <f>IF(FL193="","",IF(ISNUMBER('Dvd Calendar'!$AL$1927)=FALSE,"",IF((('Dvd Calendar'!$AL$1929=TYPE1)*(TYPE1&lt;&gt;"")+('Dvd Calendar'!$AL$1929=TYPE2)*(TYPE2&lt;&gt;"")+('Dvd Calendar'!$AL$1929=TYPE3)*(TYPE3&lt;&gt;"")+('Dvd Calendar'!$AL$1929=TYPE4)*(TYPE4&lt;&gt;"")+('Dvd Calendar'!$AL$1929=SPECIAL_LBL)*(INC_SPECIALS="Y"))=0,"",'Dvd Calendar'!$AL$1927)))</f>
        <v/>
      </c>
      <c r="AK193" s="106">
        <f>IF(FM193="","",IF(ISNUMBER('Dvd Calendar'!$AM$1927)=FALSE,"",IF((('Dvd Calendar'!$AM$1929=TYPE1)*(TYPE1&lt;&gt;"")+('Dvd Calendar'!$AM$1929=TYPE2)*(TYPE2&lt;&gt;"")+('Dvd Calendar'!$AM$1929=TYPE3)*(TYPE3&lt;&gt;"")+('Dvd Calendar'!$AM$1929=TYPE4)*(TYPE4&lt;&gt;"")+('Dvd Calendar'!$AM$1929=SPECIAL_LBL)*(INC_SPECIALS="Y"))=0,"",'Dvd Calendar'!$AM$1927)))</f>
        <v/>
      </c>
      <c r="AL193" s="106">
        <f>IF(FN193="","",IF(ISNUMBER('Dvd Calendar'!$AN$1927)=FALSE,"",IF((('Dvd Calendar'!$AN$1929=TYPE1)*(TYPE1&lt;&gt;"")+('Dvd Calendar'!$AN$1929=TYPE2)*(TYPE2&lt;&gt;"")+('Dvd Calendar'!$AN$1929=TYPE3)*(TYPE3&lt;&gt;"")+('Dvd Calendar'!$AN$1929=TYPE4)*(TYPE4&lt;&gt;"")+('Dvd Calendar'!$AN$1929=SPECIAL_LBL)*(INC_SPECIALS="Y"))=0,"",'Dvd Calendar'!$AN$1927)))</f>
        <v/>
      </c>
      <c r="AM193" s="106">
        <f>IF(FO193="","",IF(ISNUMBER('Dvd Calendar'!$AO$1927)=FALSE,"",IF((('Dvd Calendar'!$AO$1929=TYPE1)*(TYPE1&lt;&gt;"")+('Dvd Calendar'!$AO$1929=TYPE2)*(TYPE2&lt;&gt;"")+('Dvd Calendar'!$AO$1929=TYPE3)*(TYPE3&lt;&gt;"")+('Dvd Calendar'!$AO$1929=TYPE4)*(TYPE4&lt;&gt;"")+('Dvd Calendar'!$AO$1929=SPECIAL_LBL)*(INC_SPECIALS="Y"))=0,"",'Dvd Calendar'!$AO$1927)))</f>
        <v/>
      </c>
      <c r="AN193" s="106">
        <f>IF(FP193="","",IF(ISNUMBER('Dvd Calendar'!$AP$1927)=FALSE,"",IF((('Dvd Calendar'!$AP$1929=TYPE1)*(TYPE1&lt;&gt;"")+('Dvd Calendar'!$AP$1929=TYPE2)*(TYPE2&lt;&gt;"")+('Dvd Calendar'!$AP$1929=TYPE3)*(TYPE3&lt;&gt;"")+('Dvd Calendar'!$AP$1929=TYPE4)*(TYPE4&lt;&gt;"")+('Dvd Calendar'!$AP$1929=SPECIAL_LBL)*(INC_SPECIALS="Y"))=0,"",'Dvd Calendar'!$AP$1927)))</f>
        <v/>
      </c>
      <c r="AO193" s="106">
        <f>IF(FQ193="","",IF(ISNUMBER('Dvd Calendar'!$AQ$1927)=FALSE,"",IF((('Dvd Calendar'!$AQ$1929=TYPE1)*(TYPE1&lt;&gt;"")+('Dvd Calendar'!$AQ$1929=TYPE2)*(TYPE2&lt;&gt;"")+('Dvd Calendar'!$AQ$1929=TYPE3)*(TYPE3&lt;&gt;"")+('Dvd Calendar'!$AQ$1929=TYPE4)*(TYPE4&lt;&gt;"")+('Dvd Calendar'!$AQ$1929=SPECIAL_LBL)*(INC_SPECIALS="Y"))=0,"",'Dvd Calendar'!$AQ$1927)))</f>
        <v/>
      </c>
      <c r="AP193" s="106">
        <f>IF(FR193="","",IF(ISNUMBER('Dvd Calendar'!$AR$1927)=FALSE,"",IF((('Dvd Calendar'!$AR$1929=TYPE1)*(TYPE1&lt;&gt;"")+('Dvd Calendar'!$AR$1929=TYPE2)*(TYPE2&lt;&gt;"")+('Dvd Calendar'!$AR$1929=TYPE3)*(TYPE3&lt;&gt;"")+('Dvd Calendar'!$AR$1929=TYPE4)*(TYPE4&lt;&gt;"")+('Dvd Calendar'!$AR$1929=SPECIAL_LBL)*(INC_SPECIALS="Y"))=0,"",'Dvd Calendar'!$AR$1927)))</f>
        <v/>
      </c>
      <c r="AQ193" s="106">
        <f>IF(FS193="","",IF(ISNUMBER('Dvd Calendar'!$E$1932)=FALSE,"",'Dvd Calendar'!$E$1932))</f>
        <v/>
      </c>
      <c r="AR193" s="106">
        <f>IF(FT193="","",IF(ISNUMBER('Dvd Calendar'!$F$1932)=FALSE,"",'Dvd Calendar'!$F$1932))</f>
        <v/>
      </c>
      <c r="AS193" s="106">
        <f>IF(FU193="","",IF(ISNUMBER('Dvd Calendar'!$G$1932)=FALSE,"",'Dvd Calendar'!$G$1932))</f>
        <v/>
      </c>
      <c r="AT193" s="106">
        <f>IF(FV193="","",IF(ISNUMBER('Dvd Calendar'!$H$1932)=FALSE,"",'Dvd Calendar'!$H$1932))</f>
        <v/>
      </c>
      <c r="AU193" s="106">
        <f>IF(FW193="","",IF(ISNUMBER('Dvd Calendar'!$I$1932)=FALSE,"",'Dvd Calendar'!$I$1932))</f>
        <v/>
      </c>
      <c r="AV193" s="106">
        <f>IF(FX193="","",IF(ISNUMBER('Dvd Calendar'!$J$1932)=FALSE,"",'Dvd Calendar'!$J$1932))</f>
        <v/>
      </c>
      <c r="AW193" s="106">
        <f>IF(FY193="","",IF(ISNUMBER('Dvd Calendar'!$K$1932)=FALSE,"",'Dvd Calendar'!$K$1932))</f>
        <v/>
      </c>
      <c r="AX193" s="106">
        <f>IF(FZ193="","",IF(ISNUMBER('Dvd Calendar'!$L$1932)=FALSE,"",'Dvd Calendar'!$L$1932))</f>
        <v/>
      </c>
      <c r="AY193" s="106">
        <f>IF(GA193="","",IF(ISNUMBER('Dvd Calendar'!$M$1932)=FALSE,"",'Dvd Calendar'!$M$1932))</f>
        <v/>
      </c>
      <c r="AZ193" s="106">
        <f>IF(GB193="","",IF(ISNUMBER('Dvd Calendar'!$N$1932)=FALSE,"",'Dvd Calendar'!$N$1932))</f>
        <v/>
      </c>
      <c r="BA193" s="106">
        <f>IF(GC193="","",IF(ISNUMBER('Dvd Calendar'!$O$1932)=FALSE,"",'Dvd Calendar'!$O$1932))</f>
        <v/>
      </c>
      <c r="BB193" s="106">
        <f>IF(GD193="","",IF(ISNUMBER('Dvd Calendar'!$P$1932)=FALSE,"",'Dvd Calendar'!$P$1932))</f>
        <v/>
      </c>
      <c r="BC193" s="106">
        <f>IF(GE193="","",IF(ISNUMBER('Dvd Calendar'!$Q$1932)=FALSE,"",'Dvd Calendar'!$Q$1932))</f>
        <v/>
      </c>
      <c r="BD193" s="106">
        <f>IF(GF193="","",IF(ISNUMBER('Dvd Calendar'!$R$1932)=FALSE,"",'Dvd Calendar'!$R$1932))</f>
        <v/>
      </c>
      <c r="BE193" s="106">
        <f>IF(GG193="","",IF(ISNUMBER('Dvd Calendar'!$S$1932)=FALSE,"",'Dvd Calendar'!$S$1932))</f>
        <v/>
      </c>
      <c r="BF193" s="106">
        <f>IF(GH193="","",IF(ISNUMBER('Dvd Calendar'!$T$1932)=FALSE,"",'Dvd Calendar'!$T$1932))</f>
        <v/>
      </c>
      <c r="BG193" s="106">
        <f>IF(GI193="","",IF(ISNUMBER('Dvd Calendar'!$U$1932)=FALSE,"",'Dvd Calendar'!$U$1932))</f>
        <v/>
      </c>
      <c r="BH193" s="106">
        <f>IF(GJ193="","",IF(ISNUMBER('Dvd Calendar'!$V$1932)=FALSE,"",'Dvd Calendar'!$V$1932))</f>
        <v/>
      </c>
      <c r="BI193" s="106">
        <f>IF(GK193="","",IF(ISNUMBER('Dvd Calendar'!$W$1932)=FALSE,"",'Dvd Calendar'!$W$1932))</f>
        <v/>
      </c>
      <c r="BJ193" s="106">
        <f>IF(GL193="","",IF(ISNUMBER('Dvd Calendar'!$X$1932)=FALSE,"",'Dvd Calendar'!$X$1932))</f>
        <v/>
      </c>
      <c r="BK193" s="106">
        <f>IF(GM193="","",IF(ISNUMBER('Dvd Calendar'!$Y$1932)=FALSE,"",'Dvd Calendar'!$Y$1932))</f>
        <v/>
      </c>
      <c r="BL193" s="106">
        <f>IF(GN193="","",IF(ISNUMBER('Dvd Calendar'!$Z$1932)=FALSE,"",'Dvd Calendar'!$Z$1932))</f>
        <v/>
      </c>
      <c r="BM193" s="106">
        <f>IF(GO193="","",IF(ISNUMBER('Dvd Calendar'!$AA$1932)=FALSE,"",'Dvd Calendar'!$AA$1932))</f>
        <v/>
      </c>
      <c r="BN193" s="106">
        <f>IF(GP193="","",IF(ISNUMBER('Dvd Calendar'!$AB$1932)=FALSE,"",'Dvd Calendar'!$AB$1932))</f>
        <v/>
      </c>
      <c r="BO193" s="106">
        <f>IF(GQ193="","",IF(ISNUMBER('Dvd Calendar'!$AC$1932)=FALSE,"",'Dvd Calendar'!$AC$1932))</f>
        <v/>
      </c>
      <c r="BQ193" s="106">
        <f>IF(C193="","",IFERROR(C193*HSCEI!$B$40*HSCEI!$G$40/HSCEI!$B$3,""))</f>
        <v/>
      </c>
      <c r="BR193" s="106">
        <f>IF(D193="","",IFERROR(D193*HSCEI!$B$40*HSCEI!$G$40/HSCEI!$B$3,""))</f>
        <v/>
      </c>
      <c r="BS193" s="106">
        <f>IF(E193="","",IFERROR(E193*HSCEI!$B$40*HSCEI!$G$40/HSCEI!$B$3,""))</f>
        <v/>
      </c>
      <c r="BT193" s="106">
        <f>IF(F193="","",IFERROR(F193*HSCEI!$B$40*HSCEI!$G$40/HSCEI!$B$3,""))</f>
        <v/>
      </c>
      <c r="BU193" s="106">
        <f>IF(G193="","",IFERROR(G193*HSCEI!$B$40*HSCEI!$G$40/HSCEI!$B$3,""))</f>
        <v/>
      </c>
      <c r="BV193" s="106">
        <f>IF(H193="","",IFERROR(H193*HSCEI!$B$40*HSCEI!$G$40/HSCEI!$B$3,""))</f>
        <v/>
      </c>
      <c r="BW193" s="106">
        <f>IF(I193="","",IFERROR(I193*HSCEI!$B$40*HSCEI!$G$40/HSCEI!$B$3,""))</f>
        <v/>
      </c>
      <c r="BX193" s="106">
        <f>IF(J193="","",IFERROR(J193*HSCEI!$B$40*HSCEI!$G$40/HSCEI!$B$3,""))</f>
        <v/>
      </c>
      <c r="BY193" s="106">
        <f>IF(K193="","",IFERROR(K193*HSCEI!$B$40*HSCEI!$G$40/HSCEI!$B$3,""))</f>
        <v/>
      </c>
      <c r="BZ193" s="106">
        <f>IF(L193="","",IFERROR(L193*HSCEI!$B$40*HSCEI!$G$40/HSCEI!$B$3,""))</f>
        <v/>
      </c>
      <c r="CA193" s="106">
        <f>IF(M193="","",IFERROR(M193*HSCEI!$B$40*HSCEI!$G$40/HSCEI!$B$3,""))</f>
        <v/>
      </c>
      <c r="CB193" s="106">
        <f>IF(N193="","",IFERROR(N193*HSCEI!$B$40*HSCEI!$G$40/HSCEI!$B$3,""))</f>
        <v/>
      </c>
      <c r="CC193" s="106">
        <f>IF(O193="","",IFERROR(O193*HSCEI!$B$40*HSCEI!$G$40/HSCEI!$B$3,""))</f>
        <v/>
      </c>
      <c r="CD193" s="106">
        <f>IF(P193="","",IFERROR(P193*HSCEI!$B$40*HSCEI!$G$40/HSCEI!$B$3,""))</f>
        <v/>
      </c>
      <c r="CE193" s="106">
        <f>IF(Q193="","",IFERROR(Q193*HSCEI!$B$40*HSCEI!$G$40/HSCEI!$B$3,""))</f>
        <v/>
      </c>
      <c r="CF193" s="106">
        <f>IF(R193="","",IFERROR(R193*HSCEI!$B$40*HSCEI!$G$40/HSCEI!$B$3,""))</f>
        <v/>
      </c>
      <c r="CG193" s="106">
        <f>IF(S193="","",IFERROR(S193*HSCEI!$B$40*HSCEI!$G$40/HSCEI!$B$3,""))</f>
        <v/>
      </c>
      <c r="CH193" s="106">
        <f>IF(T193="","",IFERROR(T193*HSCEI!$B$40*HSCEI!$G$40/HSCEI!$B$3,""))</f>
        <v/>
      </c>
      <c r="CI193" s="106">
        <f>IF(U193="","",IFERROR(U193*HSCEI!$B$40*HSCEI!$G$40/HSCEI!$B$3,""))</f>
        <v/>
      </c>
      <c r="CJ193" s="106">
        <f>IF(V193="","",IFERROR(V193*HSCEI!$B$40*HSCEI!$G$40/HSCEI!$B$3,""))</f>
        <v/>
      </c>
      <c r="CK193" s="106">
        <f>IF(W193="","",IFERROR(W193*HSCEI!$B$40*HSCEI!$G$40/HSCEI!$B$3,""))</f>
        <v/>
      </c>
      <c r="CL193" s="106">
        <f>IF(X193="","",IFERROR(X193*HSCEI!$B$40*HSCEI!$G$40/HSCEI!$B$3,""))</f>
        <v/>
      </c>
      <c r="CM193" s="106">
        <f>IF(Y193="","",IFERROR(Y193*HSCEI!$B$40*HSCEI!$G$40/HSCEI!$B$3,""))</f>
        <v/>
      </c>
      <c r="CN193" s="106">
        <f>IF(Z193="","",IFERROR(Z193*HSCEI!$B$40*HSCEI!$G$40/HSCEI!$B$3,""))</f>
        <v/>
      </c>
      <c r="CO193" s="106">
        <f>IF(AA193="","",IFERROR(AA193*HSCEI!$B$40*HSCEI!$G$40/HSCEI!$B$3,""))</f>
        <v/>
      </c>
      <c r="CP193" s="106">
        <f>IF(AB193="","",IFERROR(AB193*HSCEI!$B$40*HSCEI!$G$40/HSCEI!$B$3,""))</f>
        <v/>
      </c>
      <c r="CQ193" s="106">
        <f>IF(AC193="","",IFERROR(AC193*HSCEI!$B$40*HSCEI!$G$40/HSCEI!$B$3,""))</f>
        <v/>
      </c>
      <c r="CR193" s="106">
        <f>IF(AD193="","",IFERROR(AD193*HSCEI!$B$40*HSCEI!$G$40/HSCEI!$B$3,""))</f>
        <v/>
      </c>
      <c r="CS193" s="106">
        <f>IF(AE193="","",IFERROR(AE193*HSCEI!$B$40*HSCEI!$G$40/HSCEI!$B$3,""))</f>
        <v/>
      </c>
      <c r="CT193" s="106">
        <f>IF(AF193="","",IFERROR(AF193*HSCEI!$B$40*HSCEI!$G$40/HSCEI!$B$3,""))</f>
        <v/>
      </c>
      <c r="CU193" s="106">
        <f>IF(AG193="","",IFERROR(AG193*HSCEI!$B$40*HSCEI!$G$40/HSCEI!$B$3,""))</f>
        <v/>
      </c>
      <c r="CV193" s="106">
        <f>IF(AH193="","",IFERROR(AH193*HSCEI!$B$40*HSCEI!$G$40/HSCEI!$B$3,""))</f>
        <v/>
      </c>
      <c r="CW193" s="106">
        <f>IF(AI193="","",IFERROR(AI193*HSCEI!$B$40*HSCEI!$G$40/HSCEI!$B$3,""))</f>
        <v/>
      </c>
      <c r="CX193" s="106">
        <f>IF(AJ193="","",IFERROR(AJ193*HSCEI!$B$40*HSCEI!$G$40/HSCEI!$B$3,""))</f>
        <v/>
      </c>
      <c r="CY193" s="106">
        <f>IF(AK193="","",IFERROR(AK193*HSCEI!$B$40*HSCEI!$G$40/HSCEI!$B$3,""))</f>
        <v/>
      </c>
      <c r="CZ193" s="106">
        <f>IF(AL193="","",IFERROR(AL193*HSCEI!$B$40*HSCEI!$G$40/HSCEI!$B$3,""))</f>
        <v/>
      </c>
      <c r="DA193" s="106">
        <f>IF(AM193="","",IFERROR(AM193*HSCEI!$B$40*HSCEI!$G$40/HSCEI!$B$3,""))</f>
        <v/>
      </c>
      <c r="DB193" s="106">
        <f>IF(AN193="","",IFERROR(AN193*HSCEI!$B$40*HSCEI!$G$40/HSCEI!$B$3,""))</f>
        <v/>
      </c>
      <c r="DC193" s="106">
        <f>IF(AO193="","",IFERROR(AO193*HSCEI!$B$40*HSCEI!$G$40/HSCEI!$B$3,""))</f>
        <v/>
      </c>
      <c r="DD193" s="106">
        <f>IF(AP193="","",IFERROR(AP193*HSCEI!$B$40*HSCEI!$G$40/HSCEI!$B$3,""))</f>
        <v/>
      </c>
      <c r="DE193" s="106">
        <f>IF(AQ193="","",IFERROR(AQ193*HSCEI!$B$40*HSCEI!$G$40/HSCEI!$B$3,""))</f>
        <v/>
      </c>
      <c r="DF193" s="106">
        <f>IF(AR193="","",IFERROR(AR193*HSCEI!$B$40*HSCEI!$G$40/HSCEI!$B$3,""))</f>
        <v/>
      </c>
      <c r="DG193" s="106">
        <f>IF(AS193="","",IFERROR(AS193*HSCEI!$B$40*HSCEI!$G$40/HSCEI!$B$3,""))</f>
        <v/>
      </c>
      <c r="DH193" s="106">
        <f>IF(AT193="","",IFERROR(AT193*HSCEI!$B$40*HSCEI!$G$40/HSCEI!$B$3,""))</f>
        <v/>
      </c>
      <c r="DI193" s="106">
        <f>IF(AU193="","",IFERROR(AU193*HSCEI!$B$40*HSCEI!$G$40/HSCEI!$B$3,""))</f>
        <v/>
      </c>
      <c r="DJ193" s="106">
        <f>IF(AV193="","",IFERROR(AV193*HSCEI!$B$40*HSCEI!$G$40/HSCEI!$B$3,""))</f>
        <v/>
      </c>
      <c r="DK193" s="106">
        <f>IF(AW193="","",IFERROR(AW193*HSCEI!$B$40*HSCEI!$G$40/HSCEI!$B$3,""))</f>
        <v/>
      </c>
      <c r="DL193" s="106">
        <f>IF(AX193="","",IFERROR(AX193*HSCEI!$B$40*HSCEI!$G$40/HSCEI!$B$3,""))</f>
        <v/>
      </c>
      <c r="DM193" s="106">
        <f>IF(AY193="","",IFERROR(AY193*HSCEI!$B$40*HSCEI!$G$40/HSCEI!$B$3,""))</f>
        <v/>
      </c>
      <c r="DN193" s="106">
        <f>IF(AZ193="","",IFERROR(AZ193*HSCEI!$B$40*HSCEI!$G$40/HSCEI!$B$3,""))</f>
        <v/>
      </c>
      <c r="DO193" s="106">
        <f>IF(BA193="","",IFERROR(BA193*HSCEI!$B$40*HSCEI!$G$40/HSCEI!$B$3,""))</f>
        <v/>
      </c>
      <c r="DP193" s="106">
        <f>IF(BB193="","",IFERROR(BB193*HSCEI!$B$40*HSCEI!$G$40/HSCEI!$B$3,""))</f>
        <v/>
      </c>
      <c r="DQ193" s="106">
        <f>IF(BC193="","",IFERROR(BC193*HSCEI!$B$40*HSCEI!$G$40/HSCEI!$B$3,""))</f>
        <v/>
      </c>
      <c r="DR193" s="106">
        <f>IF(BD193="","",IFERROR(BD193*HSCEI!$B$40*HSCEI!$G$40/HSCEI!$B$3,""))</f>
        <v/>
      </c>
      <c r="DS193" s="106">
        <f>IF(BE193="","",IFERROR(BE193*HSCEI!$B$40*HSCEI!$G$40/HSCEI!$B$3,""))</f>
        <v/>
      </c>
      <c r="DT193" s="106">
        <f>IF(BF193="","",IFERROR(BF193*HSCEI!$B$40*HSCEI!$G$40/HSCEI!$B$3,""))</f>
        <v/>
      </c>
      <c r="DU193" s="106">
        <f>IF(BG193="","",IFERROR(BG193*HSCEI!$B$40*HSCEI!$G$40/HSCEI!$B$3,""))</f>
        <v/>
      </c>
      <c r="DV193" s="106">
        <f>IF(BH193="","",IFERROR(BH193*HSCEI!$B$40*HSCEI!$G$40/HSCEI!$B$3,""))</f>
        <v/>
      </c>
      <c r="DW193" s="106">
        <f>IF(BI193="","",IFERROR(BI193*HSCEI!$B$40*HSCEI!$G$40/HSCEI!$B$3,""))</f>
        <v/>
      </c>
      <c r="DX193" s="106">
        <f>IF(BJ193="","",IFERROR(BJ193*HSCEI!$B$40*HSCEI!$G$40/HSCEI!$B$3,""))</f>
        <v/>
      </c>
      <c r="DY193" s="106">
        <f>IF(BK193="","",IFERROR(BK193*HSCEI!$B$40*HSCEI!$G$40/HSCEI!$B$3,""))</f>
        <v/>
      </c>
      <c r="DZ193" s="106">
        <f>IF(BL193="","",IFERROR(BL193*HSCEI!$B$40*HSCEI!$G$40/HSCEI!$B$3,""))</f>
        <v/>
      </c>
      <c r="EA193" s="106">
        <f>IF(BM193="","",IFERROR(BM193*HSCEI!$B$40*HSCEI!$G$40/HSCEI!$B$3,""))</f>
        <v/>
      </c>
      <c r="EB193" s="106">
        <f>IF(BN193="","",IFERROR(BN193*HSCEI!$B$40*HSCEI!$G$40/HSCEI!$B$3,""))</f>
        <v/>
      </c>
      <c r="EC193" s="106">
        <f>IF(BO193="","",IFERROR(BO193*HSCEI!$B$40*HSCEI!$G$40/HSCEI!$B$3,""))</f>
        <v/>
      </c>
      <c r="EE193" s="35">
        <f>IF(N('Dvd Calendar'!$E$1924)=0,"",IF(('Dvd Calendar'!$E$1924&gt;=GRID_FROM)*('Dvd Calendar'!$E$1924&lt;=GRID_TO)*('Dvd Calendar'!$E$1924&lt;=VAL_DATE)=0,"",'Dvd Calendar'!$E$1924*1000000000+ISNUMBER('Dvd Calendar'!$E$1927)*100000000+('Dvd Calendar'!$E$1929=SPECIAL_LBL)*10000000+0*1000000+34*1000+1))</f>
        <v/>
      </c>
      <c r="EF193" s="35">
        <f>IF(N('Dvd Calendar'!$F$1924)=0,"",IF(('Dvd Calendar'!$F$1924&gt;=GRID_FROM)*('Dvd Calendar'!$F$1924&lt;=GRID_TO)*('Dvd Calendar'!$F$1924&lt;=VAL_DATE)=0,"",'Dvd Calendar'!$F$1924*1000000000+ISNUMBER('Dvd Calendar'!$F$1927)*100000000+('Dvd Calendar'!$F$1929=SPECIAL_LBL)*10000000+0*1000000+34*1000+2))</f>
        <v/>
      </c>
      <c r="EG193" s="35">
        <f>IF(N('Dvd Calendar'!$G$1924)=0,"",IF(('Dvd Calendar'!$G$1924&gt;=GRID_FROM)*('Dvd Calendar'!$G$1924&lt;=GRID_TO)*('Dvd Calendar'!$G$1924&lt;=VAL_DATE)=0,"",'Dvd Calendar'!$G$1924*1000000000+ISNUMBER('Dvd Calendar'!$G$1927)*100000000+('Dvd Calendar'!$G$1929=SPECIAL_LBL)*10000000+0*1000000+34*1000+3))</f>
        <v/>
      </c>
      <c r="EH193" s="35">
        <f>IF(N('Dvd Calendar'!$H$1924)=0,"",IF(('Dvd Calendar'!$H$1924&gt;=GRID_FROM)*('Dvd Calendar'!$H$1924&lt;=GRID_TO)*('Dvd Calendar'!$H$1924&lt;=VAL_DATE)=0,"",'Dvd Calendar'!$H$1924*1000000000+ISNUMBER('Dvd Calendar'!$H$1927)*100000000+('Dvd Calendar'!$H$1929=SPECIAL_LBL)*10000000+0*1000000+34*1000+4))</f>
        <v/>
      </c>
      <c r="EI193" s="35">
        <f>IF(N('Dvd Calendar'!$I$1924)=0,"",IF(('Dvd Calendar'!$I$1924&gt;=GRID_FROM)*('Dvd Calendar'!$I$1924&lt;=GRID_TO)*('Dvd Calendar'!$I$1924&lt;=VAL_DATE)=0,"",'Dvd Calendar'!$I$1924*1000000000+ISNUMBER('Dvd Calendar'!$I$1927)*100000000+('Dvd Calendar'!$I$1929=SPECIAL_LBL)*10000000+0*1000000+34*1000+5))</f>
        <v/>
      </c>
      <c r="EJ193" s="35">
        <f>IF(N('Dvd Calendar'!$J$1924)=0,"",IF(('Dvd Calendar'!$J$1924&gt;=GRID_FROM)*('Dvd Calendar'!$J$1924&lt;=GRID_TO)*('Dvd Calendar'!$J$1924&lt;=VAL_DATE)=0,"",'Dvd Calendar'!$J$1924*1000000000+ISNUMBER('Dvd Calendar'!$J$1927)*100000000+('Dvd Calendar'!$J$1929=SPECIAL_LBL)*10000000+0*1000000+34*1000+6))</f>
        <v/>
      </c>
      <c r="EK193" s="35">
        <f>IF(N('Dvd Calendar'!$K$1924)=0,"",IF(('Dvd Calendar'!$K$1924&gt;=GRID_FROM)*('Dvd Calendar'!$K$1924&lt;=GRID_TO)*('Dvd Calendar'!$K$1924&lt;=VAL_DATE)=0,"",'Dvd Calendar'!$K$1924*1000000000+ISNUMBER('Dvd Calendar'!$K$1927)*100000000+('Dvd Calendar'!$K$1929=SPECIAL_LBL)*10000000+0*1000000+34*1000+7))</f>
        <v/>
      </c>
      <c r="EL193" s="35">
        <f>IF(N('Dvd Calendar'!$L$1924)=0,"",IF(('Dvd Calendar'!$L$1924&gt;=GRID_FROM)*('Dvd Calendar'!$L$1924&lt;=GRID_TO)*('Dvd Calendar'!$L$1924&lt;=VAL_DATE)=0,"",'Dvd Calendar'!$L$1924*1000000000+ISNUMBER('Dvd Calendar'!$L$1927)*100000000+('Dvd Calendar'!$L$1929=SPECIAL_LBL)*10000000+0*1000000+34*1000+8))</f>
        <v/>
      </c>
      <c r="EM193" s="35">
        <f>IF(N('Dvd Calendar'!$M$1924)=0,"",IF(('Dvd Calendar'!$M$1924&gt;=GRID_FROM)*('Dvd Calendar'!$M$1924&lt;=GRID_TO)*('Dvd Calendar'!$M$1924&lt;=VAL_DATE)=0,"",'Dvd Calendar'!$M$1924*1000000000+ISNUMBER('Dvd Calendar'!$M$1927)*100000000+('Dvd Calendar'!$M$1929=SPECIAL_LBL)*10000000+0*1000000+34*1000+9))</f>
        <v/>
      </c>
      <c r="EN193" s="35">
        <f>IF(N('Dvd Calendar'!$N$1924)=0,"",IF(('Dvd Calendar'!$N$1924&gt;=GRID_FROM)*('Dvd Calendar'!$N$1924&lt;=GRID_TO)*('Dvd Calendar'!$N$1924&lt;=VAL_DATE)=0,"",'Dvd Calendar'!$N$1924*1000000000+ISNUMBER('Dvd Calendar'!$N$1927)*100000000+('Dvd Calendar'!$N$1929=SPECIAL_LBL)*10000000+0*1000000+34*1000+10))</f>
        <v/>
      </c>
      <c r="EO193" s="35">
        <f>IF(N('Dvd Calendar'!$O$1924)=0,"",IF(('Dvd Calendar'!$O$1924&gt;=GRID_FROM)*('Dvd Calendar'!$O$1924&lt;=GRID_TO)*('Dvd Calendar'!$O$1924&lt;=VAL_DATE)=0,"",'Dvd Calendar'!$O$1924*1000000000+ISNUMBER('Dvd Calendar'!$O$1927)*100000000+('Dvd Calendar'!$O$1929=SPECIAL_LBL)*10000000+0*1000000+34*1000+11))</f>
        <v/>
      </c>
      <c r="EP193" s="35">
        <f>IF(N('Dvd Calendar'!$P$1924)=0,"",IF(('Dvd Calendar'!$P$1924&gt;=GRID_FROM)*('Dvd Calendar'!$P$1924&lt;=GRID_TO)*('Dvd Calendar'!$P$1924&lt;=VAL_DATE)=0,"",'Dvd Calendar'!$P$1924*1000000000+ISNUMBER('Dvd Calendar'!$P$1927)*100000000+('Dvd Calendar'!$P$1929=SPECIAL_LBL)*10000000+0*1000000+34*1000+12))</f>
        <v/>
      </c>
      <c r="EQ193" s="35">
        <f>IF(N('Dvd Calendar'!$Q$1924)=0,"",IF(('Dvd Calendar'!$Q$1924&gt;=GRID_FROM)*('Dvd Calendar'!$Q$1924&lt;=GRID_TO)*('Dvd Calendar'!$Q$1924&lt;=VAL_DATE)=0,"",'Dvd Calendar'!$Q$1924*1000000000+ISNUMBER('Dvd Calendar'!$Q$1927)*100000000+('Dvd Calendar'!$Q$1929=SPECIAL_LBL)*10000000+0*1000000+34*1000+13))</f>
        <v/>
      </c>
      <c r="ER193" s="35">
        <f>IF(N('Dvd Calendar'!$R$1924)=0,"",IF(('Dvd Calendar'!$R$1924&gt;=GRID_FROM)*('Dvd Calendar'!$R$1924&lt;=GRID_TO)*('Dvd Calendar'!$R$1924&lt;=VAL_DATE)=0,"",'Dvd Calendar'!$R$1924*1000000000+ISNUMBER('Dvd Calendar'!$R$1927)*100000000+('Dvd Calendar'!$R$1929=SPECIAL_LBL)*10000000+0*1000000+34*1000+14))</f>
        <v/>
      </c>
      <c r="ES193" s="35">
        <f>IF(N('Dvd Calendar'!$S$1924)=0,"",IF(('Dvd Calendar'!$S$1924&gt;=GRID_FROM)*('Dvd Calendar'!$S$1924&lt;=GRID_TO)*('Dvd Calendar'!$S$1924&lt;=VAL_DATE)=0,"",'Dvd Calendar'!$S$1924*1000000000+ISNUMBER('Dvd Calendar'!$S$1927)*100000000+('Dvd Calendar'!$S$1929=SPECIAL_LBL)*10000000+0*1000000+34*1000+15))</f>
        <v/>
      </c>
      <c r="ET193" s="35">
        <f>IF(N('Dvd Calendar'!$T$1924)=0,"",IF(('Dvd Calendar'!$T$1924&gt;=GRID_FROM)*('Dvd Calendar'!$T$1924&lt;=GRID_TO)*('Dvd Calendar'!$T$1924&lt;=VAL_DATE)=0,"",'Dvd Calendar'!$T$1924*1000000000+ISNUMBER('Dvd Calendar'!$T$1927)*100000000+('Dvd Calendar'!$T$1929=SPECIAL_LBL)*10000000+0*1000000+34*1000+16))</f>
        <v/>
      </c>
      <c r="EU193" s="35">
        <f>IF(N('Dvd Calendar'!$U$1924)=0,"",IF(('Dvd Calendar'!$U$1924&gt;=GRID_FROM)*('Dvd Calendar'!$U$1924&lt;=GRID_TO)*('Dvd Calendar'!$U$1924&lt;=VAL_DATE)=0,"",'Dvd Calendar'!$U$1924*1000000000+ISNUMBER('Dvd Calendar'!$U$1927)*100000000+('Dvd Calendar'!$U$1929=SPECIAL_LBL)*10000000+0*1000000+34*1000+17))</f>
        <v/>
      </c>
      <c r="EV193" s="35">
        <f>IF(N('Dvd Calendar'!$V$1924)=0,"",IF(('Dvd Calendar'!$V$1924&gt;=GRID_FROM)*('Dvd Calendar'!$V$1924&lt;=GRID_TO)*('Dvd Calendar'!$V$1924&lt;=VAL_DATE)=0,"",'Dvd Calendar'!$V$1924*1000000000+ISNUMBER('Dvd Calendar'!$V$1927)*100000000+('Dvd Calendar'!$V$1929=SPECIAL_LBL)*10000000+0*1000000+34*1000+18))</f>
        <v/>
      </c>
      <c r="EW193" s="35">
        <f>IF(N('Dvd Calendar'!$W$1924)=0,"",IF(('Dvd Calendar'!$W$1924&gt;=GRID_FROM)*('Dvd Calendar'!$W$1924&lt;=GRID_TO)*('Dvd Calendar'!$W$1924&lt;=VAL_DATE)=0,"",'Dvd Calendar'!$W$1924*1000000000+ISNUMBER('Dvd Calendar'!$W$1927)*100000000+('Dvd Calendar'!$W$1929=SPECIAL_LBL)*10000000+0*1000000+34*1000+19))</f>
        <v/>
      </c>
      <c r="EX193" s="35">
        <f>IF(N('Dvd Calendar'!$X$1924)=0,"",IF(('Dvd Calendar'!$X$1924&gt;=GRID_FROM)*('Dvd Calendar'!$X$1924&lt;=GRID_TO)*('Dvd Calendar'!$X$1924&lt;=VAL_DATE)=0,"",'Dvd Calendar'!$X$1924*1000000000+ISNUMBER('Dvd Calendar'!$X$1927)*100000000+('Dvd Calendar'!$X$1929=SPECIAL_LBL)*10000000+0*1000000+34*1000+20))</f>
        <v/>
      </c>
      <c r="EY193" s="35">
        <f>IF(N('Dvd Calendar'!$Y$1924)=0,"",IF(('Dvd Calendar'!$Y$1924&gt;=GRID_FROM)*('Dvd Calendar'!$Y$1924&lt;=GRID_TO)*('Dvd Calendar'!$Y$1924&lt;=VAL_DATE)=0,"",'Dvd Calendar'!$Y$1924*1000000000+ISNUMBER('Dvd Calendar'!$Y$1927)*100000000+('Dvd Calendar'!$Y$1929=SPECIAL_LBL)*10000000+0*1000000+34*1000+21))</f>
        <v/>
      </c>
      <c r="EZ193" s="35">
        <f>IF(N('Dvd Calendar'!$Z$1924)=0,"",IF(('Dvd Calendar'!$Z$1924&gt;=GRID_FROM)*('Dvd Calendar'!$Z$1924&lt;=GRID_TO)*('Dvd Calendar'!$Z$1924&lt;=VAL_DATE)=0,"",'Dvd Calendar'!$Z$1924*1000000000+ISNUMBER('Dvd Calendar'!$Z$1927)*100000000+('Dvd Calendar'!$Z$1929=SPECIAL_LBL)*10000000+0*1000000+34*1000+22))</f>
        <v/>
      </c>
      <c r="FA193" s="35">
        <f>IF(N('Dvd Calendar'!$AA$1924)=0,"",IF(('Dvd Calendar'!$AA$1924&gt;=GRID_FROM)*('Dvd Calendar'!$AA$1924&lt;=GRID_TO)*('Dvd Calendar'!$AA$1924&lt;=VAL_DATE)=0,"",'Dvd Calendar'!$AA$1924*1000000000+ISNUMBER('Dvd Calendar'!$AA$1927)*100000000+('Dvd Calendar'!$AA$1929=SPECIAL_LBL)*10000000+0*1000000+34*1000+23))</f>
        <v/>
      </c>
      <c r="FB193" s="35">
        <f>IF(N('Dvd Calendar'!$AB$1924)=0,"",IF(('Dvd Calendar'!$AB$1924&gt;=GRID_FROM)*('Dvd Calendar'!$AB$1924&lt;=GRID_TO)*('Dvd Calendar'!$AB$1924&lt;=VAL_DATE)=0,"",'Dvd Calendar'!$AB$1924*1000000000+ISNUMBER('Dvd Calendar'!$AB$1927)*100000000+('Dvd Calendar'!$AB$1929=SPECIAL_LBL)*10000000+0*1000000+34*1000+24))</f>
        <v/>
      </c>
      <c r="FC193" s="35">
        <f>IF(N('Dvd Calendar'!$AC$1924)=0,"",IF(('Dvd Calendar'!$AC$1924&gt;=GRID_FROM)*('Dvd Calendar'!$AC$1924&lt;=GRID_TO)*('Dvd Calendar'!$AC$1924&lt;=VAL_DATE)=0,"",'Dvd Calendar'!$AC$1924*1000000000+ISNUMBER('Dvd Calendar'!$AC$1927)*100000000+('Dvd Calendar'!$AC$1929=SPECIAL_LBL)*10000000+0*1000000+34*1000+25))</f>
        <v/>
      </c>
      <c r="FD193" s="35">
        <f>IF(N('Dvd Calendar'!$AD$1924)=0,"",IF(('Dvd Calendar'!$AD$1924&gt;=GRID_FROM)*('Dvd Calendar'!$AD$1924&lt;=GRID_TO)*('Dvd Calendar'!$AD$1924&lt;=VAL_DATE)=0,"",'Dvd Calendar'!$AD$1924*1000000000+ISNUMBER('Dvd Calendar'!$AD$1927)*100000000+('Dvd Calendar'!$AD$1929=SPECIAL_LBL)*10000000+0*1000000+34*1000+26))</f>
        <v/>
      </c>
      <c r="FE193" s="35">
        <f>IF(N('Dvd Calendar'!$AE$1924)=0,"",IF(('Dvd Calendar'!$AE$1924&gt;=GRID_FROM)*('Dvd Calendar'!$AE$1924&lt;=GRID_TO)*('Dvd Calendar'!$AE$1924&lt;=VAL_DATE)=0,"",'Dvd Calendar'!$AE$1924*1000000000+ISNUMBER('Dvd Calendar'!$AE$1927)*100000000+('Dvd Calendar'!$AE$1929=SPECIAL_LBL)*10000000+0*1000000+34*1000+27))</f>
        <v/>
      </c>
      <c r="FF193" s="35">
        <f>IF(N('Dvd Calendar'!$AF$1924)=0,"",IF(('Dvd Calendar'!$AF$1924&gt;=GRID_FROM)*('Dvd Calendar'!$AF$1924&lt;=GRID_TO)*('Dvd Calendar'!$AF$1924&lt;=VAL_DATE)=0,"",'Dvd Calendar'!$AF$1924*1000000000+ISNUMBER('Dvd Calendar'!$AF$1927)*100000000+('Dvd Calendar'!$AF$1929=SPECIAL_LBL)*10000000+0*1000000+34*1000+28))</f>
        <v/>
      </c>
      <c r="FG193" s="35">
        <f>IF(N('Dvd Calendar'!$AG$1924)=0,"",IF(('Dvd Calendar'!$AG$1924&gt;=GRID_FROM)*('Dvd Calendar'!$AG$1924&lt;=GRID_TO)*('Dvd Calendar'!$AG$1924&lt;=VAL_DATE)=0,"",'Dvd Calendar'!$AG$1924*1000000000+ISNUMBER('Dvd Calendar'!$AG$1927)*100000000+('Dvd Calendar'!$AG$1929=SPECIAL_LBL)*10000000+0*1000000+34*1000+29))</f>
        <v/>
      </c>
      <c r="FH193" s="35">
        <f>IF(N('Dvd Calendar'!$AH$1924)=0,"",IF(('Dvd Calendar'!$AH$1924&gt;=GRID_FROM)*('Dvd Calendar'!$AH$1924&lt;=GRID_TO)*('Dvd Calendar'!$AH$1924&lt;=VAL_DATE)=0,"",'Dvd Calendar'!$AH$1924*1000000000+ISNUMBER('Dvd Calendar'!$AH$1927)*100000000+('Dvd Calendar'!$AH$1929=SPECIAL_LBL)*10000000+0*1000000+34*1000+30))</f>
        <v/>
      </c>
      <c r="FI193" s="35">
        <f>IF(N('Dvd Calendar'!$AI$1924)=0,"",IF(('Dvd Calendar'!$AI$1924&gt;=GRID_FROM)*('Dvd Calendar'!$AI$1924&lt;=GRID_TO)*('Dvd Calendar'!$AI$1924&lt;=VAL_DATE)=0,"",'Dvd Calendar'!$AI$1924*1000000000+ISNUMBER('Dvd Calendar'!$AI$1927)*100000000+('Dvd Calendar'!$AI$1929=SPECIAL_LBL)*10000000+0*1000000+34*1000+31))</f>
        <v/>
      </c>
      <c r="FJ193" s="35">
        <f>IF(N('Dvd Calendar'!$AJ$1924)=0,"",IF(('Dvd Calendar'!$AJ$1924&gt;=GRID_FROM)*('Dvd Calendar'!$AJ$1924&lt;=GRID_TO)*('Dvd Calendar'!$AJ$1924&lt;=VAL_DATE)=0,"",'Dvd Calendar'!$AJ$1924*1000000000+ISNUMBER('Dvd Calendar'!$AJ$1927)*100000000+('Dvd Calendar'!$AJ$1929=SPECIAL_LBL)*10000000+0*1000000+34*1000+32))</f>
        <v/>
      </c>
      <c r="FK193" s="35">
        <f>IF(N('Dvd Calendar'!$AK$1924)=0,"",IF(('Dvd Calendar'!$AK$1924&gt;=GRID_FROM)*('Dvd Calendar'!$AK$1924&lt;=GRID_TO)*('Dvd Calendar'!$AK$1924&lt;=VAL_DATE)=0,"",'Dvd Calendar'!$AK$1924*1000000000+ISNUMBER('Dvd Calendar'!$AK$1927)*100000000+('Dvd Calendar'!$AK$1929=SPECIAL_LBL)*10000000+0*1000000+34*1000+33))</f>
        <v/>
      </c>
      <c r="FL193" s="35">
        <f>IF(N('Dvd Calendar'!$AL$1924)=0,"",IF(('Dvd Calendar'!$AL$1924&gt;=GRID_FROM)*('Dvd Calendar'!$AL$1924&lt;=GRID_TO)*('Dvd Calendar'!$AL$1924&lt;=VAL_DATE)=0,"",'Dvd Calendar'!$AL$1924*1000000000+ISNUMBER('Dvd Calendar'!$AL$1927)*100000000+('Dvd Calendar'!$AL$1929=SPECIAL_LBL)*10000000+0*1000000+34*1000+34))</f>
        <v/>
      </c>
      <c r="FM193" s="35">
        <f>IF(N('Dvd Calendar'!$AM$1924)=0,"",IF(('Dvd Calendar'!$AM$1924&gt;=GRID_FROM)*('Dvd Calendar'!$AM$1924&lt;=GRID_TO)*('Dvd Calendar'!$AM$1924&lt;=VAL_DATE)=0,"",'Dvd Calendar'!$AM$1924*1000000000+ISNUMBER('Dvd Calendar'!$AM$1927)*100000000+('Dvd Calendar'!$AM$1929=SPECIAL_LBL)*10000000+0*1000000+34*1000+35))</f>
        <v/>
      </c>
      <c r="FN193" s="35">
        <f>IF(N('Dvd Calendar'!$AN$1924)=0,"",IF(('Dvd Calendar'!$AN$1924&gt;=GRID_FROM)*('Dvd Calendar'!$AN$1924&lt;=GRID_TO)*('Dvd Calendar'!$AN$1924&lt;=VAL_DATE)=0,"",'Dvd Calendar'!$AN$1924*1000000000+ISNUMBER('Dvd Calendar'!$AN$1927)*100000000+('Dvd Calendar'!$AN$1929=SPECIAL_LBL)*10000000+0*1000000+34*1000+36))</f>
        <v/>
      </c>
      <c r="FO193" s="35">
        <f>IF(N('Dvd Calendar'!$AO$1924)=0,"",IF(('Dvd Calendar'!$AO$1924&gt;=GRID_FROM)*('Dvd Calendar'!$AO$1924&lt;=GRID_TO)*('Dvd Calendar'!$AO$1924&lt;=VAL_DATE)=0,"",'Dvd Calendar'!$AO$1924*1000000000+ISNUMBER('Dvd Calendar'!$AO$1927)*100000000+('Dvd Calendar'!$AO$1929=SPECIAL_LBL)*10000000+0*1000000+34*1000+37))</f>
        <v/>
      </c>
      <c r="FP193" s="35">
        <f>IF(N('Dvd Calendar'!$AP$1924)=0,"",IF(('Dvd Calendar'!$AP$1924&gt;=GRID_FROM)*('Dvd Calendar'!$AP$1924&lt;=GRID_TO)*('Dvd Calendar'!$AP$1924&lt;=VAL_DATE)=0,"",'Dvd Calendar'!$AP$1924*1000000000+ISNUMBER('Dvd Calendar'!$AP$1927)*100000000+('Dvd Calendar'!$AP$1929=SPECIAL_LBL)*10000000+0*1000000+34*1000+38))</f>
        <v/>
      </c>
      <c r="FQ193" s="35">
        <f>IF(N('Dvd Calendar'!$AQ$1924)=0,"",IF(('Dvd Calendar'!$AQ$1924&gt;=GRID_FROM)*('Dvd Calendar'!$AQ$1924&lt;=GRID_TO)*('Dvd Calendar'!$AQ$1924&lt;=VAL_DATE)=0,"",'Dvd Calendar'!$AQ$1924*1000000000+ISNUMBER('Dvd Calendar'!$AQ$1927)*100000000+('Dvd Calendar'!$AQ$1929=SPECIAL_LBL)*10000000+0*1000000+34*1000+39))</f>
        <v/>
      </c>
      <c r="FR193" s="35">
        <f>IF(N('Dvd Calendar'!$AR$1924)=0,"",IF(('Dvd Calendar'!$AR$1924&gt;=GRID_FROM)*('Dvd Calendar'!$AR$1924&lt;=GRID_TO)*('Dvd Calendar'!$AR$1924&lt;=VAL_DATE)=0,"",'Dvd Calendar'!$AR$1924*1000000000+ISNUMBER('Dvd Calendar'!$AR$1927)*100000000+('Dvd Calendar'!$AR$1929=SPECIAL_LBL)*10000000+0*1000000+34*1000+40))</f>
        <v/>
      </c>
      <c r="FS193" s="35">
        <f>IF(N('Dvd Calendar'!$E$1931)=0,"",IF(('Dvd Calendar'!$E$1931&gt;=GRID_FROM)*('Dvd Calendar'!$E$1931&lt;=GRID_TO)*('Dvd Calendar'!$E$1931&gt;VAL_DATE)=0,"",'Dvd Calendar'!$E$1931*1000000000+ISNUMBER('Dvd Calendar'!$E$1932)*100000000+0*10000000+(N('Dvd Calendar'!$E$1930)&gt;0)*(N('Dvd Calendar'!$E$1930)&lt;=VAL_SERIAL)*1000000+34*1000+41))</f>
        <v/>
      </c>
      <c r="FT193" s="35">
        <f>IF(N('Dvd Calendar'!$F$1931)=0,"",IF(('Dvd Calendar'!$F$1931&gt;=GRID_FROM)*('Dvd Calendar'!$F$1931&lt;=GRID_TO)*('Dvd Calendar'!$F$1931&gt;VAL_DATE)=0,"",'Dvd Calendar'!$F$1931*1000000000+ISNUMBER('Dvd Calendar'!$F$1932)*100000000+0*10000000+(N('Dvd Calendar'!$F$1930)&gt;0)*(N('Dvd Calendar'!$F$1930)&lt;=VAL_SERIAL)*1000000+34*1000+42))</f>
        <v/>
      </c>
      <c r="FU193" s="35">
        <f>IF(N('Dvd Calendar'!$G$1931)=0,"",IF(('Dvd Calendar'!$G$1931&gt;=GRID_FROM)*('Dvd Calendar'!$G$1931&lt;=GRID_TO)*('Dvd Calendar'!$G$1931&gt;VAL_DATE)=0,"",'Dvd Calendar'!$G$1931*1000000000+ISNUMBER('Dvd Calendar'!$G$1932)*100000000+0*10000000+(N('Dvd Calendar'!$G$1930)&gt;0)*(N('Dvd Calendar'!$G$1930)&lt;=VAL_SERIAL)*1000000+34*1000+43))</f>
        <v/>
      </c>
      <c r="FV193" s="35">
        <f>IF(N('Dvd Calendar'!$H$1931)=0,"",IF(('Dvd Calendar'!$H$1931&gt;=GRID_FROM)*('Dvd Calendar'!$H$1931&lt;=GRID_TO)*('Dvd Calendar'!$H$1931&gt;VAL_DATE)=0,"",'Dvd Calendar'!$H$1931*1000000000+ISNUMBER('Dvd Calendar'!$H$1932)*100000000+0*10000000+(N('Dvd Calendar'!$H$1930)&gt;0)*(N('Dvd Calendar'!$H$1930)&lt;=VAL_SERIAL)*1000000+34*1000+44))</f>
        <v/>
      </c>
      <c r="FW193" s="35">
        <f>IF(N('Dvd Calendar'!$I$1931)=0,"",IF(('Dvd Calendar'!$I$1931&gt;=GRID_FROM)*('Dvd Calendar'!$I$1931&lt;=GRID_TO)*('Dvd Calendar'!$I$1931&gt;VAL_DATE)=0,"",'Dvd Calendar'!$I$1931*1000000000+ISNUMBER('Dvd Calendar'!$I$1932)*100000000+0*10000000+(N('Dvd Calendar'!$I$1930)&gt;0)*(N('Dvd Calendar'!$I$1930)&lt;=VAL_SERIAL)*1000000+34*1000+45))</f>
        <v/>
      </c>
      <c r="FX193" s="35">
        <f>IF(N('Dvd Calendar'!$J$1931)=0,"",IF(('Dvd Calendar'!$J$1931&gt;=GRID_FROM)*('Dvd Calendar'!$J$1931&lt;=GRID_TO)*('Dvd Calendar'!$J$1931&gt;VAL_DATE)=0,"",'Dvd Calendar'!$J$1931*1000000000+ISNUMBER('Dvd Calendar'!$J$1932)*100000000+0*10000000+(N('Dvd Calendar'!$J$1930)&gt;0)*(N('Dvd Calendar'!$J$1930)&lt;=VAL_SERIAL)*1000000+34*1000+46))</f>
        <v/>
      </c>
      <c r="FY193" s="35">
        <f>IF(N('Dvd Calendar'!$K$1931)=0,"",IF(('Dvd Calendar'!$K$1931&gt;=GRID_FROM)*('Dvd Calendar'!$K$1931&lt;=GRID_TO)*('Dvd Calendar'!$K$1931&gt;VAL_DATE)=0,"",'Dvd Calendar'!$K$1931*1000000000+ISNUMBER('Dvd Calendar'!$K$1932)*100000000+0*10000000+(N('Dvd Calendar'!$K$1930)&gt;0)*(N('Dvd Calendar'!$K$1930)&lt;=VAL_SERIAL)*1000000+34*1000+47))</f>
        <v/>
      </c>
      <c r="FZ193" s="35">
        <f>IF(N('Dvd Calendar'!$L$1931)=0,"",IF(('Dvd Calendar'!$L$1931&gt;=GRID_FROM)*('Dvd Calendar'!$L$1931&lt;=GRID_TO)*('Dvd Calendar'!$L$1931&gt;VAL_DATE)=0,"",'Dvd Calendar'!$L$1931*1000000000+ISNUMBER('Dvd Calendar'!$L$1932)*100000000+0*10000000+(N('Dvd Calendar'!$L$1930)&gt;0)*(N('Dvd Calendar'!$L$1930)&lt;=VAL_SERIAL)*1000000+34*1000+48))</f>
        <v/>
      </c>
      <c r="GA193" s="35">
        <f>IF(N('Dvd Calendar'!$M$1931)=0,"",IF(('Dvd Calendar'!$M$1931&gt;=GRID_FROM)*('Dvd Calendar'!$M$1931&lt;=GRID_TO)*('Dvd Calendar'!$M$1931&gt;VAL_DATE)=0,"",'Dvd Calendar'!$M$1931*1000000000+ISNUMBER('Dvd Calendar'!$M$1932)*100000000+0*10000000+(N('Dvd Calendar'!$M$1930)&gt;0)*(N('Dvd Calendar'!$M$1930)&lt;=VAL_SERIAL)*1000000+34*1000+49))</f>
        <v/>
      </c>
      <c r="GB193" s="35">
        <f>IF(N('Dvd Calendar'!$N$1931)=0,"",IF(('Dvd Calendar'!$N$1931&gt;=GRID_FROM)*('Dvd Calendar'!$N$1931&lt;=GRID_TO)*('Dvd Calendar'!$N$1931&gt;VAL_DATE)=0,"",'Dvd Calendar'!$N$1931*1000000000+ISNUMBER('Dvd Calendar'!$N$1932)*100000000+0*10000000+(N('Dvd Calendar'!$N$1930)&gt;0)*(N('Dvd Calendar'!$N$1930)&lt;=VAL_SERIAL)*1000000+34*1000+50))</f>
        <v/>
      </c>
      <c r="GC193" s="35">
        <f>IF(N('Dvd Calendar'!$O$1931)=0,"",IF(('Dvd Calendar'!$O$1931&gt;=GRID_FROM)*('Dvd Calendar'!$O$1931&lt;=GRID_TO)*('Dvd Calendar'!$O$1931&gt;VAL_DATE)=0,"",'Dvd Calendar'!$O$1931*1000000000+ISNUMBER('Dvd Calendar'!$O$1932)*100000000+0*10000000+(N('Dvd Calendar'!$O$1930)&gt;0)*(N('Dvd Calendar'!$O$1930)&lt;=VAL_SERIAL)*1000000+34*1000+51))</f>
        <v/>
      </c>
      <c r="GD193" s="35">
        <f>IF(N('Dvd Calendar'!$P$1931)=0,"",IF(('Dvd Calendar'!$P$1931&gt;=GRID_FROM)*('Dvd Calendar'!$P$1931&lt;=GRID_TO)*('Dvd Calendar'!$P$1931&gt;VAL_DATE)=0,"",'Dvd Calendar'!$P$1931*1000000000+ISNUMBER('Dvd Calendar'!$P$1932)*100000000+0*10000000+(N('Dvd Calendar'!$P$1930)&gt;0)*(N('Dvd Calendar'!$P$1930)&lt;=VAL_SERIAL)*1000000+34*1000+52))</f>
        <v/>
      </c>
      <c r="GE193" s="35">
        <f>IF(N('Dvd Calendar'!$Q$1931)=0,"",IF(('Dvd Calendar'!$Q$1931&gt;=GRID_FROM)*('Dvd Calendar'!$Q$1931&lt;=GRID_TO)*('Dvd Calendar'!$Q$1931&gt;VAL_DATE)=0,"",'Dvd Calendar'!$Q$1931*1000000000+ISNUMBER('Dvd Calendar'!$Q$1932)*100000000+0*10000000+(N('Dvd Calendar'!$Q$1930)&gt;0)*(N('Dvd Calendar'!$Q$1930)&lt;=VAL_SERIAL)*1000000+34*1000+53))</f>
        <v/>
      </c>
      <c r="GF193" s="35">
        <f>IF(N('Dvd Calendar'!$R$1931)=0,"",IF(('Dvd Calendar'!$R$1931&gt;=GRID_FROM)*('Dvd Calendar'!$R$1931&lt;=GRID_TO)*('Dvd Calendar'!$R$1931&gt;VAL_DATE)=0,"",'Dvd Calendar'!$R$1931*1000000000+ISNUMBER('Dvd Calendar'!$R$1932)*100000000+0*10000000+(N('Dvd Calendar'!$R$1930)&gt;0)*(N('Dvd Calendar'!$R$1930)&lt;=VAL_SERIAL)*1000000+34*1000+54))</f>
        <v/>
      </c>
      <c r="GG193" s="35">
        <f>IF(N('Dvd Calendar'!$S$1931)=0,"",IF(('Dvd Calendar'!$S$1931&gt;=GRID_FROM)*('Dvd Calendar'!$S$1931&lt;=GRID_TO)*('Dvd Calendar'!$S$1931&gt;VAL_DATE)=0,"",'Dvd Calendar'!$S$1931*1000000000+ISNUMBER('Dvd Calendar'!$S$1932)*100000000+0*10000000+(N('Dvd Calendar'!$S$1930)&gt;0)*(N('Dvd Calendar'!$S$1930)&lt;=VAL_SERIAL)*1000000+34*1000+55))</f>
        <v/>
      </c>
      <c r="GH193" s="35">
        <f>IF(N('Dvd Calendar'!$T$1931)=0,"",IF(('Dvd Calendar'!$T$1931&gt;=GRID_FROM)*('Dvd Calendar'!$T$1931&lt;=GRID_TO)*('Dvd Calendar'!$T$1931&gt;VAL_DATE)=0,"",'Dvd Calendar'!$T$1931*1000000000+ISNUMBER('Dvd Calendar'!$T$1932)*100000000+0*10000000+(N('Dvd Calendar'!$T$1930)&gt;0)*(N('Dvd Calendar'!$T$1930)&lt;=VAL_SERIAL)*1000000+34*1000+56))</f>
        <v/>
      </c>
      <c r="GI193" s="35">
        <f>IF(N('Dvd Calendar'!$U$1931)=0,"",IF(('Dvd Calendar'!$U$1931&gt;=GRID_FROM)*('Dvd Calendar'!$U$1931&lt;=GRID_TO)*('Dvd Calendar'!$U$1931&gt;VAL_DATE)=0,"",'Dvd Calendar'!$U$1931*1000000000+ISNUMBER('Dvd Calendar'!$U$1932)*100000000+0*10000000+(N('Dvd Calendar'!$U$1930)&gt;0)*(N('Dvd Calendar'!$U$1930)&lt;=VAL_SERIAL)*1000000+34*1000+57))</f>
        <v/>
      </c>
      <c r="GJ193" s="35">
        <f>IF(N('Dvd Calendar'!$V$1931)=0,"",IF(('Dvd Calendar'!$V$1931&gt;=GRID_FROM)*('Dvd Calendar'!$V$1931&lt;=GRID_TO)*('Dvd Calendar'!$V$1931&gt;VAL_DATE)=0,"",'Dvd Calendar'!$V$1931*1000000000+ISNUMBER('Dvd Calendar'!$V$1932)*100000000+0*10000000+(N('Dvd Calendar'!$V$1930)&gt;0)*(N('Dvd Calendar'!$V$1930)&lt;=VAL_SERIAL)*1000000+34*1000+58))</f>
        <v/>
      </c>
      <c r="GK193" s="35">
        <f>IF(N('Dvd Calendar'!$W$1931)=0,"",IF(('Dvd Calendar'!$W$1931&gt;=GRID_FROM)*('Dvd Calendar'!$W$1931&lt;=GRID_TO)*('Dvd Calendar'!$W$1931&gt;VAL_DATE)=0,"",'Dvd Calendar'!$W$1931*1000000000+ISNUMBER('Dvd Calendar'!$W$1932)*100000000+0*10000000+(N('Dvd Calendar'!$W$1930)&gt;0)*(N('Dvd Calendar'!$W$1930)&lt;=VAL_SERIAL)*1000000+34*1000+59))</f>
        <v/>
      </c>
      <c r="GL193" s="35">
        <f>IF(N('Dvd Calendar'!$X$1931)=0,"",IF(('Dvd Calendar'!$X$1931&gt;=GRID_FROM)*('Dvd Calendar'!$X$1931&lt;=GRID_TO)*('Dvd Calendar'!$X$1931&gt;VAL_DATE)=0,"",'Dvd Calendar'!$X$1931*1000000000+ISNUMBER('Dvd Calendar'!$X$1932)*100000000+0*10000000+(N('Dvd Calendar'!$X$1930)&gt;0)*(N('Dvd Calendar'!$X$1930)&lt;=VAL_SERIAL)*1000000+34*1000+60))</f>
        <v/>
      </c>
      <c r="GM193" s="35">
        <f>IF(N('Dvd Calendar'!$Y$1931)=0,"",IF(('Dvd Calendar'!$Y$1931&gt;=GRID_FROM)*('Dvd Calendar'!$Y$1931&lt;=GRID_TO)*('Dvd Calendar'!$Y$1931&gt;VAL_DATE)=0,"",'Dvd Calendar'!$Y$1931*1000000000+ISNUMBER('Dvd Calendar'!$Y$1932)*100000000+0*10000000+(N('Dvd Calendar'!$Y$1930)&gt;0)*(N('Dvd Calendar'!$Y$1930)&lt;=VAL_SERIAL)*1000000+34*1000+61))</f>
        <v/>
      </c>
      <c r="GN193" s="35">
        <f>IF(N('Dvd Calendar'!$Z$1931)=0,"",IF(('Dvd Calendar'!$Z$1931&gt;=GRID_FROM)*('Dvd Calendar'!$Z$1931&lt;=GRID_TO)*('Dvd Calendar'!$Z$1931&gt;VAL_DATE)=0,"",'Dvd Calendar'!$Z$1931*1000000000+ISNUMBER('Dvd Calendar'!$Z$1932)*100000000+0*10000000+(N('Dvd Calendar'!$Z$1930)&gt;0)*(N('Dvd Calendar'!$Z$1930)&lt;=VAL_SERIAL)*1000000+34*1000+62))</f>
        <v/>
      </c>
      <c r="GO193" s="35">
        <f>IF(N('Dvd Calendar'!$AA$1931)=0,"",IF(('Dvd Calendar'!$AA$1931&gt;=GRID_FROM)*('Dvd Calendar'!$AA$1931&lt;=GRID_TO)*('Dvd Calendar'!$AA$1931&gt;VAL_DATE)=0,"",'Dvd Calendar'!$AA$1931*1000000000+ISNUMBER('Dvd Calendar'!$AA$1932)*100000000+0*10000000+(N('Dvd Calendar'!$AA$1930)&gt;0)*(N('Dvd Calendar'!$AA$1930)&lt;=VAL_SERIAL)*1000000+34*1000+63))</f>
        <v/>
      </c>
      <c r="GP193" s="35">
        <f>IF(N('Dvd Calendar'!$AB$1931)=0,"",IF(('Dvd Calendar'!$AB$1931&gt;=GRID_FROM)*('Dvd Calendar'!$AB$1931&lt;=GRID_TO)*('Dvd Calendar'!$AB$1931&gt;VAL_DATE)=0,"",'Dvd Calendar'!$AB$1931*1000000000+ISNUMBER('Dvd Calendar'!$AB$1932)*100000000+0*10000000+(N('Dvd Calendar'!$AB$1930)&gt;0)*(N('Dvd Calendar'!$AB$1930)&lt;=VAL_SERIAL)*1000000+34*1000+64))</f>
        <v/>
      </c>
      <c r="GQ193" s="35">
        <f>IF(N('Dvd Calendar'!$AC$1931)=0,"",IF(('Dvd Calendar'!$AC$1931&gt;=GRID_FROM)*('Dvd Calendar'!$AC$1931&lt;=GRID_TO)*('Dvd Calendar'!$AC$1931&gt;VAL_DATE)=0,"",'Dvd Calendar'!$AC$1931*1000000000+ISNUMBER('Dvd Calendar'!$AC$1932)*100000000+0*10000000+(N('Dvd Calendar'!$AC$1930)&gt;0)*(N('Dvd Calendar'!$AC$1930)&lt;=VAL_SERIAL)*1000000+34*1000+65))</f>
        <v/>
      </c>
    </row>
    <row r="194">
      <c r="B194" s="2">
        <f>IF(HSCEI!$C$41="","",HSCEI!$C$41)</f>
        <v/>
      </c>
      <c r="C194" s="106">
        <f>IF(EE194="","",IF(ISNUMBER('Dvd Calendar'!$E$1938)=FALSE,"",IF((('Dvd Calendar'!$E$1940=TYPE1)*(TYPE1&lt;&gt;"")+('Dvd Calendar'!$E$1940=TYPE2)*(TYPE2&lt;&gt;"")+('Dvd Calendar'!$E$1940=TYPE3)*(TYPE3&lt;&gt;"")+('Dvd Calendar'!$E$1940=TYPE4)*(TYPE4&lt;&gt;"")+('Dvd Calendar'!$E$1940=SPECIAL_LBL)*(INC_SPECIALS="Y"))=0,"",'Dvd Calendar'!$E$1938)))</f>
        <v/>
      </c>
      <c r="D194" s="106">
        <f>IF(EF194="","",IF(ISNUMBER('Dvd Calendar'!$F$1938)=FALSE,"",IF((('Dvd Calendar'!$F$1940=TYPE1)*(TYPE1&lt;&gt;"")+('Dvd Calendar'!$F$1940=TYPE2)*(TYPE2&lt;&gt;"")+('Dvd Calendar'!$F$1940=TYPE3)*(TYPE3&lt;&gt;"")+('Dvd Calendar'!$F$1940=TYPE4)*(TYPE4&lt;&gt;"")+('Dvd Calendar'!$F$1940=SPECIAL_LBL)*(INC_SPECIALS="Y"))=0,"",'Dvd Calendar'!$F$1938)))</f>
        <v/>
      </c>
      <c r="E194" s="106">
        <f>IF(EG194="","",IF(ISNUMBER('Dvd Calendar'!$G$1938)=FALSE,"",IF((('Dvd Calendar'!$G$1940=TYPE1)*(TYPE1&lt;&gt;"")+('Dvd Calendar'!$G$1940=TYPE2)*(TYPE2&lt;&gt;"")+('Dvd Calendar'!$G$1940=TYPE3)*(TYPE3&lt;&gt;"")+('Dvd Calendar'!$G$1940=TYPE4)*(TYPE4&lt;&gt;"")+('Dvd Calendar'!$G$1940=SPECIAL_LBL)*(INC_SPECIALS="Y"))=0,"",'Dvd Calendar'!$G$1938)))</f>
        <v/>
      </c>
      <c r="F194" s="106">
        <f>IF(EH194="","",IF(ISNUMBER('Dvd Calendar'!$H$1938)=FALSE,"",IF((('Dvd Calendar'!$H$1940=TYPE1)*(TYPE1&lt;&gt;"")+('Dvd Calendar'!$H$1940=TYPE2)*(TYPE2&lt;&gt;"")+('Dvd Calendar'!$H$1940=TYPE3)*(TYPE3&lt;&gt;"")+('Dvd Calendar'!$H$1940=TYPE4)*(TYPE4&lt;&gt;"")+('Dvd Calendar'!$H$1940=SPECIAL_LBL)*(INC_SPECIALS="Y"))=0,"",'Dvd Calendar'!$H$1938)))</f>
        <v/>
      </c>
      <c r="G194" s="106">
        <f>IF(EI194="","",IF(ISNUMBER('Dvd Calendar'!$I$1938)=FALSE,"",IF((('Dvd Calendar'!$I$1940=TYPE1)*(TYPE1&lt;&gt;"")+('Dvd Calendar'!$I$1940=TYPE2)*(TYPE2&lt;&gt;"")+('Dvd Calendar'!$I$1940=TYPE3)*(TYPE3&lt;&gt;"")+('Dvd Calendar'!$I$1940=TYPE4)*(TYPE4&lt;&gt;"")+('Dvd Calendar'!$I$1940=SPECIAL_LBL)*(INC_SPECIALS="Y"))=0,"",'Dvd Calendar'!$I$1938)))</f>
        <v/>
      </c>
      <c r="H194" s="106">
        <f>IF(EJ194="","",IF(ISNUMBER('Dvd Calendar'!$J$1938)=FALSE,"",IF((('Dvd Calendar'!$J$1940=TYPE1)*(TYPE1&lt;&gt;"")+('Dvd Calendar'!$J$1940=TYPE2)*(TYPE2&lt;&gt;"")+('Dvd Calendar'!$J$1940=TYPE3)*(TYPE3&lt;&gt;"")+('Dvd Calendar'!$J$1940=TYPE4)*(TYPE4&lt;&gt;"")+('Dvd Calendar'!$J$1940=SPECIAL_LBL)*(INC_SPECIALS="Y"))=0,"",'Dvd Calendar'!$J$1938)))</f>
        <v/>
      </c>
      <c r="I194" s="106">
        <f>IF(EK194="","",IF(ISNUMBER('Dvd Calendar'!$K$1938)=FALSE,"",IF((('Dvd Calendar'!$K$1940=TYPE1)*(TYPE1&lt;&gt;"")+('Dvd Calendar'!$K$1940=TYPE2)*(TYPE2&lt;&gt;"")+('Dvd Calendar'!$K$1940=TYPE3)*(TYPE3&lt;&gt;"")+('Dvd Calendar'!$K$1940=TYPE4)*(TYPE4&lt;&gt;"")+('Dvd Calendar'!$K$1940=SPECIAL_LBL)*(INC_SPECIALS="Y"))=0,"",'Dvd Calendar'!$K$1938)))</f>
        <v/>
      </c>
      <c r="J194" s="106">
        <f>IF(EL194="","",IF(ISNUMBER('Dvd Calendar'!$L$1938)=FALSE,"",IF((('Dvd Calendar'!$L$1940=TYPE1)*(TYPE1&lt;&gt;"")+('Dvd Calendar'!$L$1940=TYPE2)*(TYPE2&lt;&gt;"")+('Dvd Calendar'!$L$1940=TYPE3)*(TYPE3&lt;&gt;"")+('Dvd Calendar'!$L$1940=TYPE4)*(TYPE4&lt;&gt;"")+('Dvd Calendar'!$L$1940=SPECIAL_LBL)*(INC_SPECIALS="Y"))=0,"",'Dvd Calendar'!$L$1938)))</f>
        <v/>
      </c>
      <c r="K194" s="106">
        <f>IF(EM194="","",IF(ISNUMBER('Dvd Calendar'!$M$1938)=FALSE,"",IF((('Dvd Calendar'!$M$1940=TYPE1)*(TYPE1&lt;&gt;"")+('Dvd Calendar'!$M$1940=TYPE2)*(TYPE2&lt;&gt;"")+('Dvd Calendar'!$M$1940=TYPE3)*(TYPE3&lt;&gt;"")+('Dvd Calendar'!$M$1940=TYPE4)*(TYPE4&lt;&gt;"")+('Dvd Calendar'!$M$1940=SPECIAL_LBL)*(INC_SPECIALS="Y"))=0,"",'Dvd Calendar'!$M$1938)))</f>
        <v/>
      </c>
      <c r="L194" s="106">
        <f>IF(EN194="","",IF(ISNUMBER('Dvd Calendar'!$N$1938)=FALSE,"",IF((('Dvd Calendar'!$N$1940=TYPE1)*(TYPE1&lt;&gt;"")+('Dvd Calendar'!$N$1940=TYPE2)*(TYPE2&lt;&gt;"")+('Dvd Calendar'!$N$1940=TYPE3)*(TYPE3&lt;&gt;"")+('Dvd Calendar'!$N$1940=TYPE4)*(TYPE4&lt;&gt;"")+('Dvd Calendar'!$N$1940=SPECIAL_LBL)*(INC_SPECIALS="Y"))=0,"",'Dvd Calendar'!$N$1938)))</f>
        <v/>
      </c>
      <c r="M194" s="106">
        <f>IF(EO194="","",IF(ISNUMBER('Dvd Calendar'!$O$1938)=FALSE,"",IF((('Dvd Calendar'!$O$1940=TYPE1)*(TYPE1&lt;&gt;"")+('Dvd Calendar'!$O$1940=TYPE2)*(TYPE2&lt;&gt;"")+('Dvd Calendar'!$O$1940=TYPE3)*(TYPE3&lt;&gt;"")+('Dvd Calendar'!$O$1940=TYPE4)*(TYPE4&lt;&gt;"")+('Dvd Calendar'!$O$1940=SPECIAL_LBL)*(INC_SPECIALS="Y"))=0,"",'Dvd Calendar'!$O$1938)))</f>
        <v/>
      </c>
      <c r="N194" s="106">
        <f>IF(EP194="","",IF(ISNUMBER('Dvd Calendar'!$P$1938)=FALSE,"",IF((('Dvd Calendar'!$P$1940=TYPE1)*(TYPE1&lt;&gt;"")+('Dvd Calendar'!$P$1940=TYPE2)*(TYPE2&lt;&gt;"")+('Dvd Calendar'!$P$1940=TYPE3)*(TYPE3&lt;&gt;"")+('Dvd Calendar'!$P$1940=TYPE4)*(TYPE4&lt;&gt;"")+('Dvd Calendar'!$P$1940=SPECIAL_LBL)*(INC_SPECIALS="Y"))=0,"",'Dvd Calendar'!$P$1938)))</f>
        <v/>
      </c>
      <c r="O194" s="106">
        <f>IF(EQ194="","",IF(ISNUMBER('Dvd Calendar'!$Q$1938)=FALSE,"",IF((('Dvd Calendar'!$Q$1940=TYPE1)*(TYPE1&lt;&gt;"")+('Dvd Calendar'!$Q$1940=TYPE2)*(TYPE2&lt;&gt;"")+('Dvd Calendar'!$Q$1940=TYPE3)*(TYPE3&lt;&gt;"")+('Dvd Calendar'!$Q$1940=TYPE4)*(TYPE4&lt;&gt;"")+('Dvd Calendar'!$Q$1940=SPECIAL_LBL)*(INC_SPECIALS="Y"))=0,"",'Dvd Calendar'!$Q$1938)))</f>
        <v/>
      </c>
      <c r="P194" s="106">
        <f>IF(ER194="","",IF(ISNUMBER('Dvd Calendar'!$R$1938)=FALSE,"",IF((('Dvd Calendar'!$R$1940=TYPE1)*(TYPE1&lt;&gt;"")+('Dvd Calendar'!$R$1940=TYPE2)*(TYPE2&lt;&gt;"")+('Dvd Calendar'!$R$1940=TYPE3)*(TYPE3&lt;&gt;"")+('Dvd Calendar'!$R$1940=TYPE4)*(TYPE4&lt;&gt;"")+('Dvd Calendar'!$R$1940=SPECIAL_LBL)*(INC_SPECIALS="Y"))=0,"",'Dvd Calendar'!$R$1938)))</f>
        <v/>
      </c>
      <c r="Q194" s="106">
        <f>IF(ES194="","",IF(ISNUMBER('Dvd Calendar'!$S$1938)=FALSE,"",IF((('Dvd Calendar'!$S$1940=TYPE1)*(TYPE1&lt;&gt;"")+('Dvd Calendar'!$S$1940=TYPE2)*(TYPE2&lt;&gt;"")+('Dvd Calendar'!$S$1940=TYPE3)*(TYPE3&lt;&gt;"")+('Dvd Calendar'!$S$1940=TYPE4)*(TYPE4&lt;&gt;"")+('Dvd Calendar'!$S$1940=SPECIAL_LBL)*(INC_SPECIALS="Y"))=0,"",'Dvd Calendar'!$S$1938)))</f>
        <v/>
      </c>
      <c r="R194" s="106">
        <f>IF(ET194="","",IF(ISNUMBER('Dvd Calendar'!$T$1938)=FALSE,"",IF((('Dvd Calendar'!$T$1940=TYPE1)*(TYPE1&lt;&gt;"")+('Dvd Calendar'!$T$1940=TYPE2)*(TYPE2&lt;&gt;"")+('Dvd Calendar'!$T$1940=TYPE3)*(TYPE3&lt;&gt;"")+('Dvd Calendar'!$T$1940=TYPE4)*(TYPE4&lt;&gt;"")+('Dvd Calendar'!$T$1940=SPECIAL_LBL)*(INC_SPECIALS="Y"))=0,"",'Dvd Calendar'!$T$1938)))</f>
        <v/>
      </c>
      <c r="S194" s="106">
        <f>IF(EU194="","",IF(ISNUMBER('Dvd Calendar'!$U$1938)=FALSE,"",IF((('Dvd Calendar'!$U$1940=TYPE1)*(TYPE1&lt;&gt;"")+('Dvd Calendar'!$U$1940=TYPE2)*(TYPE2&lt;&gt;"")+('Dvd Calendar'!$U$1940=TYPE3)*(TYPE3&lt;&gt;"")+('Dvd Calendar'!$U$1940=TYPE4)*(TYPE4&lt;&gt;"")+('Dvd Calendar'!$U$1940=SPECIAL_LBL)*(INC_SPECIALS="Y"))=0,"",'Dvd Calendar'!$U$1938)))</f>
        <v/>
      </c>
      <c r="T194" s="106">
        <f>IF(EV194="","",IF(ISNUMBER('Dvd Calendar'!$V$1938)=FALSE,"",IF((('Dvd Calendar'!$V$1940=TYPE1)*(TYPE1&lt;&gt;"")+('Dvd Calendar'!$V$1940=TYPE2)*(TYPE2&lt;&gt;"")+('Dvd Calendar'!$V$1940=TYPE3)*(TYPE3&lt;&gt;"")+('Dvd Calendar'!$V$1940=TYPE4)*(TYPE4&lt;&gt;"")+('Dvd Calendar'!$V$1940=SPECIAL_LBL)*(INC_SPECIALS="Y"))=0,"",'Dvd Calendar'!$V$1938)))</f>
        <v/>
      </c>
      <c r="U194" s="106">
        <f>IF(EW194="","",IF(ISNUMBER('Dvd Calendar'!$W$1938)=FALSE,"",IF((('Dvd Calendar'!$W$1940=TYPE1)*(TYPE1&lt;&gt;"")+('Dvd Calendar'!$W$1940=TYPE2)*(TYPE2&lt;&gt;"")+('Dvd Calendar'!$W$1940=TYPE3)*(TYPE3&lt;&gt;"")+('Dvd Calendar'!$W$1940=TYPE4)*(TYPE4&lt;&gt;"")+('Dvd Calendar'!$W$1940=SPECIAL_LBL)*(INC_SPECIALS="Y"))=0,"",'Dvd Calendar'!$W$1938)))</f>
        <v/>
      </c>
      <c r="V194" s="106">
        <f>IF(EX194="","",IF(ISNUMBER('Dvd Calendar'!$X$1938)=FALSE,"",IF((('Dvd Calendar'!$X$1940=TYPE1)*(TYPE1&lt;&gt;"")+('Dvd Calendar'!$X$1940=TYPE2)*(TYPE2&lt;&gt;"")+('Dvd Calendar'!$X$1940=TYPE3)*(TYPE3&lt;&gt;"")+('Dvd Calendar'!$X$1940=TYPE4)*(TYPE4&lt;&gt;"")+('Dvd Calendar'!$X$1940=SPECIAL_LBL)*(INC_SPECIALS="Y"))=0,"",'Dvd Calendar'!$X$1938)))</f>
        <v/>
      </c>
      <c r="W194" s="106">
        <f>IF(EY194="","",IF(ISNUMBER('Dvd Calendar'!$Y$1938)=FALSE,"",IF((('Dvd Calendar'!$Y$1940=TYPE1)*(TYPE1&lt;&gt;"")+('Dvd Calendar'!$Y$1940=TYPE2)*(TYPE2&lt;&gt;"")+('Dvd Calendar'!$Y$1940=TYPE3)*(TYPE3&lt;&gt;"")+('Dvd Calendar'!$Y$1940=TYPE4)*(TYPE4&lt;&gt;"")+('Dvd Calendar'!$Y$1940=SPECIAL_LBL)*(INC_SPECIALS="Y"))=0,"",'Dvd Calendar'!$Y$1938)))</f>
        <v/>
      </c>
      <c r="X194" s="106">
        <f>IF(EZ194="","",IF(ISNUMBER('Dvd Calendar'!$Z$1938)=FALSE,"",IF((('Dvd Calendar'!$Z$1940=TYPE1)*(TYPE1&lt;&gt;"")+('Dvd Calendar'!$Z$1940=TYPE2)*(TYPE2&lt;&gt;"")+('Dvd Calendar'!$Z$1940=TYPE3)*(TYPE3&lt;&gt;"")+('Dvd Calendar'!$Z$1940=TYPE4)*(TYPE4&lt;&gt;"")+('Dvd Calendar'!$Z$1940=SPECIAL_LBL)*(INC_SPECIALS="Y"))=0,"",'Dvd Calendar'!$Z$1938)))</f>
        <v/>
      </c>
      <c r="Y194" s="106">
        <f>IF(FA194="","",IF(ISNUMBER('Dvd Calendar'!$AA$1938)=FALSE,"",IF((('Dvd Calendar'!$AA$1940=TYPE1)*(TYPE1&lt;&gt;"")+('Dvd Calendar'!$AA$1940=TYPE2)*(TYPE2&lt;&gt;"")+('Dvd Calendar'!$AA$1940=TYPE3)*(TYPE3&lt;&gt;"")+('Dvd Calendar'!$AA$1940=TYPE4)*(TYPE4&lt;&gt;"")+('Dvd Calendar'!$AA$1940=SPECIAL_LBL)*(INC_SPECIALS="Y"))=0,"",'Dvd Calendar'!$AA$1938)))</f>
        <v/>
      </c>
      <c r="Z194" s="106">
        <f>IF(FB194="","",IF(ISNUMBER('Dvd Calendar'!$AB$1938)=FALSE,"",IF((('Dvd Calendar'!$AB$1940=TYPE1)*(TYPE1&lt;&gt;"")+('Dvd Calendar'!$AB$1940=TYPE2)*(TYPE2&lt;&gt;"")+('Dvd Calendar'!$AB$1940=TYPE3)*(TYPE3&lt;&gt;"")+('Dvd Calendar'!$AB$1940=TYPE4)*(TYPE4&lt;&gt;"")+('Dvd Calendar'!$AB$1940=SPECIAL_LBL)*(INC_SPECIALS="Y"))=0,"",'Dvd Calendar'!$AB$1938)))</f>
        <v/>
      </c>
      <c r="AA194" s="106">
        <f>IF(FC194="","",IF(ISNUMBER('Dvd Calendar'!$AC$1938)=FALSE,"",IF((('Dvd Calendar'!$AC$1940=TYPE1)*(TYPE1&lt;&gt;"")+('Dvd Calendar'!$AC$1940=TYPE2)*(TYPE2&lt;&gt;"")+('Dvd Calendar'!$AC$1940=TYPE3)*(TYPE3&lt;&gt;"")+('Dvd Calendar'!$AC$1940=TYPE4)*(TYPE4&lt;&gt;"")+('Dvd Calendar'!$AC$1940=SPECIAL_LBL)*(INC_SPECIALS="Y"))=0,"",'Dvd Calendar'!$AC$1938)))</f>
        <v/>
      </c>
      <c r="AB194" s="106">
        <f>IF(FD194="","",IF(ISNUMBER('Dvd Calendar'!$AD$1938)=FALSE,"",IF((('Dvd Calendar'!$AD$1940=TYPE1)*(TYPE1&lt;&gt;"")+('Dvd Calendar'!$AD$1940=TYPE2)*(TYPE2&lt;&gt;"")+('Dvd Calendar'!$AD$1940=TYPE3)*(TYPE3&lt;&gt;"")+('Dvd Calendar'!$AD$1940=TYPE4)*(TYPE4&lt;&gt;"")+('Dvd Calendar'!$AD$1940=SPECIAL_LBL)*(INC_SPECIALS="Y"))=0,"",'Dvd Calendar'!$AD$1938)))</f>
        <v/>
      </c>
      <c r="AC194" s="106">
        <f>IF(FE194="","",IF(ISNUMBER('Dvd Calendar'!$AE$1938)=FALSE,"",IF((('Dvd Calendar'!$AE$1940=TYPE1)*(TYPE1&lt;&gt;"")+('Dvd Calendar'!$AE$1940=TYPE2)*(TYPE2&lt;&gt;"")+('Dvd Calendar'!$AE$1940=TYPE3)*(TYPE3&lt;&gt;"")+('Dvd Calendar'!$AE$1940=TYPE4)*(TYPE4&lt;&gt;"")+('Dvd Calendar'!$AE$1940=SPECIAL_LBL)*(INC_SPECIALS="Y"))=0,"",'Dvd Calendar'!$AE$1938)))</f>
        <v/>
      </c>
      <c r="AD194" s="106">
        <f>IF(FF194="","",IF(ISNUMBER('Dvd Calendar'!$AF$1938)=FALSE,"",IF((('Dvd Calendar'!$AF$1940=TYPE1)*(TYPE1&lt;&gt;"")+('Dvd Calendar'!$AF$1940=TYPE2)*(TYPE2&lt;&gt;"")+('Dvd Calendar'!$AF$1940=TYPE3)*(TYPE3&lt;&gt;"")+('Dvd Calendar'!$AF$1940=TYPE4)*(TYPE4&lt;&gt;"")+('Dvd Calendar'!$AF$1940=SPECIAL_LBL)*(INC_SPECIALS="Y"))=0,"",'Dvd Calendar'!$AF$1938)))</f>
        <v/>
      </c>
      <c r="AE194" s="106">
        <f>IF(FG194="","",IF(ISNUMBER('Dvd Calendar'!$AG$1938)=FALSE,"",IF((('Dvd Calendar'!$AG$1940=TYPE1)*(TYPE1&lt;&gt;"")+('Dvd Calendar'!$AG$1940=TYPE2)*(TYPE2&lt;&gt;"")+('Dvd Calendar'!$AG$1940=TYPE3)*(TYPE3&lt;&gt;"")+('Dvd Calendar'!$AG$1940=TYPE4)*(TYPE4&lt;&gt;"")+('Dvd Calendar'!$AG$1940=SPECIAL_LBL)*(INC_SPECIALS="Y"))=0,"",'Dvd Calendar'!$AG$1938)))</f>
        <v/>
      </c>
      <c r="AF194" s="106">
        <f>IF(FH194="","",IF(ISNUMBER('Dvd Calendar'!$AH$1938)=FALSE,"",IF((('Dvd Calendar'!$AH$1940=TYPE1)*(TYPE1&lt;&gt;"")+('Dvd Calendar'!$AH$1940=TYPE2)*(TYPE2&lt;&gt;"")+('Dvd Calendar'!$AH$1940=TYPE3)*(TYPE3&lt;&gt;"")+('Dvd Calendar'!$AH$1940=TYPE4)*(TYPE4&lt;&gt;"")+('Dvd Calendar'!$AH$1940=SPECIAL_LBL)*(INC_SPECIALS="Y"))=0,"",'Dvd Calendar'!$AH$1938)))</f>
        <v/>
      </c>
      <c r="AG194" s="106">
        <f>IF(FI194="","",IF(ISNUMBER('Dvd Calendar'!$AI$1938)=FALSE,"",IF((('Dvd Calendar'!$AI$1940=TYPE1)*(TYPE1&lt;&gt;"")+('Dvd Calendar'!$AI$1940=TYPE2)*(TYPE2&lt;&gt;"")+('Dvd Calendar'!$AI$1940=TYPE3)*(TYPE3&lt;&gt;"")+('Dvd Calendar'!$AI$1940=TYPE4)*(TYPE4&lt;&gt;"")+('Dvd Calendar'!$AI$1940=SPECIAL_LBL)*(INC_SPECIALS="Y"))=0,"",'Dvd Calendar'!$AI$1938)))</f>
        <v/>
      </c>
      <c r="AH194" s="106">
        <f>IF(FJ194="","",IF(ISNUMBER('Dvd Calendar'!$AJ$1938)=FALSE,"",IF((('Dvd Calendar'!$AJ$1940=TYPE1)*(TYPE1&lt;&gt;"")+('Dvd Calendar'!$AJ$1940=TYPE2)*(TYPE2&lt;&gt;"")+('Dvd Calendar'!$AJ$1940=TYPE3)*(TYPE3&lt;&gt;"")+('Dvd Calendar'!$AJ$1940=TYPE4)*(TYPE4&lt;&gt;"")+('Dvd Calendar'!$AJ$1940=SPECIAL_LBL)*(INC_SPECIALS="Y"))=0,"",'Dvd Calendar'!$AJ$1938)))</f>
        <v/>
      </c>
      <c r="AI194" s="106">
        <f>IF(FK194="","",IF(ISNUMBER('Dvd Calendar'!$AK$1938)=FALSE,"",IF((('Dvd Calendar'!$AK$1940=TYPE1)*(TYPE1&lt;&gt;"")+('Dvd Calendar'!$AK$1940=TYPE2)*(TYPE2&lt;&gt;"")+('Dvd Calendar'!$AK$1940=TYPE3)*(TYPE3&lt;&gt;"")+('Dvd Calendar'!$AK$1940=TYPE4)*(TYPE4&lt;&gt;"")+('Dvd Calendar'!$AK$1940=SPECIAL_LBL)*(INC_SPECIALS="Y"))=0,"",'Dvd Calendar'!$AK$1938)))</f>
        <v/>
      </c>
      <c r="AJ194" s="106">
        <f>IF(FL194="","",IF(ISNUMBER('Dvd Calendar'!$AL$1938)=FALSE,"",IF((('Dvd Calendar'!$AL$1940=TYPE1)*(TYPE1&lt;&gt;"")+('Dvd Calendar'!$AL$1940=TYPE2)*(TYPE2&lt;&gt;"")+('Dvd Calendar'!$AL$1940=TYPE3)*(TYPE3&lt;&gt;"")+('Dvd Calendar'!$AL$1940=TYPE4)*(TYPE4&lt;&gt;"")+('Dvd Calendar'!$AL$1940=SPECIAL_LBL)*(INC_SPECIALS="Y"))=0,"",'Dvd Calendar'!$AL$1938)))</f>
        <v/>
      </c>
      <c r="AK194" s="106">
        <f>IF(FM194="","",IF(ISNUMBER('Dvd Calendar'!$AM$1938)=FALSE,"",IF((('Dvd Calendar'!$AM$1940=TYPE1)*(TYPE1&lt;&gt;"")+('Dvd Calendar'!$AM$1940=TYPE2)*(TYPE2&lt;&gt;"")+('Dvd Calendar'!$AM$1940=TYPE3)*(TYPE3&lt;&gt;"")+('Dvd Calendar'!$AM$1940=TYPE4)*(TYPE4&lt;&gt;"")+('Dvd Calendar'!$AM$1940=SPECIAL_LBL)*(INC_SPECIALS="Y"))=0,"",'Dvd Calendar'!$AM$1938)))</f>
        <v/>
      </c>
      <c r="AL194" s="106">
        <f>IF(FN194="","",IF(ISNUMBER('Dvd Calendar'!$AN$1938)=FALSE,"",IF((('Dvd Calendar'!$AN$1940=TYPE1)*(TYPE1&lt;&gt;"")+('Dvd Calendar'!$AN$1940=TYPE2)*(TYPE2&lt;&gt;"")+('Dvd Calendar'!$AN$1940=TYPE3)*(TYPE3&lt;&gt;"")+('Dvd Calendar'!$AN$1940=TYPE4)*(TYPE4&lt;&gt;"")+('Dvd Calendar'!$AN$1940=SPECIAL_LBL)*(INC_SPECIALS="Y"))=0,"",'Dvd Calendar'!$AN$1938)))</f>
        <v/>
      </c>
      <c r="AM194" s="106">
        <f>IF(FO194="","",IF(ISNUMBER('Dvd Calendar'!$AO$1938)=FALSE,"",IF((('Dvd Calendar'!$AO$1940=TYPE1)*(TYPE1&lt;&gt;"")+('Dvd Calendar'!$AO$1940=TYPE2)*(TYPE2&lt;&gt;"")+('Dvd Calendar'!$AO$1940=TYPE3)*(TYPE3&lt;&gt;"")+('Dvd Calendar'!$AO$1940=TYPE4)*(TYPE4&lt;&gt;"")+('Dvd Calendar'!$AO$1940=SPECIAL_LBL)*(INC_SPECIALS="Y"))=0,"",'Dvd Calendar'!$AO$1938)))</f>
        <v/>
      </c>
      <c r="AN194" s="106">
        <f>IF(FP194="","",IF(ISNUMBER('Dvd Calendar'!$AP$1938)=FALSE,"",IF((('Dvd Calendar'!$AP$1940=TYPE1)*(TYPE1&lt;&gt;"")+('Dvd Calendar'!$AP$1940=TYPE2)*(TYPE2&lt;&gt;"")+('Dvd Calendar'!$AP$1940=TYPE3)*(TYPE3&lt;&gt;"")+('Dvd Calendar'!$AP$1940=TYPE4)*(TYPE4&lt;&gt;"")+('Dvd Calendar'!$AP$1940=SPECIAL_LBL)*(INC_SPECIALS="Y"))=0,"",'Dvd Calendar'!$AP$1938)))</f>
        <v/>
      </c>
      <c r="AO194" s="106">
        <f>IF(FQ194="","",IF(ISNUMBER('Dvd Calendar'!$AQ$1938)=FALSE,"",IF((('Dvd Calendar'!$AQ$1940=TYPE1)*(TYPE1&lt;&gt;"")+('Dvd Calendar'!$AQ$1940=TYPE2)*(TYPE2&lt;&gt;"")+('Dvd Calendar'!$AQ$1940=TYPE3)*(TYPE3&lt;&gt;"")+('Dvd Calendar'!$AQ$1940=TYPE4)*(TYPE4&lt;&gt;"")+('Dvd Calendar'!$AQ$1940=SPECIAL_LBL)*(INC_SPECIALS="Y"))=0,"",'Dvd Calendar'!$AQ$1938)))</f>
        <v/>
      </c>
      <c r="AP194" s="106">
        <f>IF(FR194="","",IF(ISNUMBER('Dvd Calendar'!$AR$1938)=FALSE,"",IF((('Dvd Calendar'!$AR$1940=TYPE1)*(TYPE1&lt;&gt;"")+('Dvd Calendar'!$AR$1940=TYPE2)*(TYPE2&lt;&gt;"")+('Dvd Calendar'!$AR$1940=TYPE3)*(TYPE3&lt;&gt;"")+('Dvd Calendar'!$AR$1940=TYPE4)*(TYPE4&lt;&gt;"")+('Dvd Calendar'!$AR$1940=SPECIAL_LBL)*(INC_SPECIALS="Y"))=0,"",'Dvd Calendar'!$AR$1938)))</f>
        <v/>
      </c>
      <c r="AQ194" s="106">
        <f>IF(FS194="","",IF(ISNUMBER('Dvd Calendar'!$E$1943)=FALSE,"",'Dvd Calendar'!$E$1943))</f>
        <v/>
      </c>
      <c r="AR194" s="106">
        <f>IF(FT194="","",IF(ISNUMBER('Dvd Calendar'!$F$1943)=FALSE,"",'Dvd Calendar'!$F$1943))</f>
        <v/>
      </c>
      <c r="AS194" s="106">
        <f>IF(FU194="","",IF(ISNUMBER('Dvd Calendar'!$G$1943)=FALSE,"",'Dvd Calendar'!$G$1943))</f>
        <v/>
      </c>
      <c r="AT194" s="106">
        <f>IF(FV194="","",IF(ISNUMBER('Dvd Calendar'!$H$1943)=FALSE,"",'Dvd Calendar'!$H$1943))</f>
        <v/>
      </c>
      <c r="AU194" s="106">
        <f>IF(FW194="","",IF(ISNUMBER('Dvd Calendar'!$I$1943)=FALSE,"",'Dvd Calendar'!$I$1943))</f>
        <v/>
      </c>
      <c r="AV194" s="106">
        <f>IF(FX194="","",IF(ISNUMBER('Dvd Calendar'!$J$1943)=FALSE,"",'Dvd Calendar'!$J$1943))</f>
        <v/>
      </c>
      <c r="AW194" s="106">
        <f>IF(FY194="","",IF(ISNUMBER('Dvd Calendar'!$K$1943)=FALSE,"",'Dvd Calendar'!$K$1943))</f>
        <v/>
      </c>
      <c r="AX194" s="106">
        <f>IF(FZ194="","",IF(ISNUMBER('Dvd Calendar'!$L$1943)=FALSE,"",'Dvd Calendar'!$L$1943))</f>
        <v/>
      </c>
      <c r="AY194" s="106">
        <f>IF(GA194="","",IF(ISNUMBER('Dvd Calendar'!$M$1943)=FALSE,"",'Dvd Calendar'!$M$1943))</f>
        <v/>
      </c>
      <c r="AZ194" s="106">
        <f>IF(GB194="","",IF(ISNUMBER('Dvd Calendar'!$N$1943)=FALSE,"",'Dvd Calendar'!$N$1943))</f>
        <v/>
      </c>
      <c r="BA194" s="106">
        <f>IF(GC194="","",IF(ISNUMBER('Dvd Calendar'!$O$1943)=FALSE,"",'Dvd Calendar'!$O$1943))</f>
        <v/>
      </c>
      <c r="BB194" s="106">
        <f>IF(GD194="","",IF(ISNUMBER('Dvd Calendar'!$P$1943)=FALSE,"",'Dvd Calendar'!$P$1943))</f>
        <v/>
      </c>
      <c r="BC194" s="106">
        <f>IF(GE194="","",IF(ISNUMBER('Dvd Calendar'!$Q$1943)=FALSE,"",'Dvd Calendar'!$Q$1943))</f>
        <v/>
      </c>
      <c r="BD194" s="106">
        <f>IF(GF194="","",IF(ISNUMBER('Dvd Calendar'!$R$1943)=FALSE,"",'Dvd Calendar'!$R$1943))</f>
        <v/>
      </c>
      <c r="BE194" s="106">
        <f>IF(GG194="","",IF(ISNUMBER('Dvd Calendar'!$S$1943)=FALSE,"",'Dvd Calendar'!$S$1943))</f>
        <v/>
      </c>
      <c r="BF194" s="106">
        <f>IF(GH194="","",IF(ISNUMBER('Dvd Calendar'!$T$1943)=FALSE,"",'Dvd Calendar'!$T$1943))</f>
        <v/>
      </c>
      <c r="BG194" s="106">
        <f>IF(GI194="","",IF(ISNUMBER('Dvd Calendar'!$U$1943)=FALSE,"",'Dvd Calendar'!$U$1943))</f>
        <v/>
      </c>
      <c r="BH194" s="106">
        <f>IF(GJ194="","",IF(ISNUMBER('Dvd Calendar'!$V$1943)=FALSE,"",'Dvd Calendar'!$V$1943))</f>
        <v/>
      </c>
      <c r="BI194" s="106">
        <f>IF(GK194="","",IF(ISNUMBER('Dvd Calendar'!$W$1943)=FALSE,"",'Dvd Calendar'!$W$1943))</f>
        <v/>
      </c>
      <c r="BJ194" s="106">
        <f>IF(GL194="","",IF(ISNUMBER('Dvd Calendar'!$X$1943)=FALSE,"",'Dvd Calendar'!$X$1943))</f>
        <v/>
      </c>
      <c r="BK194" s="106">
        <f>IF(GM194="","",IF(ISNUMBER('Dvd Calendar'!$Y$1943)=FALSE,"",'Dvd Calendar'!$Y$1943))</f>
        <v/>
      </c>
      <c r="BL194" s="106">
        <f>IF(GN194="","",IF(ISNUMBER('Dvd Calendar'!$Z$1943)=FALSE,"",'Dvd Calendar'!$Z$1943))</f>
        <v/>
      </c>
      <c r="BM194" s="106">
        <f>IF(GO194="","",IF(ISNUMBER('Dvd Calendar'!$AA$1943)=FALSE,"",'Dvd Calendar'!$AA$1943))</f>
        <v/>
      </c>
      <c r="BN194" s="106">
        <f>IF(GP194="","",IF(ISNUMBER('Dvd Calendar'!$AB$1943)=FALSE,"",'Dvd Calendar'!$AB$1943))</f>
        <v/>
      </c>
      <c r="BO194" s="106">
        <f>IF(GQ194="","",IF(ISNUMBER('Dvd Calendar'!$AC$1943)=FALSE,"",'Dvd Calendar'!$AC$1943))</f>
        <v/>
      </c>
      <c r="BQ194" s="106">
        <f>IF(C194="","",IFERROR(C194*HSCEI!$B$41*HSCEI!$G$41/HSCEI!$B$3,""))</f>
        <v/>
      </c>
      <c r="BR194" s="106">
        <f>IF(D194="","",IFERROR(D194*HSCEI!$B$41*HSCEI!$G$41/HSCEI!$B$3,""))</f>
        <v/>
      </c>
      <c r="BS194" s="106">
        <f>IF(E194="","",IFERROR(E194*HSCEI!$B$41*HSCEI!$G$41/HSCEI!$B$3,""))</f>
        <v/>
      </c>
      <c r="BT194" s="106">
        <f>IF(F194="","",IFERROR(F194*HSCEI!$B$41*HSCEI!$G$41/HSCEI!$B$3,""))</f>
        <v/>
      </c>
      <c r="BU194" s="106">
        <f>IF(G194="","",IFERROR(G194*HSCEI!$B$41*HSCEI!$G$41/HSCEI!$B$3,""))</f>
        <v/>
      </c>
      <c r="BV194" s="106">
        <f>IF(H194="","",IFERROR(H194*HSCEI!$B$41*HSCEI!$G$41/HSCEI!$B$3,""))</f>
        <v/>
      </c>
      <c r="BW194" s="106">
        <f>IF(I194="","",IFERROR(I194*HSCEI!$B$41*HSCEI!$G$41/HSCEI!$B$3,""))</f>
        <v/>
      </c>
      <c r="BX194" s="106">
        <f>IF(J194="","",IFERROR(J194*HSCEI!$B$41*HSCEI!$G$41/HSCEI!$B$3,""))</f>
        <v/>
      </c>
      <c r="BY194" s="106">
        <f>IF(K194="","",IFERROR(K194*HSCEI!$B$41*HSCEI!$G$41/HSCEI!$B$3,""))</f>
        <v/>
      </c>
      <c r="BZ194" s="106">
        <f>IF(L194="","",IFERROR(L194*HSCEI!$B$41*HSCEI!$G$41/HSCEI!$B$3,""))</f>
        <v/>
      </c>
      <c r="CA194" s="106">
        <f>IF(M194="","",IFERROR(M194*HSCEI!$B$41*HSCEI!$G$41/HSCEI!$B$3,""))</f>
        <v/>
      </c>
      <c r="CB194" s="106">
        <f>IF(N194="","",IFERROR(N194*HSCEI!$B$41*HSCEI!$G$41/HSCEI!$B$3,""))</f>
        <v/>
      </c>
      <c r="CC194" s="106">
        <f>IF(O194="","",IFERROR(O194*HSCEI!$B$41*HSCEI!$G$41/HSCEI!$B$3,""))</f>
        <v/>
      </c>
      <c r="CD194" s="106">
        <f>IF(P194="","",IFERROR(P194*HSCEI!$B$41*HSCEI!$G$41/HSCEI!$B$3,""))</f>
        <v/>
      </c>
      <c r="CE194" s="106">
        <f>IF(Q194="","",IFERROR(Q194*HSCEI!$B$41*HSCEI!$G$41/HSCEI!$B$3,""))</f>
        <v/>
      </c>
      <c r="CF194" s="106">
        <f>IF(R194="","",IFERROR(R194*HSCEI!$B$41*HSCEI!$G$41/HSCEI!$B$3,""))</f>
        <v/>
      </c>
      <c r="CG194" s="106">
        <f>IF(S194="","",IFERROR(S194*HSCEI!$B$41*HSCEI!$G$41/HSCEI!$B$3,""))</f>
        <v/>
      </c>
      <c r="CH194" s="106">
        <f>IF(T194="","",IFERROR(T194*HSCEI!$B$41*HSCEI!$G$41/HSCEI!$B$3,""))</f>
        <v/>
      </c>
      <c r="CI194" s="106">
        <f>IF(U194="","",IFERROR(U194*HSCEI!$B$41*HSCEI!$G$41/HSCEI!$B$3,""))</f>
        <v/>
      </c>
      <c r="CJ194" s="106">
        <f>IF(V194="","",IFERROR(V194*HSCEI!$B$41*HSCEI!$G$41/HSCEI!$B$3,""))</f>
        <v/>
      </c>
      <c r="CK194" s="106">
        <f>IF(W194="","",IFERROR(W194*HSCEI!$B$41*HSCEI!$G$41/HSCEI!$B$3,""))</f>
        <v/>
      </c>
      <c r="CL194" s="106">
        <f>IF(X194="","",IFERROR(X194*HSCEI!$B$41*HSCEI!$G$41/HSCEI!$B$3,""))</f>
        <v/>
      </c>
      <c r="CM194" s="106">
        <f>IF(Y194="","",IFERROR(Y194*HSCEI!$B$41*HSCEI!$G$41/HSCEI!$B$3,""))</f>
        <v/>
      </c>
      <c r="CN194" s="106">
        <f>IF(Z194="","",IFERROR(Z194*HSCEI!$B$41*HSCEI!$G$41/HSCEI!$B$3,""))</f>
        <v/>
      </c>
      <c r="CO194" s="106">
        <f>IF(AA194="","",IFERROR(AA194*HSCEI!$B$41*HSCEI!$G$41/HSCEI!$B$3,""))</f>
        <v/>
      </c>
      <c r="CP194" s="106">
        <f>IF(AB194="","",IFERROR(AB194*HSCEI!$B$41*HSCEI!$G$41/HSCEI!$B$3,""))</f>
        <v/>
      </c>
      <c r="CQ194" s="106">
        <f>IF(AC194="","",IFERROR(AC194*HSCEI!$B$41*HSCEI!$G$41/HSCEI!$B$3,""))</f>
        <v/>
      </c>
      <c r="CR194" s="106">
        <f>IF(AD194="","",IFERROR(AD194*HSCEI!$B$41*HSCEI!$G$41/HSCEI!$B$3,""))</f>
        <v/>
      </c>
      <c r="CS194" s="106">
        <f>IF(AE194="","",IFERROR(AE194*HSCEI!$B$41*HSCEI!$G$41/HSCEI!$B$3,""))</f>
        <v/>
      </c>
      <c r="CT194" s="106">
        <f>IF(AF194="","",IFERROR(AF194*HSCEI!$B$41*HSCEI!$G$41/HSCEI!$B$3,""))</f>
        <v/>
      </c>
      <c r="CU194" s="106">
        <f>IF(AG194="","",IFERROR(AG194*HSCEI!$B$41*HSCEI!$G$41/HSCEI!$B$3,""))</f>
        <v/>
      </c>
      <c r="CV194" s="106">
        <f>IF(AH194="","",IFERROR(AH194*HSCEI!$B$41*HSCEI!$G$41/HSCEI!$B$3,""))</f>
        <v/>
      </c>
      <c r="CW194" s="106">
        <f>IF(AI194="","",IFERROR(AI194*HSCEI!$B$41*HSCEI!$G$41/HSCEI!$B$3,""))</f>
        <v/>
      </c>
      <c r="CX194" s="106">
        <f>IF(AJ194="","",IFERROR(AJ194*HSCEI!$B$41*HSCEI!$G$41/HSCEI!$B$3,""))</f>
        <v/>
      </c>
      <c r="CY194" s="106">
        <f>IF(AK194="","",IFERROR(AK194*HSCEI!$B$41*HSCEI!$G$41/HSCEI!$B$3,""))</f>
        <v/>
      </c>
      <c r="CZ194" s="106">
        <f>IF(AL194="","",IFERROR(AL194*HSCEI!$B$41*HSCEI!$G$41/HSCEI!$B$3,""))</f>
        <v/>
      </c>
      <c r="DA194" s="106">
        <f>IF(AM194="","",IFERROR(AM194*HSCEI!$B$41*HSCEI!$G$41/HSCEI!$B$3,""))</f>
        <v/>
      </c>
      <c r="DB194" s="106">
        <f>IF(AN194="","",IFERROR(AN194*HSCEI!$B$41*HSCEI!$G$41/HSCEI!$B$3,""))</f>
        <v/>
      </c>
      <c r="DC194" s="106">
        <f>IF(AO194="","",IFERROR(AO194*HSCEI!$B$41*HSCEI!$G$41/HSCEI!$B$3,""))</f>
        <v/>
      </c>
      <c r="DD194" s="106">
        <f>IF(AP194="","",IFERROR(AP194*HSCEI!$B$41*HSCEI!$G$41/HSCEI!$B$3,""))</f>
        <v/>
      </c>
      <c r="DE194" s="106">
        <f>IF(AQ194="","",IFERROR(AQ194*HSCEI!$B$41*HSCEI!$G$41/HSCEI!$B$3,""))</f>
        <v/>
      </c>
      <c r="DF194" s="106">
        <f>IF(AR194="","",IFERROR(AR194*HSCEI!$B$41*HSCEI!$G$41/HSCEI!$B$3,""))</f>
        <v/>
      </c>
      <c r="DG194" s="106">
        <f>IF(AS194="","",IFERROR(AS194*HSCEI!$B$41*HSCEI!$G$41/HSCEI!$B$3,""))</f>
        <v/>
      </c>
      <c r="DH194" s="106">
        <f>IF(AT194="","",IFERROR(AT194*HSCEI!$B$41*HSCEI!$G$41/HSCEI!$B$3,""))</f>
        <v/>
      </c>
      <c r="DI194" s="106">
        <f>IF(AU194="","",IFERROR(AU194*HSCEI!$B$41*HSCEI!$G$41/HSCEI!$B$3,""))</f>
        <v/>
      </c>
      <c r="DJ194" s="106">
        <f>IF(AV194="","",IFERROR(AV194*HSCEI!$B$41*HSCEI!$G$41/HSCEI!$B$3,""))</f>
        <v/>
      </c>
      <c r="DK194" s="106">
        <f>IF(AW194="","",IFERROR(AW194*HSCEI!$B$41*HSCEI!$G$41/HSCEI!$B$3,""))</f>
        <v/>
      </c>
      <c r="DL194" s="106">
        <f>IF(AX194="","",IFERROR(AX194*HSCEI!$B$41*HSCEI!$G$41/HSCEI!$B$3,""))</f>
        <v/>
      </c>
      <c r="DM194" s="106">
        <f>IF(AY194="","",IFERROR(AY194*HSCEI!$B$41*HSCEI!$G$41/HSCEI!$B$3,""))</f>
        <v/>
      </c>
      <c r="DN194" s="106">
        <f>IF(AZ194="","",IFERROR(AZ194*HSCEI!$B$41*HSCEI!$G$41/HSCEI!$B$3,""))</f>
        <v/>
      </c>
      <c r="DO194" s="106">
        <f>IF(BA194="","",IFERROR(BA194*HSCEI!$B$41*HSCEI!$G$41/HSCEI!$B$3,""))</f>
        <v/>
      </c>
      <c r="DP194" s="106">
        <f>IF(BB194="","",IFERROR(BB194*HSCEI!$B$41*HSCEI!$G$41/HSCEI!$B$3,""))</f>
        <v/>
      </c>
      <c r="DQ194" s="106">
        <f>IF(BC194="","",IFERROR(BC194*HSCEI!$B$41*HSCEI!$G$41/HSCEI!$B$3,""))</f>
        <v/>
      </c>
      <c r="DR194" s="106">
        <f>IF(BD194="","",IFERROR(BD194*HSCEI!$B$41*HSCEI!$G$41/HSCEI!$B$3,""))</f>
        <v/>
      </c>
      <c r="DS194" s="106">
        <f>IF(BE194="","",IFERROR(BE194*HSCEI!$B$41*HSCEI!$G$41/HSCEI!$B$3,""))</f>
        <v/>
      </c>
      <c r="DT194" s="106">
        <f>IF(BF194="","",IFERROR(BF194*HSCEI!$B$41*HSCEI!$G$41/HSCEI!$B$3,""))</f>
        <v/>
      </c>
      <c r="DU194" s="106">
        <f>IF(BG194="","",IFERROR(BG194*HSCEI!$B$41*HSCEI!$G$41/HSCEI!$B$3,""))</f>
        <v/>
      </c>
      <c r="DV194" s="106">
        <f>IF(BH194="","",IFERROR(BH194*HSCEI!$B$41*HSCEI!$G$41/HSCEI!$B$3,""))</f>
        <v/>
      </c>
      <c r="DW194" s="106">
        <f>IF(BI194="","",IFERROR(BI194*HSCEI!$B$41*HSCEI!$G$41/HSCEI!$B$3,""))</f>
        <v/>
      </c>
      <c r="DX194" s="106">
        <f>IF(BJ194="","",IFERROR(BJ194*HSCEI!$B$41*HSCEI!$G$41/HSCEI!$B$3,""))</f>
        <v/>
      </c>
      <c r="DY194" s="106">
        <f>IF(BK194="","",IFERROR(BK194*HSCEI!$B$41*HSCEI!$G$41/HSCEI!$B$3,""))</f>
        <v/>
      </c>
      <c r="DZ194" s="106">
        <f>IF(BL194="","",IFERROR(BL194*HSCEI!$B$41*HSCEI!$G$41/HSCEI!$B$3,""))</f>
        <v/>
      </c>
      <c r="EA194" s="106">
        <f>IF(BM194="","",IFERROR(BM194*HSCEI!$B$41*HSCEI!$G$41/HSCEI!$B$3,""))</f>
        <v/>
      </c>
      <c r="EB194" s="106">
        <f>IF(BN194="","",IFERROR(BN194*HSCEI!$B$41*HSCEI!$G$41/HSCEI!$B$3,""))</f>
        <v/>
      </c>
      <c r="EC194" s="106">
        <f>IF(BO194="","",IFERROR(BO194*HSCEI!$B$41*HSCEI!$G$41/HSCEI!$B$3,""))</f>
        <v/>
      </c>
      <c r="EE194" s="35">
        <f>IF(N('Dvd Calendar'!$E$1935)=0,"",IF(('Dvd Calendar'!$E$1935&gt;=GRID_FROM)*('Dvd Calendar'!$E$1935&lt;=GRID_TO)*('Dvd Calendar'!$E$1935&lt;=VAL_DATE)=0,"",'Dvd Calendar'!$E$1935*1000000000+ISNUMBER('Dvd Calendar'!$E$1938)*100000000+('Dvd Calendar'!$E$1940=SPECIAL_LBL)*10000000+0*1000000+35*1000+1))</f>
        <v/>
      </c>
      <c r="EF194" s="35">
        <f>IF(N('Dvd Calendar'!$F$1935)=0,"",IF(('Dvd Calendar'!$F$1935&gt;=GRID_FROM)*('Dvd Calendar'!$F$1935&lt;=GRID_TO)*('Dvd Calendar'!$F$1935&lt;=VAL_DATE)=0,"",'Dvd Calendar'!$F$1935*1000000000+ISNUMBER('Dvd Calendar'!$F$1938)*100000000+('Dvd Calendar'!$F$1940=SPECIAL_LBL)*10000000+0*1000000+35*1000+2))</f>
        <v/>
      </c>
      <c r="EG194" s="35">
        <f>IF(N('Dvd Calendar'!$G$1935)=0,"",IF(('Dvd Calendar'!$G$1935&gt;=GRID_FROM)*('Dvd Calendar'!$G$1935&lt;=GRID_TO)*('Dvd Calendar'!$G$1935&lt;=VAL_DATE)=0,"",'Dvd Calendar'!$G$1935*1000000000+ISNUMBER('Dvd Calendar'!$G$1938)*100000000+('Dvd Calendar'!$G$1940=SPECIAL_LBL)*10000000+0*1000000+35*1000+3))</f>
        <v/>
      </c>
      <c r="EH194" s="35">
        <f>IF(N('Dvd Calendar'!$H$1935)=0,"",IF(('Dvd Calendar'!$H$1935&gt;=GRID_FROM)*('Dvd Calendar'!$H$1935&lt;=GRID_TO)*('Dvd Calendar'!$H$1935&lt;=VAL_DATE)=0,"",'Dvd Calendar'!$H$1935*1000000000+ISNUMBER('Dvd Calendar'!$H$1938)*100000000+('Dvd Calendar'!$H$1940=SPECIAL_LBL)*10000000+0*1000000+35*1000+4))</f>
        <v/>
      </c>
      <c r="EI194" s="35">
        <f>IF(N('Dvd Calendar'!$I$1935)=0,"",IF(('Dvd Calendar'!$I$1935&gt;=GRID_FROM)*('Dvd Calendar'!$I$1935&lt;=GRID_TO)*('Dvd Calendar'!$I$1935&lt;=VAL_DATE)=0,"",'Dvd Calendar'!$I$1935*1000000000+ISNUMBER('Dvd Calendar'!$I$1938)*100000000+('Dvd Calendar'!$I$1940=SPECIAL_LBL)*10000000+0*1000000+35*1000+5))</f>
        <v/>
      </c>
      <c r="EJ194" s="35">
        <f>IF(N('Dvd Calendar'!$J$1935)=0,"",IF(('Dvd Calendar'!$J$1935&gt;=GRID_FROM)*('Dvd Calendar'!$J$1935&lt;=GRID_TO)*('Dvd Calendar'!$J$1935&lt;=VAL_DATE)=0,"",'Dvd Calendar'!$J$1935*1000000000+ISNUMBER('Dvd Calendar'!$J$1938)*100000000+('Dvd Calendar'!$J$1940=SPECIAL_LBL)*10000000+0*1000000+35*1000+6))</f>
        <v/>
      </c>
      <c r="EK194" s="35">
        <f>IF(N('Dvd Calendar'!$K$1935)=0,"",IF(('Dvd Calendar'!$K$1935&gt;=GRID_FROM)*('Dvd Calendar'!$K$1935&lt;=GRID_TO)*('Dvd Calendar'!$K$1935&lt;=VAL_DATE)=0,"",'Dvd Calendar'!$K$1935*1000000000+ISNUMBER('Dvd Calendar'!$K$1938)*100000000+('Dvd Calendar'!$K$1940=SPECIAL_LBL)*10000000+0*1000000+35*1000+7))</f>
        <v/>
      </c>
      <c r="EL194" s="35">
        <f>IF(N('Dvd Calendar'!$L$1935)=0,"",IF(('Dvd Calendar'!$L$1935&gt;=GRID_FROM)*('Dvd Calendar'!$L$1935&lt;=GRID_TO)*('Dvd Calendar'!$L$1935&lt;=VAL_DATE)=0,"",'Dvd Calendar'!$L$1935*1000000000+ISNUMBER('Dvd Calendar'!$L$1938)*100000000+('Dvd Calendar'!$L$1940=SPECIAL_LBL)*10000000+0*1000000+35*1000+8))</f>
        <v/>
      </c>
      <c r="EM194" s="35">
        <f>IF(N('Dvd Calendar'!$M$1935)=0,"",IF(('Dvd Calendar'!$M$1935&gt;=GRID_FROM)*('Dvd Calendar'!$M$1935&lt;=GRID_TO)*('Dvd Calendar'!$M$1935&lt;=VAL_DATE)=0,"",'Dvd Calendar'!$M$1935*1000000000+ISNUMBER('Dvd Calendar'!$M$1938)*100000000+('Dvd Calendar'!$M$1940=SPECIAL_LBL)*10000000+0*1000000+35*1000+9))</f>
        <v/>
      </c>
      <c r="EN194" s="35">
        <f>IF(N('Dvd Calendar'!$N$1935)=0,"",IF(('Dvd Calendar'!$N$1935&gt;=GRID_FROM)*('Dvd Calendar'!$N$1935&lt;=GRID_TO)*('Dvd Calendar'!$N$1935&lt;=VAL_DATE)=0,"",'Dvd Calendar'!$N$1935*1000000000+ISNUMBER('Dvd Calendar'!$N$1938)*100000000+('Dvd Calendar'!$N$1940=SPECIAL_LBL)*10000000+0*1000000+35*1000+10))</f>
        <v/>
      </c>
      <c r="EO194" s="35">
        <f>IF(N('Dvd Calendar'!$O$1935)=0,"",IF(('Dvd Calendar'!$O$1935&gt;=GRID_FROM)*('Dvd Calendar'!$O$1935&lt;=GRID_TO)*('Dvd Calendar'!$O$1935&lt;=VAL_DATE)=0,"",'Dvd Calendar'!$O$1935*1000000000+ISNUMBER('Dvd Calendar'!$O$1938)*100000000+('Dvd Calendar'!$O$1940=SPECIAL_LBL)*10000000+0*1000000+35*1000+11))</f>
        <v/>
      </c>
      <c r="EP194" s="35">
        <f>IF(N('Dvd Calendar'!$P$1935)=0,"",IF(('Dvd Calendar'!$P$1935&gt;=GRID_FROM)*('Dvd Calendar'!$P$1935&lt;=GRID_TO)*('Dvd Calendar'!$P$1935&lt;=VAL_DATE)=0,"",'Dvd Calendar'!$P$1935*1000000000+ISNUMBER('Dvd Calendar'!$P$1938)*100000000+('Dvd Calendar'!$P$1940=SPECIAL_LBL)*10000000+0*1000000+35*1000+12))</f>
        <v/>
      </c>
      <c r="EQ194" s="35">
        <f>IF(N('Dvd Calendar'!$Q$1935)=0,"",IF(('Dvd Calendar'!$Q$1935&gt;=GRID_FROM)*('Dvd Calendar'!$Q$1935&lt;=GRID_TO)*('Dvd Calendar'!$Q$1935&lt;=VAL_DATE)=0,"",'Dvd Calendar'!$Q$1935*1000000000+ISNUMBER('Dvd Calendar'!$Q$1938)*100000000+('Dvd Calendar'!$Q$1940=SPECIAL_LBL)*10000000+0*1000000+35*1000+13))</f>
        <v/>
      </c>
      <c r="ER194" s="35">
        <f>IF(N('Dvd Calendar'!$R$1935)=0,"",IF(('Dvd Calendar'!$R$1935&gt;=GRID_FROM)*('Dvd Calendar'!$R$1935&lt;=GRID_TO)*('Dvd Calendar'!$R$1935&lt;=VAL_DATE)=0,"",'Dvd Calendar'!$R$1935*1000000000+ISNUMBER('Dvd Calendar'!$R$1938)*100000000+('Dvd Calendar'!$R$1940=SPECIAL_LBL)*10000000+0*1000000+35*1000+14))</f>
        <v/>
      </c>
      <c r="ES194" s="35">
        <f>IF(N('Dvd Calendar'!$S$1935)=0,"",IF(('Dvd Calendar'!$S$1935&gt;=GRID_FROM)*('Dvd Calendar'!$S$1935&lt;=GRID_TO)*('Dvd Calendar'!$S$1935&lt;=VAL_DATE)=0,"",'Dvd Calendar'!$S$1935*1000000000+ISNUMBER('Dvd Calendar'!$S$1938)*100000000+('Dvd Calendar'!$S$1940=SPECIAL_LBL)*10000000+0*1000000+35*1000+15))</f>
        <v/>
      </c>
      <c r="ET194" s="35">
        <f>IF(N('Dvd Calendar'!$T$1935)=0,"",IF(('Dvd Calendar'!$T$1935&gt;=GRID_FROM)*('Dvd Calendar'!$T$1935&lt;=GRID_TO)*('Dvd Calendar'!$T$1935&lt;=VAL_DATE)=0,"",'Dvd Calendar'!$T$1935*1000000000+ISNUMBER('Dvd Calendar'!$T$1938)*100000000+('Dvd Calendar'!$T$1940=SPECIAL_LBL)*10000000+0*1000000+35*1000+16))</f>
        <v/>
      </c>
      <c r="EU194" s="35">
        <f>IF(N('Dvd Calendar'!$U$1935)=0,"",IF(('Dvd Calendar'!$U$1935&gt;=GRID_FROM)*('Dvd Calendar'!$U$1935&lt;=GRID_TO)*('Dvd Calendar'!$U$1935&lt;=VAL_DATE)=0,"",'Dvd Calendar'!$U$1935*1000000000+ISNUMBER('Dvd Calendar'!$U$1938)*100000000+('Dvd Calendar'!$U$1940=SPECIAL_LBL)*10000000+0*1000000+35*1000+17))</f>
        <v/>
      </c>
      <c r="EV194" s="35">
        <f>IF(N('Dvd Calendar'!$V$1935)=0,"",IF(('Dvd Calendar'!$V$1935&gt;=GRID_FROM)*('Dvd Calendar'!$V$1935&lt;=GRID_TO)*('Dvd Calendar'!$V$1935&lt;=VAL_DATE)=0,"",'Dvd Calendar'!$V$1935*1000000000+ISNUMBER('Dvd Calendar'!$V$1938)*100000000+('Dvd Calendar'!$V$1940=SPECIAL_LBL)*10000000+0*1000000+35*1000+18))</f>
        <v/>
      </c>
      <c r="EW194" s="35">
        <f>IF(N('Dvd Calendar'!$W$1935)=0,"",IF(('Dvd Calendar'!$W$1935&gt;=GRID_FROM)*('Dvd Calendar'!$W$1935&lt;=GRID_TO)*('Dvd Calendar'!$W$1935&lt;=VAL_DATE)=0,"",'Dvd Calendar'!$W$1935*1000000000+ISNUMBER('Dvd Calendar'!$W$1938)*100000000+('Dvd Calendar'!$W$1940=SPECIAL_LBL)*10000000+0*1000000+35*1000+19))</f>
        <v/>
      </c>
      <c r="EX194" s="35">
        <f>IF(N('Dvd Calendar'!$X$1935)=0,"",IF(('Dvd Calendar'!$X$1935&gt;=GRID_FROM)*('Dvd Calendar'!$X$1935&lt;=GRID_TO)*('Dvd Calendar'!$X$1935&lt;=VAL_DATE)=0,"",'Dvd Calendar'!$X$1935*1000000000+ISNUMBER('Dvd Calendar'!$X$1938)*100000000+('Dvd Calendar'!$X$1940=SPECIAL_LBL)*10000000+0*1000000+35*1000+20))</f>
        <v/>
      </c>
      <c r="EY194" s="35">
        <f>IF(N('Dvd Calendar'!$Y$1935)=0,"",IF(('Dvd Calendar'!$Y$1935&gt;=GRID_FROM)*('Dvd Calendar'!$Y$1935&lt;=GRID_TO)*('Dvd Calendar'!$Y$1935&lt;=VAL_DATE)=0,"",'Dvd Calendar'!$Y$1935*1000000000+ISNUMBER('Dvd Calendar'!$Y$1938)*100000000+('Dvd Calendar'!$Y$1940=SPECIAL_LBL)*10000000+0*1000000+35*1000+21))</f>
        <v/>
      </c>
      <c r="EZ194" s="35">
        <f>IF(N('Dvd Calendar'!$Z$1935)=0,"",IF(('Dvd Calendar'!$Z$1935&gt;=GRID_FROM)*('Dvd Calendar'!$Z$1935&lt;=GRID_TO)*('Dvd Calendar'!$Z$1935&lt;=VAL_DATE)=0,"",'Dvd Calendar'!$Z$1935*1000000000+ISNUMBER('Dvd Calendar'!$Z$1938)*100000000+('Dvd Calendar'!$Z$1940=SPECIAL_LBL)*10000000+0*1000000+35*1000+22))</f>
        <v/>
      </c>
      <c r="FA194" s="35">
        <f>IF(N('Dvd Calendar'!$AA$1935)=0,"",IF(('Dvd Calendar'!$AA$1935&gt;=GRID_FROM)*('Dvd Calendar'!$AA$1935&lt;=GRID_TO)*('Dvd Calendar'!$AA$1935&lt;=VAL_DATE)=0,"",'Dvd Calendar'!$AA$1935*1000000000+ISNUMBER('Dvd Calendar'!$AA$1938)*100000000+('Dvd Calendar'!$AA$1940=SPECIAL_LBL)*10000000+0*1000000+35*1000+23))</f>
        <v/>
      </c>
      <c r="FB194" s="35">
        <f>IF(N('Dvd Calendar'!$AB$1935)=0,"",IF(('Dvd Calendar'!$AB$1935&gt;=GRID_FROM)*('Dvd Calendar'!$AB$1935&lt;=GRID_TO)*('Dvd Calendar'!$AB$1935&lt;=VAL_DATE)=0,"",'Dvd Calendar'!$AB$1935*1000000000+ISNUMBER('Dvd Calendar'!$AB$1938)*100000000+('Dvd Calendar'!$AB$1940=SPECIAL_LBL)*10000000+0*1000000+35*1000+24))</f>
        <v/>
      </c>
      <c r="FC194" s="35">
        <f>IF(N('Dvd Calendar'!$AC$1935)=0,"",IF(('Dvd Calendar'!$AC$1935&gt;=GRID_FROM)*('Dvd Calendar'!$AC$1935&lt;=GRID_TO)*('Dvd Calendar'!$AC$1935&lt;=VAL_DATE)=0,"",'Dvd Calendar'!$AC$1935*1000000000+ISNUMBER('Dvd Calendar'!$AC$1938)*100000000+('Dvd Calendar'!$AC$1940=SPECIAL_LBL)*10000000+0*1000000+35*1000+25))</f>
        <v/>
      </c>
      <c r="FD194" s="35">
        <f>IF(N('Dvd Calendar'!$AD$1935)=0,"",IF(('Dvd Calendar'!$AD$1935&gt;=GRID_FROM)*('Dvd Calendar'!$AD$1935&lt;=GRID_TO)*('Dvd Calendar'!$AD$1935&lt;=VAL_DATE)=0,"",'Dvd Calendar'!$AD$1935*1000000000+ISNUMBER('Dvd Calendar'!$AD$1938)*100000000+('Dvd Calendar'!$AD$1940=SPECIAL_LBL)*10000000+0*1000000+35*1000+26))</f>
        <v/>
      </c>
      <c r="FE194" s="35">
        <f>IF(N('Dvd Calendar'!$AE$1935)=0,"",IF(('Dvd Calendar'!$AE$1935&gt;=GRID_FROM)*('Dvd Calendar'!$AE$1935&lt;=GRID_TO)*('Dvd Calendar'!$AE$1935&lt;=VAL_DATE)=0,"",'Dvd Calendar'!$AE$1935*1000000000+ISNUMBER('Dvd Calendar'!$AE$1938)*100000000+('Dvd Calendar'!$AE$1940=SPECIAL_LBL)*10000000+0*1000000+35*1000+27))</f>
        <v/>
      </c>
      <c r="FF194" s="35">
        <f>IF(N('Dvd Calendar'!$AF$1935)=0,"",IF(('Dvd Calendar'!$AF$1935&gt;=GRID_FROM)*('Dvd Calendar'!$AF$1935&lt;=GRID_TO)*('Dvd Calendar'!$AF$1935&lt;=VAL_DATE)=0,"",'Dvd Calendar'!$AF$1935*1000000000+ISNUMBER('Dvd Calendar'!$AF$1938)*100000000+('Dvd Calendar'!$AF$1940=SPECIAL_LBL)*10000000+0*1000000+35*1000+28))</f>
        <v/>
      </c>
      <c r="FG194" s="35">
        <f>IF(N('Dvd Calendar'!$AG$1935)=0,"",IF(('Dvd Calendar'!$AG$1935&gt;=GRID_FROM)*('Dvd Calendar'!$AG$1935&lt;=GRID_TO)*('Dvd Calendar'!$AG$1935&lt;=VAL_DATE)=0,"",'Dvd Calendar'!$AG$1935*1000000000+ISNUMBER('Dvd Calendar'!$AG$1938)*100000000+('Dvd Calendar'!$AG$1940=SPECIAL_LBL)*10000000+0*1000000+35*1000+29))</f>
        <v/>
      </c>
      <c r="FH194" s="35">
        <f>IF(N('Dvd Calendar'!$AH$1935)=0,"",IF(('Dvd Calendar'!$AH$1935&gt;=GRID_FROM)*('Dvd Calendar'!$AH$1935&lt;=GRID_TO)*('Dvd Calendar'!$AH$1935&lt;=VAL_DATE)=0,"",'Dvd Calendar'!$AH$1935*1000000000+ISNUMBER('Dvd Calendar'!$AH$1938)*100000000+('Dvd Calendar'!$AH$1940=SPECIAL_LBL)*10000000+0*1000000+35*1000+30))</f>
        <v/>
      </c>
      <c r="FI194" s="35">
        <f>IF(N('Dvd Calendar'!$AI$1935)=0,"",IF(('Dvd Calendar'!$AI$1935&gt;=GRID_FROM)*('Dvd Calendar'!$AI$1935&lt;=GRID_TO)*('Dvd Calendar'!$AI$1935&lt;=VAL_DATE)=0,"",'Dvd Calendar'!$AI$1935*1000000000+ISNUMBER('Dvd Calendar'!$AI$1938)*100000000+('Dvd Calendar'!$AI$1940=SPECIAL_LBL)*10000000+0*1000000+35*1000+31))</f>
        <v/>
      </c>
      <c r="FJ194" s="35">
        <f>IF(N('Dvd Calendar'!$AJ$1935)=0,"",IF(('Dvd Calendar'!$AJ$1935&gt;=GRID_FROM)*('Dvd Calendar'!$AJ$1935&lt;=GRID_TO)*('Dvd Calendar'!$AJ$1935&lt;=VAL_DATE)=0,"",'Dvd Calendar'!$AJ$1935*1000000000+ISNUMBER('Dvd Calendar'!$AJ$1938)*100000000+('Dvd Calendar'!$AJ$1940=SPECIAL_LBL)*10000000+0*1000000+35*1000+32))</f>
        <v/>
      </c>
      <c r="FK194" s="35">
        <f>IF(N('Dvd Calendar'!$AK$1935)=0,"",IF(('Dvd Calendar'!$AK$1935&gt;=GRID_FROM)*('Dvd Calendar'!$AK$1935&lt;=GRID_TO)*('Dvd Calendar'!$AK$1935&lt;=VAL_DATE)=0,"",'Dvd Calendar'!$AK$1935*1000000000+ISNUMBER('Dvd Calendar'!$AK$1938)*100000000+('Dvd Calendar'!$AK$1940=SPECIAL_LBL)*10000000+0*1000000+35*1000+33))</f>
        <v/>
      </c>
      <c r="FL194" s="35">
        <f>IF(N('Dvd Calendar'!$AL$1935)=0,"",IF(('Dvd Calendar'!$AL$1935&gt;=GRID_FROM)*('Dvd Calendar'!$AL$1935&lt;=GRID_TO)*('Dvd Calendar'!$AL$1935&lt;=VAL_DATE)=0,"",'Dvd Calendar'!$AL$1935*1000000000+ISNUMBER('Dvd Calendar'!$AL$1938)*100000000+('Dvd Calendar'!$AL$1940=SPECIAL_LBL)*10000000+0*1000000+35*1000+34))</f>
        <v/>
      </c>
      <c r="FM194" s="35">
        <f>IF(N('Dvd Calendar'!$AM$1935)=0,"",IF(('Dvd Calendar'!$AM$1935&gt;=GRID_FROM)*('Dvd Calendar'!$AM$1935&lt;=GRID_TO)*('Dvd Calendar'!$AM$1935&lt;=VAL_DATE)=0,"",'Dvd Calendar'!$AM$1935*1000000000+ISNUMBER('Dvd Calendar'!$AM$1938)*100000000+('Dvd Calendar'!$AM$1940=SPECIAL_LBL)*10000000+0*1000000+35*1000+35))</f>
        <v/>
      </c>
      <c r="FN194" s="35">
        <f>IF(N('Dvd Calendar'!$AN$1935)=0,"",IF(('Dvd Calendar'!$AN$1935&gt;=GRID_FROM)*('Dvd Calendar'!$AN$1935&lt;=GRID_TO)*('Dvd Calendar'!$AN$1935&lt;=VAL_DATE)=0,"",'Dvd Calendar'!$AN$1935*1000000000+ISNUMBER('Dvd Calendar'!$AN$1938)*100000000+('Dvd Calendar'!$AN$1940=SPECIAL_LBL)*10000000+0*1000000+35*1000+36))</f>
        <v/>
      </c>
      <c r="FO194" s="35">
        <f>IF(N('Dvd Calendar'!$AO$1935)=0,"",IF(('Dvd Calendar'!$AO$1935&gt;=GRID_FROM)*('Dvd Calendar'!$AO$1935&lt;=GRID_TO)*('Dvd Calendar'!$AO$1935&lt;=VAL_DATE)=0,"",'Dvd Calendar'!$AO$1935*1000000000+ISNUMBER('Dvd Calendar'!$AO$1938)*100000000+('Dvd Calendar'!$AO$1940=SPECIAL_LBL)*10000000+0*1000000+35*1000+37))</f>
        <v/>
      </c>
      <c r="FP194" s="35">
        <f>IF(N('Dvd Calendar'!$AP$1935)=0,"",IF(('Dvd Calendar'!$AP$1935&gt;=GRID_FROM)*('Dvd Calendar'!$AP$1935&lt;=GRID_TO)*('Dvd Calendar'!$AP$1935&lt;=VAL_DATE)=0,"",'Dvd Calendar'!$AP$1935*1000000000+ISNUMBER('Dvd Calendar'!$AP$1938)*100000000+('Dvd Calendar'!$AP$1940=SPECIAL_LBL)*10000000+0*1000000+35*1000+38))</f>
        <v/>
      </c>
      <c r="FQ194" s="35">
        <f>IF(N('Dvd Calendar'!$AQ$1935)=0,"",IF(('Dvd Calendar'!$AQ$1935&gt;=GRID_FROM)*('Dvd Calendar'!$AQ$1935&lt;=GRID_TO)*('Dvd Calendar'!$AQ$1935&lt;=VAL_DATE)=0,"",'Dvd Calendar'!$AQ$1935*1000000000+ISNUMBER('Dvd Calendar'!$AQ$1938)*100000000+('Dvd Calendar'!$AQ$1940=SPECIAL_LBL)*10000000+0*1000000+35*1000+39))</f>
        <v/>
      </c>
      <c r="FR194" s="35">
        <f>IF(N('Dvd Calendar'!$AR$1935)=0,"",IF(('Dvd Calendar'!$AR$1935&gt;=GRID_FROM)*('Dvd Calendar'!$AR$1935&lt;=GRID_TO)*('Dvd Calendar'!$AR$1935&lt;=VAL_DATE)=0,"",'Dvd Calendar'!$AR$1935*1000000000+ISNUMBER('Dvd Calendar'!$AR$1938)*100000000+('Dvd Calendar'!$AR$1940=SPECIAL_LBL)*10000000+0*1000000+35*1000+40))</f>
        <v/>
      </c>
      <c r="FS194" s="35">
        <f>IF(N('Dvd Calendar'!$E$1942)=0,"",IF(('Dvd Calendar'!$E$1942&gt;=GRID_FROM)*('Dvd Calendar'!$E$1942&lt;=GRID_TO)*('Dvd Calendar'!$E$1942&gt;VAL_DATE)=0,"",'Dvd Calendar'!$E$1942*1000000000+ISNUMBER('Dvd Calendar'!$E$1943)*100000000+0*10000000+(N('Dvd Calendar'!$E$1941)&gt;0)*(N('Dvd Calendar'!$E$1941)&lt;=VAL_SERIAL)*1000000+35*1000+41))</f>
        <v/>
      </c>
      <c r="FT194" s="35">
        <f>IF(N('Dvd Calendar'!$F$1942)=0,"",IF(('Dvd Calendar'!$F$1942&gt;=GRID_FROM)*('Dvd Calendar'!$F$1942&lt;=GRID_TO)*('Dvd Calendar'!$F$1942&gt;VAL_DATE)=0,"",'Dvd Calendar'!$F$1942*1000000000+ISNUMBER('Dvd Calendar'!$F$1943)*100000000+0*10000000+(N('Dvd Calendar'!$F$1941)&gt;0)*(N('Dvd Calendar'!$F$1941)&lt;=VAL_SERIAL)*1000000+35*1000+42))</f>
        <v/>
      </c>
      <c r="FU194" s="35">
        <f>IF(N('Dvd Calendar'!$G$1942)=0,"",IF(('Dvd Calendar'!$G$1942&gt;=GRID_FROM)*('Dvd Calendar'!$G$1942&lt;=GRID_TO)*('Dvd Calendar'!$G$1942&gt;VAL_DATE)=0,"",'Dvd Calendar'!$G$1942*1000000000+ISNUMBER('Dvd Calendar'!$G$1943)*100000000+0*10000000+(N('Dvd Calendar'!$G$1941)&gt;0)*(N('Dvd Calendar'!$G$1941)&lt;=VAL_SERIAL)*1000000+35*1000+43))</f>
        <v/>
      </c>
      <c r="FV194" s="35">
        <f>IF(N('Dvd Calendar'!$H$1942)=0,"",IF(('Dvd Calendar'!$H$1942&gt;=GRID_FROM)*('Dvd Calendar'!$H$1942&lt;=GRID_TO)*('Dvd Calendar'!$H$1942&gt;VAL_DATE)=0,"",'Dvd Calendar'!$H$1942*1000000000+ISNUMBER('Dvd Calendar'!$H$1943)*100000000+0*10000000+(N('Dvd Calendar'!$H$1941)&gt;0)*(N('Dvd Calendar'!$H$1941)&lt;=VAL_SERIAL)*1000000+35*1000+44))</f>
        <v/>
      </c>
      <c r="FW194" s="35">
        <f>IF(N('Dvd Calendar'!$I$1942)=0,"",IF(('Dvd Calendar'!$I$1942&gt;=GRID_FROM)*('Dvd Calendar'!$I$1942&lt;=GRID_TO)*('Dvd Calendar'!$I$1942&gt;VAL_DATE)=0,"",'Dvd Calendar'!$I$1942*1000000000+ISNUMBER('Dvd Calendar'!$I$1943)*100000000+0*10000000+(N('Dvd Calendar'!$I$1941)&gt;0)*(N('Dvd Calendar'!$I$1941)&lt;=VAL_SERIAL)*1000000+35*1000+45))</f>
        <v/>
      </c>
      <c r="FX194" s="35">
        <f>IF(N('Dvd Calendar'!$J$1942)=0,"",IF(('Dvd Calendar'!$J$1942&gt;=GRID_FROM)*('Dvd Calendar'!$J$1942&lt;=GRID_TO)*('Dvd Calendar'!$J$1942&gt;VAL_DATE)=0,"",'Dvd Calendar'!$J$1942*1000000000+ISNUMBER('Dvd Calendar'!$J$1943)*100000000+0*10000000+(N('Dvd Calendar'!$J$1941)&gt;0)*(N('Dvd Calendar'!$J$1941)&lt;=VAL_SERIAL)*1000000+35*1000+46))</f>
        <v/>
      </c>
      <c r="FY194" s="35">
        <f>IF(N('Dvd Calendar'!$K$1942)=0,"",IF(('Dvd Calendar'!$K$1942&gt;=GRID_FROM)*('Dvd Calendar'!$K$1942&lt;=GRID_TO)*('Dvd Calendar'!$K$1942&gt;VAL_DATE)=0,"",'Dvd Calendar'!$K$1942*1000000000+ISNUMBER('Dvd Calendar'!$K$1943)*100000000+0*10000000+(N('Dvd Calendar'!$K$1941)&gt;0)*(N('Dvd Calendar'!$K$1941)&lt;=VAL_SERIAL)*1000000+35*1000+47))</f>
        <v/>
      </c>
      <c r="FZ194" s="35">
        <f>IF(N('Dvd Calendar'!$L$1942)=0,"",IF(('Dvd Calendar'!$L$1942&gt;=GRID_FROM)*('Dvd Calendar'!$L$1942&lt;=GRID_TO)*('Dvd Calendar'!$L$1942&gt;VAL_DATE)=0,"",'Dvd Calendar'!$L$1942*1000000000+ISNUMBER('Dvd Calendar'!$L$1943)*100000000+0*10000000+(N('Dvd Calendar'!$L$1941)&gt;0)*(N('Dvd Calendar'!$L$1941)&lt;=VAL_SERIAL)*1000000+35*1000+48))</f>
        <v/>
      </c>
      <c r="GA194" s="35">
        <f>IF(N('Dvd Calendar'!$M$1942)=0,"",IF(('Dvd Calendar'!$M$1942&gt;=GRID_FROM)*('Dvd Calendar'!$M$1942&lt;=GRID_TO)*('Dvd Calendar'!$M$1942&gt;VAL_DATE)=0,"",'Dvd Calendar'!$M$1942*1000000000+ISNUMBER('Dvd Calendar'!$M$1943)*100000000+0*10000000+(N('Dvd Calendar'!$M$1941)&gt;0)*(N('Dvd Calendar'!$M$1941)&lt;=VAL_SERIAL)*1000000+35*1000+49))</f>
        <v/>
      </c>
      <c r="GB194" s="35">
        <f>IF(N('Dvd Calendar'!$N$1942)=0,"",IF(('Dvd Calendar'!$N$1942&gt;=GRID_FROM)*('Dvd Calendar'!$N$1942&lt;=GRID_TO)*('Dvd Calendar'!$N$1942&gt;VAL_DATE)=0,"",'Dvd Calendar'!$N$1942*1000000000+ISNUMBER('Dvd Calendar'!$N$1943)*100000000+0*10000000+(N('Dvd Calendar'!$N$1941)&gt;0)*(N('Dvd Calendar'!$N$1941)&lt;=VAL_SERIAL)*1000000+35*1000+50))</f>
        <v/>
      </c>
      <c r="GC194" s="35">
        <f>IF(N('Dvd Calendar'!$O$1942)=0,"",IF(('Dvd Calendar'!$O$1942&gt;=GRID_FROM)*('Dvd Calendar'!$O$1942&lt;=GRID_TO)*('Dvd Calendar'!$O$1942&gt;VAL_DATE)=0,"",'Dvd Calendar'!$O$1942*1000000000+ISNUMBER('Dvd Calendar'!$O$1943)*100000000+0*10000000+(N('Dvd Calendar'!$O$1941)&gt;0)*(N('Dvd Calendar'!$O$1941)&lt;=VAL_SERIAL)*1000000+35*1000+51))</f>
        <v/>
      </c>
      <c r="GD194" s="35">
        <f>IF(N('Dvd Calendar'!$P$1942)=0,"",IF(('Dvd Calendar'!$P$1942&gt;=GRID_FROM)*('Dvd Calendar'!$P$1942&lt;=GRID_TO)*('Dvd Calendar'!$P$1942&gt;VAL_DATE)=0,"",'Dvd Calendar'!$P$1942*1000000000+ISNUMBER('Dvd Calendar'!$P$1943)*100000000+0*10000000+(N('Dvd Calendar'!$P$1941)&gt;0)*(N('Dvd Calendar'!$P$1941)&lt;=VAL_SERIAL)*1000000+35*1000+52))</f>
        <v/>
      </c>
      <c r="GE194" s="35">
        <f>IF(N('Dvd Calendar'!$Q$1942)=0,"",IF(('Dvd Calendar'!$Q$1942&gt;=GRID_FROM)*('Dvd Calendar'!$Q$1942&lt;=GRID_TO)*('Dvd Calendar'!$Q$1942&gt;VAL_DATE)=0,"",'Dvd Calendar'!$Q$1942*1000000000+ISNUMBER('Dvd Calendar'!$Q$1943)*100000000+0*10000000+(N('Dvd Calendar'!$Q$1941)&gt;0)*(N('Dvd Calendar'!$Q$1941)&lt;=VAL_SERIAL)*1000000+35*1000+53))</f>
        <v/>
      </c>
      <c r="GF194" s="35">
        <f>IF(N('Dvd Calendar'!$R$1942)=0,"",IF(('Dvd Calendar'!$R$1942&gt;=GRID_FROM)*('Dvd Calendar'!$R$1942&lt;=GRID_TO)*('Dvd Calendar'!$R$1942&gt;VAL_DATE)=0,"",'Dvd Calendar'!$R$1942*1000000000+ISNUMBER('Dvd Calendar'!$R$1943)*100000000+0*10000000+(N('Dvd Calendar'!$R$1941)&gt;0)*(N('Dvd Calendar'!$R$1941)&lt;=VAL_SERIAL)*1000000+35*1000+54))</f>
        <v/>
      </c>
      <c r="GG194" s="35">
        <f>IF(N('Dvd Calendar'!$S$1942)=0,"",IF(('Dvd Calendar'!$S$1942&gt;=GRID_FROM)*('Dvd Calendar'!$S$1942&lt;=GRID_TO)*('Dvd Calendar'!$S$1942&gt;VAL_DATE)=0,"",'Dvd Calendar'!$S$1942*1000000000+ISNUMBER('Dvd Calendar'!$S$1943)*100000000+0*10000000+(N('Dvd Calendar'!$S$1941)&gt;0)*(N('Dvd Calendar'!$S$1941)&lt;=VAL_SERIAL)*1000000+35*1000+55))</f>
        <v/>
      </c>
      <c r="GH194" s="35">
        <f>IF(N('Dvd Calendar'!$T$1942)=0,"",IF(('Dvd Calendar'!$T$1942&gt;=GRID_FROM)*('Dvd Calendar'!$T$1942&lt;=GRID_TO)*('Dvd Calendar'!$T$1942&gt;VAL_DATE)=0,"",'Dvd Calendar'!$T$1942*1000000000+ISNUMBER('Dvd Calendar'!$T$1943)*100000000+0*10000000+(N('Dvd Calendar'!$T$1941)&gt;0)*(N('Dvd Calendar'!$T$1941)&lt;=VAL_SERIAL)*1000000+35*1000+56))</f>
        <v/>
      </c>
      <c r="GI194" s="35">
        <f>IF(N('Dvd Calendar'!$U$1942)=0,"",IF(('Dvd Calendar'!$U$1942&gt;=GRID_FROM)*('Dvd Calendar'!$U$1942&lt;=GRID_TO)*('Dvd Calendar'!$U$1942&gt;VAL_DATE)=0,"",'Dvd Calendar'!$U$1942*1000000000+ISNUMBER('Dvd Calendar'!$U$1943)*100000000+0*10000000+(N('Dvd Calendar'!$U$1941)&gt;0)*(N('Dvd Calendar'!$U$1941)&lt;=VAL_SERIAL)*1000000+35*1000+57))</f>
        <v/>
      </c>
      <c r="GJ194" s="35">
        <f>IF(N('Dvd Calendar'!$V$1942)=0,"",IF(('Dvd Calendar'!$V$1942&gt;=GRID_FROM)*('Dvd Calendar'!$V$1942&lt;=GRID_TO)*('Dvd Calendar'!$V$1942&gt;VAL_DATE)=0,"",'Dvd Calendar'!$V$1942*1000000000+ISNUMBER('Dvd Calendar'!$V$1943)*100000000+0*10000000+(N('Dvd Calendar'!$V$1941)&gt;0)*(N('Dvd Calendar'!$V$1941)&lt;=VAL_SERIAL)*1000000+35*1000+58))</f>
        <v/>
      </c>
      <c r="GK194" s="35">
        <f>IF(N('Dvd Calendar'!$W$1942)=0,"",IF(('Dvd Calendar'!$W$1942&gt;=GRID_FROM)*('Dvd Calendar'!$W$1942&lt;=GRID_TO)*('Dvd Calendar'!$W$1942&gt;VAL_DATE)=0,"",'Dvd Calendar'!$W$1942*1000000000+ISNUMBER('Dvd Calendar'!$W$1943)*100000000+0*10000000+(N('Dvd Calendar'!$W$1941)&gt;0)*(N('Dvd Calendar'!$W$1941)&lt;=VAL_SERIAL)*1000000+35*1000+59))</f>
        <v/>
      </c>
      <c r="GL194" s="35">
        <f>IF(N('Dvd Calendar'!$X$1942)=0,"",IF(('Dvd Calendar'!$X$1942&gt;=GRID_FROM)*('Dvd Calendar'!$X$1942&lt;=GRID_TO)*('Dvd Calendar'!$X$1942&gt;VAL_DATE)=0,"",'Dvd Calendar'!$X$1942*1000000000+ISNUMBER('Dvd Calendar'!$X$1943)*100000000+0*10000000+(N('Dvd Calendar'!$X$1941)&gt;0)*(N('Dvd Calendar'!$X$1941)&lt;=VAL_SERIAL)*1000000+35*1000+60))</f>
        <v/>
      </c>
      <c r="GM194" s="35">
        <f>IF(N('Dvd Calendar'!$Y$1942)=0,"",IF(('Dvd Calendar'!$Y$1942&gt;=GRID_FROM)*('Dvd Calendar'!$Y$1942&lt;=GRID_TO)*('Dvd Calendar'!$Y$1942&gt;VAL_DATE)=0,"",'Dvd Calendar'!$Y$1942*1000000000+ISNUMBER('Dvd Calendar'!$Y$1943)*100000000+0*10000000+(N('Dvd Calendar'!$Y$1941)&gt;0)*(N('Dvd Calendar'!$Y$1941)&lt;=VAL_SERIAL)*1000000+35*1000+61))</f>
        <v/>
      </c>
      <c r="GN194" s="35">
        <f>IF(N('Dvd Calendar'!$Z$1942)=0,"",IF(('Dvd Calendar'!$Z$1942&gt;=GRID_FROM)*('Dvd Calendar'!$Z$1942&lt;=GRID_TO)*('Dvd Calendar'!$Z$1942&gt;VAL_DATE)=0,"",'Dvd Calendar'!$Z$1942*1000000000+ISNUMBER('Dvd Calendar'!$Z$1943)*100000000+0*10000000+(N('Dvd Calendar'!$Z$1941)&gt;0)*(N('Dvd Calendar'!$Z$1941)&lt;=VAL_SERIAL)*1000000+35*1000+62))</f>
        <v/>
      </c>
      <c r="GO194" s="35">
        <f>IF(N('Dvd Calendar'!$AA$1942)=0,"",IF(('Dvd Calendar'!$AA$1942&gt;=GRID_FROM)*('Dvd Calendar'!$AA$1942&lt;=GRID_TO)*('Dvd Calendar'!$AA$1942&gt;VAL_DATE)=0,"",'Dvd Calendar'!$AA$1942*1000000000+ISNUMBER('Dvd Calendar'!$AA$1943)*100000000+0*10000000+(N('Dvd Calendar'!$AA$1941)&gt;0)*(N('Dvd Calendar'!$AA$1941)&lt;=VAL_SERIAL)*1000000+35*1000+63))</f>
        <v/>
      </c>
      <c r="GP194" s="35">
        <f>IF(N('Dvd Calendar'!$AB$1942)=0,"",IF(('Dvd Calendar'!$AB$1942&gt;=GRID_FROM)*('Dvd Calendar'!$AB$1942&lt;=GRID_TO)*('Dvd Calendar'!$AB$1942&gt;VAL_DATE)=0,"",'Dvd Calendar'!$AB$1942*1000000000+ISNUMBER('Dvd Calendar'!$AB$1943)*100000000+0*10000000+(N('Dvd Calendar'!$AB$1941)&gt;0)*(N('Dvd Calendar'!$AB$1941)&lt;=VAL_SERIAL)*1000000+35*1000+64))</f>
        <v/>
      </c>
      <c r="GQ194" s="35">
        <f>IF(N('Dvd Calendar'!$AC$1942)=0,"",IF(('Dvd Calendar'!$AC$1942&gt;=GRID_FROM)*('Dvd Calendar'!$AC$1942&lt;=GRID_TO)*('Dvd Calendar'!$AC$1942&gt;VAL_DATE)=0,"",'Dvd Calendar'!$AC$1942*1000000000+ISNUMBER('Dvd Calendar'!$AC$1943)*100000000+0*10000000+(N('Dvd Calendar'!$AC$1941)&gt;0)*(N('Dvd Calendar'!$AC$1941)&lt;=VAL_SERIAL)*1000000+35*1000+65))</f>
        <v/>
      </c>
    </row>
    <row r="195">
      <c r="B195" s="2">
        <f>IF(HSCEI!$C$42="","",HSCEI!$C$42)</f>
        <v/>
      </c>
      <c r="C195" s="106">
        <f>IF(EE195="","",IF(ISNUMBER('Dvd Calendar'!$E$1949)=FALSE,"",IF((('Dvd Calendar'!$E$1951=TYPE1)*(TYPE1&lt;&gt;"")+('Dvd Calendar'!$E$1951=TYPE2)*(TYPE2&lt;&gt;"")+('Dvd Calendar'!$E$1951=TYPE3)*(TYPE3&lt;&gt;"")+('Dvd Calendar'!$E$1951=TYPE4)*(TYPE4&lt;&gt;"")+('Dvd Calendar'!$E$1951=SPECIAL_LBL)*(INC_SPECIALS="Y"))=0,"",'Dvd Calendar'!$E$1949)))</f>
        <v/>
      </c>
      <c r="D195" s="106">
        <f>IF(EF195="","",IF(ISNUMBER('Dvd Calendar'!$F$1949)=FALSE,"",IF((('Dvd Calendar'!$F$1951=TYPE1)*(TYPE1&lt;&gt;"")+('Dvd Calendar'!$F$1951=TYPE2)*(TYPE2&lt;&gt;"")+('Dvd Calendar'!$F$1951=TYPE3)*(TYPE3&lt;&gt;"")+('Dvd Calendar'!$F$1951=TYPE4)*(TYPE4&lt;&gt;"")+('Dvd Calendar'!$F$1951=SPECIAL_LBL)*(INC_SPECIALS="Y"))=0,"",'Dvd Calendar'!$F$1949)))</f>
        <v/>
      </c>
      <c r="E195" s="106">
        <f>IF(EG195="","",IF(ISNUMBER('Dvd Calendar'!$G$1949)=FALSE,"",IF((('Dvd Calendar'!$G$1951=TYPE1)*(TYPE1&lt;&gt;"")+('Dvd Calendar'!$G$1951=TYPE2)*(TYPE2&lt;&gt;"")+('Dvd Calendar'!$G$1951=TYPE3)*(TYPE3&lt;&gt;"")+('Dvd Calendar'!$G$1951=TYPE4)*(TYPE4&lt;&gt;"")+('Dvd Calendar'!$G$1951=SPECIAL_LBL)*(INC_SPECIALS="Y"))=0,"",'Dvd Calendar'!$G$1949)))</f>
        <v/>
      </c>
      <c r="F195" s="106">
        <f>IF(EH195="","",IF(ISNUMBER('Dvd Calendar'!$H$1949)=FALSE,"",IF((('Dvd Calendar'!$H$1951=TYPE1)*(TYPE1&lt;&gt;"")+('Dvd Calendar'!$H$1951=TYPE2)*(TYPE2&lt;&gt;"")+('Dvd Calendar'!$H$1951=TYPE3)*(TYPE3&lt;&gt;"")+('Dvd Calendar'!$H$1951=TYPE4)*(TYPE4&lt;&gt;"")+('Dvd Calendar'!$H$1951=SPECIAL_LBL)*(INC_SPECIALS="Y"))=0,"",'Dvd Calendar'!$H$1949)))</f>
        <v/>
      </c>
      <c r="G195" s="106">
        <f>IF(EI195="","",IF(ISNUMBER('Dvd Calendar'!$I$1949)=FALSE,"",IF((('Dvd Calendar'!$I$1951=TYPE1)*(TYPE1&lt;&gt;"")+('Dvd Calendar'!$I$1951=TYPE2)*(TYPE2&lt;&gt;"")+('Dvd Calendar'!$I$1951=TYPE3)*(TYPE3&lt;&gt;"")+('Dvd Calendar'!$I$1951=TYPE4)*(TYPE4&lt;&gt;"")+('Dvd Calendar'!$I$1951=SPECIAL_LBL)*(INC_SPECIALS="Y"))=0,"",'Dvd Calendar'!$I$1949)))</f>
        <v/>
      </c>
      <c r="H195" s="106">
        <f>IF(EJ195="","",IF(ISNUMBER('Dvd Calendar'!$J$1949)=FALSE,"",IF((('Dvd Calendar'!$J$1951=TYPE1)*(TYPE1&lt;&gt;"")+('Dvd Calendar'!$J$1951=TYPE2)*(TYPE2&lt;&gt;"")+('Dvd Calendar'!$J$1951=TYPE3)*(TYPE3&lt;&gt;"")+('Dvd Calendar'!$J$1951=TYPE4)*(TYPE4&lt;&gt;"")+('Dvd Calendar'!$J$1951=SPECIAL_LBL)*(INC_SPECIALS="Y"))=0,"",'Dvd Calendar'!$J$1949)))</f>
        <v/>
      </c>
      <c r="I195" s="106">
        <f>IF(EK195="","",IF(ISNUMBER('Dvd Calendar'!$K$1949)=FALSE,"",IF((('Dvd Calendar'!$K$1951=TYPE1)*(TYPE1&lt;&gt;"")+('Dvd Calendar'!$K$1951=TYPE2)*(TYPE2&lt;&gt;"")+('Dvd Calendar'!$K$1951=TYPE3)*(TYPE3&lt;&gt;"")+('Dvd Calendar'!$K$1951=TYPE4)*(TYPE4&lt;&gt;"")+('Dvd Calendar'!$K$1951=SPECIAL_LBL)*(INC_SPECIALS="Y"))=0,"",'Dvd Calendar'!$K$1949)))</f>
        <v/>
      </c>
      <c r="J195" s="106">
        <f>IF(EL195="","",IF(ISNUMBER('Dvd Calendar'!$L$1949)=FALSE,"",IF((('Dvd Calendar'!$L$1951=TYPE1)*(TYPE1&lt;&gt;"")+('Dvd Calendar'!$L$1951=TYPE2)*(TYPE2&lt;&gt;"")+('Dvd Calendar'!$L$1951=TYPE3)*(TYPE3&lt;&gt;"")+('Dvd Calendar'!$L$1951=TYPE4)*(TYPE4&lt;&gt;"")+('Dvd Calendar'!$L$1951=SPECIAL_LBL)*(INC_SPECIALS="Y"))=0,"",'Dvd Calendar'!$L$1949)))</f>
        <v/>
      </c>
      <c r="K195" s="106">
        <f>IF(EM195="","",IF(ISNUMBER('Dvd Calendar'!$M$1949)=FALSE,"",IF((('Dvd Calendar'!$M$1951=TYPE1)*(TYPE1&lt;&gt;"")+('Dvd Calendar'!$M$1951=TYPE2)*(TYPE2&lt;&gt;"")+('Dvd Calendar'!$M$1951=TYPE3)*(TYPE3&lt;&gt;"")+('Dvd Calendar'!$M$1951=TYPE4)*(TYPE4&lt;&gt;"")+('Dvd Calendar'!$M$1951=SPECIAL_LBL)*(INC_SPECIALS="Y"))=0,"",'Dvd Calendar'!$M$1949)))</f>
        <v/>
      </c>
      <c r="L195" s="106">
        <f>IF(EN195="","",IF(ISNUMBER('Dvd Calendar'!$N$1949)=FALSE,"",IF((('Dvd Calendar'!$N$1951=TYPE1)*(TYPE1&lt;&gt;"")+('Dvd Calendar'!$N$1951=TYPE2)*(TYPE2&lt;&gt;"")+('Dvd Calendar'!$N$1951=TYPE3)*(TYPE3&lt;&gt;"")+('Dvd Calendar'!$N$1951=TYPE4)*(TYPE4&lt;&gt;"")+('Dvd Calendar'!$N$1951=SPECIAL_LBL)*(INC_SPECIALS="Y"))=0,"",'Dvd Calendar'!$N$1949)))</f>
        <v/>
      </c>
      <c r="M195" s="106">
        <f>IF(EO195="","",IF(ISNUMBER('Dvd Calendar'!$O$1949)=FALSE,"",IF((('Dvd Calendar'!$O$1951=TYPE1)*(TYPE1&lt;&gt;"")+('Dvd Calendar'!$O$1951=TYPE2)*(TYPE2&lt;&gt;"")+('Dvd Calendar'!$O$1951=TYPE3)*(TYPE3&lt;&gt;"")+('Dvd Calendar'!$O$1951=TYPE4)*(TYPE4&lt;&gt;"")+('Dvd Calendar'!$O$1951=SPECIAL_LBL)*(INC_SPECIALS="Y"))=0,"",'Dvd Calendar'!$O$1949)))</f>
        <v/>
      </c>
      <c r="N195" s="106">
        <f>IF(EP195="","",IF(ISNUMBER('Dvd Calendar'!$P$1949)=FALSE,"",IF((('Dvd Calendar'!$P$1951=TYPE1)*(TYPE1&lt;&gt;"")+('Dvd Calendar'!$P$1951=TYPE2)*(TYPE2&lt;&gt;"")+('Dvd Calendar'!$P$1951=TYPE3)*(TYPE3&lt;&gt;"")+('Dvd Calendar'!$P$1951=TYPE4)*(TYPE4&lt;&gt;"")+('Dvd Calendar'!$P$1951=SPECIAL_LBL)*(INC_SPECIALS="Y"))=0,"",'Dvd Calendar'!$P$1949)))</f>
        <v/>
      </c>
      <c r="O195" s="106">
        <f>IF(EQ195="","",IF(ISNUMBER('Dvd Calendar'!$Q$1949)=FALSE,"",IF((('Dvd Calendar'!$Q$1951=TYPE1)*(TYPE1&lt;&gt;"")+('Dvd Calendar'!$Q$1951=TYPE2)*(TYPE2&lt;&gt;"")+('Dvd Calendar'!$Q$1951=TYPE3)*(TYPE3&lt;&gt;"")+('Dvd Calendar'!$Q$1951=TYPE4)*(TYPE4&lt;&gt;"")+('Dvd Calendar'!$Q$1951=SPECIAL_LBL)*(INC_SPECIALS="Y"))=0,"",'Dvd Calendar'!$Q$1949)))</f>
        <v/>
      </c>
      <c r="P195" s="106">
        <f>IF(ER195="","",IF(ISNUMBER('Dvd Calendar'!$R$1949)=FALSE,"",IF((('Dvd Calendar'!$R$1951=TYPE1)*(TYPE1&lt;&gt;"")+('Dvd Calendar'!$R$1951=TYPE2)*(TYPE2&lt;&gt;"")+('Dvd Calendar'!$R$1951=TYPE3)*(TYPE3&lt;&gt;"")+('Dvd Calendar'!$R$1951=TYPE4)*(TYPE4&lt;&gt;"")+('Dvd Calendar'!$R$1951=SPECIAL_LBL)*(INC_SPECIALS="Y"))=0,"",'Dvd Calendar'!$R$1949)))</f>
        <v/>
      </c>
      <c r="Q195" s="106">
        <f>IF(ES195="","",IF(ISNUMBER('Dvd Calendar'!$S$1949)=FALSE,"",IF((('Dvd Calendar'!$S$1951=TYPE1)*(TYPE1&lt;&gt;"")+('Dvd Calendar'!$S$1951=TYPE2)*(TYPE2&lt;&gt;"")+('Dvd Calendar'!$S$1951=TYPE3)*(TYPE3&lt;&gt;"")+('Dvd Calendar'!$S$1951=TYPE4)*(TYPE4&lt;&gt;"")+('Dvd Calendar'!$S$1951=SPECIAL_LBL)*(INC_SPECIALS="Y"))=0,"",'Dvd Calendar'!$S$1949)))</f>
        <v/>
      </c>
      <c r="R195" s="106">
        <f>IF(ET195="","",IF(ISNUMBER('Dvd Calendar'!$T$1949)=FALSE,"",IF((('Dvd Calendar'!$T$1951=TYPE1)*(TYPE1&lt;&gt;"")+('Dvd Calendar'!$T$1951=TYPE2)*(TYPE2&lt;&gt;"")+('Dvd Calendar'!$T$1951=TYPE3)*(TYPE3&lt;&gt;"")+('Dvd Calendar'!$T$1951=TYPE4)*(TYPE4&lt;&gt;"")+('Dvd Calendar'!$T$1951=SPECIAL_LBL)*(INC_SPECIALS="Y"))=0,"",'Dvd Calendar'!$T$1949)))</f>
        <v/>
      </c>
      <c r="S195" s="106">
        <f>IF(EU195="","",IF(ISNUMBER('Dvd Calendar'!$U$1949)=FALSE,"",IF((('Dvd Calendar'!$U$1951=TYPE1)*(TYPE1&lt;&gt;"")+('Dvd Calendar'!$U$1951=TYPE2)*(TYPE2&lt;&gt;"")+('Dvd Calendar'!$U$1951=TYPE3)*(TYPE3&lt;&gt;"")+('Dvd Calendar'!$U$1951=TYPE4)*(TYPE4&lt;&gt;"")+('Dvd Calendar'!$U$1951=SPECIAL_LBL)*(INC_SPECIALS="Y"))=0,"",'Dvd Calendar'!$U$1949)))</f>
        <v/>
      </c>
      <c r="T195" s="106">
        <f>IF(EV195="","",IF(ISNUMBER('Dvd Calendar'!$V$1949)=FALSE,"",IF((('Dvd Calendar'!$V$1951=TYPE1)*(TYPE1&lt;&gt;"")+('Dvd Calendar'!$V$1951=TYPE2)*(TYPE2&lt;&gt;"")+('Dvd Calendar'!$V$1951=TYPE3)*(TYPE3&lt;&gt;"")+('Dvd Calendar'!$V$1951=TYPE4)*(TYPE4&lt;&gt;"")+('Dvd Calendar'!$V$1951=SPECIAL_LBL)*(INC_SPECIALS="Y"))=0,"",'Dvd Calendar'!$V$1949)))</f>
        <v/>
      </c>
      <c r="U195" s="106">
        <f>IF(EW195="","",IF(ISNUMBER('Dvd Calendar'!$W$1949)=FALSE,"",IF((('Dvd Calendar'!$W$1951=TYPE1)*(TYPE1&lt;&gt;"")+('Dvd Calendar'!$W$1951=TYPE2)*(TYPE2&lt;&gt;"")+('Dvd Calendar'!$W$1951=TYPE3)*(TYPE3&lt;&gt;"")+('Dvd Calendar'!$W$1951=TYPE4)*(TYPE4&lt;&gt;"")+('Dvd Calendar'!$W$1951=SPECIAL_LBL)*(INC_SPECIALS="Y"))=0,"",'Dvd Calendar'!$W$1949)))</f>
        <v/>
      </c>
      <c r="V195" s="106">
        <f>IF(EX195="","",IF(ISNUMBER('Dvd Calendar'!$X$1949)=FALSE,"",IF((('Dvd Calendar'!$X$1951=TYPE1)*(TYPE1&lt;&gt;"")+('Dvd Calendar'!$X$1951=TYPE2)*(TYPE2&lt;&gt;"")+('Dvd Calendar'!$X$1951=TYPE3)*(TYPE3&lt;&gt;"")+('Dvd Calendar'!$X$1951=TYPE4)*(TYPE4&lt;&gt;"")+('Dvd Calendar'!$X$1951=SPECIAL_LBL)*(INC_SPECIALS="Y"))=0,"",'Dvd Calendar'!$X$1949)))</f>
        <v/>
      </c>
      <c r="W195" s="106">
        <f>IF(EY195="","",IF(ISNUMBER('Dvd Calendar'!$Y$1949)=FALSE,"",IF((('Dvd Calendar'!$Y$1951=TYPE1)*(TYPE1&lt;&gt;"")+('Dvd Calendar'!$Y$1951=TYPE2)*(TYPE2&lt;&gt;"")+('Dvd Calendar'!$Y$1951=TYPE3)*(TYPE3&lt;&gt;"")+('Dvd Calendar'!$Y$1951=TYPE4)*(TYPE4&lt;&gt;"")+('Dvd Calendar'!$Y$1951=SPECIAL_LBL)*(INC_SPECIALS="Y"))=0,"",'Dvd Calendar'!$Y$1949)))</f>
        <v/>
      </c>
      <c r="X195" s="106">
        <f>IF(EZ195="","",IF(ISNUMBER('Dvd Calendar'!$Z$1949)=FALSE,"",IF((('Dvd Calendar'!$Z$1951=TYPE1)*(TYPE1&lt;&gt;"")+('Dvd Calendar'!$Z$1951=TYPE2)*(TYPE2&lt;&gt;"")+('Dvd Calendar'!$Z$1951=TYPE3)*(TYPE3&lt;&gt;"")+('Dvd Calendar'!$Z$1951=TYPE4)*(TYPE4&lt;&gt;"")+('Dvd Calendar'!$Z$1951=SPECIAL_LBL)*(INC_SPECIALS="Y"))=0,"",'Dvd Calendar'!$Z$1949)))</f>
        <v/>
      </c>
      <c r="Y195" s="106">
        <f>IF(FA195="","",IF(ISNUMBER('Dvd Calendar'!$AA$1949)=FALSE,"",IF((('Dvd Calendar'!$AA$1951=TYPE1)*(TYPE1&lt;&gt;"")+('Dvd Calendar'!$AA$1951=TYPE2)*(TYPE2&lt;&gt;"")+('Dvd Calendar'!$AA$1951=TYPE3)*(TYPE3&lt;&gt;"")+('Dvd Calendar'!$AA$1951=TYPE4)*(TYPE4&lt;&gt;"")+('Dvd Calendar'!$AA$1951=SPECIAL_LBL)*(INC_SPECIALS="Y"))=0,"",'Dvd Calendar'!$AA$1949)))</f>
        <v/>
      </c>
      <c r="Z195" s="106">
        <f>IF(FB195="","",IF(ISNUMBER('Dvd Calendar'!$AB$1949)=FALSE,"",IF((('Dvd Calendar'!$AB$1951=TYPE1)*(TYPE1&lt;&gt;"")+('Dvd Calendar'!$AB$1951=TYPE2)*(TYPE2&lt;&gt;"")+('Dvd Calendar'!$AB$1951=TYPE3)*(TYPE3&lt;&gt;"")+('Dvd Calendar'!$AB$1951=TYPE4)*(TYPE4&lt;&gt;"")+('Dvd Calendar'!$AB$1951=SPECIAL_LBL)*(INC_SPECIALS="Y"))=0,"",'Dvd Calendar'!$AB$1949)))</f>
        <v/>
      </c>
      <c r="AA195" s="106">
        <f>IF(FC195="","",IF(ISNUMBER('Dvd Calendar'!$AC$1949)=FALSE,"",IF((('Dvd Calendar'!$AC$1951=TYPE1)*(TYPE1&lt;&gt;"")+('Dvd Calendar'!$AC$1951=TYPE2)*(TYPE2&lt;&gt;"")+('Dvd Calendar'!$AC$1951=TYPE3)*(TYPE3&lt;&gt;"")+('Dvd Calendar'!$AC$1951=TYPE4)*(TYPE4&lt;&gt;"")+('Dvd Calendar'!$AC$1951=SPECIAL_LBL)*(INC_SPECIALS="Y"))=0,"",'Dvd Calendar'!$AC$1949)))</f>
        <v/>
      </c>
      <c r="AB195" s="106">
        <f>IF(FD195="","",IF(ISNUMBER('Dvd Calendar'!$AD$1949)=FALSE,"",IF((('Dvd Calendar'!$AD$1951=TYPE1)*(TYPE1&lt;&gt;"")+('Dvd Calendar'!$AD$1951=TYPE2)*(TYPE2&lt;&gt;"")+('Dvd Calendar'!$AD$1951=TYPE3)*(TYPE3&lt;&gt;"")+('Dvd Calendar'!$AD$1951=TYPE4)*(TYPE4&lt;&gt;"")+('Dvd Calendar'!$AD$1951=SPECIAL_LBL)*(INC_SPECIALS="Y"))=0,"",'Dvd Calendar'!$AD$1949)))</f>
        <v/>
      </c>
      <c r="AC195" s="106">
        <f>IF(FE195="","",IF(ISNUMBER('Dvd Calendar'!$AE$1949)=FALSE,"",IF((('Dvd Calendar'!$AE$1951=TYPE1)*(TYPE1&lt;&gt;"")+('Dvd Calendar'!$AE$1951=TYPE2)*(TYPE2&lt;&gt;"")+('Dvd Calendar'!$AE$1951=TYPE3)*(TYPE3&lt;&gt;"")+('Dvd Calendar'!$AE$1951=TYPE4)*(TYPE4&lt;&gt;"")+('Dvd Calendar'!$AE$1951=SPECIAL_LBL)*(INC_SPECIALS="Y"))=0,"",'Dvd Calendar'!$AE$1949)))</f>
        <v/>
      </c>
      <c r="AD195" s="106">
        <f>IF(FF195="","",IF(ISNUMBER('Dvd Calendar'!$AF$1949)=FALSE,"",IF((('Dvd Calendar'!$AF$1951=TYPE1)*(TYPE1&lt;&gt;"")+('Dvd Calendar'!$AF$1951=TYPE2)*(TYPE2&lt;&gt;"")+('Dvd Calendar'!$AF$1951=TYPE3)*(TYPE3&lt;&gt;"")+('Dvd Calendar'!$AF$1951=TYPE4)*(TYPE4&lt;&gt;"")+('Dvd Calendar'!$AF$1951=SPECIAL_LBL)*(INC_SPECIALS="Y"))=0,"",'Dvd Calendar'!$AF$1949)))</f>
        <v/>
      </c>
      <c r="AE195" s="106">
        <f>IF(FG195="","",IF(ISNUMBER('Dvd Calendar'!$AG$1949)=FALSE,"",IF((('Dvd Calendar'!$AG$1951=TYPE1)*(TYPE1&lt;&gt;"")+('Dvd Calendar'!$AG$1951=TYPE2)*(TYPE2&lt;&gt;"")+('Dvd Calendar'!$AG$1951=TYPE3)*(TYPE3&lt;&gt;"")+('Dvd Calendar'!$AG$1951=TYPE4)*(TYPE4&lt;&gt;"")+('Dvd Calendar'!$AG$1951=SPECIAL_LBL)*(INC_SPECIALS="Y"))=0,"",'Dvd Calendar'!$AG$1949)))</f>
        <v/>
      </c>
      <c r="AF195" s="106">
        <f>IF(FH195="","",IF(ISNUMBER('Dvd Calendar'!$AH$1949)=FALSE,"",IF((('Dvd Calendar'!$AH$1951=TYPE1)*(TYPE1&lt;&gt;"")+('Dvd Calendar'!$AH$1951=TYPE2)*(TYPE2&lt;&gt;"")+('Dvd Calendar'!$AH$1951=TYPE3)*(TYPE3&lt;&gt;"")+('Dvd Calendar'!$AH$1951=TYPE4)*(TYPE4&lt;&gt;"")+('Dvd Calendar'!$AH$1951=SPECIAL_LBL)*(INC_SPECIALS="Y"))=0,"",'Dvd Calendar'!$AH$1949)))</f>
        <v/>
      </c>
      <c r="AG195" s="106">
        <f>IF(FI195="","",IF(ISNUMBER('Dvd Calendar'!$AI$1949)=FALSE,"",IF((('Dvd Calendar'!$AI$1951=TYPE1)*(TYPE1&lt;&gt;"")+('Dvd Calendar'!$AI$1951=TYPE2)*(TYPE2&lt;&gt;"")+('Dvd Calendar'!$AI$1951=TYPE3)*(TYPE3&lt;&gt;"")+('Dvd Calendar'!$AI$1951=TYPE4)*(TYPE4&lt;&gt;"")+('Dvd Calendar'!$AI$1951=SPECIAL_LBL)*(INC_SPECIALS="Y"))=0,"",'Dvd Calendar'!$AI$1949)))</f>
        <v/>
      </c>
      <c r="AH195" s="106">
        <f>IF(FJ195="","",IF(ISNUMBER('Dvd Calendar'!$AJ$1949)=FALSE,"",IF((('Dvd Calendar'!$AJ$1951=TYPE1)*(TYPE1&lt;&gt;"")+('Dvd Calendar'!$AJ$1951=TYPE2)*(TYPE2&lt;&gt;"")+('Dvd Calendar'!$AJ$1951=TYPE3)*(TYPE3&lt;&gt;"")+('Dvd Calendar'!$AJ$1951=TYPE4)*(TYPE4&lt;&gt;"")+('Dvd Calendar'!$AJ$1951=SPECIAL_LBL)*(INC_SPECIALS="Y"))=0,"",'Dvd Calendar'!$AJ$1949)))</f>
        <v/>
      </c>
      <c r="AI195" s="106">
        <f>IF(FK195="","",IF(ISNUMBER('Dvd Calendar'!$AK$1949)=FALSE,"",IF((('Dvd Calendar'!$AK$1951=TYPE1)*(TYPE1&lt;&gt;"")+('Dvd Calendar'!$AK$1951=TYPE2)*(TYPE2&lt;&gt;"")+('Dvd Calendar'!$AK$1951=TYPE3)*(TYPE3&lt;&gt;"")+('Dvd Calendar'!$AK$1951=TYPE4)*(TYPE4&lt;&gt;"")+('Dvd Calendar'!$AK$1951=SPECIAL_LBL)*(INC_SPECIALS="Y"))=0,"",'Dvd Calendar'!$AK$1949)))</f>
        <v/>
      </c>
      <c r="AJ195" s="106">
        <f>IF(FL195="","",IF(ISNUMBER('Dvd Calendar'!$AL$1949)=FALSE,"",IF((('Dvd Calendar'!$AL$1951=TYPE1)*(TYPE1&lt;&gt;"")+('Dvd Calendar'!$AL$1951=TYPE2)*(TYPE2&lt;&gt;"")+('Dvd Calendar'!$AL$1951=TYPE3)*(TYPE3&lt;&gt;"")+('Dvd Calendar'!$AL$1951=TYPE4)*(TYPE4&lt;&gt;"")+('Dvd Calendar'!$AL$1951=SPECIAL_LBL)*(INC_SPECIALS="Y"))=0,"",'Dvd Calendar'!$AL$1949)))</f>
        <v/>
      </c>
      <c r="AK195" s="106">
        <f>IF(FM195="","",IF(ISNUMBER('Dvd Calendar'!$AM$1949)=FALSE,"",IF((('Dvd Calendar'!$AM$1951=TYPE1)*(TYPE1&lt;&gt;"")+('Dvd Calendar'!$AM$1951=TYPE2)*(TYPE2&lt;&gt;"")+('Dvd Calendar'!$AM$1951=TYPE3)*(TYPE3&lt;&gt;"")+('Dvd Calendar'!$AM$1951=TYPE4)*(TYPE4&lt;&gt;"")+('Dvd Calendar'!$AM$1951=SPECIAL_LBL)*(INC_SPECIALS="Y"))=0,"",'Dvd Calendar'!$AM$1949)))</f>
        <v/>
      </c>
      <c r="AL195" s="106">
        <f>IF(FN195="","",IF(ISNUMBER('Dvd Calendar'!$AN$1949)=FALSE,"",IF((('Dvd Calendar'!$AN$1951=TYPE1)*(TYPE1&lt;&gt;"")+('Dvd Calendar'!$AN$1951=TYPE2)*(TYPE2&lt;&gt;"")+('Dvd Calendar'!$AN$1951=TYPE3)*(TYPE3&lt;&gt;"")+('Dvd Calendar'!$AN$1951=TYPE4)*(TYPE4&lt;&gt;"")+('Dvd Calendar'!$AN$1951=SPECIAL_LBL)*(INC_SPECIALS="Y"))=0,"",'Dvd Calendar'!$AN$1949)))</f>
        <v/>
      </c>
      <c r="AM195" s="106">
        <f>IF(FO195="","",IF(ISNUMBER('Dvd Calendar'!$AO$1949)=FALSE,"",IF((('Dvd Calendar'!$AO$1951=TYPE1)*(TYPE1&lt;&gt;"")+('Dvd Calendar'!$AO$1951=TYPE2)*(TYPE2&lt;&gt;"")+('Dvd Calendar'!$AO$1951=TYPE3)*(TYPE3&lt;&gt;"")+('Dvd Calendar'!$AO$1951=TYPE4)*(TYPE4&lt;&gt;"")+('Dvd Calendar'!$AO$1951=SPECIAL_LBL)*(INC_SPECIALS="Y"))=0,"",'Dvd Calendar'!$AO$1949)))</f>
        <v/>
      </c>
      <c r="AN195" s="106">
        <f>IF(FP195="","",IF(ISNUMBER('Dvd Calendar'!$AP$1949)=FALSE,"",IF((('Dvd Calendar'!$AP$1951=TYPE1)*(TYPE1&lt;&gt;"")+('Dvd Calendar'!$AP$1951=TYPE2)*(TYPE2&lt;&gt;"")+('Dvd Calendar'!$AP$1951=TYPE3)*(TYPE3&lt;&gt;"")+('Dvd Calendar'!$AP$1951=TYPE4)*(TYPE4&lt;&gt;"")+('Dvd Calendar'!$AP$1951=SPECIAL_LBL)*(INC_SPECIALS="Y"))=0,"",'Dvd Calendar'!$AP$1949)))</f>
        <v/>
      </c>
      <c r="AO195" s="106">
        <f>IF(FQ195="","",IF(ISNUMBER('Dvd Calendar'!$AQ$1949)=FALSE,"",IF((('Dvd Calendar'!$AQ$1951=TYPE1)*(TYPE1&lt;&gt;"")+('Dvd Calendar'!$AQ$1951=TYPE2)*(TYPE2&lt;&gt;"")+('Dvd Calendar'!$AQ$1951=TYPE3)*(TYPE3&lt;&gt;"")+('Dvd Calendar'!$AQ$1951=TYPE4)*(TYPE4&lt;&gt;"")+('Dvd Calendar'!$AQ$1951=SPECIAL_LBL)*(INC_SPECIALS="Y"))=0,"",'Dvd Calendar'!$AQ$1949)))</f>
        <v/>
      </c>
      <c r="AP195" s="106">
        <f>IF(FR195="","",IF(ISNUMBER('Dvd Calendar'!$AR$1949)=FALSE,"",IF((('Dvd Calendar'!$AR$1951=TYPE1)*(TYPE1&lt;&gt;"")+('Dvd Calendar'!$AR$1951=TYPE2)*(TYPE2&lt;&gt;"")+('Dvd Calendar'!$AR$1951=TYPE3)*(TYPE3&lt;&gt;"")+('Dvd Calendar'!$AR$1951=TYPE4)*(TYPE4&lt;&gt;"")+('Dvd Calendar'!$AR$1951=SPECIAL_LBL)*(INC_SPECIALS="Y"))=0,"",'Dvd Calendar'!$AR$1949)))</f>
        <v/>
      </c>
      <c r="AQ195" s="106">
        <f>IF(FS195="","",IF(ISNUMBER('Dvd Calendar'!$E$1954)=FALSE,"",'Dvd Calendar'!$E$1954))</f>
        <v/>
      </c>
      <c r="AR195" s="106">
        <f>IF(FT195="","",IF(ISNUMBER('Dvd Calendar'!$F$1954)=FALSE,"",'Dvd Calendar'!$F$1954))</f>
        <v/>
      </c>
      <c r="AS195" s="106">
        <f>IF(FU195="","",IF(ISNUMBER('Dvd Calendar'!$G$1954)=FALSE,"",'Dvd Calendar'!$G$1954))</f>
        <v/>
      </c>
      <c r="AT195" s="106">
        <f>IF(FV195="","",IF(ISNUMBER('Dvd Calendar'!$H$1954)=FALSE,"",'Dvd Calendar'!$H$1954))</f>
        <v/>
      </c>
      <c r="AU195" s="106">
        <f>IF(FW195="","",IF(ISNUMBER('Dvd Calendar'!$I$1954)=FALSE,"",'Dvd Calendar'!$I$1954))</f>
        <v/>
      </c>
      <c r="AV195" s="106">
        <f>IF(FX195="","",IF(ISNUMBER('Dvd Calendar'!$J$1954)=FALSE,"",'Dvd Calendar'!$J$1954))</f>
        <v/>
      </c>
      <c r="AW195" s="106">
        <f>IF(FY195="","",IF(ISNUMBER('Dvd Calendar'!$K$1954)=FALSE,"",'Dvd Calendar'!$K$1954))</f>
        <v/>
      </c>
      <c r="AX195" s="106">
        <f>IF(FZ195="","",IF(ISNUMBER('Dvd Calendar'!$L$1954)=FALSE,"",'Dvd Calendar'!$L$1954))</f>
        <v/>
      </c>
      <c r="AY195" s="106">
        <f>IF(GA195="","",IF(ISNUMBER('Dvd Calendar'!$M$1954)=FALSE,"",'Dvd Calendar'!$M$1954))</f>
        <v/>
      </c>
      <c r="AZ195" s="106">
        <f>IF(GB195="","",IF(ISNUMBER('Dvd Calendar'!$N$1954)=FALSE,"",'Dvd Calendar'!$N$1954))</f>
        <v/>
      </c>
      <c r="BA195" s="106">
        <f>IF(GC195="","",IF(ISNUMBER('Dvd Calendar'!$O$1954)=FALSE,"",'Dvd Calendar'!$O$1954))</f>
        <v/>
      </c>
      <c r="BB195" s="106">
        <f>IF(GD195="","",IF(ISNUMBER('Dvd Calendar'!$P$1954)=FALSE,"",'Dvd Calendar'!$P$1954))</f>
        <v/>
      </c>
      <c r="BC195" s="106">
        <f>IF(GE195="","",IF(ISNUMBER('Dvd Calendar'!$Q$1954)=FALSE,"",'Dvd Calendar'!$Q$1954))</f>
        <v/>
      </c>
      <c r="BD195" s="106">
        <f>IF(GF195="","",IF(ISNUMBER('Dvd Calendar'!$R$1954)=FALSE,"",'Dvd Calendar'!$R$1954))</f>
        <v/>
      </c>
      <c r="BE195" s="106">
        <f>IF(GG195="","",IF(ISNUMBER('Dvd Calendar'!$S$1954)=FALSE,"",'Dvd Calendar'!$S$1954))</f>
        <v/>
      </c>
      <c r="BF195" s="106">
        <f>IF(GH195="","",IF(ISNUMBER('Dvd Calendar'!$T$1954)=FALSE,"",'Dvd Calendar'!$T$1954))</f>
        <v/>
      </c>
      <c r="BG195" s="106">
        <f>IF(GI195="","",IF(ISNUMBER('Dvd Calendar'!$U$1954)=FALSE,"",'Dvd Calendar'!$U$1954))</f>
        <v/>
      </c>
      <c r="BH195" s="106">
        <f>IF(GJ195="","",IF(ISNUMBER('Dvd Calendar'!$V$1954)=FALSE,"",'Dvd Calendar'!$V$1954))</f>
        <v/>
      </c>
      <c r="BI195" s="106">
        <f>IF(GK195="","",IF(ISNUMBER('Dvd Calendar'!$W$1954)=FALSE,"",'Dvd Calendar'!$W$1954))</f>
        <v/>
      </c>
      <c r="BJ195" s="106">
        <f>IF(GL195="","",IF(ISNUMBER('Dvd Calendar'!$X$1954)=FALSE,"",'Dvd Calendar'!$X$1954))</f>
        <v/>
      </c>
      <c r="BK195" s="106">
        <f>IF(GM195="","",IF(ISNUMBER('Dvd Calendar'!$Y$1954)=FALSE,"",'Dvd Calendar'!$Y$1954))</f>
        <v/>
      </c>
      <c r="BL195" s="106">
        <f>IF(GN195="","",IF(ISNUMBER('Dvd Calendar'!$Z$1954)=FALSE,"",'Dvd Calendar'!$Z$1954))</f>
        <v/>
      </c>
      <c r="BM195" s="106">
        <f>IF(GO195="","",IF(ISNUMBER('Dvd Calendar'!$AA$1954)=FALSE,"",'Dvd Calendar'!$AA$1954))</f>
        <v/>
      </c>
      <c r="BN195" s="106">
        <f>IF(GP195="","",IF(ISNUMBER('Dvd Calendar'!$AB$1954)=FALSE,"",'Dvd Calendar'!$AB$1954))</f>
        <v/>
      </c>
      <c r="BO195" s="106">
        <f>IF(GQ195="","",IF(ISNUMBER('Dvd Calendar'!$AC$1954)=FALSE,"",'Dvd Calendar'!$AC$1954))</f>
        <v/>
      </c>
      <c r="BQ195" s="106">
        <f>IF(C195="","",IFERROR(C195*HSCEI!$B$42*HSCEI!$G$42/HSCEI!$B$3,""))</f>
        <v/>
      </c>
      <c r="BR195" s="106">
        <f>IF(D195="","",IFERROR(D195*HSCEI!$B$42*HSCEI!$G$42/HSCEI!$B$3,""))</f>
        <v/>
      </c>
      <c r="BS195" s="106">
        <f>IF(E195="","",IFERROR(E195*HSCEI!$B$42*HSCEI!$G$42/HSCEI!$B$3,""))</f>
        <v/>
      </c>
      <c r="BT195" s="106">
        <f>IF(F195="","",IFERROR(F195*HSCEI!$B$42*HSCEI!$G$42/HSCEI!$B$3,""))</f>
        <v/>
      </c>
      <c r="BU195" s="106">
        <f>IF(G195="","",IFERROR(G195*HSCEI!$B$42*HSCEI!$G$42/HSCEI!$B$3,""))</f>
        <v/>
      </c>
      <c r="BV195" s="106">
        <f>IF(H195="","",IFERROR(H195*HSCEI!$B$42*HSCEI!$G$42/HSCEI!$B$3,""))</f>
        <v/>
      </c>
      <c r="BW195" s="106">
        <f>IF(I195="","",IFERROR(I195*HSCEI!$B$42*HSCEI!$G$42/HSCEI!$B$3,""))</f>
        <v/>
      </c>
      <c r="BX195" s="106">
        <f>IF(J195="","",IFERROR(J195*HSCEI!$B$42*HSCEI!$G$42/HSCEI!$B$3,""))</f>
        <v/>
      </c>
      <c r="BY195" s="106">
        <f>IF(K195="","",IFERROR(K195*HSCEI!$B$42*HSCEI!$G$42/HSCEI!$B$3,""))</f>
        <v/>
      </c>
      <c r="BZ195" s="106">
        <f>IF(L195="","",IFERROR(L195*HSCEI!$B$42*HSCEI!$G$42/HSCEI!$B$3,""))</f>
        <v/>
      </c>
      <c r="CA195" s="106">
        <f>IF(M195="","",IFERROR(M195*HSCEI!$B$42*HSCEI!$G$42/HSCEI!$B$3,""))</f>
        <v/>
      </c>
      <c r="CB195" s="106">
        <f>IF(N195="","",IFERROR(N195*HSCEI!$B$42*HSCEI!$G$42/HSCEI!$B$3,""))</f>
        <v/>
      </c>
      <c r="CC195" s="106">
        <f>IF(O195="","",IFERROR(O195*HSCEI!$B$42*HSCEI!$G$42/HSCEI!$B$3,""))</f>
        <v/>
      </c>
      <c r="CD195" s="106">
        <f>IF(P195="","",IFERROR(P195*HSCEI!$B$42*HSCEI!$G$42/HSCEI!$B$3,""))</f>
        <v/>
      </c>
      <c r="CE195" s="106">
        <f>IF(Q195="","",IFERROR(Q195*HSCEI!$B$42*HSCEI!$G$42/HSCEI!$B$3,""))</f>
        <v/>
      </c>
      <c r="CF195" s="106">
        <f>IF(R195="","",IFERROR(R195*HSCEI!$B$42*HSCEI!$G$42/HSCEI!$B$3,""))</f>
        <v/>
      </c>
      <c r="CG195" s="106">
        <f>IF(S195="","",IFERROR(S195*HSCEI!$B$42*HSCEI!$G$42/HSCEI!$B$3,""))</f>
        <v/>
      </c>
      <c r="CH195" s="106">
        <f>IF(T195="","",IFERROR(T195*HSCEI!$B$42*HSCEI!$G$42/HSCEI!$B$3,""))</f>
        <v/>
      </c>
      <c r="CI195" s="106">
        <f>IF(U195="","",IFERROR(U195*HSCEI!$B$42*HSCEI!$G$42/HSCEI!$B$3,""))</f>
        <v/>
      </c>
      <c r="CJ195" s="106">
        <f>IF(V195="","",IFERROR(V195*HSCEI!$B$42*HSCEI!$G$42/HSCEI!$B$3,""))</f>
        <v/>
      </c>
      <c r="CK195" s="106">
        <f>IF(W195="","",IFERROR(W195*HSCEI!$B$42*HSCEI!$G$42/HSCEI!$B$3,""))</f>
        <v/>
      </c>
      <c r="CL195" s="106">
        <f>IF(X195="","",IFERROR(X195*HSCEI!$B$42*HSCEI!$G$42/HSCEI!$B$3,""))</f>
        <v/>
      </c>
      <c r="CM195" s="106">
        <f>IF(Y195="","",IFERROR(Y195*HSCEI!$B$42*HSCEI!$G$42/HSCEI!$B$3,""))</f>
        <v/>
      </c>
      <c r="CN195" s="106">
        <f>IF(Z195="","",IFERROR(Z195*HSCEI!$B$42*HSCEI!$G$42/HSCEI!$B$3,""))</f>
        <v/>
      </c>
      <c r="CO195" s="106">
        <f>IF(AA195="","",IFERROR(AA195*HSCEI!$B$42*HSCEI!$G$42/HSCEI!$B$3,""))</f>
        <v/>
      </c>
      <c r="CP195" s="106">
        <f>IF(AB195="","",IFERROR(AB195*HSCEI!$B$42*HSCEI!$G$42/HSCEI!$B$3,""))</f>
        <v/>
      </c>
      <c r="CQ195" s="106">
        <f>IF(AC195="","",IFERROR(AC195*HSCEI!$B$42*HSCEI!$G$42/HSCEI!$B$3,""))</f>
        <v/>
      </c>
      <c r="CR195" s="106">
        <f>IF(AD195="","",IFERROR(AD195*HSCEI!$B$42*HSCEI!$G$42/HSCEI!$B$3,""))</f>
        <v/>
      </c>
      <c r="CS195" s="106">
        <f>IF(AE195="","",IFERROR(AE195*HSCEI!$B$42*HSCEI!$G$42/HSCEI!$B$3,""))</f>
        <v/>
      </c>
      <c r="CT195" s="106">
        <f>IF(AF195="","",IFERROR(AF195*HSCEI!$B$42*HSCEI!$G$42/HSCEI!$B$3,""))</f>
        <v/>
      </c>
      <c r="CU195" s="106">
        <f>IF(AG195="","",IFERROR(AG195*HSCEI!$B$42*HSCEI!$G$42/HSCEI!$B$3,""))</f>
        <v/>
      </c>
      <c r="CV195" s="106">
        <f>IF(AH195="","",IFERROR(AH195*HSCEI!$B$42*HSCEI!$G$42/HSCEI!$B$3,""))</f>
        <v/>
      </c>
      <c r="CW195" s="106">
        <f>IF(AI195="","",IFERROR(AI195*HSCEI!$B$42*HSCEI!$G$42/HSCEI!$B$3,""))</f>
        <v/>
      </c>
      <c r="CX195" s="106">
        <f>IF(AJ195="","",IFERROR(AJ195*HSCEI!$B$42*HSCEI!$G$42/HSCEI!$B$3,""))</f>
        <v/>
      </c>
      <c r="CY195" s="106">
        <f>IF(AK195="","",IFERROR(AK195*HSCEI!$B$42*HSCEI!$G$42/HSCEI!$B$3,""))</f>
        <v/>
      </c>
      <c r="CZ195" s="106">
        <f>IF(AL195="","",IFERROR(AL195*HSCEI!$B$42*HSCEI!$G$42/HSCEI!$B$3,""))</f>
        <v/>
      </c>
      <c r="DA195" s="106">
        <f>IF(AM195="","",IFERROR(AM195*HSCEI!$B$42*HSCEI!$G$42/HSCEI!$B$3,""))</f>
        <v/>
      </c>
      <c r="DB195" s="106">
        <f>IF(AN195="","",IFERROR(AN195*HSCEI!$B$42*HSCEI!$G$42/HSCEI!$B$3,""))</f>
        <v/>
      </c>
      <c r="DC195" s="106">
        <f>IF(AO195="","",IFERROR(AO195*HSCEI!$B$42*HSCEI!$G$42/HSCEI!$B$3,""))</f>
        <v/>
      </c>
      <c r="DD195" s="106">
        <f>IF(AP195="","",IFERROR(AP195*HSCEI!$B$42*HSCEI!$G$42/HSCEI!$B$3,""))</f>
        <v/>
      </c>
      <c r="DE195" s="106">
        <f>IF(AQ195="","",IFERROR(AQ195*HSCEI!$B$42*HSCEI!$G$42/HSCEI!$B$3,""))</f>
        <v/>
      </c>
      <c r="DF195" s="106">
        <f>IF(AR195="","",IFERROR(AR195*HSCEI!$B$42*HSCEI!$G$42/HSCEI!$B$3,""))</f>
        <v/>
      </c>
      <c r="DG195" s="106">
        <f>IF(AS195="","",IFERROR(AS195*HSCEI!$B$42*HSCEI!$G$42/HSCEI!$B$3,""))</f>
        <v/>
      </c>
      <c r="DH195" s="106">
        <f>IF(AT195="","",IFERROR(AT195*HSCEI!$B$42*HSCEI!$G$42/HSCEI!$B$3,""))</f>
        <v/>
      </c>
      <c r="DI195" s="106">
        <f>IF(AU195="","",IFERROR(AU195*HSCEI!$B$42*HSCEI!$G$42/HSCEI!$B$3,""))</f>
        <v/>
      </c>
      <c r="DJ195" s="106">
        <f>IF(AV195="","",IFERROR(AV195*HSCEI!$B$42*HSCEI!$G$42/HSCEI!$B$3,""))</f>
        <v/>
      </c>
      <c r="DK195" s="106">
        <f>IF(AW195="","",IFERROR(AW195*HSCEI!$B$42*HSCEI!$G$42/HSCEI!$B$3,""))</f>
        <v/>
      </c>
      <c r="DL195" s="106">
        <f>IF(AX195="","",IFERROR(AX195*HSCEI!$B$42*HSCEI!$G$42/HSCEI!$B$3,""))</f>
        <v/>
      </c>
      <c r="DM195" s="106">
        <f>IF(AY195="","",IFERROR(AY195*HSCEI!$B$42*HSCEI!$G$42/HSCEI!$B$3,""))</f>
        <v/>
      </c>
      <c r="DN195" s="106">
        <f>IF(AZ195="","",IFERROR(AZ195*HSCEI!$B$42*HSCEI!$G$42/HSCEI!$B$3,""))</f>
        <v/>
      </c>
      <c r="DO195" s="106">
        <f>IF(BA195="","",IFERROR(BA195*HSCEI!$B$42*HSCEI!$G$42/HSCEI!$B$3,""))</f>
        <v/>
      </c>
      <c r="DP195" s="106">
        <f>IF(BB195="","",IFERROR(BB195*HSCEI!$B$42*HSCEI!$G$42/HSCEI!$B$3,""))</f>
        <v/>
      </c>
      <c r="DQ195" s="106">
        <f>IF(BC195="","",IFERROR(BC195*HSCEI!$B$42*HSCEI!$G$42/HSCEI!$B$3,""))</f>
        <v/>
      </c>
      <c r="DR195" s="106">
        <f>IF(BD195="","",IFERROR(BD195*HSCEI!$B$42*HSCEI!$G$42/HSCEI!$B$3,""))</f>
        <v/>
      </c>
      <c r="DS195" s="106">
        <f>IF(BE195="","",IFERROR(BE195*HSCEI!$B$42*HSCEI!$G$42/HSCEI!$B$3,""))</f>
        <v/>
      </c>
      <c r="DT195" s="106">
        <f>IF(BF195="","",IFERROR(BF195*HSCEI!$B$42*HSCEI!$G$42/HSCEI!$B$3,""))</f>
        <v/>
      </c>
      <c r="DU195" s="106">
        <f>IF(BG195="","",IFERROR(BG195*HSCEI!$B$42*HSCEI!$G$42/HSCEI!$B$3,""))</f>
        <v/>
      </c>
      <c r="DV195" s="106">
        <f>IF(BH195="","",IFERROR(BH195*HSCEI!$B$42*HSCEI!$G$42/HSCEI!$B$3,""))</f>
        <v/>
      </c>
      <c r="DW195" s="106">
        <f>IF(BI195="","",IFERROR(BI195*HSCEI!$B$42*HSCEI!$G$42/HSCEI!$B$3,""))</f>
        <v/>
      </c>
      <c r="DX195" s="106">
        <f>IF(BJ195="","",IFERROR(BJ195*HSCEI!$B$42*HSCEI!$G$42/HSCEI!$B$3,""))</f>
        <v/>
      </c>
      <c r="DY195" s="106">
        <f>IF(BK195="","",IFERROR(BK195*HSCEI!$B$42*HSCEI!$G$42/HSCEI!$B$3,""))</f>
        <v/>
      </c>
      <c r="DZ195" s="106">
        <f>IF(BL195="","",IFERROR(BL195*HSCEI!$B$42*HSCEI!$G$42/HSCEI!$B$3,""))</f>
        <v/>
      </c>
      <c r="EA195" s="106">
        <f>IF(BM195="","",IFERROR(BM195*HSCEI!$B$42*HSCEI!$G$42/HSCEI!$B$3,""))</f>
        <v/>
      </c>
      <c r="EB195" s="106">
        <f>IF(BN195="","",IFERROR(BN195*HSCEI!$B$42*HSCEI!$G$42/HSCEI!$B$3,""))</f>
        <v/>
      </c>
      <c r="EC195" s="106">
        <f>IF(BO195="","",IFERROR(BO195*HSCEI!$B$42*HSCEI!$G$42/HSCEI!$B$3,""))</f>
        <v/>
      </c>
      <c r="EE195" s="35">
        <f>IF(N('Dvd Calendar'!$E$1946)=0,"",IF(('Dvd Calendar'!$E$1946&gt;=GRID_FROM)*('Dvd Calendar'!$E$1946&lt;=GRID_TO)*('Dvd Calendar'!$E$1946&lt;=VAL_DATE)=0,"",'Dvd Calendar'!$E$1946*1000000000+ISNUMBER('Dvd Calendar'!$E$1949)*100000000+('Dvd Calendar'!$E$1951=SPECIAL_LBL)*10000000+0*1000000+36*1000+1))</f>
        <v/>
      </c>
      <c r="EF195" s="35">
        <f>IF(N('Dvd Calendar'!$F$1946)=0,"",IF(('Dvd Calendar'!$F$1946&gt;=GRID_FROM)*('Dvd Calendar'!$F$1946&lt;=GRID_TO)*('Dvd Calendar'!$F$1946&lt;=VAL_DATE)=0,"",'Dvd Calendar'!$F$1946*1000000000+ISNUMBER('Dvd Calendar'!$F$1949)*100000000+('Dvd Calendar'!$F$1951=SPECIAL_LBL)*10000000+0*1000000+36*1000+2))</f>
        <v/>
      </c>
      <c r="EG195" s="35">
        <f>IF(N('Dvd Calendar'!$G$1946)=0,"",IF(('Dvd Calendar'!$G$1946&gt;=GRID_FROM)*('Dvd Calendar'!$G$1946&lt;=GRID_TO)*('Dvd Calendar'!$G$1946&lt;=VAL_DATE)=0,"",'Dvd Calendar'!$G$1946*1000000000+ISNUMBER('Dvd Calendar'!$G$1949)*100000000+('Dvd Calendar'!$G$1951=SPECIAL_LBL)*10000000+0*1000000+36*1000+3))</f>
        <v/>
      </c>
      <c r="EH195" s="35">
        <f>IF(N('Dvd Calendar'!$H$1946)=0,"",IF(('Dvd Calendar'!$H$1946&gt;=GRID_FROM)*('Dvd Calendar'!$H$1946&lt;=GRID_TO)*('Dvd Calendar'!$H$1946&lt;=VAL_DATE)=0,"",'Dvd Calendar'!$H$1946*1000000000+ISNUMBER('Dvd Calendar'!$H$1949)*100000000+('Dvd Calendar'!$H$1951=SPECIAL_LBL)*10000000+0*1000000+36*1000+4))</f>
        <v/>
      </c>
      <c r="EI195" s="35">
        <f>IF(N('Dvd Calendar'!$I$1946)=0,"",IF(('Dvd Calendar'!$I$1946&gt;=GRID_FROM)*('Dvd Calendar'!$I$1946&lt;=GRID_TO)*('Dvd Calendar'!$I$1946&lt;=VAL_DATE)=0,"",'Dvd Calendar'!$I$1946*1000000000+ISNUMBER('Dvd Calendar'!$I$1949)*100000000+('Dvd Calendar'!$I$1951=SPECIAL_LBL)*10000000+0*1000000+36*1000+5))</f>
        <v/>
      </c>
      <c r="EJ195" s="35">
        <f>IF(N('Dvd Calendar'!$J$1946)=0,"",IF(('Dvd Calendar'!$J$1946&gt;=GRID_FROM)*('Dvd Calendar'!$J$1946&lt;=GRID_TO)*('Dvd Calendar'!$J$1946&lt;=VAL_DATE)=0,"",'Dvd Calendar'!$J$1946*1000000000+ISNUMBER('Dvd Calendar'!$J$1949)*100000000+('Dvd Calendar'!$J$1951=SPECIAL_LBL)*10000000+0*1000000+36*1000+6))</f>
        <v/>
      </c>
      <c r="EK195" s="35">
        <f>IF(N('Dvd Calendar'!$K$1946)=0,"",IF(('Dvd Calendar'!$K$1946&gt;=GRID_FROM)*('Dvd Calendar'!$K$1946&lt;=GRID_TO)*('Dvd Calendar'!$K$1946&lt;=VAL_DATE)=0,"",'Dvd Calendar'!$K$1946*1000000000+ISNUMBER('Dvd Calendar'!$K$1949)*100000000+('Dvd Calendar'!$K$1951=SPECIAL_LBL)*10000000+0*1000000+36*1000+7))</f>
        <v/>
      </c>
      <c r="EL195" s="35">
        <f>IF(N('Dvd Calendar'!$L$1946)=0,"",IF(('Dvd Calendar'!$L$1946&gt;=GRID_FROM)*('Dvd Calendar'!$L$1946&lt;=GRID_TO)*('Dvd Calendar'!$L$1946&lt;=VAL_DATE)=0,"",'Dvd Calendar'!$L$1946*1000000000+ISNUMBER('Dvd Calendar'!$L$1949)*100000000+('Dvd Calendar'!$L$1951=SPECIAL_LBL)*10000000+0*1000000+36*1000+8))</f>
        <v/>
      </c>
      <c r="EM195" s="35">
        <f>IF(N('Dvd Calendar'!$M$1946)=0,"",IF(('Dvd Calendar'!$M$1946&gt;=GRID_FROM)*('Dvd Calendar'!$M$1946&lt;=GRID_TO)*('Dvd Calendar'!$M$1946&lt;=VAL_DATE)=0,"",'Dvd Calendar'!$M$1946*1000000000+ISNUMBER('Dvd Calendar'!$M$1949)*100000000+('Dvd Calendar'!$M$1951=SPECIAL_LBL)*10000000+0*1000000+36*1000+9))</f>
        <v/>
      </c>
      <c r="EN195" s="35">
        <f>IF(N('Dvd Calendar'!$N$1946)=0,"",IF(('Dvd Calendar'!$N$1946&gt;=GRID_FROM)*('Dvd Calendar'!$N$1946&lt;=GRID_TO)*('Dvd Calendar'!$N$1946&lt;=VAL_DATE)=0,"",'Dvd Calendar'!$N$1946*1000000000+ISNUMBER('Dvd Calendar'!$N$1949)*100000000+('Dvd Calendar'!$N$1951=SPECIAL_LBL)*10000000+0*1000000+36*1000+10))</f>
        <v/>
      </c>
      <c r="EO195" s="35">
        <f>IF(N('Dvd Calendar'!$O$1946)=0,"",IF(('Dvd Calendar'!$O$1946&gt;=GRID_FROM)*('Dvd Calendar'!$O$1946&lt;=GRID_TO)*('Dvd Calendar'!$O$1946&lt;=VAL_DATE)=0,"",'Dvd Calendar'!$O$1946*1000000000+ISNUMBER('Dvd Calendar'!$O$1949)*100000000+('Dvd Calendar'!$O$1951=SPECIAL_LBL)*10000000+0*1000000+36*1000+11))</f>
        <v/>
      </c>
      <c r="EP195" s="35">
        <f>IF(N('Dvd Calendar'!$P$1946)=0,"",IF(('Dvd Calendar'!$P$1946&gt;=GRID_FROM)*('Dvd Calendar'!$P$1946&lt;=GRID_TO)*('Dvd Calendar'!$P$1946&lt;=VAL_DATE)=0,"",'Dvd Calendar'!$P$1946*1000000000+ISNUMBER('Dvd Calendar'!$P$1949)*100000000+('Dvd Calendar'!$P$1951=SPECIAL_LBL)*10000000+0*1000000+36*1000+12))</f>
        <v/>
      </c>
      <c r="EQ195" s="35">
        <f>IF(N('Dvd Calendar'!$Q$1946)=0,"",IF(('Dvd Calendar'!$Q$1946&gt;=GRID_FROM)*('Dvd Calendar'!$Q$1946&lt;=GRID_TO)*('Dvd Calendar'!$Q$1946&lt;=VAL_DATE)=0,"",'Dvd Calendar'!$Q$1946*1000000000+ISNUMBER('Dvd Calendar'!$Q$1949)*100000000+('Dvd Calendar'!$Q$1951=SPECIAL_LBL)*10000000+0*1000000+36*1000+13))</f>
        <v/>
      </c>
      <c r="ER195" s="35">
        <f>IF(N('Dvd Calendar'!$R$1946)=0,"",IF(('Dvd Calendar'!$R$1946&gt;=GRID_FROM)*('Dvd Calendar'!$R$1946&lt;=GRID_TO)*('Dvd Calendar'!$R$1946&lt;=VAL_DATE)=0,"",'Dvd Calendar'!$R$1946*1000000000+ISNUMBER('Dvd Calendar'!$R$1949)*100000000+('Dvd Calendar'!$R$1951=SPECIAL_LBL)*10000000+0*1000000+36*1000+14))</f>
        <v/>
      </c>
      <c r="ES195" s="35">
        <f>IF(N('Dvd Calendar'!$S$1946)=0,"",IF(('Dvd Calendar'!$S$1946&gt;=GRID_FROM)*('Dvd Calendar'!$S$1946&lt;=GRID_TO)*('Dvd Calendar'!$S$1946&lt;=VAL_DATE)=0,"",'Dvd Calendar'!$S$1946*1000000000+ISNUMBER('Dvd Calendar'!$S$1949)*100000000+('Dvd Calendar'!$S$1951=SPECIAL_LBL)*10000000+0*1000000+36*1000+15))</f>
        <v/>
      </c>
      <c r="ET195" s="35">
        <f>IF(N('Dvd Calendar'!$T$1946)=0,"",IF(('Dvd Calendar'!$T$1946&gt;=GRID_FROM)*('Dvd Calendar'!$T$1946&lt;=GRID_TO)*('Dvd Calendar'!$T$1946&lt;=VAL_DATE)=0,"",'Dvd Calendar'!$T$1946*1000000000+ISNUMBER('Dvd Calendar'!$T$1949)*100000000+('Dvd Calendar'!$T$1951=SPECIAL_LBL)*10000000+0*1000000+36*1000+16))</f>
        <v/>
      </c>
      <c r="EU195" s="35">
        <f>IF(N('Dvd Calendar'!$U$1946)=0,"",IF(('Dvd Calendar'!$U$1946&gt;=GRID_FROM)*('Dvd Calendar'!$U$1946&lt;=GRID_TO)*('Dvd Calendar'!$U$1946&lt;=VAL_DATE)=0,"",'Dvd Calendar'!$U$1946*1000000000+ISNUMBER('Dvd Calendar'!$U$1949)*100000000+('Dvd Calendar'!$U$1951=SPECIAL_LBL)*10000000+0*1000000+36*1000+17))</f>
        <v/>
      </c>
      <c r="EV195" s="35">
        <f>IF(N('Dvd Calendar'!$V$1946)=0,"",IF(('Dvd Calendar'!$V$1946&gt;=GRID_FROM)*('Dvd Calendar'!$V$1946&lt;=GRID_TO)*('Dvd Calendar'!$V$1946&lt;=VAL_DATE)=0,"",'Dvd Calendar'!$V$1946*1000000000+ISNUMBER('Dvd Calendar'!$V$1949)*100000000+('Dvd Calendar'!$V$1951=SPECIAL_LBL)*10000000+0*1000000+36*1000+18))</f>
        <v/>
      </c>
      <c r="EW195" s="35">
        <f>IF(N('Dvd Calendar'!$W$1946)=0,"",IF(('Dvd Calendar'!$W$1946&gt;=GRID_FROM)*('Dvd Calendar'!$W$1946&lt;=GRID_TO)*('Dvd Calendar'!$W$1946&lt;=VAL_DATE)=0,"",'Dvd Calendar'!$W$1946*1000000000+ISNUMBER('Dvd Calendar'!$W$1949)*100000000+('Dvd Calendar'!$W$1951=SPECIAL_LBL)*10000000+0*1000000+36*1000+19))</f>
        <v/>
      </c>
      <c r="EX195" s="35">
        <f>IF(N('Dvd Calendar'!$X$1946)=0,"",IF(('Dvd Calendar'!$X$1946&gt;=GRID_FROM)*('Dvd Calendar'!$X$1946&lt;=GRID_TO)*('Dvd Calendar'!$X$1946&lt;=VAL_DATE)=0,"",'Dvd Calendar'!$X$1946*1000000000+ISNUMBER('Dvd Calendar'!$X$1949)*100000000+('Dvd Calendar'!$X$1951=SPECIAL_LBL)*10000000+0*1000000+36*1000+20))</f>
        <v/>
      </c>
      <c r="EY195" s="35">
        <f>IF(N('Dvd Calendar'!$Y$1946)=0,"",IF(('Dvd Calendar'!$Y$1946&gt;=GRID_FROM)*('Dvd Calendar'!$Y$1946&lt;=GRID_TO)*('Dvd Calendar'!$Y$1946&lt;=VAL_DATE)=0,"",'Dvd Calendar'!$Y$1946*1000000000+ISNUMBER('Dvd Calendar'!$Y$1949)*100000000+('Dvd Calendar'!$Y$1951=SPECIAL_LBL)*10000000+0*1000000+36*1000+21))</f>
        <v/>
      </c>
      <c r="EZ195" s="35">
        <f>IF(N('Dvd Calendar'!$Z$1946)=0,"",IF(('Dvd Calendar'!$Z$1946&gt;=GRID_FROM)*('Dvd Calendar'!$Z$1946&lt;=GRID_TO)*('Dvd Calendar'!$Z$1946&lt;=VAL_DATE)=0,"",'Dvd Calendar'!$Z$1946*1000000000+ISNUMBER('Dvd Calendar'!$Z$1949)*100000000+('Dvd Calendar'!$Z$1951=SPECIAL_LBL)*10000000+0*1000000+36*1000+22))</f>
        <v/>
      </c>
      <c r="FA195" s="35">
        <f>IF(N('Dvd Calendar'!$AA$1946)=0,"",IF(('Dvd Calendar'!$AA$1946&gt;=GRID_FROM)*('Dvd Calendar'!$AA$1946&lt;=GRID_TO)*('Dvd Calendar'!$AA$1946&lt;=VAL_DATE)=0,"",'Dvd Calendar'!$AA$1946*1000000000+ISNUMBER('Dvd Calendar'!$AA$1949)*100000000+('Dvd Calendar'!$AA$1951=SPECIAL_LBL)*10000000+0*1000000+36*1000+23))</f>
        <v/>
      </c>
      <c r="FB195" s="35">
        <f>IF(N('Dvd Calendar'!$AB$1946)=0,"",IF(('Dvd Calendar'!$AB$1946&gt;=GRID_FROM)*('Dvd Calendar'!$AB$1946&lt;=GRID_TO)*('Dvd Calendar'!$AB$1946&lt;=VAL_DATE)=0,"",'Dvd Calendar'!$AB$1946*1000000000+ISNUMBER('Dvd Calendar'!$AB$1949)*100000000+('Dvd Calendar'!$AB$1951=SPECIAL_LBL)*10000000+0*1000000+36*1000+24))</f>
        <v/>
      </c>
      <c r="FC195" s="35">
        <f>IF(N('Dvd Calendar'!$AC$1946)=0,"",IF(('Dvd Calendar'!$AC$1946&gt;=GRID_FROM)*('Dvd Calendar'!$AC$1946&lt;=GRID_TO)*('Dvd Calendar'!$AC$1946&lt;=VAL_DATE)=0,"",'Dvd Calendar'!$AC$1946*1000000000+ISNUMBER('Dvd Calendar'!$AC$1949)*100000000+('Dvd Calendar'!$AC$1951=SPECIAL_LBL)*10000000+0*1000000+36*1000+25))</f>
        <v/>
      </c>
      <c r="FD195" s="35">
        <f>IF(N('Dvd Calendar'!$AD$1946)=0,"",IF(('Dvd Calendar'!$AD$1946&gt;=GRID_FROM)*('Dvd Calendar'!$AD$1946&lt;=GRID_TO)*('Dvd Calendar'!$AD$1946&lt;=VAL_DATE)=0,"",'Dvd Calendar'!$AD$1946*1000000000+ISNUMBER('Dvd Calendar'!$AD$1949)*100000000+('Dvd Calendar'!$AD$1951=SPECIAL_LBL)*10000000+0*1000000+36*1000+26))</f>
        <v/>
      </c>
      <c r="FE195" s="35">
        <f>IF(N('Dvd Calendar'!$AE$1946)=0,"",IF(('Dvd Calendar'!$AE$1946&gt;=GRID_FROM)*('Dvd Calendar'!$AE$1946&lt;=GRID_TO)*('Dvd Calendar'!$AE$1946&lt;=VAL_DATE)=0,"",'Dvd Calendar'!$AE$1946*1000000000+ISNUMBER('Dvd Calendar'!$AE$1949)*100000000+('Dvd Calendar'!$AE$1951=SPECIAL_LBL)*10000000+0*1000000+36*1000+27))</f>
        <v/>
      </c>
      <c r="FF195" s="35">
        <f>IF(N('Dvd Calendar'!$AF$1946)=0,"",IF(('Dvd Calendar'!$AF$1946&gt;=GRID_FROM)*('Dvd Calendar'!$AF$1946&lt;=GRID_TO)*('Dvd Calendar'!$AF$1946&lt;=VAL_DATE)=0,"",'Dvd Calendar'!$AF$1946*1000000000+ISNUMBER('Dvd Calendar'!$AF$1949)*100000000+('Dvd Calendar'!$AF$1951=SPECIAL_LBL)*10000000+0*1000000+36*1000+28))</f>
        <v/>
      </c>
      <c r="FG195" s="35">
        <f>IF(N('Dvd Calendar'!$AG$1946)=0,"",IF(('Dvd Calendar'!$AG$1946&gt;=GRID_FROM)*('Dvd Calendar'!$AG$1946&lt;=GRID_TO)*('Dvd Calendar'!$AG$1946&lt;=VAL_DATE)=0,"",'Dvd Calendar'!$AG$1946*1000000000+ISNUMBER('Dvd Calendar'!$AG$1949)*100000000+('Dvd Calendar'!$AG$1951=SPECIAL_LBL)*10000000+0*1000000+36*1000+29))</f>
        <v/>
      </c>
      <c r="FH195" s="35">
        <f>IF(N('Dvd Calendar'!$AH$1946)=0,"",IF(('Dvd Calendar'!$AH$1946&gt;=GRID_FROM)*('Dvd Calendar'!$AH$1946&lt;=GRID_TO)*('Dvd Calendar'!$AH$1946&lt;=VAL_DATE)=0,"",'Dvd Calendar'!$AH$1946*1000000000+ISNUMBER('Dvd Calendar'!$AH$1949)*100000000+('Dvd Calendar'!$AH$1951=SPECIAL_LBL)*10000000+0*1000000+36*1000+30))</f>
        <v/>
      </c>
      <c r="FI195" s="35">
        <f>IF(N('Dvd Calendar'!$AI$1946)=0,"",IF(('Dvd Calendar'!$AI$1946&gt;=GRID_FROM)*('Dvd Calendar'!$AI$1946&lt;=GRID_TO)*('Dvd Calendar'!$AI$1946&lt;=VAL_DATE)=0,"",'Dvd Calendar'!$AI$1946*1000000000+ISNUMBER('Dvd Calendar'!$AI$1949)*100000000+('Dvd Calendar'!$AI$1951=SPECIAL_LBL)*10000000+0*1000000+36*1000+31))</f>
        <v/>
      </c>
      <c r="FJ195" s="35">
        <f>IF(N('Dvd Calendar'!$AJ$1946)=0,"",IF(('Dvd Calendar'!$AJ$1946&gt;=GRID_FROM)*('Dvd Calendar'!$AJ$1946&lt;=GRID_TO)*('Dvd Calendar'!$AJ$1946&lt;=VAL_DATE)=0,"",'Dvd Calendar'!$AJ$1946*1000000000+ISNUMBER('Dvd Calendar'!$AJ$1949)*100000000+('Dvd Calendar'!$AJ$1951=SPECIAL_LBL)*10000000+0*1000000+36*1000+32))</f>
        <v/>
      </c>
      <c r="FK195" s="35">
        <f>IF(N('Dvd Calendar'!$AK$1946)=0,"",IF(('Dvd Calendar'!$AK$1946&gt;=GRID_FROM)*('Dvd Calendar'!$AK$1946&lt;=GRID_TO)*('Dvd Calendar'!$AK$1946&lt;=VAL_DATE)=0,"",'Dvd Calendar'!$AK$1946*1000000000+ISNUMBER('Dvd Calendar'!$AK$1949)*100000000+('Dvd Calendar'!$AK$1951=SPECIAL_LBL)*10000000+0*1000000+36*1000+33))</f>
        <v/>
      </c>
      <c r="FL195" s="35">
        <f>IF(N('Dvd Calendar'!$AL$1946)=0,"",IF(('Dvd Calendar'!$AL$1946&gt;=GRID_FROM)*('Dvd Calendar'!$AL$1946&lt;=GRID_TO)*('Dvd Calendar'!$AL$1946&lt;=VAL_DATE)=0,"",'Dvd Calendar'!$AL$1946*1000000000+ISNUMBER('Dvd Calendar'!$AL$1949)*100000000+('Dvd Calendar'!$AL$1951=SPECIAL_LBL)*10000000+0*1000000+36*1000+34))</f>
        <v/>
      </c>
      <c r="FM195" s="35">
        <f>IF(N('Dvd Calendar'!$AM$1946)=0,"",IF(('Dvd Calendar'!$AM$1946&gt;=GRID_FROM)*('Dvd Calendar'!$AM$1946&lt;=GRID_TO)*('Dvd Calendar'!$AM$1946&lt;=VAL_DATE)=0,"",'Dvd Calendar'!$AM$1946*1000000000+ISNUMBER('Dvd Calendar'!$AM$1949)*100000000+('Dvd Calendar'!$AM$1951=SPECIAL_LBL)*10000000+0*1000000+36*1000+35))</f>
        <v/>
      </c>
      <c r="FN195" s="35">
        <f>IF(N('Dvd Calendar'!$AN$1946)=0,"",IF(('Dvd Calendar'!$AN$1946&gt;=GRID_FROM)*('Dvd Calendar'!$AN$1946&lt;=GRID_TO)*('Dvd Calendar'!$AN$1946&lt;=VAL_DATE)=0,"",'Dvd Calendar'!$AN$1946*1000000000+ISNUMBER('Dvd Calendar'!$AN$1949)*100000000+('Dvd Calendar'!$AN$1951=SPECIAL_LBL)*10000000+0*1000000+36*1000+36))</f>
        <v/>
      </c>
      <c r="FO195" s="35">
        <f>IF(N('Dvd Calendar'!$AO$1946)=0,"",IF(('Dvd Calendar'!$AO$1946&gt;=GRID_FROM)*('Dvd Calendar'!$AO$1946&lt;=GRID_TO)*('Dvd Calendar'!$AO$1946&lt;=VAL_DATE)=0,"",'Dvd Calendar'!$AO$1946*1000000000+ISNUMBER('Dvd Calendar'!$AO$1949)*100000000+('Dvd Calendar'!$AO$1951=SPECIAL_LBL)*10000000+0*1000000+36*1000+37))</f>
        <v/>
      </c>
      <c r="FP195" s="35">
        <f>IF(N('Dvd Calendar'!$AP$1946)=0,"",IF(('Dvd Calendar'!$AP$1946&gt;=GRID_FROM)*('Dvd Calendar'!$AP$1946&lt;=GRID_TO)*('Dvd Calendar'!$AP$1946&lt;=VAL_DATE)=0,"",'Dvd Calendar'!$AP$1946*1000000000+ISNUMBER('Dvd Calendar'!$AP$1949)*100000000+('Dvd Calendar'!$AP$1951=SPECIAL_LBL)*10000000+0*1000000+36*1000+38))</f>
        <v/>
      </c>
      <c r="FQ195" s="35">
        <f>IF(N('Dvd Calendar'!$AQ$1946)=0,"",IF(('Dvd Calendar'!$AQ$1946&gt;=GRID_FROM)*('Dvd Calendar'!$AQ$1946&lt;=GRID_TO)*('Dvd Calendar'!$AQ$1946&lt;=VAL_DATE)=0,"",'Dvd Calendar'!$AQ$1946*1000000000+ISNUMBER('Dvd Calendar'!$AQ$1949)*100000000+('Dvd Calendar'!$AQ$1951=SPECIAL_LBL)*10000000+0*1000000+36*1000+39))</f>
        <v/>
      </c>
      <c r="FR195" s="35">
        <f>IF(N('Dvd Calendar'!$AR$1946)=0,"",IF(('Dvd Calendar'!$AR$1946&gt;=GRID_FROM)*('Dvd Calendar'!$AR$1946&lt;=GRID_TO)*('Dvd Calendar'!$AR$1946&lt;=VAL_DATE)=0,"",'Dvd Calendar'!$AR$1946*1000000000+ISNUMBER('Dvd Calendar'!$AR$1949)*100000000+('Dvd Calendar'!$AR$1951=SPECIAL_LBL)*10000000+0*1000000+36*1000+40))</f>
        <v/>
      </c>
      <c r="FS195" s="35">
        <f>IF(N('Dvd Calendar'!$E$1953)=0,"",IF(('Dvd Calendar'!$E$1953&gt;=GRID_FROM)*('Dvd Calendar'!$E$1953&lt;=GRID_TO)*('Dvd Calendar'!$E$1953&gt;VAL_DATE)=0,"",'Dvd Calendar'!$E$1953*1000000000+ISNUMBER('Dvd Calendar'!$E$1954)*100000000+0*10000000+(N('Dvd Calendar'!$E$1952)&gt;0)*(N('Dvd Calendar'!$E$1952)&lt;=VAL_SERIAL)*1000000+36*1000+41))</f>
        <v/>
      </c>
      <c r="FT195" s="35">
        <f>IF(N('Dvd Calendar'!$F$1953)=0,"",IF(('Dvd Calendar'!$F$1953&gt;=GRID_FROM)*('Dvd Calendar'!$F$1953&lt;=GRID_TO)*('Dvd Calendar'!$F$1953&gt;VAL_DATE)=0,"",'Dvd Calendar'!$F$1953*1000000000+ISNUMBER('Dvd Calendar'!$F$1954)*100000000+0*10000000+(N('Dvd Calendar'!$F$1952)&gt;0)*(N('Dvd Calendar'!$F$1952)&lt;=VAL_SERIAL)*1000000+36*1000+42))</f>
        <v/>
      </c>
      <c r="FU195" s="35">
        <f>IF(N('Dvd Calendar'!$G$1953)=0,"",IF(('Dvd Calendar'!$G$1953&gt;=GRID_FROM)*('Dvd Calendar'!$G$1953&lt;=GRID_TO)*('Dvd Calendar'!$G$1953&gt;VAL_DATE)=0,"",'Dvd Calendar'!$G$1953*1000000000+ISNUMBER('Dvd Calendar'!$G$1954)*100000000+0*10000000+(N('Dvd Calendar'!$G$1952)&gt;0)*(N('Dvd Calendar'!$G$1952)&lt;=VAL_SERIAL)*1000000+36*1000+43))</f>
        <v/>
      </c>
      <c r="FV195" s="35">
        <f>IF(N('Dvd Calendar'!$H$1953)=0,"",IF(('Dvd Calendar'!$H$1953&gt;=GRID_FROM)*('Dvd Calendar'!$H$1953&lt;=GRID_TO)*('Dvd Calendar'!$H$1953&gt;VAL_DATE)=0,"",'Dvd Calendar'!$H$1953*1000000000+ISNUMBER('Dvd Calendar'!$H$1954)*100000000+0*10000000+(N('Dvd Calendar'!$H$1952)&gt;0)*(N('Dvd Calendar'!$H$1952)&lt;=VAL_SERIAL)*1000000+36*1000+44))</f>
        <v/>
      </c>
      <c r="FW195" s="35">
        <f>IF(N('Dvd Calendar'!$I$1953)=0,"",IF(('Dvd Calendar'!$I$1953&gt;=GRID_FROM)*('Dvd Calendar'!$I$1953&lt;=GRID_TO)*('Dvd Calendar'!$I$1953&gt;VAL_DATE)=0,"",'Dvd Calendar'!$I$1953*1000000000+ISNUMBER('Dvd Calendar'!$I$1954)*100000000+0*10000000+(N('Dvd Calendar'!$I$1952)&gt;0)*(N('Dvd Calendar'!$I$1952)&lt;=VAL_SERIAL)*1000000+36*1000+45))</f>
        <v/>
      </c>
      <c r="FX195" s="35">
        <f>IF(N('Dvd Calendar'!$J$1953)=0,"",IF(('Dvd Calendar'!$J$1953&gt;=GRID_FROM)*('Dvd Calendar'!$J$1953&lt;=GRID_TO)*('Dvd Calendar'!$J$1953&gt;VAL_DATE)=0,"",'Dvd Calendar'!$J$1953*1000000000+ISNUMBER('Dvd Calendar'!$J$1954)*100000000+0*10000000+(N('Dvd Calendar'!$J$1952)&gt;0)*(N('Dvd Calendar'!$J$1952)&lt;=VAL_SERIAL)*1000000+36*1000+46))</f>
        <v/>
      </c>
      <c r="FY195" s="35">
        <f>IF(N('Dvd Calendar'!$K$1953)=0,"",IF(('Dvd Calendar'!$K$1953&gt;=GRID_FROM)*('Dvd Calendar'!$K$1953&lt;=GRID_TO)*('Dvd Calendar'!$K$1953&gt;VAL_DATE)=0,"",'Dvd Calendar'!$K$1953*1000000000+ISNUMBER('Dvd Calendar'!$K$1954)*100000000+0*10000000+(N('Dvd Calendar'!$K$1952)&gt;0)*(N('Dvd Calendar'!$K$1952)&lt;=VAL_SERIAL)*1000000+36*1000+47))</f>
        <v/>
      </c>
      <c r="FZ195" s="35">
        <f>IF(N('Dvd Calendar'!$L$1953)=0,"",IF(('Dvd Calendar'!$L$1953&gt;=GRID_FROM)*('Dvd Calendar'!$L$1953&lt;=GRID_TO)*('Dvd Calendar'!$L$1953&gt;VAL_DATE)=0,"",'Dvd Calendar'!$L$1953*1000000000+ISNUMBER('Dvd Calendar'!$L$1954)*100000000+0*10000000+(N('Dvd Calendar'!$L$1952)&gt;0)*(N('Dvd Calendar'!$L$1952)&lt;=VAL_SERIAL)*1000000+36*1000+48))</f>
        <v/>
      </c>
      <c r="GA195" s="35">
        <f>IF(N('Dvd Calendar'!$M$1953)=0,"",IF(('Dvd Calendar'!$M$1953&gt;=GRID_FROM)*('Dvd Calendar'!$M$1953&lt;=GRID_TO)*('Dvd Calendar'!$M$1953&gt;VAL_DATE)=0,"",'Dvd Calendar'!$M$1953*1000000000+ISNUMBER('Dvd Calendar'!$M$1954)*100000000+0*10000000+(N('Dvd Calendar'!$M$1952)&gt;0)*(N('Dvd Calendar'!$M$1952)&lt;=VAL_SERIAL)*1000000+36*1000+49))</f>
        <v/>
      </c>
      <c r="GB195" s="35">
        <f>IF(N('Dvd Calendar'!$N$1953)=0,"",IF(('Dvd Calendar'!$N$1953&gt;=GRID_FROM)*('Dvd Calendar'!$N$1953&lt;=GRID_TO)*('Dvd Calendar'!$N$1953&gt;VAL_DATE)=0,"",'Dvd Calendar'!$N$1953*1000000000+ISNUMBER('Dvd Calendar'!$N$1954)*100000000+0*10000000+(N('Dvd Calendar'!$N$1952)&gt;0)*(N('Dvd Calendar'!$N$1952)&lt;=VAL_SERIAL)*1000000+36*1000+50))</f>
        <v/>
      </c>
      <c r="GC195" s="35">
        <f>IF(N('Dvd Calendar'!$O$1953)=0,"",IF(('Dvd Calendar'!$O$1953&gt;=GRID_FROM)*('Dvd Calendar'!$O$1953&lt;=GRID_TO)*('Dvd Calendar'!$O$1953&gt;VAL_DATE)=0,"",'Dvd Calendar'!$O$1953*1000000000+ISNUMBER('Dvd Calendar'!$O$1954)*100000000+0*10000000+(N('Dvd Calendar'!$O$1952)&gt;0)*(N('Dvd Calendar'!$O$1952)&lt;=VAL_SERIAL)*1000000+36*1000+51))</f>
        <v/>
      </c>
      <c r="GD195" s="35">
        <f>IF(N('Dvd Calendar'!$P$1953)=0,"",IF(('Dvd Calendar'!$P$1953&gt;=GRID_FROM)*('Dvd Calendar'!$P$1953&lt;=GRID_TO)*('Dvd Calendar'!$P$1953&gt;VAL_DATE)=0,"",'Dvd Calendar'!$P$1953*1000000000+ISNUMBER('Dvd Calendar'!$P$1954)*100000000+0*10000000+(N('Dvd Calendar'!$P$1952)&gt;0)*(N('Dvd Calendar'!$P$1952)&lt;=VAL_SERIAL)*1000000+36*1000+52))</f>
        <v/>
      </c>
      <c r="GE195" s="35">
        <f>IF(N('Dvd Calendar'!$Q$1953)=0,"",IF(('Dvd Calendar'!$Q$1953&gt;=GRID_FROM)*('Dvd Calendar'!$Q$1953&lt;=GRID_TO)*('Dvd Calendar'!$Q$1953&gt;VAL_DATE)=0,"",'Dvd Calendar'!$Q$1953*1000000000+ISNUMBER('Dvd Calendar'!$Q$1954)*100000000+0*10000000+(N('Dvd Calendar'!$Q$1952)&gt;0)*(N('Dvd Calendar'!$Q$1952)&lt;=VAL_SERIAL)*1000000+36*1000+53))</f>
        <v/>
      </c>
      <c r="GF195" s="35">
        <f>IF(N('Dvd Calendar'!$R$1953)=0,"",IF(('Dvd Calendar'!$R$1953&gt;=GRID_FROM)*('Dvd Calendar'!$R$1953&lt;=GRID_TO)*('Dvd Calendar'!$R$1953&gt;VAL_DATE)=0,"",'Dvd Calendar'!$R$1953*1000000000+ISNUMBER('Dvd Calendar'!$R$1954)*100000000+0*10000000+(N('Dvd Calendar'!$R$1952)&gt;0)*(N('Dvd Calendar'!$R$1952)&lt;=VAL_SERIAL)*1000000+36*1000+54))</f>
        <v/>
      </c>
      <c r="GG195" s="35">
        <f>IF(N('Dvd Calendar'!$S$1953)=0,"",IF(('Dvd Calendar'!$S$1953&gt;=GRID_FROM)*('Dvd Calendar'!$S$1953&lt;=GRID_TO)*('Dvd Calendar'!$S$1953&gt;VAL_DATE)=0,"",'Dvd Calendar'!$S$1953*1000000000+ISNUMBER('Dvd Calendar'!$S$1954)*100000000+0*10000000+(N('Dvd Calendar'!$S$1952)&gt;0)*(N('Dvd Calendar'!$S$1952)&lt;=VAL_SERIAL)*1000000+36*1000+55))</f>
        <v/>
      </c>
      <c r="GH195" s="35">
        <f>IF(N('Dvd Calendar'!$T$1953)=0,"",IF(('Dvd Calendar'!$T$1953&gt;=GRID_FROM)*('Dvd Calendar'!$T$1953&lt;=GRID_TO)*('Dvd Calendar'!$T$1953&gt;VAL_DATE)=0,"",'Dvd Calendar'!$T$1953*1000000000+ISNUMBER('Dvd Calendar'!$T$1954)*100000000+0*10000000+(N('Dvd Calendar'!$T$1952)&gt;0)*(N('Dvd Calendar'!$T$1952)&lt;=VAL_SERIAL)*1000000+36*1000+56))</f>
        <v/>
      </c>
      <c r="GI195" s="35">
        <f>IF(N('Dvd Calendar'!$U$1953)=0,"",IF(('Dvd Calendar'!$U$1953&gt;=GRID_FROM)*('Dvd Calendar'!$U$1953&lt;=GRID_TO)*('Dvd Calendar'!$U$1953&gt;VAL_DATE)=0,"",'Dvd Calendar'!$U$1953*1000000000+ISNUMBER('Dvd Calendar'!$U$1954)*100000000+0*10000000+(N('Dvd Calendar'!$U$1952)&gt;0)*(N('Dvd Calendar'!$U$1952)&lt;=VAL_SERIAL)*1000000+36*1000+57))</f>
        <v/>
      </c>
      <c r="GJ195" s="35">
        <f>IF(N('Dvd Calendar'!$V$1953)=0,"",IF(('Dvd Calendar'!$V$1953&gt;=GRID_FROM)*('Dvd Calendar'!$V$1953&lt;=GRID_TO)*('Dvd Calendar'!$V$1953&gt;VAL_DATE)=0,"",'Dvd Calendar'!$V$1953*1000000000+ISNUMBER('Dvd Calendar'!$V$1954)*100000000+0*10000000+(N('Dvd Calendar'!$V$1952)&gt;0)*(N('Dvd Calendar'!$V$1952)&lt;=VAL_SERIAL)*1000000+36*1000+58))</f>
        <v/>
      </c>
      <c r="GK195" s="35">
        <f>IF(N('Dvd Calendar'!$W$1953)=0,"",IF(('Dvd Calendar'!$W$1953&gt;=GRID_FROM)*('Dvd Calendar'!$W$1953&lt;=GRID_TO)*('Dvd Calendar'!$W$1953&gt;VAL_DATE)=0,"",'Dvd Calendar'!$W$1953*1000000000+ISNUMBER('Dvd Calendar'!$W$1954)*100000000+0*10000000+(N('Dvd Calendar'!$W$1952)&gt;0)*(N('Dvd Calendar'!$W$1952)&lt;=VAL_SERIAL)*1000000+36*1000+59))</f>
        <v/>
      </c>
      <c r="GL195" s="35">
        <f>IF(N('Dvd Calendar'!$X$1953)=0,"",IF(('Dvd Calendar'!$X$1953&gt;=GRID_FROM)*('Dvd Calendar'!$X$1953&lt;=GRID_TO)*('Dvd Calendar'!$X$1953&gt;VAL_DATE)=0,"",'Dvd Calendar'!$X$1953*1000000000+ISNUMBER('Dvd Calendar'!$X$1954)*100000000+0*10000000+(N('Dvd Calendar'!$X$1952)&gt;0)*(N('Dvd Calendar'!$X$1952)&lt;=VAL_SERIAL)*1000000+36*1000+60))</f>
        <v/>
      </c>
      <c r="GM195" s="35">
        <f>IF(N('Dvd Calendar'!$Y$1953)=0,"",IF(('Dvd Calendar'!$Y$1953&gt;=GRID_FROM)*('Dvd Calendar'!$Y$1953&lt;=GRID_TO)*('Dvd Calendar'!$Y$1953&gt;VAL_DATE)=0,"",'Dvd Calendar'!$Y$1953*1000000000+ISNUMBER('Dvd Calendar'!$Y$1954)*100000000+0*10000000+(N('Dvd Calendar'!$Y$1952)&gt;0)*(N('Dvd Calendar'!$Y$1952)&lt;=VAL_SERIAL)*1000000+36*1000+61))</f>
        <v/>
      </c>
      <c r="GN195" s="35">
        <f>IF(N('Dvd Calendar'!$Z$1953)=0,"",IF(('Dvd Calendar'!$Z$1953&gt;=GRID_FROM)*('Dvd Calendar'!$Z$1953&lt;=GRID_TO)*('Dvd Calendar'!$Z$1953&gt;VAL_DATE)=0,"",'Dvd Calendar'!$Z$1953*1000000000+ISNUMBER('Dvd Calendar'!$Z$1954)*100000000+0*10000000+(N('Dvd Calendar'!$Z$1952)&gt;0)*(N('Dvd Calendar'!$Z$1952)&lt;=VAL_SERIAL)*1000000+36*1000+62))</f>
        <v/>
      </c>
      <c r="GO195" s="35">
        <f>IF(N('Dvd Calendar'!$AA$1953)=0,"",IF(('Dvd Calendar'!$AA$1953&gt;=GRID_FROM)*('Dvd Calendar'!$AA$1953&lt;=GRID_TO)*('Dvd Calendar'!$AA$1953&gt;VAL_DATE)=0,"",'Dvd Calendar'!$AA$1953*1000000000+ISNUMBER('Dvd Calendar'!$AA$1954)*100000000+0*10000000+(N('Dvd Calendar'!$AA$1952)&gt;0)*(N('Dvd Calendar'!$AA$1952)&lt;=VAL_SERIAL)*1000000+36*1000+63))</f>
        <v/>
      </c>
      <c r="GP195" s="35">
        <f>IF(N('Dvd Calendar'!$AB$1953)=0,"",IF(('Dvd Calendar'!$AB$1953&gt;=GRID_FROM)*('Dvd Calendar'!$AB$1953&lt;=GRID_TO)*('Dvd Calendar'!$AB$1953&gt;VAL_DATE)=0,"",'Dvd Calendar'!$AB$1953*1000000000+ISNUMBER('Dvd Calendar'!$AB$1954)*100000000+0*10000000+(N('Dvd Calendar'!$AB$1952)&gt;0)*(N('Dvd Calendar'!$AB$1952)&lt;=VAL_SERIAL)*1000000+36*1000+64))</f>
        <v/>
      </c>
      <c r="GQ195" s="35">
        <f>IF(N('Dvd Calendar'!$AC$1953)=0,"",IF(('Dvd Calendar'!$AC$1953&gt;=GRID_FROM)*('Dvd Calendar'!$AC$1953&lt;=GRID_TO)*('Dvd Calendar'!$AC$1953&gt;VAL_DATE)=0,"",'Dvd Calendar'!$AC$1953*1000000000+ISNUMBER('Dvd Calendar'!$AC$1954)*100000000+0*10000000+(N('Dvd Calendar'!$AC$1952)&gt;0)*(N('Dvd Calendar'!$AC$1952)&lt;=VAL_SERIAL)*1000000+36*1000+65))</f>
        <v/>
      </c>
    </row>
    <row r="196">
      <c r="B196" s="2">
        <f>IF(HSCEI!$C$43="","",HSCEI!$C$43)</f>
        <v/>
      </c>
      <c r="C196" s="106">
        <f>IF(EE196="","",IF(ISNUMBER('Dvd Calendar'!$E$1960)=FALSE,"",IF((('Dvd Calendar'!$E$1962=TYPE1)*(TYPE1&lt;&gt;"")+('Dvd Calendar'!$E$1962=TYPE2)*(TYPE2&lt;&gt;"")+('Dvd Calendar'!$E$1962=TYPE3)*(TYPE3&lt;&gt;"")+('Dvd Calendar'!$E$1962=TYPE4)*(TYPE4&lt;&gt;"")+('Dvd Calendar'!$E$1962=SPECIAL_LBL)*(INC_SPECIALS="Y"))=0,"",'Dvd Calendar'!$E$1960)))</f>
        <v/>
      </c>
      <c r="D196" s="106">
        <f>IF(EF196="","",IF(ISNUMBER('Dvd Calendar'!$F$1960)=FALSE,"",IF((('Dvd Calendar'!$F$1962=TYPE1)*(TYPE1&lt;&gt;"")+('Dvd Calendar'!$F$1962=TYPE2)*(TYPE2&lt;&gt;"")+('Dvd Calendar'!$F$1962=TYPE3)*(TYPE3&lt;&gt;"")+('Dvd Calendar'!$F$1962=TYPE4)*(TYPE4&lt;&gt;"")+('Dvd Calendar'!$F$1962=SPECIAL_LBL)*(INC_SPECIALS="Y"))=0,"",'Dvd Calendar'!$F$1960)))</f>
        <v/>
      </c>
      <c r="E196" s="106">
        <f>IF(EG196="","",IF(ISNUMBER('Dvd Calendar'!$G$1960)=FALSE,"",IF((('Dvd Calendar'!$G$1962=TYPE1)*(TYPE1&lt;&gt;"")+('Dvd Calendar'!$G$1962=TYPE2)*(TYPE2&lt;&gt;"")+('Dvd Calendar'!$G$1962=TYPE3)*(TYPE3&lt;&gt;"")+('Dvd Calendar'!$G$1962=TYPE4)*(TYPE4&lt;&gt;"")+('Dvd Calendar'!$G$1962=SPECIAL_LBL)*(INC_SPECIALS="Y"))=0,"",'Dvd Calendar'!$G$1960)))</f>
        <v/>
      </c>
      <c r="F196" s="106">
        <f>IF(EH196="","",IF(ISNUMBER('Dvd Calendar'!$H$1960)=FALSE,"",IF((('Dvd Calendar'!$H$1962=TYPE1)*(TYPE1&lt;&gt;"")+('Dvd Calendar'!$H$1962=TYPE2)*(TYPE2&lt;&gt;"")+('Dvd Calendar'!$H$1962=TYPE3)*(TYPE3&lt;&gt;"")+('Dvd Calendar'!$H$1962=TYPE4)*(TYPE4&lt;&gt;"")+('Dvd Calendar'!$H$1962=SPECIAL_LBL)*(INC_SPECIALS="Y"))=0,"",'Dvd Calendar'!$H$1960)))</f>
        <v/>
      </c>
      <c r="G196" s="106">
        <f>IF(EI196="","",IF(ISNUMBER('Dvd Calendar'!$I$1960)=FALSE,"",IF((('Dvd Calendar'!$I$1962=TYPE1)*(TYPE1&lt;&gt;"")+('Dvd Calendar'!$I$1962=TYPE2)*(TYPE2&lt;&gt;"")+('Dvd Calendar'!$I$1962=TYPE3)*(TYPE3&lt;&gt;"")+('Dvd Calendar'!$I$1962=TYPE4)*(TYPE4&lt;&gt;"")+('Dvd Calendar'!$I$1962=SPECIAL_LBL)*(INC_SPECIALS="Y"))=0,"",'Dvd Calendar'!$I$1960)))</f>
        <v/>
      </c>
      <c r="H196" s="106">
        <f>IF(EJ196="","",IF(ISNUMBER('Dvd Calendar'!$J$1960)=FALSE,"",IF((('Dvd Calendar'!$J$1962=TYPE1)*(TYPE1&lt;&gt;"")+('Dvd Calendar'!$J$1962=TYPE2)*(TYPE2&lt;&gt;"")+('Dvd Calendar'!$J$1962=TYPE3)*(TYPE3&lt;&gt;"")+('Dvd Calendar'!$J$1962=TYPE4)*(TYPE4&lt;&gt;"")+('Dvd Calendar'!$J$1962=SPECIAL_LBL)*(INC_SPECIALS="Y"))=0,"",'Dvd Calendar'!$J$1960)))</f>
        <v/>
      </c>
      <c r="I196" s="106">
        <f>IF(EK196="","",IF(ISNUMBER('Dvd Calendar'!$K$1960)=FALSE,"",IF((('Dvd Calendar'!$K$1962=TYPE1)*(TYPE1&lt;&gt;"")+('Dvd Calendar'!$K$1962=TYPE2)*(TYPE2&lt;&gt;"")+('Dvd Calendar'!$K$1962=TYPE3)*(TYPE3&lt;&gt;"")+('Dvd Calendar'!$K$1962=TYPE4)*(TYPE4&lt;&gt;"")+('Dvd Calendar'!$K$1962=SPECIAL_LBL)*(INC_SPECIALS="Y"))=0,"",'Dvd Calendar'!$K$1960)))</f>
        <v/>
      </c>
      <c r="J196" s="106">
        <f>IF(EL196="","",IF(ISNUMBER('Dvd Calendar'!$L$1960)=FALSE,"",IF((('Dvd Calendar'!$L$1962=TYPE1)*(TYPE1&lt;&gt;"")+('Dvd Calendar'!$L$1962=TYPE2)*(TYPE2&lt;&gt;"")+('Dvd Calendar'!$L$1962=TYPE3)*(TYPE3&lt;&gt;"")+('Dvd Calendar'!$L$1962=TYPE4)*(TYPE4&lt;&gt;"")+('Dvd Calendar'!$L$1962=SPECIAL_LBL)*(INC_SPECIALS="Y"))=0,"",'Dvd Calendar'!$L$1960)))</f>
        <v/>
      </c>
      <c r="K196" s="106">
        <f>IF(EM196="","",IF(ISNUMBER('Dvd Calendar'!$M$1960)=FALSE,"",IF((('Dvd Calendar'!$M$1962=TYPE1)*(TYPE1&lt;&gt;"")+('Dvd Calendar'!$M$1962=TYPE2)*(TYPE2&lt;&gt;"")+('Dvd Calendar'!$M$1962=TYPE3)*(TYPE3&lt;&gt;"")+('Dvd Calendar'!$M$1962=TYPE4)*(TYPE4&lt;&gt;"")+('Dvd Calendar'!$M$1962=SPECIAL_LBL)*(INC_SPECIALS="Y"))=0,"",'Dvd Calendar'!$M$1960)))</f>
        <v/>
      </c>
      <c r="L196" s="106">
        <f>IF(EN196="","",IF(ISNUMBER('Dvd Calendar'!$N$1960)=FALSE,"",IF((('Dvd Calendar'!$N$1962=TYPE1)*(TYPE1&lt;&gt;"")+('Dvd Calendar'!$N$1962=TYPE2)*(TYPE2&lt;&gt;"")+('Dvd Calendar'!$N$1962=TYPE3)*(TYPE3&lt;&gt;"")+('Dvd Calendar'!$N$1962=TYPE4)*(TYPE4&lt;&gt;"")+('Dvd Calendar'!$N$1962=SPECIAL_LBL)*(INC_SPECIALS="Y"))=0,"",'Dvd Calendar'!$N$1960)))</f>
        <v/>
      </c>
      <c r="M196" s="106">
        <f>IF(EO196="","",IF(ISNUMBER('Dvd Calendar'!$O$1960)=FALSE,"",IF((('Dvd Calendar'!$O$1962=TYPE1)*(TYPE1&lt;&gt;"")+('Dvd Calendar'!$O$1962=TYPE2)*(TYPE2&lt;&gt;"")+('Dvd Calendar'!$O$1962=TYPE3)*(TYPE3&lt;&gt;"")+('Dvd Calendar'!$O$1962=TYPE4)*(TYPE4&lt;&gt;"")+('Dvd Calendar'!$O$1962=SPECIAL_LBL)*(INC_SPECIALS="Y"))=0,"",'Dvd Calendar'!$O$1960)))</f>
        <v/>
      </c>
      <c r="N196" s="106">
        <f>IF(EP196="","",IF(ISNUMBER('Dvd Calendar'!$P$1960)=FALSE,"",IF((('Dvd Calendar'!$P$1962=TYPE1)*(TYPE1&lt;&gt;"")+('Dvd Calendar'!$P$1962=TYPE2)*(TYPE2&lt;&gt;"")+('Dvd Calendar'!$P$1962=TYPE3)*(TYPE3&lt;&gt;"")+('Dvd Calendar'!$P$1962=TYPE4)*(TYPE4&lt;&gt;"")+('Dvd Calendar'!$P$1962=SPECIAL_LBL)*(INC_SPECIALS="Y"))=0,"",'Dvd Calendar'!$P$1960)))</f>
        <v/>
      </c>
      <c r="O196" s="106">
        <f>IF(EQ196="","",IF(ISNUMBER('Dvd Calendar'!$Q$1960)=FALSE,"",IF((('Dvd Calendar'!$Q$1962=TYPE1)*(TYPE1&lt;&gt;"")+('Dvd Calendar'!$Q$1962=TYPE2)*(TYPE2&lt;&gt;"")+('Dvd Calendar'!$Q$1962=TYPE3)*(TYPE3&lt;&gt;"")+('Dvd Calendar'!$Q$1962=TYPE4)*(TYPE4&lt;&gt;"")+('Dvd Calendar'!$Q$1962=SPECIAL_LBL)*(INC_SPECIALS="Y"))=0,"",'Dvd Calendar'!$Q$1960)))</f>
        <v/>
      </c>
      <c r="P196" s="106">
        <f>IF(ER196="","",IF(ISNUMBER('Dvd Calendar'!$R$1960)=FALSE,"",IF((('Dvd Calendar'!$R$1962=TYPE1)*(TYPE1&lt;&gt;"")+('Dvd Calendar'!$R$1962=TYPE2)*(TYPE2&lt;&gt;"")+('Dvd Calendar'!$R$1962=TYPE3)*(TYPE3&lt;&gt;"")+('Dvd Calendar'!$R$1962=TYPE4)*(TYPE4&lt;&gt;"")+('Dvd Calendar'!$R$1962=SPECIAL_LBL)*(INC_SPECIALS="Y"))=0,"",'Dvd Calendar'!$R$1960)))</f>
        <v/>
      </c>
      <c r="Q196" s="106">
        <f>IF(ES196="","",IF(ISNUMBER('Dvd Calendar'!$S$1960)=FALSE,"",IF((('Dvd Calendar'!$S$1962=TYPE1)*(TYPE1&lt;&gt;"")+('Dvd Calendar'!$S$1962=TYPE2)*(TYPE2&lt;&gt;"")+('Dvd Calendar'!$S$1962=TYPE3)*(TYPE3&lt;&gt;"")+('Dvd Calendar'!$S$1962=TYPE4)*(TYPE4&lt;&gt;"")+('Dvd Calendar'!$S$1962=SPECIAL_LBL)*(INC_SPECIALS="Y"))=0,"",'Dvd Calendar'!$S$1960)))</f>
        <v/>
      </c>
      <c r="R196" s="106">
        <f>IF(ET196="","",IF(ISNUMBER('Dvd Calendar'!$T$1960)=FALSE,"",IF((('Dvd Calendar'!$T$1962=TYPE1)*(TYPE1&lt;&gt;"")+('Dvd Calendar'!$T$1962=TYPE2)*(TYPE2&lt;&gt;"")+('Dvd Calendar'!$T$1962=TYPE3)*(TYPE3&lt;&gt;"")+('Dvd Calendar'!$T$1962=TYPE4)*(TYPE4&lt;&gt;"")+('Dvd Calendar'!$T$1962=SPECIAL_LBL)*(INC_SPECIALS="Y"))=0,"",'Dvd Calendar'!$T$1960)))</f>
        <v/>
      </c>
      <c r="S196" s="106">
        <f>IF(EU196="","",IF(ISNUMBER('Dvd Calendar'!$U$1960)=FALSE,"",IF((('Dvd Calendar'!$U$1962=TYPE1)*(TYPE1&lt;&gt;"")+('Dvd Calendar'!$U$1962=TYPE2)*(TYPE2&lt;&gt;"")+('Dvd Calendar'!$U$1962=TYPE3)*(TYPE3&lt;&gt;"")+('Dvd Calendar'!$U$1962=TYPE4)*(TYPE4&lt;&gt;"")+('Dvd Calendar'!$U$1962=SPECIAL_LBL)*(INC_SPECIALS="Y"))=0,"",'Dvd Calendar'!$U$1960)))</f>
        <v/>
      </c>
      <c r="T196" s="106">
        <f>IF(EV196="","",IF(ISNUMBER('Dvd Calendar'!$V$1960)=FALSE,"",IF((('Dvd Calendar'!$V$1962=TYPE1)*(TYPE1&lt;&gt;"")+('Dvd Calendar'!$V$1962=TYPE2)*(TYPE2&lt;&gt;"")+('Dvd Calendar'!$V$1962=TYPE3)*(TYPE3&lt;&gt;"")+('Dvd Calendar'!$V$1962=TYPE4)*(TYPE4&lt;&gt;"")+('Dvd Calendar'!$V$1962=SPECIAL_LBL)*(INC_SPECIALS="Y"))=0,"",'Dvd Calendar'!$V$1960)))</f>
        <v/>
      </c>
      <c r="U196" s="106">
        <f>IF(EW196="","",IF(ISNUMBER('Dvd Calendar'!$W$1960)=FALSE,"",IF((('Dvd Calendar'!$W$1962=TYPE1)*(TYPE1&lt;&gt;"")+('Dvd Calendar'!$W$1962=TYPE2)*(TYPE2&lt;&gt;"")+('Dvd Calendar'!$W$1962=TYPE3)*(TYPE3&lt;&gt;"")+('Dvd Calendar'!$W$1962=TYPE4)*(TYPE4&lt;&gt;"")+('Dvd Calendar'!$W$1962=SPECIAL_LBL)*(INC_SPECIALS="Y"))=0,"",'Dvd Calendar'!$W$1960)))</f>
        <v/>
      </c>
      <c r="V196" s="106">
        <f>IF(EX196="","",IF(ISNUMBER('Dvd Calendar'!$X$1960)=FALSE,"",IF((('Dvd Calendar'!$X$1962=TYPE1)*(TYPE1&lt;&gt;"")+('Dvd Calendar'!$X$1962=TYPE2)*(TYPE2&lt;&gt;"")+('Dvd Calendar'!$X$1962=TYPE3)*(TYPE3&lt;&gt;"")+('Dvd Calendar'!$X$1962=TYPE4)*(TYPE4&lt;&gt;"")+('Dvd Calendar'!$X$1962=SPECIAL_LBL)*(INC_SPECIALS="Y"))=0,"",'Dvd Calendar'!$X$1960)))</f>
        <v/>
      </c>
      <c r="W196" s="106">
        <f>IF(EY196="","",IF(ISNUMBER('Dvd Calendar'!$Y$1960)=FALSE,"",IF((('Dvd Calendar'!$Y$1962=TYPE1)*(TYPE1&lt;&gt;"")+('Dvd Calendar'!$Y$1962=TYPE2)*(TYPE2&lt;&gt;"")+('Dvd Calendar'!$Y$1962=TYPE3)*(TYPE3&lt;&gt;"")+('Dvd Calendar'!$Y$1962=TYPE4)*(TYPE4&lt;&gt;"")+('Dvd Calendar'!$Y$1962=SPECIAL_LBL)*(INC_SPECIALS="Y"))=0,"",'Dvd Calendar'!$Y$1960)))</f>
        <v/>
      </c>
      <c r="X196" s="106">
        <f>IF(EZ196="","",IF(ISNUMBER('Dvd Calendar'!$Z$1960)=FALSE,"",IF((('Dvd Calendar'!$Z$1962=TYPE1)*(TYPE1&lt;&gt;"")+('Dvd Calendar'!$Z$1962=TYPE2)*(TYPE2&lt;&gt;"")+('Dvd Calendar'!$Z$1962=TYPE3)*(TYPE3&lt;&gt;"")+('Dvd Calendar'!$Z$1962=TYPE4)*(TYPE4&lt;&gt;"")+('Dvd Calendar'!$Z$1962=SPECIAL_LBL)*(INC_SPECIALS="Y"))=0,"",'Dvd Calendar'!$Z$1960)))</f>
        <v/>
      </c>
      <c r="Y196" s="106">
        <f>IF(FA196="","",IF(ISNUMBER('Dvd Calendar'!$AA$1960)=FALSE,"",IF((('Dvd Calendar'!$AA$1962=TYPE1)*(TYPE1&lt;&gt;"")+('Dvd Calendar'!$AA$1962=TYPE2)*(TYPE2&lt;&gt;"")+('Dvd Calendar'!$AA$1962=TYPE3)*(TYPE3&lt;&gt;"")+('Dvd Calendar'!$AA$1962=TYPE4)*(TYPE4&lt;&gt;"")+('Dvd Calendar'!$AA$1962=SPECIAL_LBL)*(INC_SPECIALS="Y"))=0,"",'Dvd Calendar'!$AA$1960)))</f>
        <v/>
      </c>
      <c r="Z196" s="106">
        <f>IF(FB196="","",IF(ISNUMBER('Dvd Calendar'!$AB$1960)=FALSE,"",IF((('Dvd Calendar'!$AB$1962=TYPE1)*(TYPE1&lt;&gt;"")+('Dvd Calendar'!$AB$1962=TYPE2)*(TYPE2&lt;&gt;"")+('Dvd Calendar'!$AB$1962=TYPE3)*(TYPE3&lt;&gt;"")+('Dvd Calendar'!$AB$1962=TYPE4)*(TYPE4&lt;&gt;"")+('Dvd Calendar'!$AB$1962=SPECIAL_LBL)*(INC_SPECIALS="Y"))=0,"",'Dvd Calendar'!$AB$1960)))</f>
        <v/>
      </c>
      <c r="AA196" s="106">
        <f>IF(FC196="","",IF(ISNUMBER('Dvd Calendar'!$AC$1960)=FALSE,"",IF((('Dvd Calendar'!$AC$1962=TYPE1)*(TYPE1&lt;&gt;"")+('Dvd Calendar'!$AC$1962=TYPE2)*(TYPE2&lt;&gt;"")+('Dvd Calendar'!$AC$1962=TYPE3)*(TYPE3&lt;&gt;"")+('Dvd Calendar'!$AC$1962=TYPE4)*(TYPE4&lt;&gt;"")+('Dvd Calendar'!$AC$1962=SPECIAL_LBL)*(INC_SPECIALS="Y"))=0,"",'Dvd Calendar'!$AC$1960)))</f>
        <v/>
      </c>
      <c r="AB196" s="106">
        <f>IF(FD196="","",IF(ISNUMBER('Dvd Calendar'!$AD$1960)=FALSE,"",IF((('Dvd Calendar'!$AD$1962=TYPE1)*(TYPE1&lt;&gt;"")+('Dvd Calendar'!$AD$1962=TYPE2)*(TYPE2&lt;&gt;"")+('Dvd Calendar'!$AD$1962=TYPE3)*(TYPE3&lt;&gt;"")+('Dvd Calendar'!$AD$1962=TYPE4)*(TYPE4&lt;&gt;"")+('Dvd Calendar'!$AD$1962=SPECIAL_LBL)*(INC_SPECIALS="Y"))=0,"",'Dvd Calendar'!$AD$1960)))</f>
        <v/>
      </c>
      <c r="AC196" s="106">
        <f>IF(FE196="","",IF(ISNUMBER('Dvd Calendar'!$AE$1960)=FALSE,"",IF((('Dvd Calendar'!$AE$1962=TYPE1)*(TYPE1&lt;&gt;"")+('Dvd Calendar'!$AE$1962=TYPE2)*(TYPE2&lt;&gt;"")+('Dvd Calendar'!$AE$1962=TYPE3)*(TYPE3&lt;&gt;"")+('Dvd Calendar'!$AE$1962=TYPE4)*(TYPE4&lt;&gt;"")+('Dvd Calendar'!$AE$1962=SPECIAL_LBL)*(INC_SPECIALS="Y"))=0,"",'Dvd Calendar'!$AE$1960)))</f>
        <v/>
      </c>
      <c r="AD196" s="106">
        <f>IF(FF196="","",IF(ISNUMBER('Dvd Calendar'!$AF$1960)=FALSE,"",IF((('Dvd Calendar'!$AF$1962=TYPE1)*(TYPE1&lt;&gt;"")+('Dvd Calendar'!$AF$1962=TYPE2)*(TYPE2&lt;&gt;"")+('Dvd Calendar'!$AF$1962=TYPE3)*(TYPE3&lt;&gt;"")+('Dvd Calendar'!$AF$1962=TYPE4)*(TYPE4&lt;&gt;"")+('Dvd Calendar'!$AF$1962=SPECIAL_LBL)*(INC_SPECIALS="Y"))=0,"",'Dvd Calendar'!$AF$1960)))</f>
        <v/>
      </c>
      <c r="AE196" s="106">
        <f>IF(FG196="","",IF(ISNUMBER('Dvd Calendar'!$AG$1960)=FALSE,"",IF((('Dvd Calendar'!$AG$1962=TYPE1)*(TYPE1&lt;&gt;"")+('Dvd Calendar'!$AG$1962=TYPE2)*(TYPE2&lt;&gt;"")+('Dvd Calendar'!$AG$1962=TYPE3)*(TYPE3&lt;&gt;"")+('Dvd Calendar'!$AG$1962=TYPE4)*(TYPE4&lt;&gt;"")+('Dvd Calendar'!$AG$1962=SPECIAL_LBL)*(INC_SPECIALS="Y"))=0,"",'Dvd Calendar'!$AG$1960)))</f>
        <v/>
      </c>
      <c r="AF196" s="106">
        <f>IF(FH196="","",IF(ISNUMBER('Dvd Calendar'!$AH$1960)=FALSE,"",IF((('Dvd Calendar'!$AH$1962=TYPE1)*(TYPE1&lt;&gt;"")+('Dvd Calendar'!$AH$1962=TYPE2)*(TYPE2&lt;&gt;"")+('Dvd Calendar'!$AH$1962=TYPE3)*(TYPE3&lt;&gt;"")+('Dvd Calendar'!$AH$1962=TYPE4)*(TYPE4&lt;&gt;"")+('Dvd Calendar'!$AH$1962=SPECIAL_LBL)*(INC_SPECIALS="Y"))=0,"",'Dvd Calendar'!$AH$1960)))</f>
        <v/>
      </c>
      <c r="AG196" s="106">
        <f>IF(FI196="","",IF(ISNUMBER('Dvd Calendar'!$AI$1960)=FALSE,"",IF((('Dvd Calendar'!$AI$1962=TYPE1)*(TYPE1&lt;&gt;"")+('Dvd Calendar'!$AI$1962=TYPE2)*(TYPE2&lt;&gt;"")+('Dvd Calendar'!$AI$1962=TYPE3)*(TYPE3&lt;&gt;"")+('Dvd Calendar'!$AI$1962=TYPE4)*(TYPE4&lt;&gt;"")+('Dvd Calendar'!$AI$1962=SPECIAL_LBL)*(INC_SPECIALS="Y"))=0,"",'Dvd Calendar'!$AI$1960)))</f>
        <v/>
      </c>
      <c r="AH196" s="106">
        <f>IF(FJ196="","",IF(ISNUMBER('Dvd Calendar'!$AJ$1960)=FALSE,"",IF((('Dvd Calendar'!$AJ$1962=TYPE1)*(TYPE1&lt;&gt;"")+('Dvd Calendar'!$AJ$1962=TYPE2)*(TYPE2&lt;&gt;"")+('Dvd Calendar'!$AJ$1962=TYPE3)*(TYPE3&lt;&gt;"")+('Dvd Calendar'!$AJ$1962=TYPE4)*(TYPE4&lt;&gt;"")+('Dvd Calendar'!$AJ$1962=SPECIAL_LBL)*(INC_SPECIALS="Y"))=0,"",'Dvd Calendar'!$AJ$1960)))</f>
        <v/>
      </c>
      <c r="AI196" s="106">
        <f>IF(FK196="","",IF(ISNUMBER('Dvd Calendar'!$AK$1960)=FALSE,"",IF((('Dvd Calendar'!$AK$1962=TYPE1)*(TYPE1&lt;&gt;"")+('Dvd Calendar'!$AK$1962=TYPE2)*(TYPE2&lt;&gt;"")+('Dvd Calendar'!$AK$1962=TYPE3)*(TYPE3&lt;&gt;"")+('Dvd Calendar'!$AK$1962=TYPE4)*(TYPE4&lt;&gt;"")+('Dvd Calendar'!$AK$1962=SPECIAL_LBL)*(INC_SPECIALS="Y"))=0,"",'Dvd Calendar'!$AK$1960)))</f>
        <v/>
      </c>
      <c r="AJ196" s="106">
        <f>IF(FL196="","",IF(ISNUMBER('Dvd Calendar'!$AL$1960)=FALSE,"",IF((('Dvd Calendar'!$AL$1962=TYPE1)*(TYPE1&lt;&gt;"")+('Dvd Calendar'!$AL$1962=TYPE2)*(TYPE2&lt;&gt;"")+('Dvd Calendar'!$AL$1962=TYPE3)*(TYPE3&lt;&gt;"")+('Dvd Calendar'!$AL$1962=TYPE4)*(TYPE4&lt;&gt;"")+('Dvd Calendar'!$AL$1962=SPECIAL_LBL)*(INC_SPECIALS="Y"))=0,"",'Dvd Calendar'!$AL$1960)))</f>
        <v/>
      </c>
      <c r="AK196" s="106">
        <f>IF(FM196="","",IF(ISNUMBER('Dvd Calendar'!$AM$1960)=FALSE,"",IF((('Dvd Calendar'!$AM$1962=TYPE1)*(TYPE1&lt;&gt;"")+('Dvd Calendar'!$AM$1962=TYPE2)*(TYPE2&lt;&gt;"")+('Dvd Calendar'!$AM$1962=TYPE3)*(TYPE3&lt;&gt;"")+('Dvd Calendar'!$AM$1962=TYPE4)*(TYPE4&lt;&gt;"")+('Dvd Calendar'!$AM$1962=SPECIAL_LBL)*(INC_SPECIALS="Y"))=0,"",'Dvd Calendar'!$AM$1960)))</f>
        <v/>
      </c>
      <c r="AL196" s="106">
        <f>IF(FN196="","",IF(ISNUMBER('Dvd Calendar'!$AN$1960)=FALSE,"",IF((('Dvd Calendar'!$AN$1962=TYPE1)*(TYPE1&lt;&gt;"")+('Dvd Calendar'!$AN$1962=TYPE2)*(TYPE2&lt;&gt;"")+('Dvd Calendar'!$AN$1962=TYPE3)*(TYPE3&lt;&gt;"")+('Dvd Calendar'!$AN$1962=TYPE4)*(TYPE4&lt;&gt;"")+('Dvd Calendar'!$AN$1962=SPECIAL_LBL)*(INC_SPECIALS="Y"))=0,"",'Dvd Calendar'!$AN$1960)))</f>
        <v/>
      </c>
      <c r="AM196" s="106">
        <f>IF(FO196="","",IF(ISNUMBER('Dvd Calendar'!$AO$1960)=FALSE,"",IF((('Dvd Calendar'!$AO$1962=TYPE1)*(TYPE1&lt;&gt;"")+('Dvd Calendar'!$AO$1962=TYPE2)*(TYPE2&lt;&gt;"")+('Dvd Calendar'!$AO$1962=TYPE3)*(TYPE3&lt;&gt;"")+('Dvd Calendar'!$AO$1962=TYPE4)*(TYPE4&lt;&gt;"")+('Dvd Calendar'!$AO$1962=SPECIAL_LBL)*(INC_SPECIALS="Y"))=0,"",'Dvd Calendar'!$AO$1960)))</f>
        <v/>
      </c>
      <c r="AN196" s="106">
        <f>IF(FP196="","",IF(ISNUMBER('Dvd Calendar'!$AP$1960)=FALSE,"",IF((('Dvd Calendar'!$AP$1962=TYPE1)*(TYPE1&lt;&gt;"")+('Dvd Calendar'!$AP$1962=TYPE2)*(TYPE2&lt;&gt;"")+('Dvd Calendar'!$AP$1962=TYPE3)*(TYPE3&lt;&gt;"")+('Dvd Calendar'!$AP$1962=TYPE4)*(TYPE4&lt;&gt;"")+('Dvd Calendar'!$AP$1962=SPECIAL_LBL)*(INC_SPECIALS="Y"))=0,"",'Dvd Calendar'!$AP$1960)))</f>
        <v/>
      </c>
      <c r="AO196" s="106">
        <f>IF(FQ196="","",IF(ISNUMBER('Dvd Calendar'!$AQ$1960)=FALSE,"",IF((('Dvd Calendar'!$AQ$1962=TYPE1)*(TYPE1&lt;&gt;"")+('Dvd Calendar'!$AQ$1962=TYPE2)*(TYPE2&lt;&gt;"")+('Dvd Calendar'!$AQ$1962=TYPE3)*(TYPE3&lt;&gt;"")+('Dvd Calendar'!$AQ$1962=TYPE4)*(TYPE4&lt;&gt;"")+('Dvd Calendar'!$AQ$1962=SPECIAL_LBL)*(INC_SPECIALS="Y"))=0,"",'Dvd Calendar'!$AQ$1960)))</f>
        <v/>
      </c>
      <c r="AP196" s="106">
        <f>IF(FR196="","",IF(ISNUMBER('Dvd Calendar'!$AR$1960)=FALSE,"",IF((('Dvd Calendar'!$AR$1962=TYPE1)*(TYPE1&lt;&gt;"")+('Dvd Calendar'!$AR$1962=TYPE2)*(TYPE2&lt;&gt;"")+('Dvd Calendar'!$AR$1962=TYPE3)*(TYPE3&lt;&gt;"")+('Dvd Calendar'!$AR$1962=TYPE4)*(TYPE4&lt;&gt;"")+('Dvd Calendar'!$AR$1962=SPECIAL_LBL)*(INC_SPECIALS="Y"))=0,"",'Dvd Calendar'!$AR$1960)))</f>
        <v/>
      </c>
      <c r="AQ196" s="106">
        <f>IF(FS196="","",IF(ISNUMBER('Dvd Calendar'!$E$1965)=FALSE,"",'Dvd Calendar'!$E$1965))</f>
        <v/>
      </c>
      <c r="AR196" s="106">
        <f>IF(FT196="","",IF(ISNUMBER('Dvd Calendar'!$F$1965)=FALSE,"",'Dvd Calendar'!$F$1965))</f>
        <v/>
      </c>
      <c r="AS196" s="106">
        <f>IF(FU196="","",IF(ISNUMBER('Dvd Calendar'!$G$1965)=FALSE,"",'Dvd Calendar'!$G$1965))</f>
        <v/>
      </c>
      <c r="AT196" s="106">
        <f>IF(FV196="","",IF(ISNUMBER('Dvd Calendar'!$H$1965)=FALSE,"",'Dvd Calendar'!$H$1965))</f>
        <v/>
      </c>
      <c r="AU196" s="106">
        <f>IF(FW196="","",IF(ISNUMBER('Dvd Calendar'!$I$1965)=FALSE,"",'Dvd Calendar'!$I$1965))</f>
        <v/>
      </c>
      <c r="AV196" s="106">
        <f>IF(FX196="","",IF(ISNUMBER('Dvd Calendar'!$J$1965)=FALSE,"",'Dvd Calendar'!$J$1965))</f>
        <v/>
      </c>
      <c r="AW196" s="106">
        <f>IF(FY196="","",IF(ISNUMBER('Dvd Calendar'!$K$1965)=FALSE,"",'Dvd Calendar'!$K$1965))</f>
        <v/>
      </c>
      <c r="AX196" s="106">
        <f>IF(FZ196="","",IF(ISNUMBER('Dvd Calendar'!$L$1965)=FALSE,"",'Dvd Calendar'!$L$1965))</f>
        <v/>
      </c>
      <c r="AY196" s="106">
        <f>IF(GA196="","",IF(ISNUMBER('Dvd Calendar'!$M$1965)=FALSE,"",'Dvd Calendar'!$M$1965))</f>
        <v/>
      </c>
      <c r="AZ196" s="106">
        <f>IF(GB196="","",IF(ISNUMBER('Dvd Calendar'!$N$1965)=FALSE,"",'Dvd Calendar'!$N$1965))</f>
        <v/>
      </c>
      <c r="BA196" s="106">
        <f>IF(GC196="","",IF(ISNUMBER('Dvd Calendar'!$O$1965)=FALSE,"",'Dvd Calendar'!$O$1965))</f>
        <v/>
      </c>
      <c r="BB196" s="106">
        <f>IF(GD196="","",IF(ISNUMBER('Dvd Calendar'!$P$1965)=FALSE,"",'Dvd Calendar'!$P$1965))</f>
        <v/>
      </c>
      <c r="BC196" s="106">
        <f>IF(GE196="","",IF(ISNUMBER('Dvd Calendar'!$Q$1965)=FALSE,"",'Dvd Calendar'!$Q$1965))</f>
        <v/>
      </c>
      <c r="BD196" s="106">
        <f>IF(GF196="","",IF(ISNUMBER('Dvd Calendar'!$R$1965)=FALSE,"",'Dvd Calendar'!$R$1965))</f>
        <v/>
      </c>
      <c r="BE196" s="106">
        <f>IF(GG196="","",IF(ISNUMBER('Dvd Calendar'!$S$1965)=FALSE,"",'Dvd Calendar'!$S$1965))</f>
        <v/>
      </c>
      <c r="BF196" s="106">
        <f>IF(GH196="","",IF(ISNUMBER('Dvd Calendar'!$T$1965)=FALSE,"",'Dvd Calendar'!$T$1965))</f>
        <v/>
      </c>
      <c r="BG196" s="106">
        <f>IF(GI196="","",IF(ISNUMBER('Dvd Calendar'!$U$1965)=FALSE,"",'Dvd Calendar'!$U$1965))</f>
        <v/>
      </c>
      <c r="BH196" s="106">
        <f>IF(GJ196="","",IF(ISNUMBER('Dvd Calendar'!$V$1965)=FALSE,"",'Dvd Calendar'!$V$1965))</f>
        <v/>
      </c>
      <c r="BI196" s="106">
        <f>IF(GK196="","",IF(ISNUMBER('Dvd Calendar'!$W$1965)=FALSE,"",'Dvd Calendar'!$W$1965))</f>
        <v/>
      </c>
      <c r="BJ196" s="106">
        <f>IF(GL196="","",IF(ISNUMBER('Dvd Calendar'!$X$1965)=FALSE,"",'Dvd Calendar'!$X$1965))</f>
        <v/>
      </c>
      <c r="BK196" s="106">
        <f>IF(GM196="","",IF(ISNUMBER('Dvd Calendar'!$Y$1965)=FALSE,"",'Dvd Calendar'!$Y$1965))</f>
        <v/>
      </c>
      <c r="BL196" s="106">
        <f>IF(GN196="","",IF(ISNUMBER('Dvd Calendar'!$Z$1965)=FALSE,"",'Dvd Calendar'!$Z$1965))</f>
        <v/>
      </c>
      <c r="BM196" s="106">
        <f>IF(GO196="","",IF(ISNUMBER('Dvd Calendar'!$AA$1965)=FALSE,"",'Dvd Calendar'!$AA$1965))</f>
        <v/>
      </c>
      <c r="BN196" s="106">
        <f>IF(GP196="","",IF(ISNUMBER('Dvd Calendar'!$AB$1965)=FALSE,"",'Dvd Calendar'!$AB$1965))</f>
        <v/>
      </c>
      <c r="BO196" s="106">
        <f>IF(GQ196="","",IF(ISNUMBER('Dvd Calendar'!$AC$1965)=FALSE,"",'Dvd Calendar'!$AC$1965))</f>
        <v/>
      </c>
      <c r="BQ196" s="106">
        <f>IF(C196="","",IFERROR(C196*HSCEI!$B$43*HSCEI!$G$43/HSCEI!$B$3,""))</f>
        <v/>
      </c>
      <c r="BR196" s="106">
        <f>IF(D196="","",IFERROR(D196*HSCEI!$B$43*HSCEI!$G$43/HSCEI!$B$3,""))</f>
        <v/>
      </c>
      <c r="BS196" s="106">
        <f>IF(E196="","",IFERROR(E196*HSCEI!$B$43*HSCEI!$G$43/HSCEI!$B$3,""))</f>
        <v/>
      </c>
      <c r="BT196" s="106">
        <f>IF(F196="","",IFERROR(F196*HSCEI!$B$43*HSCEI!$G$43/HSCEI!$B$3,""))</f>
        <v/>
      </c>
      <c r="BU196" s="106">
        <f>IF(G196="","",IFERROR(G196*HSCEI!$B$43*HSCEI!$G$43/HSCEI!$B$3,""))</f>
        <v/>
      </c>
      <c r="BV196" s="106">
        <f>IF(H196="","",IFERROR(H196*HSCEI!$B$43*HSCEI!$G$43/HSCEI!$B$3,""))</f>
        <v/>
      </c>
      <c r="BW196" s="106">
        <f>IF(I196="","",IFERROR(I196*HSCEI!$B$43*HSCEI!$G$43/HSCEI!$B$3,""))</f>
        <v/>
      </c>
      <c r="BX196" s="106">
        <f>IF(J196="","",IFERROR(J196*HSCEI!$B$43*HSCEI!$G$43/HSCEI!$B$3,""))</f>
        <v/>
      </c>
      <c r="BY196" s="106">
        <f>IF(K196="","",IFERROR(K196*HSCEI!$B$43*HSCEI!$G$43/HSCEI!$B$3,""))</f>
        <v/>
      </c>
      <c r="BZ196" s="106">
        <f>IF(L196="","",IFERROR(L196*HSCEI!$B$43*HSCEI!$G$43/HSCEI!$B$3,""))</f>
        <v/>
      </c>
      <c r="CA196" s="106">
        <f>IF(M196="","",IFERROR(M196*HSCEI!$B$43*HSCEI!$G$43/HSCEI!$B$3,""))</f>
        <v/>
      </c>
      <c r="CB196" s="106">
        <f>IF(N196="","",IFERROR(N196*HSCEI!$B$43*HSCEI!$G$43/HSCEI!$B$3,""))</f>
        <v/>
      </c>
      <c r="CC196" s="106">
        <f>IF(O196="","",IFERROR(O196*HSCEI!$B$43*HSCEI!$G$43/HSCEI!$B$3,""))</f>
        <v/>
      </c>
      <c r="CD196" s="106">
        <f>IF(P196="","",IFERROR(P196*HSCEI!$B$43*HSCEI!$G$43/HSCEI!$B$3,""))</f>
        <v/>
      </c>
      <c r="CE196" s="106">
        <f>IF(Q196="","",IFERROR(Q196*HSCEI!$B$43*HSCEI!$G$43/HSCEI!$B$3,""))</f>
        <v/>
      </c>
      <c r="CF196" s="106">
        <f>IF(R196="","",IFERROR(R196*HSCEI!$B$43*HSCEI!$G$43/HSCEI!$B$3,""))</f>
        <v/>
      </c>
      <c r="CG196" s="106">
        <f>IF(S196="","",IFERROR(S196*HSCEI!$B$43*HSCEI!$G$43/HSCEI!$B$3,""))</f>
        <v/>
      </c>
      <c r="CH196" s="106">
        <f>IF(T196="","",IFERROR(T196*HSCEI!$B$43*HSCEI!$G$43/HSCEI!$B$3,""))</f>
        <v/>
      </c>
      <c r="CI196" s="106">
        <f>IF(U196="","",IFERROR(U196*HSCEI!$B$43*HSCEI!$G$43/HSCEI!$B$3,""))</f>
        <v/>
      </c>
      <c r="CJ196" s="106">
        <f>IF(V196="","",IFERROR(V196*HSCEI!$B$43*HSCEI!$G$43/HSCEI!$B$3,""))</f>
        <v/>
      </c>
      <c r="CK196" s="106">
        <f>IF(W196="","",IFERROR(W196*HSCEI!$B$43*HSCEI!$G$43/HSCEI!$B$3,""))</f>
        <v/>
      </c>
      <c r="CL196" s="106">
        <f>IF(X196="","",IFERROR(X196*HSCEI!$B$43*HSCEI!$G$43/HSCEI!$B$3,""))</f>
        <v/>
      </c>
      <c r="CM196" s="106">
        <f>IF(Y196="","",IFERROR(Y196*HSCEI!$B$43*HSCEI!$G$43/HSCEI!$B$3,""))</f>
        <v/>
      </c>
      <c r="CN196" s="106">
        <f>IF(Z196="","",IFERROR(Z196*HSCEI!$B$43*HSCEI!$G$43/HSCEI!$B$3,""))</f>
        <v/>
      </c>
      <c r="CO196" s="106">
        <f>IF(AA196="","",IFERROR(AA196*HSCEI!$B$43*HSCEI!$G$43/HSCEI!$B$3,""))</f>
        <v/>
      </c>
      <c r="CP196" s="106">
        <f>IF(AB196="","",IFERROR(AB196*HSCEI!$B$43*HSCEI!$G$43/HSCEI!$B$3,""))</f>
        <v/>
      </c>
      <c r="CQ196" s="106">
        <f>IF(AC196="","",IFERROR(AC196*HSCEI!$B$43*HSCEI!$G$43/HSCEI!$B$3,""))</f>
        <v/>
      </c>
      <c r="CR196" s="106">
        <f>IF(AD196="","",IFERROR(AD196*HSCEI!$B$43*HSCEI!$G$43/HSCEI!$B$3,""))</f>
        <v/>
      </c>
      <c r="CS196" s="106">
        <f>IF(AE196="","",IFERROR(AE196*HSCEI!$B$43*HSCEI!$G$43/HSCEI!$B$3,""))</f>
        <v/>
      </c>
      <c r="CT196" s="106">
        <f>IF(AF196="","",IFERROR(AF196*HSCEI!$B$43*HSCEI!$G$43/HSCEI!$B$3,""))</f>
        <v/>
      </c>
      <c r="CU196" s="106">
        <f>IF(AG196="","",IFERROR(AG196*HSCEI!$B$43*HSCEI!$G$43/HSCEI!$B$3,""))</f>
        <v/>
      </c>
      <c r="CV196" s="106">
        <f>IF(AH196="","",IFERROR(AH196*HSCEI!$B$43*HSCEI!$G$43/HSCEI!$B$3,""))</f>
        <v/>
      </c>
      <c r="CW196" s="106">
        <f>IF(AI196="","",IFERROR(AI196*HSCEI!$B$43*HSCEI!$G$43/HSCEI!$B$3,""))</f>
        <v/>
      </c>
      <c r="CX196" s="106">
        <f>IF(AJ196="","",IFERROR(AJ196*HSCEI!$B$43*HSCEI!$G$43/HSCEI!$B$3,""))</f>
        <v/>
      </c>
      <c r="CY196" s="106">
        <f>IF(AK196="","",IFERROR(AK196*HSCEI!$B$43*HSCEI!$G$43/HSCEI!$B$3,""))</f>
        <v/>
      </c>
      <c r="CZ196" s="106">
        <f>IF(AL196="","",IFERROR(AL196*HSCEI!$B$43*HSCEI!$G$43/HSCEI!$B$3,""))</f>
        <v/>
      </c>
      <c r="DA196" s="106">
        <f>IF(AM196="","",IFERROR(AM196*HSCEI!$B$43*HSCEI!$G$43/HSCEI!$B$3,""))</f>
        <v/>
      </c>
      <c r="DB196" s="106">
        <f>IF(AN196="","",IFERROR(AN196*HSCEI!$B$43*HSCEI!$G$43/HSCEI!$B$3,""))</f>
        <v/>
      </c>
      <c r="DC196" s="106">
        <f>IF(AO196="","",IFERROR(AO196*HSCEI!$B$43*HSCEI!$G$43/HSCEI!$B$3,""))</f>
        <v/>
      </c>
      <c r="DD196" s="106">
        <f>IF(AP196="","",IFERROR(AP196*HSCEI!$B$43*HSCEI!$G$43/HSCEI!$B$3,""))</f>
        <v/>
      </c>
      <c r="DE196" s="106">
        <f>IF(AQ196="","",IFERROR(AQ196*HSCEI!$B$43*HSCEI!$G$43/HSCEI!$B$3,""))</f>
        <v/>
      </c>
      <c r="DF196" s="106">
        <f>IF(AR196="","",IFERROR(AR196*HSCEI!$B$43*HSCEI!$G$43/HSCEI!$B$3,""))</f>
        <v/>
      </c>
      <c r="DG196" s="106">
        <f>IF(AS196="","",IFERROR(AS196*HSCEI!$B$43*HSCEI!$G$43/HSCEI!$B$3,""))</f>
        <v/>
      </c>
      <c r="DH196" s="106">
        <f>IF(AT196="","",IFERROR(AT196*HSCEI!$B$43*HSCEI!$G$43/HSCEI!$B$3,""))</f>
        <v/>
      </c>
      <c r="DI196" s="106">
        <f>IF(AU196="","",IFERROR(AU196*HSCEI!$B$43*HSCEI!$G$43/HSCEI!$B$3,""))</f>
        <v/>
      </c>
      <c r="DJ196" s="106">
        <f>IF(AV196="","",IFERROR(AV196*HSCEI!$B$43*HSCEI!$G$43/HSCEI!$B$3,""))</f>
        <v/>
      </c>
      <c r="DK196" s="106">
        <f>IF(AW196="","",IFERROR(AW196*HSCEI!$B$43*HSCEI!$G$43/HSCEI!$B$3,""))</f>
        <v/>
      </c>
      <c r="DL196" s="106">
        <f>IF(AX196="","",IFERROR(AX196*HSCEI!$B$43*HSCEI!$G$43/HSCEI!$B$3,""))</f>
        <v/>
      </c>
      <c r="DM196" s="106">
        <f>IF(AY196="","",IFERROR(AY196*HSCEI!$B$43*HSCEI!$G$43/HSCEI!$B$3,""))</f>
        <v/>
      </c>
      <c r="DN196" s="106">
        <f>IF(AZ196="","",IFERROR(AZ196*HSCEI!$B$43*HSCEI!$G$43/HSCEI!$B$3,""))</f>
        <v/>
      </c>
      <c r="DO196" s="106">
        <f>IF(BA196="","",IFERROR(BA196*HSCEI!$B$43*HSCEI!$G$43/HSCEI!$B$3,""))</f>
        <v/>
      </c>
      <c r="DP196" s="106">
        <f>IF(BB196="","",IFERROR(BB196*HSCEI!$B$43*HSCEI!$G$43/HSCEI!$B$3,""))</f>
        <v/>
      </c>
      <c r="DQ196" s="106">
        <f>IF(BC196="","",IFERROR(BC196*HSCEI!$B$43*HSCEI!$G$43/HSCEI!$B$3,""))</f>
        <v/>
      </c>
      <c r="DR196" s="106">
        <f>IF(BD196="","",IFERROR(BD196*HSCEI!$B$43*HSCEI!$G$43/HSCEI!$B$3,""))</f>
        <v/>
      </c>
      <c r="DS196" s="106">
        <f>IF(BE196="","",IFERROR(BE196*HSCEI!$B$43*HSCEI!$G$43/HSCEI!$B$3,""))</f>
        <v/>
      </c>
      <c r="DT196" s="106">
        <f>IF(BF196="","",IFERROR(BF196*HSCEI!$B$43*HSCEI!$G$43/HSCEI!$B$3,""))</f>
        <v/>
      </c>
      <c r="DU196" s="106">
        <f>IF(BG196="","",IFERROR(BG196*HSCEI!$B$43*HSCEI!$G$43/HSCEI!$B$3,""))</f>
        <v/>
      </c>
      <c r="DV196" s="106">
        <f>IF(BH196="","",IFERROR(BH196*HSCEI!$B$43*HSCEI!$G$43/HSCEI!$B$3,""))</f>
        <v/>
      </c>
      <c r="DW196" s="106">
        <f>IF(BI196="","",IFERROR(BI196*HSCEI!$B$43*HSCEI!$G$43/HSCEI!$B$3,""))</f>
        <v/>
      </c>
      <c r="DX196" s="106">
        <f>IF(BJ196="","",IFERROR(BJ196*HSCEI!$B$43*HSCEI!$G$43/HSCEI!$B$3,""))</f>
        <v/>
      </c>
      <c r="DY196" s="106">
        <f>IF(BK196="","",IFERROR(BK196*HSCEI!$B$43*HSCEI!$G$43/HSCEI!$B$3,""))</f>
        <v/>
      </c>
      <c r="DZ196" s="106">
        <f>IF(BL196="","",IFERROR(BL196*HSCEI!$B$43*HSCEI!$G$43/HSCEI!$B$3,""))</f>
        <v/>
      </c>
      <c r="EA196" s="106">
        <f>IF(BM196="","",IFERROR(BM196*HSCEI!$B$43*HSCEI!$G$43/HSCEI!$B$3,""))</f>
        <v/>
      </c>
      <c r="EB196" s="106">
        <f>IF(BN196="","",IFERROR(BN196*HSCEI!$B$43*HSCEI!$G$43/HSCEI!$B$3,""))</f>
        <v/>
      </c>
      <c r="EC196" s="106">
        <f>IF(BO196="","",IFERROR(BO196*HSCEI!$B$43*HSCEI!$G$43/HSCEI!$B$3,""))</f>
        <v/>
      </c>
      <c r="EE196" s="35">
        <f>IF(N('Dvd Calendar'!$E$1957)=0,"",IF(('Dvd Calendar'!$E$1957&gt;=GRID_FROM)*('Dvd Calendar'!$E$1957&lt;=GRID_TO)*('Dvd Calendar'!$E$1957&lt;=VAL_DATE)=0,"",'Dvd Calendar'!$E$1957*1000000000+ISNUMBER('Dvd Calendar'!$E$1960)*100000000+('Dvd Calendar'!$E$1962=SPECIAL_LBL)*10000000+0*1000000+37*1000+1))</f>
        <v/>
      </c>
      <c r="EF196" s="35">
        <f>IF(N('Dvd Calendar'!$F$1957)=0,"",IF(('Dvd Calendar'!$F$1957&gt;=GRID_FROM)*('Dvd Calendar'!$F$1957&lt;=GRID_TO)*('Dvd Calendar'!$F$1957&lt;=VAL_DATE)=0,"",'Dvd Calendar'!$F$1957*1000000000+ISNUMBER('Dvd Calendar'!$F$1960)*100000000+('Dvd Calendar'!$F$1962=SPECIAL_LBL)*10000000+0*1000000+37*1000+2))</f>
        <v/>
      </c>
      <c r="EG196" s="35">
        <f>IF(N('Dvd Calendar'!$G$1957)=0,"",IF(('Dvd Calendar'!$G$1957&gt;=GRID_FROM)*('Dvd Calendar'!$G$1957&lt;=GRID_TO)*('Dvd Calendar'!$G$1957&lt;=VAL_DATE)=0,"",'Dvd Calendar'!$G$1957*1000000000+ISNUMBER('Dvd Calendar'!$G$1960)*100000000+('Dvd Calendar'!$G$1962=SPECIAL_LBL)*10000000+0*1000000+37*1000+3))</f>
        <v/>
      </c>
      <c r="EH196" s="35">
        <f>IF(N('Dvd Calendar'!$H$1957)=0,"",IF(('Dvd Calendar'!$H$1957&gt;=GRID_FROM)*('Dvd Calendar'!$H$1957&lt;=GRID_TO)*('Dvd Calendar'!$H$1957&lt;=VAL_DATE)=0,"",'Dvd Calendar'!$H$1957*1000000000+ISNUMBER('Dvd Calendar'!$H$1960)*100000000+('Dvd Calendar'!$H$1962=SPECIAL_LBL)*10000000+0*1000000+37*1000+4))</f>
        <v/>
      </c>
      <c r="EI196" s="35">
        <f>IF(N('Dvd Calendar'!$I$1957)=0,"",IF(('Dvd Calendar'!$I$1957&gt;=GRID_FROM)*('Dvd Calendar'!$I$1957&lt;=GRID_TO)*('Dvd Calendar'!$I$1957&lt;=VAL_DATE)=0,"",'Dvd Calendar'!$I$1957*1000000000+ISNUMBER('Dvd Calendar'!$I$1960)*100000000+('Dvd Calendar'!$I$1962=SPECIAL_LBL)*10000000+0*1000000+37*1000+5))</f>
        <v/>
      </c>
      <c r="EJ196" s="35">
        <f>IF(N('Dvd Calendar'!$J$1957)=0,"",IF(('Dvd Calendar'!$J$1957&gt;=GRID_FROM)*('Dvd Calendar'!$J$1957&lt;=GRID_TO)*('Dvd Calendar'!$J$1957&lt;=VAL_DATE)=0,"",'Dvd Calendar'!$J$1957*1000000000+ISNUMBER('Dvd Calendar'!$J$1960)*100000000+('Dvd Calendar'!$J$1962=SPECIAL_LBL)*10000000+0*1000000+37*1000+6))</f>
        <v/>
      </c>
      <c r="EK196" s="35">
        <f>IF(N('Dvd Calendar'!$K$1957)=0,"",IF(('Dvd Calendar'!$K$1957&gt;=GRID_FROM)*('Dvd Calendar'!$K$1957&lt;=GRID_TO)*('Dvd Calendar'!$K$1957&lt;=VAL_DATE)=0,"",'Dvd Calendar'!$K$1957*1000000000+ISNUMBER('Dvd Calendar'!$K$1960)*100000000+('Dvd Calendar'!$K$1962=SPECIAL_LBL)*10000000+0*1000000+37*1000+7))</f>
        <v/>
      </c>
      <c r="EL196" s="35">
        <f>IF(N('Dvd Calendar'!$L$1957)=0,"",IF(('Dvd Calendar'!$L$1957&gt;=GRID_FROM)*('Dvd Calendar'!$L$1957&lt;=GRID_TO)*('Dvd Calendar'!$L$1957&lt;=VAL_DATE)=0,"",'Dvd Calendar'!$L$1957*1000000000+ISNUMBER('Dvd Calendar'!$L$1960)*100000000+('Dvd Calendar'!$L$1962=SPECIAL_LBL)*10000000+0*1000000+37*1000+8))</f>
        <v/>
      </c>
      <c r="EM196" s="35">
        <f>IF(N('Dvd Calendar'!$M$1957)=0,"",IF(('Dvd Calendar'!$M$1957&gt;=GRID_FROM)*('Dvd Calendar'!$M$1957&lt;=GRID_TO)*('Dvd Calendar'!$M$1957&lt;=VAL_DATE)=0,"",'Dvd Calendar'!$M$1957*1000000000+ISNUMBER('Dvd Calendar'!$M$1960)*100000000+('Dvd Calendar'!$M$1962=SPECIAL_LBL)*10000000+0*1000000+37*1000+9))</f>
        <v/>
      </c>
      <c r="EN196" s="35">
        <f>IF(N('Dvd Calendar'!$N$1957)=0,"",IF(('Dvd Calendar'!$N$1957&gt;=GRID_FROM)*('Dvd Calendar'!$N$1957&lt;=GRID_TO)*('Dvd Calendar'!$N$1957&lt;=VAL_DATE)=0,"",'Dvd Calendar'!$N$1957*1000000000+ISNUMBER('Dvd Calendar'!$N$1960)*100000000+('Dvd Calendar'!$N$1962=SPECIAL_LBL)*10000000+0*1000000+37*1000+10))</f>
        <v/>
      </c>
      <c r="EO196" s="35">
        <f>IF(N('Dvd Calendar'!$O$1957)=0,"",IF(('Dvd Calendar'!$O$1957&gt;=GRID_FROM)*('Dvd Calendar'!$O$1957&lt;=GRID_TO)*('Dvd Calendar'!$O$1957&lt;=VAL_DATE)=0,"",'Dvd Calendar'!$O$1957*1000000000+ISNUMBER('Dvd Calendar'!$O$1960)*100000000+('Dvd Calendar'!$O$1962=SPECIAL_LBL)*10000000+0*1000000+37*1000+11))</f>
        <v/>
      </c>
      <c r="EP196" s="35">
        <f>IF(N('Dvd Calendar'!$P$1957)=0,"",IF(('Dvd Calendar'!$P$1957&gt;=GRID_FROM)*('Dvd Calendar'!$P$1957&lt;=GRID_TO)*('Dvd Calendar'!$P$1957&lt;=VAL_DATE)=0,"",'Dvd Calendar'!$P$1957*1000000000+ISNUMBER('Dvd Calendar'!$P$1960)*100000000+('Dvd Calendar'!$P$1962=SPECIAL_LBL)*10000000+0*1000000+37*1000+12))</f>
        <v/>
      </c>
      <c r="EQ196" s="35">
        <f>IF(N('Dvd Calendar'!$Q$1957)=0,"",IF(('Dvd Calendar'!$Q$1957&gt;=GRID_FROM)*('Dvd Calendar'!$Q$1957&lt;=GRID_TO)*('Dvd Calendar'!$Q$1957&lt;=VAL_DATE)=0,"",'Dvd Calendar'!$Q$1957*1000000000+ISNUMBER('Dvd Calendar'!$Q$1960)*100000000+('Dvd Calendar'!$Q$1962=SPECIAL_LBL)*10000000+0*1000000+37*1000+13))</f>
        <v/>
      </c>
      <c r="ER196" s="35">
        <f>IF(N('Dvd Calendar'!$R$1957)=0,"",IF(('Dvd Calendar'!$R$1957&gt;=GRID_FROM)*('Dvd Calendar'!$R$1957&lt;=GRID_TO)*('Dvd Calendar'!$R$1957&lt;=VAL_DATE)=0,"",'Dvd Calendar'!$R$1957*1000000000+ISNUMBER('Dvd Calendar'!$R$1960)*100000000+('Dvd Calendar'!$R$1962=SPECIAL_LBL)*10000000+0*1000000+37*1000+14))</f>
        <v/>
      </c>
      <c r="ES196" s="35">
        <f>IF(N('Dvd Calendar'!$S$1957)=0,"",IF(('Dvd Calendar'!$S$1957&gt;=GRID_FROM)*('Dvd Calendar'!$S$1957&lt;=GRID_TO)*('Dvd Calendar'!$S$1957&lt;=VAL_DATE)=0,"",'Dvd Calendar'!$S$1957*1000000000+ISNUMBER('Dvd Calendar'!$S$1960)*100000000+('Dvd Calendar'!$S$1962=SPECIAL_LBL)*10000000+0*1000000+37*1000+15))</f>
        <v/>
      </c>
      <c r="ET196" s="35">
        <f>IF(N('Dvd Calendar'!$T$1957)=0,"",IF(('Dvd Calendar'!$T$1957&gt;=GRID_FROM)*('Dvd Calendar'!$T$1957&lt;=GRID_TO)*('Dvd Calendar'!$T$1957&lt;=VAL_DATE)=0,"",'Dvd Calendar'!$T$1957*1000000000+ISNUMBER('Dvd Calendar'!$T$1960)*100000000+('Dvd Calendar'!$T$1962=SPECIAL_LBL)*10000000+0*1000000+37*1000+16))</f>
        <v/>
      </c>
      <c r="EU196" s="35">
        <f>IF(N('Dvd Calendar'!$U$1957)=0,"",IF(('Dvd Calendar'!$U$1957&gt;=GRID_FROM)*('Dvd Calendar'!$U$1957&lt;=GRID_TO)*('Dvd Calendar'!$U$1957&lt;=VAL_DATE)=0,"",'Dvd Calendar'!$U$1957*1000000000+ISNUMBER('Dvd Calendar'!$U$1960)*100000000+('Dvd Calendar'!$U$1962=SPECIAL_LBL)*10000000+0*1000000+37*1000+17))</f>
        <v/>
      </c>
      <c r="EV196" s="35">
        <f>IF(N('Dvd Calendar'!$V$1957)=0,"",IF(('Dvd Calendar'!$V$1957&gt;=GRID_FROM)*('Dvd Calendar'!$V$1957&lt;=GRID_TO)*('Dvd Calendar'!$V$1957&lt;=VAL_DATE)=0,"",'Dvd Calendar'!$V$1957*1000000000+ISNUMBER('Dvd Calendar'!$V$1960)*100000000+('Dvd Calendar'!$V$1962=SPECIAL_LBL)*10000000+0*1000000+37*1000+18))</f>
        <v/>
      </c>
      <c r="EW196" s="35">
        <f>IF(N('Dvd Calendar'!$W$1957)=0,"",IF(('Dvd Calendar'!$W$1957&gt;=GRID_FROM)*('Dvd Calendar'!$W$1957&lt;=GRID_TO)*('Dvd Calendar'!$W$1957&lt;=VAL_DATE)=0,"",'Dvd Calendar'!$W$1957*1000000000+ISNUMBER('Dvd Calendar'!$W$1960)*100000000+('Dvd Calendar'!$W$1962=SPECIAL_LBL)*10000000+0*1000000+37*1000+19))</f>
        <v/>
      </c>
      <c r="EX196" s="35">
        <f>IF(N('Dvd Calendar'!$X$1957)=0,"",IF(('Dvd Calendar'!$X$1957&gt;=GRID_FROM)*('Dvd Calendar'!$X$1957&lt;=GRID_TO)*('Dvd Calendar'!$X$1957&lt;=VAL_DATE)=0,"",'Dvd Calendar'!$X$1957*1000000000+ISNUMBER('Dvd Calendar'!$X$1960)*100000000+('Dvd Calendar'!$X$1962=SPECIAL_LBL)*10000000+0*1000000+37*1000+20))</f>
        <v/>
      </c>
      <c r="EY196" s="35">
        <f>IF(N('Dvd Calendar'!$Y$1957)=0,"",IF(('Dvd Calendar'!$Y$1957&gt;=GRID_FROM)*('Dvd Calendar'!$Y$1957&lt;=GRID_TO)*('Dvd Calendar'!$Y$1957&lt;=VAL_DATE)=0,"",'Dvd Calendar'!$Y$1957*1000000000+ISNUMBER('Dvd Calendar'!$Y$1960)*100000000+('Dvd Calendar'!$Y$1962=SPECIAL_LBL)*10000000+0*1000000+37*1000+21))</f>
        <v/>
      </c>
      <c r="EZ196" s="35">
        <f>IF(N('Dvd Calendar'!$Z$1957)=0,"",IF(('Dvd Calendar'!$Z$1957&gt;=GRID_FROM)*('Dvd Calendar'!$Z$1957&lt;=GRID_TO)*('Dvd Calendar'!$Z$1957&lt;=VAL_DATE)=0,"",'Dvd Calendar'!$Z$1957*1000000000+ISNUMBER('Dvd Calendar'!$Z$1960)*100000000+('Dvd Calendar'!$Z$1962=SPECIAL_LBL)*10000000+0*1000000+37*1000+22))</f>
        <v/>
      </c>
      <c r="FA196" s="35">
        <f>IF(N('Dvd Calendar'!$AA$1957)=0,"",IF(('Dvd Calendar'!$AA$1957&gt;=GRID_FROM)*('Dvd Calendar'!$AA$1957&lt;=GRID_TO)*('Dvd Calendar'!$AA$1957&lt;=VAL_DATE)=0,"",'Dvd Calendar'!$AA$1957*1000000000+ISNUMBER('Dvd Calendar'!$AA$1960)*100000000+('Dvd Calendar'!$AA$1962=SPECIAL_LBL)*10000000+0*1000000+37*1000+23))</f>
        <v/>
      </c>
      <c r="FB196" s="35">
        <f>IF(N('Dvd Calendar'!$AB$1957)=0,"",IF(('Dvd Calendar'!$AB$1957&gt;=GRID_FROM)*('Dvd Calendar'!$AB$1957&lt;=GRID_TO)*('Dvd Calendar'!$AB$1957&lt;=VAL_DATE)=0,"",'Dvd Calendar'!$AB$1957*1000000000+ISNUMBER('Dvd Calendar'!$AB$1960)*100000000+('Dvd Calendar'!$AB$1962=SPECIAL_LBL)*10000000+0*1000000+37*1000+24))</f>
        <v/>
      </c>
      <c r="FC196" s="35">
        <f>IF(N('Dvd Calendar'!$AC$1957)=0,"",IF(('Dvd Calendar'!$AC$1957&gt;=GRID_FROM)*('Dvd Calendar'!$AC$1957&lt;=GRID_TO)*('Dvd Calendar'!$AC$1957&lt;=VAL_DATE)=0,"",'Dvd Calendar'!$AC$1957*1000000000+ISNUMBER('Dvd Calendar'!$AC$1960)*100000000+('Dvd Calendar'!$AC$1962=SPECIAL_LBL)*10000000+0*1000000+37*1000+25))</f>
        <v/>
      </c>
      <c r="FD196" s="35">
        <f>IF(N('Dvd Calendar'!$AD$1957)=0,"",IF(('Dvd Calendar'!$AD$1957&gt;=GRID_FROM)*('Dvd Calendar'!$AD$1957&lt;=GRID_TO)*('Dvd Calendar'!$AD$1957&lt;=VAL_DATE)=0,"",'Dvd Calendar'!$AD$1957*1000000000+ISNUMBER('Dvd Calendar'!$AD$1960)*100000000+('Dvd Calendar'!$AD$1962=SPECIAL_LBL)*10000000+0*1000000+37*1000+26))</f>
        <v/>
      </c>
      <c r="FE196" s="35">
        <f>IF(N('Dvd Calendar'!$AE$1957)=0,"",IF(('Dvd Calendar'!$AE$1957&gt;=GRID_FROM)*('Dvd Calendar'!$AE$1957&lt;=GRID_TO)*('Dvd Calendar'!$AE$1957&lt;=VAL_DATE)=0,"",'Dvd Calendar'!$AE$1957*1000000000+ISNUMBER('Dvd Calendar'!$AE$1960)*100000000+('Dvd Calendar'!$AE$1962=SPECIAL_LBL)*10000000+0*1000000+37*1000+27))</f>
        <v/>
      </c>
      <c r="FF196" s="35">
        <f>IF(N('Dvd Calendar'!$AF$1957)=0,"",IF(('Dvd Calendar'!$AF$1957&gt;=GRID_FROM)*('Dvd Calendar'!$AF$1957&lt;=GRID_TO)*('Dvd Calendar'!$AF$1957&lt;=VAL_DATE)=0,"",'Dvd Calendar'!$AF$1957*1000000000+ISNUMBER('Dvd Calendar'!$AF$1960)*100000000+('Dvd Calendar'!$AF$1962=SPECIAL_LBL)*10000000+0*1000000+37*1000+28))</f>
        <v/>
      </c>
      <c r="FG196" s="35">
        <f>IF(N('Dvd Calendar'!$AG$1957)=0,"",IF(('Dvd Calendar'!$AG$1957&gt;=GRID_FROM)*('Dvd Calendar'!$AG$1957&lt;=GRID_TO)*('Dvd Calendar'!$AG$1957&lt;=VAL_DATE)=0,"",'Dvd Calendar'!$AG$1957*1000000000+ISNUMBER('Dvd Calendar'!$AG$1960)*100000000+('Dvd Calendar'!$AG$1962=SPECIAL_LBL)*10000000+0*1000000+37*1000+29))</f>
        <v/>
      </c>
      <c r="FH196" s="35">
        <f>IF(N('Dvd Calendar'!$AH$1957)=0,"",IF(('Dvd Calendar'!$AH$1957&gt;=GRID_FROM)*('Dvd Calendar'!$AH$1957&lt;=GRID_TO)*('Dvd Calendar'!$AH$1957&lt;=VAL_DATE)=0,"",'Dvd Calendar'!$AH$1957*1000000000+ISNUMBER('Dvd Calendar'!$AH$1960)*100000000+('Dvd Calendar'!$AH$1962=SPECIAL_LBL)*10000000+0*1000000+37*1000+30))</f>
        <v/>
      </c>
      <c r="FI196" s="35">
        <f>IF(N('Dvd Calendar'!$AI$1957)=0,"",IF(('Dvd Calendar'!$AI$1957&gt;=GRID_FROM)*('Dvd Calendar'!$AI$1957&lt;=GRID_TO)*('Dvd Calendar'!$AI$1957&lt;=VAL_DATE)=0,"",'Dvd Calendar'!$AI$1957*1000000000+ISNUMBER('Dvd Calendar'!$AI$1960)*100000000+('Dvd Calendar'!$AI$1962=SPECIAL_LBL)*10000000+0*1000000+37*1000+31))</f>
        <v/>
      </c>
      <c r="FJ196" s="35">
        <f>IF(N('Dvd Calendar'!$AJ$1957)=0,"",IF(('Dvd Calendar'!$AJ$1957&gt;=GRID_FROM)*('Dvd Calendar'!$AJ$1957&lt;=GRID_TO)*('Dvd Calendar'!$AJ$1957&lt;=VAL_DATE)=0,"",'Dvd Calendar'!$AJ$1957*1000000000+ISNUMBER('Dvd Calendar'!$AJ$1960)*100000000+('Dvd Calendar'!$AJ$1962=SPECIAL_LBL)*10000000+0*1000000+37*1000+32))</f>
        <v/>
      </c>
      <c r="FK196" s="35">
        <f>IF(N('Dvd Calendar'!$AK$1957)=0,"",IF(('Dvd Calendar'!$AK$1957&gt;=GRID_FROM)*('Dvd Calendar'!$AK$1957&lt;=GRID_TO)*('Dvd Calendar'!$AK$1957&lt;=VAL_DATE)=0,"",'Dvd Calendar'!$AK$1957*1000000000+ISNUMBER('Dvd Calendar'!$AK$1960)*100000000+('Dvd Calendar'!$AK$1962=SPECIAL_LBL)*10000000+0*1000000+37*1000+33))</f>
        <v/>
      </c>
      <c r="FL196" s="35">
        <f>IF(N('Dvd Calendar'!$AL$1957)=0,"",IF(('Dvd Calendar'!$AL$1957&gt;=GRID_FROM)*('Dvd Calendar'!$AL$1957&lt;=GRID_TO)*('Dvd Calendar'!$AL$1957&lt;=VAL_DATE)=0,"",'Dvd Calendar'!$AL$1957*1000000000+ISNUMBER('Dvd Calendar'!$AL$1960)*100000000+('Dvd Calendar'!$AL$1962=SPECIAL_LBL)*10000000+0*1000000+37*1000+34))</f>
        <v/>
      </c>
      <c r="FM196" s="35">
        <f>IF(N('Dvd Calendar'!$AM$1957)=0,"",IF(('Dvd Calendar'!$AM$1957&gt;=GRID_FROM)*('Dvd Calendar'!$AM$1957&lt;=GRID_TO)*('Dvd Calendar'!$AM$1957&lt;=VAL_DATE)=0,"",'Dvd Calendar'!$AM$1957*1000000000+ISNUMBER('Dvd Calendar'!$AM$1960)*100000000+('Dvd Calendar'!$AM$1962=SPECIAL_LBL)*10000000+0*1000000+37*1000+35))</f>
        <v/>
      </c>
      <c r="FN196" s="35">
        <f>IF(N('Dvd Calendar'!$AN$1957)=0,"",IF(('Dvd Calendar'!$AN$1957&gt;=GRID_FROM)*('Dvd Calendar'!$AN$1957&lt;=GRID_TO)*('Dvd Calendar'!$AN$1957&lt;=VAL_DATE)=0,"",'Dvd Calendar'!$AN$1957*1000000000+ISNUMBER('Dvd Calendar'!$AN$1960)*100000000+('Dvd Calendar'!$AN$1962=SPECIAL_LBL)*10000000+0*1000000+37*1000+36))</f>
        <v/>
      </c>
      <c r="FO196" s="35">
        <f>IF(N('Dvd Calendar'!$AO$1957)=0,"",IF(('Dvd Calendar'!$AO$1957&gt;=GRID_FROM)*('Dvd Calendar'!$AO$1957&lt;=GRID_TO)*('Dvd Calendar'!$AO$1957&lt;=VAL_DATE)=0,"",'Dvd Calendar'!$AO$1957*1000000000+ISNUMBER('Dvd Calendar'!$AO$1960)*100000000+('Dvd Calendar'!$AO$1962=SPECIAL_LBL)*10000000+0*1000000+37*1000+37))</f>
        <v/>
      </c>
      <c r="FP196" s="35">
        <f>IF(N('Dvd Calendar'!$AP$1957)=0,"",IF(('Dvd Calendar'!$AP$1957&gt;=GRID_FROM)*('Dvd Calendar'!$AP$1957&lt;=GRID_TO)*('Dvd Calendar'!$AP$1957&lt;=VAL_DATE)=0,"",'Dvd Calendar'!$AP$1957*1000000000+ISNUMBER('Dvd Calendar'!$AP$1960)*100000000+('Dvd Calendar'!$AP$1962=SPECIAL_LBL)*10000000+0*1000000+37*1000+38))</f>
        <v/>
      </c>
      <c r="FQ196" s="35">
        <f>IF(N('Dvd Calendar'!$AQ$1957)=0,"",IF(('Dvd Calendar'!$AQ$1957&gt;=GRID_FROM)*('Dvd Calendar'!$AQ$1957&lt;=GRID_TO)*('Dvd Calendar'!$AQ$1957&lt;=VAL_DATE)=0,"",'Dvd Calendar'!$AQ$1957*1000000000+ISNUMBER('Dvd Calendar'!$AQ$1960)*100000000+('Dvd Calendar'!$AQ$1962=SPECIAL_LBL)*10000000+0*1000000+37*1000+39))</f>
        <v/>
      </c>
      <c r="FR196" s="35">
        <f>IF(N('Dvd Calendar'!$AR$1957)=0,"",IF(('Dvd Calendar'!$AR$1957&gt;=GRID_FROM)*('Dvd Calendar'!$AR$1957&lt;=GRID_TO)*('Dvd Calendar'!$AR$1957&lt;=VAL_DATE)=0,"",'Dvd Calendar'!$AR$1957*1000000000+ISNUMBER('Dvd Calendar'!$AR$1960)*100000000+('Dvd Calendar'!$AR$1962=SPECIAL_LBL)*10000000+0*1000000+37*1000+40))</f>
        <v/>
      </c>
      <c r="FS196" s="35">
        <f>IF(N('Dvd Calendar'!$E$1964)=0,"",IF(('Dvd Calendar'!$E$1964&gt;=GRID_FROM)*('Dvd Calendar'!$E$1964&lt;=GRID_TO)*('Dvd Calendar'!$E$1964&gt;VAL_DATE)=0,"",'Dvd Calendar'!$E$1964*1000000000+ISNUMBER('Dvd Calendar'!$E$1965)*100000000+0*10000000+(N('Dvd Calendar'!$E$1963)&gt;0)*(N('Dvd Calendar'!$E$1963)&lt;=VAL_SERIAL)*1000000+37*1000+41))</f>
        <v/>
      </c>
      <c r="FT196" s="35">
        <f>IF(N('Dvd Calendar'!$F$1964)=0,"",IF(('Dvd Calendar'!$F$1964&gt;=GRID_FROM)*('Dvd Calendar'!$F$1964&lt;=GRID_TO)*('Dvd Calendar'!$F$1964&gt;VAL_DATE)=0,"",'Dvd Calendar'!$F$1964*1000000000+ISNUMBER('Dvd Calendar'!$F$1965)*100000000+0*10000000+(N('Dvd Calendar'!$F$1963)&gt;0)*(N('Dvd Calendar'!$F$1963)&lt;=VAL_SERIAL)*1000000+37*1000+42))</f>
        <v/>
      </c>
      <c r="FU196" s="35">
        <f>IF(N('Dvd Calendar'!$G$1964)=0,"",IF(('Dvd Calendar'!$G$1964&gt;=GRID_FROM)*('Dvd Calendar'!$G$1964&lt;=GRID_TO)*('Dvd Calendar'!$G$1964&gt;VAL_DATE)=0,"",'Dvd Calendar'!$G$1964*1000000000+ISNUMBER('Dvd Calendar'!$G$1965)*100000000+0*10000000+(N('Dvd Calendar'!$G$1963)&gt;0)*(N('Dvd Calendar'!$G$1963)&lt;=VAL_SERIAL)*1000000+37*1000+43))</f>
        <v/>
      </c>
      <c r="FV196" s="35">
        <f>IF(N('Dvd Calendar'!$H$1964)=0,"",IF(('Dvd Calendar'!$H$1964&gt;=GRID_FROM)*('Dvd Calendar'!$H$1964&lt;=GRID_TO)*('Dvd Calendar'!$H$1964&gt;VAL_DATE)=0,"",'Dvd Calendar'!$H$1964*1000000000+ISNUMBER('Dvd Calendar'!$H$1965)*100000000+0*10000000+(N('Dvd Calendar'!$H$1963)&gt;0)*(N('Dvd Calendar'!$H$1963)&lt;=VAL_SERIAL)*1000000+37*1000+44))</f>
        <v/>
      </c>
      <c r="FW196" s="35">
        <f>IF(N('Dvd Calendar'!$I$1964)=0,"",IF(('Dvd Calendar'!$I$1964&gt;=GRID_FROM)*('Dvd Calendar'!$I$1964&lt;=GRID_TO)*('Dvd Calendar'!$I$1964&gt;VAL_DATE)=0,"",'Dvd Calendar'!$I$1964*1000000000+ISNUMBER('Dvd Calendar'!$I$1965)*100000000+0*10000000+(N('Dvd Calendar'!$I$1963)&gt;0)*(N('Dvd Calendar'!$I$1963)&lt;=VAL_SERIAL)*1000000+37*1000+45))</f>
        <v/>
      </c>
      <c r="FX196" s="35">
        <f>IF(N('Dvd Calendar'!$J$1964)=0,"",IF(('Dvd Calendar'!$J$1964&gt;=GRID_FROM)*('Dvd Calendar'!$J$1964&lt;=GRID_TO)*('Dvd Calendar'!$J$1964&gt;VAL_DATE)=0,"",'Dvd Calendar'!$J$1964*1000000000+ISNUMBER('Dvd Calendar'!$J$1965)*100000000+0*10000000+(N('Dvd Calendar'!$J$1963)&gt;0)*(N('Dvd Calendar'!$J$1963)&lt;=VAL_SERIAL)*1000000+37*1000+46))</f>
        <v/>
      </c>
      <c r="FY196" s="35">
        <f>IF(N('Dvd Calendar'!$K$1964)=0,"",IF(('Dvd Calendar'!$K$1964&gt;=GRID_FROM)*('Dvd Calendar'!$K$1964&lt;=GRID_TO)*('Dvd Calendar'!$K$1964&gt;VAL_DATE)=0,"",'Dvd Calendar'!$K$1964*1000000000+ISNUMBER('Dvd Calendar'!$K$1965)*100000000+0*10000000+(N('Dvd Calendar'!$K$1963)&gt;0)*(N('Dvd Calendar'!$K$1963)&lt;=VAL_SERIAL)*1000000+37*1000+47))</f>
        <v/>
      </c>
      <c r="FZ196" s="35">
        <f>IF(N('Dvd Calendar'!$L$1964)=0,"",IF(('Dvd Calendar'!$L$1964&gt;=GRID_FROM)*('Dvd Calendar'!$L$1964&lt;=GRID_TO)*('Dvd Calendar'!$L$1964&gt;VAL_DATE)=0,"",'Dvd Calendar'!$L$1964*1000000000+ISNUMBER('Dvd Calendar'!$L$1965)*100000000+0*10000000+(N('Dvd Calendar'!$L$1963)&gt;0)*(N('Dvd Calendar'!$L$1963)&lt;=VAL_SERIAL)*1000000+37*1000+48))</f>
        <v/>
      </c>
      <c r="GA196" s="35">
        <f>IF(N('Dvd Calendar'!$M$1964)=0,"",IF(('Dvd Calendar'!$M$1964&gt;=GRID_FROM)*('Dvd Calendar'!$M$1964&lt;=GRID_TO)*('Dvd Calendar'!$M$1964&gt;VAL_DATE)=0,"",'Dvd Calendar'!$M$1964*1000000000+ISNUMBER('Dvd Calendar'!$M$1965)*100000000+0*10000000+(N('Dvd Calendar'!$M$1963)&gt;0)*(N('Dvd Calendar'!$M$1963)&lt;=VAL_SERIAL)*1000000+37*1000+49))</f>
        <v/>
      </c>
      <c r="GB196" s="35">
        <f>IF(N('Dvd Calendar'!$N$1964)=0,"",IF(('Dvd Calendar'!$N$1964&gt;=GRID_FROM)*('Dvd Calendar'!$N$1964&lt;=GRID_TO)*('Dvd Calendar'!$N$1964&gt;VAL_DATE)=0,"",'Dvd Calendar'!$N$1964*1000000000+ISNUMBER('Dvd Calendar'!$N$1965)*100000000+0*10000000+(N('Dvd Calendar'!$N$1963)&gt;0)*(N('Dvd Calendar'!$N$1963)&lt;=VAL_SERIAL)*1000000+37*1000+50))</f>
        <v/>
      </c>
      <c r="GC196" s="35">
        <f>IF(N('Dvd Calendar'!$O$1964)=0,"",IF(('Dvd Calendar'!$O$1964&gt;=GRID_FROM)*('Dvd Calendar'!$O$1964&lt;=GRID_TO)*('Dvd Calendar'!$O$1964&gt;VAL_DATE)=0,"",'Dvd Calendar'!$O$1964*1000000000+ISNUMBER('Dvd Calendar'!$O$1965)*100000000+0*10000000+(N('Dvd Calendar'!$O$1963)&gt;0)*(N('Dvd Calendar'!$O$1963)&lt;=VAL_SERIAL)*1000000+37*1000+51))</f>
        <v/>
      </c>
      <c r="GD196" s="35">
        <f>IF(N('Dvd Calendar'!$P$1964)=0,"",IF(('Dvd Calendar'!$P$1964&gt;=GRID_FROM)*('Dvd Calendar'!$P$1964&lt;=GRID_TO)*('Dvd Calendar'!$P$1964&gt;VAL_DATE)=0,"",'Dvd Calendar'!$P$1964*1000000000+ISNUMBER('Dvd Calendar'!$P$1965)*100000000+0*10000000+(N('Dvd Calendar'!$P$1963)&gt;0)*(N('Dvd Calendar'!$P$1963)&lt;=VAL_SERIAL)*1000000+37*1000+52))</f>
        <v/>
      </c>
      <c r="GE196" s="35">
        <f>IF(N('Dvd Calendar'!$Q$1964)=0,"",IF(('Dvd Calendar'!$Q$1964&gt;=GRID_FROM)*('Dvd Calendar'!$Q$1964&lt;=GRID_TO)*('Dvd Calendar'!$Q$1964&gt;VAL_DATE)=0,"",'Dvd Calendar'!$Q$1964*1000000000+ISNUMBER('Dvd Calendar'!$Q$1965)*100000000+0*10000000+(N('Dvd Calendar'!$Q$1963)&gt;0)*(N('Dvd Calendar'!$Q$1963)&lt;=VAL_SERIAL)*1000000+37*1000+53))</f>
        <v/>
      </c>
      <c r="GF196" s="35">
        <f>IF(N('Dvd Calendar'!$R$1964)=0,"",IF(('Dvd Calendar'!$R$1964&gt;=GRID_FROM)*('Dvd Calendar'!$R$1964&lt;=GRID_TO)*('Dvd Calendar'!$R$1964&gt;VAL_DATE)=0,"",'Dvd Calendar'!$R$1964*1000000000+ISNUMBER('Dvd Calendar'!$R$1965)*100000000+0*10000000+(N('Dvd Calendar'!$R$1963)&gt;0)*(N('Dvd Calendar'!$R$1963)&lt;=VAL_SERIAL)*1000000+37*1000+54))</f>
        <v/>
      </c>
      <c r="GG196" s="35">
        <f>IF(N('Dvd Calendar'!$S$1964)=0,"",IF(('Dvd Calendar'!$S$1964&gt;=GRID_FROM)*('Dvd Calendar'!$S$1964&lt;=GRID_TO)*('Dvd Calendar'!$S$1964&gt;VAL_DATE)=0,"",'Dvd Calendar'!$S$1964*1000000000+ISNUMBER('Dvd Calendar'!$S$1965)*100000000+0*10000000+(N('Dvd Calendar'!$S$1963)&gt;0)*(N('Dvd Calendar'!$S$1963)&lt;=VAL_SERIAL)*1000000+37*1000+55))</f>
        <v/>
      </c>
      <c r="GH196" s="35">
        <f>IF(N('Dvd Calendar'!$T$1964)=0,"",IF(('Dvd Calendar'!$T$1964&gt;=GRID_FROM)*('Dvd Calendar'!$T$1964&lt;=GRID_TO)*('Dvd Calendar'!$T$1964&gt;VAL_DATE)=0,"",'Dvd Calendar'!$T$1964*1000000000+ISNUMBER('Dvd Calendar'!$T$1965)*100000000+0*10000000+(N('Dvd Calendar'!$T$1963)&gt;0)*(N('Dvd Calendar'!$T$1963)&lt;=VAL_SERIAL)*1000000+37*1000+56))</f>
        <v/>
      </c>
      <c r="GI196" s="35">
        <f>IF(N('Dvd Calendar'!$U$1964)=0,"",IF(('Dvd Calendar'!$U$1964&gt;=GRID_FROM)*('Dvd Calendar'!$U$1964&lt;=GRID_TO)*('Dvd Calendar'!$U$1964&gt;VAL_DATE)=0,"",'Dvd Calendar'!$U$1964*1000000000+ISNUMBER('Dvd Calendar'!$U$1965)*100000000+0*10000000+(N('Dvd Calendar'!$U$1963)&gt;0)*(N('Dvd Calendar'!$U$1963)&lt;=VAL_SERIAL)*1000000+37*1000+57))</f>
        <v/>
      </c>
      <c r="GJ196" s="35">
        <f>IF(N('Dvd Calendar'!$V$1964)=0,"",IF(('Dvd Calendar'!$V$1964&gt;=GRID_FROM)*('Dvd Calendar'!$V$1964&lt;=GRID_TO)*('Dvd Calendar'!$V$1964&gt;VAL_DATE)=0,"",'Dvd Calendar'!$V$1964*1000000000+ISNUMBER('Dvd Calendar'!$V$1965)*100000000+0*10000000+(N('Dvd Calendar'!$V$1963)&gt;0)*(N('Dvd Calendar'!$V$1963)&lt;=VAL_SERIAL)*1000000+37*1000+58))</f>
        <v/>
      </c>
      <c r="GK196" s="35">
        <f>IF(N('Dvd Calendar'!$W$1964)=0,"",IF(('Dvd Calendar'!$W$1964&gt;=GRID_FROM)*('Dvd Calendar'!$W$1964&lt;=GRID_TO)*('Dvd Calendar'!$W$1964&gt;VAL_DATE)=0,"",'Dvd Calendar'!$W$1964*1000000000+ISNUMBER('Dvd Calendar'!$W$1965)*100000000+0*10000000+(N('Dvd Calendar'!$W$1963)&gt;0)*(N('Dvd Calendar'!$W$1963)&lt;=VAL_SERIAL)*1000000+37*1000+59))</f>
        <v/>
      </c>
      <c r="GL196" s="35">
        <f>IF(N('Dvd Calendar'!$X$1964)=0,"",IF(('Dvd Calendar'!$X$1964&gt;=GRID_FROM)*('Dvd Calendar'!$X$1964&lt;=GRID_TO)*('Dvd Calendar'!$X$1964&gt;VAL_DATE)=0,"",'Dvd Calendar'!$X$1964*1000000000+ISNUMBER('Dvd Calendar'!$X$1965)*100000000+0*10000000+(N('Dvd Calendar'!$X$1963)&gt;0)*(N('Dvd Calendar'!$X$1963)&lt;=VAL_SERIAL)*1000000+37*1000+60))</f>
        <v/>
      </c>
      <c r="GM196" s="35">
        <f>IF(N('Dvd Calendar'!$Y$1964)=0,"",IF(('Dvd Calendar'!$Y$1964&gt;=GRID_FROM)*('Dvd Calendar'!$Y$1964&lt;=GRID_TO)*('Dvd Calendar'!$Y$1964&gt;VAL_DATE)=0,"",'Dvd Calendar'!$Y$1964*1000000000+ISNUMBER('Dvd Calendar'!$Y$1965)*100000000+0*10000000+(N('Dvd Calendar'!$Y$1963)&gt;0)*(N('Dvd Calendar'!$Y$1963)&lt;=VAL_SERIAL)*1000000+37*1000+61))</f>
        <v/>
      </c>
      <c r="GN196" s="35">
        <f>IF(N('Dvd Calendar'!$Z$1964)=0,"",IF(('Dvd Calendar'!$Z$1964&gt;=GRID_FROM)*('Dvd Calendar'!$Z$1964&lt;=GRID_TO)*('Dvd Calendar'!$Z$1964&gt;VAL_DATE)=0,"",'Dvd Calendar'!$Z$1964*1000000000+ISNUMBER('Dvd Calendar'!$Z$1965)*100000000+0*10000000+(N('Dvd Calendar'!$Z$1963)&gt;0)*(N('Dvd Calendar'!$Z$1963)&lt;=VAL_SERIAL)*1000000+37*1000+62))</f>
        <v/>
      </c>
      <c r="GO196" s="35">
        <f>IF(N('Dvd Calendar'!$AA$1964)=0,"",IF(('Dvd Calendar'!$AA$1964&gt;=GRID_FROM)*('Dvd Calendar'!$AA$1964&lt;=GRID_TO)*('Dvd Calendar'!$AA$1964&gt;VAL_DATE)=0,"",'Dvd Calendar'!$AA$1964*1000000000+ISNUMBER('Dvd Calendar'!$AA$1965)*100000000+0*10000000+(N('Dvd Calendar'!$AA$1963)&gt;0)*(N('Dvd Calendar'!$AA$1963)&lt;=VAL_SERIAL)*1000000+37*1000+63))</f>
        <v/>
      </c>
      <c r="GP196" s="35">
        <f>IF(N('Dvd Calendar'!$AB$1964)=0,"",IF(('Dvd Calendar'!$AB$1964&gt;=GRID_FROM)*('Dvd Calendar'!$AB$1964&lt;=GRID_TO)*('Dvd Calendar'!$AB$1964&gt;VAL_DATE)=0,"",'Dvd Calendar'!$AB$1964*1000000000+ISNUMBER('Dvd Calendar'!$AB$1965)*100000000+0*10000000+(N('Dvd Calendar'!$AB$1963)&gt;0)*(N('Dvd Calendar'!$AB$1963)&lt;=VAL_SERIAL)*1000000+37*1000+64))</f>
        <v/>
      </c>
      <c r="GQ196" s="35">
        <f>IF(N('Dvd Calendar'!$AC$1964)=0,"",IF(('Dvd Calendar'!$AC$1964&gt;=GRID_FROM)*('Dvd Calendar'!$AC$1964&lt;=GRID_TO)*('Dvd Calendar'!$AC$1964&gt;VAL_DATE)=0,"",'Dvd Calendar'!$AC$1964*1000000000+ISNUMBER('Dvd Calendar'!$AC$1965)*100000000+0*10000000+(N('Dvd Calendar'!$AC$1963)&gt;0)*(N('Dvd Calendar'!$AC$1963)&lt;=VAL_SERIAL)*1000000+37*1000+65))</f>
        <v/>
      </c>
    </row>
    <row r="197">
      <c r="B197" s="2">
        <f>IF(HSCEI!$C$44="","",HSCEI!$C$44)</f>
        <v/>
      </c>
      <c r="C197" s="106">
        <f>IF(EE197="","",IF(ISNUMBER('Dvd Calendar'!$E$1971)=FALSE,"",IF((('Dvd Calendar'!$E$1973=TYPE1)*(TYPE1&lt;&gt;"")+('Dvd Calendar'!$E$1973=TYPE2)*(TYPE2&lt;&gt;"")+('Dvd Calendar'!$E$1973=TYPE3)*(TYPE3&lt;&gt;"")+('Dvd Calendar'!$E$1973=TYPE4)*(TYPE4&lt;&gt;"")+('Dvd Calendar'!$E$1973=SPECIAL_LBL)*(INC_SPECIALS="Y"))=0,"",'Dvd Calendar'!$E$1971)))</f>
        <v/>
      </c>
      <c r="D197" s="106">
        <f>IF(EF197="","",IF(ISNUMBER('Dvd Calendar'!$F$1971)=FALSE,"",IF((('Dvd Calendar'!$F$1973=TYPE1)*(TYPE1&lt;&gt;"")+('Dvd Calendar'!$F$1973=TYPE2)*(TYPE2&lt;&gt;"")+('Dvd Calendar'!$F$1973=TYPE3)*(TYPE3&lt;&gt;"")+('Dvd Calendar'!$F$1973=TYPE4)*(TYPE4&lt;&gt;"")+('Dvd Calendar'!$F$1973=SPECIAL_LBL)*(INC_SPECIALS="Y"))=0,"",'Dvd Calendar'!$F$1971)))</f>
        <v/>
      </c>
      <c r="E197" s="106">
        <f>IF(EG197="","",IF(ISNUMBER('Dvd Calendar'!$G$1971)=FALSE,"",IF((('Dvd Calendar'!$G$1973=TYPE1)*(TYPE1&lt;&gt;"")+('Dvd Calendar'!$G$1973=TYPE2)*(TYPE2&lt;&gt;"")+('Dvd Calendar'!$G$1973=TYPE3)*(TYPE3&lt;&gt;"")+('Dvd Calendar'!$G$1973=TYPE4)*(TYPE4&lt;&gt;"")+('Dvd Calendar'!$G$1973=SPECIAL_LBL)*(INC_SPECIALS="Y"))=0,"",'Dvd Calendar'!$G$1971)))</f>
        <v/>
      </c>
      <c r="F197" s="106">
        <f>IF(EH197="","",IF(ISNUMBER('Dvd Calendar'!$H$1971)=FALSE,"",IF((('Dvd Calendar'!$H$1973=TYPE1)*(TYPE1&lt;&gt;"")+('Dvd Calendar'!$H$1973=TYPE2)*(TYPE2&lt;&gt;"")+('Dvd Calendar'!$H$1973=TYPE3)*(TYPE3&lt;&gt;"")+('Dvd Calendar'!$H$1973=TYPE4)*(TYPE4&lt;&gt;"")+('Dvd Calendar'!$H$1973=SPECIAL_LBL)*(INC_SPECIALS="Y"))=0,"",'Dvd Calendar'!$H$1971)))</f>
        <v/>
      </c>
      <c r="G197" s="106">
        <f>IF(EI197="","",IF(ISNUMBER('Dvd Calendar'!$I$1971)=FALSE,"",IF((('Dvd Calendar'!$I$1973=TYPE1)*(TYPE1&lt;&gt;"")+('Dvd Calendar'!$I$1973=TYPE2)*(TYPE2&lt;&gt;"")+('Dvd Calendar'!$I$1973=TYPE3)*(TYPE3&lt;&gt;"")+('Dvd Calendar'!$I$1973=TYPE4)*(TYPE4&lt;&gt;"")+('Dvd Calendar'!$I$1973=SPECIAL_LBL)*(INC_SPECIALS="Y"))=0,"",'Dvd Calendar'!$I$1971)))</f>
        <v/>
      </c>
      <c r="H197" s="106">
        <f>IF(EJ197="","",IF(ISNUMBER('Dvd Calendar'!$J$1971)=FALSE,"",IF((('Dvd Calendar'!$J$1973=TYPE1)*(TYPE1&lt;&gt;"")+('Dvd Calendar'!$J$1973=TYPE2)*(TYPE2&lt;&gt;"")+('Dvd Calendar'!$J$1973=TYPE3)*(TYPE3&lt;&gt;"")+('Dvd Calendar'!$J$1973=TYPE4)*(TYPE4&lt;&gt;"")+('Dvd Calendar'!$J$1973=SPECIAL_LBL)*(INC_SPECIALS="Y"))=0,"",'Dvd Calendar'!$J$1971)))</f>
        <v/>
      </c>
      <c r="I197" s="106">
        <f>IF(EK197="","",IF(ISNUMBER('Dvd Calendar'!$K$1971)=FALSE,"",IF((('Dvd Calendar'!$K$1973=TYPE1)*(TYPE1&lt;&gt;"")+('Dvd Calendar'!$K$1973=TYPE2)*(TYPE2&lt;&gt;"")+('Dvd Calendar'!$K$1973=TYPE3)*(TYPE3&lt;&gt;"")+('Dvd Calendar'!$K$1973=TYPE4)*(TYPE4&lt;&gt;"")+('Dvd Calendar'!$K$1973=SPECIAL_LBL)*(INC_SPECIALS="Y"))=0,"",'Dvd Calendar'!$K$1971)))</f>
        <v/>
      </c>
      <c r="J197" s="106">
        <f>IF(EL197="","",IF(ISNUMBER('Dvd Calendar'!$L$1971)=FALSE,"",IF((('Dvd Calendar'!$L$1973=TYPE1)*(TYPE1&lt;&gt;"")+('Dvd Calendar'!$L$1973=TYPE2)*(TYPE2&lt;&gt;"")+('Dvd Calendar'!$L$1973=TYPE3)*(TYPE3&lt;&gt;"")+('Dvd Calendar'!$L$1973=TYPE4)*(TYPE4&lt;&gt;"")+('Dvd Calendar'!$L$1973=SPECIAL_LBL)*(INC_SPECIALS="Y"))=0,"",'Dvd Calendar'!$L$1971)))</f>
        <v/>
      </c>
      <c r="K197" s="106">
        <f>IF(EM197="","",IF(ISNUMBER('Dvd Calendar'!$M$1971)=FALSE,"",IF((('Dvd Calendar'!$M$1973=TYPE1)*(TYPE1&lt;&gt;"")+('Dvd Calendar'!$M$1973=TYPE2)*(TYPE2&lt;&gt;"")+('Dvd Calendar'!$M$1973=TYPE3)*(TYPE3&lt;&gt;"")+('Dvd Calendar'!$M$1973=TYPE4)*(TYPE4&lt;&gt;"")+('Dvd Calendar'!$M$1973=SPECIAL_LBL)*(INC_SPECIALS="Y"))=0,"",'Dvd Calendar'!$M$1971)))</f>
        <v/>
      </c>
      <c r="L197" s="106">
        <f>IF(EN197="","",IF(ISNUMBER('Dvd Calendar'!$N$1971)=FALSE,"",IF((('Dvd Calendar'!$N$1973=TYPE1)*(TYPE1&lt;&gt;"")+('Dvd Calendar'!$N$1973=TYPE2)*(TYPE2&lt;&gt;"")+('Dvd Calendar'!$N$1973=TYPE3)*(TYPE3&lt;&gt;"")+('Dvd Calendar'!$N$1973=TYPE4)*(TYPE4&lt;&gt;"")+('Dvd Calendar'!$N$1973=SPECIAL_LBL)*(INC_SPECIALS="Y"))=0,"",'Dvd Calendar'!$N$1971)))</f>
        <v/>
      </c>
      <c r="M197" s="106">
        <f>IF(EO197="","",IF(ISNUMBER('Dvd Calendar'!$O$1971)=FALSE,"",IF((('Dvd Calendar'!$O$1973=TYPE1)*(TYPE1&lt;&gt;"")+('Dvd Calendar'!$O$1973=TYPE2)*(TYPE2&lt;&gt;"")+('Dvd Calendar'!$O$1973=TYPE3)*(TYPE3&lt;&gt;"")+('Dvd Calendar'!$O$1973=TYPE4)*(TYPE4&lt;&gt;"")+('Dvd Calendar'!$O$1973=SPECIAL_LBL)*(INC_SPECIALS="Y"))=0,"",'Dvd Calendar'!$O$1971)))</f>
        <v/>
      </c>
      <c r="N197" s="106">
        <f>IF(EP197="","",IF(ISNUMBER('Dvd Calendar'!$P$1971)=FALSE,"",IF((('Dvd Calendar'!$P$1973=TYPE1)*(TYPE1&lt;&gt;"")+('Dvd Calendar'!$P$1973=TYPE2)*(TYPE2&lt;&gt;"")+('Dvd Calendar'!$P$1973=TYPE3)*(TYPE3&lt;&gt;"")+('Dvd Calendar'!$P$1973=TYPE4)*(TYPE4&lt;&gt;"")+('Dvd Calendar'!$P$1973=SPECIAL_LBL)*(INC_SPECIALS="Y"))=0,"",'Dvd Calendar'!$P$1971)))</f>
        <v/>
      </c>
      <c r="O197" s="106">
        <f>IF(EQ197="","",IF(ISNUMBER('Dvd Calendar'!$Q$1971)=FALSE,"",IF((('Dvd Calendar'!$Q$1973=TYPE1)*(TYPE1&lt;&gt;"")+('Dvd Calendar'!$Q$1973=TYPE2)*(TYPE2&lt;&gt;"")+('Dvd Calendar'!$Q$1973=TYPE3)*(TYPE3&lt;&gt;"")+('Dvd Calendar'!$Q$1973=TYPE4)*(TYPE4&lt;&gt;"")+('Dvd Calendar'!$Q$1973=SPECIAL_LBL)*(INC_SPECIALS="Y"))=0,"",'Dvd Calendar'!$Q$1971)))</f>
        <v/>
      </c>
      <c r="P197" s="106">
        <f>IF(ER197="","",IF(ISNUMBER('Dvd Calendar'!$R$1971)=FALSE,"",IF((('Dvd Calendar'!$R$1973=TYPE1)*(TYPE1&lt;&gt;"")+('Dvd Calendar'!$R$1973=TYPE2)*(TYPE2&lt;&gt;"")+('Dvd Calendar'!$R$1973=TYPE3)*(TYPE3&lt;&gt;"")+('Dvd Calendar'!$R$1973=TYPE4)*(TYPE4&lt;&gt;"")+('Dvd Calendar'!$R$1973=SPECIAL_LBL)*(INC_SPECIALS="Y"))=0,"",'Dvd Calendar'!$R$1971)))</f>
        <v/>
      </c>
      <c r="Q197" s="106">
        <f>IF(ES197="","",IF(ISNUMBER('Dvd Calendar'!$S$1971)=FALSE,"",IF((('Dvd Calendar'!$S$1973=TYPE1)*(TYPE1&lt;&gt;"")+('Dvd Calendar'!$S$1973=TYPE2)*(TYPE2&lt;&gt;"")+('Dvd Calendar'!$S$1973=TYPE3)*(TYPE3&lt;&gt;"")+('Dvd Calendar'!$S$1973=TYPE4)*(TYPE4&lt;&gt;"")+('Dvd Calendar'!$S$1973=SPECIAL_LBL)*(INC_SPECIALS="Y"))=0,"",'Dvd Calendar'!$S$1971)))</f>
        <v/>
      </c>
      <c r="R197" s="106">
        <f>IF(ET197="","",IF(ISNUMBER('Dvd Calendar'!$T$1971)=FALSE,"",IF((('Dvd Calendar'!$T$1973=TYPE1)*(TYPE1&lt;&gt;"")+('Dvd Calendar'!$T$1973=TYPE2)*(TYPE2&lt;&gt;"")+('Dvd Calendar'!$T$1973=TYPE3)*(TYPE3&lt;&gt;"")+('Dvd Calendar'!$T$1973=TYPE4)*(TYPE4&lt;&gt;"")+('Dvd Calendar'!$T$1973=SPECIAL_LBL)*(INC_SPECIALS="Y"))=0,"",'Dvd Calendar'!$T$1971)))</f>
        <v/>
      </c>
      <c r="S197" s="106">
        <f>IF(EU197="","",IF(ISNUMBER('Dvd Calendar'!$U$1971)=FALSE,"",IF((('Dvd Calendar'!$U$1973=TYPE1)*(TYPE1&lt;&gt;"")+('Dvd Calendar'!$U$1973=TYPE2)*(TYPE2&lt;&gt;"")+('Dvd Calendar'!$U$1973=TYPE3)*(TYPE3&lt;&gt;"")+('Dvd Calendar'!$U$1973=TYPE4)*(TYPE4&lt;&gt;"")+('Dvd Calendar'!$U$1973=SPECIAL_LBL)*(INC_SPECIALS="Y"))=0,"",'Dvd Calendar'!$U$1971)))</f>
        <v/>
      </c>
      <c r="T197" s="106">
        <f>IF(EV197="","",IF(ISNUMBER('Dvd Calendar'!$V$1971)=FALSE,"",IF((('Dvd Calendar'!$V$1973=TYPE1)*(TYPE1&lt;&gt;"")+('Dvd Calendar'!$V$1973=TYPE2)*(TYPE2&lt;&gt;"")+('Dvd Calendar'!$V$1973=TYPE3)*(TYPE3&lt;&gt;"")+('Dvd Calendar'!$V$1973=TYPE4)*(TYPE4&lt;&gt;"")+('Dvd Calendar'!$V$1973=SPECIAL_LBL)*(INC_SPECIALS="Y"))=0,"",'Dvd Calendar'!$V$1971)))</f>
        <v/>
      </c>
      <c r="U197" s="106">
        <f>IF(EW197="","",IF(ISNUMBER('Dvd Calendar'!$W$1971)=FALSE,"",IF((('Dvd Calendar'!$W$1973=TYPE1)*(TYPE1&lt;&gt;"")+('Dvd Calendar'!$W$1973=TYPE2)*(TYPE2&lt;&gt;"")+('Dvd Calendar'!$W$1973=TYPE3)*(TYPE3&lt;&gt;"")+('Dvd Calendar'!$W$1973=TYPE4)*(TYPE4&lt;&gt;"")+('Dvd Calendar'!$W$1973=SPECIAL_LBL)*(INC_SPECIALS="Y"))=0,"",'Dvd Calendar'!$W$1971)))</f>
        <v/>
      </c>
      <c r="V197" s="106">
        <f>IF(EX197="","",IF(ISNUMBER('Dvd Calendar'!$X$1971)=FALSE,"",IF((('Dvd Calendar'!$X$1973=TYPE1)*(TYPE1&lt;&gt;"")+('Dvd Calendar'!$X$1973=TYPE2)*(TYPE2&lt;&gt;"")+('Dvd Calendar'!$X$1973=TYPE3)*(TYPE3&lt;&gt;"")+('Dvd Calendar'!$X$1973=TYPE4)*(TYPE4&lt;&gt;"")+('Dvd Calendar'!$X$1973=SPECIAL_LBL)*(INC_SPECIALS="Y"))=0,"",'Dvd Calendar'!$X$1971)))</f>
        <v/>
      </c>
      <c r="W197" s="106">
        <f>IF(EY197="","",IF(ISNUMBER('Dvd Calendar'!$Y$1971)=FALSE,"",IF((('Dvd Calendar'!$Y$1973=TYPE1)*(TYPE1&lt;&gt;"")+('Dvd Calendar'!$Y$1973=TYPE2)*(TYPE2&lt;&gt;"")+('Dvd Calendar'!$Y$1973=TYPE3)*(TYPE3&lt;&gt;"")+('Dvd Calendar'!$Y$1973=TYPE4)*(TYPE4&lt;&gt;"")+('Dvd Calendar'!$Y$1973=SPECIAL_LBL)*(INC_SPECIALS="Y"))=0,"",'Dvd Calendar'!$Y$1971)))</f>
        <v/>
      </c>
      <c r="X197" s="106">
        <f>IF(EZ197="","",IF(ISNUMBER('Dvd Calendar'!$Z$1971)=FALSE,"",IF((('Dvd Calendar'!$Z$1973=TYPE1)*(TYPE1&lt;&gt;"")+('Dvd Calendar'!$Z$1973=TYPE2)*(TYPE2&lt;&gt;"")+('Dvd Calendar'!$Z$1973=TYPE3)*(TYPE3&lt;&gt;"")+('Dvd Calendar'!$Z$1973=TYPE4)*(TYPE4&lt;&gt;"")+('Dvd Calendar'!$Z$1973=SPECIAL_LBL)*(INC_SPECIALS="Y"))=0,"",'Dvd Calendar'!$Z$1971)))</f>
        <v/>
      </c>
      <c r="Y197" s="106">
        <f>IF(FA197="","",IF(ISNUMBER('Dvd Calendar'!$AA$1971)=FALSE,"",IF((('Dvd Calendar'!$AA$1973=TYPE1)*(TYPE1&lt;&gt;"")+('Dvd Calendar'!$AA$1973=TYPE2)*(TYPE2&lt;&gt;"")+('Dvd Calendar'!$AA$1973=TYPE3)*(TYPE3&lt;&gt;"")+('Dvd Calendar'!$AA$1973=TYPE4)*(TYPE4&lt;&gt;"")+('Dvd Calendar'!$AA$1973=SPECIAL_LBL)*(INC_SPECIALS="Y"))=0,"",'Dvd Calendar'!$AA$1971)))</f>
        <v/>
      </c>
      <c r="Z197" s="106">
        <f>IF(FB197="","",IF(ISNUMBER('Dvd Calendar'!$AB$1971)=FALSE,"",IF((('Dvd Calendar'!$AB$1973=TYPE1)*(TYPE1&lt;&gt;"")+('Dvd Calendar'!$AB$1973=TYPE2)*(TYPE2&lt;&gt;"")+('Dvd Calendar'!$AB$1973=TYPE3)*(TYPE3&lt;&gt;"")+('Dvd Calendar'!$AB$1973=TYPE4)*(TYPE4&lt;&gt;"")+('Dvd Calendar'!$AB$1973=SPECIAL_LBL)*(INC_SPECIALS="Y"))=0,"",'Dvd Calendar'!$AB$1971)))</f>
        <v/>
      </c>
      <c r="AA197" s="106">
        <f>IF(FC197="","",IF(ISNUMBER('Dvd Calendar'!$AC$1971)=FALSE,"",IF((('Dvd Calendar'!$AC$1973=TYPE1)*(TYPE1&lt;&gt;"")+('Dvd Calendar'!$AC$1973=TYPE2)*(TYPE2&lt;&gt;"")+('Dvd Calendar'!$AC$1973=TYPE3)*(TYPE3&lt;&gt;"")+('Dvd Calendar'!$AC$1973=TYPE4)*(TYPE4&lt;&gt;"")+('Dvd Calendar'!$AC$1973=SPECIAL_LBL)*(INC_SPECIALS="Y"))=0,"",'Dvd Calendar'!$AC$1971)))</f>
        <v/>
      </c>
      <c r="AB197" s="106">
        <f>IF(FD197="","",IF(ISNUMBER('Dvd Calendar'!$AD$1971)=FALSE,"",IF((('Dvd Calendar'!$AD$1973=TYPE1)*(TYPE1&lt;&gt;"")+('Dvd Calendar'!$AD$1973=TYPE2)*(TYPE2&lt;&gt;"")+('Dvd Calendar'!$AD$1973=TYPE3)*(TYPE3&lt;&gt;"")+('Dvd Calendar'!$AD$1973=TYPE4)*(TYPE4&lt;&gt;"")+('Dvd Calendar'!$AD$1973=SPECIAL_LBL)*(INC_SPECIALS="Y"))=0,"",'Dvd Calendar'!$AD$1971)))</f>
        <v/>
      </c>
      <c r="AC197" s="106">
        <f>IF(FE197="","",IF(ISNUMBER('Dvd Calendar'!$AE$1971)=FALSE,"",IF((('Dvd Calendar'!$AE$1973=TYPE1)*(TYPE1&lt;&gt;"")+('Dvd Calendar'!$AE$1973=TYPE2)*(TYPE2&lt;&gt;"")+('Dvd Calendar'!$AE$1973=TYPE3)*(TYPE3&lt;&gt;"")+('Dvd Calendar'!$AE$1973=TYPE4)*(TYPE4&lt;&gt;"")+('Dvd Calendar'!$AE$1973=SPECIAL_LBL)*(INC_SPECIALS="Y"))=0,"",'Dvd Calendar'!$AE$1971)))</f>
        <v/>
      </c>
      <c r="AD197" s="106">
        <f>IF(FF197="","",IF(ISNUMBER('Dvd Calendar'!$AF$1971)=FALSE,"",IF((('Dvd Calendar'!$AF$1973=TYPE1)*(TYPE1&lt;&gt;"")+('Dvd Calendar'!$AF$1973=TYPE2)*(TYPE2&lt;&gt;"")+('Dvd Calendar'!$AF$1973=TYPE3)*(TYPE3&lt;&gt;"")+('Dvd Calendar'!$AF$1973=TYPE4)*(TYPE4&lt;&gt;"")+('Dvd Calendar'!$AF$1973=SPECIAL_LBL)*(INC_SPECIALS="Y"))=0,"",'Dvd Calendar'!$AF$1971)))</f>
        <v/>
      </c>
      <c r="AE197" s="106">
        <f>IF(FG197="","",IF(ISNUMBER('Dvd Calendar'!$AG$1971)=FALSE,"",IF((('Dvd Calendar'!$AG$1973=TYPE1)*(TYPE1&lt;&gt;"")+('Dvd Calendar'!$AG$1973=TYPE2)*(TYPE2&lt;&gt;"")+('Dvd Calendar'!$AG$1973=TYPE3)*(TYPE3&lt;&gt;"")+('Dvd Calendar'!$AG$1973=TYPE4)*(TYPE4&lt;&gt;"")+('Dvd Calendar'!$AG$1973=SPECIAL_LBL)*(INC_SPECIALS="Y"))=0,"",'Dvd Calendar'!$AG$1971)))</f>
        <v/>
      </c>
      <c r="AF197" s="106">
        <f>IF(FH197="","",IF(ISNUMBER('Dvd Calendar'!$AH$1971)=FALSE,"",IF((('Dvd Calendar'!$AH$1973=TYPE1)*(TYPE1&lt;&gt;"")+('Dvd Calendar'!$AH$1973=TYPE2)*(TYPE2&lt;&gt;"")+('Dvd Calendar'!$AH$1973=TYPE3)*(TYPE3&lt;&gt;"")+('Dvd Calendar'!$AH$1973=TYPE4)*(TYPE4&lt;&gt;"")+('Dvd Calendar'!$AH$1973=SPECIAL_LBL)*(INC_SPECIALS="Y"))=0,"",'Dvd Calendar'!$AH$1971)))</f>
        <v/>
      </c>
      <c r="AG197" s="106">
        <f>IF(FI197="","",IF(ISNUMBER('Dvd Calendar'!$AI$1971)=FALSE,"",IF((('Dvd Calendar'!$AI$1973=TYPE1)*(TYPE1&lt;&gt;"")+('Dvd Calendar'!$AI$1973=TYPE2)*(TYPE2&lt;&gt;"")+('Dvd Calendar'!$AI$1973=TYPE3)*(TYPE3&lt;&gt;"")+('Dvd Calendar'!$AI$1973=TYPE4)*(TYPE4&lt;&gt;"")+('Dvd Calendar'!$AI$1973=SPECIAL_LBL)*(INC_SPECIALS="Y"))=0,"",'Dvd Calendar'!$AI$1971)))</f>
        <v/>
      </c>
      <c r="AH197" s="106">
        <f>IF(FJ197="","",IF(ISNUMBER('Dvd Calendar'!$AJ$1971)=FALSE,"",IF((('Dvd Calendar'!$AJ$1973=TYPE1)*(TYPE1&lt;&gt;"")+('Dvd Calendar'!$AJ$1973=TYPE2)*(TYPE2&lt;&gt;"")+('Dvd Calendar'!$AJ$1973=TYPE3)*(TYPE3&lt;&gt;"")+('Dvd Calendar'!$AJ$1973=TYPE4)*(TYPE4&lt;&gt;"")+('Dvd Calendar'!$AJ$1973=SPECIAL_LBL)*(INC_SPECIALS="Y"))=0,"",'Dvd Calendar'!$AJ$1971)))</f>
        <v/>
      </c>
      <c r="AI197" s="106">
        <f>IF(FK197="","",IF(ISNUMBER('Dvd Calendar'!$AK$1971)=FALSE,"",IF((('Dvd Calendar'!$AK$1973=TYPE1)*(TYPE1&lt;&gt;"")+('Dvd Calendar'!$AK$1973=TYPE2)*(TYPE2&lt;&gt;"")+('Dvd Calendar'!$AK$1973=TYPE3)*(TYPE3&lt;&gt;"")+('Dvd Calendar'!$AK$1973=TYPE4)*(TYPE4&lt;&gt;"")+('Dvd Calendar'!$AK$1973=SPECIAL_LBL)*(INC_SPECIALS="Y"))=0,"",'Dvd Calendar'!$AK$1971)))</f>
        <v/>
      </c>
      <c r="AJ197" s="106">
        <f>IF(FL197="","",IF(ISNUMBER('Dvd Calendar'!$AL$1971)=FALSE,"",IF((('Dvd Calendar'!$AL$1973=TYPE1)*(TYPE1&lt;&gt;"")+('Dvd Calendar'!$AL$1973=TYPE2)*(TYPE2&lt;&gt;"")+('Dvd Calendar'!$AL$1973=TYPE3)*(TYPE3&lt;&gt;"")+('Dvd Calendar'!$AL$1973=TYPE4)*(TYPE4&lt;&gt;"")+('Dvd Calendar'!$AL$1973=SPECIAL_LBL)*(INC_SPECIALS="Y"))=0,"",'Dvd Calendar'!$AL$1971)))</f>
        <v/>
      </c>
      <c r="AK197" s="106">
        <f>IF(FM197="","",IF(ISNUMBER('Dvd Calendar'!$AM$1971)=FALSE,"",IF((('Dvd Calendar'!$AM$1973=TYPE1)*(TYPE1&lt;&gt;"")+('Dvd Calendar'!$AM$1973=TYPE2)*(TYPE2&lt;&gt;"")+('Dvd Calendar'!$AM$1973=TYPE3)*(TYPE3&lt;&gt;"")+('Dvd Calendar'!$AM$1973=TYPE4)*(TYPE4&lt;&gt;"")+('Dvd Calendar'!$AM$1973=SPECIAL_LBL)*(INC_SPECIALS="Y"))=0,"",'Dvd Calendar'!$AM$1971)))</f>
        <v/>
      </c>
      <c r="AL197" s="106">
        <f>IF(FN197="","",IF(ISNUMBER('Dvd Calendar'!$AN$1971)=FALSE,"",IF((('Dvd Calendar'!$AN$1973=TYPE1)*(TYPE1&lt;&gt;"")+('Dvd Calendar'!$AN$1973=TYPE2)*(TYPE2&lt;&gt;"")+('Dvd Calendar'!$AN$1973=TYPE3)*(TYPE3&lt;&gt;"")+('Dvd Calendar'!$AN$1973=TYPE4)*(TYPE4&lt;&gt;"")+('Dvd Calendar'!$AN$1973=SPECIAL_LBL)*(INC_SPECIALS="Y"))=0,"",'Dvd Calendar'!$AN$1971)))</f>
        <v/>
      </c>
      <c r="AM197" s="106">
        <f>IF(FO197="","",IF(ISNUMBER('Dvd Calendar'!$AO$1971)=FALSE,"",IF((('Dvd Calendar'!$AO$1973=TYPE1)*(TYPE1&lt;&gt;"")+('Dvd Calendar'!$AO$1973=TYPE2)*(TYPE2&lt;&gt;"")+('Dvd Calendar'!$AO$1973=TYPE3)*(TYPE3&lt;&gt;"")+('Dvd Calendar'!$AO$1973=TYPE4)*(TYPE4&lt;&gt;"")+('Dvd Calendar'!$AO$1973=SPECIAL_LBL)*(INC_SPECIALS="Y"))=0,"",'Dvd Calendar'!$AO$1971)))</f>
        <v/>
      </c>
      <c r="AN197" s="106">
        <f>IF(FP197="","",IF(ISNUMBER('Dvd Calendar'!$AP$1971)=FALSE,"",IF((('Dvd Calendar'!$AP$1973=TYPE1)*(TYPE1&lt;&gt;"")+('Dvd Calendar'!$AP$1973=TYPE2)*(TYPE2&lt;&gt;"")+('Dvd Calendar'!$AP$1973=TYPE3)*(TYPE3&lt;&gt;"")+('Dvd Calendar'!$AP$1973=TYPE4)*(TYPE4&lt;&gt;"")+('Dvd Calendar'!$AP$1973=SPECIAL_LBL)*(INC_SPECIALS="Y"))=0,"",'Dvd Calendar'!$AP$1971)))</f>
        <v/>
      </c>
      <c r="AO197" s="106">
        <f>IF(FQ197="","",IF(ISNUMBER('Dvd Calendar'!$AQ$1971)=FALSE,"",IF((('Dvd Calendar'!$AQ$1973=TYPE1)*(TYPE1&lt;&gt;"")+('Dvd Calendar'!$AQ$1973=TYPE2)*(TYPE2&lt;&gt;"")+('Dvd Calendar'!$AQ$1973=TYPE3)*(TYPE3&lt;&gt;"")+('Dvd Calendar'!$AQ$1973=TYPE4)*(TYPE4&lt;&gt;"")+('Dvd Calendar'!$AQ$1973=SPECIAL_LBL)*(INC_SPECIALS="Y"))=0,"",'Dvd Calendar'!$AQ$1971)))</f>
        <v/>
      </c>
      <c r="AP197" s="106">
        <f>IF(FR197="","",IF(ISNUMBER('Dvd Calendar'!$AR$1971)=FALSE,"",IF((('Dvd Calendar'!$AR$1973=TYPE1)*(TYPE1&lt;&gt;"")+('Dvd Calendar'!$AR$1973=TYPE2)*(TYPE2&lt;&gt;"")+('Dvd Calendar'!$AR$1973=TYPE3)*(TYPE3&lt;&gt;"")+('Dvd Calendar'!$AR$1973=TYPE4)*(TYPE4&lt;&gt;"")+('Dvd Calendar'!$AR$1973=SPECIAL_LBL)*(INC_SPECIALS="Y"))=0,"",'Dvd Calendar'!$AR$1971)))</f>
        <v/>
      </c>
      <c r="AQ197" s="106">
        <f>IF(FS197="","",IF(ISNUMBER('Dvd Calendar'!$E$1976)=FALSE,"",'Dvd Calendar'!$E$1976))</f>
        <v/>
      </c>
      <c r="AR197" s="106">
        <f>IF(FT197="","",IF(ISNUMBER('Dvd Calendar'!$F$1976)=FALSE,"",'Dvd Calendar'!$F$1976))</f>
        <v/>
      </c>
      <c r="AS197" s="106">
        <f>IF(FU197="","",IF(ISNUMBER('Dvd Calendar'!$G$1976)=FALSE,"",'Dvd Calendar'!$G$1976))</f>
        <v/>
      </c>
      <c r="AT197" s="106">
        <f>IF(FV197="","",IF(ISNUMBER('Dvd Calendar'!$H$1976)=FALSE,"",'Dvd Calendar'!$H$1976))</f>
        <v/>
      </c>
      <c r="AU197" s="106">
        <f>IF(FW197="","",IF(ISNUMBER('Dvd Calendar'!$I$1976)=FALSE,"",'Dvd Calendar'!$I$1976))</f>
        <v/>
      </c>
      <c r="AV197" s="106">
        <f>IF(FX197="","",IF(ISNUMBER('Dvd Calendar'!$J$1976)=FALSE,"",'Dvd Calendar'!$J$1976))</f>
        <v/>
      </c>
      <c r="AW197" s="106">
        <f>IF(FY197="","",IF(ISNUMBER('Dvd Calendar'!$K$1976)=FALSE,"",'Dvd Calendar'!$K$1976))</f>
        <v/>
      </c>
      <c r="AX197" s="106">
        <f>IF(FZ197="","",IF(ISNUMBER('Dvd Calendar'!$L$1976)=FALSE,"",'Dvd Calendar'!$L$1976))</f>
        <v/>
      </c>
      <c r="AY197" s="106">
        <f>IF(GA197="","",IF(ISNUMBER('Dvd Calendar'!$M$1976)=FALSE,"",'Dvd Calendar'!$M$1976))</f>
        <v/>
      </c>
      <c r="AZ197" s="106">
        <f>IF(GB197="","",IF(ISNUMBER('Dvd Calendar'!$N$1976)=FALSE,"",'Dvd Calendar'!$N$1976))</f>
        <v/>
      </c>
      <c r="BA197" s="106">
        <f>IF(GC197="","",IF(ISNUMBER('Dvd Calendar'!$O$1976)=FALSE,"",'Dvd Calendar'!$O$1976))</f>
        <v/>
      </c>
      <c r="BB197" s="106">
        <f>IF(GD197="","",IF(ISNUMBER('Dvd Calendar'!$P$1976)=FALSE,"",'Dvd Calendar'!$P$1976))</f>
        <v/>
      </c>
      <c r="BC197" s="106">
        <f>IF(GE197="","",IF(ISNUMBER('Dvd Calendar'!$Q$1976)=FALSE,"",'Dvd Calendar'!$Q$1976))</f>
        <v/>
      </c>
      <c r="BD197" s="106">
        <f>IF(GF197="","",IF(ISNUMBER('Dvd Calendar'!$R$1976)=FALSE,"",'Dvd Calendar'!$R$1976))</f>
        <v/>
      </c>
      <c r="BE197" s="106">
        <f>IF(GG197="","",IF(ISNUMBER('Dvd Calendar'!$S$1976)=FALSE,"",'Dvd Calendar'!$S$1976))</f>
        <v/>
      </c>
      <c r="BF197" s="106">
        <f>IF(GH197="","",IF(ISNUMBER('Dvd Calendar'!$T$1976)=FALSE,"",'Dvd Calendar'!$T$1976))</f>
        <v/>
      </c>
      <c r="BG197" s="106">
        <f>IF(GI197="","",IF(ISNUMBER('Dvd Calendar'!$U$1976)=FALSE,"",'Dvd Calendar'!$U$1976))</f>
        <v/>
      </c>
      <c r="BH197" s="106">
        <f>IF(GJ197="","",IF(ISNUMBER('Dvd Calendar'!$V$1976)=FALSE,"",'Dvd Calendar'!$V$1976))</f>
        <v/>
      </c>
      <c r="BI197" s="106">
        <f>IF(GK197="","",IF(ISNUMBER('Dvd Calendar'!$W$1976)=FALSE,"",'Dvd Calendar'!$W$1976))</f>
        <v/>
      </c>
      <c r="BJ197" s="106">
        <f>IF(GL197="","",IF(ISNUMBER('Dvd Calendar'!$X$1976)=FALSE,"",'Dvd Calendar'!$X$1976))</f>
        <v/>
      </c>
      <c r="BK197" s="106">
        <f>IF(GM197="","",IF(ISNUMBER('Dvd Calendar'!$Y$1976)=FALSE,"",'Dvd Calendar'!$Y$1976))</f>
        <v/>
      </c>
      <c r="BL197" s="106">
        <f>IF(GN197="","",IF(ISNUMBER('Dvd Calendar'!$Z$1976)=FALSE,"",'Dvd Calendar'!$Z$1976))</f>
        <v/>
      </c>
      <c r="BM197" s="106">
        <f>IF(GO197="","",IF(ISNUMBER('Dvd Calendar'!$AA$1976)=FALSE,"",'Dvd Calendar'!$AA$1976))</f>
        <v/>
      </c>
      <c r="BN197" s="106">
        <f>IF(GP197="","",IF(ISNUMBER('Dvd Calendar'!$AB$1976)=FALSE,"",'Dvd Calendar'!$AB$1976))</f>
        <v/>
      </c>
      <c r="BO197" s="106">
        <f>IF(GQ197="","",IF(ISNUMBER('Dvd Calendar'!$AC$1976)=FALSE,"",'Dvd Calendar'!$AC$1976))</f>
        <v/>
      </c>
      <c r="BQ197" s="106">
        <f>IF(C197="","",IFERROR(C197*HSCEI!$B$44*HSCEI!$G$44/HSCEI!$B$3,""))</f>
        <v/>
      </c>
      <c r="BR197" s="106">
        <f>IF(D197="","",IFERROR(D197*HSCEI!$B$44*HSCEI!$G$44/HSCEI!$B$3,""))</f>
        <v/>
      </c>
      <c r="BS197" s="106">
        <f>IF(E197="","",IFERROR(E197*HSCEI!$B$44*HSCEI!$G$44/HSCEI!$B$3,""))</f>
        <v/>
      </c>
      <c r="BT197" s="106">
        <f>IF(F197="","",IFERROR(F197*HSCEI!$B$44*HSCEI!$G$44/HSCEI!$B$3,""))</f>
        <v/>
      </c>
      <c r="BU197" s="106">
        <f>IF(G197="","",IFERROR(G197*HSCEI!$B$44*HSCEI!$G$44/HSCEI!$B$3,""))</f>
        <v/>
      </c>
      <c r="BV197" s="106">
        <f>IF(H197="","",IFERROR(H197*HSCEI!$B$44*HSCEI!$G$44/HSCEI!$B$3,""))</f>
        <v/>
      </c>
      <c r="BW197" s="106">
        <f>IF(I197="","",IFERROR(I197*HSCEI!$B$44*HSCEI!$G$44/HSCEI!$B$3,""))</f>
        <v/>
      </c>
      <c r="BX197" s="106">
        <f>IF(J197="","",IFERROR(J197*HSCEI!$B$44*HSCEI!$G$44/HSCEI!$B$3,""))</f>
        <v/>
      </c>
      <c r="BY197" s="106">
        <f>IF(K197="","",IFERROR(K197*HSCEI!$B$44*HSCEI!$G$44/HSCEI!$B$3,""))</f>
        <v/>
      </c>
      <c r="BZ197" s="106">
        <f>IF(L197="","",IFERROR(L197*HSCEI!$B$44*HSCEI!$G$44/HSCEI!$B$3,""))</f>
        <v/>
      </c>
      <c r="CA197" s="106">
        <f>IF(M197="","",IFERROR(M197*HSCEI!$B$44*HSCEI!$G$44/HSCEI!$B$3,""))</f>
        <v/>
      </c>
      <c r="CB197" s="106">
        <f>IF(N197="","",IFERROR(N197*HSCEI!$B$44*HSCEI!$G$44/HSCEI!$B$3,""))</f>
        <v/>
      </c>
      <c r="CC197" s="106">
        <f>IF(O197="","",IFERROR(O197*HSCEI!$B$44*HSCEI!$G$44/HSCEI!$B$3,""))</f>
        <v/>
      </c>
      <c r="CD197" s="106">
        <f>IF(P197="","",IFERROR(P197*HSCEI!$B$44*HSCEI!$G$44/HSCEI!$B$3,""))</f>
        <v/>
      </c>
      <c r="CE197" s="106">
        <f>IF(Q197="","",IFERROR(Q197*HSCEI!$B$44*HSCEI!$G$44/HSCEI!$B$3,""))</f>
        <v/>
      </c>
      <c r="CF197" s="106">
        <f>IF(R197="","",IFERROR(R197*HSCEI!$B$44*HSCEI!$G$44/HSCEI!$B$3,""))</f>
        <v/>
      </c>
      <c r="CG197" s="106">
        <f>IF(S197="","",IFERROR(S197*HSCEI!$B$44*HSCEI!$G$44/HSCEI!$B$3,""))</f>
        <v/>
      </c>
      <c r="CH197" s="106">
        <f>IF(T197="","",IFERROR(T197*HSCEI!$B$44*HSCEI!$G$44/HSCEI!$B$3,""))</f>
        <v/>
      </c>
      <c r="CI197" s="106">
        <f>IF(U197="","",IFERROR(U197*HSCEI!$B$44*HSCEI!$G$44/HSCEI!$B$3,""))</f>
        <v/>
      </c>
      <c r="CJ197" s="106">
        <f>IF(V197="","",IFERROR(V197*HSCEI!$B$44*HSCEI!$G$44/HSCEI!$B$3,""))</f>
        <v/>
      </c>
      <c r="CK197" s="106">
        <f>IF(W197="","",IFERROR(W197*HSCEI!$B$44*HSCEI!$G$44/HSCEI!$B$3,""))</f>
        <v/>
      </c>
      <c r="CL197" s="106">
        <f>IF(X197="","",IFERROR(X197*HSCEI!$B$44*HSCEI!$G$44/HSCEI!$B$3,""))</f>
        <v/>
      </c>
      <c r="CM197" s="106">
        <f>IF(Y197="","",IFERROR(Y197*HSCEI!$B$44*HSCEI!$G$44/HSCEI!$B$3,""))</f>
        <v/>
      </c>
      <c r="CN197" s="106">
        <f>IF(Z197="","",IFERROR(Z197*HSCEI!$B$44*HSCEI!$G$44/HSCEI!$B$3,""))</f>
        <v/>
      </c>
      <c r="CO197" s="106">
        <f>IF(AA197="","",IFERROR(AA197*HSCEI!$B$44*HSCEI!$G$44/HSCEI!$B$3,""))</f>
        <v/>
      </c>
      <c r="CP197" s="106">
        <f>IF(AB197="","",IFERROR(AB197*HSCEI!$B$44*HSCEI!$G$44/HSCEI!$B$3,""))</f>
        <v/>
      </c>
      <c r="CQ197" s="106">
        <f>IF(AC197="","",IFERROR(AC197*HSCEI!$B$44*HSCEI!$G$44/HSCEI!$B$3,""))</f>
        <v/>
      </c>
      <c r="CR197" s="106">
        <f>IF(AD197="","",IFERROR(AD197*HSCEI!$B$44*HSCEI!$G$44/HSCEI!$B$3,""))</f>
        <v/>
      </c>
      <c r="CS197" s="106">
        <f>IF(AE197="","",IFERROR(AE197*HSCEI!$B$44*HSCEI!$G$44/HSCEI!$B$3,""))</f>
        <v/>
      </c>
      <c r="CT197" s="106">
        <f>IF(AF197="","",IFERROR(AF197*HSCEI!$B$44*HSCEI!$G$44/HSCEI!$B$3,""))</f>
        <v/>
      </c>
      <c r="CU197" s="106">
        <f>IF(AG197="","",IFERROR(AG197*HSCEI!$B$44*HSCEI!$G$44/HSCEI!$B$3,""))</f>
        <v/>
      </c>
      <c r="CV197" s="106">
        <f>IF(AH197="","",IFERROR(AH197*HSCEI!$B$44*HSCEI!$G$44/HSCEI!$B$3,""))</f>
        <v/>
      </c>
      <c r="CW197" s="106">
        <f>IF(AI197="","",IFERROR(AI197*HSCEI!$B$44*HSCEI!$G$44/HSCEI!$B$3,""))</f>
        <v/>
      </c>
      <c r="CX197" s="106">
        <f>IF(AJ197="","",IFERROR(AJ197*HSCEI!$B$44*HSCEI!$G$44/HSCEI!$B$3,""))</f>
        <v/>
      </c>
      <c r="CY197" s="106">
        <f>IF(AK197="","",IFERROR(AK197*HSCEI!$B$44*HSCEI!$G$44/HSCEI!$B$3,""))</f>
        <v/>
      </c>
      <c r="CZ197" s="106">
        <f>IF(AL197="","",IFERROR(AL197*HSCEI!$B$44*HSCEI!$G$44/HSCEI!$B$3,""))</f>
        <v/>
      </c>
      <c r="DA197" s="106">
        <f>IF(AM197="","",IFERROR(AM197*HSCEI!$B$44*HSCEI!$G$44/HSCEI!$B$3,""))</f>
        <v/>
      </c>
      <c r="DB197" s="106">
        <f>IF(AN197="","",IFERROR(AN197*HSCEI!$B$44*HSCEI!$G$44/HSCEI!$B$3,""))</f>
        <v/>
      </c>
      <c r="DC197" s="106">
        <f>IF(AO197="","",IFERROR(AO197*HSCEI!$B$44*HSCEI!$G$44/HSCEI!$B$3,""))</f>
        <v/>
      </c>
      <c r="DD197" s="106">
        <f>IF(AP197="","",IFERROR(AP197*HSCEI!$B$44*HSCEI!$G$44/HSCEI!$B$3,""))</f>
        <v/>
      </c>
      <c r="DE197" s="106">
        <f>IF(AQ197="","",IFERROR(AQ197*HSCEI!$B$44*HSCEI!$G$44/HSCEI!$B$3,""))</f>
        <v/>
      </c>
      <c r="DF197" s="106">
        <f>IF(AR197="","",IFERROR(AR197*HSCEI!$B$44*HSCEI!$G$44/HSCEI!$B$3,""))</f>
        <v/>
      </c>
      <c r="DG197" s="106">
        <f>IF(AS197="","",IFERROR(AS197*HSCEI!$B$44*HSCEI!$G$44/HSCEI!$B$3,""))</f>
        <v/>
      </c>
      <c r="DH197" s="106">
        <f>IF(AT197="","",IFERROR(AT197*HSCEI!$B$44*HSCEI!$G$44/HSCEI!$B$3,""))</f>
        <v/>
      </c>
      <c r="DI197" s="106">
        <f>IF(AU197="","",IFERROR(AU197*HSCEI!$B$44*HSCEI!$G$44/HSCEI!$B$3,""))</f>
        <v/>
      </c>
      <c r="DJ197" s="106">
        <f>IF(AV197="","",IFERROR(AV197*HSCEI!$B$44*HSCEI!$G$44/HSCEI!$B$3,""))</f>
        <v/>
      </c>
      <c r="DK197" s="106">
        <f>IF(AW197="","",IFERROR(AW197*HSCEI!$B$44*HSCEI!$G$44/HSCEI!$B$3,""))</f>
        <v/>
      </c>
      <c r="DL197" s="106">
        <f>IF(AX197="","",IFERROR(AX197*HSCEI!$B$44*HSCEI!$G$44/HSCEI!$B$3,""))</f>
        <v/>
      </c>
      <c r="DM197" s="106">
        <f>IF(AY197="","",IFERROR(AY197*HSCEI!$B$44*HSCEI!$G$44/HSCEI!$B$3,""))</f>
        <v/>
      </c>
      <c r="DN197" s="106">
        <f>IF(AZ197="","",IFERROR(AZ197*HSCEI!$B$44*HSCEI!$G$44/HSCEI!$B$3,""))</f>
        <v/>
      </c>
      <c r="DO197" s="106">
        <f>IF(BA197="","",IFERROR(BA197*HSCEI!$B$44*HSCEI!$G$44/HSCEI!$B$3,""))</f>
        <v/>
      </c>
      <c r="DP197" s="106">
        <f>IF(BB197="","",IFERROR(BB197*HSCEI!$B$44*HSCEI!$G$44/HSCEI!$B$3,""))</f>
        <v/>
      </c>
      <c r="DQ197" s="106">
        <f>IF(BC197="","",IFERROR(BC197*HSCEI!$B$44*HSCEI!$G$44/HSCEI!$B$3,""))</f>
        <v/>
      </c>
      <c r="DR197" s="106">
        <f>IF(BD197="","",IFERROR(BD197*HSCEI!$B$44*HSCEI!$G$44/HSCEI!$B$3,""))</f>
        <v/>
      </c>
      <c r="DS197" s="106">
        <f>IF(BE197="","",IFERROR(BE197*HSCEI!$B$44*HSCEI!$G$44/HSCEI!$B$3,""))</f>
        <v/>
      </c>
      <c r="DT197" s="106">
        <f>IF(BF197="","",IFERROR(BF197*HSCEI!$B$44*HSCEI!$G$44/HSCEI!$B$3,""))</f>
        <v/>
      </c>
      <c r="DU197" s="106">
        <f>IF(BG197="","",IFERROR(BG197*HSCEI!$B$44*HSCEI!$G$44/HSCEI!$B$3,""))</f>
        <v/>
      </c>
      <c r="DV197" s="106">
        <f>IF(BH197="","",IFERROR(BH197*HSCEI!$B$44*HSCEI!$G$44/HSCEI!$B$3,""))</f>
        <v/>
      </c>
      <c r="DW197" s="106">
        <f>IF(BI197="","",IFERROR(BI197*HSCEI!$B$44*HSCEI!$G$44/HSCEI!$B$3,""))</f>
        <v/>
      </c>
      <c r="DX197" s="106">
        <f>IF(BJ197="","",IFERROR(BJ197*HSCEI!$B$44*HSCEI!$G$44/HSCEI!$B$3,""))</f>
        <v/>
      </c>
      <c r="DY197" s="106">
        <f>IF(BK197="","",IFERROR(BK197*HSCEI!$B$44*HSCEI!$G$44/HSCEI!$B$3,""))</f>
        <v/>
      </c>
      <c r="DZ197" s="106">
        <f>IF(BL197="","",IFERROR(BL197*HSCEI!$B$44*HSCEI!$G$44/HSCEI!$B$3,""))</f>
        <v/>
      </c>
      <c r="EA197" s="106">
        <f>IF(BM197="","",IFERROR(BM197*HSCEI!$B$44*HSCEI!$G$44/HSCEI!$B$3,""))</f>
        <v/>
      </c>
      <c r="EB197" s="106">
        <f>IF(BN197="","",IFERROR(BN197*HSCEI!$B$44*HSCEI!$G$44/HSCEI!$B$3,""))</f>
        <v/>
      </c>
      <c r="EC197" s="106">
        <f>IF(BO197="","",IFERROR(BO197*HSCEI!$B$44*HSCEI!$G$44/HSCEI!$B$3,""))</f>
        <v/>
      </c>
      <c r="EE197" s="35">
        <f>IF(N('Dvd Calendar'!$E$1968)=0,"",IF(('Dvd Calendar'!$E$1968&gt;=GRID_FROM)*('Dvd Calendar'!$E$1968&lt;=GRID_TO)*('Dvd Calendar'!$E$1968&lt;=VAL_DATE)=0,"",'Dvd Calendar'!$E$1968*1000000000+ISNUMBER('Dvd Calendar'!$E$1971)*100000000+('Dvd Calendar'!$E$1973=SPECIAL_LBL)*10000000+0*1000000+38*1000+1))</f>
        <v/>
      </c>
      <c r="EF197" s="35">
        <f>IF(N('Dvd Calendar'!$F$1968)=0,"",IF(('Dvd Calendar'!$F$1968&gt;=GRID_FROM)*('Dvd Calendar'!$F$1968&lt;=GRID_TO)*('Dvd Calendar'!$F$1968&lt;=VAL_DATE)=0,"",'Dvd Calendar'!$F$1968*1000000000+ISNUMBER('Dvd Calendar'!$F$1971)*100000000+('Dvd Calendar'!$F$1973=SPECIAL_LBL)*10000000+0*1000000+38*1000+2))</f>
        <v/>
      </c>
      <c r="EG197" s="35">
        <f>IF(N('Dvd Calendar'!$G$1968)=0,"",IF(('Dvd Calendar'!$G$1968&gt;=GRID_FROM)*('Dvd Calendar'!$G$1968&lt;=GRID_TO)*('Dvd Calendar'!$G$1968&lt;=VAL_DATE)=0,"",'Dvd Calendar'!$G$1968*1000000000+ISNUMBER('Dvd Calendar'!$G$1971)*100000000+('Dvd Calendar'!$G$1973=SPECIAL_LBL)*10000000+0*1000000+38*1000+3))</f>
        <v/>
      </c>
      <c r="EH197" s="35">
        <f>IF(N('Dvd Calendar'!$H$1968)=0,"",IF(('Dvd Calendar'!$H$1968&gt;=GRID_FROM)*('Dvd Calendar'!$H$1968&lt;=GRID_TO)*('Dvd Calendar'!$H$1968&lt;=VAL_DATE)=0,"",'Dvd Calendar'!$H$1968*1000000000+ISNUMBER('Dvd Calendar'!$H$1971)*100000000+('Dvd Calendar'!$H$1973=SPECIAL_LBL)*10000000+0*1000000+38*1000+4))</f>
        <v/>
      </c>
      <c r="EI197" s="35">
        <f>IF(N('Dvd Calendar'!$I$1968)=0,"",IF(('Dvd Calendar'!$I$1968&gt;=GRID_FROM)*('Dvd Calendar'!$I$1968&lt;=GRID_TO)*('Dvd Calendar'!$I$1968&lt;=VAL_DATE)=0,"",'Dvd Calendar'!$I$1968*1000000000+ISNUMBER('Dvd Calendar'!$I$1971)*100000000+('Dvd Calendar'!$I$1973=SPECIAL_LBL)*10000000+0*1000000+38*1000+5))</f>
        <v/>
      </c>
      <c r="EJ197" s="35">
        <f>IF(N('Dvd Calendar'!$J$1968)=0,"",IF(('Dvd Calendar'!$J$1968&gt;=GRID_FROM)*('Dvd Calendar'!$J$1968&lt;=GRID_TO)*('Dvd Calendar'!$J$1968&lt;=VAL_DATE)=0,"",'Dvd Calendar'!$J$1968*1000000000+ISNUMBER('Dvd Calendar'!$J$1971)*100000000+('Dvd Calendar'!$J$1973=SPECIAL_LBL)*10000000+0*1000000+38*1000+6))</f>
        <v/>
      </c>
      <c r="EK197" s="35">
        <f>IF(N('Dvd Calendar'!$K$1968)=0,"",IF(('Dvd Calendar'!$K$1968&gt;=GRID_FROM)*('Dvd Calendar'!$K$1968&lt;=GRID_TO)*('Dvd Calendar'!$K$1968&lt;=VAL_DATE)=0,"",'Dvd Calendar'!$K$1968*1000000000+ISNUMBER('Dvd Calendar'!$K$1971)*100000000+('Dvd Calendar'!$K$1973=SPECIAL_LBL)*10000000+0*1000000+38*1000+7))</f>
        <v/>
      </c>
      <c r="EL197" s="35">
        <f>IF(N('Dvd Calendar'!$L$1968)=0,"",IF(('Dvd Calendar'!$L$1968&gt;=GRID_FROM)*('Dvd Calendar'!$L$1968&lt;=GRID_TO)*('Dvd Calendar'!$L$1968&lt;=VAL_DATE)=0,"",'Dvd Calendar'!$L$1968*1000000000+ISNUMBER('Dvd Calendar'!$L$1971)*100000000+('Dvd Calendar'!$L$1973=SPECIAL_LBL)*10000000+0*1000000+38*1000+8))</f>
        <v/>
      </c>
      <c r="EM197" s="35">
        <f>IF(N('Dvd Calendar'!$M$1968)=0,"",IF(('Dvd Calendar'!$M$1968&gt;=GRID_FROM)*('Dvd Calendar'!$M$1968&lt;=GRID_TO)*('Dvd Calendar'!$M$1968&lt;=VAL_DATE)=0,"",'Dvd Calendar'!$M$1968*1000000000+ISNUMBER('Dvd Calendar'!$M$1971)*100000000+('Dvd Calendar'!$M$1973=SPECIAL_LBL)*10000000+0*1000000+38*1000+9))</f>
        <v/>
      </c>
      <c r="EN197" s="35">
        <f>IF(N('Dvd Calendar'!$N$1968)=0,"",IF(('Dvd Calendar'!$N$1968&gt;=GRID_FROM)*('Dvd Calendar'!$N$1968&lt;=GRID_TO)*('Dvd Calendar'!$N$1968&lt;=VAL_DATE)=0,"",'Dvd Calendar'!$N$1968*1000000000+ISNUMBER('Dvd Calendar'!$N$1971)*100000000+('Dvd Calendar'!$N$1973=SPECIAL_LBL)*10000000+0*1000000+38*1000+10))</f>
        <v/>
      </c>
      <c r="EO197" s="35">
        <f>IF(N('Dvd Calendar'!$O$1968)=0,"",IF(('Dvd Calendar'!$O$1968&gt;=GRID_FROM)*('Dvd Calendar'!$O$1968&lt;=GRID_TO)*('Dvd Calendar'!$O$1968&lt;=VAL_DATE)=0,"",'Dvd Calendar'!$O$1968*1000000000+ISNUMBER('Dvd Calendar'!$O$1971)*100000000+('Dvd Calendar'!$O$1973=SPECIAL_LBL)*10000000+0*1000000+38*1000+11))</f>
        <v/>
      </c>
      <c r="EP197" s="35">
        <f>IF(N('Dvd Calendar'!$P$1968)=0,"",IF(('Dvd Calendar'!$P$1968&gt;=GRID_FROM)*('Dvd Calendar'!$P$1968&lt;=GRID_TO)*('Dvd Calendar'!$P$1968&lt;=VAL_DATE)=0,"",'Dvd Calendar'!$P$1968*1000000000+ISNUMBER('Dvd Calendar'!$P$1971)*100000000+('Dvd Calendar'!$P$1973=SPECIAL_LBL)*10000000+0*1000000+38*1000+12))</f>
        <v/>
      </c>
      <c r="EQ197" s="35">
        <f>IF(N('Dvd Calendar'!$Q$1968)=0,"",IF(('Dvd Calendar'!$Q$1968&gt;=GRID_FROM)*('Dvd Calendar'!$Q$1968&lt;=GRID_TO)*('Dvd Calendar'!$Q$1968&lt;=VAL_DATE)=0,"",'Dvd Calendar'!$Q$1968*1000000000+ISNUMBER('Dvd Calendar'!$Q$1971)*100000000+('Dvd Calendar'!$Q$1973=SPECIAL_LBL)*10000000+0*1000000+38*1000+13))</f>
        <v/>
      </c>
      <c r="ER197" s="35">
        <f>IF(N('Dvd Calendar'!$R$1968)=0,"",IF(('Dvd Calendar'!$R$1968&gt;=GRID_FROM)*('Dvd Calendar'!$R$1968&lt;=GRID_TO)*('Dvd Calendar'!$R$1968&lt;=VAL_DATE)=0,"",'Dvd Calendar'!$R$1968*1000000000+ISNUMBER('Dvd Calendar'!$R$1971)*100000000+('Dvd Calendar'!$R$1973=SPECIAL_LBL)*10000000+0*1000000+38*1000+14))</f>
        <v/>
      </c>
      <c r="ES197" s="35">
        <f>IF(N('Dvd Calendar'!$S$1968)=0,"",IF(('Dvd Calendar'!$S$1968&gt;=GRID_FROM)*('Dvd Calendar'!$S$1968&lt;=GRID_TO)*('Dvd Calendar'!$S$1968&lt;=VAL_DATE)=0,"",'Dvd Calendar'!$S$1968*1000000000+ISNUMBER('Dvd Calendar'!$S$1971)*100000000+('Dvd Calendar'!$S$1973=SPECIAL_LBL)*10000000+0*1000000+38*1000+15))</f>
        <v/>
      </c>
      <c r="ET197" s="35">
        <f>IF(N('Dvd Calendar'!$T$1968)=0,"",IF(('Dvd Calendar'!$T$1968&gt;=GRID_FROM)*('Dvd Calendar'!$T$1968&lt;=GRID_TO)*('Dvd Calendar'!$T$1968&lt;=VAL_DATE)=0,"",'Dvd Calendar'!$T$1968*1000000000+ISNUMBER('Dvd Calendar'!$T$1971)*100000000+('Dvd Calendar'!$T$1973=SPECIAL_LBL)*10000000+0*1000000+38*1000+16))</f>
        <v/>
      </c>
      <c r="EU197" s="35">
        <f>IF(N('Dvd Calendar'!$U$1968)=0,"",IF(('Dvd Calendar'!$U$1968&gt;=GRID_FROM)*('Dvd Calendar'!$U$1968&lt;=GRID_TO)*('Dvd Calendar'!$U$1968&lt;=VAL_DATE)=0,"",'Dvd Calendar'!$U$1968*1000000000+ISNUMBER('Dvd Calendar'!$U$1971)*100000000+('Dvd Calendar'!$U$1973=SPECIAL_LBL)*10000000+0*1000000+38*1000+17))</f>
        <v/>
      </c>
      <c r="EV197" s="35">
        <f>IF(N('Dvd Calendar'!$V$1968)=0,"",IF(('Dvd Calendar'!$V$1968&gt;=GRID_FROM)*('Dvd Calendar'!$V$1968&lt;=GRID_TO)*('Dvd Calendar'!$V$1968&lt;=VAL_DATE)=0,"",'Dvd Calendar'!$V$1968*1000000000+ISNUMBER('Dvd Calendar'!$V$1971)*100000000+('Dvd Calendar'!$V$1973=SPECIAL_LBL)*10000000+0*1000000+38*1000+18))</f>
        <v/>
      </c>
      <c r="EW197" s="35">
        <f>IF(N('Dvd Calendar'!$W$1968)=0,"",IF(('Dvd Calendar'!$W$1968&gt;=GRID_FROM)*('Dvd Calendar'!$W$1968&lt;=GRID_TO)*('Dvd Calendar'!$W$1968&lt;=VAL_DATE)=0,"",'Dvd Calendar'!$W$1968*1000000000+ISNUMBER('Dvd Calendar'!$W$1971)*100000000+('Dvd Calendar'!$W$1973=SPECIAL_LBL)*10000000+0*1000000+38*1000+19))</f>
        <v/>
      </c>
      <c r="EX197" s="35">
        <f>IF(N('Dvd Calendar'!$X$1968)=0,"",IF(('Dvd Calendar'!$X$1968&gt;=GRID_FROM)*('Dvd Calendar'!$X$1968&lt;=GRID_TO)*('Dvd Calendar'!$X$1968&lt;=VAL_DATE)=0,"",'Dvd Calendar'!$X$1968*1000000000+ISNUMBER('Dvd Calendar'!$X$1971)*100000000+('Dvd Calendar'!$X$1973=SPECIAL_LBL)*10000000+0*1000000+38*1000+20))</f>
        <v/>
      </c>
      <c r="EY197" s="35">
        <f>IF(N('Dvd Calendar'!$Y$1968)=0,"",IF(('Dvd Calendar'!$Y$1968&gt;=GRID_FROM)*('Dvd Calendar'!$Y$1968&lt;=GRID_TO)*('Dvd Calendar'!$Y$1968&lt;=VAL_DATE)=0,"",'Dvd Calendar'!$Y$1968*1000000000+ISNUMBER('Dvd Calendar'!$Y$1971)*100000000+('Dvd Calendar'!$Y$1973=SPECIAL_LBL)*10000000+0*1000000+38*1000+21))</f>
        <v/>
      </c>
      <c r="EZ197" s="35">
        <f>IF(N('Dvd Calendar'!$Z$1968)=0,"",IF(('Dvd Calendar'!$Z$1968&gt;=GRID_FROM)*('Dvd Calendar'!$Z$1968&lt;=GRID_TO)*('Dvd Calendar'!$Z$1968&lt;=VAL_DATE)=0,"",'Dvd Calendar'!$Z$1968*1000000000+ISNUMBER('Dvd Calendar'!$Z$1971)*100000000+('Dvd Calendar'!$Z$1973=SPECIAL_LBL)*10000000+0*1000000+38*1000+22))</f>
        <v/>
      </c>
      <c r="FA197" s="35">
        <f>IF(N('Dvd Calendar'!$AA$1968)=0,"",IF(('Dvd Calendar'!$AA$1968&gt;=GRID_FROM)*('Dvd Calendar'!$AA$1968&lt;=GRID_TO)*('Dvd Calendar'!$AA$1968&lt;=VAL_DATE)=0,"",'Dvd Calendar'!$AA$1968*1000000000+ISNUMBER('Dvd Calendar'!$AA$1971)*100000000+('Dvd Calendar'!$AA$1973=SPECIAL_LBL)*10000000+0*1000000+38*1000+23))</f>
        <v/>
      </c>
      <c r="FB197" s="35">
        <f>IF(N('Dvd Calendar'!$AB$1968)=0,"",IF(('Dvd Calendar'!$AB$1968&gt;=GRID_FROM)*('Dvd Calendar'!$AB$1968&lt;=GRID_TO)*('Dvd Calendar'!$AB$1968&lt;=VAL_DATE)=0,"",'Dvd Calendar'!$AB$1968*1000000000+ISNUMBER('Dvd Calendar'!$AB$1971)*100000000+('Dvd Calendar'!$AB$1973=SPECIAL_LBL)*10000000+0*1000000+38*1000+24))</f>
        <v/>
      </c>
      <c r="FC197" s="35">
        <f>IF(N('Dvd Calendar'!$AC$1968)=0,"",IF(('Dvd Calendar'!$AC$1968&gt;=GRID_FROM)*('Dvd Calendar'!$AC$1968&lt;=GRID_TO)*('Dvd Calendar'!$AC$1968&lt;=VAL_DATE)=0,"",'Dvd Calendar'!$AC$1968*1000000000+ISNUMBER('Dvd Calendar'!$AC$1971)*100000000+('Dvd Calendar'!$AC$1973=SPECIAL_LBL)*10000000+0*1000000+38*1000+25))</f>
        <v/>
      </c>
      <c r="FD197" s="35">
        <f>IF(N('Dvd Calendar'!$AD$1968)=0,"",IF(('Dvd Calendar'!$AD$1968&gt;=GRID_FROM)*('Dvd Calendar'!$AD$1968&lt;=GRID_TO)*('Dvd Calendar'!$AD$1968&lt;=VAL_DATE)=0,"",'Dvd Calendar'!$AD$1968*1000000000+ISNUMBER('Dvd Calendar'!$AD$1971)*100000000+('Dvd Calendar'!$AD$1973=SPECIAL_LBL)*10000000+0*1000000+38*1000+26))</f>
        <v/>
      </c>
      <c r="FE197" s="35">
        <f>IF(N('Dvd Calendar'!$AE$1968)=0,"",IF(('Dvd Calendar'!$AE$1968&gt;=GRID_FROM)*('Dvd Calendar'!$AE$1968&lt;=GRID_TO)*('Dvd Calendar'!$AE$1968&lt;=VAL_DATE)=0,"",'Dvd Calendar'!$AE$1968*1000000000+ISNUMBER('Dvd Calendar'!$AE$1971)*100000000+('Dvd Calendar'!$AE$1973=SPECIAL_LBL)*10000000+0*1000000+38*1000+27))</f>
        <v/>
      </c>
      <c r="FF197" s="35">
        <f>IF(N('Dvd Calendar'!$AF$1968)=0,"",IF(('Dvd Calendar'!$AF$1968&gt;=GRID_FROM)*('Dvd Calendar'!$AF$1968&lt;=GRID_TO)*('Dvd Calendar'!$AF$1968&lt;=VAL_DATE)=0,"",'Dvd Calendar'!$AF$1968*1000000000+ISNUMBER('Dvd Calendar'!$AF$1971)*100000000+('Dvd Calendar'!$AF$1973=SPECIAL_LBL)*10000000+0*1000000+38*1000+28))</f>
        <v/>
      </c>
      <c r="FG197" s="35">
        <f>IF(N('Dvd Calendar'!$AG$1968)=0,"",IF(('Dvd Calendar'!$AG$1968&gt;=GRID_FROM)*('Dvd Calendar'!$AG$1968&lt;=GRID_TO)*('Dvd Calendar'!$AG$1968&lt;=VAL_DATE)=0,"",'Dvd Calendar'!$AG$1968*1000000000+ISNUMBER('Dvd Calendar'!$AG$1971)*100000000+('Dvd Calendar'!$AG$1973=SPECIAL_LBL)*10000000+0*1000000+38*1000+29))</f>
        <v/>
      </c>
      <c r="FH197" s="35">
        <f>IF(N('Dvd Calendar'!$AH$1968)=0,"",IF(('Dvd Calendar'!$AH$1968&gt;=GRID_FROM)*('Dvd Calendar'!$AH$1968&lt;=GRID_TO)*('Dvd Calendar'!$AH$1968&lt;=VAL_DATE)=0,"",'Dvd Calendar'!$AH$1968*1000000000+ISNUMBER('Dvd Calendar'!$AH$1971)*100000000+('Dvd Calendar'!$AH$1973=SPECIAL_LBL)*10000000+0*1000000+38*1000+30))</f>
        <v/>
      </c>
      <c r="FI197" s="35">
        <f>IF(N('Dvd Calendar'!$AI$1968)=0,"",IF(('Dvd Calendar'!$AI$1968&gt;=GRID_FROM)*('Dvd Calendar'!$AI$1968&lt;=GRID_TO)*('Dvd Calendar'!$AI$1968&lt;=VAL_DATE)=0,"",'Dvd Calendar'!$AI$1968*1000000000+ISNUMBER('Dvd Calendar'!$AI$1971)*100000000+('Dvd Calendar'!$AI$1973=SPECIAL_LBL)*10000000+0*1000000+38*1000+31))</f>
        <v/>
      </c>
      <c r="FJ197" s="35">
        <f>IF(N('Dvd Calendar'!$AJ$1968)=0,"",IF(('Dvd Calendar'!$AJ$1968&gt;=GRID_FROM)*('Dvd Calendar'!$AJ$1968&lt;=GRID_TO)*('Dvd Calendar'!$AJ$1968&lt;=VAL_DATE)=0,"",'Dvd Calendar'!$AJ$1968*1000000000+ISNUMBER('Dvd Calendar'!$AJ$1971)*100000000+('Dvd Calendar'!$AJ$1973=SPECIAL_LBL)*10000000+0*1000000+38*1000+32))</f>
        <v/>
      </c>
      <c r="FK197" s="35">
        <f>IF(N('Dvd Calendar'!$AK$1968)=0,"",IF(('Dvd Calendar'!$AK$1968&gt;=GRID_FROM)*('Dvd Calendar'!$AK$1968&lt;=GRID_TO)*('Dvd Calendar'!$AK$1968&lt;=VAL_DATE)=0,"",'Dvd Calendar'!$AK$1968*1000000000+ISNUMBER('Dvd Calendar'!$AK$1971)*100000000+('Dvd Calendar'!$AK$1973=SPECIAL_LBL)*10000000+0*1000000+38*1000+33))</f>
        <v/>
      </c>
      <c r="FL197" s="35">
        <f>IF(N('Dvd Calendar'!$AL$1968)=0,"",IF(('Dvd Calendar'!$AL$1968&gt;=GRID_FROM)*('Dvd Calendar'!$AL$1968&lt;=GRID_TO)*('Dvd Calendar'!$AL$1968&lt;=VAL_DATE)=0,"",'Dvd Calendar'!$AL$1968*1000000000+ISNUMBER('Dvd Calendar'!$AL$1971)*100000000+('Dvd Calendar'!$AL$1973=SPECIAL_LBL)*10000000+0*1000000+38*1000+34))</f>
        <v/>
      </c>
      <c r="FM197" s="35">
        <f>IF(N('Dvd Calendar'!$AM$1968)=0,"",IF(('Dvd Calendar'!$AM$1968&gt;=GRID_FROM)*('Dvd Calendar'!$AM$1968&lt;=GRID_TO)*('Dvd Calendar'!$AM$1968&lt;=VAL_DATE)=0,"",'Dvd Calendar'!$AM$1968*1000000000+ISNUMBER('Dvd Calendar'!$AM$1971)*100000000+('Dvd Calendar'!$AM$1973=SPECIAL_LBL)*10000000+0*1000000+38*1000+35))</f>
        <v/>
      </c>
      <c r="FN197" s="35">
        <f>IF(N('Dvd Calendar'!$AN$1968)=0,"",IF(('Dvd Calendar'!$AN$1968&gt;=GRID_FROM)*('Dvd Calendar'!$AN$1968&lt;=GRID_TO)*('Dvd Calendar'!$AN$1968&lt;=VAL_DATE)=0,"",'Dvd Calendar'!$AN$1968*1000000000+ISNUMBER('Dvd Calendar'!$AN$1971)*100000000+('Dvd Calendar'!$AN$1973=SPECIAL_LBL)*10000000+0*1000000+38*1000+36))</f>
        <v/>
      </c>
      <c r="FO197" s="35">
        <f>IF(N('Dvd Calendar'!$AO$1968)=0,"",IF(('Dvd Calendar'!$AO$1968&gt;=GRID_FROM)*('Dvd Calendar'!$AO$1968&lt;=GRID_TO)*('Dvd Calendar'!$AO$1968&lt;=VAL_DATE)=0,"",'Dvd Calendar'!$AO$1968*1000000000+ISNUMBER('Dvd Calendar'!$AO$1971)*100000000+('Dvd Calendar'!$AO$1973=SPECIAL_LBL)*10000000+0*1000000+38*1000+37))</f>
        <v/>
      </c>
      <c r="FP197" s="35">
        <f>IF(N('Dvd Calendar'!$AP$1968)=0,"",IF(('Dvd Calendar'!$AP$1968&gt;=GRID_FROM)*('Dvd Calendar'!$AP$1968&lt;=GRID_TO)*('Dvd Calendar'!$AP$1968&lt;=VAL_DATE)=0,"",'Dvd Calendar'!$AP$1968*1000000000+ISNUMBER('Dvd Calendar'!$AP$1971)*100000000+('Dvd Calendar'!$AP$1973=SPECIAL_LBL)*10000000+0*1000000+38*1000+38))</f>
        <v/>
      </c>
      <c r="FQ197" s="35">
        <f>IF(N('Dvd Calendar'!$AQ$1968)=0,"",IF(('Dvd Calendar'!$AQ$1968&gt;=GRID_FROM)*('Dvd Calendar'!$AQ$1968&lt;=GRID_TO)*('Dvd Calendar'!$AQ$1968&lt;=VAL_DATE)=0,"",'Dvd Calendar'!$AQ$1968*1000000000+ISNUMBER('Dvd Calendar'!$AQ$1971)*100000000+('Dvd Calendar'!$AQ$1973=SPECIAL_LBL)*10000000+0*1000000+38*1000+39))</f>
        <v/>
      </c>
      <c r="FR197" s="35">
        <f>IF(N('Dvd Calendar'!$AR$1968)=0,"",IF(('Dvd Calendar'!$AR$1968&gt;=GRID_FROM)*('Dvd Calendar'!$AR$1968&lt;=GRID_TO)*('Dvd Calendar'!$AR$1968&lt;=VAL_DATE)=0,"",'Dvd Calendar'!$AR$1968*1000000000+ISNUMBER('Dvd Calendar'!$AR$1971)*100000000+('Dvd Calendar'!$AR$1973=SPECIAL_LBL)*10000000+0*1000000+38*1000+40))</f>
        <v/>
      </c>
      <c r="FS197" s="35">
        <f>IF(N('Dvd Calendar'!$E$1975)=0,"",IF(('Dvd Calendar'!$E$1975&gt;=GRID_FROM)*('Dvd Calendar'!$E$1975&lt;=GRID_TO)*('Dvd Calendar'!$E$1975&gt;VAL_DATE)=0,"",'Dvd Calendar'!$E$1975*1000000000+ISNUMBER('Dvd Calendar'!$E$1976)*100000000+0*10000000+(N('Dvd Calendar'!$E$1974)&gt;0)*(N('Dvd Calendar'!$E$1974)&lt;=VAL_SERIAL)*1000000+38*1000+41))</f>
        <v/>
      </c>
      <c r="FT197" s="35">
        <f>IF(N('Dvd Calendar'!$F$1975)=0,"",IF(('Dvd Calendar'!$F$1975&gt;=GRID_FROM)*('Dvd Calendar'!$F$1975&lt;=GRID_TO)*('Dvd Calendar'!$F$1975&gt;VAL_DATE)=0,"",'Dvd Calendar'!$F$1975*1000000000+ISNUMBER('Dvd Calendar'!$F$1976)*100000000+0*10000000+(N('Dvd Calendar'!$F$1974)&gt;0)*(N('Dvd Calendar'!$F$1974)&lt;=VAL_SERIAL)*1000000+38*1000+42))</f>
        <v/>
      </c>
      <c r="FU197" s="35">
        <f>IF(N('Dvd Calendar'!$G$1975)=0,"",IF(('Dvd Calendar'!$G$1975&gt;=GRID_FROM)*('Dvd Calendar'!$G$1975&lt;=GRID_TO)*('Dvd Calendar'!$G$1975&gt;VAL_DATE)=0,"",'Dvd Calendar'!$G$1975*1000000000+ISNUMBER('Dvd Calendar'!$G$1976)*100000000+0*10000000+(N('Dvd Calendar'!$G$1974)&gt;0)*(N('Dvd Calendar'!$G$1974)&lt;=VAL_SERIAL)*1000000+38*1000+43))</f>
        <v/>
      </c>
      <c r="FV197" s="35">
        <f>IF(N('Dvd Calendar'!$H$1975)=0,"",IF(('Dvd Calendar'!$H$1975&gt;=GRID_FROM)*('Dvd Calendar'!$H$1975&lt;=GRID_TO)*('Dvd Calendar'!$H$1975&gt;VAL_DATE)=0,"",'Dvd Calendar'!$H$1975*1000000000+ISNUMBER('Dvd Calendar'!$H$1976)*100000000+0*10000000+(N('Dvd Calendar'!$H$1974)&gt;0)*(N('Dvd Calendar'!$H$1974)&lt;=VAL_SERIAL)*1000000+38*1000+44))</f>
        <v/>
      </c>
      <c r="FW197" s="35">
        <f>IF(N('Dvd Calendar'!$I$1975)=0,"",IF(('Dvd Calendar'!$I$1975&gt;=GRID_FROM)*('Dvd Calendar'!$I$1975&lt;=GRID_TO)*('Dvd Calendar'!$I$1975&gt;VAL_DATE)=0,"",'Dvd Calendar'!$I$1975*1000000000+ISNUMBER('Dvd Calendar'!$I$1976)*100000000+0*10000000+(N('Dvd Calendar'!$I$1974)&gt;0)*(N('Dvd Calendar'!$I$1974)&lt;=VAL_SERIAL)*1000000+38*1000+45))</f>
        <v/>
      </c>
      <c r="FX197" s="35">
        <f>IF(N('Dvd Calendar'!$J$1975)=0,"",IF(('Dvd Calendar'!$J$1975&gt;=GRID_FROM)*('Dvd Calendar'!$J$1975&lt;=GRID_TO)*('Dvd Calendar'!$J$1975&gt;VAL_DATE)=0,"",'Dvd Calendar'!$J$1975*1000000000+ISNUMBER('Dvd Calendar'!$J$1976)*100000000+0*10000000+(N('Dvd Calendar'!$J$1974)&gt;0)*(N('Dvd Calendar'!$J$1974)&lt;=VAL_SERIAL)*1000000+38*1000+46))</f>
        <v/>
      </c>
      <c r="FY197" s="35">
        <f>IF(N('Dvd Calendar'!$K$1975)=0,"",IF(('Dvd Calendar'!$K$1975&gt;=GRID_FROM)*('Dvd Calendar'!$K$1975&lt;=GRID_TO)*('Dvd Calendar'!$K$1975&gt;VAL_DATE)=0,"",'Dvd Calendar'!$K$1975*1000000000+ISNUMBER('Dvd Calendar'!$K$1976)*100000000+0*10000000+(N('Dvd Calendar'!$K$1974)&gt;0)*(N('Dvd Calendar'!$K$1974)&lt;=VAL_SERIAL)*1000000+38*1000+47))</f>
        <v/>
      </c>
      <c r="FZ197" s="35">
        <f>IF(N('Dvd Calendar'!$L$1975)=0,"",IF(('Dvd Calendar'!$L$1975&gt;=GRID_FROM)*('Dvd Calendar'!$L$1975&lt;=GRID_TO)*('Dvd Calendar'!$L$1975&gt;VAL_DATE)=0,"",'Dvd Calendar'!$L$1975*1000000000+ISNUMBER('Dvd Calendar'!$L$1976)*100000000+0*10000000+(N('Dvd Calendar'!$L$1974)&gt;0)*(N('Dvd Calendar'!$L$1974)&lt;=VAL_SERIAL)*1000000+38*1000+48))</f>
        <v/>
      </c>
      <c r="GA197" s="35">
        <f>IF(N('Dvd Calendar'!$M$1975)=0,"",IF(('Dvd Calendar'!$M$1975&gt;=GRID_FROM)*('Dvd Calendar'!$M$1975&lt;=GRID_TO)*('Dvd Calendar'!$M$1975&gt;VAL_DATE)=0,"",'Dvd Calendar'!$M$1975*1000000000+ISNUMBER('Dvd Calendar'!$M$1976)*100000000+0*10000000+(N('Dvd Calendar'!$M$1974)&gt;0)*(N('Dvd Calendar'!$M$1974)&lt;=VAL_SERIAL)*1000000+38*1000+49))</f>
        <v/>
      </c>
      <c r="GB197" s="35">
        <f>IF(N('Dvd Calendar'!$N$1975)=0,"",IF(('Dvd Calendar'!$N$1975&gt;=GRID_FROM)*('Dvd Calendar'!$N$1975&lt;=GRID_TO)*('Dvd Calendar'!$N$1975&gt;VAL_DATE)=0,"",'Dvd Calendar'!$N$1975*1000000000+ISNUMBER('Dvd Calendar'!$N$1976)*100000000+0*10000000+(N('Dvd Calendar'!$N$1974)&gt;0)*(N('Dvd Calendar'!$N$1974)&lt;=VAL_SERIAL)*1000000+38*1000+50))</f>
        <v/>
      </c>
      <c r="GC197" s="35">
        <f>IF(N('Dvd Calendar'!$O$1975)=0,"",IF(('Dvd Calendar'!$O$1975&gt;=GRID_FROM)*('Dvd Calendar'!$O$1975&lt;=GRID_TO)*('Dvd Calendar'!$O$1975&gt;VAL_DATE)=0,"",'Dvd Calendar'!$O$1975*1000000000+ISNUMBER('Dvd Calendar'!$O$1976)*100000000+0*10000000+(N('Dvd Calendar'!$O$1974)&gt;0)*(N('Dvd Calendar'!$O$1974)&lt;=VAL_SERIAL)*1000000+38*1000+51))</f>
        <v/>
      </c>
      <c r="GD197" s="35">
        <f>IF(N('Dvd Calendar'!$P$1975)=0,"",IF(('Dvd Calendar'!$P$1975&gt;=GRID_FROM)*('Dvd Calendar'!$P$1975&lt;=GRID_TO)*('Dvd Calendar'!$P$1975&gt;VAL_DATE)=0,"",'Dvd Calendar'!$P$1975*1000000000+ISNUMBER('Dvd Calendar'!$P$1976)*100000000+0*10000000+(N('Dvd Calendar'!$P$1974)&gt;0)*(N('Dvd Calendar'!$P$1974)&lt;=VAL_SERIAL)*1000000+38*1000+52))</f>
        <v/>
      </c>
      <c r="GE197" s="35">
        <f>IF(N('Dvd Calendar'!$Q$1975)=0,"",IF(('Dvd Calendar'!$Q$1975&gt;=GRID_FROM)*('Dvd Calendar'!$Q$1975&lt;=GRID_TO)*('Dvd Calendar'!$Q$1975&gt;VAL_DATE)=0,"",'Dvd Calendar'!$Q$1975*1000000000+ISNUMBER('Dvd Calendar'!$Q$1976)*100000000+0*10000000+(N('Dvd Calendar'!$Q$1974)&gt;0)*(N('Dvd Calendar'!$Q$1974)&lt;=VAL_SERIAL)*1000000+38*1000+53))</f>
        <v/>
      </c>
      <c r="GF197" s="35">
        <f>IF(N('Dvd Calendar'!$R$1975)=0,"",IF(('Dvd Calendar'!$R$1975&gt;=GRID_FROM)*('Dvd Calendar'!$R$1975&lt;=GRID_TO)*('Dvd Calendar'!$R$1975&gt;VAL_DATE)=0,"",'Dvd Calendar'!$R$1975*1000000000+ISNUMBER('Dvd Calendar'!$R$1976)*100000000+0*10000000+(N('Dvd Calendar'!$R$1974)&gt;0)*(N('Dvd Calendar'!$R$1974)&lt;=VAL_SERIAL)*1000000+38*1000+54))</f>
        <v/>
      </c>
      <c r="GG197" s="35">
        <f>IF(N('Dvd Calendar'!$S$1975)=0,"",IF(('Dvd Calendar'!$S$1975&gt;=GRID_FROM)*('Dvd Calendar'!$S$1975&lt;=GRID_TO)*('Dvd Calendar'!$S$1975&gt;VAL_DATE)=0,"",'Dvd Calendar'!$S$1975*1000000000+ISNUMBER('Dvd Calendar'!$S$1976)*100000000+0*10000000+(N('Dvd Calendar'!$S$1974)&gt;0)*(N('Dvd Calendar'!$S$1974)&lt;=VAL_SERIAL)*1000000+38*1000+55))</f>
        <v/>
      </c>
      <c r="GH197" s="35">
        <f>IF(N('Dvd Calendar'!$T$1975)=0,"",IF(('Dvd Calendar'!$T$1975&gt;=GRID_FROM)*('Dvd Calendar'!$T$1975&lt;=GRID_TO)*('Dvd Calendar'!$T$1975&gt;VAL_DATE)=0,"",'Dvd Calendar'!$T$1975*1000000000+ISNUMBER('Dvd Calendar'!$T$1976)*100000000+0*10000000+(N('Dvd Calendar'!$T$1974)&gt;0)*(N('Dvd Calendar'!$T$1974)&lt;=VAL_SERIAL)*1000000+38*1000+56))</f>
        <v/>
      </c>
      <c r="GI197" s="35">
        <f>IF(N('Dvd Calendar'!$U$1975)=0,"",IF(('Dvd Calendar'!$U$1975&gt;=GRID_FROM)*('Dvd Calendar'!$U$1975&lt;=GRID_TO)*('Dvd Calendar'!$U$1975&gt;VAL_DATE)=0,"",'Dvd Calendar'!$U$1975*1000000000+ISNUMBER('Dvd Calendar'!$U$1976)*100000000+0*10000000+(N('Dvd Calendar'!$U$1974)&gt;0)*(N('Dvd Calendar'!$U$1974)&lt;=VAL_SERIAL)*1000000+38*1000+57))</f>
        <v/>
      </c>
      <c r="GJ197" s="35">
        <f>IF(N('Dvd Calendar'!$V$1975)=0,"",IF(('Dvd Calendar'!$V$1975&gt;=GRID_FROM)*('Dvd Calendar'!$V$1975&lt;=GRID_TO)*('Dvd Calendar'!$V$1975&gt;VAL_DATE)=0,"",'Dvd Calendar'!$V$1975*1000000000+ISNUMBER('Dvd Calendar'!$V$1976)*100000000+0*10000000+(N('Dvd Calendar'!$V$1974)&gt;0)*(N('Dvd Calendar'!$V$1974)&lt;=VAL_SERIAL)*1000000+38*1000+58))</f>
        <v/>
      </c>
      <c r="GK197" s="35">
        <f>IF(N('Dvd Calendar'!$W$1975)=0,"",IF(('Dvd Calendar'!$W$1975&gt;=GRID_FROM)*('Dvd Calendar'!$W$1975&lt;=GRID_TO)*('Dvd Calendar'!$W$1975&gt;VAL_DATE)=0,"",'Dvd Calendar'!$W$1975*1000000000+ISNUMBER('Dvd Calendar'!$W$1976)*100000000+0*10000000+(N('Dvd Calendar'!$W$1974)&gt;0)*(N('Dvd Calendar'!$W$1974)&lt;=VAL_SERIAL)*1000000+38*1000+59))</f>
        <v/>
      </c>
      <c r="GL197" s="35">
        <f>IF(N('Dvd Calendar'!$X$1975)=0,"",IF(('Dvd Calendar'!$X$1975&gt;=GRID_FROM)*('Dvd Calendar'!$X$1975&lt;=GRID_TO)*('Dvd Calendar'!$X$1975&gt;VAL_DATE)=0,"",'Dvd Calendar'!$X$1975*1000000000+ISNUMBER('Dvd Calendar'!$X$1976)*100000000+0*10000000+(N('Dvd Calendar'!$X$1974)&gt;0)*(N('Dvd Calendar'!$X$1974)&lt;=VAL_SERIAL)*1000000+38*1000+60))</f>
        <v/>
      </c>
      <c r="GM197" s="35">
        <f>IF(N('Dvd Calendar'!$Y$1975)=0,"",IF(('Dvd Calendar'!$Y$1975&gt;=GRID_FROM)*('Dvd Calendar'!$Y$1975&lt;=GRID_TO)*('Dvd Calendar'!$Y$1975&gt;VAL_DATE)=0,"",'Dvd Calendar'!$Y$1975*1000000000+ISNUMBER('Dvd Calendar'!$Y$1976)*100000000+0*10000000+(N('Dvd Calendar'!$Y$1974)&gt;0)*(N('Dvd Calendar'!$Y$1974)&lt;=VAL_SERIAL)*1000000+38*1000+61))</f>
        <v/>
      </c>
      <c r="GN197" s="35">
        <f>IF(N('Dvd Calendar'!$Z$1975)=0,"",IF(('Dvd Calendar'!$Z$1975&gt;=GRID_FROM)*('Dvd Calendar'!$Z$1975&lt;=GRID_TO)*('Dvd Calendar'!$Z$1975&gt;VAL_DATE)=0,"",'Dvd Calendar'!$Z$1975*1000000000+ISNUMBER('Dvd Calendar'!$Z$1976)*100000000+0*10000000+(N('Dvd Calendar'!$Z$1974)&gt;0)*(N('Dvd Calendar'!$Z$1974)&lt;=VAL_SERIAL)*1000000+38*1000+62))</f>
        <v/>
      </c>
      <c r="GO197" s="35">
        <f>IF(N('Dvd Calendar'!$AA$1975)=0,"",IF(('Dvd Calendar'!$AA$1975&gt;=GRID_FROM)*('Dvd Calendar'!$AA$1975&lt;=GRID_TO)*('Dvd Calendar'!$AA$1975&gt;VAL_DATE)=0,"",'Dvd Calendar'!$AA$1975*1000000000+ISNUMBER('Dvd Calendar'!$AA$1976)*100000000+0*10000000+(N('Dvd Calendar'!$AA$1974)&gt;0)*(N('Dvd Calendar'!$AA$1974)&lt;=VAL_SERIAL)*1000000+38*1000+63))</f>
        <v/>
      </c>
      <c r="GP197" s="35">
        <f>IF(N('Dvd Calendar'!$AB$1975)=0,"",IF(('Dvd Calendar'!$AB$1975&gt;=GRID_FROM)*('Dvd Calendar'!$AB$1975&lt;=GRID_TO)*('Dvd Calendar'!$AB$1975&gt;VAL_DATE)=0,"",'Dvd Calendar'!$AB$1975*1000000000+ISNUMBER('Dvd Calendar'!$AB$1976)*100000000+0*10000000+(N('Dvd Calendar'!$AB$1974)&gt;0)*(N('Dvd Calendar'!$AB$1974)&lt;=VAL_SERIAL)*1000000+38*1000+64))</f>
        <v/>
      </c>
      <c r="GQ197" s="35">
        <f>IF(N('Dvd Calendar'!$AC$1975)=0,"",IF(('Dvd Calendar'!$AC$1975&gt;=GRID_FROM)*('Dvd Calendar'!$AC$1975&lt;=GRID_TO)*('Dvd Calendar'!$AC$1975&gt;VAL_DATE)=0,"",'Dvd Calendar'!$AC$1975*1000000000+ISNUMBER('Dvd Calendar'!$AC$1976)*100000000+0*10000000+(N('Dvd Calendar'!$AC$1974)&gt;0)*(N('Dvd Calendar'!$AC$1974)&lt;=VAL_SERIAL)*1000000+38*1000+65))</f>
        <v/>
      </c>
    </row>
    <row r="198">
      <c r="B198" s="2">
        <f>IF(HSCEI!$C$45="","",HSCEI!$C$45)</f>
        <v/>
      </c>
      <c r="C198" s="106">
        <f>IF(EE198="","",IF(ISNUMBER('Dvd Calendar'!$E$1982)=FALSE,"",IF((('Dvd Calendar'!$E$1984=TYPE1)*(TYPE1&lt;&gt;"")+('Dvd Calendar'!$E$1984=TYPE2)*(TYPE2&lt;&gt;"")+('Dvd Calendar'!$E$1984=TYPE3)*(TYPE3&lt;&gt;"")+('Dvd Calendar'!$E$1984=TYPE4)*(TYPE4&lt;&gt;"")+('Dvd Calendar'!$E$1984=SPECIAL_LBL)*(INC_SPECIALS="Y"))=0,"",'Dvd Calendar'!$E$1982)))</f>
        <v/>
      </c>
      <c r="D198" s="106">
        <f>IF(EF198="","",IF(ISNUMBER('Dvd Calendar'!$F$1982)=FALSE,"",IF((('Dvd Calendar'!$F$1984=TYPE1)*(TYPE1&lt;&gt;"")+('Dvd Calendar'!$F$1984=TYPE2)*(TYPE2&lt;&gt;"")+('Dvd Calendar'!$F$1984=TYPE3)*(TYPE3&lt;&gt;"")+('Dvd Calendar'!$F$1984=TYPE4)*(TYPE4&lt;&gt;"")+('Dvd Calendar'!$F$1984=SPECIAL_LBL)*(INC_SPECIALS="Y"))=0,"",'Dvd Calendar'!$F$1982)))</f>
        <v/>
      </c>
      <c r="E198" s="106">
        <f>IF(EG198="","",IF(ISNUMBER('Dvd Calendar'!$G$1982)=FALSE,"",IF((('Dvd Calendar'!$G$1984=TYPE1)*(TYPE1&lt;&gt;"")+('Dvd Calendar'!$G$1984=TYPE2)*(TYPE2&lt;&gt;"")+('Dvd Calendar'!$G$1984=TYPE3)*(TYPE3&lt;&gt;"")+('Dvd Calendar'!$G$1984=TYPE4)*(TYPE4&lt;&gt;"")+('Dvd Calendar'!$G$1984=SPECIAL_LBL)*(INC_SPECIALS="Y"))=0,"",'Dvd Calendar'!$G$1982)))</f>
        <v/>
      </c>
      <c r="F198" s="106">
        <f>IF(EH198="","",IF(ISNUMBER('Dvd Calendar'!$H$1982)=FALSE,"",IF((('Dvd Calendar'!$H$1984=TYPE1)*(TYPE1&lt;&gt;"")+('Dvd Calendar'!$H$1984=TYPE2)*(TYPE2&lt;&gt;"")+('Dvd Calendar'!$H$1984=TYPE3)*(TYPE3&lt;&gt;"")+('Dvd Calendar'!$H$1984=TYPE4)*(TYPE4&lt;&gt;"")+('Dvd Calendar'!$H$1984=SPECIAL_LBL)*(INC_SPECIALS="Y"))=0,"",'Dvd Calendar'!$H$1982)))</f>
        <v/>
      </c>
      <c r="G198" s="106">
        <f>IF(EI198="","",IF(ISNUMBER('Dvd Calendar'!$I$1982)=FALSE,"",IF((('Dvd Calendar'!$I$1984=TYPE1)*(TYPE1&lt;&gt;"")+('Dvd Calendar'!$I$1984=TYPE2)*(TYPE2&lt;&gt;"")+('Dvd Calendar'!$I$1984=TYPE3)*(TYPE3&lt;&gt;"")+('Dvd Calendar'!$I$1984=TYPE4)*(TYPE4&lt;&gt;"")+('Dvd Calendar'!$I$1984=SPECIAL_LBL)*(INC_SPECIALS="Y"))=0,"",'Dvd Calendar'!$I$1982)))</f>
        <v/>
      </c>
      <c r="H198" s="106">
        <f>IF(EJ198="","",IF(ISNUMBER('Dvd Calendar'!$J$1982)=FALSE,"",IF((('Dvd Calendar'!$J$1984=TYPE1)*(TYPE1&lt;&gt;"")+('Dvd Calendar'!$J$1984=TYPE2)*(TYPE2&lt;&gt;"")+('Dvd Calendar'!$J$1984=TYPE3)*(TYPE3&lt;&gt;"")+('Dvd Calendar'!$J$1984=TYPE4)*(TYPE4&lt;&gt;"")+('Dvd Calendar'!$J$1984=SPECIAL_LBL)*(INC_SPECIALS="Y"))=0,"",'Dvd Calendar'!$J$1982)))</f>
        <v/>
      </c>
      <c r="I198" s="106">
        <f>IF(EK198="","",IF(ISNUMBER('Dvd Calendar'!$K$1982)=FALSE,"",IF((('Dvd Calendar'!$K$1984=TYPE1)*(TYPE1&lt;&gt;"")+('Dvd Calendar'!$K$1984=TYPE2)*(TYPE2&lt;&gt;"")+('Dvd Calendar'!$K$1984=TYPE3)*(TYPE3&lt;&gt;"")+('Dvd Calendar'!$K$1984=TYPE4)*(TYPE4&lt;&gt;"")+('Dvd Calendar'!$K$1984=SPECIAL_LBL)*(INC_SPECIALS="Y"))=0,"",'Dvd Calendar'!$K$1982)))</f>
        <v/>
      </c>
      <c r="J198" s="106">
        <f>IF(EL198="","",IF(ISNUMBER('Dvd Calendar'!$L$1982)=FALSE,"",IF((('Dvd Calendar'!$L$1984=TYPE1)*(TYPE1&lt;&gt;"")+('Dvd Calendar'!$L$1984=TYPE2)*(TYPE2&lt;&gt;"")+('Dvd Calendar'!$L$1984=TYPE3)*(TYPE3&lt;&gt;"")+('Dvd Calendar'!$L$1984=TYPE4)*(TYPE4&lt;&gt;"")+('Dvd Calendar'!$L$1984=SPECIAL_LBL)*(INC_SPECIALS="Y"))=0,"",'Dvd Calendar'!$L$1982)))</f>
        <v/>
      </c>
      <c r="K198" s="106">
        <f>IF(EM198="","",IF(ISNUMBER('Dvd Calendar'!$M$1982)=FALSE,"",IF((('Dvd Calendar'!$M$1984=TYPE1)*(TYPE1&lt;&gt;"")+('Dvd Calendar'!$M$1984=TYPE2)*(TYPE2&lt;&gt;"")+('Dvd Calendar'!$M$1984=TYPE3)*(TYPE3&lt;&gt;"")+('Dvd Calendar'!$M$1984=TYPE4)*(TYPE4&lt;&gt;"")+('Dvd Calendar'!$M$1984=SPECIAL_LBL)*(INC_SPECIALS="Y"))=0,"",'Dvd Calendar'!$M$1982)))</f>
        <v/>
      </c>
      <c r="L198" s="106">
        <f>IF(EN198="","",IF(ISNUMBER('Dvd Calendar'!$N$1982)=FALSE,"",IF((('Dvd Calendar'!$N$1984=TYPE1)*(TYPE1&lt;&gt;"")+('Dvd Calendar'!$N$1984=TYPE2)*(TYPE2&lt;&gt;"")+('Dvd Calendar'!$N$1984=TYPE3)*(TYPE3&lt;&gt;"")+('Dvd Calendar'!$N$1984=TYPE4)*(TYPE4&lt;&gt;"")+('Dvd Calendar'!$N$1984=SPECIAL_LBL)*(INC_SPECIALS="Y"))=0,"",'Dvd Calendar'!$N$1982)))</f>
        <v/>
      </c>
      <c r="M198" s="106">
        <f>IF(EO198="","",IF(ISNUMBER('Dvd Calendar'!$O$1982)=FALSE,"",IF((('Dvd Calendar'!$O$1984=TYPE1)*(TYPE1&lt;&gt;"")+('Dvd Calendar'!$O$1984=TYPE2)*(TYPE2&lt;&gt;"")+('Dvd Calendar'!$O$1984=TYPE3)*(TYPE3&lt;&gt;"")+('Dvd Calendar'!$O$1984=TYPE4)*(TYPE4&lt;&gt;"")+('Dvd Calendar'!$O$1984=SPECIAL_LBL)*(INC_SPECIALS="Y"))=0,"",'Dvd Calendar'!$O$1982)))</f>
        <v/>
      </c>
      <c r="N198" s="106">
        <f>IF(EP198="","",IF(ISNUMBER('Dvd Calendar'!$P$1982)=FALSE,"",IF((('Dvd Calendar'!$P$1984=TYPE1)*(TYPE1&lt;&gt;"")+('Dvd Calendar'!$P$1984=TYPE2)*(TYPE2&lt;&gt;"")+('Dvd Calendar'!$P$1984=TYPE3)*(TYPE3&lt;&gt;"")+('Dvd Calendar'!$P$1984=TYPE4)*(TYPE4&lt;&gt;"")+('Dvd Calendar'!$P$1984=SPECIAL_LBL)*(INC_SPECIALS="Y"))=0,"",'Dvd Calendar'!$P$1982)))</f>
        <v/>
      </c>
      <c r="O198" s="106">
        <f>IF(EQ198="","",IF(ISNUMBER('Dvd Calendar'!$Q$1982)=FALSE,"",IF((('Dvd Calendar'!$Q$1984=TYPE1)*(TYPE1&lt;&gt;"")+('Dvd Calendar'!$Q$1984=TYPE2)*(TYPE2&lt;&gt;"")+('Dvd Calendar'!$Q$1984=TYPE3)*(TYPE3&lt;&gt;"")+('Dvd Calendar'!$Q$1984=TYPE4)*(TYPE4&lt;&gt;"")+('Dvd Calendar'!$Q$1984=SPECIAL_LBL)*(INC_SPECIALS="Y"))=0,"",'Dvd Calendar'!$Q$1982)))</f>
        <v/>
      </c>
      <c r="P198" s="106">
        <f>IF(ER198="","",IF(ISNUMBER('Dvd Calendar'!$R$1982)=FALSE,"",IF((('Dvd Calendar'!$R$1984=TYPE1)*(TYPE1&lt;&gt;"")+('Dvd Calendar'!$R$1984=TYPE2)*(TYPE2&lt;&gt;"")+('Dvd Calendar'!$R$1984=TYPE3)*(TYPE3&lt;&gt;"")+('Dvd Calendar'!$R$1984=TYPE4)*(TYPE4&lt;&gt;"")+('Dvd Calendar'!$R$1984=SPECIAL_LBL)*(INC_SPECIALS="Y"))=0,"",'Dvd Calendar'!$R$1982)))</f>
        <v/>
      </c>
      <c r="Q198" s="106">
        <f>IF(ES198="","",IF(ISNUMBER('Dvd Calendar'!$S$1982)=FALSE,"",IF((('Dvd Calendar'!$S$1984=TYPE1)*(TYPE1&lt;&gt;"")+('Dvd Calendar'!$S$1984=TYPE2)*(TYPE2&lt;&gt;"")+('Dvd Calendar'!$S$1984=TYPE3)*(TYPE3&lt;&gt;"")+('Dvd Calendar'!$S$1984=TYPE4)*(TYPE4&lt;&gt;"")+('Dvd Calendar'!$S$1984=SPECIAL_LBL)*(INC_SPECIALS="Y"))=0,"",'Dvd Calendar'!$S$1982)))</f>
        <v/>
      </c>
      <c r="R198" s="106">
        <f>IF(ET198="","",IF(ISNUMBER('Dvd Calendar'!$T$1982)=FALSE,"",IF((('Dvd Calendar'!$T$1984=TYPE1)*(TYPE1&lt;&gt;"")+('Dvd Calendar'!$T$1984=TYPE2)*(TYPE2&lt;&gt;"")+('Dvd Calendar'!$T$1984=TYPE3)*(TYPE3&lt;&gt;"")+('Dvd Calendar'!$T$1984=TYPE4)*(TYPE4&lt;&gt;"")+('Dvd Calendar'!$T$1984=SPECIAL_LBL)*(INC_SPECIALS="Y"))=0,"",'Dvd Calendar'!$T$1982)))</f>
        <v/>
      </c>
      <c r="S198" s="106">
        <f>IF(EU198="","",IF(ISNUMBER('Dvd Calendar'!$U$1982)=FALSE,"",IF((('Dvd Calendar'!$U$1984=TYPE1)*(TYPE1&lt;&gt;"")+('Dvd Calendar'!$U$1984=TYPE2)*(TYPE2&lt;&gt;"")+('Dvd Calendar'!$U$1984=TYPE3)*(TYPE3&lt;&gt;"")+('Dvd Calendar'!$U$1984=TYPE4)*(TYPE4&lt;&gt;"")+('Dvd Calendar'!$U$1984=SPECIAL_LBL)*(INC_SPECIALS="Y"))=0,"",'Dvd Calendar'!$U$1982)))</f>
        <v/>
      </c>
      <c r="T198" s="106">
        <f>IF(EV198="","",IF(ISNUMBER('Dvd Calendar'!$V$1982)=FALSE,"",IF((('Dvd Calendar'!$V$1984=TYPE1)*(TYPE1&lt;&gt;"")+('Dvd Calendar'!$V$1984=TYPE2)*(TYPE2&lt;&gt;"")+('Dvd Calendar'!$V$1984=TYPE3)*(TYPE3&lt;&gt;"")+('Dvd Calendar'!$V$1984=TYPE4)*(TYPE4&lt;&gt;"")+('Dvd Calendar'!$V$1984=SPECIAL_LBL)*(INC_SPECIALS="Y"))=0,"",'Dvd Calendar'!$V$1982)))</f>
        <v/>
      </c>
      <c r="U198" s="106">
        <f>IF(EW198="","",IF(ISNUMBER('Dvd Calendar'!$W$1982)=FALSE,"",IF((('Dvd Calendar'!$W$1984=TYPE1)*(TYPE1&lt;&gt;"")+('Dvd Calendar'!$W$1984=TYPE2)*(TYPE2&lt;&gt;"")+('Dvd Calendar'!$W$1984=TYPE3)*(TYPE3&lt;&gt;"")+('Dvd Calendar'!$W$1984=TYPE4)*(TYPE4&lt;&gt;"")+('Dvd Calendar'!$W$1984=SPECIAL_LBL)*(INC_SPECIALS="Y"))=0,"",'Dvd Calendar'!$W$1982)))</f>
        <v/>
      </c>
      <c r="V198" s="106">
        <f>IF(EX198="","",IF(ISNUMBER('Dvd Calendar'!$X$1982)=FALSE,"",IF((('Dvd Calendar'!$X$1984=TYPE1)*(TYPE1&lt;&gt;"")+('Dvd Calendar'!$X$1984=TYPE2)*(TYPE2&lt;&gt;"")+('Dvd Calendar'!$X$1984=TYPE3)*(TYPE3&lt;&gt;"")+('Dvd Calendar'!$X$1984=TYPE4)*(TYPE4&lt;&gt;"")+('Dvd Calendar'!$X$1984=SPECIAL_LBL)*(INC_SPECIALS="Y"))=0,"",'Dvd Calendar'!$X$1982)))</f>
        <v/>
      </c>
      <c r="W198" s="106">
        <f>IF(EY198="","",IF(ISNUMBER('Dvd Calendar'!$Y$1982)=FALSE,"",IF((('Dvd Calendar'!$Y$1984=TYPE1)*(TYPE1&lt;&gt;"")+('Dvd Calendar'!$Y$1984=TYPE2)*(TYPE2&lt;&gt;"")+('Dvd Calendar'!$Y$1984=TYPE3)*(TYPE3&lt;&gt;"")+('Dvd Calendar'!$Y$1984=TYPE4)*(TYPE4&lt;&gt;"")+('Dvd Calendar'!$Y$1984=SPECIAL_LBL)*(INC_SPECIALS="Y"))=0,"",'Dvd Calendar'!$Y$1982)))</f>
        <v/>
      </c>
      <c r="X198" s="106">
        <f>IF(EZ198="","",IF(ISNUMBER('Dvd Calendar'!$Z$1982)=FALSE,"",IF((('Dvd Calendar'!$Z$1984=TYPE1)*(TYPE1&lt;&gt;"")+('Dvd Calendar'!$Z$1984=TYPE2)*(TYPE2&lt;&gt;"")+('Dvd Calendar'!$Z$1984=TYPE3)*(TYPE3&lt;&gt;"")+('Dvd Calendar'!$Z$1984=TYPE4)*(TYPE4&lt;&gt;"")+('Dvd Calendar'!$Z$1984=SPECIAL_LBL)*(INC_SPECIALS="Y"))=0,"",'Dvd Calendar'!$Z$1982)))</f>
        <v/>
      </c>
      <c r="Y198" s="106">
        <f>IF(FA198="","",IF(ISNUMBER('Dvd Calendar'!$AA$1982)=FALSE,"",IF((('Dvd Calendar'!$AA$1984=TYPE1)*(TYPE1&lt;&gt;"")+('Dvd Calendar'!$AA$1984=TYPE2)*(TYPE2&lt;&gt;"")+('Dvd Calendar'!$AA$1984=TYPE3)*(TYPE3&lt;&gt;"")+('Dvd Calendar'!$AA$1984=TYPE4)*(TYPE4&lt;&gt;"")+('Dvd Calendar'!$AA$1984=SPECIAL_LBL)*(INC_SPECIALS="Y"))=0,"",'Dvd Calendar'!$AA$1982)))</f>
        <v/>
      </c>
      <c r="Z198" s="106">
        <f>IF(FB198="","",IF(ISNUMBER('Dvd Calendar'!$AB$1982)=FALSE,"",IF((('Dvd Calendar'!$AB$1984=TYPE1)*(TYPE1&lt;&gt;"")+('Dvd Calendar'!$AB$1984=TYPE2)*(TYPE2&lt;&gt;"")+('Dvd Calendar'!$AB$1984=TYPE3)*(TYPE3&lt;&gt;"")+('Dvd Calendar'!$AB$1984=TYPE4)*(TYPE4&lt;&gt;"")+('Dvd Calendar'!$AB$1984=SPECIAL_LBL)*(INC_SPECIALS="Y"))=0,"",'Dvd Calendar'!$AB$1982)))</f>
        <v/>
      </c>
      <c r="AA198" s="106">
        <f>IF(FC198="","",IF(ISNUMBER('Dvd Calendar'!$AC$1982)=FALSE,"",IF((('Dvd Calendar'!$AC$1984=TYPE1)*(TYPE1&lt;&gt;"")+('Dvd Calendar'!$AC$1984=TYPE2)*(TYPE2&lt;&gt;"")+('Dvd Calendar'!$AC$1984=TYPE3)*(TYPE3&lt;&gt;"")+('Dvd Calendar'!$AC$1984=TYPE4)*(TYPE4&lt;&gt;"")+('Dvd Calendar'!$AC$1984=SPECIAL_LBL)*(INC_SPECIALS="Y"))=0,"",'Dvd Calendar'!$AC$1982)))</f>
        <v/>
      </c>
      <c r="AB198" s="106">
        <f>IF(FD198="","",IF(ISNUMBER('Dvd Calendar'!$AD$1982)=FALSE,"",IF((('Dvd Calendar'!$AD$1984=TYPE1)*(TYPE1&lt;&gt;"")+('Dvd Calendar'!$AD$1984=TYPE2)*(TYPE2&lt;&gt;"")+('Dvd Calendar'!$AD$1984=TYPE3)*(TYPE3&lt;&gt;"")+('Dvd Calendar'!$AD$1984=TYPE4)*(TYPE4&lt;&gt;"")+('Dvd Calendar'!$AD$1984=SPECIAL_LBL)*(INC_SPECIALS="Y"))=0,"",'Dvd Calendar'!$AD$1982)))</f>
        <v/>
      </c>
      <c r="AC198" s="106">
        <f>IF(FE198="","",IF(ISNUMBER('Dvd Calendar'!$AE$1982)=FALSE,"",IF((('Dvd Calendar'!$AE$1984=TYPE1)*(TYPE1&lt;&gt;"")+('Dvd Calendar'!$AE$1984=TYPE2)*(TYPE2&lt;&gt;"")+('Dvd Calendar'!$AE$1984=TYPE3)*(TYPE3&lt;&gt;"")+('Dvd Calendar'!$AE$1984=TYPE4)*(TYPE4&lt;&gt;"")+('Dvd Calendar'!$AE$1984=SPECIAL_LBL)*(INC_SPECIALS="Y"))=0,"",'Dvd Calendar'!$AE$1982)))</f>
        <v/>
      </c>
      <c r="AD198" s="106">
        <f>IF(FF198="","",IF(ISNUMBER('Dvd Calendar'!$AF$1982)=FALSE,"",IF((('Dvd Calendar'!$AF$1984=TYPE1)*(TYPE1&lt;&gt;"")+('Dvd Calendar'!$AF$1984=TYPE2)*(TYPE2&lt;&gt;"")+('Dvd Calendar'!$AF$1984=TYPE3)*(TYPE3&lt;&gt;"")+('Dvd Calendar'!$AF$1984=TYPE4)*(TYPE4&lt;&gt;"")+('Dvd Calendar'!$AF$1984=SPECIAL_LBL)*(INC_SPECIALS="Y"))=0,"",'Dvd Calendar'!$AF$1982)))</f>
        <v/>
      </c>
      <c r="AE198" s="106">
        <f>IF(FG198="","",IF(ISNUMBER('Dvd Calendar'!$AG$1982)=FALSE,"",IF((('Dvd Calendar'!$AG$1984=TYPE1)*(TYPE1&lt;&gt;"")+('Dvd Calendar'!$AG$1984=TYPE2)*(TYPE2&lt;&gt;"")+('Dvd Calendar'!$AG$1984=TYPE3)*(TYPE3&lt;&gt;"")+('Dvd Calendar'!$AG$1984=TYPE4)*(TYPE4&lt;&gt;"")+('Dvd Calendar'!$AG$1984=SPECIAL_LBL)*(INC_SPECIALS="Y"))=0,"",'Dvd Calendar'!$AG$1982)))</f>
        <v/>
      </c>
      <c r="AF198" s="106">
        <f>IF(FH198="","",IF(ISNUMBER('Dvd Calendar'!$AH$1982)=FALSE,"",IF((('Dvd Calendar'!$AH$1984=TYPE1)*(TYPE1&lt;&gt;"")+('Dvd Calendar'!$AH$1984=TYPE2)*(TYPE2&lt;&gt;"")+('Dvd Calendar'!$AH$1984=TYPE3)*(TYPE3&lt;&gt;"")+('Dvd Calendar'!$AH$1984=TYPE4)*(TYPE4&lt;&gt;"")+('Dvd Calendar'!$AH$1984=SPECIAL_LBL)*(INC_SPECIALS="Y"))=0,"",'Dvd Calendar'!$AH$1982)))</f>
        <v/>
      </c>
      <c r="AG198" s="106">
        <f>IF(FI198="","",IF(ISNUMBER('Dvd Calendar'!$AI$1982)=FALSE,"",IF((('Dvd Calendar'!$AI$1984=TYPE1)*(TYPE1&lt;&gt;"")+('Dvd Calendar'!$AI$1984=TYPE2)*(TYPE2&lt;&gt;"")+('Dvd Calendar'!$AI$1984=TYPE3)*(TYPE3&lt;&gt;"")+('Dvd Calendar'!$AI$1984=TYPE4)*(TYPE4&lt;&gt;"")+('Dvd Calendar'!$AI$1984=SPECIAL_LBL)*(INC_SPECIALS="Y"))=0,"",'Dvd Calendar'!$AI$1982)))</f>
        <v/>
      </c>
      <c r="AH198" s="106">
        <f>IF(FJ198="","",IF(ISNUMBER('Dvd Calendar'!$AJ$1982)=FALSE,"",IF((('Dvd Calendar'!$AJ$1984=TYPE1)*(TYPE1&lt;&gt;"")+('Dvd Calendar'!$AJ$1984=TYPE2)*(TYPE2&lt;&gt;"")+('Dvd Calendar'!$AJ$1984=TYPE3)*(TYPE3&lt;&gt;"")+('Dvd Calendar'!$AJ$1984=TYPE4)*(TYPE4&lt;&gt;"")+('Dvd Calendar'!$AJ$1984=SPECIAL_LBL)*(INC_SPECIALS="Y"))=0,"",'Dvd Calendar'!$AJ$1982)))</f>
        <v/>
      </c>
      <c r="AI198" s="106">
        <f>IF(FK198="","",IF(ISNUMBER('Dvd Calendar'!$AK$1982)=FALSE,"",IF((('Dvd Calendar'!$AK$1984=TYPE1)*(TYPE1&lt;&gt;"")+('Dvd Calendar'!$AK$1984=TYPE2)*(TYPE2&lt;&gt;"")+('Dvd Calendar'!$AK$1984=TYPE3)*(TYPE3&lt;&gt;"")+('Dvd Calendar'!$AK$1984=TYPE4)*(TYPE4&lt;&gt;"")+('Dvd Calendar'!$AK$1984=SPECIAL_LBL)*(INC_SPECIALS="Y"))=0,"",'Dvd Calendar'!$AK$1982)))</f>
        <v/>
      </c>
      <c r="AJ198" s="106">
        <f>IF(FL198="","",IF(ISNUMBER('Dvd Calendar'!$AL$1982)=FALSE,"",IF((('Dvd Calendar'!$AL$1984=TYPE1)*(TYPE1&lt;&gt;"")+('Dvd Calendar'!$AL$1984=TYPE2)*(TYPE2&lt;&gt;"")+('Dvd Calendar'!$AL$1984=TYPE3)*(TYPE3&lt;&gt;"")+('Dvd Calendar'!$AL$1984=TYPE4)*(TYPE4&lt;&gt;"")+('Dvd Calendar'!$AL$1984=SPECIAL_LBL)*(INC_SPECIALS="Y"))=0,"",'Dvd Calendar'!$AL$1982)))</f>
        <v/>
      </c>
      <c r="AK198" s="106">
        <f>IF(FM198="","",IF(ISNUMBER('Dvd Calendar'!$AM$1982)=FALSE,"",IF((('Dvd Calendar'!$AM$1984=TYPE1)*(TYPE1&lt;&gt;"")+('Dvd Calendar'!$AM$1984=TYPE2)*(TYPE2&lt;&gt;"")+('Dvd Calendar'!$AM$1984=TYPE3)*(TYPE3&lt;&gt;"")+('Dvd Calendar'!$AM$1984=TYPE4)*(TYPE4&lt;&gt;"")+('Dvd Calendar'!$AM$1984=SPECIAL_LBL)*(INC_SPECIALS="Y"))=0,"",'Dvd Calendar'!$AM$1982)))</f>
        <v/>
      </c>
      <c r="AL198" s="106">
        <f>IF(FN198="","",IF(ISNUMBER('Dvd Calendar'!$AN$1982)=FALSE,"",IF((('Dvd Calendar'!$AN$1984=TYPE1)*(TYPE1&lt;&gt;"")+('Dvd Calendar'!$AN$1984=TYPE2)*(TYPE2&lt;&gt;"")+('Dvd Calendar'!$AN$1984=TYPE3)*(TYPE3&lt;&gt;"")+('Dvd Calendar'!$AN$1984=TYPE4)*(TYPE4&lt;&gt;"")+('Dvd Calendar'!$AN$1984=SPECIAL_LBL)*(INC_SPECIALS="Y"))=0,"",'Dvd Calendar'!$AN$1982)))</f>
        <v/>
      </c>
      <c r="AM198" s="106">
        <f>IF(FO198="","",IF(ISNUMBER('Dvd Calendar'!$AO$1982)=FALSE,"",IF((('Dvd Calendar'!$AO$1984=TYPE1)*(TYPE1&lt;&gt;"")+('Dvd Calendar'!$AO$1984=TYPE2)*(TYPE2&lt;&gt;"")+('Dvd Calendar'!$AO$1984=TYPE3)*(TYPE3&lt;&gt;"")+('Dvd Calendar'!$AO$1984=TYPE4)*(TYPE4&lt;&gt;"")+('Dvd Calendar'!$AO$1984=SPECIAL_LBL)*(INC_SPECIALS="Y"))=0,"",'Dvd Calendar'!$AO$1982)))</f>
        <v/>
      </c>
      <c r="AN198" s="106">
        <f>IF(FP198="","",IF(ISNUMBER('Dvd Calendar'!$AP$1982)=FALSE,"",IF((('Dvd Calendar'!$AP$1984=TYPE1)*(TYPE1&lt;&gt;"")+('Dvd Calendar'!$AP$1984=TYPE2)*(TYPE2&lt;&gt;"")+('Dvd Calendar'!$AP$1984=TYPE3)*(TYPE3&lt;&gt;"")+('Dvd Calendar'!$AP$1984=TYPE4)*(TYPE4&lt;&gt;"")+('Dvd Calendar'!$AP$1984=SPECIAL_LBL)*(INC_SPECIALS="Y"))=0,"",'Dvd Calendar'!$AP$1982)))</f>
        <v/>
      </c>
      <c r="AO198" s="106">
        <f>IF(FQ198="","",IF(ISNUMBER('Dvd Calendar'!$AQ$1982)=FALSE,"",IF((('Dvd Calendar'!$AQ$1984=TYPE1)*(TYPE1&lt;&gt;"")+('Dvd Calendar'!$AQ$1984=TYPE2)*(TYPE2&lt;&gt;"")+('Dvd Calendar'!$AQ$1984=TYPE3)*(TYPE3&lt;&gt;"")+('Dvd Calendar'!$AQ$1984=TYPE4)*(TYPE4&lt;&gt;"")+('Dvd Calendar'!$AQ$1984=SPECIAL_LBL)*(INC_SPECIALS="Y"))=0,"",'Dvd Calendar'!$AQ$1982)))</f>
        <v/>
      </c>
      <c r="AP198" s="106">
        <f>IF(FR198="","",IF(ISNUMBER('Dvd Calendar'!$AR$1982)=FALSE,"",IF((('Dvd Calendar'!$AR$1984=TYPE1)*(TYPE1&lt;&gt;"")+('Dvd Calendar'!$AR$1984=TYPE2)*(TYPE2&lt;&gt;"")+('Dvd Calendar'!$AR$1984=TYPE3)*(TYPE3&lt;&gt;"")+('Dvd Calendar'!$AR$1984=TYPE4)*(TYPE4&lt;&gt;"")+('Dvd Calendar'!$AR$1984=SPECIAL_LBL)*(INC_SPECIALS="Y"))=0,"",'Dvd Calendar'!$AR$1982)))</f>
        <v/>
      </c>
      <c r="AQ198" s="106">
        <f>IF(FS198="","",IF(ISNUMBER('Dvd Calendar'!$E$1987)=FALSE,"",'Dvd Calendar'!$E$1987))</f>
        <v/>
      </c>
      <c r="AR198" s="106">
        <f>IF(FT198="","",IF(ISNUMBER('Dvd Calendar'!$F$1987)=FALSE,"",'Dvd Calendar'!$F$1987))</f>
        <v/>
      </c>
      <c r="AS198" s="106">
        <f>IF(FU198="","",IF(ISNUMBER('Dvd Calendar'!$G$1987)=FALSE,"",'Dvd Calendar'!$G$1987))</f>
        <v/>
      </c>
      <c r="AT198" s="106">
        <f>IF(FV198="","",IF(ISNUMBER('Dvd Calendar'!$H$1987)=FALSE,"",'Dvd Calendar'!$H$1987))</f>
        <v/>
      </c>
      <c r="AU198" s="106">
        <f>IF(FW198="","",IF(ISNUMBER('Dvd Calendar'!$I$1987)=FALSE,"",'Dvd Calendar'!$I$1987))</f>
        <v/>
      </c>
      <c r="AV198" s="106">
        <f>IF(FX198="","",IF(ISNUMBER('Dvd Calendar'!$J$1987)=FALSE,"",'Dvd Calendar'!$J$1987))</f>
        <v/>
      </c>
      <c r="AW198" s="106">
        <f>IF(FY198="","",IF(ISNUMBER('Dvd Calendar'!$K$1987)=FALSE,"",'Dvd Calendar'!$K$1987))</f>
        <v/>
      </c>
      <c r="AX198" s="106">
        <f>IF(FZ198="","",IF(ISNUMBER('Dvd Calendar'!$L$1987)=FALSE,"",'Dvd Calendar'!$L$1987))</f>
        <v/>
      </c>
      <c r="AY198" s="106">
        <f>IF(GA198="","",IF(ISNUMBER('Dvd Calendar'!$M$1987)=FALSE,"",'Dvd Calendar'!$M$1987))</f>
        <v/>
      </c>
      <c r="AZ198" s="106">
        <f>IF(GB198="","",IF(ISNUMBER('Dvd Calendar'!$N$1987)=FALSE,"",'Dvd Calendar'!$N$1987))</f>
        <v/>
      </c>
      <c r="BA198" s="106">
        <f>IF(GC198="","",IF(ISNUMBER('Dvd Calendar'!$O$1987)=FALSE,"",'Dvd Calendar'!$O$1987))</f>
        <v/>
      </c>
      <c r="BB198" s="106">
        <f>IF(GD198="","",IF(ISNUMBER('Dvd Calendar'!$P$1987)=FALSE,"",'Dvd Calendar'!$P$1987))</f>
        <v/>
      </c>
      <c r="BC198" s="106">
        <f>IF(GE198="","",IF(ISNUMBER('Dvd Calendar'!$Q$1987)=FALSE,"",'Dvd Calendar'!$Q$1987))</f>
        <v/>
      </c>
      <c r="BD198" s="106">
        <f>IF(GF198="","",IF(ISNUMBER('Dvd Calendar'!$R$1987)=FALSE,"",'Dvd Calendar'!$R$1987))</f>
        <v/>
      </c>
      <c r="BE198" s="106">
        <f>IF(GG198="","",IF(ISNUMBER('Dvd Calendar'!$S$1987)=FALSE,"",'Dvd Calendar'!$S$1987))</f>
        <v/>
      </c>
      <c r="BF198" s="106">
        <f>IF(GH198="","",IF(ISNUMBER('Dvd Calendar'!$T$1987)=FALSE,"",'Dvd Calendar'!$T$1987))</f>
        <v/>
      </c>
      <c r="BG198" s="106">
        <f>IF(GI198="","",IF(ISNUMBER('Dvd Calendar'!$U$1987)=FALSE,"",'Dvd Calendar'!$U$1987))</f>
        <v/>
      </c>
      <c r="BH198" s="106">
        <f>IF(GJ198="","",IF(ISNUMBER('Dvd Calendar'!$V$1987)=FALSE,"",'Dvd Calendar'!$V$1987))</f>
        <v/>
      </c>
      <c r="BI198" s="106">
        <f>IF(GK198="","",IF(ISNUMBER('Dvd Calendar'!$W$1987)=FALSE,"",'Dvd Calendar'!$W$1987))</f>
        <v/>
      </c>
      <c r="BJ198" s="106">
        <f>IF(GL198="","",IF(ISNUMBER('Dvd Calendar'!$X$1987)=FALSE,"",'Dvd Calendar'!$X$1987))</f>
        <v/>
      </c>
      <c r="BK198" s="106">
        <f>IF(GM198="","",IF(ISNUMBER('Dvd Calendar'!$Y$1987)=FALSE,"",'Dvd Calendar'!$Y$1987))</f>
        <v/>
      </c>
      <c r="BL198" s="106">
        <f>IF(GN198="","",IF(ISNUMBER('Dvd Calendar'!$Z$1987)=FALSE,"",'Dvd Calendar'!$Z$1987))</f>
        <v/>
      </c>
      <c r="BM198" s="106">
        <f>IF(GO198="","",IF(ISNUMBER('Dvd Calendar'!$AA$1987)=FALSE,"",'Dvd Calendar'!$AA$1987))</f>
        <v/>
      </c>
      <c r="BN198" s="106">
        <f>IF(GP198="","",IF(ISNUMBER('Dvd Calendar'!$AB$1987)=FALSE,"",'Dvd Calendar'!$AB$1987))</f>
        <v/>
      </c>
      <c r="BO198" s="106">
        <f>IF(GQ198="","",IF(ISNUMBER('Dvd Calendar'!$AC$1987)=FALSE,"",'Dvd Calendar'!$AC$1987))</f>
        <v/>
      </c>
      <c r="BQ198" s="106">
        <f>IF(C198="","",IFERROR(C198*HSCEI!$B$45*HSCEI!$G$45/HSCEI!$B$3,""))</f>
        <v/>
      </c>
      <c r="BR198" s="106">
        <f>IF(D198="","",IFERROR(D198*HSCEI!$B$45*HSCEI!$G$45/HSCEI!$B$3,""))</f>
        <v/>
      </c>
      <c r="BS198" s="106">
        <f>IF(E198="","",IFERROR(E198*HSCEI!$B$45*HSCEI!$G$45/HSCEI!$B$3,""))</f>
        <v/>
      </c>
      <c r="BT198" s="106">
        <f>IF(F198="","",IFERROR(F198*HSCEI!$B$45*HSCEI!$G$45/HSCEI!$B$3,""))</f>
        <v/>
      </c>
      <c r="BU198" s="106">
        <f>IF(G198="","",IFERROR(G198*HSCEI!$B$45*HSCEI!$G$45/HSCEI!$B$3,""))</f>
        <v/>
      </c>
      <c r="BV198" s="106">
        <f>IF(H198="","",IFERROR(H198*HSCEI!$B$45*HSCEI!$G$45/HSCEI!$B$3,""))</f>
        <v/>
      </c>
      <c r="BW198" s="106">
        <f>IF(I198="","",IFERROR(I198*HSCEI!$B$45*HSCEI!$G$45/HSCEI!$B$3,""))</f>
        <v/>
      </c>
      <c r="BX198" s="106">
        <f>IF(J198="","",IFERROR(J198*HSCEI!$B$45*HSCEI!$G$45/HSCEI!$B$3,""))</f>
        <v/>
      </c>
      <c r="BY198" s="106">
        <f>IF(K198="","",IFERROR(K198*HSCEI!$B$45*HSCEI!$G$45/HSCEI!$B$3,""))</f>
        <v/>
      </c>
      <c r="BZ198" s="106">
        <f>IF(L198="","",IFERROR(L198*HSCEI!$B$45*HSCEI!$G$45/HSCEI!$B$3,""))</f>
        <v/>
      </c>
      <c r="CA198" s="106">
        <f>IF(M198="","",IFERROR(M198*HSCEI!$B$45*HSCEI!$G$45/HSCEI!$B$3,""))</f>
        <v/>
      </c>
      <c r="CB198" s="106">
        <f>IF(N198="","",IFERROR(N198*HSCEI!$B$45*HSCEI!$G$45/HSCEI!$B$3,""))</f>
        <v/>
      </c>
      <c r="CC198" s="106">
        <f>IF(O198="","",IFERROR(O198*HSCEI!$B$45*HSCEI!$G$45/HSCEI!$B$3,""))</f>
        <v/>
      </c>
      <c r="CD198" s="106">
        <f>IF(P198="","",IFERROR(P198*HSCEI!$B$45*HSCEI!$G$45/HSCEI!$B$3,""))</f>
        <v/>
      </c>
      <c r="CE198" s="106">
        <f>IF(Q198="","",IFERROR(Q198*HSCEI!$B$45*HSCEI!$G$45/HSCEI!$B$3,""))</f>
        <v/>
      </c>
      <c r="CF198" s="106">
        <f>IF(R198="","",IFERROR(R198*HSCEI!$B$45*HSCEI!$G$45/HSCEI!$B$3,""))</f>
        <v/>
      </c>
      <c r="CG198" s="106">
        <f>IF(S198="","",IFERROR(S198*HSCEI!$B$45*HSCEI!$G$45/HSCEI!$B$3,""))</f>
        <v/>
      </c>
      <c r="CH198" s="106">
        <f>IF(T198="","",IFERROR(T198*HSCEI!$B$45*HSCEI!$G$45/HSCEI!$B$3,""))</f>
        <v/>
      </c>
      <c r="CI198" s="106">
        <f>IF(U198="","",IFERROR(U198*HSCEI!$B$45*HSCEI!$G$45/HSCEI!$B$3,""))</f>
        <v/>
      </c>
      <c r="CJ198" s="106">
        <f>IF(V198="","",IFERROR(V198*HSCEI!$B$45*HSCEI!$G$45/HSCEI!$B$3,""))</f>
        <v/>
      </c>
      <c r="CK198" s="106">
        <f>IF(W198="","",IFERROR(W198*HSCEI!$B$45*HSCEI!$G$45/HSCEI!$B$3,""))</f>
        <v/>
      </c>
      <c r="CL198" s="106">
        <f>IF(X198="","",IFERROR(X198*HSCEI!$B$45*HSCEI!$G$45/HSCEI!$B$3,""))</f>
        <v/>
      </c>
      <c r="CM198" s="106">
        <f>IF(Y198="","",IFERROR(Y198*HSCEI!$B$45*HSCEI!$G$45/HSCEI!$B$3,""))</f>
        <v/>
      </c>
      <c r="CN198" s="106">
        <f>IF(Z198="","",IFERROR(Z198*HSCEI!$B$45*HSCEI!$G$45/HSCEI!$B$3,""))</f>
        <v/>
      </c>
      <c r="CO198" s="106">
        <f>IF(AA198="","",IFERROR(AA198*HSCEI!$B$45*HSCEI!$G$45/HSCEI!$B$3,""))</f>
        <v/>
      </c>
      <c r="CP198" s="106">
        <f>IF(AB198="","",IFERROR(AB198*HSCEI!$B$45*HSCEI!$G$45/HSCEI!$B$3,""))</f>
        <v/>
      </c>
      <c r="CQ198" s="106">
        <f>IF(AC198="","",IFERROR(AC198*HSCEI!$B$45*HSCEI!$G$45/HSCEI!$B$3,""))</f>
        <v/>
      </c>
      <c r="CR198" s="106">
        <f>IF(AD198="","",IFERROR(AD198*HSCEI!$B$45*HSCEI!$G$45/HSCEI!$B$3,""))</f>
        <v/>
      </c>
      <c r="CS198" s="106">
        <f>IF(AE198="","",IFERROR(AE198*HSCEI!$B$45*HSCEI!$G$45/HSCEI!$B$3,""))</f>
        <v/>
      </c>
      <c r="CT198" s="106">
        <f>IF(AF198="","",IFERROR(AF198*HSCEI!$B$45*HSCEI!$G$45/HSCEI!$B$3,""))</f>
        <v/>
      </c>
      <c r="CU198" s="106">
        <f>IF(AG198="","",IFERROR(AG198*HSCEI!$B$45*HSCEI!$G$45/HSCEI!$B$3,""))</f>
        <v/>
      </c>
      <c r="CV198" s="106">
        <f>IF(AH198="","",IFERROR(AH198*HSCEI!$B$45*HSCEI!$G$45/HSCEI!$B$3,""))</f>
        <v/>
      </c>
      <c r="CW198" s="106">
        <f>IF(AI198="","",IFERROR(AI198*HSCEI!$B$45*HSCEI!$G$45/HSCEI!$B$3,""))</f>
        <v/>
      </c>
      <c r="CX198" s="106">
        <f>IF(AJ198="","",IFERROR(AJ198*HSCEI!$B$45*HSCEI!$G$45/HSCEI!$B$3,""))</f>
        <v/>
      </c>
      <c r="CY198" s="106">
        <f>IF(AK198="","",IFERROR(AK198*HSCEI!$B$45*HSCEI!$G$45/HSCEI!$B$3,""))</f>
        <v/>
      </c>
      <c r="CZ198" s="106">
        <f>IF(AL198="","",IFERROR(AL198*HSCEI!$B$45*HSCEI!$G$45/HSCEI!$B$3,""))</f>
        <v/>
      </c>
      <c r="DA198" s="106">
        <f>IF(AM198="","",IFERROR(AM198*HSCEI!$B$45*HSCEI!$G$45/HSCEI!$B$3,""))</f>
        <v/>
      </c>
      <c r="DB198" s="106">
        <f>IF(AN198="","",IFERROR(AN198*HSCEI!$B$45*HSCEI!$G$45/HSCEI!$B$3,""))</f>
        <v/>
      </c>
      <c r="DC198" s="106">
        <f>IF(AO198="","",IFERROR(AO198*HSCEI!$B$45*HSCEI!$G$45/HSCEI!$B$3,""))</f>
        <v/>
      </c>
      <c r="DD198" s="106">
        <f>IF(AP198="","",IFERROR(AP198*HSCEI!$B$45*HSCEI!$G$45/HSCEI!$B$3,""))</f>
        <v/>
      </c>
      <c r="DE198" s="106">
        <f>IF(AQ198="","",IFERROR(AQ198*HSCEI!$B$45*HSCEI!$G$45/HSCEI!$B$3,""))</f>
        <v/>
      </c>
      <c r="DF198" s="106">
        <f>IF(AR198="","",IFERROR(AR198*HSCEI!$B$45*HSCEI!$G$45/HSCEI!$B$3,""))</f>
        <v/>
      </c>
      <c r="DG198" s="106">
        <f>IF(AS198="","",IFERROR(AS198*HSCEI!$B$45*HSCEI!$G$45/HSCEI!$B$3,""))</f>
        <v/>
      </c>
      <c r="DH198" s="106">
        <f>IF(AT198="","",IFERROR(AT198*HSCEI!$B$45*HSCEI!$G$45/HSCEI!$B$3,""))</f>
        <v/>
      </c>
      <c r="DI198" s="106">
        <f>IF(AU198="","",IFERROR(AU198*HSCEI!$B$45*HSCEI!$G$45/HSCEI!$B$3,""))</f>
        <v/>
      </c>
      <c r="DJ198" s="106">
        <f>IF(AV198="","",IFERROR(AV198*HSCEI!$B$45*HSCEI!$G$45/HSCEI!$B$3,""))</f>
        <v/>
      </c>
      <c r="DK198" s="106">
        <f>IF(AW198="","",IFERROR(AW198*HSCEI!$B$45*HSCEI!$G$45/HSCEI!$B$3,""))</f>
        <v/>
      </c>
      <c r="DL198" s="106">
        <f>IF(AX198="","",IFERROR(AX198*HSCEI!$B$45*HSCEI!$G$45/HSCEI!$B$3,""))</f>
        <v/>
      </c>
      <c r="DM198" s="106">
        <f>IF(AY198="","",IFERROR(AY198*HSCEI!$B$45*HSCEI!$G$45/HSCEI!$B$3,""))</f>
        <v/>
      </c>
      <c r="DN198" s="106">
        <f>IF(AZ198="","",IFERROR(AZ198*HSCEI!$B$45*HSCEI!$G$45/HSCEI!$B$3,""))</f>
        <v/>
      </c>
      <c r="DO198" s="106">
        <f>IF(BA198="","",IFERROR(BA198*HSCEI!$B$45*HSCEI!$G$45/HSCEI!$B$3,""))</f>
        <v/>
      </c>
      <c r="DP198" s="106">
        <f>IF(BB198="","",IFERROR(BB198*HSCEI!$B$45*HSCEI!$G$45/HSCEI!$B$3,""))</f>
        <v/>
      </c>
      <c r="DQ198" s="106">
        <f>IF(BC198="","",IFERROR(BC198*HSCEI!$B$45*HSCEI!$G$45/HSCEI!$B$3,""))</f>
        <v/>
      </c>
      <c r="DR198" s="106">
        <f>IF(BD198="","",IFERROR(BD198*HSCEI!$B$45*HSCEI!$G$45/HSCEI!$B$3,""))</f>
        <v/>
      </c>
      <c r="DS198" s="106">
        <f>IF(BE198="","",IFERROR(BE198*HSCEI!$B$45*HSCEI!$G$45/HSCEI!$B$3,""))</f>
        <v/>
      </c>
      <c r="DT198" s="106">
        <f>IF(BF198="","",IFERROR(BF198*HSCEI!$B$45*HSCEI!$G$45/HSCEI!$B$3,""))</f>
        <v/>
      </c>
      <c r="DU198" s="106">
        <f>IF(BG198="","",IFERROR(BG198*HSCEI!$B$45*HSCEI!$G$45/HSCEI!$B$3,""))</f>
        <v/>
      </c>
      <c r="DV198" s="106">
        <f>IF(BH198="","",IFERROR(BH198*HSCEI!$B$45*HSCEI!$G$45/HSCEI!$B$3,""))</f>
        <v/>
      </c>
      <c r="DW198" s="106">
        <f>IF(BI198="","",IFERROR(BI198*HSCEI!$B$45*HSCEI!$G$45/HSCEI!$B$3,""))</f>
        <v/>
      </c>
      <c r="DX198" s="106">
        <f>IF(BJ198="","",IFERROR(BJ198*HSCEI!$B$45*HSCEI!$G$45/HSCEI!$B$3,""))</f>
        <v/>
      </c>
      <c r="DY198" s="106">
        <f>IF(BK198="","",IFERROR(BK198*HSCEI!$B$45*HSCEI!$G$45/HSCEI!$B$3,""))</f>
        <v/>
      </c>
      <c r="DZ198" s="106">
        <f>IF(BL198="","",IFERROR(BL198*HSCEI!$B$45*HSCEI!$G$45/HSCEI!$B$3,""))</f>
        <v/>
      </c>
      <c r="EA198" s="106">
        <f>IF(BM198="","",IFERROR(BM198*HSCEI!$B$45*HSCEI!$G$45/HSCEI!$B$3,""))</f>
        <v/>
      </c>
      <c r="EB198" s="106">
        <f>IF(BN198="","",IFERROR(BN198*HSCEI!$B$45*HSCEI!$G$45/HSCEI!$B$3,""))</f>
        <v/>
      </c>
      <c r="EC198" s="106">
        <f>IF(BO198="","",IFERROR(BO198*HSCEI!$B$45*HSCEI!$G$45/HSCEI!$B$3,""))</f>
        <v/>
      </c>
      <c r="EE198" s="35">
        <f>IF(N('Dvd Calendar'!$E$1979)=0,"",IF(('Dvd Calendar'!$E$1979&gt;=GRID_FROM)*('Dvd Calendar'!$E$1979&lt;=GRID_TO)*('Dvd Calendar'!$E$1979&lt;=VAL_DATE)=0,"",'Dvd Calendar'!$E$1979*1000000000+ISNUMBER('Dvd Calendar'!$E$1982)*100000000+('Dvd Calendar'!$E$1984=SPECIAL_LBL)*10000000+0*1000000+39*1000+1))</f>
        <v/>
      </c>
      <c r="EF198" s="35">
        <f>IF(N('Dvd Calendar'!$F$1979)=0,"",IF(('Dvd Calendar'!$F$1979&gt;=GRID_FROM)*('Dvd Calendar'!$F$1979&lt;=GRID_TO)*('Dvd Calendar'!$F$1979&lt;=VAL_DATE)=0,"",'Dvd Calendar'!$F$1979*1000000000+ISNUMBER('Dvd Calendar'!$F$1982)*100000000+('Dvd Calendar'!$F$1984=SPECIAL_LBL)*10000000+0*1000000+39*1000+2))</f>
        <v/>
      </c>
      <c r="EG198" s="35">
        <f>IF(N('Dvd Calendar'!$G$1979)=0,"",IF(('Dvd Calendar'!$G$1979&gt;=GRID_FROM)*('Dvd Calendar'!$G$1979&lt;=GRID_TO)*('Dvd Calendar'!$G$1979&lt;=VAL_DATE)=0,"",'Dvd Calendar'!$G$1979*1000000000+ISNUMBER('Dvd Calendar'!$G$1982)*100000000+('Dvd Calendar'!$G$1984=SPECIAL_LBL)*10000000+0*1000000+39*1000+3))</f>
        <v/>
      </c>
      <c r="EH198" s="35">
        <f>IF(N('Dvd Calendar'!$H$1979)=0,"",IF(('Dvd Calendar'!$H$1979&gt;=GRID_FROM)*('Dvd Calendar'!$H$1979&lt;=GRID_TO)*('Dvd Calendar'!$H$1979&lt;=VAL_DATE)=0,"",'Dvd Calendar'!$H$1979*1000000000+ISNUMBER('Dvd Calendar'!$H$1982)*100000000+('Dvd Calendar'!$H$1984=SPECIAL_LBL)*10000000+0*1000000+39*1000+4))</f>
        <v/>
      </c>
      <c r="EI198" s="35">
        <f>IF(N('Dvd Calendar'!$I$1979)=0,"",IF(('Dvd Calendar'!$I$1979&gt;=GRID_FROM)*('Dvd Calendar'!$I$1979&lt;=GRID_TO)*('Dvd Calendar'!$I$1979&lt;=VAL_DATE)=0,"",'Dvd Calendar'!$I$1979*1000000000+ISNUMBER('Dvd Calendar'!$I$1982)*100000000+('Dvd Calendar'!$I$1984=SPECIAL_LBL)*10000000+0*1000000+39*1000+5))</f>
        <v/>
      </c>
      <c r="EJ198" s="35">
        <f>IF(N('Dvd Calendar'!$J$1979)=0,"",IF(('Dvd Calendar'!$J$1979&gt;=GRID_FROM)*('Dvd Calendar'!$J$1979&lt;=GRID_TO)*('Dvd Calendar'!$J$1979&lt;=VAL_DATE)=0,"",'Dvd Calendar'!$J$1979*1000000000+ISNUMBER('Dvd Calendar'!$J$1982)*100000000+('Dvd Calendar'!$J$1984=SPECIAL_LBL)*10000000+0*1000000+39*1000+6))</f>
        <v/>
      </c>
      <c r="EK198" s="35">
        <f>IF(N('Dvd Calendar'!$K$1979)=0,"",IF(('Dvd Calendar'!$K$1979&gt;=GRID_FROM)*('Dvd Calendar'!$K$1979&lt;=GRID_TO)*('Dvd Calendar'!$K$1979&lt;=VAL_DATE)=0,"",'Dvd Calendar'!$K$1979*1000000000+ISNUMBER('Dvd Calendar'!$K$1982)*100000000+('Dvd Calendar'!$K$1984=SPECIAL_LBL)*10000000+0*1000000+39*1000+7))</f>
        <v/>
      </c>
      <c r="EL198" s="35">
        <f>IF(N('Dvd Calendar'!$L$1979)=0,"",IF(('Dvd Calendar'!$L$1979&gt;=GRID_FROM)*('Dvd Calendar'!$L$1979&lt;=GRID_TO)*('Dvd Calendar'!$L$1979&lt;=VAL_DATE)=0,"",'Dvd Calendar'!$L$1979*1000000000+ISNUMBER('Dvd Calendar'!$L$1982)*100000000+('Dvd Calendar'!$L$1984=SPECIAL_LBL)*10000000+0*1000000+39*1000+8))</f>
        <v/>
      </c>
      <c r="EM198" s="35">
        <f>IF(N('Dvd Calendar'!$M$1979)=0,"",IF(('Dvd Calendar'!$M$1979&gt;=GRID_FROM)*('Dvd Calendar'!$M$1979&lt;=GRID_TO)*('Dvd Calendar'!$M$1979&lt;=VAL_DATE)=0,"",'Dvd Calendar'!$M$1979*1000000000+ISNUMBER('Dvd Calendar'!$M$1982)*100000000+('Dvd Calendar'!$M$1984=SPECIAL_LBL)*10000000+0*1000000+39*1000+9))</f>
        <v/>
      </c>
      <c r="EN198" s="35">
        <f>IF(N('Dvd Calendar'!$N$1979)=0,"",IF(('Dvd Calendar'!$N$1979&gt;=GRID_FROM)*('Dvd Calendar'!$N$1979&lt;=GRID_TO)*('Dvd Calendar'!$N$1979&lt;=VAL_DATE)=0,"",'Dvd Calendar'!$N$1979*1000000000+ISNUMBER('Dvd Calendar'!$N$1982)*100000000+('Dvd Calendar'!$N$1984=SPECIAL_LBL)*10000000+0*1000000+39*1000+10))</f>
        <v/>
      </c>
      <c r="EO198" s="35">
        <f>IF(N('Dvd Calendar'!$O$1979)=0,"",IF(('Dvd Calendar'!$O$1979&gt;=GRID_FROM)*('Dvd Calendar'!$O$1979&lt;=GRID_TO)*('Dvd Calendar'!$O$1979&lt;=VAL_DATE)=0,"",'Dvd Calendar'!$O$1979*1000000000+ISNUMBER('Dvd Calendar'!$O$1982)*100000000+('Dvd Calendar'!$O$1984=SPECIAL_LBL)*10000000+0*1000000+39*1000+11))</f>
        <v/>
      </c>
      <c r="EP198" s="35">
        <f>IF(N('Dvd Calendar'!$P$1979)=0,"",IF(('Dvd Calendar'!$P$1979&gt;=GRID_FROM)*('Dvd Calendar'!$P$1979&lt;=GRID_TO)*('Dvd Calendar'!$P$1979&lt;=VAL_DATE)=0,"",'Dvd Calendar'!$P$1979*1000000000+ISNUMBER('Dvd Calendar'!$P$1982)*100000000+('Dvd Calendar'!$P$1984=SPECIAL_LBL)*10000000+0*1000000+39*1000+12))</f>
        <v/>
      </c>
      <c r="EQ198" s="35">
        <f>IF(N('Dvd Calendar'!$Q$1979)=0,"",IF(('Dvd Calendar'!$Q$1979&gt;=GRID_FROM)*('Dvd Calendar'!$Q$1979&lt;=GRID_TO)*('Dvd Calendar'!$Q$1979&lt;=VAL_DATE)=0,"",'Dvd Calendar'!$Q$1979*1000000000+ISNUMBER('Dvd Calendar'!$Q$1982)*100000000+('Dvd Calendar'!$Q$1984=SPECIAL_LBL)*10000000+0*1000000+39*1000+13))</f>
        <v/>
      </c>
      <c r="ER198" s="35">
        <f>IF(N('Dvd Calendar'!$R$1979)=0,"",IF(('Dvd Calendar'!$R$1979&gt;=GRID_FROM)*('Dvd Calendar'!$R$1979&lt;=GRID_TO)*('Dvd Calendar'!$R$1979&lt;=VAL_DATE)=0,"",'Dvd Calendar'!$R$1979*1000000000+ISNUMBER('Dvd Calendar'!$R$1982)*100000000+('Dvd Calendar'!$R$1984=SPECIAL_LBL)*10000000+0*1000000+39*1000+14))</f>
        <v/>
      </c>
      <c r="ES198" s="35">
        <f>IF(N('Dvd Calendar'!$S$1979)=0,"",IF(('Dvd Calendar'!$S$1979&gt;=GRID_FROM)*('Dvd Calendar'!$S$1979&lt;=GRID_TO)*('Dvd Calendar'!$S$1979&lt;=VAL_DATE)=0,"",'Dvd Calendar'!$S$1979*1000000000+ISNUMBER('Dvd Calendar'!$S$1982)*100000000+('Dvd Calendar'!$S$1984=SPECIAL_LBL)*10000000+0*1000000+39*1000+15))</f>
        <v/>
      </c>
      <c r="ET198" s="35">
        <f>IF(N('Dvd Calendar'!$T$1979)=0,"",IF(('Dvd Calendar'!$T$1979&gt;=GRID_FROM)*('Dvd Calendar'!$T$1979&lt;=GRID_TO)*('Dvd Calendar'!$T$1979&lt;=VAL_DATE)=0,"",'Dvd Calendar'!$T$1979*1000000000+ISNUMBER('Dvd Calendar'!$T$1982)*100000000+('Dvd Calendar'!$T$1984=SPECIAL_LBL)*10000000+0*1000000+39*1000+16))</f>
        <v/>
      </c>
      <c r="EU198" s="35">
        <f>IF(N('Dvd Calendar'!$U$1979)=0,"",IF(('Dvd Calendar'!$U$1979&gt;=GRID_FROM)*('Dvd Calendar'!$U$1979&lt;=GRID_TO)*('Dvd Calendar'!$U$1979&lt;=VAL_DATE)=0,"",'Dvd Calendar'!$U$1979*1000000000+ISNUMBER('Dvd Calendar'!$U$1982)*100000000+('Dvd Calendar'!$U$1984=SPECIAL_LBL)*10000000+0*1000000+39*1000+17))</f>
        <v/>
      </c>
      <c r="EV198" s="35">
        <f>IF(N('Dvd Calendar'!$V$1979)=0,"",IF(('Dvd Calendar'!$V$1979&gt;=GRID_FROM)*('Dvd Calendar'!$V$1979&lt;=GRID_TO)*('Dvd Calendar'!$V$1979&lt;=VAL_DATE)=0,"",'Dvd Calendar'!$V$1979*1000000000+ISNUMBER('Dvd Calendar'!$V$1982)*100000000+('Dvd Calendar'!$V$1984=SPECIAL_LBL)*10000000+0*1000000+39*1000+18))</f>
        <v/>
      </c>
      <c r="EW198" s="35">
        <f>IF(N('Dvd Calendar'!$W$1979)=0,"",IF(('Dvd Calendar'!$W$1979&gt;=GRID_FROM)*('Dvd Calendar'!$W$1979&lt;=GRID_TO)*('Dvd Calendar'!$W$1979&lt;=VAL_DATE)=0,"",'Dvd Calendar'!$W$1979*1000000000+ISNUMBER('Dvd Calendar'!$W$1982)*100000000+('Dvd Calendar'!$W$1984=SPECIAL_LBL)*10000000+0*1000000+39*1000+19))</f>
        <v/>
      </c>
      <c r="EX198" s="35">
        <f>IF(N('Dvd Calendar'!$X$1979)=0,"",IF(('Dvd Calendar'!$X$1979&gt;=GRID_FROM)*('Dvd Calendar'!$X$1979&lt;=GRID_TO)*('Dvd Calendar'!$X$1979&lt;=VAL_DATE)=0,"",'Dvd Calendar'!$X$1979*1000000000+ISNUMBER('Dvd Calendar'!$X$1982)*100000000+('Dvd Calendar'!$X$1984=SPECIAL_LBL)*10000000+0*1000000+39*1000+20))</f>
        <v/>
      </c>
      <c r="EY198" s="35">
        <f>IF(N('Dvd Calendar'!$Y$1979)=0,"",IF(('Dvd Calendar'!$Y$1979&gt;=GRID_FROM)*('Dvd Calendar'!$Y$1979&lt;=GRID_TO)*('Dvd Calendar'!$Y$1979&lt;=VAL_DATE)=0,"",'Dvd Calendar'!$Y$1979*1000000000+ISNUMBER('Dvd Calendar'!$Y$1982)*100000000+('Dvd Calendar'!$Y$1984=SPECIAL_LBL)*10000000+0*1000000+39*1000+21))</f>
        <v/>
      </c>
      <c r="EZ198" s="35">
        <f>IF(N('Dvd Calendar'!$Z$1979)=0,"",IF(('Dvd Calendar'!$Z$1979&gt;=GRID_FROM)*('Dvd Calendar'!$Z$1979&lt;=GRID_TO)*('Dvd Calendar'!$Z$1979&lt;=VAL_DATE)=0,"",'Dvd Calendar'!$Z$1979*1000000000+ISNUMBER('Dvd Calendar'!$Z$1982)*100000000+('Dvd Calendar'!$Z$1984=SPECIAL_LBL)*10000000+0*1000000+39*1000+22))</f>
        <v/>
      </c>
      <c r="FA198" s="35">
        <f>IF(N('Dvd Calendar'!$AA$1979)=0,"",IF(('Dvd Calendar'!$AA$1979&gt;=GRID_FROM)*('Dvd Calendar'!$AA$1979&lt;=GRID_TO)*('Dvd Calendar'!$AA$1979&lt;=VAL_DATE)=0,"",'Dvd Calendar'!$AA$1979*1000000000+ISNUMBER('Dvd Calendar'!$AA$1982)*100000000+('Dvd Calendar'!$AA$1984=SPECIAL_LBL)*10000000+0*1000000+39*1000+23))</f>
        <v/>
      </c>
      <c r="FB198" s="35">
        <f>IF(N('Dvd Calendar'!$AB$1979)=0,"",IF(('Dvd Calendar'!$AB$1979&gt;=GRID_FROM)*('Dvd Calendar'!$AB$1979&lt;=GRID_TO)*('Dvd Calendar'!$AB$1979&lt;=VAL_DATE)=0,"",'Dvd Calendar'!$AB$1979*1000000000+ISNUMBER('Dvd Calendar'!$AB$1982)*100000000+('Dvd Calendar'!$AB$1984=SPECIAL_LBL)*10000000+0*1000000+39*1000+24))</f>
        <v/>
      </c>
      <c r="FC198" s="35">
        <f>IF(N('Dvd Calendar'!$AC$1979)=0,"",IF(('Dvd Calendar'!$AC$1979&gt;=GRID_FROM)*('Dvd Calendar'!$AC$1979&lt;=GRID_TO)*('Dvd Calendar'!$AC$1979&lt;=VAL_DATE)=0,"",'Dvd Calendar'!$AC$1979*1000000000+ISNUMBER('Dvd Calendar'!$AC$1982)*100000000+('Dvd Calendar'!$AC$1984=SPECIAL_LBL)*10000000+0*1000000+39*1000+25))</f>
        <v/>
      </c>
      <c r="FD198" s="35">
        <f>IF(N('Dvd Calendar'!$AD$1979)=0,"",IF(('Dvd Calendar'!$AD$1979&gt;=GRID_FROM)*('Dvd Calendar'!$AD$1979&lt;=GRID_TO)*('Dvd Calendar'!$AD$1979&lt;=VAL_DATE)=0,"",'Dvd Calendar'!$AD$1979*1000000000+ISNUMBER('Dvd Calendar'!$AD$1982)*100000000+('Dvd Calendar'!$AD$1984=SPECIAL_LBL)*10000000+0*1000000+39*1000+26))</f>
        <v/>
      </c>
      <c r="FE198" s="35">
        <f>IF(N('Dvd Calendar'!$AE$1979)=0,"",IF(('Dvd Calendar'!$AE$1979&gt;=GRID_FROM)*('Dvd Calendar'!$AE$1979&lt;=GRID_TO)*('Dvd Calendar'!$AE$1979&lt;=VAL_DATE)=0,"",'Dvd Calendar'!$AE$1979*1000000000+ISNUMBER('Dvd Calendar'!$AE$1982)*100000000+('Dvd Calendar'!$AE$1984=SPECIAL_LBL)*10000000+0*1000000+39*1000+27))</f>
        <v/>
      </c>
      <c r="FF198" s="35">
        <f>IF(N('Dvd Calendar'!$AF$1979)=0,"",IF(('Dvd Calendar'!$AF$1979&gt;=GRID_FROM)*('Dvd Calendar'!$AF$1979&lt;=GRID_TO)*('Dvd Calendar'!$AF$1979&lt;=VAL_DATE)=0,"",'Dvd Calendar'!$AF$1979*1000000000+ISNUMBER('Dvd Calendar'!$AF$1982)*100000000+('Dvd Calendar'!$AF$1984=SPECIAL_LBL)*10000000+0*1000000+39*1000+28))</f>
        <v/>
      </c>
      <c r="FG198" s="35">
        <f>IF(N('Dvd Calendar'!$AG$1979)=0,"",IF(('Dvd Calendar'!$AG$1979&gt;=GRID_FROM)*('Dvd Calendar'!$AG$1979&lt;=GRID_TO)*('Dvd Calendar'!$AG$1979&lt;=VAL_DATE)=0,"",'Dvd Calendar'!$AG$1979*1000000000+ISNUMBER('Dvd Calendar'!$AG$1982)*100000000+('Dvd Calendar'!$AG$1984=SPECIAL_LBL)*10000000+0*1000000+39*1000+29))</f>
        <v/>
      </c>
      <c r="FH198" s="35">
        <f>IF(N('Dvd Calendar'!$AH$1979)=0,"",IF(('Dvd Calendar'!$AH$1979&gt;=GRID_FROM)*('Dvd Calendar'!$AH$1979&lt;=GRID_TO)*('Dvd Calendar'!$AH$1979&lt;=VAL_DATE)=0,"",'Dvd Calendar'!$AH$1979*1000000000+ISNUMBER('Dvd Calendar'!$AH$1982)*100000000+('Dvd Calendar'!$AH$1984=SPECIAL_LBL)*10000000+0*1000000+39*1000+30))</f>
        <v/>
      </c>
      <c r="FI198" s="35">
        <f>IF(N('Dvd Calendar'!$AI$1979)=0,"",IF(('Dvd Calendar'!$AI$1979&gt;=GRID_FROM)*('Dvd Calendar'!$AI$1979&lt;=GRID_TO)*('Dvd Calendar'!$AI$1979&lt;=VAL_DATE)=0,"",'Dvd Calendar'!$AI$1979*1000000000+ISNUMBER('Dvd Calendar'!$AI$1982)*100000000+('Dvd Calendar'!$AI$1984=SPECIAL_LBL)*10000000+0*1000000+39*1000+31))</f>
        <v/>
      </c>
      <c r="FJ198" s="35">
        <f>IF(N('Dvd Calendar'!$AJ$1979)=0,"",IF(('Dvd Calendar'!$AJ$1979&gt;=GRID_FROM)*('Dvd Calendar'!$AJ$1979&lt;=GRID_TO)*('Dvd Calendar'!$AJ$1979&lt;=VAL_DATE)=0,"",'Dvd Calendar'!$AJ$1979*1000000000+ISNUMBER('Dvd Calendar'!$AJ$1982)*100000000+('Dvd Calendar'!$AJ$1984=SPECIAL_LBL)*10000000+0*1000000+39*1000+32))</f>
        <v/>
      </c>
      <c r="FK198" s="35">
        <f>IF(N('Dvd Calendar'!$AK$1979)=0,"",IF(('Dvd Calendar'!$AK$1979&gt;=GRID_FROM)*('Dvd Calendar'!$AK$1979&lt;=GRID_TO)*('Dvd Calendar'!$AK$1979&lt;=VAL_DATE)=0,"",'Dvd Calendar'!$AK$1979*1000000000+ISNUMBER('Dvd Calendar'!$AK$1982)*100000000+('Dvd Calendar'!$AK$1984=SPECIAL_LBL)*10000000+0*1000000+39*1000+33))</f>
        <v/>
      </c>
      <c r="FL198" s="35">
        <f>IF(N('Dvd Calendar'!$AL$1979)=0,"",IF(('Dvd Calendar'!$AL$1979&gt;=GRID_FROM)*('Dvd Calendar'!$AL$1979&lt;=GRID_TO)*('Dvd Calendar'!$AL$1979&lt;=VAL_DATE)=0,"",'Dvd Calendar'!$AL$1979*1000000000+ISNUMBER('Dvd Calendar'!$AL$1982)*100000000+('Dvd Calendar'!$AL$1984=SPECIAL_LBL)*10000000+0*1000000+39*1000+34))</f>
        <v/>
      </c>
      <c r="FM198" s="35">
        <f>IF(N('Dvd Calendar'!$AM$1979)=0,"",IF(('Dvd Calendar'!$AM$1979&gt;=GRID_FROM)*('Dvd Calendar'!$AM$1979&lt;=GRID_TO)*('Dvd Calendar'!$AM$1979&lt;=VAL_DATE)=0,"",'Dvd Calendar'!$AM$1979*1000000000+ISNUMBER('Dvd Calendar'!$AM$1982)*100000000+('Dvd Calendar'!$AM$1984=SPECIAL_LBL)*10000000+0*1000000+39*1000+35))</f>
        <v/>
      </c>
      <c r="FN198" s="35">
        <f>IF(N('Dvd Calendar'!$AN$1979)=0,"",IF(('Dvd Calendar'!$AN$1979&gt;=GRID_FROM)*('Dvd Calendar'!$AN$1979&lt;=GRID_TO)*('Dvd Calendar'!$AN$1979&lt;=VAL_DATE)=0,"",'Dvd Calendar'!$AN$1979*1000000000+ISNUMBER('Dvd Calendar'!$AN$1982)*100000000+('Dvd Calendar'!$AN$1984=SPECIAL_LBL)*10000000+0*1000000+39*1000+36))</f>
        <v/>
      </c>
      <c r="FO198" s="35">
        <f>IF(N('Dvd Calendar'!$AO$1979)=0,"",IF(('Dvd Calendar'!$AO$1979&gt;=GRID_FROM)*('Dvd Calendar'!$AO$1979&lt;=GRID_TO)*('Dvd Calendar'!$AO$1979&lt;=VAL_DATE)=0,"",'Dvd Calendar'!$AO$1979*1000000000+ISNUMBER('Dvd Calendar'!$AO$1982)*100000000+('Dvd Calendar'!$AO$1984=SPECIAL_LBL)*10000000+0*1000000+39*1000+37))</f>
        <v/>
      </c>
      <c r="FP198" s="35">
        <f>IF(N('Dvd Calendar'!$AP$1979)=0,"",IF(('Dvd Calendar'!$AP$1979&gt;=GRID_FROM)*('Dvd Calendar'!$AP$1979&lt;=GRID_TO)*('Dvd Calendar'!$AP$1979&lt;=VAL_DATE)=0,"",'Dvd Calendar'!$AP$1979*1000000000+ISNUMBER('Dvd Calendar'!$AP$1982)*100000000+('Dvd Calendar'!$AP$1984=SPECIAL_LBL)*10000000+0*1000000+39*1000+38))</f>
        <v/>
      </c>
      <c r="FQ198" s="35">
        <f>IF(N('Dvd Calendar'!$AQ$1979)=0,"",IF(('Dvd Calendar'!$AQ$1979&gt;=GRID_FROM)*('Dvd Calendar'!$AQ$1979&lt;=GRID_TO)*('Dvd Calendar'!$AQ$1979&lt;=VAL_DATE)=0,"",'Dvd Calendar'!$AQ$1979*1000000000+ISNUMBER('Dvd Calendar'!$AQ$1982)*100000000+('Dvd Calendar'!$AQ$1984=SPECIAL_LBL)*10000000+0*1000000+39*1000+39))</f>
        <v/>
      </c>
      <c r="FR198" s="35">
        <f>IF(N('Dvd Calendar'!$AR$1979)=0,"",IF(('Dvd Calendar'!$AR$1979&gt;=GRID_FROM)*('Dvd Calendar'!$AR$1979&lt;=GRID_TO)*('Dvd Calendar'!$AR$1979&lt;=VAL_DATE)=0,"",'Dvd Calendar'!$AR$1979*1000000000+ISNUMBER('Dvd Calendar'!$AR$1982)*100000000+('Dvd Calendar'!$AR$1984=SPECIAL_LBL)*10000000+0*1000000+39*1000+40))</f>
        <v/>
      </c>
      <c r="FS198" s="35">
        <f>IF(N('Dvd Calendar'!$E$1986)=0,"",IF(('Dvd Calendar'!$E$1986&gt;=GRID_FROM)*('Dvd Calendar'!$E$1986&lt;=GRID_TO)*('Dvd Calendar'!$E$1986&gt;VAL_DATE)=0,"",'Dvd Calendar'!$E$1986*1000000000+ISNUMBER('Dvd Calendar'!$E$1987)*100000000+0*10000000+(N('Dvd Calendar'!$E$1985)&gt;0)*(N('Dvd Calendar'!$E$1985)&lt;=VAL_SERIAL)*1000000+39*1000+41))</f>
        <v/>
      </c>
      <c r="FT198" s="35">
        <f>IF(N('Dvd Calendar'!$F$1986)=0,"",IF(('Dvd Calendar'!$F$1986&gt;=GRID_FROM)*('Dvd Calendar'!$F$1986&lt;=GRID_TO)*('Dvd Calendar'!$F$1986&gt;VAL_DATE)=0,"",'Dvd Calendar'!$F$1986*1000000000+ISNUMBER('Dvd Calendar'!$F$1987)*100000000+0*10000000+(N('Dvd Calendar'!$F$1985)&gt;0)*(N('Dvd Calendar'!$F$1985)&lt;=VAL_SERIAL)*1000000+39*1000+42))</f>
        <v/>
      </c>
      <c r="FU198" s="35">
        <f>IF(N('Dvd Calendar'!$G$1986)=0,"",IF(('Dvd Calendar'!$G$1986&gt;=GRID_FROM)*('Dvd Calendar'!$G$1986&lt;=GRID_TO)*('Dvd Calendar'!$G$1986&gt;VAL_DATE)=0,"",'Dvd Calendar'!$G$1986*1000000000+ISNUMBER('Dvd Calendar'!$G$1987)*100000000+0*10000000+(N('Dvd Calendar'!$G$1985)&gt;0)*(N('Dvd Calendar'!$G$1985)&lt;=VAL_SERIAL)*1000000+39*1000+43))</f>
        <v/>
      </c>
      <c r="FV198" s="35">
        <f>IF(N('Dvd Calendar'!$H$1986)=0,"",IF(('Dvd Calendar'!$H$1986&gt;=GRID_FROM)*('Dvd Calendar'!$H$1986&lt;=GRID_TO)*('Dvd Calendar'!$H$1986&gt;VAL_DATE)=0,"",'Dvd Calendar'!$H$1986*1000000000+ISNUMBER('Dvd Calendar'!$H$1987)*100000000+0*10000000+(N('Dvd Calendar'!$H$1985)&gt;0)*(N('Dvd Calendar'!$H$1985)&lt;=VAL_SERIAL)*1000000+39*1000+44))</f>
        <v/>
      </c>
      <c r="FW198" s="35">
        <f>IF(N('Dvd Calendar'!$I$1986)=0,"",IF(('Dvd Calendar'!$I$1986&gt;=GRID_FROM)*('Dvd Calendar'!$I$1986&lt;=GRID_TO)*('Dvd Calendar'!$I$1986&gt;VAL_DATE)=0,"",'Dvd Calendar'!$I$1986*1000000000+ISNUMBER('Dvd Calendar'!$I$1987)*100000000+0*10000000+(N('Dvd Calendar'!$I$1985)&gt;0)*(N('Dvd Calendar'!$I$1985)&lt;=VAL_SERIAL)*1000000+39*1000+45))</f>
        <v/>
      </c>
      <c r="FX198" s="35">
        <f>IF(N('Dvd Calendar'!$J$1986)=0,"",IF(('Dvd Calendar'!$J$1986&gt;=GRID_FROM)*('Dvd Calendar'!$J$1986&lt;=GRID_TO)*('Dvd Calendar'!$J$1986&gt;VAL_DATE)=0,"",'Dvd Calendar'!$J$1986*1000000000+ISNUMBER('Dvd Calendar'!$J$1987)*100000000+0*10000000+(N('Dvd Calendar'!$J$1985)&gt;0)*(N('Dvd Calendar'!$J$1985)&lt;=VAL_SERIAL)*1000000+39*1000+46))</f>
        <v/>
      </c>
      <c r="FY198" s="35">
        <f>IF(N('Dvd Calendar'!$K$1986)=0,"",IF(('Dvd Calendar'!$K$1986&gt;=GRID_FROM)*('Dvd Calendar'!$K$1986&lt;=GRID_TO)*('Dvd Calendar'!$K$1986&gt;VAL_DATE)=0,"",'Dvd Calendar'!$K$1986*1000000000+ISNUMBER('Dvd Calendar'!$K$1987)*100000000+0*10000000+(N('Dvd Calendar'!$K$1985)&gt;0)*(N('Dvd Calendar'!$K$1985)&lt;=VAL_SERIAL)*1000000+39*1000+47))</f>
        <v/>
      </c>
      <c r="FZ198" s="35">
        <f>IF(N('Dvd Calendar'!$L$1986)=0,"",IF(('Dvd Calendar'!$L$1986&gt;=GRID_FROM)*('Dvd Calendar'!$L$1986&lt;=GRID_TO)*('Dvd Calendar'!$L$1986&gt;VAL_DATE)=0,"",'Dvd Calendar'!$L$1986*1000000000+ISNUMBER('Dvd Calendar'!$L$1987)*100000000+0*10000000+(N('Dvd Calendar'!$L$1985)&gt;0)*(N('Dvd Calendar'!$L$1985)&lt;=VAL_SERIAL)*1000000+39*1000+48))</f>
        <v/>
      </c>
      <c r="GA198" s="35">
        <f>IF(N('Dvd Calendar'!$M$1986)=0,"",IF(('Dvd Calendar'!$M$1986&gt;=GRID_FROM)*('Dvd Calendar'!$M$1986&lt;=GRID_TO)*('Dvd Calendar'!$M$1986&gt;VAL_DATE)=0,"",'Dvd Calendar'!$M$1986*1000000000+ISNUMBER('Dvd Calendar'!$M$1987)*100000000+0*10000000+(N('Dvd Calendar'!$M$1985)&gt;0)*(N('Dvd Calendar'!$M$1985)&lt;=VAL_SERIAL)*1000000+39*1000+49))</f>
        <v/>
      </c>
      <c r="GB198" s="35">
        <f>IF(N('Dvd Calendar'!$N$1986)=0,"",IF(('Dvd Calendar'!$N$1986&gt;=GRID_FROM)*('Dvd Calendar'!$N$1986&lt;=GRID_TO)*('Dvd Calendar'!$N$1986&gt;VAL_DATE)=0,"",'Dvd Calendar'!$N$1986*1000000000+ISNUMBER('Dvd Calendar'!$N$1987)*100000000+0*10000000+(N('Dvd Calendar'!$N$1985)&gt;0)*(N('Dvd Calendar'!$N$1985)&lt;=VAL_SERIAL)*1000000+39*1000+50))</f>
        <v/>
      </c>
      <c r="GC198" s="35">
        <f>IF(N('Dvd Calendar'!$O$1986)=0,"",IF(('Dvd Calendar'!$O$1986&gt;=GRID_FROM)*('Dvd Calendar'!$O$1986&lt;=GRID_TO)*('Dvd Calendar'!$O$1986&gt;VAL_DATE)=0,"",'Dvd Calendar'!$O$1986*1000000000+ISNUMBER('Dvd Calendar'!$O$1987)*100000000+0*10000000+(N('Dvd Calendar'!$O$1985)&gt;0)*(N('Dvd Calendar'!$O$1985)&lt;=VAL_SERIAL)*1000000+39*1000+51))</f>
        <v/>
      </c>
      <c r="GD198" s="35">
        <f>IF(N('Dvd Calendar'!$P$1986)=0,"",IF(('Dvd Calendar'!$P$1986&gt;=GRID_FROM)*('Dvd Calendar'!$P$1986&lt;=GRID_TO)*('Dvd Calendar'!$P$1986&gt;VAL_DATE)=0,"",'Dvd Calendar'!$P$1986*1000000000+ISNUMBER('Dvd Calendar'!$P$1987)*100000000+0*10000000+(N('Dvd Calendar'!$P$1985)&gt;0)*(N('Dvd Calendar'!$P$1985)&lt;=VAL_SERIAL)*1000000+39*1000+52))</f>
        <v/>
      </c>
      <c r="GE198" s="35">
        <f>IF(N('Dvd Calendar'!$Q$1986)=0,"",IF(('Dvd Calendar'!$Q$1986&gt;=GRID_FROM)*('Dvd Calendar'!$Q$1986&lt;=GRID_TO)*('Dvd Calendar'!$Q$1986&gt;VAL_DATE)=0,"",'Dvd Calendar'!$Q$1986*1000000000+ISNUMBER('Dvd Calendar'!$Q$1987)*100000000+0*10000000+(N('Dvd Calendar'!$Q$1985)&gt;0)*(N('Dvd Calendar'!$Q$1985)&lt;=VAL_SERIAL)*1000000+39*1000+53))</f>
        <v/>
      </c>
      <c r="GF198" s="35">
        <f>IF(N('Dvd Calendar'!$R$1986)=0,"",IF(('Dvd Calendar'!$R$1986&gt;=GRID_FROM)*('Dvd Calendar'!$R$1986&lt;=GRID_TO)*('Dvd Calendar'!$R$1986&gt;VAL_DATE)=0,"",'Dvd Calendar'!$R$1986*1000000000+ISNUMBER('Dvd Calendar'!$R$1987)*100000000+0*10000000+(N('Dvd Calendar'!$R$1985)&gt;0)*(N('Dvd Calendar'!$R$1985)&lt;=VAL_SERIAL)*1000000+39*1000+54))</f>
        <v/>
      </c>
      <c r="GG198" s="35">
        <f>IF(N('Dvd Calendar'!$S$1986)=0,"",IF(('Dvd Calendar'!$S$1986&gt;=GRID_FROM)*('Dvd Calendar'!$S$1986&lt;=GRID_TO)*('Dvd Calendar'!$S$1986&gt;VAL_DATE)=0,"",'Dvd Calendar'!$S$1986*1000000000+ISNUMBER('Dvd Calendar'!$S$1987)*100000000+0*10000000+(N('Dvd Calendar'!$S$1985)&gt;0)*(N('Dvd Calendar'!$S$1985)&lt;=VAL_SERIAL)*1000000+39*1000+55))</f>
        <v/>
      </c>
      <c r="GH198" s="35">
        <f>IF(N('Dvd Calendar'!$T$1986)=0,"",IF(('Dvd Calendar'!$T$1986&gt;=GRID_FROM)*('Dvd Calendar'!$T$1986&lt;=GRID_TO)*('Dvd Calendar'!$T$1986&gt;VAL_DATE)=0,"",'Dvd Calendar'!$T$1986*1000000000+ISNUMBER('Dvd Calendar'!$T$1987)*100000000+0*10000000+(N('Dvd Calendar'!$T$1985)&gt;0)*(N('Dvd Calendar'!$T$1985)&lt;=VAL_SERIAL)*1000000+39*1000+56))</f>
        <v/>
      </c>
      <c r="GI198" s="35">
        <f>IF(N('Dvd Calendar'!$U$1986)=0,"",IF(('Dvd Calendar'!$U$1986&gt;=GRID_FROM)*('Dvd Calendar'!$U$1986&lt;=GRID_TO)*('Dvd Calendar'!$U$1986&gt;VAL_DATE)=0,"",'Dvd Calendar'!$U$1986*1000000000+ISNUMBER('Dvd Calendar'!$U$1987)*100000000+0*10000000+(N('Dvd Calendar'!$U$1985)&gt;0)*(N('Dvd Calendar'!$U$1985)&lt;=VAL_SERIAL)*1000000+39*1000+57))</f>
        <v/>
      </c>
      <c r="GJ198" s="35">
        <f>IF(N('Dvd Calendar'!$V$1986)=0,"",IF(('Dvd Calendar'!$V$1986&gt;=GRID_FROM)*('Dvd Calendar'!$V$1986&lt;=GRID_TO)*('Dvd Calendar'!$V$1986&gt;VAL_DATE)=0,"",'Dvd Calendar'!$V$1986*1000000000+ISNUMBER('Dvd Calendar'!$V$1987)*100000000+0*10000000+(N('Dvd Calendar'!$V$1985)&gt;0)*(N('Dvd Calendar'!$V$1985)&lt;=VAL_SERIAL)*1000000+39*1000+58))</f>
        <v/>
      </c>
      <c r="GK198" s="35">
        <f>IF(N('Dvd Calendar'!$W$1986)=0,"",IF(('Dvd Calendar'!$W$1986&gt;=GRID_FROM)*('Dvd Calendar'!$W$1986&lt;=GRID_TO)*('Dvd Calendar'!$W$1986&gt;VAL_DATE)=0,"",'Dvd Calendar'!$W$1986*1000000000+ISNUMBER('Dvd Calendar'!$W$1987)*100000000+0*10000000+(N('Dvd Calendar'!$W$1985)&gt;0)*(N('Dvd Calendar'!$W$1985)&lt;=VAL_SERIAL)*1000000+39*1000+59))</f>
        <v/>
      </c>
      <c r="GL198" s="35">
        <f>IF(N('Dvd Calendar'!$X$1986)=0,"",IF(('Dvd Calendar'!$X$1986&gt;=GRID_FROM)*('Dvd Calendar'!$X$1986&lt;=GRID_TO)*('Dvd Calendar'!$X$1986&gt;VAL_DATE)=0,"",'Dvd Calendar'!$X$1986*1000000000+ISNUMBER('Dvd Calendar'!$X$1987)*100000000+0*10000000+(N('Dvd Calendar'!$X$1985)&gt;0)*(N('Dvd Calendar'!$X$1985)&lt;=VAL_SERIAL)*1000000+39*1000+60))</f>
        <v/>
      </c>
      <c r="GM198" s="35">
        <f>IF(N('Dvd Calendar'!$Y$1986)=0,"",IF(('Dvd Calendar'!$Y$1986&gt;=GRID_FROM)*('Dvd Calendar'!$Y$1986&lt;=GRID_TO)*('Dvd Calendar'!$Y$1986&gt;VAL_DATE)=0,"",'Dvd Calendar'!$Y$1986*1000000000+ISNUMBER('Dvd Calendar'!$Y$1987)*100000000+0*10000000+(N('Dvd Calendar'!$Y$1985)&gt;0)*(N('Dvd Calendar'!$Y$1985)&lt;=VAL_SERIAL)*1000000+39*1000+61))</f>
        <v/>
      </c>
      <c r="GN198" s="35">
        <f>IF(N('Dvd Calendar'!$Z$1986)=0,"",IF(('Dvd Calendar'!$Z$1986&gt;=GRID_FROM)*('Dvd Calendar'!$Z$1986&lt;=GRID_TO)*('Dvd Calendar'!$Z$1986&gt;VAL_DATE)=0,"",'Dvd Calendar'!$Z$1986*1000000000+ISNUMBER('Dvd Calendar'!$Z$1987)*100000000+0*10000000+(N('Dvd Calendar'!$Z$1985)&gt;0)*(N('Dvd Calendar'!$Z$1985)&lt;=VAL_SERIAL)*1000000+39*1000+62))</f>
        <v/>
      </c>
      <c r="GO198" s="35">
        <f>IF(N('Dvd Calendar'!$AA$1986)=0,"",IF(('Dvd Calendar'!$AA$1986&gt;=GRID_FROM)*('Dvd Calendar'!$AA$1986&lt;=GRID_TO)*('Dvd Calendar'!$AA$1986&gt;VAL_DATE)=0,"",'Dvd Calendar'!$AA$1986*1000000000+ISNUMBER('Dvd Calendar'!$AA$1987)*100000000+0*10000000+(N('Dvd Calendar'!$AA$1985)&gt;0)*(N('Dvd Calendar'!$AA$1985)&lt;=VAL_SERIAL)*1000000+39*1000+63))</f>
        <v/>
      </c>
      <c r="GP198" s="35">
        <f>IF(N('Dvd Calendar'!$AB$1986)=0,"",IF(('Dvd Calendar'!$AB$1986&gt;=GRID_FROM)*('Dvd Calendar'!$AB$1986&lt;=GRID_TO)*('Dvd Calendar'!$AB$1986&gt;VAL_DATE)=0,"",'Dvd Calendar'!$AB$1986*1000000000+ISNUMBER('Dvd Calendar'!$AB$1987)*100000000+0*10000000+(N('Dvd Calendar'!$AB$1985)&gt;0)*(N('Dvd Calendar'!$AB$1985)&lt;=VAL_SERIAL)*1000000+39*1000+64))</f>
        <v/>
      </c>
      <c r="GQ198" s="35">
        <f>IF(N('Dvd Calendar'!$AC$1986)=0,"",IF(('Dvd Calendar'!$AC$1986&gt;=GRID_FROM)*('Dvd Calendar'!$AC$1986&lt;=GRID_TO)*('Dvd Calendar'!$AC$1986&gt;VAL_DATE)=0,"",'Dvd Calendar'!$AC$1986*1000000000+ISNUMBER('Dvd Calendar'!$AC$1987)*100000000+0*10000000+(N('Dvd Calendar'!$AC$1985)&gt;0)*(N('Dvd Calendar'!$AC$1985)&lt;=VAL_SERIAL)*1000000+39*1000+65))</f>
        <v/>
      </c>
    </row>
    <row r="199">
      <c r="B199" s="2">
        <f>IF(HSCEI!$C$46="","",HSCEI!$C$46)</f>
        <v/>
      </c>
      <c r="C199" s="106">
        <f>IF(EE199="","",IF(ISNUMBER('Dvd Calendar'!$E$1993)=FALSE,"",IF((('Dvd Calendar'!$E$1995=TYPE1)*(TYPE1&lt;&gt;"")+('Dvd Calendar'!$E$1995=TYPE2)*(TYPE2&lt;&gt;"")+('Dvd Calendar'!$E$1995=TYPE3)*(TYPE3&lt;&gt;"")+('Dvd Calendar'!$E$1995=TYPE4)*(TYPE4&lt;&gt;"")+('Dvd Calendar'!$E$1995=SPECIAL_LBL)*(INC_SPECIALS="Y"))=0,"",'Dvd Calendar'!$E$1993)))</f>
        <v/>
      </c>
      <c r="D199" s="106">
        <f>IF(EF199="","",IF(ISNUMBER('Dvd Calendar'!$F$1993)=FALSE,"",IF((('Dvd Calendar'!$F$1995=TYPE1)*(TYPE1&lt;&gt;"")+('Dvd Calendar'!$F$1995=TYPE2)*(TYPE2&lt;&gt;"")+('Dvd Calendar'!$F$1995=TYPE3)*(TYPE3&lt;&gt;"")+('Dvd Calendar'!$F$1995=TYPE4)*(TYPE4&lt;&gt;"")+('Dvd Calendar'!$F$1995=SPECIAL_LBL)*(INC_SPECIALS="Y"))=0,"",'Dvd Calendar'!$F$1993)))</f>
        <v/>
      </c>
      <c r="E199" s="106">
        <f>IF(EG199="","",IF(ISNUMBER('Dvd Calendar'!$G$1993)=FALSE,"",IF((('Dvd Calendar'!$G$1995=TYPE1)*(TYPE1&lt;&gt;"")+('Dvd Calendar'!$G$1995=TYPE2)*(TYPE2&lt;&gt;"")+('Dvd Calendar'!$G$1995=TYPE3)*(TYPE3&lt;&gt;"")+('Dvd Calendar'!$G$1995=TYPE4)*(TYPE4&lt;&gt;"")+('Dvd Calendar'!$G$1995=SPECIAL_LBL)*(INC_SPECIALS="Y"))=0,"",'Dvd Calendar'!$G$1993)))</f>
        <v/>
      </c>
      <c r="F199" s="106">
        <f>IF(EH199="","",IF(ISNUMBER('Dvd Calendar'!$H$1993)=FALSE,"",IF((('Dvd Calendar'!$H$1995=TYPE1)*(TYPE1&lt;&gt;"")+('Dvd Calendar'!$H$1995=TYPE2)*(TYPE2&lt;&gt;"")+('Dvd Calendar'!$H$1995=TYPE3)*(TYPE3&lt;&gt;"")+('Dvd Calendar'!$H$1995=TYPE4)*(TYPE4&lt;&gt;"")+('Dvd Calendar'!$H$1995=SPECIAL_LBL)*(INC_SPECIALS="Y"))=0,"",'Dvd Calendar'!$H$1993)))</f>
        <v/>
      </c>
      <c r="G199" s="106">
        <f>IF(EI199="","",IF(ISNUMBER('Dvd Calendar'!$I$1993)=FALSE,"",IF((('Dvd Calendar'!$I$1995=TYPE1)*(TYPE1&lt;&gt;"")+('Dvd Calendar'!$I$1995=TYPE2)*(TYPE2&lt;&gt;"")+('Dvd Calendar'!$I$1995=TYPE3)*(TYPE3&lt;&gt;"")+('Dvd Calendar'!$I$1995=TYPE4)*(TYPE4&lt;&gt;"")+('Dvd Calendar'!$I$1995=SPECIAL_LBL)*(INC_SPECIALS="Y"))=0,"",'Dvd Calendar'!$I$1993)))</f>
        <v/>
      </c>
      <c r="H199" s="106">
        <f>IF(EJ199="","",IF(ISNUMBER('Dvd Calendar'!$J$1993)=FALSE,"",IF((('Dvd Calendar'!$J$1995=TYPE1)*(TYPE1&lt;&gt;"")+('Dvd Calendar'!$J$1995=TYPE2)*(TYPE2&lt;&gt;"")+('Dvd Calendar'!$J$1995=TYPE3)*(TYPE3&lt;&gt;"")+('Dvd Calendar'!$J$1995=TYPE4)*(TYPE4&lt;&gt;"")+('Dvd Calendar'!$J$1995=SPECIAL_LBL)*(INC_SPECIALS="Y"))=0,"",'Dvd Calendar'!$J$1993)))</f>
        <v/>
      </c>
      <c r="I199" s="106">
        <f>IF(EK199="","",IF(ISNUMBER('Dvd Calendar'!$K$1993)=FALSE,"",IF((('Dvd Calendar'!$K$1995=TYPE1)*(TYPE1&lt;&gt;"")+('Dvd Calendar'!$K$1995=TYPE2)*(TYPE2&lt;&gt;"")+('Dvd Calendar'!$K$1995=TYPE3)*(TYPE3&lt;&gt;"")+('Dvd Calendar'!$K$1995=TYPE4)*(TYPE4&lt;&gt;"")+('Dvd Calendar'!$K$1995=SPECIAL_LBL)*(INC_SPECIALS="Y"))=0,"",'Dvd Calendar'!$K$1993)))</f>
        <v/>
      </c>
      <c r="J199" s="106">
        <f>IF(EL199="","",IF(ISNUMBER('Dvd Calendar'!$L$1993)=FALSE,"",IF((('Dvd Calendar'!$L$1995=TYPE1)*(TYPE1&lt;&gt;"")+('Dvd Calendar'!$L$1995=TYPE2)*(TYPE2&lt;&gt;"")+('Dvd Calendar'!$L$1995=TYPE3)*(TYPE3&lt;&gt;"")+('Dvd Calendar'!$L$1995=TYPE4)*(TYPE4&lt;&gt;"")+('Dvd Calendar'!$L$1995=SPECIAL_LBL)*(INC_SPECIALS="Y"))=0,"",'Dvd Calendar'!$L$1993)))</f>
        <v/>
      </c>
      <c r="K199" s="106">
        <f>IF(EM199="","",IF(ISNUMBER('Dvd Calendar'!$M$1993)=FALSE,"",IF((('Dvd Calendar'!$M$1995=TYPE1)*(TYPE1&lt;&gt;"")+('Dvd Calendar'!$M$1995=TYPE2)*(TYPE2&lt;&gt;"")+('Dvd Calendar'!$M$1995=TYPE3)*(TYPE3&lt;&gt;"")+('Dvd Calendar'!$M$1995=TYPE4)*(TYPE4&lt;&gt;"")+('Dvd Calendar'!$M$1995=SPECIAL_LBL)*(INC_SPECIALS="Y"))=0,"",'Dvd Calendar'!$M$1993)))</f>
        <v/>
      </c>
      <c r="L199" s="106">
        <f>IF(EN199="","",IF(ISNUMBER('Dvd Calendar'!$N$1993)=FALSE,"",IF((('Dvd Calendar'!$N$1995=TYPE1)*(TYPE1&lt;&gt;"")+('Dvd Calendar'!$N$1995=TYPE2)*(TYPE2&lt;&gt;"")+('Dvd Calendar'!$N$1995=TYPE3)*(TYPE3&lt;&gt;"")+('Dvd Calendar'!$N$1995=TYPE4)*(TYPE4&lt;&gt;"")+('Dvd Calendar'!$N$1995=SPECIAL_LBL)*(INC_SPECIALS="Y"))=0,"",'Dvd Calendar'!$N$1993)))</f>
        <v/>
      </c>
      <c r="M199" s="106">
        <f>IF(EO199="","",IF(ISNUMBER('Dvd Calendar'!$O$1993)=FALSE,"",IF((('Dvd Calendar'!$O$1995=TYPE1)*(TYPE1&lt;&gt;"")+('Dvd Calendar'!$O$1995=TYPE2)*(TYPE2&lt;&gt;"")+('Dvd Calendar'!$O$1995=TYPE3)*(TYPE3&lt;&gt;"")+('Dvd Calendar'!$O$1995=TYPE4)*(TYPE4&lt;&gt;"")+('Dvd Calendar'!$O$1995=SPECIAL_LBL)*(INC_SPECIALS="Y"))=0,"",'Dvd Calendar'!$O$1993)))</f>
        <v/>
      </c>
      <c r="N199" s="106">
        <f>IF(EP199="","",IF(ISNUMBER('Dvd Calendar'!$P$1993)=FALSE,"",IF((('Dvd Calendar'!$P$1995=TYPE1)*(TYPE1&lt;&gt;"")+('Dvd Calendar'!$P$1995=TYPE2)*(TYPE2&lt;&gt;"")+('Dvd Calendar'!$P$1995=TYPE3)*(TYPE3&lt;&gt;"")+('Dvd Calendar'!$P$1995=TYPE4)*(TYPE4&lt;&gt;"")+('Dvd Calendar'!$P$1995=SPECIAL_LBL)*(INC_SPECIALS="Y"))=0,"",'Dvd Calendar'!$P$1993)))</f>
        <v/>
      </c>
      <c r="O199" s="106">
        <f>IF(EQ199="","",IF(ISNUMBER('Dvd Calendar'!$Q$1993)=FALSE,"",IF((('Dvd Calendar'!$Q$1995=TYPE1)*(TYPE1&lt;&gt;"")+('Dvd Calendar'!$Q$1995=TYPE2)*(TYPE2&lt;&gt;"")+('Dvd Calendar'!$Q$1995=TYPE3)*(TYPE3&lt;&gt;"")+('Dvd Calendar'!$Q$1995=TYPE4)*(TYPE4&lt;&gt;"")+('Dvd Calendar'!$Q$1995=SPECIAL_LBL)*(INC_SPECIALS="Y"))=0,"",'Dvd Calendar'!$Q$1993)))</f>
        <v/>
      </c>
      <c r="P199" s="106">
        <f>IF(ER199="","",IF(ISNUMBER('Dvd Calendar'!$R$1993)=FALSE,"",IF((('Dvd Calendar'!$R$1995=TYPE1)*(TYPE1&lt;&gt;"")+('Dvd Calendar'!$R$1995=TYPE2)*(TYPE2&lt;&gt;"")+('Dvd Calendar'!$R$1995=TYPE3)*(TYPE3&lt;&gt;"")+('Dvd Calendar'!$R$1995=TYPE4)*(TYPE4&lt;&gt;"")+('Dvd Calendar'!$R$1995=SPECIAL_LBL)*(INC_SPECIALS="Y"))=0,"",'Dvd Calendar'!$R$1993)))</f>
        <v/>
      </c>
      <c r="Q199" s="106">
        <f>IF(ES199="","",IF(ISNUMBER('Dvd Calendar'!$S$1993)=FALSE,"",IF((('Dvd Calendar'!$S$1995=TYPE1)*(TYPE1&lt;&gt;"")+('Dvd Calendar'!$S$1995=TYPE2)*(TYPE2&lt;&gt;"")+('Dvd Calendar'!$S$1995=TYPE3)*(TYPE3&lt;&gt;"")+('Dvd Calendar'!$S$1995=TYPE4)*(TYPE4&lt;&gt;"")+('Dvd Calendar'!$S$1995=SPECIAL_LBL)*(INC_SPECIALS="Y"))=0,"",'Dvd Calendar'!$S$1993)))</f>
        <v/>
      </c>
      <c r="R199" s="106">
        <f>IF(ET199="","",IF(ISNUMBER('Dvd Calendar'!$T$1993)=FALSE,"",IF((('Dvd Calendar'!$T$1995=TYPE1)*(TYPE1&lt;&gt;"")+('Dvd Calendar'!$T$1995=TYPE2)*(TYPE2&lt;&gt;"")+('Dvd Calendar'!$T$1995=TYPE3)*(TYPE3&lt;&gt;"")+('Dvd Calendar'!$T$1995=TYPE4)*(TYPE4&lt;&gt;"")+('Dvd Calendar'!$T$1995=SPECIAL_LBL)*(INC_SPECIALS="Y"))=0,"",'Dvd Calendar'!$T$1993)))</f>
        <v/>
      </c>
      <c r="S199" s="106">
        <f>IF(EU199="","",IF(ISNUMBER('Dvd Calendar'!$U$1993)=FALSE,"",IF((('Dvd Calendar'!$U$1995=TYPE1)*(TYPE1&lt;&gt;"")+('Dvd Calendar'!$U$1995=TYPE2)*(TYPE2&lt;&gt;"")+('Dvd Calendar'!$U$1995=TYPE3)*(TYPE3&lt;&gt;"")+('Dvd Calendar'!$U$1995=TYPE4)*(TYPE4&lt;&gt;"")+('Dvd Calendar'!$U$1995=SPECIAL_LBL)*(INC_SPECIALS="Y"))=0,"",'Dvd Calendar'!$U$1993)))</f>
        <v/>
      </c>
      <c r="T199" s="106">
        <f>IF(EV199="","",IF(ISNUMBER('Dvd Calendar'!$V$1993)=FALSE,"",IF((('Dvd Calendar'!$V$1995=TYPE1)*(TYPE1&lt;&gt;"")+('Dvd Calendar'!$V$1995=TYPE2)*(TYPE2&lt;&gt;"")+('Dvd Calendar'!$V$1995=TYPE3)*(TYPE3&lt;&gt;"")+('Dvd Calendar'!$V$1995=TYPE4)*(TYPE4&lt;&gt;"")+('Dvd Calendar'!$V$1995=SPECIAL_LBL)*(INC_SPECIALS="Y"))=0,"",'Dvd Calendar'!$V$1993)))</f>
        <v/>
      </c>
      <c r="U199" s="106">
        <f>IF(EW199="","",IF(ISNUMBER('Dvd Calendar'!$W$1993)=FALSE,"",IF((('Dvd Calendar'!$W$1995=TYPE1)*(TYPE1&lt;&gt;"")+('Dvd Calendar'!$W$1995=TYPE2)*(TYPE2&lt;&gt;"")+('Dvd Calendar'!$W$1995=TYPE3)*(TYPE3&lt;&gt;"")+('Dvd Calendar'!$W$1995=TYPE4)*(TYPE4&lt;&gt;"")+('Dvd Calendar'!$W$1995=SPECIAL_LBL)*(INC_SPECIALS="Y"))=0,"",'Dvd Calendar'!$W$1993)))</f>
        <v/>
      </c>
      <c r="V199" s="106">
        <f>IF(EX199="","",IF(ISNUMBER('Dvd Calendar'!$X$1993)=FALSE,"",IF((('Dvd Calendar'!$X$1995=TYPE1)*(TYPE1&lt;&gt;"")+('Dvd Calendar'!$X$1995=TYPE2)*(TYPE2&lt;&gt;"")+('Dvd Calendar'!$X$1995=TYPE3)*(TYPE3&lt;&gt;"")+('Dvd Calendar'!$X$1995=TYPE4)*(TYPE4&lt;&gt;"")+('Dvd Calendar'!$X$1995=SPECIAL_LBL)*(INC_SPECIALS="Y"))=0,"",'Dvd Calendar'!$X$1993)))</f>
        <v/>
      </c>
      <c r="W199" s="106">
        <f>IF(EY199="","",IF(ISNUMBER('Dvd Calendar'!$Y$1993)=FALSE,"",IF((('Dvd Calendar'!$Y$1995=TYPE1)*(TYPE1&lt;&gt;"")+('Dvd Calendar'!$Y$1995=TYPE2)*(TYPE2&lt;&gt;"")+('Dvd Calendar'!$Y$1995=TYPE3)*(TYPE3&lt;&gt;"")+('Dvd Calendar'!$Y$1995=TYPE4)*(TYPE4&lt;&gt;"")+('Dvd Calendar'!$Y$1995=SPECIAL_LBL)*(INC_SPECIALS="Y"))=0,"",'Dvd Calendar'!$Y$1993)))</f>
        <v/>
      </c>
      <c r="X199" s="106">
        <f>IF(EZ199="","",IF(ISNUMBER('Dvd Calendar'!$Z$1993)=FALSE,"",IF((('Dvd Calendar'!$Z$1995=TYPE1)*(TYPE1&lt;&gt;"")+('Dvd Calendar'!$Z$1995=TYPE2)*(TYPE2&lt;&gt;"")+('Dvd Calendar'!$Z$1995=TYPE3)*(TYPE3&lt;&gt;"")+('Dvd Calendar'!$Z$1995=TYPE4)*(TYPE4&lt;&gt;"")+('Dvd Calendar'!$Z$1995=SPECIAL_LBL)*(INC_SPECIALS="Y"))=0,"",'Dvd Calendar'!$Z$1993)))</f>
        <v/>
      </c>
      <c r="Y199" s="106">
        <f>IF(FA199="","",IF(ISNUMBER('Dvd Calendar'!$AA$1993)=FALSE,"",IF((('Dvd Calendar'!$AA$1995=TYPE1)*(TYPE1&lt;&gt;"")+('Dvd Calendar'!$AA$1995=TYPE2)*(TYPE2&lt;&gt;"")+('Dvd Calendar'!$AA$1995=TYPE3)*(TYPE3&lt;&gt;"")+('Dvd Calendar'!$AA$1995=TYPE4)*(TYPE4&lt;&gt;"")+('Dvd Calendar'!$AA$1995=SPECIAL_LBL)*(INC_SPECIALS="Y"))=0,"",'Dvd Calendar'!$AA$1993)))</f>
        <v/>
      </c>
      <c r="Z199" s="106">
        <f>IF(FB199="","",IF(ISNUMBER('Dvd Calendar'!$AB$1993)=FALSE,"",IF((('Dvd Calendar'!$AB$1995=TYPE1)*(TYPE1&lt;&gt;"")+('Dvd Calendar'!$AB$1995=TYPE2)*(TYPE2&lt;&gt;"")+('Dvd Calendar'!$AB$1995=TYPE3)*(TYPE3&lt;&gt;"")+('Dvd Calendar'!$AB$1995=TYPE4)*(TYPE4&lt;&gt;"")+('Dvd Calendar'!$AB$1995=SPECIAL_LBL)*(INC_SPECIALS="Y"))=0,"",'Dvd Calendar'!$AB$1993)))</f>
        <v/>
      </c>
      <c r="AA199" s="106">
        <f>IF(FC199="","",IF(ISNUMBER('Dvd Calendar'!$AC$1993)=FALSE,"",IF((('Dvd Calendar'!$AC$1995=TYPE1)*(TYPE1&lt;&gt;"")+('Dvd Calendar'!$AC$1995=TYPE2)*(TYPE2&lt;&gt;"")+('Dvd Calendar'!$AC$1995=TYPE3)*(TYPE3&lt;&gt;"")+('Dvd Calendar'!$AC$1995=TYPE4)*(TYPE4&lt;&gt;"")+('Dvd Calendar'!$AC$1995=SPECIAL_LBL)*(INC_SPECIALS="Y"))=0,"",'Dvd Calendar'!$AC$1993)))</f>
        <v/>
      </c>
      <c r="AB199" s="106">
        <f>IF(FD199="","",IF(ISNUMBER('Dvd Calendar'!$AD$1993)=FALSE,"",IF((('Dvd Calendar'!$AD$1995=TYPE1)*(TYPE1&lt;&gt;"")+('Dvd Calendar'!$AD$1995=TYPE2)*(TYPE2&lt;&gt;"")+('Dvd Calendar'!$AD$1995=TYPE3)*(TYPE3&lt;&gt;"")+('Dvd Calendar'!$AD$1995=TYPE4)*(TYPE4&lt;&gt;"")+('Dvd Calendar'!$AD$1995=SPECIAL_LBL)*(INC_SPECIALS="Y"))=0,"",'Dvd Calendar'!$AD$1993)))</f>
        <v/>
      </c>
      <c r="AC199" s="106">
        <f>IF(FE199="","",IF(ISNUMBER('Dvd Calendar'!$AE$1993)=FALSE,"",IF((('Dvd Calendar'!$AE$1995=TYPE1)*(TYPE1&lt;&gt;"")+('Dvd Calendar'!$AE$1995=TYPE2)*(TYPE2&lt;&gt;"")+('Dvd Calendar'!$AE$1995=TYPE3)*(TYPE3&lt;&gt;"")+('Dvd Calendar'!$AE$1995=TYPE4)*(TYPE4&lt;&gt;"")+('Dvd Calendar'!$AE$1995=SPECIAL_LBL)*(INC_SPECIALS="Y"))=0,"",'Dvd Calendar'!$AE$1993)))</f>
        <v/>
      </c>
      <c r="AD199" s="106">
        <f>IF(FF199="","",IF(ISNUMBER('Dvd Calendar'!$AF$1993)=FALSE,"",IF((('Dvd Calendar'!$AF$1995=TYPE1)*(TYPE1&lt;&gt;"")+('Dvd Calendar'!$AF$1995=TYPE2)*(TYPE2&lt;&gt;"")+('Dvd Calendar'!$AF$1995=TYPE3)*(TYPE3&lt;&gt;"")+('Dvd Calendar'!$AF$1995=TYPE4)*(TYPE4&lt;&gt;"")+('Dvd Calendar'!$AF$1995=SPECIAL_LBL)*(INC_SPECIALS="Y"))=0,"",'Dvd Calendar'!$AF$1993)))</f>
        <v/>
      </c>
      <c r="AE199" s="106">
        <f>IF(FG199="","",IF(ISNUMBER('Dvd Calendar'!$AG$1993)=FALSE,"",IF((('Dvd Calendar'!$AG$1995=TYPE1)*(TYPE1&lt;&gt;"")+('Dvd Calendar'!$AG$1995=TYPE2)*(TYPE2&lt;&gt;"")+('Dvd Calendar'!$AG$1995=TYPE3)*(TYPE3&lt;&gt;"")+('Dvd Calendar'!$AG$1995=TYPE4)*(TYPE4&lt;&gt;"")+('Dvd Calendar'!$AG$1995=SPECIAL_LBL)*(INC_SPECIALS="Y"))=0,"",'Dvd Calendar'!$AG$1993)))</f>
        <v/>
      </c>
      <c r="AF199" s="106">
        <f>IF(FH199="","",IF(ISNUMBER('Dvd Calendar'!$AH$1993)=FALSE,"",IF((('Dvd Calendar'!$AH$1995=TYPE1)*(TYPE1&lt;&gt;"")+('Dvd Calendar'!$AH$1995=TYPE2)*(TYPE2&lt;&gt;"")+('Dvd Calendar'!$AH$1995=TYPE3)*(TYPE3&lt;&gt;"")+('Dvd Calendar'!$AH$1995=TYPE4)*(TYPE4&lt;&gt;"")+('Dvd Calendar'!$AH$1995=SPECIAL_LBL)*(INC_SPECIALS="Y"))=0,"",'Dvd Calendar'!$AH$1993)))</f>
        <v/>
      </c>
      <c r="AG199" s="106">
        <f>IF(FI199="","",IF(ISNUMBER('Dvd Calendar'!$AI$1993)=FALSE,"",IF((('Dvd Calendar'!$AI$1995=TYPE1)*(TYPE1&lt;&gt;"")+('Dvd Calendar'!$AI$1995=TYPE2)*(TYPE2&lt;&gt;"")+('Dvd Calendar'!$AI$1995=TYPE3)*(TYPE3&lt;&gt;"")+('Dvd Calendar'!$AI$1995=TYPE4)*(TYPE4&lt;&gt;"")+('Dvd Calendar'!$AI$1995=SPECIAL_LBL)*(INC_SPECIALS="Y"))=0,"",'Dvd Calendar'!$AI$1993)))</f>
        <v/>
      </c>
      <c r="AH199" s="106">
        <f>IF(FJ199="","",IF(ISNUMBER('Dvd Calendar'!$AJ$1993)=FALSE,"",IF((('Dvd Calendar'!$AJ$1995=TYPE1)*(TYPE1&lt;&gt;"")+('Dvd Calendar'!$AJ$1995=TYPE2)*(TYPE2&lt;&gt;"")+('Dvd Calendar'!$AJ$1995=TYPE3)*(TYPE3&lt;&gt;"")+('Dvd Calendar'!$AJ$1995=TYPE4)*(TYPE4&lt;&gt;"")+('Dvd Calendar'!$AJ$1995=SPECIAL_LBL)*(INC_SPECIALS="Y"))=0,"",'Dvd Calendar'!$AJ$1993)))</f>
        <v/>
      </c>
      <c r="AI199" s="106">
        <f>IF(FK199="","",IF(ISNUMBER('Dvd Calendar'!$AK$1993)=FALSE,"",IF((('Dvd Calendar'!$AK$1995=TYPE1)*(TYPE1&lt;&gt;"")+('Dvd Calendar'!$AK$1995=TYPE2)*(TYPE2&lt;&gt;"")+('Dvd Calendar'!$AK$1995=TYPE3)*(TYPE3&lt;&gt;"")+('Dvd Calendar'!$AK$1995=TYPE4)*(TYPE4&lt;&gt;"")+('Dvd Calendar'!$AK$1995=SPECIAL_LBL)*(INC_SPECIALS="Y"))=0,"",'Dvd Calendar'!$AK$1993)))</f>
        <v/>
      </c>
      <c r="AJ199" s="106">
        <f>IF(FL199="","",IF(ISNUMBER('Dvd Calendar'!$AL$1993)=FALSE,"",IF((('Dvd Calendar'!$AL$1995=TYPE1)*(TYPE1&lt;&gt;"")+('Dvd Calendar'!$AL$1995=TYPE2)*(TYPE2&lt;&gt;"")+('Dvd Calendar'!$AL$1995=TYPE3)*(TYPE3&lt;&gt;"")+('Dvd Calendar'!$AL$1995=TYPE4)*(TYPE4&lt;&gt;"")+('Dvd Calendar'!$AL$1995=SPECIAL_LBL)*(INC_SPECIALS="Y"))=0,"",'Dvd Calendar'!$AL$1993)))</f>
        <v/>
      </c>
      <c r="AK199" s="106">
        <f>IF(FM199="","",IF(ISNUMBER('Dvd Calendar'!$AM$1993)=FALSE,"",IF((('Dvd Calendar'!$AM$1995=TYPE1)*(TYPE1&lt;&gt;"")+('Dvd Calendar'!$AM$1995=TYPE2)*(TYPE2&lt;&gt;"")+('Dvd Calendar'!$AM$1995=TYPE3)*(TYPE3&lt;&gt;"")+('Dvd Calendar'!$AM$1995=TYPE4)*(TYPE4&lt;&gt;"")+('Dvd Calendar'!$AM$1995=SPECIAL_LBL)*(INC_SPECIALS="Y"))=0,"",'Dvd Calendar'!$AM$1993)))</f>
        <v/>
      </c>
      <c r="AL199" s="106">
        <f>IF(FN199="","",IF(ISNUMBER('Dvd Calendar'!$AN$1993)=FALSE,"",IF((('Dvd Calendar'!$AN$1995=TYPE1)*(TYPE1&lt;&gt;"")+('Dvd Calendar'!$AN$1995=TYPE2)*(TYPE2&lt;&gt;"")+('Dvd Calendar'!$AN$1995=TYPE3)*(TYPE3&lt;&gt;"")+('Dvd Calendar'!$AN$1995=TYPE4)*(TYPE4&lt;&gt;"")+('Dvd Calendar'!$AN$1995=SPECIAL_LBL)*(INC_SPECIALS="Y"))=0,"",'Dvd Calendar'!$AN$1993)))</f>
        <v/>
      </c>
      <c r="AM199" s="106">
        <f>IF(FO199="","",IF(ISNUMBER('Dvd Calendar'!$AO$1993)=FALSE,"",IF((('Dvd Calendar'!$AO$1995=TYPE1)*(TYPE1&lt;&gt;"")+('Dvd Calendar'!$AO$1995=TYPE2)*(TYPE2&lt;&gt;"")+('Dvd Calendar'!$AO$1995=TYPE3)*(TYPE3&lt;&gt;"")+('Dvd Calendar'!$AO$1995=TYPE4)*(TYPE4&lt;&gt;"")+('Dvd Calendar'!$AO$1995=SPECIAL_LBL)*(INC_SPECIALS="Y"))=0,"",'Dvd Calendar'!$AO$1993)))</f>
        <v/>
      </c>
      <c r="AN199" s="106">
        <f>IF(FP199="","",IF(ISNUMBER('Dvd Calendar'!$AP$1993)=FALSE,"",IF((('Dvd Calendar'!$AP$1995=TYPE1)*(TYPE1&lt;&gt;"")+('Dvd Calendar'!$AP$1995=TYPE2)*(TYPE2&lt;&gt;"")+('Dvd Calendar'!$AP$1995=TYPE3)*(TYPE3&lt;&gt;"")+('Dvd Calendar'!$AP$1995=TYPE4)*(TYPE4&lt;&gt;"")+('Dvd Calendar'!$AP$1995=SPECIAL_LBL)*(INC_SPECIALS="Y"))=0,"",'Dvd Calendar'!$AP$1993)))</f>
        <v/>
      </c>
      <c r="AO199" s="106">
        <f>IF(FQ199="","",IF(ISNUMBER('Dvd Calendar'!$AQ$1993)=FALSE,"",IF((('Dvd Calendar'!$AQ$1995=TYPE1)*(TYPE1&lt;&gt;"")+('Dvd Calendar'!$AQ$1995=TYPE2)*(TYPE2&lt;&gt;"")+('Dvd Calendar'!$AQ$1995=TYPE3)*(TYPE3&lt;&gt;"")+('Dvd Calendar'!$AQ$1995=TYPE4)*(TYPE4&lt;&gt;"")+('Dvd Calendar'!$AQ$1995=SPECIAL_LBL)*(INC_SPECIALS="Y"))=0,"",'Dvd Calendar'!$AQ$1993)))</f>
        <v/>
      </c>
      <c r="AP199" s="106">
        <f>IF(FR199="","",IF(ISNUMBER('Dvd Calendar'!$AR$1993)=FALSE,"",IF((('Dvd Calendar'!$AR$1995=TYPE1)*(TYPE1&lt;&gt;"")+('Dvd Calendar'!$AR$1995=TYPE2)*(TYPE2&lt;&gt;"")+('Dvd Calendar'!$AR$1995=TYPE3)*(TYPE3&lt;&gt;"")+('Dvd Calendar'!$AR$1995=TYPE4)*(TYPE4&lt;&gt;"")+('Dvd Calendar'!$AR$1995=SPECIAL_LBL)*(INC_SPECIALS="Y"))=0,"",'Dvd Calendar'!$AR$1993)))</f>
        <v/>
      </c>
      <c r="AQ199" s="106">
        <f>IF(FS199="","",IF(ISNUMBER('Dvd Calendar'!$E$1998)=FALSE,"",'Dvd Calendar'!$E$1998))</f>
        <v/>
      </c>
      <c r="AR199" s="106">
        <f>IF(FT199="","",IF(ISNUMBER('Dvd Calendar'!$F$1998)=FALSE,"",'Dvd Calendar'!$F$1998))</f>
        <v/>
      </c>
      <c r="AS199" s="106">
        <f>IF(FU199="","",IF(ISNUMBER('Dvd Calendar'!$G$1998)=FALSE,"",'Dvd Calendar'!$G$1998))</f>
        <v/>
      </c>
      <c r="AT199" s="106">
        <f>IF(FV199="","",IF(ISNUMBER('Dvd Calendar'!$H$1998)=FALSE,"",'Dvd Calendar'!$H$1998))</f>
        <v/>
      </c>
      <c r="AU199" s="106">
        <f>IF(FW199="","",IF(ISNUMBER('Dvd Calendar'!$I$1998)=FALSE,"",'Dvd Calendar'!$I$1998))</f>
        <v/>
      </c>
      <c r="AV199" s="106">
        <f>IF(FX199="","",IF(ISNUMBER('Dvd Calendar'!$J$1998)=FALSE,"",'Dvd Calendar'!$J$1998))</f>
        <v/>
      </c>
      <c r="AW199" s="106">
        <f>IF(FY199="","",IF(ISNUMBER('Dvd Calendar'!$K$1998)=FALSE,"",'Dvd Calendar'!$K$1998))</f>
        <v/>
      </c>
      <c r="AX199" s="106">
        <f>IF(FZ199="","",IF(ISNUMBER('Dvd Calendar'!$L$1998)=FALSE,"",'Dvd Calendar'!$L$1998))</f>
        <v/>
      </c>
      <c r="AY199" s="106">
        <f>IF(GA199="","",IF(ISNUMBER('Dvd Calendar'!$M$1998)=FALSE,"",'Dvd Calendar'!$M$1998))</f>
        <v/>
      </c>
      <c r="AZ199" s="106">
        <f>IF(GB199="","",IF(ISNUMBER('Dvd Calendar'!$N$1998)=FALSE,"",'Dvd Calendar'!$N$1998))</f>
        <v/>
      </c>
      <c r="BA199" s="106">
        <f>IF(GC199="","",IF(ISNUMBER('Dvd Calendar'!$O$1998)=FALSE,"",'Dvd Calendar'!$O$1998))</f>
        <v/>
      </c>
      <c r="BB199" s="106">
        <f>IF(GD199="","",IF(ISNUMBER('Dvd Calendar'!$P$1998)=FALSE,"",'Dvd Calendar'!$P$1998))</f>
        <v/>
      </c>
      <c r="BC199" s="106">
        <f>IF(GE199="","",IF(ISNUMBER('Dvd Calendar'!$Q$1998)=FALSE,"",'Dvd Calendar'!$Q$1998))</f>
        <v/>
      </c>
      <c r="BD199" s="106">
        <f>IF(GF199="","",IF(ISNUMBER('Dvd Calendar'!$R$1998)=FALSE,"",'Dvd Calendar'!$R$1998))</f>
        <v/>
      </c>
      <c r="BE199" s="106">
        <f>IF(GG199="","",IF(ISNUMBER('Dvd Calendar'!$S$1998)=FALSE,"",'Dvd Calendar'!$S$1998))</f>
        <v/>
      </c>
      <c r="BF199" s="106">
        <f>IF(GH199="","",IF(ISNUMBER('Dvd Calendar'!$T$1998)=FALSE,"",'Dvd Calendar'!$T$1998))</f>
        <v/>
      </c>
      <c r="BG199" s="106">
        <f>IF(GI199="","",IF(ISNUMBER('Dvd Calendar'!$U$1998)=FALSE,"",'Dvd Calendar'!$U$1998))</f>
        <v/>
      </c>
      <c r="BH199" s="106">
        <f>IF(GJ199="","",IF(ISNUMBER('Dvd Calendar'!$V$1998)=FALSE,"",'Dvd Calendar'!$V$1998))</f>
        <v/>
      </c>
      <c r="BI199" s="106">
        <f>IF(GK199="","",IF(ISNUMBER('Dvd Calendar'!$W$1998)=FALSE,"",'Dvd Calendar'!$W$1998))</f>
        <v/>
      </c>
      <c r="BJ199" s="106">
        <f>IF(GL199="","",IF(ISNUMBER('Dvd Calendar'!$X$1998)=FALSE,"",'Dvd Calendar'!$X$1998))</f>
        <v/>
      </c>
      <c r="BK199" s="106">
        <f>IF(GM199="","",IF(ISNUMBER('Dvd Calendar'!$Y$1998)=FALSE,"",'Dvd Calendar'!$Y$1998))</f>
        <v/>
      </c>
      <c r="BL199" s="106">
        <f>IF(GN199="","",IF(ISNUMBER('Dvd Calendar'!$Z$1998)=FALSE,"",'Dvd Calendar'!$Z$1998))</f>
        <v/>
      </c>
      <c r="BM199" s="106">
        <f>IF(GO199="","",IF(ISNUMBER('Dvd Calendar'!$AA$1998)=FALSE,"",'Dvd Calendar'!$AA$1998))</f>
        <v/>
      </c>
      <c r="BN199" s="106">
        <f>IF(GP199="","",IF(ISNUMBER('Dvd Calendar'!$AB$1998)=FALSE,"",'Dvd Calendar'!$AB$1998))</f>
        <v/>
      </c>
      <c r="BO199" s="106">
        <f>IF(GQ199="","",IF(ISNUMBER('Dvd Calendar'!$AC$1998)=FALSE,"",'Dvd Calendar'!$AC$1998))</f>
        <v/>
      </c>
      <c r="BQ199" s="106">
        <f>IF(C199="","",IFERROR(C199*HSCEI!$B$46*HSCEI!$G$46/HSCEI!$B$3,""))</f>
        <v/>
      </c>
      <c r="BR199" s="106">
        <f>IF(D199="","",IFERROR(D199*HSCEI!$B$46*HSCEI!$G$46/HSCEI!$B$3,""))</f>
        <v/>
      </c>
      <c r="BS199" s="106">
        <f>IF(E199="","",IFERROR(E199*HSCEI!$B$46*HSCEI!$G$46/HSCEI!$B$3,""))</f>
        <v/>
      </c>
      <c r="BT199" s="106">
        <f>IF(F199="","",IFERROR(F199*HSCEI!$B$46*HSCEI!$G$46/HSCEI!$B$3,""))</f>
        <v/>
      </c>
      <c r="BU199" s="106">
        <f>IF(G199="","",IFERROR(G199*HSCEI!$B$46*HSCEI!$G$46/HSCEI!$B$3,""))</f>
        <v/>
      </c>
      <c r="BV199" s="106">
        <f>IF(H199="","",IFERROR(H199*HSCEI!$B$46*HSCEI!$G$46/HSCEI!$B$3,""))</f>
        <v/>
      </c>
      <c r="BW199" s="106">
        <f>IF(I199="","",IFERROR(I199*HSCEI!$B$46*HSCEI!$G$46/HSCEI!$B$3,""))</f>
        <v/>
      </c>
      <c r="BX199" s="106">
        <f>IF(J199="","",IFERROR(J199*HSCEI!$B$46*HSCEI!$G$46/HSCEI!$B$3,""))</f>
        <v/>
      </c>
      <c r="BY199" s="106">
        <f>IF(K199="","",IFERROR(K199*HSCEI!$B$46*HSCEI!$G$46/HSCEI!$B$3,""))</f>
        <v/>
      </c>
      <c r="BZ199" s="106">
        <f>IF(L199="","",IFERROR(L199*HSCEI!$B$46*HSCEI!$G$46/HSCEI!$B$3,""))</f>
        <v/>
      </c>
      <c r="CA199" s="106">
        <f>IF(M199="","",IFERROR(M199*HSCEI!$B$46*HSCEI!$G$46/HSCEI!$B$3,""))</f>
        <v/>
      </c>
      <c r="CB199" s="106">
        <f>IF(N199="","",IFERROR(N199*HSCEI!$B$46*HSCEI!$G$46/HSCEI!$B$3,""))</f>
        <v/>
      </c>
      <c r="CC199" s="106">
        <f>IF(O199="","",IFERROR(O199*HSCEI!$B$46*HSCEI!$G$46/HSCEI!$B$3,""))</f>
        <v/>
      </c>
      <c r="CD199" s="106">
        <f>IF(P199="","",IFERROR(P199*HSCEI!$B$46*HSCEI!$G$46/HSCEI!$B$3,""))</f>
        <v/>
      </c>
      <c r="CE199" s="106">
        <f>IF(Q199="","",IFERROR(Q199*HSCEI!$B$46*HSCEI!$G$46/HSCEI!$B$3,""))</f>
        <v/>
      </c>
      <c r="CF199" s="106">
        <f>IF(R199="","",IFERROR(R199*HSCEI!$B$46*HSCEI!$G$46/HSCEI!$B$3,""))</f>
        <v/>
      </c>
      <c r="CG199" s="106">
        <f>IF(S199="","",IFERROR(S199*HSCEI!$B$46*HSCEI!$G$46/HSCEI!$B$3,""))</f>
        <v/>
      </c>
      <c r="CH199" s="106">
        <f>IF(T199="","",IFERROR(T199*HSCEI!$B$46*HSCEI!$G$46/HSCEI!$B$3,""))</f>
        <v/>
      </c>
      <c r="CI199" s="106">
        <f>IF(U199="","",IFERROR(U199*HSCEI!$B$46*HSCEI!$G$46/HSCEI!$B$3,""))</f>
        <v/>
      </c>
      <c r="CJ199" s="106">
        <f>IF(V199="","",IFERROR(V199*HSCEI!$B$46*HSCEI!$G$46/HSCEI!$B$3,""))</f>
        <v/>
      </c>
      <c r="CK199" s="106">
        <f>IF(W199="","",IFERROR(W199*HSCEI!$B$46*HSCEI!$G$46/HSCEI!$B$3,""))</f>
        <v/>
      </c>
      <c r="CL199" s="106">
        <f>IF(X199="","",IFERROR(X199*HSCEI!$B$46*HSCEI!$G$46/HSCEI!$B$3,""))</f>
        <v/>
      </c>
      <c r="CM199" s="106">
        <f>IF(Y199="","",IFERROR(Y199*HSCEI!$B$46*HSCEI!$G$46/HSCEI!$B$3,""))</f>
        <v/>
      </c>
      <c r="CN199" s="106">
        <f>IF(Z199="","",IFERROR(Z199*HSCEI!$B$46*HSCEI!$G$46/HSCEI!$B$3,""))</f>
        <v/>
      </c>
      <c r="CO199" s="106">
        <f>IF(AA199="","",IFERROR(AA199*HSCEI!$B$46*HSCEI!$G$46/HSCEI!$B$3,""))</f>
        <v/>
      </c>
      <c r="CP199" s="106">
        <f>IF(AB199="","",IFERROR(AB199*HSCEI!$B$46*HSCEI!$G$46/HSCEI!$B$3,""))</f>
        <v/>
      </c>
      <c r="CQ199" s="106">
        <f>IF(AC199="","",IFERROR(AC199*HSCEI!$B$46*HSCEI!$G$46/HSCEI!$B$3,""))</f>
        <v/>
      </c>
      <c r="CR199" s="106">
        <f>IF(AD199="","",IFERROR(AD199*HSCEI!$B$46*HSCEI!$G$46/HSCEI!$B$3,""))</f>
        <v/>
      </c>
      <c r="CS199" s="106">
        <f>IF(AE199="","",IFERROR(AE199*HSCEI!$B$46*HSCEI!$G$46/HSCEI!$B$3,""))</f>
        <v/>
      </c>
      <c r="CT199" s="106">
        <f>IF(AF199="","",IFERROR(AF199*HSCEI!$B$46*HSCEI!$G$46/HSCEI!$B$3,""))</f>
        <v/>
      </c>
      <c r="CU199" s="106">
        <f>IF(AG199="","",IFERROR(AG199*HSCEI!$B$46*HSCEI!$G$46/HSCEI!$B$3,""))</f>
        <v/>
      </c>
      <c r="CV199" s="106">
        <f>IF(AH199="","",IFERROR(AH199*HSCEI!$B$46*HSCEI!$G$46/HSCEI!$B$3,""))</f>
        <v/>
      </c>
      <c r="CW199" s="106">
        <f>IF(AI199="","",IFERROR(AI199*HSCEI!$B$46*HSCEI!$G$46/HSCEI!$B$3,""))</f>
        <v/>
      </c>
      <c r="CX199" s="106">
        <f>IF(AJ199="","",IFERROR(AJ199*HSCEI!$B$46*HSCEI!$G$46/HSCEI!$B$3,""))</f>
        <v/>
      </c>
      <c r="CY199" s="106">
        <f>IF(AK199="","",IFERROR(AK199*HSCEI!$B$46*HSCEI!$G$46/HSCEI!$B$3,""))</f>
        <v/>
      </c>
      <c r="CZ199" s="106">
        <f>IF(AL199="","",IFERROR(AL199*HSCEI!$B$46*HSCEI!$G$46/HSCEI!$B$3,""))</f>
        <v/>
      </c>
      <c r="DA199" s="106">
        <f>IF(AM199="","",IFERROR(AM199*HSCEI!$B$46*HSCEI!$G$46/HSCEI!$B$3,""))</f>
        <v/>
      </c>
      <c r="DB199" s="106">
        <f>IF(AN199="","",IFERROR(AN199*HSCEI!$B$46*HSCEI!$G$46/HSCEI!$B$3,""))</f>
        <v/>
      </c>
      <c r="DC199" s="106">
        <f>IF(AO199="","",IFERROR(AO199*HSCEI!$B$46*HSCEI!$G$46/HSCEI!$B$3,""))</f>
        <v/>
      </c>
      <c r="DD199" s="106">
        <f>IF(AP199="","",IFERROR(AP199*HSCEI!$B$46*HSCEI!$G$46/HSCEI!$B$3,""))</f>
        <v/>
      </c>
      <c r="DE199" s="106">
        <f>IF(AQ199="","",IFERROR(AQ199*HSCEI!$B$46*HSCEI!$G$46/HSCEI!$B$3,""))</f>
        <v/>
      </c>
      <c r="DF199" s="106">
        <f>IF(AR199="","",IFERROR(AR199*HSCEI!$B$46*HSCEI!$G$46/HSCEI!$B$3,""))</f>
        <v/>
      </c>
      <c r="DG199" s="106">
        <f>IF(AS199="","",IFERROR(AS199*HSCEI!$B$46*HSCEI!$G$46/HSCEI!$B$3,""))</f>
        <v/>
      </c>
      <c r="DH199" s="106">
        <f>IF(AT199="","",IFERROR(AT199*HSCEI!$B$46*HSCEI!$G$46/HSCEI!$B$3,""))</f>
        <v/>
      </c>
      <c r="DI199" s="106">
        <f>IF(AU199="","",IFERROR(AU199*HSCEI!$B$46*HSCEI!$G$46/HSCEI!$B$3,""))</f>
        <v/>
      </c>
      <c r="DJ199" s="106">
        <f>IF(AV199="","",IFERROR(AV199*HSCEI!$B$46*HSCEI!$G$46/HSCEI!$B$3,""))</f>
        <v/>
      </c>
      <c r="DK199" s="106">
        <f>IF(AW199="","",IFERROR(AW199*HSCEI!$B$46*HSCEI!$G$46/HSCEI!$B$3,""))</f>
        <v/>
      </c>
      <c r="DL199" s="106">
        <f>IF(AX199="","",IFERROR(AX199*HSCEI!$B$46*HSCEI!$G$46/HSCEI!$B$3,""))</f>
        <v/>
      </c>
      <c r="DM199" s="106">
        <f>IF(AY199="","",IFERROR(AY199*HSCEI!$B$46*HSCEI!$G$46/HSCEI!$B$3,""))</f>
        <v/>
      </c>
      <c r="DN199" s="106">
        <f>IF(AZ199="","",IFERROR(AZ199*HSCEI!$B$46*HSCEI!$G$46/HSCEI!$B$3,""))</f>
        <v/>
      </c>
      <c r="DO199" s="106">
        <f>IF(BA199="","",IFERROR(BA199*HSCEI!$B$46*HSCEI!$G$46/HSCEI!$B$3,""))</f>
        <v/>
      </c>
      <c r="DP199" s="106">
        <f>IF(BB199="","",IFERROR(BB199*HSCEI!$B$46*HSCEI!$G$46/HSCEI!$B$3,""))</f>
        <v/>
      </c>
      <c r="DQ199" s="106">
        <f>IF(BC199="","",IFERROR(BC199*HSCEI!$B$46*HSCEI!$G$46/HSCEI!$B$3,""))</f>
        <v/>
      </c>
      <c r="DR199" s="106">
        <f>IF(BD199="","",IFERROR(BD199*HSCEI!$B$46*HSCEI!$G$46/HSCEI!$B$3,""))</f>
        <v/>
      </c>
      <c r="DS199" s="106">
        <f>IF(BE199="","",IFERROR(BE199*HSCEI!$B$46*HSCEI!$G$46/HSCEI!$B$3,""))</f>
        <v/>
      </c>
      <c r="DT199" s="106">
        <f>IF(BF199="","",IFERROR(BF199*HSCEI!$B$46*HSCEI!$G$46/HSCEI!$B$3,""))</f>
        <v/>
      </c>
      <c r="DU199" s="106">
        <f>IF(BG199="","",IFERROR(BG199*HSCEI!$B$46*HSCEI!$G$46/HSCEI!$B$3,""))</f>
        <v/>
      </c>
      <c r="DV199" s="106">
        <f>IF(BH199="","",IFERROR(BH199*HSCEI!$B$46*HSCEI!$G$46/HSCEI!$B$3,""))</f>
        <v/>
      </c>
      <c r="DW199" s="106">
        <f>IF(BI199="","",IFERROR(BI199*HSCEI!$B$46*HSCEI!$G$46/HSCEI!$B$3,""))</f>
        <v/>
      </c>
      <c r="DX199" s="106">
        <f>IF(BJ199="","",IFERROR(BJ199*HSCEI!$B$46*HSCEI!$G$46/HSCEI!$B$3,""))</f>
        <v/>
      </c>
      <c r="DY199" s="106">
        <f>IF(BK199="","",IFERROR(BK199*HSCEI!$B$46*HSCEI!$G$46/HSCEI!$B$3,""))</f>
        <v/>
      </c>
      <c r="DZ199" s="106">
        <f>IF(BL199="","",IFERROR(BL199*HSCEI!$B$46*HSCEI!$G$46/HSCEI!$B$3,""))</f>
        <v/>
      </c>
      <c r="EA199" s="106">
        <f>IF(BM199="","",IFERROR(BM199*HSCEI!$B$46*HSCEI!$G$46/HSCEI!$B$3,""))</f>
        <v/>
      </c>
      <c r="EB199" s="106">
        <f>IF(BN199="","",IFERROR(BN199*HSCEI!$B$46*HSCEI!$G$46/HSCEI!$B$3,""))</f>
        <v/>
      </c>
      <c r="EC199" s="106">
        <f>IF(BO199="","",IFERROR(BO199*HSCEI!$B$46*HSCEI!$G$46/HSCEI!$B$3,""))</f>
        <v/>
      </c>
      <c r="EE199" s="35">
        <f>IF(N('Dvd Calendar'!$E$1990)=0,"",IF(('Dvd Calendar'!$E$1990&gt;=GRID_FROM)*('Dvd Calendar'!$E$1990&lt;=GRID_TO)*('Dvd Calendar'!$E$1990&lt;=VAL_DATE)=0,"",'Dvd Calendar'!$E$1990*1000000000+ISNUMBER('Dvd Calendar'!$E$1993)*100000000+('Dvd Calendar'!$E$1995=SPECIAL_LBL)*10000000+0*1000000+40*1000+1))</f>
        <v/>
      </c>
      <c r="EF199" s="35">
        <f>IF(N('Dvd Calendar'!$F$1990)=0,"",IF(('Dvd Calendar'!$F$1990&gt;=GRID_FROM)*('Dvd Calendar'!$F$1990&lt;=GRID_TO)*('Dvd Calendar'!$F$1990&lt;=VAL_DATE)=0,"",'Dvd Calendar'!$F$1990*1000000000+ISNUMBER('Dvd Calendar'!$F$1993)*100000000+('Dvd Calendar'!$F$1995=SPECIAL_LBL)*10000000+0*1000000+40*1000+2))</f>
        <v/>
      </c>
      <c r="EG199" s="35">
        <f>IF(N('Dvd Calendar'!$G$1990)=0,"",IF(('Dvd Calendar'!$G$1990&gt;=GRID_FROM)*('Dvd Calendar'!$G$1990&lt;=GRID_TO)*('Dvd Calendar'!$G$1990&lt;=VAL_DATE)=0,"",'Dvd Calendar'!$G$1990*1000000000+ISNUMBER('Dvd Calendar'!$G$1993)*100000000+('Dvd Calendar'!$G$1995=SPECIAL_LBL)*10000000+0*1000000+40*1000+3))</f>
        <v/>
      </c>
      <c r="EH199" s="35">
        <f>IF(N('Dvd Calendar'!$H$1990)=0,"",IF(('Dvd Calendar'!$H$1990&gt;=GRID_FROM)*('Dvd Calendar'!$H$1990&lt;=GRID_TO)*('Dvd Calendar'!$H$1990&lt;=VAL_DATE)=0,"",'Dvd Calendar'!$H$1990*1000000000+ISNUMBER('Dvd Calendar'!$H$1993)*100000000+('Dvd Calendar'!$H$1995=SPECIAL_LBL)*10000000+0*1000000+40*1000+4))</f>
        <v/>
      </c>
      <c r="EI199" s="35">
        <f>IF(N('Dvd Calendar'!$I$1990)=0,"",IF(('Dvd Calendar'!$I$1990&gt;=GRID_FROM)*('Dvd Calendar'!$I$1990&lt;=GRID_TO)*('Dvd Calendar'!$I$1990&lt;=VAL_DATE)=0,"",'Dvd Calendar'!$I$1990*1000000000+ISNUMBER('Dvd Calendar'!$I$1993)*100000000+('Dvd Calendar'!$I$1995=SPECIAL_LBL)*10000000+0*1000000+40*1000+5))</f>
        <v/>
      </c>
      <c r="EJ199" s="35">
        <f>IF(N('Dvd Calendar'!$J$1990)=0,"",IF(('Dvd Calendar'!$J$1990&gt;=GRID_FROM)*('Dvd Calendar'!$J$1990&lt;=GRID_TO)*('Dvd Calendar'!$J$1990&lt;=VAL_DATE)=0,"",'Dvd Calendar'!$J$1990*1000000000+ISNUMBER('Dvd Calendar'!$J$1993)*100000000+('Dvd Calendar'!$J$1995=SPECIAL_LBL)*10000000+0*1000000+40*1000+6))</f>
        <v/>
      </c>
      <c r="EK199" s="35">
        <f>IF(N('Dvd Calendar'!$K$1990)=0,"",IF(('Dvd Calendar'!$K$1990&gt;=GRID_FROM)*('Dvd Calendar'!$K$1990&lt;=GRID_TO)*('Dvd Calendar'!$K$1990&lt;=VAL_DATE)=0,"",'Dvd Calendar'!$K$1990*1000000000+ISNUMBER('Dvd Calendar'!$K$1993)*100000000+('Dvd Calendar'!$K$1995=SPECIAL_LBL)*10000000+0*1000000+40*1000+7))</f>
        <v/>
      </c>
      <c r="EL199" s="35">
        <f>IF(N('Dvd Calendar'!$L$1990)=0,"",IF(('Dvd Calendar'!$L$1990&gt;=GRID_FROM)*('Dvd Calendar'!$L$1990&lt;=GRID_TO)*('Dvd Calendar'!$L$1990&lt;=VAL_DATE)=0,"",'Dvd Calendar'!$L$1990*1000000000+ISNUMBER('Dvd Calendar'!$L$1993)*100000000+('Dvd Calendar'!$L$1995=SPECIAL_LBL)*10000000+0*1000000+40*1000+8))</f>
        <v/>
      </c>
      <c r="EM199" s="35">
        <f>IF(N('Dvd Calendar'!$M$1990)=0,"",IF(('Dvd Calendar'!$M$1990&gt;=GRID_FROM)*('Dvd Calendar'!$M$1990&lt;=GRID_TO)*('Dvd Calendar'!$M$1990&lt;=VAL_DATE)=0,"",'Dvd Calendar'!$M$1990*1000000000+ISNUMBER('Dvd Calendar'!$M$1993)*100000000+('Dvd Calendar'!$M$1995=SPECIAL_LBL)*10000000+0*1000000+40*1000+9))</f>
        <v/>
      </c>
      <c r="EN199" s="35">
        <f>IF(N('Dvd Calendar'!$N$1990)=0,"",IF(('Dvd Calendar'!$N$1990&gt;=GRID_FROM)*('Dvd Calendar'!$N$1990&lt;=GRID_TO)*('Dvd Calendar'!$N$1990&lt;=VAL_DATE)=0,"",'Dvd Calendar'!$N$1990*1000000000+ISNUMBER('Dvd Calendar'!$N$1993)*100000000+('Dvd Calendar'!$N$1995=SPECIAL_LBL)*10000000+0*1000000+40*1000+10))</f>
        <v/>
      </c>
      <c r="EO199" s="35">
        <f>IF(N('Dvd Calendar'!$O$1990)=0,"",IF(('Dvd Calendar'!$O$1990&gt;=GRID_FROM)*('Dvd Calendar'!$O$1990&lt;=GRID_TO)*('Dvd Calendar'!$O$1990&lt;=VAL_DATE)=0,"",'Dvd Calendar'!$O$1990*1000000000+ISNUMBER('Dvd Calendar'!$O$1993)*100000000+('Dvd Calendar'!$O$1995=SPECIAL_LBL)*10000000+0*1000000+40*1000+11))</f>
        <v/>
      </c>
      <c r="EP199" s="35">
        <f>IF(N('Dvd Calendar'!$P$1990)=0,"",IF(('Dvd Calendar'!$P$1990&gt;=GRID_FROM)*('Dvd Calendar'!$P$1990&lt;=GRID_TO)*('Dvd Calendar'!$P$1990&lt;=VAL_DATE)=0,"",'Dvd Calendar'!$P$1990*1000000000+ISNUMBER('Dvd Calendar'!$P$1993)*100000000+('Dvd Calendar'!$P$1995=SPECIAL_LBL)*10000000+0*1000000+40*1000+12))</f>
        <v/>
      </c>
      <c r="EQ199" s="35">
        <f>IF(N('Dvd Calendar'!$Q$1990)=0,"",IF(('Dvd Calendar'!$Q$1990&gt;=GRID_FROM)*('Dvd Calendar'!$Q$1990&lt;=GRID_TO)*('Dvd Calendar'!$Q$1990&lt;=VAL_DATE)=0,"",'Dvd Calendar'!$Q$1990*1000000000+ISNUMBER('Dvd Calendar'!$Q$1993)*100000000+('Dvd Calendar'!$Q$1995=SPECIAL_LBL)*10000000+0*1000000+40*1000+13))</f>
        <v/>
      </c>
      <c r="ER199" s="35">
        <f>IF(N('Dvd Calendar'!$R$1990)=0,"",IF(('Dvd Calendar'!$R$1990&gt;=GRID_FROM)*('Dvd Calendar'!$R$1990&lt;=GRID_TO)*('Dvd Calendar'!$R$1990&lt;=VAL_DATE)=0,"",'Dvd Calendar'!$R$1990*1000000000+ISNUMBER('Dvd Calendar'!$R$1993)*100000000+('Dvd Calendar'!$R$1995=SPECIAL_LBL)*10000000+0*1000000+40*1000+14))</f>
        <v/>
      </c>
      <c r="ES199" s="35">
        <f>IF(N('Dvd Calendar'!$S$1990)=0,"",IF(('Dvd Calendar'!$S$1990&gt;=GRID_FROM)*('Dvd Calendar'!$S$1990&lt;=GRID_TO)*('Dvd Calendar'!$S$1990&lt;=VAL_DATE)=0,"",'Dvd Calendar'!$S$1990*1000000000+ISNUMBER('Dvd Calendar'!$S$1993)*100000000+('Dvd Calendar'!$S$1995=SPECIAL_LBL)*10000000+0*1000000+40*1000+15))</f>
        <v/>
      </c>
      <c r="ET199" s="35">
        <f>IF(N('Dvd Calendar'!$T$1990)=0,"",IF(('Dvd Calendar'!$T$1990&gt;=GRID_FROM)*('Dvd Calendar'!$T$1990&lt;=GRID_TO)*('Dvd Calendar'!$T$1990&lt;=VAL_DATE)=0,"",'Dvd Calendar'!$T$1990*1000000000+ISNUMBER('Dvd Calendar'!$T$1993)*100000000+('Dvd Calendar'!$T$1995=SPECIAL_LBL)*10000000+0*1000000+40*1000+16))</f>
        <v/>
      </c>
      <c r="EU199" s="35">
        <f>IF(N('Dvd Calendar'!$U$1990)=0,"",IF(('Dvd Calendar'!$U$1990&gt;=GRID_FROM)*('Dvd Calendar'!$U$1990&lt;=GRID_TO)*('Dvd Calendar'!$U$1990&lt;=VAL_DATE)=0,"",'Dvd Calendar'!$U$1990*1000000000+ISNUMBER('Dvd Calendar'!$U$1993)*100000000+('Dvd Calendar'!$U$1995=SPECIAL_LBL)*10000000+0*1000000+40*1000+17))</f>
        <v/>
      </c>
      <c r="EV199" s="35">
        <f>IF(N('Dvd Calendar'!$V$1990)=0,"",IF(('Dvd Calendar'!$V$1990&gt;=GRID_FROM)*('Dvd Calendar'!$V$1990&lt;=GRID_TO)*('Dvd Calendar'!$V$1990&lt;=VAL_DATE)=0,"",'Dvd Calendar'!$V$1990*1000000000+ISNUMBER('Dvd Calendar'!$V$1993)*100000000+('Dvd Calendar'!$V$1995=SPECIAL_LBL)*10000000+0*1000000+40*1000+18))</f>
        <v/>
      </c>
      <c r="EW199" s="35">
        <f>IF(N('Dvd Calendar'!$W$1990)=0,"",IF(('Dvd Calendar'!$W$1990&gt;=GRID_FROM)*('Dvd Calendar'!$W$1990&lt;=GRID_TO)*('Dvd Calendar'!$W$1990&lt;=VAL_DATE)=0,"",'Dvd Calendar'!$W$1990*1000000000+ISNUMBER('Dvd Calendar'!$W$1993)*100000000+('Dvd Calendar'!$W$1995=SPECIAL_LBL)*10000000+0*1000000+40*1000+19))</f>
        <v/>
      </c>
      <c r="EX199" s="35">
        <f>IF(N('Dvd Calendar'!$X$1990)=0,"",IF(('Dvd Calendar'!$X$1990&gt;=GRID_FROM)*('Dvd Calendar'!$X$1990&lt;=GRID_TO)*('Dvd Calendar'!$X$1990&lt;=VAL_DATE)=0,"",'Dvd Calendar'!$X$1990*1000000000+ISNUMBER('Dvd Calendar'!$X$1993)*100000000+('Dvd Calendar'!$X$1995=SPECIAL_LBL)*10000000+0*1000000+40*1000+20))</f>
        <v/>
      </c>
      <c r="EY199" s="35">
        <f>IF(N('Dvd Calendar'!$Y$1990)=0,"",IF(('Dvd Calendar'!$Y$1990&gt;=GRID_FROM)*('Dvd Calendar'!$Y$1990&lt;=GRID_TO)*('Dvd Calendar'!$Y$1990&lt;=VAL_DATE)=0,"",'Dvd Calendar'!$Y$1990*1000000000+ISNUMBER('Dvd Calendar'!$Y$1993)*100000000+('Dvd Calendar'!$Y$1995=SPECIAL_LBL)*10000000+0*1000000+40*1000+21))</f>
        <v/>
      </c>
      <c r="EZ199" s="35">
        <f>IF(N('Dvd Calendar'!$Z$1990)=0,"",IF(('Dvd Calendar'!$Z$1990&gt;=GRID_FROM)*('Dvd Calendar'!$Z$1990&lt;=GRID_TO)*('Dvd Calendar'!$Z$1990&lt;=VAL_DATE)=0,"",'Dvd Calendar'!$Z$1990*1000000000+ISNUMBER('Dvd Calendar'!$Z$1993)*100000000+('Dvd Calendar'!$Z$1995=SPECIAL_LBL)*10000000+0*1000000+40*1000+22))</f>
        <v/>
      </c>
      <c r="FA199" s="35">
        <f>IF(N('Dvd Calendar'!$AA$1990)=0,"",IF(('Dvd Calendar'!$AA$1990&gt;=GRID_FROM)*('Dvd Calendar'!$AA$1990&lt;=GRID_TO)*('Dvd Calendar'!$AA$1990&lt;=VAL_DATE)=0,"",'Dvd Calendar'!$AA$1990*1000000000+ISNUMBER('Dvd Calendar'!$AA$1993)*100000000+('Dvd Calendar'!$AA$1995=SPECIAL_LBL)*10000000+0*1000000+40*1000+23))</f>
        <v/>
      </c>
      <c r="FB199" s="35">
        <f>IF(N('Dvd Calendar'!$AB$1990)=0,"",IF(('Dvd Calendar'!$AB$1990&gt;=GRID_FROM)*('Dvd Calendar'!$AB$1990&lt;=GRID_TO)*('Dvd Calendar'!$AB$1990&lt;=VAL_DATE)=0,"",'Dvd Calendar'!$AB$1990*1000000000+ISNUMBER('Dvd Calendar'!$AB$1993)*100000000+('Dvd Calendar'!$AB$1995=SPECIAL_LBL)*10000000+0*1000000+40*1000+24))</f>
        <v/>
      </c>
      <c r="FC199" s="35">
        <f>IF(N('Dvd Calendar'!$AC$1990)=0,"",IF(('Dvd Calendar'!$AC$1990&gt;=GRID_FROM)*('Dvd Calendar'!$AC$1990&lt;=GRID_TO)*('Dvd Calendar'!$AC$1990&lt;=VAL_DATE)=0,"",'Dvd Calendar'!$AC$1990*1000000000+ISNUMBER('Dvd Calendar'!$AC$1993)*100000000+('Dvd Calendar'!$AC$1995=SPECIAL_LBL)*10000000+0*1000000+40*1000+25))</f>
        <v/>
      </c>
      <c r="FD199" s="35">
        <f>IF(N('Dvd Calendar'!$AD$1990)=0,"",IF(('Dvd Calendar'!$AD$1990&gt;=GRID_FROM)*('Dvd Calendar'!$AD$1990&lt;=GRID_TO)*('Dvd Calendar'!$AD$1990&lt;=VAL_DATE)=0,"",'Dvd Calendar'!$AD$1990*1000000000+ISNUMBER('Dvd Calendar'!$AD$1993)*100000000+('Dvd Calendar'!$AD$1995=SPECIAL_LBL)*10000000+0*1000000+40*1000+26))</f>
        <v/>
      </c>
      <c r="FE199" s="35">
        <f>IF(N('Dvd Calendar'!$AE$1990)=0,"",IF(('Dvd Calendar'!$AE$1990&gt;=GRID_FROM)*('Dvd Calendar'!$AE$1990&lt;=GRID_TO)*('Dvd Calendar'!$AE$1990&lt;=VAL_DATE)=0,"",'Dvd Calendar'!$AE$1990*1000000000+ISNUMBER('Dvd Calendar'!$AE$1993)*100000000+('Dvd Calendar'!$AE$1995=SPECIAL_LBL)*10000000+0*1000000+40*1000+27))</f>
        <v/>
      </c>
      <c r="FF199" s="35">
        <f>IF(N('Dvd Calendar'!$AF$1990)=0,"",IF(('Dvd Calendar'!$AF$1990&gt;=GRID_FROM)*('Dvd Calendar'!$AF$1990&lt;=GRID_TO)*('Dvd Calendar'!$AF$1990&lt;=VAL_DATE)=0,"",'Dvd Calendar'!$AF$1990*1000000000+ISNUMBER('Dvd Calendar'!$AF$1993)*100000000+('Dvd Calendar'!$AF$1995=SPECIAL_LBL)*10000000+0*1000000+40*1000+28))</f>
        <v/>
      </c>
      <c r="FG199" s="35">
        <f>IF(N('Dvd Calendar'!$AG$1990)=0,"",IF(('Dvd Calendar'!$AG$1990&gt;=GRID_FROM)*('Dvd Calendar'!$AG$1990&lt;=GRID_TO)*('Dvd Calendar'!$AG$1990&lt;=VAL_DATE)=0,"",'Dvd Calendar'!$AG$1990*1000000000+ISNUMBER('Dvd Calendar'!$AG$1993)*100000000+('Dvd Calendar'!$AG$1995=SPECIAL_LBL)*10000000+0*1000000+40*1000+29))</f>
        <v/>
      </c>
      <c r="FH199" s="35">
        <f>IF(N('Dvd Calendar'!$AH$1990)=0,"",IF(('Dvd Calendar'!$AH$1990&gt;=GRID_FROM)*('Dvd Calendar'!$AH$1990&lt;=GRID_TO)*('Dvd Calendar'!$AH$1990&lt;=VAL_DATE)=0,"",'Dvd Calendar'!$AH$1990*1000000000+ISNUMBER('Dvd Calendar'!$AH$1993)*100000000+('Dvd Calendar'!$AH$1995=SPECIAL_LBL)*10000000+0*1000000+40*1000+30))</f>
        <v/>
      </c>
      <c r="FI199" s="35">
        <f>IF(N('Dvd Calendar'!$AI$1990)=0,"",IF(('Dvd Calendar'!$AI$1990&gt;=GRID_FROM)*('Dvd Calendar'!$AI$1990&lt;=GRID_TO)*('Dvd Calendar'!$AI$1990&lt;=VAL_DATE)=0,"",'Dvd Calendar'!$AI$1990*1000000000+ISNUMBER('Dvd Calendar'!$AI$1993)*100000000+('Dvd Calendar'!$AI$1995=SPECIAL_LBL)*10000000+0*1000000+40*1000+31))</f>
        <v/>
      </c>
      <c r="FJ199" s="35">
        <f>IF(N('Dvd Calendar'!$AJ$1990)=0,"",IF(('Dvd Calendar'!$AJ$1990&gt;=GRID_FROM)*('Dvd Calendar'!$AJ$1990&lt;=GRID_TO)*('Dvd Calendar'!$AJ$1990&lt;=VAL_DATE)=0,"",'Dvd Calendar'!$AJ$1990*1000000000+ISNUMBER('Dvd Calendar'!$AJ$1993)*100000000+('Dvd Calendar'!$AJ$1995=SPECIAL_LBL)*10000000+0*1000000+40*1000+32))</f>
        <v/>
      </c>
      <c r="FK199" s="35">
        <f>IF(N('Dvd Calendar'!$AK$1990)=0,"",IF(('Dvd Calendar'!$AK$1990&gt;=GRID_FROM)*('Dvd Calendar'!$AK$1990&lt;=GRID_TO)*('Dvd Calendar'!$AK$1990&lt;=VAL_DATE)=0,"",'Dvd Calendar'!$AK$1990*1000000000+ISNUMBER('Dvd Calendar'!$AK$1993)*100000000+('Dvd Calendar'!$AK$1995=SPECIAL_LBL)*10000000+0*1000000+40*1000+33))</f>
        <v/>
      </c>
      <c r="FL199" s="35">
        <f>IF(N('Dvd Calendar'!$AL$1990)=0,"",IF(('Dvd Calendar'!$AL$1990&gt;=GRID_FROM)*('Dvd Calendar'!$AL$1990&lt;=GRID_TO)*('Dvd Calendar'!$AL$1990&lt;=VAL_DATE)=0,"",'Dvd Calendar'!$AL$1990*1000000000+ISNUMBER('Dvd Calendar'!$AL$1993)*100000000+('Dvd Calendar'!$AL$1995=SPECIAL_LBL)*10000000+0*1000000+40*1000+34))</f>
        <v/>
      </c>
      <c r="FM199" s="35">
        <f>IF(N('Dvd Calendar'!$AM$1990)=0,"",IF(('Dvd Calendar'!$AM$1990&gt;=GRID_FROM)*('Dvd Calendar'!$AM$1990&lt;=GRID_TO)*('Dvd Calendar'!$AM$1990&lt;=VAL_DATE)=0,"",'Dvd Calendar'!$AM$1990*1000000000+ISNUMBER('Dvd Calendar'!$AM$1993)*100000000+('Dvd Calendar'!$AM$1995=SPECIAL_LBL)*10000000+0*1000000+40*1000+35))</f>
        <v/>
      </c>
      <c r="FN199" s="35">
        <f>IF(N('Dvd Calendar'!$AN$1990)=0,"",IF(('Dvd Calendar'!$AN$1990&gt;=GRID_FROM)*('Dvd Calendar'!$AN$1990&lt;=GRID_TO)*('Dvd Calendar'!$AN$1990&lt;=VAL_DATE)=0,"",'Dvd Calendar'!$AN$1990*1000000000+ISNUMBER('Dvd Calendar'!$AN$1993)*100000000+('Dvd Calendar'!$AN$1995=SPECIAL_LBL)*10000000+0*1000000+40*1000+36))</f>
        <v/>
      </c>
      <c r="FO199" s="35">
        <f>IF(N('Dvd Calendar'!$AO$1990)=0,"",IF(('Dvd Calendar'!$AO$1990&gt;=GRID_FROM)*('Dvd Calendar'!$AO$1990&lt;=GRID_TO)*('Dvd Calendar'!$AO$1990&lt;=VAL_DATE)=0,"",'Dvd Calendar'!$AO$1990*1000000000+ISNUMBER('Dvd Calendar'!$AO$1993)*100000000+('Dvd Calendar'!$AO$1995=SPECIAL_LBL)*10000000+0*1000000+40*1000+37))</f>
        <v/>
      </c>
      <c r="FP199" s="35">
        <f>IF(N('Dvd Calendar'!$AP$1990)=0,"",IF(('Dvd Calendar'!$AP$1990&gt;=GRID_FROM)*('Dvd Calendar'!$AP$1990&lt;=GRID_TO)*('Dvd Calendar'!$AP$1990&lt;=VAL_DATE)=0,"",'Dvd Calendar'!$AP$1990*1000000000+ISNUMBER('Dvd Calendar'!$AP$1993)*100000000+('Dvd Calendar'!$AP$1995=SPECIAL_LBL)*10000000+0*1000000+40*1000+38))</f>
        <v/>
      </c>
      <c r="FQ199" s="35">
        <f>IF(N('Dvd Calendar'!$AQ$1990)=0,"",IF(('Dvd Calendar'!$AQ$1990&gt;=GRID_FROM)*('Dvd Calendar'!$AQ$1990&lt;=GRID_TO)*('Dvd Calendar'!$AQ$1990&lt;=VAL_DATE)=0,"",'Dvd Calendar'!$AQ$1990*1000000000+ISNUMBER('Dvd Calendar'!$AQ$1993)*100000000+('Dvd Calendar'!$AQ$1995=SPECIAL_LBL)*10000000+0*1000000+40*1000+39))</f>
        <v/>
      </c>
      <c r="FR199" s="35">
        <f>IF(N('Dvd Calendar'!$AR$1990)=0,"",IF(('Dvd Calendar'!$AR$1990&gt;=GRID_FROM)*('Dvd Calendar'!$AR$1990&lt;=GRID_TO)*('Dvd Calendar'!$AR$1990&lt;=VAL_DATE)=0,"",'Dvd Calendar'!$AR$1990*1000000000+ISNUMBER('Dvd Calendar'!$AR$1993)*100000000+('Dvd Calendar'!$AR$1995=SPECIAL_LBL)*10000000+0*1000000+40*1000+40))</f>
        <v/>
      </c>
      <c r="FS199" s="35">
        <f>IF(N('Dvd Calendar'!$E$1997)=0,"",IF(('Dvd Calendar'!$E$1997&gt;=GRID_FROM)*('Dvd Calendar'!$E$1997&lt;=GRID_TO)*('Dvd Calendar'!$E$1997&gt;VAL_DATE)=0,"",'Dvd Calendar'!$E$1997*1000000000+ISNUMBER('Dvd Calendar'!$E$1998)*100000000+0*10000000+(N('Dvd Calendar'!$E$1996)&gt;0)*(N('Dvd Calendar'!$E$1996)&lt;=VAL_SERIAL)*1000000+40*1000+41))</f>
        <v/>
      </c>
      <c r="FT199" s="35">
        <f>IF(N('Dvd Calendar'!$F$1997)=0,"",IF(('Dvd Calendar'!$F$1997&gt;=GRID_FROM)*('Dvd Calendar'!$F$1997&lt;=GRID_TO)*('Dvd Calendar'!$F$1997&gt;VAL_DATE)=0,"",'Dvd Calendar'!$F$1997*1000000000+ISNUMBER('Dvd Calendar'!$F$1998)*100000000+0*10000000+(N('Dvd Calendar'!$F$1996)&gt;0)*(N('Dvd Calendar'!$F$1996)&lt;=VAL_SERIAL)*1000000+40*1000+42))</f>
        <v/>
      </c>
      <c r="FU199" s="35">
        <f>IF(N('Dvd Calendar'!$G$1997)=0,"",IF(('Dvd Calendar'!$G$1997&gt;=GRID_FROM)*('Dvd Calendar'!$G$1997&lt;=GRID_TO)*('Dvd Calendar'!$G$1997&gt;VAL_DATE)=0,"",'Dvd Calendar'!$G$1997*1000000000+ISNUMBER('Dvd Calendar'!$G$1998)*100000000+0*10000000+(N('Dvd Calendar'!$G$1996)&gt;0)*(N('Dvd Calendar'!$G$1996)&lt;=VAL_SERIAL)*1000000+40*1000+43))</f>
        <v/>
      </c>
      <c r="FV199" s="35">
        <f>IF(N('Dvd Calendar'!$H$1997)=0,"",IF(('Dvd Calendar'!$H$1997&gt;=GRID_FROM)*('Dvd Calendar'!$H$1997&lt;=GRID_TO)*('Dvd Calendar'!$H$1997&gt;VAL_DATE)=0,"",'Dvd Calendar'!$H$1997*1000000000+ISNUMBER('Dvd Calendar'!$H$1998)*100000000+0*10000000+(N('Dvd Calendar'!$H$1996)&gt;0)*(N('Dvd Calendar'!$H$1996)&lt;=VAL_SERIAL)*1000000+40*1000+44))</f>
        <v/>
      </c>
      <c r="FW199" s="35">
        <f>IF(N('Dvd Calendar'!$I$1997)=0,"",IF(('Dvd Calendar'!$I$1997&gt;=GRID_FROM)*('Dvd Calendar'!$I$1997&lt;=GRID_TO)*('Dvd Calendar'!$I$1997&gt;VAL_DATE)=0,"",'Dvd Calendar'!$I$1997*1000000000+ISNUMBER('Dvd Calendar'!$I$1998)*100000000+0*10000000+(N('Dvd Calendar'!$I$1996)&gt;0)*(N('Dvd Calendar'!$I$1996)&lt;=VAL_SERIAL)*1000000+40*1000+45))</f>
        <v/>
      </c>
      <c r="FX199" s="35">
        <f>IF(N('Dvd Calendar'!$J$1997)=0,"",IF(('Dvd Calendar'!$J$1997&gt;=GRID_FROM)*('Dvd Calendar'!$J$1997&lt;=GRID_TO)*('Dvd Calendar'!$J$1997&gt;VAL_DATE)=0,"",'Dvd Calendar'!$J$1997*1000000000+ISNUMBER('Dvd Calendar'!$J$1998)*100000000+0*10000000+(N('Dvd Calendar'!$J$1996)&gt;0)*(N('Dvd Calendar'!$J$1996)&lt;=VAL_SERIAL)*1000000+40*1000+46))</f>
        <v/>
      </c>
      <c r="FY199" s="35">
        <f>IF(N('Dvd Calendar'!$K$1997)=0,"",IF(('Dvd Calendar'!$K$1997&gt;=GRID_FROM)*('Dvd Calendar'!$K$1997&lt;=GRID_TO)*('Dvd Calendar'!$K$1997&gt;VAL_DATE)=0,"",'Dvd Calendar'!$K$1997*1000000000+ISNUMBER('Dvd Calendar'!$K$1998)*100000000+0*10000000+(N('Dvd Calendar'!$K$1996)&gt;0)*(N('Dvd Calendar'!$K$1996)&lt;=VAL_SERIAL)*1000000+40*1000+47))</f>
        <v/>
      </c>
      <c r="FZ199" s="35">
        <f>IF(N('Dvd Calendar'!$L$1997)=0,"",IF(('Dvd Calendar'!$L$1997&gt;=GRID_FROM)*('Dvd Calendar'!$L$1997&lt;=GRID_TO)*('Dvd Calendar'!$L$1997&gt;VAL_DATE)=0,"",'Dvd Calendar'!$L$1997*1000000000+ISNUMBER('Dvd Calendar'!$L$1998)*100000000+0*10000000+(N('Dvd Calendar'!$L$1996)&gt;0)*(N('Dvd Calendar'!$L$1996)&lt;=VAL_SERIAL)*1000000+40*1000+48))</f>
        <v/>
      </c>
      <c r="GA199" s="35">
        <f>IF(N('Dvd Calendar'!$M$1997)=0,"",IF(('Dvd Calendar'!$M$1997&gt;=GRID_FROM)*('Dvd Calendar'!$M$1997&lt;=GRID_TO)*('Dvd Calendar'!$M$1997&gt;VAL_DATE)=0,"",'Dvd Calendar'!$M$1997*1000000000+ISNUMBER('Dvd Calendar'!$M$1998)*100000000+0*10000000+(N('Dvd Calendar'!$M$1996)&gt;0)*(N('Dvd Calendar'!$M$1996)&lt;=VAL_SERIAL)*1000000+40*1000+49))</f>
        <v/>
      </c>
      <c r="GB199" s="35">
        <f>IF(N('Dvd Calendar'!$N$1997)=0,"",IF(('Dvd Calendar'!$N$1997&gt;=GRID_FROM)*('Dvd Calendar'!$N$1997&lt;=GRID_TO)*('Dvd Calendar'!$N$1997&gt;VAL_DATE)=0,"",'Dvd Calendar'!$N$1997*1000000000+ISNUMBER('Dvd Calendar'!$N$1998)*100000000+0*10000000+(N('Dvd Calendar'!$N$1996)&gt;0)*(N('Dvd Calendar'!$N$1996)&lt;=VAL_SERIAL)*1000000+40*1000+50))</f>
        <v/>
      </c>
      <c r="GC199" s="35">
        <f>IF(N('Dvd Calendar'!$O$1997)=0,"",IF(('Dvd Calendar'!$O$1997&gt;=GRID_FROM)*('Dvd Calendar'!$O$1997&lt;=GRID_TO)*('Dvd Calendar'!$O$1997&gt;VAL_DATE)=0,"",'Dvd Calendar'!$O$1997*1000000000+ISNUMBER('Dvd Calendar'!$O$1998)*100000000+0*10000000+(N('Dvd Calendar'!$O$1996)&gt;0)*(N('Dvd Calendar'!$O$1996)&lt;=VAL_SERIAL)*1000000+40*1000+51))</f>
        <v/>
      </c>
      <c r="GD199" s="35">
        <f>IF(N('Dvd Calendar'!$P$1997)=0,"",IF(('Dvd Calendar'!$P$1997&gt;=GRID_FROM)*('Dvd Calendar'!$P$1997&lt;=GRID_TO)*('Dvd Calendar'!$P$1997&gt;VAL_DATE)=0,"",'Dvd Calendar'!$P$1997*1000000000+ISNUMBER('Dvd Calendar'!$P$1998)*100000000+0*10000000+(N('Dvd Calendar'!$P$1996)&gt;0)*(N('Dvd Calendar'!$P$1996)&lt;=VAL_SERIAL)*1000000+40*1000+52))</f>
        <v/>
      </c>
      <c r="GE199" s="35">
        <f>IF(N('Dvd Calendar'!$Q$1997)=0,"",IF(('Dvd Calendar'!$Q$1997&gt;=GRID_FROM)*('Dvd Calendar'!$Q$1997&lt;=GRID_TO)*('Dvd Calendar'!$Q$1997&gt;VAL_DATE)=0,"",'Dvd Calendar'!$Q$1997*1000000000+ISNUMBER('Dvd Calendar'!$Q$1998)*100000000+0*10000000+(N('Dvd Calendar'!$Q$1996)&gt;0)*(N('Dvd Calendar'!$Q$1996)&lt;=VAL_SERIAL)*1000000+40*1000+53))</f>
        <v/>
      </c>
      <c r="GF199" s="35">
        <f>IF(N('Dvd Calendar'!$R$1997)=0,"",IF(('Dvd Calendar'!$R$1997&gt;=GRID_FROM)*('Dvd Calendar'!$R$1997&lt;=GRID_TO)*('Dvd Calendar'!$R$1997&gt;VAL_DATE)=0,"",'Dvd Calendar'!$R$1997*1000000000+ISNUMBER('Dvd Calendar'!$R$1998)*100000000+0*10000000+(N('Dvd Calendar'!$R$1996)&gt;0)*(N('Dvd Calendar'!$R$1996)&lt;=VAL_SERIAL)*1000000+40*1000+54))</f>
        <v/>
      </c>
      <c r="GG199" s="35">
        <f>IF(N('Dvd Calendar'!$S$1997)=0,"",IF(('Dvd Calendar'!$S$1997&gt;=GRID_FROM)*('Dvd Calendar'!$S$1997&lt;=GRID_TO)*('Dvd Calendar'!$S$1997&gt;VAL_DATE)=0,"",'Dvd Calendar'!$S$1997*1000000000+ISNUMBER('Dvd Calendar'!$S$1998)*100000000+0*10000000+(N('Dvd Calendar'!$S$1996)&gt;0)*(N('Dvd Calendar'!$S$1996)&lt;=VAL_SERIAL)*1000000+40*1000+55))</f>
        <v/>
      </c>
      <c r="GH199" s="35">
        <f>IF(N('Dvd Calendar'!$T$1997)=0,"",IF(('Dvd Calendar'!$T$1997&gt;=GRID_FROM)*('Dvd Calendar'!$T$1997&lt;=GRID_TO)*('Dvd Calendar'!$T$1997&gt;VAL_DATE)=0,"",'Dvd Calendar'!$T$1997*1000000000+ISNUMBER('Dvd Calendar'!$T$1998)*100000000+0*10000000+(N('Dvd Calendar'!$T$1996)&gt;0)*(N('Dvd Calendar'!$T$1996)&lt;=VAL_SERIAL)*1000000+40*1000+56))</f>
        <v/>
      </c>
      <c r="GI199" s="35">
        <f>IF(N('Dvd Calendar'!$U$1997)=0,"",IF(('Dvd Calendar'!$U$1997&gt;=GRID_FROM)*('Dvd Calendar'!$U$1997&lt;=GRID_TO)*('Dvd Calendar'!$U$1997&gt;VAL_DATE)=0,"",'Dvd Calendar'!$U$1997*1000000000+ISNUMBER('Dvd Calendar'!$U$1998)*100000000+0*10000000+(N('Dvd Calendar'!$U$1996)&gt;0)*(N('Dvd Calendar'!$U$1996)&lt;=VAL_SERIAL)*1000000+40*1000+57))</f>
        <v/>
      </c>
      <c r="GJ199" s="35">
        <f>IF(N('Dvd Calendar'!$V$1997)=0,"",IF(('Dvd Calendar'!$V$1997&gt;=GRID_FROM)*('Dvd Calendar'!$V$1997&lt;=GRID_TO)*('Dvd Calendar'!$V$1997&gt;VAL_DATE)=0,"",'Dvd Calendar'!$V$1997*1000000000+ISNUMBER('Dvd Calendar'!$V$1998)*100000000+0*10000000+(N('Dvd Calendar'!$V$1996)&gt;0)*(N('Dvd Calendar'!$V$1996)&lt;=VAL_SERIAL)*1000000+40*1000+58))</f>
        <v/>
      </c>
      <c r="GK199" s="35">
        <f>IF(N('Dvd Calendar'!$W$1997)=0,"",IF(('Dvd Calendar'!$W$1997&gt;=GRID_FROM)*('Dvd Calendar'!$W$1997&lt;=GRID_TO)*('Dvd Calendar'!$W$1997&gt;VAL_DATE)=0,"",'Dvd Calendar'!$W$1997*1000000000+ISNUMBER('Dvd Calendar'!$W$1998)*100000000+0*10000000+(N('Dvd Calendar'!$W$1996)&gt;0)*(N('Dvd Calendar'!$W$1996)&lt;=VAL_SERIAL)*1000000+40*1000+59))</f>
        <v/>
      </c>
      <c r="GL199" s="35">
        <f>IF(N('Dvd Calendar'!$X$1997)=0,"",IF(('Dvd Calendar'!$X$1997&gt;=GRID_FROM)*('Dvd Calendar'!$X$1997&lt;=GRID_TO)*('Dvd Calendar'!$X$1997&gt;VAL_DATE)=0,"",'Dvd Calendar'!$X$1997*1000000000+ISNUMBER('Dvd Calendar'!$X$1998)*100000000+0*10000000+(N('Dvd Calendar'!$X$1996)&gt;0)*(N('Dvd Calendar'!$X$1996)&lt;=VAL_SERIAL)*1000000+40*1000+60))</f>
        <v/>
      </c>
      <c r="GM199" s="35">
        <f>IF(N('Dvd Calendar'!$Y$1997)=0,"",IF(('Dvd Calendar'!$Y$1997&gt;=GRID_FROM)*('Dvd Calendar'!$Y$1997&lt;=GRID_TO)*('Dvd Calendar'!$Y$1997&gt;VAL_DATE)=0,"",'Dvd Calendar'!$Y$1997*1000000000+ISNUMBER('Dvd Calendar'!$Y$1998)*100000000+0*10000000+(N('Dvd Calendar'!$Y$1996)&gt;0)*(N('Dvd Calendar'!$Y$1996)&lt;=VAL_SERIAL)*1000000+40*1000+61))</f>
        <v/>
      </c>
      <c r="GN199" s="35">
        <f>IF(N('Dvd Calendar'!$Z$1997)=0,"",IF(('Dvd Calendar'!$Z$1997&gt;=GRID_FROM)*('Dvd Calendar'!$Z$1997&lt;=GRID_TO)*('Dvd Calendar'!$Z$1997&gt;VAL_DATE)=0,"",'Dvd Calendar'!$Z$1997*1000000000+ISNUMBER('Dvd Calendar'!$Z$1998)*100000000+0*10000000+(N('Dvd Calendar'!$Z$1996)&gt;0)*(N('Dvd Calendar'!$Z$1996)&lt;=VAL_SERIAL)*1000000+40*1000+62))</f>
        <v/>
      </c>
      <c r="GO199" s="35">
        <f>IF(N('Dvd Calendar'!$AA$1997)=0,"",IF(('Dvd Calendar'!$AA$1997&gt;=GRID_FROM)*('Dvd Calendar'!$AA$1997&lt;=GRID_TO)*('Dvd Calendar'!$AA$1997&gt;VAL_DATE)=0,"",'Dvd Calendar'!$AA$1997*1000000000+ISNUMBER('Dvd Calendar'!$AA$1998)*100000000+0*10000000+(N('Dvd Calendar'!$AA$1996)&gt;0)*(N('Dvd Calendar'!$AA$1996)&lt;=VAL_SERIAL)*1000000+40*1000+63))</f>
        <v/>
      </c>
      <c r="GP199" s="35">
        <f>IF(N('Dvd Calendar'!$AB$1997)=0,"",IF(('Dvd Calendar'!$AB$1997&gt;=GRID_FROM)*('Dvd Calendar'!$AB$1997&lt;=GRID_TO)*('Dvd Calendar'!$AB$1997&gt;VAL_DATE)=0,"",'Dvd Calendar'!$AB$1997*1000000000+ISNUMBER('Dvd Calendar'!$AB$1998)*100000000+0*10000000+(N('Dvd Calendar'!$AB$1996)&gt;0)*(N('Dvd Calendar'!$AB$1996)&lt;=VAL_SERIAL)*1000000+40*1000+64))</f>
        <v/>
      </c>
      <c r="GQ199" s="35">
        <f>IF(N('Dvd Calendar'!$AC$1997)=0,"",IF(('Dvd Calendar'!$AC$1997&gt;=GRID_FROM)*('Dvd Calendar'!$AC$1997&lt;=GRID_TO)*('Dvd Calendar'!$AC$1997&gt;VAL_DATE)=0,"",'Dvd Calendar'!$AC$1997*1000000000+ISNUMBER('Dvd Calendar'!$AC$1998)*100000000+0*10000000+(N('Dvd Calendar'!$AC$1996)&gt;0)*(N('Dvd Calendar'!$AC$1996)&lt;=VAL_SERIAL)*1000000+40*1000+65))</f>
        <v/>
      </c>
    </row>
    <row r="200">
      <c r="B200" s="2">
        <f>IF(HSCEI!$C$47="","",HSCEI!$C$47)</f>
        <v/>
      </c>
      <c r="C200" s="106">
        <f>IF(EE200="","",IF(ISNUMBER('Dvd Calendar'!$E$2004)=FALSE,"",IF((('Dvd Calendar'!$E$2006=TYPE1)*(TYPE1&lt;&gt;"")+('Dvd Calendar'!$E$2006=TYPE2)*(TYPE2&lt;&gt;"")+('Dvd Calendar'!$E$2006=TYPE3)*(TYPE3&lt;&gt;"")+('Dvd Calendar'!$E$2006=TYPE4)*(TYPE4&lt;&gt;"")+('Dvd Calendar'!$E$2006=SPECIAL_LBL)*(INC_SPECIALS="Y"))=0,"",'Dvd Calendar'!$E$2004)))</f>
        <v/>
      </c>
      <c r="D200" s="106">
        <f>IF(EF200="","",IF(ISNUMBER('Dvd Calendar'!$F$2004)=FALSE,"",IF((('Dvd Calendar'!$F$2006=TYPE1)*(TYPE1&lt;&gt;"")+('Dvd Calendar'!$F$2006=TYPE2)*(TYPE2&lt;&gt;"")+('Dvd Calendar'!$F$2006=TYPE3)*(TYPE3&lt;&gt;"")+('Dvd Calendar'!$F$2006=TYPE4)*(TYPE4&lt;&gt;"")+('Dvd Calendar'!$F$2006=SPECIAL_LBL)*(INC_SPECIALS="Y"))=0,"",'Dvd Calendar'!$F$2004)))</f>
        <v/>
      </c>
      <c r="E200" s="106">
        <f>IF(EG200="","",IF(ISNUMBER('Dvd Calendar'!$G$2004)=FALSE,"",IF((('Dvd Calendar'!$G$2006=TYPE1)*(TYPE1&lt;&gt;"")+('Dvd Calendar'!$G$2006=TYPE2)*(TYPE2&lt;&gt;"")+('Dvd Calendar'!$G$2006=TYPE3)*(TYPE3&lt;&gt;"")+('Dvd Calendar'!$G$2006=TYPE4)*(TYPE4&lt;&gt;"")+('Dvd Calendar'!$G$2006=SPECIAL_LBL)*(INC_SPECIALS="Y"))=0,"",'Dvd Calendar'!$G$2004)))</f>
        <v/>
      </c>
      <c r="F200" s="106">
        <f>IF(EH200="","",IF(ISNUMBER('Dvd Calendar'!$H$2004)=FALSE,"",IF((('Dvd Calendar'!$H$2006=TYPE1)*(TYPE1&lt;&gt;"")+('Dvd Calendar'!$H$2006=TYPE2)*(TYPE2&lt;&gt;"")+('Dvd Calendar'!$H$2006=TYPE3)*(TYPE3&lt;&gt;"")+('Dvd Calendar'!$H$2006=TYPE4)*(TYPE4&lt;&gt;"")+('Dvd Calendar'!$H$2006=SPECIAL_LBL)*(INC_SPECIALS="Y"))=0,"",'Dvd Calendar'!$H$2004)))</f>
        <v/>
      </c>
      <c r="G200" s="106">
        <f>IF(EI200="","",IF(ISNUMBER('Dvd Calendar'!$I$2004)=FALSE,"",IF((('Dvd Calendar'!$I$2006=TYPE1)*(TYPE1&lt;&gt;"")+('Dvd Calendar'!$I$2006=TYPE2)*(TYPE2&lt;&gt;"")+('Dvd Calendar'!$I$2006=TYPE3)*(TYPE3&lt;&gt;"")+('Dvd Calendar'!$I$2006=TYPE4)*(TYPE4&lt;&gt;"")+('Dvd Calendar'!$I$2006=SPECIAL_LBL)*(INC_SPECIALS="Y"))=0,"",'Dvd Calendar'!$I$2004)))</f>
        <v/>
      </c>
      <c r="H200" s="106">
        <f>IF(EJ200="","",IF(ISNUMBER('Dvd Calendar'!$J$2004)=FALSE,"",IF((('Dvd Calendar'!$J$2006=TYPE1)*(TYPE1&lt;&gt;"")+('Dvd Calendar'!$J$2006=TYPE2)*(TYPE2&lt;&gt;"")+('Dvd Calendar'!$J$2006=TYPE3)*(TYPE3&lt;&gt;"")+('Dvd Calendar'!$J$2006=TYPE4)*(TYPE4&lt;&gt;"")+('Dvd Calendar'!$J$2006=SPECIAL_LBL)*(INC_SPECIALS="Y"))=0,"",'Dvd Calendar'!$J$2004)))</f>
        <v/>
      </c>
      <c r="I200" s="106">
        <f>IF(EK200="","",IF(ISNUMBER('Dvd Calendar'!$K$2004)=FALSE,"",IF((('Dvd Calendar'!$K$2006=TYPE1)*(TYPE1&lt;&gt;"")+('Dvd Calendar'!$K$2006=TYPE2)*(TYPE2&lt;&gt;"")+('Dvd Calendar'!$K$2006=TYPE3)*(TYPE3&lt;&gt;"")+('Dvd Calendar'!$K$2006=TYPE4)*(TYPE4&lt;&gt;"")+('Dvd Calendar'!$K$2006=SPECIAL_LBL)*(INC_SPECIALS="Y"))=0,"",'Dvd Calendar'!$K$2004)))</f>
        <v/>
      </c>
      <c r="J200" s="106">
        <f>IF(EL200="","",IF(ISNUMBER('Dvd Calendar'!$L$2004)=FALSE,"",IF((('Dvd Calendar'!$L$2006=TYPE1)*(TYPE1&lt;&gt;"")+('Dvd Calendar'!$L$2006=TYPE2)*(TYPE2&lt;&gt;"")+('Dvd Calendar'!$L$2006=TYPE3)*(TYPE3&lt;&gt;"")+('Dvd Calendar'!$L$2006=TYPE4)*(TYPE4&lt;&gt;"")+('Dvd Calendar'!$L$2006=SPECIAL_LBL)*(INC_SPECIALS="Y"))=0,"",'Dvd Calendar'!$L$2004)))</f>
        <v/>
      </c>
      <c r="K200" s="106">
        <f>IF(EM200="","",IF(ISNUMBER('Dvd Calendar'!$M$2004)=FALSE,"",IF((('Dvd Calendar'!$M$2006=TYPE1)*(TYPE1&lt;&gt;"")+('Dvd Calendar'!$M$2006=TYPE2)*(TYPE2&lt;&gt;"")+('Dvd Calendar'!$M$2006=TYPE3)*(TYPE3&lt;&gt;"")+('Dvd Calendar'!$M$2006=TYPE4)*(TYPE4&lt;&gt;"")+('Dvd Calendar'!$M$2006=SPECIAL_LBL)*(INC_SPECIALS="Y"))=0,"",'Dvd Calendar'!$M$2004)))</f>
        <v/>
      </c>
      <c r="L200" s="106">
        <f>IF(EN200="","",IF(ISNUMBER('Dvd Calendar'!$N$2004)=FALSE,"",IF((('Dvd Calendar'!$N$2006=TYPE1)*(TYPE1&lt;&gt;"")+('Dvd Calendar'!$N$2006=TYPE2)*(TYPE2&lt;&gt;"")+('Dvd Calendar'!$N$2006=TYPE3)*(TYPE3&lt;&gt;"")+('Dvd Calendar'!$N$2006=TYPE4)*(TYPE4&lt;&gt;"")+('Dvd Calendar'!$N$2006=SPECIAL_LBL)*(INC_SPECIALS="Y"))=0,"",'Dvd Calendar'!$N$2004)))</f>
        <v/>
      </c>
      <c r="M200" s="106">
        <f>IF(EO200="","",IF(ISNUMBER('Dvd Calendar'!$O$2004)=FALSE,"",IF((('Dvd Calendar'!$O$2006=TYPE1)*(TYPE1&lt;&gt;"")+('Dvd Calendar'!$O$2006=TYPE2)*(TYPE2&lt;&gt;"")+('Dvd Calendar'!$O$2006=TYPE3)*(TYPE3&lt;&gt;"")+('Dvd Calendar'!$O$2006=TYPE4)*(TYPE4&lt;&gt;"")+('Dvd Calendar'!$O$2006=SPECIAL_LBL)*(INC_SPECIALS="Y"))=0,"",'Dvd Calendar'!$O$2004)))</f>
        <v/>
      </c>
      <c r="N200" s="106">
        <f>IF(EP200="","",IF(ISNUMBER('Dvd Calendar'!$P$2004)=FALSE,"",IF((('Dvd Calendar'!$P$2006=TYPE1)*(TYPE1&lt;&gt;"")+('Dvd Calendar'!$P$2006=TYPE2)*(TYPE2&lt;&gt;"")+('Dvd Calendar'!$P$2006=TYPE3)*(TYPE3&lt;&gt;"")+('Dvd Calendar'!$P$2006=TYPE4)*(TYPE4&lt;&gt;"")+('Dvd Calendar'!$P$2006=SPECIAL_LBL)*(INC_SPECIALS="Y"))=0,"",'Dvd Calendar'!$P$2004)))</f>
        <v/>
      </c>
      <c r="O200" s="106">
        <f>IF(EQ200="","",IF(ISNUMBER('Dvd Calendar'!$Q$2004)=FALSE,"",IF((('Dvd Calendar'!$Q$2006=TYPE1)*(TYPE1&lt;&gt;"")+('Dvd Calendar'!$Q$2006=TYPE2)*(TYPE2&lt;&gt;"")+('Dvd Calendar'!$Q$2006=TYPE3)*(TYPE3&lt;&gt;"")+('Dvd Calendar'!$Q$2006=TYPE4)*(TYPE4&lt;&gt;"")+('Dvd Calendar'!$Q$2006=SPECIAL_LBL)*(INC_SPECIALS="Y"))=0,"",'Dvd Calendar'!$Q$2004)))</f>
        <v/>
      </c>
      <c r="P200" s="106">
        <f>IF(ER200="","",IF(ISNUMBER('Dvd Calendar'!$R$2004)=FALSE,"",IF((('Dvd Calendar'!$R$2006=TYPE1)*(TYPE1&lt;&gt;"")+('Dvd Calendar'!$R$2006=TYPE2)*(TYPE2&lt;&gt;"")+('Dvd Calendar'!$R$2006=TYPE3)*(TYPE3&lt;&gt;"")+('Dvd Calendar'!$R$2006=TYPE4)*(TYPE4&lt;&gt;"")+('Dvd Calendar'!$R$2006=SPECIAL_LBL)*(INC_SPECIALS="Y"))=0,"",'Dvd Calendar'!$R$2004)))</f>
        <v/>
      </c>
      <c r="Q200" s="106">
        <f>IF(ES200="","",IF(ISNUMBER('Dvd Calendar'!$S$2004)=FALSE,"",IF((('Dvd Calendar'!$S$2006=TYPE1)*(TYPE1&lt;&gt;"")+('Dvd Calendar'!$S$2006=TYPE2)*(TYPE2&lt;&gt;"")+('Dvd Calendar'!$S$2006=TYPE3)*(TYPE3&lt;&gt;"")+('Dvd Calendar'!$S$2006=TYPE4)*(TYPE4&lt;&gt;"")+('Dvd Calendar'!$S$2006=SPECIAL_LBL)*(INC_SPECIALS="Y"))=0,"",'Dvd Calendar'!$S$2004)))</f>
        <v/>
      </c>
      <c r="R200" s="106">
        <f>IF(ET200="","",IF(ISNUMBER('Dvd Calendar'!$T$2004)=FALSE,"",IF((('Dvd Calendar'!$T$2006=TYPE1)*(TYPE1&lt;&gt;"")+('Dvd Calendar'!$T$2006=TYPE2)*(TYPE2&lt;&gt;"")+('Dvd Calendar'!$T$2006=TYPE3)*(TYPE3&lt;&gt;"")+('Dvd Calendar'!$T$2006=TYPE4)*(TYPE4&lt;&gt;"")+('Dvd Calendar'!$T$2006=SPECIAL_LBL)*(INC_SPECIALS="Y"))=0,"",'Dvd Calendar'!$T$2004)))</f>
        <v/>
      </c>
      <c r="S200" s="106">
        <f>IF(EU200="","",IF(ISNUMBER('Dvd Calendar'!$U$2004)=FALSE,"",IF((('Dvd Calendar'!$U$2006=TYPE1)*(TYPE1&lt;&gt;"")+('Dvd Calendar'!$U$2006=TYPE2)*(TYPE2&lt;&gt;"")+('Dvd Calendar'!$U$2006=TYPE3)*(TYPE3&lt;&gt;"")+('Dvd Calendar'!$U$2006=TYPE4)*(TYPE4&lt;&gt;"")+('Dvd Calendar'!$U$2006=SPECIAL_LBL)*(INC_SPECIALS="Y"))=0,"",'Dvd Calendar'!$U$2004)))</f>
        <v/>
      </c>
      <c r="T200" s="106">
        <f>IF(EV200="","",IF(ISNUMBER('Dvd Calendar'!$V$2004)=FALSE,"",IF((('Dvd Calendar'!$V$2006=TYPE1)*(TYPE1&lt;&gt;"")+('Dvd Calendar'!$V$2006=TYPE2)*(TYPE2&lt;&gt;"")+('Dvd Calendar'!$V$2006=TYPE3)*(TYPE3&lt;&gt;"")+('Dvd Calendar'!$V$2006=TYPE4)*(TYPE4&lt;&gt;"")+('Dvd Calendar'!$V$2006=SPECIAL_LBL)*(INC_SPECIALS="Y"))=0,"",'Dvd Calendar'!$V$2004)))</f>
        <v/>
      </c>
      <c r="U200" s="106">
        <f>IF(EW200="","",IF(ISNUMBER('Dvd Calendar'!$W$2004)=FALSE,"",IF((('Dvd Calendar'!$W$2006=TYPE1)*(TYPE1&lt;&gt;"")+('Dvd Calendar'!$W$2006=TYPE2)*(TYPE2&lt;&gt;"")+('Dvd Calendar'!$W$2006=TYPE3)*(TYPE3&lt;&gt;"")+('Dvd Calendar'!$W$2006=TYPE4)*(TYPE4&lt;&gt;"")+('Dvd Calendar'!$W$2006=SPECIAL_LBL)*(INC_SPECIALS="Y"))=0,"",'Dvd Calendar'!$W$2004)))</f>
        <v/>
      </c>
      <c r="V200" s="106">
        <f>IF(EX200="","",IF(ISNUMBER('Dvd Calendar'!$X$2004)=FALSE,"",IF((('Dvd Calendar'!$X$2006=TYPE1)*(TYPE1&lt;&gt;"")+('Dvd Calendar'!$X$2006=TYPE2)*(TYPE2&lt;&gt;"")+('Dvd Calendar'!$X$2006=TYPE3)*(TYPE3&lt;&gt;"")+('Dvd Calendar'!$X$2006=TYPE4)*(TYPE4&lt;&gt;"")+('Dvd Calendar'!$X$2006=SPECIAL_LBL)*(INC_SPECIALS="Y"))=0,"",'Dvd Calendar'!$X$2004)))</f>
        <v/>
      </c>
      <c r="W200" s="106">
        <f>IF(EY200="","",IF(ISNUMBER('Dvd Calendar'!$Y$2004)=FALSE,"",IF((('Dvd Calendar'!$Y$2006=TYPE1)*(TYPE1&lt;&gt;"")+('Dvd Calendar'!$Y$2006=TYPE2)*(TYPE2&lt;&gt;"")+('Dvd Calendar'!$Y$2006=TYPE3)*(TYPE3&lt;&gt;"")+('Dvd Calendar'!$Y$2006=TYPE4)*(TYPE4&lt;&gt;"")+('Dvd Calendar'!$Y$2006=SPECIAL_LBL)*(INC_SPECIALS="Y"))=0,"",'Dvd Calendar'!$Y$2004)))</f>
        <v/>
      </c>
      <c r="X200" s="106">
        <f>IF(EZ200="","",IF(ISNUMBER('Dvd Calendar'!$Z$2004)=FALSE,"",IF((('Dvd Calendar'!$Z$2006=TYPE1)*(TYPE1&lt;&gt;"")+('Dvd Calendar'!$Z$2006=TYPE2)*(TYPE2&lt;&gt;"")+('Dvd Calendar'!$Z$2006=TYPE3)*(TYPE3&lt;&gt;"")+('Dvd Calendar'!$Z$2006=TYPE4)*(TYPE4&lt;&gt;"")+('Dvd Calendar'!$Z$2006=SPECIAL_LBL)*(INC_SPECIALS="Y"))=0,"",'Dvd Calendar'!$Z$2004)))</f>
        <v/>
      </c>
      <c r="Y200" s="106">
        <f>IF(FA200="","",IF(ISNUMBER('Dvd Calendar'!$AA$2004)=FALSE,"",IF((('Dvd Calendar'!$AA$2006=TYPE1)*(TYPE1&lt;&gt;"")+('Dvd Calendar'!$AA$2006=TYPE2)*(TYPE2&lt;&gt;"")+('Dvd Calendar'!$AA$2006=TYPE3)*(TYPE3&lt;&gt;"")+('Dvd Calendar'!$AA$2006=TYPE4)*(TYPE4&lt;&gt;"")+('Dvd Calendar'!$AA$2006=SPECIAL_LBL)*(INC_SPECIALS="Y"))=0,"",'Dvd Calendar'!$AA$2004)))</f>
        <v/>
      </c>
      <c r="Z200" s="106">
        <f>IF(FB200="","",IF(ISNUMBER('Dvd Calendar'!$AB$2004)=FALSE,"",IF((('Dvd Calendar'!$AB$2006=TYPE1)*(TYPE1&lt;&gt;"")+('Dvd Calendar'!$AB$2006=TYPE2)*(TYPE2&lt;&gt;"")+('Dvd Calendar'!$AB$2006=TYPE3)*(TYPE3&lt;&gt;"")+('Dvd Calendar'!$AB$2006=TYPE4)*(TYPE4&lt;&gt;"")+('Dvd Calendar'!$AB$2006=SPECIAL_LBL)*(INC_SPECIALS="Y"))=0,"",'Dvd Calendar'!$AB$2004)))</f>
        <v/>
      </c>
      <c r="AA200" s="106">
        <f>IF(FC200="","",IF(ISNUMBER('Dvd Calendar'!$AC$2004)=FALSE,"",IF((('Dvd Calendar'!$AC$2006=TYPE1)*(TYPE1&lt;&gt;"")+('Dvd Calendar'!$AC$2006=TYPE2)*(TYPE2&lt;&gt;"")+('Dvd Calendar'!$AC$2006=TYPE3)*(TYPE3&lt;&gt;"")+('Dvd Calendar'!$AC$2006=TYPE4)*(TYPE4&lt;&gt;"")+('Dvd Calendar'!$AC$2006=SPECIAL_LBL)*(INC_SPECIALS="Y"))=0,"",'Dvd Calendar'!$AC$2004)))</f>
        <v/>
      </c>
      <c r="AB200" s="106">
        <f>IF(FD200="","",IF(ISNUMBER('Dvd Calendar'!$AD$2004)=FALSE,"",IF((('Dvd Calendar'!$AD$2006=TYPE1)*(TYPE1&lt;&gt;"")+('Dvd Calendar'!$AD$2006=TYPE2)*(TYPE2&lt;&gt;"")+('Dvd Calendar'!$AD$2006=TYPE3)*(TYPE3&lt;&gt;"")+('Dvd Calendar'!$AD$2006=TYPE4)*(TYPE4&lt;&gt;"")+('Dvd Calendar'!$AD$2006=SPECIAL_LBL)*(INC_SPECIALS="Y"))=0,"",'Dvd Calendar'!$AD$2004)))</f>
        <v/>
      </c>
      <c r="AC200" s="106">
        <f>IF(FE200="","",IF(ISNUMBER('Dvd Calendar'!$AE$2004)=FALSE,"",IF((('Dvd Calendar'!$AE$2006=TYPE1)*(TYPE1&lt;&gt;"")+('Dvd Calendar'!$AE$2006=TYPE2)*(TYPE2&lt;&gt;"")+('Dvd Calendar'!$AE$2006=TYPE3)*(TYPE3&lt;&gt;"")+('Dvd Calendar'!$AE$2006=TYPE4)*(TYPE4&lt;&gt;"")+('Dvd Calendar'!$AE$2006=SPECIAL_LBL)*(INC_SPECIALS="Y"))=0,"",'Dvd Calendar'!$AE$2004)))</f>
        <v/>
      </c>
      <c r="AD200" s="106">
        <f>IF(FF200="","",IF(ISNUMBER('Dvd Calendar'!$AF$2004)=FALSE,"",IF((('Dvd Calendar'!$AF$2006=TYPE1)*(TYPE1&lt;&gt;"")+('Dvd Calendar'!$AF$2006=TYPE2)*(TYPE2&lt;&gt;"")+('Dvd Calendar'!$AF$2006=TYPE3)*(TYPE3&lt;&gt;"")+('Dvd Calendar'!$AF$2006=TYPE4)*(TYPE4&lt;&gt;"")+('Dvd Calendar'!$AF$2006=SPECIAL_LBL)*(INC_SPECIALS="Y"))=0,"",'Dvd Calendar'!$AF$2004)))</f>
        <v/>
      </c>
      <c r="AE200" s="106">
        <f>IF(FG200="","",IF(ISNUMBER('Dvd Calendar'!$AG$2004)=FALSE,"",IF((('Dvd Calendar'!$AG$2006=TYPE1)*(TYPE1&lt;&gt;"")+('Dvd Calendar'!$AG$2006=TYPE2)*(TYPE2&lt;&gt;"")+('Dvd Calendar'!$AG$2006=TYPE3)*(TYPE3&lt;&gt;"")+('Dvd Calendar'!$AG$2006=TYPE4)*(TYPE4&lt;&gt;"")+('Dvd Calendar'!$AG$2006=SPECIAL_LBL)*(INC_SPECIALS="Y"))=0,"",'Dvd Calendar'!$AG$2004)))</f>
        <v/>
      </c>
      <c r="AF200" s="106">
        <f>IF(FH200="","",IF(ISNUMBER('Dvd Calendar'!$AH$2004)=FALSE,"",IF((('Dvd Calendar'!$AH$2006=TYPE1)*(TYPE1&lt;&gt;"")+('Dvd Calendar'!$AH$2006=TYPE2)*(TYPE2&lt;&gt;"")+('Dvd Calendar'!$AH$2006=TYPE3)*(TYPE3&lt;&gt;"")+('Dvd Calendar'!$AH$2006=TYPE4)*(TYPE4&lt;&gt;"")+('Dvd Calendar'!$AH$2006=SPECIAL_LBL)*(INC_SPECIALS="Y"))=0,"",'Dvd Calendar'!$AH$2004)))</f>
        <v/>
      </c>
      <c r="AG200" s="106">
        <f>IF(FI200="","",IF(ISNUMBER('Dvd Calendar'!$AI$2004)=FALSE,"",IF((('Dvd Calendar'!$AI$2006=TYPE1)*(TYPE1&lt;&gt;"")+('Dvd Calendar'!$AI$2006=TYPE2)*(TYPE2&lt;&gt;"")+('Dvd Calendar'!$AI$2006=TYPE3)*(TYPE3&lt;&gt;"")+('Dvd Calendar'!$AI$2006=TYPE4)*(TYPE4&lt;&gt;"")+('Dvd Calendar'!$AI$2006=SPECIAL_LBL)*(INC_SPECIALS="Y"))=0,"",'Dvd Calendar'!$AI$2004)))</f>
        <v/>
      </c>
      <c r="AH200" s="106">
        <f>IF(FJ200="","",IF(ISNUMBER('Dvd Calendar'!$AJ$2004)=FALSE,"",IF((('Dvd Calendar'!$AJ$2006=TYPE1)*(TYPE1&lt;&gt;"")+('Dvd Calendar'!$AJ$2006=TYPE2)*(TYPE2&lt;&gt;"")+('Dvd Calendar'!$AJ$2006=TYPE3)*(TYPE3&lt;&gt;"")+('Dvd Calendar'!$AJ$2006=TYPE4)*(TYPE4&lt;&gt;"")+('Dvd Calendar'!$AJ$2006=SPECIAL_LBL)*(INC_SPECIALS="Y"))=0,"",'Dvd Calendar'!$AJ$2004)))</f>
        <v/>
      </c>
      <c r="AI200" s="106">
        <f>IF(FK200="","",IF(ISNUMBER('Dvd Calendar'!$AK$2004)=FALSE,"",IF((('Dvd Calendar'!$AK$2006=TYPE1)*(TYPE1&lt;&gt;"")+('Dvd Calendar'!$AK$2006=TYPE2)*(TYPE2&lt;&gt;"")+('Dvd Calendar'!$AK$2006=TYPE3)*(TYPE3&lt;&gt;"")+('Dvd Calendar'!$AK$2006=TYPE4)*(TYPE4&lt;&gt;"")+('Dvd Calendar'!$AK$2006=SPECIAL_LBL)*(INC_SPECIALS="Y"))=0,"",'Dvd Calendar'!$AK$2004)))</f>
        <v/>
      </c>
      <c r="AJ200" s="106">
        <f>IF(FL200="","",IF(ISNUMBER('Dvd Calendar'!$AL$2004)=FALSE,"",IF((('Dvd Calendar'!$AL$2006=TYPE1)*(TYPE1&lt;&gt;"")+('Dvd Calendar'!$AL$2006=TYPE2)*(TYPE2&lt;&gt;"")+('Dvd Calendar'!$AL$2006=TYPE3)*(TYPE3&lt;&gt;"")+('Dvd Calendar'!$AL$2006=TYPE4)*(TYPE4&lt;&gt;"")+('Dvd Calendar'!$AL$2006=SPECIAL_LBL)*(INC_SPECIALS="Y"))=0,"",'Dvd Calendar'!$AL$2004)))</f>
        <v/>
      </c>
      <c r="AK200" s="106">
        <f>IF(FM200="","",IF(ISNUMBER('Dvd Calendar'!$AM$2004)=FALSE,"",IF((('Dvd Calendar'!$AM$2006=TYPE1)*(TYPE1&lt;&gt;"")+('Dvd Calendar'!$AM$2006=TYPE2)*(TYPE2&lt;&gt;"")+('Dvd Calendar'!$AM$2006=TYPE3)*(TYPE3&lt;&gt;"")+('Dvd Calendar'!$AM$2006=TYPE4)*(TYPE4&lt;&gt;"")+('Dvd Calendar'!$AM$2006=SPECIAL_LBL)*(INC_SPECIALS="Y"))=0,"",'Dvd Calendar'!$AM$2004)))</f>
        <v/>
      </c>
      <c r="AL200" s="106">
        <f>IF(FN200="","",IF(ISNUMBER('Dvd Calendar'!$AN$2004)=FALSE,"",IF((('Dvd Calendar'!$AN$2006=TYPE1)*(TYPE1&lt;&gt;"")+('Dvd Calendar'!$AN$2006=TYPE2)*(TYPE2&lt;&gt;"")+('Dvd Calendar'!$AN$2006=TYPE3)*(TYPE3&lt;&gt;"")+('Dvd Calendar'!$AN$2006=TYPE4)*(TYPE4&lt;&gt;"")+('Dvd Calendar'!$AN$2006=SPECIAL_LBL)*(INC_SPECIALS="Y"))=0,"",'Dvd Calendar'!$AN$2004)))</f>
        <v/>
      </c>
      <c r="AM200" s="106">
        <f>IF(FO200="","",IF(ISNUMBER('Dvd Calendar'!$AO$2004)=FALSE,"",IF((('Dvd Calendar'!$AO$2006=TYPE1)*(TYPE1&lt;&gt;"")+('Dvd Calendar'!$AO$2006=TYPE2)*(TYPE2&lt;&gt;"")+('Dvd Calendar'!$AO$2006=TYPE3)*(TYPE3&lt;&gt;"")+('Dvd Calendar'!$AO$2006=TYPE4)*(TYPE4&lt;&gt;"")+('Dvd Calendar'!$AO$2006=SPECIAL_LBL)*(INC_SPECIALS="Y"))=0,"",'Dvd Calendar'!$AO$2004)))</f>
        <v/>
      </c>
      <c r="AN200" s="106">
        <f>IF(FP200="","",IF(ISNUMBER('Dvd Calendar'!$AP$2004)=FALSE,"",IF((('Dvd Calendar'!$AP$2006=TYPE1)*(TYPE1&lt;&gt;"")+('Dvd Calendar'!$AP$2006=TYPE2)*(TYPE2&lt;&gt;"")+('Dvd Calendar'!$AP$2006=TYPE3)*(TYPE3&lt;&gt;"")+('Dvd Calendar'!$AP$2006=TYPE4)*(TYPE4&lt;&gt;"")+('Dvd Calendar'!$AP$2006=SPECIAL_LBL)*(INC_SPECIALS="Y"))=0,"",'Dvd Calendar'!$AP$2004)))</f>
        <v/>
      </c>
      <c r="AO200" s="106">
        <f>IF(FQ200="","",IF(ISNUMBER('Dvd Calendar'!$AQ$2004)=FALSE,"",IF((('Dvd Calendar'!$AQ$2006=TYPE1)*(TYPE1&lt;&gt;"")+('Dvd Calendar'!$AQ$2006=TYPE2)*(TYPE2&lt;&gt;"")+('Dvd Calendar'!$AQ$2006=TYPE3)*(TYPE3&lt;&gt;"")+('Dvd Calendar'!$AQ$2006=TYPE4)*(TYPE4&lt;&gt;"")+('Dvd Calendar'!$AQ$2006=SPECIAL_LBL)*(INC_SPECIALS="Y"))=0,"",'Dvd Calendar'!$AQ$2004)))</f>
        <v/>
      </c>
      <c r="AP200" s="106">
        <f>IF(FR200="","",IF(ISNUMBER('Dvd Calendar'!$AR$2004)=FALSE,"",IF((('Dvd Calendar'!$AR$2006=TYPE1)*(TYPE1&lt;&gt;"")+('Dvd Calendar'!$AR$2006=TYPE2)*(TYPE2&lt;&gt;"")+('Dvd Calendar'!$AR$2006=TYPE3)*(TYPE3&lt;&gt;"")+('Dvd Calendar'!$AR$2006=TYPE4)*(TYPE4&lt;&gt;"")+('Dvd Calendar'!$AR$2006=SPECIAL_LBL)*(INC_SPECIALS="Y"))=0,"",'Dvd Calendar'!$AR$2004)))</f>
        <v/>
      </c>
      <c r="AQ200" s="106">
        <f>IF(FS200="","",IF(ISNUMBER('Dvd Calendar'!$E$2009)=FALSE,"",'Dvd Calendar'!$E$2009))</f>
        <v/>
      </c>
      <c r="AR200" s="106">
        <f>IF(FT200="","",IF(ISNUMBER('Dvd Calendar'!$F$2009)=FALSE,"",'Dvd Calendar'!$F$2009))</f>
        <v/>
      </c>
      <c r="AS200" s="106">
        <f>IF(FU200="","",IF(ISNUMBER('Dvd Calendar'!$G$2009)=FALSE,"",'Dvd Calendar'!$G$2009))</f>
        <v/>
      </c>
      <c r="AT200" s="106">
        <f>IF(FV200="","",IF(ISNUMBER('Dvd Calendar'!$H$2009)=FALSE,"",'Dvd Calendar'!$H$2009))</f>
        <v/>
      </c>
      <c r="AU200" s="106">
        <f>IF(FW200="","",IF(ISNUMBER('Dvd Calendar'!$I$2009)=FALSE,"",'Dvd Calendar'!$I$2009))</f>
        <v/>
      </c>
      <c r="AV200" s="106">
        <f>IF(FX200="","",IF(ISNUMBER('Dvd Calendar'!$J$2009)=FALSE,"",'Dvd Calendar'!$J$2009))</f>
        <v/>
      </c>
      <c r="AW200" s="106">
        <f>IF(FY200="","",IF(ISNUMBER('Dvd Calendar'!$K$2009)=FALSE,"",'Dvd Calendar'!$K$2009))</f>
        <v/>
      </c>
      <c r="AX200" s="106">
        <f>IF(FZ200="","",IF(ISNUMBER('Dvd Calendar'!$L$2009)=FALSE,"",'Dvd Calendar'!$L$2009))</f>
        <v/>
      </c>
      <c r="AY200" s="106">
        <f>IF(GA200="","",IF(ISNUMBER('Dvd Calendar'!$M$2009)=FALSE,"",'Dvd Calendar'!$M$2009))</f>
        <v/>
      </c>
      <c r="AZ200" s="106">
        <f>IF(GB200="","",IF(ISNUMBER('Dvd Calendar'!$N$2009)=FALSE,"",'Dvd Calendar'!$N$2009))</f>
        <v/>
      </c>
      <c r="BA200" s="106">
        <f>IF(GC200="","",IF(ISNUMBER('Dvd Calendar'!$O$2009)=FALSE,"",'Dvd Calendar'!$O$2009))</f>
        <v/>
      </c>
      <c r="BB200" s="106">
        <f>IF(GD200="","",IF(ISNUMBER('Dvd Calendar'!$P$2009)=FALSE,"",'Dvd Calendar'!$P$2009))</f>
        <v/>
      </c>
      <c r="BC200" s="106">
        <f>IF(GE200="","",IF(ISNUMBER('Dvd Calendar'!$Q$2009)=FALSE,"",'Dvd Calendar'!$Q$2009))</f>
        <v/>
      </c>
      <c r="BD200" s="106">
        <f>IF(GF200="","",IF(ISNUMBER('Dvd Calendar'!$R$2009)=FALSE,"",'Dvd Calendar'!$R$2009))</f>
        <v/>
      </c>
      <c r="BE200" s="106">
        <f>IF(GG200="","",IF(ISNUMBER('Dvd Calendar'!$S$2009)=FALSE,"",'Dvd Calendar'!$S$2009))</f>
        <v/>
      </c>
      <c r="BF200" s="106">
        <f>IF(GH200="","",IF(ISNUMBER('Dvd Calendar'!$T$2009)=FALSE,"",'Dvd Calendar'!$T$2009))</f>
        <v/>
      </c>
      <c r="BG200" s="106">
        <f>IF(GI200="","",IF(ISNUMBER('Dvd Calendar'!$U$2009)=FALSE,"",'Dvd Calendar'!$U$2009))</f>
        <v/>
      </c>
      <c r="BH200" s="106">
        <f>IF(GJ200="","",IF(ISNUMBER('Dvd Calendar'!$V$2009)=FALSE,"",'Dvd Calendar'!$V$2009))</f>
        <v/>
      </c>
      <c r="BI200" s="106">
        <f>IF(GK200="","",IF(ISNUMBER('Dvd Calendar'!$W$2009)=FALSE,"",'Dvd Calendar'!$W$2009))</f>
        <v/>
      </c>
      <c r="BJ200" s="106">
        <f>IF(GL200="","",IF(ISNUMBER('Dvd Calendar'!$X$2009)=FALSE,"",'Dvd Calendar'!$X$2009))</f>
        <v/>
      </c>
      <c r="BK200" s="106">
        <f>IF(GM200="","",IF(ISNUMBER('Dvd Calendar'!$Y$2009)=FALSE,"",'Dvd Calendar'!$Y$2009))</f>
        <v/>
      </c>
      <c r="BL200" s="106">
        <f>IF(GN200="","",IF(ISNUMBER('Dvd Calendar'!$Z$2009)=FALSE,"",'Dvd Calendar'!$Z$2009))</f>
        <v/>
      </c>
      <c r="BM200" s="106">
        <f>IF(GO200="","",IF(ISNUMBER('Dvd Calendar'!$AA$2009)=FALSE,"",'Dvd Calendar'!$AA$2009))</f>
        <v/>
      </c>
      <c r="BN200" s="106">
        <f>IF(GP200="","",IF(ISNUMBER('Dvd Calendar'!$AB$2009)=FALSE,"",'Dvd Calendar'!$AB$2009))</f>
        <v/>
      </c>
      <c r="BO200" s="106">
        <f>IF(GQ200="","",IF(ISNUMBER('Dvd Calendar'!$AC$2009)=FALSE,"",'Dvd Calendar'!$AC$2009))</f>
        <v/>
      </c>
      <c r="BQ200" s="106">
        <f>IF(C200="","",IFERROR(C200*HSCEI!$B$47*HSCEI!$G$47/HSCEI!$B$3,""))</f>
        <v/>
      </c>
      <c r="BR200" s="106">
        <f>IF(D200="","",IFERROR(D200*HSCEI!$B$47*HSCEI!$G$47/HSCEI!$B$3,""))</f>
        <v/>
      </c>
      <c r="BS200" s="106">
        <f>IF(E200="","",IFERROR(E200*HSCEI!$B$47*HSCEI!$G$47/HSCEI!$B$3,""))</f>
        <v/>
      </c>
      <c r="BT200" s="106">
        <f>IF(F200="","",IFERROR(F200*HSCEI!$B$47*HSCEI!$G$47/HSCEI!$B$3,""))</f>
        <v/>
      </c>
      <c r="BU200" s="106">
        <f>IF(G200="","",IFERROR(G200*HSCEI!$B$47*HSCEI!$G$47/HSCEI!$B$3,""))</f>
        <v/>
      </c>
      <c r="BV200" s="106">
        <f>IF(H200="","",IFERROR(H200*HSCEI!$B$47*HSCEI!$G$47/HSCEI!$B$3,""))</f>
        <v/>
      </c>
      <c r="BW200" s="106">
        <f>IF(I200="","",IFERROR(I200*HSCEI!$B$47*HSCEI!$G$47/HSCEI!$B$3,""))</f>
        <v/>
      </c>
      <c r="BX200" s="106">
        <f>IF(J200="","",IFERROR(J200*HSCEI!$B$47*HSCEI!$G$47/HSCEI!$B$3,""))</f>
        <v/>
      </c>
      <c r="BY200" s="106">
        <f>IF(K200="","",IFERROR(K200*HSCEI!$B$47*HSCEI!$G$47/HSCEI!$B$3,""))</f>
        <v/>
      </c>
      <c r="BZ200" s="106">
        <f>IF(L200="","",IFERROR(L200*HSCEI!$B$47*HSCEI!$G$47/HSCEI!$B$3,""))</f>
        <v/>
      </c>
      <c r="CA200" s="106">
        <f>IF(M200="","",IFERROR(M200*HSCEI!$B$47*HSCEI!$G$47/HSCEI!$B$3,""))</f>
        <v/>
      </c>
      <c r="CB200" s="106">
        <f>IF(N200="","",IFERROR(N200*HSCEI!$B$47*HSCEI!$G$47/HSCEI!$B$3,""))</f>
        <v/>
      </c>
      <c r="CC200" s="106">
        <f>IF(O200="","",IFERROR(O200*HSCEI!$B$47*HSCEI!$G$47/HSCEI!$B$3,""))</f>
        <v/>
      </c>
      <c r="CD200" s="106">
        <f>IF(P200="","",IFERROR(P200*HSCEI!$B$47*HSCEI!$G$47/HSCEI!$B$3,""))</f>
        <v/>
      </c>
      <c r="CE200" s="106">
        <f>IF(Q200="","",IFERROR(Q200*HSCEI!$B$47*HSCEI!$G$47/HSCEI!$B$3,""))</f>
        <v/>
      </c>
      <c r="CF200" s="106">
        <f>IF(R200="","",IFERROR(R200*HSCEI!$B$47*HSCEI!$G$47/HSCEI!$B$3,""))</f>
        <v/>
      </c>
      <c r="CG200" s="106">
        <f>IF(S200="","",IFERROR(S200*HSCEI!$B$47*HSCEI!$G$47/HSCEI!$B$3,""))</f>
        <v/>
      </c>
      <c r="CH200" s="106">
        <f>IF(T200="","",IFERROR(T200*HSCEI!$B$47*HSCEI!$G$47/HSCEI!$B$3,""))</f>
        <v/>
      </c>
      <c r="CI200" s="106">
        <f>IF(U200="","",IFERROR(U200*HSCEI!$B$47*HSCEI!$G$47/HSCEI!$B$3,""))</f>
        <v/>
      </c>
      <c r="CJ200" s="106">
        <f>IF(V200="","",IFERROR(V200*HSCEI!$B$47*HSCEI!$G$47/HSCEI!$B$3,""))</f>
        <v/>
      </c>
      <c r="CK200" s="106">
        <f>IF(W200="","",IFERROR(W200*HSCEI!$B$47*HSCEI!$G$47/HSCEI!$B$3,""))</f>
        <v/>
      </c>
      <c r="CL200" s="106">
        <f>IF(X200="","",IFERROR(X200*HSCEI!$B$47*HSCEI!$G$47/HSCEI!$B$3,""))</f>
        <v/>
      </c>
      <c r="CM200" s="106">
        <f>IF(Y200="","",IFERROR(Y200*HSCEI!$B$47*HSCEI!$G$47/HSCEI!$B$3,""))</f>
        <v/>
      </c>
      <c r="CN200" s="106">
        <f>IF(Z200="","",IFERROR(Z200*HSCEI!$B$47*HSCEI!$G$47/HSCEI!$B$3,""))</f>
        <v/>
      </c>
      <c r="CO200" s="106">
        <f>IF(AA200="","",IFERROR(AA200*HSCEI!$B$47*HSCEI!$G$47/HSCEI!$B$3,""))</f>
        <v/>
      </c>
      <c r="CP200" s="106">
        <f>IF(AB200="","",IFERROR(AB200*HSCEI!$B$47*HSCEI!$G$47/HSCEI!$B$3,""))</f>
        <v/>
      </c>
      <c r="CQ200" s="106">
        <f>IF(AC200="","",IFERROR(AC200*HSCEI!$B$47*HSCEI!$G$47/HSCEI!$B$3,""))</f>
        <v/>
      </c>
      <c r="CR200" s="106">
        <f>IF(AD200="","",IFERROR(AD200*HSCEI!$B$47*HSCEI!$G$47/HSCEI!$B$3,""))</f>
        <v/>
      </c>
      <c r="CS200" s="106">
        <f>IF(AE200="","",IFERROR(AE200*HSCEI!$B$47*HSCEI!$G$47/HSCEI!$B$3,""))</f>
        <v/>
      </c>
      <c r="CT200" s="106">
        <f>IF(AF200="","",IFERROR(AF200*HSCEI!$B$47*HSCEI!$G$47/HSCEI!$B$3,""))</f>
        <v/>
      </c>
      <c r="CU200" s="106">
        <f>IF(AG200="","",IFERROR(AG200*HSCEI!$B$47*HSCEI!$G$47/HSCEI!$B$3,""))</f>
        <v/>
      </c>
      <c r="CV200" s="106">
        <f>IF(AH200="","",IFERROR(AH200*HSCEI!$B$47*HSCEI!$G$47/HSCEI!$B$3,""))</f>
        <v/>
      </c>
      <c r="CW200" s="106">
        <f>IF(AI200="","",IFERROR(AI200*HSCEI!$B$47*HSCEI!$G$47/HSCEI!$B$3,""))</f>
        <v/>
      </c>
      <c r="CX200" s="106">
        <f>IF(AJ200="","",IFERROR(AJ200*HSCEI!$B$47*HSCEI!$G$47/HSCEI!$B$3,""))</f>
        <v/>
      </c>
      <c r="CY200" s="106">
        <f>IF(AK200="","",IFERROR(AK200*HSCEI!$B$47*HSCEI!$G$47/HSCEI!$B$3,""))</f>
        <v/>
      </c>
      <c r="CZ200" s="106">
        <f>IF(AL200="","",IFERROR(AL200*HSCEI!$B$47*HSCEI!$G$47/HSCEI!$B$3,""))</f>
        <v/>
      </c>
      <c r="DA200" s="106">
        <f>IF(AM200="","",IFERROR(AM200*HSCEI!$B$47*HSCEI!$G$47/HSCEI!$B$3,""))</f>
        <v/>
      </c>
      <c r="DB200" s="106">
        <f>IF(AN200="","",IFERROR(AN200*HSCEI!$B$47*HSCEI!$G$47/HSCEI!$B$3,""))</f>
        <v/>
      </c>
      <c r="DC200" s="106">
        <f>IF(AO200="","",IFERROR(AO200*HSCEI!$B$47*HSCEI!$G$47/HSCEI!$B$3,""))</f>
        <v/>
      </c>
      <c r="DD200" s="106">
        <f>IF(AP200="","",IFERROR(AP200*HSCEI!$B$47*HSCEI!$G$47/HSCEI!$B$3,""))</f>
        <v/>
      </c>
      <c r="DE200" s="106">
        <f>IF(AQ200="","",IFERROR(AQ200*HSCEI!$B$47*HSCEI!$G$47/HSCEI!$B$3,""))</f>
        <v/>
      </c>
      <c r="DF200" s="106">
        <f>IF(AR200="","",IFERROR(AR200*HSCEI!$B$47*HSCEI!$G$47/HSCEI!$B$3,""))</f>
        <v/>
      </c>
      <c r="DG200" s="106">
        <f>IF(AS200="","",IFERROR(AS200*HSCEI!$B$47*HSCEI!$G$47/HSCEI!$B$3,""))</f>
        <v/>
      </c>
      <c r="DH200" s="106">
        <f>IF(AT200="","",IFERROR(AT200*HSCEI!$B$47*HSCEI!$G$47/HSCEI!$B$3,""))</f>
        <v/>
      </c>
      <c r="DI200" s="106">
        <f>IF(AU200="","",IFERROR(AU200*HSCEI!$B$47*HSCEI!$G$47/HSCEI!$B$3,""))</f>
        <v/>
      </c>
      <c r="DJ200" s="106">
        <f>IF(AV200="","",IFERROR(AV200*HSCEI!$B$47*HSCEI!$G$47/HSCEI!$B$3,""))</f>
        <v/>
      </c>
      <c r="DK200" s="106">
        <f>IF(AW200="","",IFERROR(AW200*HSCEI!$B$47*HSCEI!$G$47/HSCEI!$B$3,""))</f>
        <v/>
      </c>
      <c r="DL200" s="106">
        <f>IF(AX200="","",IFERROR(AX200*HSCEI!$B$47*HSCEI!$G$47/HSCEI!$B$3,""))</f>
        <v/>
      </c>
      <c r="DM200" s="106">
        <f>IF(AY200="","",IFERROR(AY200*HSCEI!$B$47*HSCEI!$G$47/HSCEI!$B$3,""))</f>
        <v/>
      </c>
      <c r="DN200" s="106">
        <f>IF(AZ200="","",IFERROR(AZ200*HSCEI!$B$47*HSCEI!$G$47/HSCEI!$B$3,""))</f>
        <v/>
      </c>
      <c r="DO200" s="106">
        <f>IF(BA200="","",IFERROR(BA200*HSCEI!$B$47*HSCEI!$G$47/HSCEI!$B$3,""))</f>
        <v/>
      </c>
      <c r="DP200" s="106">
        <f>IF(BB200="","",IFERROR(BB200*HSCEI!$B$47*HSCEI!$G$47/HSCEI!$B$3,""))</f>
        <v/>
      </c>
      <c r="DQ200" s="106">
        <f>IF(BC200="","",IFERROR(BC200*HSCEI!$B$47*HSCEI!$G$47/HSCEI!$B$3,""))</f>
        <v/>
      </c>
      <c r="DR200" s="106">
        <f>IF(BD200="","",IFERROR(BD200*HSCEI!$B$47*HSCEI!$G$47/HSCEI!$B$3,""))</f>
        <v/>
      </c>
      <c r="DS200" s="106">
        <f>IF(BE200="","",IFERROR(BE200*HSCEI!$B$47*HSCEI!$G$47/HSCEI!$B$3,""))</f>
        <v/>
      </c>
      <c r="DT200" s="106">
        <f>IF(BF200="","",IFERROR(BF200*HSCEI!$B$47*HSCEI!$G$47/HSCEI!$B$3,""))</f>
        <v/>
      </c>
      <c r="DU200" s="106">
        <f>IF(BG200="","",IFERROR(BG200*HSCEI!$B$47*HSCEI!$G$47/HSCEI!$B$3,""))</f>
        <v/>
      </c>
      <c r="DV200" s="106">
        <f>IF(BH200="","",IFERROR(BH200*HSCEI!$B$47*HSCEI!$G$47/HSCEI!$B$3,""))</f>
        <v/>
      </c>
      <c r="DW200" s="106">
        <f>IF(BI200="","",IFERROR(BI200*HSCEI!$B$47*HSCEI!$G$47/HSCEI!$B$3,""))</f>
        <v/>
      </c>
      <c r="DX200" s="106">
        <f>IF(BJ200="","",IFERROR(BJ200*HSCEI!$B$47*HSCEI!$G$47/HSCEI!$B$3,""))</f>
        <v/>
      </c>
      <c r="DY200" s="106">
        <f>IF(BK200="","",IFERROR(BK200*HSCEI!$B$47*HSCEI!$G$47/HSCEI!$B$3,""))</f>
        <v/>
      </c>
      <c r="DZ200" s="106">
        <f>IF(BL200="","",IFERROR(BL200*HSCEI!$B$47*HSCEI!$G$47/HSCEI!$B$3,""))</f>
        <v/>
      </c>
      <c r="EA200" s="106">
        <f>IF(BM200="","",IFERROR(BM200*HSCEI!$B$47*HSCEI!$G$47/HSCEI!$B$3,""))</f>
        <v/>
      </c>
      <c r="EB200" s="106">
        <f>IF(BN200="","",IFERROR(BN200*HSCEI!$B$47*HSCEI!$G$47/HSCEI!$B$3,""))</f>
        <v/>
      </c>
      <c r="EC200" s="106">
        <f>IF(BO200="","",IFERROR(BO200*HSCEI!$B$47*HSCEI!$G$47/HSCEI!$B$3,""))</f>
        <v/>
      </c>
      <c r="EE200" s="35">
        <f>IF(N('Dvd Calendar'!$E$2001)=0,"",IF(('Dvd Calendar'!$E$2001&gt;=GRID_FROM)*('Dvd Calendar'!$E$2001&lt;=GRID_TO)*('Dvd Calendar'!$E$2001&lt;=VAL_DATE)=0,"",'Dvd Calendar'!$E$2001*1000000000+ISNUMBER('Dvd Calendar'!$E$2004)*100000000+('Dvd Calendar'!$E$2006=SPECIAL_LBL)*10000000+0*1000000+41*1000+1))</f>
        <v/>
      </c>
      <c r="EF200" s="35">
        <f>IF(N('Dvd Calendar'!$F$2001)=0,"",IF(('Dvd Calendar'!$F$2001&gt;=GRID_FROM)*('Dvd Calendar'!$F$2001&lt;=GRID_TO)*('Dvd Calendar'!$F$2001&lt;=VAL_DATE)=0,"",'Dvd Calendar'!$F$2001*1000000000+ISNUMBER('Dvd Calendar'!$F$2004)*100000000+('Dvd Calendar'!$F$2006=SPECIAL_LBL)*10000000+0*1000000+41*1000+2))</f>
        <v/>
      </c>
      <c r="EG200" s="35">
        <f>IF(N('Dvd Calendar'!$G$2001)=0,"",IF(('Dvd Calendar'!$G$2001&gt;=GRID_FROM)*('Dvd Calendar'!$G$2001&lt;=GRID_TO)*('Dvd Calendar'!$G$2001&lt;=VAL_DATE)=0,"",'Dvd Calendar'!$G$2001*1000000000+ISNUMBER('Dvd Calendar'!$G$2004)*100000000+('Dvd Calendar'!$G$2006=SPECIAL_LBL)*10000000+0*1000000+41*1000+3))</f>
        <v/>
      </c>
      <c r="EH200" s="35">
        <f>IF(N('Dvd Calendar'!$H$2001)=0,"",IF(('Dvd Calendar'!$H$2001&gt;=GRID_FROM)*('Dvd Calendar'!$H$2001&lt;=GRID_TO)*('Dvd Calendar'!$H$2001&lt;=VAL_DATE)=0,"",'Dvd Calendar'!$H$2001*1000000000+ISNUMBER('Dvd Calendar'!$H$2004)*100000000+('Dvd Calendar'!$H$2006=SPECIAL_LBL)*10000000+0*1000000+41*1000+4))</f>
        <v/>
      </c>
      <c r="EI200" s="35">
        <f>IF(N('Dvd Calendar'!$I$2001)=0,"",IF(('Dvd Calendar'!$I$2001&gt;=GRID_FROM)*('Dvd Calendar'!$I$2001&lt;=GRID_TO)*('Dvd Calendar'!$I$2001&lt;=VAL_DATE)=0,"",'Dvd Calendar'!$I$2001*1000000000+ISNUMBER('Dvd Calendar'!$I$2004)*100000000+('Dvd Calendar'!$I$2006=SPECIAL_LBL)*10000000+0*1000000+41*1000+5))</f>
        <v/>
      </c>
      <c r="EJ200" s="35">
        <f>IF(N('Dvd Calendar'!$J$2001)=0,"",IF(('Dvd Calendar'!$J$2001&gt;=GRID_FROM)*('Dvd Calendar'!$J$2001&lt;=GRID_TO)*('Dvd Calendar'!$J$2001&lt;=VAL_DATE)=0,"",'Dvd Calendar'!$J$2001*1000000000+ISNUMBER('Dvd Calendar'!$J$2004)*100000000+('Dvd Calendar'!$J$2006=SPECIAL_LBL)*10000000+0*1000000+41*1000+6))</f>
        <v/>
      </c>
      <c r="EK200" s="35">
        <f>IF(N('Dvd Calendar'!$K$2001)=0,"",IF(('Dvd Calendar'!$K$2001&gt;=GRID_FROM)*('Dvd Calendar'!$K$2001&lt;=GRID_TO)*('Dvd Calendar'!$K$2001&lt;=VAL_DATE)=0,"",'Dvd Calendar'!$K$2001*1000000000+ISNUMBER('Dvd Calendar'!$K$2004)*100000000+('Dvd Calendar'!$K$2006=SPECIAL_LBL)*10000000+0*1000000+41*1000+7))</f>
        <v/>
      </c>
      <c r="EL200" s="35">
        <f>IF(N('Dvd Calendar'!$L$2001)=0,"",IF(('Dvd Calendar'!$L$2001&gt;=GRID_FROM)*('Dvd Calendar'!$L$2001&lt;=GRID_TO)*('Dvd Calendar'!$L$2001&lt;=VAL_DATE)=0,"",'Dvd Calendar'!$L$2001*1000000000+ISNUMBER('Dvd Calendar'!$L$2004)*100000000+('Dvd Calendar'!$L$2006=SPECIAL_LBL)*10000000+0*1000000+41*1000+8))</f>
        <v/>
      </c>
      <c r="EM200" s="35">
        <f>IF(N('Dvd Calendar'!$M$2001)=0,"",IF(('Dvd Calendar'!$M$2001&gt;=GRID_FROM)*('Dvd Calendar'!$M$2001&lt;=GRID_TO)*('Dvd Calendar'!$M$2001&lt;=VAL_DATE)=0,"",'Dvd Calendar'!$M$2001*1000000000+ISNUMBER('Dvd Calendar'!$M$2004)*100000000+('Dvd Calendar'!$M$2006=SPECIAL_LBL)*10000000+0*1000000+41*1000+9))</f>
        <v/>
      </c>
      <c r="EN200" s="35">
        <f>IF(N('Dvd Calendar'!$N$2001)=0,"",IF(('Dvd Calendar'!$N$2001&gt;=GRID_FROM)*('Dvd Calendar'!$N$2001&lt;=GRID_TO)*('Dvd Calendar'!$N$2001&lt;=VAL_DATE)=0,"",'Dvd Calendar'!$N$2001*1000000000+ISNUMBER('Dvd Calendar'!$N$2004)*100000000+('Dvd Calendar'!$N$2006=SPECIAL_LBL)*10000000+0*1000000+41*1000+10))</f>
        <v/>
      </c>
      <c r="EO200" s="35">
        <f>IF(N('Dvd Calendar'!$O$2001)=0,"",IF(('Dvd Calendar'!$O$2001&gt;=GRID_FROM)*('Dvd Calendar'!$O$2001&lt;=GRID_TO)*('Dvd Calendar'!$O$2001&lt;=VAL_DATE)=0,"",'Dvd Calendar'!$O$2001*1000000000+ISNUMBER('Dvd Calendar'!$O$2004)*100000000+('Dvd Calendar'!$O$2006=SPECIAL_LBL)*10000000+0*1000000+41*1000+11))</f>
        <v/>
      </c>
      <c r="EP200" s="35">
        <f>IF(N('Dvd Calendar'!$P$2001)=0,"",IF(('Dvd Calendar'!$P$2001&gt;=GRID_FROM)*('Dvd Calendar'!$P$2001&lt;=GRID_TO)*('Dvd Calendar'!$P$2001&lt;=VAL_DATE)=0,"",'Dvd Calendar'!$P$2001*1000000000+ISNUMBER('Dvd Calendar'!$P$2004)*100000000+('Dvd Calendar'!$P$2006=SPECIAL_LBL)*10000000+0*1000000+41*1000+12))</f>
        <v/>
      </c>
      <c r="EQ200" s="35">
        <f>IF(N('Dvd Calendar'!$Q$2001)=0,"",IF(('Dvd Calendar'!$Q$2001&gt;=GRID_FROM)*('Dvd Calendar'!$Q$2001&lt;=GRID_TO)*('Dvd Calendar'!$Q$2001&lt;=VAL_DATE)=0,"",'Dvd Calendar'!$Q$2001*1000000000+ISNUMBER('Dvd Calendar'!$Q$2004)*100000000+('Dvd Calendar'!$Q$2006=SPECIAL_LBL)*10000000+0*1000000+41*1000+13))</f>
        <v/>
      </c>
      <c r="ER200" s="35">
        <f>IF(N('Dvd Calendar'!$R$2001)=0,"",IF(('Dvd Calendar'!$R$2001&gt;=GRID_FROM)*('Dvd Calendar'!$R$2001&lt;=GRID_TO)*('Dvd Calendar'!$R$2001&lt;=VAL_DATE)=0,"",'Dvd Calendar'!$R$2001*1000000000+ISNUMBER('Dvd Calendar'!$R$2004)*100000000+('Dvd Calendar'!$R$2006=SPECIAL_LBL)*10000000+0*1000000+41*1000+14))</f>
        <v/>
      </c>
      <c r="ES200" s="35">
        <f>IF(N('Dvd Calendar'!$S$2001)=0,"",IF(('Dvd Calendar'!$S$2001&gt;=GRID_FROM)*('Dvd Calendar'!$S$2001&lt;=GRID_TO)*('Dvd Calendar'!$S$2001&lt;=VAL_DATE)=0,"",'Dvd Calendar'!$S$2001*1000000000+ISNUMBER('Dvd Calendar'!$S$2004)*100000000+('Dvd Calendar'!$S$2006=SPECIAL_LBL)*10000000+0*1000000+41*1000+15))</f>
        <v/>
      </c>
      <c r="ET200" s="35">
        <f>IF(N('Dvd Calendar'!$T$2001)=0,"",IF(('Dvd Calendar'!$T$2001&gt;=GRID_FROM)*('Dvd Calendar'!$T$2001&lt;=GRID_TO)*('Dvd Calendar'!$T$2001&lt;=VAL_DATE)=0,"",'Dvd Calendar'!$T$2001*1000000000+ISNUMBER('Dvd Calendar'!$T$2004)*100000000+('Dvd Calendar'!$T$2006=SPECIAL_LBL)*10000000+0*1000000+41*1000+16))</f>
        <v/>
      </c>
      <c r="EU200" s="35">
        <f>IF(N('Dvd Calendar'!$U$2001)=0,"",IF(('Dvd Calendar'!$U$2001&gt;=GRID_FROM)*('Dvd Calendar'!$U$2001&lt;=GRID_TO)*('Dvd Calendar'!$U$2001&lt;=VAL_DATE)=0,"",'Dvd Calendar'!$U$2001*1000000000+ISNUMBER('Dvd Calendar'!$U$2004)*100000000+('Dvd Calendar'!$U$2006=SPECIAL_LBL)*10000000+0*1000000+41*1000+17))</f>
        <v/>
      </c>
      <c r="EV200" s="35">
        <f>IF(N('Dvd Calendar'!$V$2001)=0,"",IF(('Dvd Calendar'!$V$2001&gt;=GRID_FROM)*('Dvd Calendar'!$V$2001&lt;=GRID_TO)*('Dvd Calendar'!$V$2001&lt;=VAL_DATE)=0,"",'Dvd Calendar'!$V$2001*1000000000+ISNUMBER('Dvd Calendar'!$V$2004)*100000000+('Dvd Calendar'!$V$2006=SPECIAL_LBL)*10000000+0*1000000+41*1000+18))</f>
        <v/>
      </c>
      <c r="EW200" s="35">
        <f>IF(N('Dvd Calendar'!$W$2001)=0,"",IF(('Dvd Calendar'!$W$2001&gt;=GRID_FROM)*('Dvd Calendar'!$W$2001&lt;=GRID_TO)*('Dvd Calendar'!$W$2001&lt;=VAL_DATE)=0,"",'Dvd Calendar'!$W$2001*1000000000+ISNUMBER('Dvd Calendar'!$W$2004)*100000000+('Dvd Calendar'!$W$2006=SPECIAL_LBL)*10000000+0*1000000+41*1000+19))</f>
        <v/>
      </c>
      <c r="EX200" s="35">
        <f>IF(N('Dvd Calendar'!$X$2001)=0,"",IF(('Dvd Calendar'!$X$2001&gt;=GRID_FROM)*('Dvd Calendar'!$X$2001&lt;=GRID_TO)*('Dvd Calendar'!$X$2001&lt;=VAL_DATE)=0,"",'Dvd Calendar'!$X$2001*1000000000+ISNUMBER('Dvd Calendar'!$X$2004)*100000000+('Dvd Calendar'!$X$2006=SPECIAL_LBL)*10000000+0*1000000+41*1000+20))</f>
        <v/>
      </c>
      <c r="EY200" s="35">
        <f>IF(N('Dvd Calendar'!$Y$2001)=0,"",IF(('Dvd Calendar'!$Y$2001&gt;=GRID_FROM)*('Dvd Calendar'!$Y$2001&lt;=GRID_TO)*('Dvd Calendar'!$Y$2001&lt;=VAL_DATE)=0,"",'Dvd Calendar'!$Y$2001*1000000000+ISNUMBER('Dvd Calendar'!$Y$2004)*100000000+('Dvd Calendar'!$Y$2006=SPECIAL_LBL)*10000000+0*1000000+41*1000+21))</f>
        <v/>
      </c>
      <c r="EZ200" s="35">
        <f>IF(N('Dvd Calendar'!$Z$2001)=0,"",IF(('Dvd Calendar'!$Z$2001&gt;=GRID_FROM)*('Dvd Calendar'!$Z$2001&lt;=GRID_TO)*('Dvd Calendar'!$Z$2001&lt;=VAL_DATE)=0,"",'Dvd Calendar'!$Z$2001*1000000000+ISNUMBER('Dvd Calendar'!$Z$2004)*100000000+('Dvd Calendar'!$Z$2006=SPECIAL_LBL)*10000000+0*1000000+41*1000+22))</f>
        <v/>
      </c>
      <c r="FA200" s="35">
        <f>IF(N('Dvd Calendar'!$AA$2001)=0,"",IF(('Dvd Calendar'!$AA$2001&gt;=GRID_FROM)*('Dvd Calendar'!$AA$2001&lt;=GRID_TO)*('Dvd Calendar'!$AA$2001&lt;=VAL_DATE)=0,"",'Dvd Calendar'!$AA$2001*1000000000+ISNUMBER('Dvd Calendar'!$AA$2004)*100000000+('Dvd Calendar'!$AA$2006=SPECIAL_LBL)*10000000+0*1000000+41*1000+23))</f>
        <v/>
      </c>
      <c r="FB200" s="35">
        <f>IF(N('Dvd Calendar'!$AB$2001)=0,"",IF(('Dvd Calendar'!$AB$2001&gt;=GRID_FROM)*('Dvd Calendar'!$AB$2001&lt;=GRID_TO)*('Dvd Calendar'!$AB$2001&lt;=VAL_DATE)=0,"",'Dvd Calendar'!$AB$2001*1000000000+ISNUMBER('Dvd Calendar'!$AB$2004)*100000000+('Dvd Calendar'!$AB$2006=SPECIAL_LBL)*10000000+0*1000000+41*1000+24))</f>
        <v/>
      </c>
      <c r="FC200" s="35">
        <f>IF(N('Dvd Calendar'!$AC$2001)=0,"",IF(('Dvd Calendar'!$AC$2001&gt;=GRID_FROM)*('Dvd Calendar'!$AC$2001&lt;=GRID_TO)*('Dvd Calendar'!$AC$2001&lt;=VAL_DATE)=0,"",'Dvd Calendar'!$AC$2001*1000000000+ISNUMBER('Dvd Calendar'!$AC$2004)*100000000+('Dvd Calendar'!$AC$2006=SPECIAL_LBL)*10000000+0*1000000+41*1000+25))</f>
        <v/>
      </c>
      <c r="FD200" s="35">
        <f>IF(N('Dvd Calendar'!$AD$2001)=0,"",IF(('Dvd Calendar'!$AD$2001&gt;=GRID_FROM)*('Dvd Calendar'!$AD$2001&lt;=GRID_TO)*('Dvd Calendar'!$AD$2001&lt;=VAL_DATE)=0,"",'Dvd Calendar'!$AD$2001*1000000000+ISNUMBER('Dvd Calendar'!$AD$2004)*100000000+('Dvd Calendar'!$AD$2006=SPECIAL_LBL)*10000000+0*1000000+41*1000+26))</f>
        <v/>
      </c>
      <c r="FE200" s="35">
        <f>IF(N('Dvd Calendar'!$AE$2001)=0,"",IF(('Dvd Calendar'!$AE$2001&gt;=GRID_FROM)*('Dvd Calendar'!$AE$2001&lt;=GRID_TO)*('Dvd Calendar'!$AE$2001&lt;=VAL_DATE)=0,"",'Dvd Calendar'!$AE$2001*1000000000+ISNUMBER('Dvd Calendar'!$AE$2004)*100000000+('Dvd Calendar'!$AE$2006=SPECIAL_LBL)*10000000+0*1000000+41*1000+27))</f>
        <v/>
      </c>
      <c r="FF200" s="35">
        <f>IF(N('Dvd Calendar'!$AF$2001)=0,"",IF(('Dvd Calendar'!$AF$2001&gt;=GRID_FROM)*('Dvd Calendar'!$AF$2001&lt;=GRID_TO)*('Dvd Calendar'!$AF$2001&lt;=VAL_DATE)=0,"",'Dvd Calendar'!$AF$2001*1000000000+ISNUMBER('Dvd Calendar'!$AF$2004)*100000000+('Dvd Calendar'!$AF$2006=SPECIAL_LBL)*10000000+0*1000000+41*1000+28))</f>
        <v/>
      </c>
      <c r="FG200" s="35">
        <f>IF(N('Dvd Calendar'!$AG$2001)=0,"",IF(('Dvd Calendar'!$AG$2001&gt;=GRID_FROM)*('Dvd Calendar'!$AG$2001&lt;=GRID_TO)*('Dvd Calendar'!$AG$2001&lt;=VAL_DATE)=0,"",'Dvd Calendar'!$AG$2001*1000000000+ISNUMBER('Dvd Calendar'!$AG$2004)*100000000+('Dvd Calendar'!$AG$2006=SPECIAL_LBL)*10000000+0*1000000+41*1000+29))</f>
        <v/>
      </c>
      <c r="FH200" s="35">
        <f>IF(N('Dvd Calendar'!$AH$2001)=0,"",IF(('Dvd Calendar'!$AH$2001&gt;=GRID_FROM)*('Dvd Calendar'!$AH$2001&lt;=GRID_TO)*('Dvd Calendar'!$AH$2001&lt;=VAL_DATE)=0,"",'Dvd Calendar'!$AH$2001*1000000000+ISNUMBER('Dvd Calendar'!$AH$2004)*100000000+('Dvd Calendar'!$AH$2006=SPECIAL_LBL)*10000000+0*1000000+41*1000+30))</f>
        <v/>
      </c>
      <c r="FI200" s="35">
        <f>IF(N('Dvd Calendar'!$AI$2001)=0,"",IF(('Dvd Calendar'!$AI$2001&gt;=GRID_FROM)*('Dvd Calendar'!$AI$2001&lt;=GRID_TO)*('Dvd Calendar'!$AI$2001&lt;=VAL_DATE)=0,"",'Dvd Calendar'!$AI$2001*1000000000+ISNUMBER('Dvd Calendar'!$AI$2004)*100000000+('Dvd Calendar'!$AI$2006=SPECIAL_LBL)*10000000+0*1000000+41*1000+31))</f>
        <v/>
      </c>
      <c r="FJ200" s="35">
        <f>IF(N('Dvd Calendar'!$AJ$2001)=0,"",IF(('Dvd Calendar'!$AJ$2001&gt;=GRID_FROM)*('Dvd Calendar'!$AJ$2001&lt;=GRID_TO)*('Dvd Calendar'!$AJ$2001&lt;=VAL_DATE)=0,"",'Dvd Calendar'!$AJ$2001*1000000000+ISNUMBER('Dvd Calendar'!$AJ$2004)*100000000+('Dvd Calendar'!$AJ$2006=SPECIAL_LBL)*10000000+0*1000000+41*1000+32))</f>
        <v/>
      </c>
      <c r="FK200" s="35">
        <f>IF(N('Dvd Calendar'!$AK$2001)=0,"",IF(('Dvd Calendar'!$AK$2001&gt;=GRID_FROM)*('Dvd Calendar'!$AK$2001&lt;=GRID_TO)*('Dvd Calendar'!$AK$2001&lt;=VAL_DATE)=0,"",'Dvd Calendar'!$AK$2001*1000000000+ISNUMBER('Dvd Calendar'!$AK$2004)*100000000+('Dvd Calendar'!$AK$2006=SPECIAL_LBL)*10000000+0*1000000+41*1000+33))</f>
        <v/>
      </c>
      <c r="FL200" s="35">
        <f>IF(N('Dvd Calendar'!$AL$2001)=0,"",IF(('Dvd Calendar'!$AL$2001&gt;=GRID_FROM)*('Dvd Calendar'!$AL$2001&lt;=GRID_TO)*('Dvd Calendar'!$AL$2001&lt;=VAL_DATE)=0,"",'Dvd Calendar'!$AL$2001*1000000000+ISNUMBER('Dvd Calendar'!$AL$2004)*100000000+('Dvd Calendar'!$AL$2006=SPECIAL_LBL)*10000000+0*1000000+41*1000+34))</f>
        <v/>
      </c>
      <c r="FM200" s="35">
        <f>IF(N('Dvd Calendar'!$AM$2001)=0,"",IF(('Dvd Calendar'!$AM$2001&gt;=GRID_FROM)*('Dvd Calendar'!$AM$2001&lt;=GRID_TO)*('Dvd Calendar'!$AM$2001&lt;=VAL_DATE)=0,"",'Dvd Calendar'!$AM$2001*1000000000+ISNUMBER('Dvd Calendar'!$AM$2004)*100000000+('Dvd Calendar'!$AM$2006=SPECIAL_LBL)*10000000+0*1000000+41*1000+35))</f>
        <v/>
      </c>
      <c r="FN200" s="35">
        <f>IF(N('Dvd Calendar'!$AN$2001)=0,"",IF(('Dvd Calendar'!$AN$2001&gt;=GRID_FROM)*('Dvd Calendar'!$AN$2001&lt;=GRID_TO)*('Dvd Calendar'!$AN$2001&lt;=VAL_DATE)=0,"",'Dvd Calendar'!$AN$2001*1000000000+ISNUMBER('Dvd Calendar'!$AN$2004)*100000000+('Dvd Calendar'!$AN$2006=SPECIAL_LBL)*10000000+0*1000000+41*1000+36))</f>
        <v/>
      </c>
      <c r="FO200" s="35">
        <f>IF(N('Dvd Calendar'!$AO$2001)=0,"",IF(('Dvd Calendar'!$AO$2001&gt;=GRID_FROM)*('Dvd Calendar'!$AO$2001&lt;=GRID_TO)*('Dvd Calendar'!$AO$2001&lt;=VAL_DATE)=0,"",'Dvd Calendar'!$AO$2001*1000000000+ISNUMBER('Dvd Calendar'!$AO$2004)*100000000+('Dvd Calendar'!$AO$2006=SPECIAL_LBL)*10000000+0*1000000+41*1000+37))</f>
        <v/>
      </c>
      <c r="FP200" s="35">
        <f>IF(N('Dvd Calendar'!$AP$2001)=0,"",IF(('Dvd Calendar'!$AP$2001&gt;=GRID_FROM)*('Dvd Calendar'!$AP$2001&lt;=GRID_TO)*('Dvd Calendar'!$AP$2001&lt;=VAL_DATE)=0,"",'Dvd Calendar'!$AP$2001*1000000000+ISNUMBER('Dvd Calendar'!$AP$2004)*100000000+('Dvd Calendar'!$AP$2006=SPECIAL_LBL)*10000000+0*1000000+41*1000+38))</f>
        <v/>
      </c>
      <c r="FQ200" s="35">
        <f>IF(N('Dvd Calendar'!$AQ$2001)=0,"",IF(('Dvd Calendar'!$AQ$2001&gt;=GRID_FROM)*('Dvd Calendar'!$AQ$2001&lt;=GRID_TO)*('Dvd Calendar'!$AQ$2001&lt;=VAL_DATE)=0,"",'Dvd Calendar'!$AQ$2001*1000000000+ISNUMBER('Dvd Calendar'!$AQ$2004)*100000000+('Dvd Calendar'!$AQ$2006=SPECIAL_LBL)*10000000+0*1000000+41*1000+39))</f>
        <v/>
      </c>
      <c r="FR200" s="35">
        <f>IF(N('Dvd Calendar'!$AR$2001)=0,"",IF(('Dvd Calendar'!$AR$2001&gt;=GRID_FROM)*('Dvd Calendar'!$AR$2001&lt;=GRID_TO)*('Dvd Calendar'!$AR$2001&lt;=VAL_DATE)=0,"",'Dvd Calendar'!$AR$2001*1000000000+ISNUMBER('Dvd Calendar'!$AR$2004)*100000000+('Dvd Calendar'!$AR$2006=SPECIAL_LBL)*10000000+0*1000000+41*1000+40))</f>
        <v/>
      </c>
      <c r="FS200" s="35">
        <f>IF(N('Dvd Calendar'!$E$2008)=0,"",IF(('Dvd Calendar'!$E$2008&gt;=GRID_FROM)*('Dvd Calendar'!$E$2008&lt;=GRID_TO)*('Dvd Calendar'!$E$2008&gt;VAL_DATE)=0,"",'Dvd Calendar'!$E$2008*1000000000+ISNUMBER('Dvd Calendar'!$E$2009)*100000000+0*10000000+(N('Dvd Calendar'!$E$2007)&gt;0)*(N('Dvd Calendar'!$E$2007)&lt;=VAL_SERIAL)*1000000+41*1000+41))</f>
        <v/>
      </c>
      <c r="FT200" s="35">
        <f>IF(N('Dvd Calendar'!$F$2008)=0,"",IF(('Dvd Calendar'!$F$2008&gt;=GRID_FROM)*('Dvd Calendar'!$F$2008&lt;=GRID_TO)*('Dvd Calendar'!$F$2008&gt;VAL_DATE)=0,"",'Dvd Calendar'!$F$2008*1000000000+ISNUMBER('Dvd Calendar'!$F$2009)*100000000+0*10000000+(N('Dvd Calendar'!$F$2007)&gt;0)*(N('Dvd Calendar'!$F$2007)&lt;=VAL_SERIAL)*1000000+41*1000+42))</f>
        <v/>
      </c>
      <c r="FU200" s="35">
        <f>IF(N('Dvd Calendar'!$G$2008)=0,"",IF(('Dvd Calendar'!$G$2008&gt;=GRID_FROM)*('Dvd Calendar'!$G$2008&lt;=GRID_TO)*('Dvd Calendar'!$G$2008&gt;VAL_DATE)=0,"",'Dvd Calendar'!$G$2008*1000000000+ISNUMBER('Dvd Calendar'!$G$2009)*100000000+0*10000000+(N('Dvd Calendar'!$G$2007)&gt;0)*(N('Dvd Calendar'!$G$2007)&lt;=VAL_SERIAL)*1000000+41*1000+43))</f>
        <v/>
      </c>
      <c r="FV200" s="35">
        <f>IF(N('Dvd Calendar'!$H$2008)=0,"",IF(('Dvd Calendar'!$H$2008&gt;=GRID_FROM)*('Dvd Calendar'!$H$2008&lt;=GRID_TO)*('Dvd Calendar'!$H$2008&gt;VAL_DATE)=0,"",'Dvd Calendar'!$H$2008*1000000000+ISNUMBER('Dvd Calendar'!$H$2009)*100000000+0*10000000+(N('Dvd Calendar'!$H$2007)&gt;0)*(N('Dvd Calendar'!$H$2007)&lt;=VAL_SERIAL)*1000000+41*1000+44))</f>
        <v/>
      </c>
      <c r="FW200" s="35">
        <f>IF(N('Dvd Calendar'!$I$2008)=0,"",IF(('Dvd Calendar'!$I$2008&gt;=GRID_FROM)*('Dvd Calendar'!$I$2008&lt;=GRID_TO)*('Dvd Calendar'!$I$2008&gt;VAL_DATE)=0,"",'Dvd Calendar'!$I$2008*1000000000+ISNUMBER('Dvd Calendar'!$I$2009)*100000000+0*10000000+(N('Dvd Calendar'!$I$2007)&gt;0)*(N('Dvd Calendar'!$I$2007)&lt;=VAL_SERIAL)*1000000+41*1000+45))</f>
        <v/>
      </c>
      <c r="FX200" s="35">
        <f>IF(N('Dvd Calendar'!$J$2008)=0,"",IF(('Dvd Calendar'!$J$2008&gt;=GRID_FROM)*('Dvd Calendar'!$J$2008&lt;=GRID_TO)*('Dvd Calendar'!$J$2008&gt;VAL_DATE)=0,"",'Dvd Calendar'!$J$2008*1000000000+ISNUMBER('Dvd Calendar'!$J$2009)*100000000+0*10000000+(N('Dvd Calendar'!$J$2007)&gt;0)*(N('Dvd Calendar'!$J$2007)&lt;=VAL_SERIAL)*1000000+41*1000+46))</f>
        <v/>
      </c>
      <c r="FY200" s="35">
        <f>IF(N('Dvd Calendar'!$K$2008)=0,"",IF(('Dvd Calendar'!$K$2008&gt;=GRID_FROM)*('Dvd Calendar'!$K$2008&lt;=GRID_TO)*('Dvd Calendar'!$K$2008&gt;VAL_DATE)=0,"",'Dvd Calendar'!$K$2008*1000000000+ISNUMBER('Dvd Calendar'!$K$2009)*100000000+0*10000000+(N('Dvd Calendar'!$K$2007)&gt;0)*(N('Dvd Calendar'!$K$2007)&lt;=VAL_SERIAL)*1000000+41*1000+47))</f>
        <v/>
      </c>
      <c r="FZ200" s="35">
        <f>IF(N('Dvd Calendar'!$L$2008)=0,"",IF(('Dvd Calendar'!$L$2008&gt;=GRID_FROM)*('Dvd Calendar'!$L$2008&lt;=GRID_TO)*('Dvd Calendar'!$L$2008&gt;VAL_DATE)=0,"",'Dvd Calendar'!$L$2008*1000000000+ISNUMBER('Dvd Calendar'!$L$2009)*100000000+0*10000000+(N('Dvd Calendar'!$L$2007)&gt;0)*(N('Dvd Calendar'!$L$2007)&lt;=VAL_SERIAL)*1000000+41*1000+48))</f>
        <v/>
      </c>
      <c r="GA200" s="35">
        <f>IF(N('Dvd Calendar'!$M$2008)=0,"",IF(('Dvd Calendar'!$M$2008&gt;=GRID_FROM)*('Dvd Calendar'!$M$2008&lt;=GRID_TO)*('Dvd Calendar'!$M$2008&gt;VAL_DATE)=0,"",'Dvd Calendar'!$M$2008*1000000000+ISNUMBER('Dvd Calendar'!$M$2009)*100000000+0*10000000+(N('Dvd Calendar'!$M$2007)&gt;0)*(N('Dvd Calendar'!$M$2007)&lt;=VAL_SERIAL)*1000000+41*1000+49))</f>
        <v/>
      </c>
      <c r="GB200" s="35">
        <f>IF(N('Dvd Calendar'!$N$2008)=0,"",IF(('Dvd Calendar'!$N$2008&gt;=GRID_FROM)*('Dvd Calendar'!$N$2008&lt;=GRID_TO)*('Dvd Calendar'!$N$2008&gt;VAL_DATE)=0,"",'Dvd Calendar'!$N$2008*1000000000+ISNUMBER('Dvd Calendar'!$N$2009)*100000000+0*10000000+(N('Dvd Calendar'!$N$2007)&gt;0)*(N('Dvd Calendar'!$N$2007)&lt;=VAL_SERIAL)*1000000+41*1000+50))</f>
        <v/>
      </c>
      <c r="GC200" s="35">
        <f>IF(N('Dvd Calendar'!$O$2008)=0,"",IF(('Dvd Calendar'!$O$2008&gt;=GRID_FROM)*('Dvd Calendar'!$O$2008&lt;=GRID_TO)*('Dvd Calendar'!$O$2008&gt;VAL_DATE)=0,"",'Dvd Calendar'!$O$2008*1000000000+ISNUMBER('Dvd Calendar'!$O$2009)*100000000+0*10000000+(N('Dvd Calendar'!$O$2007)&gt;0)*(N('Dvd Calendar'!$O$2007)&lt;=VAL_SERIAL)*1000000+41*1000+51))</f>
        <v/>
      </c>
      <c r="GD200" s="35">
        <f>IF(N('Dvd Calendar'!$P$2008)=0,"",IF(('Dvd Calendar'!$P$2008&gt;=GRID_FROM)*('Dvd Calendar'!$P$2008&lt;=GRID_TO)*('Dvd Calendar'!$P$2008&gt;VAL_DATE)=0,"",'Dvd Calendar'!$P$2008*1000000000+ISNUMBER('Dvd Calendar'!$P$2009)*100000000+0*10000000+(N('Dvd Calendar'!$P$2007)&gt;0)*(N('Dvd Calendar'!$P$2007)&lt;=VAL_SERIAL)*1000000+41*1000+52))</f>
        <v/>
      </c>
      <c r="GE200" s="35">
        <f>IF(N('Dvd Calendar'!$Q$2008)=0,"",IF(('Dvd Calendar'!$Q$2008&gt;=GRID_FROM)*('Dvd Calendar'!$Q$2008&lt;=GRID_TO)*('Dvd Calendar'!$Q$2008&gt;VAL_DATE)=0,"",'Dvd Calendar'!$Q$2008*1000000000+ISNUMBER('Dvd Calendar'!$Q$2009)*100000000+0*10000000+(N('Dvd Calendar'!$Q$2007)&gt;0)*(N('Dvd Calendar'!$Q$2007)&lt;=VAL_SERIAL)*1000000+41*1000+53))</f>
        <v/>
      </c>
      <c r="GF200" s="35">
        <f>IF(N('Dvd Calendar'!$R$2008)=0,"",IF(('Dvd Calendar'!$R$2008&gt;=GRID_FROM)*('Dvd Calendar'!$R$2008&lt;=GRID_TO)*('Dvd Calendar'!$R$2008&gt;VAL_DATE)=0,"",'Dvd Calendar'!$R$2008*1000000000+ISNUMBER('Dvd Calendar'!$R$2009)*100000000+0*10000000+(N('Dvd Calendar'!$R$2007)&gt;0)*(N('Dvd Calendar'!$R$2007)&lt;=VAL_SERIAL)*1000000+41*1000+54))</f>
        <v/>
      </c>
      <c r="GG200" s="35">
        <f>IF(N('Dvd Calendar'!$S$2008)=0,"",IF(('Dvd Calendar'!$S$2008&gt;=GRID_FROM)*('Dvd Calendar'!$S$2008&lt;=GRID_TO)*('Dvd Calendar'!$S$2008&gt;VAL_DATE)=0,"",'Dvd Calendar'!$S$2008*1000000000+ISNUMBER('Dvd Calendar'!$S$2009)*100000000+0*10000000+(N('Dvd Calendar'!$S$2007)&gt;0)*(N('Dvd Calendar'!$S$2007)&lt;=VAL_SERIAL)*1000000+41*1000+55))</f>
        <v/>
      </c>
      <c r="GH200" s="35">
        <f>IF(N('Dvd Calendar'!$T$2008)=0,"",IF(('Dvd Calendar'!$T$2008&gt;=GRID_FROM)*('Dvd Calendar'!$T$2008&lt;=GRID_TO)*('Dvd Calendar'!$T$2008&gt;VAL_DATE)=0,"",'Dvd Calendar'!$T$2008*1000000000+ISNUMBER('Dvd Calendar'!$T$2009)*100000000+0*10000000+(N('Dvd Calendar'!$T$2007)&gt;0)*(N('Dvd Calendar'!$T$2007)&lt;=VAL_SERIAL)*1000000+41*1000+56))</f>
        <v/>
      </c>
      <c r="GI200" s="35">
        <f>IF(N('Dvd Calendar'!$U$2008)=0,"",IF(('Dvd Calendar'!$U$2008&gt;=GRID_FROM)*('Dvd Calendar'!$U$2008&lt;=GRID_TO)*('Dvd Calendar'!$U$2008&gt;VAL_DATE)=0,"",'Dvd Calendar'!$U$2008*1000000000+ISNUMBER('Dvd Calendar'!$U$2009)*100000000+0*10000000+(N('Dvd Calendar'!$U$2007)&gt;0)*(N('Dvd Calendar'!$U$2007)&lt;=VAL_SERIAL)*1000000+41*1000+57))</f>
        <v/>
      </c>
      <c r="GJ200" s="35">
        <f>IF(N('Dvd Calendar'!$V$2008)=0,"",IF(('Dvd Calendar'!$V$2008&gt;=GRID_FROM)*('Dvd Calendar'!$V$2008&lt;=GRID_TO)*('Dvd Calendar'!$V$2008&gt;VAL_DATE)=0,"",'Dvd Calendar'!$V$2008*1000000000+ISNUMBER('Dvd Calendar'!$V$2009)*100000000+0*10000000+(N('Dvd Calendar'!$V$2007)&gt;0)*(N('Dvd Calendar'!$V$2007)&lt;=VAL_SERIAL)*1000000+41*1000+58))</f>
        <v/>
      </c>
      <c r="GK200" s="35">
        <f>IF(N('Dvd Calendar'!$W$2008)=0,"",IF(('Dvd Calendar'!$W$2008&gt;=GRID_FROM)*('Dvd Calendar'!$W$2008&lt;=GRID_TO)*('Dvd Calendar'!$W$2008&gt;VAL_DATE)=0,"",'Dvd Calendar'!$W$2008*1000000000+ISNUMBER('Dvd Calendar'!$W$2009)*100000000+0*10000000+(N('Dvd Calendar'!$W$2007)&gt;0)*(N('Dvd Calendar'!$W$2007)&lt;=VAL_SERIAL)*1000000+41*1000+59))</f>
        <v/>
      </c>
      <c r="GL200" s="35">
        <f>IF(N('Dvd Calendar'!$X$2008)=0,"",IF(('Dvd Calendar'!$X$2008&gt;=GRID_FROM)*('Dvd Calendar'!$X$2008&lt;=GRID_TO)*('Dvd Calendar'!$X$2008&gt;VAL_DATE)=0,"",'Dvd Calendar'!$X$2008*1000000000+ISNUMBER('Dvd Calendar'!$X$2009)*100000000+0*10000000+(N('Dvd Calendar'!$X$2007)&gt;0)*(N('Dvd Calendar'!$X$2007)&lt;=VAL_SERIAL)*1000000+41*1000+60))</f>
        <v/>
      </c>
      <c r="GM200" s="35">
        <f>IF(N('Dvd Calendar'!$Y$2008)=0,"",IF(('Dvd Calendar'!$Y$2008&gt;=GRID_FROM)*('Dvd Calendar'!$Y$2008&lt;=GRID_TO)*('Dvd Calendar'!$Y$2008&gt;VAL_DATE)=0,"",'Dvd Calendar'!$Y$2008*1000000000+ISNUMBER('Dvd Calendar'!$Y$2009)*100000000+0*10000000+(N('Dvd Calendar'!$Y$2007)&gt;0)*(N('Dvd Calendar'!$Y$2007)&lt;=VAL_SERIAL)*1000000+41*1000+61))</f>
        <v/>
      </c>
      <c r="GN200" s="35">
        <f>IF(N('Dvd Calendar'!$Z$2008)=0,"",IF(('Dvd Calendar'!$Z$2008&gt;=GRID_FROM)*('Dvd Calendar'!$Z$2008&lt;=GRID_TO)*('Dvd Calendar'!$Z$2008&gt;VAL_DATE)=0,"",'Dvd Calendar'!$Z$2008*1000000000+ISNUMBER('Dvd Calendar'!$Z$2009)*100000000+0*10000000+(N('Dvd Calendar'!$Z$2007)&gt;0)*(N('Dvd Calendar'!$Z$2007)&lt;=VAL_SERIAL)*1000000+41*1000+62))</f>
        <v/>
      </c>
      <c r="GO200" s="35">
        <f>IF(N('Dvd Calendar'!$AA$2008)=0,"",IF(('Dvd Calendar'!$AA$2008&gt;=GRID_FROM)*('Dvd Calendar'!$AA$2008&lt;=GRID_TO)*('Dvd Calendar'!$AA$2008&gt;VAL_DATE)=0,"",'Dvd Calendar'!$AA$2008*1000000000+ISNUMBER('Dvd Calendar'!$AA$2009)*100000000+0*10000000+(N('Dvd Calendar'!$AA$2007)&gt;0)*(N('Dvd Calendar'!$AA$2007)&lt;=VAL_SERIAL)*1000000+41*1000+63))</f>
        <v/>
      </c>
      <c r="GP200" s="35">
        <f>IF(N('Dvd Calendar'!$AB$2008)=0,"",IF(('Dvd Calendar'!$AB$2008&gt;=GRID_FROM)*('Dvd Calendar'!$AB$2008&lt;=GRID_TO)*('Dvd Calendar'!$AB$2008&gt;VAL_DATE)=0,"",'Dvd Calendar'!$AB$2008*1000000000+ISNUMBER('Dvd Calendar'!$AB$2009)*100000000+0*10000000+(N('Dvd Calendar'!$AB$2007)&gt;0)*(N('Dvd Calendar'!$AB$2007)&lt;=VAL_SERIAL)*1000000+41*1000+64))</f>
        <v/>
      </c>
      <c r="GQ200" s="35">
        <f>IF(N('Dvd Calendar'!$AC$2008)=0,"",IF(('Dvd Calendar'!$AC$2008&gt;=GRID_FROM)*('Dvd Calendar'!$AC$2008&lt;=GRID_TO)*('Dvd Calendar'!$AC$2008&gt;VAL_DATE)=0,"",'Dvd Calendar'!$AC$2008*1000000000+ISNUMBER('Dvd Calendar'!$AC$2009)*100000000+0*10000000+(N('Dvd Calendar'!$AC$2007)&gt;0)*(N('Dvd Calendar'!$AC$2007)&lt;=VAL_SERIAL)*1000000+41*1000+65))</f>
        <v/>
      </c>
    </row>
    <row r="201">
      <c r="B201" s="2">
        <f>IF(HSCEI!$C$48="","",HSCEI!$C$48)</f>
        <v/>
      </c>
      <c r="C201" s="106">
        <f>IF(EE201="","",IF(ISNUMBER('Dvd Calendar'!$E$2015)=FALSE,"",IF((('Dvd Calendar'!$E$2017=TYPE1)*(TYPE1&lt;&gt;"")+('Dvd Calendar'!$E$2017=TYPE2)*(TYPE2&lt;&gt;"")+('Dvd Calendar'!$E$2017=TYPE3)*(TYPE3&lt;&gt;"")+('Dvd Calendar'!$E$2017=TYPE4)*(TYPE4&lt;&gt;"")+('Dvd Calendar'!$E$2017=SPECIAL_LBL)*(INC_SPECIALS="Y"))=0,"",'Dvd Calendar'!$E$2015)))</f>
        <v/>
      </c>
      <c r="D201" s="106">
        <f>IF(EF201="","",IF(ISNUMBER('Dvd Calendar'!$F$2015)=FALSE,"",IF((('Dvd Calendar'!$F$2017=TYPE1)*(TYPE1&lt;&gt;"")+('Dvd Calendar'!$F$2017=TYPE2)*(TYPE2&lt;&gt;"")+('Dvd Calendar'!$F$2017=TYPE3)*(TYPE3&lt;&gt;"")+('Dvd Calendar'!$F$2017=TYPE4)*(TYPE4&lt;&gt;"")+('Dvd Calendar'!$F$2017=SPECIAL_LBL)*(INC_SPECIALS="Y"))=0,"",'Dvd Calendar'!$F$2015)))</f>
        <v/>
      </c>
      <c r="E201" s="106">
        <f>IF(EG201="","",IF(ISNUMBER('Dvd Calendar'!$G$2015)=FALSE,"",IF((('Dvd Calendar'!$G$2017=TYPE1)*(TYPE1&lt;&gt;"")+('Dvd Calendar'!$G$2017=TYPE2)*(TYPE2&lt;&gt;"")+('Dvd Calendar'!$G$2017=TYPE3)*(TYPE3&lt;&gt;"")+('Dvd Calendar'!$G$2017=TYPE4)*(TYPE4&lt;&gt;"")+('Dvd Calendar'!$G$2017=SPECIAL_LBL)*(INC_SPECIALS="Y"))=0,"",'Dvd Calendar'!$G$2015)))</f>
        <v/>
      </c>
      <c r="F201" s="106">
        <f>IF(EH201="","",IF(ISNUMBER('Dvd Calendar'!$H$2015)=FALSE,"",IF((('Dvd Calendar'!$H$2017=TYPE1)*(TYPE1&lt;&gt;"")+('Dvd Calendar'!$H$2017=TYPE2)*(TYPE2&lt;&gt;"")+('Dvd Calendar'!$H$2017=TYPE3)*(TYPE3&lt;&gt;"")+('Dvd Calendar'!$H$2017=TYPE4)*(TYPE4&lt;&gt;"")+('Dvd Calendar'!$H$2017=SPECIAL_LBL)*(INC_SPECIALS="Y"))=0,"",'Dvd Calendar'!$H$2015)))</f>
        <v/>
      </c>
      <c r="G201" s="106">
        <f>IF(EI201="","",IF(ISNUMBER('Dvd Calendar'!$I$2015)=FALSE,"",IF((('Dvd Calendar'!$I$2017=TYPE1)*(TYPE1&lt;&gt;"")+('Dvd Calendar'!$I$2017=TYPE2)*(TYPE2&lt;&gt;"")+('Dvd Calendar'!$I$2017=TYPE3)*(TYPE3&lt;&gt;"")+('Dvd Calendar'!$I$2017=TYPE4)*(TYPE4&lt;&gt;"")+('Dvd Calendar'!$I$2017=SPECIAL_LBL)*(INC_SPECIALS="Y"))=0,"",'Dvd Calendar'!$I$2015)))</f>
        <v/>
      </c>
      <c r="H201" s="106">
        <f>IF(EJ201="","",IF(ISNUMBER('Dvd Calendar'!$J$2015)=FALSE,"",IF((('Dvd Calendar'!$J$2017=TYPE1)*(TYPE1&lt;&gt;"")+('Dvd Calendar'!$J$2017=TYPE2)*(TYPE2&lt;&gt;"")+('Dvd Calendar'!$J$2017=TYPE3)*(TYPE3&lt;&gt;"")+('Dvd Calendar'!$J$2017=TYPE4)*(TYPE4&lt;&gt;"")+('Dvd Calendar'!$J$2017=SPECIAL_LBL)*(INC_SPECIALS="Y"))=0,"",'Dvd Calendar'!$J$2015)))</f>
        <v/>
      </c>
      <c r="I201" s="106">
        <f>IF(EK201="","",IF(ISNUMBER('Dvd Calendar'!$K$2015)=FALSE,"",IF((('Dvd Calendar'!$K$2017=TYPE1)*(TYPE1&lt;&gt;"")+('Dvd Calendar'!$K$2017=TYPE2)*(TYPE2&lt;&gt;"")+('Dvd Calendar'!$K$2017=TYPE3)*(TYPE3&lt;&gt;"")+('Dvd Calendar'!$K$2017=TYPE4)*(TYPE4&lt;&gt;"")+('Dvd Calendar'!$K$2017=SPECIAL_LBL)*(INC_SPECIALS="Y"))=0,"",'Dvd Calendar'!$K$2015)))</f>
        <v/>
      </c>
      <c r="J201" s="106">
        <f>IF(EL201="","",IF(ISNUMBER('Dvd Calendar'!$L$2015)=FALSE,"",IF((('Dvd Calendar'!$L$2017=TYPE1)*(TYPE1&lt;&gt;"")+('Dvd Calendar'!$L$2017=TYPE2)*(TYPE2&lt;&gt;"")+('Dvd Calendar'!$L$2017=TYPE3)*(TYPE3&lt;&gt;"")+('Dvd Calendar'!$L$2017=TYPE4)*(TYPE4&lt;&gt;"")+('Dvd Calendar'!$L$2017=SPECIAL_LBL)*(INC_SPECIALS="Y"))=0,"",'Dvd Calendar'!$L$2015)))</f>
        <v/>
      </c>
      <c r="K201" s="106">
        <f>IF(EM201="","",IF(ISNUMBER('Dvd Calendar'!$M$2015)=FALSE,"",IF((('Dvd Calendar'!$M$2017=TYPE1)*(TYPE1&lt;&gt;"")+('Dvd Calendar'!$M$2017=TYPE2)*(TYPE2&lt;&gt;"")+('Dvd Calendar'!$M$2017=TYPE3)*(TYPE3&lt;&gt;"")+('Dvd Calendar'!$M$2017=TYPE4)*(TYPE4&lt;&gt;"")+('Dvd Calendar'!$M$2017=SPECIAL_LBL)*(INC_SPECIALS="Y"))=0,"",'Dvd Calendar'!$M$2015)))</f>
        <v/>
      </c>
      <c r="L201" s="106">
        <f>IF(EN201="","",IF(ISNUMBER('Dvd Calendar'!$N$2015)=FALSE,"",IF((('Dvd Calendar'!$N$2017=TYPE1)*(TYPE1&lt;&gt;"")+('Dvd Calendar'!$N$2017=TYPE2)*(TYPE2&lt;&gt;"")+('Dvd Calendar'!$N$2017=TYPE3)*(TYPE3&lt;&gt;"")+('Dvd Calendar'!$N$2017=TYPE4)*(TYPE4&lt;&gt;"")+('Dvd Calendar'!$N$2017=SPECIAL_LBL)*(INC_SPECIALS="Y"))=0,"",'Dvd Calendar'!$N$2015)))</f>
        <v/>
      </c>
      <c r="M201" s="106">
        <f>IF(EO201="","",IF(ISNUMBER('Dvd Calendar'!$O$2015)=FALSE,"",IF((('Dvd Calendar'!$O$2017=TYPE1)*(TYPE1&lt;&gt;"")+('Dvd Calendar'!$O$2017=TYPE2)*(TYPE2&lt;&gt;"")+('Dvd Calendar'!$O$2017=TYPE3)*(TYPE3&lt;&gt;"")+('Dvd Calendar'!$O$2017=TYPE4)*(TYPE4&lt;&gt;"")+('Dvd Calendar'!$O$2017=SPECIAL_LBL)*(INC_SPECIALS="Y"))=0,"",'Dvd Calendar'!$O$2015)))</f>
        <v/>
      </c>
      <c r="N201" s="106">
        <f>IF(EP201="","",IF(ISNUMBER('Dvd Calendar'!$P$2015)=FALSE,"",IF((('Dvd Calendar'!$P$2017=TYPE1)*(TYPE1&lt;&gt;"")+('Dvd Calendar'!$P$2017=TYPE2)*(TYPE2&lt;&gt;"")+('Dvd Calendar'!$P$2017=TYPE3)*(TYPE3&lt;&gt;"")+('Dvd Calendar'!$P$2017=TYPE4)*(TYPE4&lt;&gt;"")+('Dvd Calendar'!$P$2017=SPECIAL_LBL)*(INC_SPECIALS="Y"))=0,"",'Dvd Calendar'!$P$2015)))</f>
        <v/>
      </c>
      <c r="O201" s="106">
        <f>IF(EQ201="","",IF(ISNUMBER('Dvd Calendar'!$Q$2015)=FALSE,"",IF((('Dvd Calendar'!$Q$2017=TYPE1)*(TYPE1&lt;&gt;"")+('Dvd Calendar'!$Q$2017=TYPE2)*(TYPE2&lt;&gt;"")+('Dvd Calendar'!$Q$2017=TYPE3)*(TYPE3&lt;&gt;"")+('Dvd Calendar'!$Q$2017=TYPE4)*(TYPE4&lt;&gt;"")+('Dvd Calendar'!$Q$2017=SPECIAL_LBL)*(INC_SPECIALS="Y"))=0,"",'Dvd Calendar'!$Q$2015)))</f>
        <v/>
      </c>
      <c r="P201" s="106">
        <f>IF(ER201="","",IF(ISNUMBER('Dvd Calendar'!$R$2015)=FALSE,"",IF((('Dvd Calendar'!$R$2017=TYPE1)*(TYPE1&lt;&gt;"")+('Dvd Calendar'!$R$2017=TYPE2)*(TYPE2&lt;&gt;"")+('Dvd Calendar'!$R$2017=TYPE3)*(TYPE3&lt;&gt;"")+('Dvd Calendar'!$R$2017=TYPE4)*(TYPE4&lt;&gt;"")+('Dvd Calendar'!$R$2017=SPECIAL_LBL)*(INC_SPECIALS="Y"))=0,"",'Dvd Calendar'!$R$2015)))</f>
        <v/>
      </c>
      <c r="Q201" s="106">
        <f>IF(ES201="","",IF(ISNUMBER('Dvd Calendar'!$S$2015)=FALSE,"",IF((('Dvd Calendar'!$S$2017=TYPE1)*(TYPE1&lt;&gt;"")+('Dvd Calendar'!$S$2017=TYPE2)*(TYPE2&lt;&gt;"")+('Dvd Calendar'!$S$2017=TYPE3)*(TYPE3&lt;&gt;"")+('Dvd Calendar'!$S$2017=TYPE4)*(TYPE4&lt;&gt;"")+('Dvd Calendar'!$S$2017=SPECIAL_LBL)*(INC_SPECIALS="Y"))=0,"",'Dvd Calendar'!$S$2015)))</f>
        <v/>
      </c>
      <c r="R201" s="106">
        <f>IF(ET201="","",IF(ISNUMBER('Dvd Calendar'!$T$2015)=FALSE,"",IF((('Dvd Calendar'!$T$2017=TYPE1)*(TYPE1&lt;&gt;"")+('Dvd Calendar'!$T$2017=TYPE2)*(TYPE2&lt;&gt;"")+('Dvd Calendar'!$T$2017=TYPE3)*(TYPE3&lt;&gt;"")+('Dvd Calendar'!$T$2017=TYPE4)*(TYPE4&lt;&gt;"")+('Dvd Calendar'!$T$2017=SPECIAL_LBL)*(INC_SPECIALS="Y"))=0,"",'Dvd Calendar'!$T$2015)))</f>
        <v/>
      </c>
      <c r="S201" s="106">
        <f>IF(EU201="","",IF(ISNUMBER('Dvd Calendar'!$U$2015)=FALSE,"",IF((('Dvd Calendar'!$U$2017=TYPE1)*(TYPE1&lt;&gt;"")+('Dvd Calendar'!$U$2017=TYPE2)*(TYPE2&lt;&gt;"")+('Dvd Calendar'!$U$2017=TYPE3)*(TYPE3&lt;&gt;"")+('Dvd Calendar'!$U$2017=TYPE4)*(TYPE4&lt;&gt;"")+('Dvd Calendar'!$U$2017=SPECIAL_LBL)*(INC_SPECIALS="Y"))=0,"",'Dvd Calendar'!$U$2015)))</f>
        <v/>
      </c>
      <c r="T201" s="106">
        <f>IF(EV201="","",IF(ISNUMBER('Dvd Calendar'!$V$2015)=FALSE,"",IF((('Dvd Calendar'!$V$2017=TYPE1)*(TYPE1&lt;&gt;"")+('Dvd Calendar'!$V$2017=TYPE2)*(TYPE2&lt;&gt;"")+('Dvd Calendar'!$V$2017=TYPE3)*(TYPE3&lt;&gt;"")+('Dvd Calendar'!$V$2017=TYPE4)*(TYPE4&lt;&gt;"")+('Dvd Calendar'!$V$2017=SPECIAL_LBL)*(INC_SPECIALS="Y"))=0,"",'Dvd Calendar'!$V$2015)))</f>
        <v/>
      </c>
      <c r="U201" s="106">
        <f>IF(EW201="","",IF(ISNUMBER('Dvd Calendar'!$W$2015)=FALSE,"",IF((('Dvd Calendar'!$W$2017=TYPE1)*(TYPE1&lt;&gt;"")+('Dvd Calendar'!$W$2017=TYPE2)*(TYPE2&lt;&gt;"")+('Dvd Calendar'!$W$2017=TYPE3)*(TYPE3&lt;&gt;"")+('Dvd Calendar'!$W$2017=TYPE4)*(TYPE4&lt;&gt;"")+('Dvd Calendar'!$W$2017=SPECIAL_LBL)*(INC_SPECIALS="Y"))=0,"",'Dvd Calendar'!$W$2015)))</f>
        <v/>
      </c>
      <c r="V201" s="106">
        <f>IF(EX201="","",IF(ISNUMBER('Dvd Calendar'!$X$2015)=FALSE,"",IF((('Dvd Calendar'!$X$2017=TYPE1)*(TYPE1&lt;&gt;"")+('Dvd Calendar'!$X$2017=TYPE2)*(TYPE2&lt;&gt;"")+('Dvd Calendar'!$X$2017=TYPE3)*(TYPE3&lt;&gt;"")+('Dvd Calendar'!$X$2017=TYPE4)*(TYPE4&lt;&gt;"")+('Dvd Calendar'!$X$2017=SPECIAL_LBL)*(INC_SPECIALS="Y"))=0,"",'Dvd Calendar'!$X$2015)))</f>
        <v/>
      </c>
      <c r="W201" s="106">
        <f>IF(EY201="","",IF(ISNUMBER('Dvd Calendar'!$Y$2015)=FALSE,"",IF((('Dvd Calendar'!$Y$2017=TYPE1)*(TYPE1&lt;&gt;"")+('Dvd Calendar'!$Y$2017=TYPE2)*(TYPE2&lt;&gt;"")+('Dvd Calendar'!$Y$2017=TYPE3)*(TYPE3&lt;&gt;"")+('Dvd Calendar'!$Y$2017=TYPE4)*(TYPE4&lt;&gt;"")+('Dvd Calendar'!$Y$2017=SPECIAL_LBL)*(INC_SPECIALS="Y"))=0,"",'Dvd Calendar'!$Y$2015)))</f>
        <v/>
      </c>
      <c r="X201" s="106">
        <f>IF(EZ201="","",IF(ISNUMBER('Dvd Calendar'!$Z$2015)=FALSE,"",IF((('Dvd Calendar'!$Z$2017=TYPE1)*(TYPE1&lt;&gt;"")+('Dvd Calendar'!$Z$2017=TYPE2)*(TYPE2&lt;&gt;"")+('Dvd Calendar'!$Z$2017=TYPE3)*(TYPE3&lt;&gt;"")+('Dvd Calendar'!$Z$2017=TYPE4)*(TYPE4&lt;&gt;"")+('Dvd Calendar'!$Z$2017=SPECIAL_LBL)*(INC_SPECIALS="Y"))=0,"",'Dvd Calendar'!$Z$2015)))</f>
        <v/>
      </c>
      <c r="Y201" s="106">
        <f>IF(FA201="","",IF(ISNUMBER('Dvd Calendar'!$AA$2015)=FALSE,"",IF((('Dvd Calendar'!$AA$2017=TYPE1)*(TYPE1&lt;&gt;"")+('Dvd Calendar'!$AA$2017=TYPE2)*(TYPE2&lt;&gt;"")+('Dvd Calendar'!$AA$2017=TYPE3)*(TYPE3&lt;&gt;"")+('Dvd Calendar'!$AA$2017=TYPE4)*(TYPE4&lt;&gt;"")+('Dvd Calendar'!$AA$2017=SPECIAL_LBL)*(INC_SPECIALS="Y"))=0,"",'Dvd Calendar'!$AA$2015)))</f>
        <v/>
      </c>
      <c r="Z201" s="106">
        <f>IF(FB201="","",IF(ISNUMBER('Dvd Calendar'!$AB$2015)=FALSE,"",IF((('Dvd Calendar'!$AB$2017=TYPE1)*(TYPE1&lt;&gt;"")+('Dvd Calendar'!$AB$2017=TYPE2)*(TYPE2&lt;&gt;"")+('Dvd Calendar'!$AB$2017=TYPE3)*(TYPE3&lt;&gt;"")+('Dvd Calendar'!$AB$2017=TYPE4)*(TYPE4&lt;&gt;"")+('Dvd Calendar'!$AB$2017=SPECIAL_LBL)*(INC_SPECIALS="Y"))=0,"",'Dvd Calendar'!$AB$2015)))</f>
        <v/>
      </c>
      <c r="AA201" s="106">
        <f>IF(FC201="","",IF(ISNUMBER('Dvd Calendar'!$AC$2015)=FALSE,"",IF((('Dvd Calendar'!$AC$2017=TYPE1)*(TYPE1&lt;&gt;"")+('Dvd Calendar'!$AC$2017=TYPE2)*(TYPE2&lt;&gt;"")+('Dvd Calendar'!$AC$2017=TYPE3)*(TYPE3&lt;&gt;"")+('Dvd Calendar'!$AC$2017=TYPE4)*(TYPE4&lt;&gt;"")+('Dvd Calendar'!$AC$2017=SPECIAL_LBL)*(INC_SPECIALS="Y"))=0,"",'Dvd Calendar'!$AC$2015)))</f>
        <v/>
      </c>
      <c r="AB201" s="106">
        <f>IF(FD201="","",IF(ISNUMBER('Dvd Calendar'!$AD$2015)=FALSE,"",IF((('Dvd Calendar'!$AD$2017=TYPE1)*(TYPE1&lt;&gt;"")+('Dvd Calendar'!$AD$2017=TYPE2)*(TYPE2&lt;&gt;"")+('Dvd Calendar'!$AD$2017=TYPE3)*(TYPE3&lt;&gt;"")+('Dvd Calendar'!$AD$2017=TYPE4)*(TYPE4&lt;&gt;"")+('Dvd Calendar'!$AD$2017=SPECIAL_LBL)*(INC_SPECIALS="Y"))=0,"",'Dvd Calendar'!$AD$2015)))</f>
        <v/>
      </c>
      <c r="AC201" s="106">
        <f>IF(FE201="","",IF(ISNUMBER('Dvd Calendar'!$AE$2015)=FALSE,"",IF((('Dvd Calendar'!$AE$2017=TYPE1)*(TYPE1&lt;&gt;"")+('Dvd Calendar'!$AE$2017=TYPE2)*(TYPE2&lt;&gt;"")+('Dvd Calendar'!$AE$2017=TYPE3)*(TYPE3&lt;&gt;"")+('Dvd Calendar'!$AE$2017=TYPE4)*(TYPE4&lt;&gt;"")+('Dvd Calendar'!$AE$2017=SPECIAL_LBL)*(INC_SPECIALS="Y"))=0,"",'Dvd Calendar'!$AE$2015)))</f>
        <v/>
      </c>
      <c r="AD201" s="106">
        <f>IF(FF201="","",IF(ISNUMBER('Dvd Calendar'!$AF$2015)=FALSE,"",IF((('Dvd Calendar'!$AF$2017=TYPE1)*(TYPE1&lt;&gt;"")+('Dvd Calendar'!$AF$2017=TYPE2)*(TYPE2&lt;&gt;"")+('Dvd Calendar'!$AF$2017=TYPE3)*(TYPE3&lt;&gt;"")+('Dvd Calendar'!$AF$2017=TYPE4)*(TYPE4&lt;&gt;"")+('Dvd Calendar'!$AF$2017=SPECIAL_LBL)*(INC_SPECIALS="Y"))=0,"",'Dvd Calendar'!$AF$2015)))</f>
        <v/>
      </c>
      <c r="AE201" s="106">
        <f>IF(FG201="","",IF(ISNUMBER('Dvd Calendar'!$AG$2015)=FALSE,"",IF((('Dvd Calendar'!$AG$2017=TYPE1)*(TYPE1&lt;&gt;"")+('Dvd Calendar'!$AG$2017=TYPE2)*(TYPE2&lt;&gt;"")+('Dvd Calendar'!$AG$2017=TYPE3)*(TYPE3&lt;&gt;"")+('Dvd Calendar'!$AG$2017=TYPE4)*(TYPE4&lt;&gt;"")+('Dvd Calendar'!$AG$2017=SPECIAL_LBL)*(INC_SPECIALS="Y"))=0,"",'Dvd Calendar'!$AG$2015)))</f>
        <v/>
      </c>
      <c r="AF201" s="106">
        <f>IF(FH201="","",IF(ISNUMBER('Dvd Calendar'!$AH$2015)=FALSE,"",IF((('Dvd Calendar'!$AH$2017=TYPE1)*(TYPE1&lt;&gt;"")+('Dvd Calendar'!$AH$2017=TYPE2)*(TYPE2&lt;&gt;"")+('Dvd Calendar'!$AH$2017=TYPE3)*(TYPE3&lt;&gt;"")+('Dvd Calendar'!$AH$2017=TYPE4)*(TYPE4&lt;&gt;"")+('Dvd Calendar'!$AH$2017=SPECIAL_LBL)*(INC_SPECIALS="Y"))=0,"",'Dvd Calendar'!$AH$2015)))</f>
        <v/>
      </c>
      <c r="AG201" s="106">
        <f>IF(FI201="","",IF(ISNUMBER('Dvd Calendar'!$AI$2015)=FALSE,"",IF((('Dvd Calendar'!$AI$2017=TYPE1)*(TYPE1&lt;&gt;"")+('Dvd Calendar'!$AI$2017=TYPE2)*(TYPE2&lt;&gt;"")+('Dvd Calendar'!$AI$2017=TYPE3)*(TYPE3&lt;&gt;"")+('Dvd Calendar'!$AI$2017=TYPE4)*(TYPE4&lt;&gt;"")+('Dvd Calendar'!$AI$2017=SPECIAL_LBL)*(INC_SPECIALS="Y"))=0,"",'Dvd Calendar'!$AI$2015)))</f>
        <v/>
      </c>
      <c r="AH201" s="106">
        <f>IF(FJ201="","",IF(ISNUMBER('Dvd Calendar'!$AJ$2015)=FALSE,"",IF((('Dvd Calendar'!$AJ$2017=TYPE1)*(TYPE1&lt;&gt;"")+('Dvd Calendar'!$AJ$2017=TYPE2)*(TYPE2&lt;&gt;"")+('Dvd Calendar'!$AJ$2017=TYPE3)*(TYPE3&lt;&gt;"")+('Dvd Calendar'!$AJ$2017=TYPE4)*(TYPE4&lt;&gt;"")+('Dvd Calendar'!$AJ$2017=SPECIAL_LBL)*(INC_SPECIALS="Y"))=0,"",'Dvd Calendar'!$AJ$2015)))</f>
        <v/>
      </c>
      <c r="AI201" s="106">
        <f>IF(FK201="","",IF(ISNUMBER('Dvd Calendar'!$AK$2015)=FALSE,"",IF((('Dvd Calendar'!$AK$2017=TYPE1)*(TYPE1&lt;&gt;"")+('Dvd Calendar'!$AK$2017=TYPE2)*(TYPE2&lt;&gt;"")+('Dvd Calendar'!$AK$2017=TYPE3)*(TYPE3&lt;&gt;"")+('Dvd Calendar'!$AK$2017=TYPE4)*(TYPE4&lt;&gt;"")+('Dvd Calendar'!$AK$2017=SPECIAL_LBL)*(INC_SPECIALS="Y"))=0,"",'Dvd Calendar'!$AK$2015)))</f>
        <v/>
      </c>
      <c r="AJ201" s="106">
        <f>IF(FL201="","",IF(ISNUMBER('Dvd Calendar'!$AL$2015)=FALSE,"",IF((('Dvd Calendar'!$AL$2017=TYPE1)*(TYPE1&lt;&gt;"")+('Dvd Calendar'!$AL$2017=TYPE2)*(TYPE2&lt;&gt;"")+('Dvd Calendar'!$AL$2017=TYPE3)*(TYPE3&lt;&gt;"")+('Dvd Calendar'!$AL$2017=TYPE4)*(TYPE4&lt;&gt;"")+('Dvd Calendar'!$AL$2017=SPECIAL_LBL)*(INC_SPECIALS="Y"))=0,"",'Dvd Calendar'!$AL$2015)))</f>
        <v/>
      </c>
      <c r="AK201" s="106">
        <f>IF(FM201="","",IF(ISNUMBER('Dvd Calendar'!$AM$2015)=FALSE,"",IF((('Dvd Calendar'!$AM$2017=TYPE1)*(TYPE1&lt;&gt;"")+('Dvd Calendar'!$AM$2017=TYPE2)*(TYPE2&lt;&gt;"")+('Dvd Calendar'!$AM$2017=TYPE3)*(TYPE3&lt;&gt;"")+('Dvd Calendar'!$AM$2017=TYPE4)*(TYPE4&lt;&gt;"")+('Dvd Calendar'!$AM$2017=SPECIAL_LBL)*(INC_SPECIALS="Y"))=0,"",'Dvd Calendar'!$AM$2015)))</f>
        <v/>
      </c>
      <c r="AL201" s="106">
        <f>IF(FN201="","",IF(ISNUMBER('Dvd Calendar'!$AN$2015)=FALSE,"",IF((('Dvd Calendar'!$AN$2017=TYPE1)*(TYPE1&lt;&gt;"")+('Dvd Calendar'!$AN$2017=TYPE2)*(TYPE2&lt;&gt;"")+('Dvd Calendar'!$AN$2017=TYPE3)*(TYPE3&lt;&gt;"")+('Dvd Calendar'!$AN$2017=TYPE4)*(TYPE4&lt;&gt;"")+('Dvd Calendar'!$AN$2017=SPECIAL_LBL)*(INC_SPECIALS="Y"))=0,"",'Dvd Calendar'!$AN$2015)))</f>
        <v/>
      </c>
      <c r="AM201" s="106">
        <f>IF(FO201="","",IF(ISNUMBER('Dvd Calendar'!$AO$2015)=FALSE,"",IF((('Dvd Calendar'!$AO$2017=TYPE1)*(TYPE1&lt;&gt;"")+('Dvd Calendar'!$AO$2017=TYPE2)*(TYPE2&lt;&gt;"")+('Dvd Calendar'!$AO$2017=TYPE3)*(TYPE3&lt;&gt;"")+('Dvd Calendar'!$AO$2017=TYPE4)*(TYPE4&lt;&gt;"")+('Dvd Calendar'!$AO$2017=SPECIAL_LBL)*(INC_SPECIALS="Y"))=0,"",'Dvd Calendar'!$AO$2015)))</f>
        <v/>
      </c>
      <c r="AN201" s="106">
        <f>IF(FP201="","",IF(ISNUMBER('Dvd Calendar'!$AP$2015)=FALSE,"",IF((('Dvd Calendar'!$AP$2017=TYPE1)*(TYPE1&lt;&gt;"")+('Dvd Calendar'!$AP$2017=TYPE2)*(TYPE2&lt;&gt;"")+('Dvd Calendar'!$AP$2017=TYPE3)*(TYPE3&lt;&gt;"")+('Dvd Calendar'!$AP$2017=TYPE4)*(TYPE4&lt;&gt;"")+('Dvd Calendar'!$AP$2017=SPECIAL_LBL)*(INC_SPECIALS="Y"))=0,"",'Dvd Calendar'!$AP$2015)))</f>
        <v/>
      </c>
      <c r="AO201" s="106">
        <f>IF(FQ201="","",IF(ISNUMBER('Dvd Calendar'!$AQ$2015)=FALSE,"",IF((('Dvd Calendar'!$AQ$2017=TYPE1)*(TYPE1&lt;&gt;"")+('Dvd Calendar'!$AQ$2017=TYPE2)*(TYPE2&lt;&gt;"")+('Dvd Calendar'!$AQ$2017=TYPE3)*(TYPE3&lt;&gt;"")+('Dvd Calendar'!$AQ$2017=TYPE4)*(TYPE4&lt;&gt;"")+('Dvd Calendar'!$AQ$2017=SPECIAL_LBL)*(INC_SPECIALS="Y"))=0,"",'Dvd Calendar'!$AQ$2015)))</f>
        <v/>
      </c>
      <c r="AP201" s="106">
        <f>IF(FR201="","",IF(ISNUMBER('Dvd Calendar'!$AR$2015)=FALSE,"",IF((('Dvd Calendar'!$AR$2017=TYPE1)*(TYPE1&lt;&gt;"")+('Dvd Calendar'!$AR$2017=TYPE2)*(TYPE2&lt;&gt;"")+('Dvd Calendar'!$AR$2017=TYPE3)*(TYPE3&lt;&gt;"")+('Dvd Calendar'!$AR$2017=TYPE4)*(TYPE4&lt;&gt;"")+('Dvd Calendar'!$AR$2017=SPECIAL_LBL)*(INC_SPECIALS="Y"))=0,"",'Dvd Calendar'!$AR$2015)))</f>
        <v/>
      </c>
      <c r="AQ201" s="106">
        <f>IF(FS201="","",IF(ISNUMBER('Dvd Calendar'!$E$2020)=FALSE,"",'Dvd Calendar'!$E$2020))</f>
        <v/>
      </c>
      <c r="AR201" s="106">
        <f>IF(FT201="","",IF(ISNUMBER('Dvd Calendar'!$F$2020)=FALSE,"",'Dvd Calendar'!$F$2020))</f>
        <v/>
      </c>
      <c r="AS201" s="106">
        <f>IF(FU201="","",IF(ISNUMBER('Dvd Calendar'!$G$2020)=FALSE,"",'Dvd Calendar'!$G$2020))</f>
        <v/>
      </c>
      <c r="AT201" s="106">
        <f>IF(FV201="","",IF(ISNUMBER('Dvd Calendar'!$H$2020)=FALSE,"",'Dvd Calendar'!$H$2020))</f>
        <v/>
      </c>
      <c r="AU201" s="106">
        <f>IF(FW201="","",IF(ISNUMBER('Dvd Calendar'!$I$2020)=FALSE,"",'Dvd Calendar'!$I$2020))</f>
        <v/>
      </c>
      <c r="AV201" s="106">
        <f>IF(FX201="","",IF(ISNUMBER('Dvd Calendar'!$J$2020)=FALSE,"",'Dvd Calendar'!$J$2020))</f>
        <v/>
      </c>
      <c r="AW201" s="106">
        <f>IF(FY201="","",IF(ISNUMBER('Dvd Calendar'!$K$2020)=FALSE,"",'Dvd Calendar'!$K$2020))</f>
        <v/>
      </c>
      <c r="AX201" s="106">
        <f>IF(FZ201="","",IF(ISNUMBER('Dvd Calendar'!$L$2020)=FALSE,"",'Dvd Calendar'!$L$2020))</f>
        <v/>
      </c>
      <c r="AY201" s="106">
        <f>IF(GA201="","",IF(ISNUMBER('Dvd Calendar'!$M$2020)=FALSE,"",'Dvd Calendar'!$M$2020))</f>
        <v/>
      </c>
      <c r="AZ201" s="106">
        <f>IF(GB201="","",IF(ISNUMBER('Dvd Calendar'!$N$2020)=FALSE,"",'Dvd Calendar'!$N$2020))</f>
        <v/>
      </c>
      <c r="BA201" s="106">
        <f>IF(GC201="","",IF(ISNUMBER('Dvd Calendar'!$O$2020)=FALSE,"",'Dvd Calendar'!$O$2020))</f>
        <v/>
      </c>
      <c r="BB201" s="106">
        <f>IF(GD201="","",IF(ISNUMBER('Dvd Calendar'!$P$2020)=FALSE,"",'Dvd Calendar'!$P$2020))</f>
        <v/>
      </c>
      <c r="BC201" s="106">
        <f>IF(GE201="","",IF(ISNUMBER('Dvd Calendar'!$Q$2020)=FALSE,"",'Dvd Calendar'!$Q$2020))</f>
        <v/>
      </c>
      <c r="BD201" s="106">
        <f>IF(GF201="","",IF(ISNUMBER('Dvd Calendar'!$R$2020)=FALSE,"",'Dvd Calendar'!$R$2020))</f>
        <v/>
      </c>
      <c r="BE201" s="106">
        <f>IF(GG201="","",IF(ISNUMBER('Dvd Calendar'!$S$2020)=FALSE,"",'Dvd Calendar'!$S$2020))</f>
        <v/>
      </c>
      <c r="BF201" s="106">
        <f>IF(GH201="","",IF(ISNUMBER('Dvd Calendar'!$T$2020)=FALSE,"",'Dvd Calendar'!$T$2020))</f>
        <v/>
      </c>
      <c r="BG201" s="106">
        <f>IF(GI201="","",IF(ISNUMBER('Dvd Calendar'!$U$2020)=FALSE,"",'Dvd Calendar'!$U$2020))</f>
        <v/>
      </c>
      <c r="BH201" s="106">
        <f>IF(GJ201="","",IF(ISNUMBER('Dvd Calendar'!$V$2020)=FALSE,"",'Dvd Calendar'!$V$2020))</f>
        <v/>
      </c>
      <c r="BI201" s="106">
        <f>IF(GK201="","",IF(ISNUMBER('Dvd Calendar'!$W$2020)=FALSE,"",'Dvd Calendar'!$W$2020))</f>
        <v/>
      </c>
      <c r="BJ201" s="106">
        <f>IF(GL201="","",IF(ISNUMBER('Dvd Calendar'!$X$2020)=FALSE,"",'Dvd Calendar'!$X$2020))</f>
        <v/>
      </c>
      <c r="BK201" s="106">
        <f>IF(GM201="","",IF(ISNUMBER('Dvd Calendar'!$Y$2020)=FALSE,"",'Dvd Calendar'!$Y$2020))</f>
        <v/>
      </c>
      <c r="BL201" s="106">
        <f>IF(GN201="","",IF(ISNUMBER('Dvd Calendar'!$Z$2020)=FALSE,"",'Dvd Calendar'!$Z$2020))</f>
        <v/>
      </c>
      <c r="BM201" s="106">
        <f>IF(GO201="","",IF(ISNUMBER('Dvd Calendar'!$AA$2020)=FALSE,"",'Dvd Calendar'!$AA$2020))</f>
        <v/>
      </c>
      <c r="BN201" s="106">
        <f>IF(GP201="","",IF(ISNUMBER('Dvd Calendar'!$AB$2020)=FALSE,"",'Dvd Calendar'!$AB$2020))</f>
        <v/>
      </c>
      <c r="BO201" s="106">
        <f>IF(GQ201="","",IF(ISNUMBER('Dvd Calendar'!$AC$2020)=FALSE,"",'Dvd Calendar'!$AC$2020))</f>
        <v/>
      </c>
      <c r="BQ201" s="106">
        <f>IF(C201="","",IFERROR(C201*HSCEI!$B$48*HSCEI!$G$48/HSCEI!$B$3,""))</f>
        <v/>
      </c>
      <c r="BR201" s="106">
        <f>IF(D201="","",IFERROR(D201*HSCEI!$B$48*HSCEI!$G$48/HSCEI!$B$3,""))</f>
        <v/>
      </c>
      <c r="BS201" s="106">
        <f>IF(E201="","",IFERROR(E201*HSCEI!$B$48*HSCEI!$G$48/HSCEI!$B$3,""))</f>
        <v/>
      </c>
      <c r="BT201" s="106">
        <f>IF(F201="","",IFERROR(F201*HSCEI!$B$48*HSCEI!$G$48/HSCEI!$B$3,""))</f>
        <v/>
      </c>
      <c r="BU201" s="106">
        <f>IF(G201="","",IFERROR(G201*HSCEI!$B$48*HSCEI!$G$48/HSCEI!$B$3,""))</f>
        <v/>
      </c>
      <c r="BV201" s="106">
        <f>IF(H201="","",IFERROR(H201*HSCEI!$B$48*HSCEI!$G$48/HSCEI!$B$3,""))</f>
        <v/>
      </c>
      <c r="BW201" s="106">
        <f>IF(I201="","",IFERROR(I201*HSCEI!$B$48*HSCEI!$G$48/HSCEI!$B$3,""))</f>
        <v/>
      </c>
      <c r="BX201" s="106">
        <f>IF(J201="","",IFERROR(J201*HSCEI!$B$48*HSCEI!$G$48/HSCEI!$B$3,""))</f>
        <v/>
      </c>
      <c r="BY201" s="106">
        <f>IF(K201="","",IFERROR(K201*HSCEI!$B$48*HSCEI!$G$48/HSCEI!$B$3,""))</f>
        <v/>
      </c>
      <c r="BZ201" s="106">
        <f>IF(L201="","",IFERROR(L201*HSCEI!$B$48*HSCEI!$G$48/HSCEI!$B$3,""))</f>
        <v/>
      </c>
      <c r="CA201" s="106">
        <f>IF(M201="","",IFERROR(M201*HSCEI!$B$48*HSCEI!$G$48/HSCEI!$B$3,""))</f>
        <v/>
      </c>
      <c r="CB201" s="106">
        <f>IF(N201="","",IFERROR(N201*HSCEI!$B$48*HSCEI!$G$48/HSCEI!$B$3,""))</f>
        <v/>
      </c>
      <c r="CC201" s="106">
        <f>IF(O201="","",IFERROR(O201*HSCEI!$B$48*HSCEI!$G$48/HSCEI!$B$3,""))</f>
        <v/>
      </c>
      <c r="CD201" s="106">
        <f>IF(P201="","",IFERROR(P201*HSCEI!$B$48*HSCEI!$G$48/HSCEI!$B$3,""))</f>
        <v/>
      </c>
      <c r="CE201" s="106">
        <f>IF(Q201="","",IFERROR(Q201*HSCEI!$B$48*HSCEI!$G$48/HSCEI!$B$3,""))</f>
        <v/>
      </c>
      <c r="CF201" s="106">
        <f>IF(R201="","",IFERROR(R201*HSCEI!$B$48*HSCEI!$G$48/HSCEI!$B$3,""))</f>
        <v/>
      </c>
      <c r="CG201" s="106">
        <f>IF(S201="","",IFERROR(S201*HSCEI!$B$48*HSCEI!$G$48/HSCEI!$B$3,""))</f>
        <v/>
      </c>
      <c r="CH201" s="106">
        <f>IF(T201="","",IFERROR(T201*HSCEI!$B$48*HSCEI!$G$48/HSCEI!$B$3,""))</f>
        <v/>
      </c>
      <c r="CI201" s="106">
        <f>IF(U201="","",IFERROR(U201*HSCEI!$B$48*HSCEI!$G$48/HSCEI!$B$3,""))</f>
        <v/>
      </c>
      <c r="CJ201" s="106">
        <f>IF(V201="","",IFERROR(V201*HSCEI!$B$48*HSCEI!$G$48/HSCEI!$B$3,""))</f>
        <v/>
      </c>
      <c r="CK201" s="106">
        <f>IF(W201="","",IFERROR(W201*HSCEI!$B$48*HSCEI!$G$48/HSCEI!$B$3,""))</f>
        <v/>
      </c>
      <c r="CL201" s="106">
        <f>IF(X201="","",IFERROR(X201*HSCEI!$B$48*HSCEI!$G$48/HSCEI!$B$3,""))</f>
        <v/>
      </c>
      <c r="CM201" s="106">
        <f>IF(Y201="","",IFERROR(Y201*HSCEI!$B$48*HSCEI!$G$48/HSCEI!$B$3,""))</f>
        <v/>
      </c>
      <c r="CN201" s="106">
        <f>IF(Z201="","",IFERROR(Z201*HSCEI!$B$48*HSCEI!$G$48/HSCEI!$B$3,""))</f>
        <v/>
      </c>
      <c r="CO201" s="106">
        <f>IF(AA201="","",IFERROR(AA201*HSCEI!$B$48*HSCEI!$G$48/HSCEI!$B$3,""))</f>
        <v/>
      </c>
      <c r="CP201" s="106">
        <f>IF(AB201="","",IFERROR(AB201*HSCEI!$B$48*HSCEI!$G$48/HSCEI!$B$3,""))</f>
        <v/>
      </c>
      <c r="CQ201" s="106">
        <f>IF(AC201="","",IFERROR(AC201*HSCEI!$B$48*HSCEI!$G$48/HSCEI!$B$3,""))</f>
        <v/>
      </c>
      <c r="CR201" s="106">
        <f>IF(AD201="","",IFERROR(AD201*HSCEI!$B$48*HSCEI!$G$48/HSCEI!$B$3,""))</f>
        <v/>
      </c>
      <c r="CS201" s="106">
        <f>IF(AE201="","",IFERROR(AE201*HSCEI!$B$48*HSCEI!$G$48/HSCEI!$B$3,""))</f>
        <v/>
      </c>
      <c r="CT201" s="106">
        <f>IF(AF201="","",IFERROR(AF201*HSCEI!$B$48*HSCEI!$G$48/HSCEI!$B$3,""))</f>
        <v/>
      </c>
      <c r="CU201" s="106">
        <f>IF(AG201="","",IFERROR(AG201*HSCEI!$B$48*HSCEI!$G$48/HSCEI!$B$3,""))</f>
        <v/>
      </c>
      <c r="CV201" s="106">
        <f>IF(AH201="","",IFERROR(AH201*HSCEI!$B$48*HSCEI!$G$48/HSCEI!$B$3,""))</f>
        <v/>
      </c>
      <c r="CW201" s="106">
        <f>IF(AI201="","",IFERROR(AI201*HSCEI!$B$48*HSCEI!$G$48/HSCEI!$B$3,""))</f>
        <v/>
      </c>
      <c r="CX201" s="106">
        <f>IF(AJ201="","",IFERROR(AJ201*HSCEI!$B$48*HSCEI!$G$48/HSCEI!$B$3,""))</f>
        <v/>
      </c>
      <c r="CY201" s="106">
        <f>IF(AK201="","",IFERROR(AK201*HSCEI!$B$48*HSCEI!$G$48/HSCEI!$B$3,""))</f>
        <v/>
      </c>
      <c r="CZ201" s="106">
        <f>IF(AL201="","",IFERROR(AL201*HSCEI!$B$48*HSCEI!$G$48/HSCEI!$B$3,""))</f>
        <v/>
      </c>
      <c r="DA201" s="106">
        <f>IF(AM201="","",IFERROR(AM201*HSCEI!$B$48*HSCEI!$G$48/HSCEI!$B$3,""))</f>
        <v/>
      </c>
      <c r="DB201" s="106">
        <f>IF(AN201="","",IFERROR(AN201*HSCEI!$B$48*HSCEI!$G$48/HSCEI!$B$3,""))</f>
        <v/>
      </c>
      <c r="DC201" s="106">
        <f>IF(AO201="","",IFERROR(AO201*HSCEI!$B$48*HSCEI!$G$48/HSCEI!$B$3,""))</f>
        <v/>
      </c>
      <c r="DD201" s="106">
        <f>IF(AP201="","",IFERROR(AP201*HSCEI!$B$48*HSCEI!$G$48/HSCEI!$B$3,""))</f>
        <v/>
      </c>
      <c r="DE201" s="106">
        <f>IF(AQ201="","",IFERROR(AQ201*HSCEI!$B$48*HSCEI!$G$48/HSCEI!$B$3,""))</f>
        <v/>
      </c>
      <c r="DF201" s="106">
        <f>IF(AR201="","",IFERROR(AR201*HSCEI!$B$48*HSCEI!$G$48/HSCEI!$B$3,""))</f>
        <v/>
      </c>
      <c r="DG201" s="106">
        <f>IF(AS201="","",IFERROR(AS201*HSCEI!$B$48*HSCEI!$G$48/HSCEI!$B$3,""))</f>
        <v/>
      </c>
      <c r="DH201" s="106">
        <f>IF(AT201="","",IFERROR(AT201*HSCEI!$B$48*HSCEI!$G$48/HSCEI!$B$3,""))</f>
        <v/>
      </c>
      <c r="DI201" s="106">
        <f>IF(AU201="","",IFERROR(AU201*HSCEI!$B$48*HSCEI!$G$48/HSCEI!$B$3,""))</f>
        <v/>
      </c>
      <c r="DJ201" s="106">
        <f>IF(AV201="","",IFERROR(AV201*HSCEI!$B$48*HSCEI!$G$48/HSCEI!$B$3,""))</f>
        <v/>
      </c>
      <c r="DK201" s="106">
        <f>IF(AW201="","",IFERROR(AW201*HSCEI!$B$48*HSCEI!$G$48/HSCEI!$B$3,""))</f>
        <v/>
      </c>
      <c r="DL201" s="106">
        <f>IF(AX201="","",IFERROR(AX201*HSCEI!$B$48*HSCEI!$G$48/HSCEI!$B$3,""))</f>
        <v/>
      </c>
      <c r="DM201" s="106">
        <f>IF(AY201="","",IFERROR(AY201*HSCEI!$B$48*HSCEI!$G$48/HSCEI!$B$3,""))</f>
        <v/>
      </c>
      <c r="DN201" s="106">
        <f>IF(AZ201="","",IFERROR(AZ201*HSCEI!$B$48*HSCEI!$G$48/HSCEI!$B$3,""))</f>
        <v/>
      </c>
      <c r="DO201" s="106">
        <f>IF(BA201="","",IFERROR(BA201*HSCEI!$B$48*HSCEI!$G$48/HSCEI!$B$3,""))</f>
        <v/>
      </c>
      <c r="DP201" s="106">
        <f>IF(BB201="","",IFERROR(BB201*HSCEI!$B$48*HSCEI!$G$48/HSCEI!$B$3,""))</f>
        <v/>
      </c>
      <c r="DQ201" s="106">
        <f>IF(BC201="","",IFERROR(BC201*HSCEI!$B$48*HSCEI!$G$48/HSCEI!$B$3,""))</f>
        <v/>
      </c>
      <c r="DR201" s="106">
        <f>IF(BD201="","",IFERROR(BD201*HSCEI!$B$48*HSCEI!$G$48/HSCEI!$B$3,""))</f>
        <v/>
      </c>
      <c r="DS201" s="106">
        <f>IF(BE201="","",IFERROR(BE201*HSCEI!$B$48*HSCEI!$G$48/HSCEI!$B$3,""))</f>
        <v/>
      </c>
      <c r="DT201" s="106">
        <f>IF(BF201="","",IFERROR(BF201*HSCEI!$B$48*HSCEI!$G$48/HSCEI!$B$3,""))</f>
        <v/>
      </c>
      <c r="DU201" s="106">
        <f>IF(BG201="","",IFERROR(BG201*HSCEI!$B$48*HSCEI!$G$48/HSCEI!$B$3,""))</f>
        <v/>
      </c>
      <c r="DV201" s="106">
        <f>IF(BH201="","",IFERROR(BH201*HSCEI!$B$48*HSCEI!$G$48/HSCEI!$B$3,""))</f>
        <v/>
      </c>
      <c r="DW201" s="106">
        <f>IF(BI201="","",IFERROR(BI201*HSCEI!$B$48*HSCEI!$G$48/HSCEI!$B$3,""))</f>
        <v/>
      </c>
      <c r="DX201" s="106">
        <f>IF(BJ201="","",IFERROR(BJ201*HSCEI!$B$48*HSCEI!$G$48/HSCEI!$B$3,""))</f>
        <v/>
      </c>
      <c r="DY201" s="106">
        <f>IF(BK201="","",IFERROR(BK201*HSCEI!$B$48*HSCEI!$G$48/HSCEI!$B$3,""))</f>
        <v/>
      </c>
      <c r="DZ201" s="106">
        <f>IF(BL201="","",IFERROR(BL201*HSCEI!$B$48*HSCEI!$G$48/HSCEI!$B$3,""))</f>
        <v/>
      </c>
      <c r="EA201" s="106">
        <f>IF(BM201="","",IFERROR(BM201*HSCEI!$B$48*HSCEI!$G$48/HSCEI!$B$3,""))</f>
        <v/>
      </c>
      <c r="EB201" s="106">
        <f>IF(BN201="","",IFERROR(BN201*HSCEI!$B$48*HSCEI!$G$48/HSCEI!$B$3,""))</f>
        <v/>
      </c>
      <c r="EC201" s="106">
        <f>IF(BO201="","",IFERROR(BO201*HSCEI!$B$48*HSCEI!$G$48/HSCEI!$B$3,""))</f>
        <v/>
      </c>
      <c r="EE201" s="35">
        <f>IF(N('Dvd Calendar'!$E$2012)=0,"",IF(('Dvd Calendar'!$E$2012&gt;=GRID_FROM)*('Dvd Calendar'!$E$2012&lt;=GRID_TO)*('Dvd Calendar'!$E$2012&lt;=VAL_DATE)=0,"",'Dvd Calendar'!$E$2012*1000000000+ISNUMBER('Dvd Calendar'!$E$2015)*100000000+('Dvd Calendar'!$E$2017=SPECIAL_LBL)*10000000+0*1000000+42*1000+1))</f>
        <v/>
      </c>
      <c r="EF201" s="35">
        <f>IF(N('Dvd Calendar'!$F$2012)=0,"",IF(('Dvd Calendar'!$F$2012&gt;=GRID_FROM)*('Dvd Calendar'!$F$2012&lt;=GRID_TO)*('Dvd Calendar'!$F$2012&lt;=VAL_DATE)=0,"",'Dvd Calendar'!$F$2012*1000000000+ISNUMBER('Dvd Calendar'!$F$2015)*100000000+('Dvd Calendar'!$F$2017=SPECIAL_LBL)*10000000+0*1000000+42*1000+2))</f>
        <v/>
      </c>
      <c r="EG201" s="35">
        <f>IF(N('Dvd Calendar'!$G$2012)=0,"",IF(('Dvd Calendar'!$G$2012&gt;=GRID_FROM)*('Dvd Calendar'!$G$2012&lt;=GRID_TO)*('Dvd Calendar'!$G$2012&lt;=VAL_DATE)=0,"",'Dvd Calendar'!$G$2012*1000000000+ISNUMBER('Dvd Calendar'!$G$2015)*100000000+('Dvd Calendar'!$G$2017=SPECIAL_LBL)*10000000+0*1000000+42*1000+3))</f>
        <v/>
      </c>
      <c r="EH201" s="35">
        <f>IF(N('Dvd Calendar'!$H$2012)=0,"",IF(('Dvd Calendar'!$H$2012&gt;=GRID_FROM)*('Dvd Calendar'!$H$2012&lt;=GRID_TO)*('Dvd Calendar'!$H$2012&lt;=VAL_DATE)=0,"",'Dvd Calendar'!$H$2012*1000000000+ISNUMBER('Dvd Calendar'!$H$2015)*100000000+('Dvd Calendar'!$H$2017=SPECIAL_LBL)*10000000+0*1000000+42*1000+4))</f>
        <v/>
      </c>
      <c r="EI201" s="35">
        <f>IF(N('Dvd Calendar'!$I$2012)=0,"",IF(('Dvd Calendar'!$I$2012&gt;=GRID_FROM)*('Dvd Calendar'!$I$2012&lt;=GRID_TO)*('Dvd Calendar'!$I$2012&lt;=VAL_DATE)=0,"",'Dvd Calendar'!$I$2012*1000000000+ISNUMBER('Dvd Calendar'!$I$2015)*100000000+('Dvd Calendar'!$I$2017=SPECIAL_LBL)*10000000+0*1000000+42*1000+5))</f>
        <v/>
      </c>
      <c r="EJ201" s="35">
        <f>IF(N('Dvd Calendar'!$J$2012)=0,"",IF(('Dvd Calendar'!$J$2012&gt;=GRID_FROM)*('Dvd Calendar'!$J$2012&lt;=GRID_TO)*('Dvd Calendar'!$J$2012&lt;=VAL_DATE)=0,"",'Dvd Calendar'!$J$2012*1000000000+ISNUMBER('Dvd Calendar'!$J$2015)*100000000+('Dvd Calendar'!$J$2017=SPECIAL_LBL)*10000000+0*1000000+42*1000+6))</f>
        <v/>
      </c>
      <c r="EK201" s="35">
        <f>IF(N('Dvd Calendar'!$K$2012)=0,"",IF(('Dvd Calendar'!$K$2012&gt;=GRID_FROM)*('Dvd Calendar'!$K$2012&lt;=GRID_TO)*('Dvd Calendar'!$K$2012&lt;=VAL_DATE)=0,"",'Dvd Calendar'!$K$2012*1000000000+ISNUMBER('Dvd Calendar'!$K$2015)*100000000+('Dvd Calendar'!$K$2017=SPECIAL_LBL)*10000000+0*1000000+42*1000+7))</f>
        <v/>
      </c>
      <c r="EL201" s="35">
        <f>IF(N('Dvd Calendar'!$L$2012)=0,"",IF(('Dvd Calendar'!$L$2012&gt;=GRID_FROM)*('Dvd Calendar'!$L$2012&lt;=GRID_TO)*('Dvd Calendar'!$L$2012&lt;=VAL_DATE)=0,"",'Dvd Calendar'!$L$2012*1000000000+ISNUMBER('Dvd Calendar'!$L$2015)*100000000+('Dvd Calendar'!$L$2017=SPECIAL_LBL)*10000000+0*1000000+42*1000+8))</f>
        <v/>
      </c>
      <c r="EM201" s="35">
        <f>IF(N('Dvd Calendar'!$M$2012)=0,"",IF(('Dvd Calendar'!$M$2012&gt;=GRID_FROM)*('Dvd Calendar'!$M$2012&lt;=GRID_TO)*('Dvd Calendar'!$M$2012&lt;=VAL_DATE)=0,"",'Dvd Calendar'!$M$2012*1000000000+ISNUMBER('Dvd Calendar'!$M$2015)*100000000+('Dvd Calendar'!$M$2017=SPECIAL_LBL)*10000000+0*1000000+42*1000+9))</f>
        <v/>
      </c>
      <c r="EN201" s="35">
        <f>IF(N('Dvd Calendar'!$N$2012)=0,"",IF(('Dvd Calendar'!$N$2012&gt;=GRID_FROM)*('Dvd Calendar'!$N$2012&lt;=GRID_TO)*('Dvd Calendar'!$N$2012&lt;=VAL_DATE)=0,"",'Dvd Calendar'!$N$2012*1000000000+ISNUMBER('Dvd Calendar'!$N$2015)*100000000+('Dvd Calendar'!$N$2017=SPECIAL_LBL)*10000000+0*1000000+42*1000+10))</f>
        <v/>
      </c>
      <c r="EO201" s="35">
        <f>IF(N('Dvd Calendar'!$O$2012)=0,"",IF(('Dvd Calendar'!$O$2012&gt;=GRID_FROM)*('Dvd Calendar'!$O$2012&lt;=GRID_TO)*('Dvd Calendar'!$O$2012&lt;=VAL_DATE)=0,"",'Dvd Calendar'!$O$2012*1000000000+ISNUMBER('Dvd Calendar'!$O$2015)*100000000+('Dvd Calendar'!$O$2017=SPECIAL_LBL)*10000000+0*1000000+42*1000+11))</f>
        <v/>
      </c>
      <c r="EP201" s="35">
        <f>IF(N('Dvd Calendar'!$P$2012)=0,"",IF(('Dvd Calendar'!$P$2012&gt;=GRID_FROM)*('Dvd Calendar'!$P$2012&lt;=GRID_TO)*('Dvd Calendar'!$P$2012&lt;=VAL_DATE)=0,"",'Dvd Calendar'!$P$2012*1000000000+ISNUMBER('Dvd Calendar'!$P$2015)*100000000+('Dvd Calendar'!$P$2017=SPECIAL_LBL)*10000000+0*1000000+42*1000+12))</f>
        <v/>
      </c>
      <c r="EQ201" s="35">
        <f>IF(N('Dvd Calendar'!$Q$2012)=0,"",IF(('Dvd Calendar'!$Q$2012&gt;=GRID_FROM)*('Dvd Calendar'!$Q$2012&lt;=GRID_TO)*('Dvd Calendar'!$Q$2012&lt;=VAL_DATE)=0,"",'Dvd Calendar'!$Q$2012*1000000000+ISNUMBER('Dvd Calendar'!$Q$2015)*100000000+('Dvd Calendar'!$Q$2017=SPECIAL_LBL)*10000000+0*1000000+42*1000+13))</f>
        <v/>
      </c>
      <c r="ER201" s="35">
        <f>IF(N('Dvd Calendar'!$R$2012)=0,"",IF(('Dvd Calendar'!$R$2012&gt;=GRID_FROM)*('Dvd Calendar'!$R$2012&lt;=GRID_TO)*('Dvd Calendar'!$R$2012&lt;=VAL_DATE)=0,"",'Dvd Calendar'!$R$2012*1000000000+ISNUMBER('Dvd Calendar'!$R$2015)*100000000+('Dvd Calendar'!$R$2017=SPECIAL_LBL)*10000000+0*1000000+42*1000+14))</f>
        <v/>
      </c>
      <c r="ES201" s="35">
        <f>IF(N('Dvd Calendar'!$S$2012)=0,"",IF(('Dvd Calendar'!$S$2012&gt;=GRID_FROM)*('Dvd Calendar'!$S$2012&lt;=GRID_TO)*('Dvd Calendar'!$S$2012&lt;=VAL_DATE)=0,"",'Dvd Calendar'!$S$2012*1000000000+ISNUMBER('Dvd Calendar'!$S$2015)*100000000+('Dvd Calendar'!$S$2017=SPECIAL_LBL)*10000000+0*1000000+42*1000+15))</f>
        <v/>
      </c>
      <c r="ET201" s="35">
        <f>IF(N('Dvd Calendar'!$T$2012)=0,"",IF(('Dvd Calendar'!$T$2012&gt;=GRID_FROM)*('Dvd Calendar'!$T$2012&lt;=GRID_TO)*('Dvd Calendar'!$T$2012&lt;=VAL_DATE)=0,"",'Dvd Calendar'!$T$2012*1000000000+ISNUMBER('Dvd Calendar'!$T$2015)*100000000+('Dvd Calendar'!$T$2017=SPECIAL_LBL)*10000000+0*1000000+42*1000+16))</f>
        <v/>
      </c>
      <c r="EU201" s="35">
        <f>IF(N('Dvd Calendar'!$U$2012)=0,"",IF(('Dvd Calendar'!$U$2012&gt;=GRID_FROM)*('Dvd Calendar'!$U$2012&lt;=GRID_TO)*('Dvd Calendar'!$U$2012&lt;=VAL_DATE)=0,"",'Dvd Calendar'!$U$2012*1000000000+ISNUMBER('Dvd Calendar'!$U$2015)*100000000+('Dvd Calendar'!$U$2017=SPECIAL_LBL)*10000000+0*1000000+42*1000+17))</f>
        <v/>
      </c>
      <c r="EV201" s="35">
        <f>IF(N('Dvd Calendar'!$V$2012)=0,"",IF(('Dvd Calendar'!$V$2012&gt;=GRID_FROM)*('Dvd Calendar'!$V$2012&lt;=GRID_TO)*('Dvd Calendar'!$V$2012&lt;=VAL_DATE)=0,"",'Dvd Calendar'!$V$2012*1000000000+ISNUMBER('Dvd Calendar'!$V$2015)*100000000+('Dvd Calendar'!$V$2017=SPECIAL_LBL)*10000000+0*1000000+42*1000+18))</f>
        <v/>
      </c>
      <c r="EW201" s="35">
        <f>IF(N('Dvd Calendar'!$W$2012)=0,"",IF(('Dvd Calendar'!$W$2012&gt;=GRID_FROM)*('Dvd Calendar'!$W$2012&lt;=GRID_TO)*('Dvd Calendar'!$W$2012&lt;=VAL_DATE)=0,"",'Dvd Calendar'!$W$2012*1000000000+ISNUMBER('Dvd Calendar'!$W$2015)*100000000+('Dvd Calendar'!$W$2017=SPECIAL_LBL)*10000000+0*1000000+42*1000+19))</f>
        <v/>
      </c>
      <c r="EX201" s="35">
        <f>IF(N('Dvd Calendar'!$X$2012)=0,"",IF(('Dvd Calendar'!$X$2012&gt;=GRID_FROM)*('Dvd Calendar'!$X$2012&lt;=GRID_TO)*('Dvd Calendar'!$X$2012&lt;=VAL_DATE)=0,"",'Dvd Calendar'!$X$2012*1000000000+ISNUMBER('Dvd Calendar'!$X$2015)*100000000+('Dvd Calendar'!$X$2017=SPECIAL_LBL)*10000000+0*1000000+42*1000+20))</f>
        <v/>
      </c>
      <c r="EY201" s="35">
        <f>IF(N('Dvd Calendar'!$Y$2012)=0,"",IF(('Dvd Calendar'!$Y$2012&gt;=GRID_FROM)*('Dvd Calendar'!$Y$2012&lt;=GRID_TO)*('Dvd Calendar'!$Y$2012&lt;=VAL_DATE)=0,"",'Dvd Calendar'!$Y$2012*1000000000+ISNUMBER('Dvd Calendar'!$Y$2015)*100000000+('Dvd Calendar'!$Y$2017=SPECIAL_LBL)*10000000+0*1000000+42*1000+21))</f>
        <v/>
      </c>
      <c r="EZ201" s="35">
        <f>IF(N('Dvd Calendar'!$Z$2012)=0,"",IF(('Dvd Calendar'!$Z$2012&gt;=GRID_FROM)*('Dvd Calendar'!$Z$2012&lt;=GRID_TO)*('Dvd Calendar'!$Z$2012&lt;=VAL_DATE)=0,"",'Dvd Calendar'!$Z$2012*1000000000+ISNUMBER('Dvd Calendar'!$Z$2015)*100000000+('Dvd Calendar'!$Z$2017=SPECIAL_LBL)*10000000+0*1000000+42*1000+22))</f>
        <v/>
      </c>
      <c r="FA201" s="35">
        <f>IF(N('Dvd Calendar'!$AA$2012)=0,"",IF(('Dvd Calendar'!$AA$2012&gt;=GRID_FROM)*('Dvd Calendar'!$AA$2012&lt;=GRID_TO)*('Dvd Calendar'!$AA$2012&lt;=VAL_DATE)=0,"",'Dvd Calendar'!$AA$2012*1000000000+ISNUMBER('Dvd Calendar'!$AA$2015)*100000000+('Dvd Calendar'!$AA$2017=SPECIAL_LBL)*10000000+0*1000000+42*1000+23))</f>
        <v/>
      </c>
      <c r="FB201" s="35">
        <f>IF(N('Dvd Calendar'!$AB$2012)=0,"",IF(('Dvd Calendar'!$AB$2012&gt;=GRID_FROM)*('Dvd Calendar'!$AB$2012&lt;=GRID_TO)*('Dvd Calendar'!$AB$2012&lt;=VAL_DATE)=0,"",'Dvd Calendar'!$AB$2012*1000000000+ISNUMBER('Dvd Calendar'!$AB$2015)*100000000+('Dvd Calendar'!$AB$2017=SPECIAL_LBL)*10000000+0*1000000+42*1000+24))</f>
        <v/>
      </c>
      <c r="FC201" s="35">
        <f>IF(N('Dvd Calendar'!$AC$2012)=0,"",IF(('Dvd Calendar'!$AC$2012&gt;=GRID_FROM)*('Dvd Calendar'!$AC$2012&lt;=GRID_TO)*('Dvd Calendar'!$AC$2012&lt;=VAL_DATE)=0,"",'Dvd Calendar'!$AC$2012*1000000000+ISNUMBER('Dvd Calendar'!$AC$2015)*100000000+('Dvd Calendar'!$AC$2017=SPECIAL_LBL)*10000000+0*1000000+42*1000+25))</f>
        <v/>
      </c>
      <c r="FD201" s="35">
        <f>IF(N('Dvd Calendar'!$AD$2012)=0,"",IF(('Dvd Calendar'!$AD$2012&gt;=GRID_FROM)*('Dvd Calendar'!$AD$2012&lt;=GRID_TO)*('Dvd Calendar'!$AD$2012&lt;=VAL_DATE)=0,"",'Dvd Calendar'!$AD$2012*1000000000+ISNUMBER('Dvd Calendar'!$AD$2015)*100000000+('Dvd Calendar'!$AD$2017=SPECIAL_LBL)*10000000+0*1000000+42*1000+26))</f>
        <v/>
      </c>
      <c r="FE201" s="35">
        <f>IF(N('Dvd Calendar'!$AE$2012)=0,"",IF(('Dvd Calendar'!$AE$2012&gt;=GRID_FROM)*('Dvd Calendar'!$AE$2012&lt;=GRID_TO)*('Dvd Calendar'!$AE$2012&lt;=VAL_DATE)=0,"",'Dvd Calendar'!$AE$2012*1000000000+ISNUMBER('Dvd Calendar'!$AE$2015)*100000000+('Dvd Calendar'!$AE$2017=SPECIAL_LBL)*10000000+0*1000000+42*1000+27))</f>
        <v/>
      </c>
      <c r="FF201" s="35">
        <f>IF(N('Dvd Calendar'!$AF$2012)=0,"",IF(('Dvd Calendar'!$AF$2012&gt;=GRID_FROM)*('Dvd Calendar'!$AF$2012&lt;=GRID_TO)*('Dvd Calendar'!$AF$2012&lt;=VAL_DATE)=0,"",'Dvd Calendar'!$AF$2012*1000000000+ISNUMBER('Dvd Calendar'!$AF$2015)*100000000+('Dvd Calendar'!$AF$2017=SPECIAL_LBL)*10000000+0*1000000+42*1000+28))</f>
        <v/>
      </c>
      <c r="FG201" s="35">
        <f>IF(N('Dvd Calendar'!$AG$2012)=0,"",IF(('Dvd Calendar'!$AG$2012&gt;=GRID_FROM)*('Dvd Calendar'!$AG$2012&lt;=GRID_TO)*('Dvd Calendar'!$AG$2012&lt;=VAL_DATE)=0,"",'Dvd Calendar'!$AG$2012*1000000000+ISNUMBER('Dvd Calendar'!$AG$2015)*100000000+('Dvd Calendar'!$AG$2017=SPECIAL_LBL)*10000000+0*1000000+42*1000+29))</f>
        <v/>
      </c>
      <c r="FH201" s="35">
        <f>IF(N('Dvd Calendar'!$AH$2012)=0,"",IF(('Dvd Calendar'!$AH$2012&gt;=GRID_FROM)*('Dvd Calendar'!$AH$2012&lt;=GRID_TO)*('Dvd Calendar'!$AH$2012&lt;=VAL_DATE)=0,"",'Dvd Calendar'!$AH$2012*1000000000+ISNUMBER('Dvd Calendar'!$AH$2015)*100000000+('Dvd Calendar'!$AH$2017=SPECIAL_LBL)*10000000+0*1000000+42*1000+30))</f>
        <v/>
      </c>
      <c r="FI201" s="35">
        <f>IF(N('Dvd Calendar'!$AI$2012)=0,"",IF(('Dvd Calendar'!$AI$2012&gt;=GRID_FROM)*('Dvd Calendar'!$AI$2012&lt;=GRID_TO)*('Dvd Calendar'!$AI$2012&lt;=VAL_DATE)=0,"",'Dvd Calendar'!$AI$2012*1000000000+ISNUMBER('Dvd Calendar'!$AI$2015)*100000000+('Dvd Calendar'!$AI$2017=SPECIAL_LBL)*10000000+0*1000000+42*1000+31))</f>
        <v/>
      </c>
      <c r="FJ201" s="35">
        <f>IF(N('Dvd Calendar'!$AJ$2012)=0,"",IF(('Dvd Calendar'!$AJ$2012&gt;=GRID_FROM)*('Dvd Calendar'!$AJ$2012&lt;=GRID_TO)*('Dvd Calendar'!$AJ$2012&lt;=VAL_DATE)=0,"",'Dvd Calendar'!$AJ$2012*1000000000+ISNUMBER('Dvd Calendar'!$AJ$2015)*100000000+('Dvd Calendar'!$AJ$2017=SPECIAL_LBL)*10000000+0*1000000+42*1000+32))</f>
        <v/>
      </c>
      <c r="FK201" s="35">
        <f>IF(N('Dvd Calendar'!$AK$2012)=0,"",IF(('Dvd Calendar'!$AK$2012&gt;=GRID_FROM)*('Dvd Calendar'!$AK$2012&lt;=GRID_TO)*('Dvd Calendar'!$AK$2012&lt;=VAL_DATE)=0,"",'Dvd Calendar'!$AK$2012*1000000000+ISNUMBER('Dvd Calendar'!$AK$2015)*100000000+('Dvd Calendar'!$AK$2017=SPECIAL_LBL)*10000000+0*1000000+42*1000+33))</f>
        <v/>
      </c>
      <c r="FL201" s="35">
        <f>IF(N('Dvd Calendar'!$AL$2012)=0,"",IF(('Dvd Calendar'!$AL$2012&gt;=GRID_FROM)*('Dvd Calendar'!$AL$2012&lt;=GRID_TO)*('Dvd Calendar'!$AL$2012&lt;=VAL_DATE)=0,"",'Dvd Calendar'!$AL$2012*1000000000+ISNUMBER('Dvd Calendar'!$AL$2015)*100000000+('Dvd Calendar'!$AL$2017=SPECIAL_LBL)*10000000+0*1000000+42*1000+34))</f>
        <v/>
      </c>
      <c r="FM201" s="35">
        <f>IF(N('Dvd Calendar'!$AM$2012)=0,"",IF(('Dvd Calendar'!$AM$2012&gt;=GRID_FROM)*('Dvd Calendar'!$AM$2012&lt;=GRID_TO)*('Dvd Calendar'!$AM$2012&lt;=VAL_DATE)=0,"",'Dvd Calendar'!$AM$2012*1000000000+ISNUMBER('Dvd Calendar'!$AM$2015)*100000000+('Dvd Calendar'!$AM$2017=SPECIAL_LBL)*10000000+0*1000000+42*1000+35))</f>
        <v/>
      </c>
      <c r="FN201" s="35">
        <f>IF(N('Dvd Calendar'!$AN$2012)=0,"",IF(('Dvd Calendar'!$AN$2012&gt;=GRID_FROM)*('Dvd Calendar'!$AN$2012&lt;=GRID_TO)*('Dvd Calendar'!$AN$2012&lt;=VAL_DATE)=0,"",'Dvd Calendar'!$AN$2012*1000000000+ISNUMBER('Dvd Calendar'!$AN$2015)*100000000+('Dvd Calendar'!$AN$2017=SPECIAL_LBL)*10000000+0*1000000+42*1000+36))</f>
        <v/>
      </c>
      <c r="FO201" s="35">
        <f>IF(N('Dvd Calendar'!$AO$2012)=0,"",IF(('Dvd Calendar'!$AO$2012&gt;=GRID_FROM)*('Dvd Calendar'!$AO$2012&lt;=GRID_TO)*('Dvd Calendar'!$AO$2012&lt;=VAL_DATE)=0,"",'Dvd Calendar'!$AO$2012*1000000000+ISNUMBER('Dvd Calendar'!$AO$2015)*100000000+('Dvd Calendar'!$AO$2017=SPECIAL_LBL)*10000000+0*1000000+42*1000+37))</f>
        <v/>
      </c>
      <c r="FP201" s="35">
        <f>IF(N('Dvd Calendar'!$AP$2012)=0,"",IF(('Dvd Calendar'!$AP$2012&gt;=GRID_FROM)*('Dvd Calendar'!$AP$2012&lt;=GRID_TO)*('Dvd Calendar'!$AP$2012&lt;=VAL_DATE)=0,"",'Dvd Calendar'!$AP$2012*1000000000+ISNUMBER('Dvd Calendar'!$AP$2015)*100000000+('Dvd Calendar'!$AP$2017=SPECIAL_LBL)*10000000+0*1000000+42*1000+38))</f>
        <v/>
      </c>
      <c r="FQ201" s="35">
        <f>IF(N('Dvd Calendar'!$AQ$2012)=0,"",IF(('Dvd Calendar'!$AQ$2012&gt;=GRID_FROM)*('Dvd Calendar'!$AQ$2012&lt;=GRID_TO)*('Dvd Calendar'!$AQ$2012&lt;=VAL_DATE)=0,"",'Dvd Calendar'!$AQ$2012*1000000000+ISNUMBER('Dvd Calendar'!$AQ$2015)*100000000+('Dvd Calendar'!$AQ$2017=SPECIAL_LBL)*10000000+0*1000000+42*1000+39))</f>
        <v/>
      </c>
      <c r="FR201" s="35">
        <f>IF(N('Dvd Calendar'!$AR$2012)=0,"",IF(('Dvd Calendar'!$AR$2012&gt;=GRID_FROM)*('Dvd Calendar'!$AR$2012&lt;=GRID_TO)*('Dvd Calendar'!$AR$2012&lt;=VAL_DATE)=0,"",'Dvd Calendar'!$AR$2012*1000000000+ISNUMBER('Dvd Calendar'!$AR$2015)*100000000+('Dvd Calendar'!$AR$2017=SPECIAL_LBL)*10000000+0*1000000+42*1000+40))</f>
        <v/>
      </c>
      <c r="FS201" s="35">
        <f>IF(N('Dvd Calendar'!$E$2019)=0,"",IF(('Dvd Calendar'!$E$2019&gt;=GRID_FROM)*('Dvd Calendar'!$E$2019&lt;=GRID_TO)*('Dvd Calendar'!$E$2019&gt;VAL_DATE)=0,"",'Dvd Calendar'!$E$2019*1000000000+ISNUMBER('Dvd Calendar'!$E$2020)*100000000+0*10000000+(N('Dvd Calendar'!$E$2018)&gt;0)*(N('Dvd Calendar'!$E$2018)&lt;=VAL_SERIAL)*1000000+42*1000+41))</f>
        <v/>
      </c>
      <c r="FT201" s="35">
        <f>IF(N('Dvd Calendar'!$F$2019)=0,"",IF(('Dvd Calendar'!$F$2019&gt;=GRID_FROM)*('Dvd Calendar'!$F$2019&lt;=GRID_TO)*('Dvd Calendar'!$F$2019&gt;VAL_DATE)=0,"",'Dvd Calendar'!$F$2019*1000000000+ISNUMBER('Dvd Calendar'!$F$2020)*100000000+0*10000000+(N('Dvd Calendar'!$F$2018)&gt;0)*(N('Dvd Calendar'!$F$2018)&lt;=VAL_SERIAL)*1000000+42*1000+42))</f>
        <v/>
      </c>
      <c r="FU201" s="35">
        <f>IF(N('Dvd Calendar'!$G$2019)=0,"",IF(('Dvd Calendar'!$G$2019&gt;=GRID_FROM)*('Dvd Calendar'!$G$2019&lt;=GRID_TO)*('Dvd Calendar'!$G$2019&gt;VAL_DATE)=0,"",'Dvd Calendar'!$G$2019*1000000000+ISNUMBER('Dvd Calendar'!$G$2020)*100000000+0*10000000+(N('Dvd Calendar'!$G$2018)&gt;0)*(N('Dvd Calendar'!$G$2018)&lt;=VAL_SERIAL)*1000000+42*1000+43))</f>
        <v/>
      </c>
      <c r="FV201" s="35">
        <f>IF(N('Dvd Calendar'!$H$2019)=0,"",IF(('Dvd Calendar'!$H$2019&gt;=GRID_FROM)*('Dvd Calendar'!$H$2019&lt;=GRID_TO)*('Dvd Calendar'!$H$2019&gt;VAL_DATE)=0,"",'Dvd Calendar'!$H$2019*1000000000+ISNUMBER('Dvd Calendar'!$H$2020)*100000000+0*10000000+(N('Dvd Calendar'!$H$2018)&gt;0)*(N('Dvd Calendar'!$H$2018)&lt;=VAL_SERIAL)*1000000+42*1000+44))</f>
        <v/>
      </c>
      <c r="FW201" s="35">
        <f>IF(N('Dvd Calendar'!$I$2019)=0,"",IF(('Dvd Calendar'!$I$2019&gt;=GRID_FROM)*('Dvd Calendar'!$I$2019&lt;=GRID_TO)*('Dvd Calendar'!$I$2019&gt;VAL_DATE)=0,"",'Dvd Calendar'!$I$2019*1000000000+ISNUMBER('Dvd Calendar'!$I$2020)*100000000+0*10000000+(N('Dvd Calendar'!$I$2018)&gt;0)*(N('Dvd Calendar'!$I$2018)&lt;=VAL_SERIAL)*1000000+42*1000+45))</f>
        <v/>
      </c>
      <c r="FX201" s="35">
        <f>IF(N('Dvd Calendar'!$J$2019)=0,"",IF(('Dvd Calendar'!$J$2019&gt;=GRID_FROM)*('Dvd Calendar'!$J$2019&lt;=GRID_TO)*('Dvd Calendar'!$J$2019&gt;VAL_DATE)=0,"",'Dvd Calendar'!$J$2019*1000000000+ISNUMBER('Dvd Calendar'!$J$2020)*100000000+0*10000000+(N('Dvd Calendar'!$J$2018)&gt;0)*(N('Dvd Calendar'!$J$2018)&lt;=VAL_SERIAL)*1000000+42*1000+46))</f>
        <v/>
      </c>
      <c r="FY201" s="35">
        <f>IF(N('Dvd Calendar'!$K$2019)=0,"",IF(('Dvd Calendar'!$K$2019&gt;=GRID_FROM)*('Dvd Calendar'!$K$2019&lt;=GRID_TO)*('Dvd Calendar'!$K$2019&gt;VAL_DATE)=0,"",'Dvd Calendar'!$K$2019*1000000000+ISNUMBER('Dvd Calendar'!$K$2020)*100000000+0*10000000+(N('Dvd Calendar'!$K$2018)&gt;0)*(N('Dvd Calendar'!$K$2018)&lt;=VAL_SERIAL)*1000000+42*1000+47))</f>
        <v/>
      </c>
      <c r="FZ201" s="35">
        <f>IF(N('Dvd Calendar'!$L$2019)=0,"",IF(('Dvd Calendar'!$L$2019&gt;=GRID_FROM)*('Dvd Calendar'!$L$2019&lt;=GRID_TO)*('Dvd Calendar'!$L$2019&gt;VAL_DATE)=0,"",'Dvd Calendar'!$L$2019*1000000000+ISNUMBER('Dvd Calendar'!$L$2020)*100000000+0*10000000+(N('Dvd Calendar'!$L$2018)&gt;0)*(N('Dvd Calendar'!$L$2018)&lt;=VAL_SERIAL)*1000000+42*1000+48))</f>
        <v/>
      </c>
      <c r="GA201" s="35">
        <f>IF(N('Dvd Calendar'!$M$2019)=0,"",IF(('Dvd Calendar'!$M$2019&gt;=GRID_FROM)*('Dvd Calendar'!$M$2019&lt;=GRID_TO)*('Dvd Calendar'!$M$2019&gt;VAL_DATE)=0,"",'Dvd Calendar'!$M$2019*1000000000+ISNUMBER('Dvd Calendar'!$M$2020)*100000000+0*10000000+(N('Dvd Calendar'!$M$2018)&gt;0)*(N('Dvd Calendar'!$M$2018)&lt;=VAL_SERIAL)*1000000+42*1000+49))</f>
        <v/>
      </c>
      <c r="GB201" s="35">
        <f>IF(N('Dvd Calendar'!$N$2019)=0,"",IF(('Dvd Calendar'!$N$2019&gt;=GRID_FROM)*('Dvd Calendar'!$N$2019&lt;=GRID_TO)*('Dvd Calendar'!$N$2019&gt;VAL_DATE)=0,"",'Dvd Calendar'!$N$2019*1000000000+ISNUMBER('Dvd Calendar'!$N$2020)*100000000+0*10000000+(N('Dvd Calendar'!$N$2018)&gt;0)*(N('Dvd Calendar'!$N$2018)&lt;=VAL_SERIAL)*1000000+42*1000+50))</f>
        <v/>
      </c>
      <c r="GC201" s="35">
        <f>IF(N('Dvd Calendar'!$O$2019)=0,"",IF(('Dvd Calendar'!$O$2019&gt;=GRID_FROM)*('Dvd Calendar'!$O$2019&lt;=GRID_TO)*('Dvd Calendar'!$O$2019&gt;VAL_DATE)=0,"",'Dvd Calendar'!$O$2019*1000000000+ISNUMBER('Dvd Calendar'!$O$2020)*100000000+0*10000000+(N('Dvd Calendar'!$O$2018)&gt;0)*(N('Dvd Calendar'!$O$2018)&lt;=VAL_SERIAL)*1000000+42*1000+51))</f>
        <v/>
      </c>
      <c r="GD201" s="35">
        <f>IF(N('Dvd Calendar'!$P$2019)=0,"",IF(('Dvd Calendar'!$P$2019&gt;=GRID_FROM)*('Dvd Calendar'!$P$2019&lt;=GRID_TO)*('Dvd Calendar'!$P$2019&gt;VAL_DATE)=0,"",'Dvd Calendar'!$P$2019*1000000000+ISNUMBER('Dvd Calendar'!$P$2020)*100000000+0*10000000+(N('Dvd Calendar'!$P$2018)&gt;0)*(N('Dvd Calendar'!$P$2018)&lt;=VAL_SERIAL)*1000000+42*1000+52))</f>
        <v/>
      </c>
      <c r="GE201" s="35">
        <f>IF(N('Dvd Calendar'!$Q$2019)=0,"",IF(('Dvd Calendar'!$Q$2019&gt;=GRID_FROM)*('Dvd Calendar'!$Q$2019&lt;=GRID_TO)*('Dvd Calendar'!$Q$2019&gt;VAL_DATE)=0,"",'Dvd Calendar'!$Q$2019*1000000000+ISNUMBER('Dvd Calendar'!$Q$2020)*100000000+0*10000000+(N('Dvd Calendar'!$Q$2018)&gt;0)*(N('Dvd Calendar'!$Q$2018)&lt;=VAL_SERIAL)*1000000+42*1000+53))</f>
        <v/>
      </c>
      <c r="GF201" s="35">
        <f>IF(N('Dvd Calendar'!$R$2019)=0,"",IF(('Dvd Calendar'!$R$2019&gt;=GRID_FROM)*('Dvd Calendar'!$R$2019&lt;=GRID_TO)*('Dvd Calendar'!$R$2019&gt;VAL_DATE)=0,"",'Dvd Calendar'!$R$2019*1000000000+ISNUMBER('Dvd Calendar'!$R$2020)*100000000+0*10000000+(N('Dvd Calendar'!$R$2018)&gt;0)*(N('Dvd Calendar'!$R$2018)&lt;=VAL_SERIAL)*1000000+42*1000+54))</f>
        <v/>
      </c>
      <c r="GG201" s="35">
        <f>IF(N('Dvd Calendar'!$S$2019)=0,"",IF(('Dvd Calendar'!$S$2019&gt;=GRID_FROM)*('Dvd Calendar'!$S$2019&lt;=GRID_TO)*('Dvd Calendar'!$S$2019&gt;VAL_DATE)=0,"",'Dvd Calendar'!$S$2019*1000000000+ISNUMBER('Dvd Calendar'!$S$2020)*100000000+0*10000000+(N('Dvd Calendar'!$S$2018)&gt;0)*(N('Dvd Calendar'!$S$2018)&lt;=VAL_SERIAL)*1000000+42*1000+55))</f>
        <v/>
      </c>
      <c r="GH201" s="35">
        <f>IF(N('Dvd Calendar'!$T$2019)=0,"",IF(('Dvd Calendar'!$T$2019&gt;=GRID_FROM)*('Dvd Calendar'!$T$2019&lt;=GRID_TO)*('Dvd Calendar'!$T$2019&gt;VAL_DATE)=0,"",'Dvd Calendar'!$T$2019*1000000000+ISNUMBER('Dvd Calendar'!$T$2020)*100000000+0*10000000+(N('Dvd Calendar'!$T$2018)&gt;0)*(N('Dvd Calendar'!$T$2018)&lt;=VAL_SERIAL)*1000000+42*1000+56))</f>
        <v/>
      </c>
      <c r="GI201" s="35">
        <f>IF(N('Dvd Calendar'!$U$2019)=0,"",IF(('Dvd Calendar'!$U$2019&gt;=GRID_FROM)*('Dvd Calendar'!$U$2019&lt;=GRID_TO)*('Dvd Calendar'!$U$2019&gt;VAL_DATE)=0,"",'Dvd Calendar'!$U$2019*1000000000+ISNUMBER('Dvd Calendar'!$U$2020)*100000000+0*10000000+(N('Dvd Calendar'!$U$2018)&gt;0)*(N('Dvd Calendar'!$U$2018)&lt;=VAL_SERIAL)*1000000+42*1000+57))</f>
        <v/>
      </c>
      <c r="GJ201" s="35">
        <f>IF(N('Dvd Calendar'!$V$2019)=0,"",IF(('Dvd Calendar'!$V$2019&gt;=GRID_FROM)*('Dvd Calendar'!$V$2019&lt;=GRID_TO)*('Dvd Calendar'!$V$2019&gt;VAL_DATE)=0,"",'Dvd Calendar'!$V$2019*1000000000+ISNUMBER('Dvd Calendar'!$V$2020)*100000000+0*10000000+(N('Dvd Calendar'!$V$2018)&gt;0)*(N('Dvd Calendar'!$V$2018)&lt;=VAL_SERIAL)*1000000+42*1000+58))</f>
        <v/>
      </c>
      <c r="GK201" s="35">
        <f>IF(N('Dvd Calendar'!$W$2019)=0,"",IF(('Dvd Calendar'!$W$2019&gt;=GRID_FROM)*('Dvd Calendar'!$W$2019&lt;=GRID_TO)*('Dvd Calendar'!$W$2019&gt;VAL_DATE)=0,"",'Dvd Calendar'!$W$2019*1000000000+ISNUMBER('Dvd Calendar'!$W$2020)*100000000+0*10000000+(N('Dvd Calendar'!$W$2018)&gt;0)*(N('Dvd Calendar'!$W$2018)&lt;=VAL_SERIAL)*1000000+42*1000+59))</f>
        <v/>
      </c>
      <c r="GL201" s="35">
        <f>IF(N('Dvd Calendar'!$X$2019)=0,"",IF(('Dvd Calendar'!$X$2019&gt;=GRID_FROM)*('Dvd Calendar'!$X$2019&lt;=GRID_TO)*('Dvd Calendar'!$X$2019&gt;VAL_DATE)=0,"",'Dvd Calendar'!$X$2019*1000000000+ISNUMBER('Dvd Calendar'!$X$2020)*100000000+0*10000000+(N('Dvd Calendar'!$X$2018)&gt;0)*(N('Dvd Calendar'!$X$2018)&lt;=VAL_SERIAL)*1000000+42*1000+60))</f>
        <v/>
      </c>
      <c r="GM201" s="35">
        <f>IF(N('Dvd Calendar'!$Y$2019)=0,"",IF(('Dvd Calendar'!$Y$2019&gt;=GRID_FROM)*('Dvd Calendar'!$Y$2019&lt;=GRID_TO)*('Dvd Calendar'!$Y$2019&gt;VAL_DATE)=0,"",'Dvd Calendar'!$Y$2019*1000000000+ISNUMBER('Dvd Calendar'!$Y$2020)*100000000+0*10000000+(N('Dvd Calendar'!$Y$2018)&gt;0)*(N('Dvd Calendar'!$Y$2018)&lt;=VAL_SERIAL)*1000000+42*1000+61))</f>
        <v/>
      </c>
      <c r="GN201" s="35">
        <f>IF(N('Dvd Calendar'!$Z$2019)=0,"",IF(('Dvd Calendar'!$Z$2019&gt;=GRID_FROM)*('Dvd Calendar'!$Z$2019&lt;=GRID_TO)*('Dvd Calendar'!$Z$2019&gt;VAL_DATE)=0,"",'Dvd Calendar'!$Z$2019*1000000000+ISNUMBER('Dvd Calendar'!$Z$2020)*100000000+0*10000000+(N('Dvd Calendar'!$Z$2018)&gt;0)*(N('Dvd Calendar'!$Z$2018)&lt;=VAL_SERIAL)*1000000+42*1000+62))</f>
        <v/>
      </c>
      <c r="GO201" s="35">
        <f>IF(N('Dvd Calendar'!$AA$2019)=0,"",IF(('Dvd Calendar'!$AA$2019&gt;=GRID_FROM)*('Dvd Calendar'!$AA$2019&lt;=GRID_TO)*('Dvd Calendar'!$AA$2019&gt;VAL_DATE)=0,"",'Dvd Calendar'!$AA$2019*1000000000+ISNUMBER('Dvd Calendar'!$AA$2020)*100000000+0*10000000+(N('Dvd Calendar'!$AA$2018)&gt;0)*(N('Dvd Calendar'!$AA$2018)&lt;=VAL_SERIAL)*1000000+42*1000+63))</f>
        <v/>
      </c>
      <c r="GP201" s="35">
        <f>IF(N('Dvd Calendar'!$AB$2019)=0,"",IF(('Dvd Calendar'!$AB$2019&gt;=GRID_FROM)*('Dvd Calendar'!$AB$2019&lt;=GRID_TO)*('Dvd Calendar'!$AB$2019&gt;VAL_DATE)=0,"",'Dvd Calendar'!$AB$2019*1000000000+ISNUMBER('Dvd Calendar'!$AB$2020)*100000000+0*10000000+(N('Dvd Calendar'!$AB$2018)&gt;0)*(N('Dvd Calendar'!$AB$2018)&lt;=VAL_SERIAL)*1000000+42*1000+64))</f>
        <v/>
      </c>
      <c r="GQ201" s="35">
        <f>IF(N('Dvd Calendar'!$AC$2019)=0,"",IF(('Dvd Calendar'!$AC$2019&gt;=GRID_FROM)*('Dvd Calendar'!$AC$2019&lt;=GRID_TO)*('Dvd Calendar'!$AC$2019&gt;VAL_DATE)=0,"",'Dvd Calendar'!$AC$2019*1000000000+ISNUMBER('Dvd Calendar'!$AC$2020)*100000000+0*10000000+(N('Dvd Calendar'!$AC$2018)&gt;0)*(N('Dvd Calendar'!$AC$2018)&lt;=VAL_SERIAL)*1000000+42*1000+65))</f>
        <v/>
      </c>
    </row>
    <row r="202">
      <c r="B202" s="2">
        <f>IF(HSCEI!$C$49="","",HSCEI!$C$49)</f>
        <v/>
      </c>
      <c r="C202" s="106">
        <f>IF(EE202="","",IF(ISNUMBER('Dvd Calendar'!$E$2026)=FALSE,"",IF((('Dvd Calendar'!$E$2028=TYPE1)*(TYPE1&lt;&gt;"")+('Dvd Calendar'!$E$2028=TYPE2)*(TYPE2&lt;&gt;"")+('Dvd Calendar'!$E$2028=TYPE3)*(TYPE3&lt;&gt;"")+('Dvd Calendar'!$E$2028=TYPE4)*(TYPE4&lt;&gt;"")+('Dvd Calendar'!$E$2028=SPECIAL_LBL)*(INC_SPECIALS="Y"))=0,"",'Dvd Calendar'!$E$2026)))</f>
        <v/>
      </c>
      <c r="D202" s="106">
        <f>IF(EF202="","",IF(ISNUMBER('Dvd Calendar'!$F$2026)=FALSE,"",IF((('Dvd Calendar'!$F$2028=TYPE1)*(TYPE1&lt;&gt;"")+('Dvd Calendar'!$F$2028=TYPE2)*(TYPE2&lt;&gt;"")+('Dvd Calendar'!$F$2028=TYPE3)*(TYPE3&lt;&gt;"")+('Dvd Calendar'!$F$2028=TYPE4)*(TYPE4&lt;&gt;"")+('Dvd Calendar'!$F$2028=SPECIAL_LBL)*(INC_SPECIALS="Y"))=0,"",'Dvd Calendar'!$F$2026)))</f>
        <v/>
      </c>
      <c r="E202" s="106">
        <f>IF(EG202="","",IF(ISNUMBER('Dvd Calendar'!$G$2026)=FALSE,"",IF((('Dvd Calendar'!$G$2028=TYPE1)*(TYPE1&lt;&gt;"")+('Dvd Calendar'!$G$2028=TYPE2)*(TYPE2&lt;&gt;"")+('Dvd Calendar'!$G$2028=TYPE3)*(TYPE3&lt;&gt;"")+('Dvd Calendar'!$G$2028=TYPE4)*(TYPE4&lt;&gt;"")+('Dvd Calendar'!$G$2028=SPECIAL_LBL)*(INC_SPECIALS="Y"))=0,"",'Dvd Calendar'!$G$2026)))</f>
        <v/>
      </c>
      <c r="F202" s="106">
        <f>IF(EH202="","",IF(ISNUMBER('Dvd Calendar'!$H$2026)=FALSE,"",IF((('Dvd Calendar'!$H$2028=TYPE1)*(TYPE1&lt;&gt;"")+('Dvd Calendar'!$H$2028=TYPE2)*(TYPE2&lt;&gt;"")+('Dvd Calendar'!$H$2028=TYPE3)*(TYPE3&lt;&gt;"")+('Dvd Calendar'!$H$2028=TYPE4)*(TYPE4&lt;&gt;"")+('Dvd Calendar'!$H$2028=SPECIAL_LBL)*(INC_SPECIALS="Y"))=0,"",'Dvd Calendar'!$H$2026)))</f>
        <v/>
      </c>
      <c r="G202" s="106">
        <f>IF(EI202="","",IF(ISNUMBER('Dvd Calendar'!$I$2026)=FALSE,"",IF((('Dvd Calendar'!$I$2028=TYPE1)*(TYPE1&lt;&gt;"")+('Dvd Calendar'!$I$2028=TYPE2)*(TYPE2&lt;&gt;"")+('Dvd Calendar'!$I$2028=TYPE3)*(TYPE3&lt;&gt;"")+('Dvd Calendar'!$I$2028=TYPE4)*(TYPE4&lt;&gt;"")+('Dvd Calendar'!$I$2028=SPECIAL_LBL)*(INC_SPECIALS="Y"))=0,"",'Dvd Calendar'!$I$2026)))</f>
        <v/>
      </c>
      <c r="H202" s="106">
        <f>IF(EJ202="","",IF(ISNUMBER('Dvd Calendar'!$J$2026)=FALSE,"",IF((('Dvd Calendar'!$J$2028=TYPE1)*(TYPE1&lt;&gt;"")+('Dvd Calendar'!$J$2028=TYPE2)*(TYPE2&lt;&gt;"")+('Dvd Calendar'!$J$2028=TYPE3)*(TYPE3&lt;&gt;"")+('Dvd Calendar'!$J$2028=TYPE4)*(TYPE4&lt;&gt;"")+('Dvd Calendar'!$J$2028=SPECIAL_LBL)*(INC_SPECIALS="Y"))=0,"",'Dvd Calendar'!$J$2026)))</f>
        <v/>
      </c>
      <c r="I202" s="106">
        <f>IF(EK202="","",IF(ISNUMBER('Dvd Calendar'!$K$2026)=FALSE,"",IF((('Dvd Calendar'!$K$2028=TYPE1)*(TYPE1&lt;&gt;"")+('Dvd Calendar'!$K$2028=TYPE2)*(TYPE2&lt;&gt;"")+('Dvd Calendar'!$K$2028=TYPE3)*(TYPE3&lt;&gt;"")+('Dvd Calendar'!$K$2028=TYPE4)*(TYPE4&lt;&gt;"")+('Dvd Calendar'!$K$2028=SPECIAL_LBL)*(INC_SPECIALS="Y"))=0,"",'Dvd Calendar'!$K$2026)))</f>
        <v/>
      </c>
      <c r="J202" s="106">
        <f>IF(EL202="","",IF(ISNUMBER('Dvd Calendar'!$L$2026)=FALSE,"",IF((('Dvd Calendar'!$L$2028=TYPE1)*(TYPE1&lt;&gt;"")+('Dvd Calendar'!$L$2028=TYPE2)*(TYPE2&lt;&gt;"")+('Dvd Calendar'!$L$2028=TYPE3)*(TYPE3&lt;&gt;"")+('Dvd Calendar'!$L$2028=TYPE4)*(TYPE4&lt;&gt;"")+('Dvd Calendar'!$L$2028=SPECIAL_LBL)*(INC_SPECIALS="Y"))=0,"",'Dvd Calendar'!$L$2026)))</f>
        <v/>
      </c>
      <c r="K202" s="106">
        <f>IF(EM202="","",IF(ISNUMBER('Dvd Calendar'!$M$2026)=FALSE,"",IF((('Dvd Calendar'!$M$2028=TYPE1)*(TYPE1&lt;&gt;"")+('Dvd Calendar'!$M$2028=TYPE2)*(TYPE2&lt;&gt;"")+('Dvd Calendar'!$M$2028=TYPE3)*(TYPE3&lt;&gt;"")+('Dvd Calendar'!$M$2028=TYPE4)*(TYPE4&lt;&gt;"")+('Dvd Calendar'!$M$2028=SPECIAL_LBL)*(INC_SPECIALS="Y"))=0,"",'Dvd Calendar'!$M$2026)))</f>
        <v/>
      </c>
      <c r="L202" s="106">
        <f>IF(EN202="","",IF(ISNUMBER('Dvd Calendar'!$N$2026)=FALSE,"",IF((('Dvd Calendar'!$N$2028=TYPE1)*(TYPE1&lt;&gt;"")+('Dvd Calendar'!$N$2028=TYPE2)*(TYPE2&lt;&gt;"")+('Dvd Calendar'!$N$2028=TYPE3)*(TYPE3&lt;&gt;"")+('Dvd Calendar'!$N$2028=TYPE4)*(TYPE4&lt;&gt;"")+('Dvd Calendar'!$N$2028=SPECIAL_LBL)*(INC_SPECIALS="Y"))=0,"",'Dvd Calendar'!$N$2026)))</f>
        <v/>
      </c>
      <c r="M202" s="106">
        <f>IF(EO202="","",IF(ISNUMBER('Dvd Calendar'!$O$2026)=FALSE,"",IF((('Dvd Calendar'!$O$2028=TYPE1)*(TYPE1&lt;&gt;"")+('Dvd Calendar'!$O$2028=TYPE2)*(TYPE2&lt;&gt;"")+('Dvd Calendar'!$O$2028=TYPE3)*(TYPE3&lt;&gt;"")+('Dvd Calendar'!$O$2028=TYPE4)*(TYPE4&lt;&gt;"")+('Dvd Calendar'!$O$2028=SPECIAL_LBL)*(INC_SPECIALS="Y"))=0,"",'Dvd Calendar'!$O$2026)))</f>
        <v/>
      </c>
      <c r="N202" s="106">
        <f>IF(EP202="","",IF(ISNUMBER('Dvd Calendar'!$P$2026)=FALSE,"",IF((('Dvd Calendar'!$P$2028=TYPE1)*(TYPE1&lt;&gt;"")+('Dvd Calendar'!$P$2028=TYPE2)*(TYPE2&lt;&gt;"")+('Dvd Calendar'!$P$2028=TYPE3)*(TYPE3&lt;&gt;"")+('Dvd Calendar'!$P$2028=TYPE4)*(TYPE4&lt;&gt;"")+('Dvd Calendar'!$P$2028=SPECIAL_LBL)*(INC_SPECIALS="Y"))=0,"",'Dvd Calendar'!$P$2026)))</f>
        <v/>
      </c>
      <c r="O202" s="106">
        <f>IF(EQ202="","",IF(ISNUMBER('Dvd Calendar'!$Q$2026)=FALSE,"",IF((('Dvd Calendar'!$Q$2028=TYPE1)*(TYPE1&lt;&gt;"")+('Dvd Calendar'!$Q$2028=TYPE2)*(TYPE2&lt;&gt;"")+('Dvd Calendar'!$Q$2028=TYPE3)*(TYPE3&lt;&gt;"")+('Dvd Calendar'!$Q$2028=TYPE4)*(TYPE4&lt;&gt;"")+('Dvd Calendar'!$Q$2028=SPECIAL_LBL)*(INC_SPECIALS="Y"))=0,"",'Dvd Calendar'!$Q$2026)))</f>
        <v/>
      </c>
      <c r="P202" s="106">
        <f>IF(ER202="","",IF(ISNUMBER('Dvd Calendar'!$R$2026)=FALSE,"",IF((('Dvd Calendar'!$R$2028=TYPE1)*(TYPE1&lt;&gt;"")+('Dvd Calendar'!$R$2028=TYPE2)*(TYPE2&lt;&gt;"")+('Dvd Calendar'!$R$2028=TYPE3)*(TYPE3&lt;&gt;"")+('Dvd Calendar'!$R$2028=TYPE4)*(TYPE4&lt;&gt;"")+('Dvd Calendar'!$R$2028=SPECIAL_LBL)*(INC_SPECIALS="Y"))=0,"",'Dvd Calendar'!$R$2026)))</f>
        <v/>
      </c>
      <c r="Q202" s="106">
        <f>IF(ES202="","",IF(ISNUMBER('Dvd Calendar'!$S$2026)=FALSE,"",IF((('Dvd Calendar'!$S$2028=TYPE1)*(TYPE1&lt;&gt;"")+('Dvd Calendar'!$S$2028=TYPE2)*(TYPE2&lt;&gt;"")+('Dvd Calendar'!$S$2028=TYPE3)*(TYPE3&lt;&gt;"")+('Dvd Calendar'!$S$2028=TYPE4)*(TYPE4&lt;&gt;"")+('Dvd Calendar'!$S$2028=SPECIAL_LBL)*(INC_SPECIALS="Y"))=0,"",'Dvd Calendar'!$S$2026)))</f>
        <v/>
      </c>
      <c r="R202" s="106">
        <f>IF(ET202="","",IF(ISNUMBER('Dvd Calendar'!$T$2026)=FALSE,"",IF((('Dvd Calendar'!$T$2028=TYPE1)*(TYPE1&lt;&gt;"")+('Dvd Calendar'!$T$2028=TYPE2)*(TYPE2&lt;&gt;"")+('Dvd Calendar'!$T$2028=TYPE3)*(TYPE3&lt;&gt;"")+('Dvd Calendar'!$T$2028=TYPE4)*(TYPE4&lt;&gt;"")+('Dvd Calendar'!$T$2028=SPECIAL_LBL)*(INC_SPECIALS="Y"))=0,"",'Dvd Calendar'!$T$2026)))</f>
        <v/>
      </c>
      <c r="S202" s="106">
        <f>IF(EU202="","",IF(ISNUMBER('Dvd Calendar'!$U$2026)=FALSE,"",IF((('Dvd Calendar'!$U$2028=TYPE1)*(TYPE1&lt;&gt;"")+('Dvd Calendar'!$U$2028=TYPE2)*(TYPE2&lt;&gt;"")+('Dvd Calendar'!$U$2028=TYPE3)*(TYPE3&lt;&gt;"")+('Dvd Calendar'!$U$2028=TYPE4)*(TYPE4&lt;&gt;"")+('Dvd Calendar'!$U$2028=SPECIAL_LBL)*(INC_SPECIALS="Y"))=0,"",'Dvd Calendar'!$U$2026)))</f>
        <v/>
      </c>
      <c r="T202" s="106">
        <f>IF(EV202="","",IF(ISNUMBER('Dvd Calendar'!$V$2026)=FALSE,"",IF((('Dvd Calendar'!$V$2028=TYPE1)*(TYPE1&lt;&gt;"")+('Dvd Calendar'!$V$2028=TYPE2)*(TYPE2&lt;&gt;"")+('Dvd Calendar'!$V$2028=TYPE3)*(TYPE3&lt;&gt;"")+('Dvd Calendar'!$V$2028=TYPE4)*(TYPE4&lt;&gt;"")+('Dvd Calendar'!$V$2028=SPECIAL_LBL)*(INC_SPECIALS="Y"))=0,"",'Dvd Calendar'!$V$2026)))</f>
        <v/>
      </c>
      <c r="U202" s="106">
        <f>IF(EW202="","",IF(ISNUMBER('Dvd Calendar'!$W$2026)=FALSE,"",IF((('Dvd Calendar'!$W$2028=TYPE1)*(TYPE1&lt;&gt;"")+('Dvd Calendar'!$W$2028=TYPE2)*(TYPE2&lt;&gt;"")+('Dvd Calendar'!$W$2028=TYPE3)*(TYPE3&lt;&gt;"")+('Dvd Calendar'!$W$2028=TYPE4)*(TYPE4&lt;&gt;"")+('Dvd Calendar'!$W$2028=SPECIAL_LBL)*(INC_SPECIALS="Y"))=0,"",'Dvd Calendar'!$W$2026)))</f>
        <v/>
      </c>
      <c r="V202" s="106">
        <f>IF(EX202="","",IF(ISNUMBER('Dvd Calendar'!$X$2026)=FALSE,"",IF((('Dvd Calendar'!$X$2028=TYPE1)*(TYPE1&lt;&gt;"")+('Dvd Calendar'!$X$2028=TYPE2)*(TYPE2&lt;&gt;"")+('Dvd Calendar'!$X$2028=TYPE3)*(TYPE3&lt;&gt;"")+('Dvd Calendar'!$X$2028=TYPE4)*(TYPE4&lt;&gt;"")+('Dvd Calendar'!$X$2028=SPECIAL_LBL)*(INC_SPECIALS="Y"))=0,"",'Dvd Calendar'!$X$2026)))</f>
        <v/>
      </c>
      <c r="W202" s="106">
        <f>IF(EY202="","",IF(ISNUMBER('Dvd Calendar'!$Y$2026)=FALSE,"",IF((('Dvd Calendar'!$Y$2028=TYPE1)*(TYPE1&lt;&gt;"")+('Dvd Calendar'!$Y$2028=TYPE2)*(TYPE2&lt;&gt;"")+('Dvd Calendar'!$Y$2028=TYPE3)*(TYPE3&lt;&gt;"")+('Dvd Calendar'!$Y$2028=TYPE4)*(TYPE4&lt;&gt;"")+('Dvd Calendar'!$Y$2028=SPECIAL_LBL)*(INC_SPECIALS="Y"))=0,"",'Dvd Calendar'!$Y$2026)))</f>
        <v/>
      </c>
      <c r="X202" s="106">
        <f>IF(EZ202="","",IF(ISNUMBER('Dvd Calendar'!$Z$2026)=FALSE,"",IF((('Dvd Calendar'!$Z$2028=TYPE1)*(TYPE1&lt;&gt;"")+('Dvd Calendar'!$Z$2028=TYPE2)*(TYPE2&lt;&gt;"")+('Dvd Calendar'!$Z$2028=TYPE3)*(TYPE3&lt;&gt;"")+('Dvd Calendar'!$Z$2028=TYPE4)*(TYPE4&lt;&gt;"")+('Dvd Calendar'!$Z$2028=SPECIAL_LBL)*(INC_SPECIALS="Y"))=0,"",'Dvd Calendar'!$Z$2026)))</f>
        <v/>
      </c>
      <c r="Y202" s="106">
        <f>IF(FA202="","",IF(ISNUMBER('Dvd Calendar'!$AA$2026)=FALSE,"",IF((('Dvd Calendar'!$AA$2028=TYPE1)*(TYPE1&lt;&gt;"")+('Dvd Calendar'!$AA$2028=TYPE2)*(TYPE2&lt;&gt;"")+('Dvd Calendar'!$AA$2028=TYPE3)*(TYPE3&lt;&gt;"")+('Dvd Calendar'!$AA$2028=TYPE4)*(TYPE4&lt;&gt;"")+('Dvd Calendar'!$AA$2028=SPECIAL_LBL)*(INC_SPECIALS="Y"))=0,"",'Dvd Calendar'!$AA$2026)))</f>
        <v/>
      </c>
      <c r="Z202" s="106">
        <f>IF(FB202="","",IF(ISNUMBER('Dvd Calendar'!$AB$2026)=FALSE,"",IF((('Dvd Calendar'!$AB$2028=TYPE1)*(TYPE1&lt;&gt;"")+('Dvd Calendar'!$AB$2028=TYPE2)*(TYPE2&lt;&gt;"")+('Dvd Calendar'!$AB$2028=TYPE3)*(TYPE3&lt;&gt;"")+('Dvd Calendar'!$AB$2028=TYPE4)*(TYPE4&lt;&gt;"")+('Dvd Calendar'!$AB$2028=SPECIAL_LBL)*(INC_SPECIALS="Y"))=0,"",'Dvd Calendar'!$AB$2026)))</f>
        <v/>
      </c>
      <c r="AA202" s="106">
        <f>IF(FC202="","",IF(ISNUMBER('Dvd Calendar'!$AC$2026)=FALSE,"",IF((('Dvd Calendar'!$AC$2028=TYPE1)*(TYPE1&lt;&gt;"")+('Dvd Calendar'!$AC$2028=TYPE2)*(TYPE2&lt;&gt;"")+('Dvd Calendar'!$AC$2028=TYPE3)*(TYPE3&lt;&gt;"")+('Dvd Calendar'!$AC$2028=TYPE4)*(TYPE4&lt;&gt;"")+('Dvd Calendar'!$AC$2028=SPECIAL_LBL)*(INC_SPECIALS="Y"))=0,"",'Dvd Calendar'!$AC$2026)))</f>
        <v/>
      </c>
      <c r="AB202" s="106">
        <f>IF(FD202="","",IF(ISNUMBER('Dvd Calendar'!$AD$2026)=FALSE,"",IF((('Dvd Calendar'!$AD$2028=TYPE1)*(TYPE1&lt;&gt;"")+('Dvd Calendar'!$AD$2028=TYPE2)*(TYPE2&lt;&gt;"")+('Dvd Calendar'!$AD$2028=TYPE3)*(TYPE3&lt;&gt;"")+('Dvd Calendar'!$AD$2028=TYPE4)*(TYPE4&lt;&gt;"")+('Dvd Calendar'!$AD$2028=SPECIAL_LBL)*(INC_SPECIALS="Y"))=0,"",'Dvd Calendar'!$AD$2026)))</f>
        <v/>
      </c>
      <c r="AC202" s="106">
        <f>IF(FE202="","",IF(ISNUMBER('Dvd Calendar'!$AE$2026)=FALSE,"",IF((('Dvd Calendar'!$AE$2028=TYPE1)*(TYPE1&lt;&gt;"")+('Dvd Calendar'!$AE$2028=TYPE2)*(TYPE2&lt;&gt;"")+('Dvd Calendar'!$AE$2028=TYPE3)*(TYPE3&lt;&gt;"")+('Dvd Calendar'!$AE$2028=TYPE4)*(TYPE4&lt;&gt;"")+('Dvd Calendar'!$AE$2028=SPECIAL_LBL)*(INC_SPECIALS="Y"))=0,"",'Dvd Calendar'!$AE$2026)))</f>
        <v/>
      </c>
      <c r="AD202" s="106">
        <f>IF(FF202="","",IF(ISNUMBER('Dvd Calendar'!$AF$2026)=FALSE,"",IF((('Dvd Calendar'!$AF$2028=TYPE1)*(TYPE1&lt;&gt;"")+('Dvd Calendar'!$AF$2028=TYPE2)*(TYPE2&lt;&gt;"")+('Dvd Calendar'!$AF$2028=TYPE3)*(TYPE3&lt;&gt;"")+('Dvd Calendar'!$AF$2028=TYPE4)*(TYPE4&lt;&gt;"")+('Dvd Calendar'!$AF$2028=SPECIAL_LBL)*(INC_SPECIALS="Y"))=0,"",'Dvd Calendar'!$AF$2026)))</f>
        <v/>
      </c>
      <c r="AE202" s="106">
        <f>IF(FG202="","",IF(ISNUMBER('Dvd Calendar'!$AG$2026)=FALSE,"",IF((('Dvd Calendar'!$AG$2028=TYPE1)*(TYPE1&lt;&gt;"")+('Dvd Calendar'!$AG$2028=TYPE2)*(TYPE2&lt;&gt;"")+('Dvd Calendar'!$AG$2028=TYPE3)*(TYPE3&lt;&gt;"")+('Dvd Calendar'!$AG$2028=TYPE4)*(TYPE4&lt;&gt;"")+('Dvd Calendar'!$AG$2028=SPECIAL_LBL)*(INC_SPECIALS="Y"))=0,"",'Dvd Calendar'!$AG$2026)))</f>
        <v/>
      </c>
      <c r="AF202" s="106">
        <f>IF(FH202="","",IF(ISNUMBER('Dvd Calendar'!$AH$2026)=FALSE,"",IF((('Dvd Calendar'!$AH$2028=TYPE1)*(TYPE1&lt;&gt;"")+('Dvd Calendar'!$AH$2028=TYPE2)*(TYPE2&lt;&gt;"")+('Dvd Calendar'!$AH$2028=TYPE3)*(TYPE3&lt;&gt;"")+('Dvd Calendar'!$AH$2028=TYPE4)*(TYPE4&lt;&gt;"")+('Dvd Calendar'!$AH$2028=SPECIAL_LBL)*(INC_SPECIALS="Y"))=0,"",'Dvd Calendar'!$AH$2026)))</f>
        <v/>
      </c>
      <c r="AG202" s="106">
        <f>IF(FI202="","",IF(ISNUMBER('Dvd Calendar'!$AI$2026)=FALSE,"",IF((('Dvd Calendar'!$AI$2028=TYPE1)*(TYPE1&lt;&gt;"")+('Dvd Calendar'!$AI$2028=TYPE2)*(TYPE2&lt;&gt;"")+('Dvd Calendar'!$AI$2028=TYPE3)*(TYPE3&lt;&gt;"")+('Dvd Calendar'!$AI$2028=TYPE4)*(TYPE4&lt;&gt;"")+('Dvd Calendar'!$AI$2028=SPECIAL_LBL)*(INC_SPECIALS="Y"))=0,"",'Dvd Calendar'!$AI$2026)))</f>
        <v/>
      </c>
      <c r="AH202" s="106">
        <f>IF(FJ202="","",IF(ISNUMBER('Dvd Calendar'!$AJ$2026)=FALSE,"",IF((('Dvd Calendar'!$AJ$2028=TYPE1)*(TYPE1&lt;&gt;"")+('Dvd Calendar'!$AJ$2028=TYPE2)*(TYPE2&lt;&gt;"")+('Dvd Calendar'!$AJ$2028=TYPE3)*(TYPE3&lt;&gt;"")+('Dvd Calendar'!$AJ$2028=TYPE4)*(TYPE4&lt;&gt;"")+('Dvd Calendar'!$AJ$2028=SPECIAL_LBL)*(INC_SPECIALS="Y"))=0,"",'Dvd Calendar'!$AJ$2026)))</f>
        <v/>
      </c>
      <c r="AI202" s="106">
        <f>IF(FK202="","",IF(ISNUMBER('Dvd Calendar'!$AK$2026)=FALSE,"",IF((('Dvd Calendar'!$AK$2028=TYPE1)*(TYPE1&lt;&gt;"")+('Dvd Calendar'!$AK$2028=TYPE2)*(TYPE2&lt;&gt;"")+('Dvd Calendar'!$AK$2028=TYPE3)*(TYPE3&lt;&gt;"")+('Dvd Calendar'!$AK$2028=TYPE4)*(TYPE4&lt;&gt;"")+('Dvd Calendar'!$AK$2028=SPECIAL_LBL)*(INC_SPECIALS="Y"))=0,"",'Dvd Calendar'!$AK$2026)))</f>
        <v/>
      </c>
      <c r="AJ202" s="106">
        <f>IF(FL202="","",IF(ISNUMBER('Dvd Calendar'!$AL$2026)=FALSE,"",IF((('Dvd Calendar'!$AL$2028=TYPE1)*(TYPE1&lt;&gt;"")+('Dvd Calendar'!$AL$2028=TYPE2)*(TYPE2&lt;&gt;"")+('Dvd Calendar'!$AL$2028=TYPE3)*(TYPE3&lt;&gt;"")+('Dvd Calendar'!$AL$2028=TYPE4)*(TYPE4&lt;&gt;"")+('Dvd Calendar'!$AL$2028=SPECIAL_LBL)*(INC_SPECIALS="Y"))=0,"",'Dvd Calendar'!$AL$2026)))</f>
        <v/>
      </c>
      <c r="AK202" s="106">
        <f>IF(FM202="","",IF(ISNUMBER('Dvd Calendar'!$AM$2026)=FALSE,"",IF((('Dvd Calendar'!$AM$2028=TYPE1)*(TYPE1&lt;&gt;"")+('Dvd Calendar'!$AM$2028=TYPE2)*(TYPE2&lt;&gt;"")+('Dvd Calendar'!$AM$2028=TYPE3)*(TYPE3&lt;&gt;"")+('Dvd Calendar'!$AM$2028=TYPE4)*(TYPE4&lt;&gt;"")+('Dvd Calendar'!$AM$2028=SPECIAL_LBL)*(INC_SPECIALS="Y"))=0,"",'Dvd Calendar'!$AM$2026)))</f>
        <v/>
      </c>
      <c r="AL202" s="106">
        <f>IF(FN202="","",IF(ISNUMBER('Dvd Calendar'!$AN$2026)=FALSE,"",IF((('Dvd Calendar'!$AN$2028=TYPE1)*(TYPE1&lt;&gt;"")+('Dvd Calendar'!$AN$2028=TYPE2)*(TYPE2&lt;&gt;"")+('Dvd Calendar'!$AN$2028=TYPE3)*(TYPE3&lt;&gt;"")+('Dvd Calendar'!$AN$2028=TYPE4)*(TYPE4&lt;&gt;"")+('Dvd Calendar'!$AN$2028=SPECIAL_LBL)*(INC_SPECIALS="Y"))=0,"",'Dvd Calendar'!$AN$2026)))</f>
        <v/>
      </c>
      <c r="AM202" s="106">
        <f>IF(FO202="","",IF(ISNUMBER('Dvd Calendar'!$AO$2026)=FALSE,"",IF((('Dvd Calendar'!$AO$2028=TYPE1)*(TYPE1&lt;&gt;"")+('Dvd Calendar'!$AO$2028=TYPE2)*(TYPE2&lt;&gt;"")+('Dvd Calendar'!$AO$2028=TYPE3)*(TYPE3&lt;&gt;"")+('Dvd Calendar'!$AO$2028=TYPE4)*(TYPE4&lt;&gt;"")+('Dvd Calendar'!$AO$2028=SPECIAL_LBL)*(INC_SPECIALS="Y"))=0,"",'Dvd Calendar'!$AO$2026)))</f>
        <v/>
      </c>
      <c r="AN202" s="106">
        <f>IF(FP202="","",IF(ISNUMBER('Dvd Calendar'!$AP$2026)=FALSE,"",IF((('Dvd Calendar'!$AP$2028=TYPE1)*(TYPE1&lt;&gt;"")+('Dvd Calendar'!$AP$2028=TYPE2)*(TYPE2&lt;&gt;"")+('Dvd Calendar'!$AP$2028=TYPE3)*(TYPE3&lt;&gt;"")+('Dvd Calendar'!$AP$2028=TYPE4)*(TYPE4&lt;&gt;"")+('Dvd Calendar'!$AP$2028=SPECIAL_LBL)*(INC_SPECIALS="Y"))=0,"",'Dvd Calendar'!$AP$2026)))</f>
        <v/>
      </c>
      <c r="AO202" s="106">
        <f>IF(FQ202="","",IF(ISNUMBER('Dvd Calendar'!$AQ$2026)=FALSE,"",IF((('Dvd Calendar'!$AQ$2028=TYPE1)*(TYPE1&lt;&gt;"")+('Dvd Calendar'!$AQ$2028=TYPE2)*(TYPE2&lt;&gt;"")+('Dvd Calendar'!$AQ$2028=TYPE3)*(TYPE3&lt;&gt;"")+('Dvd Calendar'!$AQ$2028=TYPE4)*(TYPE4&lt;&gt;"")+('Dvd Calendar'!$AQ$2028=SPECIAL_LBL)*(INC_SPECIALS="Y"))=0,"",'Dvd Calendar'!$AQ$2026)))</f>
        <v/>
      </c>
      <c r="AP202" s="106">
        <f>IF(FR202="","",IF(ISNUMBER('Dvd Calendar'!$AR$2026)=FALSE,"",IF((('Dvd Calendar'!$AR$2028=TYPE1)*(TYPE1&lt;&gt;"")+('Dvd Calendar'!$AR$2028=TYPE2)*(TYPE2&lt;&gt;"")+('Dvd Calendar'!$AR$2028=TYPE3)*(TYPE3&lt;&gt;"")+('Dvd Calendar'!$AR$2028=TYPE4)*(TYPE4&lt;&gt;"")+('Dvd Calendar'!$AR$2028=SPECIAL_LBL)*(INC_SPECIALS="Y"))=0,"",'Dvd Calendar'!$AR$2026)))</f>
        <v/>
      </c>
      <c r="AQ202" s="106">
        <f>IF(FS202="","",IF(ISNUMBER('Dvd Calendar'!$E$2031)=FALSE,"",'Dvd Calendar'!$E$2031))</f>
        <v/>
      </c>
      <c r="AR202" s="106">
        <f>IF(FT202="","",IF(ISNUMBER('Dvd Calendar'!$F$2031)=FALSE,"",'Dvd Calendar'!$F$2031))</f>
        <v/>
      </c>
      <c r="AS202" s="106">
        <f>IF(FU202="","",IF(ISNUMBER('Dvd Calendar'!$G$2031)=FALSE,"",'Dvd Calendar'!$G$2031))</f>
        <v/>
      </c>
      <c r="AT202" s="106">
        <f>IF(FV202="","",IF(ISNUMBER('Dvd Calendar'!$H$2031)=FALSE,"",'Dvd Calendar'!$H$2031))</f>
        <v/>
      </c>
      <c r="AU202" s="106">
        <f>IF(FW202="","",IF(ISNUMBER('Dvd Calendar'!$I$2031)=FALSE,"",'Dvd Calendar'!$I$2031))</f>
        <v/>
      </c>
      <c r="AV202" s="106">
        <f>IF(FX202="","",IF(ISNUMBER('Dvd Calendar'!$J$2031)=FALSE,"",'Dvd Calendar'!$J$2031))</f>
        <v/>
      </c>
      <c r="AW202" s="106">
        <f>IF(FY202="","",IF(ISNUMBER('Dvd Calendar'!$K$2031)=FALSE,"",'Dvd Calendar'!$K$2031))</f>
        <v/>
      </c>
      <c r="AX202" s="106">
        <f>IF(FZ202="","",IF(ISNUMBER('Dvd Calendar'!$L$2031)=FALSE,"",'Dvd Calendar'!$L$2031))</f>
        <v/>
      </c>
      <c r="AY202" s="106">
        <f>IF(GA202="","",IF(ISNUMBER('Dvd Calendar'!$M$2031)=FALSE,"",'Dvd Calendar'!$M$2031))</f>
        <v/>
      </c>
      <c r="AZ202" s="106">
        <f>IF(GB202="","",IF(ISNUMBER('Dvd Calendar'!$N$2031)=FALSE,"",'Dvd Calendar'!$N$2031))</f>
        <v/>
      </c>
      <c r="BA202" s="106">
        <f>IF(GC202="","",IF(ISNUMBER('Dvd Calendar'!$O$2031)=FALSE,"",'Dvd Calendar'!$O$2031))</f>
        <v/>
      </c>
      <c r="BB202" s="106">
        <f>IF(GD202="","",IF(ISNUMBER('Dvd Calendar'!$P$2031)=FALSE,"",'Dvd Calendar'!$P$2031))</f>
        <v/>
      </c>
      <c r="BC202" s="106">
        <f>IF(GE202="","",IF(ISNUMBER('Dvd Calendar'!$Q$2031)=FALSE,"",'Dvd Calendar'!$Q$2031))</f>
        <v/>
      </c>
      <c r="BD202" s="106">
        <f>IF(GF202="","",IF(ISNUMBER('Dvd Calendar'!$R$2031)=FALSE,"",'Dvd Calendar'!$R$2031))</f>
        <v/>
      </c>
      <c r="BE202" s="106">
        <f>IF(GG202="","",IF(ISNUMBER('Dvd Calendar'!$S$2031)=FALSE,"",'Dvd Calendar'!$S$2031))</f>
        <v/>
      </c>
      <c r="BF202" s="106">
        <f>IF(GH202="","",IF(ISNUMBER('Dvd Calendar'!$T$2031)=FALSE,"",'Dvd Calendar'!$T$2031))</f>
        <v/>
      </c>
      <c r="BG202" s="106">
        <f>IF(GI202="","",IF(ISNUMBER('Dvd Calendar'!$U$2031)=FALSE,"",'Dvd Calendar'!$U$2031))</f>
        <v/>
      </c>
      <c r="BH202" s="106">
        <f>IF(GJ202="","",IF(ISNUMBER('Dvd Calendar'!$V$2031)=FALSE,"",'Dvd Calendar'!$V$2031))</f>
        <v/>
      </c>
      <c r="BI202" s="106">
        <f>IF(GK202="","",IF(ISNUMBER('Dvd Calendar'!$W$2031)=FALSE,"",'Dvd Calendar'!$W$2031))</f>
        <v/>
      </c>
      <c r="BJ202" s="106">
        <f>IF(GL202="","",IF(ISNUMBER('Dvd Calendar'!$X$2031)=FALSE,"",'Dvd Calendar'!$X$2031))</f>
        <v/>
      </c>
      <c r="BK202" s="106">
        <f>IF(GM202="","",IF(ISNUMBER('Dvd Calendar'!$Y$2031)=FALSE,"",'Dvd Calendar'!$Y$2031))</f>
        <v/>
      </c>
      <c r="BL202" s="106">
        <f>IF(GN202="","",IF(ISNUMBER('Dvd Calendar'!$Z$2031)=FALSE,"",'Dvd Calendar'!$Z$2031))</f>
        <v/>
      </c>
      <c r="BM202" s="106">
        <f>IF(GO202="","",IF(ISNUMBER('Dvd Calendar'!$AA$2031)=FALSE,"",'Dvd Calendar'!$AA$2031))</f>
        <v/>
      </c>
      <c r="BN202" s="106">
        <f>IF(GP202="","",IF(ISNUMBER('Dvd Calendar'!$AB$2031)=FALSE,"",'Dvd Calendar'!$AB$2031))</f>
        <v/>
      </c>
      <c r="BO202" s="106">
        <f>IF(GQ202="","",IF(ISNUMBER('Dvd Calendar'!$AC$2031)=FALSE,"",'Dvd Calendar'!$AC$2031))</f>
        <v/>
      </c>
      <c r="BQ202" s="106">
        <f>IF(C202="","",IFERROR(C202*HSCEI!$B$49*HSCEI!$G$49/HSCEI!$B$3,""))</f>
        <v/>
      </c>
      <c r="BR202" s="106">
        <f>IF(D202="","",IFERROR(D202*HSCEI!$B$49*HSCEI!$G$49/HSCEI!$B$3,""))</f>
        <v/>
      </c>
      <c r="BS202" s="106">
        <f>IF(E202="","",IFERROR(E202*HSCEI!$B$49*HSCEI!$G$49/HSCEI!$B$3,""))</f>
        <v/>
      </c>
      <c r="BT202" s="106">
        <f>IF(F202="","",IFERROR(F202*HSCEI!$B$49*HSCEI!$G$49/HSCEI!$B$3,""))</f>
        <v/>
      </c>
      <c r="BU202" s="106">
        <f>IF(G202="","",IFERROR(G202*HSCEI!$B$49*HSCEI!$G$49/HSCEI!$B$3,""))</f>
        <v/>
      </c>
      <c r="BV202" s="106">
        <f>IF(H202="","",IFERROR(H202*HSCEI!$B$49*HSCEI!$G$49/HSCEI!$B$3,""))</f>
        <v/>
      </c>
      <c r="BW202" s="106">
        <f>IF(I202="","",IFERROR(I202*HSCEI!$B$49*HSCEI!$G$49/HSCEI!$B$3,""))</f>
        <v/>
      </c>
      <c r="BX202" s="106">
        <f>IF(J202="","",IFERROR(J202*HSCEI!$B$49*HSCEI!$G$49/HSCEI!$B$3,""))</f>
        <v/>
      </c>
      <c r="BY202" s="106">
        <f>IF(K202="","",IFERROR(K202*HSCEI!$B$49*HSCEI!$G$49/HSCEI!$B$3,""))</f>
        <v/>
      </c>
      <c r="BZ202" s="106">
        <f>IF(L202="","",IFERROR(L202*HSCEI!$B$49*HSCEI!$G$49/HSCEI!$B$3,""))</f>
        <v/>
      </c>
      <c r="CA202" s="106">
        <f>IF(M202="","",IFERROR(M202*HSCEI!$B$49*HSCEI!$G$49/HSCEI!$B$3,""))</f>
        <v/>
      </c>
      <c r="CB202" s="106">
        <f>IF(N202="","",IFERROR(N202*HSCEI!$B$49*HSCEI!$G$49/HSCEI!$B$3,""))</f>
        <v/>
      </c>
      <c r="CC202" s="106">
        <f>IF(O202="","",IFERROR(O202*HSCEI!$B$49*HSCEI!$G$49/HSCEI!$B$3,""))</f>
        <v/>
      </c>
      <c r="CD202" s="106">
        <f>IF(P202="","",IFERROR(P202*HSCEI!$B$49*HSCEI!$G$49/HSCEI!$B$3,""))</f>
        <v/>
      </c>
      <c r="CE202" s="106">
        <f>IF(Q202="","",IFERROR(Q202*HSCEI!$B$49*HSCEI!$G$49/HSCEI!$B$3,""))</f>
        <v/>
      </c>
      <c r="CF202" s="106">
        <f>IF(R202="","",IFERROR(R202*HSCEI!$B$49*HSCEI!$G$49/HSCEI!$B$3,""))</f>
        <v/>
      </c>
      <c r="CG202" s="106">
        <f>IF(S202="","",IFERROR(S202*HSCEI!$B$49*HSCEI!$G$49/HSCEI!$B$3,""))</f>
        <v/>
      </c>
      <c r="CH202" s="106">
        <f>IF(T202="","",IFERROR(T202*HSCEI!$B$49*HSCEI!$G$49/HSCEI!$B$3,""))</f>
        <v/>
      </c>
      <c r="CI202" s="106">
        <f>IF(U202="","",IFERROR(U202*HSCEI!$B$49*HSCEI!$G$49/HSCEI!$B$3,""))</f>
        <v/>
      </c>
      <c r="CJ202" s="106">
        <f>IF(V202="","",IFERROR(V202*HSCEI!$B$49*HSCEI!$G$49/HSCEI!$B$3,""))</f>
        <v/>
      </c>
      <c r="CK202" s="106">
        <f>IF(W202="","",IFERROR(W202*HSCEI!$B$49*HSCEI!$G$49/HSCEI!$B$3,""))</f>
        <v/>
      </c>
      <c r="CL202" s="106">
        <f>IF(X202="","",IFERROR(X202*HSCEI!$B$49*HSCEI!$G$49/HSCEI!$B$3,""))</f>
        <v/>
      </c>
      <c r="CM202" s="106">
        <f>IF(Y202="","",IFERROR(Y202*HSCEI!$B$49*HSCEI!$G$49/HSCEI!$B$3,""))</f>
        <v/>
      </c>
      <c r="CN202" s="106">
        <f>IF(Z202="","",IFERROR(Z202*HSCEI!$B$49*HSCEI!$G$49/HSCEI!$B$3,""))</f>
        <v/>
      </c>
      <c r="CO202" s="106">
        <f>IF(AA202="","",IFERROR(AA202*HSCEI!$B$49*HSCEI!$G$49/HSCEI!$B$3,""))</f>
        <v/>
      </c>
      <c r="CP202" s="106">
        <f>IF(AB202="","",IFERROR(AB202*HSCEI!$B$49*HSCEI!$G$49/HSCEI!$B$3,""))</f>
        <v/>
      </c>
      <c r="CQ202" s="106">
        <f>IF(AC202="","",IFERROR(AC202*HSCEI!$B$49*HSCEI!$G$49/HSCEI!$B$3,""))</f>
        <v/>
      </c>
      <c r="CR202" s="106">
        <f>IF(AD202="","",IFERROR(AD202*HSCEI!$B$49*HSCEI!$G$49/HSCEI!$B$3,""))</f>
        <v/>
      </c>
      <c r="CS202" s="106">
        <f>IF(AE202="","",IFERROR(AE202*HSCEI!$B$49*HSCEI!$G$49/HSCEI!$B$3,""))</f>
        <v/>
      </c>
      <c r="CT202" s="106">
        <f>IF(AF202="","",IFERROR(AF202*HSCEI!$B$49*HSCEI!$G$49/HSCEI!$B$3,""))</f>
        <v/>
      </c>
      <c r="CU202" s="106">
        <f>IF(AG202="","",IFERROR(AG202*HSCEI!$B$49*HSCEI!$G$49/HSCEI!$B$3,""))</f>
        <v/>
      </c>
      <c r="CV202" s="106">
        <f>IF(AH202="","",IFERROR(AH202*HSCEI!$B$49*HSCEI!$G$49/HSCEI!$B$3,""))</f>
        <v/>
      </c>
      <c r="CW202" s="106">
        <f>IF(AI202="","",IFERROR(AI202*HSCEI!$B$49*HSCEI!$G$49/HSCEI!$B$3,""))</f>
        <v/>
      </c>
      <c r="CX202" s="106">
        <f>IF(AJ202="","",IFERROR(AJ202*HSCEI!$B$49*HSCEI!$G$49/HSCEI!$B$3,""))</f>
        <v/>
      </c>
      <c r="CY202" s="106">
        <f>IF(AK202="","",IFERROR(AK202*HSCEI!$B$49*HSCEI!$G$49/HSCEI!$B$3,""))</f>
        <v/>
      </c>
      <c r="CZ202" s="106">
        <f>IF(AL202="","",IFERROR(AL202*HSCEI!$B$49*HSCEI!$G$49/HSCEI!$B$3,""))</f>
        <v/>
      </c>
      <c r="DA202" s="106">
        <f>IF(AM202="","",IFERROR(AM202*HSCEI!$B$49*HSCEI!$G$49/HSCEI!$B$3,""))</f>
        <v/>
      </c>
      <c r="DB202" s="106">
        <f>IF(AN202="","",IFERROR(AN202*HSCEI!$B$49*HSCEI!$G$49/HSCEI!$B$3,""))</f>
        <v/>
      </c>
      <c r="DC202" s="106">
        <f>IF(AO202="","",IFERROR(AO202*HSCEI!$B$49*HSCEI!$G$49/HSCEI!$B$3,""))</f>
        <v/>
      </c>
      <c r="DD202" s="106">
        <f>IF(AP202="","",IFERROR(AP202*HSCEI!$B$49*HSCEI!$G$49/HSCEI!$B$3,""))</f>
        <v/>
      </c>
      <c r="DE202" s="106">
        <f>IF(AQ202="","",IFERROR(AQ202*HSCEI!$B$49*HSCEI!$G$49/HSCEI!$B$3,""))</f>
        <v/>
      </c>
      <c r="DF202" s="106">
        <f>IF(AR202="","",IFERROR(AR202*HSCEI!$B$49*HSCEI!$G$49/HSCEI!$B$3,""))</f>
        <v/>
      </c>
      <c r="DG202" s="106">
        <f>IF(AS202="","",IFERROR(AS202*HSCEI!$B$49*HSCEI!$G$49/HSCEI!$B$3,""))</f>
        <v/>
      </c>
      <c r="DH202" s="106">
        <f>IF(AT202="","",IFERROR(AT202*HSCEI!$B$49*HSCEI!$G$49/HSCEI!$B$3,""))</f>
        <v/>
      </c>
      <c r="DI202" s="106">
        <f>IF(AU202="","",IFERROR(AU202*HSCEI!$B$49*HSCEI!$G$49/HSCEI!$B$3,""))</f>
        <v/>
      </c>
      <c r="DJ202" s="106">
        <f>IF(AV202="","",IFERROR(AV202*HSCEI!$B$49*HSCEI!$G$49/HSCEI!$B$3,""))</f>
        <v/>
      </c>
      <c r="DK202" s="106">
        <f>IF(AW202="","",IFERROR(AW202*HSCEI!$B$49*HSCEI!$G$49/HSCEI!$B$3,""))</f>
        <v/>
      </c>
      <c r="DL202" s="106">
        <f>IF(AX202="","",IFERROR(AX202*HSCEI!$B$49*HSCEI!$G$49/HSCEI!$B$3,""))</f>
        <v/>
      </c>
      <c r="DM202" s="106">
        <f>IF(AY202="","",IFERROR(AY202*HSCEI!$B$49*HSCEI!$G$49/HSCEI!$B$3,""))</f>
        <v/>
      </c>
      <c r="DN202" s="106">
        <f>IF(AZ202="","",IFERROR(AZ202*HSCEI!$B$49*HSCEI!$G$49/HSCEI!$B$3,""))</f>
        <v/>
      </c>
      <c r="DO202" s="106">
        <f>IF(BA202="","",IFERROR(BA202*HSCEI!$B$49*HSCEI!$G$49/HSCEI!$B$3,""))</f>
        <v/>
      </c>
      <c r="DP202" s="106">
        <f>IF(BB202="","",IFERROR(BB202*HSCEI!$B$49*HSCEI!$G$49/HSCEI!$B$3,""))</f>
        <v/>
      </c>
      <c r="DQ202" s="106">
        <f>IF(BC202="","",IFERROR(BC202*HSCEI!$B$49*HSCEI!$G$49/HSCEI!$B$3,""))</f>
        <v/>
      </c>
      <c r="DR202" s="106">
        <f>IF(BD202="","",IFERROR(BD202*HSCEI!$B$49*HSCEI!$G$49/HSCEI!$B$3,""))</f>
        <v/>
      </c>
      <c r="DS202" s="106">
        <f>IF(BE202="","",IFERROR(BE202*HSCEI!$B$49*HSCEI!$G$49/HSCEI!$B$3,""))</f>
        <v/>
      </c>
      <c r="DT202" s="106">
        <f>IF(BF202="","",IFERROR(BF202*HSCEI!$B$49*HSCEI!$G$49/HSCEI!$B$3,""))</f>
        <v/>
      </c>
      <c r="DU202" s="106">
        <f>IF(BG202="","",IFERROR(BG202*HSCEI!$B$49*HSCEI!$G$49/HSCEI!$B$3,""))</f>
        <v/>
      </c>
      <c r="DV202" s="106">
        <f>IF(BH202="","",IFERROR(BH202*HSCEI!$B$49*HSCEI!$G$49/HSCEI!$B$3,""))</f>
        <v/>
      </c>
      <c r="DW202" s="106">
        <f>IF(BI202="","",IFERROR(BI202*HSCEI!$B$49*HSCEI!$G$49/HSCEI!$B$3,""))</f>
        <v/>
      </c>
      <c r="DX202" s="106">
        <f>IF(BJ202="","",IFERROR(BJ202*HSCEI!$B$49*HSCEI!$G$49/HSCEI!$B$3,""))</f>
        <v/>
      </c>
      <c r="DY202" s="106">
        <f>IF(BK202="","",IFERROR(BK202*HSCEI!$B$49*HSCEI!$G$49/HSCEI!$B$3,""))</f>
        <v/>
      </c>
      <c r="DZ202" s="106">
        <f>IF(BL202="","",IFERROR(BL202*HSCEI!$B$49*HSCEI!$G$49/HSCEI!$B$3,""))</f>
        <v/>
      </c>
      <c r="EA202" s="106">
        <f>IF(BM202="","",IFERROR(BM202*HSCEI!$B$49*HSCEI!$G$49/HSCEI!$B$3,""))</f>
        <v/>
      </c>
      <c r="EB202" s="106">
        <f>IF(BN202="","",IFERROR(BN202*HSCEI!$B$49*HSCEI!$G$49/HSCEI!$B$3,""))</f>
        <v/>
      </c>
      <c r="EC202" s="106">
        <f>IF(BO202="","",IFERROR(BO202*HSCEI!$B$49*HSCEI!$G$49/HSCEI!$B$3,""))</f>
        <v/>
      </c>
      <c r="EE202" s="35">
        <f>IF(N('Dvd Calendar'!$E$2023)=0,"",IF(('Dvd Calendar'!$E$2023&gt;=GRID_FROM)*('Dvd Calendar'!$E$2023&lt;=GRID_TO)*('Dvd Calendar'!$E$2023&lt;=VAL_DATE)=0,"",'Dvd Calendar'!$E$2023*1000000000+ISNUMBER('Dvd Calendar'!$E$2026)*100000000+('Dvd Calendar'!$E$2028=SPECIAL_LBL)*10000000+0*1000000+43*1000+1))</f>
        <v/>
      </c>
      <c r="EF202" s="35">
        <f>IF(N('Dvd Calendar'!$F$2023)=0,"",IF(('Dvd Calendar'!$F$2023&gt;=GRID_FROM)*('Dvd Calendar'!$F$2023&lt;=GRID_TO)*('Dvd Calendar'!$F$2023&lt;=VAL_DATE)=0,"",'Dvd Calendar'!$F$2023*1000000000+ISNUMBER('Dvd Calendar'!$F$2026)*100000000+('Dvd Calendar'!$F$2028=SPECIAL_LBL)*10000000+0*1000000+43*1000+2))</f>
        <v/>
      </c>
      <c r="EG202" s="35">
        <f>IF(N('Dvd Calendar'!$G$2023)=0,"",IF(('Dvd Calendar'!$G$2023&gt;=GRID_FROM)*('Dvd Calendar'!$G$2023&lt;=GRID_TO)*('Dvd Calendar'!$G$2023&lt;=VAL_DATE)=0,"",'Dvd Calendar'!$G$2023*1000000000+ISNUMBER('Dvd Calendar'!$G$2026)*100000000+('Dvd Calendar'!$G$2028=SPECIAL_LBL)*10000000+0*1000000+43*1000+3))</f>
        <v/>
      </c>
      <c r="EH202" s="35">
        <f>IF(N('Dvd Calendar'!$H$2023)=0,"",IF(('Dvd Calendar'!$H$2023&gt;=GRID_FROM)*('Dvd Calendar'!$H$2023&lt;=GRID_TO)*('Dvd Calendar'!$H$2023&lt;=VAL_DATE)=0,"",'Dvd Calendar'!$H$2023*1000000000+ISNUMBER('Dvd Calendar'!$H$2026)*100000000+('Dvd Calendar'!$H$2028=SPECIAL_LBL)*10000000+0*1000000+43*1000+4))</f>
        <v/>
      </c>
      <c r="EI202" s="35">
        <f>IF(N('Dvd Calendar'!$I$2023)=0,"",IF(('Dvd Calendar'!$I$2023&gt;=GRID_FROM)*('Dvd Calendar'!$I$2023&lt;=GRID_TO)*('Dvd Calendar'!$I$2023&lt;=VAL_DATE)=0,"",'Dvd Calendar'!$I$2023*1000000000+ISNUMBER('Dvd Calendar'!$I$2026)*100000000+('Dvd Calendar'!$I$2028=SPECIAL_LBL)*10000000+0*1000000+43*1000+5))</f>
        <v/>
      </c>
      <c r="EJ202" s="35">
        <f>IF(N('Dvd Calendar'!$J$2023)=0,"",IF(('Dvd Calendar'!$J$2023&gt;=GRID_FROM)*('Dvd Calendar'!$J$2023&lt;=GRID_TO)*('Dvd Calendar'!$J$2023&lt;=VAL_DATE)=0,"",'Dvd Calendar'!$J$2023*1000000000+ISNUMBER('Dvd Calendar'!$J$2026)*100000000+('Dvd Calendar'!$J$2028=SPECIAL_LBL)*10000000+0*1000000+43*1000+6))</f>
        <v/>
      </c>
      <c r="EK202" s="35">
        <f>IF(N('Dvd Calendar'!$K$2023)=0,"",IF(('Dvd Calendar'!$K$2023&gt;=GRID_FROM)*('Dvd Calendar'!$K$2023&lt;=GRID_TO)*('Dvd Calendar'!$K$2023&lt;=VAL_DATE)=0,"",'Dvd Calendar'!$K$2023*1000000000+ISNUMBER('Dvd Calendar'!$K$2026)*100000000+('Dvd Calendar'!$K$2028=SPECIAL_LBL)*10000000+0*1000000+43*1000+7))</f>
        <v/>
      </c>
      <c r="EL202" s="35">
        <f>IF(N('Dvd Calendar'!$L$2023)=0,"",IF(('Dvd Calendar'!$L$2023&gt;=GRID_FROM)*('Dvd Calendar'!$L$2023&lt;=GRID_TO)*('Dvd Calendar'!$L$2023&lt;=VAL_DATE)=0,"",'Dvd Calendar'!$L$2023*1000000000+ISNUMBER('Dvd Calendar'!$L$2026)*100000000+('Dvd Calendar'!$L$2028=SPECIAL_LBL)*10000000+0*1000000+43*1000+8))</f>
        <v/>
      </c>
      <c r="EM202" s="35">
        <f>IF(N('Dvd Calendar'!$M$2023)=0,"",IF(('Dvd Calendar'!$M$2023&gt;=GRID_FROM)*('Dvd Calendar'!$M$2023&lt;=GRID_TO)*('Dvd Calendar'!$M$2023&lt;=VAL_DATE)=0,"",'Dvd Calendar'!$M$2023*1000000000+ISNUMBER('Dvd Calendar'!$M$2026)*100000000+('Dvd Calendar'!$M$2028=SPECIAL_LBL)*10000000+0*1000000+43*1000+9))</f>
        <v/>
      </c>
      <c r="EN202" s="35">
        <f>IF(N('Dvd Calendar'!$N$2023)=0,"",IF(('Dvd Calendar'!$N$2023&gt;=GRID_FROM)*('Dvd Calendar'!$N$2023&lt;=GRID_TO)*('Dvd Calendar'!$N$2023&lt;=VAL_DATE)=0,"",'Dvd Calendar'!$N$2023*1000000000+ISNUMBER('Dvd Calendar'!$N$2026)*100000000+('Dvd Calendar'!$N$2028=SPECIAL_LBL)*10000000+0*1000000+43*1000+10))</f>
        <v/>
      </c>
      <c r="EO202" s="35">
        <f>IF(N('Dvd Calendar'!$O$2023)=0,"",IF(('Dvd Calendar'!$O$2023&gt;=GRID_FROM)*('Dvd Calendar'!$O$2023&lt;=GRID_TO)*('Dvd Calendar'!$O$2023&lt;=VAL_DATE)=0,"",'Dvd Calendar'!$O$2023*1000000000+ISNUMBER('Dvd Calendar'!$O$2026)*100000000+('Dvd Calendar'!$O$2028=SPECIAL_LBL)*10000000+0*1000000+43*1000+11))</f>
        <v/>
      </c>
      <c r="EP202" s="35">
        <f>IF(N('Dvd Calendar'!$P$2023)=0,"",IF(('Dvd Calendar'!$P$2023&gt;=GRID_FROM)*('Dvd Calendar'!$P$2023&lt;=GRID_TO)*('Dvd Calendar'!$P$2023&lt;=VAL_DATE)=0,"",'Dvd Calendar'!$P$2023*1000000000+ISNUMBER('Dvd Calendar'!$P$2026)*100000000+('Dvd Calendar'!$P$2028=SPECIAL_LBL)*10000000+0*1000000+43*1000+12))</f>
        <v/>
      </c>
      <c r="EQ202" s="35">
        <f>IF(N('Dvd Calendar'!$Q$2023)=0,"",IF(('Dvd Calendar'!$Q$2023&gt;=GRID_FROM)*('Dvd Calendar'!$Q$2023&lt;=GRID_TO)*('Dvd Calendar'!$Q$2023&lt;=VAL_DATE)=0,"",'Dvd Calendar'!$Q$2023*1000000000+ISNUMBER('Dvd Calendar'!$Q$2026)*100000000+('Dvd Calendar'!$Q$2028=SPECIAL_LBL)*10000000+0*1000000+43*1000+13))</f>
        <v/>
      </c>
      <c r="ER202" s="35">
        <f>IF(N('Dvd Calendar'!$R$2023)=0,"",IF(('Dvd Calendar'!$R$2023&gt;=GRID_FROM)*('Dvd Calendar'!$R$2023&lt;=GRID_TO)*('Dvd Calendar'!$R$2023&lt;=VAL_DATE)=0,"",'Dvd Calendar'!$R$2023*1000000000+ISNUMBER('Dvd Calendar'!$R$2026)*100000000+('Dvd Calendar'!$R$2028=SPECIAL_LBL)*10000000+0*1000000+43*1000+14))</f>
        <v/>
      </c>
      <c r="ES202" s="35">
        <f>IF(N('Dvd Calendar'!$S$2023)=0,"",IF(('Dvd Calendar'!$S$2023&gt;=GRID_FROM)*('Dvd Calendar'!$S$2023&lt;=GRID_TO)*('Dvd Calendar'!$S$2023&lt;=VAL_DATE)=0,"",'Dvd Calendar'!$S$2023*1000000000+ISNUMBER('Dvd Calendar'!$S$2026)*100000000+('Dvd Calendar'!$S$2028=SPECIAL_LBL)*10000000+0*1000000+43*1000+15))</f>
        <v/>
      </c>
      <c r="ET202" s="35">
        <f>IF(N('Dvd Calendar'!$T$2023)=0,"",IF(('Dvd Calendar'!$T$2023&gt;=GRID_FROM)*('Dvd Calendar'!$T$2023&lt;=GRID_TO)*('Dvd Calendar'!$T$2023&lt;=VAL_DATE)=0,"",'Dvd Calendar'!$T$2023*1000000000+ISNUMBER('Dvd Calendar'!$T$2026)*100000000+('Dvd Calendar'!$T$2028=SPECIAL_LBL)*10000000+0*1000000+43*1000+16))</f>
        <v/>
      </c>
      <c r="EU202" s="35">
        <f>IF(N('Dvd Calendar'!$U$2023)=0,"",IF(('Dvd Calendar'!$U$2023&gt;=GRID_FROM)*('Dvd Calendar'!$U$2023&lt;=GRID_TO)*('Dvd Calendar'!$U$2023&lt;=VAL_DATE)=0,"",'Dvd Calendar'!$U$2023*1000000000+ISNUMBER('Dvd Calendar'!$U$2026)*100000000+('Dvd Calendar'!$U$2028=SPECIAL_LBL)*10000000+0*1000000+43*1000+17))</f>
        <v/>
      </c>
      <c r="EV202" s="35">
        <f>IF(N('Dvd Calendar'!$V$2023)=0,"",IF(('Dvd Calendar'!$V$2023&gt;=GRID_FROM)*('Dvd Calendar'!$V$2023&lt;=GRID_TO)*('Dvd Calendar'!$V$2023&lt;=VAL_DATE)=0,"",'Dvd Calendar'!$V$2023*1000000000+ISNUMBER('Dvd Calendar'!$V$2026)*100000000+('Dvd Calendar'!$V$2028=SPECIAL_LBL)*10000000+0*1000000+43*1000+18))</f>
        <v/>
      </c>
      <c r="EW202" s="35">
        <f>IF(N('Dvd Calendar'!$W$2023)=0,"",IF(('Dvd Calendar'!$W$2023&gt;=GRID_FROM)*('Dvd Calendar'!$W$2023&lt;=GRID_TO)*('Dvd Calendar'!$W$2023&lt;=VAL_DATE)=0,"",'Dvd Calendar'!$W$2023*1000000000+ISNUMBER('Dvd Calendar'!$W$2026)*100000000+('Dvd Calendar'!$W$2028=SPECIAL_LBL)*10000000+0*1000000+43*1000+19))</f>
        <v/>
      </c>
      <c r="EX202" s="35">
        <f>IF(N('Dvd Calendar'!$X$2023)=0,"",IF(('Dvd Calendar'!$X$2023&gt;=GRID_FROM)*('Dvd Calendar'!$X$2023&lt;=GRID_TO)*('Dvd Calendar'!$X$2023&lt;=VAL_DATE)=0,"",'Dvd Calendar'!$X$2023*1000000000+ISNUMBER('Dvd Calendar'!$X$2026)*100000000+('Dvd Calendar'!$X$2028=SPECIAL_LBL)*10000000+0*1000000+43*1000+20))</f>
        <v/>
      </c>
      <c r="EY202" s="35">
        <f>IF(N('Dvd Calendar'!$Y$2023)=0,"",IF(('Dvd Calendar'!$Y$2023&gt;=GRID_FROM)*('Dvd Calendar'!$Y$2023&lt;=GRID_TO)*('Dvd Calendar'!$Y$2023&lt;=VAL_DATE)=0,"",'Dvd Calendar'!$Y$2023*1000000000+ISNUMBER('Dvd Calendar'!$Y$2026)*100000000+('Dvd Calendar'!$Y$2028=SPECIAL_LBL)*10000000+0*1000000+43*1000+21))</f>
        <v/>
      </c>
      <c r="EZ202" s="35">
        <f>IF(N('Dvd Calendar'!$Z$2023)=0,"",IF(('Dvd Calendar'!$Z$2023&gt;=GRID_FROM)*('Dvd Calendar'!$Z$2023&lt;=GRID_TO)*('Dvd Calendar'!$Z$2023&lt;=VAL_DATE)=0,"",'Dvd Calendar'!$Z$2023*1000000000+ISNUMBER('Dvd Calendar'!$Z$2026)*100000000+('Dvd Calendar'!$Z$2028=SPECIAL_LBL)*10000000+0*1000000+43*1000+22))</f>
        <v/>
      </c>
      <c r="FA202" s="35">
        <f>IF(N('Dvd Calendar'!$AA$2023)=0,"",IF(('Dvd Calendar'!$AA$2023&gt;=GRID_FROM)*('Dvd Calendar'!$AA$2023&lt;=GRID_TO)*('Dvd Calendar'!$AA$2023&lt;=VAL_DATE)=0,"",'Dvd Calendar'!$AA$2023*1000000000+ISNUMBER('Dvd Calendar'!$AA$2026)*100000000+('Dvd Calendar'!$AA$2028=SPECIAL_LBL)*10000000+0*1000000+43*1000+23))</f>
        <v/>
      </c>
      <c r="FB202" s="35">
        <f>IF(N('Dvd Calendar'!$AB$2023)=0,"",IF(('Dvd Calendar'!$AB$2023&gt;=GRID_FROM)*('Dvd Calendar'!$AB$2023&lt;=GRID_TO)*('Dvd Calendar'!$AB$2023&lt;=VAL_DATE)=0,"",'Dvd Calendar'!$AB$2023*1000000000+ISNUMBER('Dvd Calendar'!$AB$2026)*100000000+('Dvd Calendar'!$AB$2028=SPECIAL_LBL)*10000000+0*1000000+43*1000+24))</f>
        <v/>
      </c>
      <c r="FC202" s="35">
        <f>IF(N('Dvd Calendar'!$AC$2023)=0,"",IF(('Dvd Calendar'!$AC$2023&gt;=GRID_FROM)*('Dvd Calendar'!$AC$2023&lt;=GRID_TO)*('Dvd Calendar'!$AC$2023&lt;=VAL_DATE)=0,"",'Dvd Calendar'!$AC$2023*1000000000+ISNUMBER('Dvd Calendar'!$AC$2026)*100000000+('Dvd Calendar'!$AC$2028=SPECIAL_LBL)*10000000+0*1000000+43*1000+25))</f>
        <v/>
      </c>
      <c r="FD202" s="35">
        <f>IF(N('Dvd Calendar'!$AD$2023)=0,"",IF(('Dvd Calendar'!$AD$2023&gt;=GRID_FROM)*('Dvd Calendar'!$AD$2023&lt;=GRID_TO)*('Dvd Calendar'!$AD$2023&lt;=VAL_DATE)=0,"",'Dvd Calendar'!$AD$2023*1000000000+ISNUMBER('Dvd Calendar'!$AD$2026)*100000000+('Dvd Calendar'!$AD$2028=SPECIAL_LBL)*10000000+0*1000000+43*1000+26))</f>
        <v/>
      </c>
      <c r="FE202" s="35">
        <f>IF(N('Dvd Calendar'!$AE$2023)=0,"",IF(('Dvd Calendar'!$AE$2023&gt;=GRID_FROM)*('Dvd Calendar'!$AE$2023&lt;=GRID_TO)*('Dvd Calendar'!$AE$2023&lt;=VAL_DATE)=0,"",'Dvd Calendar'!$AE$2023*1000000000+ISNUMBER('Dvd Calendar'!$AE$2026)*100000000+('Dvd Calendar'!$AE$2028=SPECIAL_LBL)*10000000+0*1000000+43*1000+27))</f>
        <v/>
      </c>
      <c r="FF202" s="35">
        <f>IF(N('Dvd Calendar'!$AF$2023)=0,"",IF(('Dvd Calendar'!$AF$2023&gt;=GRID_FROM)*('Dvd Calendar'!$AF$2023&lt;=GRID_TO)*('Dvd Calendar'!$AF$2023&lt;=VAL_DATE)=0,"",'Dvd Calendar'!$AF$2023*1000000000+ISNUMBER('Dvd Calendar'!$AF$2026)*100000000+('Dvd Calendar'!$AF$2028=SPECIAL_LBL)*10000000+0*1000000+43*1000+28))</f>
        <v/>
      </c>
      <c r="FG202" s="35">
        <f>IF(N('Dvd Calendar'!$AG$2023)=0,"",IF(('Dvd Calendar'!$AG$2023&gt;=GRID_FROM)*('Dvd Calendar'!$AG$2023&lt;=GRID_TO)*('Dvd Calendar'!$AG$2023&lt;=VAL_DATE)=0,"",'Dvd Calendar'!$AG$2023*1000000000+ISNUMBER('Dvd Calendar'!$AG$2026)*100000000+('Dvd Calendar'!$AG$2028=SPECIAL_LBL)*10000000+0*1000000+43*1000+29))</f>
        <v/>
      </c>
      <c r="FH202" s="35">
        <f>IF(N('Dvd Calendar'!$AH$2023)=0,"",IF(('Dvd Calendar'!$AH$2023&gt;=GRID_FROM)*('Dvd Calendar'!$AH$2023&lt;=GRID_TO)*('Dvd Calendar'!$AH$2023&lt;=VAL_DATE)=0,"",'Dvd Calendar'!$AH$2023*1000000000+ISNUMBER('Dvd Calendar'!$AH$2026)*100000000+('Dvd Calendar'!$AH$2028=SPECIAL_LBL)*10000000+0*1000000+43*1000+30))</f>
        <v/>
      </c>
      <c r="FI202" s="35">
        <f>IF(N('Dvd Calendar'!$AI$2023)=0,"",IF(('Dvd Calendar'!$AI$2023&gt;=GRID_FROM)*('Dvd Calendar'!$AI$2023&lt;=GRID_TO)*('Dvd Calendar'!$AI$2023&lt;=VAL_DATE)=0,"",'Dvd Calendar'!$AI$2023*1000000000+ISNUMBER('Dvd Calendar'!$AI$2026)*100000000+('Dvd Calendar'!$AI$2028=SPECIAL_LBL)*10000000+0*1000000+43*1000+31))</f>
        <v/>
      </c>
      <c r="FJ202" s="35">
        <f>IF(N('Dvd Calendar'!$AJ$2023)=0,"",IF(('Dvd Calendar'!$AJ$2023&gt;=GRID_FROM)*('Dvd Calendar'!$AJ$2023&lt;=GRID_TO)*('Dvd Calendar'!$AJ$2023&lt;=VAL_DATE)=0,"",'Dvd Calendar'!$AJ$2023*1000000000+ISNUMBER('Dvd Calendar'!$AJ$2026)*100000000+('Dvd Calendar'!$AJ$2028=SPECIAL_LBL)*10000000+0*1000000+43*1000+32))</f>
        <v/>
      </c>
      <c r="FK202" s="35">
        <f>IF(N('Dvd Calendar'!$AK$2023)=0,"",IF(('Dvd Calendar'!$AK$2023&gt;=GRID_FROM)*('Dvd Calendar'!$AK$2023&lt;=GRID_TO)*('Dvd Calendar'!$AK$2023&lt;=VAL_DATE)=0,"",'Dvd Calendar'!$AK$2023*1000000000+ISNUMBER('Dvd Calendar'!$AK$2026)*100000000+('Dvd Calendar'!$AK$2028=SPECIAL_LBL)*10000000+0*1000000+43*1000+33))</f>
        <v/>
      </c>
      <c r="FL202" s="35">
        <f>IF(N('Dvd Calendar'!$AL$2023)=0,"",IF(('Dvd Calendar'!$AL$2023&gt;=GRID_FROM)*('Dvd Calendar'!$AL$2023&lt;=GRID_TO)*('Dvd Calendar'!$AL$2023&lt;=VAL_DATE)=0,"",'Dvd Calendar'!$AL$2023*1000000000+ISNUMBER('Dvd Calendar'!$AL$2026)*100000000+('Dvd Calendar'!$AL$2028=SPECIAL_LBL)*10000000+0*1000000+43*1000+34))</f>
        <v/>
      </c>
      <c r="FM202" s="35">
        <f>IF(N('Dvd Calendar'!$AM$2023)=0,"",IF(('Dvd Calendar'!$AM$2023&gt;=GRID_FROM)*('Dvd Calendar'!$AM$2023&lt;=GRID_TO)*('Dvd Calendar'!$AM$2023&lt;=VAL_DATE)=0,"",'Dvd Calendar'!$AM$2023*1000000000+ISNUMBER('Dvd Calendar'!$AM$2026)*100000000+('Dvd Calendar'!$AM$2028=SPECIAL_LBL)*10000000+0*1000000+43*1000+35))</f>
        <v/>
      </c>
      <c r="FN202" s="35">
        <f>IF(N('Dvd Calendar'!$AN$2023)=0,"",IF(('Dvd Calendar'!$AN$2023&gt;=GRID_FROM)*('Dvd Calendar'!$AN$2023&lt;=GRID_TO)*('Dvd Calendar'!$AN$2023&lt;=VAL_DATE)=0,"",'Dvd Calendar'!$AN$2023*1000000000+ISNUMBER('Dvd Calendar'!$AN$2026)*100000000+('Dvd Calendar'!$AN$2028=SPECIAL_LBL)*10000000+0*1000000+43*1000+36))</f>
        <v/>
      </c>
      <c r="FO202" s="35">
        <f>IF(N('Dvd Calendar'!$AO$2023)=0,"",IF(('Dvd Calendar'!$AO$2023&gt;=GRID_FROM)*('Dvd Calendar'!$AO$2023&lt;=GRID_TO)*('Dvd Calendar'!$AO$2023&lt;=VAL_DATE)=0,"",'Dvd Calendar'!$AO$2023*1000000000+ISNUMBER('Dvd Calendar'!$AO$2026)*100000000+('Dvd Calendar'!$AO$2028=SPECIAL_LBL)*10000000+0*1000000+43*1000+37))</f>
        <v/>
      </c>
      <c r="FP202" s="35">
        <f>IF(N('Dvd Calendar'!$AP$2023)=0,"",IF(('Dvd Calendar'!$AP$2023&gt;=GRID_FROM)*('Dvd Calendar'!$AP$2023&lt;=GRID_TO)*('Dvd Calendar'!$AP$2023&lt;=VAL_DATE)=0,"",'Dvd Calendar'!$AP$2023*1000000000+ISNUMBER('Dvd Calendar'!$AP$2026)*100000000+('Dvd Calendar'!$AP$2028=SPECIAL_LBL)*10000000+0*1000000+43*1000+38))</f>
        <v/>
      </c>
      <c r="FQ202" s="35">
        <f>IF(N('Dvd Calendar'!$AQ$2023)=0,"",IF(('Dvd Calendar'!$AQ$2023&gt;=GRID_FROM)*('Dvd Calendar'!$AQ$2023&lt;=GRID_TO)*('Dvd Calendar'!$AQ$2023&lt;=VAL_DATE)=0,"",'Dvd Calendar'!$AQ$2023*1000000000+ISNUMBER('Dvd Calendar'!$AQ$2026)*100000000+('Dvd Calendar'!$AQ$2028=SPECIAL_LBL)*10000000+0*1000000+43*1000+39))</f>
        <v/>
      </c>
      <c r="FR202" s="35">
        <f>IF(N('Dvd Calendar'!$AR$2023)=0,"",IF(('Dvd Calendar'!$AR$2023&gt;=GRID_FROM)*('Dvd Calendar'!$AR$2023&lt;=GRID_TO)*('Dvd Calendar'!$AR$2023&lt;=VAL_DATE)=0,"",'Dvd Calendar'!$AR$2023*1000000000+ISNUMBER('Dvd Calendar'!$AR$2026)*100000000+('Dvd Calendar'!$AR$2028=SPECIAL_LBL)*10000000+0*1000000+43*1000+40))</f>
        <v/>
      </c>
      <c r="FS202" s="35">
        <f>IF(N('Dvd Calendar'!$E$2030)=0,"",IF(('Dvd Calendar'!$E$2030&gt;=GRID_FROM)*('Dvd Calendar'!$E$2030&lt;=GRID_TO)*('Dvd Calendar'!$E$2030&gt;VAL_DATE)=0,"",'Dvd Calendar'!$E$2030*1000000000+ISNUMBER('Dvd Calendar'!$E$2031)*100000000+0*10000000+(N('Dvd Calendar'!$E$2029)&gt;0)*(N('Dvd Calendar'!$E$2029)&lt;=VAL_SERIAL)*1000000+43*1000+41))</f>
        <v/>
      </c>
      <c r="FT202" s="35">
        <f>IF(N('Dvd Calendar'!$F$2030)=0,"",IF(('Dvd Calendar'!$F$2030&gt;=GRID_FROM)*('Dvd Calendar'!$F$2030&lt;=GRID_TO)*('Dvd Calendar'!$F$2030&gt;VAL_DATE)=0,"",'Dvd Calendar'!$F$2030*1000000000+ISNUMBER('Dvd Calendar'!$F$2031)*100000000+0*10000000+(N('Dvd Calendar'!$F$2029)&gt;0)*(N('Dvd Calendar'!$F$2029)&lt;=VAL_SERIAL)*1000000+43*1000+42))</f>
        <v/>
      </c>
      <c r="FU202" s="35">
        <f>IF(N('Dvd Calendar'!$G$2030)=0,"",IF(('Dvd Calendar'!$G$2030&gt;=GRID_FROM)*('Dvd Calendar'!$G$2030&lt;=GRID_TO)*('Dvd Calendar'!$G$2030&gt;VAL_DATE)=0,"",'Dvd Calendar'!$G$2030*1000000000+ISNUMBER('Dvd Calendar'!$G$2031)*100000000+0*10000000+(N('Dvd Calendar'!$G$2029)&gt;0)*(N('Dvd Calendar'!$G$2029)&lt;=VAL_SERIAL)*1000000+43*1000+43))</f>
        <v/>
      </c>
      <c r="FV202" s="35">
        <f>IF(N('Dvd Calendar'!$H$2030)=0,"",IF(('Dvd Calendar'!$H$2030&gt;=GRID_FROM)*('Dvd Calendar'!$H$2030&lt;=GRID_TO)*('Dvd Calendar'!$H$2030&gt;VAL_DATE)=0,"",'Dvd Calendar'!$H$2030*1000000000+ISNUMBER('Dvd Calendar'!$H$2031)*100000000+0*10000000+(N('Dvd Calendar'!$H$2029)&gt;0)*(N('Dvd Calendar'!$H$2029)&lt;=VAL_SERIAL)*1000000+43*1000+44))</f>
        <v/>
      </c>
      <c r="FW202" s="35">
        <f>IF(N('Dvd Calendar'!$I$2030)=0,"",IF(('Dvd Calendar'!$I$2030&gt;=GRID_FROM)*('Dvd Calendar'!$I$2030&lt;=GRID_TO)*('Dvd Calendar'!$I$2030&gt;VAL_DATE)=0,"",'Dvd Calendar'!$I$2030*1000000000+ISNUMBER('Dvd Calendar'!$I$2031)*100000000+0*10000000+(N('Dvd Calendar'!$I$2029)&gt;0)*(N('Dvd Calendar'!$I$2029)&lt;=VAL_SERIAL)*1000000+43*1000+45))</f>
        <v/>
      </c>
      <c r="FX202" s="35">
        <f>IF(N('Dvd Calendar'!$J$2030)=0,"",IF(('Dvd Calendar'!$J$2030&gt;=GRID_FROM)*('Dvd Calendar'!$J$2030&lt;=GRID_TO)*('Dvd Calendar'!$J$2030&gt;VAL_DATE)=0,"",'Dvd Calendar'!$J$2030*1000000000+ISNUMBER('Dvd Calendar'!$J$2031)*100000000+0*10000000+(N('Dvd Calendar'!$J$2029)&gt;0)*(N('Dvd Calendar'!$J$2029)&lt;=VAL_SERIAL)*1000000+43*1000+46))</f>
        <v/>
      </c>
      <c r="FY202" s="35">
        <f>IF(N('Dvd Calendar'!$K$2030)=0,"",IF(('Dvd Calendar'!$K$2030&gt;=GRID_FROM)*('Dvd Calendar'!$K$2030&lt;=GRID_TO)*('Dvd Calendar'!$K$2030&gt;VAL_DATE)=0,"",'Dvd Calendar'!$K$2030*1000000000+ISNUMBER('Dvd Calendar'!$K$2031)*100000000+0*10000000+(N('Dvd Calendar'!$K$2029)&gt;0)*(N('Dvd Calendar'!$K$2029)&lt;=VAL_SERIAL)*1000000+43*1000+47))</f>
        <v/>
      </c>
      <c r="FZ202" s="35">
        <f>IF(N('Dvd Calendar'!$L$2030)=0,"",IF(('Dvd Calendar'!$L$2030&gt;=GRID_FROM)*('Dvd Calendar'!$L$2030&lt;=GRID_TO)*('Dvd Calendar'!$L$2030&gt;VAL_DATE)=0,"",'Dvd Calendar'!$L$2030*1000000000+ISNUMBER('Dvd Calendar'!$L$2031)*100000000+0*10000000+(N('Dvd Calendar'!$L$2029)&gt;0)*(N('Dvd Calendar'!$L$2029)&lt;=VAL_SERIAL)*1000000+43*1000+48))</f>
        <v/>
      </c>
      <c r="GA202" s="35">
        <f>IF(N('Dvd Calendar'!$M$2030)=0,"",IF(('Dvd Calendar'!$M$2030&gt;=GRID_FROM)*('Dvd Calendar'!$M$2030&lt;=GRID_TO)*('Dvd Calendar'!$M$2030&gt;VAL_DATE)=0,"",'Dvd Calendar'!$M$2030*1000000000+ISNUMBER('Dvd Calendar'!$M$2031)*100000000+0*10000000+(N('Dvd Calendar'!$M$2029)&gt;0)*(N('Dvd Calendar'!$M$2029)&lt;=VAL_SERIAL)*1000000+43*1000+49))</f>
        <v/>
      </c>
      <c r="GB202" s="35">
        <f>IF(N('Dvd Calendar'!$N$2030)=0,"",IF(('Dvd Calendar'!$N$2030&gt;=GRID_FROM)*('Dvd Calendar'!$N$2030&lt;=GRID_TO)*('Dvd Calendar'!$N$2030&gt;VAL_DATE)=0,"",'Dvd Calendar'!$N$2030*1000000000+ISNUMBER('Dvd Calendar'!$N$2031)*100000000+0*10000000+(N('Dvd Calendar'!$N$2029)&gt;0)*(N('Dvd Calendar'!$N$2029)&lt;=VAL_SERIAL)*1000000+43*1000+50))</f>
        <v/>
      </c>
      <c r="GC202" s="35">
        <f>IF(N('Dvd Calendar'!$O$2030)=0,"",IF(('Dvd Calendar'!$O$2030&gt;=GRID_FROM)*('Dvd Calendar'!$O$2030&lt;=GRID_TO)*('Dvd Calendar'!$O$2030&gt;VAL_DATE)=0,"",'Dvd Calendar'!$O$2030*1000000000+ISNUMBER('Dvd Calendar'!$O$2031)*100000000+0*10000000+(N('Dvd Calendar'!$O$2029)&gt;0)*(N('Dvd Calendar'!$O$2029)&lt;=VAL_SERIAL)*1000000+43*1000+51))</f>
        <v/>
      </c>
      <c r="GD202" s="35">
        <f>IF(N('Dvd Calendar'!$P$2030)=0,"",IF(('Dvd Calendar'!$P$2030&gt;=GRID_FROM)*('Dvd Calendar'!$P$2030&lt;=GRID_TO)*('Dvd Calendar'!$P$2030&gt;VAL_DATE)=0,"",'Dvd Calendar'!$P$2030*1000000000+ISNUMBER('Dvd Calendar'!$P$2031)*100000000+0*10000000+(N('Dvd Calendar'!$P$2029)&gt;0)*(N('Dvd Calendar'!$P$2029)&lt;=VAL_SERIAL)*1000000+43*1000+52))</f>
        <v/>
      </c>
      <c r="GE202" s="35">
        <f>IF(N('Dvd Calendar'!$Q$2030)=0,"",IF(('Dvd Calendar'!$Q$2030&gt;=GRID_FROM)*('Dvd Calendar'!$Q$2030&lt;=GRID_TO)*('Dvd Calendar'!$Q$2030&gt;VAL_DATE)=0,"",'Dvd Calendar'!$Q$2030*1000000000+ISNUMBER('Dvd Calendar'!$Q$2031)*100000000+0*10000000+(N('Dvd Calendar'!$Q$2029)&gt;0)*(N('Dvd Calendar'!$Q$2029)&lt;=VAL_SERIAL)*1000000+43*1000+53))</f>
        <v/>
      </c>
      <c r="GF202" s="35">
        <f>IF(N('Dvd Calendar'!$R$2030)=0,"",IF(('Dvd Calendar'!$R$2030&gt;=GRID_FROM)*('Dvd Calendar'!$R$2030&lt;=GRID_TO)*('Dvd Calendar'!$R$2030&gt;VAL_DATE)=0,"",'Dvd Calendar'!$R$2030*1000000000+ISNUMBER('Dvd Calendar'!$R$2031)*100000000+0*10000000+(N('Dvd Calendar'!$R$2029)&gt;0)*(N('Dvd Calendar'!$R$2029)&lt;=VAL_SERIAL)*1000000+43*1000+54))</f>
        <v/>
      </c>
      <c r="GG202" s="35">
        <f>IF(N('Dvd Calendar'!$S$2030)=0,"",IF(('Dvd Calendar'!$S$2030&gt;=GRID_FROM)*('Dvd Calendar'!$S$2030&lt;=GRID_TO)*('Dvd Calendar'!$S$2030&gt;VAL_DATE)=0,"",'Dvd Calendar'!$S$2030*1000000000+ISNUMBER('Dvd Calendar'!$S$2031)*100000000+0*10000000+(N('Dvd Calendar'!$S$2029)&gt;0)*(N('Dvd Calendar'!$S$2029)&lt;=VAL_SERIAL)*1000000+43*1000+55))</f>
        <v/>
      </c>
      <c r="GH202" s="35">
        <f>IF(N('Dvd Calendar'!$T$2030)=0,"",IF(('Dvd Calendar'!$T$2030&gt;=GRID_FROM)*('Dvd Calendar'!$T$2030&lt;=GRID_TO)*('Dvd Calendar'!$T$2030&gt;VAL_DATE)=0,"",'Dvd Calendar'!$T$2030*1000000000+ISNUMBER('Dvd Calendar'!$T$2031)*100000000+0*10000000+(N('Dvd Calendar'!$T$2029)&gt;0)*(N('Dvd Calendar'!$T$2029)&lt;=VAL_SERIAL)*1000000+43*1000+56))</f>
        <v/>
      </c>
      <c r="GI202" s="35">
        <f>IF(N('Dvd Calendar'!$U$2030)=0,"",IF(('Dvd Calendar'!$U$2030&gt;=GRID_FROM)*('Dvd Calendar'!$U$2030&lt;=GRID_TO)*('Dvd Calendar'!$U$2030&gt;VAL_DATE)=0,"",'Dvd Calendar'!$U$2030*1000000000+ISNUMBER('Dvd Calendar'!$U$2031)*100000000+0*10000000+(N('Dvd Calendar'!$U$2029)&gt;0)*(N('Dvd Calendar'!$U$2029)&lt;=VAL_SERIAL)*1000000+43*1000+57))</f>
        <v/>
      </c>
      <c r="GJ202" s="35">
        <f>IF(N('Dvd Calendar'!$V$2030)=0,"",IF(('Dvd Calendar'!$V$2030&gt;=GRID_FROM)*('Dvd Calendar'!$V$2030&lt;=GRID_TO)*('Dvd Calendar'!$V$2030&gt;VAL_DATE)=0,"",'Dvd Calendar'!$V$2030*1000000000+ISNUMBER('Dvd Calendar'!$V$2031)*100000000+0*10000000+(N('Dvd Calendar'!$V$2029)&gt;0)*(N('Dvd Calendar'!$V$2029)&lt;=VAL_SERIAL)*1000000+43*1000+58))</f>
        <v/>
      </c>
      <c r="GK202" s="35">
        <f>IF(N('Dvd Calendar'!$W$2030)=0,"",IF(('Dvd Calendar'!$W$2030&gt;=GRID_FROM)*('Dvd Calendar'!$W$2030&lt;=GRID_TO)*('Dvd Calendar'!$W$2030&gt;VAL_DATE)=0,"",'Dvd Calendar'!$W$2030*1000000000+ISNUMBER('Dvd Calendar'!$W$2031)*100000000+0*10000000+(N('Dvd Calendar'!$W$2029)&gt;0)*(N('Dvd Calendar'!$W$2029)&lt;=VAL_SERIAL)*1000000+43*1000+59))</f>
        <v/>
      </c>
      <c r="GL202" s="35">
        <f>IF(N('Dvd Calendar'!$X$2030)=0,"",IF(('Dvd Calendar'!$X$2030&gt;=GRID_FROM)*('Dvd Calendar'!$X$2030&lt;=GRID_TO)*('Dvd Calendar'!$X$2030&gt;VAL_DATE)=0,"",'Dvd Calendar'!$X$2030*1000000000+ISNUMBER('Dvd Calendar'!$X$2031)*100000000+0*10000000+(N('Dvd Calendar'!$X$2029)&gt;0)*(N('Dvd Calendar'!$X$2029)&lt;=VAL_SERIAL)*1000000+43*1000+60))</f>
        <v/>
      </c>
      <c r="GM202" s="35">
        <f>IF(N('Dvd Calendar'!$Y$2030)=0,"",IF(('Dvd Calendar'!$Y$2030&gt;=GRID_FROM)*('Dvd Calendar'!$Y$2030&lt;=GRID_TO)*('Dvd Calendar'!$Y$2030&gt;VAL_DATE)=0,"",'Dvd Calendar'!$Y$2030*1000000000+ISNUMBER('Dvd Calendar'!$Y$2031)*100000000+0*10000000+(N('Dvd Calendar'!$Y$2029)&gt;0)*(N('Dvd Calendar'!$Y$2029)&lt;=VAL_SERIAL)*1000000+43*1000+61))</f>
        <v/>
      </c>
      <c r="GN202" s="35">
        <f>IF(N('Dvd Calendar'!$Z$2030)=0,"",IF(('Dvd Calendar'!$Z$2030&gt;=GRID_FROM)*('Dvd Calendar'!$Z$2030&lt;=GRID_TO)*('Dvd Calendar'!$Z$2030&gt;VAL_DATE)=0,"",'Dvd Calendar'!$Z$2030*1000000000+ISNUMBER('Dvd Calendar'!$Z$2031)*100000000+0*10000000+(N('Dvd Calendar'!$Z$2029)&gt;0)*(N('Dvd Calendar'!$Z$2029)&lt;=VAL_SERIAL)*1000000+43*1000+62))</f>
        <v/>
      </c>
      <c r="GO202" s="35">
        <f>IF(N('Dvd Calendar'!$AA$2030)=0,"",IF(('Dvd Calendar'!$AA$2030&gt;=GRID_FROM)*('Dvd Calendar'!$AA$2030&lt;=GRID_TO)*('Dvd Calendar'!$AA$2030&gt;VAL_DATE)=0,"",'Dvd Calendar'!$AA$2030*1000000000+ISNUMBER('Dvd Calendar'!$AA$2031)*100000000+0*10000000+(N('Dvd Calendar'!$AA$2029)&gt;0)*(N('Dvd Calendar'!$AA$2029)&lt;=VAL_SERIAL)*1000000+43*1000+63))</f>
        <v/>
      </c>
      <c r="GP202" s="35">
        <f>IF(N('Dvd Calendar'!$AB$2030)=0,"",IF(('Dvd Calendar'!$AB$2030&gt;=GRID_FROM)*('Dvd Calendar'!$AB$2030&lt;=GRID_TO)*('Dvd Calendar'!$AB$2030&gt;VAL_DATE)=0,"",'Dvd Calendar'!$AB$2030*1000000000+ISNUMBER('Dvd Calendar'!$AB$2031)*100000000+0*10000000+(N('Dvd Calendar'!$AB$2029)&gt;0)*(N('Dvd Calendar'!$AB$2029)&lt;=VAL_SERIAL)*1000000+43*1000+64))</f>
        <v/>
      </c>
      <c r="GQ202" s="35">
        <f>IF(N('Dvd Calendar'!$AC$2030)=0,"",IF(('Dvd Calendar'!$AC$2030&gt;=GRID_FROM)*('Dvd Calendar'!$AC$2030&lt;=GRID_TO)*('Dvd Calendar'!$AC$2030&gt;VAL_DATE)=0,"",'Dvd Calendar'!$AC$2030*1000000000+ISNUMBER('Dvd Calendar'!$AC$2031)*100000000+0*10000000+(N('Dvd Calendar'!$AC$2029)&gt;0)*(N('Dvd Calendar'!$AC$2029)&lt;=VAL_SERIAL)*1000000+43*1000+65))</f>
        <v/>
      </c>
    </row>
    <row r="203">
      <c r="B203" s="2">
        <f>IF(HSCEI!$C$50="","",HSCEI!$C$50)</f>
        <v/>
      </c>
      <c r="C203" s="106">
        <f>IF(EE203="","",IF(ISNUMBER('Dvd Calendar'!$E$2037)=FALSE,"",IF((('Dvd Calendar'!$E$2039=TYPE1)*(TYPE1&lt;&gt;"")+('Dvd Calendar'!$E$2039=TYPE2)*(TYPE2&lt;&gt;"")+('Dvd Calendar'!$E$2039=TYPE3)*(TYPE3&lt;&gt;"")+('Dvd Calendar'!$E$2039=TYPE4)*(TYPE4&lt;&gt;"")+('Dvd Calendar'!$E$2039=SPECIAL_LBL)*(INC_SPECIALS="Y"))=0,"",'Dvd Calendar'!$E$2037)))</f>
        <v/>
      </c>
      <c r="D203" s="106">
        <f>IF(EF203="","",IF(ISNUMBER('Dvd Calendar'!$F$2037)=FALSE,"",IF((('Dvd Calendar'!$F$2039=TYPE1)*(TYPE1&lt;&gt;"")+('Dvd Calendar'!$F$2039=TYPE2)*(TYPE2&lt;&gt;"")+('Dvd Calendar'!$F$2039=TYPE3)*(TYPE3&lt;&gt;"")+('Dvd Calendar'!$F$2039=TYPE4)*(TYPE4&lt;&gt;"")+('Dvd Calendar'!$F$2039=SPECIAL_LBL)*(INC_SPECIALS="Y"))=0,"",'Dvd Calendar'!$F$2037)))</f>
        <v/>
      </c>
      <c r="E203" s="106">
        <f>IF(EG203="","",IF(ISNUMBER('Dvd Calendar'!$G$2037)=FALSE,"",IF((('Dvd Calendar'!$G$2039=TYPE1)*(TYPE1&lt;&gt;"")+('Dvd Calendar'!$G$2039=TYPE2)*(TYPE2&lt;&gt;"")+('Dvd Calendar'!$G$2039=TYPE3)*(TYPE3&lt;&gt;"")+('Dvd Calendar'!$G$2039=TYPE4)*(TYPE4&lt;&gt;"")+('Dvd Calendar'!$G$2039=SPECIAL_LBL)*(INC_SPECIALS="Y"))=0,"",'Dvd Calendar'!$G$2037)))</f>
        <v/>
      </c>
      <c r="F203" s="106">
        <f>IF(EH203="","",IF(ISNUMBER('Dvd Calendar'!$H$2037)=FALSE,"",IF((('Dvd Calendar'!$H$2039=TYPE1)*(TYPE1&lt;&gt;"")+('Dvd Calendar'!$H$2039=TYPE2)*(TYPE2&lt;&gt;"")+('Dvd Calendar'!$H$2039=TYPE3)*(TYPE3&lt;&gt;"")+('Dvd Calendar'!$H$2039=TYPE4)*(TYPE4&lt;&gt;"")+('Dvd Calendar'!$H$2039=SPECIAL_LBL)*(INC_SPECIALS="Y"))=0,"",'Dvd Calendar'!$H$2037)))</f>
        <v/>
      </c>
      <c r="G203" s="106">
        <f>IF(EI203="","",IF(ISNUMBER('Dvd Calendar'!$I$2037)=FALSE,"",IF((('Dvd Calendar'!$I$2039=TYPE1)*(TYPE1&lt;&gt;"")+('Dvd Calendar'!$I$2039=TYPE2)*(TYPE2&lt;&gt;"")+('Dvd Calendar'!$I$2039=TYPE3)*(TYPE3&lt;&gt;"")+('Dvd Calendar'!$I$2039=TYPE4)*(TYPE4&lt;&gt;"")+('Dvd Calendar'!$I$2039=SPECIAL_LBL)*(INC_SPECIALS="Y"))=0,"",'Dvd Calendar'!$I$2037)))</f>
        <v/>
      </c>
      <c r="H203" s="106">
        <f>IF(EJ203="","",IF(ISNUMBER('Dvd Calendar'!$J$2037)=FALSE,"",IF((('Dvd Calendar'!$J$2039=TYPE1)*(TYPE1&lt;&gt;"")+('Dvd Calendar'!$J$2039=TYPE2)*(TYPE2&lt;&gt;"")+('Dvd Calendar'!$J$2039=TYPE3)*(TYPE3&lt;&gt;"")+('Dvd Calendar'!$J$2039=TYPE4)*(TYPE4&lt;&gt;"")+('Dvd Calendar'!$J$2039=SPECIAL_LBL)*(INC_SPECIALS="Y"))=0,"",'Dvd Calendar'!$J$2037)))</f>
        <v/>
      </c>
      <c r="I203" s="106">
        <f>IF(EK203="","",IF(ISNUMBER('Dvd Calendar'!$K$2037)=FALSE,"",IF((('Dvd Calendar'!$K$2039=TYPE1)*(TYPE1&lt;&gt;"")+('Dvd Calendar'!$K$2039=TYPE2)*(TYPE2&lt;&gt;"")+('Dvd Calendar'!$K$2039=TYPE3)*(TYPE3&lt;&gt;"")+('Dvd Calendar'!$K$2039=TYPE4)*(TYPE4&lt;&gt;"")+('Dvd Calendar'!$K$2039=SPECIAL_LBL)*(INC_SPECIALS="Y"))=0,"",'Dvd Calendar'!$K$2037)))</f>
        <v/>
      </c>
      <c r="J203" s="106">
        <f>IF(EL203="","",IF(ISNUMBER('Dvd Calendar'!$L$2037)=FALSE,"",IF((('Dvd Calendar'!$L$2039=TYPE1)*(TYPE1&lt;&gt;"")+('Dvd Calendar'!$L$2039=TYPE2)*(TYPE2&lt;&gt;"")+('Dvd Calendar'!$L$2039=TYPE3)*(TYPE3&lt;&gt;"")+('Dvd Calendar'!$L$2039=TYPE4)*(TYPE4&lt;&gt;"")+('Dvd Calendar'!$L$2039=SPECIAL_LBL)*(INC_SPECIALS="Y"))=0,"",'Dvd Calendar'!$L$2037)))</f>
        <v/>
      </c>
      <c r="K203" s="106">
        <f>IF(EM203="","",IF(ISNUMBER('Dvd Calendar'!$M$2037)=FALSE,"",IF((('Dvd Calendar'!$M$2039=TYPE1)*(TYPE1&lt;&gt;"")+('Dvd Calendar'!$M$2039=TYPE2)*(TYPE2&lt;&gt;"")+('Dvd Calendar'!$M$2039=TYPE3)*(TYPE3&lt;&gt;"")+('Dvd Calendar'!$M$2039=TYPE4)*(TYPE4&lt;&gt;"")+('Dvd Calendar'!$M$2039=SPECIAL_LBL)*(INC_SPECIALS="Y"))=0,"",'Dvd Calendar'!$M$2037)))</f>
        <v/>
      </c>
      <c r="L203" s="106">
        <f>IF(EN203="","",IF(ISNUMBER('Dvd Calendar'!$N$2037)=FALSE,"",IF((('Dvd Calendar'!$N$2039=TYPE1)*(TYPE1&lt;&gt;"")+('Dvd Calendar'!$N$2039=TYPE2)*(TYPE2&lt;&gt;"")+('Dvd Calendar'!$N$2039=TYPE3)*(TYPE3&lt;&gt;"")+('Dvd Calendar'!$N$2039=TYPE4)*(TYPE4&lt;&gt;"")+('Dvd Calendar'!$N$2039=SPECIAL_LBL)*(INC_SPECIALS="Y"))=0,"",'Dvd Calendar'!$N$2037)))</f>
        <v/>
      </c>
      <c r="M203" s="106">
        <f>IF(EO203="","",IF(ISNUMBER('Dvd Calendar'!$O$2037)=FALSE,"",IF((('Dvd Calendar'!$O$2039=TYPE1)*(TYPE1&lt;&gt;"")+('Dvd Calendar'!$O$2039=TYPE2)*(TYPE2&lt;&gt;"")+('Dvd Calendar'!$O$2039=TYPE3)*(TYPE3&lt;&gt;"")+('Dvd Calendar'!$O$2039=TYPE4)*(TYPE4&lt;&gt;"")+('Dvd Calendar'!$O$2039=SPECIAL_LBL)*(INC_SPECIALS="Y"))=0,"",'Dvd Calendar'!$O$2037)))</f>
        <v/>
      </c>
      <c r="N203" s="106">
        <f>IF(EP203="","",IF(ISNUMBER('Dvd Calendar'!$P$2037)=FALSE,"",IF((('Dvd Calendar'!$P$2039=TYPE1)*(TYPE1&lt;&gt;"")+('Dvd Calendar'!$P$2039=TYPE2)*(TYPE2&lt;&gt;"")+('Dvd Calendar'!$P$2039=TYPE3)*(TYPE3&lt;&gt;"")+('Dvd Calendar'!$P$2039=TYPE4)*(TYPE4&lt;&gt;"")+('Dvd Calendar'!$P$2039=SPECIAL_LBL)*(INC_SPECIALS="Y"))=0,"",'Dvd Calendar'!$P$2037)))</f>
        <v/>
      </c>
      <c r="O203" s="106">
        <f>IF(EQ203="","",IF(ISNUMBER('Dvd Calendar'!$Q$2037)=FALSE,"",IF((('Dvd Calendar'!$Q$2039=TYPE1)*(TYPE1&lt;&gt;"")+('Dvd Calendar'!$Q$2039=TYPE2)*(TYPE2&lt;&gt;"")+('Dvd Calendar'!$Q$2039=TYPE3)*(TYPE3&lt;&gt;"")+('Dvd Calendar'!$Q$2039=TYPE4)*(TYPE4&lt;&gt;"")+('Dvd Calendar'!$Q$2039=SPECIAL_LBL)*(INC_SPECIALS="Y"))=0,"",'Dvd Calendar'!$Q$2037)))</f>
        <v/>
      </c>
      <c r="P203" s="106">
        <f>IF(ER203="","",IF(ISNUMBER('Dvd Calendar'!$R$2037)=FALSE,"",IF((('Dvd Calendar'!$R$2039=TYPE1)*(TYPE1&lt;&gt;"")+('Dvd Calendar'!$R$2039=TYPE2)*(TYPE2&lt;&gt;"")+('Dvd Calendar'!$R$2039=TYPE3)*(TYPE3&lt;&gt;"")+('Dvd Calendar'!$R$2039=TYPE4)*(TYPE4&lt;&gt;"")+('Dvd Calendar'!$R$2039=SPECIAL_LBL)*(INC_SPECIALS="Y"))=0,"",'Dvd Calendar'!$R$2037)))</f>
        <v/>
      </c>
      <c r="Q203" s="106">
        <f>IF(ES203="","",IF(ISNUMBER('Dvd Calendar'!$S$2037)=FALSE,"",IF((('Dvd Calendar'!$S$2039=TYPE1)*(TYPE1&lt;&gt;"")+('Dvd Calendar'!$S$2039=TYPE2)*(TYPE2&lt;&gt;"")+('Dvd Calendar'!$S$2039=TYPE3)*(TYPE3&lt;&gt;"")+('Dvd Calendar'!$S$2039=TYPE4)*(TYPE4&lt;&gt;"")+('Dvd Calendar'!$S$2039=SPECIAL_LBL)*(INC_SPECIALS="Y"))=0,"",'Dvd Calendar'!$S$2037)))</f>
        <v/>
      </c>
      <c r="R203" s="106">
        <f>IF(ET203="","",IF(ISNUMBER('Dvd Calendar'!$T$2037)=FALSE,"",IF((('Dvd Calendar'!$T$2039=TYPE1)*(TYPE1&lt;&gt;"")+('Dvd Calendar'!$T$2039=TYPE2)*(TYPE2&lt;&gt;"")+('Dvd Calendar'!$T$2039=TYPE3)*(TYPE3&lt;&gt;"")+('Dvd Calendar'!$T$2039=TYPE4)*(TYPE4&lt;&gt;"")+('Dvd Calendar'!$T$2039=SPECIAL_LBL)*(INC_SPECIALS="Y"))=0,"",'Dvd Calendar'!$T$2037)))</f>
        <v/>
      </c>
      <c r="S203" s="106">
        <f>IF(EU203="","",IF(ISNUMBER('Dvd Calendar'!$U$2037)=FALSE,"",IF((('Dvd Calendar'!$U$2039=TYPE1)*(TYPE1&lt;&gt;"")+('Dvd Calendar'!$U$2039=TYPE2)*(TYPE2&lt;&gt;"")+('Dvd Calendar'!$U$2039=TYPE3)*(TYPE3&lt;&gt;"")+('Dvd Calendar'!$U$2039=TYPE4)*(TYPE4&lt;&gt;"")+('Dvd Calendar'!$U$2039=SPECIAL_LBL)*(INC_SPECIALS="Y"))=0,"",'Dvd Calendar'!$U$2037)))</f>
        <v/>
      </c>
      <c r="T203" s="106">
        <f>IF(EV203="","",IF(ISNUMBER('Dvd Calendar'!$V$2037)=FALSE,"",IF((('Dvd Calendar'!$V$2039=TYPE1)*(TYPE1&lt;&gt;"")+('Dvd Calendar'!$V$2039=TYPE2)*(TYPE2&lt;&gt;"")+('Dvd Calendar'!$V$2039=TYPE3)*(TYPE3&lt;&gt;"")+('Dvd Calendar'!$V$2039=TYPE4)*(TYPE4&lt;&gt;"")+('Dvd Calendar'!$V$2039=SPECIAL_LBL)*(INC_SPECIALS="Y"))=0,"",'Dvd Calendar'!$V$2037)))</f>
        <v/>
      </c>
      <c r="U203" s="106">
        <f>IF(EW203="","",IF(ISNUMBER('Dvd Calendar'!$W$2037)=FALSE,"",IF((('Dvd Calendar'!$W$2039=TYPE1)*(TYPE1&lt;&gt;"")+('Dvd Calendar'!$W$2039=TYPE2)*(TYPE2&lt;&gt;"")+('Dvd Calendar'!$W$2039=TYPE3)*(TYPE3&lt;&gt;"")+('Dvd Calendar'!$W$2039=TYPE4)*(TYPE4&lt;&gt;"")+('Dvd Calendar'!$W$2039=SPECIAL_LBL)*(INC_SPECIALS="Y"))=0,"",'Dvd Calendar'!$W$2037)))</f>
        <v/>
      </c>
      <c r="V203" s="106">
        <f>IF(EX203="","",IF(ISNUMBER('Dvd Calendar'!$X$2037)=FALSE,"",IF((('Dvd Calendar'!$X$2039=TYPE1)*(TYPE1&lt;&gt;"")+('Dvd Calendar'!$X$2039=TYPE2)*(TYPE2&lt;&gt;"")+('Dvd Calendar'!$X$2039=TYPE3)*(TYPE3&lt;&gt;"")+('Dvd Calendar'!$X$2039=TYPE4)*(TYPE4&lt;&gt;"")+('Dvd Calendar'!$X$2039=SPECIAL_LBL)*(INC_SPECIALS="Y"))=0,"",'Dvd Calendar'!$X$2037)))</f>
        <v/>
      </c>
      <c r="W203" s="106">
        <f>IF(EY203="","",IF(ISNUMBER('Dvd Calendar'!$Y$2037)=FALSE,"",IF((('Dvd Calendar'!$Y$2039=TYPE1)*(TYPE1&lt;&gt;"")+('Dvd Calendar'!$Y$2039=TYPE2)*(TYPE2&lt;&gt;"")+('Dvd Calendar'!$Y$2039=TYPE3)*(TYPE3&lt;&gt;"")+('Dvd Calendar'!$Y$2039=TYPE4)*(TYPE4&lt;&gt;"")+('Dvd Calendar'!$Y$2039=SPECIAL_LBL)*(INC_SPECIALS="Y"))=0,"",'Dvd Calendar'!$Y$2037)))</f>
        <v/>
      </c>
      <c r="X203" s="106">
        <f>IF(EZ203="","",IF(ISNUMBER('Dvd Calendar'!$Z$2037)=FALSE,"",IF((('Dvd Calendar'!$Z$2039=TYPE1)*(TYPE1&lt;&gt;"")+('Dvd Calendar'!$Z$2039=TYPE2)*(TYPE2&lt;&gt;"")+('Dvd Calendar'!$Z$2039=TYPE3)*(TYPE3&lt;&gt;"")+('Dvd Calendar'!$Z$2039=TYPE4)*(TYPE4&lt;&gt;"")+('Dvd Calendar'!$Z$2039=SPECIAL_LBL)*(INC_SPECIALS="Y"))=0,"",'Dvd Calendar'!$Z$2037)))</f>
        <v/>
      </c>
      <c r="Y203" s="106">
        <f>IF(FA203="","",IF(ISNUMBER('Dvd Calendar'!$AA$2037)=FALSE,"",IF((('Dvd Calendar'!$AA$2039=TYPE1)*(TYPE1&lt;&gt;"")+('Dvd Calendar'!$AA$2039=TYPE2)*(TYPE2&lt;&gt;"")+('Dvd Calendar'!$AA$2039=TYPE3)*(TYPE3&lt;&gt;"")+('Dvd Calendar'!$AA$2039=TYPE4)*(TYPE4&lt;&gt;"")+('Dvd Calendar'!$AA$2039=SPECIAL_LBL)*(INC_SPECIALS="Y"))=0,"",'Dvd Calendar'!$AA$2037)))</f>
        <v/>
      </c>
      <c r="Z203" s="106">
        <f>IF(FB203="","",IF(ISNUMBER('Dvd Calendar'!$AB$2037)=FALSE,"",IF((('Dvd Calendar'!$AB$2039=TYPE1)*(TYPE1&lt;&gt;"")+('Dvd Calendar'!$AB$2039=TYPE2)*(TYPE2&lt;&gt;"")+('Dvd Calendar'!$AB$2039=TYPE3)*(TYPE3&lt;&gt;"")+('Dvd Calendar'!$AB$2039=TYPE4)*(TYPE4&lt;&gt;"")+('Dvd Calendar'!$AB$2039=SPECIAL_LBL)*(INC_SPECIALS="Y"))=0,"",'Dvd Calendar'!$AB$2037)))</f>
        <v/>
      </c>
      <c r="AA203" s="106">
        <f>IF(FC203="","",IF(ISNUMBER('Dvd Calendar'!$AC$2037)=FALSE,"",IF((('Dvd Calendar'!$AC$2039=TYPE1)*(TYPE1&lt;&gt;"")+('Dvd Calendar'!$AC$2039=TYPE2)*(TYPE2&lt;&gt;"")+('Dvd Calendar'!$AC$2039=TYPE3)*(TYPE3&lt;&gt;"")+('Dvd Calendar'!$AC$2039=TYPE4)*(TYPE4&lt;&gt;"")+('Dvd Calendar'!$AC$2039=SPECIAL_LBL)*(INC_SPECIALS="Y"))=0,"",'Dvd Calendar'!$AC$2037)))</f>
        <v/>
      </c>
      <c r="AB203" s="106">
        <f>IF(FD203="","",IF(ISNUMBER('Dvd Calendar'!$AD$2037)=FALSE,"",IF((('Dvd Calendar'!$AD$2039=TYPE1)*(TYPE1&lt;&gt;"")+('Dvd Calendar'!$AD$2039=TYPE2)*(TYPE2&lt;&gt;"")+('Dvd Calendar'!$AD$2039=TYPE3)*(TYPE3&lt;&gt;"")+('Dvd Calendar'!$AD$2039=TYPE4)*(TYPE4&lt;&gt;"")+('Dvd Calendar'!$AD$2039=SPECIAL_LBL)*(INC_SPECIALS="Y"))=0,"",'Dvd Calendar'!$AD$2037)))</f>
        <v/>
      </c>
      <c r="AC203" s="106">
        <f>IF(FE203="","",IF(ISNUMBER('Dvd Calendar'!$AE$2037)=FALSE,"",IF((('Dvd Calendar'!$AE$2039=TYPE1)*(TYPE1&lt;&gt;"")+('Dvd Calendar'!$AE$2039=TYPE2)*(TYPE2&lt;&gt;"")+('Dvd Calendar'!$AE$2039=TYPE3)*(TYPE3&lt;&gt;"")+('Dvd Calendar'!$AE$2039=TYPE4)*(TYPE4&lt;&gt;"")+('Dvd Calendar'!$AE$2039=SPECIAL_LBL)*(INC_SPECIALS="Y"))=0,"",'Dvd Calendar'!$AE$2037)))</f>
        <v/>
      </c>
      <c r="AD203" s="106">
        <f>IF(FF203="","",IF(ISNUMBER('Dvd Calendar'!$AF$2037)=FALSE,"",IF((('Dvd Calendar'!$AF$2039=TYPE1)*(TYPE1&lt;&gt;"")+('Dvd Calendar'!$AF$2039=TYPE2)*(TYPE2&lt;&gt;"")+('Dvd Calendar'!$AF$2039=TYPE3)*(TYPE3&lt;&gt;"")+('Dvd Calendar'!$AF$2039=TYPE4)*(TYPE4&lt;&gt;"")+('Dvd Calendar'!$AF$2039=SPECIAL_LBL)*(INC_SPECIALS="Y"))=0,"",'Dvd Calendar'!$AF$2037)))</f>
        <v/>
      </c>
      <c r="AE203" s="106">
        <f>IF(FG203="","",IF(ISNUMBER('Dvd Calendar'!$AG$2037)=FALSE,"",IF((('Dvd Calendar'!$AG$2039=TYPE1)*(TYPE1&lt;&gt;"")+('Dvd Calendar'!$AG$2039=TYPE2)*(TYPE2&lt;&gt;"")+('Dvd Calendar'!$AG$2039=TYPE3)*(TYPE3&lt;&gt;"")+('Dvd Calendar'!$AG$2039=TYPE4)*(TYPE4&lt;&gt;"")+('Dvd Calendar'!$AG$2039=SPECIAL_LBL)*(INC_SPECIALS="Y"))=0,"",'Dvd Calendar'!$AG$2037)))</f>
        <v/>
      </c>
      <c r="AF203" s="106">
        <f>IF(FH203="","",IF(ISNUMBER('Dvd Calendar'!$AH$2037)=FALSE,"",IF((('Dvd Calendar'!$AH$2039=TYPE1)*(TYPE1&lt;&gt;"")+('Dvd Calendar'!$AH$2039=TYPE2)*(TYPE2&lt;&gt;"")+('Dvd Calendar'!$AH$2039=TYPE3)*(TYPE3&lt;&gt;"")+('Dvd Calendar'!$AH$2039=TYPE4)*(TYPE4&lt;&gt;"")+('Dvd Calendar'!$AH$2039=SPECIAL_LBL)*(INC_SPECIALS="Y"))=0,"",'Dvd Calendar'!$AH$2037)))</f>
        <v/>
      </c>
      <c r="AG203" s="106">
        <f>IF(FI203="","",IF(ISNUMBER('Dvd Calendar'!$AI$2037)=FALSE,"",IF((('Dvd Calendar'!$AI$2039=TYPE1)*(TYPE1&lt;&gt;"")+('Dvd Calendar'!$AI$2039=TYPE2)*(TYPE2&lt;&gt;"")+('Dvd Calendar'!$AI$2039=TYPE3)*(TYPE3&lt;&gt;"")+('Dvd Calendar'!$AI$2039=TYPE4)*(TYPE4&lt;&gt;"")+('Dvd Calendar'!$AI$2039=SPECIAL_LBL)*(INC_SPECIALS="Y"))=0,"",'Dvd Calendar'!$AI$2037)))</f>
        <v/>
      </c>
      <c r="AH203" s="106">
        <f>IF(FJ203="","",IF(ISNUMBER('Dvd Calendar'!$AJ$2037)=FALSE,"",IF((('Dvd Calendar'!$AJ$2039=TYPE1)*(TYPE1&lt;&gt;"")+('Dvd Calendar'!$AJ$2039=TYPE2)*(TYPE2&lt;&gt;"")+('Dvd Calendar'!$AJ$2039=TYPE3)*(TYPE3&lt;&gt;"")+('Dvd Calendar'!$AJ$2039=TYPE4)*(TYPE4&lt;&gt;"")+('Dvd Calendar'!$AJ$2039=SPECIAL_LBL)*(INC_SPECIALS="Y"))=0,"",'Dvd Calendar'!$AJ$2037)))</f>
        <v/>
      </c>
      <c r="AI203" s="106">
        <f>IF(FK203="","",IF(ISNUMBER('Dvd Calendar'!$AK$2037)=FALSE,"",IF((('Dvd Calendar'!$AK$2039=TYPE1)*(TYPE1&lt;&gt;"")+('Dvd Calendar'!$AK$2039=TYPE2)*(TYPE2&lt;&gt;"")+('Dvd Calendar'!$AK$2039=TYPE3)*(TYPE3&lt;&gt;"")+('Dvd Calendar'!$AK$2039=TYPE4)*(TYPE4&lt;&gt;"")+('Dvd Calendar'!$AK$2039=SPECIAL_LBL)*(INC_SPECIALS="Y"))=0,"",'Dvd Calendar'!$AK$2037)))</f>
        <v/>
      </c>
      <c r="AJ203" s="106">
        <f>IF(FL203="","",IF(ISNUMBER('Dvd Calendar'!$AL$2037)=FALSE,"",IF((('Dvd Calendar'!$AL$2039=TYPE1)*(TYPE1&lt;&gt;"")+('Dvd Calendar'!$AL$2039=TYPE2)*(TYPE2&lt;&gt;"")+('Dvd Calendar'!$AL$2039=TYPE3)*(TYPE3&lt;&gt;"")+('Dvd Calendar'!$AL$2039=TYPE4)*(TYPE4&lt;&gt;"")+('Dvd Calendar'!$AL$2039=SPECIAL_LBL)*(INC_SPECIALS="Y"))=0,"",'Dvd Calendar'!$AL$2037)))</f>
        <v/>
      </c>
      <c r="AK203" s="106">
        <f>IF(FM203="","",IF(ISNUMBER('Dvd Calendar'!$AM$2037)=FALSE,"",IF((('Dvd Calendar'!$AM$2039=TYPE1)*(TYPE1&lt;&gt;"")+('Dvd Calendar'!$AM$2039=TYPE2)*(TYPE2&lt;&gt;"")+('Dvd Calendar'!$AM$2039=TYPE3)*(TYPE3&lt;&gt;"")+('Dvd Calendar'!$AM$2039=TYPE4)*(TYPE4&lt;&gt;"")+('Dvd Calendar'!$AM$2039=SPECIAL_LBL)*(INC_SPECIALS="Y"))=0,"",'Dvd Calendar'!$AM$2037)))</f>
        <v/>
      </c>
      <c r="AL203" s="106">
        <f>IF(FN203="","",IF(ISNUMBER('Dvd Calendar'!$AN$2037)=FALSE,"",IF((('Dvd Calendar'!$AN$2039=TYPE1)*(TYPE1&lt;&gt;"")+('Dvd Calendar'!$AN$2039=TYPE2)*(TYPE2&lt;&gt;"")+('Dvd Calendar'!$AN$2039=TYPE3)*(TYPE3&lt;&gt;"")+('Dvd Calendar'!$AN$2039=TYPE4)*(TYPE4&lt;&gt;"")+('Dvd Calendar'!$AN$2039=SPECIAL_LBL)*(INC_SPECIALS="Y"))=0,"",'Dvd Calendar'!$AN$2037)))</f>
        <v/>
      </c>
      <c r="AM203" s="106">
        <f>IF(FO203="","",IF(ISNUMBER('Dvd Calendar'!$AO$2037)=FALSE,"",IF((('Dvd Calendar'!$AO$2039=TYPE1)*(TYPE1&lt;&gt;"")+('Dvd Calendar'!$AO$2039=TYPE2)*(TYPE2&lt;&gt;"")+('Dvd Calendar'!$AO$2039=TYPE3)*(TYPE3&lt;&gt;"")+('Dvd Calendar'!$AO$2039=TYPE4)*(TYPE4&lt;&gt;"")+('Dvd Calendar'!$AO$2039=SPECIAL_LBL)*(INC_SPECIALS="Y"))=0,"",'Dvd Calendar'!$AO$2037)))</f>
        <v/>
      </c>
      <c r="AN203" s="106">
        <f>IF(FP203="","",IF(ISNUMBER('Dvd Calendar'!$AP$2037)=FALSE,"",IF((('Dvd Calendar'!$AP$2039=TYPE1)*(TYPE1&lt;&gt;"")+('Dvd Calendar'!$AP$2039=TYPE2)*(TYPE2&lt;&gt;"")+('Dvd Calendar'!$AP$2039=TYPE3)*(TYPE3&lt;&gt;"")+('Dvd Calendar'!$AP$2039=TYPE4)*(TYPE4&lt;&gt;"")+('Dvd Calendar'!$AP$2039=SPECIAL_LBL)*(INC_SPECIALS="Y"))=0,"",'Dvd Calendar'!$AP$2037)))</f>
        <v/>
      </c>
      <c r="AO203" s="106">
        <f>IF(FQ203="","",IF(ISNUMBER('Dvd Calendar'!$AQ$2037)=FALSE,"",IF((('Dvd Calendar'!$AQ$2039=TYPE1)*(TYPE1&lt;&gt;"")+('Dvd Calendar'!$AQ$2039=TYPE2)*(TYPE2&lt;&gt;"")+('Dvd Calendar'!$AQ$2039=TYPE3)*(TYPE3&lt;&gt;"")+('Dvd Calendar'!$AQ$2039=TYPE4)*(TYPE4&lt;&gt;"")+('Dvd Calendar'!$AQ$2039=SPECIAL_LBL)*(INC_SPECIALS="Y"))=0,"",'Dvd Calendar'!$AQ$2037)))</f>
        <v/>
      </c>
      <c r="AP203" s="106">
        <f>IF(FR203="","",IF(ISNUMBER('Dvd Calendar'!$AR$2037)=FALSE,"",IF((('Dvd Calendar'!$AR$2039=TYPE1)*(TYPE1&lt;&gt;"")+('Dvd Calendar'!$AR$2039=TYPE2)*(TYPE2&lt;&gt;"")+('Dvd Calendar'!$AR$2039=TYPE3)*(TYPE3&lt;&gt;"")+('Dvd Calendar'!$AR$2039=TYPE4)*(TYPE4&lt;&gt;"")+('Dvd Calendar'!$AR$2039=SPECIAL_LBL)*(INC_SPECIALS="Y"))=0,"",'Dvd Calendar'!$AR$2037)))</f>
        <v/>
      </c>
      <c r="AQ203" s="106">
        <f>IF(FS203="","",IF(ISNUMBER('Dvd Calendar'!$E$2042)=FALSE,"",'Dvd Calendar'!$E$2042))</f>
        <v/>
      </c>
      <c r="AR203" s="106">
        <f>IF(FT203="","",IF(ISNUMBER('Dvd Calendar'!$F$2042)=FALSE,"",'Dvd Calendar'!$F$2042))</f>
        <v/>
      </c>
      <c r="AS203" s="106">
        <f>IF(FU203="","",IF(ISNUMBER('Dvd Calendar'!$G$2042)=FALSE,"",'Dvd Calendar'!$G$2042))</f>
        <v/>
      </c>
      <c r="AT203" s="106">
        <f>IF(FV203="","",IF(ISNUMBER('Dvd Calendar'!$H$2042)=FALSE,"",'Dvd Calendar'!$H$2042))</f>
        <v/>
      </c>
      <c r="AU203" s="106">
        <f>IF(FW203="","",IF(ISNUMBER('Dvd Calendar'!$I$2042)=FALSE,"",'Dvd Calendar'!$I$2042))</f>
        <v/>
      </c>
      <c r="AV203" s="106">
        <f>IF(FX203="","",IF(ISNUMBER('Dvd Calendar'!$J$2042)=FALSE,"",'Dvd Calendar'!$J$2042))</f>
        <v/>
      </c>
      <c r="AW203" s="106">
        <f>IF(FY203="","",IF(ISNUMBER('Dvd Calendar'!$K$2042)=FALSE,"",'Dvd Calendar'!$K$2042))</f>
        <v/>
      </c>
      <c r="AX203" s="106">
        <f>IF(FZ203="","",IF(ISNUMBER('Dvd Calendar'!$L$2042)=FALSE,"",'Dvd Calendar'!$L$2042))</f>
        <v/>
      </c>
      <c r="AY203" s="106">
        <f>IF(GA203="","",IF(ISNUMBER('Dvd Calendar'!$M$2042)=FALSE,"",'Dvd Calendar'!$M$2042))</f>
        <v/>
      </c>
      <c r="AZ203" s="106">
        <f>IF(GB203="","",IF(ISNUMBER('Dvd Calendar'!$N$2042)=FALSE,"",'Dvd Calendar'!$N$2042))</f>
        <v/>
      </c>
      <c r="BA203" s="106">
        <f>IF(GC203="","",IF(ISNUMBER('Dvd Calendar'!$O$2042)=FALSE,"",'Dvd Calendar'!$O$2042))</f>
        <v/>
      </c>
      <c r="BB203" s="106">
        <f>IF(GD203="","",IF(ISNUMBER('Dvd Calendar'!$P$2042)=FALSE,"",'Dvd Calendar'!$P$2042))</f>
        <v/>
      </c>
      <c r="BC203" s="106">
        <f>IF(GE203="","",IF(ISNUMBER('Dvd Calendar'!$Q$2042)=FALSE,"",'Dvd Calendar'!$Q$2042))</f>
        <v/>
      </c>
      <c r="BD203" s="106">
        <f>IF(GF203="","",IF(ISNUMBER('Dvd Calendar'!$R$2042)=FALSE,"",'Dvd Calendar'!$R$2042))</f>
        <v/>
      </c>
      <c r="BE203" s="106">
        <f>IF(GG203="","",IF(ISNUMBER('Dvd Calendar'!$S$2042)=FALSE,"",'Dvd Calendar'!$S$2042))</f>
        <v/>
      </c>
      <c r="BF203" s="106">
        <f>IF(GH203="","",IF(ISNUMBER('Dvd Calendar'!$T$2042)=FALSE,"",'Dvd Calendar'!$T$2042))</f>
        <v/>
      </c>
      <c r="BG203" s="106">
        <f>IF(GI203="","",IF(ISNUMBER('Dvd Calendar'!$U$2042)=FALSE,"",'Dvd Calendar'!$U$2042))</f>
        <v/>
      </c>
      <c r="BH203" s="106">
        <f>IF(GJ203="","",IF(ISNUMBER('Dvd Calendar'!$V$2042)=FALSE,"",'Dvd Calendar'!$V$2042))</f>
        <v/>
      </c>
      <c r="BI203" s="106">
        <f>IF(GK203="","",IF(ISNUMBER('Dvd Calendar'!$W$2042)=FALSE,"",'Dvd Calendar'!$W$2042))</f>
        <v/>
      </c>
      <c r="BJ203" s="106">
        <f>IF(GL203="","",IF(ISNUMBER('Dvd Calendar'!$X$2042)=FALSE,"",'Dvd Calendar'!$X$2042))</f>
        <v/>
      </c>
      <c r="BK203" s="106">
        <f>IF(GM203="","",IF(ISNUMBER('Dvd Calendar'!$Y$2042)=FALSE,"",'Dvd Calendar'!$Y$2042))</f>
        <v/>
      </c>
      <c r="BL203" s="106">
        <f>IF(GN203="","",IF(ISNUMBER('Dvd Calendar'!$Z$2042)=FALSE,"",'Dvd Calendar'!$Z$2042))</f>
        <v/>
      </c>
      <c r="BM203" s="106">
        <f>IF(GO203="","",IF(ISNUMBER('Dvd Calendar'!$AA$2042)=FALSE,"",'Dvd Calendar'!$AA$2042))</f>
        <v/>
      </c>
      <c r="BN203" s="106">
        <f>IF(GP203="","",IF(ISNUMBER('Dvd Calendar'!$AB$2042)=FALSE,"",'Dvd Calendar'!$AB$2042))</f>
        <v/>
      </c>
      <c r="BO203" s="106">
        <f>IF(GQ203="","",IF(ISNUMBER('Dvd Calendar'!$AC$2042)=FALSE,"",'Dvd Calendar'!$AC$2042))</f>
        <v/>
      </c>
      <c r="BQ203" s="106">
        <f>IF(C203="","",IFERROR(C203*HSCEI!$B$50*HSCEI!$G$50/HSCEI!$B$3,""))</f>
        <v/>
      </c>
      <c r="BR203" s="106">
        <f>IF(D203="","",IFERROR(D203*HSCEI!$B$50*HSCEI!$G$50/HSCEI!$B$3,""))</f>
        <v/>
      </c>
      <c r="BS203" s="106">
        <f>IF(E203="","",IFERROR(E203*HSCEI!$B$50*HSCEI!$G$50/HSCEI!$B$3,""))</f>
        <v/>
      </c>
      <c r="BT203" s="106">
        <f>IF(F203="","",IFERROR(F203*HSCEI!$B$50*HSCEI!$G$50/HSCEI!$B$3,""))</f>
        <v/>
      </c>
      <c r="BU203" s="106">
        <f>IF(G203="","",IFERROR(G203*HSCEI!$B$50*HSCEI!$G$50/HSCEI!$B$3,""))</f>
        <v/>
      </c>
      <c r="BV203" s="106">
        <f>IF(H203="","",IFERROR(H203*HSCEI!$B$50*HSCEI!$G$50/HSCEI!$B$3,""))</f>
        <v/>
      </c>
      <c r="BW203" s="106">
        <f>IF(I203="","",IFERROR(I203*HSCEI!$B$50*HSCEI!$G$50/HSCEI!$B$3,""))</f>
        <v/>
      </c>
      <c r="BX203" s="106">
        <f>IF(J203="","",IFERROR(J203*HSCEI!$B$50*HSCEI!$G$50/HSCEI!$B$3,""))</f>
        <v/>
      </c>
      <c r="BY203" s="106">
        <f>IF(K203="","",IFERROR(K203*HSCEI!$B$50*HSCEI!$G$50/HSCEI!$B$3,""))</f>
        <v/>
      </c>
      <c r="BZ203" s="106">
        <f>IF(L203="","",IFERROR(L203*HSCEI!$B$50*HSCEI!$G$50/HSCEI!$B$3,""))</f>
        <v/>
      </c>
      <c r="CA203" s="106">
        <f>IF(M203="","",IFERROR(M203*HSCEI!$B$50*HSCEI!$G$50/HSCEI!$B$3,""))</f>
        <v/>
      </c>
      <c r="CB203" s="106">
        <f>IF(N203="","",IFERROR(N203*HSCEI!$B$50*HSCEI!$G$50/HSCEI!$B$3,""))</f>
        <v/>
      </c>
      <c r="CC203" s="106">
        <f>IF(O203="","",IFERROR(O203*HSCEI!$B$50*HSCEI!$G$50/HSCEI!$B$3,""))</f>
        <v/>
      </c>
      <c r="CD203" s="106">
        <f>IF(P203="","",IFERROR(P203*HSCEI!$B$50*HSCEI!$G$50/HSCEI!$B$3,""))</f>
        <v/>
      </c>
      <c r="CE203" s="106">
        <f>IF(Q203="","",IFERROR(Q203*HSCEI!$B$50*HSCEI!$G$50/HSCEI!$B$3,""))</f>
        <v/>
      </c>
      <c r="CF203" s="106">
        <f>IF(R203="","",IFERROR(R203*HSCEI!$B$50*HSCEI!$G$50/HSCEI!$B$3,""))</f>
        <v/>
      </c>
      <c r="CG203" s="106">
        <f>IF(S203="","",IFERROR(S203*HSCEI!$B$50*HSCEI!$G$50/HSCEI!$B$3,""))</f>
        <v/>
      </c>
      <c r="CH203" s="106">
        <f>IF(T203="","",IFERROR(T203*HSCEI!$B$50*HSCEI!$G$50/HSCEI!$B$3,""))</f>
        <v/>
      </c>
      <c r="CI203" s="106">
        <f>IF(U203="","",IFERROR(U203*HSCEI!$B$50*HSCEI!$G$50/HSCEI!$B$3,""))</f>
        <v/>
      </c>
      <c r="CJ203" s="106">
        <f>IF(V203="","",IFERROR(V203*HSCEI!$B$50*HSCEI!$G$50/HSCEI!$B$3,""))</f>
        <v/>
      </c>
      <c r="CK203" s="106">
        <f>IF(W203="","",IFERROR(W203*HSCEI!$B$50*HSCEI!$G$50/HSCEI!$B$3,""))</f>
        <v/>
      </c>
      <c r="CL203" s="106">
        <f>IF(X203="","",IFERROR(X203*HSCEI!$B$50*HSCEI!$G$50/HSCEI!$B$3,""))</f>
        <v/>
      </c>
      <c r="CM203" s="106">
        <f>IF(Y203="","",IFERROR(Y203*HSCEI!$B$50*HSCEI!$G$50/HSCEI!$B$3,""))</f>
        <v/>
      </c>
      <c r="CN203" s="106">
        <f>IF(Z203="","",IFERROR(Z203*HSCEI!$B$50*HSCEI!$G$50/HSCEI!$B$3,""))</f>
        <v/>
      </c>
      <c r="CO203" s="106">
        <f>IF(AA203="","",IFERROR(AA203*HSCEI!$B$50*HSCEI!$G$50/HSCEI!$B$3,""))</f>
        <v/>
      </c>
      <c r="CP203" s="106">
        <f>IF(AB203="","",IFERROR(AB203*HSCEI!$B$50*HSCEI!$G$50/HSCEI!$B$3,""))</f>
        <v/>
      </c>
      <c r="CQ203" s="106">
        <f>IF(AC203="","",IFERROR(AC203*HSCEI!$B$50*HSCEI!$G$50/HSCEI!$B$3,""))</f>
        <v/>
      </c>
      <c r="CR203" s="106">
        <f>IF(AD203="","",IFERROR(AD203*HSCEI!$B$50*HSCEI!$G$50/HSCEI!$B$3,""))</f>
        <v/>
      </c>
      <c r="CS203" s="106">
        <f>IF(AE203="","",IFERROR(AE203*HSCEI!$B$50*HSCEI!$G$50/HSCEI!$B$3,""))</f>
        <v/>
      </c>
      <c r="CT203" s="106">
        <f>IF(AF203="","",IFERROR(AF203*HSCEI!$B$50*HSCEI!$G$50/HSCEI!$B$3,""))</f>
        <v/>
      </c>
      <c r="CU203" s="106">
        <f>IF(AG203="","",IFERROR(AG203*HSCEI!$B$50*HSCEI!$G$50/HSCEI!$B$3,""))</f>
        <v/>
      </c>
      <c r="CV203" s="106">
        <f>IF(AH203="","",IFERROR(AH203*HSCEI!$B$50*HSCEI!$G$50/HSCEI!$B$3,""))</f>
        <v/>
      </c>
      <c r="CW203" s="106">
        <f>IF(AI203="","",IFERROR(AI203*HSCEI!$B$50*HSCEI!$G$50/HSCEI!$B$3,""))</f>
        <v/>
      </c>
      <c r="CX203" s="106">
        <f>IF(AJ203="","",IFERROR(AJ203*HSCEI!$B$50*HSCEI!$G$50/HSCEI!$B$3,""))</f>
        <v/>
      </c>
      <c r="CY203" s="106">
        <f>IF(AK203="","",IFERROR(AK203*HSCEI!$B$50*HSCEI!$G$50/HSCEI!$B$3,""))</f>
        <v/>
      </c>
      <c r="CZ203" s="106">
        <f>IF(AL203="","",IFERROR(AL203*HSCEI!$B$50*HSCEI!$G$50/HSCEI!$B$3,""))</f>
        <v/>
      </c>
      <c r="DA203" s="106">
        <f>IF(AM203="","",IFERROR(AM203*HSCEI!$B$50*HSCEI!$G$50/HSCEI!$B$3,""))</f>
        <v/>
      </c>
      <c r="DB203" s="106">
        <f>IF(AN203="","",IFERROR(AN203*HSCEI!$B$50*HSCEI!$G$50/HSCEI!$B$3,""))</f>
        <v/>
      </c>
      <c r="DC203" s="106">
        <f>IF(AO203="","",IFERROR(AO203*HSCEI!$B$50*HSCEI!$G$50/HSCEI!$B$3,""))</f>
        <v/>
      </c>
      <c r="DD203" s="106">
        <f>IF(AP203="","",IFERROR(AP203*HSCEI!$B$50*HSCEI!$G$50/HSCEI!$B$3,""))</f>
        <v/>
      </c>
      <c r="DE203" s="106">
        <f>IF(AQ203="","",IFERROR(AQ203*HSCEI!$B$50*HSCEI!$G$50/HSCEI!$B$3,""))</f>
        <v/>
      </c>
      <c r="DF203" s="106">
        <f>IF(AR203="","",IFERROR(AR203*HSCEI!$B$50*HSCEI!$G$50/HSCEI!$B$3,""))</f>
        <v/>
      </c>
      <c r="DG203" s="106">
        <f>IF(AS203="","",IFERROR(AS203*HSCEI!$B$50*HSCEI!$G$50/HSCEI!$B$3,""))</f>
        <v/>
      </c>
      <c r="DH203" s="106">
        <f>IF(AT203="","",IFERROR(AT203*HSCEI!$B$50*HSCEI!$G$50/HSCEI!$B$3,""))</f>
        <v/>
      </c>
      <c r="DI203" s="106">
        <f>IF(AU203="","",IFERROR(AU203*HSCEI!$B$50*HSCEI!$G$50/HSCEI!$B$3,""))</f>
        <v/>
      </c>
      <c r="DJ203" s="106">
        <f>IF(AV203="","",IFERROR(AV203*HSCEI!$B$50*HSCEI!$G$50/HSCEI!$B$3,""))</f>
        <v/>
      </c>
      <c r="DK203" s="106">
        <f>IF(AW203="","",IFERROR(AW203*HSCEI!$B$50*HSCEI!$G$50/HSCEI!$B$3,""))</f>
        <v/>
      </c>
      <c r="DL203" s="106">
        <f>IF(AX203="","",IFERROR(AX203*HSCEI!$B$50*HSCEI!$G$50/HSCEI!$B$3,""))</f>
        <v/>
      </c>
      <c r="DM203" s="106">
        <f>IF(AY203="","",IFERROR(AY203*HSCEI!$B$50*HSCEI!$G$50/HSCEI!$B$3,""))</f>
        <v/>
      </c>
      <c r="DN203" s="106">
        <f>IF(AZ203="","",IFERROR(AZ203*HSCEI!$B$50*HSCEI!$G$50/HSCEI!$B$3,""))</f>
        <v/>
      </c>
      <c r="DO203" s="106">
        <f>IF(BA203="","",IFERROR(BA203*HSCEI!$B$50*HSCEI!$G$50/HSCEI!$B$3,""))</f>
        <v/>
      </c>
      <c r="DP203" s="106">
        <f>IF(BB203="","",IFERROR(BB203*HSCEI!$B$50*HSCEI!$G$50/HSCEI!$B$3,""))</f>
        <v/>
      </c>
      <c r="DQ203" s="106">
        <f>IF(BC203="","",IFERROR(BC203*HSCEI!$B$50*HSCEI!$G$50/HSCEI!$B$3,""))</f>
        <v/>
      </c>
      <c r="DR203" s="106">
        <f>IF(BD203="","",IFERROR(BD203*HSCEI!$B$50*HSCEI!$G$50/HSCEI!$B$3,""))</f>
        <v/>
      </c>
      <c r="DS203" s="106">
        <f>IF(BE203="","",IFERROR(BE203*HSCEI!$B$50*HSCEI!$G$50/HSCEI!$B$3,""))</f>
        <v/>
      </c>
      <c r="DT203" s="106">
        <f>IF(BF203="","",IFERROR(BF203*HSCEI!$B$50*HSCEI!$G$50/HSCEI!$B$3,""))</f>
        <v/>
      </c>
      <c r="DU203" s="106">
        <f>IF(BG203="","",IFERROR(BG203*HSCEI!$B$50*HSCEI!$G$50/HSCEI!$B$3,""))</f>
        <v/>
      </c>
      <c r="DV203" s="106">
        <f>IF(BH203="","",IFERROR(BH203*HSCEI!$B$50*HSCEI!$G$50/HSCEI!$B$3,""))</f>
        <v/>
      </c>
      <c r="DW203" s="106">
        <f>IF(BI203="","",IFERROR(BI203*HSCEI!$B$50*HSCEI!$G$50/HSCEI!$B$3,""))</f>
        <v/>
      </c>
      <c r="DX203" s="106">
        <f>IF(BJ203="","",IFERROR(BJ203*HSCEI!$B$50*HSCEI!$G$50/HSCEI!$B$3,""))</f>
        <v/>
      </c>
      <c r="DY203" s="106">
        <f>IF(BK203="","",IFERROR(BK203*HSCEI!$B$50*HSCEI!$G$50/HSCEI!$B$3,""))</f>
        <v/>
      </c>
      <c r="DZ203" s="106">
        <f>IF(BL203="","",IFERROR(BL203*HSCEI!$B$50*HSCEI!$G$50/HSCEI!$B$3,""))</f>
        <v/>
      </c>
      <c r="EA203" s="106">
        <f>IF(BM203="","",IFERROR(BM203*HSCEI!$B$50*HSCEI!$G$50/HSCEI!$B$3,""))</f>
        <v/>
      </c>
      <c r="EB203" s="106">
        <f>IF(BN203="","",IFERROR(BN203*HSCEI!$B$50*HSCEI!$G$50/HSCEI!$B$3,""))</f>
        <v/>
      </c>
      <c r="EC203" s="106">
        <f>IF(BO203="","",IFERROR(BO203*HSCEI!$B$50*HSCEI!$G$50/HSCEI!$B$3,""))</f>
        <v/>
      </c>
      <c r="EE203" s="35">
        <f>IF(N('Dvd Calendar'!$E$2034)=0,"",IF(('Dvd Calendar'!$E$2034&gt;=GRID_FROM)*('Dvd Calendar'!$E$2034&lt;=GRID_TO)*('Dvd Calendar'!$E$2034&lt;=VAL_DATE)=0,"",'Dvd Calendar'!$E$2034*1000000000+ISNUMBER('Dvd Calendar'!$E$2037)*100000000+('Dvd Calendar'!$E$2039=SPECIAL_LBL)*10000000+0*1000000+44*1000+1))</f>
        <v/>
      </c>
      <c r="EF203" s="35">
        <f>IF(N('Dvd Calendar'!$F$2034)=0,"",IF(('Dvd Calendar'!$F$2034&gt;=GRID_FROM)*('Dvd Calendar'!$F$2034&lt;=GRID_TO)*('Dvd Calendar'!$F$2034&lt;=VAL_DATE)=0,"",'Dvd Calendar'!$F$2034*1000000000+ISNUMBER('Dvd Calendar'!$F$2037)*100000000+('Dvd Calendar'!$F$2039=SPECIAL_LBL)*10000000+0*1000000+44*1000+2))</f>
        <v/>
      </c>
      <c r="EG203" s="35">
        <f>IF(N('Dvd Calendar'!$G$2034)=0,"",IF(('Dvd Calendar'!$G$2034&gt;=GRID_FROM)*('Dvd Calendar'!$G$2034&lt;=GRID_TO)*('Dvd Calendar'!$G$2034&lt;=VAL_DATE)=0,"",'Dvd Calendar'!$G$2034*1000000000+ISNUMBER('Dvd Calendar'!$G$2037)*100000000+('Dvd Calendar'!$G$2039=SPECIAL_LBL)*10000000+0*1000000+44*1000+3))</f>
        <v/>
      </c>
      <c r="EH203" s="35">
        <f>IF(N('Dvd Calendar'!$H$2034)=0,"",IF(('Dvd Calendar'!$H$2034&gt;=GRID_FROM)*('Dvd Calendar'!$H$2034&lt;=GRID_TO)*('Dvd Calendar'!$H$2034&lt;=VAL_DATE)=0,"",'Dvd Calendar'!$H$2034*1000000000+ISNUMBER('Dvd Calendar'!$H$2037)*100000000+('Dvd Calendar'!$H$2039=SPECIAL_LBL)*10000000+0*1000000+44*1000+4))</f>
        <v/>
      </c>
      <c r="EI203" s="35">
        <f>IF(N('Dvd Calendar'!$I$2034)=0,"",IF(('Dvd Calendar'!$I$2034&gt;=GRID_FROM)*('Dvd Calendar'!$I$2034&lt;=GRID_TO)*('Dvd Calendar'!$I$2034&lt;=VAL_DATE)=0,"",'Dvd Calendar'!$I$2034*1000000000+ISNUMBER('Dvd Calendar'!$I$2037)*100000000+('Dvd Calendar'!$I$2039=SPECIAL_LBL)*10000000+0*1000000+44*1000+5))</f>
        <v/>
      </c>
      <c r="EJ203" s="35">
        <f>IF(N('Dvd Calendar'!$J$2034)=0,"",IF(('Dvd Calendar'!$J$2034&gt;=GRID_FROM)*('Dvd Calendar'!$J$2034&lt;=GRID_TO)*('Dvd Calendar'!$J$2034&lt;=VAL_DATE)=0,"",'Dvd Calendar'!$J$2034*1000000000+ISNUMBER('Dvd Calendar'!$J$2037)*100000000+('Dvd Calendar'!$J$2039=SPECIAL_LBL)*10000000+0*1000000+44*1000+6))</f>
        <v/>
      </c>
      <c r="EK203" s="35">
        <f>IF(N('Dvd Calendar'!$K$2034)=0,"",IF(('Dvd Calendar'!$K$2034&gt;=GRID_FROM)*('Dvd Calendar'!$K$2034&lt;=GRID_TO)*('Dvd Calendar'!$K$2034&lt;=VAL_DATE)=0,"",'Dvd Calendar'!$K$2034*1000000000+ISNUMBER('Dvd Calendar'!$K$2037)*100000000+('Dvd Calendar'!$K$2039=SPECIAL_LBL)*10000000+0*1000000+44*1000+7))</f>
        <v/>
      </c>
      <c r="EL203" s="35">
        <f>IF(N('Dvd Calendar'!$L$2034)=0,"",IF(('Dvd Calendar'!$L$2034&gt;=GRID_FROM)*('Dvd Calendar'!$L$2034&lt;=GRID_TO)*('Dvd Calendar'!$L$2034&lt;=VAL_DATE)=0,"",'Dvd Calendar'!$L$2034*1000000000+ISNUMBER('Dvd Calendar'!$L$2037)*100000000+('Dvd Calendar'!$L$2039=SPECIAL_LBL)*10000000+0*1000000+44*1000+8))</f>
        <v/>
      </c>
      <c r="EM203" s="35">
        <f>IF(N('Dvd Calendar'!$M$2034)=0,"",IF(('Dvd Calendar'!$M$2034&gt;=GRID_FROM)*('Dvd Calendar'!$M$2034&lt;=GRID_TO)*('Dvd Calendar'!$M$2034&lt;=VAL_DATE)=0,"",'Dvd Calendar'!$M$2034*1000000000+ISNUMBER('Dvd Calendar'!$M$2037)*100000000+('Dvd Calendar'!$M$2039=SPECIAL_LBL)*10000000+0*1000000+44*1000+9))</f>
        <v/>
      </c>
      <c r="EN203" s="35">
        <f>IF(N('Dvd Calendar'!$N$2034)=0,"",IF(('Dvd Calendar'!$N$2034&gt;=GRID_FROM)*('Dvd Calendar'!$N$2034&lt;=GRID_TO)*('Dvd Calendar'!$N$2034&lt;=VAL_DATE)=0,"",'Dvd Calendar'!$N$2034*1000000000+ISNUMBER('Dvd Calendar'!$N$2037)*100000000+('Dvd Calendar'!$N$2039=SPECIAL_LBL)*10000000+0*1000000+44*1000+10))</f>
        <v/>
      </c>
      <c r="EO203" s="35">
        <f>IF(N('Dvd Calendar'!$O$2034)=0,"",IF(('Dvd Calendar'!$O$2034&gt;=GRID_FROM)*('Dvd Calendar'!$O$2034&lt;=GRID_TO)*('Dvd Calendar'!$O$2034&lt;=VAL_DATE)=0,"",'Dvd Calendar'!$O$2034*1000000000+ISNUMBER('Dvd Calendar'!$O$2037)*100000000+('Dvd Calendar'!$O$2039=SPECIAL_LBL)*10000000+0*1000000+44*1000+11))</f>
        <v/>
      </c>
      <c r="EP203" s="35">
        <f>IF(N('Dvd Calendar'!$P$2034)=0,"",IF(('Dvd Calendar'!$P$2034&gt;=GRID_FROM)*('Dvd Calendar'!$P$2034&lt;=GRID_TO)*('Dvd Calendar'!$P$2034&lt;=VAL_DATE)=0,"",'Dvd Calendar'!$P$2034*1000000000+ISNUMBER('Dvd Calendar'!$P$2037)*100000000+('Dvd Calendar'!$P$2039=SPECIAL_LBL)*10000000+0*1000000+44*1000+12))</f>
        <v/>
      </c>
      <c r="EQ203" s="35">
        <f>IF(N('Dvd Calendar'!$Q$2034)=0,"",IF(('Dvd Calendar'!$Q$2034&gt;=GRID_FROM)*('Dvd Calendar'!$Q$2034&lt;=GRID_TO)*('Dvd Calendar'!$Q$2034&lt;=VAL_DATE)=0,"",'Dvd Calendar'!$Q$2034*1000000000+ISNUMBER('Dvd Calendar'!$Q$2037)*100000000+('Dvd Calendar'!$Q$2039=SPECIAL_LBL)*10000000+0*1000000+44*1000+13))</f>
        <v/>
      </c>
      <c r="ER203" s="35">
        <f>IF(N('Dvd Calendar'!$R$2034)=0,"",IF(('Dvd Calendar'!$R$2034&gt;=GRID_FROM)*('Dvd Calendar'!$R$2034&lt;=GRID_TO)*('Dvd Calendar'!$R$2034&lt;=VAL_DATE)=0,"",'Dvd Calendar'!$R$2034*1000000000+ISNUMBER('Dvd Calendar'!$R$2037)*100000000+('Dvd Calendar'!$R$2039=SPECIAL_LBL)*10000000+0*1000000+44*1000+14))</f>
        <v/>
      </c>
      <c r="ES203" s="35">
        <f>IF(N('Dvd Calendar'!$S$2034)=0,"",IF(('Dvd Calendar'!$S$2034&gt;=GRID_FROM)*('Dvd Calendar'!$S$2034&lt;=GRID_TO)*('Dvd Calendar'!$S$2034&lt;=VAL_DATE)=0,"",'Dvd Calendar'!$S$2034*1000000000+ISNUMBER('Dvd Calendar'!$S$2037)*100000000+('Dvd Calendar'!$S$2039=SPECIAL_LBL)*10000000+0*1000000+44*1000+15))</f>
        <v/>
      </c>
      <c r="ET203" s="35">
        <f>IF(N('Dvd Calendar'!$T$2034)=0,"",IF(('Dvd Calendar'!$T$2034&gt;=GRID_FROM)*('Dvd Calendar'!$T$2034&lt;=GRID_TO)*('Dvd Calendar'!$T$2034&lt;=VAL_DATE)=0,"",'Dvd Calendar'!$T$2034*1000000000+ISNUMBER('Dvd Calendar'!$T$2037)*100000000+('Dvd Calendar'!$T$2039=SPECIAL_LBL)*10000000+0*1000000+44*1000+16))</f>
        <v/>
      </c>
      <c r="EU203" s="35">
        <f>IF(N('Dvd Calendar'!$U$2034)=0,"",IF(('Dvd Calendar'!$U$2034&gt;=GRID_FROM)*('Dvd Calendar'!$U$2034&lt;=GRID_TO)*('Dvd Calendar'!$U$2034&lt;=VAL_DATE)=0,"",'Dvd Calendar'!$U$2034*1000000000+ISNUMBER('Dvd Calendar'!$U$2037)*100000000+('Dvd Calendar'!$U$2039=SPECIAL_LBL)*10000000+0*1000000+44*1000+17))</f>
        <v/>
      </c>
      <c r="EV203" s="35">
        <f>IF(N('Dvd Calendar'!$V$2034)=0,"",IF(('Dvd Calendar'!$V$2034&gt;=GRID_FROM)*('Dvd Calendar'!$V$2034&lt;=GRID_TO)*('Dvd Calendar'!$V$2034&lt;=VAL_DATE)=0,"",'Dvd Calendar'!$V$2034*1000000000+ISNUMBER('Dvd Calendar'!$V$2037)*100000000+('Dvd Calendar'!$V$2039=SPECIAL_LBL)*10000000+0*1000000+44*1000+18))</f>
        <v/>
      </c>
      <c r="EW203" s="35">
        <f>IF(N('Dvd Calendar'!$W$2034)=0,"",IF(('Dvd Calendar'!$W$2034&gt;=GRID_FROM)*('Dvd Calendar'!$W$2034&lt;=GRID_TO)*('Dvd Calendar'!$W$2034&lt;=VAL_DATE)=0,"",'Dvd Calendar'!$W$2034*1000000000+ISNUMBER('Dvd Calendar'!$W$2037)*100000000+('Dvd Calendar'!$W$2039=SPECIAL_LBL)*10000000+0*1000000+44*1000+19))</f>
        <v/>
      </c>
      <c r="EX203" s="35">
        <f>IF(N('Dvd Calendar'!$X$2034)=0,"",IF(('Dvd Calendar'!$X$2034&gt;=GRID_FROM)*('Dvd Calendar'!$X$2034&lt;=GRID_TO)*('Dvd Calendar'!$X$2034&lt;=VAL_DATE)=0,"",'Dvd Calendar'!$X$2034*1000000000+ISNUMBER('Dvd Calendar'!$X$2037)*100000000+('Dvd Calendar'!$X$2039=SPECIAL_LBL)*10000000+0*1000000+44*1000+20))</f>
        <v/>
      </c>
      <c r="EY203" s="35">
        <f>IF(N('Dvd Calendar'!$Y$2034)=0,"",IF(('Dvd Calendar'!$Y$2034&gt;=GRID_FROM)*('Dvd Calendar'!$Y$2034&lt;=GRID_TO)*('Dvd Calendar'!$Y$2034&lt;=VAL_DATE)=0,"",'Dvd Calendar'!$Y$2034*1000000000+ISNUMBER('Dvd Calendar'!$Y$2037)*100000000+('Dvd Calendar'!$Y$2039=SPECIAL_LBL)*10000000+0*1000000+44*1000+21))</f>
        <v/>
      </c>
      <c r="EZ203" s="35">
        <f>IF(N('Dvd Calendar'!$Z$2034)=0,"",IF(('Dvd Calendar'!$Z$2034&gt;=GRID_FROM)*('Dvd Calendar'!$Z$2034&lt;=GRID_TO)*('Dvd Calendar'!$Z$2034&lt;=VAL_DATE)=0,"",'Dvd Calendar'!$Z$2034*1000000000+ISNUMBER('Dvd Calendar'!$Z$2037)*100000000+('Dvd Calendar'!$Z$2039=SPECIAL_LBL)*10000000+0*1000000+44*1000+22))</f>
        <v/>
      </c>
      <c r="FA203" s="35">
        <f>IF(N('Dvd Calendar'!$AA$2034)=0,"",IF(('Dvd Calendar'!$AA$2034&gt;=GRID_FROM)*('Dvd Calendar'!$AA$2034&lt;=GRID_TO)*('Dvd Calendar'!$AA$2034&lt;=VAL_DATE)=0,"",'Dvd Calendar'!$AA$2034*1000000000+ISNUMBER('Dvd Calendar'!$AA$2037)*100000000+('Dvd Calendar'!$AA$2039=SPECIAL_LBL)*10000000+0*1000000+44*1000+23))</f>
        <v/>
      </c>
      <c r="FB203" s="35">
        <f>IF(N('Dvd Calendar'!$AB$2034)=0,"",IF(('Dvd Calendar'!$AB$2034&gt;=GRID_FROM)*('Dvd Calendar'!$AB$2034&lt;=GRID_TO)*('Dvd Calendar'!$AB$2034&lt;=VAL_DATE)=0,"",'Dvd Calendar'!$AB$2034*1000000000+ISNUMBER('Dvd Calendar'!$AB$2037)*100000000+('Dvd Calendar'!$AB$2039=SPECIAL_LBL)*10000000+0*1000000+44*1000+24))</f>
        <v/>
      </c>
      <c r="FC203" s="35">
        <f>IF(N('Dvd Calendar'!$AC$2034)=0,"",IF(('Dvd Calendar'!$AC$2034&gt;=GRID_FROM)*('Dvd Calendar'!$AC$2034&lt;=GRID_TO)*('Dvd Calendar'!$AC$2034&lt;=VAL_DATE)=0,"",'Dvd Calendar'!$AC$2034*1000000000+ISNUMBER('Dvd Calendar'!$AC$2037)*100000000+('Dvd Calendar'!$AC$2039=SPECIAL_LBL)*10000000+0*1000000+44*1000+25))</f>
        <v/>
      </c>
      <c r="FD203" s="35">
        <f>IF(N('Dvd Calendar'!$AD$2034)=0,"",IF(('Dvd Calendar'!$AD$2034&gt;=GRID_FROM)*('Dvd Calendar'!$AD$2034&lt;=GRID_TO)*('Dvd Calendar'!$AD$2034&lt;=VAL_DATE)=0,"",'Dvd Calendar'!$AD$2034*1000000000+ISNUMBER('Dvd Calendar'!$AD$2037)*100000000+('Dvd Calendar'!$AD$2039=SPECIAL_LBL)*10000000+0*1000000+44*1000+26))</f>
        <v/>
      </c>
      <c r="FE203" s="35">
        <f>IF(N('Dvd Calendar'!$AE$2034)=0,"",IF(('Dvd Calendar'!$AE$2034&gt;=GRID_FROM)*('Dvd Calendar'!$AE$2034&lt;=GRID_TO)*('Dvd Calendar'!$AE$2034&lt;=VAL_DATE)=0,"",'Dvd Calendar'!$AE$2034*1000000000+ISNUMBER('Dvd Calendar'!$AE$2037)*100000000+('Dvd Calendar'!$AE$2039=SPECIAL_LBL)*10000000+0*1000000+44*1000+27))</f>
        <v/>
      </c>
      <c r="FF203" s="35">
        <f>IF(N('Dvd Calendar'!$AF$2034)=0,"",IF(('Dvd Calendar'!$AF$2034&gt;=GRID_FROM)*('Dvd Calendar'!$AF$2034&lt;=GRID_TO)*('Dvd Calendar'!$AF$2034&lt;=VAL_DATE)=0,"",'Dvd Calendar'!$AF$2034*1000000000+ISNUMBER('Dvd Calendar'!$AF$2037)*100000000+('Dvd Calendar'!$AF$2039=SPECIAL_LBL)*10000000+0*1000000+44*1000+28))</f>
        <v/>
      </c>
      <c r="FG203" s="35">
        <f>IF(N('Dvd Calendar'!$AG$2034)=0,"",IF(('Dvd Calendar'!$AG$2034&gt;=GRID_FROM)*('Dvd Calendar'!$AG$2034&lt;=GRID_TO)*('Dvd Calendar'!$AG$2034&lt;=VAL_DATE)=0,"",'Dvd Calendar'!$AG$2034*1000000000+ISNUMBER('Dvd Calendar'!$AG$2037)*100000000+('Dvd Calendar'!$AG$2039=SPECIAL_LBL)*10000000+0*1000000+44*1000+29))</f>
        <v/>
      </c>
      <c r="FH203" s="35">
        <f>IF(N('Dvd Calendar'!$AH$2034)=0,"",IF(('Dvd Calendar'!$AH$2034&gt;=GRID_FROM)*('Dvd Calendar'!$AH$2034&lt;=GRID_TO)*('Dvd Calendar'!$AH$2034&lt;=VAL_DATE)=0,"",'Dvd Calendar'!$AH$2034*1000000000+ISNUMBER('Dvd Calendar'!$AH$2037)*100000000+('Dvd Calendar'!$AH$2039=SPECIAL_LBL)*10000000+0*1000000+44*1000+30))</f>
        <v/>
      </c>
      <c r="FI203" s="35">
        <f>IF(N('Dvd Calendar'!$AI$2034)=0,"",IF(('Dvd Calendar'!$AI$2034&gt;=GRID_FROM)*('Dvd Calendar'!$AI$2034&lt;=GRID_TO)*('Dvd Calendar'!$AI$2034&lt;=VAL_DATE)=0,"",'Dvd Calendar'!$AI$2034*1000000000+ISNUMBER('Dvd Calendar'!$AI$2037)*100000000+('Dvd Calendar'!$AI$2039=SPECIAL_LBL)*10000000+0*1000000+44*1000+31))</f>
        <v/>
      </c>
      <c r="FJ203" s="35">
        <f>IF(N('Dvd Calendar'!$AJ$2034)=0,"",IF(('Dvd Calendar'!$AJ$2034&gt;=GRID_FROM)*('Dvd Calendar'!$AJ$2034&lt;=GRID_TO)*('Dvd Calendar'!$AJ$2034&lt;=VAL_DATE)=0,"",'Dvd Calendar'!$AJ$2034*1000000000+ISNUMBER('Dvd Calendar'!$AJ$2037)*100000000+('Dvd Calendar'!$AJ$2039=SPECIAL_LBL)*10000000+0*1000000+44*1000+32))</f>
        <v/>
      </c>
      <c r="FK203" s="35">
        <f>IF(N('Dvd Calendar'!$AK$2034)=0,"",IF(('Dvd Calendar'!$AK$2034&gt;=GRID_FROM)*('Dvd Calendar'!$AK$2034&lt;=GRID_TO)*('Dvd Calendar'!$AK$2034&lt;=VAL_DATE)=0,"",'Dvd Calendar'!$AK$2034*1000000000+ISNUMBER('Dvd Calendar'!$AK$2037)*100000000+('Dvd Calendar'!$AK$2039=SPECIAL_LBL)*10000000+0*1000000+44*1000+33))</f>
        <v/>
      </c>
      <c r="FL203" s="35">
        <f>IF(N('Dvd Calendar'!$AL$2034)=0,"",IF(('Dvd Calendar'!$AL$2034&gt;=GRID_FROM)*('Dvd Calendar'!$AL$2034&lt;=GRID_TO)*('Dvd Calendar'!$AL$2034&lt;=VAL_DATE)=0,"",'Dvd Calendar'!$AL$2034*1000000000+ISNUMBER('Dvd Calendar'!$AL$2037)*100000000+('Dvd Calendar'!$AL$2039=SPECIAL_LBL)*10000000+0*1000000+44*1000+34))</f>
        <v/>
      </c>
      <c r="FM203" s="35">
        <f>IF(N('Dvd Calendar'!$AM$2034)=0,"",IF(('Dvd Calendar'!$AM$2034&gt;=GRID_FROM)*('Dvd Calendar'!$AM$2034&lt;=GRID_TO)*('Dvd Calendar'!$AM$2034&lt;=VAL_DATE)=0,"",'Dvd Calendar'!$AM$2034*1000000000+ISNUMBER('Dvd Calendar'!$AM$2037)*100000000+('Dvd Calendar'!$AM$2039=SPECIAL_LBL)*10000000+0*1000000+44*1000+35))</f>
        <v/>
      </c>
      <c r="FN203" s="35">
        <f>IF(N('Dvd Calendar'!$AN$2034)=0,"",IF(('Dvd Calendar'!$AN$2034&gt;=GRID_FROM)*('Dvd Calendar'!$AN$2034&lt;=GRID_TO)*('Dvd Calendar'!$AN$2034&lt;=VAL_DATE)=0,"",'Dvd Calendar'!$AN$2034*1000000000+ISNUMBER('Dvd Calendar'!$AN$2037)*100000000+('Dvd Calendar'!$AN$2039=SPECIAL_LBL)*10000000+0*1000000+44*1000+36))</f>
        <v/>
      </c>
      <c r="FO203" s="35">
        <f>IF(N('Dvd Calendar'!$AO$2034)=0,"",IF(('Dvd Calendar'!$AO$2034&gt;=GRID_FROM)*('Dvd Calendar'!$AO$2034&lt;=GRID_TO)*('Dvd Calendar'!$AO$2034&lt;=VAL_DATE)=0,"",'Dvd Calendar'!$AO$2034*1000000000+ISNUMBER('Dvd Calendar'!$AO$2037)*100000000+('Dvd Calendar'!$AO$2039=SPECIAL_LBL)*10000000+0*1000000+44*1000+37))</f>
        <v/>
      </c>
      <c r="FP203" s="35">
        <f>IF(N('Dvd Calendar'!$AP$2034)=0,"",IF(('Dvd Calendar'!$AP$2034&gt;=GRID_FROM)*('Dvd Calendar'!$AP$2034&lt;=GRID_TO)*('Dvd Calendar'!$AP$2034&lt;=VAL_DATE)=0,"",'Dvd Calendar'!$AP$2034*1000000000+ISNUMBER('Dvd Calendar'!$AP$2037)*100000000+('Dvd Calendar'!$AP$2039=SPECIAL_LBL)*10000000+0*1000000+44*1000+38))</f>
        <v/>
      </c>
      <c r="FQ203" s="35">
        <f>IF(N('Dvd Calendar'!$AQ$2034)=0,"",IF(('Dvd Calendar'!$AQ$2034&gt;=GRID_FROM)*('Dvd Calendar'!$AQ$2034&lt;=GRID_TO)*('Dvd Calendar'!$AQ$2034&lt;=VAL_DATE)=0,"",'Dvd Calendar'!$AQ$2034*1000000000+ISNUMBER('Dvd Calendar'!$AQ$2037)*100000000+('Dvd Calendar'!$AQ$2039=SPECIAL_LBL)*10000000+0*1000000+44*1000+39))</f>
        <v/>
      </c>
      <c r="FR203" s="35">
        <f>IF(N('Dvd Calendar'!$AR$2034)=0,"",IF(('Dvd Calendar'!$AR$2034&gt;=GRID_FROM)*('Dvd Calendar'!$AR$2034&lt;=GRID_TO)*('Dvd Calendar'!$AR$2034&lt;=VAL_DATE)=0,"",'Dvd Calendar'!$AR$2034*1000000000+ISNUMBER('Dvd Calendar'!$AR$2037)*100000000+('Dvd Calendar'!$AR$2039=SPECIAL_LBL)*10000000+0*1000000+44*1000+40))</f>
        <v/>
      </c>
      <c r="FS203" s="35">
        <f>IF(N('Dvd Calendar'!$E$2041)=0,"",IF(('Dvd Calendar'!$E$2041&gt;=GRID_FROM)*('Dvd Calendar'!$E$2041&lt;=GRID_TO)*('Dvd Calendar'!$E$2041&gt;VAL_DATE)=0,"",'Dvd Calendar'!$E$2041*1000000000+ISNUMBER('Dvd Calendar'!$E$2042)*100000000+0*10000000+(N('Dvd Calendar'!$E$2040)&gt;0)*(N('Dvd Calendar'!$E$2040)&lt;=VAL_SERIAL)*1000000+44*1000+41))</f>
        <v/>
      </c>
      <c r="FT203" s="35">
        <f>IF(N('Dvd Calendar'!$F$2041)=0,"",IF(('Dvd Calendar'!$F$2041&gt;=GRID_FROM)*('Dvd Calendar'!$F$2041&lt;=GRID_TO)*('Dvd Calendar'!$F$2041&gt;VAL_DATE)=0,"",'Dvd Calendar'!$F$2041*1000000000+ISNUMBER('Dvd Calendar'!$F$2042)*100000000+0*10000000+(N('Dvd Calendar'!$F$2040)&gt;0)*(N('Dvd Calendar'!$F$2040)&lt;=VAL_SERIAL)*1000000+44*1000+42))</f>
        <v/>
      </c>
      <c r="FU203" s="35">
        <f>IF(N('Dvd Calendar'!$G$2041)=0,"",IF(('Dvd Calendar'!$G$2041&gt;=GRID_FROM)*('Dvd Calendar'!$G$2041&lt;=GRID_TO)*('Dvd Calendar'!$G$2041&gt;VAL_DATE)=0,"",'Dvd Calendar'!$G$2041*1000000000+ISNUMBER('Dvd Calendar'!$G$2042)*100000000+0*10000000+(N('Dvd Calendar'!$G$2040)&gt;0)*(N('Dvd Calendar'!$G$2040)&lt;=VAL_SERIAL)*1000000+44*1000+43))</f>
        <v/>
      </c>
      <c r="FV203" s="35">
        <f>IF(N('Dvd Calendar'!$H$2041)=0,"",IF(('Dvd Calendar'!$H$2041&gt;=GRID_FROM)*('Dvd Calendar'!$H$2041&lt;=GRID_TO)*('Dvd Calendar'!$H$2041&gt;VAL_DATE)=0,"",'Dvd Calendar'!$H$2041*1000000000+ISNUMBER('Dvd Calendar'!$H$2042)*100000000+0*10000000+(N('Dvd Calendar'!$H$2040)&gt;0)*(N('Dvd Calendar'!$H$2040)&lt;=VAL_SERIAL)*1000000+44*1000+44))</f>
        <v/>
      </c>
      <c r="FW203" s="35">
        <f>IF(N('Dvd Calendar'!$I$2041)=0,"",IF(('Dvd Calendar'!$I$2041&gt;=GRID_FROM)*('Dvd Calendar'!$I$2041&lt;=GRID_TO)*('Dvd Calendar'!$I$2041&gt;VAL_DATE)=0,"",'Dvd Calendar'!$I$2041*1000000000+ISNUMBER('Dvd Calendar'!$I$2042)*100000000+0*10000000+(N('Dvd Calendar'!$I$2040)&gt;0)*(N('Dvd Calendar'!$I$2040)&lt;=VAL_SERIAL)*1000000+44*1000+45))</f>
        <v/>
      </c>
      <c r="FX203" s="35">
        <f>IF(N('Dvd Calendar'!$J$2041)=0,"",IF(('Dvd Calendar'!$J$2041&gt;=GRID_FROM)*('Dvd Calendar'!$J$2041&lt;=GRID_TO)*('Dvd Calendar'!$J$2041&gt;VAL_DATE)=0,"",'Dvd Calendar'!$J$2041*1000000000+ISNUMBER('Dvd Calendar'!$J$2042)*100000000+0*10000000+(N('Dvd Calendar'!$J$2040)&gt;0)*(N('Dvd Calendar'!$J$2040)&lt;=VAL_SERIAL)*1000000+44*1000+46))</f>
        <v/>
      </c>
      <c r="FY203" s="35">
        <f>IF(N('Dvd Calendar'!$K$2041)=0,"",IF(('Dvd Calendar'!$K$2041&gt;=GRID_FROM)*('Dvd Calendar'!$K$2041&lt;=GRID_TO)*('Dvd Calendar'!$K$2041&gt;VAL_DATE)=0,"",'Dvd Calendar'!$K$2041*1000000000+ISNUMBER('Dvd Calendar'!$K$2042)*100000000+0*10000000+(N('Dvd Calendar'!$K$2040)&gt;0)*(N('Dvd Calendar'!$K$2040)&lt;=VAL_SERIAL)*1000000+44*1000+47))</f>
        <v/>
      </c>
      <c r="FZ203" s="35">
        <f>IF(N('Dvd Calendar'!$L$2041)=0,"",IF(('Dvd Calendar'!$L$2041&gt;=GRID_FROM)*('Dvd Calendar'!$L$2041&lt;=GRID_TO)*('Dvd Calendar'!$L$2041&gt;VAL_DATE)=0,"",'Dvd Calendar'!$L$2041*1000000000+ISNUMBER('Dvd Calendar'!$L$2042)*100000000+0*10000000+(N('Dvd Calendar'!$L$2040)&gt;0)*(N('Dvd Calendar'!$L$2040)&lt;=VAL_SERIAL)*1000000+44*1000+48))</f>
        <v/>
      </c>
      <c r="GA203" s="35">
        <f>IF(N('Dvd Calendar'!$M$2041)=0,"",IF(('Dvd Calendar'!$M$2041&gt;=GRID_FROM)*('Dvd Calendar'!$M$2041&lt;=GRID_TO)*('Dvd Calendar'!$M$2041&gt;VAL_DATE)=0,"",'Dvd Calendar'!$M$2041*1000000000+ISNUMBER('Dvd Calendar'!$M$2042)*100000000+0*10000000+(N('Dvd Calendar'!$M$2040)&gt;0)*(N('Dvd Calendar'!$M$2040)&lt;=VAL_SERIAL)*1000000+44*1000+49))</f>
        <v/>
      </c>
      <c r="GB203" s="35">
        <f>IF(N('Dvd Calendar'!$N$2041)=0,"",IF(('Dvd Calendar'!$N$2041&gt;=GRID_FROM)*('Dvd Calendar'!$N$2041&lt;=GRID_TO)*('Dvd Calendar'!$N$2041&gt;VAL_DATE)=0,"",'Dvd Calendar'!$N$2041*1000000000+ISNUMBER('Dvd Calendar'!$N$2042)*100000000+0*10000000+(N('Dvd Calendar'!$N$2040)&gt;0)*(N('Dvd Calendar'!$N$2040)&lt;=VAL_SERIAL)*1000000+44*1000+50))</f>
        <v/>
      </c>
      <c r="GC203" s="35">
        <f>IF(N('Dvd Calendar'!$O$2041)=0,"",IF(('Dvd Calendar'!$O$2041&gt;=GRID_FROM)*('Dvd Calendar'!$O$2041&lt;=GRID_TO)*('Dvd Calendar'!$O$2041&gt;VAL_DATE)=0,"",'Dvd Calendar'!$O$2041*1000000000+ISNUMBER('Dvd Calendar'!$O$2042)*100000000+0*10000000+(N('Dvd Calendar'!$O$2040)&gt;0)*(N('Dvd Calendar'!$O$2040)&lt;=VAL_SERIAL)*1000000+44*1000+51))</f>
        <v/>
      </c>
      <c r="GD203" s="35">
        <f>IF(N('Dvd Calendar'!$P$2041)=0,"",IF(('Dvd Calendar'!$P$2041&gt;=GRID_FROM)*('Dvd Calendar'!$P$2041&lt;=GRID_TO)*('Dvd Calendar'!$P$2041&gt;VAL_DATE)=0,"",'Dvd Calendar'!$P$2041*1000000000+ISNUMBER('Dvd Calendar'!$P$2042)*100000000+0*10000000+(N('Dvd Calendar'!$P$2040)&gt;0)*(N('Dvd Calendar'!$P$2040)&lt;=VAL_SERIAL)*1000000+44*1000+52))</f>
        <v/>
      </c>
      <c r="GE203" s="35">
        <f>IF(N('Dvd Calendar'!$Q$2041)=0,"",IF(('Dvd Calendar'!$Q$2041&gt;=GRID_FROM)*('Dvd Calendar'!$Q$2041&lt;=GRID_TO)*('Dvd Calendar'!$Q$2041&gt;VAL_DATE)=0,"",'Dvd Calendar'!$Q$2041*1000000000+ISNUMBER('Dvd Calendar'!$Q$2042)*100000000+0*10000000+(N('Dvd Calendar'!$Q$2040)&gt;0)*(N('Dvd Calendar'!$Q$2040)&lt;=VAL_SERIAL)*1000000+44*1000+53))</f>
        <v/>
      </c>
      <c r="GF203" s="35">
        <f>IF(N('Dvd Calendar'!$R$2041)=0,"",IF(('Dvd Calendar'!$R$2041&gt;=GRID_FROM)*('Dvd Calendar'!$R$2041&lt;=GRID_TO)*('Dvd Calendar'!$R$2041&gt;VAL_DATE)=0,"",'Dvd Calendar'!$R$2041*1000000000+ISNUMBER('Dvd Calendar'!$R$2042)*100000000+0*10000000+(N('Dvd Calendar'!$R$2040)&gt;0)*(N('Dvd Calendar'!$R$2040)&lt;=VAL_SERIAL)*1000000+44*1000+54))</f>
        <v/>
      </c>
      <c r="GG203" s="35">
        <f>IF(N('Dvd Calendar'!$S$2041)=0,"",IF(('Dvd Calendar'!$S$2041&gt;=GRID_FROM)*('Dvd Calendar'!$S$2041&lt;=GRID_TO)*('Dvd Calendar'!$S$2041&gt;VAL_DATE)=0,"",'Dvd Calendar'!$S$2041*1000000000+ISNUMBER('Dvd Calendar'!$S$2042)*100000000+0*10000000+(N('Dvd Calendar'!$S$2040)&gt;0)*(N('Dvd Calendar'!$S$2040)&lt;=VAL_SERIAL)*1000000+44*1000+55))</f>
        <v/>
      </c>
      <c r="GH203" s="35">
        <f>IF(N('Dvd Calendar'!$T$2041)=0,"",IF(('Dvd Calendar'!$T$2041&gt;=GRID_FROM)*('Dvd Calendar'!$T$2041&lt;=GRID_TO)*('Dvd Calendar'!$T$2041&gt;VAL_DATE)=0,"",'Dvd Calendar'!$T$2041*1000000000+ISNUMBER('Dvd Calendar'!$T$2042)*100000000+0*10000000+(N('Dvd Calendar'!$T$2040)&gt;0)*(N('Dvd Calendar'!$T$2040)&lt;=VAL_SERIAL)*1000000+44*1000+56))</f>
        <v/>
      </c>
      <c r="GI203" s="35">
        <f>IF(N('Dvd Calendar'!$U$2041)=0,"",IF(('Dvd Calendar'!$U$2041&gt;=GRID_FROM)*('Dvd Calendar'!$U$2041&lt;=GRID_TO)*('Dvd Calendar'!$U$2041&gt;VAL_DATE)=0,"",'Dvd Calendar'!$U$2041*1000000000+ISNUMBER('Dvd Calendar'!$U$2042)*100000000+0*10000000+(N('Dvd Calendar'!$U$2040)&gt;0)*(N('Dvd Calendar'!$U$2040)&lt;=VAL_SERIAL)*1000000+44*1000+57))</f>
        <v/>
      </c>
      <c r="GJ203" s="35">
        <f>IF(N('Dvd Calendar'!$V$2041)=0,"",IF(('Dvd Calendar'!$V$2041&gt;=GRID_FROM)*('Dvd Calendar'!$V$2041&lt;=GRID_TO)*('Dvd Calendar'!$V$2041&gt;VAL_DATE)=0,"",'Dvd Calendar'!$V$2041*1000000000+ISNUMBER('Dvd Calendar'!$V$2042)*100000000+0*10000000+(N('Dvd Calendar'!$V$2040)&gt;0)*(N('Dvd Calendar'!$V$2040)&lt;=VAL_SERIAL)*1000000+44*1000+58))</f>
        <v/>
      </c>
      <c r="GK203" s="35">
        <f>IF(N('Dvd Calendar'!$W$2041)=0,"",IF(('Dvd Calendar'!$W$2041&gt;=GRID_FROM)*('Dvd Calendar'!$W$2041&lt;=GRID_TO)*('Dvd Calendar'!$W$2041&gt;VAL_DATE)=0,"",'Dvd Calendar'!$W$2041*1000000000+ISNUMBER('Dvd Calendar'!$W$2042)*100000000+0*10000000+(N('Dvd Calendar'!$W$2040)&gt;0)*(N('Dvd Calendar'!$W$2040)&lt;=VAL_SERIAL)*1000000+44*1000+59))</f>
        <v/>
      </c>
      <c r="GL203" s="35">
        <f>IF(N('Dvd Calendar'!$X$2041)=0,"",IF(('Dvd Calendar'!$X$2041&gt;=GRID_FROM)*('Dvd Calendar'!$X$2041&lt;=GRID_TO)*('Dvd Calendar'!$X$2041&gt;VAL_DATE)=0,"",'Dvd Calendar'!$X$2041*1000000000+ISNUMBER('Dvd Calendar'!$X$2042)*100000000+0*10000000+(N('Dvd Calendar'!$X$2040)&gt;0)*(N('Dvd Calendar'!$X$2040)&lt;=VAL_SERIAL)*1000000+44*1000+60))</f>
        <v/>
      </c>
      <c r="GM203" s="35">
        <f>IF(N('Dvd Calendar'!$Y$2041)=0,"",IF(('Dvd Calendar'!$Y$2041&gt;=GRID_FROM)*('Dvd Calendar'!$Y$2041&lt;=GRID_TO)*('Dvd Calendar'!$Y$2041&gt;VAL_DATE)=0,"",'Dvd Calendar'!$Y$2041*1000000000+ISNUMBER('Dvd Calendar'!$Y$2042)*100000000+0*10000000+(N('Dvd Calendar'!$Y$2040)&gt;0)*(N('Dvd Calendar'!$Y$2040)&lt;=VAL_SERIAL)*1000000+44*1000+61))</f>
        <v/>
      </c>
      <c r="GN203" s="35">
        <f>IF(N('Dvd Calendar'!$Z$2041)=0,"",IF(('Dvd Calendar'!$Z$2041&gt;=GRID_FROM)*('Dvd Calendar'!$Z$2041&lt;=GRID_TO)*('Dvd Calendar'!$Z$2041&gt;VAL_DATE)=0,"",'Dvd Calendar'!$Z$2041*1000000000+ISNUMBER('Dvd Calendar'!$Z$2042)*100000000+0*10000000+(N('Dvd Calendar'!$Z$2040)&gt;0)*(N('Dvd Calendar'!$Z$2040)&lt;=VAL_SERIAL)*1000000+44*1000+62))</f>
        <v/>
      </c>
      <c r="GO203" s="35">
        <f>IF(N('Dvd Calendar'!$AA$2041)=0,"",IF(('Dvd Calendar'!$AA$2041&gt;=GRID_FROM)*('Dvd Calendar'!$AA$2041&lt;=GRID_TO)*('Dvd Calendar'!$AA$2041&gt;VAL_DATE)=0,"",'Dvd Calendar'!$AA$2041*1000000000+ISNUMBER('Dvd Calendar'!$AA$2042)*100000000+0*10000000+(N('Dvd Calendar'!$AA$2040)&gt;0)*(N('Dvd Calendar'!$AA$2040)&lt;=VAL_SERIAL)*1000000+44*1000+63))</f>
        <v/>
      </c>
      <c r="GP203" s="35">
        <f>IF(N('Dvd Calendar'!$AB$2041)=0,"",IF(('Dvd Calendar'!$AB$2041&gt;=GRID_FROM)*('Dvd Calendar'!$AB$2041&lt;=GRID_TO)*('Dvd Calendar'!$AB$2041&gt;VAL_DATE)=0,"",'Dvd Calendar'!$AB$2041*1000000000+ISNUMBER('Dvd Calendar'!$AB$2042)*100000000+0*10000000+(N('Dvd Calendar'!$AB$2040)&gt;0)*(N('Dvd Calendar'!$AB$2040)&lt;=VAL_SERIAL)*1000000+44*1000+64))</f>
        <v/>
      </c>
      <c r="GQ203" s="35">
        <f>IF(N('Dvd Calendar'!$AC$2041)=0,"",IF(('Dvd Calendar'!$AC$2041&gt;=GRID_FROM)*('Dvd Calendar'!$AC$2041&lt;=GRID_TO)*('Dvd Calendar'!$AC$2041&gt;VAL_DATE)=0,"",'Dvd Calendar'!$AC$2041*1000000000+ISNUMBER('Dvd Calendar'!$AC$2042)*100000000+0*10000000+(N('Dvd Calendar'!$AC$2040)&gt;0)*(N('Dvd Calendar'!$AC$2040)&lt;=VAL_SERIAL)*1000000+44*1000+65))</f>
        <v/>
      </c>
    </row>
    <row r="204">
      <c r="B204" s="2">
        <f>IF(HSCEI!$C$51="","",HSCEI!$C$51)</f>
        <v/>
      </c>
      <c r="C204" s="106">
        <f>IF(EE204="","",IF(ISNUMBER('Dvd Calendar'!$E$2048)=FALSE,"",IF((('Dvd Calendar'!$E$2050=TYPE1)*(TYPE1&lt;&gt;"")+('Dvd Calendar'!$E$2050=TYPE2)*(TYPE2&lt;&gt;"")+('Dvd Calendar'!$E$2050=TYPE3)*(TYPE3&lt;&gt;"")+('Dvd Calendar'!$E$2050=TYPE4)*(TYPE4&lt;&gt;"")+('Dvd Calendar'!$E$2050=SPECIAL_LBL)*(INC_SPECIALS="Y"))=0,"",'Dvd Calendar'!$E$2048)))</f>
        <v/>
      </c>
      <c r="D204" s="106">
        <f>IF(EF204="","",IF(ISNUMBER('Dvd Calendar'!$F$2048)=FALSE,"",IF((('Dvd Calendar'!$F$2050=TYPE1)*(TYPE1&lt;&gt;"")+('Dvd Calendar'!$F$2050=TYPE2)*(TYPE2&lt;&gt;"")+('Dvd Calendar'!$F$2050=TYPE3)*(TYPE3&lt;&gt;"")+('Dvd Calendar'!$F$2050=TYPE4)*(TYPE4&lt;&gt;"")+('Dvd Calendar'!$F$2050=SPECIAL_LBL)*(INC_SPECIALS="Y"))=0,"",'Dvd Calendar'!$F$2048)))</f>
        <v/>
      </c>
      <c r="E204" s="106">
        <f>IF(EG204="","",IF(ISNUMBER('Dvd Calendar'!$G$2048)=FALSE,"",IF((('Dvd Calendar'!$G$2050=TYPE1)*(TYPE1&lt;&gt;"")+('Dvd Calendar'!$G$2050=TYPE2)*(TYPE2&lt;&gt;"")+('Dvd Calendar'!$G$2050=TYPE3)*(TYPE3&lt;&gt;"")+('Dvd Calendar'!$G$2050=TYPE4)*(TYPE4&lt;&gt;"")+('Dvd Calendar'!$G$2050=SPECIAL_LBL)*(INC_SPECIALS="Y"))=0,"",'Dvd Calendar'!$G$2048)))</f>
        <v/>
      </c>
      <c r="F204" s="106">
        <f>IF(EH204="","",IF(ISNUMBER('Dvd Calendar'!$H$2048)=FALSE,"",IF((('Dvd Calendar'!$H$2050=TYPE1)*(TYPE1&lt;&gt;"")+('Dvd Calendar'!$H$2050=TYPE2)*(TYPE2&lt;&gt;"")+('Dvd Calendar'!$H$2050=TYPE3)*(TYPE3&lt;&gt;"")+('Dvd Calendar'!$H$2050=TYPE4)*(TYPE4&lt;&gt;"")+('Dvd Calendar'!$H$2050=SPECIAL_LBL)*(INC_SPECIALS="Y"))=0,"",'Dvd Calendar'!$H$2048)))</f>
        <v/>
      </c>
      <c r="G204" s="106">
        <f>IF(EI204="","",IF(ISNUMBER('Dvd Calendar'!$I$2048)=FALSE,"",IF((('Dvd Calendar'!$I$2050=TYPE1)*(TYPE1&lt;&gt;"")+('Dvd Calendar'!$I$2050=TYPE2)*(TYPE2&lt;&gt;"")+('Dvd Calendar'!$I$2050=TYPE3)*(TYPE3&lt;&gt;"")+('Dvd Calendar'!$I$2050=TYPE4)*(TYPE4&lt;&gt;"")+('Dvd Calendar'!$I$2050=SPECIAL_LBL)*(INC_SPECIALS="Y"))=0,"",'Dvd Calendar'!$I$2048)))</f>
        <v/>
      </c>
      <c r="H204" s="106">
        <f>IF(EJ204="","",IF(ISNUMBER('Dvd Calendar'!$J$2048)=FALSE,"",IF((('Dvd Calendar'!$J$2050=TYPE1)*(TYPE1&lt;&gt;"")+('Dvd Calendar'!$J$2050=TYPE2)*(TYPE2&lt;&gt;"")+('Dvd Calendar'!$J$2050=TYPE3)*(TYPE3&lt;&gt;"")+('Dvd Calendar'!$J$2050=TYPE4)*(TYPE4&lt;&gt;"")+('Dvd Calendar'!$J$2050=SPECIAL_LBL)*(INC_SPECIALS="Y"))=0,"",'Dvd Calendar'!$J$2048)))</f>
        <v/>
      </c>
      <c r="I204" s="106">
        <f>IF(EK204="","",IF(ISNUMBER('Dvd Calendar'!$K$2048)=FALSE,"",IF((('Dvd Calendar'!$K$2050=TYPE1)*(TYPE1&lt;&gt;"")+('Dvd Calendar'!$K$2050=TYPE2)*(TYPE2&lt;&gt;"")+('Dvd Calendar'!$K$2050=TYPE3)*(TYPE3&lt;&gt;"")+('Dvd Calendar'!$K$2050=TYPE4)*(TYPE4&lt;&gt;"")+('Dvd Calendar'!$K$2050=SPECIAL_LBL)*(INC_SPECIALS="Y"))=0,"",'Dvd Calendar'!$K$2048)))</f>
        <v/>
      </c>
      <c r="J204" s="106">
        <f>IF(EL204="","",IF(ISNUMBER('Dvd Calendar'!$L$2048)=FALSE,"",IF((('Dvd Calendar'!$L$2050=TYPE1)*(TYPE1&lt;&gt;"")+('Dvd Calendar'!$L$2050=TYPE2)*(TYPE2&lt;&gt;"")+('Dvd Calendar'!$L$2050=TYPE3)*(TYPE3&lt;&gt;"")+('Dvd Calendar'!$L$2050=TYPE4)*(TYPE4&lt;&gt;"")+('Dvd Calendar'!$L$2050=SPECIAL_LBL)*(INC_SPECIALS="Y"))=0,"",'Dvd Calendar'!$L$2048)))</f>
        <v/>
      </c>
      <c r="K204" s="106">
        <f>IF(EM204="","",IF(ISNUMBER('Dvd Calendar'!$M$2048)=FALSE,"",IF((('Dvd Calendar'!$M$2050=TYPE1)*(TYPE1&lt;&gt;"")+('Dvd Calendar'!$M$2050=TYPE2)*(TYPE2&lt;&gt;"")+('Dvd Calendar'!$M$2050=TYPE3)*(TYPE3&lt;&gt;"")+('Dvd Calendar'!$M$2050=TYPE4)*(TYPE4&lt;&gt;"")+('Dvd Calendar'!$M$2050=SPECIAL_LBL)*(INC_SPECIALS="Y"))=0,"",'Dvd Calendar'!$M$2048)))</f>
        <v/>
      </c>
      <c r="L204" s="106">
        <f>IF(EN204="","",IF(ISNUMBER('Dvd Calendar'!$N$2048)=FALSE,"",IF((('Dvd Calendar'!$N$2050=TYPE1)*(TYPE1&lt;&gt;"")+('Dvd Calendar'!$N$2050=TYPE2)*(TYPE2&lt;&gt;"")+('Dvd Calendar'!$N$2050=TYPE3)*(TYPE3&lt;&gt;"")+('Dvd Calendar'!$N$2050=TYPE4)*(TYPE4&lt;&gt;"")+('Dvd Calendar'!$N$2050=SPECIAL_LBL)*(INC_SPECIALS="Y"))=0,"",'Dvd Calendar'!$N$2048)))</f>
        <v/>
      </c>
      <c r="M204" s="106">
        <f>IF(EO204="","",IF(ISNUMBER('Dvd Calendar'!$O$2048)=FALSE,"",IF((('Dvd Calendar'!$O$2050=TYPE1)*(TYPE1&lt;&gt;"")+('Dvd Calendar'!$O$2050=TYPE2)*(TYPE2&lt;&gt;"")+('Dvd Calendar'!$O$2050=TYPE3)*(TYPE3&lt;&gt;"")+('Dvd Calendar'!$O$2050=TYPE4)*(TYPE4&lt;&gt;"")+('Dvd Calendar'!$O$2050=SPECIAL_LBL)*(INC_SPECIALS="Y"))=0,"",'Dvd Calendar'!$O$2048)))</f>
        <v/>
      </c>
      <c r="N204" s="106">
        <f>IF(EP204="","",IF(ISNUMBER('Dvd Calendar'!$P$2048)=FALSE,"",IF((('Dvd Calendar'!$P$2050=TYPE1)*(TYPE1&lt;&gt;"")+('Dvd Calendar'!$P$2050=TYPE2)*(TYPE2&lt;&gt;"")+('Dvd Calendar'!$P$2050=TYPE3)*(TYPE3&lt;&gt;"")+('Dvd Calendar'!$P$2050=TYPE4)*(TYPE4&lt;&gt;"")+('Dvd Calendar'!$P$2050=SPECIAL_LBL)*(INC_SPECIALS="Y"))=0,"",'Dvd Calendar'!$P$2048)))</f>
        <v/>
      </c>
      <c r="O204" s="106">
        <f>IF(EQ204="","",IF(ISNUMBER('Dvd Calendar'!$Q$2048)=FALSE,"",IF((('Dvd Calendar'!$Q$2050=TYPE1)*(TYPE1&lt;&gt;"")+('Dvd Calendar'!$Q$2050=TYPE2)*(TYPE2&lt;&gt;"")+('Dvd Calendar'!$Q$2050=TYPE3)*(TYPE3&lt;&gt;"")+('Dvd Calendar'!$Q$2050=TYPE4)*(TYPE4&lt;&gt;"")+('Dvd Calendar'!$Q$2050=SPECIAL_LBL)*(INC_SPECIALS="Y"))=0,"",'Dvd Calendar'!$Q$2048)))</f>
        <v/>
      </c>
      <c r="P204" s="106">
        <f>IF(ER204="","",IF(ISNUMBER('Dvd Calendar'!$R$2048)=FALSE,"",IF((('Dvd Calendar'!$R$2050=TYPE1)*(TYPE1&lt;&gt;"")+('Dvd Calendar'!$R$2050=TYPE2)*(TYPE2&lt;&gt;"")+('Dvd Calendar'!$R$2050=TYPE3)*(TYPE3&lt;&gt;"")+('Dvd Calendar'!$R$2050=TYPE4)*(TYPE4&lt;&gt;"")+('Dvd Calendar'!$R$2050=SPECIAL_LBL)*(INC_SPECIALS="Y"))=0,"",'Dvd Calendar'!$R$2048)))</f>
        <v/>
      </c>
      <c r="Q204" s="106">
        <f>IF(ES204="","",IF(ISNUMBER('Dvd Calendar'!$S$2048)=FALSE,"",IF((('Dvd Calendar'!$S$2050=TYPE1)*(TYPE1&lt;&gt;"")+('Dvd Calendar'!$S$2050=TYPE2)*(TYPE2&lt;&gt;"")+('Dvd Calendar'!$S$2050=TYPE3)*(TYPE3&lt;&gt;"")+('Dvd Calendar'!$S$2050=TYPE4)*(TYPE4&lt;&gt;"")+('Dvd Calendar'!$S$2050=SPECIAL_LBL)*(INC_SPECIALS="Y"))=0,"",'Dvd Calendar'!$S$2048)))</f>
        <v/>
      </c>
      <c r="R204" s="106">
        <f>IF(ET204="","",IF(ISNUMBER('Dvd Calendar'!$T$2048)=FALSE,"",IF((('Dvd Calendar'!$T$2050=TYPE1)*(TYPE1&lt;&gt;"")+('Dvd Calendar'!$T$2050=TYPE2)*(TYPE2&lt;&gt;"")+('Dvd Calendar'!$T$2050=TYPE3)*(TYPE3&lt;&gt;"")+('Dvd Calendar'!$T$2050=TYPE4)*(TYPE4&lt;&gt;"")+('Dvd Calendar'!$T$2050=SPECIAL_LBL)*(INC_SPECIALS="Y"))=0,"",'Dvd Calendar'!$T$2048)))</f>
        <v/>
      </c>
      <c r="S204" s="106">
        <f>IF(EU204="","",IF(ISNUMBER('Dvd Calendar'!$U$2048)=FALSE,"",IF((('Dvd Calendar'!$U$2050=TYPE1)*(TYPE1&lt;&gt;"")+('Dvd Calendar'!$U$2050=TYPE2)*(TYPE2&lt;&gt;"")+('Dvd Calendar'!$U$2050=TYPE3)*(TYPE3&lt;&gt;"")+('Dvd Calendar'!$U$2050=TYPE4)*(TYPE4&lt;&gt;"")+('Dvd Calendar'!$U$2050=SPECIAL_LBL)*(INC_SPECIALS="Y"))=0,"",'Dvd Calendar'!$U$2048)))</f>
        <v/>
      </c>
      <c r="T204" s="106">
        <f>IF(EV204="","",IF(ISNUMBER('Dvd Calendar'!$V$2048)=FALSE,"",IF((('Dvd Calendar'!$V$2050=TYPE1)*(TYPE1&lt;&gt;"")+('Dvd Calendar'!$V$2050=TYPE2)*(TYPE2&lt;&gt;"")+('Dvd Calendar'!$V$2050=TYPE3)*(TYPE3&lt;&gt;"")+('Dvd Calendar'!$V$2050=TYPE4)*(TYPE4&lt;&gt;"")+('Dvd Calendar'!$V$2050=SPECIAL_LBL)*(INC_SPECIALS="Y"))=0,"",'Dvd Calendar'!$V$2048)))</f>
        <v/>
      </c>
      <c r="U204" s="106">
        <f>IF(EW204="","",IF(ISNUMBER('Dvd Calendar'!$W$2048)=FALSE,"",IF((('Dvd Calendar'!$W$2050=TYPE1)*(TYPE1&lt;&gt;"")+('Dvd Calendar'!$W$2050=TYPE2)*(TYPE2&lt;&gt;"")+('Dvd Calendar'!$W$2050=TYPE3)*(TYPE3&lt;&gt;"")+('Dvd Calendar'!$W$2050=TYPE4)*(TYPE4&lt;&gt;"")+('Dvd Calendar'!$W$2050=SPECIAL_LBL)*(INC_SPECIALS="Y"))=0,"",'Dvd Calendar'!$W$2048)))</f>
        <v/>
      </c>
      <c r="V204" s="106">
        <f>IF(EX204="","",IF(ISNUMBER('Dvd Calendar'!$X$2048)=FALSE,"",IF((('Dvd Calendar'!$X$2050=TYPE1)*(TYPE1&lt;&gt;"")+('Dvd Calendar'!$X$2050=TYPE2)*(TYPE2&lt;&gt;"")+('Dvd Calendar'!$X$2050=TYPE3)*(TYPE3&lt;&gt;"")+('Dvd Calendar'!$X$2050=TYPE4)*(TYPE4&lt;&gt;"")+('Dvd Calendar'!$X$2050=SPECIAL_LBL)*(INC_SPECIALS="Y"))=0,"",'Dvd Calendar'!$X$2048)))</f>
        <v/>
      </c>
      <c r="W204" s="106">
        <f>IF(EY204="","",IF(ISNUMBER('Dvd Calendar'!$Y$2048)=FALSE,"",IF((('Dvd Calendar'!$Y$2050=TYPE1)*(TYPE1&lt;&gt;"")+('Dvd Calendar'!$Y$2050=TYPE2)*(TYPE2&lt;&gt;"")+('Dvd Calendar'!$Y$2050=TYPE3)*(TYPE3&lt;&gt;"")+('Dvd Calendar'!$Y$2050=TYPE4)*(TYPE4&lt;&gt;"")+('Dvd Calendar'!$Y$2050=SPECIAL_LBL)*(INC_SPECIALS="Y"))=0,"",'Dvd Calendar'!$Y$2048)))</f>
        <v/>
      </c>
      <c r="X204" s="106">
        <f>IF(EZ204="","",IF(ISNUMBER('Dvd Calendar'!$Z$2048)=FALSE,"",IF((('Dvd Calendar'!$Z$2050=TYPE1)*(TYPE1&lt;&gt;"")+('Dvd Calendar'!$Z$2050=TYPE2)*(TYPE2&lt;&gt;"")+('Dvd Calendar'!$Z$2050=TYPE3)*(TYPE3&lt;&gt;"")+('Dvd Calendar'!$Z$2050=TYPE4)*(TYPE4&lt;&gt;"")+('Dvd Calendar'!$Z$2050=SPECIAL_LBL)*(INC_SPECIALS="Y"))=0,"",'Dvd Calendar'!$Z$2048)))</f>
        <v/>
      </c>
      <c r="Y204" s="106">
        <f>IF(FA204="","",IF(ISNUMBER('Dvd Calendar'!$AA$2048)=FALSE,"",IF((('Dvd Calendar'!$AA$2050=TYPE1)*(TYPE1&lt;&gt;"")+('Dvd Calendar'!$AA$2050=TYPE2)*(TYPE2&lt;&gt;"")+('Dvd Calendar'!$AA$2050=TYPE3)*(TYPE3&lt;&gt;"")+('Dvd Calendar'!$AA$2050=TYPE4)*(TYPE4&lt;&gt;"")+('Dvd Calendar'!$AA$2050=SPECIAL_LBL)*(INC_SPECIALS="Y"))=0,"",'Dvd Calendar'!$AA$2048)))</f>
        <v/>
      </c>
      <c r="Z204" s="106">
        <f>IF(FB204="","",IF(ISNUMBER('Dvd Calendar'!$AB$2048)=FALSE,"",IF((('Dvd Calendar'!$AB$2050=TYPE1)*(TYPE1&lt;&gt;"")+('Dvd Calendar'!$AB$2050=TYPE2)*(TYPE2&lt;&gt;"")+('Dvd Calendar'!$AB$2050=TYPE3)*(TYPE3&lt;&gt;"")+('Dvd Calendar'!$AB$2050=TYPE4)*(TYPE4&lt;&gt;"")+('Dvd Calendar'!$AB$2050=SPECIAL_LBL)*(INC_SPECIALS="Y"))=0,"",'Dvd Calendar'!$AB$2048)))</f>
        <v/>
      </c>
      <c r="AA204" s="106">
        <f>IF(FC204="","",IF(ISNUMBER('Dvd Calendar'!$AC$2048)=FALSE,"",IF((('Dvd Calendar'!$AC$2050=TYPE1)*(TYPE1&lt;&gt;"")+('Dvd Calendar'!$AC$2050=TYPE2)*(TYPE2&lt;&gt;"")+('Dvd Calendar'!$AC$2050=TYPE3)*(TYPE3&lt;&gt;"")+('Dvd Calendar'!$AC$2050=TYPE4)*(TYPE4&lt;&gt;"")+('Dvd Calendar'!$AC$2050=SPECIAL_LBL)*(INC_SPECIALS="Y"))=0,"",'Dvd Calendar'!$AC$2048)))</f>
        <v/>
      </c>
      <c r="AB204" s="106">
        <f>IF(FD204="","",IF(ISNUMBER('Dvd Calendar'!$AD$2048)=FALSE,"",IF((('Dvd Calendar'!$AD$2050=TYPE1)*(TYPE1&lt;&gt;"")+('Dvd Calendar'!$AD$2050=TYPE2)*(TYPE2&lt;&gt;"")+('Dvd Calendar'!$AD$2050=TYPE3)*(TYPE3&lt;&gt;"")+('Dvd Calendar'!$AD$2050=TYPE4)*(TYPE4&lt;&gt;"")+('Dvd Calendar'!$AD$2050=SPECIAL_LBL)*(INC_SPECIALS="Y"))=0,"",'Dvd Calendar'!$AD$2048)))</f>
        <v/>
      </c>
      <c r="AC204" s="106">
        <f>IF(FE204="","",IF(ISNUMBER('Dvd Calendar'!$AE$2048)=FALSE,"",IF((('Dvd Calendar'!$AE$2050=TYPE1)*(TYPE1&lt;&gt;"")+('Dvd Calendar'!$AE$2050=TYPE2)*(TYPE2&lt;&gt;"")+('Dvd Calendar'!$AE$2050=TYPE3)*(TYPE3&lt;&gt;"")+('Dvd Calendar'!$AE$2050=TYPE4)*(TYPE4&lt;&gt;"")+('Dvd Calendar'!$AE$2050=SPECIAL_LBL)*(INC_SPECIALS="Y"))=0,"",'Dvd Calendar'!$AE$2048)))</f>
        <v/>
      </c>
      <c r="AD204" s="106">
        <f>IF(FF204="","",IF(ISNUMBER('Dvd Calendar'!$AF$2048)=FALSE,"",IF((('Dvd Calendar'!$AF$2050=TYPE1)*(TYPE1&lt;&gt;"")+('Dvd Calendar'!$AF$2050=TYPE2)*(TYPE2&lt;&gt;"")+('Dvd Calendar'!$AF$2050=TYPE3)*(TYPE3&lt;&gt;"")+('Dvd Calendar'!$AF$2050=TYPE4)*(TYPE4&lt;&gt;"")+('Dvd Calendar'!$AF$2050=SPECIAL_LBL)*(INC_SPECIALS="Y"))=0,"",'Dvd Calendar'!$AF$2048)))</f>
        <v/>
      </c>
      <c r="AE204" s="106">
        <f>IF(FG204="","",IF(ISNUMBER('Dvd Calendar'!$AG$2048)=FALSE,"",IF((('Dvd Calendar'!$AG$2050=TYPE1)*(TYPE1&lt;&gt;"")+('Dvd Calendar'!$AG$2050=TYPE2)*(TYPE2&lt;&gt;"")+('Dvd Calendar'!$AG$2050=TYPE3)*(TYPE3&lt;&gt;"")+('Dvd Calendar'!$AG$2050=TYPE4)*(TYPE4&lt;&gt;"")+('Dvd Calendar'!$AG$2050=SPECIAL_LBL)*(INC_SPECIALS="Y"))=0,"",'Dvd Calendar'!$AG$2048)))</f>
        <v/>
      </c>
      <c r="AF204" s="106">
        <f>IF(FH204="","",IF(ISNUMBER('Dvd Calendar'!$AH$2048)=FALSE,"",IF((('Dvd Calendar'!$AH$2050=TYPE1)*(TYPE1&lt;&gt;"")+('Dvd Calendar'!$AH$2050=TYPE2)*(TYPE2&lt;&gt;"")+('Dvd Calendar'!$AH$2050=TYPE3)*(TYPE3&lt;&gt;"")+('Dvd Calendar'!$AH$2050=TYPE4)*(TYPE4&lt;&gt;"")+('Dvd Calendar'!$AH$2050=SPECIAL_LBL)*(INC_SPECIALS="Y"))=0,"",'Dvd Calendar'!$AH$2048)))</f>
        <v/>
      </c>
      <c r="AG204" s="106">
        <f>IF(FI204="","",IF(ISNUMBER('Dvd Calendar'!$AI$2048)=FALSE,"",IF((('Dvd Calendar'!$AI$2050=TYPE1)*(TYPE1&lt;&gt;"")+('Dvd Calendar'!$AI$2050=TYPE2)*(TYPE2&lt;&gt;"")+('Dvd Calendar'!$AI$2050=TYPE3)*(TYPE3&lt;&gt;"")+('Dvd Calendar'!$AI$2050=TYPE4)*(TYPE4&lt;&gt;"")+('Dvd Calendar'!$AI$2050=SPECIAL_LBL)*(INC_SPECIALS="Y"))=0,"",'Dvd Calendar'!$AI$2048)))</f>
        <v/>
      </c>
      <c r="AH204" s="106">
        <f>IF(FJ204="","",IF(ISNUMBER('Dvd Calendar'!$AJ$2048)=FALSE,"",IF((('Dvd Calendar'!$AJ$2050=TYPE1)*(TYPE1&lt;&gt;"")+('Dvd Calendar'!$AJ$2050=TYPE2)*(TYPE2&lt;&gt;"")+('Dvd Calendar'!$AJ$2050=TYPE3)*(TYPE3&lt;&gt;"")+('Dvd Calendar'!$AJ$2050=TYPE4)*(TYPE4&lt;&gt;"")+('Dvd Calendar'!$AJ$2050=SPECIAL_LBL)*(INC_SPECIALS="Y"))=0,"",'Dvd Calendar'!$AJ$2048)))</f>
        <v/>
      </c>
      <c r="AI204" s="106">
        <f>IF(FK204="","",IF(ISNUMBER('Dvd Calendar'!$AK$2048)=FALSE,"",IF((('Dvd Calendar'!$AK$2050=TYPE1)*(TYPE1&lt;&gt;"")+('Dvd Calendar'!$AK$2050=TYPE2)*(TYPE2&lt;&gt;"")+('Dvd Calendar'!$AK$2050=TYPE3)*(TYPE3&lt;&gt;"")+('Dvd Calendar'!$AK$2050=TYPE4)*(TYPE4&lt;&gt;"")+('Dvd Calendar'!$AK$2050=SPECIAL_LBL)*(INC_SPECIALS="Y"))=0,"",'Dvd Calendar'!$AK$2048)))</f>
        <v/>
      </c>
      <c r="AJ204" s="106">
        <f>IF(FL204="","",IF(ISNUMBER('Dvd Calendar'!$AL$2048)=FALSE,"",IF((('Dvd Calendar'!$AL$2050=TYPE1)*(TYPE1&lt;&gt;"")+('Dvd Calendar'!$AL$2050=TYPE2)*(TYPE2&lt;&gt;"")+('Dvd Calendar'!$AL$2050=TYPE3)*(TYPE3&lt;&gt;"")+('Dvd Calendar'!$AL$2050=TYPE4)*(TYPE4&lt;&gt;"")+('Dvd Calendar'!$AL$2050=SPECIAL_LBL)*(INC_SPECIALS="Y"))=0,"",'Dvd Calendar'!$AL$2048)))</f>
        <v/>
      </c>
      <c r="AK204" s="106">
        <f>IF(FM204="","",IF(ISNUMBER('Dvd Calendar'!$AM$2048)=FALSE,"",IF((('Dvd Calendar'!$AM$2050=TYPE1)*(TYPE1&lt;&gt;"")+('Dvd Calendar'!$AM$2050=TYPE2)*(TYPE2&lt;&gt;"")+('Dvd Calendar'!$AM$2050=TYPE3)*(TYPE3&lt;&gt;"")+('Dvd Calendar'!$AM$2050=TYPE4)*(TYPE4&lt;&gt;"")+('Dvd Calendar'!$AM$2050=SPECIAL_LBL)*(INC_SPECIALS="Y"))=0,"",'Dvd Calendar'!$AM$2048)))</f>
        <v/>
      </c>
      <c r="AL204" s="106">
        <f>IF(FN204="","",IF(ISNUMBER('Dvd Calendar'!$AN$2048)=FALSE,"",IF((('Dvd Calendar'!$AN$2050=TYPE1)*(TYPE1&lt;&gt;"")+('Dvd Calendar'!$AN$2050=TYPE2)*(TYPE2&lt;&gt;"")+('Dvd Calendar'!$AN$2050=TYPE3)*(TYPE3&lt;&gt;"")+('Dvd Calendar'!$AN$2050=TYPE4)*(TYPE4&lt;&gt;"")+('Dvd Calendar'!$AN$2050=SPECIAL_LBL)*(INC_SPECIALS="Y"))=0,"",'Dvd Calendar'!$AN$2048)))</f>
        <v/>
      </c>
      <c r="AM204" s="106">
        <f>IF(FO204="","",IF(ISNUMBER('Dvd Calendar'!$AO$2048)=FALSE,"",IF((('Dvd Calendar'!$AO$2050=TYPE1)*(TYPE1&lt;&gt;"")+('Dvd Calendar'!$AO$2050=TYPE2)*(TYPE2&lt;&gt;"")+('Dvd Calendar'!$AO$2050=TYPE3)*(TYPE3&lt;&gt;"")+('Dvd Calendar'!$AO$2050=TYPE4)*(TYPE4&lt;&gt;"")+('Dvd Calendar'!$AO$2050=SPECIAL_LBL)*(INC_SPECIALS="Y"))=0,"",'Dvd Calendar'!$AO$2048)))</f>
        <v/>
      </c>
      <c r="AN204" s="106">
        <f>IF(FP204="","",IF(ISNUMBER('Dvd Calendar'!$AP$2048)=FALSE,"",IF((('Dvd Calendar'!$AP$2050=TYPE1)*(TYPE1&lt;&gt;"")+('Dvd Calendar'!$AP$2050=TYPE2)*(TYPE2&lt;&gt;"")+('Dvd Calendar'!$AP$2050=TYPE3)*(TYPE3&lt;&gt;"")+('Dvd Calendar'!$AP$2050=TYPE4)*(TYPE4&lt;&gt;"")+('Dvd Calendar'!$AP$2050=SPECIAL_LBL)*(INC_SPECIALS="Y"))=0,"",'Dvd Calendar'!$AP$2048)))</f>
        <v/>
      </c>
      <c r="AO204" s="106">
        <f>IF(FQ204="","",IF(ISNUMBER('Dvd Calendar'!$AQ$2048)=FALSE,"",IF((('Dvd Calendar'!$AQ$2050=TYPE1)*(TYPE1&lt;&gt;"")+('Dvd Calendar'!$AQ$2050=TYPE2)*(TYPE2&lt;&gt;"")+('Dvd Calendar'!$AQ$2050=TYPE3)*(TYPE3&lt;&gt;"")+('Dvd Calendar'!$AQ$2050=TYPE4)*(TYPE4&lt;&gt;"")+('Dvd Calendar'!$AQ$2050=SPECIAL_LBL)*(INC_SPECIALS="Y"))=0,"",'Dvd Calendar'!$AQ$2048)))</f>
        <v/>
      </c>
      <c r="AP204" s="106">
        <f>IF(FR204="","",IF(ISNUMBER('Dvd Calendar'!$AR$2048)=FALSE,"",IF((('Dvd Calendar'!$AR$2050=TYPE1)*(TYPE1&lt;&gt;"")+('Dvd Calendar'!$AR$2050=TYPE2)*(TYPE2&lt;&gt;"")+('Dvd Calendar'!$AR$2050=TYPE3)*(TYPE3&lt;&gt;"")+('Dvd Calendar'!$AR$2050=TYPE4)*(TYPE4&lt;&gt;"")+('Dvd Calendar'!$AR$2050=SPECIAL_LBL)*(INC_SPECIALS="Y"))=0,"",'Dvd Calendar'!$AR$2048)))</f>
        <v/>
      </c>
      <c r="AQ204" s="106">
        <f>IF(FS204="","",IF(ISNUMBER('Dvd Calendar'!$E$2053)=FALSE,"",'Dvd Calendar'!$E$2053))</f>
        <v/>
      </c>
      <c r="AR204" s="106">
        <f>IF(FT204="","",IF(ISNUMBER('Dvd Calendar'!$F$2053)=FALSE,"",'Dvd Calendar'!$F$2053))</f>
        <v/>
      </c>
      <c r="AS204" s="106">
        <f>IF(FU204="","",IF(ISNUMBER('Dvd Calendar'!$G$2053)=FALSE,"",'Dvd Calendar'!$G$2053))</f>
        <v/>
      </c>
      <c r="AT204" s="106">
        <f>IF(FV204="","",IF(ISNUMBER('Dvd Calendar'!$H$2053)=FALSE,"",'Dvd Calendar'!$H$2053))</f>
        <v/>
      </c>
      <c r="AU204" s="106">
        <f>IF(FW204="","",IF(ISNUMBER('Dvd Calendar'!$I$2053)=FALSE,"",'Dvd Calendar'!$I$2053))</f>
        <v/>
      </c>
      <c r="AV204" s="106">
        <f>IF(FX204="","",IF(ISNUMBER('Dvd Calendar'!$J$2053)=FALSE,"",'Dvd Calendar'!$J$2053))</f>
        <v/>
      </c>
      <c r="AW204" s="106">
        <f>IF(FY204="","",IF(ISNUMBER('Dvd Calendar'!$K$2053)=FALSE,"",'Dvd Calendar'!$K$2053))</f>
        <v/>
      </c>
      <c r="AX204" s="106">
        <f>IF(FZ204="","",IF(ISNUMBER('Dvd Calendar'!$L$2053)=FALSE,"",'Dvd Calendar'!$L$2053))</f>
        <v/>
      </c>
      <c r="AY204" s="106">
        <f>IF(GA204="","",IF(ISNUMBER('Dvd Calendar'!$M$2053)=FALSE,"",'Dvd Calendar'!$M$2053))</f>
        <v/>
      </c>
      <c r="AZ204" s="106">
        <f>IF(GB204="","",IF(ISNUMBER('Dvd Calendar'!$N$2053)=FALSE,"",'Dvd Calendar'!$N$2053))</f>
        <v/>
      </c>
      <c r="BA204" s="106">
        <f>IF(GC204="","",IF(ISNUMBER('Dvd Calendar'!$O$2053)=FALSE,"",'Dvd Calendar'!$O$2053))</f>
        <v/>
      </c>
      <c r="BB204" s="106">
        <f>IF(GD204="","",IF(ISNUMBER('Dvd Calendar'!$P$2053)=FALSE,"",'Dvd Calendar'!$P$2053))</f>
        <v/>
      </c>
      <c r="BC204" s="106">
        <f>IF(GE204="","",IF(ISNUMBER('Dvd Calendar'!$Q$2053)=FALSE,"",'Dvd Calendar'!$Q$2053))</f>
        <v/>
      </c>
      <c r="BD204" s="106">
        <f>IF(GF204="","",IF(ISNUMBER('Dvd Calendar'!$R$2053)=FALSE,"",'Dvd Calendar'!$R$2053))</f>
        <v/>
      </c>
      <c r="BE204" s="106">
        <f>IF(GG204="","",IF(ISNUMBER('Dvd Calendar'!$S$2053)=FALSE,"",'Dvd Calendar'!$S$2053))</f>
        <v/>
      </c>
      <c r="BF204" s="106">
        <f>IF(GH204="","",IF(ISNUMBER('Dvd Calendar'!$T$2053)=FALSE,"",'Dvd Calendar'!$T$2053))</f>
        <v/>
      </c>
      <c r="BG204" s="106">
        <f>IF(GI204="","",IF(ISNUMBER('Dvd Calendar'!$U$2053)=FALSE,"",'Dvd Calendar'!$U$2053))</f>
        <v/>
      </c>
      <c r="BH204" s="106">
        <f>IF(GJ204="","",IF(ISNUMBER('Dvd Calendar'!$V$2053)=FALSE,"",'Dvd Calendar'!$V$2053))</f>
        <v/>
      </c>
      <c r="BI204" s="106">
        <f>IF(GK204="","",IF(ISNUMBER('Dvd Calendar'!$W$2053)=FALSE,"",'Dvd Calendar'!$W$2053))</f>
        <v/>
      </c>
      <c r="BJ204" s="106">
        <f>IF(GL204="","",IF(ISNUMBER('Dvd Calendar'!$X$2053)=FALSE,"",'Dvd Calendar'!$X$2053))</f>
        <v/>
      </c>
      <c r="BK204" s="106">
        <f>IF(GM204="","",IF(ISNUMBER('Dvd Calendar'!$Y$2053)=FALSE,"",'Dvd Calendar'!$Y$2053))</f>
        <v/>
      </c>
      <c r="BL204" s="106">
        <f>IF(GN204="","",IF(ISNUMBER('Dvd Calendar'!$Z$2053)=FALSE,"",'Dvd Calendar'!$Z$2053))</f>
        <v/>
      </c>
      <c r="BM204" s="106">
        <f>IF(GO204="","",IF(ISNUMBER('Dvd Calendar'!$AA$2053)=FALSE,"",'Dvd Calendar'!$AA$2053))</f>
        <v/>
      </c>
      <c r="BN204" s="106">
        <f>IF(GP204="","",IF(ISNUMBER('Dvd Calendar'!$AB$2053)=FALSE,"",'Dvd Calendar'!$AB$2053))</f>
        <v/>
      </c>
      <c r="BO204" s="106">
        <f>IF(GQ204="","",IF(ISNUMBER('Dvd Calendar'!$AC$2053)=FALSE,"",'Dvd Calendar'!$AC$2053))</f>
        <v/>
      </c>
      <c r="BQ204" s="106">
        <f>IF(C204="","",IFERROR(C204*HSCEI!$B$51*HSCEI!$G$51/HSCEI!$B$3,""))</f>
        <v/>
      </c>
      <c r="BR204" s="106">
        <f>IF(D204="","",IFERROR(D204*HSCEI!$B$51*HSCEI!$G$51/HSCEI!$B$3,""))</f>
        <v/>
      </c>
      <c r="BS204" s="106">
        <f>IF(E204="","",IFERROR(E204*HSCEI!$B$51*HSCEI!$G$51/HSCEI!$B$3,""))</f>
        <v/>
      </c>
      <c r="BT204" s="106">
        <f>IF(F204="","",IFERROR(F204*HSCEI!$B$51*HSCEI!$G$51/HSCEI!$B$3,""))</f>
        <v/>
      </c>
      <c r="BU204" s="106">
        <f>IF(G204="","",IFERROR(G204*HSCEI!$B$51*HSCEI!$G$51/HSCEI!$B$3,""))</f>
        <v/>
      </c>
      <c r="BV204" s="106">
        <f>IF(H204="","",IFERROR(H204*HSCEI!$B$51*HSCEI!$G$51/HSCEI!$B$3,""))</f>
        <v/>
      </c>
      <c r="BW204" s="106">
        <f>IF(I204="","",IFERROR(I204*HSCEI!$B$51*HSCEI!$G$51/HSCEI!$B$3,""))</f>
        <v/>
      </c>
      <c r="BX204" s="106">
        <f>IF(J204="","",IFERROR(J204*HSCEI!$B$51*HSCEI!$G$51/HSCEI!$B$3,""))</f>
        <v/>
      </c>
      <c r="BY204" s="106">
        <f>IF(K204="","",IFERROR(K204*HSCEI!$B$51*HSCEI!$G$51/HSCEI!$B$3,""))</f>
        <v/>
      </c>
      <c r="BZ204" s="106">
        <f>IF(L204="","",IFERROR(L204*HSCEI!$B$51*HSCEI!$G$51/HSCEI!$B$3,""))</f>
        <v/>
      </c>
      <c r="CA204" s="106">
        <f>IF(M204="","",IFERROR(M204*HSCEI!$B$51*HSCEI!$G$51/HSCEI!$B$3,""))</f>
        <v/>
      </c>
      <c r="CB204" s="106">
        <f>IF(N204="","",IFERROR(N204*HSCEI!$B$51*HSCEI!$G$51/HSCEI!$B$3,""))</f>
        <v/>
      </c>
      <c r="CC204" s="106">
        <f>IF(O204="","",IFERROR(O204*HSCEI!$B$51*HSCEI!$G$51/HSCEI!$B$3,""))</f>
        <v/>
      </c>
      <c r="CD204" s="106">
        <f>IF(P204="","",IFERROR(P204*HSCEI!$B$51*HSCEI!$G$51/HSCEI!$B$3,""))</f>
        <v/>
      </c>
      <c r="CE204" s="106">
        <f>IF(Q204="","",IFERROR(Q204*HSCEI!$B$51*HSCEI!$G$51/HSCEI!$B$3,""))</f>
        <v/>
      </c>
      <c r="CF204" s="106">
        <f>IF(R204="","",IFERROR(R204*HSCEI!$B$51*HSCEI!$G$51/HSCEI!$B$3,""))</f>
        <v/>
      </c>
      <c r="CG204" s="106">
        <f>IF(S204="","",IFERROR(S204*HSCEI!$B$51*HSCEI!$G$51/HSCEI!$B$3,""))</f>
        <v/>
      </c>
      <c r="CH204" s="106">
        <f>IF(T204="","",IFERROR(T204*HSCEI!$B$51*HSCEI!$G$51/HSCEI!$B$3,""))</f>
        <v/>
      </c>
      <c r="CI204" s="106">
        <f>IF(U204="","",IFERROR(U204*HSCEI!$B$51*HSCEI!$G$51/HSCEI!$B$3,""))</f>
        <v/>
      </c>
      <c r="CJ204" s="106">
        <f>IF(V204="","",IFERROR(V204*HSCEI!$B$51*HSCEI!$G$51/HSCEI!$B$3,""))</f>
        <v/>
      </c>
      <c r="CK204" s="106">
        <f>IF(W204="","",IFERROR(W204*HSCEI!$B$51*HSCEI!$G$51/HSCEI!$B$3,""))</f>
        <v/>
      </c>
      <c r="CL204" s="106">
        <f>IF(X204="","",IFERROR(X204*HSCEI!$B$51*HSCEI!$G$51/HSCEI!$B$3,""))</f>
        <v/>
      </c>
      <c r="CM204" s="106">
        <f>IF(Y204="","",IFERROR(Y204*HSCEI!$B$51*HSCEI!$G$51/HSCEI!$B$3,""))</f>
        <v/>
      </c>
      <c r="CN204" s="106">
        <f>IF(Z204="","",IFERROR(Z204*HSCEI!$B$51*HSCEI!$G$51/HSCEI!$B$3,""))</f>
        <v/>
      </c>
      <c r="CO204" s="106">
        <f>IF(AA204="","",IFERROR(AA204*HSCEI!$B$51*HSCEI!$G$51/HSCEI!$B$3,""))</f>
        <v/>
      </c>
      <c r="CP204" s="106">
        <f>IF(AB204="","",IFERROR(AB204*HSCEI!$B$51*HSCEI!$G$51/HSCEI!$B$3,""))</f>
        <v/>
      </c>
      <c r="CQ204" s="106">
        <f>IF(AC204="","",IFERROR(AC204*HSCEI!$B$51*HSCEI!$G$51/HSCEI!$B$3,""))</f>
        <v/>
      </c>
      <c r="CR204" s="106">
        <f>IF(AD204="","",IFERROR(AD204*HSCEI!$B$51*HSCEI!$G$51/HSCEI!$B$3,""))</f>
        <v/>
      </c>
      <c r="CS204" s="106">
        <f>IF(AE204="","",IFERROR(AE204*HSCEI!$B$51*HSCEI!$G$51/HSCEI!$B$3,""))</f>
        <v/>
      </c>
      <c r="CT204" s="106">
        <f>IF(AF204="","",IFERROR(AF204*HSCEI!$B$51*HSCEI!$G$51/HSCEI!$B$3,""))</f>
        <v/>
      </c>
      <c r="CU204" s="106">
        <f>IF(AG204="","",IFERROR(AG204*HSCEI!$B$51*HSCEI!$G$51/HSCEI!$B$3,""))</f>
        <v/>
      </c>
      <c r="CV204" s="106">
        <f>IF(AH204="","",IFERROR(AH204*HSCEI!$B$51*HSCEI!$G$51/HSCEI!$B$3,""))</f>
        <v/>
      </c>
      <c r="CW204" s="106">
        <f>IF(AI204="","",IFERROR(AI204*HSCEI!$B$51*HSCEI!$G$51/HSCEI!$B$3,""))</f>
        <v/>
      </c>
      <c r="CX204" s="106">
        <f>IF(AJ204="","",IFERROR(AJ204*HSCEI!$B$51*HSCEI!$G$51/HSCEI!$B$3,""))</f>
        <v/>
      </c>
      <c r="CY204" s="106">
        <f>IF(AK204="","",IFERROR(AK204*HSCEI!$B$51*HSCEI!$G$51/HSCEI!$B$3,""))</f>
        <v/>
      </c>
      <c r="CZ204" s="106">
        <f>IF(AL204="","",IFERROR(AL204*HSCEI!$B$51*HSCEI!$G$51/HSCEI!$B$3,""))</f>
        <v/>
      </c>
      <c r="DA204" s="106">
        <f>IF(AM204="","",IFERROR(AM204*HSCEI!$B$51*HSCEI!$G$51/HSCEI!$B$3,""))</f>
        <v/>
      </c>
      <c r="DB204" s="106">
        <f>IF(AN204="","",IFERROR(AN204*HSCEI!$B$51*HSCEI!$G$51/HSCEI!$B$3,""))</f>
        <v/>
      </c>
      <c r="DC204" s="106">
        <f>IF(AO204="","",IFERROR(AO204*HSCEI!$B$51*HSCEI!$G$51/HSCEI!$B$3,""))</f>
        <v/>
      </c>
      <c r="DD204" s="106">
        <f>IF(AP204="","",IFERROR(AP204*HSCEI!$B$51*HSCEI!$G$51/HSCEI!$B$3,""))</f>
        <v/>
      </c>
      <c r="DE204" s="106">
        <f>IF(AQ204="","",IFERROR(AQ204*HSCEI!$B$51*HSCEI!$G$51/HSCEI!$B$3,""))</f>
        <v/>
      </c>
      <c r="DF204" s="106">
        <f>IF(AR204="","",IFERROR(AR204*HSCEI!$B$51*HSCEI!$G$51/HSCEI!$B$3,""))</f>
        <v/>
      </c>
      <c r="DG204" s="106">
        <f>IF(AS204="","",IFERROR(AS204*HSCEI!$B$51*HSCEI!$G$51/HSCEI!$B$3,""))</f>
        <v/>
      </c>
      <c r="DH204" s="106">
        <f>IF(AT204="","",IFERROR(AT204*HSCEI!$B$51*HSCEI!$G$51/HSCEI!$B$3,""))</f>
        <v/>
      </c>
      <c r="DI204" s="106">
        <f>IF(AU204="","",IFERROR(AU204*HSCEI!$B$51*HSCEI!$G$51/HSCEI!$B$3,""))</f>
        <v/>
      </c>
      <c r="DJ204" s="106">
        <f>IF(AV204="","",IFERROR(AV204*HSCEI!$B$51*HSCEI!$G$51/HSCEI!$B$3,""))</f>
        <v/>
      </c>
      <c r="DK204" s="106">
        <f>IF(AW204="","",IFERROR(AW204*HSCEI!$B$51*HSCEI!$G$51/HSCEI!$B$3,""))</f>
        <v/>
      </c>
      <c r="DL204" s="106">
        <f>IF(AX204="","",IFERROR(AX204*HSCEI!$B$51*HSCEI!$G$51/HSCEI!$B$3,""))</f>
        <v/>
      </c>
      <c r="DM204" s="106">
        <f>IF(AY204="","",IFERROR(AY204*HSCEI!$B$51*HSCEI!$G$51/HSCEI!$B$3,""))</f>
        <v/>
      </c>
      <c r="DN204" s="106">
        <f>IF(AZ204="","",IFERROR(AZ204*HSCEI!$B$51*HSCEI!$G$51/HSCEI!$B$3,""))</f>
        <v/>
      </c>
      <c r="DO204" s="106">
        <f>IF(BA204="","",IFERROR(BA204*HSCEI!$B$51*HSCEI!$G$51/HSCEI!$B$3,""))</f>
        <v/>
      </c>
      <c r="DP204" s="106">
        <f>IF(BB204="","",IFERROR(BB204*HSCEI!$B$51*HSCEI!$G$51/HSCEI!$B$3,""))</f>
        <v/>
      </c>
      <c r="DQ204" s="106">
        <f>IF(BC204="","",IFERROR(BC204*HSCEI!$B$51*HSCEI!$G$51/HSCEI!$B$3,""))</f>
        <v/>
      </c>
      <c r="DR204" s="106">
        <f>IF(BD204="","",IFERROR(BD204*HSCEI!$B$51*HSCEI!$G$51/HSCEI!$B$3,""))</f>
        <v/>
      </c>
      <c r="DS204" s="106">
        <f>IF(BE204="","",IFERROR(BE204*HSCEI!$B$51*HSCEI!$G$51/HSCEI!$B$3,""))</f>
        <v/>
      </c>
      <c r="DT204" s="106">
        <f>IF(BF204="","",IFERROR(BF204*HSCEI!$B$51*HSCEI!$G$51/HSCEI!$B$3,""))</f>
        <v/>
      </c>
      <c r="DU204" s="106">
        <f>IF(BG204="","",IFERROR(BG204*HSCEI!$B$51*HSCEI!$G$51/HSCEI!$B$3,""))</f>
        <v/>
      </c>
      <c r="DV204" s="106">
        <f>IF(BH204="","",IFERROR(BH204*HSCEI!$B$51*HSCEI!$G$51/HSCEI!$B$3,""))</f>
        <v/>
      </c>
      <c r="DW204" s="106">
        <f>IF(BI204="","",IFERROR(BI204*HSCEI!$B$51*HSCEI!$G$51/HSCEI!$B$3,""))</f>
        <v/>
      </c>
      <c r="DX204" s="106">
        <f>IF(BJ204="","",IFERROR(BJ204*HSCEI!$B$51*HSCEI!$G$51/HSCEI!$B$3,""))</f>
        <v/>
      </c>
      <c r="DY204" s="106">
        <f>IF(BK204="","",IFERROR(BK204*HSCEI!$B$51*HSCEI!$G$51/HSCEI!$B$3,""))</f>
        <v/>
      </c>
      <c r="DZ204" s="106">
        <f>IF(BL204="","",IFERROR(BL204*HSCEI!$B$51*HSCEI!$G$51/HSCEI!$B$3,""))</f>
        <v/>
      </c>
      <c r="EA204" s="106">
        <f>IF(BM204="","",IFERROR(BM204*HSCEI!$B$51*HSCEI!$G$51/HSCEI!$B$3,""))</f>
        <v/>
      </c>
      <c r="EB204" s="106">
        <f>IF(BN204="","",IFERROR(BN204*HSCEI!$B$51*HSCEI!$G$51/HSCEI!$B$3,""))</f>
        <v/>
      </c>
      <c r="EC204" s="106">
        <f>IF(BO204="","",IFERROR(BO204*HSCEI!$B$51*HSCEI!$G$51/HSCEI!$B$3,""))</f>
        <v/>
      </c>
      <c r="EE204" s="35">
        <f>IF(N('Dvd Calendar'!$E$2045)=0,"",IF(('Dvd Calendar'!$E$2045&gt;=GRID_FROM)*('Dvd Calendar'!$E$2045&lt;=GRID_TO)*('Dvd Calendar'!$E$2045&lt;=VAL_DATE)=0,"",'Dvd Calendar'!$E$2045*1000000000+ISNUMBER('Dvd Calendar'!$E$2048)*100000000+('Dvd Calendar'!$E$2050=SPECIAL_LBL)*10000000+0*1000000+45*1000+1))</f>
        <v/>
      </c>
      <c r="EF204" s="35">
        <f>IF(N('Dvd Calendar'!$F$2045)=0,"",IF(('Dvd Calendar'!$F$2045&gt;=GRID_FROM)*('Dvd Calendar'!$F$2045&lt;=GRID_TO)*('Dvd Calendar'!$F$2045&lt;=VAL_DATE)=0,"",'Dvd Calendar'!$F$2045*1000000000+ISNUMBER('Dvd Calendar'!$F$2048)*100000000+('Dvd Calendar'!$F$2050=SPECIAL_LBL)*10000000+0*1000000+45*1000+2))</f>
        <v/>
      </c>
      <c r="EG204" s="35">
        <f>IF(N('Dvd Calendar'!$G$2045)=0,"",IF(('Dvd Calendar'!$G$2045&gt;=GRID_FROM)*('Dvd Calendar'!$G$2045&lt;=GRID_TO)*('Dvd Calendar'!$G$2045&lt;=VAL_DATE)=0,"",'Dvd Calendar'!$G$2045*1000000000+ISNUMBER('Dvd Calendar'!$G$2048)*100000000+('Dvd Calendar'!$G$2050=SPECIAL_LBL)*10000000+0*1000000+45*1000+3))</f>
        <v/>
      </c>
      <c r="EH204" s="35">
        <f>IF(N('Dvd Calendar'!$H$2045)=0,"",IF(('Dvd Calendar'!$H$2045&gt;=GRID_FROM)*('Dvd Calendar'!$H$2045&lt;=GRID_TO)*('Dvd Calendar'!$H$2045&lt;=VAL_DATE)=0,"",'Dvd Calendar'!$H$2045*1000000000+ISNUMBER('Dvd Calendar'!$H$2048)*100000000+('Dvd Calendar'!$H$2050=SPECIAL_LBL)*10000000+0*1000000+45*1000+4))</f>
        <v/>
      </c>
      <c r="EI204" s="35">
        <f>IF(N('Dvd Calendar'!$I$2045)=0,"",IF(('Dvd Calendar'!$I$2045&gt;=GRID_FROM)*('Dvd Calendar'!$I$2045&lt;=GRID_TO)*('Dvd Calendar'!$I$2045&lt;=VAL_DATE)=0,"",'Dvd Calendar'!$I$2045*1000000000+ISNUMBER('Dvd Calendar'!$I$2048)*100000000+('Dvd Calendar'!$I$2050=SPECIAL_LBL)*10000000+0*1000000+45*1000+5))</f>
        <v/>
      </c>
      <c r="EJ204" s="35">
        <f>IF(N('Dvd Calendar'!$J$2045)=0,"",IF(('Dvd Calendar'!$J$2045&gt;=GRID_FROM)*('Dvd Calendar'!$J$2045&lt;=GRID_TO)*('Dvd Calendar'!$J$2045&lt;=VAL_DATE)=0,"",'Dvd Calendar'!$J$2045*1000000000+ISNUMBER('Dvd Calendar'!$J$2048)*100000000+('Dvd Calendar'!$J$2050=SPECIAL_LBL)*10000000+0*1000000+45*1000+6))</f>
        <v/>
      </c>
      <c r="EK204" s="35">
        <f>IF(N('Dvd Calendar'!$K$2045)=0,"",IF(('Dvd Calendar'!$K$2045&gt;=GRID_FROM)*('Dvd Calendar'!$K$2045&lt;=GRID_TO)*('Dvd Calendar'!$K$2045&lt;=VAL_DATE)=0,"",'Dvd Calendar'!$K$2045*1000000000+ISNUMBER('Dvd Calendar'!$K$2048)*100000000+('Dvd Calendar'!$K$2050=SPECIAL_LBL)*10000000+0*1000000+45*1000+7))</f>
        <v/>
      </c>
      <c r="EL204" s="35">
        <f>IF(N('Dvd Calendar'!$L$2045)=0,"",IF(('Dvd Calendar'!$L$2045&gt;=GRID_FROM)*('Dvd Calendar'!$L$2045&lt;=GRID_TO)*('Dvd Calendar'!$L$2045&lt;=VAL_DATE)=0,"",'Dvd Calendar'!$L$2045*1000000000+ISNUMBER('Dvd Calendar'!$L$2048)*100000000+('Dvd Calendar'!$L$2050=SPECIAL_LBL)*10000000+0*1000000+45*1000+8))</f>
        <v/>
      </c>
      <c r="EM204" s="35">
        <f>IF(N('Dvd Calendar'!$M$2045)=0,"",IF(('Dvd Calendar'!$M$2045&gt;=GRID_FROM)*('Dvd Calendar'!$M$2045&lt;=GRID_TO)*('Dvd Calendar'!$M$2045&lt;=VAL_DATE)=0,"",'Dvd Calendar'!$M$2045*1000000000+ISNUMBER('Dvd Calendar'!$M$2048)*100000000+('Dvd Calendar'!$M$2050=SPECIAL_LBL)*10000000+0*1000000+45*1000+9))</f>
        <v/>
      </c>
      <c r="EN204" s="35">
        <f>IF(N('Dvd Calendar'!$N$2045)=0,"",IF(('Dvd Calendar'!$N$2045&gt;=GRID_FROM)*('Dvd Calendar'!$N$2045&lt;=GRID_TO)*('Dvd Calendar'!$N$2045&lt;=VAL_DATE)=0,"",'Dvd Calendar'!$N$2045*1000000000+ISNUMBER('Dvd Calendar'!$N$2048)*100000000+('Dvd Calendar'!$N$2050=SPECIAL_LBL)*10000000+0*1000000+45*1000+10))</f>
        <v/>
      </c>
      <c r="EO204" s="35">
        <f>IF(N('Dvd Calendar'!$O$2045)=0,"",IF(('Dvd Calendar'!$O$2045&gt;=GRID_FROM)*('Dvd Calendar'!$O$2045&lt;=GRID_TO)*('Dvd Calendar'!$O$2045&lt;=VAL_DATE)=0,"",'Dvd Calendar'!$O$2045*1000000000+ISNUMBER('Dvd Calendar'!$O$2048)*100000000+('Dvd Calendar'!$O$2050=SPECIAL_LBL)*10000000+0*1000000+45*1000+11))</f>
        <v/>
      </c>
      <c r="EP204" s="35">
        <f>IF(N('Dvd Calendar'!$P$2045)=0,"",IF(('Dvd Calendar'!$P$2045&gt;=GRID_FROM)*('Dvd Calendar'!$P$2045&lt;=GRID_TO)*('Dvd Calendar'!$P$2045&lt;=VAL_DATE)=0,"",'Dvd Calendar'!$P$2045*1000000000+ISNUMBER('Dvd Calendar'!$P$2048)*100000000+('Dvd Calendar'!$P$2050=SPECIAL_LBL)*10000000+0*1000000+45*1000+12))</f>
        <v/>
      </c>
      <c r="EQ204" s="35">
        <f>IF(N('Dvd Calendar'!$Q$2045)=0,"",IF(('Dvd Calendar'!$Q$2045&gt;=GRID_FROM)*('Dvd Calendar'!$Q$2045&lt;=GRID_TO)*('Dvd Calendar'!$Q$2045&lt;=VAL_DATE)=0,"",'Dvd Calendar'!$Q$2045*1000000000+ISNUMBER('Dvd Calendar'!$Q$2048)*100000000+('Dvd Calendar'!$Q$2050=SPECIAL_LBL)*10000000+0*1000000+45*1000+13))</f>
        <v/>
      </c>
      <c r="ER204" s="35">
        <f>IF(N('Dvd Calendar'!$R$2045)=0,"",IF(('Dvd Calendar'!$R$2045&gt;=GRID_FROM)*('Dvd Calendar'!$R$2045&lt;=GRID_TO)*('Dvd Calendar'!$R$2045&lt;=VAL_DATE)=0,"",'Dvd Calendar'!$R$2045*1000000000+ISNUMBER('Dvd Calendar'!$R$2048)*100000000+('Dvd Calendar'!$R$2050=SPECIAL_LBL)*10000000+0*1000000+45*1000+14))</f>
        <v/>
      </c>
      <c r="ES204" s="35">
        <f>IF(N('Dvd Calendar'!$S$2045)=0,"",IF(('Dvd Calendar'!$S$2045&gt;=GRID_FROM)*('Dvd Calendar'!$S$2045&lt;=GRID_TO)*('Dvd Calendar'!$S$2045&lt;=VAL_DATE)=0,"",'Dvd Calendar'!$S$2045*1000000000+ISNUMBER('Dvd Calendar'!$S$2048)*100000000+('Dvd Calendar'!$S$2050=SPECIAL_LBL)*10000000+0*1000000+45*1000+15))</f>
        <v/>
      </c>
      <c r="ET204" s="35">
        <f>IF(N('Dvd Calendar'!$T$2045)=0,"",IF(('Dvd Calendar'!$T$2045&gt;=GRID_FROM)*('Dvd Calendar'!$T$2045&lt;=GRID_TO)*('Dvd Calendar'!$T$2045&lt;=VAL_DATE)=0,"",'Dvd Calendar'!$T$2045*1000000000+ISNUMBER('Dvd Calendar'!$T$2048)*100000000+('Dvd Calendar'!$T$2050=SPECIAL_LBL)*10000000+0*1000000+45*1000+16))</f>
        <v/>
      </c>
      <c r="EU204" s="35">
        <f>IF(N('Dvd Calendar'!$U$2045)=0,"",IF(('Dvd Calendar'!$U$2045&gt;=GRID_FROM)*('Dvd Calendar'!$U$2045&lt;=GRID_TO)*('Dvd Calendar'!$U$2045&lt;=VAL_DATE)=0,"",'Dvd Calendar'!$U$2045*1000000000+ISNUMBER('Dvd Calendar'!$U$2048)*100000000+('Dvd Calendar'!$U$2050=SPECIAL_LBL)*10000000+0*1000000+45*1000+17))</f>
        <v/>
      </c>
      <c r="EV204" s="35">
        <f>IF(N('Dvd Calendar'!$V$2045)=0,"",IF(('Dvd Calendar'!$V$2045&gt;=GRID_FROM)*('Dvd Calendar'!$V$2045&lt;=GRID_TO)*('Dvd Calendar'!$V$2045&lt;=VAL_DATE)=0,"",'Dvd Calendar'!$V$2045*1000000000+ISNUMBER('Dvd Calendar'!$V$2048)*100000000+('Dvd Calendar'!$V$2050=SPECIAL_LBL)*10000000+0*1000000+45*1000+18))</f>
        <v/>
      </c>
      <c r="EW204" s="35">
        <f>IF(N('Dvd Calendar'!$W$2045)=0,"",IF(('Dvd Calendar'!$W$2045&gt;=GRID_FROM)*('Dvd Calendar'!$W$2045&lt;=GRID_TO)*('Dvd Calendar'!$W$2045&lt;=VAL_DATE)=0,"",'Dvd Calendar'!$W$2045*1000000000+ISNUMBER('Dvd Calendar'!$W$2048)*100000000+('Dvd Calendar'!$W$2050=SPECIAL_LBL)*10000000+0*1000000+45*1000+19))</f>
        <v/>
      </c>
      <c r="EX204" s="35">
        <f>IF(N('Dvd Calendar'!$X$2045)=0,"",IF(('Dvd Calendar'!$X$2045&gt;=GRID_FROM)*('Dvd Calendar'!$X$2045&lt;=GRID_TO)*('Dvd Calendar'!$X$2045&lt;=VAL_DATE)=0,"",'Dvd Calendar'!$X$2045*1000000000+ISNUMBER('Dvd Calendar'!$X$2048)*100000000+('Dvd Calendar'!$X$2050=SPECIAL_LBL)*10000000+0*1000000+45*1000+20))</f>
        <v/>
      </c>
      <c r="EY204" s="35">
        <f>IF(N('Dvd Calendar'!$Y$2045)=0,"",IF(('Dvd Calendar'!$Y$2045&gt;=GRID_FROM)*('Dvd Calendar'!$Y$2045&lt;=GRID_TO)*('Dvd Calendar'!$Y$2045&lt;=VAL_DATE)=0,"",'Dvd Calendar'!$Y$2045*1000000000+ISNUMBER('Dvd Calendar'!$Y$2048)*100000000+('Dvd Calendar'!$Y$2050=SPECIAL_LBL)*10000000+0*1000000+45*1000+21))</f>
        <v/>
      </c>
      <c r="EZ204" s="35">
        <f>IF(N('Dvd Calendar'!$Z$2045)=0,"",IF(('Dvd Calendar'!$Z$2045&gt;=GRID_FROM)*('Dvd Calendar'!$Z$2045&lt;=GRID_TO)*('Dvd Calendar'!$Z$2045&lt;=VAL_DATE)=0,"",'Dvd Calendar'!$Z$2045*1000000000+ISNUMBER('Dvd Calendar'!$Z$2048)*100000000+('Dvd Calendar'!$Z$2050=SPECIAL_LBL)*10000000+0*1000000+45*1000+22))</f>
        <v/>
      </c>
      <c r="FA204" s="35">
        <f>IF(N('Dvd Calendar'!$AA$2045)=0,"",IF(('Dvd Calendar'!$AA$2045&gt;=GRID_FROM)*('Dvd Calendar'!$AA$2045&lt;=GRID_TO)*('Dvd Calendar'!$AA$2045&lt;=VAL_DATE)=0,"",'Dvd Calendar'!$AA$2045*1000000000+ISNUMBER('Dvd Calendar'!$AA$2048)*100000000+('Dvd Calendar'!$AA$2050=SPECIAL_LBL)*10000000+0*1000000+45*1000+23))</f>
        <v/>
      </c>
      <c r="FB204" s="35">
        <f>IF(N('Dvd Calendar'!$AB$2045)=0,"",IF(('Dvd Calendar'!$AB$2045&gt;=GRID_FROM)*('Dvd Calendar'!$AB$2045&lt;=GRID_TO)*('Dvd Calendar'!$AB$2045&lt;=VAL_DATE)=0,"",'Dvd Calendar'!$AB$2045*1000000000+ISNUMBER('Dvd Calendar'!$AB$2048)*100000000+('Dvd Calendar'!$AB$2050=SPECIAL_LBL)*10000000+0*1000000+45*1000+24))</f>
        <v/>
      </c>
      <c r="FC204" s="35">
        <f>IF(N('Dvd Calendar'!$AC$2045)=0,"",IF(('Dvd Calendar'!$AC$2045&gt;=GRID_FROM)*('Dvd Calendar'!$AC$2045&lt;=GRID_TO)*('Dvd Calendar'!$AC$2045&lt;=VAL_DATE)=0,"",'Dvd Calendar'!$AC$2045*1000000000+ISNUMBER('Dvd Calendar'!$AC$2048)*100000000+('Dvd Calendar'!$AC$2050=SPECIAL_LBL)*10000000+0*1000000+45*1000+25))</f>
        <v/>
      </c>
      <c r="FD204" s="35">
        <f>IF(N('Dvd Calendar'!$AD$2045)=0,"",IF(('Dvd Calendar'!$AD$2045&gt;=GRID_FROM)*('Dvd Calendar'!$AD$2045&lt;=GRID_TO)*('Dvd Calendar'!$AD$2045&lt;=VAL_DATE)=0,"",'Dvd Calendar'!$AD$2045*1000000000+ISNUMBER('Dvd Calendar'!$AD$2048)*100000000+('Dvd Calendar'!$AD$2050=SPECIAL_LBL)*10000000+0*1000000+45*1000+26))</f>
        <v/>
      </c>
      <c r="FE204" s="35">
        <f>IF(N('Dvd Calendar'!$AE$2045)=0,"",IF(('Dvd Calendar'!$AE$2045&gt;=GRID_FROM)*('Dvd Calendar'!$AE$2045&lt;=GRID_TO)*('Dvd Calendar'!$AE$2045&lt;=VAL_DATE)=0,"",'Dvd Calendar'!$AE$2045*1000000000+ISNUMBER('Dvd Calendar'!$AE$2048)*100000000+('Dvd Calendar'!$AE$2050=SPECIAL_LBL)*10000000+0*1000000+45*1000+27))</f>
        <v/>
      </c>
      <c r="FF204" s="35">
        <f>IF(N('Dvd Calendar'!$AF$2045)=0,"",IF(('Dvd Calendar'!$AF$2045&gt;=GRID_FROM)*('Dvd Calendar'!$AF$2045&lt;=GRID_TO)*('Dvd Calendar'!$AF$2045&lt;=VAL_DATE)=0,"",'Dvd Calendar'!$AF$2045*1000000000+ISNUMBER('Dvd Calendar'!$AF$2048)*100000000+('Dvd Calendar'!$AF$2050=SPECIAL_LBL)*10000000+0*1000000+45*1000+28))</f>
        <v/>
      </c>
      <c r="FG204" s="35">
        <f>IF(N('Dvd Calendar'!$AG$2045)=0,"",IF(('Dvd Calendar'!$AG$2045&gt;=GRID_FROM)*('Dvd Calendar'!$AG$2045&lt;=GRID_TO)*('Dvd Calendar'!$AG$2045&lt;=VAL_DATE)=0,"",'Dvd Calendar'!$AG$2045*1000000000+ISNUMBER('Dvd Calendar'!$AG$2048)*100000000+('Dvd Calendar'!$AG$2050=SPECIAL_LBL)*10000000+0*1000000+45*1000+29))</f>
        <v/>
      </c>
      <c r="FH204" s="35">
        <f>IF(N('Dvd Calendar'!$AH$2045)=0,"",IF(('Dvd Calendar'!$AH$2045&gt;=GRID_FROM)*('Dvd Calendar'!$AH$2045&lt;=GRID_TO)*('Dvd Calendar'!$AH$2045&lt;=VAL_DATE)=0,"",'Dvd Calendar'!$AH$2045*1000000000+ISNUMBER('Dvd Calendar'!$AH$2048)*100000000+('Dvd Calendar'!$AH$2050=SPECIAL_LBL)*10000000+0*1000000+45*1000+30))</f>
        <v/>
      </c>
      <c r="FI204" s="35">
        <f>IF(N('Dvd Calendar'!$AI$2045)=0,"",IF(('Dvd Calendar'!$AI$2045&gt;=GRID_FROM)*('Dvd Calendar'!$AI$2045&lt;=GRID_TO)*('Dvd Calendar'!$AI$2045&lt;=VAL_DATE)=0,"",'Dvd Calendar'!$AI$2045*1000000000+ISNUMBER('Dvd Calendar'!$AI$2048)*100000000+('Dvd Calendar'!$AI$2050=SPECIAL_LBL)*10000000+0*1000000+45*1000+31))</f>
        <v/>
      </c>
      <c r="FJ204" s="35">
        <f>IF(N('Dvd Calendar'!$AJ$2045)=0,"",IF(('Dvd Calendar'!$AJ$2045&gt;=GRID_FROM)*('Dvd Calendar'!$AJ$2045&lt;=GRID_TO)*('Dvd Calendar'!$AJ$2045&lt;=VAL_DATE)=0,"",'Dvd Calendar'!$AJ$2045*1000000000+ISNUMBER('Dvd Calendar'!$AJ$2048)*100000000+('Dvd Calendar'!$AJ$2050=SPECIAL_LBL)*10000000+0*1000000+45*1000+32))</f>
        <v/>
      </c>
      <c r="FK204" s="35">
        <f>IF(N('Dvd Calendar'!$AK$2045)=0,"",IF(('Dvd Calendar'!$AK$2045&gt;=GRID_FROM)*('Dvd Calendar'!$AK$2045&lt;=GRID_TO)*('Dvd Calendar'!$AK$2045&lt;=VAL_DATE)=0,"",'Dvd Calendar'!$AK$2045*1000000000+ISNUMBER('Dvd Calendar'!$AK$2048)*100000000+('Dvd Calendar'!$AK$2050=SPECIAL_LBL)*10000000+0*1000000+45*1000+33))</f>
        <v/>
      </c>
      <c r="FL204" s="35">
        <f>IF(N('Dvd Calendar'!$AL$2045)=0,"",IF(('Dvd Calendar'!$AL$2045&gt;=GRID_FROM)*('Dvd Calendar'!$AL$2045&lt;=GRID_TO)*('Dvd Calendar'!$AL$2045&lt;=VAL_DATE)=0,"",'Dvd Calendar'!$AL$2045*1000000000+ISNUMBER('Dvd Calendar'!$AL$2048)*100000000+('Dvd Calendar'!$AL$2050=SPECIAL_LBL)*10000000+0*1000000+45*1000+34))</f>
        <v/>
      </c>
      <c r="FM204" s="35">
        <f>IF(N('Dvd Calendar'!$AM$2045)=0,"",IF(('Dvd Calendar'!$AM$2045&gt;=GRID_FROM)*('Dvd Calendar'!$AM$2045&lt;=GRID_TO)*('Dvd Calendar'!$AM$2045&lt;=VAL_DATE)=0,"",'Dvd Calendar'!$AM$2045*1000000000+ISNUMBER('Dvd Calendar'!$AM$2048)*100000000+('Dvd Calendar'!$AM$2050=SPECIAL_LBL)*10000000+0*1000000+45*1000+35))</f>
        <v/>
      </c>
      <c r="FN204" s="35">
        <f>IF(N('Dvd Calendar'!$AN$2045)=0,"",IF(('Dvd Calendar'!$AN$2045&gt;=GRID_FROM)*('Dvd Calendar'!$AN$2045&lt;=GRID_TO)*('Dvd Calendar'!$AN$2045&lt;=VAL_DATE)=0,"",'Dvd Calendar'!$AN$2045*1000000000+ISNUMBER('Dvd Calendar'!$AN$2048)*100000000+('Dvd Calendar'!$AN$2050=SPECIAL_LBL)*10000000+0*1000000+45*1000+36))</f>
        <v/>
      </c>
      <c r="FO204" s="35">
        <f>IF(N('Dvd Calendar'!$AO$2045)=0,"",IF(('Dvd Calendar'!$AO$2045&gt;=GRID_FROM)*('Dvd Calendar'!$AO$2045&lt;=GRID_TO)*('Dvd Calendar'!$AO$2045&lt;=VAL_DATE)=0,"",'Dvd Calendar'!$AO$2045*1000000000+ISNUMBER('Dvd Calendar'!$AO$2048)*100000000+('Dvd Calendar'!$AO$2050=SPECIAL_LBL)*10000000+0*1000000+45*1000+37))</f>
        <v/>
      </c>
      <c r="FP204" s="35">
        <f>IF(N('Dvd Calendar'!$AP$2045)=0,"",IF(('Dvd Calendar'!$AP$2045&gt;=GRID_FROM)*('Dvd Calendar'!$AP$2045&lt;=GRID_TO)*('Dvd Calendar'!$AP$2045&lt;=VAL_DATE)=0,"",'Dvd Calendar'!$AP$2045*1000000000+ISNUMBER('Dvd Calendar'!$AP$2048)*100000000+('Dvd Calendar'!$AP$2050=SPECIAL_LBL)*10000000+0*1000000+45*1000+38))</f>
        <v/>
      </c>
      <c r="FQ204" s="35">
        <f>IF(N('Dvd Calendar'!$AQ$2045)=0,"",IF(('Dvd Calendar'!$AQ$2045&gt;=GRID_FROM)*('Dvd Calendar'!$AQ$2045&lt;=GRID_TO)*('Dvd Calendar'!$AQ$2045&lt;=VAL_DATE)=0,"",'Dvd Calendar'!$AQ$2045*1000000000+ISNUMBER('Dvd Calendar'!$AQ$2048)*100000000+('Dvd Calendar'!$AQ$2050=SPECIAL_LBL)*10000000+0*1000000+45*1000+39))</f>
        <v/>
      </c>
      <c r="FR204" s="35">
        <f>IF(N('Dvd Calendar'!$AR$2045)=0,"",IF(('Dvd Calendar'!$AR$2045&gt;=GRID_FROM)*('Dvd Calendar'!$AR$2045&lt;=GRID_TO)*('Dvd Calendar'!$AR$2045&lt;=VAL_DATE)=0,"",'Dvd Calendar'!$AR$2045*1000000000+ISNUMBER('Dvd Calendar'!$AR$2048)*100000000+('Dvd Calendar'!$AR$2050=SPECIAL_LBL)*10000000+0*1000000+45*1000+40))</f>
        <v/>
      </c>
      <c r="FS204" s="35">
        <f>IF(N('Dvd Calendar'!$E$2052)=0,"",IF(('Dvd Calendar'!$E$2052&gt;=GRID_FROM)*('Dvd Calendar'!$E$2052&lt;=GRID_TO)*('Dvd Calendar'!$E$2052&gt;VAL_DATE)=0,"",'Dvd Calendar'!$E$2052*1000000000+ISNUMBER('Dvd Calendar'!$E$2053)*100000000+0*10000000+(N('Dvd Calendar'!$E$2051)&gt;0)*(N('Dvd Calendar'!$E$2051)&lt;=VAL_SERIAL)*1000000+45*1000+41))</f>
        <v/>
      </c>
      <c r="FT204" s="35">
        <f>IF(N('Dvd Calendar'!$F$2052)=0,"",IF(('Dvd Calendar'!$F$2052&gt;=GRID_FROM)*('Dvd Calendar'!$F$2052&lt;=GRID_TO)*('Dvd Calendar'!$F$2052&gt;VAL_DATE)=0,"",'Dvd Calendar'!$F$2052*1000000000+ISNUMBER('Dvd Calendar'!$F$2053)*100000000+0*10000000+(N('Dvd Calendar'!$F$2051)&gt;0)*(N('Dvd Calendar'!$F$2051)&lt;=VAL_SERIAL)*1000000+45*1000+42))</f>
        <v/>
      </c>
      <c r="FU204" s="35">
        <f>IF(N('Dvd Calendar'!$G$2052)=0,"",IF(('Dvd Calendar'!$G$2052&gt;=GRID_FROM)*('Dvd Calendar'!$G$2052&lt;=GRID_TO)*('Dvd Calendar'!$G$2052&gt;VAL_DATE)=0,"",'Dvd Calendar'!$G$2052*1000000000+ISNUMBER('Dvd Calendar'!$G$2053)*100000000+0*10000000+(N('Dvd Calendar'!$G$2051)&gt;0)*(N('Dvd Calendar'!$G$2051)&lt;=VAL_SERIAL)*1000000+45*1000+43))</f>
        <v/>
      </c>
      <c r="FV204" s="35">
        <f>IF(N('Dvd Calendar'!$H$2052)=0,"",IF(('Dvd Calendar'!$H$2052&gt;=GRID_FROM)*('Dvd Calendar'!$H$2052&lt;=GRID_TO)*('Dvd Calendar'!$H$2052&gt;VAL_DATE)=0,"",'Dvd Calendar'!$H$2052*1000000000+ISNUMBER('Dvd Calendar'!$H$2053)*100000000+0*10000000+(N('Dvd Calendar'!$H$2051)&gt;0)*(N('Dvd Calendar'!$H$2051)&lt;=VAL_SERIAL)*1000000+45*1000+44))</f>
        <v/>
      </c>
      <c r="FW204" s="35">
        <f>IF(N('Dvd Calendar'!$I$2052)=0,"",IF(('Dvd Calendar'!$I$2052&gt;=GRID_FROM)*('Dvd Calendar'!$I$2052&lt;=GRID_TO)*('Dvd Calendar'!$I$2052&gt;VAL_DATE)=0,"",'Dvd Calendar'!$I$2052*1000000000+ISNUMBER('Dvd Calendar'!$I$2053)*100000000+0*10000000+(N('Dvd Calendar'!$I$2051)&gt;0)*(N('Dvd Calendar'!$I$2051)&lt;=VAL_SERIAL)*1000000+45*1000+45))</f>
        <v/>
      </c>
      <c r="FX204" s="35">
        <f>IF(N('Dvd Calendar'!$J$2052)=0,"",IF(('Dvd Calendar'!$J$2052&gt;=GRID_FROM)*('Dvd Calendar'!$J$2052&lt;=GRID_TO)*('Dvd Calendar'!$J$2052&gt;VAL_DATE)=0,"",'Dvd Calendar'!$J$2052*1000000000+ISNUMBER('Dvd Calendar'!$J$2053)*100000000+0*10000000+(N('Dvd Calendar'!$J$2051)&gt;0)*(N('Dvd Calendar'!$J$2051)&lt;=VAL_SERIAL)*1000000+45*1000+46))</f>
        <v/>
      </c>
      <c r="FY204" s="35">
        <f>IF(N('Dvd Calendar'!$K$2052)=0,"",IF(('Dvd Calendar'!$K$2052&gt;=GRID_FROM)*('Dvd Calendar'!$K$2052&lt;=GRID_TO)*('Dvd Calendar'!$K$2052&gt;VAL_DATE)=0,"",'Dvd Calendar'!$K$2052*1000000000+ISNUMBER('Dvd Calendar'!$K$2053)*100000000+0*10000000+(N('Dvd Calendar'!$K$2051)&gt;0)*(N('Dvd Calendar'!$K$2051)&lt;=VAL_SERIAL)*1000000+45*1000+47))</f>
        <v/>
      </c>
      <c r="FZ204" s="35">
        <f>IF(N('Dvd Calendar'!$L$2052)=0,"",IF(('Dvd Calendar'!$L$2052&gt;=GRID_FROM)*('Dvd Calendar'!$L$2052&lt;=GRID_TO)*('Dvd Calendar'!$L$2052&gt;VAL_DATE)=0,"",'Dvd Calendar'!$L$2052*1000000000+ISNUMBER('Dvd Calendar'!$L$2053)*100000000+0*10000000+(N('Dvd Calendar'!$L$2051)&gt;0)*(N('Dvd Calendar'!$L$2051)&lt;=VAL_SERIAL)*1000000+45*1000+48))</f>
        <v/>
      </c>
      <c r="GA204" s="35">
        <f>IF(N('Dvd Calendar'!$M$2052)=0,"",IF(('Dvd Calendar'!$M$2052&gt;=GRID_FROM)*('Dvd Calendar'!$M$2052&lt;=GRID_TO)*('Dvd Calendar'!$M$2052&gt;VAL_DATE)=0,"",'Dvd Calendar'!$M$2052*1000000000+ISNUMBER('Dvd Calendar'!$M$2053)*100000000+0*10000000+(N('Dvd Calendar'!$M$2051)&gt;0)*(N('Dvd Calendar'!$M$2051)&lt;=VAL_SERIAL)*1000000+45*1000+49))</f>
        <v/>
      </c>
      <c r="GB204" s="35">
        <f>IF(N('Dvd Calendar'!$N$2052)=0,"",IF(('Dvd Calendar'!$N$2052&gt;=GRID_FROM)*('Dvd Calendar'!$N$2052&lt;=GRID_TO)*('Dvd Calendar'!$N$2052&gt;VAL_DATE)=0,"",'Dvd Calendar'!$N$2052*1000000000+ISNUMBER('Dvd Calendar'!$N$2053)*100000000+0*10000000+(N('Dvd Calendar'!$N$2051)&gt;0)*(N('Dvd Calendar'!$N$2051)&lt;=VAL_SERIAL)*1000000+45*1000+50))</f>
        <v/>
      </c>
      <c r="GC204" s="35">
        <f>IF(N('Dvd Calendar'!$O$2052)=0,"",IF(('Dvd Calendar'!$O$2052&gt;=GRID_FROM)*('Dvd Calendar'!$O$2052&lt;=GRID_TO)*('Dvd Calendar'!$O$2052&gt;VAL_DATE)=0,"",'Dvd Calendar'!$O$2052*1000000000+ISNUMBER('Dvd Calendar'!$O$2053)*100000000+0*10000000+(N('Dvd Calendar'!$O$2051)&gt;0)*(N('Dvd Calendar'!$O$2051)&lt;=VAL_SERIAL)*1000000+45*1000+51))</f>
        <v/>
      </c>
      <c r="GD204" s="35">
        <f>IF(N('Dvd Calendar'!$P$2052)=0,"",IF(('Dvd Calendar'!$P$2052&gt;=GRID_FROM)*('Dvd Calendar'!$P$2052&lt;=GRID_TO)*('Dvd Calendar'!$P$2052&gt;VAL_DATE)=0,"",'Dvd Calendar'!$P$2052*1000000000+ISNUMBER('Dvd Calendar'!$P$2053)*100000000+0*10000000+(N('Dvd Calendar'!$P$2051)&gt;0)*(N('Dvd Calendar'!$P$2051)&lt;=VAL_SERIAL)*1000000+45*1000+52))</f>
        <v/>
      </c>
      <c r="GE204" s="35">
        <f>IF(N('Dvd Calendar'!$Q$2052)=0,"",IF(('Dvd Calendar'!$Q$2052&gt;=GRID_FROM)*('Dvd Calendar'!$Q$2052&lt;=GRID_TO)*('Dvd Calendar'!$Q$2052&gt;VAL_DATE)=0,"",'Dvd Calendar'!$Q$2052*1000000000+ISNUMBER('Dvd Calendar'!$Q$2053)*100000000+0*10000000+(N('Dvd Calendar'!$Q$2051)&gt;0)*(N('Dvd Calendar'!$Q$2051)&lt;=VAL_SERIAL)*1000000+45*1000+53))</f>
        <v/>
      </c>
      <c r="GF204" s="35">
        <f>IF(N('Dvd Calendar'!$R$2052)=0,"",IF(('Dvd Calendar'!$R$2052&gt;=GRID_FROM)*('Dvd Calendar'!$R$2052&lt;=GRID_TO)*('Dvd Calendar'!$R$2052&gt;VAL_DATE)=0,"",'Dvd Calendar'!$R$2052*1000000000+ISNUMBER('Dvd Calendar'!$R$2053)*100000000+0*10000000+(N('Dvd Calendar'!$R$2051)&gt;0)*(N('Dvd Calendar'!$R$2051)&lt;=VAL_SERIAL)*1000000+45*1000+54))</f>
        <v/>
      </c>
      <c r="GG204" s="35">
        <f>IF(N('Dvd Calendar'!$S$2052)=0,"",IF(('Dvd Calendar'!$S$2052&gt;=GRID_FROM)*('Dvd Calendar'!$S$2052&lt;=GRID_TO)*('Dvd Calendar'!$S$2052&gt;VAL_DATE)=0,"",'Dvd Calendar'!$S$2052*1000000000+ISNUMBER('Dvd Calendar'!$S$2053)*100000000+0*10000000+(N('Dvd Calendar'!$S$2051)&gt;0)*(N('Dvd Calendar'!$S$2051)&lt;=VAL_SERIAL)*1000000+45*1000+55))</f>
        <v/>
      </c>
      <c r="GH204" s="35">
        <f>IF(N('Dvd Calendar'!$T$2052)=0,"",IF(('Dvd Calendar'!$T$2052&gt;=GRID_FROM)*('Dvd Calendar'!$T$2052&lt;=GRID_TO)*('Dvd Calendar'!$T$2052&gt;VAL_DATE)=0,"",'Dvd Calendar'!$T$2052*1000000000+ISNUMBER('Dvd Calendar'!$T$2053)*100000000+0*10000000+(N('Dvd Calendar'!$T$2051)&gt;0)*(N('Dvd Calendar'!$T$2051)&lt;=VAL_SERIAL)*1000000+45*1000+56))</f>
        <v/>
      </c>
      <c r="GI204" s="35">
        <f>IF(N('Dvd Calendar'!$U$2052)=0,"",IF(('Dvd Calendar'!$U$2052&gt;=GRID_FROM)*('Dvd Calendar'!$U$2052&lt;=GRID_TO)*('Dvd Calendar'!$U$2052&gt;VAL_DATE)=0,"",'Dvd Calendar'!$U$2052*1000000000+ISNUMBER('Dvd Calendar'!$U$2053)*100000000+0*10000000+(N('Dvd Calendar'!$U$2051)&gt;0)*(N('Dvd Calendar'!$U$2051)&lt;=VAL_SERIAL)*1000000+45*1000+57))</f>
        <v/>
      </c>
      <c r="GJ204" s="35">
        <f>IF(N('Dvd Calendar'!$V$2052)=0,"",IF(('Dvd Calendar'!$V$2052&gt;=GRID_FROM)*('Dvd Calendar'!$V$2052&lt;=GRID_TO)*('Dvd Calendar'!$V$2052&gt;VAL_DATE)=0,"",'Dvd Calendar'!$V$2052*1000000000+ISNUMBER('Dvd Calendar'!$V$2053)*100000000+0*10000000+(N('Dvd Calendar'!$V$2051)&gt;0)*(N('Dvd Calendar'!$V$2051)&lt;=VAL_SERIAL)*1000000+45*1000+58))</f>
        <v/>
      </c>
      <c r="GK204" s="35">
        <f>IF(N('Dvd Calendar'!$W$2052)=0,"",IF(('Dvd Calendar'!$W$2052&gt;=GRID_FROM)*('Dvd Calendar'!$W$2052&lt;=GRID_TO)*('Dvd Calendar'!$W$2052&gt;VAL_DATE)=0,"",'Dvd Calendar'!$W$2052*1000000000+ISNUMBER('Dvd Calendar'!$W$2053)*100000000+0*10000000+(N('Dvd Calendar'!$W$2051)&gt;0)*(N('Dvd Calendar'!$W$2051)&lt;=VAL_SERIAL)*1000000+45*1000+59))</f>
        <v/>
      </c>
      <c r="GL204" s="35">
        <f>IF(N('Dvd Calendar'!$X$2052)=0,"",IF(('Dvd Calendar'!$X$2052&gt;=GRID_FROM)*('Dvd Calendar'!$X$2052&lt;=GRID_TO)*('Dvd Calendar'!$X$2052&gt;VAL_DATE)=0,"",'Dvd Calendar'!$X$2052*1000000000+ISNUMBER('Dvd Calendar'!$X$2053)*100000000+0*10000000+(N('Dvd Calendar'!$X$2051)&gt;0)*(N('Dvd Calendar'!$X$2051)&lt;=VAL_SERIAL)*1000000+45*1000+60))</f>
        <v/>
      </c>
      <c r="GM204" s="35">
        <f>IF(N('Dvd Calendar'!$Y$2052)=0,"",IF(('Dvd Calendar'!$Y$2052&gt;=GRID_FROM)*('Dvd Calendar'!$Y$2052&lt;=GRID_TO)*('Dvd Calendar'!$Y$2052&gt;VAL_DATE)=0,"",'Dvd Calendar'!$Y$2052*1000000000+ISNUMBER('Dvd Calendar'!$Y$2053)*100000000+0*10000000+(N('Dvd Calendar'!$Y$2051)&gt;0)*(N('Dvd Calendar'!$Y$2051)&lt;=VAL_SERIAL)*1000000+45*1000+61))</f>
        <v/>
      </c>
      <c r="GN204" s="35">
        <f>IF(N('Dvd Calendar'!$Z$2052)=0,"",IF(('Dvd Calendar'!$Z$2052&gt;=GRID_FROM)*('Dvd Calendar'!$Z$2052&lt;=GRID_TO)*('Dvd Calendar'!$Z$2052&gt;VAL_DATE)=0,"",'Dvd Calendar'!$Z$2052*1000000000+ISNUMBER('Dvd Calendar'!$Z$2053)*100000000+0*10000000+(N('Dvd Calendar'!$Z$2051)&gt;0)*(N('Dvd Calendar'!$Z$2051)&lt;=VAL_SERIAL)*1000000+45*1000+62))</f>
        <v/>
      </c>
      <c r="GO204" s="35">
        <f>IF(N('Dvd Calendar'!$AA$2052)=0,"",IF(('Dvd Calendar'!$AA$2052&gt;=GRID_FROM)*('Dvd Calendar'!$AA$2052&lt;=GRID_TO)*('Dvd Calendar'!$AA$2052&gt;VAL_DATE)=0,"",'Dvd Calendar'!$AA$2052*1000000000+ISNUMBER('Dvd Calendar'!$AA$2053)*100000000+0*10000000+(N('Dvd Calendar'!$AA$2051)&gt;0)*(N('Dvd Calendar'!$AA$2051)&lt;=VAL_SERIAL)*1000000+45*1000+63))</f>
        <v/>
      </c>
      <c r="GP204" s="35">
        <f>IF(N('Dvd Calendar'!$AB$2052)=0,"",IF(('Dvd Calendar'!$AB$2052&gt;=GRID_FROM)*('Dvd Calendar'!$AB$2052&lt;=GRID_TO)*('Dvd Calendar'!$AB$2052&gt;VAL_DATE)=0,"",'Dvd Calendar'!$AB$2052*1000000000+ISNUMBER('Dvd Calendar'!$AB$2053)*100000000+0*10000000+(N('Dvd Calendar'!$AB$2051)&gt;0)*(N('Dvd Calendar'!$AB$2051)&lt;=VAL_SERIAL)*1000000+45*1000+64))</f>
        <v/>
      </c>
      <c r="GQ204" s="35">
        <f>IF(N('Dvd Calendar'!$AC$2052)=0,"",IF(('Dvd Calendar'!$AC$2052&gt;=GRID_FROM)*('Dvd Calendar'!$AC$2052&lt;=GRID_TO)*('Dvd Calendar'!$AC$2052&gt;VAL_DATE)=0,"",'Dvd Calendar'!$AC$2052*1000000000+ISNUMBER('Dvd Calendar'!$AC$2053)*100000000+0*10000000+(N('Dvd Calendar'!$AC$2051)&gt;0)*(N('Dvd Calendar'!$AC$2051)&lt;=VAL_SERIAL)*1000000+45*1000+65))</f>
        <v/>
      </c>
    </row>
    <row r="205">
      <c r="B205" s="2">
        <f>IF(HSCEI!$C$52="","",HSCEI!$C$52)</f>
        <v/>
      </c>
      <c r="C205" s="106">
        <f>IF(EE205="","",IF(ISNUMBER('Dvd Calendar'!$E$2059)=FALSE,"",IF((('Dvd Calendar'!$E$2061=TYPE1)*(TYPE1&lt;&gt;"")+('Dvd Calendar'!$E$2061=TYPE2)*(TYPE2&lt;&gt;"")+('Dvd Calendar'!$E$2061=TYPE3)*(TYPE3&lt;&gt;"")+('Dvd Calendar'!$E$2061=TYPE4)*(TYPE4&lt;&gt;"")+('Dvd Calendar'!$E$2061=SPECIAL_LBL)*(INC_SPECIALS="Y"))=0,"",'Dvd Calendar'!$E$2059)))</f>
        <v/>
      </c>
      <c r="D205" s="106">
        <f>IF(EF205="","",IF(ISNUMBER('Dvd Calendar'!$F$2059)=FALSE,"",IF((('Dvd Calendar'!$F$2061=TYPE1)*(TYPE1&lt;&gt;"")+('Dvd Calendar'!$F$2061=TYPE2)*(TYPE2&lt;&gt;"")+('Dvd Calendar'!$F$2061=TYPE3)*(TYPE3&lt;&gt;"")+('Dvd Calendar'!$F$2061=TYPE4)*(TYPE4&lt;&gt;"")+('Dvd Calendar'!$F$2061=SPECIAL_LBL)*(INC_SPECIALS="Y"))=0,"",'Dvd Calendar'!$F$2059)))</f>
        <v/>
      </c>
      <c r="E205" s="106">
        <f>IF(EG205="","",IF(ISNUMBER('Dvd Calendar'!$G$2059)=FALSE,"",IF((('Dvd Calendar'!$G$2061=TYPE1)*(TYPE1&lt;&gt;"")+('Dvd Calendar'!$G$2061=TYPE2)*(TYPE2&lt;&gt;"")+('Dvd Calendar'!$G$2061=TYPE3)*(TYPE3&lt;&gt;"")+('Dvd Calendar'!$G$2061=TYPE4)*(TYPE4&lt;&gt;"")+('Dvd Calendar'!$G$2061=SPECIAL_LBL)*(INC_SPECIALS="Y"))=0,"",'Dvd Calendar'!$G$2059)))</f>
        <v/>
      </c>
      <c r="F205" s="106">
        <f>IF(EH205="","",IF(ISNUMBER('Dvd Calendar'!$H$2059)=FALSE,"",IF((('Dvd Calendar'!$H$2061=TYPE1)*(TYPE1&lt;&gt;"")+('Dvd Calendar'!$H$2061=TYPE2)*(TYPE2&lt;&gt;"")+('Dvd Calendar'!$H$2061=TYPE3)*(TYPE3&lt;&gt;"")+('Dvd Calendar'!$H$2061=TYPE4)*(TYPE4&lt;&gt;"")+('Dvd Calendar'!$H$2061=SPECIAL_LBL)*(INC_SPECIALS="Y"))=0,"",'Dvd Calendar'!$H$2059)))</f>
        <v/>
      </c>
      <c r="G205" s="106">
        <f>IF(EI205="","",IF(ISNUMBER('Dvd Calendar'!$I$2059)=FALSE,"",IF((('Dvd Calendar'!$I$2061=TYPE1)*(TYPE1&lt;&gt;"")+('Dvd Calendar'!$I$2061=TYPE2)*(TYPE2&lt;&gt;"")+('Dvd Calendar'!$I$2061=TYPE3)*(TYPE3&lt;&gt;"")+('Dvd Calendar'!$I$2061=TYPE4)*(TYPE4&lt;&gt;"")+('Dvd Calendar'!$I$2061=SPECIAL_LBL)*(INC_SPECIALS="Y"))=0,"",'Dvd Calendar'!$I$2059)))</f>
        <v/>
      </c>
      <c r="H205" s="106">
        <f>IF(EJ205="","",IF(ISNUMBER('Dvd Calendar'!$J$2059)=FALSE,"",IF((('Dvd Calendar'!$J$2061=TYPE1)*(TYPE1&lt;&gt;"")+('Dvd Calendar'!$J$2061=TYPE2)*(TYPE2&lt;&gt;"")+('Dvd Calendar'!$J$2061=TYPE3)*(TYPE3&lt;&gt;"")+('Dvd Calendar'!$J$2061=TYPE4)*(TYPE4&lt;&gt;"")+('Dvd Calendar'!$J$2061=SPECIAL_LBL)*(INC_SPECIALS="Y"))=0,"",'Dvd Calendar'!$J$2059)))</f>
        <v/>
      </c>
      <c r="I205" s="106">
        <f>IF(EK205="","",IF(ISNUMBER('Dvd Calendar'!$K$2059)=FALSE,"",IF((('Dvd Calendar'!$K$2061=TYPE1)*(TYPE1&lt;&gt;"")+('Dvd Calendar'!$K$2061=TYPE2)*(TYPE2&lt;&gt;"")+('Dvd Calendar'!$K$2061=TYPE3)*(TYPE3&lt;&gt;"")+('Dvd Calendar'!$K$2061=TYPE4)*(TYPE4&lt;&gt;"")+('Dvd Calendar'!$K$2061=SPECIAL_LBL)*(INC_SPECIALS="Y"))=0,"",'Dvd Calendar'!$K$2059)))</f>
        <v/>
      </c>
      <c r="J205" s="106">
        <f>IF(EL205="","",IF(ISNUMBER('Dvd Calendar'!$L$2059)=FALSE,"",IF((('Dvd Calendar'!$L$2061=TYPE1)*(TYPE1&lt;&gt;"")+('Dvd Calendar'!$L$2061=TYPE2)*(TYPE2&lt;&gt;"")+('Dvd Calendar'!$L$2061=TYPE3)*(TYPE3&lt;&gt;"")+('Dvd Calendar'!$L$2061=TYPE4)*(TYPE4&lt;&gt;"")+('Dvd Calendar'!$L$2061=SPECIAL_LBL)*(INC_SPECIALS="Y"))=0,"",'Dvd Calendar'!$L$2059)))</f>
        <v/>
      </c>
      <c r="K205" s="106">
        <f>IF(EM205="","",IF(ISNUMBER('Dvd Calendar'!$M$2059)=FALSE,"",IF((('Dvd Calendar'!$M$2061=TYPE1)*(TYPE1&lt;&gt;"")+('Dvd Calendar'!$M$2061=TYPE2)*(TYPE2&lt;&gt;"")+('Dvd Calendar'!$M$2061=TYPE3)*(TYPE3&lt;&gt;"")+('Dvd Calendar'!$M$2061=TYPE4)*(TYPE4&lt;&gt;"")+('Dvd Calendar'!$M$2061=SPECIAL_LBL)*(INC_SPECIALS="Y"))=0,"",'Dvd Calendar'!$M$2059)))</f>
        <v/>
      </c>
      <c r="L205" s="106">
        <f>IF(EN205="","",IF(ISNUMBER('Dvd Calendar'!$N$2059)=FALSE,"",IF((('Dvd Calendar'!$N$2061=TYPE1)*(TYPE1&lt;&gt;"")+('Dvd Calendar'!$N$2061=TYPE2)*(TYPE2&lt;&gt;"")+('Dvd Calendar'!$N$2061=TYPE3)*(TYPE3&lt;&gt;"")+('Dvd Calendar'!$N$2061=TYPE4)*(TYPE4&lt;&gt;"")+('Dvd Calendar'!$N$2061=SPECIAL_LBL)*(INC_SPECIALS="Y"))=0,"",'Dvd Calendar'!$N$2059)))</f>
        <v/>
      </c>
      <c r="M205" s="106">
        <f>IF(EO205="","",IF(ISNUMBER('Dvd Calendar'!$O$2059)=FALSE,"",IF((('Dvd Calendar'!$O$2061=TYPE1)*(TYPE1&lt;&gt;"")+('Dvd Calendar'!$O$2061=TYPE2)*(TYPE2&lt;&gt;"")+('Dvd Calendar'!$O$2061=TYPE3)*(TYPE3&lt;&gt;"")+('Dvd Calendar'!$O$2061=TYPE4)*(TYPE4&lt;&gt;"")+('Dvd Calendar'!$O$2061=SPECIAL_LBL)*(INC_SPECIALS="Y"))=0,"",'Dvd Calendar'!$O$2059)))</f>
        <v/>
      </c>
      <c r="N205" s="106">
        <f>IF(EP205="","",IF(ISNUMBER('Dvd Calendar'!$P$2059)=FALSE,"",IF((('Dvd Calendar'!$P$2061=TYPE1)*(TYPE1&lt;&gt;"")+('Dvd Calendar'!$P$2061=TYPE2)*(TYPE2&lt;&gt;"")+('Dvd Calendar'!$P$2061=TYPE3)*(TYPE3&lt;&gt;"")+('Dvd Calendar'!$P$2061=TYPE4)*(TYPE4&lt;&gt;"")+('Dvd Calendar'!$P$2061=SPECIAL_LBL)*(INC_SPECIALS="Y"))=0,"",'Dvd Calendar'!$P$2059)))</f>
        <v/>
      </c>
      <c r="O205" s="106">
        <f>IF(EQ205="","",IF(ISNUMBER('Dvd Calendar'!$Q$2059)=FALSE,"",IF((('Dvd Calendar'!$Q$2061=TYPE1)*(TYPE1&lt;&gt;"")+('Dvd Calendar'!$Q$2061=TYPE2)*(TYPE2&lt;&gt;"")+('Dvd Calendar'!$Q$2061=TYPE3)*(TYPE3&lt;&gt;"")+('Dvd Calendar'!$Q$2061=TYPE4)*(TYPE4&lt;&gt;"")+('Dvd Calendar'!$Q$2061=SPECIAL_LBL)*(INC_SPECIALS="Y"))=0,"",'Dvd Calendar'!$Q$2059)))</f>
        <v/>
      </c>
      <c r="P205" s="106">
        <f>IF(ER205="","",IF(ISNUMBER('Dvd Calendar'!$R$2059)=FALSE,"",IF((('Dvd Calendar'!$R$2061=TYPE1)*(TYPE1&lt;&gt;"")+('Dvd Calendar'!$R$2061=TYPE2)*(TYPE2&lt;&gt;"")+('Dvd Calendar'!$R$2061=TYPE3)*(TYPE3&lt;&gt;"")+('Dvd Calendar'!$R$2061=TYPE4)*(TYPE4&lt;&gt;"")+('Dvd Calendar'!$R$2061=SPECIAL_LBL)*(INC_SPECIALS="Y"))=0,"",'Dvd Calendar'!$R$2059)))</f>
        <v/>
      </c>
      <c r="Q205" s="106">
        <f>IF(ES205="","",IF(ISNUMBER('Dvd Calendar'!$S$2059)=FALSE,"",IF((('Dvd Calendar'!$S$2061=TYPE1)*(TYPE1&lt;&gt;"")+('Dvd Calendar'!$S$2061=TYPE2)*(TYPE2&lt;&gt;"")+('Dvd Calendar'!$S$2061=TYPE3)*(TYPE3&lt;&gt;"")+('Dvd Calendar'!$S$2061=TYPE4)*(TYPE4&lt;&gt;"")+('Dvd Calendar'!$S$2061=SPECIAL_LBL)*(INC_SPECIALS="Y"))=0,"",'Dvd Calendar'!$S$2059)))</f>
        <v/>
      </c>
      <c r="R205" s="106">
        <f>IF(ET205="","",IF(ISNUMBER('Dvd Calendar'!$T$2059)=FALSE,"",IF((('Dvd Calendar'!$T$2061=TYPE1)*(TYPE1&lt;&gt;"")+('Dvd Calendar'!$T$2061=TYPE2)*(TYPE2&lt;&gt;"")+('Dvd Calendar'!$T$2061=TYPE3)*(TYPE3&lt;&gt;"")+('Dvd Calendar'!$T$2061=TYPE4)*(TYPE4&lt;&gt;"")+('Dvd Calendar'!$T$2061=SPECIAL_LBL)*(INC_SPECIALS="Y"))=0,"",'Dvd Calendar'!$T$2059)))</f>
        <v/>
      </c>
      <c r="S205" s="106">
        <f>IF(EU205="","",IF(ISNUMBER('Dvd Calendar'!$U$2059)=FALSE,"",IF((('Dvd Calendar'!$U$2061=TYPE1)*(TYPE1&lt;&gt;"")+('Dvd Calendar'!$U$2061=TYPE2)*(TYPE2&lt;&gt;"")+('Dvd Calendar'!$U$2061=TYPE3)*(TYPE3&lt;&gt;"")+('Dvd Calendar'!$U$2061=TYPE4)*(TYPE4&lt;&gt;"")+('Dvd Calendar'!$U$2061=SPECIAL_LBL)*(INC_SPECIALS="Y"))=0,"",'Dvd Calendar'!$U$2059)))</f>
        <v/>
      </c>
      <c r="T205" s="106">
        <f>IF(EV205="","",IF(ISNUMBER('Dvd Calendar'!$V$2059)=FALSE,"",IF((('Dvd Calendar'!$V$2061=TYPE1)*(TYPE1&lt;&gt;"")+('Dvd Calendar'!$V$2061=TYPE2)*(TYPE2&lt;&gt;"")+('Dvd Calendar'!$V$2061=TYPE3)*(TYPE3&lt;&gt;"")+('Dvd Calendar'!$V$2061=TYPE4)*(TYPE4&lt;&gt;"")+('Dvd Calendar'!$V$2061=SPECIAL_LBL)*(INC_SPECIALS="Y"))=0,"",'Dvd Calendar'!$V$2059)))</f>
        <v/>
      </c>
      <c r="U205" s="106">
        <f>IF(EW205="","",IF(ISNUMBER('Dvd Calendar'!$W$2059)=FALSE,"",IF((('Dvd Calendar'!$W$2061=TYPE1)*(TYPE1&lt;&gt;"")+('Dvd Calendar'!$W$2061=TYPE2)*(TYPE2&lt;&gt;"")+('Dvd Calendar'!$W$2061=TYPE3)*(TYPE3&lt;&gt;"")+('Dvd Calendar'!$W$2061=TYPE4)*(TYPE4&lt;&gt;"")+('Dvd Calendar'!$W$2061=SPECIAL_LBL)*(INC_SPECIALS="Y"))=0,"",'Dvd Calendar'!$W$2059)))</f>
        <v/>
      </c>
      <c r="V205" s="106">
        <f>IF(EX205="","",IF(ISNUMBER('Dvd Calendar'!$X$2059)=FALSE,"",IF((('Dvd Calendar'!$X$2061=TYPE1)*(TYPE1&lt;&gt;"")+('Dvd Calendar'!$X$2061=TYPE2)*(TYPE2&lt;&gt;"")+('Dvd Calendar'!$X$2061=TYPE3)*(TYPE3&lt;&gt;"")+('Dvd Calendar'!$X$2061=TYPE4)*(TYPE4&lt;&gt;"")+('Dvd Calendar'!$X$2061=SPECIAL_LBL)*(INC_SPECIALS="Y"))=0,"",'Dvd Calendar'!$X$2059)))</f>
        <v/>
      </c>
      <c r="W205" s="106">
        <f>IF(EY205="","",IF(ISNUMBER('Dvd Calendar'!$Y$2059)=FALSE,"",IF((('Dvd Calendar'!$Y$2061=TYPE1)*(TYPE1&lt;&gt;"")+('Dvd Calendar'!$Y$2061=TYPE2)*(TYPE2&lt;&gt;"")+('Dvd Calendar'!$Y$2061=TYPE3)*(TYPE3&lt;&gt;"")+('Dvd Calendar'!$Y$2061=TYPE4)*(TYPE4&lt;&gt;"")+('Dvd Calendar'!$Y$2061=SPECIAL_LBL)*(INC_SPECIALS="Y"))=0,"",'Dvd Calendar'!$Y$2059)))</f>
        <v/>
      </c>
      <c r="X205" s="106">
        <f>IF(EZ205="","",IF(ISNUMBER('Dvd Calendar'!$Z$2059)=FALSE,"",IF((('Dvd Calendar'!$Z$2061=TYPE1)*(TYPE1&lt;&gt;"")+('Dvd Calendar'!$Z$2061=TYPE2)*(TYPE2&lt;&gt;"")+('Dvd Calendar'!$Z$2061=TYPE3)*(TYPE3&lt;&gt;"")+('Dvd Calendar'!$Z$2061=TYPE4)*(TYPE4&lt;&gt;"")+('Dvd Calendar'!$Z$2061=SPECIAL_LBL)*(INC_SPECIALS="Y"))=0,"",'Dvd Calendar'!$Z$2059)))</f>
        <v/>
      </c>
      <c r="Y205" s="106">
        <f>IF(FA205="","",IF(ISNUMBER('Dvd Calendar'!$AA$2059)=FALSE,"",IF((('Dvd Calendar'!$AA$2061=TYPE1)*(TYPE1&lt;&gt;"")+('Dvd Calendar'!$AA$2061=TYPE2)*(TYPE2&lt;&gt;"")+('Dvd Calendar'!$AA$2061=TYPE3)*(TYPE3&lt;&gt;"")+('Dvd Calendar'!$AA$2061=TYPE4)*(TYPE4&lt;&gt;"")+('Dvd Calendar'!$AA$2061=SPECIAL_LBL)*(INC_SPECIALS="Y"))=0,"",'Dvd Calendar'!$AA$2059)))</f>
        <v/>
      </c>
      <c r="Z205" s="106">
        <f>IF(FB205="","",IF(ISNUMBER('Dvd Calendar'!$AB$2059)=FALSE,"",IF((('Dvd Calendar'!$AB$2061=TYPE1)*(TYPE1&lt;&gt;"")+('Dvd Calendar'!$AB$2061=TYPE2)*(TYPE2&lt;&gt;"")+('Dvd Calendar'!$AB$2061=TYPE3)*(TYPE3&lt;&gt;"")+('Dvd Calendar'!$AB$2061=TYPE4)*(TYPE4&lt;&gt;"")+('Dvd Calendar'!$AB$2061=SPECIAL_LBL)*(INC_SPECIALS="Y"))=0,"",'Dvd Calendar'!$AB$2059)))</f>
        <v/>
      </c>
      <c r="AA205" s="106">
        <f>IF(FC205="","",IF(ISNUMBER('Dvd Calendar'!$AC$2059)=FALSE,"",IF((('Dvd Calendar'!$AC$2061=TYPE1)*(TYPE1&lt;&gt;"")+('Dvd Calendar'!$AC$2061=TYPE2)*(TYPE2&lt;&gt;"")+('Dvd Calendar'!$AC$2061=TYPE3)*(TYPE3&lt;&gt;"")+('Dvd Calendar'!$AC$2061=TYPE4)*(TYPE4&lt;&gt;"")+('Dvd Calendar'!$AC$2061=SPECIAL_LBL)*(INC_SPECIALS="Y"))=0,"",'Dvd Calendar'!$AC$2059)))</f>
        <v/>
      </c>
      <c r="AB205" s="106">
        <f>IF(FD205="","",IF(ISNUMBER('Dvd Calendar'!$AD$2059)=FALSE,"",IF((('Dvd Calendar'!$AD$2061=TYPE1)*(TYPE1&lt;&gt;"")+('Dvd Calendar'!$AD$2061=TYPE2)*(TYPE2&lt;&gt;"")+('Dvd Calendar'!$AD$2061=TYPE3)*(TYPE3&lt;&gt;"")+('Dvd Calendar'!$AD$2061=TYPE4)*(TYPE4&lt;&gt;"")+('Dvd Calendar'!$AD$2061=SPECIAL_LBL)*(INC_SPECIALS="Y"))=0,"",'Dvd Calendar'!$AD$2059)))</f>
        <v/>
      </c>
      <c r="AC205" s="106">
        <f>IF(FE205="","",IF(ISNUMBER('Dvd Calendar'!$AE$2059)=FALSE,"",IF((('Dvd Calendar'!$AE$2061=TYPE1)*(TYPE1&lt;&gt;"")+('Dvd Calendar'!$AE$2061=TYPE2)*(TYPE2&lt;&gt;"")+('Dvd Calendar'!$AE$2061=TYPE3)*(TYPE3&lt;&gt;"")+('Dvd Calendar'!$AE$2061=TYPE4)*(TYPE4&lt;&gt;"")+('Dvd Calendar'!$AE$2061=SPECIAL_LBL)*(INC_SPECIALS="Y"))=0,"",'Dvd Calendar'!$AE$2059)))</f>
        <v/>
      </c>
      <c r="AD205" s="106">
        <f>IF(FF205="","",IF(ISNUMBER('Dvd Calendar'!$AF$2059)=FALSE,"",IF((('Dvd Calendar'!$AF$2061=TYPE1)*(TYPE1&lt;&gt;"")+('Dvd Calendar'!$AF$2061=TYPE2)*(TYPE2&lt;&gt;"")+('Dvd Calendar'!$AF$2061=TYPE3)*(TYPE3&lt;&gt;"")+('Dvd Calendar'!$AF$2061=TYPE4)*(TYPE4&lt;&gt;"")+('Dvd Calendar'!$AF$2061=SPECIAL_LBL)*(INC_SPECIALS="Y"))=0,"",'Dvd Calendar'!$AF$2059)))</f>
        <v/>
      </c>
      <c r="AE205" s="106">
        <f>IF(FG205="","",IF(ISNUMBER('Dvd Calendar'!$AG$2059)=FALSE,"",IF((('Dvd Calendar'!$AG$2061=TYPE1)*(TYPE1&lt;&gt;"")+('Dvd Calendar'!$AG$2061=TYPE2)*(TYPE2&lt;&gt;"")+('Dvd Calendar'!$AG$2061=TYPE3)*(TYPE3&lt;&gt;"")+('Dvd Calendar'!$AG$2061=TYPE4)*(TYPE4&lt;&gt;"")+('Dvd Calendar'!$AG$2061=SPECIAL_LBL)*(INC_SPECIALS="Y"))=0,"",'Dvd Calendar'!$AG$2059)))</f>
        <v/>
      </c>
      <c r="AF205" s="106">
        <f>IF(FH205="","",IF(ISNUMBER('Dvd Calendar'!$AH$2059)=FALSE,"",IF((('Dvd Calendar'!$AH$2061=TYPE1)*(TYPE1&lt;&gt;"")+('Dvd Calendar'!$AH$2061=TYPE2)*(TYPE2&lt;&gt;"")+('Dvd Calendar'!$AH$2061=TYPE3)*(TYPE3&lt;&gt;"")+('Dvd Calendar'!$AH$2061=TYPE4)*(TYPE4&lt;&gt;"")+('Dvd Calendar'!$AH$2061=SPECIAL_LBL)*(INC_SPECIALS="Y"))=0,"",'Dvd Calendar'!$AH$2059)))</f>
        <v/>
      </c>
      <c r="AG205" s="106">
        <f>IF(FI205="","",IF(ISNUMBER('Dvd Calendar'!$AI$2059)=FALSE,"",IF((('Dvd Calendar'!$AI$2061=TYPE1)*(TYPE1&lt;&gt;"")+('Dvd Calendar'!$AI$2061=TYPE2)*(TYPE2&lt;&gt;"")+('Dvd Calendar'!$AI$2061=TYPE3)*(TYPE3&lt;&gt;"")+('Dvd Calendar'!$AI$2061=TYPE4)*(TYPE4&lt;&gt;"")+('Dvd Calendar'!$AI$2061=SPECIAL_LBL)*(INC_SPECIALS="Y"))=0,"",'Dvd Calendar'!$AI$2059)))</f>
        <v/>
      </c>
      <c r="AH205" s="106">
        <f>IF(FJ205="","",IF(ISNUMBER('Dvd Calendar'!$AJ$2059)=FALSE,"",IF((('Dvd Calendar'!$AJ$2061=TYPE1)*(TYPE1&lt;&gt;"")+('Dvd Calendar'!$AJ$2061=TYPE2)*(TYPE2&lt;&gt;"")+('Dvd Calendar'!$AJ$2061=TYPE3)*(TYPE3&lt;&gt;"")+('Dvd Calendar'!$AJ$2061=TYPE4)*(TYPE4&lt;&gt;"")+('Dvd Calendar'!$AJ$2061=SPECIAL_LBL)*(INC_SPECIALS="Y"))=0,"",'Dvd Calendar'!$AJ$2059)))</f>
        <v/>
      </c>
      <c r="AI205" s="106">
        <f>IF(FK205="","",IF(ISNUMBER('Dvd Calendar'!$AK$2059)=FALSE,"",IF((('Dvd Calendar'!$AK$2061=TYPE1)*(TYPE1&lt;&gt;"")+('Dvd Calendar'!$AK$2061=TYPE2)*(TYPE2&lt;&gt;"")+('Dvd Calendar'!$AK$2061=TYPE3)*(TYPE3&lt;&gt;"")+('Dvd Calendar'!$AK$2061=TYPE4)*(TYPE4&lt;&gt;"")+('Dvd Calendar'!$AK$2061=SPECIAL_LBL)*(INC_SPECIALS="Y"))=0,"",'Dvd Calendar'!$AK$2059)))</f>
        <v/>
      </c>
      <c r="AJ205" s="106">
        <f>IF(FL205="","",IF(ISNUMBER('Dvd Calendar'!$AL$2059)=FALSE,"",IF((('Dvd Calendar'!$AL$2061=TYPE1)*(TYPE1&lt;&gt;"")+('Dvd Calendar'!$AL$2061=TYPE2)*(TYPE2&lt;&gt;"")+('Dvd Calendar'!$AL$2061=TYPE3)*(TYPE3&lt;&gt;"")+('Dvd Calendar'!$AL$2061=TYPE4)*(TYPE4&lt;&gt;"")+('Dvd Calendar'!$AL$2061=SPECIAL_LBL)*(INC_SPECIALS="Y"))=0,"",'Dvd Calendar'!$AL$2059)))</f>
        <v/>
      </c>
      <c r="AK205" s="106">
        <f>IF(FM205="","",IF(ISNUMBER('Dvd Calendar'!$AM$2059)=FALSE,"",IF((('Dvd Calendar'!$AM$2061=TYPE1)*(TYPE1&lt;&gt;"")+('Dvd Calendar'!$AM$2061=TYPE2)*(TYPE2&lt;&gt;"")+('Dvd Calendar'!$AM$2061=TYPE3)*(TYPE3&lt;&gt;"")+('Dvd Calendar'!$AM$2061=TYPE4)*(TYPE4&lt;&gt;"")+('Dvd Calendar'!$AM$2061=SPECIAL_LBL)*(INC_SPECIALS="Y"))=0,"",'Dvd Calendar'!$AM$2059)))</f>
        <v/>
      </c>
      <c r="AL205" s="106">
        <f>IF(FN205="","",IF(ISNUMBER('Dvd Calendar'!$AN$2059)=FALSE,"",IF((('Dvd Calendar'!$AN$2061=TYPE1)*(TYPE1&lt;&gt;"")+('Dvd Calendar'!$AN$2061=TYPE2)*(TYPE2&lt;&gt;"")+('Dvd Calendar'!$AN$2061=TYPE3)*(TYPE3&lt;&gt;"")+('Dvd Calendar'!$AN$2061=TYPE4)*(TYPE4&lt;&gt;"")+('Dvd Calendar'!$AN$2061=SPECIAL_LBL)*(INC_SPECIALS="Y"))=0,"",'Dvd Calendar'!$AN$2059)))</f>
        <v/>
      </c>
      <c r="AM205" s="106">
        <f>IF(FO205="","",IF(ISNUMBER('Dvd Calendar'!$AO$2059)=FALSE,"",IF((('Dvd Calendar'!$AO$2061=TYPE1)*(TYPE1&lt;&gt;"")+('Dvd Calendar'!$AO$2061=TYPE2)*(TYPE2&lt;&gt;"")+('Dvd Calendar'!$AO$2061=TYPE3)*(TYPE3&lt;&gt;"")+('Dvd Calendar'!$AO$2061=TYPE4)*(TYPE4&lt;&gt;"")+('Dvd Calendar'!$AO$2061=SPECIAL_LBL)*(INC_SPECIALS="Y"))=0,"",'Dvd Calendar'!$AO$2059)))</f>
        <v/>
      </c>
      <c r="AN205" s="106">
        <f>IF(FP205="","",IF(ISNUMBER('Dvd Calendar'!$AP$2059)=FALSE,"",IF((('Dvd Calendar'!$AP$2061=TYPE1)*(TYPE1&lt;&gt;"")+('Dvd Calendar'!$AP$2061=TYPE2)*(TYPE2&lt;&gt;"")+('Dvd Calendar'!$AP$2061=TYPE3)*(TYPE3&lt;&gt;"")+('Dvd Calendar'!$AP$2061=TYPE4)*(TYPE4&lt;&gt;"")+('Dvd Calendar'!$AP$2061=SPECIAL_LBL)*(INC_SPECIALS="Y"))=0,"",'Dvd Calendar'!$AP$2059)))</f>
        <v/>
      </c>
      <c r="AO205" s="106">
        <f>IF(FQ205="","",IF(ISNUMBER('Dvd Calendar'!$AQ$2059)=FALSE,"",IF((('Dvd Calendar'!$AQ$2061=TYPE1)*(TYPE1&lt;&gt;"")+('Dvd Calendar'!$AQ$2061=TYPE2)*(TYPE2&lt;&gt;"")+('Dvd Calendar'!$AQ$2061=TYPE3)*(TYPE3&lt;&gt;"")+('Dvd Calendar'!$AQ$2061=TYPE4)*(TYPE4&lt;&gt;"")+('Dvd Calendar'!$AQ$2061=SPECIAL_LBL)*(INC_SPECIALS="Y"))=0,"",'Dvd Calendar'!$AQ$2059)))</f>
        <v/>
      </c>
      <c r="AP205" s="106">
        <f>IF(FR205="","",IF(ISNUMBER('Dvd Calendar'!$AR$2059)=FALSE,"",IF((('Dvd Calendar'!$AR$2061=TYPE1)*(TYPE1&lt;&gt;"")+('Dvd Calendar'!$AR$2061=TYPE2)*(TYPE2&lt;&gt;"")+('Dvd Calendar'!$AR$2061=TYPE3)*(TYPE3&lt;&gt;"")+('Dvd Calendar'!$AR$2061=TYPE4)*(TYPE4&lt;&gt;"")+('Dvd Calendar'!$AR$2061=SPECIAL_LBL)*(INC_SPECIALS="Y"))=0,"",'Dvd Calendar'!$AR$2059)))</f>
        <v/>
      </c>
      <c r="AQ205" s="106">
        <f>IF(FS205="","",IF(ISNUMBER('Dvd Calendar'!$E$2064)=FALSE,"",'Dvd Calendar'!$E$2064))</f>
        <v/>
      </c>
      <c r="AR205" s="106">
        <f>IF(FT205="","",IF(ISNUMBER('Dvd Calendar'!$F$2064)=FALSE,"",'Dvd Calendar'!$F$2064))</f>
        <v/>
      </c>
      <c r="AS205" s="106">
        <f>IF(FU205="","",IF(ISNUMBER('Dvd Calendar'!$G$2064)=FALSE,"",'Dvd Calendar'!$G$2064))</f>
        <v/>
      </c>
      <c r="AT205" s="106">
        <f>IF(FV205="","",IF(ISNUMBER('Dvd Calendar'!$H$2064)=FALSE,"",'Dvd Calendar'!$H$2064))</f>
        <v/>
      </c>
      <c r="AU205" s="106">
        <f>IF(FW205="","",IF(ISNUMBER('Dvd Calendar'!$I$2064)=FALSE,"",'Dvd Calendar'!$I$2064))</f>
        <v/>
      </c>
      <c r="AV205" s="106">
        <f>IF(FX205="","",IF(ISNUMBER('Dvd Calendar'!$J$2064)=FALSE,"",'Dvd Calendar'!$J$2064))</f>
        <v/>
      </c>
      <c r="AW205" s="106">
        <f>IF(FY205="","",IF(ISNUMBER('Dvd Calendar'!$K$2064)=FALSE,"",'Dvd Calendar'!$K$2064))</f>
        <v/>
      </c>
      <c r="AX205" s="106">
        <f>IF(FZ205="","",IF(ISNUMBER('Dvd Calendar'!$L$2064)=FALSE,"",'Dvd Calendar'!$L$2064))</f>
        <v/>
      </c>
      <c r="AY205" s="106">
        <f>IF(GA205="","",IF(ISNUMBER('Dvd Calendar'!$M$2064)=FALSE,"",'Dvd Calendar'!$M$2064))</f>
        <v/>
      </c>
      <c r="AZ205" s="106">
        <f>IF(GB205="","",IF(ISNUMBER('Dvd Calendar'!$N$2064)=FALSE,"",'Dvd Calendar'!$N$2064))</f>
        <v/>
      </c>
      <c r="BA205" s="106">
        <f>IF(GC205="","",IF(ISNUMBER('Dvd Calendar'!$O$2064)=FALSE,"",'Dvd Calendar'!$O$2064))</f>
        <v/>
      </c>
      <c r="BB205" s="106">
        <f>IF(GD205="","",IF(ISNUMBER('Dvd Calendar'!$P$2064)=FALSE,"",'Dvd Calendar'!$P$2064))</f>
        <v/>
      </c>
      <c r="BC205" s="106">
        <f>IF(GE205="","",IF(ISNUMBER('Dvd Calendar'!$Q$2064)=FALSE,"",'Dvd Calendar'!$Q$2064))</f>
        <v/>
      </c>
      <c r="BD205" s="106">
        <f>IF(GF205="","",IF(ISNUMBER('Dvd Calendar'!$R$2064)=FALSE,"",'Dvd Calendar'!$R$2064))</f>
        <v/>
      </c>
      <c r="BE205" s="106">
        <f>IF(GG205="","",IF(ISNUMBER('Dvd Calendar'!$S$2064)=FALSE,"",'Dvd Calendar'!$S$2064))</f>
        <v/>
      </c>
      <c r="BF205" s="106">
        <f>IF(GH205="","",IF(ISNUMBER('Dvd Calendar'!$T$2064)=FALSE,"",'Dvd Calendar'!$T$2064))</f>
        <v/>
      </c>
      <c r="BG205" s="106">
        <f>IF(GI205="","",IF(ISNUMBER('Dvd Calendar'!$U$2064)=FALSE,"",'Dvd Calendar'!$U$2064))</f>
        <v/>
      </c>
      <c r="BH205" s="106">
        <f>IF(GJ205="","",IF(ISNUMBER('Dvd Calendar'!$V$2064)=FALSE,"",'Dvd Calendar'!$V$2064))</f>
        <v/>
      </c>
      <c r="BI205" s="106">
        <f>IF(GK205="","",IF(ISNUMBER('Dvd Calendar'!$W$2064)=FALSE,"",'Dvd Calendar'!$W$2064))</f>
        <v/>
      </c>
      <c r="BJ205" s="106">
        <f>IF(GL205="","",IF(ISNUMBER('Dvd Calendar'!$X$2064)=FALSE,"",'Dvd Calendar'!$X$2064))</f>
        <v/>
      </c>
      <c r="BK205" s="106">
        <f>IF(GM205="","",IF(ISNUMBER('Dvd Calendar'!$Y$2064)=FALSE,"",'Dvd Calendar'!$Y$2064))</f>
        <v/>
      </c>
      <c r="BL205" s="106">
        <f>IF(GN205="","",IF(ISNUMBER('Dvd Calendar'!$Z$2064)=FALSE,"",'Dvd Calendar'!$Z$2064))</f>
        <v/>
      </c>
      <c r="BM205" s="106">
        <f>IF(GO205="","",IF(ISNUMBER('Dvd Calendar'!$AA$2064)=FALSE,"",'Dvd Calendar'!$AA$2064))</f>
        <v/>
      </c>
      <c r="BN205" s="106">
        <f>IF(GP205="","",IF(ISNUMBER('Dvd Calendar'!$AB$2064)=FALSE,"",'Dvd Calendar'!$AB$2064))</f>
        <v/>
      </c>
      <c r="BO205" s="106">
        <f>IF(GQ205="","",IF(ISNUMBER('Dvd Calendar'!$AC$2064)=FALSE,"",'Dvd Calendar'!$AC$2064))</f>
        <v/>
      </c>
      <c r="BQ205" s="106">
        <f>IF(C205="","",IFERROR(C205*HSCEI!$B$52*HSCEI!$G$52/HSCEI!$B$3,""))</f>
        <v/>
      </c>
      <c r="BR205" s="106">
        <f>IF(D205="","",IFERROR(D205*HSCEI!$B$52*HSCEI!$G$52/HSCEI!$B$3,""))</f>
        <v/>
      </c>
      <c r="BS205" s="106">
        <f>IF(E205="","",IFERROR(E205*HSCEI!$B$52*HSCEI!$G$52/HSCEI!$B$3,""))</f>
        <v/>
      </c>
      <c r="BT205" s="106">
        <f>IF(F205="","",IFERROR(F205*HSCEI!$B$52*HSCEI!$G$52/HSCEI!$B$3,""))</f>
        <v/>
      </c>
      <c r="BU205" s="106">
        <f>IF(G205="","",IFERROR(G205*HSCEI!$B$52*HSCEI!$G$52/HSCEI!$B$3,""))</f>
        <v/>
      </c>
      <c r="BV205" s="106">
        <f>IF(H205="","",IFERROR(H205*HSCEI!$B$52*HSCEI!$G$52/HSCEI!$B$3,""))</f>
        <v/>
      </c>
      <c r="BW205" s="106">
        <f>IF(I205="","",IFERROR(I205*HSCEI!$B$52*HSCEI!$G$52/HSCEI!$B$3,""))</f>
        <v/>
      </c>
      <c r="BX205" s="106">
        <f>IF(J205="","",IFERROR(J205*HSCEI!$B$52*HSCEI!$G$52/HSCEI!$B$3,""))</f>
        <v/>
      </c>
      <c r="BY205" s="106">
        <f>IF(K205="","",IFERROR(K205*HSCEI!$B$52*HSCEI!$G$52/HSCEI!$B$3,""))</f>
        <v/>
      </c>
      <c r="BZ205" s="106">
        <f>IF(L205="","",IFERROR(L205*HSCEI!$B$52*HSCEI!$G$52/HSCEI!$B$3,""))</f>
        <v/>
      </c>
      <c r="CA205" s="106">
        <f>IF(M205="","",IFERROR(M205*HSCEI!$B$52*HSCEI!$G$52/HSCEI!$B$3,""))</f>
        <v/>
      </c>
      <c r="CB205" s="106">
        <f>IF(N205="","",IFERROR(N205*HSCEI!$B$52*HSCEI!$G$52/HSCEI!$B$3,""))</f>
        <v/>
      </c>
      <c r="CC205" s="106">
        <f>IF(O205="","",IFERROR(O205*HSCEI!$B$52*HSCEI!$G$52/HSCEI!$B$3,""))</f>
        <v/>
      </c>
      <c r="CD205" s="106">
        <f>IF(P205="","",IFERROR(P205*HSCEI!$B$52*HSCEI!$G$52/HSCEI!$B$3,""))</f>
        <v/>
      </c>
      <c r="CE205" s="106">
        <f>IF(Q205="","",IFERROR(Q205*HSCEI!$B$52*HSCEI!$G$52/HSCEI!$B$3,""))</f>
        <v/>
      </c>
      <c r="CF205" s="106">
        <f>IF(R205="","",IFERROR(R205*HSCEI!$B$52*HSCEI!$G$52/HSCEI!$B$3,""))</f>
        <v/>
      </c>
      <c r="CG205" s="106">
        <f>IF(S205="","",IFERROR(S205*HSCEI!$B$52*HSCEI!$G$52/HSCEI!$B$3,""))</f>
        <v/>
      </c>
      <c r="CH205" s="106">
        <f>IF(T205="","",IFERROR(T205*HSCEI!$B$52*HSCEI!$G$52/HSCEI!$B$3,""))</f>
        <v/>
      </c>
      <c r="CI205" s="106">
        <f>IF(U205="","",IFERROR(U205*HSCEI!$B$52*HSCEI!$G$52/HSCEI!$B$3,""))</f>
        <v/>
      </c>
      <c r="CJ205" s="106">
        <f>IF(V205="","",IFERROR(V205*HSCEI!$B$52*HSCEI!$G$52/HSCEI!$B$3,""))</f>
        <v/>
      </c>
      <c r="CK205" s="106">
        <f>IF(W205="","",IFERROR(W205*HSCEI!$B$52*HSCEI!$G$52/HSCEI!$B$3,""))</f>
        <v/>
      </c>
      <c r="CL205" s="106">
        <f>IF(X205="","",IFERROR(X205*HSCEI!$B$52*HSCEI!$G$52/HSCEI!$B$3,""))</f>
        <v/>
      </c>
      <c r="CM205" s="106">
        <f>IF(Y205="","",IFERROR(Y205*HSCEI!$B$52*HSCEI!$G$52/HSCEI!$B$3,""))</f>
        <v/>
      </c>
      <c r="CN205" s="106">
        <f>IF(Z205="","",IFERROR(Z205*HSCEI!$B$52*HSCEI!$G$52/HSCEI!$B$3,""))</f>
        <v/>
      </c>
      <c r="CO205" s="106">
        <f>IF(AA205="","",IFERROR(AA205*HSCEI!$B$52*HSCEI!$G$52/HSCEI!$B$3,""))</f>
        <v/>
      </c>
      <c r="CP205" s="106">
        <f>IF(AB205="","",IFERROR(AB205*HSCEI!$B$52*HSCEI!$G$52/HSCEI!$B$3,""))</f>
        <v/>
      </c>
      <c r="CQ205" s="106">
        <f>IF(AC205="","",IFERROR(AC205*HSCEI!$B$52*HSCEI!$G$52/HSCEI!$B$3,""))</f>
        <v/>
      </c>
      <c r="CR205" s="106">
        <f>IF(AD205="","",IFERROR(AD205*HSCEI!$B$52*HSCEI!$G$52/HSCEI!$B$3,""))</f>
        <v/>
      </c>
      <c r="CS205" s="106">
        <f>IF(AE205="","",IFERROR(AE205*HSCEI!$B$52*HSCEI!$G$52/HSCEI!$B$3,""))</f>
        <v/>
      </c>
      <c r="CT205" s="106">
        <f>IF(AF205="","",IFERROR(AF205*HSCEI!$B$52*HSCEI!$G$52/HSCEI!$B$3,""))</f>
        <v/>
      </c>
      <c r="CU205" s="106">
        <f>IF(AG205="","",IFERROR(AG205*HSCEI!$B$52*HSCEI!$G$52/HSCEI!$B$3,""))</f>
        <v/>
      </c>
      <c r="CV205" s="106">
        <f>IF(AH205="","",IFERROR(AH205*HSCEI!$B$52*HSCEI!$G$52/HSCEI!$B$3,""))</f>
        <v/>
      </c>
      <c r="CW205" s="106">
        <f>IF(AI205="","",IFERROR(AI205*HSCEI!$B$52*HSCEI!$G$52/HSCEI!$B$3,""))</f>
        <v/>
      </c>
      <c r="CX205" s="106">
        <f>IF(AJ205="","",IFERROR(AJ205*HSCEI!$B$52*HSCEI!$G$52/HSCEI!$B$3,""))</f>
        <v/>
      </c>
      <c r="CY205" s="106">
        <f>IF(AK205="","",IFERROR(AK205*HSCEI!$B$52*HSCEI!$G$52/HSCEI!$B$3,""))</f>
        <v/>
      </c>
      <c r="CZ205" s="106">
        <f>IF(AL205="","",IFERROR(AL205*HSCEI!$B$52*HSCEI!$G$52/HSCEI!$B$3,""))</f>
        <v/>
      </c>
      <c r="DA205" s="106">
        <f>IF(AM205="","",IFERROR(AM205*HSCEI!$B$52*HSCEI!$G$52/HSCEI!$B$3,""))</f>
        <v/>
      </c>
      <c r="DB205" s="106">
        <f>IF(AN205="","",IFERROR(AN205*HSCEI!$B$52*HSCEI!$G$52/HSCEI!$B$3,""))</f>
        <v/>
      </c>
      <c r="DC205" s="106">
        <f>IF(AO205="","",IFERROR(AO205*HSCEI!$B$52*HSCEI!$G$52/HSCEI!$B$3,""))</f>
        <v/>
      </c>
      <c r="DD205" s="106">
        <f>IF(AP205="","",IFERROR(AP205*HSCEI!$B$52*HSCEI!$G$52/HSCEI!$B$3,""))</f>
        <v/>
      </c>
      <c r="DE205" s="106">
        <f>IF(AQ205="","",IFERROR(AQ205*HSCEI!$B$52*HSCEI!$G$52/HSCEI!$B$3,""))</f>
        <v/>
      </c>
      <c r="DF205" s="106">
        <f>IF(AR205="","",IFERROR(AR205*HSCEI!$B$52*HSCEI!$G$52/HSCEI!$B$3,""))</f>
        <v/>
      </c>
      <c r="DG205" s="106">
        <f>IF(AS205="","",IFERROR(AS205*HSCEI!$B$52*HSCEI!$G$52/HSCEI!$B$3,""))</f>
        <v/>
      </c>
      <c r="DH205" s="106">
        <f>IF(AT205="","",IFERROR(AT205*HSCEI!$B$52*HSCEI!$G$52/HSCEI!$B$3,""))</f>
        <v/>
      </c>
      <c r="DI205" s="106">
        <f>IF(AU205="","",IFERROR(AU205*HSCEI!$B$52*HSCEI!$G$52/HSCEI!$B$3,""))</f>
        <v/>
      </c>
      <c r="DJ205" s="106">
        <f>IF(AV205="","",IFERROR(AV205*HSCEI!$B$52*HSCEI!$G$52/HSCEI!$B$3,""))</f>
        <v/>
      </c>
      <c r="DK205" s="106">
        <f>IF(AW205="","",IFERROR(AW205*HSCEI!$B$52*HSCEI!$G$52/HSCEI!$B$3,""))</f>
        <v/>
      </c>
      <c r="DL205" s="106">
        <f>IF(AX205="","",IFERROR(AX205*HSCEI!$B$52*HSCEI!$G$52/HSCEI!$B$3,""))</f>
        <v/>
      </c>
      <c r="DM205" s="106">
        <f>IF(AY205="","",IFERROR(AY205*HSCEI!$B$52*HSCEI!$G$52/HSCEI!$B$3,""))</f>
        <v/>
      </c>
      <c r="DN205" s="106">
        <f>IF(AZ205="","",IFERROR(AZ205*HSCEI!$B$52*HSCEI!$G$52/HSCEI!$B$3,""))</f>
        <v/>
      </c>
      <c r="DO205" s="106">
        <f>IF(BA205="","",IFERROR(BA205*HSCEI!$B$52*HSCEI!$G$52/HSCEI!$B$3,""))</f>
        <v/>
      </c>
      <c r="DP205" s="106">
        <f>IF(BB205="","",IFERROR(BB205*HSCEI!$B$52*HSCEI!$G$52/HSCEI!$B$3,""))</f>
        <v/>
      </c>
      <c r="DQ205" s="106">
        <f>IF(BC205="","",IFERROR(BC205*HSCEI!$B$52*HSCEI!$G$52/HSCEI!$B$3,""))</f>
        <v/>
      </c>
      <c r="DR205" s="106">
        <f>IF(BD205="","",IFERROR(BD205*HSCEI!$B$52*HSCEI!$G$52/HSCEI!$B$3,""))</f>
        <v/>
      </c>
      <c r="DS205" s="106">
        <f>IF(BE205="","",IFERROR(BE205*HSCEI!$B$52*HSCEI!$G$52/HSCEI!$B$3,""))</f>
        <v/>
      </c>
      <c r="DT205" s="106">
        <f>IF(BF205="","",IFERROR(BF205*HSCEI!$B$52*HSCEI!$G$52/HSCEI!$B$3,""))</f>
        <v/>
      </c>
      <c r="DU205" s="106">
        <f>IF(BG205="","",IFERROR(BG205*HSCEI!$B$52*HSCEI!$G$52/HSCEI!$B$3,""))</f>
        <v/>
      </c>
      <c r="DV205" s="106">
        <f>IF(BH205="","",IFERROR(BH205*HSCEI!$B$52*HSCEI!$G$52/HSCEI!$B$3,""))</f>
        <v/>
      </c>
      <c r="DW205" s="106">
        <f>IF(BI205="","",IFERROR(BI205*HSCEI!$B$52*HSCEI!$G$52/HSCEI!$B$3,""))</f>
        <v/>
      </c>
      <c r="DX205" s="106">
        <f>IF(BJ205="","",IFERROR(BJ205*HSCEI!$B$52*HSCEI!$G$52/HSCEI!$B$3,""))</f>
        <v/>
      </c>
      <c r="DY205" s="106">
        <f>IF(BK205="","",IFERROR(BK205*HSCEI!$B$52*HSCEI!$G$52/HSCEI!$B$3,""))</f>
        <v/>
      </c>
      <c r="DZ205" s="106">
        <f>IF(BL205="","",IFERROR(BL205*HSCEI!$B$52*HSCEI!$G$52/HSCEI!$B$3,""))</f>
        <v/>
      </c>
      <c r="EA205" s="106">
        <f>IF(BM205="","",IFERROR(BM205*HSCEI!$B$52*HSCEI!$G$52/HSCEI!$B$3,""))</f>
        <v/>
      </c>
      <c r="EB205" s="106">
        <f>IF(BN205="","",IFERROR(BN205*HSCEI!$B$52*HSCEI!$G$52/HSCEI!$B$3,""))</f>
        <v/>
      </c>
      <c r="EC205" s="106">
        <f>IF(BO205="","",IFERROR(BO205*HSCEI!$B$52*HSCEI!$G$52/HSCEI!$B$3,""))</f>
        <v/>
      </c>
      <c r="EE205" s="35">
        <f>IF(N('Dvd Calendar'!$E$2056)=0,"",IF(('Dvd Calendar'!$E$2056&gt;=GRID_FROM)*('Dvd Calendar'!$E$2056&lt;=GRID_TO)*('Dvd Calendar'!$E$2056&lt;=VAL_DATE)=0,"",'Dvd Calendar'!$E$2056*1000000000+ISNUMBER('Dvd Calendar'!$E$2059)*100000000+('Dvd Calendar'!$E$2061=SPECIAL_LBL)*10000000+0*1000000+46*1000+1))</f>
        <v/>
      </c>
      <c r="EF205" s="35">
        <f>IF(N('Dvd Calendar'!$F$2056)=0,"",IF(('Dvd Calendar'!$F$2056&gt;=GRID_FROM)*('Dvd Calendar'!$F$2056&lt;=GRID_TO)*('Dvd Calendar'!$F$2056&lt;=VAL_DATE)=0,"",'Dvd Calendar'!$F$2056*1000000000+ISNUMBER('Dvd Calendar'!$F$2059)*100000000+('Dvd Calendar'!$F$2061=SPECIAL_LBL)*10000000+0*1000000+46*1000+2))</f>
        <v/>
      </c>
      <c r="EG205" s="35">
        <f>IF(N('Dvd Calendar'!$G$2056)=0,"",IF(('Dvd Calendar'!$G$2056&gt;=GRID_FROM)*('Dvd Calendar'!$G$2056&lt;=GRID_TO)*('Dvd Calendar'!$G$2056&lt;=VAL_DATE)=0,"",'Dvd Calendar'!$G$2056*1000000000+ISNUMBER('Dvd Calendar'!$G$2059)*100000000+('Dvd Calendar'!$G$2061=SPECIAL_LBL)*10000000+0*1000000+46*1000+3))</f>
        <v/>
      </c>
      <c r="EH205" s="35">
        <f>IF(N('Dvd Calendar'!$H$2056)=0,"",IF(('Dvd Calendar'!$H$2056&gt;=GRID_FROM)*('Dvd Calendar'!$H$2056&lt;=GRID_TO)*('Dvd Calendar'!$H$2056&lt;=VAL_DATE)=0,"",'Dvd Calendar'!$H$2056*1000000000+ISNUMBER('Dvd Calendar'!$H$2059)*100000000+('Dvd Calendar'!$H$2061=SPECIAL_LBL)*10000000+0*1000000+46*1000+4))</f>
        <v/>
      </c>
      <c r="EI205" s="35">
        <f>IF(N('Dvd Calendar'!$I$2056)=0,"",IF(('Dvd Calendar'!$I$2056&gt;=GRID_FROM)*('Dvd Calendar'!$I$2056&lt;=GRID_TO)*('Dvd Calendar'!$I$2056&lt;=VAL_DATE)=0,"",'Dvd Calendar'!$I$2056*1000000000+ISNUMBER('Dvd Calendar'!$I$2059)*100000000+('Dvd Calendar'!$I$2061=SPECIAL_LBL)*10000000+0*1000000+46*1000+5))</f>
        <v/>
      </c>
      <c r="EJ205" s="35">
        <f>IF(N('Dvd Calendar'!$J$2056)=0,"",IF(('Dvd Calendar'!$J$2056&gt;=GRID_FROM)*('Dvd Calendar'!$J$2056&lt;=GRID_TO)*('Dvd Calendar'!$J$2056&lt;=VAL_DATE)=0,"",'Dvd Calendar'!$J$2056*1000000000+ISNUMBER('Dvd Calendar'!$J$2059)*100000000+('Dvd Calendar'!$J$2061=SPECIAL_LBL)*10000000+0*1000000+46*1000+6))</f>
        <v/>
      </c>
      <c r="EK205" s="35">
        <f>IF(N('Dvd Calendar'!$K$2056)=0,"",IF(('Dvd Calendar'!$K$2056&gt;=GRID_FROM)*('Dvd Calendar'!$K$2056&lt;=GRID_TO)*('Dvd Calendar'!$K$2056&lt;=VAL_DATE)=0,"",'Dvd Calendar'!$K$2056*1000000000+ISNUMBER('Dvd Calendar'!$K$2059)*100000000+('Dvd Calendar'!$K$2061=SPECIAL_LBL)*10000000+0*1000000+46*1000+7))</f>
        <v/>
      </c>
      <c r="EL205" s="35">
        <f>IF(N('Dvd Calendar'!$L$2056)=0,"",IF(('Dvd Calendar'!$L$2056&gt;=GRID_FROM)*('Dvd Calendar'!$L$2056&lt;=GRID_TO)*('Dvd Calendar'!$L$2056&lt;=VAL_DATE)=0,"",'Dvd Calendar'!$L$2056*1000000000+ISNUMBER('Dvd Calendar'!$L$2059)*100000000+('Dvd Calendar'!$L$2061=SPECIAL_LBL)*10000000+0*1000000+46*1000+8))</f>
        <v/>
      </c>
      <c r="EM205" s="35">
        <f>IF(N('Dvd Calendar'!$M$2056)=0,"",IF(('Dvd Calendar'!$M$2056&gt;=GRID_FROM)*('Dvd Calendar'!$M$2056&lt;=GRID_TO)*('Dvd Calendar'!$M$2056&lt;=VAL_DATE)=0,"",'Dvd Calendar'!$M$2056*1000000000+ISNUMBER('Dvd Calendar'!$M$2059)*100000000+('Dvd Calendar'!$M$2061=SPECIAL_LBL)*10000000+0*1000000+46*1000+9))</f>
        <v/>
      </c>
      <c r="EN205" s="35">
        <f>IF(N('Dvd Calendar'!$N$2056)=0,"",IF(('Dvd Calendar'!$N$2056&gt;=GRID_FROM)*('Dvd Calendar'!$N$2056&lt;=GRID_TO)*('Dvd Calendar'!$N$2056&lt;=VAL_DATE)=0,"",'Dvd Calendar'!$N$2056*1000000000+ISNUMBER('Dvd Calendar'!$N$2059)*100000000+('Dvd Calendar'!$N$2061=SPECIAL_LBL)*10000000+0*1000000+46*1000+10))</f>
        <v/>
      </c>
      <c r="EO205" s="35">
        <f>IF(N('Dvd Calendar'!$O$2056)=0,"",IF(('Dvd Calendar'!$O$2056&gt;=GRID_FROM)*('Dvd Calendar'!$O$2056&lt;=GRID_TO)*('Dvd Calendar'!$O$2056&lt;=VAL_DATE)=0,"",'Dvd Calendar'!$O$2056*1000000000+ISNUMBER('Dvd Calendar'!$O$2059)*100000000+('Dvd Calendar'!$O$2061=SPECIAL_LBL)*10000000+0*1000000+46*1000+11))</f>
        <v/>
      </c>
      <c r="EP205" s="35">
        <f>IF(N('Dvd Calendar'!$P$2056)=0,"",IF(('Dvd Calendar'!$P$2056&gt;=GRID_FROM)*('Dvd Calendar'!$P$2056&lt;=GRID_TO)*('Dvd Calendar'!$P$2056&lt;=VAL_DATE)=0,"",'Dvd Calendar'!$P$2056*1000000000+ISNUMBER('Dvd Calendar'!$P$2059)*100000000+('Dvd Calendar'!$P$2061=SPECIAL_LBL)*10000000+0*1000000+46*1000+12))</f>
        <v/>
      </c>
      <c r="EQ205" s="35">
        <f>IF(N('Dvd Calendar'!$Q$2056)=0,"",IF(('Dvd Calendar'!$Q$2056&gt;=GRID_FROM)*('Dvd Calendar'!$Q$2056&lt;=GRID_TO)*('Dvd Calendar'!$Q$2056&lt;=VAL_DATE)=0,"",'Dvd Calendar'!$Q$2056*1000000000+ISNUMBER('Dvd Calendar'!$Q$2059)*100000000+('Dvd Calendar'!$Q$2061=SPECIAL_LBL)*10000000+0*1000000+46*1000+13))</f>
        <v/>
      </c>
      <c r="ER205" s="35">
        <f>IF(N('Dvd Calendar'!$R$2056)=0,"",IF(('Dvd Calendar'!$R$2056&gt;=GRID_FROM)*('Dvd Calendar'!$R$2056&lt;=GRID_TO)*('Dvd Calendar'!$R$2056&lt;=VAL_DATE)=0,"",'Dvd Calendar'!$R$2056*1000000000+ISNUMBER('Dvd Calendar'!$R$2059)*100000000+('Dvd Calendar'!$R$2061=SPECIAL_LBL)*10000000+0*1000000+46*1000+14))</f>
        <v/>
      </c>
      <c r="ES205" s="35">
        <f>IF(N('Dvd Calendar'!$S$2056)=0,"",IF(('Dvd Calendar'!$S$2056&gt;=GRID_FROM)*('Dvd Calendar'!$S$2056&lt;=GRID_TO)*('Dvd Calendar'!$S$2056&lt;=VAL_DATE)=0,"",'Dvd Calendar'!$S$2056*1000000000+ISNUMBER('Dvd Calendar'!$S$2059)*100000000+('Dvd Calendar'!$S$2061=SPECIAL_LBL)*10000000+0*1000000+46*1000+15))</f>
        <v/>
      </c>
      <c r="ET205" s="35">
        <f>IF(N('Dvd Calendar'!$T$2056)=0,"",IF(('Dvd Calendar'!$T$2056&gt;=GRID_FROM)*('Dvd Calendar'!$T$2056&lt;=GRID_TO)*('Dvd Calendar'!$T$2056&lt;=VAL_DATE)=0,"",'Dvd Calendar'!$T$2056*1000000000+ISNUMBER('Dvd Calendar'!$T$2059)*100000000+('Dvd Calendar'!$T$2061=SPECIAL_LBL)*10000000+0*1000000+46*1000+16))</f>
        <v/>
      </c>
      <c r="EU205" s="35">
        <f>IF(N('Dvd Calendar'!$U$2056)=0,"",IF(('Dvd Calendar'!$U$2056&gt;=GRID_FROM)*('Dvd Calendar'!$U$2056&lt;=GRID_TO)*('Dvd Calendar'!$U$2056&lt;=VAL_DATE)=0,"",'Dvd Calendar'!$U$2056*1000000000+ISNUMBER('Dvd Calendar'!$U$2059)*100000000+('Dvd Calendar'!$U$2061=SPECIAL_LBL)*10000000+0*1000000+46*1000+17))</f>
        <v/>
      </c>
      <c r="EV205" s="35">
        <f>IF(N('Dvd Calendar'!$V$2056)=0,"",IF(('Dvd Calendar'!$V$2056&gt;=GRID_FROM)*('Dvd Calendar'!$V$2056&lt;=GRID_TO)*('Dvd Calendar'!$V$2056&lt;=VAL_DATE)=0,"",'Dvd Calendar'!$V$2056*1000000000+ISNUMBER('Dvd Calendar'!$V$2059)*100000000+('Dvd Calendar'!$V$2061=SPECIAL_LBL)*10000000+0*1000000+46*1000+18))</f>
        <v/>
      </c>
      <c r="EW205" s="35">
        <f>IF(N('Dvd Calendar'!$W$2056)=0,"",IF(('Dvd Calendar'!$W$2056&gt;=GRID_FROM)*('Dvd Calendar'!$W$2056&lt;=GRID_TO)*('Dvd Calendar'!$W$2056&lt;=VAL_DATE)=0,"",'Dvd Calendar'!$W$2056*1000000000+ISNUMBER('Dvd Calendar'!$W$2059)*100000000+('Dvd Calendar'!$W$2061=SPECIAL_LBL)*10000000+0*1000000+46*1000+19))</f>
        <v/>
      </c>
      <c r="EX205" s="35">
        <f>IF(N('Dvd Calendar'!$X$2056)=0,"",IF(('Dvd Calendar'!$X$2056&gt;=GRID_FROM)*('Dvd Calendar'!$X$2056&lt;=GRID_TO)*('Dvd Calendar'!$X$2056&lt;=VAL_DATE)=0,"",'Dvd Calendar'!$X$2056*1000000000+ISNUMBER('Dvd Calendar'!$X$2059)*100000000+('Dvd Calendar'!$X$2061=SPECIAL_LBL)*10000000+0*1000000+46*1000+20))</f>
        <v/>
      </c>
      <c r="EY205" s="35">
        <f>IF(N('Dvd Calendar'!$Y$2056)=0,"",IF(('Dvd Calendar'!$Y$2056&gt;=GRID_FROM)*('Dvd Calendar'!$Y$2056&lt;=GRID_TO)*('Dvd Calendar'!$Y$2056&lt;=VAL_DATE)=0,"",'Dvd Calendar'!$Y$2056*1000000000+ISNUMBER('Dvd Calendar'!$Y$2059)*100000000+('Dvd Calendar'!$Y$2061=SPECIAL_LBL)*10000000+0*1000000+46*1000+21))</f>
        <v/>
      </c>
      <c r="EZ205" s="35">
        <f>IF(N('Dvd Calendar'!$Z$2056)=0,"",IF(('Dvd Calendar'!$Z$2056&gt;=GRID_FROM)*('Dvd Calendar'!$Z$2056&lt;=GRID_TO)*('Dvd Calendar'!$Z$2056&lt;=VAL_DATE)=0,"",'Dvd Calendar'!$Z$2056*1000000000+ISNUMBER('Dvd Calendar'!$Z$2059)*100000000+('Dvd Calendar'!$Z$2061=SPECIAL_LBL)*10000000+0*1000000+46*1000+22))</f>
        <v/>
      </c>
      <c r="FA205" s="35">
        <f>IF(N('Dvd Calendar'!$AA$2056)=0,"",IF(('Dvd Calendar'!$AA$2056&gt;=GRID_FROM)*('Dvd Calendar'!$AA$2056&lt;=GRID_TO)*('Dvd Calendar'!$AA$2056&lt;=VAL_DATE)=0,"",'Dvd Calendar'!$AA$2056*1000000000+ISNUMBER('Dvd Calendar'!$AA$2059)*100000000+('Dvd Calendar'!$AA$2061=SPECIAL_LBL)*10000000+0*1000000+46*1000+23))</f>
        <v/>
      </c>
      <c r="FB205" s="35">
        <f>IF(N('Dvd Calendar'!$AB$2056)=0,"",IF(('Dvd Calendar'!$AB$2056&gt;=GRID_FROM)*('Dvd Calendar'!$AB$2056&lt;=GRID_TO)*('Dvd Calendar'!$AB$2056&lt;=VAL_DATE)=0,"",'Dvd Calendar'!$AB$2056*1000000000+ISNUMBER('Dvd Calendar'!$AB$2059)*100000000+('Dvd Calendar'!$AB$2061=SPECIAL_LBL)*10000000+0*1000000+46*1000+24))</f>
        <v/>
      </c>
      <c r="FC205" s="35">
        <f>IF(N('Dvd Calendar'!$AC$2056)=0,"",IF(('Dvd Calendar'!$AC$2056&gt;=GRID_FROM)*('Dvd Calendar'!$AC$2056&lt;=GRID_TO)*('Dvd Calendar'!$AC$2056&lt;=VAL_DATE)=0,"",'Dvd Calendar'!$AC$2056*1000000000+ISNUMBER('Dvd Calendar'!$AC$2059)*100000000+('Dvd Calendar'!$AC$2061=SPECIAL_LBL)*10000000+0*1000000+46*1000+25))</f>
        <v/>
      </c>
      <c r="FD205" s="35">
        <f>IF(N('Dvd Calendar'!$AD$2056)=0,"",IF(('Dvd Calendar'!$AD$2056&gt;=GRID_FROM)*('Dvd Calendar'!$AD$2056&lt;=GRID_TO)*('Dvd Calendar'!$AD$2056&lt;=VAL_DATE)=0,"",'Dvd Calendar'!$AD$2056*1000000000+ISNUMBER('Dvd Calendar'!$AD$2059)*100000000+('Dvd Calendar'!$AD$2061=SPECIAL_LBL)*10000000+0*1000000+46*1000+26))</f>
        <v/>
      </c>
      <c r="FE205" s="35">
        <f>IF(N('Dvd Calendar'!$AE$2056)=0,"",IF(('Dvd Calendar'!$AE$2056&gt;=GRID_FROM)*('Dvd Calendar'!$AE$2056&lt;=GRID_TO)*('Dvd Calendar'!$AE$2056&lt;=VAL_DATE)=0,"",'Dvd Calendar'!$AE$2056*1000000000+ISNUMBER('Dvd Calendar'!$AE$2059)*100000000+('Dvd Calendar'!$AE$2061=SPECIAL_LBL)*10000000+0*1000000+46*1000+27))</f>
        <v/>
      </c>
      <c r="FF205" s="35">
        <f>IF(N('Dvd Calendar'!$AF$2056)=0,"",IF(('Dvd Calendar'!$AF$2056&gt;=GRID_FROM)*('Dvd Calendar'!$AF$2056&lt;=GRID_TO)*('Dvd Calendar'!$AF$2056&lt;=VAL_DATE)=0,"",'Dvd Calendar'!$AF$2056*1000000000+ISNUMBER('Dvd Calendar'!$AF$2059)*100000000+('Dvd Calendar'!$AF$2061=SPECIAL_LBL)*10000000+0*1000000+46*1000+28))</f>
        <v/>
      </c>
      <c r="FG205" s="35">
        <f>IF(N('Dvd Calendar'!$AG$2056)=0,"",IF(('Dvd Calendar'!$AG$2056&gt;=GRID_FROM)*('Dvd Calendar'!$AG$2056&lt;=GRID_TO)*('Dvd Calendar'!$AG$2056&lt;=VAL_DATE)=0,"",'Dvd Calendar'!$AG$2056*1000000000+ISNUMBER('Dvd Calendar'!$AG$2059)*100000000+('Dvd Calendar'!$AG$2061=SPECIAL_LBL)*10000000+0*1000000+46*1000+29))</f>
        <v/>
      </c>
      <c r="FH205" s="35">
        <f>IF(N('Dvd Calendar'!$AH$2056)=0,"",IF(('Dvd Calendar'!$AH$2056&gt;=GRID_FROM)*('Dvd Calendar'!$AH$2056&lt;=GRID_TO)*('Dvd Calendar'!$AH$2056&lt;=VAL_DATE)=0,"",'Dvd Calendar'!$AH$2056*1000000000+ISNUMBER('Dvd Calendar'!$AH$2059)*100000000+('Dvd Calendar'!$AH$2061=SPECIAL_LBL)*10000000+0*1000000+46*1000+30))</f>
        <v/>
      </c>
      <c r="FI205" s="35">
        <f>IF(N('Dvd Calendar'!$AI$2056)=0,"",IF(('Dvd Calendar'!$AI$2056&gt;=GRID_FROM)*('Dvd Calendar'!$AI$2056&lt;=GRID_TO)*('Dvd Calendar'!$AI$2056&lt;=VAL_DATE)=0,"",'Dvd Calendar'!$AI$2056*1000000000+ISNUMBER('Dvd Calendar'!$AI$2059)*100000000+('Dvd Calendar'!$AI$2061=SPECIAL_LBL)*10000000+0*1000000+46*1000+31))</f>
        <v/>
      </c>
      <c r="FJ205" s="35">
        <f>IF(N('Dvd Calendar'!$AJ$2056)=0,"",IF(('Dvd Calendar'!$AJ$2056&gt;=GRID_FROM)*('Dvd Calendar'!$AJ$2056&lt;=GRID_TO)*('Dvd Calendar'!$AJ$2056&lt;=VAL_DATE)=0,"",'Dvd Calendar'!$AJ$2056*1000000000+ISNUMBER('Dvd Calendar'!$AJ$2059)*100000000+('Dvd Calendar'!$AJ$2061=SPECIAL_LBL)*10000000+0*1000000+46*1000+32))</f>
        <v/>
      </c>
      <c r="FK205" s="35">
        <f>IF(N('Dvd Calendar'!$AK$2056)=0,"",IF(('Dvd Calendar'!$AK$2056&gt;=GRID_FROM)*('Dvd Calendar'!$AK$2056&lt;=GRID_TO)*('Dvd Calendar'!$AK$2056&lt;=VAL_DATE)=0,"",'Dvd Calendar'!$AK$2056*1000000000+ISNUMBER('Dvd Calendar'!$AK$2059)*100000000+('Dvd Calendar'!$AK$2061=SPECIAL_LBL)*10000000+0*1000000+46*1000+33))</f>
        <v/>
      </c>
      <c r="FL205" s="35">
        <f>IF(N('Dvd Calendar'!$AL$2056)=0,"",IF(('Dvd Calendar'!$AL$2056&gt;=GRID_FROM)*('Dvd Calendar'!$AL$2056&lt;=GRID_TO)*('Dvd Calendar'!$AL$2056&lt;=VAL_DATE)=0,"",'Dvd Calendar'!$AL$2056*1000000000+ISNUMBER('Dvd Calendar'!$AL$2059)*100000000+('Dvd Calendar'!$AL$2061=SPECIAL_LBL)*10000000+0*1000000+46*1000+34))</f>
        <v/>
      </c>
      <c r="FM205" s="35">
        <f>IF(N('Dvd Calendar'!$AM$2056)=0,"",IF(('Dvd Calendar'!$AM$2056&gt;=GRID_FROM)*('Dvd Calendar'!$AM$2056&lt;=GRID_TO)*('Dvd Calendar'!$AM$2056&lt;=VAL_DATE)=0,"",'Dvd Calendar'!$AM$2056*1000000000+ISNUMBER('Dvd Calendar'!$AM$2059)*100000000+('Dvd Calendar'!$AM$2061=SPECIAL_LBL)*10000000+0*1000000+46*1000+35))</f>
        <v/>
      </c>
      <c r="FN205" s="35">
        <f>IF(N('Dvd Calendar'!$AN$2056)=0,"",IF(('Dvd Calendar'!$AN$2056&gt;=GRID_FROM)*('Dvd Calendar'!$AN$2056&lt;=GRID_TO)*('Dvd Calendar'!$AN$2056&lt;=VAL_DATE)=0,"",'Dvd Calendar'!$AN$2056*1000000000+ISNUMBER('Dvd Calendar'!$AN$2059)*100000000+('Dvd Calendar'!$AN$2061=SPECIAL_LBL)*10000000+0*1000000+46*1000+36))</f>
        <v/>
      </c>
      <c r="FO205" s="35">
        <f>IF(N('Dvd Calendar'!$AO$2056)=0,"",IF(('Dvd Calendar'!$AO$2056&gt;=GRID_FROM)*('Dvd Calendar'!$AO$2056&lt;=GRID_TO)*('Dvd Calendar'!$AO$2056&lt;=VAL_DATE)=0,"",'Dvd Calendar'!$AO$2056*1000000000+ISNUMBER('Dvd Calendar'!$AO$2059)*100000000+('Dvd Calendar'!$AO$2061=SPECIAL_LBL)*10000000+0*1000000+46*1000+37))</f>
        <v/>
      </c>
      <c r="FP205" s="35">
        <f>IF(N('Dvd Calendar'!$AP$2056)=0,"",IF(('Dvd Calendar'!$AP$2056&gt;=GRID_FROM)*('Dvd Calendar'!$AP$2056&lt;=GRID_TO)*('Dvd Calendar'!$AP$2056&lt;=VAL_DATE)=0,"",'Dvd Calendar'!$AP$2056*1000000000+ISNUMBER('Dvd Calendar'!$AP$2059)*100000000+('Dvd Calendar'!$AP$2061=SPECIAL_LBL)*10000000+0*1000000+46*1000+38))</f>
        <v/>
      </c>
      <c r="FQ205" s="35">
        <f>IF(N('Dvd Calendar'!$AQ$2056)=0,"",IF(('Dvd Calendar'!$AQ$2056&gt;=GRID_FROM)*('Dvd Calendar'!$AQ$2056&lt;=GRID_TO)*('Dvd Calendar'!$AQ$2056&lt;=VAL_DATE)=0,"",'Dvd Calendar'!$AQ$2056*1000000000+ISNUMBER('Dvd Calendar'!$AQ$2059)*100000000+('Dvd Calendar'!$AQ$2061=SPECIAL_LBL)*10000000+0*1000000+46*1000+39))</f>
        <v/>
      </c>
      <c r="FR205" s="35">
        <f>IF(N('Dvd Calendar'!$AR$2056)=0,"",IF(('Dvd Calendar'!$AR$2056&gt;=GRID_FROM)*('Dvd Calendar'!$AR$2056&lt;=GRID_TO)*('Dvd Calendar'!$AR$2056&lt;=VAL_DATE)=0,"",'Dvd Calendar'!$AR$2056*1000000000+ISNUMBER('Dvd Calendar'!$AR$2059)*100000000+('Dvd Calendar'!$AR$2061=SPECIAL_LBL)*10000000+0*1000000+46*1000+40))</f>
        <v/>
      </c>
      <c r="FS205" s="35">
        <f>IF(N('Dvd Calendar'!$E$2063)=0,"",IF(('Dvd Calendar'!$E$2063&gt;=GRID_FROM)*('Dvd Calendar'!$E$2063&lt;=GRID_TO)*('Dvd Calendar'!$E$2063&gt;VAL_DATE)=0,"",'Dvd Calendar'!$E$2063*1000000000+ISNUMBER('Dvd Calendar'!$E$2064)*100000000+0*10000000+(N('Dvd Calendar'!$E$2062)&gt;0)*(N('Dvd Calendar'!$E$2062)&lt;=VAL_SERIAL)*1000000+46*1000+41))</f>
        <v/>
      </c>
      <c r="FT205" s="35">
        <f>IF(N('Dvd Calendar'!$F$2063)=0,"",IF(('Dvd Calendar'!$F$2063&gt;=GRID_FROM)*('Dvd Calendar'!$F$2063&lt;=GRID_TO)*('Dvd Calendar'!$F$2063&gt;VAL_DATE)=0,"",'Dvd Calendar'!$F$2063*1000000000+ISNUMBER('Dvd Calendar'!$F$2064)*100000000+0*10000000+(N('Dvd Calendar'!$F$2062)&gt;0)*(N('Dvd Calendar'!$F$2062)&lt;=VAL_SERIAL)*1000000+46*1000+42))</f>
        <v/>
      </c>
      <c r="FU205" s="35">
        <f>IF(N('Dvd Calendar'!$G$2063)=0,"",IF(('Dvd Calendar'!$G$2063&gt;=GRID_FROM)*('Dvd Calendar'!$G$2063&lt;=GRID_TO)*('Dvd Calendar'!$G$2063&gt;VAL_DATE)=0,"",'Dvd Calendar'!$G$2063*1000000000+ISNUMBER('Dvd Calendar'!$G$2064)*100000000+0*10000000+(N('Dvd Calendar'!$G$2062)&gt;0)*(N('Dvd Calendar'!$G$2062)&lt;=VAL_SERIAL)*1000000+46*1000+43))</f>
        <v/>
      </c>
      <c r="FV205" s="35">
        <f>IF(N('Dvd Calendar'!$H$2063)=0,"",IF(('Dvd Calendar'!$H$2063&gt;=GRID_FROM)*('Dvd Calendar'!$H$2063&lt;=GRID_TO)*('Dvd Calendar'!$H$2063&gt;VAL_DATE)=0,"",'Dvd Calendar'!$H$2063*1000000000+ISNUMBER('Dvd Calendar'!$H$2064)*100000000+0*10000000+(N('Dvd Calendar'!$H$2062)&gt;0)*(N('Dvd Calendar'!$H$2062)&lt;=VAL_SERIAL)*1000000+46*1000+44))</f>
        <v/>
      </c>
      <c r="FW205" s="35">
        <f>IF(N('Dvd Calendar'!$I$2063)=0,"",IF(('Dvd Calendar'!$I$2063&gt;=GRID_FROM)*('Dvd Calendar'!$I$2063&lt;=GRID_TO)*('Dvd Calendar'!$I$2063&gt;VAL_DATE)=0,"",'Dvd Calendar'!$I$2063*1000000000+ISNUMBER('Dvd Calendar'!$I$2064)*100000000+0*10000000+(N('Dvd Calendar'!$I$2062)&gt;0)*(N('Dvd Calendar'!$I$2062)&lt;=VAL_SERIAL)*1000000+46*1000+45))</f>
        <v/>
      </c>
      <c r="FX205" s="35">
        <f>IF(N('Dvd Calendar'!$J$2063)=0,"",IF(('Dvd Calendar'!$J$2063&gt;=GRID_FROM)*('Dvd Calendar'!$J$2063&lt;=GRID_TO)*('Dvd Calendar'!$J$2063&gt;VAL_DATE)=0,"",'Dvd Calendar'!$J$2063*1000000000+ISNUMBER('Dvd Calendar'!$J$2064)*100000000+0*10000000+(N('Dvd Calendar'!$J$2062)&gt;0)*(N('Dvd Calendar'!$J$2062)&lt;=VAL_SERIAL)*1000000+46*1000+46))</f>
        <v/>
      </c>
      <c r="FY205" s="35">
        <f>IF(N('Dvd Calendar'!$K$2063)=0,"",IF(('Dvd Calendar'!$K$2063&gt;=GRID_FROM)*('Dvd Calendar'!$K$2063&lt;=GRID_TO)*('Dvd Calendar'!$K$2063&gt;VAL_DATE)=0,"",'Dvd Calendar'!$K$2063*1000000000+ISNUMBER('Dvd Calendar'!$K$2064)*100000000+0*10000000+(N('Dvd Calendar'!$K$2062)&gt;0)*(N('Dvd Calendar'!$K$2062)&lt;=VAL_SERIAL)*1000000+46*1000+47))</f>
        <v/>
      </c>
      <c r="FZ205" s="35">
        <f>IF(N('Dvd Calendar'!$L$2063)=0,"",IF(('Dvd Calendar'!$L$2063&gt;=GRID_FROM)*('Dvd Calendar'!$L$2063&lt;=GRID_TO)*('Dvd Calendar'!$L$2063&gt;VAL_DATE)=0,"",'Dvd Calendar'!$L$2063*1000000000+ISNUMBER('Dvd Calendar'!$L$2064)*100000000+0*10000000+(N('Dvd Calendar'!$L$2062)&gt;0)*(N('Dvd Calendar'!$L$2062)&lt;=VAL_SERIAL)*1000000+46*1000+48))</f>
        <v/>
      </c>
      <c r="GA205" s="35">
        <f>IF(N('Dvd Calendar'!$M$2063)=0,"",IF(('Dvd Calendar'!$M$2063&gt;=GRID_FROM)*('Dvd Calendar'!$M$2063&lt;=GRID_TO)*('Dvd Calendar'!$M$2063&gt;VAL_DATE)=0,"",'Dvd Calendar'!$M$2063*1000000000+ISNUMBER('Dvd Calendar'!$M$2064)*100000000+0*10000000+(N('Dvd Calendar'!$M$2062)&gt;0)*(N('Dvd Calendar'!$M$2062)&lt;=VAL_SERIAL)*1000000+46*1000+49))</f>
        <v/>
      </c>
      <c r="GB205" s="35">
        <f>IF(N('Dvd Calendar'!$N$2063)=0,"",IF(('Dvd Calendar'!$N$2063&gt;=GRID_FROM)*('Dvd Calendar'!$N$2063&lt;=GRID_TO)*('Dvd Calendar'!$N$2063&gt;VAL_DATE)=0,"",'Dvd Calendar'!$N$2063*1000000000+ISNUMBER('Dvd Calendar'!$N$2064)*100000000+0*10000000+(N('Dvd Calendar'!$N$2062)&gt;0)*(N('Dvd Calendar'!$N$2062)&lt;=VAL_SERIAL)*1000000+46*1000+50))</f>
        <v/>
      </c>
      <c r="GC205" s="35">
        <f>IF(N('Dvd Calendar'!$O$2063)=0,"",IF(('Dvd Calendar'!$O$2063&gt;=GRID_FROM)*('Dvd Calendar'!$O$2063&lt;=GRID_TO)*('Dvd Calendar'!$O$2063&gt;VAL_DATE)=0,"",'Dvd Calendar'!$O$2063*1000000000+ISNUMBER('Dvd Calendar'!$O$2064)*100000000+0*10000000+(N('Dvd Calendar'!$O$2062)&gt;0)*(N('Dvd Calendar'!$O$2062)&lt;=VAL_SERIAL)*1000000+46*1000+51))</f>
        <v/>
      </c>
      <c r="GD205" s="35">
        <f>IF(N('Dvd Calendar'!$P$2063)=0,"",IF(('Dvd Calendar'!$P$2063&gt;=GRID_FROM)*('Dvd Calendar'!$P$2063&lt;=GRID_TO)*('Dvd Calendar'!$P$2063&gt;VAL_DATE)=0,"",'Dvd Calendar'!$P$2063*1000000000+ISNUMBER('Dvd Calendar'!$P$2064)*100000000+0*10000000+(N('Dvd Calendar'!$P$2062)&gt;0)*(N('Dvd Calendar'!$P$2062)&lt;=VAL_SERIAL)*1000000+46*1000+52))</f>
        <v/>
      </c>
      <c r="GE205" s="35">
        <f>IF(N('Dvd Calendar'!$Q$2063)=0,"",IF(('Dvd Calendar'!$Q$2063&gt;=GRID_FROM)*('Dvd Calendar'!$Q$2063&lt;=GRID_TO)*('Dvd Calendar'!$Q$2063&gt;VAL_DATE)=0,"",'Dvd Calendar'!$Q$2063*1000000000+ISNUMBER('Dvd Calendar'!$Q$2064)*100000000+0*10000000+(N('Dvd Calendar'!$Q$2062)&gt;0)*(N('Dvd Calendar'!$Q$2062)&lt;=VAL_SERIAL)*1000000+46*1000+53))</f>
        <v/>
      </c>
      <c r="GF205" s="35">
        <f>IF(N('Dvd Calendar'!$R$2063)=0,"",IF(('Dvd Calendar'!$R$2063&gt;=GRID_FROM)*('Dvd Calendar'!$R$2063&lt;=GRID_TO)*('Dvd Calendar'!$R$2063&gt;VAL_DATE)=0,"",'Dvd Calendar'!$R$2063*1000000000+ISNUMBER('Dvd Calendar'!$R$2064)*100000000+0*10000000+(N('Dvd Calendar'!$R$2062)&gt;0)*(N('Dvd Calendar'!$R$2062)&lt;=VAL_SERIAL)*1000000+46*1000+54))</f>
        <v/>
      </c>
      <c r="GG205" s="35">
        <f>IF(N('Dvd Calendar'!$S$2063)=0,"",IF(('Dvd Calendar'!$S$2063&gt;=GRID_FROM)*('Dvd Calendar'!$S$2063&lt;=GRID_TO)*('Dvd Calendar'!$S$2063&gt;VAL_DATE)=0,"",'Dvd Calendar'!$S$2063*1000000000+ISNUMBER('Dvd Calendar'!$S$2064)*100000000+0*10000000+(N('Dvd Calendar'!$S$2062)&gt;0)*(N('Dvd Calendar'!$S$2062)&lt;=VAL_SERIAL)*1000000+46*1000+55))</f>
        <v/>
      </c>
      <c r="GH205" s="35">
        <f>IF(N('Dvd Calendar'!$T$2063)=0,"",IF(('Dvd Calendar'!$T$2063&gt;=GRID_FROM)*('Dvd Calendar'!$T$2063&lt;=GRID_TO)*('Dvd Calendar'!$T$2063&gt;VAL_DATE)=0,"",'Dvd Calendar'!$T$2063*1000000000+ISNUMBER('Dvd Calendar'!$T$2064)*100000000+0*10000000+(N('Dvd Calendar'!$T$2062)&gt;0)*(N('Dvd Calendar'!$T$2062)&lt;=VAL_SERIAL)*1000000+46*1000+56))</f>
        <v/>
      </c>
      <c r="GI205" s="35">
        <f>IF(N('Dvd Calendar'!$U$2063)=0,"",IF(('Dvd Calendar'!$U$2063&gt;=GRID_FROM)*('Dvd Calendar'!$U$2063&lt;=GRID_TO)*('Dvd Calendar'!$U$2063&gt;VAL_DATE)=0,"",'Dvd Calendar'!$U$2063*1000000000+ISNUMBER('Dvd Calendar'!$U$2064)*100000000+0*10000000+(N('Dvd Calendar'!$U$2062)&gt;0)*(N('Dvd Calendar'!$U$2062)&lt;=VAL_SERIAL)*1000000+46*1000+57))</f>
        <v/>
      </c>
      <c r="GJ205" s="35">
        <f>IF(N('Dvd Calendar'!$V$2063)=0,"",IF(('Dvd Calendar'!$V$2063&gt;=GRID_FROM)*('Dvd Calendar'!$V$2063&lt;=GRID_TO)*('Dvd Calendar'!$V$2063&gt;VAL_DATE)=0,"",'Dvd Calendar'!$V$2063*1000000000+ISNUMBER('Dvd Calendar'!$V$2064)*100000000+0*10000000+(N('Dvd Calendar'!$V$2062)&gt;0)*(N('Dvd Calendar'!$V$2062)&lt;=VAL_SERIAL)*1000000+46*1000+58))</f>
        <v/>
      </c>
      <c r="GK205" s="35">
        <f>IF(N('Dvd Calendar'!$W$2063)=0,"",IF(('Dvd Calendar'!$W$2063&gt;=GRID_FROM)*('Dvd Calendar'!$W$2063&lt;=GRID_TO)*('Dvd Calendar'!$W$2063&gt;VAL_DATE)=0,"",'Dvd Calendar'!$W$2063*1000000000+ISNUMBER('Dvd Calendar'!$W$2064)*100000000+0*10000000+(N('Dvd Calendar'!$W$2062)&gt;0)*(N('Dvd Calendar'!$W$2062)&lt;=VAL_SERIAL)*1000000+46*1000+59))</f>
        <v/>
      </c>
      <c r="GL205" s="35">
        <f>IF(N('Dvd Calendar'!$X$2063)=0,"",IF(('Dvd Calendar'!$X$2063&gt;=GRID_FROM)*('Dvd Calendar'!$X$2063&lt;=GRID_TO)*('Dvd Calendar'!$X$2063&gt;VAL_DATE)=0,"",'Dvd Calendar'!$X$2063*1000000000+ISNUMBER('Dvd Calendar'!$X$2064)*100000000+0*10000000+(N('Dvd Calendar'!$X$2062)&gt;0)*(N('Dvd Calendar'!$X$2062)&lt;=VAL_SERIAL)*1000000+46*1000+60))</f>
        <v/>
      </c>
      <c r="GM205" s="35">
        <f>IF(N('Dvd Calendar'!$Y$2063)=0,"",IF(('Dvd Calendar'!$Y$2063&gt;=GRID_FROM)*('Dvd Calendar'!$Y$2063&lt;=GRID_TO)*('Dvd Calendar'!$Y$2063&gt;VAL_DATE)=0,"",'Dvd Calendar'!$Y$2063*1000000000+ISNUMBER('Dvd Calendar'!$Y$2064)*100000000+0*10000000+(N('Dvd Calendar'!$Y$2062)&gt;0)*(N('Dvd Calendar'!$Y$2062)&lt;=VAL_SERIAL)*1000000+46*1000+61))</f>
        <v/>
      </c>
      <c r="GN205" s="35">
        <f>IF(N('Dvd Calendar'!$Z$2063)=0,"",IF(('Dvd Calendar'!$Z$2063&gt;=GRID_FROM)*('Dvd Calendar'!$Z$2063&lt;=GRID_TO)*('Dvd Calendar'!$Z$2063&gt;VAL_DATE)=0,"",'Dvd Calendar'!$Z$2063*1000000000+ISNUMBER('Dvd Calendar'!$Z$2064)*100000000+0*10000000+(N('Dvd Calendar'!$Z$2062)&gt;0)*(N('Dvd Calendar'!$Z$2062)&lt;=VAL_SERIAL)*1000000+46*1000+62))</f>
        <v/>
      </c>
      <c r="GO205" s="35">
        <f>IF(N('Dvd Calendar'!$AA$2063)=0,"",IF(('Dvd Calendar'!$AA$2063&gt;=GRID_FROM)*('Dvd Calendar'!$AA$2063&lt;=GRID_TO)*('Dvd Calendar'!$AA$2063&gt;VAL_DATE)=0,"",'Dvd Calendar'!$AA$2063*1000000000+ISNUMBER('Dvd Calendar'!$AA$2064)*100000000+0*10000000+(N('Dvd Calendar'!$AA$2062)&gt;0)*(N('Dvd Calendar'!$AA$2062)&lt;=VAL_SERIAL)*1000000+46*1000+63))</f>
        <v/>
      </c>
      <c r="GP205" s="35">
        <f>IF(N('Dvd Calendar'!$AB$2063)=0,"",IF(('Dvd Calendar'!$AB$2063&gt;=GRID_FROM)*('Dvd Calendar'!$AB$2063&lt;=GRID_TO)*('Dvd Calendar'!$AB$2063&gt;VAL_DATE)=0,"",'Dvd Calendar'!$AB$2063*1000000000+ISNUMBER('Dvd Calendar'!$AB$2064)*100000000+0*10000000+(N('Dvd Calendar'!$AB$2062)&gt;0)*(N('Dvd Calendar'!$AB$2062)&lt;=VAL_SERIAL)*1000000+46*1000+64))</f>
        <v/>
      </c>
      <c r="GQ205" s="35">
        <f>IF(N('Dvd Calendar'!$AC$2063)=0,"",IF(('Dvd Calendar'!$AC$2063&gt;=GRID_FROM)*('Dvd Calendar'!$AC$2063&lt;=GRID_TO)*('Dvd Calendar'!$AC$2063&gt;VAL_DATE)=0,"",'Dvd Calendar'!$AC$2063*1000000000+ISNUMBER('Dvd Calendar'!$AC$2064)*100000000+0*10000000+(N('Dvd Calendar'!$AC$2062)&gt;0)*(N('Dvd Calendar'!$AC$2062)&lt;=VAL_SERIAL)*1000000+46*1000+65))</f>
        <v/>
      </c>
    </row>
    <row r="206">
      <c r="B206" s="2">
        <f>IF(HSCEI!$C$53="","",HSCEI!$C$53)</f>
        <v/>
      </c>
      <c r="C206" s="106">
        <f>IF(EE206="","",IF(ISNUMBER('Dvd Calendar'!$E$2070)=FALSE,"",IF((('Dvd Calendar'!$E$2072=TYPE1)*(TYPE1&lt;&gt;"")+('Dvd Calendar'!$E$2072=TYPE2)*(TYPE2&lt;&gt;"")+('Dvd Calendar'!$E$2072=TYPE3)*(TYPE3&lt;&gt;"")+('Dvd Calendar'!$E$2072=TYPE4)*(TYPE4&lt;&gt;"")+('Dvd Calendar'!$E$2072=SPECIAL_LBL)*(INC_SPECIALS="Y"))=0,"",'Dvd Calendar'!$E$2070)))</f>
        <v/>
      </c>
      <c r="D206" s="106">
        <f>IF(EF206="","",IF(ISNUMBER('Dvd Calendar'!$F$2070)=FALSE,"",IF((('Dvd Calendar'!$F$2072=TYPE1)*(TYPE1&lt;&gt;"")+('Dvd Calendar'!$F$2072=TYPE2)*(TYPE2&lt;&gt;"")+('Dvd Calendar'!$F$2072=TYPE3)*(TYPE3&lt;&gt;"")+('Dvd Calendar'!$F$2072=TYPE4)*(TYPE4&lt;&gt;"")+('Dvd Calendar'!$F$2072=SPECIAL_LBL)*(INC_SPECIALS="Y"))=0,"",'Dvd Calendar'!$F$2070)))</f>
        <v/>
      </c>
      <c r="E206" s="106">
        <f>IF(EG206="","",IF(ISNUMBER('Dvd Calendar'!$G$2070)=FALSE,"",IF((('Dvd Calendar'!$G$2072=TYPE1)*(TYPE1&lt;&gt;"")+('Dvd Calendar'!$G$2072=TYPE2)*(TYPE2&lt;&gt;"")+('Dvd Calendar'!$G$2072=TYPE3)*(TYPE3&lt;&gt;"")+('Dvd Calendar'!$G$2072=TYPE4)*(TYPE4&lt;&gt;"")+('Dvd Calendar'!$G$2072=SPECIAL_LBL)*(INC_SPECIALS="Y"))=0,"",'Dvd Calendar'!$G$2070)))</f>
        <v/>
      </c>
      <c r="F206" s="106">
        <f>IF(EH206="","",IF(ISNUMBER('Dvd Calendar'!$H$2070)=FALSE,"",IF((('Dvd Calendar'!$H$2072=TYPE1)*(TYPE1&lt;&gt;"")+('Dvd Calendar'!$H$2072=TYPE2)*(TYPE2&lt;&gt;"")+('Dvd Calendar'!$H$2072=TYPE3)*(TYPE3&lt;&gt;"")+('Dvd Calendar'!$H$2072=TYPE4)*(TYPE4&lt;&gt;"")+('Dvd Calendar'!$H$2072=SPECIAL_LBL)*(INC_SPECIALS="Y"))=0,"",'Dvd Calendar'!$H$2070)))</f>
        <v/>
      </c>
      <c r="G206" s="106">
        <f>IF(EI206="","",IF(ISNUMBER('Dvd Calendar'!$I$2070)=FALSE,"",IF((('Dvd Calendar'!$I$2072=TYPE1)*(TYPE1&lt;&gt;"")+('Dvd Calendar'!$I$2072=TYPE2)*(TYPE2&lt;&gt;"")+('Dvd Calendar'!$I$2072=TYPE3)*(TYPE3&lt;&gt;"")+('Dvd Calendar'!$I$2072=TYPE4)*(TYPE4&lt;&gt;"")+('Dvd Calendar'!$I$2072=SPECIAL_LBL)*(INC_SPECIALS="Y"))=0,"",'Dvd Calendar'!$I$2070)))</f>
        <v/>
      </c>
      <c r="H206" s="106">
        <f>IF(EJ206="","",IF(ISNUMBER('Dvd Calendar'!$J$2070)=FALSE,"",IF((('Dvd Calendar'!$J$2072=TYPE1)*(TYPE1&lt;&gt;"")+('Dvd Calendar'!$J$2072=TYPE2)*(TYPE2&lt;&gt;"")+('Dvd Calendar'!$J$2072=TYPE3)*(TYPE3&lt;&gt;"")+('Dvd Calendar'!$J$2072=TYPE4)*(TYPE4&lt;&gt;"")+('Dvd Calendar'!$J$2072=SPECIAL_LBL)*(INC_SPECIALS="Y"))=0,"",'Dvd Calendar'!$J$2070)))</f>
        <v/>
      </c>
      <c r="I206" s="106">
        <f>IF(EK206="","",IF(ISNUMBER('Dvd Calendar'!$K$2070)=FALSE,"",IF((('Dvd Calendar'!$K$2072=TYPE1)*(TYPE1&lt;&gt;"")+('Dvd Calendar'!$K$2072=TYPE2)*(TYPE2&lt;&gt;"")+('Dvd Calendar'!$K$2072=TYPE3)*(TYPE3&lt;&gt;"")+('Dvd Calendar'!$K$2072=TYPE4)*(TYPE4&lt;&gt;"")+('Dvd Calendar'!$K$2072=SPECIAL_LBL)*(INC_SPECIALS="Y"))=0,"",'Dvd Calendar'!$K$2070)))</f>
        <v/>
      </c>
      <c r="J206" s="106">
        <f>IF(EL206="","",IF(ISNUMBER('Dvd Calendar'!$L$2070)=FALSE,"",IF((('Dvd Calendar'!$L$2072=TYPE1)*(TYPE1&lt;&gt;"")+('Dvd Calendar'!$L$2072=TYPE2)*(TYPE2&lt;&gt;"")+('Dvd Calendar'!$L$2072=TYPE3)*(TYPE3&lt;&gt;"")+('Dvd Calendar'!$L$2072=TYPE4)*(TYPE4&lt;&gt;"")+('Dvd Calendar'!$L$2072=SPECIAL_LBL)*(INC_SPECIALS="Y"))=0,"",'Dvd Calendar'!$L$2070)))</f>
        <v/>
      </c>
      <c r="K206" s="106">
        <f>IF(EM206="","",IF(ISNUMBER('Dvd Calendar'!$M$2070)=FALSE,"",IF((('Dvd Calendar'!$M$2072=TYPE1)*(TYPE1&lt;&gt;"")+('Dvd Calendar'!$M$2072=TYPE2)*(TYPE2&lt;&gt;"")+('Dvd Calendar'!$M$2072=TYPE3)*(TYPE3&lt;&gt;"")+('Dvd Calendar'!$M$2072=TYPE4)*(TYPE4&lt;&gt;"")+('Dvd Calendar'!$M$2072=SPECIAL_LBL)*(INC_SPECIALS="Y"))=0,"",'Dvd Calendar'!$M$2070)))</f>
        <v/>
      </c>
      <c r="L206" s="106">
        <f>IF(EN206="","",IF(ISNUMBER('Dvd Calendar'!$N$2070)=FALSE,"",IF((('Dvd Calendar'!$N$2072=TYPE1)*(TYPE1&lt;&gt;"")+('Dvd Calendar'!$N$2072=TYPE2)*(TYPE2&lt;&gt;"")+('Dvd Calendar'!$N$2072=TYPE3)*(TYPE3&lt;&gt;"")+('Dvd Calendar'!$N$2072=TYPE4)*(TYPE4&lt;&gt;"")+('Dvd Calendar'!$N$2072=SPECIAL_LBL)*(INC_SPECIALS="Y"))=0,"",'Dvd Calendar'!$N$2070)))</f>
        <v/>
      </c>
      <c r="M206" s="106">
        <f>IF(EO206="","",IF(ISNUMBER('Dvd Calendar'!$O$2070)=FALSE,"",IF((('Dvd Calendar'!$O$2072=TYPE1)*(TYPE1&lt;&gt;"")+('Dvd Calendar'!$O$2072=TYPE2)*(TYPE2&lt;&gt;"")+('Dvd Calendar'!$O$2072=TYPE3)*(TYPE3&lt;&gt;"")+('Dvd Calendar'!$O$2072=TYPE4)*(TYPE4&lt;&gt;"")+('Dvd Calendar'!$O$2072=SPECIAL_LBL)*(INC_SPECIALS="Y"))=0,"",'Dvd Calendar'!$O$2070)))</f>
        <v/>
      </c>
      <c r="N206" s="106">
        <f>IF(EP206="","",IF(ISNUMBER('Dvd Calendar'!$P$2070)=FALSE,"",IF((('Dvd Calendar'!$P$2072=TYPE1)*(TYPE1&lt;&gt;"")+('Dvd Calendar'!$P$2072=TYPE2)*(TYPE2&lt;&gt;"")+('Dvd Calendar'!$P$2072=TYPE3)*(TYPE3&lt;&gt;"")+('Dvd Calendar'!$P$2072=TYPE4)*(TYPE4&lt;&gt;"")+('Dvd Calendar'!$P$2072=SPECIAL_LBL)*(INC_SPECIALS="Y"))=0,"",'Dvd Calendar'!$P$2070)))</f>
        <v/>
      </c>
      <c r="O206" s="106">
        <f>IF(EQ206="","",IF(ISNUMBER('Dvd Calendar'!$Q$2070)=FALSE,"",IF((('Dvd Calendar'!$Q$2072=TYPE1)*(TYPE1&lt;&gt;"")+('Dvd Calendar'!$Q$2072=TYPE2)*(TYPE2&lt;&gt;"")+('Dvd Calendar'!$Q$2072=TYPE3)*(TYPE3&lt;&gt;"")+('Dvd Calendar'!$Q$2072=TYPE4)*(TYPE4&lt;&gt;"")+('Dvd Calendar'!$Q$2072=SPECIAL_LBL)*(INC_SPECIALS="Y"))=0,"",'Dvd Calendar'!$Q$2070)))</f>
        <v/>
      </c>
      <c r="P206" s="106">
        <f>IF(ER206="","",IF(ISNUMBER('Dvd Calendar'!$R$2070)=FALSE,"",IF((('Dvd Calendar'!$R$2072=TYPE1)*(TYPE1&lt;&gt;"")+('Dvd Calendar'!$R$2072=TYPE2)*(TYPE2&lt;&gt;"")+('Dvd Calendar'!$R$2072=TYPE3)*(TYPE3&lt;&gt;"")+('Dvd Calendar'!$R$2072=TYPE4)*(TYPE4&lt;&gt;"")+('Dvd Calendar'!$R$2072=SPECIAL_LBL)*(INC_SPECIALS="Y"))=0,"",'Dvd Calendar'!$R$2070)))</f>
        <v/>
      </c>
      <c r="Q206" s="106">
        <f>IF(ES206="","",IF(ISNUMBER('Dvd Calendar'!$S$2070)=FALSE,"",IF((('Dvd Calendar'!$S$2072=TYPE1)*(TYPE1&lt;&gt;"")+('Dvd Calendar'!$S$2072=TYPE2)*(TYPE2&lt;&gt;"")+('Dvd Calendar'!$S$2072=TYPE3)*(TYPE3&lt;&gt;"")+('Dvd Calendar'!$S$2072=TYPE4)*(TYPE4&lt;&gt;"")+('Dvd Calendar'!$S$2072=SPECIAL_LBL)*(INC_SPECIALS="Y"))=0,"",'Dvd Calendar'!$S$2070)))</f>
        <v/>
      </c>
      <c r="R206" s="106">
        <f>IF(ET206="","",IF(ISNUMBER('Dvd Calendar'!$T$2070)=FALSE,"",IF((('Dvd Calendar'!$T$2072=TYPE1)*(TYPE1&lt;&gt;"")+('Dvd Calendar'!$T$2072=TYPE2)*(TYPE2&lt;&gt;"")+('Dvd Calendar'!$T$2072=TYPE3)*(TYPE3&lt;&gt;"")+('Dvd Calendar'!$T$2072=TYPE4)*(TYPE4&lt;&gt;"")+('Dvd Calendar'!$T$2072=SPECIAL_LBL)*(INC_SPECIALS="Y"))=0,"",'Dvd Calendar'!$T$2070)))</f>
        <v/>
      </c>
      <c r="S206" s="106">
        <f>IF(EU206="","",IF(ISNUMBER('Dvd Calendar'!$U$2070)=FALSE,"",IF((('Dvd Calendar'!$U$2072=TYPE1)*(TYPE1&lt;&gt;"")+('Dvd Calendar'!$U$2072=TYPE2)*(TYPE2&lt;&gt;"")+('Dvd Calendar'!$U$2072=TYPE3)*(TYPE3&lt;&gt;"")+('Dvd Calendar'!$U$2072=TYPE4)*(TYPE4&lt;&gt;"")+('Dvd Calendar'!$U$2072=SPECIAL_LBL)*(INC_SPECIALS="Y"))=0,"",'Dvd Calendar'!$U$2070)))</f>
        <v/>
      </c>
      <c r="T206" s="106">
        <f>IF(EV206="","",IF(ISNUMBER('Dvd Calendar'!$V$2070)=FALSE,"",IF((('Dvd Calendar'!$V$2072=TYPE1)*(TYPE1&lt;&gt;"")+('Dvd Calendar'!$V$2072=TYPE2)*(TYPE2&lt;&gt;"")+('Dvd Calendar'!$V$2072=TYPE3)*(TYPE3&lt;&gt;"")+('Dvd Calendar'!$V$2072=TYPE4)*(TYPE4&lt;&gt;"")+('Dvd Calendar'!$V$2072=SPECIAL_LBL)*(INC_SPECIALS="Y"))=0,"",'Dvd Calendar'!$V$2070)))</f>
        <v/>
      </c>
      <c r="U206" s="106">
        <f>IF(EW206="","",IF(ISNUMBER('Dvd Calendar'!$W$2070)=FALSE,"",IF((('Dvd Calendar'!$W$2072=TYPE1)*(TYPE1&lt;&gt;"")+('Dvd Calendar'!$W$2072=TYPE2)*(TYPE2&lt;&gt;"")+('Dvd Calendar'!$W$2072=TYPE3)*(TYPE3&lt;&gt;"")+('Dvd Calendar'!$W$2072=TYPE4)*(TYPE4&lt;&gt;"")+('Dvd Calendar'!$W$2072=SPECIAL_LBL)*(INC_SPECIALS="Y"))=0,"",'Dvd Calendar'!$W$2070)))</f>
        <v/>
      </c>
      <c r="V206" s="106">
        <f>IF(EX206="","",IF(ISNUMBER('Dvd Calendar'!$X$2070)=FALSE,"",IF((('Dvd Calendar'!$X$2072=TYPE1)*(TYPE1&lt;&gt;"")+('Dvd Calendar'!$X$2072=TYPE2)*(TYPE2&lt;&gt;"")+('Dvd Calendar'!$X$2072=TYPE3)*(TYPE3&lt;&gt;"")+('Dvd Calendar'!$X$2072=TYPE4)*(TYPE4&lt;&gt;"")+('Dvd Calendar'!$X$2072=SPECIAL_LBL)*(INC_SPECIALS="Y"))=0,"",'Dvd Calendar'!$X$2070)))</f>
        <v/>
      </c>
      <c r="W206" s="106">
        <f>IF(EY206="","",IF(ISNUMBER('Dvd Calendar'!$Y$2070)=FALSE,"",IF((('Dvd Calendar'!$Y$2072=TYPE1)*(TYPE1&lt;&gt;"")+('Dvd Calendar'!$Y$2072=TYPE2)*(TYPE2&lt;&gt;"")+('Dvd Calendar'!$Y$2072=TYPE3)*(TYPE3&lt;&gt;"")+('Dvd Calendar'!$Y$2072=TYPE4)*(TYPE4&lt;&gt;"")+('Dvd Calendar'!$Y$2072=SPECIAL_LBL)*(INC_SPECIALS="Y"))=0,"",'Dvd Calendar'!$Y$2070)))</f>
        <v/>
      </c>
      <c r="X206" s="106">
        <f>IF(EZ206="","",IF(ISNUMBER('Dvd Calendar'!$Z$2070)=FALSE,"",IF((('Dvd Calendar'!$Z$2072=TYPE1)*(TYPE1&lt;&gt;"")+('Dvd Calendar'!$Z$2072=TYPE2)*(TYPE2&lt;&gt;"")+('Dvd Calendar'!$Z$2072=TYPE3)*(TYPE3&lt;&gt;"")+('Dvd Calendar'!$Z$2072=TYPE4)*(TYPE4&lt;&gt;"")+('Dvd Calendar'!$Z$2072=SPECIAL_LBL)*(INC_SPECIALS="Y"))=0,"",'Dvd Calendar'!$Z$2070)))</f>
        <v/>
      </c>
      <c r="Y206" s="106">
        <f>IF(FA206="","",IF(ISNUMBER('Dvd Calendar'!$AA$2070)=FALSE,"",IF((('Dvd Calendar'!$AA$2072=TYPE1)*(TYPE1&lt;&gt;"")+('Dvd Calendar'!$AA$2072=TYPE2)*(TYPE2&lt;&gt;"")+('Dvd Calendar'!$AA$2072=TYPE3)*(TYPE3&lt;&gt;"")+('Dvd Calendar'!$AA$2072=TYPE4)*(TYPE4&lt;&gt;"")+('Dvd Calendar'!$AA$2072=SPECIAL_LBL)*(INC_SPECIALS="Y"))=0,"",'Dvd Calendar'!$AA$2070)))</f>
        <v/>
      </c>
      <c r="Z206" s="106">
        <f>IF(FB206="","",IF(ISNUMBER('Dvd Calendar'!$AB$2070)=FALSE,"",IF((('Dvd Calendar'!$AB$2072=TYPE1)*(TYPE1&lt;&gt;"")+('Dvd Calendar'!$AB$2072=TYPE2)*(TYPE2&lt;&gt;"")+('Dvd Calendar'!$AB$2072=TYPE3)*(TYPE3&lt;&gt;"")+('Dvd Calendar'!$AB$2072=TYPE4)*(TYPE4&lt;&gt;"")+('Dvd Calendar'!$AB$2072=SPECIAL_LBL)*(INC_SPECIALS="Y"))=0,"",'Dvd Calendar'!$AB$2070)))</f>
        <v/>
      </c>
      <c r="AA206" s="106">
        <f>IF(FC206="","",IF(ISNUMBER('Dvd Calendar'!$AC$2070)=FALSE,"",IF((('Dvd Calendar'!$AC$2072=TYPE1)*(TYPE1&lt;&gt;"")+('Dvd Calendar'!$AC$2072=TYPE2)*(TYPE2&lt;&gt;"")+('Dvd Calendar'!$AC$2072=TYPE3)*(TYPE3&lt;&gt;"")+('Dvd Calendar'!$AC$2072=TYPE4)*(TYPE4&lt;&gt;"")+('Dvd Calendar'!$AC$2072=SPECIAL_LBL)*(INC_SPECIALS="Y"))=0,"",'Dvd Calendar'!$AC$2070)))</f>
        <v/>
      </c>
      <c r="AB206" s="106">
        <f>IF(FD206="","",IF(ISNUMBER('Dvd Calendar'!$AD$2070)=FALSE,"",IF((('Dvd Calendar'!$AD$2072=TYPE1)*(TYPE1&lt;&gt;"")+('Dvd Calendar'!$AD$2072=TYPE2)*(TYPE2&lt;&gt;"")+('Dvd Calendar'!$AD$2072=TYPE3)*(TYPE3&lt;&gt;"")+('Dvd Calendar'!$AD$2072=TYPE4)*(TYPE4&lt;&gt;"")+('Dvd Calendar'!$AD$2072=SPECIAL_LBL)*(INC_SPECIALS="Y"))=0,"",'Dvd Calendar'!$AD$2070)))</f>
        <v/>
      </c>
      <c r="AC206" s="106">
        <f>IF(FE206="","",IF(ISNUMBER('Dvd Calendar'!$AE$2070)=FALSE,"",IF((('Dvd Calendar'!$AE$2072=TYPE1)*(TYPE1&lt;&gt;"")+('Dvd Calendar'!$AE$2072=TYPE2)*(TYPE2&lt;&gt;"")+('Dvd Calendar'!$AE$2072=TYPE3)*(TYPE3&lt;&gt;"")+('Dvd Calendar'!$AE$2072=TYPE4)*(TYPE4&lt;&gt;"")+('Dvd Calendar'!$AE$2072=SPECIAL_LBL)*(INC_SPECIALS="Y"))=0,"",'Dvd Calendar'!$AE$2070)))</f>
        <v/>
      </c>
      <c r="AD206" s="106">
        <f>IF(FF206="","",IF(ISNUMBER('Dvd Calendar'!$AF$2070)=FALSE,"",IF((('Dvd Calendar'!$AF$2072=TYPE1)*(TYPE1&lt;&gt;"")+('Dvd Calendar'!$AF$2072=TYPE2)*(TYPE2&lt;&gt;"")+('Dvd Calendar'!$AF$2072=TYPE3)*(TYPE3&lt;&gt;"")+('Dvd Calendar'!$AF$2072=TYPE4)*(TYPE4&lt;&gt;"")+('Dvd Calendar'!$AF$2072=SPECIAL_LBL)*(INC_SPECIALS="Y"))=0,"",'Dvd Calendar'!$AF$2070)))</f>
        <v/>
      </c>
      <c r="AE206" s="106">
        <f>IF(FG206="","",IF(ISNUMBER('Dvd Calendar'!$AG$2070)=FALSE,"",IF((('Dvd Calendar'!$AG$2072=TYPE1)*(TYPE1&lt;&gt;"")+('Dvd Calendar'!$AG$2072=TYPE2)*(TYPE2&lt;&gt;"")+('Dvd Calendar'!$AG$2072=TYPE3)*(TYPE3&lt;&gt;"")+('Dvd Calendar'!$AG$2072=TYPE4)*(TYPE4&lt;&gt;"")+('Dvd Calendar'!$AG$2072=SPECIAL_LBL)*(INC_SPECIALS="Y"))=0,"",'Dvd Calendar'!$AG$2070)))</f>
        <v/>
      </c>
      <c r="AF206" s="106">
        <f>IF(FH206="","",IF(ISNUMBER('Dvd Calendar'!$AH$2070)=FALSE,"",IF((('Dvd Calendar'!$AH$2072=TYPE1)*(TYPE1&lt;&gt;"")+('Dvd Calendar'!$AH$2072=TYPE2)*(TYPE2&lt;&gt;"")+('Dvd Calendar'!$AH$2072=TYPE3)*(TYPE3&lt;&gt;"")+('Dvd Calendar'!$AH$2072=TYPE4)*(TYPE4&lt;&gt;"")+('Dvd Calendar'!$AH$2072=SPECIAL_LBL)*(INC_SPECIALS="Y"))=0,"",'Dvd Calendar'!$AH$2070)))</f>
        <v/>
      </c>
      <c r="AG206" s="106">
        <f>IF(FI206="","",IF(ISNUMBER('Dvd Calendar'!$AI$2070)=FALSE,"",IF((('Dvd Calendar'!$AI$2072=TYPE1)*(TYPE1&lt;&gt;"")+('Dvd Calendar'!$AI$2072=TYPE2)*(TYPE2&lt;&gt;"")+('Dvd Calendar'!$AI$2072=TYPE3)*(TYPE3&lt;&gt;"")+('Dvd Calendar'!$AI$2072=TYPE4)*(TYPE4&lt;&gt;"")+('Dvd Calendar'!$AI$2072=SPECIAL_LBL)*(INC_SPECIALS="Y"))=0,"",'Dvd Calendar'!$AI$2070)))</f>
        <v/>
      </c>
      <c r="AH206" s="106">
        <f>IF(FJ206="","",IF(ISNUMBER('Dvd Calendar'!$AJ$2070)=FALSE,"",IF((('Dvd Calendar'!$AJ$2072=TYPE1)*(TYPE1&lt;&gt;"")+('Dvd Calendar'!$AJ$2072=TYPE2)*(TYPE2&lt;&gt;"")+('Dvd Calendar'!$AJ$2072=TYPE3)*(TYPE3&lt;&gt;"")+('Dvd Calendar'!$AJ$2072=TYPE4)*(TYPE4&lt;&gt;"")+('Dvd Calendar'!$AJ$2072=SPECIAL_LBL)*(INC_SPECIALS="Y"))=0,"",'Dvd Calendar'!$AJ$2070)))</f>
        <v/>
      </c>
      <c r="AI206" s="106">
        <f>IF(FK206="","",IF(ISNUMBER('Dvd Calendar'!$AK$2070)=FALSE,"",IF((('Dvd Calendar'!$AK$2072=TYPE1)*(TYPE1&lt;&gt;"")+('Dvd Calendar'!$AK$2072=TYPE2)*(TYPE2&lt;&gt;"")+('Dvd Calendar'!$AK$2072=TYPE3)*(TYPE3&lt;&gt;"")+('Dvd Calendar'!$AK$2072=TYPE4)*(TYPE4&lt;&gt;"")+('Dvd Calendar'!$AK$2072=SPECIAL_LBL)*(INC_SPECIALS="Y"))=0,"",'Dvd Calendar'!$AK$2070)))</f>
        <v/>
      </c>
      <c r="AJ206" s="106">
        <f>IF(FL206="","",IF(ISNUMBER('Dvd Calendar'!$AL$2070)=FALSE,"",IF((('Dvd Calendar'!$AL$2072=TYPE1)*(TYPE1&lt;&gt;"")+('Dvd Calendar'!$AL$2072=TYPE2)*(TYPE2&lt;&gt;"")+('Dvd Calendar'!$AL$2072=TYPE3)*(TYPE3&lt;&gt;"")+('Dvd Calendar'!$AL$2072=TYPE4)*(TYPE4&lt;&gt;"")+('Dvd Calendar'!$AL$2072=SPECIAL_LBL)*(INC_SPECIALS="Y"))=0,"",'Dvd Calendar'!$AL$2070)))</f>
        <v/>
      </c>
      <c r="AK206" s="106">
        <f>IF(FM206="","",IF(ISNUMBER('Dvd Calendar'!$AM$2070)=FALSE,"",IF((('Dvd Calendar'!$AM$2072=TYPE1)*(TYPE1&lt;&gt;"")+('Dvd Calendar'!$AM$2072=TYPE2)*(TYPE2&lt;&gt;"")+('Dvd Calendar'!$AM$2072=TYPE3)*(TYPE3&lt;&gt;"")+('Dvd Calendar'!$AM$2072=TYPE4)*(TYPE4&lt;&gt;"")+('Dvd Calendar'!$AM$2072=SPECIAL_LBL)*(INC_SPECIALS="Y"))=0,"",'Dvd Calendar'!$AM$2070)))</f>
        <v/>
      </c>
      <c r="AL206" s="106">
        <f>IF(FN206="","",IF(ISNUMBER('Dvd Calendar'!$AN$2070)=FALSE,"",IF((('Dvd Calendar'!$AN$2072=TYPE1)*(TYPE1&lt;&gt;"")+('Dvd Calendar'!$AN$2072=TYPE2)*(TYPE2&lt;&gt;"")+('Dvd Calendar'!$AN$2072=TYPE3)*(TYPE3&lt;&gt;"")+('Dvd Calendar'!$AN$2072=TYPE4)*(TYPE4&lt;&gt;"")+('Dvd Calendar'!$AN$2072=SPECIAL_LBL)*(INC_SPECIALS="Y"))=0,"",'Dvd Calendar'!$AN$2070)))</f>
        <v/>
      </c>
      <c r="AM206" s="106">
        <f>IF(FO206="","",IF(ISNUMBER('Dvd Calendar'!$AO$2070)=FALSE,"",IF((('Dvd Calendar'!$AO$2072=TYPE1)*(TYPE1&lt;&gt;"")+('Dvd Calendar'!$AO$2072=TYPE2)*(TYPE2&lt;&gt;"")+('Dvd Calendar'!$AO$2072=TYPE3)*(TYPE3&lt;&gt;"")+('Dvd Calendar'!$AO$2072=TYPE4)*(TYPE4&lt;&gt;"")+('Dvd Calendar'!$AO$2072=SPECIAL_LBL)*(INC_SPECIALS="Y"))=0,"",'Dvd Calendar'!$AO$2070)))</f>
        <v/>
      </c>
      <c r="AN206" s="106">
        <f>IF(FP206="","",IF(ISNUMBER('Dvd Calendar'!$AP$2070)=FALSE,"",IF((('Dvd Calendar'!$AP$2072=TYPE1)*(TYPE1&lt;&gt;"")+('Dvd Calendar'!$AP$2072=TYPE2)*(TYPE2&lt;&gt;"")+('Dvd Calendar'!$AP$2072=TYPE3)*(TYPE3&lt;&gt;"")+('Dvd Calendar'!$AP$2072=TYPE4)*(TYPE4&lt;&gt;"")+('Dvd Calendar'!$AP$2072=SPECIAL_LBL)*(INC_SPECIALS="Y"))=0,"",'Dvd Calendar'!$AP$2070)))</f>
        <v/>
      </c>
      <c r="AO206" s="106">
        <f>IF(FQ206="","",IF(ISNUMBER('Dvd Calendar'!$AQ$2070)=FALSE,"",IF((('Dvd Calendar'!$AQ$2072=TYPE1)*(TYPE1&lt;&gt;"")+('Dvd Calendar'!$AQ$2072=TYPE2)*(TYPE2&lt;&gt;"")+('Dvd Calendar'!$AQ$2072=TYPE3)*(TYPE3&lt;&gt;"")+('Dvd Calendar'!$AQ$2072=TYPE4)*(TYPE4&lt;&gt;"")+('Dvd Calendar'!$AQ$2072=SPECIAL_LBL)*(INC_SPECIALS="Y"))=0,"",'Dvd Calendar'!$AQ$2070)))</f>
        <v/>
      </c>
      <c r="AP206" s="106">
        <f>IF(FR206="","",IF(ISNUMBER('Dvd Calendar'!$AR$2070)=FALSE,"",IF((('Dvd Calendar'!$AR$2072=TYPE1)*(TYPE1&lt;&gt;"")+('Dvd Calendar'!$AR$2072=TYPE2)*(TYPE2&lt;&gt;"")+('Dvd Calendar'!$AR$2072=TYPE3)*(TYPE3&lt;&gt;"")+('Dvd Calendar'!$AR$2072=TYPE4)*(TYPE4&lt;&gt;"")+('Dvd Calendar'!$AR$2072=SPECIAL_LBL)*(INC_SPECIALS="Y"))=0,"",'Dvd Calendar'!$AR$2070)))</f>
        <v/>
      </c>
      <c r="AQ206" s="106">
        <f>IF(FS206="","",IF(ISNUMBER('Dvd Calendar'!$E$2075)=FALSE,"",'Dvd Calendar'!$E$2075))</f>
        <v/>
      </c>
      <c r="AR206" s="106">
        <f>IF(FT206="","",IF(ISNUMBER('Dvd Calendar'!$F$2075)=FALSE,"",'Dvd Calendar'!$F$2075))</f>
        <v/>
      </c>
      <c r="AS206" s="106">
        <f>IF(FU206="","",IF(ISNUMBER('Dvd Calendar'!$G$2075)=FALSE,"",'Dvd Calendar'!$G$2075))</f>
        <v/>
      </c>
      <c r="AT206" s="106">
        <f>IF(FV206="","",IF(ISNUMBER('Dvd Calendar'!$H$2075)=FALSE,"",'Dvd Calendar'!$H$2075))</f>
        <v/>
      </c>
      <c r="AU206" s="106">
        <f>IF(FW206="","",IF(ISNUMBER('Dvd Calendar'!$I$2075)=FALSE,"",'Dvd Calendar'!$I$2075))</f>
        <v/>
      </c>
      <c r="AV206" s="106">
        <f>IF(FX206="","",IF(ISNUMBER('Dvd Calendar'!$J$2075)=FALSE,"",'Dvd Calendar'!$J$2075))</f>
        <v/>
      </c>
      <c r="AW206" s="106">
        <f>IF(FY206="","",IF(ISNUMBER('Dvd Calendar'!$K$2075)=FALSE,"",'Dvd Calendar'!$K$2075))</f>
        <v/>
      </c>
      <c r="AX206" s="106">
        <f>IF(FZ206="","",IF(ISNUMBER('Dvd Calendar'!$L$2075)=FALSE,"",'Dvd Calendar'!$L$2075))</f>
        <v/>
      </c>
      <c r="AY206" s="106">
        <f>IF(GA206="","",IF(ISNUMBER('Dvd Calendar'!$M$2075)=FALSE,"",'Dvd Calendar'!$M$2075))</f>
        <v/>
      </c>
      <c r="AZ206" s="106">
        <f>IF(GB206="","",IF(ISNUMBER('Dvd Calendar'!$N$2075)=FALSE,"",'Dvd Calendar'!$N$2075))</f>
        <v/>
      </c>
      <c r="BA206" s="106">
        <f>IF(GC206="","",IF(ISNUMBER('Dvd Calendar'!$O$2075)=FALSE,"",'Dvd Calendar'!$O$2075))</f>
        <v/>
      </c>
      <c r="BB206" s="106">
        <f>IF(GD206="","",IF(ISNUMBER('Dvd Calendar'!$P$2075)=FALSE,"",'Dvd Calendar'!$P$2075))</f>
        <v/>
      </c>
      <c r="BC206" s="106">
        <f>IF(GE206="","",IF(ISNUMBER('Dvd Calendar'!$Q$2075)=FALSE,"",'Dvd Calendar'!$Q$2075))</f>
        <v/>
      </c>
      <c r="BD206" s="106">
        <f>IF(GF206="","",IF(ISNUMBER('Dvd Calendar'!$R$2075)=FALSE,"",'Dvd Calendar'!$R$2075))</f>
        <v/>
      </c>
      <c r="BE206" s="106">
        <f>IF(GG206="","",IF(ISNUMBER('Dvd Calendar'!$S$2075)=FALSE,"",'Dvd Calendar'!$S$2075))</f>
        <v/>
      </c>
      <c r="BF206" s="106">
        <f>IF(GH206="","",IF(ISNUMBER('Dvd Calendar'!$T$2075)=FALSE,"",'Dvd Calendar'!$T$2075))</f>
        <v/>
      </c>
      <c r="BG206" s="106">
        <f>IF(GI206="","",IF(ISNUMBER('Dvd Calendar'!$U$2075)=FALSE,"",'Dvd Calendar'!$U$2075))</f>
        <v/>
      </c>
      <c r="BH206" s="106">
        <f>IF(GJ206="","",IF(ISNUMBER('Dvd Calendar'!$V$2075)=FALSE,"",'Dvd Calendar'!$V$2075))</f>
        <v/>
      </c>
      <c r="BI206" s="106">
        <f>IF(GK206="","",IF(ISNUMBER('Dvd Calendar'!$W$2075)=FALSE,"",'Dvd Calendar'!$W$2075))</f>
        <v/>
      </c>
      <c r="BJ206" s="106">
        <f>IF(GL206="","",IF(ISNUMBER('Dvd Calendar'!$X$2075)=FALSE,"",'Dvd Calendar'!$X$2075))</f>
        <v/>
      </c>
      <c r="BK206" s="106">
        <f>IF(GM206="","",IF(ISNUMBER('Dvd Calendar'!$Y$2075)=FALSE,"",'Dvd Calendar'!$Y$2075))</f>
        <v/>
      </c>
      <c r="BL206" s="106">
        <f>IF(GN206="","",IF(ISNUMBER('Dvd Calendar'!$Z$2075)=FALSE,"",'Dvd Calendar'!$Z$2075))</f>
        <v/>
      </c>
      <c r="BM206" s="106">
        <f>IF(GO206="","",IF(ISNUMBER('Dvd Calendar'!$AA$2075)=FALSE,"",'Dvd Calendar'!$AA$2075))</f>
        <v/>
      </c>
      <c r="BN206" s="106">
        <f>IF(GP206="","",IF(ISNUMBER('Dvd Calendar'!$AB$2075)=FALSE,"",'Dvd Calendar'!$AB$2075))</f>
        <v/>
      </c>
      <c r="BO206" s="106">
        <f>IF(GQ206="","",IF(ISNUMBER('Dvd Calendar'!$AC$2075)=FALSE,"",'Dvd Calendar'!$AC$2075))</f>
        <v/>
      </c>
      <c r="BQ206" s="106">
        <f>IF(C206="","",IFERROR(C206*HSCEI!$B$53*HSCEI!$G$53/HSCEI!$B$3,""))</f>
        <v/>
      </c>
      <c r="BR206" s="106">
        <f>IF(D206="","",IFERROR(D206*HSCEI!$B$53*HSCEI!$G$53/HSCEI!$B$3,""))</f>
        <v/>
      </c>
      <c r="BS206" s="106">
        <f>IF(E206="","",IFERROR(E206*HSCEI!$B$53*HSCEI!$G$53/HSCEI!$B$3,""))</f>
        <v/>
      </c>
      <c r="BT206" s="106">
        <f>IF(F206="","",IFERROR(F206*HSCEI!$B$53*HSCEI!$G$53/HSCEI!$B$3,""))</f>
        <v/>
      </c>
      <c r="BU206" s="106">
        <f>IF(G206="","",IFERROR(G206*HSCEI!$B$53*HSCEI!$G$53/HSCEI!$B$3,""))</f>
        <v/>
      </c>
      <c r="BV206" s="106">
        <f>IF(H206="","",IFERROR(H206*HSCEI!$B$53*HSCEI!$G$53/HSCEI!$B$3,""))</f>
        <v/>
      </c>
      <c r="BW206" s="106">
        <f>IF(I206="","",IFERROR(I206*HSCEI!$B$53*HSCEI!$G$53/HSCEI!$B$3,""))</f>
        <v/>
      </c>
      <c r="BX206" s="106">
        <f>IF(J206="","",IFERROR(J206*HSCEI!$B$53*HSCEI!$G$53/HSCEI!$B$3,""))</f>
        <v/>
      </c>
      <c r="BY206" s="106">
        <f>IF(K206="","",IFERROR(K206*HSCEI!$B$53*HSCEI!$G$53/HSCEI!$B$3,""))</f>
        <v/>
      </c>
      <c r="BZ206" s="106">
        <f>IF(L206="","",IFERROR(L206*HSCEI!$B$53*HSCEI!$G$53/HSCEI!$B$3,""))</f>
        <v/>
      </c>
      <c r="CA206" s="106">
        <f>IF(M206="","",IFERROR(M206*HSCEI!$B$53*HSCEI!$G$53/HSCEI!$B$3,""))</f>
        <v/>
      </c>
      <c r="CB206" s="106">
        <f>IF(N206="","",IFERROR(N206*HSCEI!$B$53*HSCEI!$G$53/HSCEI!$B$3,""))</f>
        <v/>
      </c>
      <c r="CC206" s="106">
        <f>IF(O206="","",IFERROR(O206*HSCEI!$B$53*HSCEI!$G$53/HSCEI!$B$3,""))</f>
        <v/>
      </c>
      <c r="CD206" s="106">
        <f>IF(P206="","",IFERROR(P206*HSCEI!$B$53*HSCEI!$G$53/HSCEI!$B$3,""))</f>
        <v/>
      </c>
      <c r="CE206" s="106">
        <f>IF(Q206="","",IFERROR(Q206*HSCEI!$B$53*HSCEI!$G$53/HSCEI!$B$3,""))</f>
        <v/>
      </c>
      <c r="CF206" s="106">
        <f>IF(R206="","",IFERROR(R206*HSCEI!$B$53*HSCEI!$G$53/HSCEI!$B$3,""))</f>
        <v/>
      </c>
      <c r="CG206" s="106">
        <f>IF(S206="","",IFERROR(S206*HSCEI!$B$53*HSCEI!$G$53/HSCEI!$B$3,""))</f>
        <v/>
      </c>
      <c r="CH206" s="106">
        <f>IF(T206="","",IFERROR(T206*HSCEI!$B$53*HSCEI!$G$53/HSCEI!$B$3,""))</f>
        <v/>
      </c>
      <c r="CI206" s="106">
        <f>IF(U206="","",IFERROR(U206*HSCEI!$B$53*HSCEI!$G$53/HSCEI!$B$3,""))</f>
        <v/>
      </c>
      <c r="CJ206" s="106">
        <f>IF(V206="","",IFERROR(V206*HSCEI!$B$53*HSCEI!$G$53/HSCEI!$B$3,""))</f>
        <v/>
      </c>
      <c r="CK206" s="106">
        <f>IF(W206="","",IFERROR(W206*HSCEI!$B$53*HSCEI!$G$53/HSCEI!$B$3,""))</f>
        <v/>
      </c>
      <c r="CL206" s="106">
        <f>IF(X206="","",IFERROR(X206*HSCEI!$B$53*HSCEI!$G$53/HSCEI!$B$3,""))</f>
        <v/>
      </c>
      <c r="CM206" s="106">
        <f>IF(Y206="","",IFERROR(Y206*HSCEI!$B$53*HSCEI!$G$53/HSCEI!$B$3,""))</f>
        <v/>
      </c>
      <c r="CN206" s="106">
        <f>IF(Z206="","",IFERROR(Z206*HSCEI!$B$53*HSCEI!$G$53/HSCEI!$B$3,""))</f>
        <v/>
      </c>
      <c r="CO206" s="106">
        <f>IF(AA206="","",IFERROR(AA206*HSCEI!$B$53*HSCEI!$G$53/HSCEI!$B$3,""))</f>
        <v/>
      </c>
      <c r="CP206" s="106">
        <f>IF(AB206="","",IFERROR(AB206*HSCEI!$B$53*HSCEI!$G$53/HSCEI!$B$3,""))</f>
        <v/>
      </c>
      <c r="CQ206" s="106">
        <f>IF(AC206="","",IFERROR(AC206*HSCEI!$B$53*HSCEI!$G$53/HSCEI!$B$3,""))</f>
        <v/>
      </c>
      <c r="CR206" s="106">
        <f>IF(AD206="","",IFERROR(AD206*HSCEI!$B$53*HSCEI!$G$53/HSCEI!$B$3,""))</f>
        <v/>
      </c>
      <c r="CS206" s="106">
        <f>IF(AE206="","",IFERROR(AE206*HSCEI!$B$53*HSCEI!$G$53/HSCEI!$B$3,""))</f>
        <v/>
      </c>
      <c r="CT206" s="106">
        <f>IF(AF206="","",IFERROR(AF206*HSCEI!$B$53*HSCEI!$G$53/HSCEI!$B$3,""))</f>
        <v/>
      </c>
      <c r="CU206" s="106">
        <f>IF(AG206="","",IFERROR(AG206*HSCEI!$B$53*HSCEI!$G$53/HSCEI!$B$3,""))</f>
        <v/>
      </c>
      <c r="CV206" s="106">
        <f>IF(AH206="","",IFERROR(AH206*HSCEI!$B$53*HSCEI!$G$53/HSCEI!$B$3,""))</f>
        <v/>
      </c>
      <c r="CW206" s="106">
        <f>IF(AI206="","",IFERROR(AI206*HSCEI!$B$53*HSCEI!$G$53/HSCEI!$B$3,""))</f>
        <v/>
      </c>
      <c r="CX206" s="106">
        <f>IF(AJ206="","",IFERROR(AJ206*HSCEI!$B$53*HSCEI!$G$53/HSCEI!$B$3,""))</f>
        <v/>
      </c>
      <c r="CY206" s="106">
        <f>IF(AK206="","",IFERROR(AK206*HSCEI!$B$53*HSCEI!$G$53/HSCEI!$B$3,""))</f>
        <v/>
      </c>
      <c r="CZ206" s="106">
        <f>IF(AL206="","",IFERROR(AL206*HSCEI!$B$53*HSCEI!$G$53/HSCEI!$B$3,""))</f>
        <v/>
      </c>
      <c r="DA206" s="106">
        <f>IF(AM206="","",IFERROR(AM206*HSCEI!$B$53*HSCEI!$G$53/HSCEI!$B$3,""))</f>
        <v/>
      </c>
      <c r="DB206" s="106">
        <f>IF(AN206="","",IFERROR(AN206*HSCEI!$B$53*HSCEI!$G$53/HSCEI!$B$3,""))</f>
        <v/>
      </c>
      <c r="DC206" s="106">
        <f>IF(AO206="","",IFERROR(AO206*HSCEI!$B$53*HSCEI!$G$53/HSCEI!$B$3,""))</f>
        <v/>
      </c>
      <c r="DD206" s="106">
        <f>IF(AP206="","",IFERROR(AP206*HSCEI!$B$53*HSCEI!$G$53/HSCEI!$B$3,""))</f>
        <v/>
      </c>
      <c r="DE206" s="106">
        <f>IF(AQ206="","",IFERROR(AQ206*HSCEI!$B$53*HSCEI!$G$53/HSCEI!$B$3,""))</f>
        <v/>
      </c>
      <c r="DF206" s="106">
        <f>IF(AR206="","",IFERROR(AR206*HSCEI!$B$53*HSCEI!$G$53/HSCEI!$B$3,""))</f>
        <v/>
      </c>
      <c r="DG206" s="106">
        <f>IF(AS206="","",IFERROR(AS206*HSCEI!$B$53*HSCEI!$G$53/HSCEI!$B$3,""))</f>
        <v/>
      </c>
      <c r="DH206" s="106">
        <f>IF(AT206="","",IFERROR(AT206*HSCEI!$B$53*HSCEI!$G$53/HSCEI!$B$3,""))</f>
        <v/>
      </c>
      <c r="DI206" s="106">
        <f>IF(AU206="","",IFERROR(AU206*HSCEI!$B$53*HSCEI!$G$53/HSCEI!$B$3,""))</f>
        <v/>
      </c>
      <c r="DJ206" s="106">
        <f>IF(AV206="","",IFERROR(AV206*HSCEI!$B$53*HSCEI!$G$53/HSCEI!$B$3,""))</f>
        <v/>
      </c>
      <c r="DK206" s="106">
        <f>IF(AW206="","",IFERROR(AW206*HSCEI!$B$53*HSCEI!$G$53/HSCEI!$B$3,""))</f>
        <v/>
      </c>
      <c r="DL206" s="106">
        <f>IF(AX206="","",IFERROR(AX206*HSCEI!$B$53*HSCEI!$G$53/HSCEI!$B$3,""))</f>
        <v/>
      </c>
      <c r="DM206" s="106">
        <f>IF(AY206="","",IFERROR(AY206*HSCEI!$B$53*HSCEI!$G$53/HSCEI!$B$3,""))</f>
        <v/>
      </c>
      <c r="DN206" s="106">
        <f>IF(AZ206="","",IFERROR(AZ206*HSCEI!$B$53*HSCEI!$G$53/HSCEI!$B$3,""))</f>
        <v/>
      </c>
      <c r="DO206" s="106">
        <f>IF(BA206="","",IFERROR(BA206*HSCEI!$B$53*HSCEI!$G$53/HSCEI!$B$3,""))</f>
        <v/>
      </c>
      <c r="DP206" s="106">
        <f>IF(BB206="","",IFERROR(BB206*HSCEI!$B$53*HSCEI!$G$53/HSCEI!$B$3,""))</f>
        <v/>
      </c>
      <c r="DQ206" s="106">
        <f>IF(BC206="","",IFERROR(BC206*HSCEI!$B$53*HSCEI!$G$53/HSCEI!$B$3,""))</f>
        <v/>
      </c>
      <c r="DR206" s="106">
        <f>IF(BD206="","",IFERROR(BD206*HSCEI!$B$53*HSCEI!$G$53/HSCEI!$B$3,""))</f>
        <v/>
      </c>
      <c r="DS206" s="106">
        <f>IF(BE206="","",IFERROR(BE206*HSCEI!$B$53*HSCEI!$G$53/HSCEI!$B$3,""))</f>
        <v/>
      </c>
      <c r="DT206" s="106">
        <f>IF(BF206="","",IFERROR(BF206*HSCEI!$B$53*HSCEI!$G$53/HSCEI!$B$3,""))</f>
        <v/>
      </c>
      <c r="DU206" s="106">
        <f>IF(BG206="","",IFERROR(BG206*HSCEI!$B$53*HSCEI!$G$53/HSCEI!$B$3,""))</f>
        <v/>
      </c>
      <c r="DV206" s="106">
        <f>IF(BH206="","",IFERROR(BH206*HSCEI!$B$53*HSCEI!$G$53/HSCEI!$B$3,""))</f>
        <v/>
      </c>
      <c r="DW206" s="106">
        <f>IF(BI206="","",IFERROR(BI206*HSCEI!$B$53*HSCEI!$G$53/HSCEI!$B$3,""))</f>
        <v/>
      </c>
      <c r="DX206" s="106">
        <f>IF(BJ206="","",IFERROR(BJ206*HSCEI!$B$53*HSCEI!$G$53/HSCEI!$B$3,""))</f>
        <v/>
      </c>
      <c r="DY206" s="106">
        <f>IF(BK206="","",IFERROR(BK206*HSCEI!$B$53*HSCEI!$G$53/HSCEI!$B$3,""))</f>
        <v/>
      </c>
      <c r="DZ206" s="106">
        <f>IF(BL206="","",IFERROR(BL206*HSCEI!$B$53*HSCEI!$G$53/HSCEI!$B$3,""))</f>
        <v/>
      </c>
      <c r="EA206" s="106">
        <f>IF(BM206="","",IFERROR(BM206*HSCEI!$B$53*HSCEI!$G$53/HSCEI!$B$3,""))</f>
        <v/>
      </c>
      <c r="EB206" s="106">
        <f>IF(BN206="","",IFERROR(BN206*HSCEI!$B$53*HSCEI!$G$53/HSCEI!$B$3,""))</f>
        <v/>
      </c>
      <c r="EC206" s="106">
        <f>IF(BO206="","",IFERROR(BO206*HSCEI!$B$53*HSCEI!$G$53/HSCEI!$B$3,""))</f>
        <v/>
      </c>
      <c r="EE206" s="35">
        <f>IF(N('Dvd Calendar'!$E$2067)=0,"",IF(('Dvd Calendar'!$E$2067&gt;=GRID_FROM)*('Dvd Calendar'!$E$2067&lt;=GRID_TO)*('Dvd Calendar'!$E$2067&lt;=VAL_DATE)=0,"",'Dvd Calendar'!$E$2067*1000000000+ISNUMBER('Dvd Calendar'!$E$2070)*100000000+('Dvd Calendar'!$E$2072=SPECIAL_LBL)*10000000+0*1000000+47*1000+1))</f>
        <v/>
      </c>
      <c r="EF206" s="35">
        <f>IF(N('Dvd Calendar'!$F$2067)=0,"",IF(('Dvd Calendar'!$F$2067&gt;=GRID_FROM)*('Dvd Calendar'!$F$2067&lt;=GRID_TO)*('Dvd Calendar'!$F$2067&lt;=VAL_DATE)=0,"",'Dvd Calendar'!$F$2067*1000000000+ISNUMBER('Dvd Calendar'!$F$2070)*100000000+('Dvd Calendar'!$F$2072=SPECIAL_LBL)*10000000+0*1000000+47*1000+2))</f>
        <v/>
      </c>
      <c r="EG206" s="35">
        <f>IF(N('Dvd Calendar'!$G$2067)=0,"",IF(('Dvd Calendar'!$G$2067&gt;=GRID_FROM)*('Dvd Calendar'!$G$2067&lt;=GRID_TO)*('Dvd Calendar'!$G$2067&lt;=VAL_DATE)=0,"",'Dvd Calendar'!$G$2067*1000000000+ISNUMBER('Dvd Calendar'!$G$2070)*100000000+('Dvd Calendar'!$G$2072=SPECIAL_LBL)*10000000+0*1000000+47*1000+3))</f>
        <v/>
      </c>
      <c r="EH206" s="35">
        <f>IF(N('Dvd Calendar'!$H$2067)=0,"",IF(('Dvd Calendar'!$H$2067&gt;=GRID_FROM)*('Dvd Calendar'!$H$2067&lt;=GRID_TO)*('Dvd Calendar'!$H$2067&lt;=VAL_DATE)=0,"",'Dvd Calendar'!$H$2067*1000000000+ISNUMBER('Dvd Calendar'!$H$2070)*100000000+('Dvd Calendar'!$H$2072=SPECIAL_LBL)*10000000+0*1000000+47*1000+4))</f>
        <v/>
      </c>
      <c r="EI206" s="35">
        <f>IF(N('Dvd Calendar'!$I$2067)=0,"",IF(('Dvd Calendar'!$I$2067&gt;=GRID_FROM)*('Dvd Calendar'!$I$2067&lt;=GRID_TO)*('Dvd Calendar'!$I$2067&lt;=VAL_DATE)=0,"",'Dvd Calendar'!$I$2067*1000000000+ISNUMBER('Dvd Calendar'!$I$2070)*100000000+('Dvd Calendar'!$I$2072=SPECIAL_LBL)*10000000+0*1000000+47*1000+5))</f>
        <v/>
      </c>
      <c r="EJ206" s="35">
        <f>IF(N('Dvd Calendar'!$J$2067)=0,"",IF(('Dvd Calendar'!$J$2067&gt;=GRID_FROM)*('Dvd Calendar'!$J$2067&lt;=GRID_TO)*('Dvd Calendar'!$J$2067&lt;=VAL_DATE)=0,"",'Dvd Calendar'!$J$2067*1000000000+ISNUMBER('Dvd Calendar'!$J$2070)*100000000+('Dvd Calendar'!$J$2072=SPECIAL_LBL)*10000000+0*1000000+47*1000+6))</f>
        <v/>
      </c>
      <c r="EK206" s="35">
        <f>IF(N('Dvd Calendar'!$K$2067)=0,"",IF(('Dvd Calendar'!$K$2067&gt;=GRID_FROM)*('Dvd Calendar'!$K$2067&lt;=GRID_TO)*('Dvd Calendar'!$K$2067&lt;=VAL_DATE)=0,"",'Dvd Calendar'!$K$2067*1000000000+ISNUMBER('Dvd Calendar'!$K$2070)*100000000+('Dvd Calendar'!$K$2072=SPECIAL_LBL)*10000000+0*1000000+47*1000+7))</f>
        <v/>
      </c>
      <c r="EL206" s="35">
        <f>IF(N('Dvd Calendar'!$L$2067)=0,"",IF(('Dvd Calendar'!$L$2067&gt;=GRID_FROM)*('Dvd Calendar'!$L$2067&lt;=GRID_TO)*('Dvd Calendar'!$L$2067&lt;=VAL_DATE)=0,"",'Dvd Calendar'!$L$2067*1000000000+ISNUMBER('Dvd Calendar'!$L$2070)*100000000+('Dvd Calendar'!$L$2072=SPECIAL_LBL)*10000000+0*1000000+47*1000+8))</f>
        <v/>
      </c>
      <c r="EM206" s="35">
        <f>IF(N('Dvd Calendar'!$M$2067)=0,"",IF(('Dvd Calendar'!$M$2067&gt;=GRID_FROM)*('Dvd Calendar'!$M$2067&lt;=GRID_TO)*('Dvd Calendar'!$M$2067&lt;=VAL_DATE)=0,"",'Dvd Calendar'!$M$2067*1000000000+ISNUMBER('Dvd Calendar'!$M$2070)*100000000+('Dvd Calendar'!$M$2072=SPECIAL_LBL)*10000000+0*1000000+47*1000+9))</f>
        <v/>
      </c>
      <c r="EN206" s="35">
        <f>IF(N('Dvd Calendar'!$N$2067)=0,"",IF(('Dvd Calendar'!$N$2067&gt;=GRID_FROM)*('Dvd Calendar'!$N$2067&lt;=GRID_TO)*('Dvd Calendar'!$N$2067&lt;=VAL_DATE)=0,"",'Dvd Calendar'!$N$2067*1000000000+ISNUMBER('Dvd Calendar'!$N$2070)*100000000+('Dvd Calendar'!$N$2072=SPECIAL_LBL)*10000000+0*1000000+47*1000+10))</f>
        <v/>
      </c>
      <c r="EO206" s="35">
        <f>IF(N('Dvd Calendar'!$O$2067)=0,"",IF(('Dvd Calendar'!$O$2067&gt;=GRID_FROM)*('Dvd Calendar'!$O$2067&lt;=GRID_TO)*('Dvd Calendar'!$O$2067&lt;=VAL_DATE)=0,"",'Dvd Calendar'!$O$2067*1000000000+ISNUMBER('Dvd Calendar'!$O$2070)*100000000+('Dvd Calendar'!$O$2072=SPECIAL_LBL)*10000000+0*1000000+47*1000+11))</f>
        <v/>
      </c>
      <c r="EP206" s="35">
        <f>IF(N('Dvd Calendar'!$P$2067)=0,"",IF(('Dvd Calendar'!$P$2067&gt;=GRID_FROM)*('Dvd Calendar'!$P$2067&lt;=GRID_TO)*('Dvd Calendar'!$P$2067&lt;=VAL_DATE)=0,"",'Dvd Calendar'!$P$2067*1000000000+ISNUMBER('Dvd Calendar'!$P$2070)*100000000+('Dvd Calendar'!$P$2072=SPECIAL_LBL)*10000000+0*1000000+47*1000+12))</f>
        <v/>
      </c>
      <c r="EQ206" s="35">
        <f>IF(N('Dvd Calendar'!$Q$2067)=0,"",IF(('Dvd Calendar'!$Q$2067&gt;=GRID_FROM)*('Dvd Calendar'!$Q$2067&lt;=GRID_TO)*('Dvd Calendar'!$Q$2067&lt;=VAL_DATE)=0,"",'Dvd Calendar'!$Q$2067*1000000000+ISNUMBER('Dvd Calendar'!$Q$2070)*100000000+('Dvd Calendar'!$Q$2072=SPECIAL_LBL)*10000000+0*1000000+47*1000+13))</f>
        <v/>
      </c>
      <c r="ER206" s="35">
        <f>IF(N('Dvd Calendar'!$R$2067)=0,"",IF(('Dvd Calendar'!$R$2067&gt;=GRID_FROM)*('Dvd Calendar'!$R$2067&lt;=GRID_TO)*('Dvd Calendar'!$R$2067&lt;=VAL_DATE)=0,"",'Dvd Calendar'!$R$2067*1000000000+ISNUMBER('Dvd Calendar'!$R$2070)*100000000+('Dvd Calendar'!$R$2072=SPECIAL_LBL)*10000000+0*1000000+47*1000+14))</f>
        <v/>
      </c>
      <c r="ES206" s="35">
        <f>IF(N('Dvd Calendar'!$S$2067)=0,"",IF(('Dvd Calendar'!$S$2067&gt;=GRID_FROM)*('Dvd Calendar'!$S$2067&lt;=GRID_TO)*('Dvd Calendar'!$S$2067&lt;=VAL_DATE)=0,"",'Dvd Calendar'!$S$2067*1000000000+ISNUMBER('Dvd Calendar'!$S$2070)*100000000+('Dvd Calendar'!$S$2072=SPECIAL_LBL)*10000000+0*1000000+47*1000+15))</f>
        <v/>
      </c>
      <c r="ET206" s="35">
        <f>IF(N('Dvd Calendar'!$T$2067)=0,"",IF(('Dvd Calendar'!$T$2067&gt;=GRID_FROM)*('Dvd Calendar'!$T$2067&lt;=GRID_TO)*('Dvd Calendar'!$T$2067&lt;=VAL_DATE)=0,"",'Dvd Calendar'!$T$2067*1000000000+ISNUMBER('Dvd Calendar'!$T$2070)*100000000+('Dvd Calendar'!$T$2072=SPECIAL_LBL)*10000000+0*1000000+47*1000+16))</f>
        <v/>
      </c>
      <c r="EU206" s="35">
        <f>IF(N('Dvd Calendar'!$U$2067)=0,"",IF(('Dvd Calendar'!$U$2067&gt;=GRID_FROM)*('Dvd Calendar'!$U$2067&lt;=GRID_TO)*('Dvd Calendar'!$U$2067&lt;=VAL_DATE)=0,"",'Dvd Calendar'!$U$2067*1000000000+ISNUMBER('Dvd Calendar'!$U$2070)*100000000+('Dvd Calendar'!$U$2072=SPECIAL_LBL)*10000000+0*1000000+47*1000+17))</f>
        <v/>
      </c>
      <c r="EV206" s="35">
        <f>IF(N('Dvd Calendar'!$V$2067)=0,"",IF(('Dvd Calendar'!$V$2067&gt;=GRID_FROM)*('Dvd Calendar'!$V$2067&lt;=GRID_TO)*('Dvd Calendar'!$V$2067&lt;=VAL_DATE)=0,"",'Dvd Calendar'!$V$2067*1000000000+ISNUMBER('Dvd Calendar'!$V$2070)*100000000+('Dvd Calendar'!$V$2072=SPECIAL_LBL)*10000000+0*1000000+47*1000+18))</f>
        <v/>
      </c>
      <c r="EW206" s="35">
        <f>IF(N('Dvd Calendar'!$W$2067)=0,"",IF(('Dvd Calendar'!$W$2067&gt;=GRID_FROM)*('Dvd Calendar'!$W$2067&lt;=GRID_TO)*('Dvd Calendar'!$W$2067&lt;=VAL_DATE)=0,"",'Dvd Calendar'!$W$2067*1000000000+ISNUMBER('Dvd Calendar'!$W$2070)*100000000+('Dvd Calendar'!$W$2072=SPECIAL_LBL)*10000000+0*1000000+47*1000+19))</f>
        <v/>
      </c>
      <c r="EX206" s="35">
        <f>IF(N('Dvd Calendar'!$X$2067)=0,"",IF(('Dvd Calendar'!$X$2067&gt;=GRID_FROM)*('Dvd Calendar'!$X$2067&lt;=GRID_TO)*('Dvd Calendar'!$X$2067&lt;=VAL_DATE)=0,"",'Dvd Calendar'!$X$2067*1000000000+ISNUMBER('Dvd Calendar'!$X$2070)*100000000+('Dvd Calendar'!$X$2072=SPECIAL_LBL)*10000000+0*1000000+47*1000+20))</f>
        <v/>
      </c>
      <c r="EY206" s="35">
        <f>IF(N('Dvd Calendar'!$Y$2067)=0,"",IF(('Dvd Calendar'!$Y$2067&gt;=GRID_FROM)*('Dvd Calendar'!$Y$2067&lt;=GRID_TO)*('Dvd Calendar'!$Y$2067&lt;=VAL_DATE)=0,"",'Dvd Calendar'!$Y$2067*1000000000+ISNUMBER('Dvd Calendar'!$Y$2070)*100000000+('Dvd Calendar'!$Y$2072=SPECIAL_LBL)*10000000+0*1000000+47*1000+21))</f>
        <v/>
      </c>
      <c r="EZ206" s="35">
        <f>IF(N('Dvd Calendar'!$Z$2067)=0,"",IF(('Dvd Calendar'!$Z$2067&gt;=GRID_FROM)*('Dvd Calendar'!$Z$2067&lt;=GRID_TO)*('Dvd Calendar'!$Z$2067&lt;=VAL_DATE)=0,"",'Dvd Calendar'!$Z$2067*1000000000+ISNUMBER('Dvd Calendar'!$Z$2070)*100000000+('Dvd Calendar'!$Z$2072=SPECIAL_LBL)*10000000+0*1000000+47*1000+22))</f>
        <v/>
      </c>
      <c r="FA206" s="35">
        <f>IF(N('Dvd Calendar'!$AA$2067)=0,"",IF(('Dvd Calendar'!$AA$2067&gt;=GRID_FROM)*('Dvd Calendar'!$AA$2067&lt;=GRID_TO)*('Dvd Calendar'!$AA$2067&lt;=VAL_DATE)=0,"",'Dvd Calendar'!$AA$2067*1000000000+ISNUMBER('Dvd Calendar'!$AA$2070)*100000000+('Dvd Calendar'!$AA$2072=SPECIAL_LBL)*10000000+0*1000000+47*1000+23))</f>
        <v/>
      </c>
      <c r="FB206" s="35">
        <f>IF(N('Dvd Calendar'!$AB$2067)=0,"",IF(('Dvd Calendar'!$AB$2067&gt;=GRID_FROM)*('Dvd Calendar'!$AB$2067&lt;=GRID_TO)*('Dvd Calendar'!$AB$2067&lt;=VAL_DATE)=0,"",'Dvd Calendar'!$AB$2067*1000000000+ISNUMBER('Dvd Calendar'!$AB$2070)*100000000+('Dvd Calendar'!$AB$2072=SPECIAL_LBL)*10000000+0*1000000+47*1000+24))</f>
        <v/>
      </c>
      <c r="FC206" s="35">
        <f>IF(N('Dvd Calendar'!$AC$2067)=0,"",IF(('Dvd Calendar'!$AC$2067&gt;=GRID_FROM)*('Dvd Calendar'!$AC$2067&lt;=GRID_TO)*('Dvd Calendar'!$AC$2067&lt;=VAL_DATE)=0,"",'Dvd Calendar'!$AC$2067*1000000000+ISNUMBER('Dvd Calendar'!$AC$2070)*100000000+('Dvd Calendar'!$AC$2072=SPECIAL_LBL)*10000000+0*1000000+47*1000+25))</f>
        <v/>
      </c>
      <c r="FD206" s="35">
        <f>IF(N('Dvd Calendar'!$AD$2067)=0,"",IF(('Dvd Calendar'!$AD$2067&gt;=GRID_FROM)*('Dvd Calendar'!$AD$2067&lt;=GRID_TO)*('Dvd Calendar'!$AD$2067&lt;=VAL_DATE)=0,"",'Dvd Calendar'!$AD$2067*1000000000+ISNUMBER('Dvd Calendar'!$AD$2070)*100000000+('Dvd Calendar'!$AD$2072=SPECIAL_LBL)*10000000+0*1000000+47*1000+26))</f>
        <v/>
      </c>
      <c r="FE206" s="35">
        <f>IF(N('Dvd Calendar'!$AE$2067)=0,"",IF(('Dvd Calendar'!$AE$2067&gt;=GRID_FROM)*('Dvd Calendar'!$AE$2067&lt;=GRID_TO)*('Dvd Calendar'!$AE$2067&lt;=VAL_DATE)=0,"",'Dvd Calendar'!$AE$2067*1000000000+ISNUMBER('Dvd Calendar'!$AE$2070)*100000000+('Dvd Calendar'!$AE$2072=SPECIAL_LBL)*10000000+0*1000000+47*1000+27))</f>
        <v/>
      </c>
      <c r="FF206" s="35">
        <f>IF(N('Dvd Calendar'!$AF$2067)=0,"",IF(('Dvd Calendar'!$AF$2067&gt;=GRID_FROM)*('Dvd Calendar'!$AF$2067&lt;=GRID_TO)*('Dvd Calendar'!$AF$2067&lt;=VAL_DATE)=0,"",'Dvd Calendar'!$AF$2067*1000000000+ISNUMBER('Dvd Calendar'!$AF$2070)*100000000+('Dvd Calendar'!$AF$2072=SPECIAL_LBL)*10000000+0*1000000+47*1000+28))</f>
        <v/>
      </c>
      <c r="FG206" s="35">
        <f>IF(N('Dvd Calendar'!$AG$2067)=0,"",IF(('Dvd Calendar'!$AG$2067&gt;=GRID_FROM)*('Dvd Calendar'!$AG$2067&lt;=GRID_TO)*('Dvd Calendar'!$AG$2067&lt;=VAL_DATE)=0,"",'Dvd Calendar'!$AG$2067*1000000000+ISNUMBER('Dvd Calendar'!$AG$2070)*100000000+('Dvd Calendar'!$AG$2072=SPECIAL_LBL)*10000000+0*1000000+47*1000+29))</f>
        <v/>
      </c>
      <c r="FH206" s="35">
        <f>IF(N('Dvd Calendar'!$AH$2067)=0,"",IF(('Dvd Calendar'!$AH$2067&gt;=GRID_FROM)*('Dvd Calendar'!$AH$2067&lt;=GRID_TO)*('Dvd Calendar'!$AH$2067&lt;=VAL_DATE)=0,"",'Dvd Calendar'!$AH$2067*1000000000+ISNUMBER('Dvd Calendar'!$AH$2070)*100000000+('Dvd Calendar'!$AH$2072=SPECIAL_LBL)*10000000+0*1000000+47*1000+30))</f>
        <v/>
      </c>
      <c r="FI206" s="35">
        <f>IF(N('Dvd Calendar'!$AI$2067)=0,"",IF(('Dvd Calendar'!$AI$2067&gt;=GRID_FROM)*('Dvd Calendar'!$AI$2067&lt;=GRID_TO)*('Dvd Calendar'!$AI$2067&lt;=VAL_DATE)=0,"",'Dvd Calendar'!$AI$2067*1000000000+ISNUMBER('Dvd Calendar'!$AI$2070)*100000000+('Dvd Calendar'!$AI$2072=SPECIAL_LBL)*10000000+0*1000000+47*1000+31))</f>
        <v/>
      </c>
      <c r="FJ206" s="35">
        <f>IF(N('Dvd Calendar'!$AJ$2067)=0,"",IF(('Dvd Calendar'!$AJ$2067&gt;=GRID_FROM)*('Dvd Calendar'!$AJ$2067&lt;=GRID_TO)*('Dvd Calendar'!$AJ$2067&lt;=VAL_DATE)=0,"",'Dvd Calendar'!$AJ$2067*1000000000+ISNUMBER('Dvd Calendar'!$AJ$2070)*100000000+('Dvd Calendar'!$AJ$2072=SPECIAL_LBL)*10000000+0*1000000+47*1000+32))</f>
        <v/>
      </c>
      <c r="FK206" s="35">
        <f>IF(N('Dvd Calendar'!$AK$2067)=0,"",IF(('Dvd Calendar'!$AK$2067&gt;=GRID_FROM)*('Dvd Calendar'!$AK$2067&lt;=GRID_TO)*('Dvd Calendar'!$AK$2067&lt;=VAL_DATE)=0,"",'Dvd Calendar'!$AK$2067*1000000000+ISNUMBER('Dvd Calendar'!$AK$2070)*100000000+('Dvd Calendar'!$AK$2072=SPECIAL_LBL)*10000000+0*1000000+47*1000+33))</f>
        <v/>
      </c>
      <c r="FL206" s="35">
        <f>IF(N('Dvd Calendar'!$AL$2067)=0,"",IF(('Dvd Calendar'!$AL$2067&gt;=GRID_FROM)*('Dvd Calendar'!$AL$2067&lt;=GRID_TO)*('Dvd Calendar'!$AL$2067&lt;=VAL_DATE)=0,"",'Dvd Calendar'!$AL$2067*1000000000+ISNUMBER('Dvd Calendar'!$AL$2070)*100000000+('Dvd Calendar'!$AL$2072=SPECIAL_LBL)*10000000+0*1000000+47*1000+34))</f>
        <v/>
      </c>
      <c r="FM206" s="35">
        <f>IF(N('Dvd Calendar'!$AM$2067)=0,"",IF(('Dvd Calendar'!$AM$2067&gt;=GRID_FROM)*('Dvd Calendar'!$AM$2067&lt;=GRID_TO)*('Dvd Calendar'!$AM$2067&lt;=VAL_DATE)=0,"",'Dvd Calendar'!$AM$2067*1000000000+ISNUMBER('Dvd Calendar'!$AM$2070)*100000000+('Dvd Calendar'!$AM$2072=SPECIAL_LBL)*10000000+0*1000000+47*1000+35))</f>
        <v/>
      </c>
      <c r="FN206" s="35">
        <f>IF(N('Dvd Calendar'!$AN$2067)=0,"",IF(('Dvd Calendar'!$AN$2067&gt;=GRID_FROM)*('Dvd Calendar'!$AN$2067&lt;=GRID_TO)*('Dvd Calendar'!$AN$2067&lt;=VAL_DATE)=0,"",'Dvd Calendar'!$AN$2067*1000000000+ISNUMBER('Dvd Calendar'!$AN$2070)*100000000+('Dvd Calendar'!$AN$2072=SPECIAL_LBL)*10000000+0*1000000+47*1000+36))</f>
        <v/>
      </c>
      <c r="FO206" s="35">
        <f>IF(N('Dvd Calendar'!$AO$2067)=0,"",IF(('Dvd Calendar'!$AO$2067&gt;=GRID_FROM)*('Dvd Calendar'!$AO$2067&lt;=GRID_TO)*('Dvd Calendar'!$AO$2067&lt;=VAL_DATE)=0,"",'Dvd Calendar'!$AO$2067*1000000000+ISNUMBER('Dvd Calendar'!$AO$2070)*100000000+('Dvd Calendar'!$AO$2072=SPECIAL_LBL)*10000000+0*1000000+47*1000+37))</f>
        <v/>
      </c>
      <c r="FP206" s="35">
        <f>IF(N('Dvd Calendar'!$AP$2067)=0,"",IF(('Dvd Calendar'!$AP$2067&gt;=GRID_FROM)*('Dvd Calendar'!$AP$2067&lt;=GRID_TO)*('Dvd Calendar'!$AP$2067&lt;=VAL_DATE)=0,"",'Dvd Calendar'!$AP$2067*1000000000+ISNUMBER('Dvd Calendar'!$AP$2070)*100000000+('Dvd Calendar'!$AP$2072=SPECIAL_LBL)*10000000+0*1000000+47*1000+38))</f>
        <v/>
      </c>
      <c r="FQ206" s="35">
        <f>IF(N('Dvd Calendar'!$AQ$2067)=0,"",IF(('Dvd Calendar'!$AQ$2067&gt;=GRID_FROM)*('Dvd Calendar'!$AQ$2067&lt;=GRID_TO)*('Dvd Calendar'!$AQ$2067&lt;=VAL_DATE)=0,"",'Dvd Calendar'!$AQ$2067*1000000000+ISNUMBER('Dvd Calendar'!$AQ$2070)*100000000+('Dvd Calendar'!$AQ$2072=SPECIAL_LBL)*10000000+0*1000000+47*1000+39))</f>
        <v/>
      </c>
      <c r="FR206" s="35">
        <f>IF(N('Dvd Calendar'!$AR$2067)=0,"",IF(('Dvd Calendar'!$AR$2067&gt;=GRID_FROM)*('Dvd Calendar'!$AR$2067&lt;=GRID_TO)*('Dvd Calendar'!$AR$2067&lt;=VAL_DATE)=0,"",'Dvd Calendar'!$AR$2067*1000000000+ISNUMBER('Dvd Calendar'!$AR$2070)*100000000+('Dvd Calendar'!$AR$2072=SPECIAL_LBL)*10000000+0*1000000+47*1000+40))</f>
        <v/>
      </c>
      <c r="FS206" s="35">
        <f>IF(N('Dvd Calendar'!$E$2074)=0,"",IF(('Dvd Calendar'!$E$2074&gt;=GRID_FROM)*('Dvd Calendar'!$E$2074&lt;=GRID_TO)*('Dvd Calendar'!$E$2074&gt;VAL_DATE)=0,"",'Dvd Calendar'!$E$2074*1000000000+ISNUMBER('Dvd Calendar'!$E$2075)*100000000+0*10000000+(N('Dvd Calendar'!$E$2073)&gt;0)*(N('Dvd Calendar'!$E$2073)&lt;=VAL_SERIAL)*1000000+47*1000+41))</f>
        <v/>
      </c>
      <c r="FT206" s="35">
        <f>IF(N('Dvd Calendar'!$F$2074)=0,"",IF(('Dvd Calendar'!$F$2074&gt;=GRID_FROM)*('Dvd Calendar'!$F$2074&lt;=GRID_TO)*('Dvd Calendar'!$F$2074&gt;VAL_DATE)=0,"",'Dvd Calendar'!$F$2074*1000000000+ISNUMBER('Dvd Calendar'!$F$2075)*100000000+0*10000000+(N('Dvd Calendar'!$F$2073)&gt;0)*(N('Dvd Calendar'!$F$2073)&lt;=VAL_SERIAL)*1000000+47*1000+42))</f>
        <v/>
      </c>
      <c r="FU206" s="35">
        <f>IF(N('Dvd Calendar'!$G$2074)=0,"",IF(('Dvd Calendar'!$G$2074&gt;=GRID_FROM)*('Dvd Calendar'!$G$2074&lt;=GRID_TO)*('Dvd Calendar'!$G$2074&gt;VAL_DATE)=0,"",'Dvd Calendar'!$G$2074*1000000000+ISNUMBER('Dvd Calendar'!$G$2075)*100000000+0*10000000+(N('Dvd Calendar'!$G$2073)&gt;0)*(N('Dvd Calendar'!$G$2073)&lt;=VAL_SERIAL)*1000000+47*1000+43))</f>
        <v/>
      </c>
      <c r="FV206" s="35">
        <f>IF(N('Dvd Calendar'!$H$2074)=0,"",IF(('Dvd Calendar'!$H$2074&gt;=GRID_FROM)*('Dvd Calendar'!$H$2074&lt;=GRID_TO)*('Dvd Calendar'!$H$2074&gt;VAL_DATE)=0,"",'Dvd Calendar'!$H$2074*1000000000+ISNUMBER('Dvd Calendar'!$H$2075)*100000000+0*10000000+(N('Dvd Calendar'!$H$2073)&gt;0)*(N('Dvd Calendar'!$H$2073)&lt;=VAL_SERIAL)*1000000+47*1000+44))</f>
        <v/>
      </c>
      <c r="FW206" s="35">
        <f>IF(N('Dvd Calendar'!$I$2074)=0,"",IF(('Dvd Calendar'!$I$2074&gt;=GRID_FROM)*('Dvd Calendar'!$I$2074&lt;=GRID_TO)*('Dvd Calendar'!$I$2074&gt;VAL_DATE)=0,"",'Dvd Calendar'!$I$2074*1000000000+ISNUMBER('Dvd Calendar'!$I$2075)*100000000+0*10000000+(N('Dvd Calendar'!$I$2073)&gt;0)*(N('Dvd Calendar'!$I$2073)&lt;=VAL_SERIAL)*1000000+47*1000+45))</f>
        <v/>
      </c>
      <c r="FX206" s="35">
        <f>IF(N('Dvd Calendar'!$J$2074)=0,"",IF(('Dvd Calendar'!$J$2074&gt;=GRID_FROM)*('Dvd Calendar'!$J$2074&lt;=GRID_TO)*('Dvd Calendar'!$J$2074&gt;VAL_DATE)=0,"",'Dvd Calendar'!$J$2074*1000000000+ISNUMBER('Dvd Calendar'!$J$2075)*100000000+0*10000000+(N('Dvd Calendar'!$J$2073)&gt;0)*(N('Dvd Calendar'!$J$2073)&lt;=VAL_SERIAL)*1000000+47*1000+46))</f>
        <v/>
      </c>
      <c r="FY206" s="35">
        <f>IF(N('Dvd Calendar'!$K$2074)=0,"",IF(('Dvd Calendar'!$K$2074&gt;=GRID_FROM)*('Dvd Calendar'!$K$2074&lt;=GRID_TO)*('Dvd Calendar'!$K$2074&gt;VAL_DATE)=0,"",'Dvd Calendar'!$K$2074*1000000000+ISNUMBER('Dvd Calendar'!$K$2075)*100000000+0*10000000+(N('Dvd Calendar'!$K$2073)&gt;0)*(N('Dvd Calendar'!$K$2073)&lt;=VAL_SERIAL)*1000000+47*1000+47))</f>
        <v/>
      </c>
      <c r="FZ206" s="35">
        <f>IF(N('Dvd Calendar'!$L$2074)=0,"",IF(('Dvd Calendar'!$L$2074&gt;=GRID_FROM)*('Dvd Calendar'!$L$2074&lt;=GRID_TO)*('Dvd Calendar'!$L$2074&gt;VAL_DATE)=0,"",'Dvd Calendar'!$L$2074*1000000000+ISNUMBER('Dvd Calendar'!$L$2075)*100000000+0*10000000+(N('Dvd Calendar'!$L$2073)&gt;0)*(N('Dvd Calendar'!$L$2073)&lt;=VAL_SERIAL)*1000000+47*1000+48))</f>
        <v/>
      </c>
      <c r="GA206" s="35">
        <f>IF(N('Dvd Calendar'!$M$2074)=0,"",IF(('Dvd Calendar'!$M$2074&gt;=GRID_FROM)*('Dvd Calendar'!$M$2074&lt;=GRID_TO)*('Dvd Calendar'!$M$2074&gt;VAL_DATE)=0,"",'Dvd Calendar'!$M$2074*1000000000+ISNUMBER('Dvd Calendar'!$M$2075)*100000000+0*10000000+(N('Dvd Calendar'!$M$2073)&gt;0)*(N('Dvd Calendar'!$M$2073)&lt;=VAL_SERIAL)*1000000+47*1000+49))</f>
        <v/>
      </c>
      <c r="GB206" s="35">
        <f>IF(N('Dvd Calendar'!$N$2074)=0,"",IF(('Dvd Calendar'!$N$2074&gt;=GRID_FROM)*('Dvd Calendar'!$N$2074&lt;=GRID_TO)*('Dvd Calendar'!$N$2074&gt;VAL_DATE)=0,"",'Dvd Calendar'!$N$2074*1000000000+ISNUMBER('Dvd Calendar'!$N$2075)*100000000+0*10000000+(N('Dvd Calendar'!$N$2073)&gt;0)*(N('Dvd Calendar'!$N$2073)&lt;=VAL_SERIAL)*1000000+47*1000+50))</f>
        <v/>
      </c>
      <c r="GC206" s="35">
        <f>IF(N('Dvd Calendar'!$O$2074)=0,"",IF(('Dvd Calendar'!$O$2074&gt;=GRID_FROM)*('Dvd Calendar'!$O$2074&lt;=GRID_TO)*('Dvd Calendar'!$O$2074&gt;VAL_DATE)=0,"",'Dvd Calendar'!$O$2074*1000000000+ISNUMBER('Dvd Calendar'!$O$2075)*100000000+0*10000000+(N('Dvd Calendar'!$O$2073)&gt;0)*(N('Dvd Calendar'!$O$2073)&lt;=VAL_SERIAL)*1000000+47*1000+51))</f>
        <v/>
      </c>
      <c r="GD206" s="35">
        <f>IF(N('Dvd Calendar'!$P$2074)=0,"",IF(('Dvd Calendar'!$P$2074&gt;=GRID_FROM)*('Dvd Calendar'!$P$2074&lt;=GRID_TO)*('Dvd Calendar'!$P$2074&gt;VAL_DATE)=0,"",'Dvd Calendar'!$P$2074*1000000000+ISNUMBER('Dvd Calendar'!$P$2075)*100000000+0*10000000+(N('Dvd Calendar'!$P$2073)&gt;0)*(N('Dvd Calendar'!$P$2073)&lt;=VAL_SERIAL)*1000000+47*1000+52))</f>
        <v/>
      </c>
      <c r="GE206" s="35">
        <f>IF(N('Dvd Calendar'!$Q$2074)=0,"",IF(('Dvd Calendar'!$Q$2074&gt;=GRID_FROM)*('Dvd Calendar'!$Q$2074&lt;=GRID_TO)*('Dvd Calendar'!$Q$2074&gt;VAL_DATE)=0,"",'Dvd Calendar'!$Q$2074*1000000000+ISNUMBER('Dvd Calendar'!$Q$2075)*100000000+0*10000000+(N('Dvd Calendar'!$Q$2073)&gt;0)*(N('Dvd Calendar'!$Q$2073)&lt;=VAL_SERIAL)*1000000+47*1000+53))</f>
        <v/>
      </c>
      <c r="GF206" s="35">
        <f>IF(N('Dvd Calendar'!$R$2074)=0,"",IF(('Dvd Calendar'!$R$2074&gt;=GRID_FROM)*('Dvd Calendar'!$R$2074&lt;=GRID_TO)*('Dvd Calendar'!$R$2074&gt;VAL_DATE)=0,"",'Dvd Calendar'!$R$2074*1000000000+ISNUMBER('Dvd Calendar'!$R$2075)*100000000+0*10000000+(N('Dvd Calendar'!$R$2073)&gt;0)*(N('Dvd Calendar'!$R$2073)&lt;=VAL_SERIAL)*1000000+47*1000+54))</f>
        <v/>
      </c>
      <c r="GG206" s="35">
        <f>IF(N('Dvd Calendar'!$S$2074)=0,"",IF(('Dvd Calendar'!$S$2074&gt;=GRID_FROM)*('Dvd Calendar'!$S$2074&lt;=GRID_TO)*('Dvd Calendar'!$S$2074&gt;VAL_DATE)=0,"",'Dvd Calendar'!$S$2074*1000000000+ISNUMBER('Dvd Calendar'!$S$2075)*100000000+0*10000000+(N('Dvd Calendar'!$S$2073)&gt;0)*(N('Dvd Calendar'!$S$2073)&lt;=VAL_SERIAL)*1000000+47*1000+55))</f>
        <v/>
      </c>
      <c r="GH206" s="35">
        <f>IF(N('Dvd Calendar'!$T$2074)=0,"",IF(('Dvd Calendar'!$T$2074&gt;=GRID_FROM)*('Dvd Calendar'!$T$2074&lt;=GRID_TO)*('Dvd Calendar'!$T$2074&gt;VAL_DATE)=0,"",'Dvd Calendar'!$T$2074*1000000000+ISNUMBER('Dvd Calendar'!$T$2075)*100000000+0*10000000+(N('Dvd Calendar'!$T$2073)&gt;0)*(N('Dvd Calendar'!$T$2073)&lt;=VAL_SERIAL)*1000000+47*1000+56))</f>
        <v/>
      </c>
      <c r="GI206" s="35">
        <f>IF(N('Dvd Calendar'!$U$2074)=0,"",IF(('Dvd Calendar'!$U$2074&gt;=GRID_FROM)*('Dvd Calendar'!$U$2074&lt;=GRID_TO)*('Dvd Calendar'!$U$2074&gt;VAL_DATE)=0,"",'Dvd Calendar'!$U$2074*1000000000+ISNUMBER('Dvd Calendar'!$U$2075)*100000000+0*10000000+(N('Dvd Calendar'!$U$2073)&gt;0)*(N('Dvd Calendar'!$U$2073)&lt;=VAL_SERIAL)*1000000+47*1000+57))</f>
        <v/>
      </c>
      <c r="GJ206" s="35">
        <f>IF(N('Dvd Calendar'!$V$2074)=0,"",IF(('Dvd Calendar'!$V$2074&gt;=GRID_FROM)*('Dvd Calendar'!$V$2074&lt;=GRID_TO)*('Dvd Calendar'!$V$2074&gt;VAL_DATE)=0,"",'Dvd Calendar'!$V$2074*1000000000+ISNUMBER('Dvd Calendar'!$V$2075)*100000000+0*10000000+(N('Dvd Calendar'!$V$2073)&gt;0)*(N('Dvd Calendar'!$V$2073)&lt;=VAL_SERIAL)*1000000+47*1000+58))</f>
        <v/>
      </c>
      <c r="GK206" s="35">
        <f>IF(N('Dvd Calendar'!$W$2074)=0,"",IF(('Dvd Calendar'!$W$2074&gt;=GRID_FROM)*('Dvd Calendar'!$W$2074&lt;=GRID_TO)*('Dvd Calendar'!$W$2074&gt;VAL_DATE)=0,"",'Dvd Calendar'!$W$2074*1000000000+ISNUMBER('Dvd Calendar'!$W$2075)*100000000+0*10000000+(N('Dvd Calendar'!$W$2073)&gt;0)*(N('Dvd Calendar'!$W$2073)&lt;=VAL_SERIAL)*1000000+47*1000+59))</f>
        <v/>
      </c>
      <c r="GL206" s="35">
        <f>IF(N('Dvd Calendar'!$X$2074)=0,"",IF(('Dvd Calendar'!$X$2074&gt;=GRID_FROM)*('Dvd Calendar'!$X$2074&lt;=GRID_TO)*('Dvd Calendar'!$X$2074&gt;VAL_DATE)=0,"",'Dvd Calendar'!$X$2074*1000000000+ISNUMBER('Dvd Calendar'!$X$2075)*100000000+0*10000000+(N('Dvd Calendar'!$X$2073)&gt;0)*(N('Dvd Calendar'!$X$2073)&lt;=VAL_SERIAL)*1000000+47*1000+60))</f>
        <v/>
      </c>
      <c r="GM206" s="35">
        <f>IF(N('Dvd Calendar'!$Y$2074)=0,"",IF(('Dvd Calendar'!$Y$2074&gt;=GRID_FROM)*('Dvd Calendar'!$Y$2074&lt;=GRID_TO)*('Dvd Calendar'!$Y$2074&gt;VAL_DATE)=0,"",'Dvd Calendar'!$Y$2074*1000000000+ISNUMBER('Dvd Calendar'!$Y$2075)*100000000+0*10000000+(N('Dvd Calendar'!$Y$2073)&gt;0)*(N('Dvd Calendar'!$Y$2073)&lt;=VAL_SERIAL)*1000000+47*1000+61))</f>
        <v/>
      </c>
      <c r="GN206" s="35">
        <f>IF(N('Dvd Calendar'!$Z$2074)=0,"",IF(('Dvd Calendar'!$Z$2074&gt;=GRID_FROM)*('Dvd Calendar'!$Z$2074&lt;=GRID_TO)*('Dvd Calendar'!$Z$2074&gt;VAL_DATE)=0,"",'Dvd Calendar'!$Z$2074*1000000000+ISNUMBER('Dvd Calendar'!$Z$2075)*100000000+0*10000000+(N('Dvd Calendar'!$Z$2073)&gt;0)*(N('Dvd Calendar'!$Z$2073)&lt;=VAL_SERIAL)*1000000+47*1000+62))</f>
        <v/>
      </c>
      <c r="GO206" s="35">
        <f>IF(N('Dvd Calendar'!$AA$2074)=0,"",IF(('Dvd Calendar'!$AA$2074&gt;=GRID_FROM)*('Dvd Calendar'!$AA$2074&lt;=GRID_TO)*('Dvd Calendar'!$AA$2074&gt;VAL_DATE)=0,"",'Dvd Calendar'!$AA$2074*1000000000+ISNUMBER('Dvd Calendar'!$AA$2075)*100000000+0*10000000+(N('Dvd Calendar'!$AA$2073)&gt;0)*(N('Dvd Calendar'!$AA$2073)&lt;=VAL_SERIAL)*1000000+47*1000+63))</f>
        <v/>
      </c>
      <c r="GP206" s="35">
        <f>IF(N('Dvd Calendar'!$AB$2074)=0,"",IF(('Dvd Calendar'!$AB$2074&gt;=GRID_FROM)*('Dvd Calendar'!$AB$2074&lt;=GRID_TO)*('Dvd Calendar'!$AB$2074&gt;VAL_DATE)=0,"",'Dvd Calendar'!$AB$2074*1000000000+ISNUMBER('Dvd Calendar'!$AB$2075)*100000000+0*10000000+(N('Dvd Calendar'!$AB$2073)&gt;0)*(N('Dvd Calendar'!$AB$2073)&lt;=VAL_SERIAL)*1000000+47*1000+64))</f>
        <v/>
      </c>
      <c r="GQ206" s="35">
        <f>IF(N('Dvd Calendar'!$AC$2074)=0,"",IF(('Dvd Calendar'!$AC$2074&gt;=GRID_FROM)*('Dvd Calendar'!$AC$2074&lt;=GRID_TO)*('Dvd Calendar'!$AC$2074&gt;VAL_DATE)=0,"",'Dvd Calendar'!$AC$2074*1000000000+ISNUMBER('Dvd Calendar'!$AC$2075)*100000000+0*10000000+(N('Dvd Calendar'!$AC$2073)&gt;0)*(N('Dvd Calendar'!$AC$2073)&lt;=VAL_SERIAL)*1000000+47*1000+65))</f>
        <v/>
      </c>
    </row>
    <row r="207">
      <c r="B207" s="2">
        <f>IF(HSCEI!$C$54="","",HSCEI!$C$54)</f>
        <v/>
      </c>
      <c r="C207" s="106">
        <f>IF(EE207="","",IF(ISNUMBER('Dvd Calendar'!$E$2081)=FALSE,"",IF((('Dvd Calendar'!$E$2083=TYPE1)*(TYPE1&lt;&gt;"")+('Dvd Calendar'!$E$2083=TYPE2)*(TYPE2&lt;&gt;"")+('Dvd Calendar'!$E$2083=TYPE3)*(TYPE3&lt;&gt;"")+('Dvd Calendar'!$E$2083=TYPE4)*(TYPE4&lt;&gt;"")+('Dvd Calendar'!$E$2083=SPECIAL_LBL)*(INC_SPECIALS="Y"))=0,"",'Dvd Calendar'!$E$2081)))</f>
        <v/>
      </c>
      <c r="D207" s="106">
        <f>IF(EF207="","",IF(ISNUMBER('Dvd Calendar'!$F$2081)=FALSE,"",IF((('Dvd Calendar'!$F$2083=TYPE1)*(TYPE1&lt;&gt;"")+('Dvd Calendar'!$F$2083=TYPE2)*(TYPE2&lt;&gt;"")+('Dvd Calendar'!$F$2083=TYPE3)*(TYPE3&lt;&gt;"")+('Dvd Calendar'!$F$2083=TYPE4)*(TYPE4&lt;&gt;"")+('Dvd Calendar'!$F$2083=SPECIAL_LBL)*(INC_SPECIALS="Y"))=0,"",'Dvd Calendar'!$F$2081)))</f>
        <v/>
      </c>
      <c r="E207" s="106">
        <f>IF(EG207="","",IF(ISNUMBER('Dvd Calendar'!$G$2081)=FALSE,"",IF((('Dvd Calendar'!$G$2083=TYPE1)*(TYPE1&lt;&gt;"")+('Dvd Calendar'!$G$2083=TYPE2)*(TYPE2&lt;&gt;"")+('Dvd Calendar'!$G$2083=TYPE3)*(TYPE3&lt;&gt;"")+('Dvd Calendar'!$G$2083=TYPE4)*(TYPE4&lt;&gt;"")+('Dvd Calendar'!$G$2083=SPECIAL_LBL)*(INC_SPECIALS="Y"))=0,"",'Dvd Calendar'!$G$2081)))</f>
        <v/>
      </c>
      <c r="F207" s="106">
        <f>IF(EH207="","",IF(ISNUMBER('Dvd Calendar'!$H$2081)=FALSE,"",IF((('Dvd Calendar'!$H$2083=TYPE1)*(TYPE1&lt;&gt;"")+('Dvd Calendar'!$H$2083=TYPE2)*(TYPE2&lt;&gt;"")+('Dvd Calendar'!$H$2083=TYPE3)*(TYPE3&lt;&gt;"")+('Dvd Calendar'!$H$2083=TYPE4)*(TYPE4&lt;&gt;"")+('Dvd Calendar'!$H$2083=SPECIAL_LBL)*(INC_SPECIALS="Y"))=0,"",'Dvd Calendar'!$H$2081)))</f>
        <v/>
      </c>
      <c r="G207" s="106">
        <f>IF(EI207="","",IF(ISNUMBER('Dvd Calendar'!$I$2081)=FALSE,"",IF((('Dvd Calendar'!$I$2083=TYPE1)*(TYPE1&lt;&gt;"")+('Dvd Calendar'!$I$2083=TYPE2)*(TYPE2&lt;&gt;"")+('Dvd Calendar'!$I$2083=TYPE3)*(TYPE3&lt;&gt;"")+('Dvd Calendar'!$I$2083=TYPE4)*(TYPE4&lt;&gt;"")+('Dvd Calendar'!$I$2083=SPECIAL_LBL)*(INC_SPECIALS="Y"))=0,"",'Dvd Calendar'!$I$2081)))</f>
        <v/>
      </c>
      <c r="H207" s="106">
        <f>IF(EJ207="","",IF(ISNUMBER('Dvd Calendar'!$J$2081)=FALSE,"",IF((('Dvd Calendar'!$J$2083=TYPE1)*(TYPE1&lt;&gt;"")+('Dvd Calendar'!$J$2083=TYPE2)*(TYPE2&lt;&gt;"")+('Dvd Calendar'!$J$2083=TYPE3)*(TYPE3&lt;&gt;"")+('Dvd Calendar'!$J$2083=TYPE4)*(TYPE4&lt;&gt;"")+('Dvd Calendar'!$J$2083=SPECIAL_LBL)*(INC_SPECIALS="Y"))=0,"",'Dvd Calendar'!$J$2081)))</f>
        <v/>
      </c>
      <c r="I207" s="106">
        <f>IF(EK207="","",IF(ISNUMBER('Dvd Calendar'!$K$2081)=FALSE,"",IF((('Dvd Calendar'!$K$2083=TYPE1)*(TYPE1&lt;&gt;"")+('Dvd Calendar'!$K$2083=TYPE2)*(TYPE2&lt;&gt;"")+('Dvd Calendar'!$K$2083=TYPE3)*(TYPE3&lt;&gt;"")+('Dvd Calendar'!$K$2083=TYPE4)*(TYPE4&lt;&gt;"")+('Dvd Calendar'!$K$2083=SPECIAL_LBL)*(INC_SPECIALS="Y"))=0,"",'Dvd Calendar'!$K$2081)))</f>
        <v/>
      </c>
      <c r="J207" s="106">
        <f>IF(EL207="","",IF(ISNUMBER('Dvd Calendar'!$L$2081)=FALSE,"",IF((('Dvd Calendar'!$L$2083=TYPE1)*(TYPE1&lt;&gt;"")+('Dvd Calendar'!$L$2083=TYPE2)*(TYPE2&lt;&gt;"")+('Dvd Calendar'!$L$2083=TYPE3)*(TYPE3&lt;&gt;"")+('Dvd Calendar'!$L$2083=TYPE4)*(TYPE4&lt;&gt;"")+('Dvd Calendar'!$L$2083=SPECIAL_LBL)*(INC_SPECIALS="Y"))=0,"",'Dvd Calendar'!$L$2081)))</f>
        <v/>
      </c>
      <c r="K207" s="106">
        <f>IF(EM207="","",IF(ISNUMBER('Dvd Calendar'!$M$2081)=FALSE,"",IF((('Dvd Calendar'!$M$2083=TYPE1)*(TYPE1&lt;&gt;"")+('Dvd Calendar'!$M$2083=TYPE2)*(TYPE2&lt;&gt;"")+('Dvd Calendar'!$M$2083=TYPE3)*(TYPE3&lt;&gt;"")+('Dvd Calendar'!$M$2083=TYPE4)*(TYPE4&lt;&gt;"")+('Dvd Calendar'!$M$2083=SPECIAL_LBL)*(INC_SPECIALS="Y"))=0,"",'Dvd Calendar'!$M$2081)))</f>
        <v/>
      </c>
      <c r="L207" s="106">
        <f>IF(EN207="","",IF(ISNUMBER('Dvd Calendar'!$N$2081)=FALSE,"",IF((('Dvd Calendar'!$N$2083=TYPE1)*(TYPE1&lt;&gt;"")+('Dvd Calendar'!$N$2083=TYPE2)*(TYPE2&lt;&gt;"")+('Dvd Calendar'!$N$2083=TYPE3)*(TYPE3&lt;&gt;"")+('Dvd Calendar'!$N$2083=TYPE4)*(TYPE4&lt;&gt;"")+('Dvd Calendar'!$N$2083=SPECIAL_LBL)*(INC_SPECIALS="Y"))=0,"",'Dvd Calendar'!$N$2081)))</f>
        <v/>
      </c>
      <c r="M207" s="106">
        <f>IF(EO207="","",IF(ISNUMBER('Dvd Calendar'!$O$2081)=FALSE,"",IF((('Dvd Calendar'!$O$2083=TYPE1)*(TYPE1&lt;&gt;"")+('Dvd Calendar'!$O$2083=TYPE2)*(TYPE2&lt;&gt;"")+('Dvd Calendar'!$O$2083=TYPE3)*(TYPE3&lt;&gt;"")+('Dvd Calendar'!$O$2083=TYPE4)*(TYPE4&lt;&gt;"")+('Dvd Calendar'!$O$2083=SPECIAL_LBL)*(INC_SPECIALS="Y"))=0,"",'Dvd Calendar'!$O$2081)))</f>
        <v/>
      </c>
      <c r="N207" s="106">
        <f>IF(EP207="","",IF(ISNUMBER('Dvd Calendar'!$P$2081)=FALSE,"",IF((('Dvd Calendar'!$P$2083=TYPE1)*(TYPE1&lt;&gt;"")+('Dvd Calendar'!$P$2083=TYPE2)*(TYPE2&lt;&gt;"")+('Dvd Calendar'!$P$2083=TYPE3)*(TYPE3&lt;&gt;"")+('Dvd Calendar'!$P$2083=TYPE4)*(TYPE4&lt;&gt;"")+('Dvd Calendar'!$P$2083=SPECIAL_LBL)*(INC_SPECIALS="Y"))=0,"",'Dvd Calendar'!$P$2081)))</f>
        <v/>
      </c>
      <c r="O207" s="106">
        <f>IF(EQ207="","",IF(ISNUMBER('Dvd Calendar'!$Q$2081)=FALSE,"",IF((('Dvd Calendar'!$Q$2083=TYPE1)*(TYPE1&lt;&gt;"")+('Dvd Calendar'!$Q$2083=TYPE2)*(TYPE2&lt;&gt;"")+('Dvd Calendar'!$Q$2083=TYPE3)*(TYPE3&lt;&gt;"")+('Dvd Calendar'!$Q$2083=TYPE4)*(TYPE4&lt;&gt;"")+('Dvd Calendar'!$Q$2083=SPECIAL_LBL)*(INC_SPECIALS="Y"))=0,"",'Dvd Calendar'!$Q$2081)))</f>
        <v/>
      </c>
      <c r="P207" s="106">
        <f>IF(ER207="","",IF(ISNUMBER('Dvd Calendar'!$R$2081)=FALSE,"",IF((('Dvd Calendar'!$R$2083=TYPE1)*(TYPE1&lt;&gt;"")+('Dvd Calendar'!$R$2083=TYPE2)*(TYPE2&lt;&gt;"")+('Dvd Calendar'!$R$2083=TYPE3)*(TYPE3&lt;&gt;"")+('Dvd Calendar'!$R$2083=TYPE4)*(TYPE4&lt;&gt;"")+('Dvd Calendar'!$R$2083=SPECIAL_LBL)*(INC_SPECIALS="Y"))=0,"",'Dvd Calendar'!$R$2081)))</f>
        <v/>
      </c>
      <c r="Q207" s="106">
        <f>IF(ES207="","",IF(ISNUMBER('Dvd Calendar'!$S$2081)=FALSE,"",IF((('Dvd Calendar'!$S$2083=TYPE1)*(TYPE1&lt;&gt;"")+('Dvd Calendar'!$S$2083=TYPE2)*(TYPE2&lt;&gt;"")+('Dvd Calendar'!$S$2083=TYPE3)*(TYPE3&lt;&gt;"")+('Dvd Calendar'!$S$2083=TYPE4)*(TYPE4&lt;&gt;"")+('Dvd Calendar'!$S$2083=SPECIAL_LBL)*(INC_SPECIALS="Y"))=0,"",'Dvd Calendar'!$S$2081)))</f>
        <v/>
      </c>
      <c r="R207" s="106">
        <f>IF(ET207="","",IF(ISNUMBER('Dvd Calendar'!$T$2081)=FALSE,"",IF((('Dvd Calendar'!$T$2083=TYPE1)*(TYPE1&lt;&gt;"")+('Dvd Calendar'!$T$2083=TYPE2)*(TYPE2&lt;&gt;"")+('Dvd Calendar'!$T$2083=TYPE3)*(TYPE3&lt;&gt;"")+('Dvd Calendar'!$T$2083=TYPE4)*(TYPE4&lt;&gt;"")+('Dvd Calendar'!$T$2083=SPECIAL_LBL)*(INC_SPECIALS="Y"))=0,"",'Dvd Calendar'!$T$2081)))</f>
        <v/>
      </c>
      <c r="S207" s="106">
        <f>IF(EU207="","",IF(ISNUMBER('Dvd Calendar'!$U$2081)=FALSE,"",IF((('Dvd Calendar'!$U$2083=TYPE1)*(TYPE1&lt;&gt;"")+('Dvd Calendar'!$U$2083=TYPE2)*(TYPE2&lt;&gt;"")+('Dvd Calendar'!$U$2083=TYPE3)*(TYPE3&lt;&gt;"")+('Dvd Calendar'!$U$2083=TYPE4)*(TYPE4&lt;&gt;"")+('Dvd Calendar'!$U$2083=SPECIAL_LBL)*(INC_SPECIALS="Y"))=0,"",'Dvd Calendar'!$U$2081)))</f>
        <v/>
      </c>
      <c r="T207" s="106">
        <f>IF(EV207="","",IF(ISNUMBER('Dvd Calendar'!$V$2081)=FALSE,"",IF((('Dvd Calendar'!$V$2083=TYPE1)*(TYPE1&lt;&gt;"")+('Dvd Calendar'!$V$2083=TYPE2)*(TYPE2&lt;&gt;"")+('Dvd Calendar'!$V$2083=TYPE3)*(TYPE3&lt;&gt;"")+('Dvd Calendar'!$V$2083=TYPE4)*(TYPE4&lt;&gt;"")+('Dvd Calendar'!$V$2083=SPECIAL_LBL)*(INC_SPECIALS="Y"))=0,"",'Dvd Calendar'!$V$2081)))</f>
        <v/>
      </c>
      <c r="U207" s="106">
        <f>IF(EW207="","",IF(ISNUMBER('Dvd Calendar'!$W$2081)=FALSE,"",IF((('Dvd Calendar'!$W$2083=TYPE1)*(TYPE1&lt;&gt;"")+('Dvd Calendar'!$W$2083=TYPE2)*(TYPE2&lt;&gt;"")+('Dvd Calendar'!$W$2083=TYPE3)*(TYPE3&lt;&gt;"")+('Dvd Calendar'!$W$2083=TYPE4)*(TYPE4&lt;&gt;"")+('Dvd Calendar'!$W$2083=SPECIAL_LBL)*(INC_SPECIALS="Y"))=0,"",'Dvd Calendar'!$W$2081)))</f>
        <v/>
      </c>
      <c r="V207" s="106">
        <f>IF(EX207="","",IF(ISNUMBER('Dvd Calendar'!$X$2081)=FALSE,"",IF((('Dvd Calendar'!$X$2083=TYPE1)*(TYPE1&lt;&gt;"")+('Dvd Calendar'!$X$2083=TYPE2)*(TYPE2&lt;&gt;"")+('Dvd Calendar'!$X$2083=TYPE3)*(TYPE3&lt;&gt;"")+('Dvd Calendar'!$X$2083=TYPE4)*(TYPE4&lt;&gt;"")+('Dvd Calendar'!$X$2083=SPECIAL_LBL)*(INC_SPECIALS="Y"))=0,"",'Dvd Calendar'!$X$2081)))</f>
        <v/>
      </c>
      <c r="W207" s="106">
        <f>IF(EY207="","",IF(ISNUMBER('Dvd Calendar'!$Y$2081)=FALSE,"",IF((('Dvd Calendar'!$Y$2083=TYPE1)*(TYPE1&lt;&gt;"")+('Dvd Calendar'!$Y$2083=TYPE2)*(TYPE2&lt;&gt;"")+('Dvd Calendar'!$Y$2083=TYPE3)*(TYPE3&lt;&gt;"")+('Dvd Calendar'!$Y$2083=TYPE4)*(TYPE4&lt;&gt;"")+('Dvd Calendar'!$Y$2083=SPECIAL_LBL)*(INC_SPECIALS="Y"))=0,"",'Dvd Calendar'!$Y$2081)))</f>
        <v/>
      </c>
      <c r="X207" s="106">
        <f>IF(EZ207="","",IF(ISNUMBER('Dvd Calendar'!$Z$2081)=FALSE,"",IF((('Dvd Calendar'!$Z$2083=TYPE1)*(TYPE1&lt;&gt;"")+('Dvd Calendar'!$Z$2083=TYPE2)*(TYPE2&lt;&gt;"")+('Dvd Calendar'!$Z$2083=TYPE3)*(TYPE3&lt;&gt;"")+('Dvd Calendar'!$Z$2083=TYPE4)*(TYPE4&lt;&gt;"")+('Dvd Calendar'!$Z$2083=SPECIAL_LBL)*(INC_SPECIALS="Y"))=0,"",'Dvd Calendar'!$Z$2081)))</f>
        <v/>
      </c>
      <c r="Y207" s="106">
        <f>IF(FA207="","",IF(ISNUMBER('Dvd Calendar'!$AA$2081)=FALSE,"",IF((('Dvd Calendar'!$AA$2083=TYPE1)*(TYPE1&lt;&gt;"")+('Dvd Calendar'!$AA$2083=TYPE2)*(TYPE2&lt;&gt;"")+('Dvd Calendar'!$AA$2083=TYPE3)*(TYPE3&lt;&gt;"")+('Dvd Calendar'!$AA$2083=TYPE4)*(TYPE4&lt;&gt;"")+('Dvd Calendar'!$AA$2083=SPECIAL_LBL)*(INC_SPECIALS="Y"))=0,"",'Dvd Calendar'!$AA$2081)))</f>
        <v/>
      </c>
      <c r="Z207" s="106">
        <f>IF(FB207="","",IF(ISNUMBER('Dvd Calendar'!$AB$2081)=FALSE,"",IF((('Dvd Calendar'!$AB$2083=TYPE1)*(TYPE1&lt;&gt;"")+('Dvd Calendar'!$AB$2083=TYPE2)*(TYPE2&lt;&gt;"")+('Dvd Calendar'!$AB$2083=TYPE3)*(TYPE3&lt;&gt;"")+('Dvd Calendar'!$AB$2083=TYPE4)*(TYPE4&lt;&gt;"")+('Dvd Calendar'!$AB$2083=SPECIAL_LBL)*(INC_SPECIALS="Y"))=0,"",'Dvd Calendar'!$AB$2081)))</f>
        <v/>
      </c>
      <c r="AA207" s="106">
        <f>IF(FC207="","",IF(ISNUMBER('Dvd Calendar'!$AC$2081)=FALSE,"",IF((('Dvd Calendar'!$AC$2083=TYPE1)*(TYPE1&lt;&gt;"")+('Dvd Calendar'!$AC$2083=TYPE2)*(TYPE2&lt;&gt;"")+('Dvd Calendar'!$AC$2083=TYPE3)*(TYPE3&lt;&gt;"")+('Dvd Calendar'!$AC$2083=TYPE4)*(TYPE4&lt;&gt;"")+('Dvd Calendar'!$AC$2083=SPECIAL_LBL)*(INC_SPECIALS="Y"))=0,"",'Dvd Calendar'!$AC$2081)))</f>
        <v/>
      </c>
      <c r="AB207" s="106">
        <f>IF(FD207="","",IF(ISNUMBER('Dvd Calendar'!$AD$2081)=FALSE,"",IF((('Dvd Calendar'!$AD$2083=TYPE1)*(TYPE1&lt;&gt;"")+('Dvd Calendar'!$AD$2083=TYPE2)*(TYPE2&lt;&gt;"")+('Dvd Calendar'!$AD$2083=TYPE3)*(TYPE3&lt;&gt;"")+('Dvd Calendar'!$AD$2083=TYPE4)*(TYPE4&lt;&gt;"")+('Dvd Calendar'!$AD$2083=SPECIAL_LBL)*(INC_SPECIALS="Y"))=0,"",'Dvd Calendar'!$AD$2081)))</f>
        <v/>
      </c>
      <c r="AC207" s="106">
        <f>IF(FE207="","",IF(ISNUMBER('Dvd Calendar'!$AE$2081)=FALSE,"",IF((('Dvd Calendar'!$AE$2083=TYPE1)*(TYPE1&lt;&gt;"")+('Dvd Calendar'!$AE$2083=TYPE2)*(TYPE2&lt;&gt;"")+('Dvd Calendar'!$AE$2083=TYPE3)*(TYPE3&lt;&gt;"")+('Dvd Calendar'!$AE$2083=TYPE4)*(TYPE4&lt;&gt;"")+('Dvd Calendar'!$AE$2083=SPECIAL_LBL)*(INC_SPECIALS="Y"))=0,"",'Dvd Calendar'!$AE$2081)))</f>
        <v/>
      </c>
      <c r="AD207" s="106">
        <f>IF(FF207="","",IF(ISNUMBER('Dvd Calendar'!$AF$2081)=FALSE,"",IF((('Dvd Calendar'!$AF$2083=TYPE1)*(TYPE1&lt;&gt;"")+('Dvd Calendar'!$AF$2083=TYPE2)*(TYPE2&lt;&gt;"")+('Dvd Calendar'!$AF$2083=TYPE3)*(TYPE3&lt;&gt;"")+('Dvd Calendar'!$AF$2083=TYPE4)*(TYPE4&lt;&gt;"")+('Dvd Calendar'!$AF$2083=SPECIAL_LBL)*(INC_SPECIALS="Y"))=0,"",'Dvd Calendar'!$AF$2081)))</f>
        <v/>
      </c>
      <c r="AE207" s="106">
        <f>IF(FG207="","",IF(ISNUMBER('Dvd Calendar'!$AG$2081)=FALSE,"",IF((('Dvd Calendar'!$AG$2083=TYPE1)*(TYPE1&lt;&gt;"")+('Dvd Calendar'!$AG$2083=TYPE2)*(TYPE2&lt;&gt;"")+('Dvd Calendar'!$AG$2083=TYPE3)*(TYPE3&lt;&gt;"")+('Dvd Calendar'!$AG$2083=TYPE4)*(TYPE4&lt;&gt;"")+('Dvd Calendar'!$AG$2083=SPECIAL_LBL)*(INC_SPECIALS="Y"))=0,"",'Dvd Calendar'!$AG$2081)))</f>
        <v/>
      </c>
      <c r="AF207" s="106">
        <f>IF(FH207="","",IF(ISNUMBER('Dvd Calendar'!$AH$2081)=FALSE,"",IF((('Dvd Calendar'!$AH$2083=TYPE1)*(TYPE1&lt;&gt;"")+('Dvd Calendar'!$AH$2083=TYPE2)*(TYPE2&lt;&gt;"")+('Dvd Calendar'!$AH$2083=TYPE3)*(TYPE3&lt;&gt;"")+('Dvd Calendar'!$AH$2083=TYPE4)*(TYPE4&lt;&gt;"")+('Dvd Calendar'!$AH$2083=SPECIAL_LBL)*(INC_SPECIALS="Y"))=0,"",'Dvd Calendar'!$AH$2081)))</f>
        <v/>
      </c>
      <c r="AG207" s="106">
        <f>IF(FI207="","",IF(ISNUMBER('Dvd Calendar'!$AI$2081)=FALSE,"",IF((('Dvd Calendar'!$AI$2083=TYPE1)*(TYPE1&lt;&gt;"")+('Dvd Calendar'!$AI$2083=TYPE2)*(TYPE2&lt;&gt;"")+('Dvd Calendar'!$AI$2083=TYPE3)*(TYPE3&lt;&gt;"")+('Dvd Calendar'!$AI$2083=TYPE4)*(TYPE4&lt;&gt;"")+('Dvd Calendar'!$AI$2083=SPECIAL_LBL)*(INC_SPECIALS="Y"))=0,"",'Dvd Calendar'!$AI$2081)))</f>
        <v/>
      </c>
      <c r="AH207" s="106">
        <f>IF(FJ207="","",IF(ISNUMBER('Dvd Calendar'!$AJ$2081)=FALSE,"",IF((('Dvd Calendar'!$AJ$2083=TYPE1)*(TYPE1&lt;&gt;"")+('Dvd Calendar'!$AJ$2083=TYPE2)*(TYPE2&lt;&gt;"")+('Dvd Calendar'!$AJ$2083=TYPE3)*(TYPE3&lt;&gt;"")+('Dvd Calendar'!$AJ$2083=TYPE4)*(TYPE4&lt;&gt;"")+('Dvd Calendar'!$AJ$2083=SPECIAL_LBL)*(INC_SPECIALS="Y"))=0,"",'Dvd Calendar'!$AJ$2081)))</f>
        <v/>
      </c>
      <c r="AI207" s="106">
        <f>IF(FK207="","",IF(ISNUMBER('Dvd Calendar'!$AK$2081)=FALSE,"",IF((('Dvd Calendar'!$AK$2083=TYPE1)*(TYPE1&lt;&gt;"")+('Dvd Calendar'!$AK$2083=TYPE2)*(TYPE2&lt;&gt;"")+('Dvd Calendar'!$AK$2083=TYPE3)*(TYPE3&lt;&gt;"")+('Dvd Calendar'!$AK$2083=TYPE4)*(TYPE4&lt;&gt;"")+('Dvd Calendar'!$AK$2083=SPECIAL_LBL)*(INC_SPECIALS="Y"))=0,"",'Dvd Calendar'!$AK$2081)))</f>
        <v/>
      </c>
      <c r="AJ207" s="106">
        <f>IF(FL207="","",IF(ISNUMBER('Dvd Calendar'!$AL$2081)=FALSE,"",IF((('Dvd Calendar'!$AL$2083=TYPE1)*(TYPE1&lt;&gt;"")+('Dvd Calendar'!$AL$2083=TYPE2)*(TYPE2&lt;&gt;"")+('Dvd Calendar'!$AL$2083=TYPE3)*(TYPE3&lt;&gt;"")+('Dvd Calendar'!$AL$2083=TYPE4)*(TYPE4&lt;&gt;"")+('Dvd Calendar'!$AL$2083=SPECIAL_LBL)*(INC_SPECIALS="Y"))=0,"",'Dvd Calendar'!$AL$2081)))</f>
        <v/>
      </c>
      <c r="AK207" s="106">
        <f>IF(FM207="","",IF(ISNUMBER('Dvd Calendar'!$AM$2081)=FALSE,"",IF((('Dvd Calendar'!$AM$2083=TYPE1)*(TYPE1&lt;&gt;"")+('Dvd Calendar'!$AM$2083=TYPE2)*(TYPE2&lt;&gt;"")+('Dvd Calendar'!$AM$2083=TYPE3)*(TYPE3&lt;&gt;"")+('Dvd Calendar'!$AM$2083=TYPE4)*(TYPE4&lt;&gt;"")+('Dvd Calendar'!$AM$2083=SPECIAL_LBL)*(INC_SPECIALS="Y"))=0,"",'Dvd Calendar'!$AM$2081)))</f>
        <v/>
      </c>
      <c r="AL207" s="106">
        <f>IF(FN207="","",IF(ISNUMBER('Dvd Calendar'!$AN$2081)=FALSE,"",IF((('Dvd Calendar'!$AN$2083=TYPE1)*(TYPE1&lt;&gt;"")+('Dvd Calendar'!$AN$2083=TYPE2)*(TYPE2&lt;&gt;"")+('Dvd Calendar'!$AN$2083=TYPE3)*(TYPE3&lt;&gt;"")+('Dvd Calendar'!$AN$2083=TYPE4)*(TYPE4&lt;&gt;"")+('Dvd Calendar'!$AN$2083=SPECIAL_LBL)*(INC_SPECIALS="Y"))=0,"",'Dvd Calendar'!$AN$2081)))</f>
        <v/>
      </c>
      <c r="AM207" s="106">
        <f>IF(FO207="","",IF(ISNUMBER('Dvd Calendar'!$AO$2081)=FALSE,"",IF((('Dvd Calendar'!$AO$2083=TYPE1)*(TYPE1&lt;&gt;"")+('Dvd Calendar'!$AO$2083=TYPE2)*(TYPE2&lt;&gt;"")+('Dvd Calendar'!$AO$2083=TYPE3)*(TYPE3&lt;&gt;"")+('Dvd Calendar'!$AO$2083=TYPE4)*(TYPE4&lt;&gt;"")+('Dvd Calendar'!$AO$2083=SPECIAL_LBL)*(INC_SPECIALS="Y"))=0,"",'Dvd Calendar'!$AO$2081)))</f>
        <v/>
      </c>
      <c r="AN207" s="106">
        <f>IF(FP207="","",IF(ISNUMBER('Dvd Calendar'!$AP$2081)=FALSE,"",IF((('Dvd Calendar'!$AP$2083=TYPE1)*(TYPE1&lt;&gt;"")+('Dvd Calendar'!$AP$2083=TYPE2)*(TYPE2&lt;&gt;"")+('Dvd Calendar'!$AP$2083=TYPE3)*(TYPE3&lt;&gt;"")+('Dvd Calendar'!$AP$2083=TYPE4)*(TYPE4&lt;&gt;"")+('Dvd Calendar'!$AP$2083=SPECIAL_LBL)*(INC_SPECIALS="Y"))=0,"",'Dvd Calendar'!$AP$2081)))</f>
        <v/>
      </c>
      <c r="AO207" s="106">
        <f>IF(FQ207="","",IF(ISNUMBER('Dvd Calendar'!$AQ$2081)=FALSE,"",IF((('Dvd Calendar'!$AQ$2083=TYPE1)*(TYPE1&lt;&gt;"")+('Dvd Calendar'!$AQ$2083=TYPE2)*(TYPE2&lt;&gt;"")+('Dvd Calendar'!$AQ$2083=TYPE3)*(TYPE3&lt;&gt;"")+('Dvd Calendar'!$AQ$2083=TYPE4)*(TYPE4&lt;&gt;"")+('Dvd Calendar'!$AQ$2083=SPECIAL_LBL)*(INC_SPECIALS="Y"))=0,"",'Dvd Calendar'!$AQ$2081)))</f>
        <v/>
      </c>
      <c r="AP207" s="106">
        <f>IF(FR207="","",IF(ISNUMBER('Dvd Calendar'!$AR$2081)=FALSE,"",IF((('Dvd Calendar'!$AR$2083=TYPE1)*(TYPE1&lt;&gt;"")+('Dvd Calendar'!$AR$2083=TYPE2)*(TYPE2&lt;&gt;"")+('Dvd Calendar'!$AR$2083=TYPE3)*(TYPE3&lt;&gt;"")+('Dvd Calendar'!$AR$2083=TYPE4)*(TYPE4&lt;&gt;"")+('Dvd Calendar'!$AR$2083=SPECIAL_LBL)*(INC_SPECIALS="Y"))=0,"",'Dvd Calendar'!$AR$2081)))</f>
        <v/>
      </c>
      <c r="AQ207" s="106">
        <f>IF(FS207="","",IF(ISNUMBER('Dvd Calendar'!$E$2086)=FALSE,"",'Dvd Calendar'!$E$2086))</f>
        <v/>
      </c>
      <c r="AR207" s="106">
        <f>IF(FT207="","",IF(ISNUMBER('Dvd Calendar'!$F$2086)=FALSE,"",'Dvd Calendar'!$F$2086))</f>
        <v/>
      </c>
      <c r="AS207" s="106">
        <f>IF(FU207="","",IF(ISNUMBER('Dvd Calendar'!$G$2086)=FALSE,"",'Dvd Calendar'!$G$2086))</f>
        <v/>
      </c>
      <c r="AT207" s="106">
        <f>IF(FV207="","",IF(ISNUMBER('Dvd Calendar'!$H$2086)=FALSE,"",'Dvd Calendar'!$H$2086))</f>
        <v/>
      </c>
      <c r="AU207" s="106">
        <f>IF(FW207="","",IF(ISNUMBER('Dvd Calendar'!$I$2086)=FALSE,"",'Dvd Calendar'!$I$2086))</f>
        <v/>
      </c>
      <c r="AV207" s="106">
        <f>IF(FX207="","",IF(ISNUMBER('Dvd Calendar'!$J$2086)=FALSE,"",'Dvd Calendar'!$J$2086))</f>
        <v/>
      </c>
      <c r="AW207" s="106">
        <f>IF(FY207="","",IF(ISNUMBER('Dvd Calendar'!$K$2086)=FALSE,"",'Dvd Calendar'!$K$2086))</f>
        <v/>
      </c>
      <c r="AX207" s="106">
        <f>IF(FZ207="","",IF(ISNUMBER('Dvd Calendar'!$L$2086)=FALSE,"",'Dvd Calendar'!$L$2086))</f>
        <v/>
      </c>
      <c r="AY207" s="106">
        <f>IF(GA207="","",IF(ISNUMBER('Dvd Calendar'!$M$2086)=FALSE,"",'Dvd Calendar'!$M$2086))</f>
        <v/>
      </c>
      <c r="AZ207" s="106">
        <f>IF(GB207="","",IF(ISNUMBER('Dvd Calendar'!$N$2086)=FALSE,"",'Dvd Calendar'!$N$2086))</f>
        <v/>
      </c>
      <c r="BA207" s="106">
        <f>IF(GC207="","",IF(ISNUMBER('Dvd Calendar'!$O$2086)=FALSE,"",'Dvd Calendar'!$O$2086))</f>
        <v/>
      </c>
      <c r="BB207" s="106">
        <f>IF(GD207="","",IF(ISNUMBER('Dvd Calendar'!$P$2086)=FALSE,"",'Dvd Calendar'!$P$2086))</f>
        <v/>
      </c>
      <c r="BC207" s="106">
        <f>IF(GE207="","",IF(ISNUMBER('Dvd Calendar'!$Q$2086)=FALSE,"",'Dvd Calendar'!$Q$2086))</f>
        <v/>
      </c>
      <c r="BD207" s="106">
        <f>IF(GF207="","",IF(ISNUMBER('Dvd Calendar'!$R$2086)=FALSE,"",'Dvd Calendar'!$R$2086))</f>
        <v/>
      </c>
      <c r="BE207" s="106">
        <f>IF(GG207="","",IF(ISNUMBER('Dvd Calendar'!$S$2086)=FALSE,"",'Dvd Calendar'!$S$2086))</f>
        <v/>
      </c>
      <c r="BF207" s="106">
        <f>IF(GH207="","",IF(ISNUMBER('Dvd Calendar'!$T$2086)=FALSE,"",'Dvd Calendar'!$T$2086))</f>
        <v/>
      </c>
      <c r="BG207" s="106">
        <f>IF(GI207="","",IF(ISNUMBER('Dvd Calendar'!$U$2086)=FALSE,"",'Dvd Calendar'!$U$2086))</f>
        <v/>
      </c>
      <c r="BH207" s="106">
        <f>IF(GJ207="","",IF(ISNUMBER('Dvd Calendar'!$V$2086)=FALSE,"",'Dvd Calendar'!$V$2086))</f>
        <v/>
      </c>
      <c r="BI207" s="106">
        <f>IF(GK207="","",IF(ISNUMBER('Dvd Calendar'!$W$2086)=FALSE,"",'Dvd Calendar'!$W$2086))</f>
        <v/>
      </c>
      <c r="BJ207" s="106">
        <f>IF(GL207="","",IF(ISNUMBER('Dvd Calendar'!$X$2086)=FALSE,"",'Dvd Calendar'!$X$2086))</f>
        <v/>
      </c>
      <c r="BK207" s="106">
        <f>IF(GM207="","",IF(ISNUMBER('Dvd Calendar'!$Y$2086)=FALSE,"",'Dvd Calendar'!$Y$2086))</f>
        <v/>
      </c>
      <c r="BL207" s="106">
        <f>IF(GN207="","",IF(ISNUMBER('Dvd Calendar'!$Z$2086)=FALSE,"",'Dvd Calendar'!$Z$2086))</f>
        <v/>
      </c>
      <c r="BM207" s="106">
        <f>IF(GO207="","",IF(ISNUMBER('Dvd Calendar'!$AA$2086)=FALSE,"",'Dvd Calendar'!$AA$2086))</f>
        <v/>
      </c>
      <c r="BN207" s="106">
        <f>IF(GP207="","",IF(ISNUMBER('Dvd Calendar'!$AB$2086)=FALSE,"",'Dvd Calendar'!$AB$2086))</f>
        <v/>
      </c>
      <c r="BO207" s="106">
        <f>IF(GQ207="","",IF(ISNUMBER('Dvd Calendar'!$AC$2086)=FALSE,"",'Dvd Calendar'!$AC$2086))</f>
        <v/>
      </c>
      <c r="BQ207" s="106">
        <f>IF(C207="","",IFERROR(C207*HSCEI!$B$54*HSCEI!$G$54/HSCEI!$B$3,""))</f>
        <v/>
      </c>
      <c r="BR207" s="106">
        <f>IF(D207="","",IFERROR(D207*HSCEI!$B$54*HSCEI!$G$54/HSCEI!$B$3,""))</f>
        <v/>
      </c>
      <c r="BS207" s="106">
        <f>IF(E207="","",IFERROR(E207*HSCEI!$B$54*HSCEI!$G$54/HSCEI!$B$3,""))</f>
        <v/>
      </c>
      <c r="BT207" s="106">
        <f>IF(F207="","",IFERROR(F207*HSCEI!$B$54*HSCEI!$G$54/HSCEI!$B$3,""))</f>
        <v/>
      </c>
      <c r="BU207" s="106">
        <f>IF(G207="","",IFERROR(G207*HSCEI!$B$54*HSCEI!$G$54/HSCEI!$B$3,""))</f>
        <v/>
      </c>
      <c r="BV207" s="106">
        <f>IF(H207="","",IFERROR(H207*HSCEI!$B$54*HSCEI!$G$54/HSCEI!$B$3,""))</f>
        <v/>
      </c>
      <c r="BW207" s="106">
        <f>IF(I207="","",IFERROR(I207*HSCEI!$B$54*HSCEI!$G$54/HSCEI!$B$3,""))</f>
        <v/>
      </c>
      <c r="BX207" s="106">
        <f>IF(J207="","",IFERROR(J207*HSCEI!$B$54*HSCEI!$G$54/HSCEI!$B$3,""))</f>
        <v/>
      </c>
      <c r="BY207" s="106">
        <f>IF(K207="","",IFERROR(K207*HSCEI!$B$54*HSCEI!$G$54/HSCEI!$B$3,""))</f>
        <v/>
      </c>
      <c r="BZ207" s="106">
        <f>IF(L207="","",IFERROR(L207*HSCEI!$B$54*HSCEI!$G$54/HSCEI!$B$3,""))</f>
        <v/>
      </c>
      <c r="CA207" s="106">
        <f>IF(M207="","",IFERROR(M207*HSCEI!$B$54*HSCEI!$G$54/HSCEI!$B$3,""))</f>
        <v/>
      </c>
      <c r="CB207" s="106">
        <f>IF(N207="","",IFERROR(N207*HSCEI!$B$54*HSCEI!$G$54/HSCEI!$B$3,""))</f>
        <v/>
      </c>
      <c r="CC207" s="106">
        <f>IF(O207="","",IFERROR(O207*HSCEI!$B$54*HSCEI!$G$54/HSCEI!$B$3,""))</f>
        <v/>
      </c>
      <c r="CD207" s="106">
        <f>IF(P207="","",IFERROR(P207*HSCEI!$B$54*HSCEI!$G$54/HSCEI!$B$3,""))</f>
        <v/>
      </c>
      <c r="CE207" s="106">
        <f>IF(Q207="","",IFERROR(Q207*HSCEI!$B$54*HSCEI!$G$54/HSCEI!$B$3,""))</f>
        <v/>
      </c>
      <c r="CF207" s="106">
        <f>IF(R207="","",IFERROR(R207*HSCEI!$B$54*HSCEI!$G$54/HSCEI!$B$3,""))</f>
        <v/>
      </c>
      <c r="CG207" s="106">
        <f>IF(S207="","",IFERROR(S207*HSCEI!$B$54*HSCEI!$G$54/HSCEI!$B$3,""))</f>
        <v/>
      </c>
      <c r="CH207" s="106">
        <f>IF(T207="","",IFERROR(T207*HSCEI!$B$54*HSCEI!$G$54/HSCEI!$B$3,""))</f>
        <v/>
      </c>
      <c r="CI207" s="106">
        <f>IF(U207="","",IFERROR(U207*HSCEI!$B$54*HSCEI!$G$54/HSCEI!$B$3,""))</f>
        <v/>
      </c>
      <c r="CJ207" s="106">
        <f>IF(V207="","",IFERROR(V207*HSCEI!$B$54*HSCEI!$G$54/HSCEI!$B$3,""))</f>
        <v/>
      </c>
      <c r="CK207" s="106">
        <f>IF(W207="","",IFERROR(W207*HSCEI!$B$54*HSCEI!$G$54/HSCEI!$B$3,""))</f>
        <v/>
      </c>
      <c r="CL207" s="106">
        <f>IF(X207="","",IFERROR(X207*HSCEI!$B$54*HSCEI!$G$54/HSCEI!$B$3,""))</f>
        <v/>
      </c>
      <c r="CM207" s="106">
        <f>IF(Y207="","",IFERROR(Y207*HSCEI!$B$54*HSCEI!$G$54/HSCEI!$B$3,""))</f>
        <v/>
      </c>
      <c r="CN207" s="106">
        <f>IF(Z207="","",IFERROR(Z207*HSCEI!$B$54*HSCEI!$G$54/HSCEI!$B$3,""))</f>
        <v/>
      </c>
      <c r="CO207" s="106">
        <f>IF(AA207="","",IFERROR(AA207*HSCEI!$B$54*HSCEI!$G$54/HSCEI!$B$3,""))</f>
        <v/>
      </c>
      <c r="CP207" s="106">
        <f>IF(AB207="","",IFERROR(AB207*HSCEI!$B$54*HSCEI!$G$54/HSCEI!$B$3,""))</f>
        <v/>
      </c>
      <c r="CQ207" s="106">
        <f>IF(AC207="","",IFERROR(AC207*HSCEI!$B$54*HSCEI!$G$54/HSCEI!$B$3,""))</f>
        <v/>
      </c>
      <c r="CR207" s="106">
        <f>IF(AD207="","",IFERROR(AD207*HSCEI!$B$54*HSCEI!$G$54/HSCEI!$B$3,""))</f>
        <v/>
      </c>
      <c r="CS207" s="106">
        <f>IF(AE207="","",IFERROR(AE207*HSCEI!$B$54*HSCEI!$G$54/HSCEI!$B$3,""))</f>
        <v/>
      </c>
      <c r="CT207" s="106">
        <f>IF(AF207="","",IFERROR(AF207*HSCEI!$B$54*HSCEI!$G$54/HSCEI!$B$3,""))</f>
        <v/>
      </c>
      <c r="CU207" s="106">
        <f>IF(AG207="","",IFERROR(AG207*HSCEI!$B$54*HSCEI!$G$54/HSCEI!$B$3,""))</f>
        <v/>
      </c>
      <c r="CV207" s="106">
        <f>IF(AH207="","",IFERROR(AH207*HSCEI!$B$54*HSCEI!$G$54/HSCEI!$B$3,""))</f>
        <v/>
      </c>
      <c r="CW207" s="106">
        <f>IF(AI207="","",IFERROR(AI207*HSCEI!$B$54*HSCEI!$G$54/HSCEI!$B$3,""))</f>
        <v/>
      </c>
      <c r="CX207" s="106">
        <f>IF(AJ207="","",IFERROR(AJ207*HSCEI!$B$54*HSCEI!$G$54/HSCEI!$B$3,""))</f>
        <v/>
      </c>
      <c r="CY207" s="106">
        <f>IF(AK207="","",IFERROR(AK207*HSCEI!$B$54*HSCEI!$G$54/HSCEI!$B$3,""))</f>
        <v/>
      </c>
      <c r="CZ207" s="106">
        <f>IF(AL207="","",IFERROR(AL207*HSCEI!$B$54*HSCEI!$G$54/HSCEI!$B$3,""))</f>
        <v/>
      </c>
      <c r="DA207" s="106">
        <f>IF(AM207="","",IFERROR(AM207*HSCEI!$B$54*HSCEI!$G$54/HSCEI!$B$3,""))</f>
        <v/>
      </c>
      <c r="DB207" s="106">
        <f>IF(AN207="","",IFERROR(AN207*HSCEI!$B$54*HSCEI!$G$54/HSCEI!$B$3,""))</f>
        <v/>
      </c>
      <c r="DC207" s="106">
        <f>IF(AO207="","",IFERROR(AO207*HSCEI!$B$54*HSCEI!$G$54/HSCEI!$B$3,""))</f>
        <v/>
      </c>
      <c r="DD207" s="106">
        <f>IF(AP207="","",IFERROR(AP207*HSCEI!$B$54*HSCEI!$G$54/HSCEI!$B$3,""))</f>
        <v/>
      </c>
      <c r="DE207" s="106">
        <f>IF(AQ207="","",IFERROR(AQ207*HSCEI!$B$54*HSCEI!$G$54/HSCEI!$B$3,""))</f>
        <v/>
      </c>
      <c r="DF207" s="106">
        <f>IF(AR207="","",IFERROR(AR207*HSCEI!$B$54*HSCEI!$G$54/HSCEI!$B$3,""))</f>
        <v/>
      </c>
      <c r="DG207" s="106">
        <f>IF(AS207="","",IFERROR(AS207*HSCEI!$B$54*HSCEI!$G$54/HSCEI!$B$3,""))</f>
        <v/>
      </c>
      <c r="DH207" s="106">
        <f>IF(AT207="","",IFERROR(AT207*HSCEI!$B$54*HSCEI!$G$54/HSCEI!$B$3,""))</f>
        <v/>
      </c>
      <c r="DI207" s="106">
        <f>IF(AU207="","",IFERROR(AU207*HSCEI!$B$54*HSCEI!$G$54/HSCEI!$B$3,""))</f>
        <v/>
      </c>
      <c r="DJ207" s="106">
        <f>IF(AV207="","",IFERROR(AV207*HSCEI!$B$54*HSCEI!$G$54/HSCEI!$B$3,""))</f>
        <v/>
      </c>
      <c r="DK207" s="106">
        <f>IF(AW207="","",IFERROR(AW207*HSCEI!$B$54*HSCEI!$G$54/HSCEI!$B$3,""))</f>
        <v/>
      </c>
      <c r="DL207" s="106">
        <f>IF(AX207="","",IFERROR(AX207*HSCEI!$B$54*HSCEI!$G$54/HSCEI!$B$3,""))</f>
        <v/>
      </c>
      <c r="DM207" s="106">
        <f>IF(AY207="","",IFERROR(AY207*HSCEI!$B$54*HSCEI!$G$54/HSCEI!$B$3,""))</f>
        <v/>
      </c>
      <c r="DN207" s="106">
        <f>IF(AZ207="","",IFERROR(AZ207*HSCEI!$B$54*HSCEI!$G$54/HSCEI!$B$3,""))</f>
        <v/>
      </c>
      <c r="DO207" s="106">
        <f>IF(BA207="","",IFERROR(BA207*HSCEI!$B$54*HSCEI!$G$54/HSCEI!$B$3,""))</f>
        <v/>
      </c>
      <c r="DP207" s="106">
        <f>IF(BB207="","",IFERROR(BB207*HSCEI!$B$54*HSCEI!$G$54/HSCEI!$B$3,""))</f>
        <v/>
      </c>
      <c r="DQ207" s="106">
        <f>IF(BC207="","",IFERROR(BC207*HSCEI!$B$54*HSCEI!$G$54/HSCEI!$B$3,""))</f>
        <v/>
      </c>
      <c r="DR207" s="106">
        <f>IF(BD207="","",IFERROR(BD207*HSCEI!$B$54*HSCEI!$G$54/HSCEI!$B$3,""))</f>
        <v/>
      </c>
      <c r="DS207" s="106">
        <f>IF(BE207="","",IFERROR(BE207*HSCEI!$B$54*HSCEI!$G$54/HSCEI!$B$3,""))</f>
        <v/>
      </c>
      <c r="DT207" s="106">
        <f>IF(BF207="","",IFERROR(BF207*HSCEI!$B$54*HSCEI!$G$54/HSCEI!$B$3,""))</f>
        <v/>
      </c>
      <c r="DU207" s="106">
        <f>IF(BG207="","",IFERROR(BG207*HSCEI!$B$54*HSCEI!$G$54/HSCEI!$B$3,""))</f>
        <v/>
      </c>
      <c r="DV207" s="106">
        <f>IF(BH207="","",IFERROR(BH207*HSCEI!$B$54*HSCEI!$G$54/HSCEI!$B$3,""))</f>
        <v/>
      </c>
      <c r="DW207" s="106">
        <f>IF(BI207="","",IFERROR(BI207*HSCEI!$B$54*HSCEI!$G$54/HSCEI!$B$3,""))</f>
        <v/>
      </c>
      <c r="DX207" s="106">
        <f>IF(BJ207="","",IFERROR(BJ207*HSCEI!$B$54*HSCEI!$G$54/HSCEI!$B$3,""))</f>
        <v/>
      </c>
      <c r="DY207" s="106">
        <f>IF(BK207="","",IFERROR(BK207*HSCEI!$B$54*HSCEI!$G$54/HSCEI!$B$3,""))</f>
        <v/>
      </c>
      <c r="DZ207" s="106">
        <f>IF(BL207="","",IFERROR(BL207*HSCEI!$B$54*HSCEI!$G$54/HSCEI!$B$3,""))</f>
        <v/>
      </c>
      <c r="EA207" s="106">
        <f>IF(BM207="","",IFERROR(BM207*HSCEI!$B$54*HSCEI!$G$54/HSCEI!$B$3,""))</f>
        <v/>
      </c>
      <c r="EB207" s="106">
        <f>IF(BN207="","",IFERROR(BN207*HSCEI!$B$54*HSCEI!$G$54/HSCEI!$B$3,""))</f>
        <v/>
      </c>
      <c r="EC207" s="106">
        <f>IF(BO207="","",IFERROR(BO207*HSCEI!$B$54*HSCEI!$G$54/HSCEI!$B$3,""))</f>
        <v/>
      </c>
      <c r="EE207" s="35">
        <f>IF(N('Dvd Calendar'!$E$2078)=0,"",IF(('Dvd Calendar'!$E$2078&gt;=GRID_FROM)*('Dvd Calendar'!$E$2078&lt;=GRID_TO)*('Dvd Calendar'!$E$2078&lt;=VAL_DATE)=0,"",'Dvd Calendar'!$E$2078*1000000000+ISNUMBER('Dvd Calendar'!$E$2081)*100000000+('Dvd Calendar'!$E$2083=SPECIAL_LBL)*10000000+0*1000000+48*1000+1))</f>
        <v/>
      </c>
      <c r="EF207" s="35">
        <f>IF(N('Dvd Calendar'!$F$2078)=0,"",IF(('Dvd Calendar'!$F$2078&gt;=GRID_FROM)*('Dvd Calendar'!$F$2078&lt;=GRID_TO)*('Dvd Calendar'!$F$2078&lt;=VAL_DATE)=0,"",'Dvd Calendar'!$F$2078*1000000000+ISNUMBER('Dvd Calendar'!$F$2081)*100000000+('Dvd Calendar'!$F$2083=SPECIAL_LBL)*10000000+0*1000000+48*1000+2))</f>
        <v/>
      </c>
      <c r="EG207" s="35">
        <f>IF(N('Dvd Calendar'!$G$2078)=0,"",IF(('Dvd Calendar'!$G$2078&gt;=GRID_FROM)*('Dvd Calendar'!$G$2078&lt;=GRID_TO)*('Dvd Calendar'!$G$2078&lt;=VAL_DATE)=0,"",'Dvd Calendar'!$G$2078*1000000000+ISNUMBER('Dvd Calendar'!$G$2081)*100000000+('Dvd Calendar'!$G$2083=SPECIAL_LBL)*10000000+0*1000000+48*1000+3))</f>
        <v/>
      </c>
      <c r="EH207" s="35">
        <f>IF(N('Dvd Calendar'!$H$2078)=0,"",IF(('Dvd Calendar'!$H$2078&gt;=GRID_FROM)*('Dvd Calendar'!$H$2078&lt;=GRID_TO)*('Dvd Calendar'!$H$2078&lt;=VAL_DATE)=0,"",'Dvd Calendar'!$H$2078*1000000000+ISNUMBER('Dvd Calendar'!$H$2081)*100000000+('Dvd Calendar'!$H$2083=SPECIAL_LBL)*10000000+0*1000000+48*1000+4))</f>
        <v/>
      </c>
      <c r="EI207" s="35">
        <f>IF(N('Dvd Calendar'!$I$2078)=0,"",IF(('Dvd Calendar'!$I$2078&gt;=GRID_FROM)*('Dvd Calendar'!$I$2078&lt;=GRID_TO)*('Dvd Calendar'!$I$2078&lt;=VAL_DATE)=0,"",'Dvd Calendar'!$I$2078*1000000000+ISNUMBER('Dvd Calendar'!$I$2081)*100000000+('Dvd Calendar'!$I$2083=SPECIAL_LBL)*10000000+0*1000000+48*1000+5))</f>
        <v/>
      </c>
      <c r="EJ207" s="35">
        <f>IF(N('Dvd Calendar'!$J$2078)=0,"",IF(('Dvd Calendar'!$J$2078&gt;=GRID_FROM)*('Dvd Calendar'!$J$2078&lt;=GRID_TO)*('Dvd Calendar'!$J$2078&lt;=VAL_DATE)=0,"",'Dvd Calendar'!$J$2078*1000000000+ISNUMBER('Dvd Calendar'!$J$2081)*100000000+('Dvd Calendar'!$J$2083=SPECIAL_LBL)*10000000+0*1000000+48*1000+6))</f>
        <v/>
      </c>
      <c r="EK207" s="35">
        <f>IF(N('Dvd Calendar'!$K$2078)=0,"",IF(('Dvd Calendar'!$K$2078&gt;=GRID_FROM)*('Dvd Calendar'!$K$2078&lt;=GRID_TO)*('Dvd Calendar'!$K$2078&lt;=VAL_DATE)=0,"",'Dvd Calendar'!$K$2078*1000000000+ISNUMBER('Dvd Calendar'!$K$2081)*100000000+('Dvd Calendar'!$K$2083=SPECIAL_LBL)*10000000+0*1000000+48*1000+7))</f>
        <v/>
      </c>
      <c r="EL207" s="35">
        <f>IF(N('Dvd Calendar'!$L$2078)=0,"",IF(('Dvd Calendar'!$L$2078&gt;=GRID_FROM)*('Dvd Calendar'!$L$2078&lt;=GRID_TO)*('Dvd Calendar'!$L$2078&lt;=VAL_DATE)=0,"",'Dvd Calendar'!$L$2078*1000000000+ISNUMBER('Dvd Calendar'!$L$2081)*100000000+('Dvd Calendar'!$L$2083=SPECIAL_LBL)*10000000+0*1000000+48*1000+8))</f>
        <v/>
      </c>
      <c r="EM207" s="35">
        <f>IF(N('Dvd Calendar'!$M$2078)=0,"",IF(('Dvd Calendar'!$M$2078&gt;=GRID_FROM)*('Dvd Calendar'!$M$2078&lt;=GRID_TO)*('Dvd Calendar'!$M$2078&lt;=VAL_DATE)=0,"",'Dvd Calendar'!$M$2078*1000000000+ISNUMBER('Dvd Calendar'!$M$2081)*100000000+('Dvd Calendar'!$M$2083=SPECIAL_LBL)*10000000+0*1000000+48*1000+9))</f>
        <v/>
      </c>
      <c r="EN207" s="35">
        <f>IF(N('Dvd Calendar'!$N$2078)=0,"",IF(('Dvd Calendar'!$N$2078&gt;=GRID_FROM)*('Dvd Calendar'!$N$2078&lt;=GRID_TO)*('Dvd Calendar'!$N$2078&lt;=VAL_DATE)=0,"",'Dvd Calendar'!$N$2078*1000000000+ISNUMBER('Dvd Calendar'!$N$2081)*100000000+('Dvd Calendar'!$N$2083=SPECIAL_LBL)*10000000+0*1000000+48*1000+10))</f>
        <v/>
      </c>
      <c r="EO207" s="35">
        <f>IF(N('Dvd Calendar'!$O$2078)=0,"",IF(('Dvd Calendar'!$O$2078&gt;=GRID_FROM)*('Dvd Calendar'!$O$2078&lt;=GRID_TO)*('Dvd Calendar'!$O$2078&lt;=VAL_DATE)=0,"",'Dvd Calendar'!$O$2078*1000000000+ISNUMBER('Dvd Calendar'!$O$2081)*100000000+('Dvd Calendar'!$O$2083=SPECIAL_LBL)*10000000+0*1000000+48*1000+11))</f>
        <v/>
      </c>
      <c r="EP207" s="35">
        <f>IF(N('Dvd Calendar'!$P$2078)=0,"",IF(('Dvd Calendar'!$P$2078&gt;=GRID_FROM)*('Dvd Calendar'!$P$2078&lt;=GRID_TO)*('Dvd Calendar'!$P$2078&lt;=VAL_DATE)=0,"",'Dvd Calendar'!$P$2078*1000000000+ISNUMBER('Dvd Calendar'!$P$2081)*100000000+('Dvd Calendar'!$P$2083=SPECIAL_LBL)*10000000+0*1000000+48*1000+12))</f>
        <v/>
      </c>
      <c r="EQ207" s="35">
        <f>IF(N('Dvd Calendar'!$Q$2078)=0,"",IF(('Dvd Calendar'!$Q$2078&gt;=GRID_FROM)*('Dvd Calendar'!$Q$2078&lt;=GRID_TO)*('Dvd Calendar'!$Q$2078&lt;=VAL_DATE)=0,"",'Dvd Calendar'!$Q$2078*1000000000+ISNUMBER('Dvd Calendar'!$Q$2081)*100000000+('Dvd Calendar'!$Q$2083=SPECIAL_LBL)*10000000+0*1000000+48*1000+13))</f>
        <v/>
      </c>
      <c r="ER207" s="35">
        <f>IF(N('Dvd Calendar'!$R$2078)=0,"",IF(('Dvd Calendar'!$R$2078&gt;=GRID_FROM)*('Dvd Calendar'!$R$2078&lt;=GRID_TO)*('Dvd Calendar'!$R$2078&lt;=VAL_DATE)=0,"",'Dvd Calendar'!$R$2078*1000000000+ISNUMBER('Dvd Calendar'!$R$2081)*100000000+('Dvd Calendar'!$R$2083=SPECIAL_LBL)*10000000+0*1000000+48*1000+14))</f>
        <v/>
      </c>
      <c r="ES207" s="35">
        <f>IF(N('Dvd Calendar'!$S$2078)=0,"",IF(('Dvd Calendar'!$S$2078&gt;=GRID_FROM)*('Dvd Calendar'!$S$2078&lt;=GRID_TO)*('Dvd Calendar'!$S$2078&lt;=VAL_DATE)=0,"",'Dvd Calendar'!$S$2078*1000000000+ISNUMBER('Dvd Calendar'!$S$2081)*100000000+('Dvd Calendar'!$S$2083=SPECIAL_LBL)*10000000+0*1000000+48*1000+15))</f>
        <v/>
      </c>
      <c r="ET207" s="35">
        <f>IF(N('Dvd Calendar'!$T$2078)=0,"",IF(('Dvd Calendar'!$T$2078&gt;=GRID_FROM)*('Dvd Calendar'!$T$2078&lt;=GRID_TO)*('Dvd Calendar'!$T$2078&lt;=VAL_DATE)=0,"",'Dvd Calendar'!$T$2078*1000000000+ISNUMBER('Dvd Calendar'!$T$2081)*100000000+('Dvd Calendar'!$T$2083=SPECIAL_LBL)*10000000+0*1000000+48*1000+16))</f>
        <v/>
      </c>
      <c r="EU207" s="35">
        <f>IF(N('Dvd Calendar'!$U$2078)=0,"",IF(('Dvd Calendar'!$U$2078&gt;=GRID_FROM)*('Dvd Calendar'!$U$2078&lt;=GRID_TO)*('Dvd Calendar'!$U$2078&lt;=VAL_DATE)=0,"",'Dvd Calendar'!$U$2078*1000000000+ISNUMBER('Dvd Calendar'!$U$2081)*100000000+('Dvd Calendar'!$U$2083=SPECIAL_LBL)*10000000+0*1000000+48*1000+17))</f>
        <v/>
      </c>
      <c r="EV207" s="35">
        <f>IF(N('Dvd Calendar'!$V$2078)=0,"",IF(('Dvd Calendar'!$V$2078&gt;=GRID_FROM)*('Dvd Calendar'!$V$2078&lt;=GRID_TO)*('Dvd Calendar'!$V$2078&lt;=VAL_DATE)=0,"",'Dvd Calendar'!$V$2078*1000000000+ISNUMBER('Dvd Calendar'!$V$2081)*100000000+('Dvd Calendar'!$V$2083=SPECIAL_LBL)*10000000+0*1000000+48*1000+18))</f>
        <v/>
      </c>
      <c r="EW207" s="35">
        <f>IF(N('Dvd Calendar'!$W$2078)=0,"",IF(('Dvd Calendar'!$W$2078&gt;=GRID_FROM)*('Dvd Calendar'!$W$2078&lt;=GRID_TO)*('Dvd Calendar'!$W$2078&lt;=VAL_DATE)=0,"",'Dvd Calendar'!$W$2078*1000000000+ISNUMBER('Dvd Calendar'!$W$2081)*100000000+('Dvd Calendar'!$W$2083=SPECIAL_LBL)*10000000+0*1000000+48*1000+19))</f>
        <v/>
      </c>
      <c r="EX207" s="35">
        <f>IF(N('Dvd Calendar'!$X$2078)=0,"",IF(('Dvd Calendar'!$X$2078&gt;=GRID_FROM)*('Dvd Calendar'!$X$2078&lt;=GRID_TO)*('Dvd Calendar'!$X$2078&lt;=VAL_DATE)=0,"",'Dvd Calendar'!$X$2078*1000000000+ISNUMBER('Dvd Calendar'!$X$2081)*100000000+('Dvd Calendar'!$X$2083=SPECIAL_LBL)*10000000+0*1000000+48*1000+20))</f>
        <v/>
      </c>
      <c r="EY207" s="35">
        <f>IF(N('Dvd Calendar'!$Y$2078)=0,"",IF(('Dvd Calendar'!$Y$2078&gt;=GRID_FROM)*('Dvd Calendar'!$Y$2078&lt;=GRID_TO)*('Dvd Calendar'!$Y$2078&lt;=VAL_DATE)=0,"",'Dvd Calendar'!$Y$2078*1000000000+ISNUMBER('Dvd Calendar'!$Y$2081)*100000000+('Dvd Calendar'!$Y$2083=SPECIAL_LBL)*10000000+0*1000000+48*1000+21))</f>
        <v/>
      </c>
      <c r="EZ207" s="35">
        <f>IF(N('Dvd Calendar'!$Z$2078)=0,"",IF(('Dvd Calendar'!$Z$2078&gt;=GRID_FROM)*('Dvd Calendar'!$Z$2078&lt;=GRID_TO)*('Dvd Calendar'!$Z$2078&lt;=VAL_DATE)=0,"",'Dvd Calendar'!$Z$2078*1000000000+ISNUMBER('Dvd Calendar'!$Z$2081)*100000000+('Dvd Calendar'!$Z$2083=SPECIAL_LBL)*10000000+0*1000000+48*1000+22))</f>
        <v/>
      </c>
      <c r="FA207" s="35">
        <f>IF(N('Dvd Calendar'!$AA$2078)=0,"",IF(('Dvd Calendar'!$AA$2078&gt;=GRID_FROM)*('Dvd Calendar'!$AA$2078&lt;=GRID_TO)*('Dvd Calendar'!$AA$2078&lt;=VAL_DATE)=0,"",'Dvd Calendar'!$AA$2078*1000000000+ISNUMBER('Dvd Calendar'!$AA$2081)*100000000+('Dvd Calendar'!$AA$2083=SPECIAL_LBL)*10000000+0*1000000+48*1000+23))</f>
        <v/>
      </c>
      <c r="FB207" s="35">
        <f>IF(N('Dvd Calendar'!$AB$2078)=0,"",IF(('Dvd Calendar'!$AB$2078&gt;=GRID_FROM)*('Dvd Calendar'!$AB$2078&lt;=GRID_TO)*('Dvd Calendar'!$AB$2078&lt;=VAL_DATE)=0,"",'Dvd Calendar'!$AB$2078*1000000000+ISNUMBER('Dvd Calendar'!$AB$2081)*100000000+('Dvd Calendar'!$AB$2083=SPECIAL_LBL)*10000000+0*1000000+48*1000+24))</f>
        <v/>
      </c>
      <c r="FC207" s="35">
        <f>IF(N('Dvd Calendar'!$AC$2078)=0,"",IF(('Dvd Calendar'!$AC$2078&gt;=GRID_FROM)*('Dvd Calendar'!$AC$2078&lt;=GRID_TO)*('Dvd Calendar'!$AC$2078&lt;=VAL_DATE)=0,"",'Dvd Calendar'!$AC$2078*1000000000+ISNUMBER('Dvd Calendar'!$AC$2081)*100000000+('Dvd Calendar'!$AC$2083=SPECIAL_LBL)*10000000+0*1000000+48*1000+25))</f>
        <v/>
      </c>
      <c r="FD207" s="35">
        <f>IF(N('Dvd Calendar'!$AD$2078)=0,"",IF(('Dvd Calendar'!$AD$2078&gt;=GRID_FROM)*('Dvd Calendar'!$AD$2078&lt;=GRID_TO)*('Dvd Calendar'!$AD$2078&lt;=VAL_DATE)=0,"",'Dvd Calendar'!$AD$2078*1000000000+ISNUMBER('Dvd Calendar'!$AD$2081)*100000000+('Dvd Calendar'!$AD$2083=SPECIAL_LBL)*10000000+0*1000000+48*1000+26))</f>
        <v/>
      </c>
      <c r="FE207" s="35">
        <f>IF(N('Dvd Calendar'!$AE$2078)=0,"",IF(('Dvd Calendar'!$AE$2078&gt;=GRID_FROM)*('Dvd Calendar'!$AE$2078&lt;=GRID_TO)*('Dvd Calendar'!$AE$2078&lt;=VAL_DATE)=0,"",'Dvd Calendar'!$AE$2078*1000000000+ISNUMBER('Dvd Calendar'!$AE$2081)*100000000+('Dvd Calendar'!$AE$2083=SPECIAL_LBL)*10000000+0*1000000+48*1000+27))</f>
        <v/>
      </c>
      <c r="FF207" s="35">
        <f>IF(N('Dvd Calendar'!$AF$2078)=0,"",IF(('Dvd Calendar'!$AF$2078&gt;=GRID_FROM)*('Dvd Calendar'!$AF$2078&lt;=GRID_TO)*('Dvd Calendar'!$AF$2078&lt;=VAL_DATE)=0,"",'Dvd Calendar'!$AF$2078*1000000000+ISNUMBER('Dvd Calendar'!$AF$2081)*100000000+('Dvd Calendar'!$AF$2083=SPECIAL_LBL)*10000000+0*1000000+48*1000+28))</f>
        <v/>
      </c>
      <c r="FG207" s="35">
        <f>IF(N('Dvd Calendar'!$AG$2078)=0,"",IF(('Dvd Calendar'!$AG$2078&gt;=GRID_FROM)*('Dvd Calendar'!$AG$2078&lt;=GRID_TO)*('Dvd Calendar'!$AG$2078&lt;=VAL_DATE)=0,"",'Dvd Calendar'!$AG$2078*1000000000+ISNUMBER('Dvd Calendar'!$AG$2081)*100000000+('Dvd Calendar'!$AG$2083=SPECIAL_LBL)*10000000+0*1000000+48*1000+29))</f>
        <v/>
      </c>
      <c r="FH207" s="35">
        <f>IF(N('Dvd Calendar'!$AH$2078)=0,"",IF(('Dvd Calendar'!$AH$2078&gt;=GRID_FROM)*('Dvd Calendar'!$AH$2078&lt;=GRID_TO)*('Dvd Calendar'!$AH$2078&lt;=VAL_DATE)=0,"",'Dvd Calendar'!$AH$2078*1000000000+ISNUMBER('Dvd Calendar'!$AH$2081)*100000000+('Dvd Calendar'!$AH$2083=SPECIAL_LBL)*10000000+0*1000000+48*1000+30))</f>
        <v/>
      </c>
      <c r="FI207" s="35">
        <f>IF(N('Dvd Calendar'!$AI$2078)=0,"",IF(('Dvd Calendar'!$AI$2078&gt;=GRID_FROM)*('Dvd Calendar'!$AI$2078&lt;=GRID_TO)*('Dvd Calendar'!$AI$2078&lt;=VAL_DATE)=0,"",'Dvd Calendar'!$AI$2078*1000000000+ISNUMBER('Dvd Calendar'!$AI$2081)*100000000+('Dvd Calendar'!$AI$2083=SPECIAL_LBL)*10000000+0*1000000+48*1000+31))</f>
        <v/>
      </c>
      <c r="FJ207" s="35">
        <f>IF(N('Dvd Calendar'!$AJ$2078)=0,"",IF(('Dvd Calendar'!$AJ$2078&gt;=GRID_FROM)*('Dvd Calendar'!$AJ$2078&lt;=GRID_TO)*('Dvd Calendar'!$AJ$2078&lt;=VAL_DATE)=0,"",'Dvd Calendar'!$AJ$2078*1000000000+ISNUMBER('Dvd Calendar'!$AJ$2081)*100000000+('Dvd Calendar'!$AJ$2083=SPECIAL_LBL)*10000000+0*1000000+48*1000+32))</f>
        <v/>
      </c>
      <c r="FK207" s="35">
        <f>IF(N('Dvd Calendar'!$AK$2078)=0,"",IF(('Dvd Calendar'!$AK$2078&gt;=GRID_FROM)*('Dvd Calendar'!$AK$2078&lt;=GRID_TO)*('Dvd Calendar'!$AK$2078&lt;=VAL_DATE)=0,"",'Dvd Calendar'!$AK$2078*1000000000+ISNUMBER('Dvd Calendar'!$AK$2081)*100000000+('Dvd Calendar'!$AK$2083=SPECIAL_LBL)*10000000+0*1000000+48*1000+33))</f>
        <v/>
      </c>
      <c r="FL207" s="35">
        <f>IF(N('Dvd Calendar'!$AL$2078)=0,"",IF(('Dvd Calendar'!$AL$2078&gt;=GRID_FROM)*('Dvd Calendar'!$AL$2078&lt;=GRID_TO)*('Dvd Calendar'!$AL$2078&lt;=VAL_DATE)=0,"",'Dvd Calendar'!$AL$2078*1000000000+ISNUMBER('Dvd Calendar'!$AL$2081)*100000000+('Dvd Calendar'!$AL$2083=SPECIAL_LBL)*10000000+0*1000000+48*1000+34))</f>
        <v/>
      </c>
      <c r="FM207" s="35">
        <f>IF(N('Dvd Calendar'!$AM$2078)=0,"",IF(('Dvd Calendar'!$AM$2078&gt;=GRID_FROM)*('Dvd Calendar'!$AM$2078&lt;=GRID_TO)*('Dvd Calendar'!$AM$2078&lt;=VAL_DATE)=0,"",'Dvd Calendar'!$AM$2078*1000000000+ISNUMBER('Dvd Calendar'!$AM$2081)*100000000+('Dvd Calendar'!$AM$2083=SPECIAL_LBL)*10000000+0*1000000+48*1000+35))</f>
        <v/>
      </c>
      <c r="FN207" s="35">
        <f>IF(N('Dvd Calendar'!$AN$2078)=0,"",IF(('Dvd Calendar'!$AN$2078&gt;=GRID_FROM)*('Dvd Calendar'!$AN$2078&lt;=GRID_TO)*('Dvd Calendar'!$AN$2078&lt;=VAL_DATE)=0,"",'Dvd Calendar'!$AN$2078*1000000000+ISNUMBER('Dvd Calendar'!$AN$2081)*100000000+('Dvd Calendar'!$AN$2083=SPECIAL_LBL)*10000000+0*1000000+48*1000+36))</f>
        <v/>
      </c>
      <c r="FO207" s="35">
        <f>IF(N('Dvd Calendar'!$AO$2078)=0,"",IF(('Dvd Calendar'!$AO$2078&gt;=GRID_FROM)*('Dvd Calendar'!$AO$2078&lt;=GRID_TO)*('Dvd Calendar'!$AO$2078&lt;=VAL_DATE)=0,"",'Dvd Calendar'!$AO$2078*1000000000+ISNUMBER('Dvd Calendar'!$AO$2081)*100000000+('Dvd Calendar'!$AO$2083=SPECIAL_LBL)*10000000+0*1000000+48*1000+37))</f>
        <v/>
      </c>
      <c r="FP207" s="35">
        <f>IF(N('Dvd Calendar'!$AP$2078)=0,"",IF(('Dvd Calendar'!$AP$2078&gt;=GRID_FROM)*('Dvd Calendar'!$AP$2078&lt;=GRID_TO)*('Dvd Calendar'!$AP$2078&lt;=VAL_DATE)=0,"",'Dvd Calendar'!$AP$2078*1000000000+ISNUMBER('Dvd Calendar'!$AP$2081)*100000000+('Dvd Calendar'!$AP$2083=SPECIAL_LBL)*10000000+0*1000000+48*1000+38))</f>
        <v/>
      </c>
      <c r="FQ207" s="35">
        <f>IF(N('Dvd Calendar'!$AQ$2078)=0,"",IF(('Dvd Calendar'!$AQ$2078&gt;=GRID_FROM)*('Dvd Calendar'!$AQ$2078&lt;=GRID_TO)*('Dvd Calendar'!$AQ$2078&lt;=VAL_DATE)=0,"",'Dvd Calendar'!$AQ$2078*1000000000+ISNUMBER('Dvd Calendar'!$AQ$2081)*100000000+('Dvd Calendar'!$AQ$2083=SPECIAL_LBL)*10000000+0*1000000+48*1000+39))</f>
        <v/>
      </c>
      <c r="FR207" s="35">
        <f>IF(N('Dvd Calendar'!$AR$2078)=0,"",IF(('Dvd Calendar'!$AR$2078&gt;=GRID_FROM)*('Dvd Calendar'!$AR$2078&lt;=GRID_TO)*('Dvd Calendar'!$AR$2078&lt;=VAL_DATE)=0,"",'Dvd Calendar'!$AR$2078*1000000000+ISNUMBER('Dvd Calendar'!$AR$2081)*100000000+('Dvd Calendar'!$AR$2083=SPECIAL_LBL)*10000000+0*1000000+48*1000+40))</f>
        <v/>
      </c>
      <c r="FS207" s="35">
        <f>IF(N('Dvd Calendar'!$E$2085)=0,"",IF(('Dvd Calendar'!$E$2085&gt;=GRID_FROM)*('Dvd Calendar'!$E$2085&lt;=GRID_TO)*('Dvd Calendar'!$E$2085&gt;VAL_DATE)=0,"",'Dvd Calendar'!$E$2085*1000000000+ISNUMBER('Dvd Calendar'!$E$2086)*100000000+0*10000000+(N('Dvd Calendar'!$E$2084)&gt;0)*(N('Dvd Calendar'!$E$2084)&lt;=VAL_SERIAL)*1000000+48*1000+41))</f>
        <v/>
      </c>
      <c r="FT207" s="35">
        <f>IF(N('Dvd Calendar'!$F$2085)=0,"",IF(('Dvd Calendar'!$F$2085&gt;=GRID_FROM)*('Dvd Calendar'!$F$2085&lt;=GRID_TO)*('Dvd Calendar'!$F$2085&gt;VAL_DATE)=0,"",'Dvd Calendar'!$F$2085*1000000000+ISNUMBER('Dvd Calendar'!$F$2086)*100000000+0*10000000+(N('Dvd Calendar'!$F$2084)&gt;0)*(N('Dvd Calendar'!$F$2084)&lt;=VAL_SERIAL)*1000000+48*1000+42))</f>
        <v/>
      </c>
      <c r="FU207" s="35">
        <f>IF(N('Dvd Calendar'!$G$2085)=0,"",IF(('Dvd Calendar'!$G$2085&gt;=GRID_FROM)*('Dvd Calendar'!$G$2085&lt;=GRID_TO)*('Dvd Calendar'!$G$2085&gt;VAL_DATE)=0,"",'Dvd Calendar'!$G$2085*1000000000+ISNUMBER('Dvd Calendar'!$G$2086)*100000000+0*10000000+(N('Dvd Calendar'!$G$2084)&gt;0)*(N('Dvd Calendar'!$G$2084)&lt;=VAL_SERIAL)*1000000+48*1000+43))</f>
        <v/>
      </c>
      <c r="FV207" s="35">
        <f>IF(N('Dvd Calendar'!$H$2085)=0,"",IF(('Dvd Calendar'!$H$2085&gt;=GRID_FROM)*('Dvd Calendar'!$H$2085&lt;=GRID_TO)*('Dvd Calendar'!$H$2085&gt;VAL_DATE)=0,"",'Dvd Calendar'!$H$2085*1000000000+ISNUMBER('Dvd Calendar'!$H$2086)*100000000+0*10000000+(N('Dvd Calendar'!$H$2084)&gt;0)*(N('Dvd Calendar'!$H$2084)&lt;=VAL_SERIAL)*1000000+48*1000+44))</f>
        <v/>
      </c>
      <c r="FW207" s="35">
        <f>IF(N('Dvd Calendar'!$I$2085)=0,"",IF(('Dvd Calendar'!$I$2085&gt;=GRID_FROM)*('Dvd Calendar'!$I$2085&lt;=GRID_TO)*('Dvd Calendar'!$I$2085&gt;VAL_DATE)=0,"",'Dvd Calendar'!$I$2085*1000000000+ISNUMBER('Dvd Calendar'!$I$2086)*100000000+0*10000000+(N('Dvd Calendar'!$I$2084)&gt;0)*(N('Dvd Calendar'!$I$2084)&lt;=VAL_SERIAL)*1000000+48*1000+45))</f>
        <v/>
      </c>
      <c r="FX207" s="35">
        <f>IF(N('Dvd Calendar'!$J$2085)=0,"",IF(('Dvd Calendar'!$J$2085&gt;=GRID_FROM)*('Dvd Calendar'!$J$2085&lt;=GRID_TO)*('Dvd Calendar'!$J$2085&gt;VAL_DATE)=0,"",'Dvd Calendar'!$J$2085*1000000000+ISNUMBER('Dvd Calendar'!$J$2086)*100000000+0*10000000+(N('Dvd Calendar'!$J$2084)&gt;0)*(N('Dvd Calendar'!$J$2084)&lt;=VAL_SERIAL)*1000000+48*1000+46))</f>
        <v/>
      </c>
      <c r="FY207" s="35">
        <f>IF(N('Dvd Calendar'!$K$2085)=0,"",IF(('Dvd Calendar'!$K$2085&gt;=GRID_FROM)*('Dvd Calendar'!$K$2085&lt;=GRID_TO)*('Dvd Calendar'!$K$2085&gt;VAL_DATE)=0,"",'Dvd Calendar'!$K$2085*1000000000+ISNUMBER('Dvd Calendar'!$K$2086)*100000000+0*10000000+(N('Dvd Calendar'!$K$2084)&gt;0)*(N('Dvd Calendar'!$K$2084)&lt;=VAL_SERIAL)*1000000+48*1000+47))</f>
        <v/>
      </c>
      <c r="FZ207" s="35">
        <f>IF(N('Dvd Calendar'!$L$2085)=0,"",IF(('Dvd Calendar'!$L$2085&gt;=GRID_FROM)*('Dvd Calendar'!$L$2085&lt;=GRID_TO)*('Dvd Calendar'!$L$2085&gt;VAL_DATE)=0,"",'Dvd Calendar'!$L$2085*1000000000+ISNUMBER('Dvd Calendar'!$L$2086)*100000000+0*10000000+(N('Dvd Calendar'!$L$2084)&gt;0)*(N('Dvd Calendar'!$L$2084)&lt;=VAL_SERIAL)*1000000+48*1000+48))</f>
        <v/>
      </c>
      <c r="GA207" s="35">
        <f>IF(N('Dvd Calendar'!$M$2085)=0,"",IF(('Dvd Calendar'!$M$2085&gt;=GRID_FROM)*('Dvd Calendar'!$M$2085&lt;=GRID_TO)*('Dvd Calendar'!$M$2085&gt;VAL_DATE)=0,"",'Dvd Calendar'!$M$2085*1000000000+ISNUMBER('Dvd Calendar'!$M$2086)*100000000+0*10000000+(N('Dvd Calendar'!$M$2084)&gt;0)*(N('Dvd Calendar'!$M$2084)&lt;=VAL_SERIAL)*1000000+48*1000+49))</f>
        <v/>
      </c>
      <c r="GB207" s="35">
        <f>IF(N('Dvd Calendar'!$N$2085)=0,"",IF(('Dvd Calendar'!$N$2085&gt;=GRID_FROM)*('Dvd Calendar'!$N$2085&lt;=GRID_TO)*('Dvd Calendar'!$N$2085&gt;VAL_DATE)=0,"",'Dvd Calendar'!$N$2085*1000000000+ISNUMBER('Dvd Calendar'!$N$2086)*100000000+0*10000000+(N('Dvd Calendar'!$N$2084)&gt;0)*(N('Dvd Calendar'!$N$2084)&lt;=VAL_SERIAL)*1000000+48*1000+50))</f>
        <v/>
      </c>
      <c r="GC207" s="35">
        <f>IF(N('Dvd Calendar'!$O$2085)=0,"",IF(('Dvd Calendar'!$O$2085&gt;=GRID_FROM)*('Dvd Calendar'!$O$2085&lt;=GRID_TO)*('Dvd Calendar'!$O$2085&gt;VAL_DATE)=0,"",'Dvd Calendar'!$O$2085*1000000000+ISNUMBER('Dvd Calendar'!$O$2086)*100000000+0*10000000+(N('Dvd Calendar'!$O$2084)&gt;0)*(N('Dvd Calendar'!$O$2084)&lt;=VAL_SERIAL)*1000000+48*1000+51))</f>
        <v/>
      </c>
      <c r="GD207" s="35">
        <f>IF(N('Dvd Calendar'!$P$2085)=0,"",IF(('Dvd Calendar'!$P$2085&gt;=GRID_FROM)*('Dvd Calendar'!$P$2085&lt;=GRID_TO)*('Dvd Calendar'!$P$2085&gt;VAL_DATE)=0,"",'Dvd Calendar'!$P$2085*1000000000+ISNUMBER('Dvd Calendar'!$P$2086)*100000000+0*10000000+(N('Dvd Calendar'!$P$2084)&gt;0)*(N('Dvd Calendar'!$P$2084)&lt;=VAL_SERIAL)*1000000+48*1000+52))</f>
        <v/>
      </c>
      <c r="GE207" s="35">
        <f>IF(N('Dvd Calendar'!$Q$2085)=0,"",IF(('Dvd Calendar'!$Q$2085&gt;=GRID_FROM)*('Dvd Calendar'!$Q$2085&lt;=GRID_TO)*('Dvd Calendar'!$Q$2085&gt;VAL_DATE)=0,"",'Dvd Calendar'!$Q$2085*1000000000+ISNUMBER('Dvd Calendar'!$Q$2086)*100000000+0*10000000+(N('Dvd Calendar'!$Q$2084)&gt;0)*(N('Dvd Calendar'!$Q$2084)&lt;=VAL_SERIAL)*1000000+48*1000+53))</f>
        <v/>
      </c>
      <c r="GF207" s="35">
        <f>IF(N('Dvd Calendar'!$R$2085)=0,"",IF(('Dvd Calendar'!$R$2085&gt;=GRID_FROM)*('Dvd Calendar'!$R$2085&lt;=GRID_TO)*('Dvd Calendar'!$R$2085&gt;VAL_DATE)=0,"",'Dvd Calendar'!$R$2085*1000000000+ISNUMBER('Dvd Calendar'!$R$2086)*100000000+0*10000000+(N('Dvd Calendar'!$R$2084)&gt;0)*(N('Dvd Calendar'!$R$2084)&lt;=VAL_SERIAL)*1000000+48*1000+54))</f>
        <v/>
      </c>
      <c r="GG207" s="35">
        <f>IF(N('Dvd Calendar'!$S$2085)=0,"",IF(('Dvd Calendar'!$S$2085&gt;=GRID_FROM)*('Dvd Calendar'!$S$2085&lt;=GRID_TO)*('Dvd Calendar'!$S$2085&gt;VAL_DATE)=0,"",'Dvd Calendar'!$S$2085*1000000000+ISNUMBER('Dvd Calendar'!$S$2086)*100000000+0*10000000+(N('Dvd Calendar'!$S$2084)&gt;0)*(N('Dvd Calendar'!$S$2084)&lt;=VAL_SERIAL)*1000000+48*1000+55))</f>
        <v/>
      </c>
      <c r="GH207" s="35">
        <f>IF(N('Dvd Calendar'!$T$2085)=0,"",IF(('Dvd Calendar'!$T$2085&gt;=GRID_FROM)*('Dvd Calendar'!$T$2085&lt;=GRID_TO)*('Dvd Calendar'!$T$2085&gt;VAL_DATE)=0,"",'Dvd Calendar'!$T$2085*1000000000+ISNUMBER('Dvd Calendar'!$T$2086)*100000000+0*10000000+(N('Dvd Calendar'!$T$2084)&gt;0)*(N('Dvd Calendar'!$T$2084)&lt;=VAL_SERIAL)*1000000+48*1000+56))</f>
        <v/>
      </c>
      <c r="GI207" s="35">
        <f>IF(N('Dvd Calendar'!$U$2085)=0,"",IF(('Dvd Calendar'!$U$2085&gt;=GRID_FROM)*('Dvd Calendar'!$U$2085&lt;=GRID_TO)*('Dvd Calendar'!$U$2085&gt;VAL_DATE)=0,"",'Dvd Calendar'!$U$2085*1000000000+ISNUMBER('Dvd Calendar'!$U$2086)*100000000+0*10000000+(N('Dvd Calendar'!$U$2084)&gt;0)*(N('Dvd Calendar'!$U$2084)&lt;=VAL_SERIAL)*1000000+48*1000+57))</f>
        <v/>
      </c>
      <c r="GJ207" s="35">
        <f>IF(N('Dvd Calendar'!$V$2085)=0,"",IF(('Dvd Calendar'!$V$2085&gt;=GRID_FROM)*('Dvd Calendar'!$V$2085&lt;=GRID_TO)*('Dvd Calendar'!$V$2085&gt;VAL_DATE)=0,"",'Dvd Calendar'!$V$2085*1000000000+ISNUMBER('Dvd Calendar'!$V$2086)*100000000+0*10000000+(N('Dvd Calendar'!$V$2084)&gt;0)*(N('Dvd Calendar'!$V$2084)&lt;=VAL_SERIAL)*1000000+48*1000+58))</f>
        <v/>
      </c>
      <c r="GK207" s="35">
        <f>IF(N('Dvd Calendar'!$W$2085)=0,"",IF(('Dvd Calendar'!$W$2085&gt;=GRID_FROM)*('Dvd Calendar'!$W$2085&lt;=GRID_TO)*('Dvd Calendar'!$W$2085&gt;VAL_DATE)=0,"",'Dvd Calendar'!$W$2085*1000000000+ISNUMBER('Dvd Calendar'!$W$2086)*100000000+0*10000000+(N('Dvd Calendar'!$W$2084)&gt;0)*(N('Dvd Calendar'!$W$2084)&lt;=VAL_SERIAL)*1000000+48*1000+59))</f>
        <v/>
      </c>
      <c r="GL207" s="35">
        <f>IF(N('Dvd Calendar'!$X$2085)=0,"",IF(('Dvd Calendar'!$X$2085&gt;=GRID_FROM)*('Dvd Calendar'!$X$2085&lt;=GRID_TO)*('Dvd Calendar'!$X$2085&gt;VAL_DATE)=0,"",'Dvd Calendar'!$X$2085*1000000000+ISNUMBER('Dvd Calendar'!$X$2086)*100000000+0*10000000+(N('Dvd Calendar'!$X$2084)&gt;0)*(N('Dvd Calendar'!$X$2084)&lt;=VAL_SERIAL)*1000000+48*1000+60))</f>
        <v/>
      </c>
      <c r="GM207" s="35">
        <f>IF(N('Dvd Calendar'!$Y$2085)=0,"",IF(('Dvd Calendar'!$Y$2085&gt;=GRID_FROM)*('Dvd Calendar'!$Y$2085&lt;=GRID_TO)*('Dvd Calendar'!$Y$2085&gt;VAL_DATE)=0,"",'Dvd Calendar'!$Y$2085*1000000000+ISNUMBER('Dvd Calendar'!$Y$2086)*100000000+0*10000000+(N('Dvd Calendar'!$Y$2084)&gt;0)*(N('Dvd Calendar'!$Y$2084)&lt;=VAL_SERIAL)*1000000+48*1000+61))</f>
        <v/>
      </c>
      <c r="GN207" s="35">
        <f>IF(N('Dvd Calendar'!$Z$2085)=0,"",IF(('Dvd Calendar'!$Z$2085&gt;=GRID_FROM)*('Dvd Calendar'!$Z$2085&lt;=GRID_TO)*('Dvd Calendar'!$Z$2085&gt;VAL_DATE)=0,"",'Dvd Calendar'!$Z$2085*1000000000+ISNUMBER('Dvd Calendar'!$Z$2086)*100000000+0*10000000+(N('Dvd Calendar'!$Z$2084)&gt;0)*(N('Dvd Calendar'!$Z$2084)&lt;=VAL_SERIAL)*1000000+48*1000+62))</f>
        <v/>
      </c>
      <c r="GO207" s="35">
        <f>IF(N('Dvd Calendar'!$AA$2085)=0,"",IF(('Dvd Calendar'!$AA$2085&gt;=GRID_FROM)*('Dvd Calendar'!$AA$2085&lt;=GRID_TO)*('Dvd Calendar'!$AA$2085&gt;VAL_DATE)=0,"",'Dvd Calendar'!$AA$2085*1000000000+ISNUMBER('Dvd Calendar'!$AA$2086)*100000000+0*10000000+(N('Dvd Calendar'!$AA$2084)&gt;0)*(N('Dvd Calendar'!$AA$2084)&lt;=VAL_SERIAL)*1000000+48*1000+63))</f>
        <v/>
      </c>
      <c r="GP207" s="35">
        <f>IF(N('Dvd Calendar'!$AB$2085)=0,"",IF(('Dvd Calendar'!$AB$2085&gt;=GRID_FROM)*('Dvd Calendar'!$AB$2085&lt;=GRID_TO)*('Dvd Calendar'!$AB$2085&gt;VAL_DATE)=0,"",'Dvd Calendar'!$AB$2085*1000000000+ISNUMBER('Dvd Calendar'!$AB$2086)*100000000+0*10000000+(N('Dvd Calendar'!$AB$2084)&gt;0)*(N('Dvd Calendar'!$AB$2084)&lt;=VAL_SERIAL)*1000000+48*1000+64))</f>
        <v/>
      </c>
      <c r="GQ207" s="35">
        <f>IF(N('Dvd Calendar'!$AC$2085)=0,"",IF(('Dvd Calendar'!$AC$2085&gt;=GRID_FROM)*('Dvd Calendar'!$AC$2085&lt;=GRID_TO)*('Dvd Calendar'!$AC$2085&gt;VAL_DATE)=0,"",'Dvd Calendar'!$AC$2085*1000000000+ISNUMBER('Dvd Calendar'!$AC$2086)*100000000+0*10000000+(N('Dvd Calendar'!$AC$2084)&gt;0)*(N('Dvd Calendar'!$AC$2084)&lt;=VAL_SERIAL)*1000000+48*1000+65))</f>
        <v/>
      </c>
    </row>
    <row r="208">
      <c r="B208" s="2">
        <f>IF(HSCEI!$C$55="","",HSCEI!$C$55)</f>
        <v/>
      </c>
      <c r="C208" s="106">
        <f>IF(EE208="","",IF(ISNUMBER('Dvd Calendar'!$E$2092)=FALSE,"",IF((('Dvd Calendar'!$E$2094=TYPE1)*(TYPE1&lt;&gt;"")+('Dvd Calendar'!$E$2094=TYPE2)*(TYPE2&lt;&gt;"")+('Dvd Calendar'!$E$2094=TYPE3)*(TYPE3&lt;&gt;"")+('Dvd Calendar'!$E$2094=TYPE4)*(TYPE4&lt;&gt;"")+('Dvd Calendar'!$E$2094=SPECIAL_LBL)*(INC_SPECIALS="Y"))=0,"",'Dvd Calendar'!$E$2092)))</f>
        <v/>
      </c>
      <c r="D208" s="106">
        <f>IF(EF208="","",IF(ISNUMBER('Dvd Calendar'!$F$2092)=FALSE,"",IF((('Dvd Calendar'!$F$2094=TYPE1)*(TYPE1&lt;&gt;"")+('Dvd Calendar'!$F$2094=TYPE2)*(TYPE2&lt;&gt;"")+('Dvd Calendar'!$F$2094=TYPE3)*(TYPE3&lt;&gt;"")+('Dvd Calendar'!$F$2094=TYPE4)*(TYPE4&lt;&gt;"")+('Dvd Calendar'!$F$2094=SPECIAL_LBL)*(INC_SPECIALS="Y"))=0,"",'Dvd Calendar'!$F$2092)))</f>
        <v/>
      </c>
      <c r="E208" s="106">
        <f>IF(EG208="","",IF(ISNUMBER('Dvd Calendar'!$G$2092)=FALSE,"",IF((('Dvd Calendar'!$G$2094=TYPE1)*(TYPE1&lt;&gt;"")+('Dvd Calendar'!$G$2094=TYPE2)*(TYPE2&lt;&gt;"")+('Dvd Calendar'!$G$2094=TYPE3)*(TYPE3&lt;&gt;"")+('Dvd Calendar'!$G$2094=TYPE4)*(TYPE4&lt;&gt;"")+('Dvd Calendar'!$G$2094=SPECIAL_LBL)*(INC_SPECIALS="Y"))=0,"",'Dvd Calendar'!$G$2092)))</f>
        <v/>
      </c>
      <c r="F208" s="106">
        <f>IF(EH208="","",IF(ISNUMBER('Dvd Calendar'!$H$2092)=FALSE,"",IF((('Dvd Calendar'!$H$2094=TYPE1)*(TYPE1&lt;&gt;"")+('Dvd Calendar'!$H$2094=TYPE2)*(TYPE2&lt;&gt;"")+('Dvd Calendar'!$H$2094=TYPE3)*(TYPE3&lt;&gt;"")+('Dvd Calendar'!$H$2094=TYPE4)*(TYPE4&lt;&gt;"")+('Dvd Calendar'!$H$2094=SPECIAL_LBL)*(INC_SPECIALS="Y"))=0,"",'Dvd Calendar'!$H$2092)))</f>
        <v/>
      </c>
      <c r="G208" s="106">
        <f>IF(EI208="","",IF(ISNUMBER('Dvd Calendar'!$I$2092)=FALSE,"",IF((('Dvd Calendar'!$I$2094=TYPE1)*(TYPE1&lt;&gt;"")+('Dvd Calendar'!$I$2094=TYPE2)*(TYPE2&lt;&gt;"")+('Dvd Calendar'!$I$2094=TYPE3)*(TYPE3&lt;&gt;"")+('Dvd Calendar'!$I$2094=TYPE4)*(TYPE4&lt;&gt;"")+('Dvd Calendar'!$I$2094=SPECIAL_LBL)*(INC_SPECIALS="Y"))=0,"",'Dvd Calendar'!$I$2092)))</f>
        <v/>
      </c>
      <c r="H208" s="106">
        <f>IF(EJ208="","",IF(ISNUMBER('Dvd Calendar'!$J$2092)=FALSE,"",IF((('Dvd Calendar'!$J$2094=TYPE1)*(TYPE1&lt;&gt;"")+('Dvd Calendar'!$J$2094=TYPE2)*(TYPE2&lt;&gt;"")+('Dvd Calendar'!$J$2094=TYPE3)*(TYPE3&lt;&gt;"")+('Dvd Calendar'!$J$2094=TYPE4)*(TYPE4&lt;&gt;"")+('Dvd Calendar'!$J$2094=SPECIAL_LBL)*(INC_SPECIALS="Y"))=0,"",'Dvd Calendar'!$J$2092)))</f>
        <v/>
      </c>
      <c r="I208" s="106">
        <f>IF(EK208="","",IF(ISNUMBER('Dvd Calendar'!$K$2092)=FALSE,"",IF((('Dvd Calendar'!$K$2094=TYPE1)*(TYPE1&lt;&gt;"")+('Dvd Calendar'!$K$2094=TYPE2)*(TYPE2&lt;&gt;"")+('Dvd Calendar'!$K$2094=TYPE3)*(TYPE3&lt;&gt;"")+('Dvd Calendar'!$K$2094=TYPE4)*(TYPE4&lt;&gt;"")+('Dvd Calendar'!$K$2094=SPECIAL_LBL)*(INC_SPECIALS="Y"))=0,"",'Dvd Calendar'!$K$2092)))</f>
        <v/>
      </c>
      <c r="J208" s="106">
        <f>IF(EL208="","",IF(ISNUMBER('Dvd Calendar'!$L$2092)=FALSE,"",IF((('Dvd Calendar'!$L$2094=TYPE1)*(TYPE1&lt;&gt;"")+('Dvd Calendar'!$L$2094=TYPE2)*(TYPE2&lt;&gt;"")+('Dvd Calendar'!$L$2094=TYPE3)*(TYPE3&lt;&gt;"")+('Dvd Calendar'!$L$2094=TYPE4)*(TYPE4&lt;&gt;"")+('Dvd Calendar'!$L$2094=SPECIAL_LBL)*(INC_SPECIALS="Y"))=0,"",'Dvd Calendar'!$L$2092)))</f>
        <v/>
      </c>
      <c r="K208" s="106">
        <f>IF(EM208="","",IF(ISNUMBER('Dvd Calendar'!$M$2092)=FALSE,"",IF((('Dvd Calendar'!$M$2094=TYPE1)*(TYPE1&lt;&gt;"")+('Dvd Calendar'!$M$2094=TYPE2)*(TYPE2&lt;&gt;"")+('Dvd Calendar'!$M$2094=TYPE3)*(TYPE3&lt;&gt;"")+('Dvd Calendar'!$M$2094=TYPE4)*(TYPE4&lt;&gt;"")+('Dvd Calendar'!$M$2094=SPECIAL_LBL)*(INC_SPECIALS="Y"))=0,"",'Dvd Calendar'!$M$2092)))</f>
        <v/>
      </c>
      <c r="L208" s="106">
        <f>IF(EN208="","",IF(ISNUMBER('Dvd Calendar'!$N$2092)=FALSE,"",IF((('Dvd Calendar'!$N$2094=TYPE1)*(TYPE1&lt;&gt;"")+('Dvd Calendar'!$N$2094=TYPE2)*(TYPE2&lt;&gt;"")+('Dvd Calendar'!$N$2094=TYPE3)*(TYPE3&lt;&gt;"")+('Dvd Calendar'!$N$2094=TYPE4)*(TYPE4&lt;&gt;"")+('Dvd Calendar'!$N$2094=SPECIAL_LBL)*(INC_SPECIALS="Y"))=0,"",'Dvd Calendar'!$N$2092)))</f>
        <v/>
      </c>
      <c r="M208" s="106">
        <f>IF(EO208="","",IF(ISNUMBER('Dvd Calendar'!$O$2092)=FALSE,"",IF((('Dvd Calendar'!$O$2094=TYPE1)*(TYPE1&lt;&gt;"")+('Dvd Calendar'!$O$2094=TYPE2)*(TYPE2&lt;&gt;"")+('Dvd Calendar'!$O$2094=TYPE3)*(TYPE3&lt;&gt;"")+('Dvd Calendar'!$O$2094=TYPE4)*(TYPE4&lt;&gt;"")+('Dvd Calendar'!$O$2094=SPECIAL_LBL)*(INC_SPECIALS="Y"))=0,"",'Dvd Calendar'!$O$2092)))</f>
        <v/>
      </c>
      <c r="N208" s="106">
        <f>IF(EP208="","",IF(ISNUMBER('Dvd Calendar'!$P$2092)=FALSE,"",IF((('Dvd Calendar'!$P$2094=TYPE1)*(TYPE1&lt;&gt;"")+('Dvd Calendar'!$P$2094=TYPE2)*(TYPE2&lt;&gt;"")+('Dvd Calendar'!$P$2094=TYPE3)*(TYPE3&lt;&gt;"")+('Dvd Calendar'!$P$2094=TYPE4)*(TYPE4&lt;&gt;"")+('Dvd Calendar'!$P$2094=SPECIAL_LBL)*(INC_SPECIALS="Y"))=0,"",'Dvd Calendar'!$P$2092)))</f>
        <v/>
      </c>
      <c r="O208" s="106">
        <f>IF(EQ208="","",IF(ISNUMBER('Dvd Calendar'!$Q$2092)=FALSE,"",IF((('Dvd Calendar'!$Q$2094=TYPE1)*(TYPE1&lt;&gt;"")+('Dvd Calendar'!$Q$2094=TYPE2)*(TYPE2&lt;&gt;"")+('Dvd Calendar'!$Q$2094=TYPE3)*(TYPE3&lt;&gt;"")+('Dvd Calendar'!$Q$2094=TYPE4)*(TYPE4&lt;&gt;"")+('Dvd Calendar'!$Q$2094=SPECIAL_LBL)*(INC_SPECIALS="Y"))=0,"",'Dvd Calendar'!$Q$2092)))</f>
        <v/>
      </c>
      <c r="P208" s="106">
        <f>IF(ER208="","",IF(ISNUMBER('Dvd Calendar'!$R$2092)=FALSE,"",IF((('Dvd Calendar'!$R$2094=TYPE1)*(TYPE1&lt;&gt;"")+('Dvd Calendar'!$R$2094=TYPE2)*(TYPE2&lt;&gt;"")+('Dvd Calendar'!$R$2094=TYPE3)*(TYPE3&lt;&gt;"")+('Dvd Calendar'!$R$2094=TYPE4)*(TYPE4&lt;&gt;"")+('Dvd Calendar'!$R$2094=SPECIAL_LBL)*(INC_SPECIALS="Y"))=0,"",'Dvd Calendar'!$R$2092)))</f>
        <v/>
      </c>
      <c r="Q208" s="106">
        <f>IF(ES208="","",IF(ISNUMBER('Dvd Calendar'!$S$2092)=FALSE,"",IF((('Dvd Calendar'!$S$2094=TYPE1)*(TYPE1&lt;&gt;"")+('Dvd Calendar'!$S$2094=TYPE2)*(TYPE2&lt;&gt;"")+('Dvd Calendar'!$S$2094=TYPE3)*(TYPE3&lt;&gt;"")+('Dvd Calendar'!$S$2094=TYPE4)*(TYPE4&lt;&gt;"")+('Dvd Calendar'!$S$2094=SPECIAL_LBL)*(INC_SPECIALS="Y"))=0,"",'Dvd Calendar'!$S$2092)))</f>
        <v/>
      </c>
      <c r="R208" s="106">
        <f>IF(ET208="","",IF(ISNUMBER('Dvd Calendar'!$T$2092)=FALSE,"",IF((('Dvd Calendar'!$T$2094=TYPE1)*(TYPE1&lt;&gt;"")+('Dvd Calendar'!$T$2094=TYPE2)*(TYPE2&lt;&gt;"")+('Dvd Calendar'!$T$2094=TYPE3)*(TYPE3&lt;&gt;"")+('Dvd Calendar'!$T$2094=TYPE4)*(TYPE4&lt;&gt;"")+('Dvd Calendar'!$T$2094=SPECIAL_LBL)*(INC_SPECIALS="Y"))=0,"",'Dvd Calendar'!$T$2092)))</f>
        <v/>
      </c>
      <c r="S208" s="106">
        <f>IF(EU208="","",IF(ISNUMBER('Dvd Calendar'!$U$2092)=FALSE,"",IF((('Dvd Calendar'!$U$2094=TYPE1)*(TYPE1&lt;&gt;"")+('Dvd Calendar'!$U$2094=TYPE2)*(TYPE2&lt;&gt;"")+('Dvd Calendar'!$U$2094=TYPE3)*(TYPE3&lt;&gt;"")+('Dvd Calendar'!$U$2094=TYPE4)*(TYPE4&lt;&gt;"")+('Dvd Calendar'!$U$2094=SPECIAL_LBL)*(INC_SPECIALS="Y"))=0,"",'Dvd Calendar'!$U$2092)))</f>
        <v/>
      </c>
      <c r="T208" s="106">
        <f>IF(EV208="","",IF(ISNUMBER('Dvd Calendar'!$V$2092)=FALSE,"",IF((('Dvd Calendar'!$V$2094=TYPE1)*(TYPE1&lt;&gt;"")+('Dvd Calendar'!$V$2094=TYPE2)*(TYPE2&lt;&gt;"")+('Dvd Calendar'!$V$2094=TYPE3)*(TYPE3&lt;&gt;"")+('Dvd Calendar'!$V$2094=TYPE4)*(TYPE4&lt;&gt;"")+('Dvd Calendar'!$V$2094=SPECIAL_LBL)*(INC_SPECIALS="Y"))=0,"",'Dvd Calendar'!$V$2092)))</f>
        <v/>
      </c>
      <c r="U208" s="106">
        <f>IF(EW208="","",IF(ISNUMBER('Dvd Calendar'!$W$2092)=FALSE,"",IF((('Dvd Calendar'!$W$2094=TYPE1)*(TYPE1&lt;&gt;"")+('Dvd Calendar'!$W$2094=TYPE2)*(TYPE2&lt;&gt;"")+('Dvd Calendar'!$W$2094=TYPE3)*(TYPE3&lt;&gt;"")+('Dvd Calendar'!$W$2094=TYPE4)*(TYPE4&lt;&gt;"")+('Dvd Calendar'!$W$2094=SPECIAL_LBL)*(INC_SPECIALS="Y"))=0,"",'Dvd Calendar'!$W$2092)))</f>
        <v/>
      </c>
      <c r="V208" s="106">
        <f>IF(EX208="","",IF(ISNUMBER('Dvd Calendar'!$X$2092)=FALSE,"",IF((('Dvd Calendar'!$X$2094=TYPE1)*(TYPE1&lt;&gt;"")+('Dvd Calendar'!$X$2094=TYPE2)*(TYPE2&lt;&gt;"")+('Dvd Calendar'!$X$2094=TYPE3)*(TYPE3&lt;&gt;"")+('Dvd Calendar'!$X$2094=TYPE4)*(TYPE4&lt;&gt;"")+('Dvd Calendar'!$X$2094=SPECIAL_LBL)*(INC_SPECIALS="Y"))=0,"",'Dvd Calendar'!$X$2092)))</f>
        <v/>
      </c>
      <c r="W208" s="106">
        <f>IF(EY208="","",IF(ISNUMBER('Dvd Calendar'!$Y$2092)=FALSE,"",IF((('Dvd Calendar'!$Y$2094=TYPE1)*(TYPE1&lt;&gt;"")+('Dvd Calendar'!$Y$2094=TYPE2)*(TYPE2&lt;&gt;"")+('Dvd Calendar'!$Y$2094=TYPE3)*(TYPE3&lt;&gt;"")+('Dvd Calendar'!$Y$2094=TYPE4)*(TYPE4&lt;&gt;"")+('Dvd Calendar'!$Y$2094=SPECIAL_LBL)*(INC_SPECIALS="Y"))=0,"",'Dvd Calendar'!$Y$2092)))</f>
        <v/>
      </c>
      <c r="X208" s="106">
        <f>IF(EZ208="","",IF(ISNUMBER('Dvd Calendar'!$Z$2092)=FALSE,"",IF((('Dvd Calendar'!$Z$2094=TYPE1)*(TYPE1&lt;&gt;"")+('Dvd Calendar'!$Z$2094=TYPE2)*(TYPE2&lt;&gt;"")+('Dvd Calendar'!$Z$2094=TYPE3)*(TYPE3&lt;&gt;"")+('Dvd Calendar'!$Z$2094=TYPE4)*(TYPE4&lt;&gt;"")+('Dvd Calendar'!$Z$2094=SPECIAL_LBL)*(INC_SPECIALS="Y"))=0,"",'Dvd Calendar'!$Z$2092)))</f>
        <v/>
      </c>
      <c r="Y208" s="106">
        <f>IF(FA208="","",IF(ISNUMBER('Dvd Calendar'!$AA$2092)=FALSE,"",IF((('Dvd Calendar'!$AA$2094=TYPE1)*(TYPE1&lt;&gt;"")+('Dvd Calendar'!$AA$2094=TYPE2)*(TYPE2&lt;&gt;"")+('Dvd Calendar'!$AA$2094=TYPE3)*(TYPE3&lt;&gt;"")+('Dvd Calendar'!$AA$2094=TYPE4)*(TYPE4&lt;&gt;"")+('Dvd Calendar'!$AA$2094=SPECIAL_LBL)*(INC_SPECIALS="Y"))=0,"",'Dvd Calendar'!$AA$2092)))</f>
        <v/>
      </c>
      <c r="Z208" s="106">
        <f>IF(FB208="","",IF(ISNUMBER('Dvd Calendar'!$AB$2092)=FALSE,"",IF((('Dvd Calendar'!$AB$2094=TYPE1)*(TYPE1&lt;&gt;"")+('Dvd Calendar'!$AB$2094=TYPE2)*(TYPE2&lt;&gt;"")+('Dvd Calendar'!$AB$2094=TYPE3)*(TYPE3&lt;&gt;"")+('Dvd Calendar'!$AB$2094=TYPE4)*(TYPE4&lt;&gt;"")+('Dvd Calendar'!$AB$2094=SPECIAL_LBL)*(INC_SPECIALS="Y"))=0,"",'Dvd Calendar'!$AB$2092)))</f>
        <v/>
      </c>
      <c r="AA208" s="106">
        <f>IF(FC208="","",IF(ISNUMBER('Dvd Calendar'!$AC$2092)=FALSE,"",IF((('Dvd Calendar'!$AC$2094=TYPE1)*(TYPE1&lt;&gt;"")+('Dvd Calendar'!$AC$2094=TYPE2)*(TYPE2&lt;&gt;"")+('Dvd Calendar'!$AC$2094=TYPE3)*(TYPE3&lt;&gt;"")+('Dvd Calendar'!$AC$2094=TYPE4)*(TYPE4&lt;&gt;"")+('Dvd Calendar'!$AC$2094=SPECIAL_LBL)*(INC_SPECIALS="Y"))=0,"",'Dvd Calendar'!$AC$2092)))</f>
        <v/>
      </c>
      <c r="AB208" s="106">
        <f>IF(FD208="","",IF(ISNUMBER('Dvd Calendar'!$AD$2092)=FALSE,"",IF((('Dvd Calendar'!$AD$2094=TYPE1)*(TYPE1&lt;&gt;"")+('Dvd Calendar'!$AD$2094=TYPE2)*(TYPE2&lt;&gt;"")+('Dvd Calendar'!$AD$2094=TYPE3)*(TYPE3&lt;&gt;"")+('Dvd Calendar'!$AD$2094=TYPE4)*(TYPE4&lt;&gt;"")+('Dvd Calendar'!$AD$2094=SPECIAL_LBL)*(INC_SPECIALS="Y"))=0,"",'Dvd Calendar'!$AD$2092)))</f>
        <v/>
      </c>
      <c r="AC208" s="106">
        <f>IF(FE208="","",IF(ISNUMBER('Dvd Calendar'!$AE$2092)=FALSE,"",IF((('Dvd Calendar'!$AE$2094=TYPE1)*(TYPE1&lt;&gt;"")+('Dvd Calendar'!$AE$2094=TYPE2)*(TYPE2&lt;&gt;"")+('Dvd Calendar'!$AE$2094=TYPE3)*(TYPE3&lt;&gt;"")+('Dvd Calendar'!$AE$2094=TYPE4)*(TYPE4&lt;&gt;"")+('Dvd Calendar'!$AE$2094=SPECIAL_LBL)*(INC_SPECIALS="Y"))=0,"",'Dvd Calendar'!$AE$2092)))</f>
        <v/>
      </c>
      <c r="AD208" s="106">
        <f>IF(FF208="","",IF(ISNUMBER('Dvd Calendar'!$AF$2092)=FALSE,"",IF((('Dvd Calendar'!$AF$2094=TYPE1)*(TYPE1&lt;&gt;"")+('Dvd Calendar'!$AF$2094=TYPE2)*(TYPE2&lt;&gt;"")+('Dvd Calendar'!$AF$2094=TYPE3)*(TYPE3&lt;&gt;"")+('Dvd Calendar'!$AF$2094=TYPE4)*(TYPE4&lt;&gt;"")+('Dvd Calendar'!$AF$2094=SPECIAL_LBL)*(INC_SPECIALS="Y"))=0,"",'Dvd Calendar'!$AF$2092)))</f>
        <v/>
      </c>
      <c r="AE208" s="106">
        <f>IF(FG208="","",IF(ISNUMBER('Dvd Calendar'!$AG$2092)=FALSE,"",IF((('Dvd Calendar'!$AG$2094=TYPE1)*(TYPE1&lt;&gt;"")+('Dvd Calendar'!$AG$2094=TYPE2)*(TYPE2&lt;&gt;"")+('Dvd Calendar'!$AG$2094=TYPE3)*(TYPE3&lt;&gt;"")+('Dvd Calendar'!$AG$2094=TYPE4)*(TYPE4&lt;&gt;"")+('Dvd Calendar'!$AG$2094=SPECIAL_LBL)*(INC_SPECIALS="Y"))=0,"",'Dvd Calendar'!$AG$2092)))</f>
        <v/>
      </c>
      <c r="AF208" s="106">
        <f>IF(FH208="","",IF(ISNUMBER('Dvd Calendar'!$AH$2092)=FALSE,"",IF((('Dvd Calendar'!$AH$2094=TYPE1)*(TYPE1&lt;&gt;"")+('Dvd Calendar'!$AH$2094=TYPE2)*(TYPE2&lt;&gt;"")+('Dvd Calendar'!$AH$2094=TYPE3)*(TYPE3&lt;&gt;"")+('Dvd Calendar'!$AH$2094=TYPE4)*(TYPE4&lt;&gt;"")+('Dvd Calendar'!$AH$2094=SPECIAL_LBL)*(INC_SPECIALS="Y"))=0,"",'Dvd Calendar'!$AH$2092)))</f>
        <v/>
      </c>
      <c r="AG208" s="106">
        <f>IF(FI208="","",IF(ISNUMBER('Dvd Calendar'!$AI$2092)=FALSE,"",IF((('Dvd Calendar'!$AI$2094=TYPE1)*(TYPE1&lt;&gt;"")+('Dvd Calendar'!$AI$2094=TYPE2)*(TYPE2&lt;&gt;"")+('Dvd Calendar'!$AI$2094=TYPE3)*(TYPE3&lt;&gt;"")+('Dvd Calendar'!$AI$2094=TYPE4)*(TYPE4&lt;&gt;"")+('Dvd Calendar'!$AI$2094=SPECIAL_LBL)*(INC_SPECIALS="Y"))=0,"",'Dvd Calendar'!$AI$2092)))</f>
        <v/>
      </c>
      <c r="AH208" s="106">
        <f>IF(FJ208="","",IF(ISNUMBER('Dvd Calendar'!$AJ$2092)=FALSE,"",IF((('Dvd Calendar'!$AJ$2094=TYPE1)*(TYPE1&lt;&gt;"")+('Dvd Calendar'!$AJ$2094=TYPE2)*(TYPE2&lt;&gt;"")+('Dvd Calendar'!$AJ$2094=TYPE3)*(TYPE3&lt;&gt;"")+('Dvd Calendar'!$AJ$2094=TYPE4)*(TYPE4&lt;&gt;"")+('Dvd Calendar'!$AJ$2094=SPECIAL_LBL)*(INC_SPECIALS="Y"))=0,"",'Dvd Calendar'!$AJ$2092)))</f>
        <v/>
      </c>
      <c r="AI208" s="106">
        <f>IF(FK208="","",IF(ISNUMBER('Dvd Calendar'!$AK$2092)=FALSE,"",IF((('Dvd Calendar'!$AK$2094=TYPE1)*(TYPE1&lt;&gt;"")+('Dvd Calendar'!$AK$2094=TYPE2)*(TYPE2&lt;&gt;"")+('Dvd Calendar'!$AK$2094=TYPE3)*(TYPE3&lt;&gt;"")+('Dvd Calendar'!$AK$2094=TYPE4)*(TYPE4&lt;&gt;"")+('Dvd Calendar'!$AK$2094=SPECIAL_LBL)*(INC_SPECIALS="Y"))=0,"",'Dvd Calendar'!$AK$2092)))</f>
        <v/>
      </c>
      <c r="AJ208" s="106">
        <f>IF(FL208="","",IF(ISNUMBER('Dvd Calendar'!$AL$2092)=FALSE,"",IF((('Dvd Calendar'!$AL$2094=TYPE1)*(TYPE1&lt;&gt;"")+('Dvd Calendar'!$AL$2094=TYPE2)*(TYPE2&lt;&gt;"")+('Dvd Calendar'!$AL$2094=TYPE3)*(TYPE3&lt;&gt;"")+('Dvd Calendar'!$AL$2094=TYPE4)*(TYPE4&lt;&gt;"")+('Dvd Calendar'!$AL$2094=SPECIAL_LBL)*(INC_SPECIALS="Y"))=0,"",'Dvd Calendar'!$AL$2092)))</f>
        <v/>
      </c>
      <c r="AK208" s="106">
        <f>IF(FM208="","",IF(ISNUMBER('Dvd Calendar'!$AM$2092)=FALSE,"",IF((('Dvd Calendar'!$AM$2094=TYPE1)*(TYPE1&lt;&gt;"")+('Dvd Calendar'!$AM$2094=TYPE2)*(TYPE2&lt;&gt;"")+('Dvd Calendar'!$AM$2094=TYPE3)*(TYPE3&lt;&gt;"")+('Dvd Calendar'!$AM$2094=TYPE4)*(TYPE4&lt;&gt;"")+('Dvd Calendar'!$AM$2094=SPECIAL_LBL)*(INC_SPECIALS="Y"))=0,"",'Dvd Calendar'!$AM$2092)))</f>
        <v/>
      </c>
      <c r="AL208" s="106">
        <f>IF(FN208="","",IF(ISNUMBER('Dvd Calendar'!$AN$2092)=FALSE,"",IF((('Dvd Calendar'!$AN$2094=TYPE1)*(TYPE1&lt;&gt;"")+('Dvd Calendar'!$AN$2094=TYPE2)*(TYPE2&lt;&gt;"")+('Dvd Calendar'!$AN$2094=TYPE3)*(TYPE3&lt;&gt;"")+('Dvd Calendar'!$AN$2094=TYPE4)*(TYPE4&lt;&gt;"")+('Dvd Calendar'!$AN$2094=SPECIAL_LBL)*(INC_SPECIALS="Y"))=0,"",'Dvd Calendar'!$AN$2092)))</f>
        <v/>
      </c>
      <c r="AM208" s="106">
        <f>IF(FO208="","",IF(ISNUMBER('Dvd Calendar'!$AO$2092)=FALSE,"",IF((('Dvd Calendar'!$AO$2094=TYPE1)*(TYPE1&lt;&gt;"")+('Dvd Calendar'!$AO$2094=TYPE2)*(TYPE2&lt;&gt;"")+('Dvd Calendar'!$AO$2094=TYPE3)*(TYPE3&lt;&gt;"")+('Dvd Calendar'!$AO$2094=TYPE4)*(TYPE4&lt;&gt;"")+('Dvd Calendar'!$AO$2094=SPECIAL_LBL)*(INC_SPECIALS="Y"))=0,"",'Dvd Calendar'!$AO$2092)))</f>
        <v/>
      </c>
      <c r="AN208" s="106">
        <f>IF(FP208="","",IF(ISNUMBER('Dvd Calendar'!$AP$2092)=FALSE,"",IF((('Dvd Calendar'!$AP$2094=TYPE1)*(TYPE1&lt;&gt;"")+('Dvd Calendar'!$AP$2094=TYPE2)*(TYPE2&lt;&gt;"")+('Dvd Calendar'!$AP$2094=TYPE3)*(TYPE3&lt;&gt;"")+('Dvd Calendar'!$AP$2094=TYPE4)*(TYPE4&lt;&gt;"")+('Dvd Calendar'!$AP$2094=SPECIAL_LBL)*(INC_SPECIALS="Y"))=0,"",'Dvd Calendar'!$AP$2092)))</f>
        <v/>
      </c>
      <c r="AO208" s="106">
        <f>IF(FQ208="","",IF(ISNUMBER('Dvd Calendar'!$AQ$2092)=FALSE,"",IF((('Dvd Calendar'!$AQ$2094=TYPE1)*(TYPE1&lt;&gt;"")+('Dvd Calendar'!$AQ$2094=TYPE2)*(TYPE2&lt;&gt;"")+('Dvd Calendar'!$AQ$2094=TYPE3)*(TYPE3&lt;&gt;"")+('Dvd Calendar'!$AQ$2094=TYPE4)*(TYPE4&lt;&gt;"")+('Dvd Calendar'!$AQ$2094=SPECIAL_LBL)*(INC_SPECIALS="Y"))=0,"",'Dvd Calendar'!$AQ$2092)))</f>
        <v/>
      </c>
      <c r="AP208" s="106">
        <f>IF(FR208="","",IF(ISNUMBER('Dvd Calendar'!$AR$2092)=FALSE,"",IF((('Dvd Calendar'!$AR$2094=TYPE1)*(TYPE1&lt;&gt;"")+('Dvd Calendar'!$AR$2094=TYPE2)*(TYPE2&lt;&gt;"")+('Dvd Calendar'!$AR$2094=TYPE3)*(TYPE3&lt;&gt;"")+('Dvd Calendar'!$AR$2094=TYPE4)*(TYPE4&lt;&gt;"")+('Dvd Calendar'!$AR$2094=SPECIAL_LBL)*(INC_SPECIALS="Y"))=0,"",'Dvd Calendar'!$AR$2092)))</f>
        <v/>
      </c>
      <c r="AQ208" s="106">
        <f>IF(FS208="","",IF(ISNUMBER('Dvd Calendar'!$E$2097)=FALSE,"",'Dvd Calendar'!$E$2097))</f>
        <v/>
      </c>
      <c r="AR208" s="106">
        <f>IF(FT208="","",IF(ISNUMBER('Dvd Calendar'!$F$2097)=FALSE,"",'Dvd Calendar'!$F$2097))</f>
        <v/>
      </c>
      <c r="AS208" s="106">
        <f>IF(FU208="","",IF(ISNUMBER('Dvd Calendar'!$G$2097)=FALSE,"",'Dvd Calendar'!$G$2097))</f>
        <v/>
      </c>
      <c r="AT208" s="106">
        <f>IF(FV208="","",IF(ISNUMBER('Dvd Calendar'!$H$2097)=FALSE,"",'Dvd Calendar'!$H$2097))</f>
        <v/>
      </c>
      <c r="AU208" s="106">
        <f>IF(FW208="","",IF(ISNUMBER('Dvd Calendar'!$I$2097)=FALSE,"",'Dvd Calendar'!$I$2097))</f>
        <v/>
      </c>
      <c r="AV208" s="106">
        <f>IF(FX208="","",IF(ISNUMBER('Dvd Calendar'!$J$2097)=FALSE,"",'Dvd Calendar'!$J$2097))</f>
        <v/>
      </c>
      <c r="AW208" s="106">
        <f>IF(FY208="","",IF(ISNUMBER('Dvd Calendar'!$K$2097)=FALSE,"",'Dvd Calendar'!$K$2097))</f>
        <v/>
      </c>
      <c r="AX208" s="106">
        <f>IF(FZ208="","",IF(ISNUMBER('Dvd Calendar'!$L$2097)=FALSE,"",'Dvd Calendar'!$L$2097))</f>
        <v/>
      </c>
      <c r="AY208" s="106">
        <f>IF(GA208="","",IF(ISNUMBER('Dvd Calendar'!$M$2097)=FALSE,"",'Dvd Calendar'!$M$2097))</f>
        <v/>
      </c>
      <c r="AZ208" s="106">
        <f>IF(GB208="","",IF(ISNUMBER('Dvd Calendar'!$N$2097)=FALSE,"",'Dvd Calendar'!$N$2097))</f>
        <v/>
      </c>
      <c r="BA208" s="106">
        <f>IF(GC208="","",IF(ISNUMBER('Dvd Calendar'!$O$2097)=FALSE,"",'Dvd Calendar'!$O$2097))</f>
        <v/>
      </c>
      <c r="BB208" s="106">
        <f>IF(GD208="","",IF(ISNUMBER('Dvd Calendar'!$P$2097)=FALSE,"",'Dvd Calendar'!$P$2097))</f>
        <v/>
      </c>
      <c r="BC208" s="106">
        <f>IF(GE208="","",IF(ISNUMBER('Dvd Calendar'!$Q$2097)=FALSE,"",'Dvd Calendar'!$Q$2097))</f>
        <v/>
      </c>
      <c r="BD208" s="106">
        <f>IF(GF208="","",IF(ISNUMBER('Dvd Calendar'!$R$2097)=FALSE,"",'Dvd Calendar'!$R$2097))</f>
        <v/>
      </c>
      <c r="BE208" s="106">
        <f>IF(GG208="","",IF(ISNUMBER('Dvd Calendar'!$S$2097)=FALSE,"",'Dvd Calendar'!$S$2097))</f>
        <v/>
      </c>
      <c r="BF208" s="106">
        <f>IF(GH208="","",IF(ISNUMBER('Dvd Calendar'!$T$2097)=FALSE,"",'Dvd Calendar'!$T$2097))</f>
        <v/>
      </c>
      <c r="BG208" s="106">
        <f>IF(GI208="","",IF(ISNUMBER('Dvd Calendar'!$U$2097)=FALSE,"",'Dvd Calendar'!$U$2097))</f>
        <v/>
      </c>
      <c r="BH208" s="106">
        <f>IF(GJ208="","",IF(ISNUMBER('Dvd Calendar'!$V$2097)=FALSE,"",'Dvd Calendar'!$V$2097))</f>
        <v/>
      </c>
      <c r="BI208" s="106">
        <f>IF(GK208="","",IF(ISNUMBER('Dvd Calendar'!$W$2097)=FALSE,"",'Dvd Calendar'!$W$2097))</f>
        <v/>
      </c>
      <c r="BJ208" s="106">
        <f>IF(GL208="","",IF(ISNUMBER('Dvd Calendar'!$X$2097)=FALSE,"",'Dvd Calendar'!$X$2097))</f>
        <v/>
      </c>
      <c r="BK208" s="106">
        <f>IF(GM208="","",IF(ISNUMBER('Dvd Calendar'!$Y$2097)=FALSE,"",'Dvd Calendar'!$Y$2097))</f>
        <v/>
      </c>
      <c r="BL208" s="106">
        <f>IF(GN208="","",IF(ISNUMBER('Dvd Calendar'!$Z$2097)=FALSE,"",'Dvd Calendar'!$Z$2097))</f>
        <v/>
      </c>
      <c r="BM208" s="106">
        <f>IF(GO208="","",IF(ISNUMBER('Dvd Calendar'!$AA$2097)=FALSE,"",'Dvd Calendar'!$AA$2097))</f>
        <v/>
      </c>
      <c r="BN208" s="106">
        <f>IF(GP208="","",IF(ISNUMBER('Dvd Calendar'!$AB$2097)=FALSE,"",'Dvd Calendar'!$AB$2097))</f>
        <v/>
      </c>
      <c r="BO208" s="106">
        <f>IF(GQ208="","",IF(ISNUMBER('Dvd Calendar'!$AC$2097)=FALSE,"",'Dvd Calendar'!$AC$2097))</f>
        <v/>
      </c>
      <c r="BQ208" s="106">
        <f>IF(C208="","",IFERROR(C208*HSCEI!$B$55*HSCEI!$G$55/HSCEI!$B$3,""))</f>
        <v/>
      </c>
      <c r="BR208" s="106">
        <f>IF(D208="","",IFERROR(D208*HSCEI!$B$55*HSCEI!$G$55/HSCEI!$B$3,""))</f>
        <v/>
      </c>
      <c r="BS208" s="106">
        <f>IF(E208="","",IFERROR(E208*HSCEI!$B$55*HSCEI!$G$55/HSCEI!$B$3,""))</f>
        <v/>
      </c>
      <c r="BT208" s="106">
        <f>IF(F208="","",IFERROR(F208*HSCEI!$B$55*HSCEI!$G$55/HSCEI!$B$3,""))</f>
        <v/>
      </c>
      <c r="BU208" s="106">
        <f>IF(G208="","",IFERROR(G208*HSCEI!$B$55*HSCEI!$G$55/HSCEI!$B$3,""))</f>
        <v/>
      </c>
      <c r="BV208" s="106">
        <f>IF(H208="","",IFERROR(H208*HSCEI!$B$55*HSCEI!$G$55/HSCEI!$B$3,""))</f>
        <v/>
      </c>
      <c r="BW208" s="106">
        <f>IF(I208="","",IFERROR(I208*HSCEI!$B$55*HSCEI!$G$55/HSCEI!$B$3,""))</f>
        <v/>
      </c>
      <c r="BX208" s="106">
        <f>IF(J208="","",IFERROR(J208*HSCEI!$B$55*HSCEI!$G$55/HSCEI!$B$3,""))</f>
        <v/>
      </c>
      <c r="BY208" s="106">
        <f>IF(K208="","",IFERROR(K208*HSCEI!$B$55*HSCEI!$G$55/HSCEI!$B$3,""))</f>
        <v/>
      </c>
      <c r="BZ208" s="106">
        <f>IF(L208="","",IFERROR(L208*HSCEI!$B$55*HSCEI!$G$55/HSCEI!$B$3,""))</f>
        <v/>
      </c>
      <c r="CA208" s="106">
        <f>IF(M208="","",IFERROR(M208*HSCEI!$B$55*HSCEI!$G$55/HSCEI!$B$3,""))</f>
        <v/>
      </c>
      <c r="CB208" s="106">
        <f>IF(N208="","",IFERROR(N208*HSCEI!$B$55*HSCEI!$G$55/HSCEI!$B$3,""))</f>
        <v/>
      </c>
      <c r="CC208" s="106">
        <f>IF(O208="","",IFERROR(O208*HSCEI!$B$55*HSCEI!$G$55/HSCEI!$B$3,""))</f>
        <v/>
      </c>
      <c r="CD208" s="106">
        <f>IF(P208="","",IFERROR(P208*HSCEI!$B$55*HSCEI!$G$55/HSCEI!$B$3,""))</f>
        <v/>
      </c>
      <c r="CE208" s="106">
        <f>IF(Q208="","",IFERROR(Q208*HSCEI!$B$55*HSCEI!$G$55/HSCEI!$B$3,""))</f>
        <v/>
      </c>
      <c r="CF208" s="106">
        <f>IF(R208="","",IFERROR(R208*HSCEI!$B$55*HSCEI!$G$55/HSCEI!$B$3,""))</f>
        <v/>
      </c>
      <c r="CG208" s="106">
        <f>IF(S208="","",IFERROR(S208*HSCEI!$B$55*HSCEI!$G$55/HSCEI!$B$3,""))</f>
        <v/>
      </c>
      <c r="CH208" s="106">
        <f>IF(T208="","",IFERROR(T208*HSCEI!$B$55*HSCEI!$G$55/HSCEI!$B$3,""))</f>
        <v/>
      </c>
      <c r="CI208" s="106">
        <f>IF(U208="","",IFERROR(U208*HSCEI!$B$55*HSCEI!$G$55/HSCEI!$B$3,""))</f>
        <v/>
      </c>
      <c r="CJ208" s="106">
        <f>IF(V208="","",IFERROR(V208*HSCEI!$B$55*HSCEI!$G$55/HSCEI!$B$3,""))</f>
        <v/>
      </c>
      <c r="CK208" s="106">
        <f>IF(W208="","",IFERROR(W208*HSCEI!$B$55*HSCEI!$G$55/HSCEI!$B$3,""))</f>
        <v/>
      </c>
      <c r="CL208" s="106">
        <f>IF(X208="","",IFERROR(X208*HSCEI!$B$55*HSCEI!$G$55/HSCEI!$B$3,""))</f>
        <v/>
      </c>
      <c r="CM208" s="106">
        <f>IF(Y208="","",IFERROR(Y208*HSCEI!$B$55*HSCEI!$G$55/HSCEI!$B$3,""))</f>
        <v/>
      </c>
      <c r="CN208" s="106">
        <f>IF(Z208="","",IFERROR(Z208*HSCEI!$B$55*HSCEI!$G$55/HSCEI!$B$3,""))</f>
        <v/>
      </c>
      <c r="CO208" s="106">
        <f>IF(AA208="","",IFERROR(AA208*HSCEI!$B$55*HSCEI!$G$55/HSCEI!$B$3,""))</f>
        <v/>
      </c>
      <c r="CP208" s="106">
        <f>IF(AB208="","",IFERROR(AB208*HSCEI!$B$55*HSCEI!$G$55/HSCEI!$B$3,""))</f>
        <v/>
      </c>
      <c r="CQ208" s="106">
        <f>IF(AC208="","",IFERROR(AC208*HSCEI!$B$55*HSCEI!$G$55/HSCEI!$B$3,""))</f>
        <v/>
      </c>
      <c r="CR208" s="106">
        <f>IF(AD208="","",IFERROR(AD208*HSCEI!$B$55*HSCEI!$G$55/HSCEI!$B$3,""))</f>
        <v/>
      </c>
      <c r="CS208" s="106">
        <f>IF(AE208="","",IFERROR(AE208*HSCEI!$B$55*HSCEI!$G$55/HSCEI!$B$3,""))</f>
        <v/>
      </c>
      <c r="CT208" s="106">
        <f>IF(AF208="","",IFERROR(AF208*HSCEI!$B$55*HSCEI!$G$55/HSCEI!$B$3,""))</f>
        <v/>
      </c>
      <c r="CU208" s="106">
        <f>IF(AG208="","",IFERROR(AG208*HSCEI!$B$55*HSCEI!$G$55/HSCEI!$B$3,""))</f>
        <v/>
      </c>
      <c r="CV208" s="106">
        <f>IF(AH208="","",IFERROR(AH208*HSCEI!$B$55*HSCEI!$G$55/HSCEI!$B$3,""))</f>
        <v/>
      </c>
      <c r="CW208" s="106">
        <f>IF(AI208="","",IFERROR(AI208*HSCEI!$B$55*HSCEI!$G$55/HSCEI!$B$3,""))</f>
        <v/>
      </c>
      <c r="CX208" s="106">
        <f>IF(AJ208="","",IFERROR(AJ208*HSCEI!$B$55*HSCEI!$G$55/HSCEI!$B$3,""))</f>
        <v/>
      </c>
      <c r="CY208" s="106">
        <f>IF(AK208="","",IFERROR(AK208*HSCEI!$B$55*HSCEI!$G$55/HSCEI!$B$3,""))</f>
        <v/>
      </c>
      <c r="CZ208" s="106">
        <f>IF(AL208="","",IFERROR(AL208*HSCEI!$B$55*HSCEI!$G$55/HSCEI!$B$3,""))</f>
        <v/>
      </c>
      <c r="DA208" s="106">
        <f>IF(AM208="","",IFERROR(AM208*HSCEI!$B$55*HSCEI!$G$55/HSCEI!$B$3,""))</f>
        <v/>
      </c>
      <c r="DB208" s="106">
        <f>IF(AN208="","",IFERROR(AN208*HSCEI!$B$55*HSCEI!$G$55/HSCEI!$B$3,""))</f>
        <v/>
      </c>
      <c r="DC208" s="106">
        <f>IF(AO208="","",IFERROR(AO208*HSCEI!$B$55*HSCEI!$G$55/HSCEI!$B$3,""))</f>
        <v/>
      </c>
      <c r="DD208" s="106">
        <f>IF(AP208="","",IFERROR(AP208*HSCEI!$B$55*HSCEI!$G$55/HSCEI!$B$3,""))</f>
        <v/>
      </c>
      <c r="DE208" s="106">
        <f>IF(AQ208="","",IFERROR(AQ208*HSCEI!$B$55*HSCEI!$G$55/HSCEI!$B$3,""))</f>
        <v/>
      </c>
      <c r="DF208" s="106">
        <f>IF(AR208="","",IFERROR(AR208*HSCEI!$B$55*HSCEI!$G$55/HSCEI!$B$3,""))</f>
        <v/>
      </c>
      <c r="DG208" s="106">
        <f>IF(AS208="","",IFERROR(AS208*HSCEI!$B$55*HSCEI!$G$55/HSCEI!$B$3,""))</f>
        <v/>
      </c>
      <c r="DH208" s="106">
        <f>IF(AT208="","",IFERROR(AT208*HSCEI!$B$55*HSCEI!$G$55/HSCEI!$B$3,""))</f>
        <v/>
      </c>
      <c r="DI208" s="106">
        <f>IF(AU208="","",IFERROR(AU208*HSCEI!$B$55*HSCEI!$G$55/HSCEI!$B$3,""))</f>
        <v/>
      </c>
      <c r="DJ208" s="106">
        <f>IF(AV208="","",IFERROR(AV208*HSCEI!$B$55*HSCEI!$G$55/HSCEI!$B$3,""))</f>
        <v/>
      </c>
      <c r="DK208" s="106">
        <f>IF(AW208="","",IFERROR(AW208*HSCEI!$B$55*HSCEI!$G$55/HSCEI!$B$3,""))</f>
        <v/>
      </c>
      <c r="DL208" s="106">
        <f>IF(AX208="","",IFERROR(AX208*HSCEI!$B$55*HSCEI!$G$55/HSCEI!$B$3,""))</f>
        <v/>
      </c>
      <c r="DM208" s="106">
        <f>IF(AY208="","",IFERROR(AY208*HSCEI!$B$55*HSCEI!$G$55/HSCEI!$B$3,""))</f>
        <v/>
      </c>
      <c r="DN208" s="106">
        <f>IF(AZ208="","",IFERROR(AZ208*HSCEI!$B$55*HSCEI!$G$55/HSCEI!$B$3,""))</f>
        <v/>
      </c>
      <c r="DO208" s="106">
        <f>IF(BA208="","",IFERROR(BA208*HSCEI!$B$55*HSCEI!$G$55/HSCEI!$B$3,""))</f>
        <v/>
      </c>
      <c r="DP208" s="106">
        <f>IF(BB208="","",IFERROR(BB208*HSCEI!$B$55*HSCEI!$G$55/HSCEI!$B$3,""))</f>
        <v/>
      </c>
      <c r="DQ208" s="106">
        <f>IF(BC208="","",IFERROR(BC208*HSCEI!$B$55*HSCEI!$G$55/HSCEI!$B$3,""))</f>
        <v/>
      </c>
      <c r="DR208" s="106">
        <f>IF(BD208="","",IFERROR(BD208*HSCEI!$B$55*HSCEI!$G$55/HSCEI!$B$3,""))</f>
        <v/>
      </c>
      <c r="DS208" s="106">
        <f>IF(BE208="","",IFERROR(BE208*HSCEI!$B$55*HSCEI!$G$55/HSCEI!$B$3,""))</f>
        <v/>
      </c>
      <c r="DT208" s="106">
        <f>IF(BF208="","",IFERROR(BF208*HSCEI!$B$55*HSCEI!$G$55/HSCEI!$B$3,""))</f>
        <v/>
      </c>
      <c r="DU208" s="106">
        <f>IF(BG208="","",IFERROR(BG208*HSCEI!$B$55*HSCEI!$G$55/HSCEI!$B$3,""))</f>
        <v/>
      </c>
      <c r="DV208" s="106">
        <f>IF(BH208="","",IFERROR(BH208*HSCEI!$B$55*HSCEI!$G$55/HSCEI!$B$3,""))</f>
        <v/>
      </c>
      <c r="DW208" s="106">
        <f>IF(BI208="","",IFERROR(BI208*HSCEI!$B$55*HSCEI!$G$55/HSCEI!$B$3,""))</f>
        <v/>
      </c>
      <c r="DX208" s="106">
        <f>IF(BJ208="","",IFERROR(BJ208*HSCEI!$B$55*HSCEI!$G$55/HSCEI!$B$3,""))</f>
        <v/>
      </c>
      <c r="DY208" s="106">
        <f>IF(BK208="","",IFERROR(BK208*HSCEI!$B$55*HSCEI!$G$55/HSCEI!$B$3,""))</f>
        <v/>
      </c>
      <c r="DZ208" s="106">
        <f>IF(BL208="","",IFERROR(BL208*HSCEI!$B$55*HSCEI!$G$55/HSCEI!$B$3,""))</f>
        <v/>
      </c>
      <c r="EA208" s="106">
        <f>IF(BM208="","",IFERROR(BM208*HSCEI!$B$55*HSCEI!$G$55/HSCEI!$B$3,""))</f>
        <v/>
      </c>
      <c r="EB208" s="106">
        <f>IF(BN208="","",IFERROR(BN208*HSCEI!$B$55*HSCEI!$G$55/HSCEI!$B$3,""))</f>
        <v/>
      </c>
      <c r="EC208" s="106">
        <f>IF(BO208="","",IFERROR(BO208*HSCEI!$B$55*HSCEI!$G$55/HSCEI!$B$3,""))</f>
        <v/>
      </c>
      <c r="EE208" s="35">
        <f>IF(N('Dvd Calendar'!$E$2089)=0,"",IF(('Dvd Calendar'!$E$2089&gt;=GRID_FROM)*('Dvd Calendar'!$E$2089&lt;=GRID_TO)*('Dvd Calendar'!$E$2089&lt;=VAL_DATE)=0,"",'Dvd Calendar'!$E$2089*1000000000+ISNUMBER('Dvd Calendar'!$E$2092)*100000000+('Dvd Calendar'!$E$2094=SPECIAL_LBL)*10000000+0*1000000+49*1000+1))</f>
        <v/>
      </c>
      <c r="EF208" s="35">
        <f>IF(N('Dvd Calendar'!$F$2089)=0,"",IF(('Dvd Calendar'!$F$2089&gt;=GRID_FROM)*('Dvd Calendar'!$F$2089&lt;=GRID_TO)*('Dvd Calendar'!$F$2089&lt;=VAL_DATE)=0,"",'Dvd Calendar'!$F$2089*1000000000+ISNUMBER('Dvd Calendar'!$F$2092)*100000000+('Dvd Calendar'!$F$2094=SPECIAL_LBL)*10000000+0*1000000+49*1000+2))</f>
        <v/>
      </c>
      <c r="EG208" s="35">
        <f>IF(N('Dvd Calendar'!$G$2089)=0,"",IF(('Dvd Calendar'!$G$2089&gt;=GRID_FROM)*('Dvd Calendar'!$G$2089&lt;=GRID_TO)*('Dvd Calendar'!$G$2089&lt;=VAL_DATE)=0,"",'Dvd Calendar'!$G$2089*1000000000+ISNUMBER('Dvd Calendar'!$G$2092)*100000000+('Dvd Calendar'!$G$2094=SPECIAL_LBL)*10000000+0*1000000+49*1000+3))</f>
        <v/>
      </c>
      <c r="EH208" s="35">
        <f>IF(N('Dvd Calendar'!$H$2089)=0,"",IF(('Dvd Calendar'!$H$2089&gt;=GRID_FROM)*('Dvd Calendar'!$H$2089&lt;=GRID_TO)*('Dvd Calendar'!$H$2089&lt;=VAL_DATE)=0,"",'Dvd Calendar'!$H$2089*1000000000+ISNUMBER('Dvd Calendar'!$H$2092)*100000000+('Dvd Calendar'!$H$2094=SPECIAL_LBL)*10000000+0*1000000+49*1000+4))</f>
        <v/>
      </c>
      <c r="EI208" s="35">
        <f>IF(N('Dvd Calendar'!$I$2089)=0,"",IF(('Dvd Calendar'!$I$2089&gt;=GRID_FROM)*('Dvd Calendar'!$I$2089&lt;=GRID_TO)*('Dvd Calendar'!$I$2089&lt;=VAL_DATE)=0,"",'Dvd Calendar'!$I$2089*1000000000+ISNUMBER('Dvd Calendar'!$I$2092)*100000000+('Dvd Calendar'!$I$2094=SPECIAL_LBL)*10000000+0*1000000+49*1000+5))</f>
        <v/>
      </c>
      <c r="EJ208" s="35">
        <f>IF(N('Dvd Calendar'!$J$2089)=0,"",IF(('Dvd Calendar'!$J$2089&gt;=GRID_FROM)*('Dvd Calendar'!$J$2089&lt;=GRID_TO)*('Dvd Calendar'!$J$2089&lt;=VAL_DATE)=0,"",'Dvd Calendar'!$J$2089*1000000000+ISNUMBER('Dvd Calendar'!$J$2092)*100000000+('Dvd Calendar'!$J$2094=SPECIAL_LBL)*10000000+0*1000000+49*1000+6))</f>
        <v/>
      </c>
      <c r="EK208" s="35">
        <f>IF(N('Dvd Calendar'!$K$2089)=0,"",IF(('Dvd Calendar'!$K$2089&gt;=GRID_FROM)*('Dvd Calendar'!$K$2089&lt;=GRID_TO)*('Dvd Calendar'!$K$2089&lt;=VAL_DATE)=0,"",'Dvd Calendar'!$K$2089*1000000000+ISNUMBER('Dvd Calendar'!$K$2092)*100000000+('Dvd Calendar'!$K$2094=SPECIAL_LBL)*10000000+0*1000000+49*1000+7))</f>
        <v/>
      </c>
      <c r="EL208" s="35">
        <f>IF(N('Dvd Calendar'!$L$2089)=0,"",IF(('Dvd Calendar'!$L$2089&gt;=GRID_FROM)*('Dvd Calendar'!$L$2089&lt;=GRID_TO)*('Dvd Calendar'!$L$2089&lt;=VAL_DATE)=0,"",'Dvd Calendar'!$L$2089*1000000000+ISNUMBER('Dvd Calendar'!$L$2092)*100000000+('Dvd Calendar'!$L$2094=SPECIAL_LBL)*10000000+0*1000000+49*1000+8))</f>
        <v/>
      </c>
      <c r="EM208" s="35">
        <f>IF(N('Dvd Calendar'!$M$2089)=0,"",IF(('Dvd Calendar'!$M$2089&gt;=GRID_FROM)*('Dvd Calendar'!$M$2089&lt;=GRID_TO)*('Dvd Calendar'!$M$2089&lt;=VAL_DATE)=0,"",'Dvd Calendar'!$M$2089*1000000000+ISNUMBER('Dvd Calendar'!$M$2092)*100000000+('Dvd Calendar'!$M$2094=SPECIAL_LBL)*10000000+0*1000000+49*1000+9))</f>
        <v/>
      </c>
      <c r="EN208" s="35">
        <f>IF(N('Dvd Calendar'!$N$2089)=0,"",IF(('Dvd Calendar'!$N$2089&gt;=GRID_FROM)*('Dvd Calendar'!$N$2089&lt;=GRID_TO)*('Dvd Calendar'!$N$2089&lt;=VAL_DATE)=0,"",'Dvd Calendar'!$N$2089*1000000000+ISNUMBER('Dvd Calendar'!$N$2092)*100000000+('Dvd Calendar'!$N$2094=SPECIAL_LBL)*10000000+0*1000000+49*1000+10))</f>
        <v/>
      </c>
      <c r="EO208" s="35">
        <f>IF(N('Dvd Calendar'!$O$2089)=0,"",IF(('Dvd Calendar'!$O$2089&gt;=GRID_FROM)*('Dvd Calendar'!$O$2089&lt;=GRID_TO)*('Dvd Calendar'!$O$2089&lt;=VAL_DATE)=0,"",'Dvd Calendar'!$O$2089*1000000000+ISNUMBER('Dvd Calendar'!$O$2092)*100000000+('Dvd Calendar'!$O$2094=SPECIAL_LBL)*10000000+0*1000000+49*1000+11))</f>
        <v/>
      </c>
      <c r="EP208" s="35">
        <f>IF(N('Dvd Calendar'!$P$2089)=0,"",IF(('Dvd Calendar'!$P$2089&gt;=GRID_FROM)*('Dvd Calendar'!$P$2089&lt;=GRID_TO)*('Dvd Calendar'!$P$2089&lt;=VAL_DATE)=0,"",'Dvd Calendar'!$P$2089*1000000000+ISNUMBER('Dvd Calendar'!$P$2092)*100000000+('Dvd Calendar'!$P$2094=SPECIAL_LBL)*10000000+0*1000000+49*1000+12))</f>
        <v/>
      </c>
      <c r="EQ208" s="35">
        <f>IF(N('Dvd Calendar'!$Q$2089)=0,"",IF(('Dvd Calendar'!$Q$2089&gt;=GRID_FROM)*('Dvd Calendar'!$Q$2089&lt;=GRID_TO)*('Dvd Calendar'!$Q$2089&lt;=VAL_DATE)=0,"",'Dvd Calendar'!$Q$2089*1000000000+ISNUMBER('Dvd Calendar'!$Q$2092)*100000000+('Dvd Calendar'!$Q$2094=SPECIAL_LBL)*10000000+0*1000000+49*1000+13))</f>
        <v/>
      </c>
      <c r="ER208" s="35">
        <f>IF(N('Dvd Calendar'!$R$2089)=0,"",IF(('Dvd Calendar'!$R$2089&gt;=GRID_FROM)*('Dvd Calendar'!$R$2089&lt;=GRID_TO)*('Dvd Calendar'!$R$2089&lt;=VAL_DATE)=0,"",'Dvd Calendar'!$R$2089*1000000000+ISNUMBER('Dvd Calendar'!$R$2092)*100000000+('Dvd Calendar'!$R$2094=SPECIAL_LBL)*10000000+0*1000000+49*1000+14))</f>
        <v/>
      </c>
      <c r="ES208" s="35">
        <f>IF(N('Dvd Calendar'!$S$2089)=0,"",IF(('Dvd Calendar'!$S$2089&gt;=GRID_FROM)*('Dvd Calendar'!$S$2089&lt;=GRID_TO)*('Dvd Calendar'!$S$2089&lt;=VAL_DATE)=0,"",'Dvd Calendar'!$S$2089*1000000000+ISNUMBER('Dvd Calendar'!$S$2092)*100000000+('Dvd Calendar'!$S$2094=SPECIAL_LBL)*10000000+0*1000000+49*1000+15))</f>
        <v/>
      </c>
      <c r="ET208" s="35">
        <f>IF(N('Dvd Calendar'!$T$2089)=0,"",IF(('Dvd Calendar'!$T$2089&gt;=GRID_FROM)*('Dvd Calendar'!$T$2089&lt;=GRID_TO)*('Dvd Calendar'!$T$2089&lt;=VAL_DATE)=0,"",'Dvd Calendar'!$T$2089*1000000000+ISNUMBER('Dvd Calendar'!$T$2092)*100000000+('Dvd Calendar'!$T$2094=SPECIAL_LBL)*10000000+0*1000000+49*1000+16))</f>
        <v/>
      </c>
      <c r="EU208" s="35">
        <f>IF(N('Dvd Calendar'!$U$2089)=0,"",IF(('Dvd Calendar'!$U$2089&gt;=GRID_FROM)*('Dvd Calendar'!$U$2089&lt;=GRID_TO)*('Dvd Calendar'!$U$2089&lt;=VAL_DATE)=0,"",'Dvd Calendar'!$U$2089*1000000000+ISNUMBER('Dvd Calendar'!$U$2092)*100000000+('Dvd Calendar'!$U$2094=SPECIAL_LBL)*10000000+0*1000000+49*1000+17))</f>
        <v/>
      </c>
      <c r="EV208" s="35">
        <f>IF(N('Dvd Calendar'!$V$2089)=0,"",IF(('Dvd Calendar'!$V$2089&gt;=GRID_FROM)*('Dvd Calendar'!$V$2089&lt;=GRID_TO)*('Dvd Calendar'!$V$2089&lt;=VAL_DATE)=0,"",'Dvd Calendar'!$V$2089*1000000000+ISNUMBER('Dvd Calendar'!$V$2092)*100000000+('Dvd Calendar'!$V$2094=SPECIAL_LBL)*10000000+0*1000000+49*1000+18))</f>
        <v/>
      </c>
      <c r="EW208" s="35">
        <f>IF(N('Dvd Calendar'!$W$2089)=0,"",IF(('Dvd Calendar'!$W$2089&gt;=GRID_FROM)*('Dvd Calendar'!$W$2089&lt;=GRID_TO)*('Dvd Calendar'!$W$2089&lt;=VAL_DATE)=0,"",'Dvd Calendar'!$W$2089*1000000000+ISNUMBER('Dvd Calendar'!$W$2092)*100000000+('Dvd Calendar'!$W$2094=SPECIAL_LBL)*10000000+0*1000000+49*1000+19))</f>
        <v/>
      </c>
      <c r="EX208" s="35">
        <f>IF(N('Dvd Calendar'!$X$2089)=0,"",IF(('Dvd Calendar'!$X$2089&gt;=GRID_FROM)*('Dvd Calendar'!$X$2089&lt;=GRID_TO)*('Dvd Calendar'!$X$2089&lt;=VAL_DATE)=0,"",'Dvd Calendar'!$X$2089*1000000000+ISNUMBER('Dvd Calendar'!$X$2092)*100000000+('Dvd Calendar'!$X$2094=SPECIAL_LBL)*10000000+0*1000000+49*1000+20))</f>
        <v/>
      </c>
      <c r="EY208" s="35">
        <f>IF(N('Dvd Calendar'!$Y$2089)=0,"",IF(('Dvd Calendar'!$Y$2089&gt;=GRID_FROM)*('Dvd Calendar'!$Y$2089&lt;=GRID_TO)*('Dvd Calendar'!$Y$2089&lt;=VAL_DATE)=0,"",'Dvd Calendar'!$Y$2089*1000000000+ISNUMBER('Dvd Calendar'!$Y$2092)*100000000+('Dvd Calendar'!$Y$2094=SPECIAL_LBL)*10000000+0*1000000+49*1000+21))</f>
        <v/>
      </c>
      <c r="EZ208" s="35">
        <f>IF(N('Dvd Calendar'!$Z$2089)=0,"",IF(('Dvd Calendar'!$Z$2089&gt;=GRID_FROM)*('Dvd Calendar'!$Z$2089&lt;=GRID_TO)*('Dvd Calendar'!$Z$2089&lt;=VAL_DATE)=0,"",'Dvd Calendar'!$Z$2089*1000000000+ISNUMBER('Dvd Calendar'!$Z$2092)*100000000+('Dvd Calendar'!$Z$2094=SPECIAL_LBL)*10000000+0*1000000+49*1000+22))</f>
        <v/>
      </c>
      <c r="FA208" s="35">
        <f>IF(N('Dvd Calendar'!$AA$2089)=0,"",IF(('Dvd Calendar'!$AA$2089&gt;=GRID_FROM)*('Dvd Calendar'!$AA$2089&lt;=GRID_TO)*('Dvd Calendar'!$AA$2089&lt;=VAL_DATE)=0,"",'Dvd Calendar'!$AA$2089*1000000000+ISNUMBER('Dvd Calendar'!$AA$2092)*100000000+('Dvd Calendar'!$AA$2094=SPECIAL_LBL)*10000000+0*1000000+49*1000+23))</f>
        <v/>
      </c>
      <c r="FB208" s="35">
        <f>IF(N('Dvd Calendar'!$AB$2089)=0,"",IF(('Dvd Calendar'!$AB$2089&gt;=GRID_FROM)*('Dvd Calendar'!$AB$2089&lt;=GRID_TO)*('Dvd Calendar'!$AB$2089&lt;=VAL_DATE)=0,"",'Dvd Calendar'!$AB$2089*1000000000+ISNUMBER('Dvd Calendar'!$AB$2092)*100000000+('Dvd Calendar'!$AB$2094=SPECIAL_LBL)*10000000+0*1000000+49*1000+24))</f>
        <v/>
      </c>
      <c r="FC208" s="35">
        <f>IF(N('Dvd Calendar'!$AC$2089)=0,"",IF(('Dvd Calendar'!$AC$2089&gt;=GRID_FROM)*('Dvd Calendar'!$AC$2089&lt;=GRID_TO)*('Dvd Calendar'!$AC$2089&lt;=VAL_DATE)=0,"",'Dvd Calendar'!$AC$2089*1000000000+ISNUMBER('Dvd Calendar'!$AC$2092)*100000000+('Dvd Calendar'!$AC$2094=SPECIAL_LBL)*10000000+0*1000000+49*1000+25))</f>
        <v/>
      </c>
      <c r="FD208" s="35">
        <f>IF(N('Dvd Calendar'!$AD$2089)=0,"",IF(('Dvd Calendar'!$AD$2089&gt;=GRID_FROM)*('Dvd Calendar'!$AD$2089&lt;=GRID_TO)*('Dvd Calendar'!$AD$2089&lt;=VAL_DATE)=0,"",'Dvd Calendar'!$AD$2089*1000000000+ISNUMBER('Dvd Calendar'!$AD$2092)*100000000+('Dvd Calendar'!$AD$2094=SPECIAL_LBL)*10000000+0*1000000+49*1000+26))</f>
        <v/>
      </c>
      <c r="FE208" s="35">
        <f>IF(N('Dvd Calendar'!$AE$2089)=0,"",IF(('Dvd Calendar'!$AE$2089&gt;=GRID_FROM)*('Dvd Calendar'!$AE$2089&lt;=GRID_TO)*('Dvd Calendar'!$AE$2089&lt;=VAL_DATE)=0,"",'Dvd Calendar'!$AE$2089*1000000000+ISNUMBER('Dvd Calendar'!$AE$2092)*100000000+('Dvd Calendar'!$AE$2094=SPECIAL_LBL)*10000000+0*1000000+49*1000+27))</f>
        <v/>
      </c>
      <c r="FF208" s="35">
        <f>IF(N('Dvd Calendar'!$AF$2089)=0,"",IF(('Dvd Calendar'!$AF$2089&gt;=GRID_FROM)*('Dvd Calendar'!$AF$2089&lt;=GRID_TO)*('Dvd Calendar'!$AF$2089&lt;=VAL_DATE)=0,"",'Dvd Calendar'!$AF$2089*1000000000+ISNUMBER('Dvd Calendar'!$AF$2092)*100000000+('Dvd Calendar'!$AF$2094=SPECIAL_LBL)*10000000+0*1000000+49*1000+28))</f>
        <v/>
      </c>
      <c r="FG208" s="35">
        <f>IF(N('Dvd Calendar'!$AG$2089)=0,"",IF(('Dvd Calendar'!$AG$2089&gt;=GRID_FROM)*('Dvd Calendar'!$AG$2089&lt;=GRID_TO)*('Dvd Calendar'!$AG$2089&lt;=VAL_DATE)=0,"",'Dvd Calendar'!$AG$2089*1000000000+ISNUMBER('Dvd Calendar'!$AG$2092)*100000000+('Dvd Calendar'!$AG$2094=SPECIAL_LBL)*10000000+0*1000000+49*1000+29))</f>
        <v/>
      </c>
      <c r="FH208" s="35">
        <f>IF(N('Dvd Calendar'!$AH$2089)=0,"",IF(('Dvd Calendar'!$AH$2089&gt;=GRID_FROM)*('Dvd Calendar'!$AH$2089&lt;=GRID_TO)*('Dvd Calendar'!$AH$2089&lt;=VAL_DATE)=0,"",'Dvd Calendar'!$AH$2089*1000000000+ISNUMBER('Dvd Calendar'!$AH$2092)*100000000+('Dvd Calendar'!$AH$2094=SPECIAL_LBL)*10000000+0*1000000+49*1000+30))</f>
        <v/>
      </c>
      <c r="FI208" s="35">
        <f>IF(N('Dvd Calendar'!$AI$2089)=0,"",IF(('Dvd Calendar'!$AI$2089&gt;=GRID_FROM)*('Dvd Calendar'!$AI$2089&lt;=GRID_TO)*('Dvd Calendar'!$AI$2089&lt;=VAL_DATE)=0,"",'Dvd Calendar'!$AI$2089*1000000000+ISNUMBER('Dvd Calendar'!$AI$2092)*100000000+('Dvd Calendar'!$AI$2094=SPECIAL_LBL)*10000000+0*1000000+49*1000+31))</f>
        <v/>
      </c>
      <c r="FJ208" s="35">
        <f>IF(N('Dvd Calendar'!$AJ$2089)=0,"",IF(('Dvd Calendar'!$AJ$2089&gt;=GRID_FROM)*('Dvd Calendar'!$AJ$2089&lt;=GRID_TO)*('Dvd Calendar'!$AJ$2089&lt;=VAL_DATE)=0,"",'Dvd Calendar'!$AJ$2089*1000000000+ISNUMBER('Dvd Calendar'!$AJ$2092)*100000000+('Dvd Calendar'!$AJ$2094=SPECIAL_LBL)*10000000+0*1000000+49*1000+32))</f>
        <v/>
      </c>
      <c r="FK208" s="35">
        <f>IF(N('Dvd Calendar'!$AK$2089)=0,"",IF(('Dvd Calendar'!$AK$2089&gt;=GRID_FROM)*('Dvd Calendar'!$AK$2089&lt;=GRID_TO)*('Dvd Calendar'!$AK$2089&lt;=VAL_DATE)=0,"",'Dvd Calendar'!$AK$2089*1000000000+ISNUMBER('Dvd Calendar'!$AK$2092)*100000000+('Dvd Calendar'!$AK$2094=SPECIAL_LBL)*10000000+0*1000000+49*1000+33))</f>
        <v/>
      </c>
      <c r="FL208" s="35">
        <f>IF(N('Dvd Calendar'!$AL$2089)=0,"",IF(('Dvd Calendar'!$AL$2089&gt;=GRID_FROM)*('Dvd Calendar'!$AL$2089&lt;=GRID_TO)*('Dvd Calendar'!$AL$2089&lt;=VAL_DATE)=0,"",'Dvd Calendar'!$AL$2089*1000000000+ISNUMBER('Dvd Calendar'!$AL$2092)*100000000+('Dvd Calendar'!$AL$2094=SPECIAL_LBL)*10000000+0*1000000+49*1000+34))</f>
        <v/>
      </c>
      <c r="FM208" s="35">
        <f>IF(N('Dvd Calendar'!$AM$2089)=0,"",IF(('Dvd Calendar'!$AM$2089&gt;=GRID_FROM)*('Dvd Calendar'!$AM$2089&lt;=GRID_TO)*('Dvd Calendar'!$AM$2089&lt;=VAL_DATE)=0,"",'Dvd Calendar'!$AM$2089*1000000000+ISNUMBER('Dvd Calendar'!$AM$2092)*100000000+('Dvd Calendar'!$AM$2094=SPECIAL_LBL)*10000000+0*1000000+49*1000+35))</f>
        <v/>
      </c>
      <c r="FN208" s="35">
        <f>IF(N('Dvd Calendar'!$AN$2089)=0,"",IF(('Dvd Calendar'!$AN$2089&gt;=GRID_FROM)*('Dvd Calendar'!$AN$2089&lt;=GRID_TO)*('Dvd Calendar'!$AN$2089&lt;=VAL_DATE)=0,"",'Dvd Calendar'!$AN$2089*1000000000+ISNUMBER('Dvd Calendar'!$AN$2092)*100000000+('Dvd Calendar'!$AN$2094=SPECIAL_LBL)*10000000+0*1000000+49*1000+36))</f>
        <v/>
      </c>
      <c r="FO208" s="35">
        <f>IF(N('Dvd Calendar'!$AO$2089)=0,"",IF(('Dvd Calendar'!$AO$2089&gt;=GRID_FROM)*('Dvd Calendar'!$AO$2089&lt;=GRID_TO)*('Dvd Calendar'!$AO$2089&lt;=VAL_DATE)=0,"",'Dvd Calendar'!$AO$2089*1000000000+ISNUMBER('Dvd Calendar'!$AO$2092)*100000000+('Dvd Calendar'!$AO$2094=SPECIAL_LBL)*10000000+0*1000000+49*1000+37))</f>
        <v/>
      </c>
      <c r="FP208" s="35">
        <f>IF(N('Dvd Calendar'!$AP$2089)=0,"",IF(('Dvd Calendar'!$AP$2089&gt;=GRID_FROM)*('Dvd Calendar'!$AP$2089&lt;=GRID_TO)*('Dvd Calendar'!$AP$2089&lt;=VAL_DATE)=0,"",'Dvd Calendar'!$AP$2089*1000000000+ISNUMBER('Dvd Calendar'!$AP$2092)*100000000+('Dvd Calendar'!$AP$2094=SPECIAL_LBL)*10000000+0*1000000+49*1000+38))</f>
        <v/>
      </c>
      <c r="FQ208" s="35">
        <f>IF(N('Dvd Calendar'!$AQ$2089)=0,"",IF(('Dvd Calendar'!$AQ$2089&gt;=GRID_FROM)*('Dvd Calendar'!$AQ$2089&lt;=GRID_TO)*('Dvd Calendar'!$AQ$2089&lt;=VAL_DATE)=0,"",'Dvd Calendar'!$AQ$2089*1000000000+ISNUMBER('Dvd Calendar'!$AQ$2092)*100000000+('Dvd Calendar'!$AQ$2094=SPECIAL_LBL)*10000000+0*1000000+49*1000+39))</f>
        <v/>
      </c>
      <c r="FR208" s="35">
        <f>IF(N('Dvd Calendar'!$AR$2089)=0,"",IF(('Dvd Calendar'!$AR$2089&gt;=GRID_FROM)*('Dvd Calendar'!$AR$2089&lt;=GRID_TO)*('Dvd Calendar'!$AR$2089&lt;=VAL_DATE)=0,"",'Dvd Calendar'!$AR$2089*1000000000+ISNUMBER('Dvd Calendar'!$AR$2092)*100000000+('Dvd Calendar'!$AR$2094=SPECIAL_LBL)*10000000+0*1000000+49*1000+40))</f>
        <v/>
      </c>
      <c r="FS208" s="35">
        <f>IF(N('Dvd Calendar'!$E$2096)=0,"",IF(('Dvd Calendar'!$E$2096&gt;=GRID_FROM)*('Dvd Calendar'!$E$2096&lt;=GRID_TO)*('Dvd Calendar'!$E$2096&gt;VAL_DATE)=0,"",'Dvd Calendar'!$E$2096*1000000000+ISNUMBER('Dvd Calendar'!$E$2097)*100000000+0*10000000+(N('Dvd Calendar'!$E$2095)&gt;0)*(N('Dvd Calendar'!$E$2095)&lt;=VAL_SERIAL)*1000000+49*1000+41))</f>
        <v/>
      </c>
      <c r="FT208" s="35">
        <f>IF(N('Dvd Calendar'!$F$2096)=0,"",IF(('Dvd Calendar'!$F$2096&gt;=GRID_FROM)*('Dvd Calendar'!$F$2096&lt;=GRID_TO)*('Dvd Calendar'!$F$2096&gt;VAL_DATE)=0,"",'Dvd Calendar'!$F$2096*1000000000+ISNUMBER('Dvd Calendar'!$F$2097)*100000000+0*10000000+(N('Dvd Calendar'!$F$2095)&gt;0)*(N('Dvd Calendar'!$F$2095)&lt;=VAL_SERIAL)*1000000+49*1000+42))</f>
        <v/>
      </c>
      <c r="FU208" s="35">
        <f>IF(N('Dvd Calendar'!$G$2096)=0,"",IF(('Dvd Calendar'!$G$2096&gt;=GRID_FROM)*('Dvd Calendar'!$G$2096&lt;=GRID_TO)*('Dvd Calendar'!$G$2096&gt;VAL_DATE)=0,"",'Dvd Calendar'!$G$2096*1000000000+ISNUMBER('Dvd Calendar'!$G$2097)*100000000+0*10000000+(N('Dvd Calendar'!$G$2095)&gt;0)*(N('Dvd Calendar'!$G$2095)&lt;=VAL_SERIAL)*1000000+49*1000+43))</f>
        <v/>
      </c>
      <c r="FV208" s="35">
        <f>IF(N('Dvd Calendar'!$H$2096)=0,"",IF(('Dvd Calendar'!$H$2096&gt;=GRID_FROM)*('Dvd Calendar'!$H$2096&lt;=GRID_TO)*('Dvd Calendar'!$H$2096&gt;VAL_DATE)=0,"",'Dvd Calendar'!$H$2096*1000000000+ISNUMBER('Dvd Calendar'!$H$2097)*100000000+0*10000000+(N('Dvd Calendar'!$H$2095)&gt;0)*(N('Dvd Calendar'!$H$2095)&lt;=VAL_SERIAL)*1000000+49*1000+44))</f>
        <v/>
      </c>
      <c r="FW208" s="35">
        <f>IF(N('Dvd Calendar'!$I$2096)=0,"",IF(('Dvd Calendar'!$I$2096&gt;=GRID_FROM)*('Dvd Calendar'!$I$2096&lt;=GRID_TO)*('Dvd Calendar'!$I$2096&gt;VAL_DATE)=0,"",'Dvd Calendar'!$I$2096*1000000000+ISNUMBER('Dvd Calendar'!$I$2097)*100000000+0*10000000+(N('Dvd Calendar'!$I$2095)&gt;0)*(N('Dvd Calendar'!$I$2095)&lt;=VAL_SERIAL)*1000000+49*1000+45))</f>
        <v/>
      </c>
      <c r="FX208" s="35">
        <f>IF(N('Dvd Calendar'!$J$2096)=0,"",IF(('Dvd Calendar'!$J$2096&gt;=GRID_FROM)*('Dvd Calendar'!$J$2096&lt;=GRID_TO)*('Dvd Calendar'!$J$2096&gt;VAL_DATE)=0,"",'Dvd Calendar'!$J$2096*1000000000+ISNUMBER('Dvd Calendar'!$J$2097)*100000000+0*10000000+(N('Dvd Calendar'!$J$2095)&gt;0)*(N('Dvd Calendar'!$J$2095)&lt;=VAL_SERIAL)*1000000+49*1000+46))</f>
        <v/>
      </c>
      <c r="FY208" s="35">
        <f>IF(N('Dvd Calendar'!$K$2096)=0,"",IF(('Dvd Calendar'!$K$2096&gt;=GRID_FROM)*('Dvd Calendar'!$K$2096&lt;=GRID_TO)*('Dvd Calendar'!$K$2096&gt;VAL_DATE)=0,"",'Dvd Calendar'!$K$2096*1000000000+ISNUMBER('Dvd Calendar'!$K$2097)*100000000+0*10000000+(N('Dvd Calendar'!$K$2095)&gt;0)*(N('Dvd Calendar'!$K$2095)&lt;=VAL_SERIAL)*1000000+49*1000+47))</f>
        <v/>
      </c>
      <c r="FZ208" s="35">
        <f>IF(N('Dvd Calendar'!$L$2096)=0,"",IF(('Dvd Calendar'!$L$2096&gt;=GRID_FROM)*('Dvd Calendar'!$L$2096&lt;=GRID_TO)*('Dvd Calendar'!$L$2096&gt;VAL_DATE)=0,"",'Dvd Calendar'!$L$2096*1000000000+ISNUMBER('Dvd Calendar'!$L$2097)*100000000+0*10000000+(N('Dvd Calendar'!$L$2095)&gt;0)*(N('Dvd Calendar'!$L$2095)&lt;=VAL_SERIAL)*1000000+49*1000+48))</f>
        <v/>
      </c>
      <c r="GA208" s="35">
        <f>IF(N('Dvd Calendar'!$M$2096)=0,"",IF(('Dvd Calendar'!$M$2096&gt;=GRID_FROM)*('Dvd Calendar'!$M$2096&lt;=GRID_TO)*('Dvd Calendar'!$M$2096&gt;VAL_DATE)=0,"",'Dvd Calendar'!$M$2096*1000000000+ISNUMBER('Dvd Calendar'!$M$2097)*100000000+0*10000000+(N('Dvd Calendar'!$M$2095)&gt;0)*(N('Dvd Calendar'!$M$2095)&lt;=VAL_SERIAL)*1000000+49*1000+49))</f>
        <v/>
      </c>
      <c r="GB208" s="35">
        <f>IF(N('Dvd Calendar'!$N$2096)=0,"",IF(('Dvd Calendar'!$N$2096&gt;=GRID_FROM)*('Dvd Calendar'!$N$2096&lt;=GRID_TO)*('Dvd Calendar'!$N$2096&gt;VAL_DATE)=0,"",'Dvd Calendar'!$N$2096*1000000000+ISNUMBER('Dvd Calendar'!$N$2097)*100000000+0*10000000+(N('Dvd Calendar'!$N$2095)&gt;0)*(N('Dvd Calendar'!$N$2095)&lt;=VAL_SERIAL)*1000000+49*1000+50))</f>
        <v/>
      </c>
      <c r="GC208" s="35">
        <f>IF(N('Dvd Calendar'!$O$2096)=0,"",IF(('Dvd Calendar'!$O$2096&gt;=GRID_FROM)*('Dvd Calendar'!$O$2096&lt;=GRID_TO)*('Dvd Calendar'!$O$2096&gt;VAL_DATE)=0,"",'Dvd Calendar'!$O$2096*1000000000+ISNUMBER('Dvd Calendar'!$O$2097)*100000000+0*10000000+(N('Dvd Calendar'!$O$2095)&gt;0)*(N('Dvd Calendar'!$O$2095)&lt;=VAL_SERIAL)*1000000+49*1000+51))</f>
        <v/>
      </c>
      <c r="GD208" s="35">
        <f>IF(N('Dvd Calendar'!$P$2096)=0,"",IF(('Dvd Calendar'!$P$2096&gt;=GRID_FROM)*('Dvd Calendar'!$P$2096&lt;=GRID_TO)*('Dvd Calendar'!$P$2096&gt;VAL_DATE)=0,"",'Dvd Calendar'!$P$2096*1000000000+ISNUMBER('Dvd Calendar'!$P$2097)*100000000+0*10000000+(N('Dvd Calendar'!$P$2095)&gt;0)*(N('Dvd Calendar'!$P$2095)&lt;=VAL_SERIAL)*1000000+49*1000+52))</f>
        <v/>
      </c>
      <c r="GE208" s="35">
        <f>IF(N('Dvd Calendar'!$Q$2096)=0,"",IF(('Dvd Calendar'!$Q$2096&gt;=GRID_FROM)*('Dvd Calendar'!$Q$2096&lt;=GRID_TO)*('Dvd Calendar'!$Q$2096&gt;VAL_DATE)=0,"",'Dvd Calendar'!$Q$2096*1000000000+ISNUMBER('Dvd Calendar'!$Q$2097)*100000000+0*10000000+(N('Dvd Calendar'!$Q$2095)&gt;0)*(N('Dvd Calendar'!$Q$2095)&lt;=VAL_SERIAL)*1000000+49*1000+53))</f>
        <v/>
      </c>
      <c r="GF208" s="35">
        <f>IF(N('Dvd Calendar'!$R$2096)=0,"",IF(('Dvd Calendar'!$R$2096&gt;=GRID_FROM)*('Dvd Calendar'!$R$2096&lt;=GRID_TO)*('Dvd Calendar'!$R$2096&gt;VAL_DATE)=0,"",'Dvd Calendar'!$R$2096*1000000000+ISNUMBER('Dvd Calendar'!$R$2097)*100000000+0*10000000+(N('Dvd Calendar'!$R$2095)&gt;0)*(N('Dvd Calendar'!$R$2095)&lt;=VAL_SERIAL)*1000000+49*1000+54))</f>
        <v/>
      </c>
      <c r="GG208" s="35">
        <f>IF(N('Dvd Calendar'!$S$2096)=0,"",IF(('Dvd Calendar'!$S$2096&gt;=GRID_FROM)*('Dvd Calendar'!$S$2096&lt;=GRID_TO)*('Dvd Calendar'!$S$2096&gt;VAL_DATE)=0,"",'Dvd Calendar'!$S$2096*1000000000+ISNUMBER('Dvd Calendar'!$S$2097)*100000000+0*10000000+(N('Dvd Calendar'!$S$2095)&gt;0)*(N('Dvd Calendar'!$S$2095)&lt;=VAL_SERIAL)*1000000+49*1000+55))</f>
        <v/>
      </c>
      <c r="GH208" s="35">
        <f>IF(N('Dvd Calendar'!$T$2096)=0,"",IF(('Dvd Calendar'!$T$2096&gt;=GRID_FROM)*('Dvd Calendar'!$T$2096&lt;=GRID_TO)*('Dvd Calendar'!$T$2096&gt;VAL_DATE)=0,"",'Dvd Calendar'!$T$2096*1000000000+ISNUMBER('Dvd Calendar'!$T$2097)*100000000+0*10000000+(N('Dvd Calendar'!$T$2095)&gt;0)*(N('Dvd Calendar'!$T$2095)&lt;=VAL_SERIAL)*1000000+49*1000+56))</f>
        <v/>
      </c>
      <c r="GI208" s="35">
        <f>IF(N('Dvd Calendar'!$U$2096)=0,"",IF(('Dvd Calendar'!$U$2096&gt;=GRID_FROM)*('Dvd Calendar'!$U$2096&lt;=GRID_TO)*('Dvd Calendar'!$U$2096&gt;VAL_DATE)=0,"",'Dvd Calendar'!$U$2096*1000000000+ISNUMBER('Dvd Calendar'!$U$2097)*100000000+0*10000000+(N('Dvd Calendar'!$U$2095)&gt;0)*(N('Dvd Calendar'!$U$2095)&lt;=VAL_SERIAL)*1000000+49*1000+57))</f>
        <v/>
      </c>
      <c r="GJ208" s="35">
        <f>IF(N('Dvd Calendar'!$V$2096)=0,"",IF(('Dvd Calendar'!$V$2096&gt;=GRID_FROM)*('Dvd Calendar'!$V$2096&lt;=GRID_TO)*('Dvd Calendar'!$V$2096&gt;VAL_DATE)=0,"",'Dvd Calendar'!$V$2096*1000000000+ISNUMBER('Dvd Calendar'!$V$2097)*100000000+0*10000000+(N('Dvd Calendar'!$V$2095)&gt;0)*(N('Dvd Calendar'!$V$2095)&lt;=VAL_SERIAL)*1000000+49*1000+58))</f>
        <v/>
      </c>
      <c r="GK208" s="35">
        <f>IF(N('Dvd Calendar'!$W$2096)=0,"",IF(('Dvd Calendar'!$W$2096&gt;=GRID_FROM)*('Dvd Calendar'!$W$2096&lt;=GRID_TO)*('Dvd Calendar'!$W$2096&gt;VAL_DATE)=0,"",'Dvd Calendar'!$W$2096*1000000000+ISNUMBER('Dvd Calendar'!$W$2097)*100000000+0*10000000+(N('Dvd Calendar'!$W$2095)&gt;0)*(N('Dvd Calendar'!$W$2095)&lt;=VAL_SERIAL)*1000000+49*1000+59))</f>
        <v/>
      </c>
      <c r="GL208" s="35">
        <f>IF(N('Dvd Calendar'!$X$2096)=0,"",IF(('Dvd Calendar'!$X$2096&gt;=GRID_FROM)*('Dvd Calendar'!$X$2096&lt;=GRID_TO)*('Dvd Calendar'!$X$2096&gt;VAL_DATE)=0,"",'Dvd Calendar'!$X$2096*1000000000+ISNUMBER('Dvd Calendar'!$X$2097)*100000000+0*10000000+(N('Dvd Calendar'!$X$2095)&gt;0)*(N('Dvd Calendar'!$X$2095)&lt;=VAL_SERIAL)*1000000+49*1000+60))</f>
        <v/>
      </c>
      <c r="GM208" s="35">
        <f>IF(N('Dvd Calendar'!$Y$2096)=0,"",IF(('Dvd Calendar'!$Y$2096&gt;=GRID_FROM)*('Dvd Calendar'!$Y$2096&lt;=GRID_TO)*('Dvd Calendar'!$Y$2096&gt;VAL_DATE)=0,"",'Dvd Calendar'!$Y$2096*1000000000+ISNUMBER('Dvd Calendar'!$Y$2097)*100000000+0*10000000+(N('Dvd Calendar'!$Y$2095)&gt;0)*(N('Dvd Calendar'!$Y$2095)&lt;=VAL_SERIAL)*1000000+49*1000+61))</f>
        <v/>
      </c>
      <c r="GN208" s="35">
        <f>IF(N('Dvd Calendar'!$Z$2096)=0,"",IF(('Dvd Calendar'!$Z$2096&gt;=GRID_FROM)*('Dvd Calendar'!$Z$2096&lt;=GRID_TO)*('Dvd Calendar'!$Z$2096&gt;VAL_DATE)=0,"",'Dvd Calendar'!$Z$2096*1000000000+ISNUMBER('Dvd Calendar'!$Z$2097)*100000000+0*10000000+(N('Dvd Calendar'!$Z$2095)&gt;0)*(N('Dvd Calendar'!$Z$2095)&lt;=VAL_SERIAL)*1000000+49*1000+62))</f>
        <v/>
      </c>
      <c r="GO208" s="35">
        <f>IF(N('Dvd Calendar'!$AA$2096)=0,"",IF(('Dvd Calendar'!$AA$2096&gt;=GRID_FROM)*('Dvd Calendar'!$AA$2096&lt;=GRID_TO)*('Dvd Calendar'!$AA$2096&gt;VAL_DATE)=0,"",'Dvd Calendar'!$AA$2096*1000000000+ISNUMBER('Dvd Calendar'!$AA$2097)*100000000+0*10000000+(N('Dvd Calendar'!$AA$2095)&gt;0)*(N('Dvd Calendar'!$AA$2095)&lt;=VAL_SERIAL)*1000000+49*1000+63))</f>
        <v/>
      </c>
      <c r="GP208" s="35">
        <f>IF(N('Dvd Calendar'!$AB$2096)=0,"",IF(('Dvd Calendar'!$AB$2096&gt;=GRID_FROM)*('Dvd Calendar'!$AB$2096&lt;=GRID_TO)*('Dvd Calendar'!$AB$2096&gt;VAL_DATE)=0,"",'Dvd Calendar'!$AB$2096*1000000000+ISNUMBER('Dvd Calendar'!$AB$2097)*100000000+0*10000000+(N('Dvd Calendar'!$AB$2095)&gt;0)*(N('Dvd Calendar'!$AB$2095)&lt;=VAL_SERIAL)*1000000+49*1000+64))</f>
        <v/>
      </c>
      <c r="GQ208" s="35">
        <f>IF(N('Dvd Calendar'!$AC$2096)=0,"",IF(('Dvd Calendar'!$AC$2096&gt;=GRID_FROM)*('Dvd Calendar'!$AC$2096&lt;=GRID_TO)*('Dvd Calendar'!$AC$2096&gt;VAL_DATE)=0,"",'Dvd Calendar'!$AC$2096*1000000000+ISNUMBER('Dvd Calendar'!$AC$2097)*100000000+0*10000000+(N('Dvd Calendar'!$AC$2095)&gt;0)*(N('Dvd Calendar'!$AC$2095)&lt;=VAL_SERIAL)*1000000+49*1000+65))</f>
        <v/>
      </c>
    </row>
    <row r="209">
      <c r="B209" s="2">
        <f>IF(HSCEI!$C$56="","",HSCEI!$C$56)</f>
        <v/>
      </c>
      <c r="C209" s="106">
        <f>IF(EE209="","",IF(ISNUMBER('Dvd Calendar'!$E$2103)=FALSE,"",IF((('Dvd Calendar'!$E$2105=TYPE1)*(TYPE1&lt;&gt;"")+('Dvd Calendar'!$E$2105=TYPE2)*(TYPE2&lt;&gt;"")+('Dvd Calendar'!$E$2105=TYPE3)*(TYPE3&lt;&gt;"")+('Dvd Calendar'!$E$2105=TYPE4)*(TYPE4&lt;&gt;"")+('Dvd Calendar'!$E$2105=SPECIAL_LBL)*(INC_SPECIALS="Y"))=0,"",'Dvd Calendar'!$E$2103)))</f>
        <v/>
      </c>
      <c r="D209" s="106">
        <f>IF(EF209="","",IF(ISNUMBER('Dvd Calendar'!$F$2103)=FALSE,"",IF((('Dvd Calendar'!$F$2105=TYPE1)*(TYPE1&lt;&gt;"")+('Dvd Calendar'!$F$2105=TYPE2)*(TYPE2&lt;&gt;"")+('Dvd Calendar'!$F$2105=TYPE3)*(TYPE3&lt;&gt;"")+('Dvd Calendar'!$F$2105=TYPE4)*(TYPE4&lt;&gt;"")+('Dvd Calendar'!$F$2105=SPECIAL_LBL)*(INC_SPECIALS="Y"))=0,"",'Dvd Calendar'!$F$2103)))</f>
        <v/>
      </c>
      <c r="E209" s="106">
        <f>IF(EG209="","",IF(ISNUMBER('Dvd Calendar'!$G$2103)=FALSE,"",IF((('Dvd Calendar'!$G$2105=TYPE1)*(TYPE1&lt;&gt;"")+('Dvd Calendar'!$G$2105=TYPE2)*(TYPE2&lt;&gt;"")+('Dvd Calendar'!$G$2105=TYPE3)*(TYPE3&lt;&gt;"")+('Dvd Calendar'!$G$2105=TYPE4)*(TYPE4&lt;&gt;"")+('Dvd Calendar'!$G$2105=SPECIAL_LBL)*(INC_SPECIALS="Y"))=0,"",'Dvd Calendar'!$G$2103)))</f>
        <v/>
      </c>
      <c r="F209" s="106">
        <f>IF(EH209="","",IF(ISNUMBER('Dvd Calendar'!$H$2103)=FALSE,"",IF((('Dvd Calendar'!$H$2105=TYPE1)*(TYPE1&lt;&gt;"")+('Dvd Calendar'!$H$2105=TYPE2)*(TYPE2&lt;&gt;"")+('Dvd Calendar'!$H$2105=TYPE3)*(TYPE3&lt;&gt;"")+('Dvd Calendar'!$H$2105=TYPE4)*(TYPE4&lt;&gt;"")+('Dvd Calendar'!$H$2105=SPECIAL_LBL)*(INC_SPECIALS="Y"))=0,"",'Dvd Calendar'!$H$2103)))</f>
        <v/>
      </c>
      <c r="G209" s="106">
        <f>IF(EI209="","",IF(ISNUMBER('Dvd Calendar'!$I$2103)=FALSE,"",IF((('Dvd Calendar'!$I$2105=TYPE1)*(TYPE1&lt;&gt;"")+('Dvd Calendar'!$I$2105=TYPE2)*(TYPE2&lt;&gt;"")+('Dvd Calendar'!$I$2105=TYPE3)*(TYPE3&lt;&gt;"")+('Dvd Calendar'!$I$2105=TYPE4)*(TYPE4&lt;&gt;"")+('Dvd Calendar'!$I$2105=SPECIAL_LBL)*(INC_SPECIALS="Y"))=0,"",'Dvd Calendar'!$I$2103)))</f>
        <v/>
      </c>
      <c r="H209" s="106">
        <f>IF(EJ209="","",IF(ISNUMBER('Dvd Calendar'!$J$2103)=FALSE,"",IF((('Dvd Calendar'!$J$2105=TYPE1)*(TYPE1&lt;&gt;"")+('Dvd Calendar'!$J$2105=TYPE2)*(TYPE2&lt;&gt;"")+('Dvd Calendar'!$J$2105=TYPE3)*(TYPE3&lt;&gt;"")+('Dvd Calendar'!$J$2105=TYPE4)*(TYPE4&lt;&gt;"")+('Dvd Calendar'!$J$2105=SPECIAL_LBL)*(INC_SPECIALS="Y"))=0,"",'Dvd Calendar'!$J$2103)))</f>
        <v/>
      </c>
      <c r="I209" s="106">
        <f>IF(EK209="","",IF(ISNUMBER('Dvd Calendar'!$K$2103)=FALSE,"",IF((('Dvd Calendar'!$K$2105=TYPE1)*(TYPE1&lt;&gt;"")+('Dvd Calendar'!$K$2105=TYPE2)*(TYPE2&lt;&gt;"")+('Dvd Calendar'!$K$2105=TYPE3)*(TYPE3&lt;&gt;"")+('Dvd Calendar'!$K$2105=TYPE4)*(TYPE4&lt;&gt;"")+('Dvd Calendar'!$K$2105=SPECIAL_LBL)*(INC_SPECIALS="Y"))=0,"",'Dvd Calendar'!$K$2103)))</f>
        <v/>
      </c>
      <c r="J209" s="106">
        <f>IF(EL209="","",IF(ISNUMBER('Dvd Calendar'!$L$2103)=FALSE,"",IF((('Dvd Calendar'!$L$2105=TYPE1)*(TYPE1&lt;&gt;"")+('Dvd Calendar'!$L$2105=TYPE2)*(TYPE2&lt;&gt;"")+('Dvd Calendar'!$L$2105=TYPE3)*(TYPE3&lt;&gt;"")+('Dvd Calendar'!$L$2105=TYPE4)*(TYPE4&lt;&gt;"")+('Dvd Calendar'!$L$2105=SPECIAL_LBL)*(INC_SPECIALS="Y"))=0,"",'Dvd Calendar'!$L$2103)))</f>
        <v/>
      </c>
      <c r="K209" s="106">
        <f>IF(EM209="","",IF(ISNUMBER('Dvd Calendar'!$M$2103)=FALSE,"",IF((('Dvd Calendar'!$M$2105=TYPE1)*(TYPE1&lt;&gt;"")+('Dvd Calendar'!$M$2105=TYPE2)*(TYPE2&lt;&gt;"")+('Dvd Calendar'!$M$2105=TYPE3)*(TYPE3&lt;&gt;"")+('Dvd Calendar'!$M$2105=TYPE4)*(TYPE4&lt;&gt;"")+('Dvd Calendar'!$M$2105=SPECIAL_LBL)*(INC_SPECIALS="Y"))=0,"",'Dvd Calendar'!$M$2103)))</f>
        <v/>
      </c>
      <c r="L209" s="106">
        <f>IF(EN209="","",IF(ISNUMBER('Dvd Calendar'!$N$2103)=FALSE,"",IF((('Dvd Calendar'!$N$2105=TYPE1)*(TYPE1&lt;&gt;"")+('Dvd Calendar'!$N$2105=TYPE2)*(TYPE2&lt;&gt;"")+('Dvd Calendar'!$N$2105=TYPE3)*(TYPE3&lt;&gt;"")+('Dvd Calendar'!$N$2105=TYPE4)*(TYPE4&lt;&gt;"")+('Dvd Calendar'!$N$2105=SPECIAL_LBL)*(INC_SPECIALS="Y"))=0,"",'Dvd Calendar'!$N$2103)))</f>
        <v/>
      </c>
      <c r="M209" s="106">
        <f>IF(EO209="","",IF(ISNUMBER('Dvd Calendar'!$O$2103)=FALSE,"",IF((('Dvd Calendar'!$O$2105=TYPE1)*(TYPE1&lt;&gt;"")+('Dvd Calendar'!$O$2105=TYPE2)*(TYPE2&lt;&gt;"")+('Dvd Calendar'!$O$2105=TYPE3)*(TYPE3&lt;&gt;"")+('Dvd Calendar'!$O$2105=TYPE4)*(TYPE4&lt;&gt;"")+('Dvd Calendar'!$O$2105=SPECIAL_LBL)*(INC_SPECIALS="Y"))=0,"",'Dvd Calendar'!$O$2103)))</f>
        <v/>
      </c>
      <c r="N209" s="106">
        <f>IF(EP209="","",IF(ISNUMBER('Dvd Calendar'!$P$2103)=FALSE,"",IF((('Dvd Calendar'!$P$2105=TYPE1)*(TYPE1&lt;&gt;"")+('Dvd Calendar'!$P$2105=TYPE2)*(TYPE2&lt;&gt;"")+('Dvd Calendar'!$P$2105=TYPE3)*(TYPE3&lt;&gt;"")+('Dvd Calendar'!$P$2105=TYPE4)*(TYPE4&lt;&gt;"")+('Dvd Calendar'!$P$2105=SPECIAL_LBL)*(INC_SPECIALS="Y"))=0,"",'Dvd Calendar'!$P$2103)))</f>
        <v/>
      </c>
      <c r="O209" s="106">
        <f>IF(EQ209="","",IF(ISNUMBER('Dvd Calendar'!$Q$2103)=FALSE,"",IF((('Dvd Calendar'!$Q$2105=TYPE1)*(TYPE1&lt;&gt;"")+('Dvd Calendar'!$Q$2105=TYPE2)*(TYPE2&lt;&gt;"")+('Dvd Calendar'!$Q$2105=TYPE3)*(TYPE3&lt;&gt;"")+('Dvd Calendar'!$Q$2105=TYPE4)*(TYPE4&lt;&gt;"")+('Dvd Calendar'!$Q$2105=SPECIAL_LBL)*(INC_SPECIALS="Y"))=0,"",'Dvd Calendar'!$Q$2103)))</f>
        <v/>
      </c>
      <c r="P209" s="106">
        <f>IF(ER209="","",IF(ISNUMBER('Dvd Calendar'!$R$2103)=FALSE,"",IF((('Dvd Calendar'!$R$2105=TYPE1)*(TYPE1&lt;&gt;"")+('Dvd Calendar'!$R$2105=TYPE2)*(TYPE2&lt;&gt;"")+('Dvd Calendar'!$R$2105=TYPE3)*(TYPE3&lt;&gt;"")+('Dvd Calendar'!$R$2105=TYPE4)*(TYPE4&lt;&gt;"")+('Dvd Calendar'!$R$2105=SPECIAL_LBL)*(INC_SPECIALS="Y"))=0,"",'Dvd Calendar'!$R$2103)))</f>
        <v/>
      </c>
      <c r="Q209" s="106">
        <f>IF(ES209="","",IF(ISNUMBER('Dvd Calendar'!$S$2103)=FALSE,"",IF((('Dvd Calendar'!$S$2105=TYPE1)*(TYPE1&lt;&gt;"")+('Dvd Calendar'!$S$2105=TYPE2)*(TYPE2&lt;&gt;"")+('Dvd Calendar'!$S$2105=TYPE3)*(TYPE3&lt;&gt;"")+('Dvd Calendar'!$S$2105=TYPE4)*(TYPE4&lt;&gt;"")+('Dvd Calendar'!$S$2105=SPECIAL_LBL)*(INC_SPECIALS="Y"))=0,"",'Dvd Calendar'!$S$2103)))</f>
        <v/>
      </c>
      <c r="R209" s="106">
        <f>IF(ET209="","",IF(ISNUMBER('Dvd Calendar'!$T$2103)=FALSE,"",IF((('Dvd Calendar'!$T$2105=TYPE1)*(TYPE1&lt;&gt;"")+('Dvd Calendar'!$T$2105=TYPE2)*(TYPE2&lt;&gt;"")+('Dvd Calendar'!$T$2105=TYPE3)*(TYPE3&lt;&gt;"")+('Dvd Calendar'!$T$2105=TYPE4)*(TYPE4&lt;&gt;"")+('Dvd Calendar'!$T$2105=SPECIAL_LBL)*(INC_SPECIALS="Y"))=0,"",'Dvd Calendar'!$T$2103)))</f>
        <v/>
      </c>
      <c r="S209" s="106">
        <f>IF(EU209="","",IF(ISNUMBER('Dvd Calendar'!$U$2103)=FALSE,"",IF((('Dvd Calendar'!$U$2105=TYPE1)*(TYPE1&lt;&gt;"")+('Dvd Calendar'!$U$2105=TYPE2)*(TYPE2&lt;&gt;"")+('Dvd Calendar'!$U$2105=TYPE3)*(TYPE3&lt;&gt;"")+('Dvd Calendar'!$U$2105=TYPE4)*(TYPE4&lt;&gt;"")+('Dvd Calendar'!$U$2105=SPECIAL_LBL)*(INC_SPECIALS="Y"))=0,"",'Dvd Calendar'!$U$2103)))</f>
        <v/>
      </c>
      <c r="T209" s="106">
        <f>IF(EV209="","",IF(ISNUMBER('Dvd Calendar'!$V$2103)=FALSE,"",IF((('Dvd Calendar'!$V$2105=TYPE1)*(TYPE1&lt;&gt;"")+('Dvd Calendar'!$V$2105=TYPE2)*(TYPE2&lt;&gt;"")+('Dvd Calendar'!$V$2105=TYPE3)*(TYPE3&lt;&gt;"")+('Dvd Calendar'!$V$2105=TYPE4)*(TYPE4&lt;&gt;"")+('Dvd Calendar'!$V$2105=SPECIAL_LBL)*(INC_SPECIALS="Y"))=0,"",'Dvd Calendar'!$V$2103)))</f>
        <v/>
      </c>
      <c r="U209" s="106">
        <f>IF(EW209="","",IF(ISNUMBER('Dvd Calendar'!$W$2103)=FALSE,"",IF((('Dvd Calendar'!$W$2105=TYPE1)*(TYPE1&lt;&gt;"")+('Dvd Calendar'!$W$2105=TYPE2)*(TYPE2&lt;&gt;"")+('Dvd Calendar'!$W$2105=TYPE3)*(TYPE3&lt;&gt;"")+('Dvd Calendar'!$W$2105=TYPE4)*(TYPE4&lt;&gt;"")+('Dvd Calendar'!$W$2105=SPECIAL_LBL)*(INC_SPECIALS="Y"))=0,"",'Dvd Calendar'!$W$2103)))</f>
        <v/>
      </c>
      <c r="V209" s="106">
        <f>IF(EX209="","",IF(ISNUMBER('Dvd Calendar'!$X$2103)=FALSE,"",IF((('Dvd Calendar'!$X$2105=TYPE1)*(TYPE1&lt;&gt;"")+('Dvd Calendar'!$X$2105=TYPE2)*(TYPE2&lt;&gt;"")+('Dvd Calendar'!$X$2105=TYPE3)*(TYPE3&lt;&gt;"")+('Dvd Calendar'!$X$2105=TYPE4)*(TYPE4&lt;&gt;"")+('Dvd Calendar'!$X$2105=SPECIAL_LBL)*(INC_SPECIALS="Y"))=0,"",'Dvd Calendar'!$X$2103)))</f>
        <v/>
      </c>
      <c r="W209" s="106">
        <f>IF(EY209="","",IF(ISNUMBER('Dvd Calendar'!$Y$2103)=FALSE,"",IF((('Dvd Calendar'!$Y$2105=TYPE1)*(TYPE1&lt;&gt;"")+('Dvd Calendar'!$Y$2105=TYPE2)*(TYPE2&lt;&gt;"")+('Dvd Calendar'!$Y$2105=TYPE3)*(TYPE3&lt;&gt;"")+('Dvd Calendar'!$Y$2105=TYPE4)*(TYPE4&lt;&gt;"")+('Dvd Calendar'!$Y$2105=SPECIAL_LBL)*(INC_SPECIALS="Y"))=0,"",'Dvd Calendar'!$Y$2103)))</f>
        <v/>
      </c>
      <c r="X209" s="106">
        <f>IF(EZ209="","",IF(ISNUMBER('Dvd Calendar'!$Z$2103)=FALSE,"",IF((('Dvd Calendar'!$Z$2105=TYPE1)*(TYPE1&lt;&gt;"")+('Dvd Calendar'!$Z$2105=TYPE2)*(TYPE2&lt;&gt;"")+('Dvd Calendar'!$Z$2105=TYPE3)*(TYPE3&lt;&gt;"")+('Dvd Calendar'!$Z$2105=TYPE4)*(TYPE4&lt;&gt;"")+('Dvd Calendar'!$Z$2105=SPECIAL_LBL)*(INC_SPECIALS="Y"))=0,"",'Dvd Calendar'!$Z$2103)))</f>
        <v/>
      </c>
      <c r="Y209" s="106">
        <f>IF(FA209="","",IF(ISNUMBER('Dvd Calendar'!$AA$2103)=FALSE,"",IF((('Dvd Calendar'!$AA$2105=TYPE1)*(TYPE1&lt;&gt;"")+('Dvd Calendar'!$AA$2105=TYPE2)*(TYPE2&lt;&gt;"")+('Dvd Calendar'!$AA$2105=TYPE3)*(TYPE3&lt;&gt;"")+('Dvd Calendar'!$AA$2105=TYPE4)*(TYPE4&lt;&gt;"")+('Dvd Calendar'!$AA$2105=SPECIAL_LBL)*(INC_SPECIALS="Y"))=0,"",'Dvd Calendar'!$AA$2103)))</f>
        <v/>
      </c>
      <c r="Z209" s="106">
        <f>IF(FB209="","",IF(ISNUMBER('Dvd Calendar'!$AB$2103)=FALSE,"",IF((('Dvd Calendar'!$AB$2105=TYPE1)*(TYPE1&lt;&gt;"")+('Dvd Calendar'!$AB$2105=TYPE2)*(TYPE2&lt;&gt;"")+('Dvd Calendar'!$AB$2105=TYPE3)*(TYPE3&lt;&gt;"")+('Dvd Calendar'!$AB$2105=TYPE4)*(TYPE4&lt;&gt;"")+('Dvd Calendar'!$AB$2105=SPECIAL_LBL)*(INC_SPECIALS="Y"))=0,"",'Dvd Calendar'!$AB$2103)))</f>
        <v/>
      </c>
      <c r="AA209" s="106">
        <f>IF(FC209="","",IF(ISNUMBER('Dvd Calendar'!$AC$2103)=FALSE,"",IF((('Dvd Calendar'!$AC$2105=TYPE1)*(TYPE1&lt;&gt;"")+('Dvd Calendar'!$AC$2105=TYPE2)*(TYPE2&lt;&gt;"")+('Dvd Calendar'!$AC$2105=TYPE3)*(TYPE3&lt;&gt;"")+('Dvd Calendar'!$AC$2105=TYPE4)*(TYPE4&lt;&gt;"")+('Dvd Calendar'!$AC$2105=SPECIAL_LBL)*(INC_SPECIALS="Y"))=0,"",'Dvd Calendar'!$AC$2103)))</f>
        <v/>
      </c>
      <c r="AB209" s="106">
        <f>IF(FD209="","",IF(ISNUMBER('Dvd Calendar'!$AD$2103)=FALSE,"",IF((('Dvd Calendar'!$AD$2105=TYPE1)*(TYPE1&lt;&gt;"")+('Dvd Calendar'!$AD$2105=TYPE2)*(TYPE2&lt;&gt;"")+('Dvd Calendar'!$AD$2105=TYPE3)*(TYPE3&lt;&gt;"")+('Dvd Calendar'!$AD$2105=TYPE4)*(TYPE4&lt;&gt;"")+('Dvd Calendar'!$AD$2105=SPECIAL_LBL)*(INC_SPECIALS="Y"))=0,"",'Dvd Calendar'!$AD$2103)))</f>
        <v/>
      </c>
      <c r="AC209" s="106">
        <f>IF(FE209="","",IF(ISNUMBER('Dvd Calendar'!$AE$2103)=FALSE,"",IF((('Dvd Calendar'!$AE$2105=TYPE1)*(TYPE1&lt;&gt;"")+('Dvd Calendar'!$AE$2105=TYPE2)*(TYPE2&lt;&gt;"")+('Dvd Calendar'!$AE$2105=TYPE3)*(TYPE3&lt;&gt;"")+('Dvd Calendar'!$AE$2105=TYPE4)*(TYPE4&lt;&gt;"")+('Dvd Calendar'!$AE$2105=SPECIAL_LBL)*(INC_SPECIALS="Y"))=0,"",'Dvd Calendar'!$AE$2103)))</f>
        <v/>
      </c>
      <c r="AD209" s="106">
        <f>IF(FF209="","",IF(ISNUMBER('Dvd Calendar'!$AF$2103)=FALSE,"",IF((('Dvd Calendar'!$AF$2105=TYPE1)*(TYPE1&lt;&gt;"")+('Dvd Calendar'!$AF$2105=TYPE2)*(TYPE2&lt;&gt;"")+('Dvd Calendar'!$AF$2105=TYPE3)*(TYPE3&lt;&gt;"")+('Dvd Calendar'!$AF$2105=TYPE4)*(TYPE4&lt;&gt;"")+('Dvd Calendar'!$AF$2105=SPECIAL_LBL)*(INC_SPECIALS="Y"))=0,"",'Dvd Calendar'!$AF$2103)))</f>
        <v/>
      </c>
      <c r="AE209" s="106">
        <f>IF(FG209="","",IF(ISNUMBER('Dvd Calendar'!$AG$2103)=FALSE,"",IF((('Dvd Calendar'!$AG$2105=TYPE1)*(TYPE1&lt;&gt;"")+('Dvd Calendar'!$AG$2105=TYPE2)*(TYPE2&lt;&gt;"")+('Dvd Calendar'!$AG$2105=TYPE3)*(TYPE3&lt;&gt;"")+('Dvd Calendar'!$AG$2105=TYPE4)*(TYPE4&lt;&gt;"")+('Dvd Calendar'!$AG$2105=SPECIAL_LBL)*(INC_SPECIALS="Y"))=0,"",'Dvd Calendar'!$AG$2103)))</f>
        <v/>
      </c>
      <c r="AF209" s="106">
        <f>IF(FH209="","",IF(ISNUMBER('Dvd Calendar'!$AH$2103)=FALSE,"",IF((('Dvd Calendar'!$AH$2105=TYPE1)*(TYPE1&lt;&gt;"")+('Dvd Calendar'!$AH$2105=TYPE2)*(TYPE2&lt;&gt;"")+('Dvd Calendar'!$AH$2105=TYPE3)*(TYPE3&lt;&gt;"")+('Dvd Calendar'!$AH$2105=TYPE4)*(TYPE4&lt;&gt;"")+('Dvd Calendar'!$AH$2105=SPECIAL_LBL)*(INC_SPECIALS="Y"))=0,"",'Dvd Calendar'!$AH$2103)))</f>
        <v/>
      </c>
      <c r="AG209" s="106">
        <f>IF(FI209="","",IF(ISNUMBER('Dvd Calendar'!$AI$2103)=FALSE,"",IF((('Dvd Calendar'!$AI$2105=TYPE1)*(TYPE1&lt;&gt;"")+('Dvd Calendar'!$AI$2105=TYPE2)*(TYPE2&lt;&gt;"")+('Dvd Calendar'!$AI$2105=TYPE3)*(TYPE3&lt;&gt;"")+('Dvd Calendar'!$AI$2105=TYPE4)*(TYPE4&lt;&gt;"")+('Dvd Calendar'!$AI$2105=SPECIAL_LBL)*(INC_SPECIALS="Y"))=0,"",'Dvd Calendar'!$AI$2103)))</f>
        <v/>
      </c>
      <c r="AH209" s="106">
        <f>IF(FJ209="","",IF(ISNUMBER('Dvd Calendar'!$AJ$2103)=FALSE,"",IF((('Dvd Calendar'!$AJ$2105=TYPE1)*(TYPE1&lt;&gt;"")+('Dvd Calendar'!$AJ$2105=TYPE2)*(TYPE2&lt;&gt;"")+('Dvd Calendar'!$AJ$2105=TYPE3)*(TYPE3&lt;&gt;"")+('Dvd Calendar'!$AJ$2105=TYPE4)*(TYPE4&lt;&gt;"")+('Dvd Calendar'!$AJ$2105=SPECIAL_LBL)*(INC_SPECIALS="Y"))=0,"",'Dvd Calendar'!$AJ$2103)))</f>
        <v/>
      </c>
      <c r="AI209" s="106">
        <f>IF(FK209="","",IF(ISNUMBER('Dvd Calendar'!$AK$2103)=FALSE,"",IF((('Dvd Calendar'!$AK$2105=TYPE1)*(TYPE1&lt;&gt;"")+('Dvd Calendar'!$AK$2105=TYPE2)*(TYPE2&lt;&gt;"")+('Dvd Calendar'!$AK$2105=TYPE3)*(TYPE3&lt;&gt;"")+('Dvd Calendar'!$AK$2105=TYPE4)*(TYPE4&lt;&gt;"")+('Dvd Calendar'!$AK$2105=SPECIAL_LBL)*(INC_SPECIALS="Y"))=0,"",'Dvd Calendar'!$AK$2103)))</f>
        <v/>
      </c>
      <c r="AJ209" s="106">
        <f>IF(FL209="","",IF(ISNUMBER('Dvd Calendar'!$AL$2103)=FALSE,"",IF((('Dvd Calendar'!$AL$2105=TYPE1)*(TYPE1&lt;&gt;"")+('Dvd Calendar'!$AL$2105=TYPE2)*(TYPE2&lt;&gt;"")+('Dvd Calendar'!$AL$2105=TYPE3)*(TYPE3&lt;&gt;"")+('Dvd Calendar'!$AL$2105=TYPE4)*(TYPE4&lt;&gt;"")+('Dvd Calendar'!$AL$2105=SPECIAL_LBL)*(INC_SPECIALS="Y"))=0,"",'Dvd Calendar'!$AL$2103)))</f>
        <v/>
      </c>
      <c r="AK209" s="106">
        <f>IF(FM209="","",IF(ISNUMBER('Dvd Calendar'!$AM$2103)=FALSE,"",IF((('Dvd Calendar'!$AM$2105=TYPE1)*(TYPE1&lt;&gt;"")+('Dvd Calendar'!$AM$2105=TYPE2)*(TYPE2&lt;&gt;"")+('Dvd Calendar'!$AM$2105=TYPE3)*(TYPE3&lt;&gt;"")+('Dvd Calendar'!$AM$2105=TYPE4)*(TYPE4&lt;&gt;"")+('Dvd Calendar'!$AM$2105=SPECIAL_LBL)*(INC_SPECIALS="Y"))=0,"",'Dvd Calendar'!$AM$2103)))</f>
        <v/>
      </c>
      <c r="AL209" s="106">
        <f>IF(FN209="","",IF(ISNUMBER('Dvd Calendar'!$AN$2103)=FALSE,"",IF((('Dvd Calendar'!$AN$2105=TYPE1)*(TYPE1&lt;&gt;"")+('Dvd Calendar'!$AN$2105=TYPE2)*(TYPE2&lt;&gt;"")+('Dvd Calendar'!$AN$2105=TYPE3)*(TYPE3&lt;&gt;"")+('Dvd Calendar'!$AN$2105=TYPE4)*(TYPE4&lt;&gt;"")+('Dvd Calendar'!$AN$2105=SPECIAL_LBL)*(INC_SPECIALS="Y"))=0,"",'Dvd Calendar'!$AN$2103)))</f>
        <v/>
      </c>
      <c r="AM209" s="106">
        <f>IF(FO209="","",IF(ISNUMBER('Dvd Calendar'!$AO$2103)=FALSE,"",IF((('Dvd Calendar'!$AO$2105=TYPE1)*(TYPE1&lt;&gt;"")+('Dvd Calendar'!$AO$2105=TYPE2)*(TYPE2&lt;&gt;"")+('Dvd Calendar'!$AO$2105=TYPE3)*(TYPE3&lt;&gt;"")+('Dvd Calendar'!$AO$2105=TYPE4)*(TYPE4&lt;&gt;"")+('Dvd Calendar'!$AO$2105=SPECIAL_LBL)*(INC_SPECIALS="Y"))=0,"",'Dvd Calendar'!$AO$2103)))</f>
        <v/>
      </c>
      <c r="AN209" s="106">
        <f>IF(FP209="","",IF(ISNUMBER('Dvd Calendar'!$AP$2103)=FALSE,"",IF((('Dvd Calendar'!$AP$2105=TYPE1)*(TYPE1&lt;&gt;"")+('Dvd Calendar'!$AP$2105=TYPE2)*(TYPE2&lt;&gt;"")+('Dvd Calendar'!$AP$2105=TYPE3)*(TYPE3&lt;&gt;"")+('Dvd Calendar'!$AP$2105=TYPE4)*(TYPE4&lt;&gt;"")+('Dvd Calendar'!$AP$2105=SPECIAL_LBL)*(INC_SPECIALS="Y"))=0,"",'Dvd Calendar'!$AP$2103)))</f>
        <v/>
      </c>
      <c r="AO209" s="106">
        <f>IF(FQ209="","",IF(ISNUMBER('Dvd Calendar'!$AQ$2103)=FALSE,"",IF((('Dvd Calendar'!$AQ$2105=TYPE1)*(TYPE1&lt;&gt;"")+('Dvd Calendar'!$AQ$2105=TYPE2)*(TYPE2&lt;&gt;"")+('Dvd Calendar'!$AQ$2105=TYPE3)*(TYPE3&lt;&gt;"")+('Dvd Calendar'!$AQ$2105=TYPE4)*(TYPE4&lt;&gt;"")+('Dvd Calendar'!$AQ$2105=SPECIAL_LBL)*(INC_SPECIALS="Y"))=0,"",'Dvd Calendar'!$AQ$2103)))</f>
        <v/>
      </c>
      <c r="AP209" s="106">
        <f>IF(FR209="","",IF(ISNUMBER('Dvd Calendar'!$AR$2103)=FALSE,"",IF((('Dvd Calendar'!$AR$2105=TYPE1)*(TYPE1&lt;&gt;"")+('Dvd Calendar'!$AR$2105=TYPE2)*(TYPE2&lt;&gt;"")+('Dvd Calendar'!$AR$2105=TYPE3)*(TYPE3&lt;&gt;"")+('Dvd Calendar'!$AR$2105=TYPE4)*(TYPE4&lt;&gt;"")+('Dvd Calendar'!$AR$2105=SPECIAL_LBL)*(INC_SPECIALS="Y"))=0,"",'Dvd Calendar'!$AR$2103)))</f>
        <v/>
      </c>
      <c r="AQ209" s="106">
        <f>IF(FS209="","",IF(ISNUMBER('Dvd Calendar'!$E$2108)=FALSE,"",'Dvd Calendar'!$E$2108))</f>
        <v/>
      </c>
      <c r="AR209" s="106">
        <f>IF(FT209="","",IF(ISNUMBER('Dvd Calendar'!$F$2108)=FALSE,"",'Dvd Calendar'!$F$2108))</f>
        <v/>
      </c>
      <c r="AS209" s="106">
        <f>IF(FU209="","",IF(ISNUMBER('Dvd Calendar'!$G$2108)=FALSE,"",'Dvd Calendar'!$G$2108))</f>
        <v/>
      </c>
      <c r="AT209" s="106">
        <f>IF(FV209="","",IF(ISNUMBER('Dvd Calendar'!$H$2108)=FALSE,"",'Dvd Calendar'!$H$2108))</f>
        <v/>
      </c>
      <c r="AU209" s="106">
        <f>IF(FW209="","",IF(ISNUMBER('Dvd Calendar'!$I$2108)=FALSE,"",'Dvd Calendar'!$I$2108))</f>
        <v/>
      </c>
      <c r="AV209" s="106">
        <f>IF(FX209="","",IF(ISNUMBER('Dvd Calendar'!$J$2108)=FALSE,"",'Dvd Calendar'!$J$2108))</f>
        <v/>
      </c>
      <c r="AW209" s="106">
        <f>IF(FY209="","",IF(ISNUMBER('Dvd Calendar'!$K$2108)=FALSE,"",'Dvd Calendar'!$K$2108))</f>
        <v/>
      </c>
      <c r="AX209" s="106">
        <f>IF(FZ209="","",IF(ISNUMBER('Dvd Calendar'!$L$2108)=FALSE,"",'Dvd Calendar'!$L$2108))</f>
        <v/>
      </c>
      <c r="AY209" s="106">
        <f>IF(GA209="","",IF(ISNUMBER('Dvd Calendar'!$M$2108)=FALSE,"",'Dvd Calendar'!$M$2108))</f>
        <v/>
      </c>
      <c r="AZ209" s="106">
        <f>IF(GB209="","",IF(ISNUMBER('Dvd Calendar'!$N$2108)=FALSE,"",'Dvd Calendar'!$N$2108))</f>
        <v/>
      </c>
      <c r="BA209" s="106">
        <f>IF(GC209="","",IF(ISNUMBER('Dvd Calendar'!$O$2108)=FALSE,"",'Dvd Calendar'!$O$2108))</f>
        <v/>
      </c>
      <c r="BB209" s="106">
        <f>IF(GD209="","",IF(ISNUMBER('Dvd Calendar'!$P$2108)=FALSE,"",'Dvd Calendar'!$P$2108))</f>
        <v/>
      </c>
      <c r="BC209" s="106">
        <f>IF(GE209="","",IF(ISNUMBER('Dvd Calendar'!$Q$2108)=FALSE,"",'Dvd Calendar'!$Q$2108))</f>
        <v/>
      </c>
      <c r="BD209" s="106">
        <f>IF(GF209="","",IF(ISNUMBER('Dvd Calendar'!$R$2108)=FALSE,"",'Dvd Calendar'!$R$2108))</f>
        <v/>
      </c>
      <c r="BE209" s="106">
        <f>IF(GG209="","",IF(ISNUMBER('Dvd Calendar'!$S$2108)=FALSE,"",'Dvd Calendar'!$S$2108))</f>
        <v/>
      </c>
      <c r="BF209" s="106">
        <f>IF(GH209="","",IF(ISNUMBER('Dvd Calendar'!$T$2108)=FALSE,"",'Dvd Calendar'!$T$2108))</f>
        <v/>
      </c>
      <c r="BG209" s="106">
        <f>IF(GI209="","",IF(ISNUMBER('Dvd Calendar'!$U$2108)=FALSE,"",'Dvd Calendar'!$U$2108))</f>
        <v/>
      </c>
      <c r="BH209" s="106">
        <f>IF(GJ209="","",IF(ISNUMBER('Dvd Calendar'!$V$2108)=FALSE,"",'Dvd Calendar'!$V$2108))</f>
        <v/>
      </c>
      <c r="BI209" s="106">
        <f>IF(GK209="","",IF(ISNUMBER('Dvd Calendar'!$W$2108)=FALSE,"",'Dvd Calendar'!$W$2108))</f>
        <v/>
      </c>
      <c r="BJ209" s="106">
        <f>IF(GL209="","",IF(ISNUMBER('Dvd Calendar'!$X$2108)=FALSE,"",'Dvd Calendar'!$X$2108))</f>
        <v/>
      </c>
      <c r="BK209" s="106">
        <f>IF(GM209="","",IF(ISNUMBER('Dvd Calendar'!$Y$2108)=FALSE,"",'Dvd Calendar'!$Y$2108))</f>
        <v/>
      </c>
      <c r="BL209" s="106">
        <f>IF(GN209="","",IF(ISNUMBER('Dvd Calendar'!$Z$2108)=FALSE,"",'Dvd Calendar'!$Z$2108))</f>
        <v/>
      </c>
      <c r="BM209" s="106">
        <f>IF(GO209="","",IF(ISNUMBER('Dvd Calendar'!$AA$2108)=FALSE,"",'Dvd Calendar'!$AA$2108))</f>
        <v/>
      </c>
      <c r="BN209" s="106">
        <f>IF(GP209="","",IF(ISNUMBER('Dvd Calendar'!$AB$2108)=FALSE,"",'Dvd Calendar'!$AB$2108))</f>
        <v/>
      </c>
      <c r="BO209" s="106">
        <f>IF(GQ209="","",IF(ISNUMBER('Dvd Calendar'!$AC$2108)=FALSE,"",'Dvd Calendar'!$AC$2108))</f>
        <v/>
      </c>
      <c r="BQ209" s="106">
        <f>IF(C209="","",IFERROR(C209*HSCEI!$B$56*HSCEI!$G$56/HSCEI!$B$3,""))</f>
        <v/>
      </c>
      <c r="BR209" s="106">
        <f>IF(D209="","",IFERROR(D209*HSCEI!$B$56*HSCEI!$G$56/HSCEI!$B$3,""))</f>
        <v/>
      </c>
      <c r="BS209" s="106">
        <f>IF(E209="","",IFERROR(E209*HSCEI!$B$56*HSCEI!$G$56/HSCEI!$B$3,""))</f>
        <v/>
      </c>
      <c r="BT209" s="106">
        <f>IF(F209="","",IFERROR(F209*HSCEI!$B$56*HSCEI!$G$56/HSCEI!$B$3,""))</f>
        <v/>
      </c>
      <c r="BU209" s="106">
        <f>IF(G209="","",IFERROR(G209*HSCEI!$B$56*HSCEI!$G$56/HSCEI!$B$3,""))</f>
        <v/>
      </c>
      <c r="BV209" s="106">
        <f>IF(H209="","",IFERROR(H209*HSCEI!$B$56*HSCEI!$G$56/HSCEI!$B$3,""))</f>
        <v/>
      </c>
      <c r="BW209" s="106">
        <f>IF(I209="","",IFERROR(I209*HSCEI!$B$56*HSCEI!$G$56/HSCEI!$B$3,""))</f>
        <v/>
      </c>
      <c r="BX209" s="106">
        <f>IF(J209="","",IFERROR(J209*HSCEI!$B$56*HSCEI!$G$56/HSCEI!$B$3,""))</f>
        <v/>
      </c>
      <c r="BY209" s="106">
        <f>IF(K209="","",IFERROR(K209*HSCEI!$B$56*HSCEI!$G$56/HSCEI!$B$3,""))</f>
        <v/>
      </c>
      <c r="BZ209" s="106">
        <f>IF(L209="","",IFERROR(L209*HSCEI!$B$56*HSCEI!$G$56/HSCEI!$B$3,""))</f>
        <v/>
      </c>
      <c r="CA209" s="106">
        <f>IF(M209="","",IFERROR(M209*HSCEI!$B$56*HSCEI!$G$56/HSCEI!$B$3,""))</f>
        <v/>
      </c>
      <c r="CB209" s="106">
        <f>IF(N209="","",IFERROR(N209*HSCEI!$B$56*HSCEI!$G$56/HSCEI!$B$3,""))</f>
        <v/>
      </c>
      <c r="CC209" s="106">
        <f>IF(O209="","",IFERROR(O209*HSCEI!$B$56*HSCEI!$G$56/HSCEI!$B$3,""))</f>
        <v/>
      </c>
      <c r="CD209" s="106">
        <f>IF(P209="","",IFERROR(P209*HSCEI!$B$56*HSCEI!$G$56/HSCEI!$B$3,""))</f>
        <v/>
      </c>
      <c r="CE209" s="106">
        <f>IF(Q209="","",IFERROR(Q209*HSCEI!$B$56*HSCEI!$G$56/HSCEI!$B$3,""))</f>
        <v/>
      </c>
      <c r="CF209" s="106">
        <f>IF(R209="","",IFERROR(R209*HSCEI!$B$56*HSCEI!$G$56/HSCEI!$B$3,""))</f>
        <v/>
      </c>
      <c r="CG209" s="106">
        <f>IF(S209="","",IFERROR(S209*HSCEI!$B$56*HSCEI!$G$56/HSCEI!$B$3,""))</f>
        <v/>
      </c>
      <c r="CH209" s="106">
        <f>IF(T209="","",IFERROR(T209*HSCEI!$B$56*HSCEI!$G$56/HSCEI!$B$3,""))</f>
        <v/>
      </c>
      <c r="CI209" s="106">
        <f>IF(U209="","",IFERROR(U209*HSCEI!$B$56*HSCEI!$G$56/HSCEI!$B$3,""))</f>
        <v/>
      </c>
      <c r="CJ209" s="106">
        <f>IF(V209="","",IFERROR(V209*HSCEI!$B$56*HSCEI!$G$56/HSCEI!$B$3,""))</f>
        <v/>
      </c>
      <c r="CK209" s="106">
        <f>IF(W209="","",IFERROR(W209*HSCEI!$B$56*HSCEI!$G$56/HSCEI!$B$3,""))</f>
        <v/>
      </c>
      <c r="CL209" s="106">
        <f>IF(X209="","",IFERROR(X209*HSCEI!$B$56*HSCEI!$G$56/HSCEI!$B$3,""))</f>
        <v/>
      </c>
      <c r="CM209" s="106">
        <f>IF(Y209="","",IFERROR(Y209*HSCEI!$B$56*HSCEI!$G$56/HSCEI!$B$3,""))</f>
        <v/>
      </c>
      <c r="CN209" s="106">
        <f>IF(Z209="","",IFERROR(Z209*HSCEI!$B$56*HSCEI!$G$56/HSCEI!$B$3,""))</f>
        <v/>
      </c>
      <c r="CO209" s="106">
        <f>IF(AA209="","",IFERROR(AA209*HSCEI!$B$56*HSCEI!$G$56/HSCEI!$B$3,""))</f>
        <v/>
      </c>
      <c r="CP209" s="106">
        <f>IF(AB209="","",IFERROR(AB209*HSCEI!$B$56*HSCEI!$G$56/HSCEI!$B$3,""))</f>
        <v/>
      </c>
      <c r="CQ209" s="106">
        <f>IF(AC209="","",IFERROR(AC209*HSCEI!$B$56*HSCEI!$G$56/HSCEI!$B$3,""))</f>
        <v/>
      </c>
      <c r="CR209" s="106">
        <f>IF(AD209="","",IFERROR(AD209*HSCEI!$B$56*HSCEI!$G$56/HSCEI!$B$3,""))</f>
        <v/>
      </c>
      <c r="CS209" s="106">
        <f>IF(AE209="","",IFERROR(AE209*HSCEI!$B$56*HSCEI!$G$56/HSCEI!$B$3,""))</f>
        <v/>
      </c>
      <c r="CT209" s="106">
        <f>IF(AF209="","",IFERROR(AF209*HSCEI!$B$56*HSCEI!$G$56/HSCEI!$B$3,""))</f>
        <v/>
      </c>
      <c r="CU209" s="106">
        <f>IF(AG209="","",IFERROR(AG209*HSCEI!$B$56*HSCEI!$G$56/HSCEI!$B$3,""))</f>
        <v/>
      </c>
      <c r="CV209" s="106">
        <f>IF(AH209="","",IFERROR(AH209*HSCEI!$B$56*HSCEI!$G$56/HSCEI!$B$3,""))</f>
        <v/>
      </c>
      <c r="CW209" s="106">
        <f>IF(AI209="","",IFERROR(AI209*HSCEI!$B$56*HSCEI!$G$56/HSCEI!$B$3,""))</f>
        <v/>
      </c>
      <c r="CX209" s="106">
        <f>IF(AJ209="","",IFERROR(AJ209*HSCEI!$B$56*HSCEI!$G$56/HSCEI!$B$3,""))</f>
        <v/>
      </c>
      <c r="CY209" s="106">
        <f>IF(AK209="","",IFERROR(AK209*HSCEI!$B$56*HSCEI!$G$56/HSCEI!$B$3,""))</f>
        <v/>
      </c>
      <c r="CZ209" s="106">
        <f>IF(AL209="","",IFERROR(AL209*HSCEI!$B$56*HSCEI!$G$56/HSCEI!$B$3,""))</f>
        <v/>
      </c>
      <c r="DA209" s="106">
        <f>IF(AM209="","",IFERROR(AM209*HSCEI!$B$56*HSCEI!$G$56/HSCEI!$B$3,""))</f>
        <v/>
      </c>
      <c r="DB209" s="106">
        <f>IF(AN209="","",IFERROR(AN209*HSCEI!$B$56*HSCEI!$G$56/HSCEI!$B$3,""))</f>
        <v/>
      </c>
      <c r="DC209" s="106">
        <f>IF(AO209="","",IFERROR(AO209*HSCEI!$B$56*HSCEI!$G$56/HSCEI!$B$3,""))</f>
        <v/>
      </c>
      <c r="DD209" s="106">
        <f>IF(AP209="","",IFERROR(AP209*HSCEI!$B$56*HSCEI!$G$56/HSCEI!$B$3,""))</f>
        <v/>
      </c>
      <c r="DE209" s="106">
        <f>IF(AQ209="","",IFERROR(AQ209*HSCEI!$B$56*HSCEI!$G$56/HSCEI!$B$3,""))</f>
        <v/>
      </c>
      <c r="DF209" s="106">
        <f>IF(AR209="","",IFERROR(AR209*HSCEI!$B$56*HSCEI!$G$56/HSCEI!$B$3,""))</f>
        <v/>
      </c>
      <c r="DG209" s="106">
        <f>IF(AS209="","",IFERROR(AS209*HSCEI!$B$56*HSCEI!$G$56/HSCEI!$B$3,""))</f>
        <v/>
      </c>
      <c r="DH209" s="106">
        <f>IF(AT209="","",IFERROR(AT209*HSCEI!$B$56*HSCEI!$G$56/HSCEI!$B$3,""))</f>
        <v/>
      </c>
      <c r="DI209" s="106">
        <f>IF(AU209="","",IFERROR(AU209*HSCEI!$B$56*HSCEI!$G$56/HSCEI!$B$3,""))</f>
        <v/>
      </c>
      <c r="DJ209" s="106">
        <f>IF(AV209="","",IFERROR(AV209*HSCEI!$B$56*HSCEI!$G$56/HSCEI!$B$3,""))</f>
        <v/>
      </c>
      <c r="DK209" s="106">
        <f>IF(AW209="","",IFERROR(AW209*HSCEI!$B$56*HSCEI!$G$56/HSCEI!$B$3,""))</f>
        <v/>
      </c>
      <c r="DL209" s="106">
        <f>IF(AX209="","",IFERROR(AX209*HSCEI!$B$56*HSCEI!$G$56/HSCEI!$B$3,""))</f>
        <v/>
      </c>
      <c r="DM209" s="106">
        <f>IF(AY209="","",IFERROR(AY209*HSCEI!$B$56*HSCEI!$G$56/HSCEI!$B$3,""))</f>
        <v/>
      </c>
      <c r="DN209" s="106">
        <f>IF(AZ209="","",IFERROR(AZ209*HSCEI!$B$56*HSCEI!$G$56/HSCEI!$B$3,""))</f>
        <v/>
      </c>
      <c r="DO209" s="106">
        <f>IF(BA209="","",IFERROR(BA209*HSCEI!$B$56*HSCEI!$G$56/HSCEI!$B$3,""))</f>
        <v/>
      </c>
      <c r="DP209" s="106">
        <f>IF(BB209="","",IFERROR(BB209*HSCEI!$B$56*HSCEI!$G$56/HSCEI!$B$3,""))</f>
        <v/>
      </c>
      <c r="DQ209" s="106">
        <f>IF(BC209="","",IFERROR(BC209*HSCEI!$B$56*HSCEI!$G$56/HSCEI!$B$3,""))</f>
        <v/>
      </c>
      <c r="DR209" s="106">
        <f>IF(BD209="","",IFERROR(BD209*HSCEI!$B$56*HSCEI!$G$56/HSCEI!$B$3,""))</f>
        <v/>
      </c>
      <c r="DS209" s="106">
        <f>IF(BE209="","",IFERROR(BE209*HSCEI!$B$56*HSCEI!$G$56/HSCEI!$B$3,""))</f>
        <v/>
      </c>
      <c r="DT209" s="106">
        <f>IF(BF209="","",IFERROR(BF209*HSCEI!$B$56*HSCEI!$G$56/HSCEI!$B$3,""))</f>
        <v/>
      </c>
      <c r="DU209" s="106">
        <f>IF(BG209="","",IFERROR(BG209*HSCEI!$B$56*HSCEI!$G$56/HSCEI!$B$3,""))</f>
        <v/>
      </c>
      <c r="DV209" s="106">
        <f>IF(BH209="","",IFERROR(BH209*HSCEI!$B$56*HSCEI!$G$56/HSCEI!$B$3,""))</f>
        <v/>
      </c>
      <c r="DW209" s="106">
        <f>IF(BI209="","",IFERROR(BI209*HSCEI!$B$56*HSCEI!$G$56/HSCEI!$B$3,""))</f>
        <v/>
      </c>
      <c r="DX209" s="106">
        <f>IF(BJ209="","",IFERROR(BJ209*HSCEI!$B$56*HSCEI!$G$56/HSCEI!$B$3,""))</f>
        <v/>
      </c>
      <c r="DY209" s="106">
        <f>IF(BK209="","",IFERROR(BK209*HSCEI!$B$56*HSCEI!$G$56/HSCEI!$B$3,""))</f>
        <v/>
      </c>
      <c r="DZ209" s="106">
        <f>IF(BL209="","",IFERROR(BL209*HSCEI!$B$56*HSCEI!$G$56/HSCEI!$B$3,""))</f>
        <v/>
      </c>
      <c r="EA209" s="106">
        <f>IF(BM209="","",IFERROR(BM209*HSCEI!$B$56*HSCEI!$G$56/HSCEI!$B$3,""))</f>
        <v/>
      </c>
      <c r="EB209" s="106">
        <f>IF(BN209="","",IFERROR(BN209*HSCEI!$B$56*HSCEI!$G$56/HSCEI!$B$3,""))</f>
        <v/>
      </c>
      <c r="EC209" s="106">
        <f>IF(BO209="","",IFERROR(BO209*HSCEI!$B$56*HSCEI!$G$56/HSCEI!$B$3,""))</f>
        <v/>
      </c>
      <c r="EE209" s="35">
        <f>IF(N('Dvd Calendar'!$E$2100)=0,"",IF(('Dvd Calendar'!$E$2100&gt;=GRID_FROM)*('Dvd Calendar'!$E$2100&lt;=GRID_TO)*('Dvd Calendar'!$E$2100&lt;=VAL_DATE)=0,"",'Dvd Calendar'!$E$2100*1000000000+ISNUMBER('Dvd Calendar'!$E$2103)*100000000+('Dvd Calendar'!$E$2105=SPECIAL_LBL)*10000000+0*1000000+50*1000+1))</f>
        <v/>
      </c>
      <c r="EF209" s="35">
        <f>IF(N('Dvd Calendar'!$F$2100)=0,"",IF(('Dvd Calendar'!$F$2100&gt;=GRID_FROM)*('Dvd Calendar'!$F$2100&lt;=GRID_TO)*('Dvd Calendar'!$F$2100&lt;=VAL_DATE)=0,"",'Dvd Calendar'!$F$2100*1000000000+ISNUMBER('Dvd Calendar'!$F$2103)*100000000+('Dvd Calendar'!$F$2105=SPECIAL_LBL)*10000000+0*1000000+50*1000+2))</f>
        <v/>
      </c>
      <c r="EG209" s="35">
        <f>IF(N('Dvd Calendar'!$G$2100)=0,"",IF(('Dvd Calendar'!$G$2100&gt;=GRID_FROM)*('Dvd Calendar'!$G$2100&lt;=GRID_TO)*('Dvd Calendar'!$G$2100&lt;=VAL_DATE)=0,"",'Dvd Calendar'!$G$2100*1000000000+ISNUMBER('Dvd Calendar'!$G$2103)*100000000+('Dvd Calendar'!$G$2105=SPECIAL_LBL)*10000000+0*1000000+50*1000+3))</f>
        <v/>
      </c>
      <c r="EH209" s="35">
        <f>IF(N('Dvd Calendar'!$H$2100)=0,"",IF(('Dvd Calendar'!$H$2100&gt;=GRID_FROM)*('Dvd Calendar'!$H$2100&lt;=GRID_TO)*('Dvd Calendar'!$H$2100&lt;=VAL_DATE)=0,"",'Dvd Calendar'!$H$2100*1000000000+ISNUMBER('Dvd Calendar'!$H$2103)*100000000+('Dvd Calendar'!$H$2105=SPECIAL_LBL)*10000000+0*1000000+50*1000+4))</f>
        <v/>
      </c>
      <c r="EI209" s="35">
        <f>IF(N('Dvd Calendar'!$I$2100)=0,"",IF(('Dvd Calendar'!$I$2100&gt;=GRID_FROM)*('Dvd Calendar'!$I$2100&lt;=GRID_TO)*('Dvd Calendar'!$I$2100&lt;=VAL_DATE)=0,"",'Dvd Calendar'!$I$2100*1000000000+ISNUMBER('Dvd Calendar'!$I$2103)*100000000+('Dvd Calendar'!$I$2105=SPECIAL_LBL)*10000000+0*1000000+50*1000+5))</f>
        <v/>
      </c>
      <c r="EJ209" s="35">
        <f>IF(N('Dvd Calendar'!$J$2100)=0,"",IF(('Dvd Calendar'!$J$2100&gt;=GRID_FROM)*('Dvd Calendar'!$J$2100&lt;=GRID_TO)*('Dvd Calendar'!$J$2100&lt;=VAL_DATE)=0,"",'Dvd Calendar'!$J$2100*1000000000+ISNUMBER('Dvd Calendar'!$J$2103)*100000000+('Dvd Calendar'!$J$2105=SPECIAL_LBL)*10000000+0*1000000+50*1000+6))</f>
        <v/>
      </c>
      <c r="EK209" s="35">
        <f>IF(N('Dvd Calendar'!$K$2100)=0,"",IF(('Dvd Calendar'!$K$2100&gt;=GRID_FROM)*('Dvd Calendar'!$K$2100&lt;=GRID_TO)*('Dvd Calendar'!$K$2100&lt;=VAL_DATE)=0,"",'Dvd Calendar'!$K$2100*1000000000+ISNUMBER('Dvd Calendar'!$K$2103)*100000000+('Dvd Calendar'!$K$2105=SPECIAL_LBL)*10000000+0*1000000+50*1000+7))</f>
        <v/>
      </c>
      <c r="EL209" s="35">
        <f>IF(N('Dvd Calendar'!$L$2100)=0,"",IF(('Dvd Calendar'!$L$2100&gt;=GRID_FROM)*('Dvd Calendar'!$L$2100&lt;=GRID_TO)*('Dvd Calendar'!$L$2100&lt;=VAL_DATE)=0,"",'Dvd Calendar'!$L$2100*1000000000+ISNUMBER('Dvd Calendar'!$L$2103)*100000000+('Dvd Calendar'!$L$2105=SPECIAL_LBL)*10000000+0*1000000+50*1000+8))</f>
        <v/>
      </c>
      <c r="EM209" s="35">
        <f>IF(N('Dvd Calendar'!$M$2100)=0,"",IF(('Dvd Calendar'!$M$2100&gt;=GRID_FROM)*('Dvd Calendar'!$M$2100&lt;=GRID_TO)*('Dvd Calendar'!$M$2100&lt;=VAL_DATE)=0,"",'Dvd Calendar'!$M$2100*1000000000+ISNUMBER('Dvd Calendar'!$M$2103)*100000000+('Dvd Calendar'!$M$2105=SPECIAL_LBL)*10000000+0*1000000+50*1000+9))</f>
        <v/>
      </c>
      <c r="EN209" s="35">
        <f>IF(N('Dvd Calendar'!$N$2100)=0,"",IF(('Dvd Calendar'!$N$2100&gt;=GRID_FROM)*('Dvd Calendar'!$N$2100&lt;=GRID_TO)*('Dvd Calendar'!$N$2100&lt;=VAL_DATE)=0,"",'Dvd Calendar'!$N$2100*1000000000+ISNUMBER('Dvd Calendar'!$N$2103)*100000000+('Dvd Calendar'!$N$2105=SPECIAL_LBL)*10000000+0*1000000+50*1000+10))</f>
        <v/>
      </c>
      <c r="EO209" s="35">
        <f>IF(N('Dvd Calendar'!$O$2100)=0,"",IF(('Dvd Calendar'!$O$2100&gt;=GRID_FROM)*('Dvd Calendar'!$O$2100&lt;=GRID_TO)*('Dvd Calendar'!$O$2100&lt;=VAL_DATE)=0,"",'Dvd Calendar'!$O$2100*1000000000+ISNUMBER('Dvd Calendar'!$O$2103)*100000000+('Dvd Calendar'!$O$2105=SPECIAL_LBL)*10000000+0*1000000+50*1000+11))</f>
        <v/>
      </c>
      <c r="EP209" s="35">
        <f>IF(N('Dvd Calendar'!$P$2100)=0,"",IF(('Dvd Calendar'!$P$2100&gt;=GRID_FROM)*('Dvd Calendar'!$P$2100&lt;=GRID_TO)*('Dvd Calendar'!$P$2100&lt;=VAL_DATE)=0,"",'Dvd Calendar'!$P$2100*1000000000+ISNUMBER('Dvd Calendar'!$P$2103)*100000000+('Dvd Calendar'!$P$2105=SPECIAL_LBL)*10000000+0*1000000+50*1000+12))</f>
        <v/>
      </c>
      <c r="EQ209" s="35">
        <f>IF(N('Dvd Calendar'!$Q$2100)=0,"",IF(('Dvd Calendar'!$Q$2100&gt;=GRID_FROM)*('Dvd Calendar'!$Q$2100&lt;=GRID_TO)*('Dvd Calendar'!$Q$2100&lt;=VAL_DATE)=0,"",'Dvd Calendar'!$Q$2100*1000000000+ISNUMBER('Dvd Calendar'!$Q$2103)*100000000+('Dvd Calendar'!$Q$2105=SPECIAL_LBL)*10000000+0*1000000+50*1000+13))</f>
        <v/>
      </c>
      <c r="ER209" s="35">
        <f>IF(N('Dvd Calendar'!$R$2100)=0,"",IF(('Dvd Calendar'!$R$2100&gt;=GRID_FROM)*('Dvd Calendar'!$R$2100&lt;=GRID_TO)*('Dvd Calendar'!$R$2100&lt;=VAL_DATE)=0,"",'Dvd Calendar'!$R$2100*1000000000+ISNUMBER('Dvd Calendar'!$R$2103)*100000000+('Dvd Calendar'!$R$2105=SPECIAL_LBL)*10000000+0*1000000+50*1000+14))</f>
        <v/>
      </c>
      <c r="ES209" s="35">
        <f>IF(N('Dvd Calendar'!$S$2100)=0,"",IF(('Dvd Calendar'!$S$2100&gt;=GRID_FROM)*('Dvd Calendar'!$S$2100&lt;=GRID_TO)*('Dvd Calendar'!$S$2100&lt;=VAL_DATE)=0,"",'Dvd Calendar'!$S$2100*1000000000+ISNUMBER('Dvd Calendar'!$S$2103)*100000000+('Dvd Calendar'!$S$2105=SPECIAL_LBL)*10000000+0*1000000+50*1000+15))</f>
        <v/>
      </c>
      <c r="ET209" s="35">
        <f>IF(N('Dvd Calendar'!$T$2100)=0,"",IF(('Dvd Calendar'!$T$2100&gt;=GRID_FROM)*('Dvd Calendar'!$T$2100&lt;=GRID_TO)*('Dvd Calendar'!$T$2100&lt;=VAL_DATE)=0,"",'Dvd Calendar'!$T$2100*1000000000+ISNUMBER('Dvd Calendar'!$T$2103)*100000000+('Dvd Calendar'!$T$2105=SPECIAL_LBL)*10000000+0*1000000+50*1000+16))</f>
        <v/>
      </c>
      <c r="EU209" s="35">
        <f>IF(N('Dvd Calendar'!$U$2100)=0,"",IF(('Dvd Calendar'!$U$2100&gt;=GRID_FROM)*('Dvd Calendar'!$U$2100&lt;=GRID_TO)*('Dvd Calendar'!$U$2100&lt;=VAL_DATE)=0,"",'Dvd Calendar'!$U$2100*1000000000+ISNUMBER('Dvd Calendar'!$U$2103)*100000000+('Dvd Calendar'!$U$2105=SPECIAL_LBL)*10000000+0*1000000+50*1000+17))</f>
        <v/>
      </c>
      <c r="EV209" s="35">
        <f>IF(N('Dvd Calendar'!$V$2100)=0,"",IF(('Dvd Calendar'!$V$2100&gt;=GRID_FROM)*('Dvd Calendar'!$V$2100&lt;=GRID_TO)*('Dvd Calendar'!$V$2100&lt;=VAL_DATE)=0,"",'Dvd Calendar'!$V$2100*1000000000+ISNUMBER('Dvd Calendar'!$V$2103)*100000000+('Dvd Calendar'!$V$2105=SPECIAL_LBL)*10000000+0*1000000+50*1000+18))</f>
        <v/>
      </c>
      <c r="EW209" s="35">
        <f>IF(N('Dvd Calendar'!$W$2100)=0,"",IF(('Dvd Calendar'!$W$2100&gt;=GRID_FROM)*('Dvd Calendar'!$W$2100&lt;=GRID_TO)*('Dvd Calendar'!$W$2100&lt;=VAL_DATE)=0,"",'Dvd Calendar'!$W$2100*1000000000+ISNUMBER('Dvd Calendar'!$W$2103)*100000000+('Dvd Calendar'!$W$2105=SPECIAL_LBL)*10000000+0*1000000+50*1000+19))</f>
        <v/>
      </c>
      <c r="EX209" s="35">
        <f>IF(N('Dvd Calendar'!$X$2100)=0,"",IF(('Dvd Calendar'!$X$2100&gt;=GRID_FROM)*('Dvd Calendar'!$X$2100&lt;=GRID_TO)*('Dvd Calendar'!$X$2100&lt;=VAL_DATE)=0,"",'Dvd Calendar'!$X$2100*1000000000+ISNUMBER('Dvd Calendar'!$X$2103)*100000000+('Dvd Calendar'!$X$2105=SPECIAL_LBL)*10000000+0*1000000+50*1000+20))</f>
        <v/>
      </c>
      <c r="EY209" s="35">
        <f>IF(N('Dvd Calendar'!$Y$2100)=0,"",IF(('Dvd Calendar'!$Y$2100&gt;=GRID_FROM)*('Dvd Calendar'!$Y$2100&lt;=GRID_TO)*('Dvd Calendar'!$Y$2100&lt;=VAL_DATE)=0,"",'Dvd Calendar'!$Y$2100*1000000000+ISNUMBER('Dvd Calendar'!$Y$2103)*100000000+('Dvd Calendar'!$Y$2105=SPECIAL_LBL)*10000000+0*1000000+50*1000+21))</f>
        <v/>
      </c>
      <c r="EZ209" s="35">
        <f>IF(N('Dvd Calendar'!$Z$2100)=0,"",IF(('Dvd Calendar'!$Z$2100&gt;=GRID_FROM)*('Dvd Calendar'!$Z$2100&lt;=GRID_TO)*('Dvd Calendar'!$Z$2100&lt;=VAL_DATE)=0,"",'Dvd Calendar'!$Z$2100*1000000000+ISNUMBER('Dvd Calendar'!$Z$2103)*100000000+('Dvd Calendar'!$Z$2105=SPECIAL_LBL)*10000000+0*1000000+50*1000+22))</f>
        <v/>
      </c>
      <c r="FA209" s="35">
        <f>IF(N('Dvd Calendar'!$AA$2100)=0,"",IF(('Dvd Calendar'!$AA$2100&gt;=GRID_FROM)*('Dvd Calendar'!$AA$2100&lt;=GRID_TO)*('Dvd Calendar'!$AA$2100&lt;=VAL_DATE)=0,"",'Dvd Calendar'!$AA$2100*1000000000+ISNUMBER('Dvd Calendar'!$AA$2103)*100000000+('Dvd Calendar'!$AA$2105=SPECIAL_LBL)*10000000+0*1000000+50*1000+23))</f>
        <v/>
      </c>
      <c r="FB209" s="35">
        <f>IF(N('Dvd Calendar'!$AB$2100)=0,"",IF(('Dvd Calendar'!$AB$2100&gt;=GRID_FROM)*('Dvd Calendar'!$AB$2100&lt;=GRID_TO)*('Dvd Calendar'!$AB$2100&lt;=VAL_DATE)=0,"",'Dvd Calendar'!$AB$2100*1000000000+ISNUMBER('Dvd Calendar'!$AB$2103)*100000000+('Dvd Calendar'!$AB$2105=SPECIAL_LBL)*10000000+0*1000000+50*1000+24))</f>
        <v/>
      </c>
      <c r="FC209" s="35">
        <f>IF(N('Dvd Calendar'!$AC$2100)=0,"",IF(('Dvd Calendar'!$AC$2100&gt;=GRID_FROM)*('Dvd Calendar'!$AC$2100&lt;=GRID_TO)*('Dvd Calendar'!$AC$2100&lt;=VAL_DATE)=0,"",'Dvd Calendar'!$AC$2100*1000000000+ISNUMBER('Dvd Calendar'!$AC$2103)*100000000+('Dvd Calendar'!$AC$2105=SPECIAL_LBL)*10000000+0*1000000+50*1000+25))</f>
        <v/>
      </c>
      <c r="FD209" s="35">
        <f>IF(N('Dvd Calendar'!$AD$2100)=0,"",IF(('Dvd Calendar'!$AD$2100&gt;=GRID_FROM)*('Dvd Calendar'!$AD$2100&lt;=GRID_TO)*('Dvd Calendar'!$AD$2100&lt;=VAL_DATE)=0,"",'Dvd Calendar'!$AD$2100*1000000000+ISNUMBER('Dvd Calendar'!$AD$2103)*100000000+('Dvd Calendar'!$AD$2105=SPECIAL_LBL)*10000000+0*1000000+50*1000+26))</f>
        <v/>
      </c>
      <c r="FE209" s="35">
        <f>IF(N('Dvd Calendar'!$AE$2100)=0,"",IF(('Dvd Calendar'!$AE$2100&gt;=GRID_FROM)*('Dvd Calendar'!$AE$2100&lt;=GRID_TO)*('Dvd Calendar'!$AE$2100&lt;=VAL_DATE)=0,"",'Dvd Calendar'!$AE$2100*1000000000+ISNUMBER('Dvd Calendar'!$AE$2103)*100000000+('Dvd Calendar'!$AE$2105=SPECIAL_LBL)*10000000+0*1000000+50*1000+27))</f>
        <v/>
      </c>
      <c r="FF209" s="35">
        <f>IF(N('Dvd Calendar'!$AF$2100)=0,"",IF(('Dvd Calendar'!$AF$2100&gt;=GRID_FROM)*('Dvd Calendar'!$AF$2100&lt;=GRID_TO)*('Dvd Calendar'!$AF$2100&lt;=VAL_DATE)=0,"",'Dvd Calendar'!$AF$2100*1000000000+ISNUMBER('Dvd Calendar'!$AF$2103)*100000000+('Dvd Calendar'!$AF$2105=SPECIAL_LBL)*10000000+0*1000000+50*1000+28))</f>
        <v/>
      </c>
      <c r="FG209" s="35">
        <f>IF(N('Dvd Calendar'!$AG$2100)=0,"",IF(('Dvd Calendar'!$AG$2100&gt;=GRID_FROM)*('Dvd Calendar'!$AG$2100&lt;=GRID_TO)*('Dvd Calendar'!$AG$2100&lt;=VAL_DATE)=0,"",'Dvd Calendar'!$AG$2100*1000000000+ISNUMBER('Dvd Calendar'!$AG$2103)*100000000+('Dvd Calendar'!$AG$2105=SPECIAL_LBL)*10000000+0*1000000+50*1000+29))</f>
        <v/>
      </c>
      <c r="FH209" s="35">
        <f>IF(N('Dvd Calendar'!$AH$2100)=0,"",IF(('Dvd Calendar'!$AH$2100&gt;=GRID_FROM)*('Dvd Calendar'!$AH$2100&lt;=GRID_TO)*('Dvd Calendar'!$AH$2100&lt;=VAL_DATE)=0,"",'Dvd Calendar'!$AH$2100*1000000000+ISNUMBER('Dvd Calendar'!$AH$2103)*100000000+('Dvd Calendar'!$AH$2105=SPECIAL_LBL)*10000000+0*1000000+50*1000+30))</f>
        <v/>
      </c>
      <c r="FI209" s="35">
        <f>IF(N('Dvd Calendar'!$AI$2100)=0,"",IF(('Dvd Calendar'!$AI$2100&gt;=GRID_FROM)*('Dvd Calendar'!$AI$2100&lt;=GRID_TO)*('Dvd Calendar'!$AI$2100&lt;=VAL_DATE)=0,"",'Dvd Calendar'!$AI$2100*1000000000+ISNUMBER('Dvd Calendar'!$AI$2103)*100000000+('Dvd Calendar'!$AI$2105=SPECIAL_LBL)*10000000+0*1000000+50*1000+31))</f>
        <v/>
      </c>
      <c r="FJ209" s="35">
        <f>IF(N('Dvd Calendar'!$AJ$2100)=0,"",IF(('Dvd Calendar'!$AJ$2100&gt;=GRID_FROM)*('Dvd Calendar'!$AJ$2100&lt;=GRID_TO)*('Dvd Calendar'!$AJ$2100&lt;=VAL_DATE)=0,"",'Dvd Calendar'!$AJ$2100*1000000000+ISNUMBER('Dvd Calendar'!$AJ$2103)*100000000+('Dvd Calendar'!$AJ$2105=SPECIAL_LBL)*10000000+0*1000000+50*1000+32))</f>
        <v/>
      </c>
      <c r="FK209" s="35">
        <f>IF(N('Dvd Calendar'!$AK$2100)=0,"",IF(('Dvd Calendar'!$AK$2100&gt;=GRID_FROM)*('Dvd Calendar'!$AK$2100&lt;=GRID_TO)*('Dvd Calendar'!$AK$2100&lt;=VAL_DATE)=0,"",'Dvd Calendar'!$AK$2100*1000000000+ISNUMBER('Dvd Calendar'!$AK$2103)*100000000+('Dvd Calendar'!$AK$2105=SPECIAL_LBL)*10000000+0*1000000+50*1000+33))</f>
        <v/>
      </c>
      <c r="FL209" s="35">
        <f>IF(N('Dvd Calendar'!$AL$2100)=0,"",IF(('Dvd Calendar'!$AL$2100&gt;=GRID_FROM)*('Dvd Calendar'!$AL$2100&lt;=GRID_TO)*('Dvd Calendar'!$AL$2100&lt;=VAL_DATE)=0,"",'Dvd Calendar'!$AL$2100*1000000000+ISNUMBER('Dvd Calendar'!$AL$2103)*100000000+('Dvd Calendar'!$AL$2105=SPECIAL_LBL)*10000000+0*1000000+50*1000+34))</f>
        <v/>
      </c>
      <c r="FM209" s="35">
        <f>IF(N('Dvd Calendar'!$AM$2100)=0,"",IF(('Dvd Calendar'!$AM$2100&gt;=GRID_FROM)*('Dvd Calendar'!$AM$2100&lt;=GRID_TO)*('Dvd Calendar'!$AM$2100&lt;=VAL_DATE)=0,"",'Dvd Calendar'!$AM$2100*1000000000+ISNUMBER('Dvd Calendar'!$AM$2103)*100000000+('Dvd Calendar'!$AM$2105=SPECIAL_LBL)*10000000+0*1000000+50*1000+35))</f>
        <v/>
      </c>
      <c r="FN209" s="35">
        <f>IF(N('Dvd Calendar'!$AN$2100)=0,"",IF(('Dvd Calendar'!$AN$2100&gt;=GRID_FROM)*('Dvd Calendar'!$AN$2100&lt;=GRID_TO)*('Dvd Calendar'!$AN$2100&lt;=VAL_DATE)=0,"",'Dvd Calendar'!$AN$2100*1000000000+ISNUMBER('Dvd Calendar'!$AN$2103)*100000000+('Dvd Calendar'!$AN$2105=SPECIAL_LBL)*10000000+0*1000000+50*1000+36))</f>
        <v/>
      </c>
      <c r="FO209" s="35">
        <f>IF(N('Dvd Calendar'!$AO$2100)=0,"",IF(('Dvd Calendar'!$AO$2100&gt;=GRID_FROM)*('Dvd Calendar'!$AO$2100&lt;=GRID_TO)*('Dvd Calendar'!$AO$2100&lt;=VAL_DATE)=0,"",'Dvd Calendar'!$AO$2100*1000000000+ISNUMBER('Dvd Calendar'!$AO$2103)*100000000+('Dvd Calendar'!$AO$2105=SPECIAL_LBL)*10000000+0*1000000+50*1000+37))</f>
        <v/>
      </c>
      <c r="FP209" s="35">
        <f>IF(N('Dvd Calendar'!$AP$2100)=0,"",IF(('Dvd Calendar'!$AP$2100&gt;=GRID_FROM)*('Dvd Calendar'!$AP$2100&lt;=GRID_TO)*('Dvd Calendar'!$AP$2100&lt;=VAL_DATE)=0,"",'Dvd Calendar'!$AP$2100*1000000000+ISNUMBER('Dvd Calendar'!$AP$2103)*100000000+('Dvd Calendar'!$AP$2105=SPECIAL_LBL)*10000000+0*1000000+50*1000+38))</f>
        <v/>
      </c>
      <c r="FQ209" s="35">
        <f>IF(N('Dvd Calendar'!$AQ$2100)=0,"",IF(('Dvd Calendar'!$AQ$2100&gt;=GRID_FROM)*('Dvd Calendar'!$AQ$2100&lt;=GRID_TO)*('Dvd Calendar'!$AQ$2100&lt;=VAL_DATE)=0,"",'Dvd Calendar'!$AQ$2100*1000000000+ISNUMBER('Dvd Calendar'!$AQ$2103)*100000000+('Dvd Calendar'!$AQ$2105=SPECIAL_LBL)*10000000+0*1000000+50*1000+39))</f>
        <v/>
      </c>
      <c r="FR209" s="35">
        <f>IF(N('Dvd Calendar'!$AR$2100)=0,"",IF(('Dvd Calendar'!$AR$2100&gt;=GRID_FROM)*('Dvd Calendar'!$AR$2100&lt;=GRID_TO)*('Dvd Calendar'!$AR$2100&lt;=VAL_DATE)=0,"",'Dvd Calendar'!$AR$2100*1000000000+ISNUMBER('Dvd Calendar'!$AR$2103)*100000000+('Dvd Calendar'!$AR$2105=SPECIAL_LBL)*10000000+0*1000000+50*1000+40))</f>
        <v/>
      </c>
      <c r="FS209" s="35">
        <f>IF(N('Dvd Calendar'!$E$2107)=0,"",IF(('Dvd Calendar'!$E$2107&gt;=GRID_FROM)*('Dvd Calendar'!$E$2107&lt;=GRID_TO)*('Dvd Calendar'!$E$2107&gt;VAL_DATE)=0,"",'Dvd Calendar'!$E$2107*1000000000+ISNUMBER('Dvd Calendar'!$E$2108)*100000000+0*10000000+(N('Dvd Calendar'!$E$2106)&gt;0)*(N('Dvd Calendar'!$E$2106)&lt;=VAL_SERIAL)*1000000+50*1000+41))</f>
        <v/>
      </c>
      <c r="FT209" s="35">
        <f>IF(N('Dvd Calendar'!$F$2107)=0,"",IF(('Dvd Calendar'!$F$2107&gt;=GRID_FROM)*('Dvd Calendar'!$F$2107&lt;=GRID_TO)*('Dvd Calendar'!$F$2107&gt;VAL_DATE)=0,"",'Dvd Calendar'!$F$2107*1000000000+ISNUMBER('Dvd Calendar'!$F$2108)*100000000+0*10000000+(N('Dvd Calendar'!$F$2106)&gt;0)*(N('Dvd Calendar'!$F$2106)&lt;=VAL_SERIAL)*1000000+50*1000+42))</f>
        <v/>
      </c>
      <c r="FU209" s="35">
        <f>IF(N('Dvd Calendar'!$G$2107)=0,"",IF(('Dvd Calendar'!$G$2107&gt;=GRID_FROM)*('Dvd Calendar'!$G$2107&lt;=GRID_TO)*('Dvd Calendar'!$G$2107&gt;VAL_DATE)=0,"",'Dvd Calendar'!$G$2107*1000000000+ISNUMBER('Dvd Calendar'!$G$2108)*100000000+0*10000000+(N('Dvd Calendar'!$G$2106)&gt;0)*(N('Dvd Calendar'!$G$2106)&lt;=VAL_SERIAL)*1000000+50*1000+43))</f>
        <v/>
      </c>
      <c r="FV209" s="35">
        <f>IF(N('Dvd Calendar'!$H$2107)=0,"",IF(('Dvd Calendar'!$H$2107&gt;=GRID_FROM)*('Dvd Calendar'!$H$2107&lt;=GRID_TO)*('Dvd Calendar'!$H$2107&gt;VAL_DATE)=0,"",'Dvd Calendar'!$H$2107*1000000000+ISNUMBER('Dvd Calendar'!$H$2108)*100000000+0*10000000+(N('Dvd Calendar'!$H$2106)&gt;0)*(N('Dvd Calendar'!$H$2106)&lt;=VAL_SERIAL)*1000000+50*1000+44))</f>
        <v/>
      </c>
      <c r="FW209" s="35">
        <f>IF(N('Dvd Calendar'!$I$2107)=0,"",IF(('Dvd Calendar'!$I$2107&gt;=GRID_FROM)*('Dvd Calendar'!$I$2107&lt;=GRID_TO)*('Dvd Calendar'!$I$2107&gt;VAL_DATE)=0,"",'Dvd Calendar'!$I$2107*1000000000+ISNUMBER('Dvd Calendar'!$I$2108)*100000000+0*10000000+(N('Dvd Calendar'!$I$2106)&gt;0)*(N('Dvd Calendar'!$I$2106)&lt;=VAL_SERIAL)*1000000+50*1000+45))</f>
        <v/>
      </c>
      <c r="FX209" s="35">
        <f>IF(N('Dvd Calendar'!$J$2107)=0,"",IF(('Dvd Calendar'!$J$2107&gt;=GRID_FROM)*('Dvd Calendar'!$J$2107&lt;=GRID_TO)*('Dvd Calendar'!$J$2107&gt;VAL_DATE)=0,"",'Dvd Calendar'!$J$2107*1000000000+ISNUMBER('Dvd Calendar'!$J$2108)*100000000+0*10000000+(N('Dvd Calendar'!$J$2106)&gt;0)*(N('Dvd Calendar'!$J$2106)&lt;=VAL_SERIAL)*1000000+50*1000+46))</f>
        <v/>
      </c>
      <c r="FY209" s="35">
        <f>IF(N('Dvd Calendar'!$K$2107)=0,"",IF(('Dvd Calendar'!$K$2107&gt;=GRID_FROM)*('Dvd Calendar'!$K$2107&lt;=GRID_TO)*('Dvd Calendar'!$K$2107&gt;VAL_DATE)=0,"",'Dvd Calendar'!$K$2107*1000000000+ISNUMBER('Dvd Calendar'!$K$2108)*100000000+0*10000000+(N('Dvd Calendar'!$K$2106)&gt;0)*(N('Dvd Calendar'!$K$2106)&lt;=VAL_SERIAL)*1000000+50*1000+47))</f>
        <v/>
      </c>
      <c r="FZ209" s="35">
        <f>IF(N('Dvd Calendar'!$L$2107)=0,"",IF(('Dvd Calendar'!$L$2107&gt;=GRID_FROM)*('Dvd Calendar'!$L$2107&lt;=GRID_TO)*('Dvd Calendar'!$L$2107&gt;VAL_DATE)=0,"",'Dvd Calendar'!$L$2107*1000000000+ISNUMBER('Dvd Calendar'!$L$2108)*100000000+0*10000000+(N('Dvd Calendar'!$L$2106)&gt;0)*(N('Dvd Calendar'!$L$2106)&lt;=VAL_SERIAL)*1000000+50*1000+48))</f>
        <v/>
      </c>
      <c r="GA209" s="35">
        <f>IF(N('Dvd Calendar'!$M$2107)=0,"",IF(('Dvd Calendar'!$M$2107&gt;=GRID_FROM)*('Dvd Calendar'!$M$2107&lt;=GRID_TO)*('Dvd Calendar'!$M$2107&gt;VAL_DATE)=0,"",'Dvd Calendar'!$M$2107*1000000000+ISNUMBER('Dvd Calendar'!$M$2108)*100000000+0*10000000+(N('Dvd Calendar'!$M$2106)&gt;0)*(N('Dvd Calendar'!$M$2106)&lt;=VAL_SERIAL)*1000000+50*1000+49))</f>
        <v/>
      </c>
      <c r="GB209" s="35">
        <f>IF(N('Dvd Calendar'!$N$2107)=0,"",IF(('Dvd Calendar'!$N$2107&gt;=GRID_FROM)*('Dvd Calendar'!$N$2107&lt;=GRID_TO)*('Dvd Calendar'!$N$2107&gt;VAL_DATE)=0,"",'Dvd Calendar'!$N$2107*1000000000+ISNUMBER('Dvd Calendar'!$N$2108)*100000000+0*10000000+(N('Dvd Calendar'!$N$2106)&gt;0)*(N('Dvd Calendar'!$N$2106)&lt;=VAL_SERIAL)*1000000+50*1000+50))</f>
        <v/>
      </c>
      <c r="GC209" s="35">
        <f>IF(N('Dvd Calendar'!$O$2107)=0,"",IF(('Dvd Calendar'!$O$2107&gt;=GRID_FROM)*('Dvd Calendar'!$O$2107&lt;=GRID_TO)*('Dvd Calendar'!$O$2107&gt;VAL_DATE)=0,"",'Dvd Calendar'!$O$2107*1000000000+ISNUMBER('Dvd Calendar'!$O$2108)*100000000+0*10000000+(N('Dvd Calendar'!$O$2106)&gt;0)*(N('Dvd Calendar'!$O$2106)&lt;=VAL_SERIAL)*1000000+50*1000+51))</f>
        <v/>
      </c>
      <c r="GD209" s="35">
        <f>IF(N('Dvd Calendar'!$P$2107)=0,"",IF(('Dvd Calendar'!$P$2107&gt;=GRID_FROM)*('Dvd Calendar'!$P$2107&lt;=GRID_TO)*('Dvd Calendar'!$P$2107&gt;VAL_DATE)=0,"",'Dvd Calendar'!$P$2107*1000000000+ISNUMBER('Dvd Calendar'!$P$2108)*100000000+0*10000000+(N('Dvd Calendar'!$P$2106)&gt;0)*(N('Dvd Calendar'!$P$2106)&lt;=VAL_SERIAL)*1000000+50*1000+52))</f>
        <v/>
      </c>
      <c r="GE209" s="35">
        <f>IF(N('Dvd Calendar'!$Q$2107)=0,"",IF(('Dvd Calendar'!$Q$2107&gt;=GRID_FROM)*('Dvd Calendar'!$Q$2107&lt;=GRID_TO)*('Dvd Calendar'!$Q$2107&gt;VAL_DATE)=0,"",'Dvd Calendar'!$Q$2107*1000000000+ISNUMBER('Dvd Calendar'!$Q$2108)*100000000+0*10000000+(N('Dvd Calendar'!$Q$2106)&gt;0)*(N('Dvd Calendar'!$Q$2106)&lt;=VAL_SERIAL)*1000000+50*1000+53))</f>
        <v/>
      </c>
      <c r="GF209" s="35">
        <f>IF(N('Dvd Calendar'!$R$2107)=0,"",IF(('Dvd Calendar'!$R$2107&gt;=GRID_FROM)*('Dvd Calendar'!$R$2107&lt;=GRID_TO)*('Dvd Calendar'!$R$2107&gt;VAL_DATE)=0,"",'Dvd Calendar'!$R$2107*1000000000+ISNUMBER('Dvd Calendar'!$R$2108)*100000000+0*10000000+(N('Dvd Calendar'!$R$2106)&gt;0)*(N('Dvd Calendar'!$R$2106)&lt;=VAL_SERIAL)*1000000+50*1000+54))</f>
        <v/>
      </c>
      <c r="GG209" s="35">
        <f>IF(N('Dvd Calendar'!$S$2107)=0,"",IF(('Dvd Calendar'!$S$2107&gt;=GRID_FROM)*('Dvd Calendar'!$S$2107&lt;=GRID_TO)*('Dvd Calendar'!$S$2107&gt;VAL_DATE)=0,"",'Dvd Calendar'!$S$2107*1000000000+ISNUMBER('Dvd Calendar'!$S$2108)*100000000+0*10000000+(N('Dvd Calendar'!$S$2106)&gt;0)*(N('Dvd Calendar'!$S$2106)&lt;=VAL_SERIAL)*1000000+50*1000+55))</f>
        <v/>
      </c>
      <c r="GH209" s="35">
        <f>IF(N('Dvd Calendar'!$T$2107)=0,"",IF(('Dvd Calendar'!$T$2107&gt;=GRID_FROM)*('Dvd Calendar'!$T$2107&lt;=GRID_TO)*('Dvd Calendar'!$T$2107&gt;VAL_DATE)=0,"",'Dvd Calendar'!$T$2107*1000000000+ISNUMBER('Dvd Calendar'!$T$2108)*100000000+0*10000000+(N('Dvd Calendar'!$T$2106)&gt;0)*(N('Dvd Calendar'!$T$2106)&lt;=VAL_SERIAL)*1000000+50*1000+56))</f>
        <v/>
      </c>
      <c r="GI209" s="35">
        <f>IF(N('Dvd Calendar'!$U$2107)=0,"",IF(('Dvd Calendar'!$U$2107&gt;=GRID_FROM)*('Dvd Calendar'!$U$2107&lt;=GRID_TO)*('Dvd Calendar'!$U$2107&gt;VAL_DATE)=0,"",'Dvd Calendar'!$U$2107*1000000000+ISNUMBER('Dvd Calendar'!$U$2108)*100000000+0*10000000+(N('Dvd Calendar'!$U$2106)&gt;0)*(N('Dvd Calendar'!$U$2106)&lt;=VAL_SERIAL)*1000000+50*1000+57))</f>
        <v/>
      </c>
      <c r="GJ209" s="35">
        <f>IF(N('Dvd Calendar'!$V$2107)=0,"",IF(('Dvd Calendar'!$V$2107&gt;=GRID_FROM)*('Dvd Calendar'!$V$2107&lt;=GRID_TO)*('Dvd Calendar'!$V$2107&gt;VAL_DATE)=0,"",'Dvd Calendar'!$V$2107*1000000000+ISNUMBER('Dvd Calendar'!$V$2108)*100000000+0*10000000+(N('Dvd Calendar'!$V$2106)&gt;0)*(N('Dvd Calendar'!$V$2106)&lt;=VAL_SERIAL)*1000000+50*1000+58))</f>
        <v/>
      </c>
      <c r="GK209" s="35">
        <f>IF(N('Dvd Calendar'!$W$2107)=0,"",IF(('Dvd Calendar'!$W$2107&gt;=GRID_FROM)*('Dvd Calendar'!$W$2107&lt;=GRID_TO)*('Dvd Calendar'!$W$2107&gt;VAL_DATE)=0,"",'Dvd Calendar'!$W$2107*1000000000+ISNUMBER('Dvd Calendar'!$W$2108)*100000000+0*10000000+(N('Dvd Calendar'!$W$2106)&gt;0)*(N('Dvd Calendar'!$W$2106)&lt;=VAL_SERIAL)*1000000+50*1000+59))</f>
        <v/>
      </c>
      <c r="GL209" s="35">
        <f>IF(N('Dvd Calendar'!$X$2107)=0,"",IF(('Dvd Calendar'!$X$2107&gt;=GRID_FROM)*('Dvd Calendar'!$X$2107&lt;=GRID_TO)*('Dvd Calendar'!$X$2107&gt;VAL_DATE)=0,"",'Dvd Calendar'!$X$2107*1000000000+ISNUMBER('Dvd Calendar'!$X$2108)*100000000+0*10000000+(N('Dvd Calendar'!$X$2106)&gt;0)*(N('Dvd Calendar'!$X$2106)&lt;=VAL_SERIAL)*1000000+50*1000+60))</f>
        <v/>
      </c>
      <c r="GM209" s="35">
        <f>IF(N('Dvd Calendar'!$Y$2107)=0,"",IF(('Dvd Calendar'!$Y$2107&gt;=GRID_FROM)*('Dvd Calendar'!$Y$2107&lt;=GRID_TO)*('Dvd Calendar'!$Y$2107&gt;VAL_DATE)=0,"",'Dvd Calendar'!$Y$2107*1000000000+ISNUMBER('Dvd Calendar'!$Y$2108)*100000000+0*10000000+(N('Dvd Calendar'!$Y$2106)&gt;0)*(N('Dvd Calendar'!$Y$2106)&lt;=VAL_SERIAL)*1000000+50*1000+61))</f>
        <v/>
      </c>
      <c r="GN209" s="35">
        <f>IF(N('Dvd Calendar'!$Z$2107)=0,"",IF(('Dvd Calendar'!$Z$2107&gt;=GRID_FROM)*('Dvd Calendar'!$Z$2107&lt;=GRID_TO)*('Dvd Calendar'!$Z$2107&gt;VAL_DATE)=0,"",'Dvd Calendar'!$Z$2107*1000000000+ISNUMBER('Dvd Calendar'!$Z$2108)*100000000+0*10000000+(N('Dvd Calendar'!$Z$2106)&gt;0)*(N('Dvd Calendar'!$Z$2106)&lt;=VAL_SERIAL)*1000000+50*1000+62))</f>
        <v/>
      </c>
      <c r="GO209" s="35">
        <f>IF(N('Dvd Calendar'!$AA$2107)=0,"",IF(('Dvd Calendar'!$AA$2107&gt;=GRID_FROM)*('Dvd Calendar'!$AA$2107&lt;=GRID_TO)*('Dvd Calendar'!$AA$2107&gt;VAL_DATE)=0,"",'Dvd Calendar'!$AA$2107*1000000000+ISNUMBER('Dvd Calendar'!$AA$2108)*100000000+0*10000000+(N('Dvd Calendar'!$AA$2106)&gt;0)*(N('Dvd Calendar'!$AA$2106)&lt;=VAL_SERIAL)*1000000+50*1000+63))</f>
        <v/>
      </c>
      <c r="GP209" s="35">
        <f>IF(N('Dvd Calendar'!$AB$2107)=0,"",IF(('Dvd Calendar'!$AB$2107&gt;=GRID_FROM)*('Dvd Calendar'!$AB$2107&lt;=GRID_TO)*('Dvd Calendar'!$AB$2107&gt;VAL_DATE)=0,"",'Dvd Calendar'!$AB$2107*1000000000+ISNUMBER('Dvd Calendar'!$AB$2108)*100000000+0*10000000+(N('Dvd Calendar'!$AB$2106)&gt;0)*(N('Dvd Calendar'!$AB$2106)&lt;=VAL_SERIAL)*1000000+50*1000+64))</f>
        <v/>
      </c>
      <c r="GQ209" s="35">
        <f>IF(N('Dvd Calendar'!$AC$2107)=0,"",IF(('Dvd Calendar'!$AC$2107&gt;=GRID_FROM)*('Dvd Calendar'!$AC$2107&lt;=GRID_TO)*('Dvd Calendar'!$AC$2107&gt;VAL_DATE)=0,"",'Dvd Calendar'!$AC$2107*1000000000+ISNUMBER('Dvd Calendar'!$AC$2108)*100000000+0*10000000+(N('Dvd Calendar'!$AC$2106)&gt;0)*(N('Dvd Calendar'!$AC$2106)&lt;=VAL_SERIAL)*1000000+50*1000+65))</f>
        <v/>
      </c>
    </row>
    <row r="210">
      <c r="B210" s="2">
        <f>IF(HSCEI!$C$57="","",HSCEI!$C$57)</f>
        <v/>
      </c>
      <c r="C210" s="106">
        <f>IF(EE210="","",IF(ISNUMBER('Dvd Calendar'!$E$2114)=FALSE,"",IF((('Dvd Calendar'!$E$2116=TYPE1)*(TYPE1&lt;&gt;"")+('Dvd Calendar'!$E$2116=TYPE2)*(TYPE2&lt;&gt;"")+('Dvd Calendar'!$E$2116=TYPE3)*(TYPE3&lt;&gt;"")+('Dvd Calendar'!$E$2116=TYPE4)*(TYPE4&lt;&gt;"")+('Dvd Calendar'!$E$2116=SPECIAL_LBL)*(INC_SPECIALS="Y"))=0,"",'Dvd Calendar'!$E$2114)))</f>
        <v/>
      </c>
      <c r="D210" s="106">
        <f>IF(EF210="","",IF(ISNUMBER('Dvd Calendar'!$F$2114)=FALSE,"",IF((('Dvd Calendar'!$F$2116=TYPE1)*(TYPE1&lt;&gt;"")+('Dvd Calendar'!$F$2116=TYPE2)*(TYPE2&lt;&gt;"")+('Dvd Calendar'!$F$2116=TYPE3)*(TYPE3&lt;&gt;"")+('Dvd Calendar'!$F$2116=TYPE4)*(TYPE4&lt;&gt;"")+('Dvd Calendar'!$F$2116=SPECIAL_LBL)*(INC_SPECIALS="Y"))=0,"",'Dvd Calendar'!$F$2114)))</f>
        <v/>
      </c>
      <c r="E210" s="106">
        <f>IF(EG210="","",IF(ISNUMBER('Dvd Calendar'!$G$2114)=FALSE,"",IF((('Dvd Calendar'!$G$2116=TYPE1)*(TYPE1&lt;&gt;"")+('Dvd Calendar'!$G$2116=TYPE2)*(TYPE2&lt;&gt;"")+('Dvd Calendar'!$G$2116=TYPE3)*(TYPE3&lt;&gt;"")+('Dvd Calendar'!$G$2116=TYPE4)*(TYPE4&lt;&gt;"")+('Dvd Calendar'!$G$2116=SPECIAL_LBL)*(INC_SPECIALS="Y"))=0,"",'Dvd Calendar'!$G$2114)))</f>
        <v/>
      </c>
      <c r="F210" s="106">
        <f>IF(EH210="","",IF(ISNUMBER('Dvd Calendar'!$H$2114)=FALSE,"",IF((('Dvd Calendar'!$H$2116=TYPE1)*(TYPE1&lt;&gt;"")+('Dvd Calendar'!$H$2116=TYPE2)*(TYPE2&lt;&gt;"")+('Dvd Calendar'!$H$2116=TYPE3)*(TYPE3&lt;&gt;"")+('Dvd Calendar'!$H$2116=TYPE4)*(TYPE4&lt;&gt;"")+('Dvd Calendar'!$H$2116=SPECIAL_LBL)*(INC_SPECIALS="Y"))=0,"",'Dvd Calendar'!$H$2114)))</f>
        <v/>
      </c>
      <c r="G210" s="106">
        <f>IF(EI210="","",IF(ISNUMBER('Dvd Calendar'!$I$2114)=FALSE,"",IF((('Dvd Calendar'!$I$2116=TYPE1)*(TYPE1&lt;&gt;"")+('Dvd Calendar'!$I$2116=TYPE2)*(TYPE2&lt;&gt;"")+('Dvd Calendar'!$I$2116=TYPE3)*(TYPE3&lt;&gt;"")+('Dvd Calendar'!$I$2116=TYPE4)*(TYPE4&lt;&gt;"")+('Dvd Calendar'!$I$2116=SPECIAL_LBL)*(INC_SPECIALS="Y"))=0,"",'Dvd Calendar'!$I$2114)))</f>
        <v/>
      </c>
      <c r="H210" s="106">
        <f>IF(EJ210="","",IF(ISNUMBER('Dvd Calendar'!$J$2114)=FALSE,"",IF((('Dvd Calendar'!$J$2116=TYPE1)*(TYPE1&lt;&gt;"")+('Dvd Calendar'!$J$2116=TYPE2)*(TYPE2&lt;&gt;"")+('Dvd Calendar'!$J$2116=TYPE3)*(TYPE3&lt;&gt;"")+('Dvd Calendar'!$J$2116=TYPE4)*(TYPE4&lt;&gt;"")+('Dvd Calendar'!$J$2116=SPECIAL_LBL)*(INC_SPECIALS="Y"))=0,"",'Dvd Calendar'!$J$2114)))</f>
        <v/>
      </c>
      <c r="I210" s="106">
        <f>IF(EK210="","",IF(ISNUMBER('Dvd Calendar'!$K$2114)=FALSE,"",IF((('Dvd Calendar'!$K$2116=TYPE1)*(TYPE1&lt;&gt;"")+('Dvd Calendar'!$K$2116=TYPE2)*(TYPE2&lt;&gt;"")+('Dvd Calendar'!$K$2116=TYPE3)*(TYPE3&lt;&gt;"")+('Dvd Calendar'!$K$2116=TYPE4)*(TYPE4&lt;&gt;"")+('Dvd Calendar'!$K$2116=SPECIAL_LBL)*(INC_SPECIALS="Y"))=0,"",'Dvd Calendar'!$K$2114)))</f>
        <v/>
      </c>
      <c r="J210" s="106">
        <f>IF(EL210="","",IF(ISNUMBER('Dvd Calendar'!$L$2114)=FALSE,"",IF((('Dvd Calendar'!$L$2116=TYPE1)*(TYPE1&lt;&gt;"")+('Dvd Calendar'!$L$2116=TYPE2)*(TYPE2&lt;&gt;"")+('Dvd Calendar'!$L$2116=TYPE3)*(TYPE3&lt;&gt;"")+('Dvd Calendar'!$L$2116=TYPE4)*(TYPE4&lt;&gt;"")+('Dvd Calendar'!$L$2116=SPECIAL_LBL)*(INC_SPECIALS="Y"))=0,"",'Dvd Calendar'!$L$2114)))</f>
        <v/>
      </c>
      <c r="K210" s="106">
        <f>IF(EM210="","",IF(ISNUMBER('Dvd Calendar'!$M$2114)=FALSE,"",IF((('Dvd Calendar'!$M$2116=TYPE1)*(TYPE1&lt;&gt;"")+('Dvd Calendar'!$M$2116=TYPE2)*(TYPE2&lt;&gt;"")+('Dvd Calendar'!$M$2116=TYPE3)*(TYPE3&lt;&gt;"")+('Dvd Calendar'!$M$2116=TYPE4)*(TYPE4&lt;&gt;"")+('Dvd Calendar'!$M$2116=SPECIAL_LBL)*(INC_SPECIALS="Y"))=0,"",'Dvd Calendar'!$M$2114)))</f>
        <v/>
      </c>
      <c r="L210" s="106">
        <f>IF(EN210="","",IF(ISNUMBER('Dvd Calendar'!$N$2114)=FALSE,"",IF((('Dvd Calendar'!$N$2116=TYPE1)*(TYPE1&lt;&gt;"")+('Dvd Calendar'!$N$2116=TYPE2)*(TYPE2&lt;&gt;"")+('Dvd Calendar'!$N$2116=TYPE3)*(TYPE3&lt;&gt;"")+('Dvd Calendar'!$N$2116=TYPE4)*(TYPE4&lt;&gt;"")+('Dvd Calendar'!$N$2116=SPECIAL_LBL)*(INC_SPECIALS="Y"))=0,"",'Dvd Calendar'!$N$2114)))</f>
        <v/>
      </c>
      <c r="M210" s="106">
        <f>IF(EO210="","",IF(ISNUMBER('Dvd Calendar'!$O$2114)=FALSE,"",IF((('Dvd Calendar'!$O$2116=TYPE1)*(TYPE1&lt;&gt;"")+('Dvd Calendar'!$O$2116=TYPE2)*(TYPE2&lt;&gt;"")+('Dvd Calendar'!$O$2116=TYPE3)*(TYPE3&lt;&gt;"")+('Dvd Calendar'!$O$2116=TYPE4)*(TYPE4&lt;&gt;"")+('Dvd Calendar'!$O$2116=SPECIAL_LBL)*(INC_SPECIALS="Y"))=0,"",'Dvd Calendar'!$O$2114)))</f>
        <v/>
      </c>
      <c r="N210" s="106">
        <f>IF(EP210="","",IF(ISNUMBER('Dvd Calendar'!$P$2114)=FALSE,"",IF((('Dvd Calendar'!$P$2116=TYPE1)*(TYPE1&lt;&gt;"")+('Dvd Calendar'!$P$2116=TYPE2)*(TYPE2&lt;&gt;"")+('Dvd Calendar'!$P$2116=TYPE3)*(TYPE3&lt;&gt;"")+('Dvd Calendar'!$P$2116=TYPE4)*(TYPE4&lt;&gt;"")+('Dvd Calendar'!$P$2116=SPECIAL_LBL)*(INC_SPECIALS="Y"))=0,"",'Dvd Calendar'!$P$2114)))</f>
        <v/>
      </c>
      <c r="O210" s="106">
        <f>IF(EQ210="","",IF(ISNUMBER('Dvd Calendar'!$Q$2114)=FALSE,"",IF((('Dvd Calendar'!$Q$2116=TYPE1)*(TYPE1&lt;&gt;"")+('Dvd Calendar'!$Q$2116=TYPE2)*(TYPE2&lt;&gt;"")+('Dvd Calendar'!$Q$2116=TYPE3)*(TYPE3&lt;&gt;"")+('Dvd Calendar'!$Q$2116=TYPE4)*(TYPE4&lt;&gt;"")+('Dvd Calendar'!$Q$2116=SPECIAL_LBL)*(INC_SPECIALS="Y"))=0,"",'Dvd Calendar'!$Q$2114)))</f>
        <v/>
      </c>
      <c r="P210" s="106">
        <f>IF(ER210="","",IF(ISNUMBER('Dvd Calendar'!$R$2114)=FALSE,"",IF((('Dvd Calendar'!$R$2116=TYPE1)*(TYPE1&lt;&gt;"")+('Dvd Calendar'!$R$2116=TYPE2)*(TYPE2&lt;&gt;"")+('Dvd Calendar'!$R$2116=TYPE3)*(TYPE3&lt;&gt;"")+('Dvd Calendar'!$R$2116=TYPE4)*(TYPE4&lt;&gt;"")+('Dvd Calendar'!$R$2116=SPECIAL_LBL)*(INC_SPECIALS="Y"))=0,"",'Dvd Calendar'!$R$2114)))</f>
        <v/>
      </c>
      <c r="Q210" s="106">
        <f>IF(ES210="","",IF(ISNUMBER('Dvd Calendar'!$S$2114)=FALSE,"",IF((('Dvd Calendar'!$S$2116=TYPE1)*(TYPE1&lt;&gt;"")+('Dvd Calendar'!$S$2116=TYPE2)*(TYPE2&lt;&gt;"")+('Dvd Calendar'!$S$2116=TYPE3)*(TYPE3&lt;&gt;"")+('Dvd Calendar'!$S$2116=TYPE4)*(TYPE4&lt;&gt;"")+('Dvd Calendar'!$S$2116=SPECIAL_LBL)*(INC_SPECIALS="Y"))=0,"",'Dvd Calendar'!$S$2114)))</f>
        <v/>
      </c>
      <c r="R210" s="106">
        <f>IF(ET210="","",IF(ISNUMBER('Dvd Calendar'!$T$2114)=FALSE,"",IF((('Dvd Calendar'!$T$2116=TYPE1)*(TYPE1&lt;&gt;"")+('Dvd Calendar'!$T$2116=TYPE2)*(TYPE2&lt;&gt;"")+('Dvd Calendar'!$T$2116=TYPE3)*(TYPE3&lt;&gt;"")+('Dvd Calendar'!$T$2116=TYPE4)*(TYPE4&lt;&gt;"")+('Dvd Calendar'!$T$2116=SPECIAL_LBL)*(INC_SPECIALS="Y"))=0,"",'Dvd Calendar'!$T$2114)))</f>
        <v/>
      </c>
      <c r="S210" s="106">
        <f>IF(EU210="","",IF(ISNUMBER('Dvd Calendar'!$U$2114)=FALSE,"",IF((('Dvd Calendar'!$U$2116=TYPE1)*(TYPE1&lt;&gt;"")+('Dvd Calendar'!$U$2116=TYPE2)*(TYPE2&lt;&gt;"")+('Dvd Calendar'!$U$2116=TYPE3)*(TYPE3&lt;&gt;"")+('Dvd Calendar'!$U$2116=TYPE4)*(TYPE4&lt;&gt;"")+('Dvd Calendar'!$U$2116=SPECIAL_LBL)*(INC_SPECIALS="Y"))=0,"",'Dvd Calendar'!$U$2114)))</f>
        <v/>
      </c>
      <c r="T210" s="106">
        <f>IF(EV210="","",IF(ISNUMBER('Dvd Calendar'!$V$2114)=FALSE,"",IF((('Dvd Calendar'!$V$2116=TYPE1)*(TYPE1&lt;&gt;"")+('Dvd Calendar'!$V$2116=TYPE2)*(TYPE2&lt;&gt;"")+('Dvd Calendar'!$V$2116=TYPE3)*(TYPE3&lt;&gt;"")+('Dvd Calendar'!$V$2116=TYPE4)*(TYPE4&lt;&gt;"")+('Dvd Calendar'!$V$2116=SPECIAL_LBL)*(INC_SPECIALS="Y"))=0,"",'Dvd Calendar'!$V$2114)))</f>
        <v/>
      </c>
      <c r="U210" s="106">
        <f>IF(EW210="","",IF(ISNUMBER('Dvd Calendar'!$W$2114)=FALSE,"",IF((('Dvd Calendar'!$W$2116=TYPE1)*(TYPE1&lt;&gt;"")+('Dvd Calendar'!$W$2116=TYPE2)*(TYPE2&lt;&gt;"")+('Dvd Calendar'!$W$2116=TYPE3)*(TYPE3&lt;&gt;"")+('Dvd Calendar'!$W$2116=TYPE4)*(TYPE4&lt;&gt;"")+('Dvd Calendar'!$W$2116=SPECIAL_LBL)*(INC_SPECIALS="Y"))=0,"",'Dvd Calendar'!$W$2114)))</f>
        <v/>
      </c>
      <c r="V210" s="106">
        <f>IF(EX210="","",IF(ISNUMBER('Dvd Calendar'!$X$2114)=FALSE,"",IF((('Dvd Calendar'!$X$2116=TYPE1)*(TYPE1&lt;&gt;"")+('Dvd Calendar'!$X$2116=TYPE2)*(TYPE2&lt;&gt;"")+('Dvd Calendar'!$X$2116=TYPE3)*(TYPE3&lt;&gt;"")+('Dvd Calendar'!$X$2116=TYPE4)*(TYPE4&lt;&gt;"")+('Dvd Calendar'!$X$2116=SPECIAL_LBL)*(INC_SPECIALS="Y"))=0,"",'Dvd Calendar'!$X$2114)))</f>
        <v/>
      </c>
      <c r="W210" s="106">
        <f>IF(EY210="","",IF(ISNUMBER('Dvd Calendar'!$Y$2114)=FALSE,"",IF((('Dvd Calendar'!$Y$2116=TYPE1)*(TYPE1&lt;&gt;"")+('Dvd Calendar'!$Y$2116=TYPE2)*(TYPE2&lt;&gt;"")+('Dvd Calendar'!$Y$2116=TYPE3)*(TYPE3&lt;&gt;"")+('Dvd Calendar'!$Y$2116=TYPE4)*(TYPE4&lt;&gt;"")+('Dvd Calendar'!$Y$2116=SPECIAL_LBL)*(INC_SPECIALS="Y"))=0,"",'Dvd Calendar'!$Y$2114)))</f>
        <v/>
      </c>
      <c r="X210" s="106">
        <f>IF(EZ210="","",IF(ISNUMBER('Dvd Calendar'!$Z$2114)=FALSE,"",IF((('Dvd Calendar'!$Z$2116=TYPE1)*(TYPE1&lt;&gt;"")+('Dvd Calendar'!$Z$2116=TYPE2)*(TYPE2&lt;&gt;"")+('Dvd Calendar'!$Z$2116=TYPE3)*(TYPE3&lt;&gt;"")+('Dvd Calendar'!$Z$2116=TYPE4)*(TYPE4&lt;&gt;"")+('Dvd Calendar'!$Z$2116=SPECIAL_LBL)*(INC_SPECIALS="Y"))=0,"",'Dvd Calendar'!$Z$2114)))</f>
        <v/>
      </c>
      <c r="Y210" s="106">
        <f>IF(FA210="","",IF(ISNUMBER('Dvd Calendar'!$AA$2114)=FALSE,"",IF((('Dvd Calendar'!$AA$2116=TYPE1)*(TYPE1&lt;&gt;"")+('Dvd Calendar'!$AA$2116=TYPE2)*(TYPE2&lt;&gt;"")+('Dvd Calendar'!$AA$2116=TYPE3)*(TYPE3&lt;&gt;"")+('Dvd Calendar'!$AA$2116=TYPE4)*(TYPE4&lt;&gt;"")+('Dvd Calendar'!$AA$2116=SPECIAL_LBL)*(INC_SPECIALS="Y"))=0,"",'Dvd Calendar'!$AA$2114)))</f>
        <v/>
      </c>
      <c r="Z210" s="106">
        <f>IF(FB210="","",IF(ISNUMBER('Dvd Calendar'!$AB$2114)=FALSE,"",IF((('Dvd Calendar'!$AB$2116=TYPE1)*(TYPE1&lt;&gt;"")+('Dvd Calendar'!$AB$2116=TYPE2)*(TYPE2&lt;&gt;"")+('Dvd Calendar'!$AB$2116=TYPE3)*(TYPE3&lt;&gt;"")+('Dvd Calendar'!$AB$2116=TYPE4)*(TYPE4&lt;&gt;"")+('Dvd Calendar'!$AB$2116=SPECIAL_LBL)*(INC_SPECIALS="Y"))=0,"",'Dvd Calendar'!$AB$2114)))</f>
        <v/>
      </c>
      <c r="AA210" s="106">
        <f>IF(FC210="","",IF(ISNUMBER('Dvd Calendar'!$AC$2114)=FALSE,"",IF((('Dvd Calendar'!$AC$2116=TYPE1)*(TYPE1&lt;&gt;"")+('Dvd Calendar'!$AC$2116=TYPE2)*(TYPE2&lt;&gt;"")+('Dvd Calendar'!$AC$2116=TYPE3)*(TYPE3&lt;&gt;"")+('Dvd Calendar'!$AC$2116=TYPE4)*(TYPE4&lt;&gt;"")+('Dvd Calendar'!$AC$2116=SPECIAL_LBL)*(INC_SPECIALS="Y"))=0,"",'Dvd Calendar'!$AC$2114)))</f>
        <v/>
      </c>
      <c r="AB210" s="106">
        <f>IF(FD210="","",IF(ISNUMBER('Dvd Calendar'!$AD$2114)=FALSE,"",IF((('Dvd Calendar'!$AD$2116=TYPE1)*(TYPE1&lt;&gt;"")+('Dvd Calendar'!$AD$2116=TYPE2)*(TYPE2&lt;&gt;"")+('Dvd Calendar'!$AD$2116=TYPE3)*(TYPE3&lt;&gt;"")+('Dvd Calendar'!$AD$2116=TYPE4)*(TYPE4&lt;&gt;"")+('Dvd Calendar'!$AD$2116=SPECIAL_LBL)*(INC_SPECIALS="Y"))=0,"",'Dvd Calendar'!$AD$2114)))</f>
        <v/>
      </c>
      <c r="AC210" s="106">
        <f>IF(FE210="","",IF(ISNUMBER('Dvd Calendar'!$AE$2114)=FALSE,"",IF((('Dvd Calendar'!$AE$2116=TYPE1)*(TYPE1&lt;&gt;"")+('Dvd Calendar'!$AE$2116=TYPE2)*(TYPE2&lt;&gt;"")+('Dvd Calendar'!$AE$2116=TYPE3)*(TYPE3&lt;&gt;"")+('Dvd Calendar'!$AE$2116=TYPE4)*(TYPE4&lt;&gt;"")+('Dvd Calendar'!$AE$2116=SPECIAL_LBL)*(INC_SPECIALS="Y"))=0,"",'Dvd Calendar'!$AE$2114)))</f>
        <v/>
      </c>
      <c r="AD210" s="106">
        <f>IF(FF210="","",IF(ISNUMBER('Dvd Calendar'!$AF$2114)=FALSE,"",IF((('Dvd Calendar'!$AF$2116=TYPE1)*(TYPE1&lt;&gt;"")+('Dvd Calendar'!$AF$2116=TYPE2)*(TYPE2&lt;&gt;"")+('Dvd Calendar'!$AF$2116=TYPE3)*(TYPE3&lt;&gt;"")+('Dvd Calendar'!$AF$2116=TYPE4)*(TYPE4&lt;&gt;"")+('Dvd Calendar'!$AF$2116=SPECIAL_LBL)*(INC_SPECIALS="Y"))=0,"",'Dvd Calendar'!$AF$2114)))</f>
        <v/>
      </c>
      <c r="AE210" s="106">
        <f>IF(FG210="","",IF(ISNUMBER('Dvd Calendar'!$AG$2114)=FALSE,"",IF((('Dvd Calendar'!$AG$2116=TYPE1)*(TYPE1&lt;&gt;"")+('Dvd Calendar'!$AG$2116=TYPE2)*(TYPE2&lt;&gt;"")+('Dvd Calendar'!$AG$2116=TYPE3)*(TYPE3&lt;&gt;"")+('Dvd Calendar'!$AG$2116=TYPE4)*(TYPE4&lt;&gt;"")+('Dvd Calendar'!$AG$2116=SPECIAL_LBL)*(INC_SPECIALS="Y"))=0,"",'Dvd Calendar'!$AG$2114)))</f>
        <v/>
      </c>
      <c r="AF210" s="106">
        <f>IF(FH210="","",IF(ISNUMBER('Dvd Calendar'!$AH$2114)=FALSE,"",IF((('Dvd Calendar'!$AH$2116=TYPE1)*(TYPE1&lt;&gt;"")+('Dvd Calendar'!$AH$2116=TYPE2)*(TYPE2&lt;&gt;"")+('Dvd Calendar'!$AH$2116=TYPE3)*(TYPE3&lt;&gt;"")+('Dvd Calendar'!$AH$2116=TYPE4)*(TYPE4&lt;&gt;"")+('Dvd Calendar'!$AH$2116=SPECIAL_LBL)*(INC_SPECIALS="Y"))=0,"",'Dvd Calendar'!$AH$2114)))</f>
        <v/>
      </c>
      <c r="AG210" s="106">
        <f>IF(FI210="","",IF(ISNUMBER('Dvd Calendar'!$AI$2114)=FALSE,"",IF((('Dvd Calendar'!$AI$2116=TYPE1)*(TYPE1&lt;&gt;"")+('Dvd Calendar'!$AI$2116=TYPE2)*(TYPE2&lt;&gt;"")+('Dvd Calendar'!$AI$2116=TYPE3)*(TYPE3&lt;&gt;"")+('Dvd Calendar'!$AI$2116=TYPE4)*(TYPE4&lt;&gt;"")+('Dvd Calendar'!$AI$2116=SPECIAL_LBL)*(INC_SPECIALS="Y"))=0,"",'Dvd Calendar'!$AI$2114)))</f>
        <v/>
      </c>
      <c r="AH210" s="106">
        <f>IF(FJ210="","",IF(ISNUMBER('Dvd Calendar'!$AJ$2114)=FALSE,"",IF((('Dvd Calendar'!$AJ$2116=TYPE1)*(TYPE1&lt;&gt;"")+('Dvd Calendar'!$AJ$2116=TYPE2)*(TYPE2&lt;&gt;"")+('Dvd Calendar'!$AJ$2116=TYPE3)*(TYPE3&lt;&gt;"")+('Dvd Calendar'!$AJ$2116=TYPE4)*(TYPE4&lt;&gt;"")+('Dvd Calendar'!$AJ$2116=SPECIAL_LBL)*(INC_SPECIALS="Y"))=0,"",'Dvd Calendar'!$AJ$2114)))</f>
        <v/>
      </c>
      <c r="AI210" s="106">
        <f>IF(FK210="","",IF(ISNUMBER('Dvd Calendar'!$AK$2114)=FALSE,"",IF((('Dvd Calendar'!$AK$2116=TYPE1)*(TYPE1&lt;&gt;"")+('Dvd Calendar'!$AK$2116=TYPE2)*(TYPE2&lt;&gt;"")+('Dvd Calendar'!$AK$2116=TYPE3)*(TYPE3&lt;&gt;"")+('Dvd Calendar'!$AK$2116=TYPE4)*(TYPE4&lt;&gt;"")+('Dvd Calendar'!$AK$2116=SPECIAL_LBL)*(INC_SPECIALS="Y"))=0,"",'Dvd Calendar'!$AK$2114)))</f>
        <v/>
      </c>
      <c r="AJ210" s="106">
        <f>IF(FL210="","",IF(ISNUMBER('Dvd Calendar'!$AL$2114)=FALSE,"",IF((('Dvd Calendar'!$AL$2116=TYPE1)*(TYPE1&lt;&gt;"")+('Dvd Calendar'!$AL$2116=TYPE2)*(TYPE2&lt;&gt;"")+('Dvd Calendar'!$AL$2116=TYPE3)*(TYPE3&lt;&gt;"")+('Dvd Calendar'!$AL$2116=TYPE4)*(TYPE4&lt;&gt;"")+('Dvd Calendar'!$AL$2116=SPECIAL_LBL)*(INC_SPECIALS="Y"))=0,"",'Dvd Calendar'!$AL$2114)))</f>
        <v/>
      </c>
      <c r="AK210" s="106">
        <f>IF(FM210="","",IF(ISNUMBER('Dvd Calendar'!$AM$2114)=FALSE,"",IF((('Dvd Calendar'!$AM$2116=TYPE1)*(TYPE1&lt;&gt;"")+('Dvd Calendar'!$AM$2116=TYPE2)*(TYPE2&lt;&gt;"")+('Dvd Calendar'!$AM$2116=TYPE3)*(TYPE3&lt;&gt;"")+('Dvd Calendar'!$AM$2116=TYPE4)*(TYPE4&lt;&gt;"")+('Dvd Calendar'!$AM$2116=SPECIAL_LBL)*(INC_SPECIALS="Y"))=0,"",'Dvd Calendar'!$AM$2114)))</f>
        <v/>
      </c>
      <c r="AL210" s="106">
        <f>IF(FN210="","",IF(ISNUMBER('Dvd Calendar'!$AN$2114)=FALSE,"",IF((('Dvd Calendar'!$AN$2116=TYPE1)*(TYPE1&lt;&gt;"")+('Dvd Calendar'!$AN$2116=TYPE2)*(TYPE2&lt;&gt;"")+('Dvd Calendar'!$AN$2116=TYPE3)*(TYPE3&lt;&gt;"")+('Dvd Calendar'!$AN$2116=TYPE4)*(TYPE4&lt;&gt;"")+('Dvd Calendar'!$AN$2116=SPECIAL_LBL)*(INC_SPECIALS="Y"))=0,"",'Dvd Calendar'!$AN$2114)))</f>
        <v/>
      </c>
      <c r="AM210" s="106">
        <f>IF(FO210="","",IF(ISNUMBER('Dvd Calendar'!$AO$2114)=FALSE,"",IF((('Dvd Calendar'!$AO$2116=TYPE1)*(TYPE1&lt;&gt;"")+('Dvd Calendar'!$AO$2116=TYPE2)*(TYPE2&lt;&gt;"")+('Dvd Calendar'!$AO$2116=TYPE3)*(TYPE3&lt;&gt;"")+('Dvd Calendar'!$AO$2116=TYPE4)*(TYPE4&lt;&gt;"")+('Dvd Calendar'!$AO$2116=SPECIAL_LBL)*(INC_SPECIALS="Y"))=0,"",'Dvd Calendar'!$AO$2114)))</f>
        <v/>
      </c>
      <c r="AN210" s="106">
        <f>IF(FP210="","",IF(ISNUMBER('Dvd Calendar'!$AP$2114)=FALSE,"",IF((('Dvd Calendar'!$AP$2116=TYPE1)*(TYPE1&lt;&gt;"")+('Dvd Calendar'!$AP$2116=TYPE2)*(TYPE2&lt;&gt;"")+('Dvd Calendar'!$AP$2116=TYPE3)*(TYPE3&lt;&gt;"")+('Dvd Calendar'!$AP$2116=TYPE4)*(TYPE4&lt;&gt;"")+('Dvd Calendar'!$AP$2116=SPECIAL_LBL)*(INC_SPECIALS="Y"))=0,"",'Dvd Calendar'!$AP$2114)))</f>
        <v/>
      </c>
      <c r="AO210" s="106">
        <f>IF(FQ210="","",IF(ISNUMBER('Dvd Calendar'!$AQ$2114)=FALSE,"",IF((('Dvd Calendar'!$AQ$2116=TYPE1)*(TYPE1&lt;&gt;"")+('Dvd Calendar'!$AQ$2116=TYPE2)*(TYPE2&lt;&gt;"")+('Dvd Calendar'!$AQ$2116=TYPE3)*(TYPE3&lt;&gt;"")+('Dvd Calendar'!$AQ$2116=TYPE4)*(TYPE4&lt;&gt;"")+('Dvd Calendar'!$AQ$2116=SPECIAL_LBL)*(INC_SPECIALS="Y"))=0,"",'Dvd Calendar'!$AQ$2114)))</f>
        <v/>
      </c>
      <c r="AP210" s="106">
        <f>IF(FR210="","",IF(ISNUMBER('Dvd Calendar'!$AR$2114)=FALSE,"",IF((('Dvd Calendar'!$AR$2116=TYPE1)*(TYPE1&lt;&gt;"")+('Dvd Calendar'!$AR$2116=TYPE2)*(TYPE2&lt;&gt;"")+('Dvd Calendar'!$AR$2116=TYPE3)*(TYPE3&lt;&gt;"")+('Dvd Calendar'!$AR$2116=TYPE4)*(TYPE4&lt;&gt;"")+('Dvd Calendar'!$AR$2116=SPECIAL_LBL)*(INC_SPECIALS="Y"))=0,"",'Dvd Calendar'!$AR$2114)))</f>
        <v/>
      </c>
      <c r="AQ210" s="106">
        <f>IF(FS210="","",IF(ISNUMBER('Dvd Calendar'!$E$2119)=FALSE,"",'Dvd Calendar'!$E$2119))</f>
        <v/>
      </c>
      <c r="AR210" s="106">
        <f>IF(FT210="","",IF(ISNUMBER('Dvd Calendar'!$F$2119)=FALSE,"",'Dvd Calendar'!$F$2119))</f>
        <v/>
      </c>
      <c r="AS210" s="106">
        <f>IF(FU210="","",IF(ISNUMBER('Dvd Calendar'!$G$2119)=FALSE,"",'Dvd Calendar'!$G$2119))</f>
        <v/>
      </c>
      <c r="AT210" s="106">
        <f>IF(FV210="","",IF(ISNUMBER('Dvd Calendar'!$H$2119)=FALSE,"",'Dvd Calendar'!$H$2119))</f>
        <v/>
      </c>
      <c r="AU210" s="106">
        <f>IF(FW210="","",IF(ISNUMBER('Dvd Calendar'!$I$2119)=FALSE,"",'Dvd Calendar'!$I$2119))</f>
        <v/>
      </c>
      <c r="AV210" s="106">
        <f>IF(FX210="","",IF(ISNUMBER('Dvd Calendar'!$J$2119)=FALSE,"",'Dvd Calendar'!$J$2119))</f>
        <v/>
      </c>
      <c r="AW210" s="106">
        <f>IF(FY210="","",IF(ISNUMBER('Dvd Calendar'!$K$2119)=FALSE,"",'Dvd Calendar'!$K$2119))</f>
        <v/>
      </c>
      <c r="AX210" s="106">
        <f>IF(FZ210="","",IF(ISNUMBER('Dvd Calendar'!$L$2119)=FALSE,"",'Dvd Calendar'!$L$2119))</f>
        <v/>
      </c>
      <c r="AY210" s="106">
        <f>IF(GA210="","",IF(ISNUMBER('Dvd Calendar'!$M$2119)=FALSE,"",'Dvd Calendar'!$M$2119))</f>
        <v/>
      </c>
      <c r="AZ210" s="106">
        <f>IF(GB210="","",IF(ISNUMBER('Dvd Calendar'!$N$2119)=FALSE,"",'Dvd Calendar'!$N$2119))</f>
        <v/>
      </c>
      <c r="BA210" s="106">
        <f>IF(GC210="","",IF(ISNUMBER('Dvd Calendar'!$O$2119)=FALSE,"",'Dvd Calendar'!$O$2119))</f>
        <v/>
      </c>
      <c r="BB210" s="106">
        <f>IF(GD210="","",IF(ISNUMBER('Dvd Calendar'!$P$2119)=FALSE,"",'Dvd Calendar'!$P$2119))</f>
        <v/>
      </c>
      <c r="BC210" s="106">
        <f>IF(GE210="","",IF(ISNUMBER('Dvd Calendar'!$Q$2119)=FALSE,"",'Dvd Calendar'!$Q$2119))</f>
        <v/>
      </c>
      <c r="BD210" s="106">
        <f>IF(GF210="","",IF(ISNUMBER('Dvd Calendar'!$R$2119)=FALSE,"",'Dvd Calendar'!$R$2119))</f>
        <v/>
      </c>
      <c r="BE210" s="106">
        <f>IF(GG210="","",IF(ISNUMBER('Dvd Calendar'!$S$2119)=FALSE,"",'Dvd Calendar'!$S$2119))</f>
        <v/>
      </c>
      <c r="BF210" s="106">
        <f>IF(GH210="","",IF(ISNUMBER('Dvd Calendar'!$T$2119)=FALSE,"",'Dvd Calendar'!$T$2119))</f>
        <v/>
      </c>
      <c r="BG210" s="106">
        <f>IF(GI210="","",IF(ISNUMBER('Dvd Calendar'!$U$2119)=FALSE,"",'Dvd Calendar'!$U$2119))</f>
        <v/>
      </c>
      <c r="BH210" s="106">
        <f>IF(GJ210="","",IF(ISNUMBER('Dvd Calendar'!$V$2119)=FALSE,"",'Dvd Calendar'!$V$2119))</f>
        <v/>
      </c>
      <c r="BI210" s="106">
        <f>IF(GK210="","",IF(ISNUMBER('Dvd Calendar'!$W$2119)=FALSE,"",'Dvd Calendar'!$W$2119))</f>
        <v/>
      </c>
      <c r="BJ210" s="106">
        <f>IF(GL210="","",IF(ISNUMBER('Dvd Calendar'!$X$2119)=FALSE,"",'Dvd Calendar'!$X$2119))</f>
        <v/>
      </c>
      <c r="BK210" s="106">
        <f>IF(GM210="","",IF(ISNUMBER('Dvd Calendar'!$Y$2119)=FALSE,"",'Dvd Calendar'!$Y$2119))</f>
        <v/>
      </c>
      <c r="BL210" s="106">
        <f>IF(GN210="","",IF(ISNUMBER('Dvd Calendar'!$Z$2119)=FALSE,"",'Dvd Calendar'!$Z$2119))</f>
        <v/>
      </c>
      <c r="BM210" s="106">
        <f>IF(GO210="","",IF(ISNUMBER('Dvd Calendar'!$AA$2119)=FALSE,"",'Dvd Calendar'!$AA$2119))</f>
        <v/>
      </c>
      <c r="BN210" s="106">
        <f>IF(GP210="","",IF(ISNUMBER('Dvd Calendar'!$AB$2119)=FALSE,"",'Dvd Calendar'!$AB$2119))</f>
        <v/>
      </c>
      <c r="BO210" s="106">
        <f>IF(GQ210="","",IF(ISNUMBER('Dvd Calendar'!$AC$2119)=FALSE,"",'Dvd Calendar'!$AC$2119))</f>
        <v/>
      </c>
      <c r="BQ210" s="106">
        <f>IF(C210="","",IFERROR(C210*HSCEI!$B$57*HSCEI!$G$57/HSCEI!$B$3,""))</f>
        <v/>
      </c>
      <c r="BR210" s="106">
        <f>IF(D210="","",IFERROR(D210*HSCEI!$B$57*HSCEI!$G$57/HSCEI!$B$3,""))</f>
        <v/>
      </c>
      <c r="BS210" s="106">
        <f>IF(E210="","",IFERROR(E210*HSCEI!$B$57*HSCEI!$G$57/HSCEI!$B$3,""))</f>
        <v/>
      </c>
      <c r="BT210" s="106">
        <f>IF(F210="","",IFERROR(F210*HSCEI!$B$57*HSCEI!$G$57/HSCEI!$B$3,""))</f>
        <v/>
      </c>
      <c r="BU210" s="106">
        <f>IF(G210="","",IFERROR(G210*HSCEI!$B$57*HSCEI!$G$57/HSCEI!$B$3,""))</f>
        <v/>
      </c>
      <c r="BV210" s="106">
        <f>IF(H210="","",IFERROR(H210*HSCEI!$B$57*HSCEI!$G$57/HSCEI!$B$3,""))</f>
        <v/>
      </c>
      <c r="BW210" s="106">
        <f>IF(I210="","",IFERROR(I210*HSCEI!$B$57*HSCEI!$G$57/HSCEI!$B$3,""))</f>
        <v/>
      </c>
      <c r="BX210" s="106">
        <f>IF(J210="","",IFERROR(J210*HSCEI!$B$57*HSCEI!$G$57/HSCEI!$B$3,""))</f>
        <v/>
      </c>
      <c r="BY210" s="106">
        <f>IF(K210="","",IFERROR(K210*HSCEI!$B$57*HSCEI!$G$57/HSCEI!$B$3,""))</f>
        <v/>
      </c>
      <c r="BZ210" s="106">
        <f>IF(L210="","",IFERROR(L210*HSCEI!$B$57*HSCEI!$G$57/HSCEI!$B$3,""))</f>
        <v/>
      </c>
      <c r="CA210" s="106">
        <f>IF(M210="","",IFERROR(M210*HSCEI!$B$57*HSCEI!$G$57/HSCEI!$B$3,""))</f>
        <v/>
      </c>
      <c r="CB210" s="106">
        <f>IF(N210="","",IFERROR(N210*HSCEI!$B$57*HSCEI!$G$57/HSCEI!$B$3,""))</f>
        <v/>
      </c>
      <c r="CC210" s="106">
        <f>IF(O210="","",IFERROR(O210*HSCEI!$B$57*HSCEI!$G$57/HSCEI!$B$3,""))</f>
        <v/>
      </c>
      <c r="CD210" s="106">
        <f>IF(P210="","",IFERROR(P210*HSCEI!$B$57*HSCEI!$G$57/HSCEI!$B$3,""))</f>
        <v/>
      </c>
      <c r="CE210" s="106">
        <f>IF(Q210="","",IFERROR(Q210*HSCEI!$B$57*HSCEI!$G$57/HSCEI!$B$3,""))</f>
        <v/>
      </c>
      <c r="CF210" s="106">
        <f>IF(R210="","",IFERROR(R210*HSCEI!$B$57*HSCEI!$G$57/HSCEI!$B$3,""))</f>
        <v/>
      </c>
      <c r="CG210" s="106">
        <f>IF(S210="","",IFERROR(S210*HSCEI!$B$57*HSCEI!$G$57/HSCEI!$B$3,""))</f>
        <v/>
      </c>
      <c r="CH210" s="106">
        <f>IF(T210="","",IFERROR(T210*HSCEI!$B$57*HSCEI!$G$57/HSCEI!$B$3,""))</f>
        <v/>
      </c>
      <c r="CI210" s="106">
        <f>IF(U210="","",IFERROR(U210*HSCEI!$B$57*HSCEI!$G$57/HSCEI!$B$3,""))</f>
        <v/>
      </c>
      <c r="CJ210" s="106">
        <f>IF(V210="","",IFERROR(V210*HSCEI!$B$57*HSCEI!$G$57/HSCEI!$B$3,""))</f>
        <v/>
      </c>
      <c r="CK210" s="106">
        <f>IF(W210="","",IFERROR(W210*HSCEI!$B$57*HSCEI!$G$57/HSCEI!$B$3,""))</f>
        <v/>
      </c>
      <c r="CL210" s="106">
        <f>IF(X210="","",IFERROR(X210*HSCEI!$B$57*HSCEI!$G$57/HSCEI!$B$3,""))</f>
        <v/>
      </c>
      <c r="CM210" s="106">
        <f>IF(Y210="","",IFERROR(Y210*HSCEI!$B$57*HSCEI!$G$57/HSCEI!$B$3,""))</f>
        <v/>
      </c>
      <c r="CN210" s="106">
        <f>IF(Z210="","",IFERROR(Z210*HSCEI!$B$57*HSCEI!$G$57/HSCEI!$B$3,""))</f>
        <v/>
      </c>
      <c r="CO210" s="106">
        <f>IF(AA210="","",IFERROR(AA210*HSCEI!$B$57*HSCEI!$G$57/HSCEI!$B$3,""))</f>
        <v/>
      </c>
      <c r="CP210" s="106">
        <f>IF(AB210="","",IFERROR(AB210*HSCEI!$B$57*HSCEI!$G$57/HSCEI!$B$3,""))</f>
        <v/>
      </c>
      <c r="CQ210" s="106">
        <f>IF(AC210="","",IFERROR(AC210*HSCEI!$B$57*HSCEI!$G$57/HSCEI!$B$3,""))</f>
        <v/>
      </c>
      <c r="CR210" s="106">
        <f>IF(AD210="","",IFERROR(AD210*HSCEI!$B$57*HSCEI!$G$57/HSCEI!$B$3,""))</f>
        <v/>
      </c>
      <c r="CS210" s="106">
        <f>IF(AE210="","",IFERROR(AE210*HSCEI!$B$57*HSCEI!$G$57/HSCEI!$B$3,""))</f>
        <v/>
      </c>
      <c r="CT210" s="106">
        <f>IF(AF210="","",IFERROR(AF210*HSCEI!$B$57*HSCEI!$G$57/HSCEI!$B$3,""))</f>
        <v/>
      </c>
      <c r="CU210" s="106">
        <f>IF(AG210="","",IFERROR(AG210*HSCEI!$B$57*HSCEI!$G$57/HSCEI!$B$3,""))</f>
        <v/>
      </c>
      <c r="CV210" s="106">
        <f>IF(AH210="","",IFERROR(AH210*HSCEI!$B$57*HSCEI!$G$57/HSCEI!$B$3,""))</f>
        <v/>
      </c>
      <c r="CW210" s="106">
        <f>IF(AI210="","",IFERROR(AI210*HSCEI!$B$57*HSCEI!$G$57/HSCEI!$B$3,""))</f>
        <v/>
      </c>
      <c r="CX210" s="106">
        <f>IF(AJ210="","",IFERROR(AJ210*HSCEI!$B$57*HSCEI!$G$57/HSCEI!$B$3,""))</f>
        <v/>
      </c>
      <c r="CY210" s="106">
        <f>IF(AK210="","",IFERROR(AK210*HSCEI!$B$57*HSCEI!$G$57/HSCEI!$B$3,""))</f>
        <v/>
      </c>
      <c r="CZ210" s="106">
        <f>IF(AL210="","",IFERROR(AL210*HSCEI!$B$57*HSCEI!$G$57/HSCEI!$B$3,""))</f>
        <v/>
      </c>
      <c r="DA210" s="106">
        <f>IF(AM210="","",IFERROR(AM210*HSCEI!$B$57*HSCEI!$G$57/HSCEI!$B$3,""))</f>
        <v/>
      </c>
      <c r="DB210" s="106">
        <f>IF(AN210="","",IFERROR(AN210*HSCEI!$B$57*HSCEI!$G$57/HSCEI!$B$3,""))</f>
        <v/>
      </c>
      <c r="DC210" s="106">
        <f>IF(AO210="","",IFERROR(AO210*HSCEI!$B$57*HSCEI!$G$57/HSCEI!$B$3,""))</f>
        <v/>
      </c>
      <c r="DD210" s="106">
        <f>IF(AP210="","",IFERROR(AP210*HSCEI!$B$57*HSCEI!$G$57/HSCEI!$B$3,""))</f>
        <v/>
      </c>
      <c r="DE210" s="106">
        <f>IF(AQ210="","",IFERROR(AQ210*HSCEI!$B$57*HSCEI!$G$57/HSCEI!$B$3,""))</f>
        <v/>
      </c>
      <c r="DF210" s="106">
        <f>IF(AR210="","",IFERROR(AR210*HSCEI!$B$57*HSCEI!$G$57/HSCEI!$B$3,""))</f>
        <v/>
      </c>
      <c r="DG210" s="106">
        <f>IF(AS210="","",IFERROR(AS210*HSCEI!$B$57*HSCEI!$G$57/HSCEI!$B$3,""))</f>
        <v/>
      </c>
      <c r="DH210" s="106">
        <f>IF(AT210="","",IFERROR(AT210*HSCEI!$B$57*HSCEI!$G$57/HSCEI!$B$3,""))</f>
        <v/>
      </c>
      <c r="DI210" s="106">
        <f>IF(AU210="","",IFERROR(AU210*HSCEI!$B$57*HSCEI!$G$57/HSCEI!$B$3,""))</f>
        <v/>
      </c>
      <c r="DJ210" s="106">
        <f>IF(AV210="","",IFERROR(AV210*HSCEI!$B$57*HSCEI!$G$57/HSCEI!$B$3,""))</f>
        <v/>
      </c>
      <c r="DK210" s="106">
        <f>IF(AW210="","",IFERROR(AW210*HSCEI!$B$57*HSCEI!$G$57/HSCEI!$B$3,""))</f>
        <v/>
      </c>
      <c r="DL210" s="106">
        <f>IF(AX210="","",IFERROR(AX210*HSCEI!$B$57*HSCEI!$G$57/HSCEI!$B$3,""))</f>
        <v/>
      </c>
      <c r="DM210" s="106">
        <f>IF(AY210="","",IFERROR(AY210*HSCEI!$B$57*HSCEI!$G$57/HSCEI!$B$3,""))</f>
        <v/>
      </c>
      <c r="DN210" s="106">
        <f>IF(AZ210="","",IFERROR(AZ210*HSCEI!$B$57*HSCEI!$G$57/HSCEI!$B$3,""))</f>
        <v/>
      </c>
      <c r="DO210" s="106">
        <f>IF(BA210="","",IFERROR(BA210*HSCEI!$B$57*HSCEI!$G$57/HSCEI!$B$3,""))</f>
        <v/>
      </c>
      <c r="DP210" s="106">
        <f>IF(BB210="","",IFERROR(BB210*HSCEI!$B$57*HSCEI!$G$57/HSCEI!$B$3,""))</f>
        <v/>
      </c>
      <c r="DQ210" s="106">
        <f>IF(BC210="","",IFERROR(BC210*HSCEI!$B$57*HSCEI!$G$57/HSCEI!$B$3,""))</f>
        <v/>
      </c>
      <c r="DR210" s="106">
        <f>IF(BD210="","",IFERROR(BD210*HSCEI!$B$57*HSCEI!$G$57/HSCEI!$B$3,""))</f>
        <v/>
      </c>
      <c r="DS210" s="106">
        <f>IF(BE210="","",IFERROR(BE210*HSCEI!$B$57*HSCEI!$G$57/HSCEI!$B$3,""))</f>
        <v/>
      </c>
      <c r="DT210" s="106">
        <f>IF(BF210="","",IFERROR(BF210*HSCEI!$B$57*HSCEI!$G$57/HSCEI!$B$3,""))</f>
        <v/>
      </c>
      <c r="DU210" s="106">
        <f>IF(BG210="","",IFERROR(BG210*HSCEI!$B$57*HSCEI!$G$57/HSCEI!$B$3,""))</f>
        <v/>
      </c>
      <c r="DV210" s="106">
        <f>IF(BH210="","",IFERROR(BH210*HSCEI!$B$57*HSCEI!$G$57/HSCEI!$B$3,""))</f>
        <v/>
      </c>
      <c r="DW210" s="106">
        <f>IF(BI210="","",IFERROR(BI210*HSCEI!$B$57*HSCEI!$G$57/HSCEI!$B$3,""))</f>
        <v/>
      </c>
      <c r="DX210" s="106">
        <f>IF(BJ210="","",IFERROR(BJ210*HSCEI!$B$57*HSCEI!$G$57/HSCEI!$B$3,""))</f>
        <v/>
      </c>
      <c r="DY210" s="106">
        <f>IF(BK210="","",IFERROR(BK210*HSCEI!$B$57*HSCEI!$G$57/HSCEI!$B$3,""))</f>
        <v/>
      </c>
      <c r="DZ210" s="106">
        <f>IF(BL210="","",IFERROR(BL210*HSCEI!$B$57*HSCEI!$G$57/HSCEI!$B$3,""))</f>
        <v/>
      </c>
      <c r="EA210" s="106">
        <f>IF(BM210="","",IFERROR(BM210*HSCEI!$B$57*HSCEI!$G$57/HSCEI!$B$3,""))</f>
        <v/>
      </c>
      <c r="EB210" s="106">
        <f>IF(BN210="","",IFERROR(BN210*HSCEI!$B$57*HSCEI!$G$57/HSCEI!$B$3,""))</f>
        <v/>
      </c>
      <c r="EC210" s="106">
        <f>IF(BO210="","",IFERROR(BO210*HSCEI!$B$57*HSCEI!$G$57/HSCEI!$B$3,""))</f>
        <v/>
      </c>
      <c r="EE210" s="35">
        <f>IF(N('Dvd Calendar'!$E$2111)=0,"",IF(('Dvd Calendar'!$E$2111&gt;=GRID_FROM)*('Dvd Calendar'!$E$2111&lt;=GRID_TO)*('Dvd Calendar'!$E$2111&lt;=VAL_DATE)=0,"",'Dvd Calendar'!$E$2111*1000000000+ISNUMBER('Dvd Calendar'!$E$2114)*100000000+('Dvd Calendar'!$E$2116=SPECIAL_LBL)*10000000+0*1000000+51*1000+1))</f>
        <v/>
      </c>
      <c r="EF210" s="35">
        <f>IF(N('Dvd Calendar'!$F$2111)=0,"",IF(('Dvd Calendar'!$F$2111&gt;=GRID_FROM)*('Dvd Calendar'!$F$2111&lt;=GRID_TO)*('Dvd Calendar'!$F$2111&lt;=VAL_DATE)=0,"",'Dvd Calendar'!$F$2111*1000000000+ISNUMBER('Dvd Calendar'!$F$2114)*100000000+('Dvd Calendar'!$F$2116=SPECIAL_LBL)*10000000+0*1000000+51*1000+2))</f>
        <v/>
      </c>
      <c r="EG210" s="35">
        <f>IF(N('Dvd Calendar'!$G$2111)=0,"",IF(('Dvd Calendar'!$G$2111&gt;=GRID_FROM)*('Dvd Calendar'!$G$2111&lt;=GRID_TO)*('Dvd Calendar'!$G$2111&lt;=VAL_DATE)=0,"",'Dvd Calendar'!$G$2111*1000000000+ISNUMBER('Dvd Calendar'!$G$2114)*100000000+('Dvd Calendar'!$G$2116=SPECIAL_LBL)*10000000+0*1000000+51*1000+3))</f>
        <v/>
      </c>
      <c r="EH210" s="35">
        <f>IF(N('Dvd Calendar'!$H$2111)=0,"",IF(('Dvd Calendar'!$H$2111&gt;=GRID_FROM)*('Dvd Calendar'!$H$2111&lt;=GRID_TO)*('Dvd Calendar'!$H$2111&lt;=VAL_DATE)=0,"",'Dvd Calendar'!$H$2111*1000000000+ISNUMBER('Dvd Calendar'!$H$2114)*100000000+('Dvd Calendar'!$H$2116=SPECIAL_LBL)*10000000+0*1000000+51*1000+4))</f>
        <v/>
      </c>
      <c r="EI210" s="35">
        <f>IF(N('Dvd Calendar'!$I$2111)=0,"",IF(('Dvd Calendar'!$I$2111&gt;=GRID_FROM)*('Dvd Calendar'!$I$2111&lt;=GRID_TO)*('Dvd Calendar'!$I$2111&lt;=VAL_DATE)=0,"",'Dvd Calendar'!$I$2111*1000000000+ISNUMBER('Dvd Calendar'!$I$2114)*100000000+('Dvd Calendar'!$I$2116=SPECIAL_LBL)*10000000+0*1000000+51*1000+5))</f>
        <v/>
      </c>
      <c r="EJ210" s="35">
        <f>IF(N('Dvd Calendar'!$J$2111)=0,"",IF(('Dvd Calendar'!$J$2111&gt;=GRID_FROM)*('Dvd Calendar'!$J$2111&lt;=GRID_TO)*('Dvd Calendar'!$J$2111&lt;=VAL_DATE)=0,"",'Dvd Calendar'!$J$2111*1000000000+ISNUMBER('Dvd Calendar'!$J$2114)*100000000+('Dvd Calendar'!$J$2116=SPECIAL_LBL)*10000000+0*1000000+51*1000+6))</f>
        <v/>
      </c>
      <c r="EK210" s="35">
        <f>IF(N('Dvd Calendar'!$K$2111)=0,"",IF(('Dvd Calendar'!$K$2111&gt;=GRID_FROM)*('Dvd Calendar'!$K$2111&lt;=GRID_TO)*('Dvd Calendar'!$K$2111&lt;=VAL_DATE)=0,"",'Dvd Calendar'!$K$2111*1000000000+ISNUMBER('Dvd Calendar'!$K$2114)*100000000+('Dvd Calendar'!$K$2116=SPECIAL_LBL)*10000000+0*1000000+51*1000+7))</f>
        <v/>
      </c>
      <c r="EL210" s="35">
        <f>IF(N('Dvd Calendar'!$L$2111)=0,"",IF(('Dvd Calendar'!$L$2111&gt;=GRID_FROM)*('Dvd Calendar'!$L$2111&lt;=GRID_TO)*('Dvd Calendar'!$L$2111&lt;=VAL_DATE)=0,"",'Dvd Calendar'!$L$2111*1000000000+ISNUMBER('Dvd Calendar'!$L$2114)*100000000+('Dvd Calendar'!$L$2116=SPECIAL_LBL)*10000000+0*1000000+51*1000+8))</f>
        <v/>
      </c>
      <c r="EM210" s="35">
        <f>IF(N('Dvd Calendar'!$M$2111)=0,"",IF(('Dvd Calendar'!$M$2111&gt;=GRID_FROM)*('Dvd Calendar'!$M$2111&lt;=GRID_TO)*('Dvd Calendar'!$M$2111&lt;=VAL_DATE)=0,"",'Dvd Calendar'!$M$2111*1000000000+ISNUMBER('Dvd Calendar'!$M$2114)*100000000+('Dvd Calendar'!$M$2116=SPECIAL_LBL)*10000000+0*1000000+51*1000+9))</f>
        <v/>
      </c>
      <c r="EN210" s="35">
        <f>IF(N('Dvd Calendar'!$N$2111)=0,"",IF(('Dvd Calendar'!$N$2111&gt;=GRID_FROM)*('Dvd Calendar'!$N$2111&lt;=GRID_TO)*('Dvd Calendar'!$N$2111&lt;=VAL_DATE)=0,"",'Dvd Calendar'!$N$2111*1000000000+ISNUMBER('Dvd Calendar'!$N$2114)*100000000+('Dvd Calendar'!$N$2116=SPECIAL_LBL)*10000000+0*1000000+51*1000+10))</f>
        <v/>
      </c>
      <c r="EO210" s="35">
        <f>IF(N('Dvd Calendar'!$O$2111)=0,"",IF(('Dvd Calendar'!$O$2111&gt;=GRID_FROM)*('Dvd Calendar'!$O$2111&lt;=GRID_TO)*('Dvd Calendar'!$O$2111&lt;=VAL_DATE)=0,"",'Dvd Calendar'!$O$2111*1000000000+ISNUMBER('Dvd Calendar'!$O$2114)*100000000+('Dvd Calendar'!$O$2116=SPECIAL_LBL)*10000000+0*1000000+51*1000+11))</f>
        <v/>
      </c>
      <c r="EP210" s="35">
        <f>IF(N('Dvd Calendar'!$P$2111)=0,"",IF(('Dvd Calendar'!$P$2111&gt;=GRID_FROM)*('Dvd Calendar'!$P$2111&lt;=GRID_TO)*('Dvd Calendar'!$P$2111&lt;=VAL_DATE)=0,"",'Dvd Calendar'!$P$2111*1000000000+ISNUMBER('Dvd Calendar'!$P$2114)*100000000+('Dvd Calendar'!$P$2116=SPECIAL_LBL)*10000000+0*1000000+51*1000+12))</f>
        <v/>
      </c>
      <c r="EQ210" s="35">
        <f>IF(N('Dvd Calendar'!$Q$2111)=0,"",IF(('Dvd Calendar'!$Q$2111&gt;=GRID_FROM)*('Dvd Calendar'!$Q$2111&lt;=GRID_TO)*('Dvd Calendar'!$Q$2111&lt;=VAL_DATE)=0,"",'Dvd Calendar'!$Q$2111*1000000000+ISNUMBER('Dvd Calendar'!$Q$2114)*100000000+('Dvd Calendar'!$Q$2116=SPECIAL_LBL)*10000000+0*1000000+51*1000+13))</f>
        <v/>
      </c>
      <c r="ER210" s="35">
        <f>IF(N('Dvd Calendar'!$R$2111)=0,"",IF(('Dvd Calendar'!$R$2111&gt;=GRID_FROM)*('Dvd Calendar'!$R$2111&lt;=GRID_TO)*('Dvd Calendar'!$R$2111&lt;=VAL_DATE)=0,"",'Dvd Calendar'!$R$2111*1000000000+ISNUMBER('Dvd Calendar'!$R$2114)*100000000+('Dvd Calendar'!$R$2116=SPECIAL_LBL)*10000000+0*1000000+51*1000+14))</f>
        <v/>
      </c>
      <c r="ES210" s="35">
        <f>IF(N('Dvd Calendar'!$S$2111)=0,"",IF(('Dvd Calendar'!$S$2111&gt;=GRID_FROM)*('Dvd Calendar'!$S$2111&lt;=GRID_TO)*('Dvd Calendar'!$S$2111&lt;=VAL_DATE)=0,"",'Dvd Calendar'!$S$2111*1000000000+ISNUMBER('Dvd Calendar'!$S$2114)*100000000+('Dvd Calendar'!$S$2116=SPECIAL_LBL)*10000000+0*1000000+51*1000+15))</f>
        <v/>
      </c>
      <c r="ET210" s="35">
        <f>IF(N('Dvd Calendar'!$T$2111)=0,"",IF(('Dvd Calendar'!$T$2111&gt;=GRID_FROM)*('Dvd Calendar'!$T$2111&lt;=GRID_TO)*('Dvd Calendar'!$T$2111&lt;=VAL_DATE)=0,"",'Dvd Calendar'!$T$2111*1000000000+ISNUMBER('Dvd Calendar'!$T$2114)*100000000+('Dvd Calendar'!$T$2116=SPECIAL_LBL)*10000000+0*1000000+51*1000+16))</f>
        <v/>
      </c>
      <c r="EU210" s="35">
        <f>IF(N('Dvd Calendar'!$U$2111)=0,"",IF(('Dvd Calendar'!$U$2111&gt;=GRID_FROM)*('Dvd Calendar'!$U$2111&lt;=GRID_TO)*('Dvd Calendar'!$U$2111&lt;=VAL_DATE)=0,"",'Dvd Calendar'!$U$2111*1000000000+ISNUMBER('Dvd Calendar'!$U$2114)*100000000+('Dvd Calendar'!$U$2116=SPECIAL_LBL)*10000000+0*1000000+51*1000+17))</f>
        <v/>
      </c>
      <c r="EV210" s="35">
        <f>IF(N('Dvd Calendar'!$V$2111)=0,"",IF(('Dvd Calendar'!$V$2111&gt;=GRID_FROM)*('Dvd Calendar'!$V$2111&lt;=GRID_TO)*('Dvd Calendar'!$V$2111&lt;=VAL_DATE)=0,"",'Dvd Calendar'!$V$2111*1000000000+ISNUMBER('Dvd Calendar'!$V$2114)*100000000+('Dvd Calendar'!$V$2116=SPECIAL_LBL)*10000000+0*1000000+51*1000+18))</f>
        <v/>
      </c>
      <c r="EW210" s="35">
        <f>IF(N('Dvd Calendar'!$W$2111)=0,"",IF(('Dvd Calendar'!$W$2111&gt;=GRID_FROM)*('Dvd Calendar'!$W$2111&lt;=GRID_TO)*('Dvd Calendar'!$W$2111&lt;=VAL_DATE)=0,"",'Dvd Calendar'!$W$2111*1000000000+ISNUMBER('Dvd Calendar'!$W$2114)*100000000+('Dvd Calendar'!$W$2116=SPECIAL_LBL)*10000000+0*1000000+51*1000+19))</f>
        <v/>
      </c>
      <c r="EX210" s="35">
        <f>IF(N('Dvd Calendar'!$X$2111)=0,"",IF(('Dvd Calendar'!$X$2111&gt;=GRID_FROM)*('Dvd Calendar'!$X$2111&lt;=GRID_TO)*('Dvd Calendar'!$X$2111&lt;=VAL_DATE)=0,"",'Dvd Calendar'!$X$2111*1000000000+ISNUMBER('Dvd Calendar'!$X$2114)*100000000+('Dvd Calendar'!$X$2116=SPECIAL_LBL)*10000000+0*1000000+51*1000+20))</f>
        <v/>
      </c>
      <c r="EY210" s="35">
        <f>IF(N('Dvd Calendar'!$Y$2111)=0,"",IF(('Dvd Calendar'!$Y$2111&gt;=GRID_FROM)*('Dvd Calendar'!$Y$2111&lt;=GRID_TO)*('Dvd Calendar'!$Y$2111&lt;=VAL_DATE)=0,"",'Dvd Calendar'!$Y$2111*1000000000+ISNUMBER('Dvd Calendar'!$Y$2114)*100000000+('Dvd Calendar'!$Y$2116=SPECIAL_LBL)*10000000+0*1000000+51*1000+21))</f>
        <v/>
      </c>
      <c r="EZ210" s="35">
        <f>IF(N('Dvd Calendar'!$Z$2111)=0,"",IF(('Dvd Calendar'!$Z$2111&gt;=GRID_FROM)*('Dvd Calendar'!$Z$2111&lt;=GRID_TO)*('Dvd Calendar'!$Z$2111&lt;=VAL_DATE)=0,"",'Dvd Calendar'!$Z$2111*1000000000+ISNUMBER('Dvd Calendar'!$Z$2114)*100000000+('Dvd Calendar'!$Z$2116=SPECIAL_LBL)*10000000+0*1000000+51*1000+22))</f>
        <v/>
      </c>
      <c r="FA210" s="35">
        <f>IF(N('Dvd Calendar'!$AA$2111)=0,"",IF(('Dvd Calendar'!$AA$2111&gt;=GRID_FROM)*('Dvd Calendar'!$AA$2111&lt;=GRID_TO)*('Dvd Calendar'!$AA$2111&lt;=VAL_DATE)=0,"",'Dvd Calendar'!$AA$2111*1000000000+ISNUMBER('Dvd Calendar'!$AA$2114)*100000000+('Dvd Calendar'!$AA$2116=SPECIAL_LBL)*10000000+0*1000000+51*1000+23))</f>
        <v/>
      </c>
      <c r="FB210" s="35">
        <f>IF(N('Dvd Calendar'!$AB$2111)=0,"",IF(('Dvd Calendar'!$AB$2111&gt;=GRID_FROM)*('Dvd Calendar'!$AB$2111&lt;=GRID_TO)*('Dvd Calendar'!$AB$2111&lt;=VAL_DATE)=0,"",'Dvd Calendar'!$AB$2111*1000000000+ISNUMBER('Dvd Calendar'!$AB$2114)*100000000+('Dvd Calendar'!$AB$2116=SPECIAL_LBL)*10000000+0*1000000+51*1000+24))</f>
        <v/>
      </c>
      <c r="FC210" s="35">
        <f>IF(N('Dvd Calendar'!$AC$2111)=0,"",IF(('Dvd Calendar'!$AC$2111&gt;=GRID_FROM)*('Dvd Calendar'!$AC$2111&lt;=GRID_TO)*('Dvd Calendar'!$AC$2111&lt;=VAL_DATE)=0,"",'Dvd Calendar'!$AC$2111*1000000000+ISNUMBER('Dvd Calendar'!$AC$2114)*100000000+('Dvd Calendar'!$AC$2116=SPECIAL_LBL)*10000000+0*1000000+51*1000+25))</f>
        <v/>
      </c>
      <c r="FD210" s="35">
        <f>IF(N('Dvd Calendar'!$AD$2111)=0,"",IF(('Dvd Calendar'!$AD$2111&gt;=GRID_FROM)*('Dvd Calendar'!$AD$2111&lt;=GRID_TO)*('Dvd Calendar'!$AD$2111&lt;=VAL_DATE)=0,"",'Dvd Calendar'!$AD$2111*1000000000+ISNUMBER('Dvd Calendar'!$AD$2114)*100000000+('Dvd Calendar'!$AD$2116=SPECIAL_LBL)*10000000+0*1000000+51*1000+26))</f>
        <v/>
      </c>
      <c r="FE210" s="35">
        <f>IF(N('Dvd Calendar'!$AE$2111)=0,"",IF(('Dvd Calendar'!$AE$2111&gt;=GRID_FROM)*('Dvd Calendar'!$AE$2111&lt;=GRID_TO)*('Dvd Calendar'!$AE$2111&lt;=VAL_DATE)=0,"",'Dvd Calendar'!$AE$2111*1000000000+ISNUMBER('Dvd Calendar'!$AE$2114)*100000000+('Dvd Calendar'!$AE$2116=SPECIAL_LBL)*10000000+0*1000000+51*1000+27))</f>
        <v/>
      </c>
      <c r="FF210" s="35">
        <f>IF(N('Dvd Calendar'!$AF$2111)=0,"",IF(('Dvd Calendar'!$AF$2111&gt;=GRID_FROM)*('Dvd Calendar'!$AF$2111&lt;=GRID_TO)*('Dvd Calendar'!$AF$2111&lt;=VAL_DATE)=0,"",'Dvd Calendar'!$AF$2111*1000000000+ISNUMBER('Dvd Calendar'!$AF$2114)*100000000+('Dvd Calendar'!$AF$2116=SPECIAL_LBL)*10000000+0*1000000+51*1000+28))</f>
        <v/>
      </c>
      <c r="FG210" s="35">
        <f>IF(N('Dvd Calendar'!$AG$2111)=0,"",IF(('Dvd Calendar'!$AG$2111&gt;=GRID_FROM)*('Dvd Calendar'!$AG$2111&lt;=GRID_TO)*('Dvd Calendar'!$AG$2111&lt;=VAL_DATE)=0,"",'Dvd Calendar'!$AG$2111*1000000000+ISNUMBER('Dvd Calendar'!$AG$2114)*100000000+('Dvd Calendar'!$AG$2116=SPECIAL_LBL)*10000000+0*1000000+51*1000+29))</f>
        <v/>
      </c>
      <c r="FH210" s="35">
        <f>IF(N('Dvd Calendar'!$AH$2111)=0,"",IF(('Dvd Calendar'!$AH$2111&gt;=GRID_FROM)*('Dvd Calendar'!$AH$2111&lt;=GRID_TO)*('Dvd Calendar'!$AH$2111&lt;=VAL_DATE)=0,"",'Dvd Calendar'!$AH$2111*1000000000+ISNUMBER('Dvd Calendar'!$AH$2114)*100000000+('Dvd Calendar'!$AH$2116=SPECIAL_LBL)*10000000+0*1000000+51*1000+30))</f>
        <v/>
      </c>
      <c r="FI210" s="35">
        <f>IF(N('Dvd Calendar'!$AI$2111)=0,"",IF(('Dvd Calendar'!$AI$2111&gt;=GRID_FROM)*('Dvd Calendar'!$AI$2111&lt;=GRID_TO)*('Dvd Calendar'!$AI$2111&lt;=VAL_DATE)=0,"",'Dvd Calendar'!$AI$2111*1000000000+ISNUMBER('Dvd Calendar'!$AI$2114)*100000000+('Dvd Calendar'!$AI$2116=SPECIAL_LBL)*10000000+0*1000000+51*1000+31))</f>
        <v/>
      </c>
      <c r="FJ210" s="35">
        <f>IF(N('Dvd Calendar'!$AJ$2111)=0,"",IF(('Dvd Calendar'!$AJ$2111&gt;=GRID_FROM)*('Dvd Calendar'!$AJ$2111&lt;=GRID_TO)*('Dvd Calendar'!$AJ$2111&lt;=VAL_DATE)=0,"",'Dvd Calendar'!$AJ$2111*1000000000+ISNUMBER('Dvd Calendar'!$AJ$2114)*100000000+('Dvd Calendar'!$AJ$2116=SPECIAL_LBL)*10000000+0*1000000+51*1000+32))</f>
        <v/>
      </c>
      <c r="FK210" s="35">
        <f>IF(N('Dvd Calendar'!$AK$2111)=0,"",IF(('Dvd Calendar'!$AK$2111&gt;=GRID_FROM)*('Dvd Calendar'!$AK$2111&lt;=GRID_TO)*('Dvd Calendar'!$AK$2111&lt;=VAL_DATE)=0,"",'Dvd Calendar'!$AK$2111*1000000000+ISNUMBER('Dvd Calendar'!$AK$2114)*100000000+('Dvd Calendar'!$AK$2116=SPECIAL_LBL)*10000000+0*1000000+51*1000+33))</f>
        <v/>
      </c>
      <c r="FL210" s="35">
        <f>IF(N('Dvd Calendar'!$AL$2111)=0,"",IF(('Dvd Calendar'!$AL$2111&gt;=GRID_FROM)*('Dvd Calendar'!$AL$2111&lt;=GRID_TO)*('Dvd Calendar'!$AL$2111&lt;=VAL_DATE)=0,"",'Dvd Calendar'!$AL$2111*1000000000+ISNUMBER('Dvd Calendar'!$AL$2114)*100000000+('Dvd Calendar'!$AL$2116=SPECIAL_LBL)*10000000+0*1000000+51*1000+34))</f>
        <v/>
      </c>
      <c r="FM210" s="35">
        <f>IF(N('Dvd Calendar'!$AM$2111)=0,"",IF(('Dvd Calendar'!$AM$2111&gt;=GRID_FROM)*('Dvd Calendar'!$AM$2111&lt;=GRID_TO)*('Dvd Calendar'!$AM$2111&lt;=VAL_DATE)=0,"",'Dvd Calendar'!$AM$2111*1000000000+ISNUMBER('Dvd Calendar'!$AM$2114)*100000000+('Dvd Calendar'!$AM$2116=SPECIAL_LBL)*10000000+0*1000000+51*1000+35))</f>
        <v/>
      </c>
      <c r="FN210" s="35">
        <f>IF(N('Dvd Calendar'!$AN$2111)=0,"",IF(('Dvd Calendar'!$AN$2111&gt;=GRID_FROM)*('Dvd Calendar'!$AN$2111&lt;=GRID_TO)*('Dvd Calendar'!$AN$2111&lt;=VAL_DATE)=0,"",'Dvd Calendar'!$AN$2111*1000000000+ISNUMBER('Dvd Calendar'!$AN$2114)*100000000+('Dvd Calendar'!$AN$2116=SPECIAL_LBL)*10000000+0*1000000+51*1000+36))</f>
        <v/>
      </c>
      <c r="FO210" s="35">
        <f>IF(N('Dvd Calendar'!$AO$2111)=0,"",IF(('Dvd Calendar'!$AO$2111&gt;=GRID_FROM)*('Dvd Calendar'!$AO$2111&lt;=GRID_TO)*('Dvd Calendar'!$AO$2111&lt;=VAL_DATE)=0,"",'Dvd Calendar'!$AO$2111*1000000000+ISNUMBER('Dvd Calendar'!$AO$2114)*100000000+('Dvd Calendar'!$AO$2116=SPECIAL_LBL)*10000000+0*1000000+51*1000+37))</f>
        <v/>
      </c>
      <c r="FP210" s="35">
        <f>IF(N('Dvd Calendar'!$AP$2111)=0,"",IF(('Dvd Calendar'!$AP$2111&gt;=GRID_FROM)*('Dvd Calendar'!$AP$2111&lt;=GRID_TO)*('Dvd Calendar'!$AP$2111&lt;=VAL_DATE)=0,"",'Dvd Calendar'!$AP$2111*1000000000+ISNUMBER('Dvd Calendar'!$AP$2114)*100000000+('Dvd Calendar'!$AP$2116=SPECIAL_LBL)*10000000+0*1000000+51*1000+38))</f>
        <v/>
      </c>
      <c r="FQ210" s="35">
        <f>IF(N('Dvd Calendar'!$AQ$2111)=0,"",IF(('Dvd Calendar'!$AQ$2111&gt;=GRID_FROM)*('Dvd Calendar'!$AQ$2111&lt;=GRID_TO)*('Dvd Calendar'!$AQ$2111&lt;=VAL_DATE)=0,"",'Dvd Calendar'!$AQ$2111*1000000000+ISNUMBER('Dvd Calendar'!$AQ$2114)*100000000+('Dvd Calendar'!$AQ$2116=SPECIAL_LBL)*10000000+0*1000000+51*1000+39))</f>
        <v/>
      </c>
      <c r="FR210" s="35">
        <f>IF(N('Dvd Calendar'!$AR$2111)=0,"",IF(('Dvd Calendar'!$AR$2111&gt;=GRID_FROM)*('Dvd Calendar'!$AR$2111&lt;=GRID_TO)*('Dvd Calendar'!$AR$2111&lt;=VAL_DATE)=0,"",'Dvd Calendar'!$AR$2111*1000000000+ISNUMBER('Dvd Calendar'!$AR$2114)*100000000+('Dvd Calendar'!$AR$2116=SPECIAL_LBL)*10000000+0*1000000+51*1000+40))</f>
        <v/>
      </c>
      <c r="FS210" s="35">
        <f>IF(N('Dvd Calendar'!$E$2118)=0,"",IF(('Dvd Calendar'!$E$2118&gt;=GRID_FROM)*('Dvd Calendar'!$E$2118&lt;=GRID_TO)*('Dvd Calendar'!$E$2118&gt;VAL_DATE)=0,"",'Dvd Calendar'!$E$2118*1000000000+ISNUMBER('Dvd Calendar'!$E$2119)*100000000+0*10000000+(N('Dvd Calendar'!$E$2117)&gt;0)*(N('Dvd Calendar'!$E$2117)&lt;=VAL_SERIAL)*1000000+51*1000+41))</f>
        <v/>
      </c>
      <c r="FT210" s="35">
        <f>IF(N('Dvd Calendar'!$F$2118)=0,"",IF(('Dvd Calendar'!$F$2118&gt;=GRID_FROM)*('Dvd Calendar'!$F$2118&lt;=GRID_TO)*('Dvd Calendar'!$F$2118&gt;VAL_DATE)=0,"",'Dvd Calendar'!$F$2118*1000000000+ISNUMBER('Dvd Calendar'!$F$2119)*100000000+0*10000000+(N('Dvd Calendar'!$F$2117)&gt;0)*(N('Dvd Calendar'!$F$2117)&lt;=VAL_SERIAL)*1000000+51*1000+42))</f>
        <v/>
      </c>
      <c r="FU210" s="35">
        <f>IF(N('Dvd Calendar'!$G$2118)=0,"",IF(('Dvd Calendar'!$G$2118&gt;=GRID_FROM)*('Dvd Calendar'!$G$2118&lt;=GRID_TO)*('Dvd Calendar'!$G$2118&gt;VAL_DATE)=0,"",'Dvd Calendar'!$G$2118*1000000000+ISNUMBER('Dvd Calendar'!$G$2119)*100000000+0*10000000+(N('Dvd Calendar'!$G$2117)&gt;0)*(N('Dvd Calendar'!$G$2117)&lt;=VAL_SERIAL)*1000000+51*1000+43))</f>
        <v/>
      </c>
      <c r="FV210" s="35">
        <f>IF(N('Dvd Calendar'!$H$2118)=0,"",IF(('Dvd Calendar'!$H$2118&gt;=GRID_FROM)*('Dvd Calendar'!$H$2118&lt;=GRID_TO)*('Dvd Calendar'!$H$2118&gt;VAL_DATE)=0,"",'Dvd Calendar'!$H$2118*1000000000+ISNUMBER('Dvd Calendar'!$H$2119)*100000000+0*10000000+(N('Dvd Calendar'!$H$2117)&gt;0)*(N('Dvd Calendar'!$H$2117)&lt;=VAL_SERIAL)*1000000+51*1000+44))</f>
        <v/>
      </c>
      <c r="FW210" s="35">
        <f>IF(N('Dvd Calendar'!$I$2118)=0,"",IF(('Dvd Calendar'!$I$2118&gt;=GRID_FROM)*('Dvd Calendar'!$I$2118&lt;=GRID_TO)*('Dvd Calendar'!$I$2118&gt;VAL_DATE)=0,"",'Dvd Calendar'!$I$2118*1000000000+ISNUMBER('Dvd Calendar'!$I$2119)*100000000+0*10000000+(N('Dvd Calendar'!$I$2117)&gt;0)*(N('Dvd Calendar'!$I$2117)&lt;=VAL_SERIAL)*1000000+51*1000+45))</f>
        <v/>
      </c>
      <c r="FX210" s="35">
        <f>IF(N('Dvd Calendar'!$J$2118)=0,"",IF(('Dvd Calendar'!$J$2118&gt;=GRID_FROM)*('Dvd Calendar'!$J$2118&lt;=GRID_TO)*('Dvd Calendar'!$J$2118&gt;VAL_DATE)=0,"",'Dvd Calendar'!$J$2118*1000000000+ISNUMBER('Dvd Calendar'!$J$2119)*100000000+0*10000000+(N('Dvd Calendar'!$J$2117)&gt;0)*(N('Dvd Calendar'!$J$2117)&lt;=VAL_SERIAL)*1000000+51*1000+46))</f>
        <v/>
      </c>
      <c r="FY210" s="35">
        <f>IF(N('Dvd Calendar'!$K$2118)=0,"",IF(('Dvd Calendar'!$K$2118&gt;=GRID_FROM)*('Dvd Calendar'!$K$2118&lt;=GRID_TO)*('Dvd Calendar'!$K$2118&gt;VAL_DATE)=0,"",'Dvd Calendar'!$K$2118*1000000000+ISNUMBER('Dvd Calendar'!$K$2119)*100000000+0*10000000+(N('Dvd Calendar'!$K$2117)&gt;0)*(N('Dvd Calendar'!$K$2117)&lt;=VAL_SERIAL)*1000000+51*1000+47))</f>
        <v/>
      </c>
      <c r="FZ210" s="35">
        <f>IF(N('Dvd Calendar'!$L$2118)=0,"",IF(('Dvd Calendar'!$L$2118&gt;=GRID_FROM)*('Dvd Calendar'!$L$2118&lt;=GRID_TO)*('Dvd Calendar'!$L$2118&gt;VAL_DATE)=0,"",'Dvd Calendar'!$L$2118*1000000000+ISNUMBER('Dvd Calendar'!$L$2119)*100000000+0*10000000+(N('Dvd Calendar'!$L$2117)&gt;0)*(N('Dvd Calendar'!$L$2117)&lt;=VAL_SERIAL)*1000000+51*1000+48))</f>
        <v/>
      </c>
      <c r="GA210" s="35">
        <f>IF(N('Dvd Calendar'!$M$2118)=0,"",IF(('Dvd Calendar'!$M$2118&gt;=GRID_FROM)*('Dvd Calendar'!$M$2118&lt;=GRID_TO)*('Dvd Calendar'!$M$2118&gt;VAL_DATE)=0,"",'Dvd Calendar'!$M$2118*1000000000+ISNUMBER('Dvd Calendar'!$M$2119)*100000000+0*10000000+(N('Dvd Calendar'!$M$2117)&gt;0)*(N('Dvd Calendar'!$M$2117)&lt;=VAL_SERIAL)*1000000+51*1000+49))</f>
        <v/>
      </c>
      <c r="GB210" s="35">
        <f>IF(N('Dvd Calendar'!$N$2118)=0,"",IF(('Dvd Calendar'!$N$2118&gt;=GRID_FROM)*('Dvd Calendar'!$N$2118&lt;=GRID_TO)*('Dvd Calendar'!$N$2118&gt;VAL_DATE)=0,"",'Dvd Calendar'!$N$2118*1000000000+ISNUMBER('Dvd Calendar'!$N$2119)*100000000+0*10000000+(N('Dvd Calendar'!$N$2117)&gt;0)*(N('Dvd Calendar'!$N$2117)&lt;=VAL_SERIAL)*1000000+51*1000+50))</f>
        <v/>
      </c>
      <c r="GC210" s="35">
        <f>IF(N('Dvd Calendar'!$O$2118)=0,"",IF(('Dvd Calendar'!$O$2118&gt;=GRID_FROM)*('Dvd Calendar'!$O$2118&lt;=GRID_TO)*('Dvd Calendar'!$O$2118&gt;VAL_DATE)=0,"",'Dvd Calendar'!$O$2118*1000000000+ISNUMBER('Dvd Calendar'!$O$2119)*100000000+0*10000000+(N('Dvd Calendar'!$O$2117)&gt;0)*(N('Dvd Calendar'!$O$2117)&lt;=VAL_SERIAL)*1000000+51*1000+51))</f>
        <v/>
      </c>
      <c r="GD210" s="35">
        <f>IF(N('Dvd Calendar'!$P$2118)=0,"",IF(('Dvd Calendar'!$P$2118&gt;=GRID_FROM)*('Dvd Calendar'!$P$2118&lt;=GRID_TO)*('Dvd Calendar'!$P$2118&gt;VAL_DATE)=0,"",'Dvd Calendar'!$P$2118*1000000000+ISNUMBER('Dvd Calendar'!$P$2119)*100000000+0*10000000+(N('Dvd Calendar'!$P$2117)&gt;0)*(N('Dvd Calendar'!$P$2117)&lt;=VAL_SERIAL)*1000000+51*1000+52))</f>
        <v/>
      </c>
      <c r="GE210" s="35">
        <f>IF(N('Dvd Calendar'!$Q$2118)=0,"",IF(('Dvd Calendar'!$Q$2118&gt;=GRID_FROM)*('Dvd Calendar'!$Q$2118&lt;=GRID_TO)*('Dvd Calendar'!$Q$2118&gt;VAL_DATE)=0,"",'Dvd Calendar'!$Q$2118*1000000000+ISNUMBER('Dvd Calendar'!$Q$2119)*100000000+0*10000000+(N('Dvd Calendar'!$Q$2117)&gt;0)*(N('Dvd Calendar'!$Q$2117)&lt;=VAL_SERIAL)*1000000+51*1000+53))</f>
        <v/>
      </c>
      <c r="GF210" s="35">
        <f>IF(N('Dvd Calendar'!$R$2118)=0,"",IF(('Dvd Calendar'!$R$2118&gt;=GRID_FROM)*('Dvd Calendar'!$R$2118&lt;=GRID_TO)*('Dvd Calendar'!$R$2118&gt;VAL_DATE)=0,"",'Dvd Calendar'!$R$2118*1000000000+ISNUMBER('Dvd Calendar'!$R$2119)*100000000+0*10000000+(N('Dvd Calendar'!$R$2117)&gt;0)*(N('Dvd Calendar'!$R$2117)&lt;=VAL_SERIAL)*1000000+51*1000+54))</f>
        <v/>
      </c>
      <c r="GG210" s="35">
        <f>IF(N('Dvd Calendar'!$S$2118)=0,"",IF(('Dvd Calendar'!$S$2118&gt;=GRID_FROM)*('Dvd Calendar'!$S$2118&lt;=GRID_TO)*('Dvd Calendar'!$S$2118&gt;VAL_DATE)=0,"",'Dvd Calendar'!$S$2118*1000000000+ISNUMBER('Dvd Calendar'!$S$2119)*100000000+0*10000000+(N('Dvd Calendar'!$S$2117)&gt;0)*(N('Dvd Calendar'!$S$2117)&lt;=VAL_SERIAL)*1000000+51*1000+55))</f>
        <v/>
      </c>
      <c r="GH210" s="35">
        <f>IF(N('Dvd Calendar'!$T$2118)=0,"",IF(('Dvd Calendar'!$T$2118&gt;=GRID_FROM)*('Dvd Calendar'!$T$2118&lt;=GRID_TO)*('Dvd Calendar'!$T$2118&gt;VAL_DATE)=0,"",'Dvd Calendar'!$T$2118*1000000000+ISNUMBER('Dvd Calendar'!$T$2119)*100000000+0*10000000+(N('Dvd Calendar'!$T$2117)&gt;0)*(N('Dvd Calendar'!$T$2117)&lt;=VAL_SERIAL)*1000000+51*1000+56))</f>
        <v/>
      </c>
      <c r="GI210" s="35">
        <f>IF(N('Dvd Calendar'!$U$2118)=0,"",IF(('Dvd Calendar'!$U$2118&gt;=GRID_FROM)*('Dvd Calendar'!$U$2118&lt;=GRID_TO)*('Dvd Calendar'!$U$2118&gt;VAL_DATE)=0,"",'Dvd Calendar'!$U$2118*1000000000+ISNUMBER('Dvd Calendar'!$U$2119)*100000000+0*10000000+(N('Dvd Calendar'!$U$2117)&gt;0)*(N('Dvd Calendar'!$U$2117)&lt;=VAL_SERIAL)*1000000+51*1000+57))</f>
        <v/>
      </c>
      <c r="GJ210" s="35">
        <f>IF(N('Dvd Calendar'!$V$2118)=0,"",IF(('Dvd Calendar'!$V$2118&gt;=GRID_FROM)*('Dvd Calendar'!$V$2118&lt;=GRID_TO)*('Dvd Calendar'!$V$2118&gt;VAL_DATE)=0,"",'Dvd Calendar'!$V$2118*1000000000+ISNUMBER('Dvd Calendar'!$V$2119)*100000000+0*10000000+(N('Dvd Calendar'!$V$2117)&gt;0)*(N('Dvd Calendar'!$V$2117)&lt;=VAL_SERIAL)*1000000+51*1000+58))</f>
        <v/>
      </c>
      <c r="GK210" s="35">
        <f>IF(N('Dvd Calendar'!$W$2118)=0,"",IF(('Dvd Calendar'!$W$2118&gt;=GRID_FROM)*('Dvd Calendar'!$W$2118&lt;=GRID_TO)*('Dvd Calendar'!$W$2118&gt;VAL_DATE)=0,"",'Dvd Calendar'!$W$2118*1000000000+ISNUMBER('Dvd Calendar'!$W$2119)*100000000+0*10000000+(N('Dvd Calendar'!$W$2117)&gt;0)*(N('Dvd Calendar'!$W$2117)&lt;=VAL_SERIAL)*1000000+51*1000+59))</f>
        <v/>
      </c>
      <c r="GL210" s="35">
        <f>IF(N('Dvd Calendar'!$X$2118)=0,"",IF(('Dvd Calendar'!$X$2118&gt;=GRID_FROM)*('Dvd Calendar'!$X$2118&lt;=GRID_TO)*('Dvd Calendar'!$X$2118&gt;VAL_DATE)=0,"",'Dvd Calendar'!$X$2118*1000000000+ISNUMBER('Dvd Calendar'!$X$2119)*100000000+0*10000000+(N('Dvd Calendar'!$X$2117)&gt;0)*(N('Dvd Calendar'!$X$2117)&lt;=VAL_SERIAL)*1000000+51*1000+60))</f>
        <v/>
      </c>
      <c r="GM210" s="35">
        <f>IF(N('Dvd Calendar'!$Y$2118)=0,"",IF(('Dvd Calendar'!$Y$2118&gt;=GRID_FROM)*('Dvd Calendar'!$Y$2118&lt;=GRID_TO)*('Dvd Calendar'!$Y$2118&gt;VAL_DATE)=0,"",'Dvd Calendar'!$Y$2118*1000000000+ISNUMBER('Dvd Calendar'!$Y$2119)*100000000+0*10000000+(N('Dvd Calendar'!$Y$2117)&gt;0)*(N('Dvd Calendar'!$Y$2117)&lt;=VAL_SERIAL)*1000000+51*1000+61))</f>
        <v/>
      </c>
      <c r="GN210" s="35">
        <f>IF(N('Dvd Calendar'!$Z$2118)=0,"",IF(('Dvd Calendar'!$Z$2118&gt;=GRID_FROM)*('Dvd Calendar'!$Z$2118&lt;=GRID_TO)*('Dvd Calendar'!$Z$2118&gt;VAL_DATE)=0,"",'Dvd Calendar'!$Z$2118*1000000000+ISNUMBER('Dvd Calendar'!$Z$2119)*100000000+0*10000000+(N('Dvd Calendar'!$Z$2117)&gt;0)*(N('Dvd Calendar'!$Z$2117)&lt;=VAL_SERIAL)*1000000+51*1000+62))</f>
        <v/>
      </c>
      <c r="GO210" s="35">
        <f>IF(N('Dvd Calendar'!$AA$2118)=0,"",IF(('Dvd Calendar'!$AA$2118&gt;=GRID_FROM)*('Dvd Calendar'!$AA$2118&lt;=GRID_TO)*('Dvd Calendar'!$AA$2118&gt;VAL_DATE)=0,"",'Dvd Calendar'!$AA$2118*1000000000+ISNUMBER('Dvd Calendar'!$AA$2119)*100000000+0*10000000+(N('Dvd Calendar'!$AA$2117)&gt;0)*(N('Dvd Calendar'!$AA$2117)&lt;=VAL_SERIAL)*1000000+51*1000+63))</f>
        <v/>
      </c>
      <c r="GP210" s="35">
        <f>IF(N('Dvd Calendar'!$AB$2118)=0,"",IF(('Dvd Calendar'!$AB$2118&gt;=GRID_FROM)*('Dvd Calendar'!$AB$2118&lt;=GRID_TO)*('Dvd Calendar'!$AB$2118&gt;VAL_DATE)=0,"",'Dvd Calendar'!$AB$2118*1000000000+ISNUMBER('Dvd Calendar'!$AB$2119)*100000000+0*10000000+(N('Dvd Calendar'!$AB$2117)&gt;0)*(N('Dvd Calendar'!$AB$2117)&lt;=VAL_SERIAL)*1000000+51*1000+64))</f>
        <v/>
      </c>
      <c r="GQ210" s="35">
        <f>IF(N('Dvd Calendar'!$AC$2118)=0,"",IF(('Dvd Calendar'!$AC$2118&gt;=GRID_FROM)*('Dvd Calendar'!$AC$2118&lt;=GRID_TO)*('Dvd Calendar'!$AC$2118&gt;VAL_DATE)=0,"",'Dvd Calendar'!$AC$2118*1000000000+ISNUMBER('Dvd Calendar'!$AC$2119)*100000000+0*10000000+(N('Dvd Calendar'!$AC$2117)&gt;0)*(N('Dvd Calendar'!$AC$2117)&lt;=VAL_SERIAL)*1000000+51*1000+65))</f>
        <v/>
      </c>
    </row>
    <row r="211">
      <c r="B211" s="2">
        <f>IF(HSCEI!$C$58="","",HSCEI!$C$58)</f>
        <v/>
      </c>
      <c r="C211" s="106">
        <f>IF(EE211="","",IF(ISNUMBER('Dvd Calendar'!$E$2125)=FALSE,"",IF((('Dvd Calendar'!$E$2127=TYPE1)*(TYPE1&lt;&gt;"")+('Dvd Calendar'!$E$2127=TYPE2)*(TYPE2&lt;&gt;"")+('Dvd Calendar'!$E$2127=TYPE3)*(TYPE3&lt;&gt;"")+('Dvd Calendar'!$E$2127=TYPE4)*(TYPE4&lt;&gt;"")+('Dvd Calendar'!$E$2127=SPECIAL_LBL)*(INC_SPECIALS="Y"))=0,"",'Dvd Calendar'!$E$2125)))</f>
        <v/>
      </c>
      <c r="D211" s="106">
        <f>IF(EF211="","",IF(ISNUMBER('Dvd Calendar'!$F$2125)=FALSE,"",IF((('Dvd Calendar'!$F$2127=TYPE1)*(TYPE1&lt;&gt;"")+('Dvd Calendar'!$F$2127=TYPE2)*(TYPE2&lt;&gt;"")+('Dvd Calendar'!$F$2127=TYPE3)*(TYPE3&lt;&gt;"")+('Dvd Calendar'!$F$2127=TYPE4)*(TYPE4&lt;&gt;"")+('Dvd Calendar'!$F$2127=SPECIAL_LBL)*(INC_SPECIALS="Y"))=0,"",'Dvd Calendar'!$F$2125)))</f>
        <v/>
      </c>
      <c r="E211" s="106">
        <f>IF(EG211="","",IF(ISNUMBER('Dvd Calendar'!$G$2125)=FALSE,"",IF((('Dvd Calendar'!$G$2127=TYPE1)*(TYPE1&lt;&gt;"")+('Dvd Calendar'!$G$2127=TYPE2)*(TYPE2&lt;&gt;"")+('Dvd Calendar'!$G$2127=TYPE3)*(TYPE3&lt;&gt;"")+('Dvd Calendar'!$G$2127=TYPE4)*(TYPE4&lt;&gt;"")+('Dvd Calendar'!$G$2127=SPECIAL_LBL)*(INC_SPECIALS="Y"))=0,"",'Dvd Calendar'!$G$2125)))</f>
        <v/>
      </c>
      <c r="F211" s="106">
        <f>IF(EH211="","",IF(ISNUMBER('Dvd Calendar'!$H$2125)=FALSE,"",IF((('Dvd Calendar'!$H$2127=TYPE1)*(TYPE1&lt;&gt;"")+('Dvd Calendar'!$H$2127=TYPE2)*(TYPE2&lt;&gt;"")+('Dvd Calendar'!$H$2127=TYPE3)*(TYPE3&lt;&gt;"")+('Dvd Calendar'!$H$2127=TYPE4)*(TYPE4&lt;&gt;"")+('Dvd Calendar'!$H$2127=SPECIAL_LBL)*(INC_SPECIALS="Y"))=0,"",'Dvd Calendar'!$H$2125)))</f>
        <v/>
      </c>
      <c r="G211" s="106">
        <f>IF(EI211="","",IF(ISNUMBER('Dvd Calendar'!$I$2125)=FALSE,"",IF((('Dvd Calendar'!$I$2127=TYPE1)*(TYPE1&lt;&gt;"")+('Dvd Calendar'!$I$2127=TYPE2)*(TYPE2&lt;&gt;"")+('Dvd Calendar'!$I$2127=TYPE3)*(TYPE3&lt;&gt;"")+('Dvd Calendar'!$I$2127=TYPE4)*(TYPE4&lt;&gt;"")+('Dvd Calendar'!$I$2127=SPECIAL_LBL)*(INC_SPECIALS="Y"))=0,"",'Dvd Calendar'!$I$2125)))</f>
        <v/>
      </c>
      <c r="H211" s="106">
        <f>IF(EJ211="","",IF(ISNUMBER('Dvd Calendar'!$J$2125)=FALSE,"",IF((('Dvd Calendar'!$J$2127=TYPE1)*(TYPE1&lt;&gt;"")+('Dvd Calendar'!$J$2127=TYPE2)*(TYPE2&lt;&gt;"")+('Dvd Calendar'!$J$2127=TYPE3)*(TYPE3&lt;&gt;"")+('Dvd Calendar'!$J$2127=TYPE4)*(TYPE4&lt;&gt;"")+('Dvd Calendar'!$J$2127=SPECIAL_LBL)*(INC_SPECIALS="Y"))=0,"",'Dvd Calendar'!$J$2125)))</f>
        <v/>
      </c>
      <c r="I211" s="106">
        <f>IF(EK211="","",IF(ISNUMBER('Dvd Calendar'!$K$2125)=FALSE,"",IF((('Dvd Calendar'!$K$2127=TYPE1)*(TYPE1&lt;&gt;"")+('Dvd Calendar'!$K$2127=TYPE2)*(TYPE2&lt;&gt;"")+('Dvd Calendar'!$K$2127=TYPE3)*(TYPE3&lt;&gt;"")+('Dvd Calendar'!$K$2127=TYPE4)*(TYPE4&lt;&gt;"")+('Dvd Calendar'!$K$2127=SPECIAL_LBL)*(INC_SPECIALS="Y"))=0,"",'Dvd Calendar'!$K$2125)))</f>
        <v/>
      </c>
      <c r="J211" s="106">
        <f>IF(EL211="","",IF(ISNUMBER('Dvd Calendar'!$L$2125)=FALSE,"",IF((('Dvd Calendar'!$L$2127=TYPE1)*(TYPE1&lt;&gt;"")+('Dvd Calendar'!$L$2127=TYPE2)*(TYPE2&lt;&gt;"")+('Dvd Calendar'!$L$2127=TYPE3)*(TYPE3&lt;&gt;"")+('Dvd Calendar'!$L$2127=TYPE4)*(TYPE4&lt;&gt;"")+('Dvd Calendar'!$L$2127=SPECIAL_LBL)*(INC_SPECIALS="Y"))=0,"",'Dvd Calendar'!$L$2125)))</f>
        <v/>
      </c>
      <c r="K211" s="106">
        <f>IF(EM211="","",IF(ISNUMBER('Dvd Calendar'!$M$2125)=FALSE,"",IF((('Dvd Calendar'!$M$2127=TYPE1)*(TYPE1&lt;&gt;"")+('Dvd Calendar'!$M$2127=TYPE2)*(TYPE2&lt;&gt;"")+('Dvd Calendar'!$M$2127=TYPE3)*(TYPE3&lt;&gt;"")+('Dvd Calendar'!$M$2127=TYPE4)*(TYPE4&lt;&gt;"")+('Dvd Calendar'!$M$2127=SPECIAL_LBL)*(INC_SPECIALS="Y"))=0,"",'Dvd Calendar'!$M$2125)))</f>
        <v/>
      </c>
      <c r="L211" s="106">
        <f>IF(EN211="","",IF(ISNUMBER('Dvd Calendar'!$N$2125)=FALSE,"",IF((('Dvd Calendar'!$N$2127=TYPE1)*(TYPE1&lt;&gt;"")+('Dvd Calendar'!$N$2127=TYPE2)*(TYPE2&lt;&gt;"")+('Dvd Calendar'!$N$2127=TYPE3)*(TYPE3&lt;&gt;"")+('Dvd Calendar'!$N$2127=TYPE4)*(TYPE4&lt;&gt;"")+('Dvd Calendar'!$N$2127=SPECIAL_LBL)*(INC_SPECIALS="Y"))=0,"",'Dvd Calendar'!$N$2125)))</f>
        <v/>
      </c>
      <c r="M211" s="106">
        <f>IF(EO211="","",IF(ISNUMBER('Dvd Calendar'!$O$2125)=FALSE,"",IF((('Dvd Calendar'!$O$2127=TYPE1)*(TYPE1&lt;&gt;"")+('Dvd Calendar'!$O$2127=TYPE2)*(TYPE2&lt;&gt;"")+('Dvd Calendar'!$O$2127=TYPE3)*(TYPE3&lt;&gt;"")+('Dvd Calendar'!$O$2127=TYPE4)*(TYPE4&lt;&gt;"")+('Dvd Calendar'!$O$2127=SPECIAL_LBL)*(INC_SPECIALS="Y"))=0,"",'Dvd Calendar'!$O$2125)))</f>
        <v/>
      </c>
      <c r="N211" s="106">
        <f>IF(EP211="","",IF(ISNUMBER('Dvd Calendar'!$P$2125)=FALSE,"",IF((('Dvd Calendar'!$P$2127=TYPE1)*(TYPE1&lt;&gt;"")+('Dvd Calendar'!$P$2127=TYPE2)*(TYPE2&lt;&gt;"")+('Dvd Calendar'!$P$2127=TYPE3)*(TYPE3&lt;&gt;"")+('Dvd Calendar'!$P$2127=TYPE4)*(TYPE4&lt;&gt;"")+('Dvd Calendar'!$P$2127=SPECIAL_LBL)*(INC_SPECIALS="Y"))=0,"",'Dvd Calendar'!$P$2125)))</f>
        <v/>
      </c>
      <c r="O211" s="106">
        <f>IF(EQ211="","",IF(ISNUMBER('Dvd Calendar'!$Q$2125)=FALSE,"",IF((('Dvd Calendar'!$Q$2127=TYPE1)*(TYPE1&lt;&gt;"")+('Dvd Calendar'!$Q$2127=TYPE2)*(TYPE2&lt;&gt;"")+('Dvd Calendar'!$Q$2127=TYPE3)*(TYPE3&lt;&gt;"")+('Dvd Calendar'!$Q$2127=TYPE4)*(TYPE4&lt;&gt;"")+('Dvd Calendar'!$Q$2127=SPECIAL_LBL)*(INC_SPECIALS="Y"))=0,"",'Dvd Calendar'!$Q$2125)))</f>
        <v/>
      </c>
      <c r="P211" s="106">
        <f>IF(ER211="","",IF(ISNUMBER('Dvd Calendar'!$R$2125)=FALSE,"",IF((('Dvd Calendar'!$R$2127=TYPE1)*(TYPE1&lt;&gt;"")+('Dvd Calendar'!$R$2127=TYPE2)*(TYPE2&lt;&gt;"")+('Dvd Calendar'!$R$2127=TYPE3)*(TYPE3&lt;&gt;"")+('Dvd Calendar'!$R$2127=TYPE4)*(TYPE4&lt;&gt;"")+('Dvd Calendar'!$R$2127=SPECIAL_LBL)*(INC_SPECIALS="Y"))=0,"",'Dvd Calendar'!$R$2125)))</f>
        <v/>
      </c>
      <c r="Q211" s="106">
        <f>IF(ES211="","",IF(ISNUMBER('Dvd Calendar'!$S$2125)=FALSE,"",IF((('Dvd Calendar'!$S$2127=TYPE1)*(TYPE1&lt;&gt;"")+('Dvd Calendar'!$S$2127=TYPE2)*(TYPE2&lt;&gt;"")+('Dvd Calendar'!$S$2127=TYPE3)*(TYPE3&lt;&gt;"")+('Dvd Calendar'!$S$2127=TYPE4)*(TYPE4&lt;&gt;"")+('Dvd Calendar'!$S$2127=SPECIAL_LBL)*(INC_SPECIALS="Y"))=0,"",'Dvd Calendar'!$S$2125)))</f>
        <v/>
      </c>
      <c r="R211" s="106">
        <f>IF(ET211="","",IF(ISNUMBER('Dvd Calendar'!$T$2125)=FALSE,"",IF((('Dvd Calendar'!$T$2127=TYPE1)*(TYPE1&lt;&gt;"")+('Dvd Calendar'!$T$2127=TYPE2)*(TYPE2&lt;&gt;"")+('Dvd Calendar'!$T$2127=TYPE3)*(TYPE3&lt;&gt;"")+('Dvd Calendar'!$T$2127=TYPE4)*(TYPE4&lt;&gt;"")+('Dvd Calendar'!$T$2127=SPECIAL_LBL)*(INC_SPECIALS="Y"))=0,"",'Dvd Calendar'!$T$2125)))</f>
        <v/>
      </c>
      <c r="S211" s="106">
        <f>IF(EU211="","",IF(ISNUMBER('Dvd Calendar'!$U$2125)=FALSE,"",IF((('Dvd Calendar'!$U$2127=TYPE1)*(TYPE1&lt;&gt;"")+('Dvd Calendar'!$U$2127=TYPE2)*(TYPE2&lt;&gt;"")+('Dvd Calendar'!$U$2127=TYPE3)*(TYPE3&lt;&gt;"")+('Dvd Calendar'!$U$2127=TYPE4)*(TYPE4&lt;&gt;"")+('Dvd Calendar'!$U$2127=SPECIAL_LBL)*(INC_SPECIALS="Y"))=0,"",'Dvd Calendar'!$U$2125)))</f>
        <v/>
      </c>
      <c r="T211" s="106">
        <f>IF(EV211="","",IF(ISNUMBER('Dvd Calendar'!$V$2125)=FALSE,"",IF((('Dvd Calendar'!$V$2127=TYPE1)*(TYPE1&lt;&gt;"")+('Dvd Calendar'!$V$2127=TYPE2)*(TYPE2&lt;&gt;"")+('Dvd Calendar'!$V$2127=TYPE3)*(TYPE3&lt;&gt;"")+('Dvd Calendar'!$V$2127=TYPE4)*(TYPE4&lt;&gt;"")+('Dvd Calendar'!$V$2127=SPECIAL_LBL)*(INC_SPECIALS="Y"))=0,"",'Dvd Calendar'!$V$2125)))</f>
        <v/>
      </c>
      <c r="U211" s="106">
        <f>IF(EW211="","",IF(ISNUMBER('Dvd Calendar'!$W$2125)=FALSE,"",IF((('Dvd Calendar'!$W$2127=TYPE1)*(TYPE1&lt;&gt;"")+('Dvd Calendar'!$W$2127=TYPE2)*(TYPE2&lt;&gt;"")+('Dvd Calendar'!$W$2127=TYPE3)*(TYPE3&lt;&gt;"")+('Dvd Calendar'!$W$2127=TYPE4)*(TYPE4&lt;&gt;"")+('Dvd Calendar'!$W$2127=SPECIAL_LBL)*(INC_SPECIALS="Y"))=0,"",'Dvd Calendar'!$W$2125)))</f>
        <v/>
      </c>
      <c r="V211" s="106">
        <f>IF(EX211="","",IF(ISNUMBER('Dvd Calendar'!$X$2125)=FALSE,"",IF((('Dvd Calendar'!$X$2127=TYPE1)*(TYPE1&lt;&gt;"")+('Dvd Calendar'!$X$2127=TYPE2)*(TYPE2&lt;&gt;"")+('Dvd Calendar'!$X$2127=TYPE3)*(TYPE3&lt;&gt;"")+('Dvd Calendar'!$X$2127=TYPE4)*(TYPE4&lt;&gt;"")+('Dvd Calendar'!$X$2127=SPECIAL_LBL)*(INC_SPECIALS="Y"))=0,"",'Dvd Calendar'!$X$2125)))</f>
        <v/>
      </c>
      <c r="W211" s="106">
        <f>IF(EY211="","",IF(ISNUMBER('Dvd Calendar'!$Y$2125)=FALSE,"",IF((('Dvd Calendar'!$Y$2127=TYPE1)*(TYPE1&lt;&gt;"")+('Dvd Calendar'!$Y$2127=TYPE2)*(TYPE2&lt;&gt;"")+('Dvd Calendar'!$Y$2127=TYPE3)*(TYPE3&lt;&gt;"")+('Dvd Calendar'!$Y$2127=TYPE4)*(TYPE4&lt;&gt;"")+('Dvd Calendar'!$Y$2127=SPECIAL_LBL)*(INC_SPECIALS="Y"))=0,"",'Dvd Calendar'!$Y$2125)))</f>
        <v/>
      </c>
      <c r="X211" s="106">
        <f>IF(EZ211="","",IF(ISNUMBER('Dvd Calendar'!$Z$2125)=FALSE,"",IF((('Dvd Calendar'!$Z$2127=TYPE1)*(TYPE1&lt;&gt;"")+('Dvd Calendar'!$Z$2127=TYPE2)*(TYPE2&lt;&gt;"")+('Dvd Calendar'!$Z$2127=TYPE3)*(TYPE3&lt;&gt;"")+('Dvd Calendar'!$Z$2127=TYPE4)*(TYPE4&lt;&gt;"")+('Dvd Calendar'!$Z$2127=SPECIAL_LBL)*(INC_SPECIALS="Y"))=0,"",'Dvd Calendar'!$Z$2125)))</f>
        <v/>
      </c>
      <c r="Y211" s="106">
        <f>IF(FA211="","",IF(ISNUMBER('Dvd Calendar'!$AA$2125)=FALSE,"",IF((('Dvd Calendar'!$AA$2127=TYPE1)*(TYPE1&lt;&gt;"")+('Dvd Calendar'!$AA$2127=TYPE2)*(TYPE2&lt;&gt;"")+('Dvd Calendar'!$AA$2127=TYPE3)*(TYPE3&lt;&gt;"")+('Dvd Calendar'!$AA$2127=TYPE4)*(TYPE4&lt;&gt;"")+('Dvd Calendar'!$AA$2127=SPECIAL_LBL)*(INC_SPECIALS="Y"))=0,"",'Dvd Calendar'!$AA$2125)))</f>
        <v/>
      </c>
      <c r="Z211" s="106">
        <f>IF(FB211="","",IF(ISNUMBER('Dvd Calendar'!$AB$2125)=FALSE,"",IF((('Dvd Calendar'!$AB$2127=TYPE1)*(TYPE1&lt;&gt;"")+('Dvd Calendar'!$AB$2127=TYPE2)*(TYPE2&lt;&gt;"")+('Dvd Calendar'!$AB$2127=TYPE3)*(TYPE3&lt;&gt;"")+('Dvd Calendar'!$AB$2127=TYPE4)*(TYPE4&lt;&gt;"")+('Dvd Calendar'!$AB$2127=SPECIAL_LBL)*(INC_SPECIALS="Y"))=0,"",'Dvd Calendar'!$AB$2125)))</f>
        <v/>
      </c>
      <c r="AA211" s="106">
        <f>IF(FC211="","",IF(ISNUMBER('Dvd Calendar'!$AC$2125)=FALSE,"",IF((('Dvd Calendar'!$AC$2127=TYPE1)*(TYPE1&lt;&gt;"")+('Dvd Calendar'!$AC$2127=TYPE2)*(TYPE2&lt;&gt;"")+('Dvd Calendar'!$AC$2127=TYPE3)*(TYPE3&lt;&gt;"")+('Dvd Calendar'!$AC$2127=TYPE4)*(TYPE4&lt;&gt;"")+('Dvd Calendar'!$AC$2127=SPECIAL_LBL)*(INC_SPECIALS="Y"))=0,"",'Dvd Calendar'!$AC$2125)))</f>
        <v/>
      </c>
      <c r="AB211" s="106">
        <f>IF(FD211="","",IF(ISNUMBER('Dvd Calendar'!$AD$2125)=FALSE,"",IF((('Dvd Calendar'!$AD$2127=TYPE1)*(TYPE1&lt;&gt;"")+('Dvd Calendar'!$AD$2127=TYPE2)*(TYPE2&lt;&gt;"")+('Dvd Calendar'!$AD$2127=TYPE3)*(TYPE3&lt;&gt;"")+('Dvd Calendar'!$AD$2127=TYPE4)*(TYPE4&lt;&gt;"")+('Dvd Calendar'!$AD$2127=SPECIAL_LBL)*(INC_SPECIALS="Y"))=0,"",'Dvd Calendar'!$AD$2125)))</f>
        <v/>
      </c>
      <c r="AC211" s="106">
        <f>IF(FE211="","",IF(ISNUMBER('Dvd Calendar'!$AE$2125)=FALSE,"",IF((('Dvd Calendar'!$AE$2127=TYPE1)*(TYPE1&lt;&gt;"")+('Dvd Calendar'!$AE$2127=TYPE2)*(TYPE2&lt;&gt;"")+('Dvd Calendar'!$AE$2127=TYPE3)*(TYPE3&lt;&gt;"")+('Dvd Calendar'!$AE$2127=TYPE4)*(TYPE4&lt;&gt;"")+('Dvd Calendar'!$AE$2127=SPECIAL_LBL)*(INC_SPECIALS="Y"))=0,"",'Dvd Calendar'!$AE$2125)))</f>
        <v/>
      </c>
      <c r="AD211" s="106">
        <f>IF(FF211="","",IF(ISNUMBER('Dvd Calendar'!$AF$2125)=FALSE,"",IF((('Dvd Calendar'!$AF$2127=TYPE1)*(TYPE1&lt;&gt;"")+('Dvd Calendar'!$AF$2127=TYPE2)*(TYPE2&lt;&gt;"")+('Dvd Calendar'!$AF$2127=TYPE3)*(TYPE3&lt;&gt;"")+('Dvd Calendar'!$AF$2127=TYPE4)*(TYPE4&lt;&gt;"")+('Dvd Calendar'!$AF$2127=SPECIAL_LBL)*(INC_SPECIALS="Y"))=0,"",'Dvd Calendar'!$AF$2125)))</f>
        <v/>
      </c>
      <c r="AE211" s="106">
        <f>IF(FG211="","",IF(ISNUMBER('Dvd Calendar'!$AG$2125)=FALSE,"",IF((('Dvd Calendar'!$AG$2127=TYPE1)*(TYPE1&lt;&gt;"")+('Dvd Calendar'!$AG$2127=TYPE2)*(TYPE2&lt;&gt;"")+('Dvd Calendar'!$AG$2127=TYPE3)*(TYPE3&lt;&gt;"")+('Dvd Calendar'!$AG$2127=TYPE4)*(TYPE4&lt;&gt;"")+('Dvd Calendar'!$AG$2127=SPECIAL_LBL)*(INC_SPECIALS="Y"))=0,"",'Dvd Calendar'!$AG$2125)))</f>
        <v/>
      </c>
      <c r="AF211" s="106">
        <f>IF(FH211="","",IF(ISNUMBER('Dvd Calendar'!$AH$2125)=FALSE,"",IF((('Dvd Calendar'!$AH$2127=TYPE1)*(TYPE1&lt;&gt;"")+('Dvd Calendar'!$AH$2127=TYPE2)*(TYPE2&lt;&gt;"")+('Dvd Calendar'!$AH$2127=TYPE3)*(TYPE3&lt;&gt;"")+('Dvd Calendar'!$AH$2127=TYPE4)*(TYPE4&lt;&gt;"")+('Dvd Calendar'!$AH$2127=SPECIAL_LBL)*(INC_SPECIALS="Y"))=0,"",'Dvd Calendar'!$AH$2125)))</f>
        <v/>
      </c>
      <c r="AG211" s="106">
        <f>IF(FI211="","",IF(ISNUMBER('Dvd Calendar'!$AI$2125)=FALSE,"",IF((('Dvd Calendar'!$AI$2127=TYPE1)*(TYPE1&lt;&gt;"")+('Dvd Calendar'!$AI$2127=TYPE2)*(TYPE2&lt;&gt;"")+('Dvd Calendar'!$AI$2127=TYPE3)*(TYPE3&lt;&gt;"")+('Dvd Calendar'!$AI$2127=TYPE4)*(TYPE4&lt;&gt;"")+('Dvd Calendar'!$AI$2127=SPECIAL_LBL)*(INC_SPECIALS="Y"))=0,"",'Dvd Calendar'!$AI$2125)))</f>
        <v/>
      </c>
      <c r="AH211" s="106">
        <f>IF(FJ211="","",IF(ISNUMBER('Dvd Calendar'!$AJ$2125)=FALSE,"",IF((('Dvd Calendar'!$AJ$2127=TYPE1)*(TYPE1&lt;&gt;"")+('Dvd Calendar'!$AJ$2127=TYPE2)*(TYPE2&lt;&gt;"")+('Dvd Calendar'!$AJ$2127=TYPE3)*(TYPE3&lt;&gt;"")+('Dvd Calendar'!$AJ$2127=TYPE4)*(TYPE4&lt;&gt;"")+('Dvd Calendar'!$AJ$2127=SPECIAL_LBL)*(INC_SPECIALS="Y"))=0,"",'Dvd Calendar'!$AJ$2125)))</f>
        <v/>
      </c>
      <c r="AI211" s="106">
        <f>IF(FK211="","",IF(ISNUMBER('Dvd Calendar'!$AK$2125)=FALSE,"",IF((('Dvd Calendar'!$AK$2127=TYPE1)*(TYPE1&lt;&gt;"")+('Dvd Calendar'!$AK$2127=TYPE2)*(TYPE2&lt;&gt;"")+('Dvd Calendar'!$AK$2127=TYPE3)*(TYPE3&lt;&gt;"")+('Dvd Calendar'!$AK$2127=TYPE4)*(TYPE4&lt;&gt;"")+('Dvd Calendar'!$AK$2127=SPECIAL_LBL)*(INC_SPECIALS="Y"))=0,"",'Dvd Calendar'!$AK$2125)))</f>
        <v/>
      </c>
      <c r="AJ211" s="106">
        <f>IF(FL211="","",IF(ISNUMBER('Dvd Calendar'!$AL$2125)=FALSE,"",IF((('Dvd Calendar'!$AL$2127=TYPE1)*(TYPE1&lt;&gt;"")+('Dvd Calendar'!$AL$2127=TYPE2)*(TYPE2&lt;&gt;"")+('Dvd Calendar'!$AL$2127=TYPE3)*(TYPE3&lt;&gt;"")+('Dvd Calendar'!$AL$2127=TYPE4)*(TYPE4&lt;&gt;"")+('Dvd Calendar'!$AL$2127=SPECIAL_LBL)*(INC_SPECIALS="Y"))=0,"",'Dvd Calendar'!$AL$2125)))</f>
        <v/>
      </c>
      <c r="AK211" s="106">
        <f>IF(FM211="","",IF(ISNUMBER('Dvd Calendar'!$AM$2125)=FALSE,"",IF((('Dvd Calendar'!$AM$2127=TYPE1)*(TYPE1&lt;&gt;"")+('Dvd Calendar'!$AM$2127=TYPE2)*(TYPE2&lt;&gt;"")+('Dvd Calendar'!$AM$2127=TYPE3)*(TYPE3&lt;&gt;"")+('Dvd Calendar'!$AM$2127=TYPE4)*(TYPE4&lt;&gt;"")+('Dvd Calendar'!$AM$2127=SPECIAL_LBL)*(INC_SPECIALS="Y"))=0,"",'Dvd Calendar'!$AM$2125)))</f>
        <v/>
      </c>
      <c r="AL211" s="106">
        <f>IF(FN211="","",IF(ISNUMBER('Dvd Calendar'!$AN$2125)=FALSE,"",IF((('Dvd Calendar'!$AN$2127=TYPE1)*(TYPE1&lt;&gt;"")+('Dvd Calendar'!$AN$2127=TYPE2)*(TYPE2&lt;&gt;"")+('Dvd Calendar'!$AN$2127=TYPE3)*(TYPE3&lt;&gt;"")+('Dvd Calendar'!$AN$2127=TYPE4)*(TYPE4&lt;&gt;"")+('Dvd Calendar'!$AN$2127=SPECIAL_LBL)*(INC_SPECIALS="Y"))=0,"",'Dvd Calendar'!$AN$2125)))</f>
        <v/>
      </c>
      <c r="AM211" s="106">
        <f>IF(FO211="","",IF(ISNUMBER('Dvd Calendar'!$AO$2125)=FALSE,"",IF((('Dvd Calendar'!$AO$2127=TYPE1)*(TYPE1&lt;&gt;"")+('Dvd Calendar'!$AO$2127=TYPE2)*(TYPE2&lt;&gt;"")+('Dvd Calendar'!$AO$2127=TYPE3)*(TYPE3&lt;&gt;"")+('Dvd Calendar'!$AO$2127=TYPE4)*(TYPE4&lt;&gt;"")+('Dvd Calendar'!$AO$2127=SPECIAL_LBL)*(INC_SPECIALS="Y"))=0,"",'Dvd Calendar'!$AO$2125)))</f>
        <v/>
      </c>
      <c r="AN211" s="106">
        <f>IF(FP211="","",IF(ISNUMBER('Dvd Calendar'!$AP$2125)=FALSE,"",IF((('Dvd Calendar'!$AP$2127=TYPE1)*(TYPE1&lt;&gt;"")+('Dvd Calendar'!$AP$2127=TYPE2)*(TYPE2&lt;&gt;"")+('Dvd Calendar'!$AP$2127=TYPE3)*(TYPE3&lt;&gt;"")+('Dvd Calendar'!$AP$2127=TYPE4)*(TYPE4&lt;&gt;"")+('Dvd Calendar'!$AP$2127=SPECIAL_LBL)*(INC_SPECIALS="Y"))=0,"",'Dvd Calendar'!$AP$2125)))</f>
        <v/>
      </c>
      <c r="AO211" s="106">
        <f>IF(FQ211="","",IF(ISNUMBER('Dvd Calendar'!$AQ$2125)=FALSE,"",IF((('Dvd Calendar'!$AQ$2127=TYPE1)*(TYPE1&lt;&gt;"")+('Dvd Calendar'!$AQ$2127=TYPE2)*(TYPE2&lt;&gt;"")+('Dvd Calendar'!$AQ$2127=TYPE3)*(TYPE3&lt;&gt;"")+('Dvd Calendar'!$AQ$2127=TYPE4)*(TYPE4&lt;&gt;"")+('Dvd Calendar'!$AQ$2127=SPECIAL_LBL)*(INC_SPECIALS="Y"))=0,"",'Dvd Calendar'!$AQ$2125)))</f>
        <v/>
      </c>
      <c r="AP211" s="106">
        <f>IF(FR211="","",IF(ISNUMBER('Dvd Calendar'!$AR$2125)=FALSE,"",IF((('Dvd Calendar'!$AR$2127=TYPE1)*(TYPE1&lt;&gt;"")+('Dvd Calendar'!$AR$2127=TYPE2)*(TYPE2&lt;&gt;"")+('Dvd Calendar'!$AR$2127=TYPE3)*(TYPE3&lt;&gt;"")+('Dvd Calendar'!$AR$2127=TYPE4)*(TYPE4&lt;&gt;"")+('Dvd Calendar'!$AR$2127=SPECIAL_LBL)*(INC_SPECIALS="Y"))=0,"",'Dvd Calendar'!$AR$2125)))</f>
        <v/>
      </c>
      <c r="AQ211" s="106">
        <f>IF(FS211="","",IF(ISNUMBER('Dvd Calendar'!$E$2130)=FALSE,"",'Dvd Calendar'!$E$2130))</f>
        <v/>
      </c>
      <c r="AR211" s="106">
        <f>IF(FT211="","",IF(ISNUMBER('Dvd Calendar'!$F$2130)=FALSE,"",'Dvd Calendar'!$F$2130))</f>
        <v/>
      </c>
      <c r="AS211" s="106">
        <f>IF(FU211="","",IF(ISNUMBER('Dvd Calendar'!$G$2130)=FALSE,"",'Dvd Calendar'!$G$2130))</f>
        <v/>
      </c>
      <c r="AT211" s="106">
        <f>IF(FV211="","",IF(ISNUMBER('Dvd Calendar'!$H$2130)=FALSE,"",'Dvd Calendar'!$H$2130))</f>
        <v/>
      </c>
      <c r="AU211" s="106">
        <f>IF(FW211="","",IF(ISNUMBER('Dvd Calendar'!$I$2130)=FALSE,"",'Dvd Calendar'!$I$2130))</f>
        <v/>
      </c>
      <c r="AV211" s="106">
        <f>IF(FX211="","",IF(ISNUMBER('Dvd Calendar'!$J$2130)=FALSE,"",'Dvd Calendar'!$J$2130))</f>
        <v/>
      </c>
      <c r="AW211" s="106">
        <f>IF(FY211="","",IF(ISNUMBER('Dvd Calendar'!$K$2130)=FALSE,"",'Dvd Calendar'!$K$2130))</f>
        <v/>
      </c>
      <c r="AX211" s="106">
        <f>IF(FZ211="","",IF(ISNUMBER('Dvd Calendar'!$L$2130)=FALSE,"",'Dvd Calendar'!$L$2130))</f>
        <v/>
      </c>
      <c r="AY211" s="106">
        <f>IF(GA211="","",IF(ISNUMBER('Dvd Calendar'!$M$2130)=FALSE,"",'Dvd Calendar'!$M$2130))</f>
        <v/>
      </c>
      <c r="AZ211" s="106">
        <f>IF(GB211="","",IF(ISNUMBER('Dvd Calendar'!$N$2130)=FALSE,"",'Dvd Calendar'!$N$2130))</f>
        <v/>
      </c>
      <c r="BA211" s="106">
        <f>IF(GC211="","",IF(ISNUMBER('Dvd Calendar'!$O$2130)=FALSE,"",'Dvd Calendar'!$O$2130))</f>
        <v/>
      </c>
      <c r="BB211" s="106">
        <f>IF(GD211="","",IF(ISNUMBER('Dvd Calendar'!$P$2130)=FALSE,"",'Dvd Calendar'!$P$2130))</f>
        <v/>
      </c>
      <c r="BC211" s="106">
        <f>IF(GE211="","",IF(ISNUMBER('Dvd Calendar'!$Q$2130)=FALSE,"",'Dvd Calendar'!$Q$2130))</f>
        <v/>
      </c>
      <c r="BD211" s="106">
        <f>IF(GF211="","",IF(ISNUMBER('Dvd Calendar'!$R$2130)=FALSE,"",'Dvd Calendar'!$R$2130))</f>
        <v/>
      </c>
      <c r="BE211" s="106">
        <f>IF(GG211="","",IF(ISNUMBER('Dvd Calendar'!$S$2130)=FALSE,"",'Dvd Calendar'!$S$2130))</f>
        <v/>
      </c>
      <c r="BF211" s="106">
        <f>IF(GH211="","",IF(ISNUMBER('Dvd Calendar'!$T$2130)=FALSE,"",'Dvd Calendar'!$T$2130))</f>
        <v/>
      </c>
      <c r="BG211" s="106">
        <f>IF(GI211="","",IF(ISNUMBER('Dvd Calendar'!$U$2130)=FALSE,"",'Dvd Calendar'!$U$2130))</f>
        <v/>
      </c>
      <c r="BH211" s="106">
        <f>IF(GJ211="","",IF(ISNUMBER('Dvd Calendar'!$V$2130)=FALSE,"",'Dvd Calendar'!$V$2130))</f>
        <v/>
      </c>
      <c r="BI211" s="106">
        <f>IF(GK211="","",IF(ISNUMBER('Dvd Calendar'!$W$2130)=FALSE,"",'Dvd Calendar'!$W$2130))</f>
        <v/>
      </c>
      <c r="BJ211" s="106">
        <f>IF(GL211="","",IF(ISNUMBER('Dvd Calendar'!$X$2130)=FALSE,"",'Dvd Calendar'!$X$2130))</f>
        <v/>
      </c>
      <c r="BK211" s="106">
        <f>IF(GM211="","",IF(ISNUMBER('Dvd Calendar'!$Y$2130)=FALSE,"",'Dvd Calendar'!$Y$2130))</f>
        <v/>
      </c>
      <c r="BL211" s="106">
        <f>IF(GN211="","",IF(ISNUMBER('Dvd Calendar'!$Z$2130)=FALSE,"",'Dvd Calendar'!$Z$2130))</f>
        <v/>
      </c>
      <c r="BM211" s="106">
        <f>IF(GO211="","",IF(ISNUMBER('Dvd Calendar'!$AA$2130)=FALSE,"",'Dvd Calendar'!$AA$2130))</f>
        <v/>
      </c>
      <c r="BN211" s="106">
        <f>IF(GP211="","",IF(ISNUMBER('Dvd Calendar'!$AB$2130)=FALSE,"",'Dvd Calendar'!$AB$2130))</f>
        <v/>
      </c>
      <c r="BO211" s="106">
        <f>IF(GQ211="","",IF(ISNUMBER('Dvd Calendar'!$AC$2130)=FALSE,"",'Dvd Calendar'!$AC$2130))</f>
        <v/>
      </c>
      <c r="BQ211" s="106">
        <f>IF(C211="","",IFERROR(C211*HSCEI!$B$58*HSCEI!$G$58/HSCEI!$B$3,""))</f>
        <v/>
      </c>
      <c r="BR211" s="106">
        <f>IF(D211="","",IFERROR(D211*HSCEI!$B$58*HSCEI!$G$58/HSCEI!$B$3,""))</f>
        <v/>
      </c>
      <c r="BS211" s="106">
        <f>IF(E211="","",IFERROR(E211*HSCEI!$B$58*HSCEI!$G$58/HSCEI!$B$3,""))</f>
        <v/>
      </c>
      <c r="BT211" s="106">
        <f>IF(F211="","",IFERROR(F211*HSCEI!$B$58*HSCEI!$G$58/HSCEI!$B$3,""))</f>
        <v/>
      </c>
      <c r="BU211" s="106">
        <f>IF(G211="","",IFERROR(G211*HSCEI!$B$58*HSCEI!$G$58/HSCEI!$B$3,""))</f>
        <v/>
      </c>
      <c r="BV211" s="106">
        <f>IF(H211="","",IFERROR(H211*HSCEI!$B$58*HSCEI!$G$58/HSCEI!$B$3,""))</f>
        <v/>
      </c>
      <c r="BW211" s="106">
        <f>IF(I211="","",IFERROR(I211*HSCEI!$B$58*HSCEI!$G$58/HSCEI!$B$3,""))</f>
        <v/>
      </c>
      <c r="BX211" s="106">
        <f>IF(J211="","",IFERROR(J211*HSCEI!$B$58*HSCEI!$G$58/HSCEI!$B$3,""))</f>
        <v/>
      </c>
      <c r="BY211" s="106">
        <f>IF(K211="","",IFERROR(K211*HSCEI!$B$58*HSCEI!$G$58/HSCEI!$B$3,""))</f>
        <v/>
      </c>
      <c r="BZ211" s="106">
        <f>IF(L211="","",IFERROR(L211*HSCEI!$B$58*HSCEI!$G$58/HSCEI!$B$3,""))</f>
        <v/>
      </c>
      <c r="CA211" s="106">
        <f>IF(M211="","",IFERROR(M211*HSCEI!$B$58*HSCEI!$G$58/HSCEI!$B$3,""))</f>
        <v/>
      </c>
      <c r="CB211" s="106">
        <f>IF(N211="","",IFERROR(N211*HSCEI!$B$58*HSCEI!$G$58/HSCEI!$B$3,""))</f>
        <v/>
      </c>
      <c r="CC211" s="106">
        <f>IF(O211="","",IFERROR(O211*HSCEI!$B$58*HSCEI!$G$58/HSCEI!$B$3,""))</f>
        <v/>
      </c>
      <c r="CD211" s="106">
        <f>IF(P211="","",IFERROR(P211*HSCEI!$B$58*HSCEI!$G$58/HSCEI!$B$3,""))</f>
        <v/>
      </c>
      <c r="CE211" s="106">
        <f>IF(Q211="","",IFERROR(Q211*HSCEI!$B$58*HSCEI!$G$58/HSCEI!$B$3,""))</f>
        <v/>
      </c>
      <c r="CF211" s="106">
        <f>IF(R211="","",IFERROR(R211*HSCEI!$B$58*HSCEI!$G$58/HSCEI!$B$3,""))</f>
        <v/>
      </c>
      <c r="CG211" s="106">
        <f>IF(S211="","",IFERROR(S211*HSCEI!$B$58*HSCEI!$G$58/HSCEI!$B$3,""))</f>
        <v/>
      </c>
      <c r="CH211" s="106">
        <f>IF(T211="","",IFERROR(T211*HSCEI!$B$58*HSCEI!$G$58/HSCEI!$B$3,""))</f>
        <v/>
      </c>
      <c r="CI211" s="106">
        <f>IF(U211="","",IFERROR(U211*HSCEI!$B$58*HSCEI!$G$58/HSCEI!$B$3,""))</f>
        <v/>
      </c>
      <c r="CJ211" s="106">
        <f>IF(V211="","",IFERROR(V211*HSCEI!$B$58*HSCEI!$G$58/HSCEI!$B$3,""))</f>
        <v/>
      </c>
      <c r="CK211" s="106">
        <f>IF(W211="","",IFERROR(W211*HSCEI!$B$58*HSCEI!$G$58/HSCEI!$B$3,""))</f>
        <v/>
      </c>
      <c r="CL211" s="106">
        <f>IF(X211="","",IFERROR(X211*HSCEI!$B$58*HSCEI!$G$58/HSCEI!$B$3,""))</f>
        <v/>
      </c>
      <c r="CM211" s="106">
        <f>IF(Y211="","",IFERROR(Y211*HSCEI!$B$58*HSCEI!$G$58/HSCEI!$B$3,""))</f>
        <v/>
      </c>
      <c r="CN211" s="106">
        <f>IF(Z211="","",IFERROR(Z211*HSCEI!$B$58*HSCEI!$G$58/HSCEI!$B$3,""))</f>
        <v/>
      </c>
      <c r="CO211" s="106">
        <f>IF(AA211="","",IFERROR(AA211*HSCEI!$B$58*HSCEI!$G$58/HSCEI!$B$3,""))</f>
        <v/>
      </c>
      <c r="CP211" s="106">
        <f>IF(AB211="","",IFERROR(AB211*HSCEI!$B$58*HSCEI!$G$58/HSCEI!$B$3,""))</f>
        <v/>
      </c>
      <c r="CQ211" s="106">
        <f>IF(AC211="","",IFERROR(AC211*HSCEI!$B$58*HSCEI!$G$58/HSCEI!$B$3,""))</f>
        <v/>
      </c>
      <c r="CR211" s="106">
        <f>IF(AD211="","",IFERROR(AD211*HSCEI!$B$58*HSCEI!$G$58/HSCEI!$B$3,""))</f>
        <v/>
      </c>
      <c r="CS211" s="106">
        <f>IF(AE211="","",IFERROR(AE211*HSCEI!$B$58*HSCEI!$G$58/HSCEI!$B$3,""))</f>
        <v/>
      </c>
      <c r="CT211" s="106">
        <f>IF(AF211="","",IFERROR(AF211*HSCEI!$B$58*HSCEI!$G$58/HSCEI!$B$3,""))</f>
        <v/>
      </c>
      <c r="CU211" s="106">
        <f>IF(AG211="","",IFERROR(AG211*HSCEI!$B$58*HSCEI!$G$58/HSCEI!$B$3,""))</f>
        <v/>
      </c>
      <c r="CV211" s="106">
        <f>IF(AH211="","",IFERROR(AH211*HSCEI!$B$58*HSCEI!$G$58/HSCEI!$B$3,""))</f>
        <v/>
      </c>
      <c r="CW211" s="106">
        <f>IF(AI211="","",IFERROR(AI211*HSCEI!$B$58*HSCEI!$G$58/HSCEI!$B$3,""))</f>
        <v/>
      </c>
      <c r="CX211" s="106">
        <f>IF(AJ211="","",IFERROR(AJ211*HSCEI!$B$58*HSCEI!$G$58/HSCEI!$B$3,""))</f>
        <v/>
      </c>
      <c r="CY211" s="106">
        <f>IF(AK211="","",IFERROR(AK211*HSCEI!$B$58*HSCEI!$G$58/HSCEI!$B$3,""))</f>
        <v/>
      </c>
      <c r="CZ211" s="106">
        <f>IF(AL211="","",IFERROR(AL211*HSCEI!$B$58*HSCEI!$G$58/HSCEI!$B$3,""))</f>
        <v/>
      </c>
      <c r="DA211" s="106">
        <f>IF(AM211="","",IFERROR(AM211*HSCEI!$B$58*HSCEI!$G$58/HSCEI!$B$3,""))</f>
        <v/>
      </c>
      <c r="DB211" s="106">
        <f>IF(AN211="","",IFERROR(AN211*HSCEI!$B$58*HSCEI!$G$58/HSCEI!$B$3,""))</f>
        <v/>
      </c>
      <c r="DC211" s="106">
        <f>IF(AO211="","",IFERROR(AO211*HSCEI!$B$58*HSCEI!$G$58/HSCEI!$B$3,""))</f>
        <v/>
      </c>
      <c r="DD211" s="106">
        <f>IF(AP211="","",IFERROR(AP211*HSCEI!$B$58*HSCEI!$G$58/HSCEI!$B$3,""))</f>
        <v/>
      </c>
      <c r="DE211" s="106">
        <f>IF(AQ211="","",IFERROR(AQ211*HSCEI!$B$58*HSCEI!$G$58/HSCEI!$B$3,""))</f>
        <v/>
      </c>
      <c r="DF211" s="106">
        <f>IF(AR211="","",IFERROR(AR211*HSCEI!$B$58*HSCEI!$G$58/HSCEI!$B$3,""))</f>
        <v/>
      </c>
      <c r="DG211" s="106">
        <f>IF(AS211="","",IFERROR(AS211*HSCEI!$B$58*HSCEI!$G$58/HSCEI!$B$3,""))</f>
        <v/>
      </c>
      <c r="DH211" s="106">
        <f>IF(AT211="","",IFERROR(AT211*HSCEI!$B$58*HSCEI!$G$58/HSCEI!$B$3,""))</f>
        <v/>
      </c>
      <c r="DI211" s="106">
        <f>IF(AU211="","",IFERROR(AU211*HSCEI!$B$58*HSCEI!$G$58/HSCEI!$B$3,""))</f>
        <v/>
      </c>
      <c r="DJ211" s="106">
        <f>IF(AV211="","",IFERROR(AV211*HSCEI!$B$58*HSCEI!$G$58/HSCEI!$B$3,""))</f>
        <v/>
      </c>
      <c r="DK211" s="106">
        <f>IF(AW211="","",IFERROR(AW211*HSCEI!$B$58*HSCEI!$G$58/HSCEI!$B$3,""))</f>
        <v/>
      </c>
      <c r="DL211" s="106">
        <f>IF(AX211="","",IFERROR(AX211*HSCEI!$B$58*HSCEI!$G$58/HSCEI!$B$3,""))</f>
        <v/>
      </c>
      <c r="DM211" s="106">
        <f>IF(AY211="","",IFERROR(AY211*HSCEI!$B$58*HSCEI!$G$58/HSCEI!$B$3,""))</f>
        <v/>
      </c>
      <c r="DN211" s="106">
        <f>IF(AZ211="","",IFERROR(AZ211*HSCEI!$B$58*HSCEI!$G$58/HSCEI!$B$3,""))</f>
        <v/>
      </c>
      <c r="DO211" s="106">
        <f>IF(BA211="","",IFERROR(BA211*HSCEI!$B$58*HSCEI!$G$58/HSCEI!$B$3,""))</f>
        <v/>
      </c>
      <c r="DP211" s="106">
        <f>IF(BB211="","",IFERROR(BB211*HSCEI!$B$58*HSCEI!$G$58/HSCEI!$B$3,""))</f>
        <v/>
      </c>
      <c r="DQ211" s="106">
        <f>IF(BC211="","",IFERROR(BC211*HSCEI!$B$58*HSCEI!$G$58/HSCEI!$B$3,""))</f>
        <v/>
      </c>
      <c r="DR211" s="106">
        <f>IF(BD211="","",IFERROR(BD211*HSCEI!$B$58*HSCEI!$G$58/HSCEI!$B$3,""))</f>
        <v/>
      </c>
      <c r="DS211" s="106">
        <f>IF(BE211="","",IFERROR(BE211*HSCEI!$B$58*HSCEI!$G$58/HSCEI!$B$3,""))</f>
        <v/>
      </c>
      <c r="DT211" s="106">
        <f>IF(BF211="","",IFERROR(BF211*HSCEI!$B$58*HSCEI!$G$58/HSCEI!$B$3,""))</f>
        <v/>
      </c>
      <c r="DU211" s="106">
        <f>IF(BG211="","",IFERROR(BG211*HSCEI!$B$58*HSCEI!$G$58/HSCEI!$B$3,""))</f>
        <v/>
      </c>
      <c r="DV211" s="106">
        <f>IF(BH211="","",IFERROR(BH211*HSCEI!$B$58*HSCEI!$G$58/HSCEI!$B$3,""))</f>
        <v/>
      </c>
      <c r="DW211" s="106">
        <f>IF(BI211="","",IFERROR(BI211*HSCEI!$B$58*HSCEI!$G$58/HSCEI!$B$3,""))</f>
        <v/>
      </c>
      <c r="DX211" s="106">
        <f>IF(BJ211="","",IFERROR(BJ211*HSCEI!$B$58*HSCEI!$G$58/HSCEI!$B$3,""))</f>
        <v/>
      </c>
      <c r="DY211" s="106">
        <f>IF(BK211="","",IFERROR(BK211*HSCEI!$B$58*HSCEI!$G$58/HSCEI!$B$3,""))</f>
        <v/>
      </c>
      <c r="DZ211" s="106">
        <f>IF(BL211="","",IFERROR(BL211*HSCEI!$B$58*HSCEI!$G$58/HSCEI!$B$3,""))</f>
        <v/>
      </c>
      <c r="EA211" s="106">
        <f>IF(BM211="","",IFERROR(BM211*HSCEI!$B$58*HSCEI!$G$58/HSCEI!$B$3,""))</f>
        <v/>
      </c>
      <c r="EB211" s="106">
        <f>IF(BN211="","",IFERROR(BN211*HSCEI!$B$58*HSCEI!$G$58/HSCEI!$B$3,""))</f>
        <v/>
      </c>
      <c r="EC211" s="106">
        <f>IF(BO211="","",IFERROR(BO211*HSCEI!$B$58*HSCEI!$G$58/HSCEI!$B$3,""))</f>
        <v/>
      </c>
      <c r="EE211" s="35">
        <f>IF(N('Dvd Calendar'!$E$2122)=0,"",IF(('Dvd Calendar'!$E$2122&gt;=GRID_FROM)*('Dvd Calendar'!$E$2122&lt;=GRID_TO)*('Dvd Calendar'!$E$2122&lt;=VAL_DATE)=0,"",'Dvd Calendar'!$E$2122*1000000000+ISNUMBER('Dvd Calendar'!$E$2125)*100000000+('Dvd Calendar'!$E$2127=SPECIAL_LBL)*10000000+0*1000000+52*1000+1))</f>
        <v/>
      </c>
      <c r="EF211" s="35">
        <f>IF(N('Dvd Calendar'!$F$2122)=0,"",IF(('Dvd Calendar'!$F$2122&gt;=GRID_FROM)*('Dvd Calendar'!$F$2122&lt;=GRID_TO)*('Dvd Calendar'!$F$2122&lt;=VAL_DATE)=0,"",'Dvd Calendar'!$F$2122*1000000000+ISNUMBER('Dvd Calendar'!$F$2125)*100000000+('Dvd Calendar'!$F$2127=SPECIAL_LBL)*10000000+0*1000000+52*1000+2))</f>
        <v/>
      </c>
      <c r="EG211" s="35">
        <f>IF(N('Dvd Calendar'!$G$2122)=0,"",IF(('Dvd Calendar'!$G$2122&gt;=GRID_FROM)*('Dvd Calendar'!$G$2122&lt;=GRID_TO)*('Dvd Calendar'!$G$2122&lt;=VAL_DATE)=0,"",'Dvd Calendar'!$G$2122*1000000000+ISNUMBER('Dvd Calendar'!$G$2125)*100000000+('Dvd Calendar'!$G$2127=SPECIAL_LBL)*10000000+0*1000000+52*1000+3))</f>
        <v/>
      </c>
      <c r="EH211" s="35">
        <f>IF(N('Dvd Calendar'!$H$2122)=0,"",IF(('Dvd Calendar'!$H$2122&gt;=GRID_FROM)*('Dvd Calendar'!$H$2122&lt;=GRID_TO)*('Dvd Calendar'!$H$2122&lt;=VAL_DATE)=0,"",'Dvd Calendar'!$H$2122*1000000000+ISNUMBER('Dvd Calendar'!$H$2125)*100000000+('Dvd Calendar'!$H$2127=SPECIAL_LBL)*10000000+0*1000000+52*1000+4))</f>
        <v/>
      </c>
      <c r="EI211" s="35">
        <f>IF(N('Dvd Calendar'!$I$2122)=0,"",IF(('Dvd Calendar'!$I$2122&gt;=GRID_FROM)*('Dvd Calendar'!$I$2122&lt;=GRID_TO)*('Dvd Calendar'!$I$2122&lt;=VAL_DATE)=0,"",'Dvd Calendar'!$I$2122*1000000000+ISNUMBER('Dvd Calendar'!$I$2125)*100000000+('Dvd Calendar'!$I$2127=SPECIAL_LBL)*10000000+0*1000000+52*1000+5))</f>
        <v/>
      </c>
      <c r="EJ211" s="35">
        <f>IF(N('Dvd Calendar'!$J$2122)=0,"",IF(('Dvd Calendar'!$J$2122&gt;=GRID_FROM)*('Dvd Calendar'!$J$2122&lt;=GRID_TO)*('Dvd Calendar'!$J$2122&lt;=VAL_DATE)=0,"",'Dvd Calendar'!$J$2122*1000000000+ISNUMBER('Dvd Calendar'!$J$2125)*100000000+('Dvd Calendar'!$J$2127=SPECIAL_LBL)*10000000+0*1000000+52*1000+6))</f>
        <v/>
      </c>
      <c r="EK211" s="35">
        <f>IF(N('Dvd Calendar'!$K$2122)=0,"",IF(('Dvd Calendar'!$K$2122&gt;=GRID_FROM)*('Dvd Calendar'!$K$2122&lt;=GRID_TO)*('Dvd Calendar'!$K$2122&lt;=VAL_DATE)=0,"",'Dvd Calendar'!$K$2122*1000000000+ISNUMBER('Dvd Calendar'!$K$2125)*100000000+('Dvd Calendar'!$K$2127=SPECIAL_LBL)*10000000+0*1000000+52*1000+7))</f>
        <v/>
      </c>
      <c r="EL211" s="35">
        <f>IF(N('Dvd Calendar'!$L$2122)=0,"",IF(('Dvd Calendar'!$L$2122&gt;=GRID_FROM)*('Dvd Calendar'!$L$2122&lt;=GRID_TO)*('Dvd Calendar'!$L$2122&lt;=VAL_DATE)=0,"",'Dvd Calendar'!$L$2122*1000000000+ISNUMBER('Dvd Calendar'!$L$2125)*100000000+('Dvd Calendar'!$L$2127=SPECIAL_LBL)*10000000+0*1000000+52*1000+8))</f>
        <v/>
      </c>
      <c r="EM211" s="35">
        <f>IF(N('Dvd Calendar'!$M$2122)=0,"",IF(('Dvd Calendar'!$M$2122&gt;=GRID_FROM)*('Dvd Calendar'!$M$2122&lt;=GRID_TO)*('Dvd Calendar'!$M$2122&lt;=VAL_DATE)=0,"",'Dvd Calendar'!$M$2122*1000000000+ISNUMBER('Dvd Calendar'!$M$2125)*100000000+('Dvd Calendar'!$M$2127=SPECIAL_LBL)*10000000+0*1000000+52*1000+9))</f>
        <v/>
      </c>
      <c r="EN211" s="35">
        <f>IF(N('Dvd Calendar'!$N$2122)=0,"",IF(('Dvd Calendar'!$N$2122&gt;=GRID_FROM)*('Dvd Calendar'!$N$2122&lt;=GRID_TO)*('Dvd Calendar'!$N$2122&lt;=VAL_DATE)=0,"",'Dvd Calendar'!$N$2122*1000000000+ISNUMBER('Dvd Calendar'!$N$2125)*100000000+('Dvd Calendar'!$N$2127=SPECIAL_LBL)*10000000+0*1000000+52*1000+10))</f>
        <v/>
      </c>
      <c r="EO211" s="35">
        <f>IF(N('Dvd Calendar'!$O$2122)=0,"",IF(('Dvd Calendar'!$O$2122&gt;=GRID_FROM)*('Dvd Calendar'!$O$2122&lt;=GRID_TO)*('Dvd Calendar'!$O$2122&lt;=VAL_DATE)=0,"",'Dvd Calendar'!$O$2122*1000000000+ISNUMBER('Dvd Calendar'!$O$2125)*100000000+('Dvd Calendar'!$O$2127=SPECIAL_LBL)*10000000+0*1000000+52*1000+11))</f>
        <v/>
      </c>
      <c r="EP211" s="35">
        <f>IF(N('Dvd Calendar'!$P$2122)=0,"",IF(('Dvd Calendar'!$P$2122&gt;=GRID_FROM)*('Dvd Calendar'!$P$2122&lt;=GRID_TO)*('Dvd Calendar'!$P$2122&lt;=VAL_DATE)=0,"",'Dvd Calendar'!$P$2122*1000000000+ISNUMBER('Dvd Calendar'!$P$2125)*100000000+('Dvd Calendar'!$P$2127=SPECIAL_LBL)*10000000+0*1000000+52*1000+12))</f>
        <v/>
      </c>
      <c r="EQ211" s="35">
        <f>IF(N('Dvd Calendar'!$Q$2122)=0,"",IF(('Dvd Calendar'!$Q$2122&gt;=GRID_FROM)*('Dvd Calendar'!$Q$2122&lt;=GRID_TO)*('Dvd Calendar'!$Q$2122&lt;=VAL_DATE)=0,"",'Dvd Calendar'!$Q$2122*1000000000+ISNUMBER('Dvd Calendar'!$Q$2125)*100000000+('Dvd Calendar'!$Q$2127=SPECIAL_LBL)*10000000+0*1000000+52*1000+13))</f>
        <v/>
      </c>
      <c r="ER211" s="35">
        <f>IF(N('Dvd Calendar'!$R$2122)=0,"",IF(('Dvd Calendar'!$R$2122&gt;=GRID_FROM)*('Dvd Calendar'!$R$2122&lt;=GRID_TO)*('Dvd Calendar'!$R$2122&lt;=VAL_DATE)=0,"",'Dvd Calendar'!$R$2122*1000000000+ISNUMBER('Dvd Calendar'!$R$2125)*100000000+('Dvd Calendar'!$R$2127=SPECIAL_LBL)*10000000+0*1000000+52*1000+14))</f>
        <v/>
      </c>
      <c r="ES211" s="35">
        <f>IF(N('Dvd Calendar'!$S$2122)=0,"",IF(('Dvd Calendar'!$S$2122&gt;=GRID_FROM)*('Dvd Calendar'!$S$2122&lt;=GRID_TO)*('Dvd Calendar'!$S$2122&lt;=VAL_DATE)=0,"",'Dvd Calendar'!$S$2122*1000000000+ISNUMBER('Dvd Calendar'!$S$2125)*100000000+('Dvd Calendar'!$S$2127=SPECIAL_LBL)*10000000+0*1000000+52*1000+15))</f>
        <v/>
      </c>
      <c r="ET211" s="35">
        <f>IF(N('Dvd Calendar'!$T$2122)=0,"",IF(('Dvd Calendar'!$T$2122&gt;=GRID_FROM)*('Dvd Calendar'!$T$2122&lt;=GRID_TO)*('Dvd Calendar'!$T$2122&lt;=VAL_DATE)=0,"",'Dvd Calendar'!$T$2122*1000000000+ISNUMBER('Dvd Calendar'!$T$2125)*100000000+('Dvd Calendar'!$T$2127=SPECIAL_LBL)*10000000+0*1000000+52*1000+16))</f>
        <v/>
      </c>
      <c r="EU211" s="35">
        <f>IF(N('Dvd Calendar'!$U$2122)=0,"",IF(('Dvd Calendar'!$U$2122&gt;=GRID_FROM)*('Dvd Calendar'!$U$2122&lt;=GRID_TO)*('Dvd Calendar'!$U$2122&lt;=VAL_DATE)=0,"",'Dvd Calendar'!$U$2122*1000000000+ISNUMBER('Dvd Calendar'!$U$2125)*100000000+('Dvd Calendar'!$U$2127=SPECIAL_LBL)*10000000+0*1000000+52*1000+17))</f>
        <v/>
      </c>
      <c r="EV211" s="35">
        <f>IF(N('Dvd Calendar'!$V$2122)=0,"",IF(('Dvd Calendar'!$V$2122&gt;=GRID_FROM)*('Dvd Calendar'!$V$2122&lt;=GRID_TO)*('Dvd Calendar'!$V$2122&lt;=VAL_DATE)=0,"",'Dvd Calendar'!$V$2122*1000000000+ISNUMBER('Dvd Calendar'!$V$2125)*100000000+('Dvd Calendar'!$V$2127=SPECIAL_LBL)*10000000+0*1000000+52*1000+18))</f>
        <v/>
      </c>
      <c r="EW211" s="35">
        <f>IF(N('Dvd Calendar'!$W$2122)=0,"",IF(('Dvd Calendar'!$W$2122&gt;=GRID_FROM)*('Dvd Calendar'!$W$2122&lt;=GRID_TO)*('Dvd Calendar'!$W$2122&lt;=VAL_DATE)=0,"",'Dvd Calendar'!$W$2122*1000000000+ISNUMBER('Dvd Calendar'!$W$2125)*100000000+('Dvd Calendar'!$W$2127=SPECIAL_LBL)*10000000+0*1000000+52*1000+19))</f>
        <v/>
      </c>
      <c r="EX211" s="35">
        <f>IF(N('Dvd Calendar'!$X$2122)=0,"",IF(('Dvd Calendar'!$X$2122&gt;=GRID_FROM)*('Dvd Calendar'!$X$2122&lt;=GRID_TO)*('Dvd Calendar'!$X$2122&lt;=VAL_DATE)=0,"",'Dvd Calendar'!$X$2122*1000000000+ISNUMBER('Dvd Calendar'!$X$2125)*100000000+('Dvd Calendar'!$X$2127=SPECIAL_LBL)*10000000+0*1000000+52*1000+20))</f>
        <v/>
      </c>
      <c r="EY211" s="35">
        <f>IF(N('Dvd Calendar'!$Y$2122)=0,"",IF(('Dvd Calendar'!$Y$2122&gt;=GRID_FROM)*('Dvd Calendar'!$Y$2122&lt;=GRID_TO)*('Dvd Calendar'!$Y$2122&lt;=VAL_DATE)=0,"",'Dvd Calendar'!$Y$2122*1000000000+ISNUMBER('Dvd Calendar'!$Y$2125)*100000000+('Dvd Calendar'!$Y$2127=SPECIAL_LBL)*10000000+0*1000000+52*1000+21))</f>
        <v/>
      </c>
      <c r="EZ211" s="35">
        <f>IF(N('Dvd Calendar'!$Z$2122)=0,"",IF(('Dvd Calendar'!$Z$2122&gt;=GRID_FROM)*('Dvd Calendar'!$Z$2122&lt;=GRID_TO)*('Dvd Calendar'!$Z$2122&lt;=VAL_DATE)=0,"",'Dvd Calendar'!$Z$2122*1000000000+ISNUMBER('Dvd Calendar'!$Z$2125)*100000000+('Dvd Calendar'!$Z$2127=SPECIAL_LBL)*10000000+0*1000000+52*1000+22))</f>
        <v/>
      </c>
      <c r="FA211" s="35">
        <f>IF(N('Dvd Calendar'!$AA$2122)=0,"",IF(('Dvd Calendar'!$AA$2122&gt;=GRID_FROM)*('Dvd Calendar'!$AA$2122&lt;=GRID_TO)*('Dvd Calendar'!$AA$2122&lt;=VAL_DATE)=0,"",'Dvd Calendar'!$AA$2122*1000000000+ISNUMBER('Dvd Calendar'!$AA$2125)*100000000+('Dvd Calendar'!$AA$2127=SPECIAL_LBL)*10000000+0*1000000+52*1000+23))</f>
        <v/>
      </c>
      <c r="FB211" s="35">
        <f>IF(N('Dvd Calendar'!$AB$2122)=0,"",IF(('Dvd Calendar'!$AB$2122&gt;=GRID_FROM)*('Dvd Calendar'!$AB$2122&lt;=GRID_TO)*('Dvd Calendar'!$AB$2122&lt;=VAL_DATE)=0,"",'Dvd Calendar'!$AB$2122*1000000000+ISNUMBER('Dvd Calendar'!$AB$2125)*100000000+('Dvd Calendar'!$AB$2127=SPECIAL_LBL)*10000000+0*1000000+52*1000+24))</f>
        <v/>
      </c>
      <c r="FC211" s="35">
        <f>IF(N('Dvd Calendar'!$AC$2122)=0,"",IF(('Dvd Calendar'!$AC$2122&gt;=GRID_FROM)*('Dvd Calendar'!$AC$2122&lt;=GRID_TO)*('Dvd Calendar'!$AC$2122&lt;=VAL_DATE)=0,"",'Dvd Calendar'!$AC$2122*1000000000+ISNUMBER('Dvd Calendar'!$AC$2125)*100000000+('Dvd Calendar'!$AC$2127=SPECIAL_LBL)*10000000+0*1000000+52*1000+25))</f>
        <v/>
      </c>
      <c r="FD211" s="35">
        <f>IF(N('Dvd Calendar'!$AD$2122)=0,"",IF(('Dvd Calendar'!$AD$2122&gt;=GRID_FROM)*('Dvd Calendar'!$AD$2122&lt;=GRID_TO)*('Dvd Calendar'!$AD$2122&lt;=VAL_DATE)=0,"",'Dvd Calendar'!$AD$2122*1000000000+ISNUMBER('Dvd Calendar'!$AD$2125)*100000000+('Dvd Calendar'!$AD$2127=SPECIAL_LBL)*10000000+0*1000000+52*1000+26))</f>
        <v/>
      </c>
      <c r="FE211" s="35">
        <f>IF(N('Dvd Calendar'!$AE$2122)=0,"",IF(('Dvd Calendar'!$AE$2122&gt;=GRID_FROM)*('Dvd Calendar'!$AE$2122&lt;=GRID_TO)*('Dvd Calendar'!$AE$2122&lt;=VAL_DATE)=0,"",'Dvd Calendar'!$AE$2122*1000000000+ISNUMBER('Dvd Calendar'!$AE$2125)*100000000+('Dvd Calendar'!$AE$2127=SPECIAL_LBL)*10000000+0*1000000+52*1000+27))</f>
        <v/>
      </c>
      <c r="FF211" s="35">
        <f>IF(N('Dvd Calendar'!$AF$2122)=0,"",IF(('Dvd Calendar'!$AF$2122&gt;=GRID_FROM)*('Dvd Calendar'!$AF$2122&lt;=GRID_TO)*('Dvd Calendar'!$AF$2122&lt;=VAL_DATE)=0,"",'Dvd Calendar'!$AF$2122*1000000000+ISNUMBER('Dvd Calendar'!$AF$2125)*100000000+('Dvd Calendar'!$AF$2127=SPECIAL_LBL)*10000000+0*1000000+52*1000+28))</f>
        <v/>
      </c>
      <c r="FG211" s="35">
        <f>IF(N('Dvd Calendar'!$AG$2122)=0,"",IF(('Dvd Calendar'!$AG$2122&gt;=GRID_FROM)*('Dvd Calendar'!$AG$2122&lt;=GRID_TO)*('Dvd Calendar'!$AG$2122&lt;=VAL_DATE)=0,"",'Dvd Calendar'!$AG$2122*1000000000+ISNUMBER('Dvd Calendar'!$AG$2125)*100000000+('Dvd Calendar'!$AG$2127=SPECIAL_LBL)*10000000+0*1000000+52*1000+29))</f>
        <v/>
      </c>
      <c r="FH211" s="35">
        <f>IF(N('Dvd Calendar'!$AH$2122)=0,"",IF(('Dvd Calendar'!$AH$2122&gt;=GRID_FROM)*('Dvd Calendar'!$AH$2122&lt;=GRID_TO)*('Dvd Calendar'!$AH$2122&lt;=VAL_DATE)=0,"",'Dvd Calendar'!$AH$2122*1000000000+ISNUMBER('Dvd Calendar'!$AH$2125)*100000000+('Dvd Calendar'!$AH$2127=SPECIAL_LBL)*10000000+0*1000000+52*1000+30))</f>
        <v/>
      </c>
      <c r="FI211" s="35">
        <f>IF(N('Dvd Calendar'!$AI$2122)=0,"",IF(('Dvd Calendar'!$AI$2122&gt;=GRID_FROM)*('Dvd Calendar'!$AI$2122&lt;=GRID_TO)*('Dvd Calendar'!$AI$2122&lt;=VAL_DATE)=0,"",'Dvd Calendar'!$AI$2122*1000000000+ISNUMBER('Dvd Calendar'!$AI$2125)*100000000+('Dvd Calendar'!$AI$2127=SPECIAL_LBL)*10000000+0*1000000+52*1000+31))</f>
        <v/>
      </c>
      <c r="FJ211" s="35">
        <f>IF(N('Dvd Calendar'!$AJ$2122)=0,"",IF(('Dvd Calendar'!$AJ$2122&gt;=GRID_FROM)*('Dvd Calendar'!$AJ$2122&lt;=GRID_TO)*('Dvd Calendar'!$AJ$2122&lt;=VAL_DATE)=0,"",'Dvd Calendar'!$AJ$2122*1000000000+ISNUMBER('Dvd Calendar'!$AJ$2125)*100000000+('Dvd Calendar'!$AJ$2127=SPECIAL_LBL)*10000000+0*1000000+52*1000+32))</f>
        <v/>
      </c>
      <c r="FK211" s="35">
        <f>IF(N('Dvd Calendar'!$AK$2122)=0,"",IF(('Dvd Calendar'!$AK$2122&gt;=GRID_FROM)*('Dvd Calendar'!$AK$2122&lt;=GRID_TO)*('Dvd Calendar'!$AK$2122&lt;=VAL_DATE)=0,"",'Dvd Calendar'!$AK$2122*1000000000+ISNUMBER('Dvd Calendar'!$AK$2125)*100000000+('Dvd Calendar'!$AK$2127=SPECIAL_LBL)*10000000+0*1000000+52*1000+33))</f>
        <v/>
      </c>
      <c r="FL211" s="35">
        <f>IF(N('Dvd Calendar'!$AL$2122)=0,"",IF(('Dvd Calendar'!$AL$2122&gt;=GRID_FROM)*('Dvd Calendar'!$AL$2122&lt;=GRID_TO)*('Dvd Calendar'!$AL$2122&lt;=VAL_DATE)=0,"",'Dvd Calendar'!$AL$2122*1000000000+ISNUMBER('Dvd Calendar'!$AL$2125)*100000000+('Dvd Calendar'!$AL$2127=SPECIAL_LBL)*10000000+0*1000000+52*1000+34))</f>
        <v/>
      </c>
      <c r="FM211" s="35">
        <f>IF(N('Dvd Calendar'!$AM$2122)=0,"",IF(('Dvd Calendar'!$AM$2122&gt;=GRID_FROM)*('Dvd Calendar'!$AM$2122&lt;=GRID_TO)*('Dvd Calendar'!$AM$2122&lt;=VAL_DATE)=0,"",'Dvd Calendar'!$AM$2122*1000000000+ISNUMBER('Dvd Calendar'!$AM$2125)*100000000+('Dvd Calendar'!$AM$2127=SPECIAL_LBL)*10000000+0*1000000+52*1000+35))</f>
        <v/>
      </c>
      <c r="FN211" s="35">
        <f>IF(N('Dvd Calendar'!$AN$2122)=0,"",IF(('Dvd Calendar'!$AN$2122&gt;=GRID_FROM)*('Dvd Calendar'!$AN$2122&lt;=GRID_TO)*('Dvd Calendar'!$AN$2122&lt;=VAL_DATE)=0,"",'Dvd Calendar'!$AN$2122*1000000000+ISNUMBER('Dvd Calendar'!$AN$2125)*100000000+('Dvd Calendar'!$AN$2127=SPECIAL_LBL)*10000000+0*1000000+52*1000+36))</f>
        <v/>
      </c>
      <c r="FO211" s="35">
        <f>IF(N('Dvd Calendar'!$AO$2122)=0,"",IF(('Dvd Calendar'!$AO$2122&gt;=GRID_FROM)*('Dvd Calendar'!$AO$2122&lt;=GRID_TO)*('Dvd Calendar'!$AO$2122&lt;=VAL_DATE)=0,"",'Dvd Calendar'!$AO$2122*1000000000+ISNUMBER('Dvd Calendar'!$AO$2125)*100000000+('Dvd Calendar'!$AO$2127=SPECIAL_LBL)*10000000+0*1000000+52*1000+37))</f>
        <v/>
      </c>
      <c r="FP211" s="35">
        <f>IF(N('Dvd Calendar'!$AP$2122)=0,"",IF(('Dvd Calendar'!$AP$2122&gt;=GRID_FROM)*('Dvd Calendar'!$AP$2122&lt;=GRID_TO)*('Dvd Calendar'!$AP$2122&lt;=VAL_DATE)=0,"",'Dvd Calendar'!$AP$2122*1000000000+ISNUMBER('Dvd Calendar'!$AP$2125)*100000000+('Dvd Calendar'!$AP$2127=SPECIAL_LBL)*10000000+0*1000000+52*1000+38))</f>
        <v/>
      </c>
      <c r="FQ211" s="35">
        <f>IF(N('Dvd Calendar'!$AQ$2122)=0,"",IF(('Dvd Calendar'!$AQ$2122&gt;=GRID_FROM)*('Dvd Calendar'!$AQ$2122&lt;=GRID_TO)*('Dvd Calendar'!$AQ$2122&lt;=VAL_DATE)=0,"",'Dvd Calendar'!$AQ$2122*1000000000+ISNUMBER('Dvd Calendar'!$AQ$2125)*100000000+('Dvd Calendar'!$AQ$2127=SPECIAL_LBL)*10000000+0*1000000+52*1000+39))</f>
        <v/>
      </c>
      <c r="FR211" s="35">
        <f>IF(N('Dvd Calendar'!$AR$2122)=0,"",IF(('Dvd Calendar'!$AR$2122&gt;=GRID_FROM)*('Dvd Calendar'!$AR$2122&lt;=GRID_TO)*('Dvd Calendar'!$AR$2122&lt;=VAL_DATE)=0,"",'Dvd Calendar'!$AR$2122*1000000000+ISNUMBER('Dvd Calendar'!$AR$2125)*100000000+('Dvd Calendar'!$AR$2127=SPECIAL_LBL)*10000000+0*1000000+52*1000+40))</f>
        <v/>
      </c>
      <c r="FS211" s="35">
        <f>IF(N('Dvd Calendar'!$E$2129)=0,"",IF(('Dvd Calendar'!$E$2129&gt;=GRID_FROM)*('Dvd Calendar'!$E$2129&lt;=GRID_TO)*('Dvd Calendar'!$E$2129&gt;VAL_DATE)=0,"",'Dvd Calendar'!$E$2129*1000000000+ISNUMBER('Dvd Calendar'!$E$2130)*100000000+0*10000000+(N('Dvd Calendar'!$E$2128)&gt;0)*(N('Dvd Calendar'!$E$2128)&lt;=VAL_SERIAL)*1000000+52*1000+41))</f>
        <v/>
      </c>
      <c r="FT211" s="35">
        <f>IF(N('Dvd Calendar'!$F$2129)=0,"",IF(('Dvd Calendar'!$F$2129&gt;=GRID_FROM)*('Dvd Calendar'!$F$2129&lt;=GRID_TO)*('Dvd Calendar'!$F$2129&gt;VAL_DATE)=0,"",'Dvd Calendar'!$F$2129*1000000000+ISNUMBER('Dvd Calendar'!$F$2130)*100000000+0*10000000+(N('Dvd Calendar'!$F$2128)&gt;0)*(N('Dvd Calendar'!$F$2128)&lt;=VAL_SERIAL)*1000000+52*1000+42))</f>
        <v/>
      </c>
      <c r="FU211" s="35">
        <f>IF(N('Dvd Calendar'!$G$2129)=0,"",IF(('Dvd Calendar'!$G$2129&gt;=GRID_FROM)*('Dvd Calendar'!$G$2129&lt;=GRID_TO)*('Dvd Calendar'!$G$2129&gt;VAL_DATE)=0,"",'Dvd Calendar'!$G$2129*1000000000+ISNUMBER('Dvd Calendar'!$G$2130)*100000000+0*10000000+(N('Dvd Calendar'!$G$2128)&gt;0)*(N('Dvd Calendar'!$G$2128)&lt;=VAL_SERIAL)*1000000+52*1000+43))</f>
        <v/>
      </c>
      <c r="FV211" s="35">
        <f>IF(N('Dvd Calendar'!$H$2129)=0,"",IF(('Dvd Calendar'!$H$2129&gt;=GRID_FROM)*('Dvd Calendar'!$H$2129&lt;=GRID_TO)*('Dvd Calendar'!$H$2129&gt;VAL_DATE)=0,"",'Dvd Calendar'!$H$2129*1000000000+ISNUMBER('Dvd Calendar'!$H$2130)*100000000+0*10000000+(N('Dvd Calendar'!$H$2128)&gt;0)*(N('Dvd Calendar'!$H$2128)&lt;=VAL_SERIAL)*1000000+52*1000+44))</f>
        <v/>
      </c>
      <c r="FW211" s="35">
        <f>IF(N('Dvd Calendar'!$I$2129)=0,"",IF(('Dvd Calendar'!$I$2129&gt;=GRID_FROM)*('Dvd Calendar'!$I$2129&lt;=GRID_TO)*('Dvd Calendar'!$I$2129&gt;VAL_DATE)=0,"",'Dvd Calendar'!$I$2129*1000000000+ISNUMBER('Dvd Calendar'!$I$2130)*100000000+0*10000000+(N('Dvd Calendar'!$I$2128)&gt;0)*(N('Dvd Calendar'!$I$2128)&lt;=VAL_SERIAL)*1000000+52*1000+45))</f>
        <v/>
      </c>
      <c r="FX211" s="35">
        <f>IF(N('Dvd Calendar'!$J$2129)=0,"",IF(('Dvd Calendar'!$J$2129&gt;=GRID_FROM)*('Dvd Calendar'!$J$2129&lt;=GRID_TO)*('Dvd Calendar'!$J$2129&gt;VAL_DATE)=0,"",'Dvd Calendar'!$J$2129*1000000000+ISNUMBER('Dvd Calendar'!$J$2130)*100000000+0*10000000+(N('Dvd Calendar'!$J$2128)&gt;0)*(N('Dvd Calendar'!$J$2128)&lt;=VAL_SERIAL)*1000000+52*1000+46))</f>
        <v/>
      </c>
      <c r="FY211" s="35">
        <f>IF(N('Dvd Calendar'!$K$2129)=0,"",IF(('Dvd Calendar'!$K$2129&gt;=GRID_FROM)*('Dvd Calendar'!$K$2129&lt;=GRID_TO)*('Dvd Calendar'!$K$2129&gt;VAL_DATE)=0,"",'Dvd Calendar'!$K$2129*1000000000+ISNUMBER('Dvd Calendar'!$K$2130)*100000000+0*10000000+(N('Dvd Calendar'!$K$2128)&gt;0)*(N('Dvd Calendar'!$K$2128)&lt;=VAL_SERIAL)*1000000+52*1000+47))</f>
        <v/>
      </c>
      <c r="FZ211" s="35">
        <f>IF(N('Dvd Calendar'!$L$2129)=0,"",IF(('Dvd Calendar'!$L$2129&gt;=GRID_FROM)*('Dvd Calendar'!$L$2129&lt;=GRID_TO)*('Dvd Calendar'!$L$2129&gt;VAL_DATE)=0,"",'Dvd Calendar'!$L$2129*1000000000+ISNUMBER('Dvd Calendar'!$L$2130)*100000000+0*10000000+(N('Dvd Calendar'!$L$2128)&gt;0)*(N('Dvd Calendar'!$L$2128)&lt;=VAL_SERIAL)*1000000+52*1000+48))</f>
        <v/>
      </c>
      <c r="GA211" s="35">
        <f>IF(N('Dvd Calendar'!$M$2129)=0,"",IF(('Dvd Calendar'!$M$2129&gt;=GRID_FROM)*('Dvd Calendar'!$M$2129&lt;=GRID_TO)*('Dvd Calendar'!$M$2129&gt;VAL_DATE)=0,"",'Dvd Calendar'!$M$2129*1000000000+ISNUMBER('Dvd Calendar'!$M$2130)*100000000+0*10000000+(N('Dvd Calendar'!$M$2128)&gt;0)*(N('Dvd Calendar'!$M$2128)&lt;=VAL_SERIAL)*1000000+52*1000+49))</f>
        <v/>
      </c>
      <c r="GB211" s="35">
        <f>IF(N('Dvd Calendar'!$N$2129)=0,"",IF(('Dvd Calendar'!$N$2129&gt;=GRID_FROM)*('Dvd Calendar'!$N$2129&lt;=GRID_TO)*('Dvd Calendar'!$N$2129&gt;VAL_DATE)=0,"",'Dvd Calendar'!$N$2129*1000000000+ISNUMBER('Dvd Calendar'!$N$2130)*100000000+0*10000000+(N('Dvd Calendar'!$N$2128)&gt;0)*(N('Dvd Calendar'!$N$2128)&lt;=VAL_SERIAL)*1000000+52*1000+50))</f>
        <v/>
      </c>
      <c r="GC211" s="35">
        <f>IF(N('Dvd Calendar'!$O$2129)=0,"",IF(('Dvd Calendar'!$O$2129&gt;=GRID_FROM)*('Dvd Calendar'!$O$2129&lt;=GRID_TO)*('Dvd Calendar'!$O$2129&gt;VAL_DATE)=0,"",'Dvd Calendar'!$O$2129*1000000000+ISNUMBER('Dvd Calendar'!$O$2130)*100000000+0*10000000+(N('Dvd Calendar'!$O$2128)&gt;0)*(N('Dvd Calendar'!$O$2128)&lt;=VAL_SERIAL)*1000000+52*1000+51))</f>
        <v/>
      </c>
      <c r="GD211" s="35">
        <f>IF(N('Dvd Calendar'!$P$2129)=0,"",IF(('Dvd Calendar'!$P$2129&gt;=GRID_FROM)*('Dvd Calendar'!$P$2129&lt;=GRID_TO)*('Dvd Calendar'!$P$2129&gt;VAL_DATE)=0,"",'Dvd Calendar'!$P$2129*1000000000+ISNUMBER('Dvd Calendar'!$P$2130)*100000000+0*10000000+(N('Dvd Calendar'!$P$2128)&gt;0)*(N('Dvd Calendar'!$P$2128)&lt;=VAL_SERIAL)*1000000+52*1000+52))</f>
        <v/>
      </c>
      <c r="GE211" s="35">
        <f>IF(N('Dvd Calendar'!$Q$2129)=0,"",IF(('Dvd Calendar'!$Q$2129&gt;=GRID_FROM)*('Dvd Calendar'!$Q$2129&lt;=GRID_TO)*('Dvd Calendar'!$Q$2129&gt;VAL_DATE)=0,"",'Dvd Calendar'!$Q$2129*1000000000+ISNUMBER('Dvd Calendar'!$Q$2130)*100000000+0*10000000+(N('Dvd Calendar'!$Q$2128)&gt;0)*(N('Dvd Calendar'!$Q$2128)&lt;=VAL_SERIAL)*1000000+52*1000+53))</f>
        <v/>
      </c>
      <c r="GF211" s="35">
        <f>IF(N('Dvd Calendar'!$R$2129)=0,"",IF(('Dvd Calendar'!$R$2129&gt;=GRID_FROM)*('Dvd Calendar'!$R$2129&lt;=GRID_TO)*('Dvd Calendar'!$R$2129&gt;VAL_DATE)=0,"",'Dvd Calendar'!$R$2129*1000000000+ISNUMBER('Dvd Calendar'!$R$2130)*100000000+0*10000000+(N('Dvd Calendar'!$R$2128)&gt;0)*(N('Dvd Calendar'!$R$2128)&lt;=VAL_SERIAL)*1000000+52*1000+54))</f>
        <v/>
      </c>
      <c r="GG211" s="35">
        <f>IF(N('Dvd Calendar'!$S$2129)=0,"",IF(('Dvd Calendar'!$S$2129&gt;=GRID_FROM)*('Dvd Calendar'!$S$2129&lt;=GRID_TO)*('Dvd Calendar'!$S$2129&gt;VAL_DATE)=0,"",'Dvd Calendar'!$S$2129*1000000000+ISNUMBER('Dvd Calendar'!$S$2130)*100000000+0*10000000+(N('Dvd Calendar'!$S$2128)&gt;0)*(N('Dvd Calendar'!$S$2128)&lt;=VAL_SERIAL)*1000000+52*1000+55))</f>
        <v/>
      </c>
      <c r="GH211" s="35">
        <f>IF(N('Dvd Calendar'!$T$2129)=0,"",IF(('Dvd Calendar'!$T$2129&gt;=GRID_FROM)*('Dvd Calendar'!$T$2129&lt;=GRID_TO)*('Dvd Calendar'!$T$2129&gt;VAL_DATE)=0,"",'Dvd Calendar'!$T$2129*1000000000+ISNUMBER('Dvd Calendar'!$T$2130)*100000000+0*10000000+(N('Dvd Calendar'!$T$2128)&gt;0)*(N('Dvd Calendar'!$T$2128)&lt;=VAL_SERIAL)*1000000+52*1000+56))</f>
        <v/>
      </c>
      <c r="GI211" s="35">
        <f>IF(N('Dvd Calendar'!$U$2129)=0,"",IF(('Dvd Calendar'!$U$2129&gt;=GRID_FROM)*('Dvd Calendar'!$U$2129&lt;=GRID_TO)*('Dvd Calendar'!$U$2129&gt;VAL_DATE)=0,"",'Dvd Calendar'!$U$2129*1000000000+ISNUMBER('Dvd Calendar'!$U$2130)*100000000+0*10000000+(N('Dvd Calendar'!$U$2128)&gt;0)*(N('Dvd Calendar'!$U$2128)&lt;=VAL_SERIAL)*1000000+52*1000+57))</f>
        <v/>
      </c>
      <c r="GJ211" s="35">
        <f>IF(N('Dvd Calendar'!$V$2129)=0,"",IF(('Dvd Calendar'!$V$2129&gt;=GRID_FROM)*('Dvd Calendar'!$V$2129&lt;=GRID_TO)*('Dvd Calendar'!$V$2129&gt;VAL_DATE)=0,"",'Dvd Calendar'!$V$2129*1000000000+ISNUMBER('Dvd Calendar'!$V$2130)*100000000+0*10000000+(N('Dvd Calendar'!$V$2128)&gt;0)*(N('Dvd Calendar'!$V$2128)&lt;=VAL_SERIAL)*1000000+52*1000+58))</f>
        <v/>
      </c>
      <c r="GK211" s="35">
        <f>IF(N('Dvd Calendar'!$W$2129)=0,"",IF(('Dvd Calendar'!$W$2129&gt;=GRID_FROM)*('Dvd Calendar'!$W$2129&lt;=GRID_TO)*('Dvd Calendar'!$W$2129&gt;VAL_DATE)=0,"",'Dvd Calendar'!$W$2129*1000000000+ISNUMBER('Dvd Calendar'!$W$2130)*100000000+0*10000000+(N('Dvd Calendar'!$W$2128)&gt;0)*(N('Dvd Calendar'!$W$2128)&lt;=VAL_SERIAL)*1000000+52*1000+59))</f>
        <v/>
      </c>
      <c r="GL211" s="35">
        <f>IF(N('Dvd Calendar'!$X$2129)=0,"",IF(('Dvd Calendar'!$X$2129&gt;=GRID_FROM)*('Dvd Calendar'!$X$2129&lt;=GRID_TO)*('Dvd Calendar'!$X$2129&gt;VAL_DATE)=0,"",'Dvd Calendar'!$X$2129*1000000000+ISNUMBER('Dvd Calendar'!$X$2130)*100000000+0*10000000+(N('Dvd Calendar'!$X$2128)&gt;0)*(N('Dvd Calendar'!$X$2128)&lt;=VAL_SERIAL)*1000000+52*1000+60))</f>
        <v/>
      </c>
      <c r="GM211" s="35">
        <f>IF(N('Dvd Calendar'!$Y$2129)=0,"",IF(('Dvd Calendar'!$Y$2129&gt;=GRID_FROM)*('Dvd Calendar'!$Y$2129&lt;=GRID_TO)*('Dvd Calendar'!$Y$2129&gt;VAL_DATE)=0,"",'Dvd Calendar'!$Y$2129*1000000000+ISNUMBER('Dvd Calendar'!$Y$2130)*100000000+0*10000000+(N('Dvd Calendar'!$Y$2128)&gt;0)*(N('Dvd Calendar'!$Y$2128)&lt;=VAL_SERIAL)*1000000+52*1000+61))</f>
        <v/>
      </c>
      <c r="GN211" s="35">
        <f>IF(N('Dvd Calendar'!$Z$2129)=0,"",IF(('Dvd Calendar'!$Z$2129&gt;=GRID_FROM)*('Dvd Calendar'!$Z$2129&lt;=GRID_TO)*('Dvd Calendar'!$Z$2129&gt;VAL_DATE)=0,"",'Dvd Calendar'!$Z$2129*1000000000+ISNUMBER('Dvd Calendar'!$Z$2130)*100000000+0*10000000+(N('Dvd Calendar'!$Z$2128)&gt;0)*(N('Dvd Calendar'!$Z$2128)&lt;=VAL_SERIAL)*1000000+52*1000+62))</f>
        <v/>
      </c>
      <c r="GO211" s="35">
        <f>IF(N('Dvd Calendar'!$AA$2129)=0,"",IF(('Dvd Calendar'!$AA$2129&gt;=GRID_FROM)*('Dvd Calendar'!$AA$2129&lt;=GRID_TO)*('Dvd Calendar'!$AA$2129&gt;VAL_DATE)=0,"",'Dvd Calendar'!$AA$2129*1000000000+ISNUMBER('Dvd Calendar'!$AA$2130)*100000000+0*10000000+(N('Dvd Calendar'!$AA$2128)&gt;0)*(N('Dvd Calendar'!$AA$2128)&lt;=VAL_SERIAL)*1000000+52*1000+63))</f>
        <v/>
      </c>
      <c r="GP211" s="35">
        <f>IF(N('Dvd Calendar'!$AB$2129)=0,"",IF(('Dvd Calendar'!$AB$2129&gt;=GRID_FROM)*('Dvd Calendar'!$AB$2129&lt;=GRID_TO)*('Dvd Calendar'!$AB$2129&gt;VAL_DATE)=0,"",'Dvd Calendar'!$AB$2129*1000000000+ISNUMBER('Dvd Calendar'!$AB$2130)*100000000+0*10000000+(N('Dvd Calendar'!$AB$2128)&gt;0)*(N('Dvd Calendar'!$AB$2128)&lt;=VAL_SERIAL)*1000000+52*1000+64))</f>
        <v/>
      </c>
      <c r="GQ211" s="35">
        <f>IF(N('Dvd Calendar'!$AC$2129)=0,"",IF(('Dvd Calendar'!$AC$2129&gt;=GRID_FROM)*('Dvd Calendar'!$AC$2129&lt;=GRID_TO)*('Dvd Calendar'!$AC$2129&gt;VAL_DATE)=0,"",'Dvd Calendar'!$AC$2129*1000000000+ISNUMBER('Dvd Calendar'!$AC$2130)*100000000+0*10000000+(N('Dvd Calendar'!$AC$2128)&gt;0)*(N('Dvd Calendar'!$AC$2128)&lt;=VAL_SERIAL)*1000000+52*1000+65))</f>
        <v/>
      </c>
    </row>
    <row r="212">
      <c r="B212" s="2">
        <f>IF(HSCEI!$C$59="","",HSCEI!$C$59)</f>
        <v/>
      </c>
      <c r="C212" s="106">
        <f>IF(EE212="","",IF(ISNUMBER('Dvd Calendar'!$E$2136)=FALSE,"",IF((('Dvd Calendar'!$E$2138=TYPE1)*(TYPE1&lt;&gt;"")+('Dvd Calendar'!$E$2138=TYPE2)*(TYPE2&lt;&gt;"")+('Dvd Calendar'!$E$2138=TYPE3)*(TYPE3&lt;&gt;"")+('Dvd Calendar'!$E$2138=TYPE4)*(TYPE4&lt;&gt;"")+('Dvd Calendar'!$E$2138=SPECIAL_LBL)*(INC_SPECIALS="Y"))=0,"",'Dvd Calendar'!$E$2136)))</f>
        <v/>
      </c>
      <c r="D212" s="106">
        <f>IF(EF212="","",IF(ISNUMBER('Dvd Calendar'!$F$2136)=FALSE,"",IF((('Dvd Calendar'!$F$2138=TYPE1)*(TYPE1&lt;&gt;"")+('Dvd Calendar'!$F$2138=TYPE2)*(TYPE2&lt;&gt;"")+('Dvd Calendar'!$F$2138=TYPE3)*(TYPE3&lt;&gt;"")+('Dvd Calendar'!$F$2138=TYPE4)*(TYPE4&lt;&gt;"")+('Dvd Calendar'!$F$2138=SPECIAL_LBL)*(INC_SPECIALS="Y"))=0,"",'Dvd Calendar'!$F$2136)))</f>
        <v/>
      </c>
      <c r="E212" s="106">
        <f>IF(EG212="","",IF(ISNUMBER('Dvd Calendar'!$G$2136)=FALSE,"",IF((('Dvd Calendar'!$G$2138=TYPE1)*(TYPE1&lt;&gt;"")+('Dvd Calendar'!$G$2138=TYPE2)*(TYPE2&lt;&gt;"")+('Dvd Calendar'!$G$2138=TYPE3)*(TYPE3&lt;&gt;"")+('Dvd Calendar'!$G$2138=TYPE4)*(TYPE4&lt;&gt;"")+('Dvd Calendar'!$G$2138=SPECIAL_LBL)*(INC_SPECIALS="Y"))=0,"",'Dvd Calendar'!$G$2136)))</f>
        <v/>
      </c>
      <c r="F212" s="106">
        <f>IF(EH212="","",IF(ISNUMBER('Dvd Calendar'!$H$2136)=FALSE,"",IF((('Dvd Calendar'!$H$2138=TYPE1)*(TYPE1&lt;&gt;"")+('Dvd Calendar'!$H$2138=TYPE2)*(TYPE2&lt;&gt;"")+('Dvd Calendar'!$H$2138=TYPE3)*(TYPE3&lt;&gt;"")+('Dvd Calendar'!$H$2138=TYPE4)*(TYPE4&lt;&gt;"")+('Dvd Calendar'!$H$2138=SPECIAL_LBL)*(INC_SPECIALS="Y"))=0,"",'Dvd Calendar'!$H$2136)))</f>
        <v/>
      </c>
      <c r="G212" s="106">
        <f>IF(EI212="","",IF(ISNUMBER('Dvd Calendar'!$I$2136)=FALSE,"",IF((('Dvd Calendar'!$I$2138=TYPE1)*(TYPE1&lt;&gt;"")+('Dvd Calendar'!$I$2138=TYPE2)*(TYPE2&lt;&gt;"")+('Dvd Calendar'!$I$2138=TYPE3)*(TYPE3&lt;&gt;"")+('Dvd Calendar'!$I$2138=TYPE4)*(TYPE4&lt;&gt;"")+('Dvd Calendar'!$I$2138=SPECIAL_LBL)*(INC_SPECIALS="Y"))=0,"",'Dvd Calendar'!$I$2136)))</f>
        <v/>
      </c>
      <c r="H212" s="106">
        <f>IF(EJ212="","",IF(ISNUMBER('Dvd Calendar'!$J$2136)=FALSE,"",IF((('Dvd Calendar'!$J$2138=TYPE1)*(TYPE1&lt;&gt;"")+('Dvd Calendar'!$J$2138=TYPE2)*(TYPE2&lt;&gt;"")+('Dvd Calendar'!$J$2138=TYPE3)*(TYPE3&lt;&gt;"")+('Dvd Calendar'!$J$2138=TYPE4)*(TYPE4&lt;&gt;"")+('Dvd Calendar'!$J$2138=SPECIAL_LBL)*(INC_SPECIALS="Y"))=0,"",'Dvd Calendar'!$J$2136)))</f>
        <v/>
      </c>
      <c r="I212" s="106">
        <f>IF(EK212="","",IF(ISNUMBER('Dvd Calendar'!$K$2136)=FALSE,"",IF((('Dvd Calendar'!$K$2138=TYPE1)*(TYPE1&lt;&gt;"")+('Dvd Calendar'!$K$2138=TYPE2)*(TYPE2&lt;&gt;"")+('Dvd Calendar'!$K$2138=TYPE3)*(TYPE3&lt;&gt;"")+('Dvd Calendar'!$K$2138=TYPE4)*(TYPE4&lt;&gt;"")+('Dvd Calendar'!$K$2138=SPECIAL_LBL)*(INC_SPECIALS="Y"))=0,"",'Dvd Calendar'!$K$2136)))</f>
        <v/>
      </c>
      <c r="J212" s="106">
        <f>IF(EL212="","",IF(ISNUMBER('Dvd Calendar'!$L$2136)=FALSE,"",IF((('Dvd Calendar'!$L$2138=TYPE1)*(TYPE1&lt;&gt;"")+('Dvd Calendar'!$L$2138=TYPE2)*(TYPE2&lt;&gt;"")+('Dvd Calendar'!$L$2138=TYPE3)*(TYPE3&lt;&gt;"")+('Dvd Calendar'!$L$2138=TYPE4)*(TYPE4&lt;&gt;"")+('Dvd Calendar'!$L$2138=SPECIAL_LBL)*(INC_SPECIALS="Y"))=0,"",'Dvd Calendar'!$L$2136)))</f>
        <v/>
      </c>
      <c r="K212" s="106">
        <f>IF(EM212="","",IF(ISNUMBER('Dvd Calendar'!$M$2136)=FALSE,"",IF((('Dvd Calendar'!$M$2138=TYPE1)*(TYPE1&lt;&gt;"")+('Dvd Calendar'!$M$2138=TYPE2)*(TYPE2&lt;&gt;"")+('Dvd Calendar'!$M$2138=TYPE3)*(TYPE3&lt;&gt;"")+('Dvd Calendar'!$M$2138=TYPE4)*(TYPE4&lt;&gt;"")+('Dvd Calendar'!$M$2138=SPECIAL_LBL)*(INC_SPECIALS="Y"))=0,"",'Dvd Calendar'!$M$2136)))</f>
        <v/>
      </c>
      <c r="L212" s="106">
        <f>IF(EN212="","",IF(ISNUMBER('Dvd Calendar'!$N$2136)=FALSE,"",IF((('Dvd Calendar'!$N$2138=TYPE1)*(TYPE1&lt;&gt;"")+('Dvd Calendar'!$N$2138=TYPE2)*(TYPE2&lt;&gt;"")+('Dvd Calendar'!$N$2138=TYPE3)*(TYPE3&lt;&gt;"")+('Dvd Calendar'!$N$2138=TYPE4)*(TYPE4&lt;&gt;"")+('Dvd Calendar'!$N$2138=SPECIAL_LBL)*(INC_SPECIALS="Y"))=0,"",'Dvd Calendar'!$N$2136)))</f>
        <v/>
      </c>
      <c r="M212" s="106">
        <f>IF(EO212="","",IF(ISNUMBER('Dvd Calendar'!$O$2136)=FALSE,"",IF((('Dvd Calendar'!$O$2138=TYPE1)*(TYPE1&lt;&gt;"")+('Dvd Calendar'!$O$2138=TYPE2)*(TYPE2&lt;&gt;"")+('Dvd Calendar'!$O$2138=TYPE3)*(TYPE3&lt;&gt;"")+('Dvd Calendar'!$O$2138=TYPE4)*(TYPE4&lt;&gt;"")+('Dvd Calendar'!$O$2138=SPECIAL_LBL)*(INC_SPECIALS="Y"))=0,"",'Dvd Calendar'!$O$2136)))</f>
        <v/>
      </c>
      <c r="N212" s="106">
        <f>IF(EP212="","",IF(ISNUMBER('Dvd Calendar'!$P$2136)=FALSE,"",IF((('Dvd Calendar'!$P$2138=TYPE1)*(TYPE1&lt;&gt;"")+('Dvd Calendar'!$P$2138=TYPE2)*(TYPE2&lt;&gt;"")+('Dvd Calendar'!$P$2138=TYPE3)*(TYPE3&lt;&gt;"")+('Dvd Calendar'!$P$2138=TYPE4)*(TYPE4&lt;&gt;"")+('Dvd Calendar'!$P$2138=SPECIAL_LBL)*(INC_SPECIALS="Y"))=0,"",'Dvd Calendar'!$P$2136)))</f>
        <v/>
      </c>
      <c r="O212" s="106">
        <f>IF(EQ212="","",IF(ISNUMBER('Dvd Calendar'!$Q$2136)=FALSE,"",IF((('Dvd Calendar'!$Q$2138=TYPE1)*(TYPE1&lt;&gt;"")+('Dvd Calendar'!$Q$2138=TYPE2)*(TYPE2&lt;&gt;"")+('Dvd Calendar'!$Q$2138=TYPE3)*(TYPE3&lt;&gt;"")+('Dvd Calendar'!$Q$2138=TYPE4)*(TYPE4&lt;&gt;"")+('Dvd Calendar'!$Q$2138=SPECIAL_LBL)*(INC_SPECIALS="Y"))=0,"",'Dvd Calendar'!$Q$2136)))</f>
        <v/>
      </c>
      <c r="P212" s="106">
        <f>IF(ER212="","",IF(ISNUMBER('Dvd Calendar'!$R$2136)=FALSE,"",IF((('Dvd Calendar'!$R$2138=TYPE1)*(TYPE1&lt;&gt;"")+('Dvd Calendar'!$R$2138=TYPE2)*(TYPE2&lt;&gt;"")+('Dvd Calendar'!$R$2138=TYPE3)*(TYPE3&lt;&gt;"")+('Dvd Calendar'!$R$2138=TYPE4)*(TYPE4&lt;&gt;"")+('Dvd Calendar'!$R$2138=SPECIAL_LBL)*(INC_SPECIALS="Y"))=0,"",'Dvd Calendar'!$R$2136)))</f>
        <v/>
      </c>
      <c r="Q212" s="106">
        <f>IF(ES212="","",IF(ISNUMBER('Dvd Calendar'!$S$2136)=FALSE,"",IF((('Dvd Calendar'!$S$2138=TYPE1)*(TYPE1&lt;&gt;"")+('Dvd Calendar'!$S$2138=TYPE2)*(TYPE2&lt;&gt;"")+('Dvd Calendar'!$S$2138=TYPE3)*(TYPE3&lt;&gt;"")+('Dvd Calendar'!$S$2138=TYPE4)*(TYPE4&lt;&gt;"")+('Dvd Calendar'!$S$2138=SPECIAL_LBL)*(INC_SPECIALS="Y"))=0,"",'Dvd Calendar'!$S$2136)))</f>
        <v/>
      </c>
      <c r="R212" s="106">
        <f>IF(ET212="","",IF(ISNUMBER('Dvd Calendar'!$T$2136)=FALSE,"",IF((('Dvd Calendar'!$T$2138=TYPE1)*(TYPE1&lt;&gt;"")+('Dvd Calendar'!$T$2138=TYPE2)*(TYPE2&lt;&gt;"")+('Dvd Calendar'!$T$2138=TYPE3)*(TYPE3&lt;&gt;"")+('Dvd Calendar'!$T$2138=TYPE4)*(TYPE4&lt;&gt;"")+('Dvd Calendar'!$T$2138=SPECIAL_LBL)*(INC_SPECIALS="Y"))=0,"",'Dvd Calendar'!$T$2136)))</f>
        <v/>
      </c>
      <c r="S212" s="106">
        <f>IF(EU212="","",IF(ISNUMBER('Dvd Calendar'!$U$2136)=FALSE,"",IF((('Dvd Calendar'!$U$2138=TYPE1)*(TYPE1&lt;&gt;"")+('Dvd Calendar'!$U$2138=TYPE2)*(TYPE2&lt;&gt;"")+('Dvd Calendar'!$U$2138=TYPE3)*(TYPE3&lt;&gt;"")+('Dvd Calendar'!$U$2138=TYPE4)*(TYPE4&lt;&gt;"")+('Dvd Calendar'!$U$2138=SPECIAL_LBL)*(INC_SPECIALS="Y"))=0,"",'Dvd Calendar'!$U$2136)))</f>
        <v/>
      </c>
      <c r="T212" s="106">
        <f>IF(EV212="","",IF(ISNUMBER('Dvd Calendar'!$V$2136)=FALSE,"",IF((('Dvd Calendar'!$V$2138=TYPE1)*(TYPE1&lt;&gt;"")+('Dvd Calendar'!$V$2138=TYPE2)*(TYPE2&lt;&gt;"")+('Dvd Calendar'!$V$2138=TYPE3)*(TYPE3&lt;&gt;"")+('Dvd Calendar'!$V$2138=TYPE4)*(TYPE4&lt;&gt;"")+('Dvd Calendar'!$V$2138=SPECIAL_LBL)*(INC_SPECIALS="Y"))=0,"",'Dvd Calendar'!$V$2136)))</f>
        <v/>
      </c>
      <c r="U212" s="106">
        <f>IF(EW212="","",IF(ISNUMBER('Dvd Calendar'!$W$2136)=FALSE,"",IF((('Dvd Calendar'!$W$2138=TYPE1)*(TYPE1&lt;&gt;"")+('Dvd Calendar'!$W$2138=TYPE2)*(TYPE2&lt;&gt;"")+('Dvd Calendar'!$W$2138=TYPE3)*(TYPE3&lt;&gt;"")+('Dvd Calendar'!$W$2138=TYPE4)*(TYPE4&lt;&gt;"")+('Dvd Calendar'!$W$2138=SPECIAL_LBL)*(INC_SPECIALS="Y"))=0,"",'Dvd Calendar'!$W$2136)))</f>
        <v/>
      </c>
      <c r="V212" s="106">
        <f>IF(EX212="","",IF(ISNUMBER('Dvd Calendar'!$X$2136)=FALSE,"",IF((('Dvd Calendar'!$X$2138=TYPE1)*(TYPE1&lt;&gt;"")+('Dvd Calendar'!$X$2138=TYPE2)*(TYPE2&lt;&gt;"")+('Dvd Calendar'!$X$2138=TYPE3)*(TYPE3&lt;&gt;"")+('Dvd Calendar'!$X$2138=TYPE4)*(TYPE4&lt;&gt;"")+('Dvd Calendar'!$X$2138=SPECIAL_LBL)*(INC_SPECIALS="Y"))=0,"",'Dvd Calendar'!$X$2136)))</f>
        <v/>
      </c>
      <c r="W212" s="106">
        <f>IF(EY212="","",IF(ISNUMBER('Dvd Calendar'!$Y$2136)=FALSE,"",IF((('Dvd Calendar'!$Y$2138=TYPE1)*(TYPE1&lt;&gt;"")+('Dvd Calendar'!$Y$2138=TYPE2)*(TYPE2&lt;&gt;"")+('Dvd Calendar'!$Y$2138=TYPE3)*(TYPE3&lt;&gt;"")+('Dvd Calendar'!$Y$2138=TYPE4)*(TYPE4&lt;&gt;"")+('Dvd Calendar'!$Y$2138=SPECIAL_LBL)*(INC_SPECIALS="Y"))=0,"",'Dvd Calendar'!$Y$2136)))</f>
        <v/>
      </c>
      <c r="X212" s="106">
        <f>IF(EZ212="","",IF(ISNUMBER('Dvd Calendar'!$Z$2136)=FALSE,"",IF((('Dvd Calendar'!$Z$2138=TYPE1)*(TYPE1&lt;&gt;"")+('Dvd Calendar'!$Z$2138=TYPE2)*(TYPE2&lt;&gt;"")+('Dvd Calendar'!$Z$2138=TYPE3)*(TYPE3&lt;&gt;"")+('Dvd Calendar'!$Z$2138=TYPE4)*(TYPE4&lt;&gt;"")+('Dvd Calendar'!$Z$2138=SPECIAL_LBL)*(INC_SPECIALS="Y"))=0,"",'Dvd Calendar'!$Z$2136)))</f>
        <v/>
      </c>
      <c r="Y212" s="106">
        <f>IF(FA212="","",IF(ISNUMBER('Dvd Calendar'!$AA$2136)=FALSE,"",IF((('Dvd Calendar'!$AA$2138=TYPE1)*(TYPE1&lt;&gt;"")+('Dvd Calendar'!$AA$2138=TYPE2)*(TYPE2&lt;&gt;"")+('Dvd Calendar'!$AA$2138=TYPE3)*(TYPE3&lt;&gt;"")+('Dvd Calendar'!$AA$2138=TYPE4)*(TYPE4&lt;&gt;"")+('Dvd Calendar'!$AA$2138=SPECIAL_LBL)*(INC_SPECIALS="Y"))=0,"",'Dvd Calendar'!$AA$2136)))</f>
        <v/>
      </c>
      <c r="Z212" s="106">
        <f>IF(FB212="","",IF(ISNUMBER('Dvd Calendar'!$AB$2136)=FALSE,"",IF((('Dvd Calendar'!$AB$2138=TYPE1)*(TYPE1&lt;&gt;"")+('Dvd Calendar'!$AB$2138=TYPE2)*(TYPE2&lt;&gt;"")+('Dvd Calendar'!$AB$2138=TYPE3)*(TYPE3&lt;&gt;"")+('Dvd Calendar'!$AB$2138=TYPE4)*(TYPE4&lt;&gt;"")+('Dvd Calendar'!$AB$2138=SPECIAL_LBL)*(INC_SPECIALS="Y"))=0,"",'Dvd Calendar'!$AB$2136)))</f>
        <v/>
      </c>
      <c r="AA212" s="106">
        <f>IF(FC212="","",IF(ISNUMBER('Dvd Calendar'!$AC$2136)=FALSE,"",IF((('Dvd Calendar'!$AC$2138=TYPE1)*(TYPE1&lt;&gt;"")+('Dvd Calendar'!$AC$2138=TYPE2)*(TYPE2&lt;&gt;"")+('Dvd Calendar'!$AC$2138=TYPE3)*(TYPE3&lt;&gt;"")+('Dvd Calendar'!$AC$2138=TYPE4)*(TYPE4&lt;&gt;"")+('Dvd Calendar'!$AC$2138=SPECIAL_LBL)*(INC_SPECIALS="Y"))=0,"",'Dvd Calendar'!$AC$2136)))</f>
        <v/>
      </c>
      <c r="AB212" s="106">
        <f>IF(FD212="","",IF(ISNUMBER('Dvd Calendar'!$AD$2136)=FALSE,"",IF((('Dvd Calendar'!$AD$2138=TYPE1)*(TYPE1&lt;&gt;"")+('Dvd Calendar'!$AD$2138=TYPE2)*(TYPE2&lt;&gt;"")+('Dvd Calendar'!$AD$2138=TYPE3)*(TYPE3&lt;&gt;"")+('Dvd Calendar'!$AD$2138=TYPE4)*(TYPE4&lt;&gt;"")+('Dvd Calendar'!$AD$2138=SPECIAL_LBL)*(INC_SPECIALS="Y"))=0,"",'Dvd Calendar'!$AD$2136)))</f>
        <v/>
      </c>
      <c r="AC212" s="106">
        <f>IF(FE212="","",IF(ISNUMBER('Dvd Calendar'!$AE$2136)=FALSE,"",IF((('Dvd Calendar'!$AE$2138=TYPE1)*(TYPE1&lt;&gt;"")+('Dvd Calendar'!$AE$2138=TYPE2)*(TYPE2&lt;&gt;"")+('Dvd Calendar'!$AE$2138=TYPE3)*(TYPE3&lt;&gt;"")+('Dvd Calendar'!$AE$2138=TYPE4)*(TYPE4&lt;&gt;"")+('Dvd Calendar'!$AE$2138=SPECIAL_LBL)*(INC_SPECIALS="Y"))=0,"",'Dvd Calendar'!$AE$2136)))</f>
        <v/>
      </c>
      <c r="AD212" s="106">
        <f>IF(FF212="","",IF(ISNUMBER('Dvd Calendar'!$AF$2136)=FALSE,"",IF((('Dvd Calendar'!$AF$2138=TYPE1)*(TYPE1&lt;&gt;"")+('Dvd Calendar'!$AF$2138=TYPE2)*(TYPE2&lt;&gt;"")+('Dvd Calendar'!$AF$2138=TYPE3)*(TYPE3&lt;&gt;"")+('Dvd Calendar'!$AF$2138=TYPE4)*(TYPE4&lt;&gt;"")+('Dvd Calendar'!$AF$2138=SPECIAL_LBL)*(INC_SPECIALS="Y"))=0,"",'Dvd Calendar'!$AF$2136)))</f>
        <v/>
      </c>
      <c r="AE212" s="106">
        <f>IF(FG212="","",IF(ISNUMBER('Dvd Calendar'!$AG$2136)=FALSE,"",IF((('Dvd Calendar'!$AG$2138=TYPE1)*(TYPE1&lt;&gt;"")+('Dvd Calendar'!$AG$2138=TYPE2)*(TYPE2&lt;&gt;"")+('Dvd Calendar'!$AG$2138=TYPE3)*(TYPE3&lt;&gt;"")+('Dvd Calendar'!$AG$2138=TYPE4)*(TYPE4&lt;&gt;"")+('Dvd Calendar'!$AG$2138=SPECIAL_LBL)*(INC_SPECIALS="Y"))=0,"",'Dvd Calendar'!$AG$2136)))</f>
        <v/>
      </c>
      <c r="AF212" s="106">
        <f>IF(FH212="","",IF(ISNUMBER('Dvd Calendar'!$AH$2136)=FALSE,"",IF((('Dvd Calendar'!$AH$2138=TYPE1)*(TYPE1&lt;&gt;"")+('Dvd Calendar'!$AH$2138=TYPE2)*(TYPE2&lt;&gt;"")+('Dvd Calendar'!$AH$2138=TYPE3)*(TYPE3&lt;&gt;"")+('Dvd Calendar'!$AH$2138=TYPE4)*(TYPE4&lt;&gt;"")+('Dvd Calendar'!$AH$2138=SPECIAL_LBL)*(INC_SPECIALS="Y"))=0,"",'Dvd Calendar'!$AH$2136)))</f>
        <v/>
      </c>
      <c r="AG212" s="106">
        <f>IF(FI212="","",IF(ISNUMBER('Dvd Calendar'!$AI$2136)=FALSE,"",IF((('Dvd Calendar'!$AI$2138=TYPE1)*(TYPE1&lt;&gt;"")+('Dvd Calendar'!$AI$2138=TYPE2)*(TYPE2&lt;&gt;"")+('Dvd Calendar'!$AI$2138=TYPE3)*(TYPE3&lt;&gt;"")+('Dvd Calendar'!$AI$2138=TYPE4)*(TYPE4&lt;&gt;"")+('Dvd Calendar'!$AI$2138=SPECIAL_LBL)*(INC_SPECIALS="Y"))=0,"",'Dvd Calendar'!$AI$2136)))</f>
        <v/>
      </c>
      <c r="AH212" s="106">
        <f>IF(FJ212="","",IF(ISNUMBER('Dvd Calendar'!$AJ$2136)=FALSE,"",IF((('Dvd Calendar'!$AJ$2138=TYPE1)*(TYPE1&lt;&gt;"")+('Dvd Calendar'!$AJ$2138=TYPE2)*(TYPE2&lt;&gt;"")+('Dvd Calendar'!$AJ$2138=TYPE3)*(TYPE3&lt;&gt;"")+('Dvd Calendar'!$AJ$2138=TYPE4)*(TYPE4&lt;&gt;"")+('Dvd Calendar'!$AJ$2138=SPECIAL_LBL)*(INC_SPECIALS="Y"))=0,"",'Dvd Calendar'!$AJ$2136)))</f>
        <v/>
      </c>
      <c r="AI212" s="106">
        <f>IF(FK212="","",IF(ISNUMBER('Dvd Calendar'!$AK$2136)=FALSE,"",IF((('Dvd Calendar'!$AK$2138=TYPE1)*(TYPE1&lt;&gt;"")+('Dvd Calendar'!$AK$2138=TYPE2)*(TYPE2&lt;&gt;"")+('Dvd Calendar'!$AK$2138=TYPE3)*(TYPE3&lt;&gt;"")+('Dvd Calendar'!$AK$2138=TYPE4)*(TYPE4&lt;&gt;"")+('Dvd Calendar'!$AK$2138=SPECIAL_LBL)*(INC_SPECIALS="Y"))=0,"",'Dvd Calendar'!$AK$2136)))</f>
        <v/>
      </c>
      <c r="AJ212" s="106">
        <f>IF(FL212="","",IF(ISNUMBER('Dvd Calendar'!$AL$2136)=FALSE,"",IF((('Dvd Calendar'!$AL$2138=TYPE1)*(TYPE1&lt;&gt;"")+('Dvd Calendar'!$AL$2138=TYPE2)*(TYPE2&lt;&gt;"")+('Dvd Calendar'!$AL$2138=TYPE3)*(TYPE3&lt;&gt;"")+('Dvd Calendar'!$AL$2138=TYPE4)*(TYPE4&lt;&gt;"")+('Dvd Calendar'!$AL$2138=SPECIAL_LBL)*(INC_SPECIALS="Y"))=0,"",'Dvd Calendar'!$AL$2136)))</f>
        <v/>
      </c>
      <c r="AK212" s="106">
        <f>IF(FM212="","",IF(ISNUMBER('Dvd Calendar'!$AM$2136)=FALSE,"",IF((('Dvd Calendar'!$AM$2138=TYPE1)*(TYPE1&lt;&gt;"")+('Dvd Calendar'!$AM$2138=TYPE2)*(TYPE2&lt;&gt;"")+('Dvd Calendar'!$AM$2138=TYPE3)*(TYPE3&lt;&gt;"")+('Dvd Calendar'!$AM$2138=TYPE4)*(TYPE4&lt;&gt;"")+('Dvd Calendar'!$AM$2138=SPECIAL_LBL)*(INC_SPECIALS="Y"))=0,"",'Dvd Calendar'!$AM$2136)))</f>
        <v/>
      </c>
      <c r="AL212" s="106">
        <f>IF(FN212="","",IF(ISNUMBER('Dvd Calendar'!$AN$2136)=FALSE,"",IF((('Dvd Calendar'!$AN$2138=TYPE1)*(TYPE1&lt;&gt;"")+('Dvd Calendar'!$AN$2138=TYPE2)*(TYPE2&lt;&gt;"")+('Dvd Calendar'!$AN$2138=TYPE3)*(TYPE3&lt;&gt;"")+('Dvd Calendar'!$AN$2138=TYPE4)*(TYPE4&lt;&gt;"")+('Dvd Calendar'!$AN$2138=SPECIAL_LBL)*(INC_SPECIALS="Y"))=0,"",'Dvd Calendar'!$AN$2136)))</f>
        <v/>
      </c>
      <c r="AM212" s="106">
        <f>IF(FO212="","",IF(ISNUMBER('Dvd Calendar'!$AO$2136)=FALSE,"",IF((('Dvd Calendar'!$AO$2138=TYPE1)*(TYPE1&lt;&gt;"")+('Dvd Calendar'!$AO$2138=TYPE2)*(TYPE2&lt;&gt;"")+('Dvd Calendar'!$AO$2138=TYPE3)*(TYPE3&lt;&gt;"")+('Dvd Calendar'!$AO$2138=TYPE4)*(TYPE4&lt;&gt;"")+('Dvd Calendar'!$AO$2138=SPECIAL_LBL)*(INC_SPECIALS="Y"))=0,"",'Dvd Calendar'!$AO$2136)))</f>
        <v/>
      </c>
      <c r="AN212" s="106">
        <f>IF(FP212="","",IF(ISNUMBER('Dvd Calendar'!$AP$2136)=FALSE,"",IF((('Dvd Calendar'!$AP$2138=TYPE1)*(TYPE1&lt;&gt;"")+('Dvd Calendar'!$AP$2138=TYPE2)*(TYPE2&lt;&gt;"")+('Dvd Calendar'!$AP$2138=TYPE3)*(TYPE3&lt;&gt;"")+('Dvd Calendar'!$AP$2138=TYPE4)*(TYPE4&lt;&gt;"")+('Dvd Calendar'!$AP$2138=SPECIAL_LBL)*(INC_SPECIALS="Y"))=0,"",'Dvd Calendar'!$AP$2136)))</f>
        <v/>
      </c>
      <c r="AO212" s="106">
        <f>IF(FQ212="","",IF(ISNUMBER('Dvd Calendar'!$AQ$2136)=FALSE,"",IF((('Dvd Calendar'!$AQ$2138=TYPE1)*(TYPE1&lt;&gt;"")+('Dvd Calendar'!$AQ$2138=TYPE2)*(TYPE2&lt;&gt;"")+('Dvd Calendar'!$AQ$2138=TYPE3)*(TYPE3&lt;&gt;"")+('Dvd Calendar'!$AQ$2138=TYPE4)*(TYPE4&lt;&gt;"")+('Dvd Calendar'!$AQ$2138=SPECIAL_LBL)*(INC_SPECIALS="Y"))=0,"",'Dvd Calendar'!$AQ$2136)))</f>
        <v/>
      </c>
      <c r="AP212" s="106">
        <f>IF(FR212="","",IF(ISNUMBER('Dvd Calendar'!$AR$2136)=FALSE,"",IF((('Dvd Calendar'!$AR$2138=TYPE1)*(TYPE1&lt;&gt;"")+('Dvd Calendar'!$AR$2138=TYPE2)*(TYPE2&lt;&gt;"")+('Dvd Calendar'!$AR$2138=TYPE3)*(TYPE3&lt;&gt;"")+('Dvd Calendar'!$AR$2138=TYPE4)*(TYPE4&lt;&gt;"")+('Dvd Calendar'!$AR$2138=SPECIAL_LBL)*(INC_SPECIALS="Y"))=0,"",'Dvd Calendar'!$AR$2136)))</f>
        <v/>
      </c>
      <c r="AQ212" s="106">
        <f>IF(FS212="","",IF(ISNUMBER('Dvd Calendar'!$E$2141)=FALSE,"",'Dvd Calendar'!$E$2141))</f>
        <v/>
      </c>
      <c r="AR212" s="106">
        <f>IF(FT212="","",IF(ISNUMBER('Dvd Calendar'!$F$2141)=FALSE,"",'Dvd Calendar'!$F$2141))</f>
        <v/>
      </c>
      <c r="AS212" s="106">
        <f>IF(FU212="","",IF(ISNUMBER('Dvd Calendar'!$G$2141)=FALSE,"",'Dvd Calendar'!$G$2141))</f>
        <v/>
      </c>
      <c r="AT212" s="106">
        <f>IF(FV212="","",IF(ISNUMBER('Dvd Calendar'!$H$2141)=FALSE,"",'Dvd Calendar'!$H$2141))</f>
        <v/>
      </c>
      <c r="AU212" s="106">
        <f>IF(FW212="","",IF(ISNUMBER('Dvd Calendar'!$I$2141)=FALSE,"",'Dvd Calendar'!$I$2141))</f>
        <v/>
      </c>
      <c r="AV212" s="106">
        <f>IF(FX212="","",IF(ISNUMBER('Dvd Calendar'!$J$2141)=FALSE,"",'Dvd Calendar'!$J$2141))</f>
        <v/>
      </c>
      <c r="AW212" s="106">
        <f>IF(FY212="","",IF(ISNUMBER('Dvd Calendar'!$K$2141)=FALSE,"",'Dvd Calendar'!$K$2141))</f>
        <v/>
      </c>
      <c r="AX212" s="106">
        <f>IF(FZ212="","",IF(ISNUMBER('Dvd Calendar'!$L$2141)=FALSE,"",'Dvd Calendar'!$L$2141))</f>
        <v/>
      </c>
      <c r="AY212" s="106">
        <f>IF(GA212="","",IF(ISNUMBER('Dvd Calendar'!$M$2141)=FALSE,"",'Dvd Calendar'!$M$2141))</f>
        <v/>
      </c>
      <c r="AZ212" s="106">
        <f>IF(GB212="","",IF(ISNUMBER('Dvd Calendar'!$N$2141)=FALSE,"",'Dvd Calendar'!$N$2141))</f>
        <v/>
      </c>
      <c r="BA212" s="106">
        <f>IF(GC212="","",IF(ISNUMBER('Dvd Calendar'!$O$2141)=FALSE,"",'Dvd Calendar'!$O$2141))</f>
        <v/>
      </c>
      <c r="BB212" s="106">
        <f>IF(GD212="","",IF(ISNUMBER('Dvd Calendar'!$P$2141)=FALSE,"",'Dvd Calendar'!$P$2141))</f>
        <v/>
      </c>
      <c r="BC212" s="106">
        <f>IF(GE212="","",IF(ISNUMBER('Dvd Calendar'!$Q$2141)=FALSE,"",'Dvd Calendar'!$Q$2141))</f>
        <v/>
      </c>
      <c r="BD212" s="106">
        <f>IF(GF212="","",IF(ISNUMBER('Dvd Calendar'!$R$2141)=FALSE,"",'Dvd Calendar'!$R$2141))</f>
        <v/>
      </c>
      <c r="BE212" s="106">
        <f>IF(GG212="","",IF(ISNUMBER('Dvd Calendar'!$S$2141)=FALSE,"",'Dvd Calendar'!$S$2141))</f>
        <v/>
      </c>
      <c r="BF212" s="106">
        <f>IF(GH212="","",IF(ISNUMBER('Dvd Calendar'!$T$2141)=FALSE,"",'Dvd Calendar'!$T$2141))</f>
        <v/>
      </c>
      <c r="BG212" s="106">
        <f>IF(GI212="","",IF(ISNUMBER('Dvd Calendar'!$U$2141)=FALSE,"",'Dvd Calendar'!$U$2141))</f>
        <v/>
      </c>
      <c r="BH212" s="106">
        <f>IF(GJ212="","",IF(ISNUMBER('Dvd Calendar'!$V$2141)=FALSE,"",'Dvd Calendar'!$V$2141))</f>
        <v/>
      </c>
      <c r="BI212" s="106">
        <f>IF(GK212="","",IF(ISNUMBER('Dvd Calendar'!$W$2141)=FALSE,"",'Dvd Calendar'!$W$2141))</f>
        <v/>
      </c>
      <c r="BJ212" s="106">
        <f>IF(GL212="","",IF(ISNUMBER('Dvd Calendar'!$X$2141)=FALSE,"",'Dvd Calendar'!$X$2141))</f>
        <v/>
      </c>
      <c r="BK212" s="106">
        <f>IF(GM212="","",IF(ISNUMBER('Dvd Calendar'!$Y$2141)=FALSE,"",'Dvd Calendar'!$Y$2141))</f>
        <v/>
      </c>
      <c r="BL212" s="106">
        <f>IF(GN212="","",IF(ISNUMBER('Dvd Calendar'!$Z$2141)=FALSE,"",'Dvd Calendar'!$Z$2141))</f>
        <v/>
      </c>
      <c r="BM212" s="106">
        <f>IF(GO212="","",IF(ISNUMBER('Dvd Calendar'!$AA$2141)=FALSE,"",'Dvd Calendar'!$AA$2141))</f>
        <v/>
      </c>
      <c r="BN212" s="106">
        <f>IF(GP212="","",IF(ISNUMBER('Dvd Calendar'!$AB$2141)=FALSE,"",'Dvd Calendar'!$AB$2141))</f>
        <v/>
      </c>
      <c r="BO212" s="106">
        <f>IF(GQ212="","",IF(ISNUMBER('Dvd Calendar'!$AC$2141)=FALSE,"",'Dvd Calendar'!$AC$2141))</f>
        <v/>
      </c>
      <c r="BQ212" s="106">
        <f>IF(C212="","",IFERROR(C212*HSCEI!$B$59*HSCEI!$G$59/HSCEI!$B$3,""))</f>
        <v/>
      </c>
      <c r="BR212" s="106">
        <f>IF(D212="","",IFERROR(D212*HSCEI!$B$59*HSCEI!$G$59/HSCEI!$B$3,""))</f>
        <v/>
      </c>
      <c r="BS212" s="106">
        <f>IF(E212="","",IFERROR(E212*HSCEI!$B$59*HSCEI!$G$59/HSCEI!$B$3,""))</f>
        <v/>
      </c>
      <c r="BT212" s="106">
        <f>IF(F212="","",IFERROR(F212*HSCEI!$B$59*HSCEI!$G$59/HSCEI!$B$3,""))</f>
        <v/>
      </c>
      <c r="BU212" s="106">
        <f>IF(G212="","",IFERROR(G212*HSCEI!$B$59*HSCEI!$G$59/HSCEI!$B$3,""))</f>
        <v/>
      </c>
      <c r="BV212" s="106">
        <f>IF(H212="","",IFERROR(H212*HSCEI!$B$59*HSCEI!$G$59/HSCEI!$B$3,""))</f>
        <v/>
      </c>
      <c r="BW212" s="106">
        <f>IF(I212="","",IFERROR(I212*HSCEI!$B$59*HSCEI!$G$59/HSCEI!$B$3,""))</f>
        <v/>
      </c>
      <c r="BX212" s="106">
        <f>IF(J212="","",IFERROR(J212*HSCEI!$B$59*HSCEI!$G$59/HSCEI!$B$3,""))</f>
        <v/>
      </c>
      <c r="BY212" s="106">
        <f>IF(K212="","",IFERROR(K212*HSCEI!$B$59*HSCEI!$G$59/HSCEI!$B$3,""))</f>
        <v/>
      </c>
      <c r="BZ212" s="106">
        <f>IF(L212="","",IFERROR(L212*HSCEI!$B$59*HSCEI!$G$59/HSCEI!$B$3,""))</f>
        <v/>
      </c>
      <c r="CA212" s="106">
        <f>IF(M212="","",IFERROR(M212*HSCEI!$B$59*HSCEI!$G$59/HSCEI!$B$3,""))</f>
        <v/>
      </c>
      <c r="CB212" s="106">
        <f>IF(N212="","",IFERROR(N212*HSCEI!$B$59*HSCEI!$G$59/HSCEI!$B$3,""))</f>
        <v/>
      </c>
      <c r="CC212" s="106">
        <f>IF(O212="","",IFERROR(O212*HSCEI!$B$59*HSCEI!$G$59/HSCEI!$B$3,""))</f>
        <v/>
      </c>
      <c r="CD212" s="106">
        <f>IF(P212="","",IFERROR(P212*HSCEI!$B$59*HSCEI!$G$59/HSCEI!$B$3,""))</f>
        <v/>
      </c>
      <c r="CE212" s="106">
        <f>IF(Q212="","",IFERROR(Q212*HSCEI!$B$59*HSCEI!$G$59/HSCEI!$B$3,""))</f>
        <v/>
      </c>
      <c r="CF212" s="106">
        <f>IF(R212="","",IFERROR(R212*HSCEI!$B$59*HSCEI!$G$59/HSCEI!$B$3,""))</f>
        <v/>
      </c>
      <c r="CG212" s="106">
        <f>IF(S212="","",IFERROR(S212*HSCEI!$B$59*HSCEI!$G$59/HSCEI!$B$3,""))</f>
        <v/>
      </c>
      <c r="CH212" s="106">
        <f>IF(T212="","",IFERROR(T212*HSCEI!$B$59*HSCEI!$G$59/HSCEI!$B$3,""))</f>
        <v/>
      </c>
      <c r="CI212" s="106">
        <f>IF(U212="","",IFERROR(U212*HSCEI!$B$59*HSCEI!$G$59/HSCEI!$B$3,""))</f>
        <v/>
      </c>
      <c r="CJ212" s="106">
        <f>IF(V212="","",IFERROR(V212*HSCEI!$B$59*HSCEI!$G$59/HSCEI!$B$3,""))</f>
        <v/>
      </c>
      <c r="CK212" s="106">
        <f>IF(W212="","",IFERROR(W212*HSCEI!$B$59*HSCEI!$G$59/HSCEI!$B$3,""))</f>
        <v/>
      </c>
      <c r="CL212" s="106">
        <f>IF(X212="","",IFERROR(X212*HSCEI!$B$59*HSCEI!$G$59/HSCEI!$B$3,""))</f>
        <v/>
      </c>
      <c r="CM212" s="106">
        <f>IF(Y212="","",IFERROR(Y212*HSCEI!$B$59*HSCEI!$G$59/HSCEI!$B$3,""))</f>
        <v/>
      </c>
      <c r="CN212" s="106">
        <f>IF(Z212="","",IFERROR(Z212*HSCEI!$B$59*HSCEI!$G$59/HSCEI!$B$3,""))</f>
        <v/>
      </c>
      <c r="CO212" s="106">
        <f>IF(AA212="","",IFERROR(AA212*HSCEI!$B$59*HSCEI!$G$59/HSCEI!$B$3,""))</f>
        <v/>
      </c>
      <c r="CP212" s="106">
        <f>IF(AB212="","",IFERROR(AB212*HSCEI!$B$59*HSCEI!$G$59/HSCEI!$B$3,""))</f>
        <v/>
      </c>
      <c r="CQ212" s="106">
        <f>IF(AC212="","",IFERROR(AC212*HSCEI!$B$59*HSCEI!$G$59/HSCEI!$B$3,""))</f>
        <v/>
      </c>
      <c r="CR212" s="106">
        <f>IF(AD212="","",IFERROR(AD212*HSCEI!$B$59*HSCEI!$G$59/HSCEI!$B$3,""))</f>
        <v/>
      </c>
      <c r="CS212" s="106">
        <f>IF(AE212="","",IFERROR(AE212*HSCEI!$B$59*HSCEI!$G$59/HSCEI!$B$3,""))</f>
        <v/>
      </c>
      <c r="CT212" s="106">
        <f>IF(AF212="","",IFERROR(AF212*HSCEI!$B$59*HSCEI!$G$59/HSCEI!$B$3,""))</f>
        <v/>
      </c>
      <c r="CU212" s="106">
        <f>IF(AG212="","",IFERROR(AG212*HSCEI!$B$59*HSCEI!$G$59/HSCEI!$B$3,""))</f>
        <v/>
      </c>
      <c r="CV212" s="106">
        <f>IF(AH212="","",IFERROR(AH212*HSCEI!$B$59*HSCEI!$G$59/HSCEI!$B$3,""))</f>
        <v/>
      </c>
      <c r="CW212" s="106">
        <f>IF(AI212="","",IFERROR(AI212*HSCEI!$B$59*HSCEI!$G$59/HSCEI!$B$3,""))</f>
        <v/>
      </c>
      <c r="CX212" s="106">
        <f>IF(AJ212="","",IFERROR(AJ212*HSCEI!$B$59*HSCEI!$G$59/HSCEI!$B$3,""))</f>
        <v/>
      </c>
      <c r="CY212" s="106">
        <f>IF(AK212="","",IFERROR(AK212*HSCEI!$B$59*HSCEI!$G$59/HSCEI!$B$3,""))</f>
        <v/>
      </c>
      <c r="CZ212" s="106">
        <f>IF(AL212="","",IFERROR(AL212*HSCEI!$B$59*HSCEI!$G$59/HSCEI!$B$3,""))</f>
        <v/>
      </c>
      <c r="DA212" s="106">
        <f>IF(AM212="","",IFERROR(AM212*HSCEI!$B$59*HSCEI!$G$59/HSCEI!$B$3,""))</f>
        <v/>
      </c>
      <c r="DB212" s="106">
        <f>IF(AN212="","",IFERROR(AN212*HSCEI!$B$59*HSCEI!$G$59/HSCEI!$B$3,""))</f>
        <v/>
      </c>
      <c r="DC212" s="106">
        <f>IF(AO212="","",IFERROR(AO212*HSCEI!$B$59*HSCEI!$G$59/HSCEI!$B$3,""))</f>
        <v/>
      </c>
      <c r="DD212" s="106">
        <f>IF(AP212="","",IFERROR(AP212*HSCEI!$B$59*HSCEI!$G$59/HSCEI!$B$3,""))</f>
        <v/>
      </c>
      <c r="DE212" s="106">
        <f>IF(AQ212="","",IFERROR(AQ212*HSCEI!$B$59*HSCEI!$G$59/HSCEI!$B$3,""))</f>
        <v/>
      </c>
      <c r="DF212" s="106">
        <f>IF(AR212="","",IFERROR(AR212*HSCEI!$B$59*HSCEI!$G$59/HSCEI!$B$3,""))</f>
        <v/>
      </c>
      <c r="DG212" s="106">
        <f>IF(AS212="","",IFERROR(AS212*HSCEI!$B$59*HSCEI!$G$59/HSCEI!$B$3,""))</f>
        <v/>
      </c>
      <c r="DH212" s="106">
        <f>IF(AT212="","",IFERROR(AT212*HSCEI!$B$59*HSCEI!$G$59/HSCEI!$B$3,""))</f>
        <v/>
      </c>
      <c r="DI212" s="106">
        <f>IF(AU212="","",IFERROR(AU212*HSCEI!$B$59*HSCEI!$G$59/HSCEI!$B$3,""))</f>
        <v/>
      </c>
      <c r="DJ212" s="106">
        <f>IF(AV212="","",IFERROR(AV212*HSCEI!$B$59*HSCEI!$G$59/HSCEI!$B$3,""))</f>
        <v/>
      </c>
      <c r="DK212" s="106">
        <f>IF(AW212="","",IFERROR(AW212*HSCEI!$B$59*HSCEI!$G$59/HSCEI!$B$3,""))</f>
        <v/>
      </c>
      <c r="DL212" s="106">
        <f>IF(AX212="","",IFERROR(AX212*HSCEI!$B$59*HSCEI!$G$59/HSCEI!$B$3,""))</f>
        <v/>
      </c>
      <c r="DM212" s="106">
        <f>IF(AY212="","",IFERROR(AY212*HSCEI!$B$59*HSCEI!$G$59/HSCEI!$B$3,""))</f>
        <v/>
      </c>
      <c r="DN212" s="106">
        <f>IF(AZ212="","",IFERROR(AZ212*HSCEI!$B$59*HSCEI!$G$59/HSCEI!$B$3,""))</f>
        <v/>
      </c>
      <c r="DO212" s="106">
        <f>IF(BA212="","",IFERROR(BA212*HSCEI!$B$59*HSCEI!$G$59/HSCEI!$B$3,""))</f>
        <v/>
      </c>
      <c r="DP212" s="106">
        <f>IF(BB212="","",IFERROR(BB212*HSCEI!$B$59*HSCEI!$G$59/HSCEI!$B$3,""))</f>
        <v/>
      </c>
      <c r="DQ212" s="106">
        <f>IF(BC212="","",IFERROR(BC212*HSCEI!$B$59*HSCEI!$G$59/HSCEI!$B$3,""))</f>
        <v/>
      </c>
      <c r="DR212" s="106">
        <f>IF(BD212="","",IFERROR(BD212*HSCEI!$B$59*HSCEI!$G$59/HSCEI!$B$3,""))</f>
        <v/>
      </c>
      <c r="DS212" s="106">
        <f>IF(BE212="","",IFERROR(BE212*HSCEI!$B$59*HSCEI!$G$59/HSCEI!$B$3,""))</f>
        <v/>
      </c>
      <c r="DT212" s="106">
        <f>IF(BF212="","",IFERROR(BF212*HSCEI!$B$59*HSCEI!$G$59/HSCEI!$B$3,""))</f>
        <v/>
      </c>
      <c r="DU212" s="106">
        <f>IF(BG212="","",IFERROR(BG212*HSCEI!$B$59*HSCEI!$G$59/HSCEI!$B$3,""))</f>
        <v/>
      </c>
      <c r="DV212" s="106">
        <f>IF(BH212="","",IFERROR(BH212*HSCEI!$B$59*HSCEI!$G$59/HSCEI!$B$3,""))</f>
        <v/>
      </c>
      <c r="DW212" s="106">
        <f>IF(BI212="","",IFERROR(BI212*HSCEI!$B$59*HSCEI!$G$59/HSCEI!$B$3,""))</f>
        <v/>
      </c>
      <c r="DX212" s="106">
        <f>IF(BJ212="","",IFERROR(BJ212*HSCEI!$B$59*HSCEI!$G$59/HSCEI!$B$3,""))</f>
        <v/>
      </c>
      <c r="DY212" s="106">
        <f>IF(BK212="","",IFERROR(BK212*HSCEI!$B$59*HSCEI!$G$59/HSCEI!$B$3,""))</f>
        <v/>
      </c>
      <c r="DZ212" s="106">
        <f>IF(BL212="","",IFERROR(BL212*HSCEI!$B$59*HSCEI!$G$59/HSCEI!$B$3,""))</f>
        <v/>
      </c>
      <c r="EA212" s="106">
        <f>IF(BM212="","",IFERROR(BM212*HSCEI!$B$59*HSCEI!$G$59/HSCEI!$B$3,""))</f>
        <v/>
      </c>
      <c r="EB212" s="106">
        <f>IF(BN212="","",IFERROR(BN212*HSCEI!$B$59*HSCEI!$G$59/HSCEI!$B$3,""))</f>
        <v/>
      </c>
      <c r="EC212" s="106">
        <f>IF(BO212="","",IFERROR(BO212*HSCEI!$B$59*HSCEI!$G$59/HSCEI!$B$3,""))</f>
        <v/>
      </c>
      <c r="EE212" s="35">
        <f>IF(N('Dvd Calendar'!$E$2133)=0,"",IF(('Dvd Calendar'!$E$2133&gt;=GRID_FROM)*('Dvd Calendar'!$E$2133&lt;=GRID_TO)*('Dvd Calendar'!$E$2133&lt;=VAL_DATE)=0,"",'Dvd Calendar'!$E$2133*1000000000+ISNUMBER('Dvd Calendar'!$E$2136)*100000000+('Dvd Calendar'!$E$2138=SPECIAL_LBL)*10000000+0*1000000+53*1000+1))</f>
        <v/>
      </c>
      <c r="EF212" s="35">
        <f>IF(N('Dvd Calendar'!$F$2133)=0,"",IF(('Dvd Calendar'!$F$2133&gt;=GRID_FROM)*('Dvd Calendar'!$F$2133&lt;=GRID_TO)*('Dvd Calendar'!$F$2133&lt;=VAL_DATE)=0,"",'Dvd Calendar'!$F$2133*1000000000+ISNUMBER('Dvd Calendar'!$F$2136)*100000000+('Dvd Calendar'!$F$2138=SPECIAL_LBL)*10000000+0*1000000+53*1000+2))</f>
        <v/>
      </c>
      <c r="EG212" s="35">
        <f>IF(N('Dvd Calendar'!$G$2133)=0,"",IF(('Dvd Calendar'!$G$2133&gt;=GRID_FROM)*('Dvd Calendar'!$G$2133&lt;=GRID_TO)*('Dvd Calendar'!$G$2133&lt;=VAL_DATE)=0,"",'Dvd Calendar'!$G$2133*1000000000+ISNUMBER('Dvd Calendar'!$G$2136)*100000000+('Dvd Calendar'!$G$2138=SPECIAL_LBL)*10000000+0*1000000+53*1000+3))</f>
        <v/>
      </c>
      <c r="EH212" s="35">
        <f>IF(N('Dvd Calendar'!$H$2133)=0,"",IF(('Dvd Calendar'!$H$2133&gt;=GRID_FROM)*('Dvd Calendar'!$H$2133&lt;=GRID_TO)*('Dvd Calendar'!$H$2133&lt;=VAL_DATE)=0,"",'Dvd Calendar'!$H$2133*1000000000+ISNUMBER('Dvd Calendar'!$H$2136)*100000000+('Dvd Calendar'!$H$2138=SPECIAL_LBL)*10000000+0*1000000+53*1000+4))</f>
        <v/>
      </c>
      <c r="EI212" s="35">
        <f>IF(N('Dvd Calendar'!$I$2133)=0,"",IF(('Dvd Calendar'!$I$2133&gt;=GRID_FROM)*('Dvd Calendar'!$I$2133&lt;=GRID_TO)*('Dvd Calendar'!$I$2133&lt;=VAL_DATE)=0,"",'Dvd Calendar'!$I$2133*1000000000+ISNUMBER('Dvd Calendar'!$I$2136)*100000000+('Dvd Calendar'!$I$2138=SPECIAL_LBL)*10000000+0*1000000+53*1000+5))</f>
        <v/>
      </c>
      <c r="EJ212" s="35">
        <f>IF(N('Dvd Calendar'!$J$2133)=0,"",IF(('Dvd Calendar'!$J$2133&gt;=GRID_FROM)*('Dvd Calendar'!$J$2133&lt;=GRID_TO)*('Dvd Calendar'!$J$2133&lt;=VAL_DATE)=0,"",'Dvd Calendar'!$J$2133*1000000000+ISNUMBER('Dvd Calendar'!$J$2136)*100000000+('Dvd Calendar'!$J$2138=SPECIAL_LBL)*10000000+0*1000000+53*1000+6))</f>
        <v/>
      </c>
      <c r="EK212" s="35">
        <f>IF(N('Dvd Calendar'!$K$2133)=0,"",IF(('Dvd Calendar'!$K$2133&gt;=GRID_FROM)*('Dvd Calendar'!$K$2133&lt;=GRID_TO)*('Dvd Calendar'!$K$2133&lt;=VAL_DATE)=0,"",'Dvd Calendar'!$K$2133*1000000000+ISNUMBER('Dvd Calendar'!$K$2136)*100000000+('Dvd Calendar'!$K$2138=SPECIAL_LBL)*10000000+0*1000000+53*1000+7))</f>
        <v/>
      </c>
      <c r="EL212" s="35">
        <f>IF(N('Dvd Calendar'!$L$2133)=0,"",IF(('Dvd Calendar'!$L$2133&gt;=GRID_FROM)*('Dvd Calendar'!$L$2133&lt;=GRID_TO)*('Dvd Calendar'!$L$2133&lt;=VAL_DATE)=0,"",'Dvd Calendar'!$L$2133*1000000000+ISNUMBER('Dvd Calendar'!$L$2136)*100000000+('Dvd Calendar'!$L$2138=SPECIAL_LBL)*10000000+0*1000000+53*1000+8))</f>
        <v/>
      </c>
      <c r="EM212" s="35">
        <f>IF(N('Dvd Calendar'!$M$2133)=0,"",IF(('Dvd Calendar'!$M$2133&gt;=GRID_FROM)*('Dvd Calendar'!$M$2133&lt;=GRID_TO)*('Dvd Calendar'!$M$2133&lt;=VAL_DATE)=0,"",'Dvd Calendar'!$M$2133*1000000000+ISNUMBER('Dvd Calendar'!$M$2136)*100000000+('Dvd Calendar'!$M$2138=SPECIAL_LBL)*10000000+0*1000000+53*1000+9))</f>
        <v/>
      </c>
      <c r="EN212" s="35">
        <f>IF(N('Dvd Calendar'!$N$2133)=0,"",IF(('Dvd Calendar'!$N$2133&gt;=GRID_FROM)*('Dvd Calendar'!$N$2133&lt;=GRID_TO)*('Dvd Calendar'!$N$2133&lt;=VAL_DATE)=0,"",'Dvd Calendar'!$N$2133*1000000000+ISNUMBER('Dvd Calendar'!$N$2136)*100000000+('Dvd Calendar'!$N$2138=SPECIAL_LBL)*10000000+0*1000000+53*1000+10))</f>
        <v/>
      </c>
      <c r="EO212" s="35">
        <f>IF(N('Dvd Calendar'!$O$2133)=0,"",IF(('Dvd Calendar'!$O$2133&gt;=GRID_FROM)*('Dvd Calendar'!$O$2133&lt;=GRID_TO)*('Dvd Calendar'!$O$2133&lt;=VAL_DATE)=0,"",'Dvd Calendar'!$O$2133*1000000000+ISNUMBER('Dvd Calendar'!$O$2136)*100000000+('Dvd Calendar'!$O$2138=SPECIAL_LBL)*10000000+0*1000000+53*1000+11))</f>
        <v/>
      </c>
      <c r="EP212" s="35">
        <f>IF(N('Dvd Calendar'!$P$2133)=0,"",IF(('Dvd Calendar'!$P$2133&gt;=GRID_FROM)*('Dvd Calendar'!$P$2133&lt;=GRID_TO)*('Dvd Calendar'!$P$2133&lt;=VAL_DATE)=0,"",'Dvd Calendar'!$P$2133*1000000000+ISNUMBER('Dvd Calendar'!$P$2136)*100000000+('Dvd Calendar'!$P$2138=SPECIAL_LBL)*10000000+0*1000000+53*1000+12))</f>
        <v/>
      </c>
      <c r="EQ212" s="35">
        <f>IF(N('Dvd Calendar'!$Q$2133)=0,"",IF(('Dvd Calendar'!$Q$2133&gt;=GRID_FROM)*('Dvd Calendar'!$Q$2133&lt;=GRID_TO)*('Dvd Calendar'!$Q$2133&lt;=VAL_DATE)=0,"",'Dvd Calendar'!$Q$2133*1000000000+ISNUMBER('Dvd Calendar'!$Q$2136)*100000000+('Dvd Calendar'!$Q$2138=SPECIAL_LBL)*10000000+0*1000000+53*1000+13))</f>
        <v/>
      </c>
      <c r="ER212" s="35">
        <f>IF(N('Dvd Calendar'!$R$2133)=0,"",IF(('Dvd Calendar'!$R$2133&gt;=GRID_FROM)*('Dvd Calendar'!$R$2133&lt;=GRID_TO)*('Dvd Calendar'!$R$2133&lt;=VAL_DATE)=0,"",'Dvd Calendar'!$R$2133*1000000000+ISNUMBER('Dvd Calendar'!$R$2136)*100000000+('Dvd Calendar'!$R$2138=SPECIAL_LBL)*10000000+0*1000000+53*1000+14))</f>
        <v/>
      </c>
      <c r="ES212" s="35">
        <f>IF(N('Dvd Calendar'!$S$2133)=0,"",IF(('Dvd Calendar'!$S$2133&gt;=GRID_FROM)*('Dvd Calendar'!$S$2133&lt;=GRID_TO)*('Dvd Calendar'!$S$2133&lt;=VAL_DATE)=0,"",'Dvd Calendar'!$S$2133*1000000000+ISNUMBER('Dvd Calendar'!$S$2136)*100000000+('Dvd Calendar'!$S$2138=SPECIAL_LBL)*10000000+0*1000000+53*1000+15))</f>
        <v/>
      </c>
      <c r="ET212" s="35">
        <f>IF(N('Dvd Calendar'!$T$2133)=0,"",IF(('Dvd Calendar'!$T$2133&gt;=GRID_FROM)*('Dvd Calendar'!$T$2133&lt;=GRID_TO)*('Dvd Calendar'!$T$2133&lt;=VAL_DATE)=0,"",'Dvd Calendar'!$T$2133*1000000000+ISNUMBER('Dvd Calendar'!$T$2136)*100000000+('Dvd Calendar'!$T$2138=SPECIAL_LBL)*10000000+0*1000000+53*1000+16))</f>
        <v/>
      </c>
      <c r="EU212" s="35">
        <f>IF(N('Dvd Calendar'!$U$2133)=0,"",IF(('Dvd Calendar'!$U$2133&gt;=GRID_FROM)*('Dvd Calendar'!$U$2133&lt;=GRID_TO)*('Dvd Calendar'!$U$2133&lt;=VAL_DATE)=0,"",'Dvd Calendar'!$U$2133*1000000000+ISNUMBER('Dvd Calendar'!$U$2136)*100000000+('Dvd Calendar'!$U$2138=SPECIAL_LBL)*10000000+0*1000000+53*1000+17))</f>
        <v/>
      </c>
      <c r="EV212" s="35">
        <f>IF(N('Dvd Calendar'!$V$2133)=0,"",IF(('Dvd Calendar'!$V$2133&gt;=GRID_FROM)*('Dvd Calendar'!$V$2133&lt;=GRID_TO)*('Dvd Calendar'!$V$2133&lt;=VAL_DATE)=0,"",'Dvd Calendar'!$V$2133*1000000000+ISNUMBER('Dvd Calendar'!$V$2136)*100000000+('Dvd Calendar'!$V$2138=SPECIAL_LBL)*10000000+0*1000000+53*1000+18))</f>
        <v/>
      </c>
      <c r="EW212" s="35">
        <f>IF(N('Dvd Calendar'!$W$2133)=0,"",IF(('Dvd Calendar'!$W$2133&gt;=GRID_FROM)*('Dvd Calendar'!$W$2133&lt;=GRID_TO)*('Dvd Calendar'!$W$2133&lt;=VAL_DATE)=0,"",'Dvd Calendar'!$W$2133*1000000000+ISNUMBER('Dvd Calendar'!$W$2136)*100000000+('Dvd Calendar'!$W$2138=SPECIAL_LBL)*10000000+0*1000000+53*1000+19))</f>
        <v/>
      </c>
      <c r="EX212" s="35">
        <f>IF(N('Dvd Calendar'!$X$2133)=0,"",IF(('Dvd Calendar'!$X$2133&gt;=GRID_FROM)*('Dvd Calendar'!$X$2133&lt;=GRID_TO)*('Dvd Calendar'!$X$2133&lt;=VAL_DATE)=0,"",'Dvd Calendar'!$X$2133*1000000000+ISNUMBER('Dvd Calendar'!$X$2136)*100000000+('Dvd Calendar'!$X$2138=SPECIAL_LBL)*10000000+0*1000000+53*1000+20))</f>
        <v/>
      </c>
      <c r="EY212" s="35">
        <f>IF(N('Dvd Calendar'!$Y$2133)=0,"",IF(('Dvd Calendar'!$Y$2133&gt;=GRID_FROM)*('Dvd Calendar'!$Y$2133&lt;=GRID_TO)*('Dvd Calendar'!$Y$2133&lt;=VAL_DATE)=0,"",'Dvd Calendar'!$Y$2133*1000000000+ISNUMBER('Dvd Calendar'!$Y$2136)*100000000+('Dvd Calendar'!$Y$2138=SPECIAL_LBL)*10000000+0*1000000+53*1000+21))</f>
        <v/>
      </c>
      <c r="EZ212" s="35">
        <f>IF(N('Dvd Calendar'!$Z$2133)=0,"",IF(('Dvd Calendar'!$Z$2133&gt;=GRID_FROM)*('Dvd Calendar'!$Z$2133&lt;=GRID_TO)*('Dvd Calendar'!$Z$2133&lt;=VAL_DATE)=0,"",'Dvd Calendar'!$Z$2133*1000000000+ISNUMBER('Dvd Calendar'!$Z$2136)*100000000+('Dvd Calendar'!$Z$2138=SPECIAL_LBL)*10000000+0*1000000+53*1000+22))</f>
        <v/>
      </c>
      <c r="FA212" s="35">
        <f>IF(N('Dvd Calendar'!$AA$2133)=0,"",IF(('Dvd Calendar'!$AA$2133&gt;=GRID_FROM)*('Dvd Calendar'!$AA$2133&lt;=GRID_TO)*('Dvd Calendar'!$AA$2133&lt;=VAL_DATE)=0,"",'Dvd Calendar'!$AA$2133*1000000000+ISNUMBER('Dvd Calendar'!$AA$2136)*100000000+('Dvd Calendar'!$AA$2138=SPECIAL_LBL)*10000000+0*1000000+53*1000+23))</f>
        <v/>
      </c>
      <c r="FB212" s="35">
        <f>IF(N('Dvd Calendar'!$AB$2133)=0,"",IF(('Dvd Calendar'!$AB$2133&gt;=GRID_FROM)*('Dvd Calendar'!$AB$2133&lt;=GRID_TO)*('Dvd Calendar'!$AB$2133&lt;=VAL_DATE)=0,"",'Dvd Calendar'!$AB$2133*1000000000+ISNUMBER('Dvd Calendar'!$AB$2136)*100000000+('Dvd Calendar'!$AB$2138=SPECIAL_LBL)*10000000+0*1000000+53*1000+24))</f>
        <v/>
      </c>
      <c r="FC212" s="35">
        <f>IF(N('Dvd Calendar'!$AC$2133)=0,"",IF(('Dvd Calendar'!$AC$2133&gt;=GRID_FROM)*('Dvd Calendar'!$AC$2133&lt;=GRID_TO)*('Dvd Calendar'!$AC$2133&lt;=VAL_DATE)=0,"",'Dvd Calendar'!$AC$2133*1000000000+ISNUMBER('Dvd Calendar'!$AC$2136)*100000000+('Dvd Calendar'!$AC$2138=SPECIAL_LBL)*10000000+0*1000000+53*1000+25))</f>
        <v/>
      </c>
      <c r="FD212" s="35">
        <f>IF(N('Dvd Calendar'!$AD$2133)=0,"",IF(('Dvd Calendar'!$AD$2133&gt;=GRID_FROM)*('Dvd Calendar'!$AD$2133&lt;=GRID_TO)*('Dvd Calendar'!$AD$2133&lt;=VAL_DATE)=0,"",'Dvd Calendar'!$AD$2133*1000000000+ISNUMBER('Dvd Calendar'!$AD$2136)*100000000+('Dvd Calendar'!$AD$2138=SPECIAL_LBL)*10000000+0*1000000+53*1000+26))</f>
        <v/>
      </c>
      <c r="FE212" s="35">
        <f>IF(N('Dvd Calendar'!$AE$2133)=0,"",IF(('Dvd Calendar'!$AE$2133&gt;=GRID_FROM)*('Dvd Calendar'!$AE$2133&lt;=GRID_TO)*('Dvd Calendar'!$AE$2133&lt;=VAL_DATE)=0,"",'Dvd Calendar'!$AE$2133*1000000000+ISNUMBER('Dvd Calendar'!$AE$2136)*100000000+('Dvd Calendar'!$AE$2138=SPECIAL_LBL)*10000000+0*1000000+53*1000+27))</f>
        <v/>
      </c>
      <c r="FF212" s="35">
        <f>IF(N('Dvd Calendar'!$AF$2133)=0,"",IF(('Dvd Calendar'!$AF$2133&gt;=GRID_FROM)*('Dvd Calendar'!$AF$2133&lt;=GRID_TO)*('Dvd Calendar'!$AF$2133&lt;=VAL_DATE)=0,"",'Dvd Calendar'!$AF$2133*1000000000+ISNUMBER('Dvd Calendar'!$AF$2136)*100000000+('Dvd Calendar'!$AF$2138=SPECIAL_LBL)*10000000+0*1000000+53*1000+28))</f>
        <v/>
      </c>
      <c r="FG212" s="35">
        <f>IF(N('Dvd Calendar'!$AG$2133)=0,"",IF(('Dvd Calendar'!$AG$2133&gt;=GRID_FROM)*('Dvd Calendar'!$AG$2133&lt;=GRID_TO)*('Dvd Calendar'!$AG$2133&lt;=VAL_DATE)=0,"",'Dvd Calendar'!$AG$2133*1000000000+ISNUMBER('Dvd Calendar'!$AG$2136)*100000000+('Dvd Calendar'!$AG$2138=SPECIAL_LBL)*10000000+0*1000000+53*1000+29))</f>
        <v/>
      </c>
      <c r="FH212" s="35">
        <f>IF(N('Dvd Calendar'!$AH$2133)=0,"",IF(('Dvd Calendar'!$AH$2133&gt;=GRID_FROM)*('Dvd Calendar'!$AH$2133&lt;=GRID_TO)*('Dvd Calendar'!$AH$2133&lt;=VAL_DATE)=0,"",'Dvd Calendar'!$AH$2133*1000000000+ISNUMBER('Dvd Calendar'!$AH$2136)*100000000+('Dvd Calendar'!$AH$2138=SPECIAL_LBL)*10000000+0*1000000+53*1000+30))</f>
        <v/>
      </c>
      <c r="FI212" s="35">
        <f>IF(N('Dvd Calendar'!$AI$2133)=0,"",IF(('Dvd Calendar'!$AI$2133&gt;=GRID_FROM)*('Dvd Calendar'!$AI$2133&lt;=GRID_TO)*('Dvd Calendar'!$AI$2133&lt;=VAL_DATE)=0,"",'Dvd Calendar'!$AI$2133*1000000000+ISNUMBER('Dvd Calendar'!$AI$2136)*100000000+('Dvd Calendar'!$AI$2138=SPECIAL_LBL)*10000000+0*1000000+53*1000+31))</f>
        <v/>
      </c>
      <c r="FJ212" s="35">
        <f>IF(N('Dvd Calendar'!$AJ$2133)=0,"",IF(('Dvd Calendar'!$AJ$2133&gt;=GRID_FROM)*('Dvd Calendar'!$AJ$2133&lt;=GRID_TO)*('Dvd Calendar'!$AJ$2133&lt;=VAL_DATE)=0,"",'Dvd Calendar'!$AJ$2133*1000000000+ISNUMBER('Dvd Calendar'!$AJ$2136)*100000000+('Dvd Calendar'!$AJ$2138=SPECIAL_LBL)*10000000+0*1000000+53*1000+32))</f>
        <v/>
      </c>
      <c r="FK212" s="35">
        <f>IF(N('Dvd Calendar'!$AK$2133)=0,"",IF(('Dvd Calendar'!$AK$2133&gt;=GRID_FROM)*('Dvd Calendar'!$AK$2133&lt;=GRID_TO)*('Dvd Calendar'!$AK$2133&lt;=VAL_DATE)=0,"",'Dvd Calendar'!$AK$2133*1000000000+ISNUMBER('Dvd Calendar'!$AK$2136)*100000000+('Dvd Calendar'!$AK$2138=SPECIAL_LBL)*10000000+0*1000000+53*1000+33))</f>
        <v/>
      </c>
      <c r="FL212" s="35">
        <f>IF(N('Dvd Calendar'!$AL$2133)=0,"",IF(('Dvd Calendar'!$AL$2133&gt;=GRID_FROM)*('Dvd Calendar'!$AL$2133&lt;=GRID_TO)*('Dvd Calendar'!$AL$2133&lt;=VAL_DATE)=0,"",'Dvd Calendar'!$AL$2133*1000000000+ISNUMBER('Dvd Calendar'!$AL$2136)*100000000+('Dvd Calendar'!$AL$2138=SPECIAL_LBL)*10000000+0*1000000+53*1000+34))</f>
        <v/>
      </c>
      <c r="FM212" s="35">
        <f>IF(N('Dvd Calendar'!$AM$2133)=0,"",IF(('Dvd Calendar'!$AM$2133&gt;=GRID_FROM)*('Dvd Calendar'!$AM$2133&lt;=GRID_TO)*('Dvd Calendar'!$AM$2133&lt;=VAL_DATE)=0,"",'Dvd Calendar'!$AM$2133*1000000000+ISNUMBER('Dvd Calendar'!$AM$2136)*100000000+('Dvd Calendar'!$AM$2138=SPECIAL_LBL)*10000000+0*1000000+53*1000+35))</f>
        <v/>
      </c>
      <c r="FN212" s="35">
        <f>IF(N('Dvd Calendar'!$AN$2133)=0,"",IF(('Dvd Calendar'!$AN$2133&gt;=GRID_FROM)*('Dvd Calendar'!$AN$2133&lt;=GRID_TO)*('Dvd Calendar'!$AN$2133&lt;=VAL_DATE)=0,"",'Dvd Calendar'!$AN$2133*1000000000+ISNUMBER('Dvd Calendar'!$AN$2136)*100000000+('Dvd Calendar'!$AN$2138=SPECIAL_LBL)*10000000+0*1000000+53*1000+36))</f>
        <v/>
      </c>
      <c r="FO212" s="35">
        <f>IF(N('Dvd Calendar'!$AO$2133)=0,"",IF(('Dvd Calendar'!$AO$2133&gt;=GRID_FROM)*('Dvd Calendar'!$AO$2133&lt;=GRID_TO)*('Dvd Calendar'!$AO$2133&lt;=VAL_DATE)=0,"",'Dvd Calendar'!$AO$2133*1000000000+ISNUMBER('Dvd Calendar'!$AO$2136)*100000000+('Dvd Calendar'!$AO$2138=SPECIAL_LBL)*10000000+0*1000000+53*1000+37))</f>
        <v/>
      </c>
      <c r="FP212" s="35">
        <f>IF(N('Dvd Calendar'!$AP$2133)=0,"",IF(('Dvd Calendar'!$AP$2133&gt;=GRID_FROM)*('Dvd Calendar'!$AP$2133&lt;=GRID_TO)*('Dvd Calendar'!$AP$2133&lt;=VAL_DATE)=0,"",'Dvd Calendar'!$AP$2133*1000000000+ISNUMBER('Dvd Calendar'!$AP$2136)*100000000+('Dvd Calendar'!$AP$2138=SPECIAL_LBL)*10000000+0*1000000+53*1000+38))</f>
        <v/>
      </c>
      <c r="FQ212" s="35">
        <f>IF(N('Dvd Calendar'!$AQ$2133)=0,"",IF(('Dvd Calendar'!$AQ$2133&gt;=GRID_FROM)*('Dvd Calendar'!$AQ$2133&lt;=GRID_TO)*('Dvd Calendar'!$AQ$2133&lt;=VAL_DATE)=0,"",'Dvd Calendar'!$AQ$2133*1000000000+ISNUMBER('Dvd Calendar'!$AQ$2136)*100000000+('Dvd Calendar'!$AQ$2138=SPECIAL_LBL)*10000000+0*1000000+53*1000+39))</f>
        <v/>
      </c>
      <c r="FR212" s="35">
        <f>IF(N('Dvd Calendar'!$AR$2133)=0,"",IF(('Dvd Calendar'!$AR$2133&gt;=GRID_FROM)*('Dvd Calendar'!$AR$2133&lt;=GRID_TO)*('Dvd Calendar'!$AR$2133&lt;=VAL_DATE)=0,"",'Dvd Calendar'!$AR$2133*1000000000+ISNUMBER('Dvd Calendar'!$AR$2136)*100000000+('Dvd Calendar'!$AR$2138=SPECIAL_LBL)*10000000+0*1000000+53*1000+40))</f>
        <v/>
      </c>
      <c r="FS212" s="35">
        <f>IF(N('Dvd Calendar'!$E$2140)=0,"",IF(('Dvd Calendar'!$E$2140&gt;=GRID_FROM)*('Dvd Calendar'!$E$2140&lt;=GRID_TO)*('Dvd Calendar'!$E$2140&gt;VAL_DATE)=0,"",'Dvd Calendar'!$E$2140*1000000000+ISNUMBER('Dvd Calendar'!$E$2141)*100000000+0*10000000+(N('Dvd Calendar'!$E$2139)&gt;0)*(N('Dvd Calendar'!$E$2139)&lt;=VAL_SERIAL)*1000000+53*1000+41))</f>
        <v/>
      </c>
      <c r="FT212" s="35">
        <f>IF(N('Dvd Calendar'!$F$2140)=0,"",IF(('Dvd Calendar'!$F$2140&gt;=GRID_FROM)*('Dvd Calendar'!$F$2140&lt;=GRID_TO)*('Dvd Calendar'!$F$2140&gt;VAL_DATE)=0,"",'Dvd Calendar'!$F$2140*1000000000+ISNUMBER('Dvd Calendar'!$F$2141)*100000000+0*10000000+(N('Dvd Calendar'!$F$2139)&gt;0)*(N('Dvd Calendar'!$F$2139)&lt;=VAL_SERIAL)*1000000+53*1000+42))</f>
        <v/>
      </c>
      <c r="FU212" s="35">
        <f>IF(N('Dvd Calendar'!$G$2140)=0,"",IF(('Dvd Calendar'!$G$2140&gt;=GRID_FROM)*('Dvd Calendar'!$G$2140&lt;=GRID_TO)*('Dvd Calendar'!$G$2140&gt;VAL_DATE)=0,"",'Dvd Calendar'!$G$2140*1000000000+ISNUMBER('Dvd Calendar'!$G$2141)*100000000+0*10000000+(N('Dvd Calendar'!$G$2139)&gt;0)*(N('Dvd Calendar'!$G$2139)&lt;=VAL_SERIAL)*1000000+53*1000+43))</f>
        <v/>
      </c>
      <c r="FV212" s="35">
        <f>IF(N('Dvd Calendar'!$H$2140)=0,"",IF(('Dvd Calendar'!$H$2140&gt;=GRID_FROM)*('Dvd Calendar'!$H$2140&lt;=GRID_TO)*('Dvd Calendar'!$H$2140&gt;VAL_DATE)=0,"",'Dvd Calendar'!$H$2140*1000000000+ISNUMBER('Dvd Calendar'!$H$2141)*100000000+0*10000000+(N('Dvd Calendar'!$H$2139)&gt;0)*(N('Dvd Calendar'!$H$2139)&lt;=VAL_SERIAL)*1000000+53*1000+44))</f>
        <v/>
      </c>
      <c r="FW212" s="35">
        <f>IF(N('Dvd Calendar'!$I$2140)=0,"",IF(('Dvd Calendar'!$I$2140&gt;=GRID_FROM)*('Dvd Calendar'!$I$2140&lt;=GRID_TO)*('Dvd Calendar'!$I$2140&gt;VAL_DATE)=0,"",'Dvd Calendar'!$I$2140*1000000000+ISNUMBER('Dvd Calendar'!$I$2141)*100000000+0*10000000+(N('Dvd Calendar'!$I$2139)&gt;0)*(N('Dvd Calendar'!$I$2139)&lt;=VAL_SERIAL)*1000000+53*1000+45))</f>
        <v/>
      </c>
      <c r="FX212" s="35">
        <f>IF(N('Dvd Calendar'!$J$2140)=0,"",IF(('Dvd Calendar'!$J$2140&gt;=GRID_FROM)*('Dvd Calendar'!$J$2140&lt;=GRID_TO)*('Dvd Calendar'!$J$2140&gt;VAL_DATE)=0,"",'Dvd Calendar'!$J$2140*1000000000+ISNUMBER('Dvd Calendar'!$J$2141)*100000000+0*10000000+(N('Dvd Calendar'!$J$2139)&gt;0)*(N('Dvd Calendar'!$J$2139)&lt;=VAL_SERIAL)*1000000+53*1000+46))</f>
        <v/>
      </c>
      <c r="FY212" s="35">
        <f>IF(N('Dvd Calendar'!$K$2140)=0,"",IF(('Dvd Calendar'!$K$2140&gt;=GRID_FROM)*('Dvd Calendar'!$K$2140&lt;=GRID_TO)*('Dvd Calendar'!$K$2140&gt;VAL_DATE)=0,"",'Dvd Calendar'!$K$2140*1000000000+ISNUMBER('Dvd Calendar'!$K$2141)*100000000+0*10000000+(N('Dvd Calendar'!$K$2139)&gt;0)*(N('Dvd Calendar'!$K$2139)&lt;=VAL_SERIAL)*1000000+53*1000+47))</f>
        <v/>
      </c>
      <c r="FZ212" s="35">
        <f>IF(N('Dvd Calendar'!$L$2140)=0,"",IF(('Dvd Calendar'!$L$2140&gt;=GRID_FROM)*('Dvd Calendar'!$L$2140&lt;=GRID_TO)*('Dvd Calendar'!$L$2140&gt;VAL_DATE)=0,"",'Dvd Calendar'!$L$2140*1000000000+ISNUMBER('Dvd Calendar'!$L$2141)*100000000+0*10000000+(N('Dvd Calendar'!$L$2139)&gt;0)*(N('Dvd Calendar'!$L$2139)&lt;=VAL_SERIAL)*1000000+53*1000+48))</f>
        <v/>
      </c>
      <c r="GA212" s="35">
        <f>IF(N('Dvd Calendar'!$M$2140)=0,"",IF(('Dvd Calendar'!$M$2140&gt;=GRID_FROM)*('Dvd Calendar'!$M$2140&lt;=GRID_TO)*('Dvd Calendar'!$M$2140&gt;VAL_DATE)=0,"",'Dvd Calendar'!$M$2140*1000000000+ISNUMBER('Dvd Calendar'!$M$2141)*100000000+0*10000000+(N('Dvd Calendar'!$M$2139)&gt;0)*(N('Dvd Calendar'!$M$2139)&lt;=VAL_SERIAL)*1000000+53*1000+49))</f>
        <v/>
      </c>
      <c r="GB212" s="35">
        <f>IF(N('Dvd Calendar'!$N$2140)=0,"",IF(('Dvd Calendar'!$N$2140&gt;=GRID_FROM)*('Dvd Calendar'!$N$2140&lt;=GRID_TO)*('Dvd Calendar'!$N$2140&gt;VAL_DATE)=0,"",'Dvd Calendar'!$N$2140*1000000000+ISNUMBER('Dvd Calendar'!$N$2141)*100000000+0*10000000+(N('Dvd Calendar'!$N$2139)&gt;0)*(N('Dvd Calendar'!$N$2139)&lt;=VAL_SERIAL)*1000000+53*1000+50))</f>
        <v/>
      </c>
      <c r="GC212" s="35">
        <f>IF(N('Dvd Calendar'!$O$2140)=0,"",IF(('Dvd Calendar'!$O$2140&gt;=GRID_FROM)*('Dvd Calendar'!$O$2140&lt;=GRID_TO)*('Dvd Calendar'!$O$2140&gt;VAL_DATE)=0,"",'Dvd Calendar'!$O$2140*1000000000+ISNUMBER('Dvd Calendar'!$O$2141)*100000000+0*10000000+(N('Dvd Calendar'!$O$2139)&gt;0)*(N('Dvd Calendar'!$O$2139)&lt;=VAL_SERIAL)*1000000+53*1000+51))</f>
        <v/>
      </c>
      <c r="GD212" s="35">
        <f>IF(N('Dvd Calendar'!$P$2140)=0,"",IF(('Dvd Calendar'!$P$2140&gt;=GRID_FROM)*('Dvd Calendar'!$P$2140&lt;=GRID_TO)*('Dvd Calendar'!$P$2140&gt;VAL_DATE)=0,"",'Dvd Calendar'!$P$2140*1000000000+ISNUMBER('Dvd Calendar'!$P$2141)*100000000+0*10000000+(N('Dvd Calendar'!$P$2139)&gt;0)*(N('Dvd Calendar'!$P$2139)&lt;=VAL_SERIAL)*1000000+53*1000+52))</f>
        <v/>
      </c>
      <c r="GE212" s="35">
        <f>IF(N('Dvd Calendar'!$Q$2140)=0,"",IF(('Dvd Calendar'!$Q$2140&gt;=GRID_FROM)*('Dvd Calendar'!$Q$2140&lt;=GRID_TO)*('Dvd Calendar'!$Q$2140&gt;VAL_DATE)=0,"",'Dvd Calendar'!$Q$2140*1000000000+ISNUMBER('Dvd Calendar'!$Q$2141)*100000000+0*10000000+(N('Dvd Calendar'!$Q$2139)&gt;0)*(N('Dvd Calendar'!$Q$2139)&lt;=VAL_SERIAL)*1000000+53*1000+53))</f>
        <v/>
      </c>
      <c r="GF212" s="35">
        <f>IF(N('Dvd Calendar'!$R$2140)=0,"",IF(('Dvd Calendar'!$R$2140&gt;=GRID_FROM)*('Dvd Calendar'!$R$2140&lt;=GRID_TO)*('Dvd Calendar'!$R$2140&gt;VAL_DATE)=0,"",'Dvd Calendar'!$R$2140*1000000000+ISNUMBER('Dvd Calendar'!$R$2141)*100000000+0*10000000+(N('Dvd Calendar'!$R$2139)&gt;0)*(N('Dvd Calendar'!$R$2139)&lt;=VAL_SERIAL)*1000000+53*1000+54))</f>
        <v/>
      </c>
      <c r="GG212" s="35">
        <f>IF(N('Dvd Calendar'!$S$2140)=0,"",IF(('Dvd Calendar'!$S$2140&gt;=GRID_FROM)*('Dvd Calendar'!$S$2140&lt;=GRID_TO)*('Dvd Calendar'!$S$2140&gt;VAL_DATE)=0,"",'Dvd Calendar'!$S$2140*1000000000+ISNUMBER('Dvd Calendar'!$S$2141)*100000000+0*10000000+(N('Dvd Calendar'!$S$2139)&gt;0)*(N('Dvd Calendar'!$S$2139)&lt;=VAL_SERIAL)*1000000+53*1000+55))</f>
        <v/>
      </c>
      <c r="GH212" s="35">
        <f>IF(N('Dvd Calendar'!$T$2140)=0,"",IF(('Dvd Calendar'!$T$2140&gt;=GRID_FROM)*('Dvd Calendar'!$T$2140&lt;=GRID_TO)*('Dvd Calendar'!$T$2140&gt;VAL_DATE)=0,"",'Dvd Calendar'!$T$2140*1000000000+ISNUMBER('Dvd Calendar'!$T$2141)*100000000+0*10000000+(N('Dvd Calendar'!$T$2139)&gt;0)*(N('Dvd Calendar'!$T$2139)&lt;=VAL_SERIAL)*1000000+53*1000+56))</f>
        <v/>
      </c>
      <c r="GI212" s="35">
        <f>IF(N('Dvd Calendar'!$U$2140)=0,"",IF(('Dvd Calendar'!$U$2140&gt;=GRID_FROM)*('Dvd Calendar'!$U$2140&lt;=GRID_TO)*('Dvd Calendar'!$U$2140&gt;VAL_DATE)=0,"",'Dvd Calendar'!$U$2140*1000000000+ISNUMBER('Dvd Calendar'!$U$2141)*100000000+0*10000000+(N('Dvd Calendar'!$U$2139)&gt;0)*(N('Dvd Calendar'!$U$2139)&lt;=VAL_SERIAL)*1000000+53*1000+57))</f>
        <v/>
      </c>
      <c r="GJ212" s="35">
        <f>IF(N('Dvd Calendar'!$V$2140)=0,"",IF(('Dvd Calendar'!$V$2140&gt;=GRID_FROM)*('Dvd Calendar'!$V$2140&lt;=GRID_TO)*('Dvd Calendar'!$V$2140&gt;VAL_DATE)=0,"",'Dvd Calendar'!$V$2140*1000000000+ISNUMBER('Dvd Calendar'!$V$2141)*100000000+0*10000000+(N('Dvd Calendar'!$V$2139)&gt;0)*(N('Dvd Calendar'!$V$2139)&lt;=VAL_SERIAL)*1000000+53*1000+58))</f>
        <v/>
      </c>
      <c r="GK212" s="35">
        <f>IF(N('Dvd Calendar'!$W$2140)=0,"",IF(('Dvd Calendar'!$W$2140&gt;=GRID_FROM)*('Dvd Calendar'!$W$2140&lt;=GRID_TO)*('Dvd Calendar'!$W$2140&gt;VAL_DATE)=0,"",'Dvd Calendar'!$W$2140*1000000000+ISNUMBER('Dvd Calendar'!$W$2141)*100000000+0*10000000+(N('Dvd Calendar'!$W$2139)&gt;0)*(N('Dvd Calendar'!$W$2139)&lt;=VAL_SERIAL)*1000000+53*1000+59))</f>
        <v/>
      </c>
      <c r="GL212" s="35">
        <f>IF(N('Dvd Calendar'!$X$2140)=0,"",IF(('Dvd Calendar'!$X$2140&gt;=GRID_FROM)*('Dvd Calendar'!$X$2140&lt;=GRID_TO)*('Dvd Calendar'!$X$2140&gt;VAL_DATE)=0,"",'Dvd Calendar'!$X$2140*1000000000+ISNUMBER('Dvd Calendar'!$X$2141)*100000000+0*10000000+(N('Dvd Calendar'!$X$2139)&gt;0)*(N('Dvd Calendar'!$X$2139)&lt;=VAL_SERIAL)*1000000+53*1000+60))</f>
        <v/>
      </c>
      <c r="GM212" s="35">
        <f>IF(N('Dvd Calendar'!$Y$2140)=0,"",IF(('Dvd Calendar'!$Y$2140&gt;=GRID_FROM)*('Dvd Calendar'!$Y$2140&lt;=GRID_TO)*('Dvd Calendar'!$Y$2140&gt;VAL_DATE)=0,"",'Dvd Calendar'!$Y$2140*1000000000+ISNUMBER('Dvd Calendar'!$Y$2141)*100000000+0*10000000+(N('Dvd Calendar'!$Y$2139)&gt;0)*(N('Dvd Calendar'!$Y$2139)&lt;=VAL_SERIAL)*1000000+53*1000+61))</f>
        <v/>
      </c>
      <c r="GN212" s="35">
        <f>IF(N('Dvd Calendar'!$Z$2140)=0,"",IF(('Dvd Calendar'!$Z$2140&gt;=GRID_FROM)*('Dvd Calendar'!$Z$2140&lt;=GRID_TO)*('Dvd Calendar'!$Z$2140&gt;VAL_DATE)=0,"",'Dvd Calendar'!$Z$2140*1000000000+ISNUMBER('Dvd Calendar'!$Z$2141)*100000000+0*10000000+(N('Dvd Calendar'!$Z$2139)&gt;0)*(N('Dvd Calendar'!$Z$2139)&lt;=VAL_SERIAL)*1000000+53*1000+62))</f>
        <v/>
      </c>
      <c r="GO212" s="35">
        <f>IF(N('Dvd Calendar'!$AA$2140)=0,"",IF(('Dvd Calendar'!$AA$2140&gt;=GRID_FROM)*('Dvd Calendar'!$AA$2140&lt;=GRID_TO)*('Dvd Calendar'!$AA$2140&gt;VAL_DATE)=0,"",'Dvd Calendar'!$AA$2140*1000000000+ISNUMBER('Dvd Calendar'!$AA$2141)*100000000+0*10000000+(N('Dvd Calendar'!$AA$2139)&gt;0)*(N('Dvd Calendar'!$AA$2139)&lt;=VAL_SERIAL)*1000000+53*1000+63))</f>
        <v/>
      </c>
      <c r="GP212" s="35">
        <f>IF(N('Dvd Calendar'!$AB$2140)=0,"",IF(('Dvd Calendar'!$AB$2140&gt;=GRID_FROM)*('Dvd Calendar'!$AB$2140&lt;=GRID_TO)*('Dvd Calendar'!$AB$2140&gt;VAL_DATE)=0,"",'Dvd Calendar'!$AB$2140*1000000000+ISNUMBER('Dvd Calendar'!$AB$2141)*100000000+0*10000000+(N('Dvd Calendar'!$AB$2139)&gt;0)*(N('Dvd Calendar'!$AB$2139)&lt;=VAL_SERIAL)*1000000+53*1000+64))</f>
        <v/>
      </c>
      <c r="GQ212" s="35">
        <f>IF(N('Dvd Calendar'!$AC$2140)=0,"",IF(('Dvd Calendar'!$AC$2140&gt;=GRID_FROM)*('Dvd Calendar'!$AC$2140&lt;=GRID_TO)*('Dvd Calendar'!$AC$2140&gt;VAL_DATE)=0,"",'Dvd Calendar'!$AC$2140*1000000000+ISNUMBER('Dvd Calendar'!$AC$2141)*100000000+0*10000000+(N('Dvd Calendar'!$AC$2139)&gt;0)*(N('Dvd Calendar'!$AC$2139)&lt;=VAL_SERIAL)*1000000+53*1000+65))</f>
        <v/>
      </c>
    </row>
    <row r="213">
      <c r="B213" s="2">
        <f>IF(HSCEI!$C$60="","",HSCEI!$C$60)</f>
        <v/>
      </c>
      <c r="C213" s="106">
        <f>IF(EE213="","",IF(ISNUMBER('Dvd Calendar'!$E$2147)=FALSE,"",IF((('Dvd Calendar'!$E$2149=TYPE1)*(TYPE1&lt;&gt;"")+('Dvd Calendar'!$E$2149=TYPE2)*(TYPE2&lt;&gt;"")+('Dvd Calendar'!$E$2149=TYPE3)*(TYPE3&lt;&gt;"")+('Dvd Calendar'!$E$2149=TYPE4)*(TYPE4&lt;&gt;"")+('Dvd Calendar'!$E$2149=SPECIAL_LBL)*(INC_SPECIALS="Y"))=0,"",'Dvd Calendar'!$E$2147)))</f>
        <v/>
      </c>
      <c r="D213" s="106">
        <f>IF(EF213="","",IF(ISNUMBER('Dvd Calendar'!$F$2147)=FALSE,"",IF((('Dvd Calendar'!$F$2149=TYPE1)*(TYPE1&lt;&gt;"")+('Dvd Calendar'!$F$2149=TYPE2)*(TYPE2&lt;&gt;"")+('Dvd Calendar'!$F$2149=TYPE3)*(TYPE3&lt;&gt;"")+('Dvd Calendar'!$F$2149=TYPE4)*(TYPE4&lt;&gt;"")+('Dvd Calendar'!$F$2149=SPECIAL_LBL)*(INC_SPECIALS="Y"))=0,"",'Dvd Calendar'!$F$2147)))</f>
        <v/>
      </c>
      <c r="E213" s="106">
        <f>IF(EG213="","",IF(ISNUMBER('Dvd Calendar'!$G$2147)=FALSE,"",IF((('Dvd Calendar'!$G$2149=TYPE1)*(TYPE1&lt;&gt;"")+('Dvd Calendar'!$G$2149=TYPE2)*(TYPE2&lt;&gt;"")+('Dvd Calendar'!$G$2149=TYPE3)*(TYPE3&lt;&gt;"")+('Dvd Calendar'!$G$2149=TYPE4)*(TYPE4&lt;&gt;"")+('Dvd Calendar'!$G$2149=SPECIAL_LBL)*(INC_SPECIALS="Y"))=0,"",'Dvd Calendar'!$G$2147)))</f>
        <v/>
      </c>
      <c r="F213" s="106">
        <f>IF(EH213="","",IF(ISNUMBER('Dvd Calendar'!$H$2147)=FALSE,"",IF((('Dvd Calendar'!$H$2149=TYPE1)*(TYPE1&lt;&gt;"")+('Dvd Calendar'!$H$2149=TYPE2)*(TYPE2&lt;&gt;"")+('Dvd Calendar'!$H$2149=TYPE3)*(TYPE3&lt;&gt;"")+('Dvd Calendar'!$H$2149=TYPE4)*(TYPE4&lt;&gt;"")+('Dvd Calendar'!$H$2149=SPECIAL_LBL)*(INC_SPECIALS="Y"))=0,"",'Dvd Calendar'!$H$2147)))</f>
        <v/>
      </c>
      <c r="G213" s="106">
        <f>IF(EI213="","",IF(ISNUMBER('Dvd Calendar'!$I$2147)=FALSE,"",IF((('Dvd Calendar'!$I$2149=TYPE1)*(TYPE1&lt;&gt;"")+('Dvd Calendar'!$I$2149=TYPE2)*(TYPE2&lt;&gt;"")+('Dvd Calendar'!$I$2149=TYPE3)*(TYPE3&lt;&gt;"")+('Dvd Calendar'!$I$2149=TYPE4)*(TYPE4&lt;&gt;"")+('Dvd Calendar'!$I$2149=SPECIAL_LBL)*(INC_SPECIALS="Y"))=0,"",'Dvd Calendar'!$I$2147)))</f>
        <v/>
      </c>
      <c r="H213" s="106">
        <f>IF(EJ213="","",IF(ISNUMBER('Dvd Calendar'!$J$2147)=FALSE,"",IF((('Dvd Calendar'!$J$2149=TYPE1)*(TYPE1&lt;&gt;"")+('Dvd Calendar'!$J$2149=TYPE2)*(TYPE2&lt;&gt;"")+('Dvd Calendar'!$J$2149=TYPE3)*(TYPE3&lt;&gt;"")+('Dvd Calendar'!$J$2149=TYPE4)*(TYPE4&lt;&gt;"")+('Dvd Calendar'!$J$2149=SPECIAL_LBL)*(INC_SPECIALS="Y"))=0,"",'Dvd Calendar'!$J$2147)))</f>
        <v/>
      </c>
      <c r="I213" s="106">
        <f>IF(EK213="","",IF(ISNUMBER('Dvd Calendar'!$K$2147)=FALSE,"",IF((('Dvd Calendar'!$K$2149=TYPE1)*(TYPE1&lt;&gt;"")+('Dvd Calendar'!$K$2149=TYPE2)*(TYPE2&lt;&gt;"")+('Dvd Calendar'!$K$2149=TYPE3)*(TYPE3&lt;&gt;"")+('Dvd Calendar'!$K$2149=TYPE4)*(TYPE4&lt;&gt;"")+('Dvd Calendar'!$K$2149=SPECIAL_LBL)*(INC_SPECIALS="Y"))=0,"",'Dvd Calendar'!$K$2147)))</f>
        <v/>
      </c>
      <c r="J213" s="106">
        <f>IF(EL213="","",IF(ISNUMBER('Dvd Calendar'!$L$2147)=FALSE,"",IF((('Dvd Calendar'!$L$2149=TYPE1)*(TYPE1&lt;&gt;"")+('Dvd Calendar'!$L$2149=TYPE2)*(TYPE2&lt;&gt;"")+('Dvd Calendar'!$L$2149=TYPE3)*(TYPE3&lt;&gt;"")+('Dvd Calendar'!$L$2149=TYPE4)*(TYPE4&lt;&gt;"")+('Dvd Calendar'!$L$2149=SPECIAL_LBL)*(INC_SPECIALS="Y"))=0,"",'Dvd Calendar'!$L$2147)))</f>
        <v/>
      </c>
      <c r="K213" s="106">
        <f>IF(EM213="","",IF(ISNUMBER('Dvd Calendar'!$M$2147)=FALSE,"",IF((('Dvd Calendar'!$M$2149=TYPE1)*(TYPE1&lt;&gt;"")+('Dvd Calendar'!$M$2149=TYPE2)*(TYPE2&lt;&gt;"")+('Dvd Calendar'!$M$2149=TYPE3)*(TYPE3&lt;&gt;"")+('Dvd Calendar'!$M$2149=TYPE4)*(TYPE4&lt;&gt;"")+('Dvd Calendar'!$M$2149=SPECIAL_LBL)*(INC_SPECIALS="Y"))=0,"",'Dvd Calendar'!$M$2147)))</f>
        <v/>
      </c>
      <c r="L213" s="106">
        <f>IF(EN213="","",IF(ISNUMBER('Dvd Calendar'!$N$2147)=FALSE,"",IF((('Dvd Calendar'!$N$2149=TYPE1)*(TYPE1&lt;&gt;"")+('Dvd Calendar'!$N$2149=TYPE2)*(TYPE2&lt;&gt;"")+('Dvd Calendar'!$N$2149=TYPE3)*(TYPE3&lt;&gt;"")+('Dvd Calendar'!$N$2149=TYPE4)*(TYPE4&lt;&gt;"")+('Dvd Calendar'!$N$2149=SPECIAL_LBL)*(INC_SPECIALS="Y"))=0,"",'Dvd Calendar'!$N$2147)))</f>
        <v/>
      </c>
      <c r="M213" s="106">
        <f>IF(EO213="","",IF(ISNUMBER('Dvd Calendar'!$O$2147)=FALSE,"",IF((('Dvd Calendar'!$O$2149=TYPE1)*(TYPE1&lt;&gt;"")+('Dvd Calendar'!$O$2149=TYPE2)*(TYPE2&lt;&gt;"")+('Dvd Calendar'!$O$2149=TYPE3)*(TYPE3&lt;&gt;"")+('Dvd Calendar'!$O$2149=TYPE4)*(TYPE4&lt;&gt;"")+('Dvd Calendar'!$O$2149=SPECIAL_LBL)*(INC_SPECIALS="Y"))=0,"",'Dvd Calendar'!$O$2147)))</f>
        <v/>
      </c>
      <c r="N213" s="106">
        <f>IF(EP213="","",IF(ISNUMBER('Dvd Calendar'!$P$2147)=FALSE,"",IF((('Dvd Calendar'!$P$2149=TYPE1)*(TYPE1&lt;&gt;"")+('Dvd Calendar'!$P$2149=TYPE2)*(TYPE2&lt;&gt;"")+('Dvd Calendar'!$P$2149=TYPE3)*(TYPE3&lt;&gt;"")+('Dvd Calendar'!$P$2149=TYPE4)*(TYPE4&lt;&gt;"")+('Dvd Calendar'!$P$2149=SPECIAL_LBL)*(INC_SPECIALS="Y"))=0,"",'Dvd Calendar'!$P$2147)))</f>
        <v/>
      </c>
      <c r="O213" s="106">
        <f>IF(EQ213="","",IF(ISNUMBER('Dvd Calendar'!$Q$2147)=FALSE,"",IF((('Dvd Calendar'!$Q$2149=TYPE1)*(TYPE1&lt;&gt;"")+('Dvd Calendar'!$Q$2149=TYPE2)*(TYPE2&lt;&gt;"")+('Dvd Calendar'!$Q$2149=TYPE3)*(TYPE3&lt;&gt;"")+('Dvd Calendar'!$Q$2149=TYPE4)*(TYPE4&lt;&gt;"")+('Dvd Calendar'!$Q$2149=SPECIAL_LBL)*(INC_SPECIALS="Y"))=0,"",'Dvd Calendar'!$Q$2147)))</f>
        <v/>
      </c>
      <c r="P213" s="106">
        <f>IF(ER213="","",IF(ISNUMBER('Dvd Calendar'!$R$2147)=FALSE,"",IF((('Dvd Calendar'!$R$2149=TYPE1)*(TYPE1&lt;&gt;"")+('Dvd Calendar'!$R$2149=TYPE2)*(TYPE2&lt;&gt;"")+('Dvd Calendar'!$R$2149=TYPE3)*(TYPE3&lt;&gt;"")+('Dvd Calendar'!$R$2149=TYPE4)*(TYPE4&lt;&gt;"")+('Dvd Calendar'!$R$2149=SPECIAL_LBL)*(INC_SPECIALS="Y"))=0,"",'Dvd Calendar'!$R$2147)))</f>
        <v/>
      </c>
      <c r="Q213" s="106">
        <f>IF(ES213="","",IF(ISNUMBER('Dvd Calendar'!$S$2147)=FALSE,"",IF((('Dvd Calendar'!$S$2149=TYPE1)*(TYPE1&lt;&gt;"")+('Dvd Calendar'!$S$2149=TYPE2)*(TYPE2&lt;&gt;"")+('Dvd Calendar'!$S$2149=TYPE3)*(TYPE3&lt;&gt;"")+('Dvd Calendar'!$S$2149=TYPE4)*(TYPE4&lt;&gt;"")+('Dvd Calendar'!$S$2149=SPECIAL_LBL)*(INC_SPECIALS="Y"))=0,"",'Dvd Calendar'!$S$2147)))</f>
        <v/>
      </c>
      <c r="R213" s="106">
        <f>IF(ET213="","",IF(ISNUMBER('Dvd Calendar'!$T$2147)=FALSE,"",IF((('Dvd Calendar'!$T$2149=TYPE1)*(TYPE1&lt;&gt;"")+('Dvd Calendar'!$T$2149=TYPE2)*(TYPE2&lt;&gt;"")+('Dvd Calendar'!$T$2149=TYPE3)*(TYPE3&lt;&gt;"")+('Dvd Calendar'!$T$2149=TYPE4)*(TYPE4&lt;&gt;"")+('Dvd Calendar'!$T$2149=SPECIAL_LBL)*(INC_SPECIALS="Y"))=0,"",'Dvd Calendar'!$T$2147)))</f>
        <v/>
      </c>
      <c r="S213" s="106">
        <f>IF(EU213="","",IF(ISNUMBER('Dvd Calendar'!$U$2147)=FALSE,"",IF((('Dvd Calendar'!$U$2149=TYPE1)*(TYPE1&lt;&gt;"")+('Dvd Calendar'!$U$2149=TYPE2)*(TYPE2&lt;&gt;"")+('Dvd Calendar'!$U$2149=TYPE3)*(TYPE3&lt;&gt;"")+('Dvd Calendar'!$U$2149=TYPE4)*(TYPE4&lt;&gt;"")+('Dvd Calendar'!$U$2149=SPECIAL_LBL)*(INC_SPECIALS="Y"))=0,"",'Dvd Calendar'!$U$2147)))</f>
        <v/>
      </c>
      <c r="T213" s="106">
        <f>IF(EV213="","",IF(ISNUMBER('Dvd Calendar'!$V$2147)=FALSE,"",IF((('Dvd Calendar'!$V$2149=TYPE1)*(TYPE1&lt;&gt;"")+('Dvd Calendar'!$V$2149=TYPE2)*(TYPE2&lt;&gt;"")+('Dvd Calendar'!$V$2149=TYPE3)*(TYPE3&lt;&gt;"")+('Dvd Calendar'!$V$2149=TYPE4)*(TYPE4&lt;&gt;"")+('Dvd Calendar'!$V$2149=SPECIAL_LBL)*(INC_SPECIALS="Y"))=0,"",'Dvd Calendar'!$V$2147)))</f>
        <v/>
      </c>
      <c r="U213" s="106">
        <f>IF(EW213="","",IF(ISNUMBER('Dvd Calendar'!$W$2147)=FALSE,"",IF((('Dvd Calendar'!$W$2149=TYPE1)*(TYPE1&lt;&gt;"")+('Dvd Calendar'!$W$2149=TYPE2)*(TYPE2&lt;&gt;"")+('Dvd Calendar'!$W$2149=TYPE3)*(TYPE3&lt;&gt;"")+('Dvd Calendar'!$W$2149=TYPE4)*(TYPE4&lt;&gt;"")+('Dvd Calendar'!$W$2149=SPECIAL_LBL)*(INC_SPECIALS="Y"))=0,"",'Dvd Calendar'!$W$2147)))</f>
        <v/>
      </c>
      <c r="V213" s="106">
        <f>IF(EX213="","",IF(ISNUMBER('Dvd Calendar'!$X$2147)=FALSE,"",IF((('Dvd Calendar'!$X$2149=TYPE1)*(TYPE1&lt;&gt;"")+('Dvd Calendar'!$X$2149=TYPE2)*(TYPE2&lt;&gt;"")+('Dvd Calendar'!$X$2149=TYPE3)*(TYPE3&lt;&gt;"")+('Dvd Calendar'!$X$2149=TYPE4)*(TYPE4&lt;&gt;"")+('Dvd Calendar'!$X$2149=SPECIAL_LBL)*(INC_SPECIALS="Y"))=0,"",'Dvd Calendar'!$X$2147)))</f>
        <v/>
      </c>
      <c r="W213" s="106">
        <f>IF(EY213="","",IF(ISNUMBER('Dvd Calendar'!$Y$2147)=FALSE,"",IF((('Dvd Calendar'!$Y$2149=TYPE1)*(TYPE1&lt;&gt;"")+('Dvd Calendar'!$Y$2149=TYPE2)*(TYPE2&lt;&gt;"")+('Dvd Calendar'!$Y$2149=TYPE3)*(TYPE3&lt;&gt;"")+('Dvd Calendar'!$Y$2149=TYPE4)*(TYPE4&lt;&gt;"")+('Dvd Calendar'!$Y$2149=SPECIAL_LBL)*(INC_SPECIALS="Y"))=0,"",'Dvd Calendar'!$Y$2147)))</f>
        <v/>
      </c>
      <c r="X213" s="106">
        <f>IF(EZ213="","",IF(ISNUMBER('Dvd Calendar'!$Z$2147)=FALSE,"",IF((('Dvd Calendar'!$Z$2149=TYPE1)*(TYPE1&lt;&gt;"")+('Dvd Calendar'!$Z$2149=TYPE2)*(TYPE2&lt;&gt;"")+('Dvd Calendar'!$Z$2149=TYPE3)*(TYPE3&lt;&gt;"")+('Dvd Calendar'!$Z$2149=TYPE4)*(TYPE4&lt;&gt;"")+('Dvd Calendar'!$Z$2149=SPECIAL_LBL)*(INC_SPECIALS="Y"))=0,"",'Dvd Calendar'!$Z$2147)))</f>
        <v/>
      </c>
      <c r="Y213" s="106">
        <f>IF(FA213="","",IF(ISNUMBER('Dvd Calendar'!$AA$2147)=FALSE,"",IF((('Dvd Calendar'!$AA$2149=TYPE1)*(TYPE1&lt;&gt;"")+('Dvd Calendar'!$AA$2149=TYPE2)*(TYPE2&lt;&gt;"")+('Dvd Calendar'!$AA$2149=TYPE3)*(TYPE3&lt;&gt;"")+('Dvd Calendar'!$AA$2149=TYPE4)*(TYPE4&lt;&gt;"")+('Dvd Calendar'!$AA$2149=SPECIAL_LBL)*(INC_SPECIALS="Y"))=0,"",'Dvd Calendar'!$AA$2147)))</f>
        <v/>
      </c>
      <c r="Z213" s="106">
        <f>IF(FB213="","",IF(ISNUMBER('Dvd Calendar'!$AB$2147)=FALSE,"",IF((('Dvd Calendar'!$AB$2149=TYPE1)*(TYPE1&lt;&gt;"")+('Dvd Calendar'!$AB$2149=TYPE2)*(TYPE2&lt;&gt;"")+('Dvd Calendar'!$AB$2149=TYPE3)*(TYPE3&lt;&gt;"")+('Dvd Calendar'!$AB$2149=TYPE4)*(TYPE4&lt;&gt;"")+('Dvd Calendar'!$AB$2149=SPECIAL_LBL)*(INC_SPECIALS="Y"))=0,"",'Dvd Calendar'!$AB$2147)))</f>
        <v/>
      </c>
      <c r="AA213" s="106">
        <f>IF(FC213="","",IF(ISNUMBER('Dvd Calendar'!$AC$2147)=FALSE,"",IF((('Dvd Calendar'!$AC$2149=TYPE1)*(TYPE1&lt;&gt;"")+('Dvd Calendar'!$AC$2149=TYPE2)*(TYPE2&lt;&gt;"")+('Dvd Calendar'!$AC$2149=TYPE3)*(TYPE3&lt;&gt;"")+('Dvd Calendar'!$AC$2149=TYPE4)*(TYPE4&lt;&gt;"")+('Dvd Calendar'!$AC$2149=SPECIAL_LBL)*(INC_SPECIALS="Y"))=0,"",'Dvd Calendar'!$AC$2147)))</f>
        <v/>
      </c>
      <c r="AB213" s="106">
        <f>IF(FD213="","",IF(ISNUMBER('Dvd Calendar'!$AD$2147)=FALSE,"",IF((('Dvd Calendar'!$AD$2149=TYPE1)*(TYPE1&lt;&gt;"")+('Dvd Calendar'!$AD$2149=TYPE2)*(TYPE2&lt;&gt;"")+('Dvd Calendar'!$AD$2149=TYPE3)*(TYPE3&lt;&gt;"")+('Dvd Calendar'!$AD$2149=TYPE4)*(TYPE4&lt;&gt;"")+('Dvd Calendar'!$AD$2149=SPECIAL_LBL)*(INC_SPECIALS="Y"))=0,"",'Dvd Calendar'!$AD$2147)))</f>
        <v/>
      </c>
      <c r="AC213" s="106">
        <f>IF(FE213="","",IF(ISNUMBER('Dvd Calendar'!$AE$2147)=FALSE,"",IF((('Dvd Calendar'!$AE$2149=TYPE1)*(TYPE1&lt;&gt;"")+('Dvd Calendar'!$AE$2149=TYPE2)*(TYPE2&lt;&gt;"")+('Dvd Calendar'!$AE$2149=TYPE3)*(TYPE3&lt;&gt;"")+('Dvd Calendar'!$AE$2149=TYPE4)*(TYPE4&lt;&gt;"")+('Dvd Calendar'!$AE$2149=SPECIAL_LBL)*(INC_SPECIALS="Y"))=0,"",'Dvd Calendar'!$AE$2147)))</f>
        <v/>
      </c>
      <c r="AD213" s="106">
        <f>IF(FF213="","",IF(ISNUMBER('Dvd Calendar'!$AF$2147)=FALSE,"",IF((('Dvd Calendar'!$AF$2149=TYPE1)*(TYPE1&lt;&gt;"")+('Dvd Calendar'!$AF$2149=TYPE2)*(TYPE2&lt;&gt;"")+('Dvd Calendar'!$AF$2149=TYPE3)*(TYPE3&lt;&gt;"")+('Dvd Calendar'!$AF$2149=TYPE4)*(TYPE4&lt;&gt;"")+('Dvd Calendar'!$AF$2149=SPECIAL_LBL)*(INC_SPECIALS="Y"))=0,"",'Dvd Calendar'!$AF$2147)))</f>
        <v/>
      </c>
      <c r="AE213" s="106">
        <f>IF(FG213="","",IF(ISNUMBER('Dvd Calendar'!$AG$2147)=FALSE,"",IF((('Dvd Calendar'!$AG$2149=TYPE1)*(TYPE1&lt;&gt;"")+('Dvd Calendar'!$AG$2149=TYPE2)*(TYPE2&lt;&gt;"")+('Dvd Calendar'!$AG$2149=TYPE3)*(TYPE3&lt;&gt;"")+('Dvd Calendar'!$AG$2149=TYPE4)*(TYPE4&lt;&gt;"")+('Dvd Calendar'!$AG$2149=SPECIAL_LBL)*(INC_SPECIALS="Y"))=0,"",'Dvd Calendar'!$AG$2147)))</f>
        <v/>
      </c>
      <c r="AF213" s="106">
        <f>IF(FH213="","",IF(ISNUMBER('Dvd Calendar'!$AH$2147)=FALSE,"",IF((('Dvd Calendar'!$AH$2149=TYPE1)*(TYPE1&lt;&gt;"")+('Dvd Calendar'!$AH$2149=TYPE2)*(TYPE2&lt;&gt;"")+('Dvd Calendar'!$AH$2149=TYPE3)*(TYPE3&lt;&gt;"")+('Dvd Calendar'!$AH$2149=TYPE4)*(TYPE4&lt;&gt;"")+('Dvd Calendar'!$AH$2149=SPECIAL_LBL)*(INC_SPECIALS="Y"))=0,"",'Dvd Calendar'!$AH$2147)))</f>
        <v/>
      </c>
      <c r="AG213" s="106">
        <f>IF(FI213="","",IF(ISNUMBER('Dvd Calendar'!$AI$2147)=FALSE,"",IF((('Dvd Calendar'!$AI$2149=TYPE1)*(TYPE1&lt;&gt;"")+('Dvd Calendar'!$AI$2149=TYPE2)*(TYPE2&lt;&gt;"")+('Dvd Calendar'!$AI$2149=TYPE3)*(TYPE3&lt;&gt;"")+('Dvd Calendar'!$AI$2149=TYPE4)*(TYPE4&lt;&gt;"")+('Dvd Calendar'!$AI$2149=SPECIAL_LBL)*(INC_SPECIALS="Y"))=0,"",'Dvd Calendar'!$AI$2147)))</f>
        <v/>
      </c>
      <c r="AH213" s="106">
        <f>IF(FJ213="","",IF(ISNUMBER('Dvd Calendar'!$AJ$2147)=FALSE,"",IF((('Dvd Calendar'!$AJ$2149=TYPE1)*(TYPE1&lt;&gt;"")+('Dvd Calendar'!$AJ$2149=TYPE2)*(TYPE2&lt;&gt;"")+('Dvd Calendar'!$AJ$2149=TYPE3)*(TYPE3&lt;&gt;"")+('Dvd Calendar'!$AJ$2149=TYPE4)*(TYPE4&lt;&gt;"")+('Dvd Calendar'!$AJ$2149=SPECIAL_LBL)*(INC_SPECIALS="Y"))=0,"",'Dvd Calendar'!$AJ$2147)))</f>
        <v/>
      </c>
      <c r="AI213" s="106">
        <f>IF(FK213="","",IF(ISNUMBER('Dvd Calendar'!$AK$2147)=FALSE,"",IF((('Dvd Calendar'!$AK$2149=TYPE1)*(TYPE1&lt;&gt;"")+('Dvd Calendar'!$AK$2149=TYPE2)*(TYPE2&lt;&gt;"")+('Dvd Calendar'!$AK$2149=TYPE3)*(TYPE3&lt;&gt;"")+('Dvd Calendar'!$AK$2149=TYPE4)*(TYPE4&lt;&gt;"")+('Dvd Calendar'!$AK$2149=SPECIAL_LBL)*(INC_SPECIALS="Y"))=0,"",'Dvd Calendar'!$AK$2147)))</f>
        <v/>
      </c>
      <c r="AJ213" s="106">
        <f>IF(FL213="","",IF(ISNUMBER('Dvd Calendar'!$AL$2147)=FALSE,"",IF((('Dvd Calendar'!$AL$2149=TYPE1)*(TYPE1&lt;&gt;"")+('Dvd Calendar'!$AL$2149=TYPE2)*(TYPE2&lt;&gt;"")+('Dvd Calendar'!$AL$2149=TYPE3)*(TYPE3&lt;&gt;"")+('Dvd Calendar'!$AL$2149=TYPE4)*(TYPE4&lt;&gt;"")+('Dvd Calendar'!$AL$2149=SPECIAL_LBL)*(INC_SPECIALS="Y"))=0,"",'Dvd Calendar'!$AL$2147)))</f>
        <v/>
      </c>
      <c r="AK213" s="106">
        <f>IF(FM213="","",IF(ISNUMBER('Dvd Calendar'!$AM$2147)=FALSE,"",IF((('Dvd Calendar'!$AM$2149=TYPE1)*(TYPE1&lt;&gt;"")+('Dvd Calendar'!$AM$2149=TYPE2)*(TYPE2&lt;&gt;"")+('Dvd Calendar'!$AM$2149=TYPE3)*(TYPE3&lt;&gt;"")+('Dvd Calendar'!$AM$2149=TYPE4)*(TYPE4&lt;&gt;"")+('Dvd Calendar'!$AM$2149=SPECIAL_LBL)*(INC_SPECIALS="Y"))=0,"",'Dvd Calendar'!$AM$2147)))</f>
        <v/>
      </c>
      <c r="AL213" s="106">
        <f>IF(FN213="","",IF(ISNUMBER('Dvd Calendar'!$AN$2147)=FALSE,"",IF((('Dvd Calendar'!$AN$2149=TYPE1)*(TYPE1&lt;&gt;"")+('Dvd Calendar'!$AN$2149=TYPE2)*(TYPE2&lt;&gt;"")+('Dvd Calendar'!$AN$2149=TYPE3)*(TYPE3&lt;&gt;"")+('Dvd Calendar'!$AN$2149=TYPE4)*(TYPE4&lt;&gt;"")+('Dvd Calendar'!$AN$2149=SPECIAL_LBL)*(INC_SPECIALS="Y"))=0,"",'Dvd Calendar'!$AN$2147)))</f>
        <v/>
      </c>
      <c r="AM213" s="106">
        <f>IF(FO213="","",IF(ISNUMBER('Dvd Calendar'!$AO$2147)=FALSE,"",IF((('Dvd Calendar'!$AO$2149=TYPE1)*(TYPE1&lt;&gt;"")+('Dvd Calendar'!$AO$2149=TYPE2)*(TYPE2&lt;&gt;"")+('Dvd Calendar'!$AO$2149=TYPE3)*(TYPE3&lt;&gt;"")+('Dvd Calendar'!$AO$2149=TYPE4)*(TYPE4&lt;&gt;"")+('Dvd Calendar'!$AO$2149=SPECIAL_LBL)*(INC_SPECIALS="Y"))=0,"",'Dvd Calendar'!$AO$2147)))</f>
        <v/>
      </c>
      <c r="AN213" s="106">
        <f>IF(FP213="","",IF(ISNUMBER('Dvd Calendar'!$AP$2147)=FALSE,"",IF((('Dvd Calendar'!$AP$2149=TYPE1)*(TYPE1&lt;&gt;"")+('Dvd Calendar'!$AP$2149=TYPE2)*(TYPE2&lt;&gt;"")+('Dvd Calendar'!$AP$2149=TYPE3)*(TYPE3&lt;&gt;"")+('Dvd Calendar'!$AP$2149=TYPE4)*(TYPE4&lt;&gt;"")+('Dvd Calendar'!$AP$2149=SPECIAL_LBL)*(INC_SPECIALS="Y"))=0,"",'Dvd Calendar'!$AP$2147)))</f>
        <v/>
      </c>
      <c r="AO213" s="106">
        <f>IF(FQ213="","",IF(ISNUMBER('Dvd Calendar'!$AQ$2147)=FALSE,"",IF((('Dvd Calendar'!$AQ$2149=TYPE1)*(TYPE1&lt;&gt;"")+('Dvd Calendar'!$AQ$2149=TYPE2)*(TYPE2&lt;&gt;"")+('Dvd Calendar'!$AQ$2149=TYPE3)*(TYPE3&lt;&gt;"")+('Dvd Calendar'!$AQ$2149=TYPE4)*(TYPE4&lt;&gt;"")+('Dvd Calendar'!$AQ$2149=SPECIAL_LBL)*(INC_SPECIALS="Y"))=0,"",'Dvd Calendar'!$AQ$2147)))</f>
        <v/>
      </c>
      <c r="AP213" s="106">
        <f>IF(FR213="","",IF(ISNUMBER('Dvd Calendar'!$AR$2147)=FALSE,"",IF((('Dvd Calendar'!$AR$2149=TYPE1)*(TYPE1&lt;&gt;"")+('Dvd Calendar'!$AR$2149=TYPE2)*(TYPE2&lt;&gt;"")+('Dvd Calendar'!$AR$2149=TYPE3)*(TYPE3&lt;&gt;"")+('Dvd Calendar'!$AR$2149=TYPE4)*(TYPE4&lt;&gt;"")+('Dvd Calendar'!$AR$2149=SPECIAL_LBL)*(INC_SPECIALS="Y"))=0,"",'Dvd Calendar'!$AR$2147)))</f>
        <v/>
      </c>
      <c r="AQ213" s="106">
        <f>IF(FS213="","",IF(ISNUMBER('Dvd Calendar'!$E$2152)=FALSE,"",'Dvd Calendar'!$E$2152))</f>
        <v/>
      </c>
      <c r="AR213" s="106">
        <f>IF(FT213="","",IF(ISNUMBER('Dvd Calendar'!$F$2152)=FALSE,"",'Dvd Calendar'!$F$2152))</f>
        <v/>
      </c>
      <c r="AS213" s="106">
        <f>IF(FU213="","",IF(ISNUMBER('Dvd Calendar'!$G$2152)=FALSE,"",'Dvd Calendar'!$G$2152))</f>
        <v/>
      </c>
      <c r="AT213" s="106">
        <f>IF(FV213="","",IF(ISNUMBER('Dvd Calendar'!$H$2152)=FALSE,"",'Dvd Calendar'!$H$2152))</f>
        <v/>
      </c>
      <c r="AU213" s="106">
        <f>IF(FW213="","",IF(ISNUMBER('Dvd Calendar'!$I$2152)=FALSE,"",'Dvd Calendar'!$I$2152))</f>
        <v/>
      </c>
      <c r="AV213" s="106">
        <f>IF(FX213="","",IF(ISNUMBER('Dvd Calendar'!$J$2152)=FALSE,"",'Dvd Calendar'!$J$2152))</f>
        <v/>
      </c>
      <c r="AW213" s="106">
        <f>IF(FY213="","",IF(ISNUMBER('Dvd Calendar'!$K$2152)=FALSE,"",'Dvd Calendar'!$K$2152))</f>
        <v/>
      </c>
      <c r="AX213" s="106">
        <f>IF(FZ213="","",IF(ISNUMBER('Dvd Calendar'!$L$2152)=FALSE,"",'Dvd Calendar'!$L$2152))</f>
        <v/>
      </c>
      <c r="AY213" s="106">
        <f>IF(GA213="","",IF(ISNUMBER('Dvd Calendar'!$M$2152)=FALSE,"",'Dvd Calendar'!$M$2152))</f>
        <v/>
      </c>
      <c r="AZ213" s="106">
        <f>IF(GB213="","",IF(ISNUMBER('Dvd Calendar'!$N$2152)=FALSE,"",'Dvd Calendar'!$N$2152))</f>
        <v/>
      </c>
      <c r="BA213" s="106">
        <f>IF(GC213="","",IF(ISNUMBER('Dvd Calendar'!$O$2152)=FALSE,"",'Dvd Calendar'!$O$2152))</f>
        <v/>
      </c>
      <c r="BB213" s="106">
        <f>IF(GD213="","",IF(ISNUMBER('Dvd Calendar'!$P$2152)=FALSE,"",'Dvd Calendar'!$P$2152))</f>
        <v/>
      </c>
      <c r="BC213" s="106">
        <f>IF(GE213="","",IF(ISNUMBER('Dvd Calendar'!$Q$2152)=FALSE,"",'Dvd Calendar'!$Q$2152))</f>
        <v/>
      </c>
      <c r="BD213" s="106">
        <f>IF(GF213="","",IF(ISNUMBER('Dvd Calendar'!$R$2152)=FALSE,"",'Dvd Calendar'!$R$2152))</f>
        <v/>
      </c>
      <c r="BE213" s="106">
        <f>IF(GG213="","",IF(ISNUMBER('Dvd Calendar'!$S$2152)=FALSE,"",'Dvd Calendar'!$S$2152))</f>
        <v/>
      </c>
      <c r="BF213" s="106">
        <f>IF(GH213="","",IF(ISNUMBER('Dvd Calendar'!$T$2152)=FALSE,"",'Dvd Calendar'!$T$2152))</f>
        <v/>
      </c>
      <c r="BG213" s="106">
        <f>IF(GI213="","",IF(ISNUMBER('Dvd Calendar'!$U$2152)=FALSE,"",'Dvd Calendar'!$U$2152))</f>
        <v/>
      </c>
      <c r="BH213" s="106">
        <f>IF(GJ213="","",IF(ISNUMBER('Dvd Calendar'!$V$2152)=FALSE,"",'Dvd Calendar'!$V$2152))</f>
        <v/>
      </c>
      <c r="BI213" s="106">
        <f>IF(GK213="","",IF(ISNUMBER('Dvd Calendar'!$W$2152)=FALSE,"",'Dvd Calendar'!$W$2152))</f>
        <v/>
      </c>
      <c r="BJ213" s="106">
        <f>IF(GL213="","",IF(ISNUMBER('Dvd Calendar'!$X$2152)=FALSE,"",'Dvd Calendar'!$X$2152))</f>
        <v/>
      </c>
      <c r="BK213" s="106">
        <f>IF(GM213="","",IF(ISNUMBER('Dvd Calendar'!$Y$2152)=FALSE,"",'Dvd Calendar'!$Y$2152))</f>
        <v/>
      </c>
      <c r="BL213" s="106">
        <f>IF(GN213="","",IF(ISNUMBER('Dvd Calendar'!$Z$2152)=FALSE,"",'Dvd Calendar'!$Z$2152))</f>
        <v/>
      </c>
      <c r="BM213" s="106">
        <f>IF(GO213="","",IF(ISNUMBER('Dvd Calendar'!$AA$2152)=FALSE,"",'Dvd Calendar'!$AA$2152))</f>
        <v/>
      </c>
      <c r="BN213" s="106">
        <f>IF(GP213="","",IF(ISNUMBER('Dvd Calendar'!$AB$2152)=FALSE,"",'Dvd Calendar'!$AB$2152))</f>
        <v/>
      </c>
      <c r="BO213" s="106">
        <f>IF(GQ213="","",IF(ISNUMBER('Dvd Calendar'!$AC$2152)=FALSE,"",'Dvd Calendar'!$AC$2152))</f>
        <v/>
      </c>
      <c r="BQ213" s="106">
        <f>IF(C213="","",IFERROR(C213*HSCEI!$B$60*HSCEI!$G$60/HSCEI!$B$3,""))</f>
        <v/>
      </c>
      <c r="BR213" s="106">
        <f>IF(D213="","",IFERROR(D213*HSCEI!$B$60*HSCEI!$G$60/HSCEI!$B$3,""))</f>
        <v/>
      </c>
      <c r="BS213" s="106">
        <f>IF(E213="","",IFERROR(E213*HSCEI!$B$60*HSCEI!$G$60/HSCEI!$B$3,""))</f>
        <v/>
      </c>
      <c r="BT213" s="106">
        <f>IF(F213="","",IFERROR(F213*HSCEI!$B$60*HSCEI!$G$60/HSCEI!$B$3,""))</f>
        <v/>
      </c>
      <c r="BU213" s="106">
        <f>IF(G213="","",IFERROR(G213*HSCEI!$B$60*HSCEI!$G$60/HSCEI!$B$3,""))</f>
        <v/>
      </c>
      <c r="BV213" s="106">
        <f>IF(H213="","",IFERROR(H213*HSCEI!$B$60*HSCEI!$G$60/HSCEI!$B$3,""))</f>
        <v/>
      </c>
      <c r="BW213" s="106">
        <f>IF(I213="","",IFERROR(I213*HSCEI!$B$60*HSCEI!$G$60/HSCEI!$B$3,""))</f>
        <v/>
      </c>
      <c r="BX213" s="106">
        <f>IF(J213="","",IFERROR(J213*HSCEI!$B$60*HSCEI!$G$60/HSCEI!$B$3,""))</f>
        <v/>
      </c>
      <c r="BY213" s="106">
        <f>IF(K213="","",IFERROR(K213*HSCEI!$B$60*HSCEI!$G$60/HSCEI!$B$3,""))</f>
        <v/>
      </c>
      <c r="BZ213" s="106">
        <f>IF(L213="","",IFERROR(L213*HSCEI!$B$60*HSCEI!$G$60/HSCEI!$B$3,""))</f>
        <v/>
      </c>
      <c r="CA213" s="106">
        <f>IF(M213="","",IFERROR(M213*HSCEI!$B$60*HSCEI!$G$60/HSCEI!$B$3,""))</f>
        <v/>
      </c>
      <c r="CB213" s="106">
        <f>IF(N213="","",IFERROR(N213*HSCEI!$B$60*HSCEI!$G$60/HSCEI!$B$3,""))</f>
        <v/>
      </c>
      <c r="CC213" s="106">
        <f>IF(O213="","",IFERROR(O213*HSCEI!$B$60*HSCEI!$G$60/HSCEI!$B$3,""))</f>
        <v/>
      </c>
      <c r="CD213" s="106">
        <f>IF(P213="","",IFERROR(P213*HSCEI!$B$60*HSCEI!$G$60/HSCEI!$B$3,""))</f>
        <v/>
      </c>
      <c r="CE213" s="106">
        <f>IF(Q213="","",IFERROR(Q213*HSCEI!$B$60*HSCEI!$G$60/HSCEI!$B$3,""))</f>
        <v/>
      </c>
      <c r="CF213" s="106">
        <f>IF(R213="","",IFERROR(R213*HSCEI!$B$60*HSCEI!$G$60/HSCEI!$B$3,""))</f>
        <v/>
      </c>
      <c r="CG213" s="106">
        <f>IF(S213="","",IFERROR(S213*HSCEI!$B$60*HSCEI!$G$60/HSCEI!$B$3,""))</f>
        <v/>
      </c>
      <c r="CH213" s="106">
        <f>IF(T213="","",IFERROR(T213*HSCEI!$B$60*HSCEI!$G$60/HSCEI!$B$3,""))</f>
        <v/>
      </c>
      <c r="CI213" s="106">
        <f>IF(U213="","",IFERROR(U213*HSCEI!$B$60*HSCEI!$G$60/HSCEI!$B$3,""))</f>
        <v/>
      </c>
      <c r="CJ213" s="106">
        <f>IF(V213="","",IFERROR(V213*HSCEI!$B$60*HSCEI!$G$60/HSCEI!$B$3,""))</f>
        <v/>
      </c>
      <c r="CK213" s="106">
        <f>IF(W213="","",IFERROR(W213*HSCEI!$B$60*HSCEI!$G$60/HSCEI!$B$3,""))</f>
        <v/>
      </c>
      <c r="CL213" s="106">
        <f>IF(X213="","",IFERROR(X213*HSCEI!$B$60*HSCEI!$G$60/HSCEI!$B$3,""))</f>
        <v/>
      </c>
      <c r="CM213" s="106">
        <f>IF(Y213="","",IFERROR(Y213*HSCEI!$B$60*HSCEI!$G$60/HSCEI!$B$3,""))</f>
        <v/>
      </c>
      <c r="CN213" s="106">
        <f>IF(Z213="","",IFERROR(Z213*HSCEI!$B$60*HSCEI!$G$60/HSCEI!$B$3,""))</f>
        <v/>
      </c>
      <c r="CO213" s="106">
        <f>IF(AA213="","",IFERROR(AA213*HSCEI!$B$60*HSCEI!$G$60/HSCEI!$B$3,""))</f>
        <v/>
      </c>
      <c r="CP213" s="106">
        <f>IF(AB213="","",IFERROR(AB213*HSCEI!$B$60*HSCEI!$G$60/HSCEI!$B$3,""))</f>
        <v/>
      </c>
      <c r="CQ213" s="106">
        <f>IF(AC213="","",IFERROR(AC213*HSCEI!$B$60*HSCEI!$G$60/HSCEI!$B$3,""))</f>
        <v/>
      </c>
      <c r="CR213" s="106">
        <f>IF(AD213="","",IFERROR(AD213*HSCEI!$B$60*HSCEI!$G$60/HSCEI!$B$3,""))</f>
        <v/>
      </c>
      <c r="CS213" s="106">
        <f>IF(AE213="","",IFERROR(AE213*HSCEI!$B$60*HSCEI!$G$60/HSCEI!$B$3,""))</f>
        <v/>
      </c>
      <c r="CT213" s="106">
        <f>IF(AF213="","",IFERROR(AF213*HSCEI!$B$60*HSCEI!$G$60/HSCEI!$B$3,""))</f>
        <v/>
      </c>
      <c r="CU213" s="106">
        <f>IF(AG213="","",IFERROR(AG213*HSCEI!$B$60*HSCEI!$G$60/HSCEI!$B$3,""))</f>
        <v/>
      </c>
      <c r="CV213" s="106">
        <f>IF(AH213="","",IFERROR(AH213*HSCEI!$B$60*HSCEI!$G$60/HSCEI!$B$3,""))</f>
        <v/>
      </c>
      <c r="CW213" s="106">
        <f>IF(AI213="","",IFERROR(AI213*HSCEI!$B$60*HSCEI!$G$60/HSCEI!$B$3,""))</f>
        <v/>
      </c>
      <c r="CX213" s="106">
        <f>IF(AJ213="","",IFERROR(AJ213*HSCEI!$B$60*HSCEI!$G$60/HSCEI!$B$3,""))</f>
        <v/>
      </c>
      <c r="CY213" s="106">
        <f>IF(AK213="","",IFERROR(AK213*HSCEI!$B$60*HSCEI!$G$60/HSCEI!$B$3,""))</f>
        <v/>
      </c>
      <c r="CZ213" s="106">
        <f>IF(AL213="","",IFERROR(AL213*HSCEI!$B$60*HSCEI!$G$60/HSCEI!$B$3,""))</f>
        <v/>
      </c>
      <c r="DA213" s="106">
        <f>IF(AM213="","",IFERROR(AM213*HSCEI!$B$60*HSCEI!$G$60/HSCEI!$B$3,""))</f>
        <v/>
      </c>
      <c r="DB213" s="106">
        <f>IF(AN213="","",IFERROR(AN213*HSCEI!$B$60*HSCEI!$G$60/HSCEI!$B$3,""))</f>
        <v/>
      </c>
      <c r="DC213" s="106">
        <f>IF(AO213="","",IFERROR(AO213*HSCEI!$B$60*HSCEI!$G$60/HSCEI!$B$3,""))</f>
        <v/>
      </c>
      <c r="DD213" s="106">
        <f>IF(AP213="","",IFERROR(AP213*HSCEI!$B$60*HSCEI!$G$60/HSCEI!$B$3,""))</f>
        <v/>
      </c>
      <c r="DE213" s="106">
        <f>IF(AQ213="","",IFERROR(AQ213*HSCEI!$B$60*HSCEI!$G$60/HSCEI!$B$3,""))</f>
        <v/>
      </c>
      <c r="DF213" s="106">
        <f>IF(AR213="","",IFERROR(AR213*HSCEI!$B$60*HSCEI!$G$60/HSCEI!$B$3,""))</f>
        <v/>
      </c>
      <c r="DG213" s="106">
        <f>IF(AS213="","",IFERROR(AS213*HSCEI!$B$60*HSCEI!$G$60/HSCEI!$B$3,""))</f>
        <v/>
      </c>
      <c r="DH213" s="106">
        <f>IF(AT213="","",IFERROR(AT213*HSCEI!$B$60*HSCEI!$G$60/HSCEI!$B$3,""))</f>
        <v/>
      </c>
      <c r="DI213" s="106">
        <f>IF(AU213="","",IFERROR(AU213*HSCEI!$B$60*HSCEI!$G$60/HSCEI!$B$3,""))</f>
        <v/>
      </c>
      <c r="DJ213" s="106">
        <f>IF(AV213="","",IFERROR(AV213*HSCEI!$B$60*HSCEI!$G$60/HSCEI!$B$3,""))</f>
        <v/>
      </c>
      <c r="DK213" s="106">
        <f>IF(AW213="","",IFERROR(AW213*HSCEI!$B$60*HSCEI!$G$60/HSCEI!$B$3,""))</f>
        <v/>
      </c>
      <c r="DL213" s="106">
        <f>IF(AX213="","",IFERROR(AX213*HSCEI!$B$60*HSCEI!$G$60/HSCEI!$B$3,""))</f>
        <v/>
      </c>
      <c r="DM213" s="106">
        <f>IF(AY213="","",IFERROR(AY213*HSCEI!$B$60*HSCEI!$G$60/HSCEI!$B$3,""))</f>
        <v/>
      </c>
      <c r="DN213" s="106">
        <f>IF(AZ213="","",IFERROR(AZ213*HSCEI!$B$60*HSCEI!$G$60/HSCEI!$B$3,""))</f>
        <v/>
      </c>
      <c r="DO213" s="106">
        <f>IF(BA213="","",IFERROR(BA213*HSCEI!$B$60*HSCEI!$G$60/HSCEI!$B$3,""))</f>
        <v/>
      </c>
      <c r="DP213" s="106">
        <f>IF(BB213="","",IFERROR(BB213*HSCEI!$B$60*HSCEI!$G$60/HSCEI!$B$3,""))</f>
        <v/>
      </c>
      <c r="DQ213" s="106">
        <f>IF(BC213="","",IFERROR(BC213*HSCEI!$B$60*HSCEI!$G$60/HSCEI!$B$3,""))</f>
        <v/>
      </c>
      <c r="DR213" s="106">
        <f>IF(BD213="","",IFERROR(BD213*HSCEI!$B$60*HSCEI!$G$60/HSCEI!$B$3,""))</f>
        <v/>
      </c>
      <c r="DS213" s="106">
        <f>IF(BE213="","",IFERROR(BE213*HSCEI!$B$60*HSCEI!$G$60/HSCEI!$B$3,""))</f>
        <v/>
      </c>
      <c r="DT213" s="106">
        <f>IF(BF213="","",IFERROR(BF213*HSCEI!$B$60*HSCEI!$G$60/HSCEI!$B$3,""))</f>
        <v/>
      </c>
      <c r="DU213" s="106">
        <f>IF(BG213="","",IFERROR(BG213*HSCEI!$B$60*HSCEI!$G$60/HSCEI!$B$3,""))</f>
        <v/>
      </c>
      <c r="DV213" s="106">
        <f>IF(BH213="","",IFERROR(BH213*HSCEI!$B$60*HSCEI!$G$60/HSCEI!$B$3,""))</f>
        <v/>
      </c>
      <c r="DW213" s="106">
        <f>IF(BI213="","",IFERROR(BI213*HSCEI!$B$60*HSCEI!$G$60/HSCEI!$B$3,""))</f>
        <v/>
      </c>
      <c r="DX213" s="106">
        <f>IF(BJ213="","",IFERROR(BJ213*HSCEI!$B$60*HSCEI!$G$60/HSCEI!$B$3,""))</f>
        <v/>
      </c>
      <c r="DY213" s="106">
        <f>IF(BK213="","",IFERROR(BK213*HSCEI!$B$60*HSCEI!$G$60/HSCEI!$B$3,""))</f>
        <v/>
      </c>
      <c r="DZ213" s="106">
        <f>IF(BL213="","",IFERROR(BL213*HSCEI!$B$60*HSCEI!$G$60/HSCEI!$B$3,""))</f>
        <v/>
      </c>
      <c r="EA213" s="106">
        <f>IF(BM213="","",IFERROR(BM213*HSCEI!$B$60*HSCEI!$G$60/HSCEI!$B$3,""))</f>
        <v/>
      </c>
      <c r="EB213" s="106">
        <f>IF(BN213="","",IFERROR(BN213*HSCEI!$B$60*HSCEI!$G$60/HSCEI!$B$3,""))</f>
        <v/>
      </c>
      <c r="EC213" s="106">
        <f>IF(BO213="","",IFERROR(BO213*HSCEI!$B$60*HSCEI!$G$60/HSCEI!$B$3,""))</f>
        <v/>
      </c>
      <c r="EE213" s="35">
        <f>IF(N('Dvd Calendar'!$E$2144)=0,"",IF(('Dvd Calendar'!$E$2144&gt;=GRID_FROM)*('Dvd Calendar'!$E$2144&lt;=GRID_TO)*('Dvd Calendar'!$E$2144&lt;=VAL_DATE)=0,"",'Dvd Calendar'!$E$2144*1000000000+ISNUMBER('Dvd Calendar'!$E$2147)*100000000+('Dvd Calendar'!$E$2149=SPECIAL_LBL)*10000000+0*1000000+54*1000+1))</f>
        <v/>
      </c>
      <c r="EF213" s="35">
        <f>IF(N('Dvd Calendar'!$F$2144)=0,"",IF(('Dvd Calendar'!$F$2144&gt;=GRID_FROM)*('Dvd Calendar'!$F$2144&lt;=GRID_TO)*('Dvd Calendar'!$F$2144&lt;=VAL_DATE)=0,"",'Dvd Calendar'!$F$2144*1000000000+ISNUMBER('Dvd Calendar'!$F$2147)*100000000+('Dvd Calendar'!$F$2149=SPECIAL_LBL)*10000000+0*1000000+54*1000+2))</f>
        <v/>
      </c>
      <c r="EG213" s="35">
        <f>IF(N('Dvd Calendar'!$G$2144)=0,"",IF(('Dvd Calendar'!$G$2144&gt;=GRID_FROM)*('Dvd Calendar'!$G$2144&lt;=GRID_TO)*('Dvd Calendar'!$G$2144&lt;=VAL_DATE)=0,"",'Dvd Calendar'!$G$2144*1000000000+ISNUMBER('Dvd Calendar'!$G$2147)*100000000+('Dvd Calendar'!$G$2149=SPECIAL_LBL)*10000000+0*1000000+54*1000+3))</f>
        <v/>
      </c>
      <c r="EH213" s="35">
        <f>IF(N('Dvd Calendar'!$H$2144)=0,"",IF(('Dvd Calendar'!$H$2144&gt;=GRID_FROM)*('Dvd Calendar'!$H$2144&lt;=GRID_TO)*('Dvd Calendar'!$H$2144&lt;=VAL_DATE)=0,"",'Dvd Calendar'!$H$2144*1000000000+ISNUMBER('Dvd Calendar'!$H$2147)*100000000+('Dvd Calendar'!$H$2149=SPECIAL_LBL)*10000000+0*1000000+54*1000+4))</f>
        <v/>
      </c>
      <c r="EI213" s="35">
        <f>IF(N('Dvd Calendar'!$I$2144)=0,"",IF(('Dvd Calendar'!$I$2144&gt;=GRID_FROM)*('Dvd Calendar'!$I$2144&lt;=GRID_TO)*('Dvd Calendar'!$I$2144&lt;=VAL_DATE)=0,"",'Dvd Calendar'!$I$2144*1000000000+ISNUMBER('Dvd Calendar'!$I$2147)*100000000+('Dvd Calendar'!$I$2149=SPECIAL_LBL)*10000000+0*1000000+54*1000+5))</f>
        <v/>
      </c>
      <c r="EJ213" s="35">
        <f>IF(N('Dvd Calendar'!$J$2144)=0,"",IF(('Dvd Calendar'!$J$2144&gt;=GRID_FROM)*('Dvd Calendar'!$J$2144&lt;=GRID_TO)*('Dvd Calendar'!$J$2144&lt;=VAL_DATE)=0,"",'Dvd Calendar'!$J$2144*1000000000+ISNUMBER('Dvd Calendar'!$J$2147)*100000000+('Dvd Calendar'!$J$2149=SPECIAL_LBL)*10000000+0*1000000+54*1000+6))</f>
        <v/>
      </c>
      <c r="EK213" s="35">
        <f>IF(N('Dvd Calendar'!$K$2144)=0,"",IF(('Dvd Calendar'!$K$2144&gt;=GRID_FROM)*('Dvd Calendar'!$K$2144&lt;=GRID_TO)*('Dvd Calendar'!$K$2144&lt;=VAL_DATE)=0,"",'Dvd Calendar'!$K$2144*1000000000+ISNUMBER('Dvd Calendar'!$K$2147)*100000000+('Dvd Calendar'!$K$2149=SPECIAL_LBL)*10000000+0*1000000+54*1000+7))</f>
        <v/>
      </c>
      <c r="EL213" s="35">
        <f>IF(N('Dvd Calendar'!$L$2144)=0,"",IF(('Dvd Calendar'!$L$2144&gt;=GRID_FROM)*('Dvd Calendar'!$L$2144&lt;=GRID_TO)*('Dvd Calendar'!$L$2144&lt;=VAL_DATE)=0,"",'Dvd Calendar'!$L$2144*1000000000+ISNUMBER('Dvd Calendar'!$L$2147)*100000000+('Dvd Calendar'!$L$2149=SPECIAL_LBL)*10000000+0*1000000+54*1000+8))</f>
        <v/>
      </c>
      <c r="EM213" s="35">
        <f>IF(N('Dvd Calendar'!$M$2144)=0,"",IF(('Dvd Calendar'!$M$2144&gt;=GRID_FROM)*('Dvd Calendar'!$M$2144&lt;=GRID_TO)*('Dvd Calendar'!$M$2144&lt;=VAL_DATE)=0,"",'Dvd Calendar'!$M$2144*1000000000+ISNUMBER('Dvd Calendar'!$M$2147)*100000000+('Dvd Calendar'!$M$2149=SPECIAL_LBL)*10000000+0*1000000+54*1000+9))</f>
        <v/>
      </c>
      <c r="EN213" s="35">
        <f>IF(N('Dvd Calendar'!$N$2144)=0,"",IF(('Dvd Calendar'!$N$2144&gt;=GRID_FROM)*('Dvd Calendar'!$N$2144&lt;=GRID_TO)*('Dvd Calendar'!$N$2144&lt;=VAL_DATE)=0,"",'Dvd Calendar'!$N$2144*1000000000+ISNUMBER('Dvd Calendar'!$N$2147)*100000000+('Dvd Calendar'!$N$2149=SPECIAL_LBL)*10000000+0*1000000+54*1000+10))</f>
        <v/>
      </c>
      <c r="EO213" s="35">
        <f>IF(N('Dvd Calendar'!$O$2144)=0,"",IF(('Dvd Calendar'!$O$2144&gt;=GRID_FROM)*('Dvd Calendar'!$O$2144&lt;=GRID_TO)*('Dvd Calendar'!$O$2144&lt;=VAL_DATE)=0,"",'Dvd Calendar'!$O$2144*1000000000+ISNUMBER('Dvd Calendar'!$O$2147)*100000000+('Dvd Calendar'!$O$2149=SPECIAL_LBL)*10000000+0*1000000+54*1000+11))</f>
        <v/>
      </c>
      <c r="EP213" s="35">
        <f>IF(N('Dvd Calendar'!$P$2144)=0,"",IF(('Dvd Calendar'!$P$2144&gt;=GRID_FROM)*('Dvd Calendar'!$P$2144&lt;=GRID_TO)*('Dvd Calendar'!$P$2144&lt;=VAL_DATE)=0,"",'Dvd Calendar'!$P$2144*1000000000+ISNUMBER('Dvd Calendar'!$P$2147)*100000000+('Dvd Calendar'!$P$2149=SPECIAL_LBL)*10000000+0*1000000+54*1000+12))</f>
        <v/>
      </c>
      <c r="EQ213" s="35">
        <f>IF(N('Dvd Calendar'!$Q$2144)=0,"",IF(('Dvd Calendar'!$Q$2144&gt;=GRID_FROM)*('Dvd Calendar'!$Q$2144&lt;=GRID_TO)*('Dvd Calendar'!$Q$2144&lt;=VAL_DATE)=0,"",'Dvd Calendar'!$Q$2144*1000000000+ISNUMBER('Dvd Calendar'!$Q$2147)*100000000+('Dvd Calendar'!$Q$2149=SPECIAL_LBL)*10000000+0*1000000+54*1000+13))</f>
        <v/>
      </c>
      <c r="ER213" s="35">
        <f>IF(N('Dvd Calendar'!$R$2144)=0,"",IF(('Dvd Calendar'!$R$2144&gt;=GRID_FROM)*('Dvd Calendar'!$R$2144&lt;=GRID_TO)*('Dvd Calendar'!$R$2144&lt;=VAL_DATE)=0,"",'Dvd Calendar'!$R$2144*1000000000+ISNUMBER('Dvd Calendar'!$R$2147)*100000000+('Dvd Calendar'!$R$2149=SPECIAL_LBL)*10000000+0*1000000+54*1000+14))</f>
        <v/>
      </c>
      <c r="ES213" s="35">
        <f>IF(N('Dvd Calendar'!$S$2144)=0,"",IF(('Dvd Calendar'!$S$2144&gt;=GRID_FROM)*('Dvd Calendar'!$S$2144&lt;=GRID_TO)*('Dvd Calendar'!$S$2144&lt;=VAL_DATE)=0,"",'Dvd Calendar'!$S$2144*1000000000+ISNUMBER('Dvd Calendar'!$S$2147)*100000000+('Dvd Calendar'!$S$2149=SPECIAL_LBL)*10000000+0*1000000+54*1000+15))</f>
        <v/>
      </c>
      <c r="ET213" s="35">
        <f>IF(N('Dvd Calendar'!$T$2144)=0,"",IF(('Dvd Calendar'!$T$2144&gt;=GRID_FROM)*('Dvd Calendar'!$T$2144&lt;=GRID_TO)*('Dvd Calendar'!$T$2144&lt;=VAL_DATE)=0,"",'Dvd Calendar'!$T$2144*1000000000+ISNUMBER('Dvd Calendar'!$T$2147)*100000000+('Dvd Calendar'!$T$2149=SPECIAL_LBL)*10000000+0*1000000+54*1000+16))</f>
        <v/>
      </c>
      <c r="EU213" s="35">
        <f>IF(N('Dvd Calendar'!$U$2144)=0,"",IF(('Dvd Calendar'!$U$2144&gt;=GRID_FROM)*('Dvd Calendar'!$U$2144&lt;=GRID_TO)*('Dvd Calendar'!$U$2144&lt;=VAL_DATE)=0,"",'Dvd Calendar'!$U$2144*1000000000+ISNUMBER('Dvd Calendar'!$U$2147)*100000000+('Dvd Calendar'!$U$2149=SPECIAL_LBL)*10000000+0*1000000+54*1000+17))</f>
        <v/>
      </c>
      <c r="EV213" s="35">
        <f>IF(N('Dvd Calendar'!$V$2144)=0,"",IF(('Dvd Calendar'!$V$2144&gt;=GRID_FROM)*('Dvd Calendar'!$V$2144&lt;=GRID_TO)*('Dvd Calendar'!$V$2144&lt;=VAL_DATE)=0,"",'Dvd Calendar'!$V$2144*1000000000+ISNUMBER('Dvd Calendar'!$V$2147)*100000000+('Dvd Calendar'!$V$2149=SPECIAL_LBL)*10000000+0*1000000+54*1000+18))</f>
        <v/>
      </c>
      <c r="EW213" s="35">
        <f>IF(N('Dvd Calendar'!$W$2144)=0,"",IF(('Dvd Calendar'!$W$2144&gt;=GRID_FROM)*('Dvd Calendar'!$W$2144&lt;=GRID_TO)*('Dvd Calendar'!$W$2144&lt;=VAL_DATE)=0,"",'Dvd Calendar'!$W$2144*1000000000+ISNUMBER('Dvd Calendar'!$W$2147)*100000000+('Dvd Calendar'!$W$2149=SPECIAL_LBL)*10000000+0*1000000+54*1000+19))</f>
        <v/>
      </c>
      <c r="EX213" s="35">
        <f>IF(N('Dvd Calendar'!$X$2144)=0,"",IF(('Dvd Calendar'!$X$2144&gt;=GRID_FROM)*('Dvd Calendar'!$X$2144&lt;=GRID_TO)*('Dvd Calendar'!$X$2144&lt;=VAL_DATE)=0,"",'Dvd Calendar'!$X$2144*1000000000+ISNUMBER('Dvd Calendar'!$X$2147)*100000000+('Dvd Calendar'!$X$2149=SPECIAL_LBL)*10000000+0*1000000+54*1000+20))</f>
        <v/>
      </c>
      <c r="EY213" s="35">
        <f>IF(N('Dvd Calendar'!$Y$2144)=0,"",IF(('Dvd Calendar'!$Y$2144&gt;=GRID_FROM)*('Dvd Calendar'!$Y$2144&lt;=GRID_TO)*('Dvd Calendar'!$Y$2144&lt;=VAL_DATE)=0,"",'Dvd Calendar'!$Y$2144*1000000000+ISNUMBER('Dvd Calendar'!$Y$2147)*100000000+('Dvd Calendar'!$Y$2149=SPECIAL_LBL)*10000000+0*1000000+54*1000+21))</f>
        <v/>
      </c>
      <c r="EZ213" s="35">
        <f>IF(N('Dvd Calendar'!$Z$2144)=0,"",IF(('Dvd Calendar'!$Z$2144&gt;=GRID_FROM)*('Dvd Calendar'!$Z$2144&lt;=GRID_TO)*('Dvd Calendar'!$Z$2144&lt;=VAL_DATE)=0,"",'Dvd Calendar'!$Z$2144*1000000000+ISNUMBER('Dvd Calendar'!$Z$2147)*100000000+('Dvd Calendar'!$Z$2149=SPECIAL_LBL)*10000000+0*1000000+54*1000+22))</f>
        <v/>
      </c>
      <c r="FA213" s="35">
        <f>IF(N('Dvd Calendar'!$AA$2144)=0,"",IF(('Dvd Calendar'!$AA$2144&gt;=GRID_FROM)*('Dvd Calendar'!$AA$2144&lt;=GRID_TO)*('Dvd Calendar'!$AA$2144&lt;=VAL_DATE)=0,"",'Dvd Calendar'!$AA$2144*1000000000+ISNUMBER('Dvd Calendar'!$AA$2147)*100000000+('Dvd Calendar'!$AA$2149=SPECIAL_LBL)*10000000+0*1000000+54*1000+23))</f>
        <v/>
      </c>
      <c r="FB213" s="35">
        <f>IF(N('Dvd Calendar'!$AB$2144)=0,"",IF(('Dvd Calendar'!$AB$2144&gt;=GRID_FROM)*('Dvd Calendar'!$AB$2144&lt;=GRID_TO)*('Dvd Calendar'!$AB$2144&lt;=VAL_DATE)=0,"",'Dvd Calendar'!$AB$2144*1000000000+ISNUMBER('Dvd Calendar'!$AB$2147)*100000000+('Dvd Calendar'!$AB$2149=SPECIAL_LBL)*10000000+0*1000000+54*1000+24))</f>
        <v/>
      </c>
      <c r="FC213" s="35">
        <f>IF(N('Dvd Calendar'!$AC$2144)=0,"",IF(('Dvd Calendar'!$AC$2144&gt;=GRID_FROM)*('Dvd Calendar'!$AC$2144&lt;=GRID_TO)*('Dvd Calendar'!$AC$2144&lt;=VAL_DATE)=0,"",'Dvd Calendar'!$AC$2144*1000000000+ISNUMBER('Dvd Calendar'!$AC$2147)*100000000+('Dvd Calendar'!$AC$2149=SPECIAL_LBL)*10000000+0*1000000+54*1000+25))</f>
        <v/>
      </c>
      <c r="FD213" s="35">
        <f>IF(N('Dvd Calendar'!$AD$2144)=0,"",IF(('Dvd Calendar'!$AD$2144&gt;=GRID_FROM)*('Dvd Calendar'!$AD$2144&lt;=GRID_TO)*('Dvd Calendar'!$AD$2144&lt;=VAL_DATE)=0,"",'Dvd Calendar'!$AD$2144*1000000000+ISNUMBER('Dvd Calendar'!$AD$2147)*100000000+('Dvd Calendar'!$AD$2149=SPECIAL_LBL)*10000000+0*1000000+54*1000+26))</f>
        <v/>
      </c>
      <c r="FE213" s="35">
        <f>IF(N('Dvd Calendar'!$AE$2144)=0,"",IF(('Dvd Calendar'!$AE$2144&gt;=GRID_FROM)*('Dvd Calendar'!$AE$2144&lt;=GRID_TO)*('Dvd Calendar'!$AE$2144&lt;=VAL_DATE)=0,"",'Dvd Calendar'!$AE$2144*1000000000+ISNUMBER('Dvd Calendar'!$AE$2147)*100000000+('Dvd Calendar'!$AE$2149=SPECIAL_LBL)*10000000+0*1000000+54*1000+27))</f>
        <v/>
      </c>
      <c r="FF213" s="35">
        <f>IF(N('Dvd Calendar'!$AF$2144)=0,"",IF(('Dvd Calendar'!$AF$2144&gt;=GRID_FROM)*('Dvd Calendar'!$AF$2144&lt;=GRID_TO)*('Dvd Calendar'!$AF$2144&lt;=VAL_DATE)=0,"",'Dvd Calendar'!$AF$2144*1000000000+ISNUMBER('Dvd Calendar'!$AF$2147)*100000000+('Dvd Calendar'!$AF$2149=SPECIAL_LBL)*10000000+0*1000000+54*1000+28))</f>
        <v/>
      </c>
      <c r="FG213" s="35">
        <f>IF(N('Dvd Calendar'!$AG$2144)=0,"",IF(('Dvd Calendar'!$AG$2144&gt;=GRID_FROM)*('Dvd Calendar'!$AG$2144&lt;=GRID_TO)*('Dvd Calendar'!$AG$2144&lt;=VAL_DATE)=0,"",'Dvd Calendar'!$AG$2144*1000000000+ISNUMBER('Dvd Calendar'!$AG$2147)*100000000+('Dvd Calendar'!$AG$2149=SPECIAL_LBL)*10000000+0*1000000+54*1000+29))</f>
        <v/>
      </c>
      <c r="FH213" s="35">
        <f>IF(N('Dvd Calendar'!$AH$2144)=0,"",IF(('Dvd Calendar'!$AH$2144&gt;=GRID_FROM)*('Dvd Calendar'!$AH$2144&lt;=GRID_TO)*('Dvd Calendar'!$AH$2144&lt;=VAL_DATE)=0,"",'Dvd Calendar'!$AH$2144*1000000000+ISNUMBER('Dvd Calendar'!$AH$2147)*100000000+('Dvd Calendar'!$AH$2149=SPECIAL_LBL)*10000000+0*1000000+54*1000+30))</f>
        <v/>
      </c>
      <c r="FI213" s="35">
        <f>IF(N('Dvd Calendar'!$AI$2144)=0,"",IF(('Dvd Calendar'!$AI$2144&gt;=GRID_FROM)*('Dvd Calendar'!$AI$2144&lt;=GRID_TO)*('Dvd Calendar'!$AI$2144&lt;=VAL_DATE)=0,"",'Dvd Calendar'!$AI$2144*1000000000+ISNUMBER('Dvd Calendar'!$AI$2147)*100000000+('Dvd Calendar'!$AI$2149=SPECIAL_LBL)*10000000+0*1000000+54*1000+31))</f>
        <v/>
      </c>
      <c r="FJ213" s="35">
        <f>IF(N('Dvd Calendar'!$AJ$2144)=0,"",IF(('Dvd Calendar'!$AJ$2144&gt;=GRID_FROM)*('Dvd Calendar'!$AJ$2144&lt;=GRID_TO)*('Dvd Calendar'!$AJ$2144&lt;=VAL_DATE)=0,"",'Dvd Calendar'!$AJ$2144*1000000000+ISNUMBER('Dvd Calendar'!$AJ$2147)*100000000+('Dvd Calendar'!$AJ$2149=SPECIAL_LBL)*10000000+0*1000000+54*1000+32))</f>
        <v/>
      </c>
      <c r="FK213" s="35">
        <f>IF(N('Dvd Calendar'!$AK$2144)=0,"",IF(('Dvd Calendar'!$AK$2144&gt;=GRID_FROM)*('Dvd Calendar'!$AK$2144&lt;=GRID_TO)*('Dvd Calendar'!$AK$2144&lt;=VAL_DATE)=0,"",'Dvd Calendar'!$AK$2144*1000000000+ISNUMBER('Dvd Calendar'!$AK$2147)*100000000+('Dvd Calendar'!$AK$2149=SPECIAL_LBL)*10000000+0*1000000+54*1000+33))</f>
        <v/>
      </c>
      <c r="FL213" s="35">
        <f>IF(N('Dvd Calendar'!$AL$2144)=0,"",IF(('Dvd Calendar'!$AL$2144&gt;=GRID_FROM)*('Dvd Calendar'!$AL$2144&lt;=GRID_TO)*('Dvd Calendar'!$AL$2144&lt;=VAL_DATE)=0,"",'Dvd Calendar'!$AL$2144*1000000000+ISNUMBER('Dvd Calendar'!$AL$2147)*100000000+('Dvd Calendar'!$AL$2149=SPECIAL_LBL)*10000000+0*1000000+54*1000+34))</f>
        <v/>
      </c>
      <c r="FM213" s="35">
        <f>IF(N('Dvd Calendar'!$AM$2144)=0,"",IF(('Dvd Calendar'!$AM$2144&gt;=GRID_FROM)*('Dvd Calendar'!$AM$2144&lt;=GRID_TO)*('Dvd Calendar'!$AM$2144&lt;=VAL_DATE)=0,"",'Dvd Calendar'!$AM$2144*1000000000+ISNUMBER('Dvd Calendar'!$AM$2147)*100000000+('Dvd Calendar'!$AM$2149=SPECIAL_LBL)*10000000+0*1000000+54*1000+35))</f>
        <v/>
      </c>
      <c r="FN213" s="35">
        <f>IF(N('Dvd Calendar'!$AN$2144)=0,"",IF(('Dvd Calendar'!$AN$2144&gt;=GRID_FROM)*('Dvd Calendar'!$AN$2144&lt;=GRID_TO)*('Dvd Calendar'!$AN$2144&lt;=VAL_DATE)=0,"",'Dvd Calendar'!$AN$2144*1000000000+ISNUMBER('Dvd Calendar'!$AN$2147)*100000000+('Dvd Calendar'!$AN$2149=SPECIAL_LBL)*10000000+0*1000000+54*1000+36))</f>
        <v/>
      </c>
      <c r="FO213" s="35">
        <f>IF(N('Dvd Calendar'!$AO$2144)=0,"",IF(('Dvd Calendar'!$AO$2144&gt;=GRID_FROM)*('Dvd Calendar'!$AO$2144&lt;=GRID_TO)*('Dvd Calendar'!$AO$2144&lt;=VAL_DATE)=0,"",'Dvd Calendar'!$AO$2144*1000000000+ISNUMBER('Dvd Calendar'!$AO$2147)*100000000+('Dvd Calendar'!$AO$2149=SPECIAL_LBL)*10000000+0*1000000+54*1000+37))</f>
        <v/>
      </c>
      <c r="FP213" s="35">
        <f>IF(N('Dvd Calendar'!$AP$2144)=0,"",IF(('Dvd Calendar'!$AP$2144&gt;=GRID_FROM)*('Dvd Calendar'!$AP$2144&lt;=GRID_TO)*('Dvd Calendar'!$AP$2144&lt;=VAL_DATE)=0,"",'Dvd Calendar'!$AP$2144*1000000000+ISNUMBER('Dvd Calendar'!$AP$2147)*100000000+('Dvd Calendar'!$AP$2149=SPECIAL_LBL)*10000000+0*1000000+54*1000+38))</f>
        <v/>
      </c>
      <c r="FQ213" s="35">
        <f>IF(N('Dvd Calendar'!$AQ$2144)=0,"",IF(('Dvd Calendar'!$AQ$2144&gt;=GRID_FROM)*('Dvd Calendar'!$AQ$2144&lt;=GRID_TO)*('Dvd Calendar'!$AQ$2144&lt;=VAL_DATE)=0,"",'Dvd Calendar'!$AQ$2144*1000000000+ISNUMBER('Dvd Calendar'!$AQ$2147)*100000000+('Dvd Calendar'!$AQ$2149=SPECIAL_LBL)*10000000+0*1000000+54*1000+39))</f>
        <v/>
      </c>
      <c r="FR213" s="35">
        <f>IF(N('Dvd Calendar'!$AR$2144)=0,"",IF(('Dvd Calendar'!$AR$2144&gt;=GRID_FROM)*('Dvd Calendar'!$AR$2144&lt;=GRID_TO)*('Dvd Calendar'!$AR$2144&lt;=VAL_DATE)=0,"",'Dvd Calendar'!$AR$2144*1000000000+ISNUMBER('Dvd Calendar'!$AR$2147)*100000000+('Dvd Calendar'!$AR$2149=SPECIAL_LBL)*10000000+0*1000000+54*1000+40))</f>
        <v/>
      </c>
      <c r="FS213" s="35">
        <f>IF(N('Dvd Calendar'!$E$2151)=0,"",IF(('Dvd Calendar'!$E$2151&gt;=GRID_FROM)*('Dvd Calendar'!$E$2151&lt;=GRID_TO)*('Dvd Calendar'!$E$2151&gt;VAL_DATE)=0,"",'Dvd Calendar'!$E$2151*1000000000+ISNUMBER('Dvd Calendar'!$E$2152)*100000000+0*10000000+(N('Dvd Calendar'!$E$2150)&gt;0)*(N('Dvd Calendar'!$E$2150)&lt;=VAL_SERIAL)*1000000+54*1000+41))</f>
        <v/>
      </c>
      <c r="FT213" s="35">
        <f>IF(N('Dvd Calendar'!$F$2151)=0,"",IF(('Dvd Calendar'!$F$2151&gt;=GRID_FROM)*('Dvd Calendar'!$F$2151&lt;=GRID_TO)*('Dvd Calendar'!$F$2151&gt;VAL_DATE)=0,"",'Dvd Calendar'!$F$2151*1000000000+ISNUMBER('Dvd Calendar'!$F$2152)*100000000+0*10000000+(N('Dvd Calendar'!$F$2150)&gt;0)*(N('Dvd Calendar'!$F$2150)&lt;=VAL_SERIAL)*1000000+54*1000+42))</f>
        <v/>
      </c>
      <c r="FU213" s="35">
        <f>IF(N('Dvd Calendar'!$G$2151)=0,"",IF(('Dvd Calendar'!$G$2151&gt;=GRID_FROM)*('Dvd Calendar'!$G$2151&lt;=GRID_TO)*('Dvd Calendar'!$G$2151&gt;VAL_DATE)=0,"",'Dvd Calendar'!$G$2151*1000000000+ISNUMBER('Dvd Calendar'!$G$2152)*100000000+0*10000000+(N('Dvd Calendar'!$G$2150)&gt;0)*(N('Dvd Calendar'!$G$2150)&lt;=VAL_SERIAL)*1000000+54*1000+43))</f>
        <v/>
      </c>
      <c r="FV213" s="35">
        <f>IF(N('Dvd Calendar'!$H$2151)=0,"",IF(('Dvd Calendar'!$H$2151&gt;=GRID_FROM)*('Dvd Calendar'!$H$2151&lt;=GRID_TO)*('Dvd Calendar'!$H$2151&gt;VAL_DATE)=0,"",'Dvd Calendar'!$H$2151*1000000000+ISNUMBER('Dvd Calendar'!$H$2152)*100000000+0*10000000+(N('Dvd Calendar'!$H$2150)&gt;0)*(N('Dvd Calendar'!$H$2150)&lt;=VAL_SERIAL)*1000000+54*1000+44))</f>
        <v/>
      </c>
      <c r="FW213" s="35">
        <f>IF(N('Dvd Calendar'!$I$2151)=0,"",IF(('Dvd Calendar'!$I$2151&gt;=GRID_FROM)*('Dvd Calendar'!$I$2151&lt;=GRID_TO)*('Dvd Calendar'!$I$2151&gt;VAL_DATE)=0,"",'Dvd Calendar'!$I$2151*1000000000+ISNUMBER('Dvd Calendar'!$I$2152)*100000000+0*10000000+(N('Dvd Calendar'!$I$2150)&gt;0)*(N('Dvd Calendar'!$I$2150)&lt;=VAL_SERIAL)*1000000+54*1000+45))</f>
        <v/>
      </c>
      <c r="FX213" s="35">
        <f>IF(N('Dvd Calendar'!$J$2151)=0,"",IF(('Dvd Calendar'!$J$2151&gt;=GRID_FROM)*('Dvd Calendar'!$J$2151&lt;=GRID_TO)*('Dvd Calendar'!$J$2151&gt;VAL_DATE)=0,"",'Dvd Calendar'!$J$2151*1000000000+ISNUMBER('Dvd Calendar'!$J$2152)*100000000+0*10000000+(N('Dvd Calendar'!$J$2150)&gt;0)*(N('Dvd Calendar'!$J$2150)&lt;=VAL_SERIAL)*1000000+54*1000+46))</f>
        <v/>
      </c>
      <c r="FY213" s="35">
        <f>IF(N('Dvd Calendar'!$K$2151)=0,"",IF(('Dvd Calendar'!$K$2151&gt;=GRID_FROM)*('Dvd Calendar'!$K$2151&lt;=GRID_TO)*('Dvd Calendar'!$K$2151&gt;VAL_DATE)=0,"",'Dvd Calendar'!$K$2151*1000000000+ISNUMBER('Dvd Calendar'!$K$2152)*100000000+0*10000000+(N('Dvd Calendar'!$K$2150)&gt;0)*(N('Dvd Calendar'!$K$2150)&lt;=VAL_SERIAL)*1000000+54*1000+47))</f>
        <v/>
      </c>
      <c r="FZ213" s="35">
        <f>IF(N('Dvd Calendar'!$L$2151)=0,"",IF(('Dvd Calendar'!$L$2151&gt;=GRID_FROM)*('Dvd Calendar'!$L$2151&lt;=GRID_TO)*('Dvd Calendar'!$L$2151&gt;VAL_DATE)=0,"",'Dvd Calendar'!$L$2151*1000000000+ISNUMBER('Dvd Calendar'!$L$2152)*100000000+0*10000000+(N('Dvd Calendar'!$L$2150)&gt;0)*(N('Dvd Calendar'!$L$2150)&lt;=VAL_SERIAL)*1000000+54*1000+48))</f>
        <v/>
      </c>
      <c r="GA213" s="35">
        <f>IF(N('Dvd Calendar'!$M$2151)=0,"",IF(('Dvd Calendar'!$M$2151&gt;=GRID_FROM)*('Dvd Calendar'!$M$2151&lt;=GRID_TO)*('Dvd Calendar'!$M$2151&gt;VAL_DATE)=0,"",'Dvd Calendar'!$M$2151*1000000000+ISNUMBER('Dvd Calendar'!$M$2152)*100000000+0*10000000+(N('Dvd Calendar'!$M$2150)&gt;0)*(N('Dvd Calendar'!$M$2150)&lt;=VAL_SERIAL)*1000000+54*1000+49))</f>
        <v/>
      </c>
      <c r="GB213" s="35">
        <f>IF(N('Dvd Calendar'!$N$2151)=0,"",IF(('Dvd Calendar'!$N$2151&gt;=GRID_FROM)*('Dvd Calendar'!$N$2151&lt;=GRID_TO)*('Dvd Calendar'!$N$2151&gt;VAL_DATE)=0,"",'Dvd Calendar'!$N$2151*1000000000+ISNUMBER('Dvd Calendar'!$N$2152)*100000000+0*10000000+(N('Dvd Calendar'!$N$2150)&gt;0)*(N('Dvd Calendar'!$N$2150)&lt;=VAL_SERIAL)*1000000+54*1000+50))</f>
        <v/>
      </c>
      <c r="GC213" s="35">
        <f>IF(N('Dvd Calendar'!$O$2151)=0,"",IF(('Dvd Calendar'!$O$2151&gt;=GRID_FROM)*('Dvd Calendar'!$O$2151&lt;=GRID_TO)*('Dvd Calendar'!$O$2151&gt;VAL_DATE)=0,"",'Dvd Calendar'!$O$2151*1000000000+ISNUMBER('Dvd Calendar'!$O$2152)*100000000+0*10000000+(N('Dvd Calendar'!$O$2150)&gt;0)*(N('Dvd Calendar'!$O$2150)&lt;=VAL_SERIAL)*1000000+54*1000+51))</f>
        <v/>
      </c>
      <c r="GD213" s="35">
        <f>IF(N('Dvd Calendar'!$P$2151)=0,"",IF(('Dvd Calendar'!$P$2151&gt;=GRID_FROM)*('Dvd Calendar'!$P$2151&lt;=GRID_TO)*('Dvd Calendar'!$P$2151&gt;VAL_DATE)=0,"",'Dvd Calendar'!$P$2151*1000000000+ISNUMBER('Dvd Calendar'!$P$2152)*100000000+0*10000000+(N('Dvd Calendar'!$P$2150)&gt;0)*(N('Dvd Calendar'!$P$2150)&lt;=VAL_SERIAL)*1000000+54*1000+52))</f>
        <v/>
      </c>
      <c r="GE213" s="35">
        <f>IF(N('Dvd Calendar'!$Q$2151)=0,"",IF(('Dvd Calendar'!$Q$2151&gt;=GRID_FROM)*('Dvd Calendar'!$Q$2151&lt;=GRID_TO)*('Dvd Calendar'!$Q$2151&gt;VAL_DATE)=0,"",'Dvd Calendar'!$Q$2151*1000000000+ISNUMBER('Dvd Calendar'!$Q$2152)*100000000+0*10000000+(N('Dvd Calendar'!$Q$2150)&gt;0)*(N('Dvd Calendar'!$Q$2150)&lt;=VAL_SERIAL)*1000000+54*1000+53))</f>
        <v/>
      </c>
      <c r="GF213" s="35">
        <f>IF(N('Dvd Calendar'!$R$2151)=0,"",IF(('Dvd Calendar'!$R$2151&gt;=GRID_FROM)*('Dvd Calendar'!$R$2151&lt;=GRID_TO)*('Dvd Calendar'!$R$2151&gt;VAL_DATE)=0,"",'Dvd Calendar'!$R$2151*1000000000+ISNUMBER('Dvd Calendar'!$R$2152)*100000000+0*10000000+(N('Dvd Calendar'!$R$2150)&gt;0)*(N('Dvd Calendar'!$R$2150)&lt;=VAL_SERIAL)*1000000+54*1000+54))</f>
        <v/>
      </c>
      <c r="GG213" s="35">
        <f>IF(N('Dvd Calendar'!$S$2151)=0,"",IF(('Dvd Calendar'!$S$2151&gt;=GRID_FROM)*('Dvd Calendar'!$S$2151&lt;=GRID_TO)*('Dvd Calendar'!$S$2151&gt;VAL_DATE)=0,"",'Dvd Calendar'!$S$2151*1000000000+ISNUMBER('Dvd Calendar'!$S$2152)*100000000+0*10000000+(N('Dvd Calendar'!$S$2150)&gt;0)*(N('Dvd Calendar'!$S$2150)&lt;=VAL_SERIAL)*1000000+54*1000+55))</f>
        <v/>
      </c>
      <c r="GH213" s="35">
        <f>IF(N('Dvd Calendar'!$T$2151)=0,"",IF(('Dvd Calendar'!$T$2151&gt;=GRID_FROM)*('Dvd Calendar'!$T$2151&lt;=GRID_TO)*('Dvd Calendar'!$T$2151&gt;VAL_DATE)=0,"",'Dvd Calendar'!$T$2151*1000000000+ISNUMBER('Dvd Calendar'!$T$2152)*100000000+0*10000000+(N('Dvd Calendar'!$T$2150)&gt;0)*(N('Dvd Calendar'!$T$2150)&lt;=VAL_SERIAL)*1000000+54*1000+56))</f>
        <v/>
      </c>
      <c r="GI213" s="35">
        <f>IF(N('Dvd Calendar'!$U$2151)=0,"",IF(('Dvd Calendar'!$U$2151&gt;=GRID_FROM)*('Dvd Calendar'!$U$2151&lt;=GRID_TO)*('Dvd Calendar'!$U$2151&gt;VAL_DATE)=0,"",'Dvd Calendar'!$U$2151*1000000000+ISNUMBER('Dvd Calendar'!$U$2152)*100000000+0*10000000+(N('Dvd Calendar'!$U$2150)&gt;0)*(N('Dvd Calendar'!$U$2150)&lt;=VAL_SERIAL)*1000000+54*1000+57))</f>
        <v/>
      </c>
      <c r="GJ213" s="35">
        <f>IF(N('Dvd Calendar'!$V$2151)=0,"",IF(('Dvd Calendar'!$V$2151&gt;=GRID_FROM)*('Dvd Calendar'!$V$2151&lt;=GRID_TO)*('Dvd Calendar'!$V$2151&gt;VAL_DATE)=0,"",'Dvd Calendar'!$V$2151*1000000000+ISNUMBER('Dvd Calendar'!$V$2152)*100000000+0*10000000+(N('Dvd Calendar'!$V$2150)&gt;0)*(N('Dvd Calendar'!$V$2150)&lt;=VAL_SERIAL)*1000000+54*1000+58))</f>
        <v/>
      </c>
      <c r="GK213" s="35">
        <f>IF(N('Dvd Calendar'!$W$2151)=0,"",IF(('Dvd Calendar'!$W$2151&gt;=GRID_FROM)*('Dvd Calendar'!$W$2151&lt;=GRID_TO)*('Dvd Calendar'!$W$2151&gt;VAL_DATE)=0,"",'Dvd Calendar'!$W$2151*1000000000+ISNUMBER('Dvd Calendar'!$W$2152)*100000000+0*10000000+(N('Dvd Calendar'!$W$2150)&gt;0)*(N('Dvd Calendar'!$W$2150)&lt;=VAL_SERIAL)*1000000+54*1000+59))</f>
        <v/>
      </c>
      <c r="GL213" s="35">
        <f>IF(N('Dvd Calendar'!$X$2151)=0,"",IF(('Dvd Calendar'!$X$2151&gt;=GRID_FROM)*('Dvd Calendar'!$X$2151&lt;=GRID_TO)*('Dvd Calendar'!$X$2151&gt;VAL_DATE)=0,"",'Dvd Calendar'!$X$2151*1000000000+ISNUMBER('Dvd Calendar'!$X$2152)*100000000+0*10000000+(N('Dvd Calendar'!$X$2150)&gt;0)*(N('Dvd Calendar'!$X$2150)&lt;=VAL_SERIAL)*1000000+54*1000+60))</f>
        <v/>
      </c>
      <c r="GM213" s="35">
        <f>IF(N('Dvd Calendar'!$Y$2151)=0,"",IF(('Dvd Calendar'!$Y$2151&gt;=GRID_FROM)*('Dvd Calendar'!$Y$2151&lt;=GRID_TO)*('Dvd Calendar'!$Y$2151&gt;VAL_DATE)=0,"",'Dvd Calendar'!$Y$2151*1000000000+ISNUMBER('Dvd Calendar'!$Y$2152)*100000000+0*10000000+(N('Dvd Calendar'!$Y$2150)&gt;0)*(N('Dvd Calendar'!$Y$2150)&lt;=VAL_SERIAL)*1000000+54*1000+61))</f>
        <v/>
      </c>
      <c r="GN213" s="35">
        <f>IF(N('Dvd Calendar'!$Z$2151)=0,"",IF(('Dvd Calendar'!$Z$2151&gt;=GRID_FROM)*('Dvd Calendar'!$Z$2151&lt;=GRID_TO)*('Dvd Calendar'!$Z$2151&gt;VAL_DATE)=0,"",'Dvd Calendar'!$Z$2151*1000000000+ISNUMBER('Dvd Calendar'!$Z$2152)*100000000+0*10000000+(N('Dvd Calendar'!$Z$2150)&gt;0)*(N('Dvd Calendar'!$Z$2150)&lt;=VAL_SERIAL)*1000000+54*1000+62))</f>
        <v/>
      </c>
      <c r="GO213" s="35">
        <f>IF(N('Dvd Calendar'!$AA$2151)=0,"",IF(('Dvd Calendar'!$AA$2151&gt;=GRID_FROM)*('Dvd Calendar'!$AA$2151&lt;=GRID_TO)*('Dvd Calendar'!$AA$2151&gt;VAL_DATE)=0,"",'Dvd Calendar'!$AA$2151*1000000000+ISNUMBER('Dvd Calendar'!$AA$2152)*100000000+0*10000000+(N('Dvd Calendar'!$AA$2150)&gt;0)*(N('Dvd Calendar'!$AA$2150)&lt;=VAL_SERIAL)*1000000+54*1000+63))</f>
        <v/>
      </c>
      <c r="GP213" s="35">
        <f>IF(N('Dvd Calendar'!$AB$2151)=0,"",IF(('Dvd Calendar'!$AB$2151&gt;=GRID_FROM)*('Dvd Calendar'!$AB$2151&lt;=GRID_TO)*('Dvd Calendar'!$AB$2151&gt;VAL_DATE)=0,"",'Dvd Calendar'!$AB$2151*1000000000+ISNUMBER('Dvd Calendar'!$AB$2152)*100000000+0*10000000+(N('Dvd Calendar'!$AB$2150)&gt;0)*(N('Dvd Calendar'!$AB$2150)&lt;=VAL_SERIAL)*1000000+54*1000+64))</f>
        <v/>
      </c>
      <c r="GQ213" s="35">
        <f>IF(N('Dvd Calendar'!$AC$2151)=0,"",IF(('Dvd Calendar'!$AC$2151&gt;=GRID_FROM)*('Dvd Calendar'!$AC$2151&lt;=GRID_TO)*('Dvd Calendar'!$AC$2151&gt;VAL_DATE)=0,"",'Dvd Calendar'!$AC$2151*1000000000+ISNUMBER('Dvd Calendar'!$AC$2152)*100000000+0*10000000+(N('Dvd Calendar'!$AC$2150)&gt;0)*(N('Dvd Calendar'!$AC$2150)&lt;=VAL_SERIAL)*1000000+54*1000+65))</f>
        <v/>
      </c>
    </row>
    <row r="214">
      <c r="B214" s="2">
        <f>IF(HSCEI!$C$61="","",HSCEI!$C$61)</f>
        <v/>
      </c>
      <c r="C214" s="106">
        <f>IF(EE214="","",IF(ISNUMBER('Dvd Calendar'!$E$2158)=FALSE,"",IF((('Dvd Calendar'!$E$2160=TYPE1)*(TYPE1&lt;&gt;"")+('Dvd Calendar'!$E$2160=TYPE2)*(TYPE2&lt;&gt;"")+('Dvd Calendar'!$E$2160=TYPE3)*(TYPE3&lt;&gt;"")+('Dvd Calendar'!$E$2160=TYPE4)*(TYPE4&lt;&gt;"")+('Dvd Calendar'!$E$2160=SPECIAL_LBL)*(INC_SPECIALS="Y"))=0,"",'Dvd Calendar'!$E$2158)))</f>
        <v/>
      </c>
      <c r="D214" s="106">
        <f>IF(EF214="","",IF(ISNUMBER('Dvd Calendar'!$F$2158)=FALSE,"",IF((('Dvd Calendar'!$F$2160=TYPE1)*(TYPE1&lt;&gt;"")+('Dvd Calendar'!$F$2160=TYPE2)*(TYPE2&lt;&gt;"")+('Dvd Calendar'!$F$2160=TYPE3)*(TYPE3&lt;&gt;"")+('Dvd Calendar'!$F$2160=TYPE4)*(TYPE4&lt;&gt;"")+('Dvd Calendar'!$F$2160=SPECIAL_LBL)*(INC_SPECIALS="Y"))=0,"",'Dvd Calendar'!$F$2158)))</f>
        <v/>
      </c>
      <c r="E214" s="106">
        <f>IF(EG214="","",IF(ISNUMBER('Dvd Calendar'!$G$2158)=FALSE,"",IF((('Dvd Calendar'!$G$2160=TYPE1)*(TYPE1&lt;&gt;"")+('Dvd Calendar'!$G$2160=TYPE2)*(TYPE2&lt;&gt;"")+('Dvd Calendar'!$G$2160=TYPE3)*(TYPE3&lt;&gt;"")+('Dvd Calendar'!$G$2160=TYPE4)*(TYPE4&lt;&gt;"")+('Dvd Calendar'!$G$2160=SPECIAL_LBL)*(INC_SPECIALS="Y"))=0,"",'Dvd Calendar'!$G$2158)))</f>
        <v/>
      </c>
      <c r="F214" s="106">
        <f>IF(EH214="","",IF(ISNUMBER('Dvd Calendar'!$H$2158)=FALSE,"",IF((('Dvd Calendar'!$H$2160=TYPE1)*(TYPE1&lt;&gt;"")+('Dvd Calendar'!$H$2160=TYPE2)*(TYPE2&lt;&gt;"")+('Dvd Calendar'!$H$2160=TYPE3)*(TYPE3&lt;&gt;"")+('Dvd Calendar'!$H$2160=TYPE4)*(TYPE4&lt;&gt;"")+('Dvd Calendar'!$H$2160=SPECIAL_LBL)*(INC_SPECIALS="Y"))=0,"",'Dvd Calendar'!$H$2158)))</f>
        <v/>
      </c>
      <c r="G214" s="106">
        <f>IF(EI214="","",IF(ISNUMBER('Dvd Calendar'!$I$2158)=FALSE,"",IF((('Dvd Calendar'!$I$2160=TYPE1)*(TYPE1&lt;&gt;"")+('Dvd Calendar'!$I$2160=TYPE2)*(TYPE2&lt;&gt;"")+('Dvd Calendar'!$I$2160=TYPE3)*(TYPE3&lt;&gt;"")+('Dvd Calendar'!$I$2160=TYPE4)*(TYPE4&lt;&gt;"")+('Dvd Calendar'!$I$2160=SPECIAL_LBL)*(INC_SPECIALS="Y"))=0,"",'Dvd Calendar'!$I$2158)))</f>
        <v/>
      </c>
      <c r="H214" s="106">
        <f>IF(EJ214="","",IF(ISNUMBER('Dvd Calendar'!$J$2158)=FALSE,"",IF((('Dvd Calendar'!$J$2160=TYPE1)*(TYPE1&lt;&gt;"")+('Dvd Calendar'!$J$2160=TYPE2)*(TYPE2&lt;&gt;"")+('Dvd Calendar'!$J$2160=TYPE3)*(TYPE3&lt;&gt;"")+('Dvd Calendar'!$J$2160=TYPE4)*(TYPE4&lt;&gt;"")+('Dvd Calendar'!$J$2160=SPECIAL_LBL)*(INC_SPECIALS="Y"))=0,"",'Dvd Calendar'!$J$2158)))</f>
        <v/>
      </c>
      <c r="I214" s="106">
        <f>IF(EK214="","",IF(ISNUMBER('Dvd Calendar'!$K$2158)=FALSE,"",IF((('Dvd Calendar'!$K$2160=TYPE1)*(TYPE1&lt;&gt;"")+('Dvd Calendar'!$K$2160=TYPE2)*(TYPE2&lt;&gt;"")+('Dvd Calendar'!$K$2160=TYPE3)*(TYPE3&lt;&gt;"")+('Dvd Calendar'!$K$2160=TYPE4)*(TYPE4&lt;&gt;"")+('Dvd Calendar'!$K$2160=SPECIAL_LBL)*(INC_SPECIALS="Y"))=0,"",'Dvd Calendar'!$K$2158)))</f>
        <v/>
      </c>
      <c r="J214" s="106">
        <f>IF(EL214="","",IF(ISNUMBER('Dvd Calendar'!$L$2158)=FALSE,"",IF((('Dvd Calendar'!$L$2160=TYPE1)*(TYPE1&lt;&gt;"")+('Dvd Calendar'!$L$2160=TYPE2)*(TYPE2&lt;&gt;"")+('Dvd Calendar'!$L$2160=TYPE3)*(TYPE3&lt;&gt;"")+('Dvd Calendar'!$L$2160=TYPE4)*(TYPE4&lt;&gt;"")+('Dvd Calendar'!$L$2160=SPECIAL_LBL)*(INC_SPECIALS="Y"))=0,"",'Dvd Calendar'!$L$2158)))</f>
        <v/>
      </c>
      <c r="K214" s="106">
        <f>IF(EM214="","",IF(ISNUMBER('Dvd Calendar'!$M$2158)=FALSE,"",IF((('Dvd Calendar'!$M$2160=TYPE1)*(TYPE1&lt;&gt;"")+('Dvd Calendar'!$M$2160=TYPE2)*(TYPE2&lt;&gt;"")+('Dvd Calendar'!$M$2160=TYPE3)*(TYPE3&lt;&gt;"")+('Dvd Calendar'!$M$2160=TYPE4)*(TYPE4&lt;&gt;"")+('Dvd Calendar'!$M$2160=SPECIAL_LBL)*(INC_SPECIALS="Y"))=0,"",'Dvd Calendar'!$M$2158)))</f>
        <v/>
      </c>
      <c r="L214" s="106">
        <f>IF(EN214="","",IF(ISNUMBER('Dvd Calendar'!$N$2158)=FALSE,"",IF((('Dvd Calendar'!$N$2160=TYPE1)*(TYPE1&lt;&gt;"")+('Dvd Calendar'!$N$2160=TYPE2)*(TYPE2&lt;&gt;"")+('Dvd Calendar'!$N$2160=TYPE3)*(TYPE3&lt;&gt;"")+('Dvd Calendar'!$N$2160=TYPE4)*(TYPE4&lt;&gt;"")+('Dvd Calendar'!$N$2160=SPECIAL_LBL)*(INC_SPECIALS="Y"))=0,"",'Dvd Calendar'!$N$2158)))</f>
        <v/>
      </c>
      <c r="M214" s="106">
        <f>IF(EO214="","",IF(ISNUMBER('Dvd Calendar'!$O$2158)=FALSE,"",IF((('Dvd Calendar'!$O$2160=TYPE1)*(TYPE1&lt;&gt;"")+('Dvd Calendar'!$O$2160=TYPE2)*(TYPE2&lt;&gt;"")+('Dvd Calendar'!$O$2160=TYPE3)*(TYPE3&lt;&gt;"")+('Dvd Calendar'!$O$2160=TYPE4)*(TYPE4&lt;&gt;"")+('Dvd Calendar'!$O$2160=SPECIAL_LBL)*(INC_SPECIALS="Y"))=0,"",'Dvd Calendar'!$O$2158)))</f>
        <v/>
      </c>
      <c r="N214" s="106">
        <f>IF(EP214="","",IF(ISNUMBER('Dvd Calendar'!$P$2158)=FALSE,"",IF((('Dvd Calendar'!$P$2160=TYPE1)*(TYPE1&lt;&gt;"")+('Dvd Calendar'!$P$2160=TYPE2)*(TYPE2&lt;&gt;"")+('Dvd Calendar'!$P$2160=TYPE3)*(TYPE3&lt;&gt;"")+('Dvd Calendar'!$P$2160=TYPE4)*(TYPE4&lt;&gt;"")+('Dvd Calendar'!$P$2160=SPECIAL_LBL)*(INC_SPECIALS="Y"))=0,"",'Dvd Calendar'!$P$2158)))</f>
        <v/>
      </c>
      <c r="O214" s="106">
        <f>IF(EQ214="","",IF(ISNUMBER('Dvd Calendar'!$Q$2158)=FALSE,"",IF((('Dvd Calendar'!$Q$2160=TYPE1)*(TYPE1&lt;&gt;"")+('Dvd Calendar'!$Q$2160=TYPE2)*(TYPE2&lt;&gt;"")+('Dvd Calendar'!$Q$2160=TYPE3)*(TYPE3&lt;&gt;"")+('Dvd Calendar'!$Q$2160=TYPE4)*(TYPE4&lt;&gt;"")+('Dvd Calendar'!$Q$2160=SPECIAL_LBL)*(INC_SPECIALS="Y"))=0,"",'Dvd Calendar'!$Q$2158)))</f>
        <v/>
      </c>
      <c r="P214" s="106">
        <f>IF(ER214="","",IF(ISNUMBER('Dvd Calendar'!$R$2158)=FALSE,"",IF((('Dvd Calendar'!$R$2160=TYPE1)*(TYPE1&lt;&gt;"")+('Dvd Calendar'!$R$2160=TYPE2)*(TYPE2&lt;&gt;"")+('Dvd Calendar'!$R$2160=TYPE3)*(TYPE3&lt;&gt;"")+('Dvd Calendar'!$R$2160=TYPE4)*(TYPE4&lt;&gt;"")+('Dvd Calendar'!$R$2160=SPECIAL_LBL)*(INC_SPECIALS="Y"))=0,"",'Dvd Calendar'!$R$2158)))</f>
        <v/>
      </c>
      <c r="Q214" s="106">
        <f>IF(ES214="","",IF(ISNUMBER('Dvd Calendar'!$S$2158)=FALSE,"",IF((('Dvd Calendar'!$S$2160=TYPE1)*(TYPE1&lt;&gt;"")+('Dvd Calendar'!$S$2160=TYPE2)*(TYPE2&lt;&gt;"")+('Dvd Calendar'!$S$2160=TYPE3)*(TYPE3&lt;&gt;"")+('Dvd Calendar'!$S$2160=TYPE4)*(TYPE4&lt;&gt;"")+('Dvd Calendar'!$S$2160=SPECIAL_LBL)*(INC_SPECIALS="Y"))=0,"",'Dvd Calendar'!$S$2158)))</f>
        <v/>
      </c>
      <c r="R214" s="106">
        <f>IF(ET214="","",IF(ISNUMBER('Dvd Calendar'!$T$2158)=FALSE,"",IF((('Dvd Calendar'!$T$2160=TYPE1)*(TYPE1&lt;&gt;"")+('Dvd Calendar'!$T$2160=TYPE2)*(TYPE2&lt;&gt;"")+('Dvd Calendar'!$T$2160=TYPE3)*(TYPE3&lt;&gt;"")+('Dvd Calendar'!$T$2160=TYPE4)*(TYPE4&lt;&gt;"")+('Dvd Calendar'!$T$2160=SPECIAL_LBL)*(INC_SPECIALS="Y"))=0,"",'Dvd Calendar'!$T$2158)))</f>
        <v/>
      </c>
      <c r="S214" s="106">
        <f>IF(EU214="","",IF(ISNUMBER('Dvd Calendar'!$U$2158)=FALSE,"",IF((('Dvd Calendar'!$U$2160=TYPE1)*(TYPE1&lt;&gt;"")+('Dvd Calendar'!$U$2160=TYPE2)*(TYPE2&lt;&gt;"")+('Dvd Calendar'!$U$2160=TYPE3)*(TYPE3&lt;&gt;"")+('Dvd Calendar'!$U$2160=TYPE4)*(TYPE4&lt;&gt;"")+('Dvd Calendar'!$U$2160=SPECIAL_LBL)*(INC_SPECIALS="Y"))=0,"",'Dvd Calendar'!$U$2158)))</f>
        <v/>
      </c>
      <c r="T214" s="106">
        <f>IF(EV214="","",IF(ISNUMBER('Dvd Calendar'!$V$2158)=FALSE,"",IF((('Dvd Calendar'!$V$2160=TYPE1)*(TYPE1&lt;&gt;"")+('Dvd Calendar'!$V$2160=TYPE2)*(TYPE2&lt;&gt;"")+('Dvd Calendar'!$V$2160=TYPE3)*(TYPE3&lt;&gt;"")+('Dvd Calendar'!$V$2160=TYPE4)*(TYPE4&lt;&gt;"")+('Dvd Calendar'!$V$2160=SPECIAL_LBL)*(INC_SPECIALS="Y"))=0,"",'Dvd Calendar'!$V$2158)))</f>
        <v/>
      </c>
      <c r="U214" s="106">
        <f>IF(EW214="","",IF(ISNUMBER('Dvd Calendar'!$W$2158)=FALSE,"",IF((('Dvd Calendar'!$W$2160=TYPE1)*(TYPE1&lt;&gt;"")+('Dvd Calendar'!$W$2160=TYPE2)*(TYPE2&lt;&gt;"")+('Dvd Calendar'!$W$2160=TYPE3)*(TYPE3&lt;&gt;"")+('Dvd Calendar'!$W$2160=TYPE4)*(TYPE4&lt;&gt;"")+('Dvd Calendar'!$W$2160=SPECIAL_LBL)*(INC_SPECIALS="Y"))=0,"",'Dvd Calendar'!$W$2158)))</f>
        <v/>
      </c>
      <c r="V214" s="106">
        <f>IF(EX214="","",IF(ISNUMBER('Dvd Calendar'!$X$2158)=FALSE,"",IF((('Dvd Calendar'!$X$2160=TYPE1)*(TYPE1&lt;&gt;"")+('Dvd Calendar'!$X$2160=TYPE2)*(TYPE2&lt;&gt;"")+('Dvd Calendar'!$X$2160=TYPE3)*(TYPE3&lt;&gt;"")+('Dvd Calendar'!$X$2160=TYPE4)*(TYPE4&lt;&gt;"")+('Dvd Calendar'!$X$2160=SPECIAL_LBL)*(INC_SPECIALS="Y"))=0,"",'Dvd Calendar'!$X$2158)))</f>
        <v/>
      </c>
      <c r="W214" s="106">
        <f>IF(EY214="","",IF(ISNUMBER('Dvd Calendar'!$Y$2158)=FALSE,"",IF((('Dvd Calendar'!$Y$2160=TYPE1)*(TYPE1&lt;&gt;"")+('Dvd Calendar'!$Y$2160=TYPE2)*(TYPE2&lt;&gt;"")+('Dvd Calendar'!$Y$2160=TYPE3)*(TYPE3&lt;&gt;"")+('Dvd Calendar'!$Y$2160=TYPE4)*(TYPE4&lt;&gt;"")+('Dvd Calendar'!$Y$2160=SPECIAL_LBL)*(INC_SPECIALS="Y"))=0,"",'Dvd Calendar'!$Y$2158)))</f>
        <v/>
      </c>
      <c r="X214" s="106">
        <f>IF(EZ214="","",IF(ISNUMBER('Dvd Calendar'!$Z$2158)=FALSE,"",IF((('Dvd Calendar'!$Z$2160=TYPE1)*(TYPE1&lt;&gt;"")+('Dvd Calendar'!$Z$2160=TYPE2)*(TYPE2&lt;&gt;"")+('Dvd Calendar'!$Z$2160=TYPE3)*(TYPE3&lt;&gt;"")+('Dvd Calendar'!$Z$2160=TYPE4)*(TYPE4&lt;&gt;"")+('Dvd Calendar'!$Z$2160=SPECIAL_LBL)*(INC_SPECIALS="Y"))=0,"",'Dvd Calendar'!$Z$2158)))</f>
        <v/>
      </c>
      <c r="Y214" s="106">
        <f>IF(FA214="","",IF(ISNUMBER('Dvd Calendar'!$AA$2158)=FALSE,"",IF((('Dvd Calendar'!$AA$2160=TYPE1)*(TYPE1&lt;&gt;"")+('Dvd Calendar'!$AA$2160=TYPE2)*(TYPE2&lt;&gt;"")+('Dvd Calendar'!$AA$2160=TYPE3)*(TYPE3&lt;&gt;"")+('Dvd Calendar'!$AA$2160=TYPE4)*(TYPE4&lt;&gt;"")+('Dvd Calendar'!$AA$2160=SPECIAL_LBL)*(INC_SPECIALS="Y"))=0,"",'Dvd Calendar'!$AA$2158)))</f>
        <v/>
      </c>
      <c r="Z214" s="106">
        <f>IF(FB214="","",IF(ISNUMBER('Dvd Calendar'!$AB$2158)=FALSE,"",IF((('Dvd Calendar'!$AB$2160=TYPE1)*(TYPE1&lt;&gt;"")+('Dvd Calendar'!$AB$2160=TYPE2)*(TYPE2&lt;&gt;"")+('Dvd Calendar'!$AB$2160=TYPE3)*(TYPE3&lt;&gt;"")+('Dvd Calendar'!$AB$2160=TYPE4)*(TYPE4&lt;&gt;"")+('Dvd Calendar'!$AB$2160=SPECIAL_LBL)*(INC_SPECIALS="Y"))=0,"",'Dvd Calendar'!$AB$2158)))</f>
        <v/>
      </c>
      <c r="AA214" s="106">
        <f>IF(FC214="","",IF(ISNUMBER('Dvd Calendar'!$AC$2158)=FALSE,"",IF((('Dvd Calendar'!$AC$2160=TYPE1)*(TYPE1&lt;&gt;"")+('Dvd Calendar'!$AC$2160=TYPE2)*(TYPE2&lt;&gt;"")+('Dvd Calendar'!$AC$2160=TYPE3)*(TYPE3&lt;&gt;"")+('Dvd Calendar'!$AC$2160=TYPE4)*(TYPE4&lt;&gt;"")+('Dvd Calendar'!$AC$2160=SPECIAL_LBL)*(INC_SPECIALS="Y"))=0,"",'Dvd Calendar'!$AC$2158)))</f>
        <v/>
      </c>
      <c r="AB214" s="106">
        <f>IF(FD214="","",IF(ISNUMBER('Dvd Calendar'!$AD$2158)=FALSE,"",IF((('Dvd Calendar'!$AD$2160=TYPE1)*(TYPE1&lt;&gt;"")+('Dvd Calendar'!$AD$2160=TYPE2)*(TYPE2&lt;&gt;"")+('Dvd Calendar'!$AD$2160=TYPE3)*(TYPE3&lt;&gt;"")+('Dvd Calendar'!$AD$2160=TYPE4)*(TYPE4&lt;&gt;"")+('Dvd Calendar'!$AD$2160=SPECIAL_LBL)*(INC_SPECIALS="Y"))=0,"",'Dvd Calendar'!$AD$2158)))</f>
        <v/>
      </c>
      <c r="AC214" s="106">
        <f>IF(FE214="","",IF(ISNUMBER('Dvd Calendar'!$AE$2158)=FALSE,"",IF((('Dvd Calendar'!$AE$2160=TYPE1)*(TYPE1&lt;&gt;"")+('Dvd Calendar'!$AE$2160=TYPE2)*(TYPE2&lt;&gt;"")+('Dvd Calendar'!$AE$2160=TYPE3)*(TYPE3&lt;&gt;"")+('Dvd Calendar'!$AE$2160=TYPE4)*(TYPE4&lt;&gt;"")+('Dvd Calendar'!$AE$2160=SPECIAL_LBL)*(INC_SPECIALS="Y"))=0,"",'Dvd Calendar'!$AE$2158)))</f>
        <v/>
      </c>
      <c r="AD214" s="106">
        <f>IF(FF214="","",IF(ISNUMBER('Dvd Calendar'!$AF$2158)=FALSE,"",IF((('Dvd Calendar'!$AF$2160=TYPE1)*(TYPE1&lt;&gt;"")+('Dvd Calendar'!$AF$2160=TYPE2)*(TYPE2&lt;&gt;"")+('Dvd Calendar'!$AF$2160=TYPE3)*(TYPE3&lt;&gt;"")+('Dvd Calendar'!$AF$2160=TYPE4)*(TYPE4&lt;&gt;"")+('Dvd Calendar'!$AF$2160=SPECIAL_LBL)*(INC_SPECIALS="Y"))=0,"",'Dvd Calendar'!$AF$2158)))</f>
        <v/>
      </c>
      <c r="AE214" s="106">
        <f>IF(FG214="","",IF(ISNUMBER('Dvd Calendar'!$AG$2158)=FALSE,"",IF((('Dvd Calendar'!$AG$2160=TYPE1)*(TYPE1&lt;&gt;"")+('Dvd Calendar'!$AG$2160=TYPE2)*(TYPE2&lt;&gt;"")+('Dvd Calendar'!$AG$2160=TYPE3)*(TYPE3&lt;&gt;"")+('Dvd Calendar'!$AG$2160=TYPE4)*(TYPE4&lt;&gt;"")+('Dvd Calendar'!$AG$2160=SPECIAL_LBL)*(INC_SPECIALS="Y"))=0,"",'Dvd Calendar'!$AG$2158)))</f>
        <v/>
      </c>
      <c r="AF214" s="106">
        <f>IF(FH214="","",IF(ISNUMBER('Dvd Calendar'!$AH$2158)=FALSE,"",IF((('Dvd Calendar'!$AH$2160=TYPE1)*(TYPE1&lt;&gt;"")+('Dvd Calendar'!$AH$2160=TYPE2)*(TYPE2&lt;&gt;"")+('Dvd Calendar'!$AH$2160=TYPE3)*(TYPE3&lt;&gt;"")+('Dvd Calendar'!$AH$2160=TYPE4)*(TYPE4&lt;&gt;"")+('Dvd Calendar'!$AH$2160=SPECIAL_LBL)*(INC_SPECIALS="Y"))=0,"",'Dvd Calendar'!$AH$2158)))</f>
        <v/>
      </c>
      <c r="AG214" s="106">
        <f>IF(FI214="","",IF(ISNUMBER('Dvd Calendar'!$AI$2158)=FALSE,"",IF((('Dvd Calendar'!$AI$2160=TYPE1)*(TYPE1&lt;&gt;"")+('Dvd Calendar'!$AI$2160=TYPE2)*(TYPE2&lt;&gt;"")+('Dvd Calendar'!$AI$2160=TYPE3)*(TYPE3&lt;&gt;"")+('Dvd Calendar'!$AI$2160=TYPE4)*(TYPE4&lt;&gt;"")+('Dvd Calendar'!$AI$2160=SPECIAL_LBL)*(INC_SPECIALS="Y"))=0,"",'Dvd Calendar'!$AI$2158)))</f>
        <v/>
      </c>
      <c r="AH214" s="106">
        <f>IF(FJ214="","",IF(ISNUMBER('Dvd Calendar'!$AJ$2158)=FALSE,"",IF((('Dvd Calendar'!$AJ$2160=TYPE1)*(TYPE1&lt;&gt;"")+('Dvd Calendar'!$AJ$2160=TYPE2)*(TYPE2&lt;&gt;"")+('Dvd Calendar'!$AJ$2160=TYPE3)*(TYPE3&lt;&gt;"")+('Dvd Calendar'!$AJ$2160=TYPE4)*(TYPE4&lt;&gt;"")+('Dvd Calendar'!$AJ$2160=SPECIAL_LBL)*(INC_SPECIALS="Y"))=0,"",'Dvd Calendar'!$AJ$2158)))</f>
        <v/>
      </c>
      <c r="AI214" s="106">
        <f>IF(FK214="","",IF(ISNUMBER('Dvd Calendar'!$AK$2158)=FALSE,"",IF((('Dvd Calendar'!$AK$2160=TYPE1)*(TYPE1&lt;&gt;"")+('Dvd Calendar'!$AK$2160=TYPE2)*(TYPE2&lt;&gt;"")+('Dvd Calendar'!$AK$2160=TYPE3)*(TYPE3&lt;&gt;"")+('Dvd Calendar'!$AK$2160=TYPE4)*(TYPE4&lt;&gt;"")+('Dvd Calendar'!$AK$2160=SPECIAL_LBL)*(INC_SPECIALS="Y"))=0,"",'Dvd Calendar'!$AK$2158)))</f>
        <v/>
      </c>
      <c r="AJ214" s="106">
        <f>IF(FL214="","",IF(ISNUMBER('Dvd Calendar'!$AL$2158)=FALSE,"",IF((('Dvd Calendar'!$AL$2160=TYPE1)*(TYPE1&lt;&gt;"")+('Dvd Calendar'!$AL$2160=TYPE2)*(TYPE2&lt;&gt;"")+('Dvd Calendar'!$AL$2160=TYPE3)*(TYPE3&lt;&gt;"")+('Dvd Calendar'!$AL$2160=TYPE4)*(TYPE4&lt;&gt;"")+('Dvd Calendar'!$AL$2160=SPECIAL_LBL)*(INC_SPECIALS="Y"))=0,"",'Dvd Calendar'!$AL$2158)))</f>
        <v/>
      </c>
      <c r="AK214" s="106">
        <f>IF(FM214="","",IF(ISNUMBER('Dvd Calendar'!$AM$2158)=FALSE,"",IF((('Dvd Calendar'!$AM$2160=TYPE1)*(TYPE1&lt;&gt;"")+('Dvd Calendar'!$AM$2160=TYPE2)*(TYPE2&lt;&gt;"")+('Dvd Calendar'!$AM$2160=TYPE3)*(TYPE3&lt;&gt;"")+('Dvd Calendar'!$AM$2160=TYPE4)*(TYPE4&lt;&gt;"")+('Dvd Calendar'!$AM$2160=SPECIAL_LBL)*(INC_SPECIALS="Y"))=0,"",'Dvd Calendar'!$AM$2158)))</f>
        <v/>
      </c>
      <c r="AL214" s="106">
        <f>IF(FN214="","",IF(ISNUMBER('Dvd Calendar'!$AN$2158)=FALSE,"",IF((('Dvd Calendar'!$AN$2160=TYPE1)*(TYPE1&lt;&gt;"")+('Dvd Calendar'!$AN$2160=TYPE2)*(TYPE2&lt;&gt;"")+('Dvd Calendar'!$AN$2160=TYPE3)*(TYPE3&lt;&gt;"")+('Dvd Calendar'!$AN$2160=TYPE4)*(TYPE4&lt;&gt;"")+('Dvd Calendar'!$AN$2160=SPECIAL_LBL)*(INC_SPECIALS="Y"))=0,"",'Dvd Calendar'!$AN$2158)))</f>
        <v/>
      </c>
      <c r="AM214" s="106">
        <f>IF(FO214="","",IF(ISNUMBER('Dvd Calendar'!$AO$2158)=FALSE,"",IF((('Dvd Calendar'!$AO$2160=TYPE1)*(TYPE1&lt;&gt;"")+('Dvd Calendar'!$AO$2160=TYPE2)*(TYPE2&lt;&gt;"")+('Dvd Calendar'!$AO$2160=TYPE3)*(TYPE3&lt;&gt;"")+('Dvd Calendar'!$AO$2160=TYPE4)*(TYPE4&lt;&gt;"")+('Dvd Calendar'!$AO$2160=SPECIAL_LBL)*(INC_SPECIALS="Y"))=0,"",'Dvd Calendar'!$AO$2158)))</f>
        <v/>
      </c>
      <c r="AN214" s="106">
        <f>IF(FP214="","",IF(ISNUMBER('Dvd Calendar'!$AP$2158)=FALSE,"",IF((('Dvd Calendar'!$AP$2160=TYPE1)*(TYPE1&lt;&gt;"")+('Dvd Calendar'!$AP$2160=TYPE2)*(TYPE2&lt;&gt;"")+('Dvd Calendar'!$AP$2160=TYPE3)*(TYPE3&lt;&gt;"")+('Dvd Calendar'!$AP$2160=TYPE4)*(TYPE4&lt;&gt;"")+('Dvd Calendar'!$AP$2160=SPECIAL_LBL)*(INC_SPECIALS="Y"))=0,"",'Dvd Calendar'!$AP$2158)))</f>
        <v/>
      </c>
      <c r="AO214" s="106">
        <f>IF(FQ214="","",IF(ISNUMBER('Dvd Calendar'!$AQ$2158)=FALSE,"",IF((('Dvd Calendar'!$AQ$2160=TYPE1)*(TYPE1&lt;&gt;"")+('Dvd Calendar'!$AQ$2160=TYPE2)*(TYPE2&lt;&gt;"")+('Dvd Calendar'!$AQ$2160=TYPE3)*(TYPE3&lt;&gt;"")+('Dvd Calendar'!$AQ$2160=TYPE4)*(TYPE4&lt;&gt;"")+('Dvd Calendar'!$AQ$2160=SPECIAL_LBL)*(INC_SPECIALS="Y"))=0,"",'Dvd Calendar'!$AQ$2158)))</f>
        <v/>
      </c>
      <c r="AP214" s="106">
        <f>IF(FR214="","",IF(ISNUMBER('Dvd Calendar'!$AR$2158)=FALSE,"",IF((('Dvd Calendar'!$AR$2160=TYPE1)*(TYPE1&lt;&gt;"")+('Dvd Calendar'!$AR$2160=TYPE2)*(TYPE2&lt;&gt;"")+('Dvd Calendar'!$AR$2160=TYPE3)*(TYPE3&lt;&gt;"")+('Dvd Calendar'!$AR$2160=TYPE4)*(TYPE4&lt;&gt;"")+('Dvd Calendar'!$AR$2160=SPECIAL_LBL)*(INC_SPECIALS="Y"))=0,"",'Dvd Calendar'!$AR$2158)))</f>
        <v/>
      </c>
      <c r="AQ214" s="106">
        <f>IF(FS214="","",IF(ISNUMBER('Dvd Calendar'!$E$2163)=FALSE,"",'Dvd Calendar'!$E$2163))</f>
        <v/>
      </c>
      <c r="AR214" s="106">
        <f>IF(FT214="","",IF(ISNUMBER('Dvd Calendar'!$F$2163)=FALSE,"",'Dvd Calendar'!$F$2163))</f>
        <v/>
      </c>
      <c r="AS214" s="106">
        <f>IF(FU214="","",IF(ISNUMBER('Dvd Calendar'!$G$2163)=FALSE,"",'Dvd Calendar'!$G$2163))</f>
        <v/>
      </c>
      <c r="AT214" s="106">
        <f>IF(FV214="","",IF(ISNUMBER('Dvd Calendar'!$H$2163)=FALSE,"",'Dvd Calendar'!$H$2163))</f>
        <v/>
      </c>
      <c r="AU214" s="106">
        <f>IF(FW214="","",IF(ISNUMBER('Dvd Calendar'!$I$2163)=FALSE,"",'Dvd Calendar'!$I$2163))</f>
        <v/>
      </c>
      <c r="AV214" s="106">
        <f>IF(FX214="","",IF(ISNUMBER('Dvd Calendar'!$J$2163)=FALSE,"",'Dvd Calendar'!$J$2163))</f>
        <v/>
      </c>
      <c r="AW214" s="106">
        <f>IF(FY214="","",IF(ISNUMBER('Dvd Calendar'!$K$2163)=FALSE,"",'Dvd Calendar'!$K$2163))</f>
        <v/>
      </c>
      <c r="AX214" s="106">
        <f>IF(FZ214="","",IF(ISNUMBER('Dvd Calendar'!$L$2163)=FALSE,"",'Dvd Calendar'!$L$2163))</f>
        <v/>
      </c>
      <c r="AY214" s="106">
        <f>IF(GA214="","",IF(ISNUMBER('Dvd Calendar'!$M$2163)=FALSE,"",'Dvd Calendar'!$M$2163))</f>
        <v/>
      </c>
      <c r="AZ214" s="106">
        <f>IF(GB214="","",IF(ISNUMBER('Dvd Calendar'!$N$2163)=FALSE,"",'Dvd Calendar'!$N$2163))</f>
        <v/>
      </c>
      <c r="BA214" s="106">
        <f>IF(GC214="","",IF(ISNUMBER('Dvd Calendar'!$O$2163)=FALSE,"",'Dvd Calendar'!$O$2163))</f>
        <v/>
      </c>
      <c r="BB214" s="106">
        <f>IF(GD214="","",IF(ISNUMBER('Dvd Calendar'!$P$2163)=FALSE,"",'Dvd Calendar'!$P$2163))</f>
        <v/>
      </c>
      <c r="BC214" s="106">
        <f>IF(GE214="","",IF(ISNUMBER('Dvd Calendar'!$Q$2163)=FALSE,"",'Dvd Calendar'!$Q$2163))</f>
        <v/>
      </c>
      <c r="BD214" s="106">
        <f>IF(GF214="","",IF(ISNUMBER('Dvd Calendar'!$R$2163)=FALSE,"",'Dvd Calendar'!$R$2163))</f>
        <v/>
      </c>
      <c r="BE214" s="106">
        <f>IF(GG214="","",IF(ISNUMBER('Dvd Calendar'!$S$2163)=FALSE,"",'Dvd Calendar'!$S$2163))</f>
        <v/>
      </c>
      <c r="BF214" s="106">
        <f>IF(GH214="","",IF(ISNUMBER('Dvd Calendar'!$T$2163)=FALSE,"",'Dvd Calendar'!$T$2163))</f>
        <v/>
      </c>
      <c r="BG214" s="106">
        <f>IF(GI214="","",IF(ISNUMBER('Dvd Calendar'!$U$2163)=FALSE,"",'Dvd Calendar'!$U$2163))</f>
        <v/>
      </c>
      <c r="BH214" s="106">
        <f>IF(GJ214="","",IF(ISNUMBER('Dvd Calendar'!$V$2163)=FALSE,"",'Dvd Calendar'!$V$2163))</f>
        <v/>
      </c>
      <c r="BI214" s="106">
        <f>IF(GK214="","",IF(ISNUMBER('Dvd Calendar'!$W$2163)=FALSE,"",'Dvd Calendar'!$W$2163))</f>
        <v/>
      </c>
      <c r="BJ214" s="106">
        <f>IF(GL214="","",IF(ISNUMBER('Dvd Calendar'!$X$2163)=FALSE,"",'Dvd Calendar'!$X$2163))</f>
        <v/>
      </c>
      <c r="BK214" s="106">
        <f>IF(GM214="","",IF(ISNUMBER('Dvd Calendar'!$Y$2163)=FALSE,"",'Dvd Calendar'!$Y$2163))</f>
        <v/>
      </c>
      <c r="BL214" s="106">
        <f>IF(GN214="","",IF(ISNUMBER('Dvd Calendar'!$Z$2163)=FALSE,"",'Dvd Calendar'!$Z$2163))</f>
        <v/>
      </c>
      <c r="BM214" s="106">
        <f>IF(GO214="","",IF(ISNUMBER('Dvd Calendar'!$AA$2163)=FALSE,"",'Dvd Calendar'!$AA$2163))</f>
        <v/>
      </c>
      <c r="BN214" s="106">
        <f>IF(GP214="","",IF(ISNUMBER('Dvd Calendar'!$AB$2163)=FALSE,"",'Dvd Calendar'!$AB$2163))</f>
        <v/>
      </c>
      <c r="BO214" s="106">
        <f>IF(GQ214="","",IF(ISNUMBER('Dvd Calendar'!$AC$2163)=FALSE,"",'Dvd Calendar'!$AC$2163))</f>
        <v/>
      </c>
      <c r="BQ214" s="106">
        <f>IF(C214="","",IFERROR(C214*HSCEI!$B$61*HSCEI!$G$61/HSCEI!$B$3,""))</f>
        <v/>
      </c>
      <c r="BR214" s="106">
        <f>IF(D214="","",IFERROR(D214*HSCEI!$B$61*HSCEI!$G$61/HSCEI!$B$3,""))</f>
        <v/>
      </c>
      <c r="BS214" s="106">
        <f>IF(E214="","",IFERROR(E214*HSCEI!$B$61*HSCEI!$G$61/HSCEI!$B$3,""))</f>
        <v/>
      </c>
      <c r="BT214" s="106">
        <f>IF(F214="","",IFERROR(F214*HSCEI!$B$61*HSCEI!$G$61/HSCEI!$B$3,""))</f>
        <v/>
      </c>
      <c r="BU214" s="106">
        <f>IF(G214="","",IFERROR(G214*HSCEI!$B$61*HSCEI!$G$61/HSCEI!$B$3,""))</f>
        <v/>
      </c>
      <c r="BV214" s="106">
        <f>IF(H214="","",IFERROR(H214*HSCEI!$B$61*HSCEI!$G$61/HSCEI!$B$3,""))</f>
        <v/>
      </c>
      <c r="BW214" s="106">
        <f>IF(I214="","",IFERROR(I214*HSCEI!$B$61*HSCEI!$G$61/HSCEI!$B$3,""))</f>
        <v/>
      </c>
      <c r="BX214" s="106">
        <f>IF(J214="","",IFERROR(J214*HSCEI!$B$61*HSCEI!$G$61/HSCEI!$B$3,""))</f>
        <v/>
      </c>
      <c r="BY214" s="106">
        <f>IF(K214="","",IFERROR(K214*HSCEI!$B$61*HSCEI!$G$61/HSCEI!$B$3,""))</f>
        <v/>
      </c>
      <c r="BZ214" s="106">
        <f>IF(L214="","",IFERROR(L214*HSCEI!$B$61*HSCEI!$G$61/HSCEI!$B$3,""))</f>
        <v/>
      </c>
      <c r="CA214" s="106">
        <f>IF(M214="","",IFERROR(M214*HSCEI!$B$61*HSCEI!$G$61/HSCEI!$B$3,""))</f>
        <v/>
      </c>
      <c r="CB214" s="106">
        <f>IF(N214="","",IFERROR(N214*HSCEI!$B$61*HSCEI!$G$61/HSCEI!$B$3,""))</f>
        <v/>
      </c>
      <c r="CC214" s="106">
        <f>IF(O214="","",IFERROR(O214*HSCEI!$B$61*HSCEI!$G$61/HSCEI!$B$3,""))</f>
        <v/>
      </c>
      <c r="CD214" s="106">
        <f>IF(P214="","",IFERROR(P214*HSCEI!$B$61*HSCEI!$G$61/HSCEI!$B$3,""))</f>
        <v/>
      </c>
      <c r="CE214" s="106">
        <f>IF(Q214="","",IFERROR(Q214*HSCEI!$B$61*HSCEI!$G$61/HSCEI!$B$3,""))</f>
        <v/>
      </c>
      <c r="CF214" s="106">
        <f>IF(R214="","",IFERROR(R214*HSCEI!$B$61*HSCEI!$G$61/HSCEI!$B$3,""))</f>
        <v/>
      </c>
      <c r="CG214" s="106">
        <f>IF(S214="","",IFERROR(S214*HSCEI!$B$61*HSCEI!$G$61/HSCEI!$B$3,""))</f>
        <v/>
      </c>
      <c r="CH214" s="106">
        <f>IF(T214="","",IFERROR(T214*HSCEI!$B$61*HSCEI!$G$61/HSCEI!$B$3,""))</f>
        <v/>
      </c>
      <c r="CI214" s="106">
        <f>IF(U214="","",IFERROR(U214*HSCEI!$B$61*HSCEI!$G$61/HSCEI!$B$3,""))</f>
        <v/>
      </c>
      <c r="CJ214" s="106">
        <f>IF(V214="","",IFERROR(V214*HSCEI!$B$61*HSCEI!$G$61/HSCEI!$B$3,""))</f>
        <v/>
      </c>
      <c r="CK214" s="106">
        <f>IF(W214="","",IFERROR(W214*HSCEI!$B$61*HSCEI!$G$61/HSCEI!$B$3,""))</f>
        <v/>
      </c>
      <c r="CL214" s="106">
        <f>IF(X214="","",IFERROR(X214*HSCEI!$B$61*HSCEI!$G$61/HSCEI!$B$3,""))</f>
        <v/>
      </c>
      <c r="CM214" s="106">
        <f>IF(Y214="","",IFERROR(Y214*HSCEI!$B$61*HSCEI!$G$61/HSCEI!$B$3,""))</f>
        <v/>
      </c>
      <c r="CN214" s="106">
        <f>IF(Z214="","",IFERROR(Z214*HSCEI!$B$61*HSCEI!$G$61/HSCEI!$B$3,""))</f>
        <v/>
      </c>
      <c r="CO214" s="106">
        <f>IF(AA214="","",IFERROR(AA214*HSCEI!$B$61*HSCEI!$G$61/HSCEI!$B$3,""))</f>
        <v/>
      </c>
      <c r="CP214" s="106">
        <f>IF(AB214="","",IFERROR(AB214*HSCEI!$B$61*HSCEI!$G$61/HSCEI!$B$3,""))</f>
        <v/>
      </c>
      <c r="CQ214" s="106">
        <f>IF(AC214="","",IFERROR(AC214*HSCEI!$B$61*HSCEI!$G$61/HSCEI!$B$3,""))</f>
        <v/>
      </c>
      <c r="CR214" s="106">
        <f>IF(AD214="","",IFERROR(AD214*HSCEI!$B$61*HSCEI!$G$61/HSCEI!$B$3,""))</f>
        <v/>
      </c>
      <c r="CS214" s="106">
        <f>IF(AE214="","",IFERROR(AE214*HSCEI!$B$61*HSCEI!$G$61/HSCEI!$B$3,""))</f>
        <v/>
      </c>
      <c r="CT214" s="106">
        <f>IF(AF214="","",IFERROR(AF214*HSCEI!$B$61*HSCEI!$G$61/HSCEI!$B$3,""))</f>
        <v/>
      </c>
      <c r="CU214" s="106">
        <f>IF(AG214="","",IFERROR(AG214*HSCEI!$B$61*HSCEI!$G$61/HSCEI!$B$3,""))</f>
        <v/>
      </c>
      <c r="CV214" s="106">
        <f>IF(AH214="","",IFERROR(AH214*HSCEI!$B$61*HSCEI!$G$61/HSCEI!$B$3,""))</f>
        <v/>
      </c>
      <c r="CW214" s="106">
        <f>IF(AI214="","",IFERROR(AI214*HSCEI!$B$61*HSCEI!$G$61/HSCEI!$B$3,""))</f>
        <v/>
      </c>
      <c r="CX214" s="106">
        <f>IF(AJ214="","",IFERROR(AJ214*HSCEI!$B$61*HSCEI!$G$61/HSCEI!$B$3,""))</f>
        <v/>
      </c>
      <c r="CY214" s="106">
        <f>IF(AK214="","",IFERROR(AK214*HSCEI!$B$61*HSCEI!$G$61/HSCEI!$B$3,""))</f>
        <v/>
      </c>
      <c r="CZ214" s="106">
        <f>IF(AL214="","",IFERROR(AL214*HSCEI!$B$61*HSCEI!$G$61/HSCEI!$B$3,""))</f>
        <v/>
      </c>
      <c r="DA214" s="106">
        <f>IF(AM214="","",IFERROR(AM214*HSCEI!$B$61*HSCEI!$G$61/HSCEI!$B$3,""))</f>
        <v/>
      </c>
      <c r="DB214" s="106">
        <f>IF(AN214="","",IFERROR(AN214*HSCEI!$B$61*HSCEI!$G$61/HSCEI!$B$3,""))</f>
        <v/>
      </c>
      <c r="DC214" s="106">
        <f>IF(AO214="","",IFERROR(AO214*HSCEI!$B$61*HSCEI!$G$61/HSCEI!$B$3,""))</f>
        <v/>
      </c>
      <c r="DD214" s="106">
        <f>IF(AP214="","",IFERROR(AP214*HSCEI!$B$61*HSCEI!$G$61/HSCEI!$B$3,""))</f>
        <v/>
      </c>
      <c r="DE214" s="106">
        <f>IF(AQ214="","",IFERROR(AQ214*HSCEI!$B$61*HSCEI!$G$61/HSCEI!$B$3,""))</f>
        <v/>
      </c>
      <c r="DF214" s="106">
        <f>IF(AR214="","",IFERROR(AR214*HSCEI!$B$61*HSCEI!$G$61/HSCEI!$B$3,""))</f>
        <v/>
      </c>
      <c r="DG214" s="106">
        <f>IF(AS214="","",IFERROR(AS214*HSCEI!$B$61*HSCEI!$G$61/HSCEI!$B$3,""))</f>
        <v/>
      </c>
      <c r="DH214" s="106">
        <f>IF(AT214="","",IFERROR(AT214*HSCEI!$B$61*HSCEI!$G$61/HSCEI!$B$3,""))</f>
        <v/>
      </c>
      <c r="DI214" s="106">
        <f>IF(AU214="","",IFERROR(AU214*HSCEI!$B$61*HSCEI!$G$61/HSCEI!$B$3,""))</f>
        <v/>
      </c>
      <c r="DJ214" s="106">
        <f>IF(AV214="","",IFERROR(AV214*HSCEI!$B$61*HSCEI!$G$61/HSCEI!$B$3,""))</f>
        <v/>
      </c>
      <c r="DK214" s="106">
        <f>IF(AW214="","",IFERROR(AW214*HSCEI!$B$61*HSCEI!$G$61/HSCEI!$B$3,""))</f>
        <v/>
      </c>
      <c r="DL214" s="106">
        <f>IF(AX214="","",IFERROR(AX214*HSCEI!$B$61*HSCEI!$G$61/HSCEI!$B$3,""))</f>
        <v/>
      </c>
      <c r="DM214" s="106">
        <f>IF(AY214="","",IFERROR(AY214*HSCEI!$B$61*HSCEI!$G$61/HSCEI!$B$3,""))</f>
        <v/>
      </c>
      <c r="DN214" s="106">
        <f>IF(AZ214="","",IFERROR(AZ214*HSCEI!$B$61*HSCEI!$G$61/HSCEI!$B$3,""))</f>
        <v/>
      </c>
      <c r="DO214" s="106">
        <f>IF(BA214="","",IFERROR(BA214*HSCEI!$B$61*HSCEI!$G$61/HSCEI!$B$3,""))</f>
        <v/>
      </c>
      <c r="DP214" s="106">
        <f>IF(BB214="","",IFERROR(BB214*HSCEI!$B$61*HSCEI!$G$61/HSCEI!$B$3,""))</f>
        <v/>
      </c>
      <c r="DQ214" s="106">
        <f>IF(BC214="","",IFERROR(BC214*HSCEI!$B$61*HSCEI!$G$61/HSCEI!$B$3,""))</f>
        <v/>
      </c>
      <c r="DR214" s="106">
        <f>IF(BD214="","",IFERROR(BD214*HSCEI!$B$61*HSCEI!$G$61/HSCEI!$B$3,""))</f>
        <v/>
      </c>
      <c r="DS214" s="106">
        <f>IF(BE214="","",IFERROR(BE214*HSCEI!$B$61*HSCEI!$G$61/HSCEI!$B$3,""))</f>
        <v/>
      </c>
      <c r="DT214" s="106">
        <f>IF(BF214="","",IFERROR(BF214*HSCEI!$B$61*HSCEI!$G$61/HSCEI!$B$3,""))</f>
        <v/>
      </c>
      <c r="DU214" s="106">
        <f>IF(BG214="","",IFERROR(BG214*HSCEI!$B$61*HSCEI!$G$61/HSCEI!$B$3,""))</f>
        <v/>
      </c>
      <c r="DV214" s="106">
        <f>IF(BH214="","",IFERROR(BH214*HSCEI!$B$61*HSCEI!$G$61/HSCEI!$B$3,""))</f>
        <v/>
      </c>
      <c r="DW214" s="106">
        <f>IF(BI214="","",IFERROR(BI214*HSCEI!$B$61*HSCEI!$G$61/HSCEI!$B$3,""))</f>
        <v/>
      </c>
      <c r="DX214" s="106">
        <f>IF(BJ214="","",IFERROR(BJ214*HSCEI!$B$61*HSCEI!$G$61/HSCEI!$B$3,""))</f>
        <v/>
      </c>
      <c r="DY214" s="106">
        <f>IF(BK214="","",IFERROR(BK214*HSCEI!$B$61*HSCEI!$G$61/HSCEI!$B$3,""))</f>
        <v/>
      </c>
      <c r="DZ214" s="106">
        <f>IF(BL214="","",IFERROR(BL214*HSCEI!$B$61*HSCEI!$G$61/HSCEI!$B$3,""))</f>
        <v/>
      </c>
      <c r="EA214" s="106">
        <f>IF(BM214="","",IFERROR(BM214*HSCEI!$B$61*HSCEI!$G$61/HSCEI!$B$3,""))</f>
        <v/>
      </c>
      <c r="EB214" s="106">
        <f>IF(BN214="","",IFERROR(BN214*HSCEI!$B$61*HSCEI!$G$61/HSCEI!$B$3,""))</f>
        <v/>
      </c>
      <c r="EC214" s="106">
        <f>IF(BO214="","",IFERROR(BO214*HSCEI!$B$61*HSCEI!$G$61/HSCEI!$B$3,""))</f>
        <v/>
      </c>
      <c r="EE214" s="35">
        <f>IF(N('Dvd Calendar'!$E$2155)=0,"",IF(('Dvd Calendar'!$E$2155&gt;=GRID_FROM)*('Dvd Calendar'!$E$2155&lt;=GRID_TO)*('Dvd Calendar'!$E$2155&lt;=VAL_DATE)=0,"",'Dvd Calendar'!$E$2155*1000000000+ISNUMBER('Dvd Calendar'!$E$2158)*100000000+('Dvd Calendar'!$E$2160=SPECIAL_LBL)*10000000+0*1000000+55*1000+1))</f>
        <v/>
      </c>
      <c r="EF214" s="35">
        <f>IF(N('Dvd Calendar'!$F$2155)=0,"",IF(('Dvd Calendar'!$F$2155&gt;=GRID_FROM)*('Dvd Calendar'!$F$2155&lt;=GRID_TO)*('Dvd Calendar'!$F$2155&lt;=VAL_DATE)=0,"",'Dvd Calendar'!$F$2155*1000000000+ISNUMBER('Dvd Calendar'!$F$2158)*100000000+('Dvd Calendar'!$F$2160=SPECIAL_LBL)*10000000+0*1000000+55*1000+2))</f>
        <v/>
      </c>
      <c r="EG214" s="35">
        <f>IF(N('Dvd Calendar'!$G$2155)=0,"",IF(('Dvd Calendar'!$G$2155&gt;=GRID_FROM)*('Dvd Calendar'!$G$2155&lt;=GRID_TO)*('Dvd Calendar'!$G$2155&lt;=VAL_DATE)=0,"",'Dvd Calendar'!$G$2155*1000000000+ISNUMBER('Dvd Calendar'!$G$2158)*100000000+('Dvd Calendar'!$G$2160=SPECIAL_LBL)*10000000+0*1000000+55*1000+3))</f>
        <v/>
      </c>
      <c r="EH214" s="35">
        <f>IF(N('Dvd Calendar'!$H$2155)=0,"",IF(('Dvd Calendar'!$H$2155&gt;=GRID_FROM)*('Dvd Calendar'!$H$2155&lt;=GRID_TO)*('Dvd Calendar'!$H$2155&lt;=VAL_DATE)=0,"",'Dvd Calendar'!$H$2155*1000000000+ISNUMBER('Dvd Calendar'!$H$2158)*100000000+('Dvd Calendar'!$H$2160=SPECIAL_LBL)*10000000+0*1000000+55*1000+4))</f>
        <v/>
      </c>
      <c r="EI214" s="35">
        <f>IF(N('Dvd Calendar'!$I$2155)=0,"",IF(('Dvd Calendar'!$I$2155&gt;=GRID_FROM)*('Dvd Calendar'!$I$2155&lt;=GRID_TO)*('Dvd Calendar'!$I$2155&lt;=VAL_DATE)=0,"",'Dvd Calendar'!$I$2155*1000000000+ISNUMBER('Dvd Calendar'!$I$2158)*100000000+('Dvd Calendar'!$I$2160=SPECIAL_LBL)*10000000+0*1000000+55*1000+5))</f>
        <v/>
      </c>
      <c r="EJ214" s="35">
        <f>IF(N('Dvd Calendar'!$J$2155)=0,"",IF(('Dvd Calendar'!$J$2155&gt;=GRID_FROM)*('Dvd Calendar'!$J$2155&lt;=GRID_TO)*('Dvd Calendar'!$J$2155&lt;=VAL_DATE)=0,"",'Dvd Calendar'!$J$2155*1000000000+ISNUMBER('Dvd Calendar'!$J$2158)*100000000+('Dvd Calendar'!$J$2160=SPECIAL_LBL)*10000000+0*1000000+55*1000+6))</f>
        <v/>
      </c>
      <c r="EK214" s="35">
        <f>IF(N('Dvd Calendar'!$K$2155)=0,"",IF(('Dvd Calendar'!$K$2155&gt;=GRID_FROM)*('Dvd Calendar'!$K$2155&lt;=GRID_TO)*('Dvd Calendar'!$K$2155&lt;=VAL_DATE)=0,"",'Dvd Calendar'!$K$2155*1000000000+ISNUMBER('Dvd Calendar'!$K$2158)*100000000+('Dvd Calendar'!$K$2160=SPECIAL_LBL)*10000000+0*1000000+55*1000+7))</f>
        <v/>
      </c>
      <c r="EL214" s="35">
        <f>IF(N('Dvd Calendar'!$L$2155)=0,"",IF(('Dvd Calendar'!$L$2155&gt;=GRID_FROM)*('Dvd Calendar'!$L$2155&lt;=GRID_TO)*('Dvd Calendar'!$L$2155&lt;=VAL_DATE)=0,"",'Dvd Calendar'!$L$2155*1000000000+ISNUMBER('Dvd Calendar'!$L$2158)*100000000+('Dvd Calendar'!$L$2160=SPECIAL_LBL)*10000000+0*1000000+55*1000+8))</f>
        <v/>
      </c>
      <c r="EM214" s="35">
        <f>IF(N('Dvd Calendar'!$M$2155)=0,"",IF(('Dvd Calendar'!$M$2155&gt;=GRID_FROM)*('Dvd Calendar'!$M$2155&lt;=GRID_TO)*('Dvd Calendar'!$M$2155&lt;=VAL_DATE)=0,"",'Dvd Calendar'!$M$2155*1000000000+ISNUMBER('Dvd Calendar'!$M$2158)*100000000+('Dvd Calendar'!$M$2160=SPECIAL_LBL)*10000000+0*1000000+55*1000+9))</f>
        <v/>
      </c>
      <c r="EN214" s="35">
        <f>IF(N('Dvd Calendar'!$N$2155)=0,"",IF(('Dvd Calendar'!$N$2155&gt;=GRID_FROM)*('Dvd Calendar'!$N$2155&lt;=GRID_TO)*('Dvd Calendar'!$N$2155&lt;=VAL_DATE)=0,"",'Dvd Calendar'!$N$2155*1000000000+ISNUMBER('Dvd Calendar'!$N$2158)*100000000+('Dvd Calendar'!$N$2160=SPECIAL_LBL)*10000000+0*1000000+55*1000+10))</f>
        <v/>
      </c>
      <c r="EO214" s="35">
        <f>IF(N('Dvd Calendar'!$O$2155)=0,"",IF(('Dvd Calendar'!$O$2155&gt;=GRID_FROM)*('Dvd Calendar'!$O$2155&lt;=GRID_TO)*('Dvd Calendar'!$O$2155&lt;=VAL_DATE)=0,"",'Dvd Calendar'!$O$2155*1000000000+ISNUMBER('Dvd Calendar'!$O$2158)*100000000+('Dvd Calendar'!$O$2160=SPECIAL_LBL)*10000000+0*1000000+55*1000+11))</f>
        <v/>
      </c>
      <c r="EP214" s="35">
        <f>IF(N('Dvd Calendar'!$P$2155)=0,"",IF(('Dvd Calendar'!$P$2155&gt;=GRID_FROM)*('Dvd Calendar'!$P$2155&lt;=GRID_TO)*('Dvd Calendar'!$P$2155&lt;=VAL_DATE)=0,"",'Dvd Calendar'!$P$2155*1000000000+ISNUMBER('Dvd Calendar'!$P$2158)*100000000+('Dvd Calendar'!$P$2160=SPECIAL_LBL)*10000000+0*1000000+55*1000+12))</f>
        <v/>
      </c>
      <c r="EQ214" s="35">
        <f>IF(N('Dvd Calendar'!$Q$2155)=0,"",IF(('Dvd Calendar'!$Q$2155&gt;=GRID_FROM)*('Dvd Calendar'!$Q$2155&lt;=GRID_TO)*('Dvd Calendar'!$Q$2155&lt;=VAL_DATE)=0,"",'Dvd Calendar'!$Q$2155*1000000000+ISNUMBER('Dvd Calendar'!$Q$2158)*100000000+('Dvd Calendar'!$Q$2160=SPECIAL_LBL)*10000000+0*1000000+55*1000+13))</f>
        <v/>
      </c>
      <c r="ER214" s="35">
        <f>IF(N('Dvd Calendar'!$R$2155)=0,"",IF(('Dvd Calendar'!$R$2155&gt;=GRID_FROM)*('Dvd Calendar'!$R$2155&lt;=GRID_TO)*('Dvd Calendar'!$R$2155&lt;=VAL_DATE)=0,"",'Dvd Calendar'!$R$2155*1000000000+ISNUMBER('Dvd Calendar'!$R$2158)*100000000+('Dvd Calendar'!$R$2160=SPECIAL_LBL)*10000000+0*1000000+55*1000+14))</f>
        <v/>
      </c>
      <c r="ES214" s="35">
        <f>IF(N('Dvd Calendar'!$S$2155)=0,"",IF(('Dvd Calendar'!$S$2155&gt;=GRID_FROM)*('Dvd Calendar'!$S$2155&lt;=GRID_TO)*('Dvd Calendar'!$S$2155&lt;=VAL_DATE)=0,"",'Dvd Calendar'!$S$2155*1000000000+ISNUMBER('Dvd Calendar'!$S$2158)*100000000+('Dvd Calendar'!$S$2160=SPECIAL_LBL)*10000000+0*1000000+55*1000+15))</f>
        <v/>
      </c>
      <c r="ET214" s="35">
        <f>IF(N('Dvd Calendar'!$T$2155)=0,"",IF(('Dvd Calendar'!$T$2155&gt;=GRID_FROM)*('Dvd Calendar'!$T$2155&lt;=GRID_TO)*('Dvd Calendar'!$T$2155&lt;=VAL_DATE)=0,"",'Dvd Calendar'!$T$2155*1000000000+ISNUMBER('Dvd Calendar'!$T$2158)*100000000+('Dvd Calendar'!$T$2160=SPECIAL_LBL)*10000000+0*1000000+55*1000+16))</f>
        <v/>
      </c>
      <c r="EU214" s="35">
        <f>IF(N('Dvd Calendar'!$U$2155)=0,"",IF(('Dvd Calendar'!$U$2155&gt;=GRID_FROM)*('Dvd Calendar'!$U$2155&lt;=GRID_TO)*('Dvd Calendar'!$U$2155&lt;=VAL_DATE)=0,"",'Dvd Calendar'!$U$2155*1000000000+ISNUMBER('Dvd Calendar'!$U$2158)*100000000+('Dvd Calendar'!$U$2160=SPECIAL_LBL)*10000000+0*1000000+55*1000+17))</f>
        <v/>
      </c>
      <c r="EV214" s="35">
        <f>IF(N('Dvd Calendar'!$V$2155)=0,"",IF(('Dvd Calendar'!$V$2155&gt;=GRID_FROM)*('Dvd Calendar'!$V$2155&lt;=GRID_TO)*('Dvd Calendar'!$V$2155&lt;=VAL_DATE)=0,"",'Dvd Calendar'!$V$2155*1000000000+ISNUMBER('Dvd Calendar'!$V$2158)*100000000+('Dvd Calendar'!$V$2160=SPECIAL_LBL)*10000000+0*1000000+55*1000+18))</f>
        <v/>
      </c>
      <c r="EW214" s="35">
        <f>IF(N('Dvd Calendar'!$W$2155)=0,"",IF(('Dvd Calendar'!$W$2155&gt;=GRID_FROM)*('Dvd Calendar'!$W$2155&lt;=GRID_TO)*('Dvd Calendar'!$W$2155&lt;=VAL_DATE)=0,"",'Dvd Calendar'!$W$2155*1000000000+ISNUMBER('Dvd Calendar'!$W$2158)*100000000+('Dvd Calendar'!$W$2160=SPECIAL_LBL)*10000000+0*1000000+55*1000+19))</f>
        <v/>
      </c>
      <c r="EX214" s="35">
        <f>IF(N('Dvd Calendar'!$X$2155)=0,"",IF(('Dvd Calendar'!$X$2155&gt;=GRID_FROM)*('Dvd Calendar'!$X$2155&lt;=GRID_TO)*('Dvd Calendar'!$X$2155&lt;=VAL_DATE)=0,"",'Dvd Calendar'!$X$2155*1000000000+ISNUMBER('Dvd Calendar'!$X$2158)*100000000+('Dvd Calendar'!$X$2160=SPECIAL_LBL)*10000000+0*1000000+55*1000+20))</f>
        <v/>
      </c>
      <c r="EY214" s="35">
        <f>IF(N('Dvd Calendar'!$Y$2155)=0,"",IF(('Dvd Calendar'!$Y$2155&gt;=GRID_FROM)*('Dvd Calendar'!$Y$2155&lt;=GRID_TO)*('Dvd Calendar'!$Y$2155&lt;=VAL_DATE)=0,"",'Dvd Calendar'!$Y$2155*1000000000+ISNUMBER('Dvd Calendar'!$Y$2158)*100000000+('Dvd Calendar'!$Y$2160=SPECIAL_LBL)*10000000+0*1000000+55*1000+21))</f>
        <v/>
      </c>
      <c r="EZ214" s="35">
        <f>IF(N('Dvd Calendar'!$Z$2155)=0,"",IF(('Dvd Calendar'!$Z$2155&gt;=GRID_FROM)*('Dvd Calendar'!$Z$2155&lt;=GRID_TO)*('Dvd Calendar'!$Z$2155&lt;=VAL_DATE)=0,"",'Dvd Calendar'!$Z$2155*1000000000+ISNUMBER('Dvd Calendar'!$Z$2158)*100000000+('Dvd Calendar'!$Z$2160=SPECIAL_LBL)*10000000+0*1000000+55*1000+22))</f>
        <v/>
      </c>
      <c r="FA214" s="35">
        <f>IF(N('Dvd Calendar'!$AA$2155)=0,"",IF(('Dvd Calendar'!$AA$2155&gt;=GRID_FROM)*('Dvd Calendar'!$AA$2155&lt;=GRID_TO)*('Dvd Calendar'!$AA$2155&lt;=VAL_DATE)=0,"",'Dvd Calendar'!$AA$2155*1000000000+ISNUMBER('Dvd Calendar'!$AA$2158)*100000000+('Dvd Calendar'!$AA$2160=SPECIAL_LBL)*10000000+0*1000000+55*1000+23))</f>
        <v/>
      </c>
      <c r="FB214" s="35">
        <f>IF(N('Dvd Calendar'!$AB$2155)=0,"",IF(('Dvd Calendar'!$AB$2155&gt;=GRID_FROM)*('Dvd Calendar'!$AB$2155&lt;=GRID_TO)*('Dvd Calendar'!$AB$2155&lt;=VAL_DATE)=0,"",'Dvd Calendar'!$AB$2155*1000000000+ISNUMBER('Dvd Calendar'!$AB$2158)*100000000+('Dvd Calendar'!$AB$2160=SPECIAL_LBL)*10000000+0*1000000+55*1000+24))</f>
        <v/>
      </c>
      <c r="FC214" s="35">
        <f>IF(N('Dvd Calendar'!$AC$2155)=0,"",IF(('Dvd Calendar'!$AC$2155&gt;=GRID_FROM)*('Dvd Calendar'!$AC$2155&lt;=GRID_TO)*('Dvd Calendar'!$AC$2155&lt;=VAL_DATE)=0,"",'Dvd Calendar'!$AC$2155*1000000000+ISNUMBER('Dvd Calendar'!$AC$2158)*100000000+('Dvd Calendar'!$AC$2160=SPECIAL_LBL)*10000000+0*1000000+55*1000+25))</f>
        <v/>
      </c>
      <c r="FD214" s="35">
        <f>IF(N('Dvd Calendar'!$AD$2155)=0,"",IF(('Dvd Calendar'!$AD$2155&gt;=GRID_FROM)*('Dvd Calendar'!$AD$2155&lt;=GRID_TO)*('Dvd Calendar'!$AD$2155&lt;=VAL_DATE)=0,"",'Dvd Calendar'!$AD$2155*1000000000+ISNUMBER('Dvd Calendar'!$AD$2158)*100000000+('Dvd Calendar'!$AD$2160=SPECIAL_LBL)*10000000+0*1000000+55*1000+26))</f>
        <v/>
      </c>
      <c r="FE214" s="35">
        <f>IF(N('Dvd Calendar'!$AE$2155)=0,"",IF(('Dvd Calendar'!$AE$2155&gt;=GRID_FROM)*('Dvd Calendar'!$AE$2155&lt;=GRID_TO)*('Dvd Calendar'!$AE$2155&lt;=VAL_DATE)=0,"",'Dvd Calendar'!$AE$2155*1000000000+ISNUMBER('Dvd Calendar'!$AE$2158)*100000000+('Dvd Calendar'!$AE$2160=SPECIAL_LBL)*10000000+0*1000000+55*1000+27))</f>
        <v/>
      </c>
      <c r="FF214" s="35">
        <f>IF(N('Dvd Calendar'!$AF$2155)=0,"",IF(('Dvd Calendar'!$AF$2155&gt;=GRID_FROM)*('Dvd Calendar'!$AF$2155&lt;=GRID_TO)*('Dvd Calendar'!$AF$2155&lt;=VAL_DATE)=0,"",'Dvd Calendar'!$AF$2155*1000000000+ISNUMBER('Dvd Calendar'!$AF$2158)*100000000+('Dvd Calendar'!$AF$2160=SPECIAL_LBL)*10000000+0*1000000+55*1000+28))</f>
        <v/>
      </c>
      <c r="FG214" s="35">
        <f>IF(N('Dvd Calendar'!$AG$2155)=0,"",IF(('Dvd Calendar'!$AG$2155&gt;=GRID_FROM)*('Dvd Calendar'!$AG$2155&lt;=GRID_TO)*('Dvd Calendar'!$AG$2155&lt;=VAL_DATE)=0,"",'Dvd Calendar'!$AG$2155*1000000000+ISNUMBER('Dvd Calendar'!$AG$2158)*100000000+('Dvd Calendar'!$AG$2160=SPECIAL_LBL)*10000000+0*1000000+55*1000+29))</f>
        <v/>
      </c>
      <c r="FH214" s="35">
        <f>IF(N('Dvd Calendar'!$AH$2155)=0,"",IF(('Dvd Calendar'!$AH$2155&gt;=GRID_FROM)*('Dvd Calendar'!$AH$2155&lt;=GRID_TO)*('Dvd Calendar'!$AH$2155&lt;=VAL_DATE)=0,"",'Dvd Calendar'!$AH$2155*1000000000+ISNUMBER('Dvd Calendar'!$AH$2158)*100000000+('Dvd Calendar'!$AH$2160=SPECIAL_LBL)*10000000+0*1000000+55*1000+30))</f>
        <v/>
      </c>
      <c r="FI214" s="35">
        <f>IF(N('Dvd Calendar'!$AI$2155)=0,"",IF(('Dvd Calendar'!$AI$2155&gt;=GRID_FROM)*('Dvd Calendar'!$AI$2155&lt;=GRID_TO)*('Dvd Calendar'!$AI$2155&lt;=VAL_DATE)=0,"",'Dvd Calendar'!$AI$2155*1000000000+ISNUMBER('Dvd Calendar'!$AI$2158)*100000000+('Dvd Calendar'!$AI$2160=SPECIAL_LBL)*10000000+0*1000000+55*1000+31))</f>
        <v/>
      </c>
      <c r="FJ214" s="35">
        <f>IF(N('Dvd Calendar'!$AJ$2155)=0,"",IF(('Dvd Calendar'!$AJ$2155&gt;=GRID_FROM)*('Dvd Calendar'!$AJ$2155&lt;=GRID_TO)*('Dvd Calendar'!$AJ$2155&lt;=VAL_DATE)=0,"",'Dvd Calendar'!$AJ$2155*1000000000+ISNUMBER('Dvd Calendar'!$AJ$2158)*100000000+('Dvd Calendar'!$AJ$2160=SPECIAL_LBL)*10000000+0*1000000+55*1000+32))</f>
        <v/>
      </c>
      <c r="FK214" s="35">
        <f>IF(N('Dvd Calendar'!$AK$2155)=0,"",IF(('Dvd Calendar'!$AK$2155&gt;=GRID_FROM)*('Dvd Calendar'!$AK$2155&lt;=GRID_TO)*('Dvd Calendar'!$AK$2155&lt;=VAL_DATE)=0,"",'Dvd Calendar'!$AK$2155*1000000000+ISNUMBER('Dvd Calendar'!$AK$2158)*100000000+('Dvd Calendar'!$AK$2160=SPECIAL_LBL)*10000000+0*1000000+55*1000+33))</f>
        <v/>
      </c>
      <c r="FL214" s="35">
        <f>IF(N('Dvd Calendar'!$AL$2155)=0,"",IF(('Dvd Calendar'!$AL$2155&gt;=GRID_FROM)*('Dvd Calendar'!$AL$2155&lt;=GRID_TO)*('Dvd Calendar'!$AL$2155&lt;=VAL_DATE)=0,"",'Dvd Calendar'!$AL$2155*1000000000+ISNUMBER('Dvd Calendar'!$AL$2158)*100000000+('Dvd Calendar'!$AL$2160=SPECIAL_LBL)*10000000+0*1000000+55*1000+34))</f>
        <v/>
      </c>
      <c r="FM214" s="35">
        <f>IF(N('Dvd Calendar'!$AM$2155)=0,"",IF(('Dvd Calendar'!$AM$2155&gt;=GRID_FROM)*('Dvd Calendar'!$AM$2155&lt;=GRID_TO)*('Dvd Calendar'!$AM$2155&lt;=VAL_DATE)=0,"",'Dvd Calendar'!$AM$2155*1000000000+ISNUMBER('Dvd Calendar'!$AM$2158)*100000000+('Dvd Calendar'!$AM$2160=SPECIAL_LBL)*10000000+0*1000000+55*1000+35))</f>
        <v/>
      </c>
      <c r="FN214" s="35">
        <f>IF(N('Dvd Calendar'!$AN$2155)=0,"",IF(('Dvd Calendar'!$AN$2155&gt;=GRID_FROM)*('Dvd Calendar'!$AN$2155&lt;=GRID_TO)*('Dvd Calendar'!$AN$2155&lt;=VAL_DATE)=0,"",'Dvd Calendar'!$AN$2155*1000000000+ISNUMBER('Dvd Calendar'!$AN$2158)*100000000+('Dvd Calendar'!$AN$2160=SPECIAL_LBL)*10000000+0*1000000+55*1000+36))</f>
        <v/>
      </c>
      <c r="FO214" s="35">
        <f>IF(N('Dvd Calendar'!$AO$2155)=0,"",IF(('Dvd Calendar'!$AO$2155&gt;=GRID_FROM)*('Dvd Calendar'!$AO$2155&lt;=GRID_TO)*('Dvd Calendar'!$AO$2155&lt;=VAL_DATE)=0,"",'Dvd Calendar'!$AO$2155*1000000000+ISNUMBER('Dvd Calendar'!$AO$2158)*100000000+('Dvd Calendar'!$AO$2160=SPECIAL_LBL)*10000000+0*1000000+55*1000+37))</f>
        <v/>
      </c>
      <c r="FP214" s="35">
        <f>IF(N('Dvd Calendar'!$AP$2155)=0,"",IF(('Dvd Calendar'!$AP$2155&gt;=GRID_FROM)*('Dvd Calendar'!$AP$2155&lt;=GRID_TO)*('Dvd Calendar'!$AP$2155&lt;=VAL_DATE)=0,"",'Dvd Calendar'!$AP$2155*1000000000+ISNUMBER('Dvd Calendar'!$AP$2158)*100000000+('Dvd Calendar'!$AP$2160=SPECIAL_LBL)*10000000+0*1000000+55*1000+38))</f>
        <v/>
      </c>
      <c r="FQ214" s="35">
        <f>IF(N('Dvd Calendar'!$AQ$2155)=0,"",IF(('Dvd Calendar'!$AQ$2155&gt;=GRID_FROM)*('Dvd Calendar'!$AQ$2155&lt;=GRID_TO)*('Dvd Calendar'!$AQ$2155&lt;=VAL_DATE)=0,"",'Dvd Calendar'!$AQ$2155*1000000000+ISNUMBER('Dvd Calendar'!$AQ$2158)*100000000+('Dvd Calendar'!$AQ$2160=SPECIAL_LBL)*10000000+0*1000000+55*1000+39))</f>
        <v/>
      </c>
      <c r="FR214" s="35">
        <f>IF(N('Dvd Calendar'!$AR$2155)=0,"",IF(('Dvd Calendar'!$AR$2155&gt;=GRID_FROM)*('Dvd Calendar'!$AR$2155&lt;=GRID_TO)*('Dvd Calendar'!$AR$2155&lt;=VAL_DATE)=0,"",'Dvd Calendar'!$AR$2155*1000000000+ISNUMBER('Dvd Calendar'!$AR$2158)*100000000+('Dvd Calendar'!$AR$2160=SPECIAL_LBL)*10000000+0*1000000+55*1000+40))</f>
        <v/>
      </c>
      <c r="FS214" s="35">
        <f>IF(N('Dvd Calendar'!$E$2162)=0,"",IF(('Dvd Calendar'!$E$2162&gt;=GRID_FROM)*('Dvd Calendar'!$E$2162&lt;=GRID_TO)*('Dvd Calendar'!$E$2162&gt;VAL_DATE)=0,"",'Dvd Calendar'!$E$2162*1000000000+ISNUMBER('Dvd Calendar'!$E$2163)*100000000+0*10000000+(N('Dvd Calendar'!$E$2161)&gt;0)*(N('Dvd Calendar'!$E$2161)&lt;=VAL_SERIAL)*1000000+55*1000+41))</f>
        <v/>
      </c>
      <c r="FT214" s="35">
        <f>IF(N('Dvd Calendar'!$F$2162)=0,"",IF(('Dvd Calendar'!$F$2162&gt;=GRID_FROM)*('Dvd Calendar'!$F$2162&lt;=GRID_TO)*('Dvd Calendar'!$F$2162&gt;VAL_DATE)=0,"",'Dvd Calendar'!$F$2162*1000000000+ISNUMBER('Dvd Calendar'!$F$2163)*100000000+0*10000000+(N('Dvd Calendar'!$F$2161)&gt;0)*(N('Dvd Calendar'!$F$2161)&lt;=VAL_SERIAL)*1000000+55*1000+42))</f>
        <v/>
      </c>
      <c r="FU214" s="35">
        <f>IF(N('Dvd Calendar'!$G$2162)=0,"",IF(('Dvd Calendar'!$G$2162&gt;=GRID_FROM)*('Dvd Calendar'!$G$2162&lt;=GRID_TO)*('Dvd Calendar'!$G$2162&gt;VAL_DATE)=0,"",'Dvd Calendar'!$G$2162*1000000000+ISNUMBER('Dvd Calendar'!$G$2163)*100000000+0*10000000+(N('Dvd Calendar'!$G$2161)&gt;0)*(N('Dvd Calendar'!$G$2161)&lt;=VAL_SERIAL)*1000000+55*1000+43))</f>
        <v/>
      </c>
      <c r="FV214" s="35">
        <f>IF(N('Dvd Calendar'!$H$2162)=0,"",IF(('Dvd Calendar'!$H$2162&gt;=GRID_FROM)*('Dvd Calendar'!$H$2162&lt;=GRID_TO)*('Dvd Calendar'!$H$2162&gt;VAL_DATE)=0,"",'Dvd Calendar'!$H$2162*1000000000+ISNUMBER('Dvd Calendar'!$H$2163)*100000000+0*10000000+(N('Dvd Calendar'!$H$2161)&gt;0)*(N('Dvd Calendar'!$H$2161)&lt;=VAL_SERIAL)*1000000+55*1000+44))</f>
        <v/>
      </c>
      <c r="FW214" s="35">
        <f>IF(N('Dvd Calendar'!$I$2162)=0,"",IF(('Dvd Calendar'!$I$2162&gt;=GRID_FROM)*('Dvd Calendar'!$I$2162&lt;=GRID_TO)*('Dvd Calendar'!$I$2162&gt;VAL_DATE)=0,"",'Dvd Calendar'!$I$2162*1000000000+ISNUMBER('Dvd Calendar'!$I$2163)*100000000+0*10000000+(N('Dvd Calendar'!$I$2161)&gt;0)*(N('Dvd Calendar'!$I$2161)&lt;=VAL_SERIAL)*1000000+55*1000+45))</f>
        <v/>
      </c>
      <c r="FX214" s="35">
        <f>IF(N('Dvd Calendar'!$J$2162)=0,"",IF(('Dvd Calendar'!$J$2162&gt;=GRID_FROM)*('Dvd Calendar'!$J$2162&lt;=GRID_TO)*('Dvd Calendar'!$J$2162&gt;VAL_DATE)=0,"",'Dvd Calendar'!$J$2162*1000000000+ISNUMBER('Dvd Calendar'!$J$2163)*100000000+0*10000000+(N('Dvd Calendar'!$J$2161)&gt;0)*(N('Dvd Calendar'!$J$2161)&lt;=VAL_SERIAL)*1000000+55*1000+46))</f>
        <v/>
      </c>
      <c r="FY214" s="35">
        <f>IF(N('Dvd Calendar'!$K$2162)=0,"",IF(('Dvd Calendar'!$K$2162&gt;=GRID_FROM)*('Dvd Calendar'!$K$2162&lt;=GRID_TO)*('Dvd Calendar'!$K$2162&gt;VAL_DATE)=0,"",'Dvd Calendar'!$K$2162*1000000000+ISNUMBER('Dvd Calendar'!$K$2163)*100000000+0*10000000+(N('Dvd Calendar'!$K$2161)&gt;0)*(N('Dvd Calendar'!$K$2161)&lt;=VAL_SERIAL)*1000000+55*1000+47))</f>
        <v/>
      </c>
      <c r="FZ214" s="35">
        <f>IF(N('Dvd Calendar'!$L$2162)=0,"",IF(('Dvd Calendar'!$L$2162&gt;=GRID_FROM)*('Dvd Calendar'!$L$2162&lt;=GRID_TO)*('Dvd Calendar'!$L$2162&gt;VAL_DATE)=0,"",'Dvd Calendar'!$L$2162*1000000000+ISNUMBER('Dvd Calendar'!$L$2163)*100000000+0*10000000+(N('Dvd Calendar'!$L$2161)&gt;0)*(N('Dvd Calendar'!$L$2161)&lt;=VAL_SERIAL)*1000000+55*1000+48))</f>
        <v/>
      </c>
      <c r="GA214" s="35">
        <f>IF(N('Dvd Calendar'!$M$2162)=0,"",IF(('Dvd Calendar'!$M$2162&gt;=GRID_FROM)*('Dvd Calendar'!$M$2162&lt;=GRID_TO)*('Dvd Calendar'!$M$2162&gt;VAL_DATE)=0,"",'Dvd Calendar'!$M$2162*1000000000+ISNUMBER('Dvd Calendar'!$M$2163)*100000000+0*10000000+(N('Dvd Calendar'!$M$2161)&gt;0)*(N('Dvd Calendar'!$M$2161)&lt;=VAL_SERIAL)*1000000+55*1000+49))</f>
        <v/>
      </c>
      <c r="GB214" s="35">
        <f>IF(N('Dvd Calendar'!$N$2162)=0,"",IF(('Dvd Calendar'!$N$2162&gt;=GRID_FROM)*('Dvd Calendar'!$N$2162&lt;=GRID_TO)*('Dvd Calendar'!$N$2162&gt;VAL_DATE)=0,"",'Dvd Calendar'!$N$2162*1000000000+ISNUMBER('Dvd Calendar'!$N$2163)*100000000+0*10000000+(N('Dvd Calendar'!$N$2161)&gt;0)*(N('Dvd Calendar'!$N$2161)&lt;=VAL_SERIAL)*1000000+55*1000+50))</f>
        <v/>
      </c>
      <c r="GC214" s="35">
        <f>IF(N('Dvd Calendar'!$O$2162)=0,"",IF(('Dvd Calendar'!$O$2162&gt;=GRID_FROM)*('Dvd Calendar'!$O$2162&lt;=GRID_TO)*('Dvd Calendar'!$O$2162&gt;VAL_DATE)=0,"",'Dvd Calendar'!$O$2162*1000000000+ISNUMBER('Dvd Calendar'!$O$2163)*100000000+0*10000000+(N('Dvd Calendar'!$O$2161)&gt;0)*(N('Dvd Calendar'!$O$2161)&lt;=VAL_SERIAL)*1000000+55*1000+51))</f>
        <v/>
      </c>
      <c r="GD214" s="35">
        <f>IF(N('Dvd Calendar'!$P$2162)=0,"",IF(('Dvd Calendar'!$P$2162&gt;=GRID_FROM)*('Dvd Calendar'!$P$2162&lt;=GRID_TO)*('Dvd Calendar'!$P$2162&gt;VAL_DATE)=0,"",'Dvd Calendar'!$P$2162*1000000000+ISNUMBER('Dvd Calendar'!$P$2163)*100000000+0*10000000+(N('Dvd Calendar'!$P$2161)&gt;0)*(N('Dvd Calendar'!$P$2161)&lt;=VAL_SERIAL)*1000000+55*1000+52))</f>
        <v/>
      </c>
      <c r="GE214" s="35">
        <f>IF(N('Dvd Calendar'!$Q$2162)=0,"",IF(('Dvd Calendar'!$Q$2162&gt;=GRID_FROM)*('Dvd Calendar'!$Q$2162&lt;=GRID_TO)*('Dvd Calendar'!$Q$2162&gt;VAL_DATE)=0,"",'Dvd Calendar'!$Q$2162*1000000000+ISNUMBER('Dvd Calendar'!$Q$2163)*100000000+0*10000000+(N('Dvd Calendar'!$Q$2161)&gt;0)*(N('Dvd Calendar'!$Q$2161)&lt;=VAL_SERIAL)*1000000+55*1000+53))</f>
        <v/>
      </c>
      <c r="GF214" s="35">
        <f>IF(N('Dvd Calendar'!$R$2162)=0,"",IF(('Dvd Calendar'!$R$2162&gt;=GRID_FROM)*('Dvd Calendar'!$R$2162&lt;=GRID_TO)*('Dvd Calendar'!$R$2162&gt;VAL_DATE)=0,"",'Dvd Calendar'!$R$2162*1000000000+ISNUMBER('Dvd Calendar'!$R$2163)*100000000+0*10000000+(N('Dvd Calendar'!$R$2161)&gt;0)*(N('Dvd Calendar'!$R$2161)&lt;=VAL_SERIAL)*1000000+55*1000+54))</f>
        <v/>
      </c>
      <c r="GG214" s="35">
        <f>IF(N('Dvd Calendar'!$S$2162)=0,"",IF(('Dvd Calendar'!$S$2162&gt;=GRID_FROM)*('Dvd Calendar'!$S$2162&lt;=GRID_TO)*('Dvd Calendar'!$S$2162&gt;VAL_DATE)=0,"",'Dvd Calendar'!$S$2162*1000000000+ISNUMBER('Dvd Calendar'!$S$2163)*100000000+0*10000000+(N('Dvd Calendar'!$S$2161)&gt;0)*(N('Dvd Calendar'!$S$2161)&lt;=VAL_SERIAL)*1000000+55*1000+55))</f>
        <v/>
      </c>
      <c r="GH214" s="35">
        <f>IF(N('Dvd Calendar'!$T$2162)=0,"",IF(('Dvd Calendar'!$T$2162&gt;=GRID_FROM)*('Dvd Calendar'!$T$2162&lt;=GRID_TO)*('Dvd Calendar'!$T$2162&gt;VAL_DATE)=0,"",'Dvd Calendar'!$T$2162*1000000000+ISNUMBER('Dvd Calendar'!$T$2163)*100000000+0*10000000+(N('Dvd Calendar'!$T$2161)&gt;0)*(N('Dvd Calendar'!$T$2161)&lt;=VAL_SERIAL)*1000000+55*1000+56))</f>
        <v/>
      </c>
      <c r="GI214" s="35">
        <f>IF(N('Dvd Calendar'!$U$2162)=0,"",IF(('Dvd Calendar'!$U$2162&gt;=GRID_FROM)*('Dvd Calendar'!$U$2162&lt;=GRID_TO)*('Dvd Calendar'!$U$2162&gt;VAL_DATE)=0,"",'Dvd Calendar'!$U$2162*1000000000+ISNUMBER('Dvd Calendar'!$U$2163)*100000000+0*10000000+(N('Dvd Calendar'!$U$2161)&gt;0)*(N('Dvd Calendar'!$U$2161)&lt;=VAL_SERIAL)*1000000+55*1000+57))</f>
        <v/>
      </c>
      <c r="GJ214" s="35">
        <f>IF(N('Dvd Calendar'!$V$2162)=0,"",IF(('Dvd Calendar'!$V$2162&gt;=GRID_FROM)*('Dvd Calendar'!$V$2162&lt;=GRID_TO)*('Dvd Calendar'!$V$2162&gt;VAL_DATE)=0,"",'Dvd Calendar'!$V$2162*1000000000+ISNUMBER('Dvd Calendar'!$V$2163)*100000000+0*10000000+(N('Dvd Calendar'!$V$2161)&gt;0)*(N('Dvd Calendar'!$V$2161)&lt;=VAL_SERIAL)*1000000+55*1000+58))</f>
        <v/>
      </c>
      <c r="GK214" s="35">
        <f>IF(N('Dvd Calendar'!$W$2162)=0,"",IF(('Dvd Calendar'!$W$2162&gt;=GRID_FROM)*('Dvd Calendar'!$W$2162&lt;=GRID_TO)*('Dvd Calendar'!$W$2162&gt;VAL_DATE)=0,"",'Dvd Calendar'!$W$2162*1000000000+ISNUMBER('Dvd Calendar'!$W$2163)*100000000+0*10000000+(N('Dvd Calendar'!$W$2161)&gt;0)*(N('Dvd Calendar'!$W$2161)&lt;=VAL_SERIAL)*1000000+55*1000+59))</f>
        <v/>
      </c>
      <c r="GL214" s="35">
        <f>IF(N('Dvd Calendar'!$X$2162)=0,"",IF(('Dvd Calendar'!$X$2162&gt;=GRID_FROM)*('Dvd Calendar'!$X$2162&lt;=GRID_TO)*('Dvd Calendar'!$X$2162&gt;VAL_DATE)=0,"",'Dvd Calendar'!$X$2162*1000000000+ISNUMBER('Dvd Calendar'!$X$2163)*100000000+0*10000000+(N('Dvd Calendar'!$X$2161)&gt;0)*(N('Dvd Calendar'!$X$2161)&lt;=VAL_SERIAL)*1000000+55*1000+60))</f>
        <v/>
      </c>
      <c r="GM214" s="35">
        <f>IF(N('Dvd Calendar'!$Y$2162)=0,"",IF(('Dvd Calendar'!$Y$2162&gt;=GRID_FROM)*('Dvd Calendar'!$Y$2162&lt;=GRID_TO)*('Dvd Calendar'!$Y$2162&gt;VAL_DATE)=0,"",'Dvd Calendar'!$Y$2162*1000000000+ISNUMBER('Dvd Calendar'!$Y$2163)*100000000+0*10000000+(N('Dvd Calendar'!$Y$2161)&gt;0)*(N('Dvd Calendar'!$Y$2161)&lt;=VAL_SERIAL)*1000000+55*1000+61))</f>
        <v/>
      </c>
      <c r="GN214" s="35">
        <f>IF(N('Dvd Calendar'!$Z$2162)=0,"",IF(('Dvd Calendar'!$Z$2162&gt;=GRID_FROM)*('Dvd Calendar'!$Z$2162&lt;=GRID_TO)*('Dvd Calendar'!$Z$2162&gt;VAL_DATE)=0,"",'Dvd Calendar'!$Z$2162*1000000000+ISNUMBER('Dvd Calendar'!$Z$2163)*100000000+0*10000000+(N('Dvd Calendar'!$Z$2161)&gt;0)*(N('Dvd Calendar'!$Z$2161)&lt;=VAL_SERIAL)*1000000+55*1000+62))</f>
        <v/>
      </c>
      <c r="GO214" s="35">
        <f>IF(N('Dvd Calendar'!$AA$2162)=0,"",IF(('Dvd Calendar'!$AA$2162&gt;=GRID_FROM)*('Dvd Calendar'!$AA$2162&lt;=GRID_TO)*('Dvd Calendar'!$AA$2162&gt;VAL_DATE)=0,"",'Dvd Calendar'!$AA$2162*1000000000+ISNUMBER('Dvd Calendar'!$AA$2163)*100000000+0*10000000+(N('Dvd Calendar'!$AA$2161)&gt;0)*(N('Dvd Calendar'!$AA$2161)&lt;=VAL_SERIAL)*1000000+55*1000+63))</f>
        <v/>
      </c>
      <c r="GP214" s="35">
        <f>IF(N('Dvd Calendar'!$AB$2162)=0,"",IF(('Dvd Calendar'!$AB$2162&gt;=GRID_FROM)*('Dvd Calendar'!$AB$2162&lt;=GRID_TO)*('Dvd Calendar'!$AB$2162&gt;VAL_DATE)=0,"",'Dvd Calendar'!$AB$2162*1000000000+ISNUMBER('Dvd Calendar'!$AB$2163)*100000000+0*10000000+(N('Dvd Calendar'!$AB$2161)&gt;0)*(N('Dvd Calendar'!$AB$2161)&lt;=VAL_SERIAL)*1000000+55*1000+64))</f>
        <v/>
      </c>
      <c r="GQ214" s="35">
        <f>IF(N('Dvd Calendar'!$AC$2162)=0,"",IF(('Dvd Calendar'!$AC$2162&gt;=GRID_FROM)*('Dvd Calendar'!$AC$2162&lt;=GRID_TO)*('Dvd Calendar'!$AC$2162&gt;VAL_DATE)=0,"",'Dvd Calendar'!$AC$2162*1000000000+ISNUMBER('Dvd Calendar'!$AC$2163)*100000000+0*10000000+(N('Dvd Calendar'!$AC$2161)&gt;0)*(N('Dvd Calendar'!$AC$2161)&lt;=VAL_SERIAL)*1000000+55*1000+65))</f>
        <v/>
      </c>
    </row>
    <row r="215">
      <c r="B215" s="2">
        <f>IF(HSCEI!$C$62="","",HSCEI!$C$62)</f>
        <v/>
      </c>
      <c r="C215" s="106">
        <f>IF(EE215="","",IF(ISNUMBER('Dvd Calendar'!$E$2169)=FALSE,"",IF((('Dvd Calendar'!$E$2171=TYPE1)*(TYPE1&lt;&gt;"")+('Dvd Calendar'!$E$2171=TYPE2)*(TYPE2&lt;&gt;"")+('Dvd Calendar'!$E$2171=TYPE3)*(TYPE3&lt;&gt;"")+('Dvd Calendar'!$E$2171=TYPE4)*(TYPE4&lt;&gt;"")+('Dvd Calendar'!$E$2171=SPECIAL_LBL)*(INC_SPECIALS="Y"))=0,"",'Dvd Calendar'!$E$2169)))</f>
        <v/>
      </c>
      <c r="D215" s="106">
        <f>IF(EF215="","",IF(ISNUMBER('Dvd Calendar'!$F$2169)=FALSE,"",IF((('Dvd Calendar'!$F$2171=TYPE1)*(TYPE1&lt;&gt;"")+('Dvd Calendar'!$F$2171=TYPE2)*(TYPE2&lt;&gt;"")+('Dvd Calendar'!$F$2171=TYPE3)*(TYPE3&lt;&gt;"")+('Dvd Calendar'!$F$2171=TYPE4)*(TYPE4&lt;&gt;"")+('Dvd Calendar'!$F$2171=SPECIAL_LBL)*(INC_SPECIALS="Y"))=0,"",'Dvd Calendar'!$F$2169)))</f>
        <v/>
      </c>
      <c r="E215" s="106">
        <f>IF(EG215="","",IF(ISNUMBER('Dvd Calendar'!$G$2169)=FALSE,"",IF((('Dvd Calendar'!$G$2171=TYPE1)*(TYPE1&lt;&gt;"")+('Dvd Calendar'!$G$2171=TYPE2)*(TYPE2&lt;&gt;"")+('Dvd Calendar'!$G$2171=TYPE3)*(TYPE3&lt;&gt;"")+('Dvd Calendar'!$G$2171=TYPE4)*(TYPE4&lt;&gt;"")+('Dvd Calendar'!$G$2171=SPECIAL_LBL)*(INC_SPECIALS="Y"))=0,"",'Dvd Calendar'!$G$2169)))</f>
        <v/>
      </c>
      <c r="F215" s="106">
        <f>IF(EH215="","",IF(ISNUMBER('Dvd Calendar'!$H$2169)=FALSE,"",IF((('Dvd Calendar'!$H$2171=TYPE1)*(TYPE1&lt;&gt;"")+('Dvd Calendar'!$H$2171=TYPE2)*(TYPE2&lt;&gt;"")+('Dvd Calendar'!$H$2171=TYPE3)*(TYPE3&lt;&gt;"")+('Dvd Calendar'!$H$2171=TYPE4)*(TYPE4&lt;&gt;"")+('Dvd Calendar'!$H$2171=SPECIAL_LBL)*(INC_SPECIALS="Y"))=0,"",'Dvd Calendar'!$H$2169)))</f>
        <v/>
      </c>
      <c r="G215" s="106">
        <f>IF(EI215="","",IF(ISNUMBER('Dvd Calendar'!$I$2169)=FALSE,"",IF((('Dvd Calendar'!$I$2171=TYPE1)*(TYPE1&lt;&gt;"")+('Dvd Calendar'!$I$2171=TYPE2)*(TYPE2&lt;&gt;"")+('Dvd Calendar'!$I$2171=TYPE3)*(TYPE3&lt;&gt;"")+('Dvd Calendar'!$I$2171=TYPE4)*(TYPE4&lt;&gt;"")+('Dvd Calendar'!$I$2171=SPECIAL_LBL)*(INC_SPECIALS="Y"))=0,"",'Dvd Calendar'!$I$2169)))</f>
        <v/>
      </c>
      <c r="H215" s="106">
        <f>IF(EJ215="","",IF(ISNUMBER('Dvd Calendar'!$J$2169)=FALSE,"",IF((('Dvd Calendar'!$J$2171=TYPE1)*(TYPE1&lt;&gt;"")+('Dvd Calendar'!$J$2171=TYPE2)*(TYPE2&lt;&gt;"")+('Dvd Calendar'!$J$2171=TYPE3)*(TYPE3&lt;&gt;"")+('Dvd Calendar'!$J$2171=TYPE4)*(TYPE4&lt;&gt;"")+('Dvd Calendar'!$J$2171=SPECIAL_LBL)*(INC_SPECIALS="Y"))=0,"",'Dvd Calendar'!$J$2169)))</f>
        <v/>
      </c>
      <c r="I215" s="106">
        <f>IF(EK215="","",IF(ISNUMBER('Dvd Calendar'!$K$2169)=FALSE,"",IF((('Dvd Calendar'!$K$2171=TYPE1)*(TYPE1&lt;&gt;"")+('Dvd Calendar'!$K$2171=TYPE2)*(TYPE2&lt;&gt;"")+('Dvd Calendar'!$K$2171=TYPE3)*(TYPE3&lt;&gt;"")+('Dvd Calendar'!$K$2171=TYPE4)*(TYPE4&lt;&gt;"")+('Dvd Calendar'!$K$2171=SPECIAL_LBL)*(INC_SPECIALS="Y"))=0,"",'Dvd Calendar'!$K$2169)))</f>
        <v/>
      </c>
      <c r="J215" s="106">
        <f>IF(EL215="","",IF(ISNUMBER('Dvd Calendar'!$L$2169)=FALSE,"",IF((('Dvd Calendar'!$L$2171=TYPE1)*(TYPE1&lt;&gt;"")+('Dvd Calendar'!$L$2171=TYPE2)*(TYPE2&lt;&gt;"")+('Dvd Calendar'!$L$2171=TYPE3)*(TYPE3&lt;&gt;"")+('Dvd Calendar'!$L$2171=TYPE4)*(TYPE4&lt;&gt;"")+('Dvd Calendar'!$L$2171=SPECIAL_LBL)*(INC_SPECIALS="Y"))=0,"",'Dvd Calendar'!$L$2169)))</f>
        <v/>
      </c>
      <c r="K215" s="106">
        <f>IF(EM215="","",IF(ISNUMBER('Dvd Calendar'!$M$2169)=FALSE,"",IF((('Dvd Calendar'!$M$2171=TYPE1)*(TYPE1&lt;&gt;"")+('Dvd Calendar'!$M$2171=TYPE2)*(TYPE2&lt;&gt;"")+('Dvd Calendar'!$M$2171=TYPE3)*(TYPE3&lt;&gt;"")+('Dvd Calendar'!$M$2171=TYPE4)*(TYPE4&lt;&gt;"")+('Dvd Calendar'!$M$2171=SPECIAL_LBL)*(INC_SPECIALS="Y"))=0,"",'Dvd Calendar'!$M$2169)))</f>
        <v/>
      </c>
      <c r="L215" s="106">
        <f>IF(EN215="","",IF(ISNUMBER('Dvd Calendar'!$N$2169)=FALSE,"",IF((('Dvd Calendar'!$N$2171=TYPE1)*(TYPE1&lt;&gt;"")+('Dvd Calendar'!$N$2171=TYPE2)*(TYPE2&lt;&gt;"")+('Dvd Calendar'!$N$2171=TYPE3)*(TYPE3&lt;&gt;"")+('Dvd Calendar'!$N$2171=TYPE4)*(TYPE4&lt;&gt;"")+('Dvd Calendar'!$N$2171=SPECIAL_LBL)*(INC_SPECIALS="Y"))=0,"",'Dvd Calendar'!$N$2169)))</f>
        <v/>
      </c>
      <c r="M215" s="106">
        <f>IF(EO215="","",IF(ISNUMBER('Dvd Calendar'!$O$2169)=FALSE,"",IF((('Dvd Calendar'!$O$2171=TYPE1)*(TYPE1&lt;&gt;"")+('Dvd Calendar'!$O$2171=TYPE2)*(TYPE2&lt;&gt;"")+('Dvd Calendar'!$O$2171=TYPE3)*(TYPE3&lt;&gt;"")+('Dvd Calendar'!$O$2171=TYPE4)*(TYPE4&lt;&gt;"")+('Dvd Calendar'!$O$2171=SPECIAL_LBL)*(INC_SPECIALS="Y"))=0,"",'Dvd Calendar'!$O$2169)))</f>
        <v/>
      </c>
      <c r="N215" s="106">
        <f>IF(EP215="","",IF(ISNUMBER('Dvd Calendar'!$P$2169)=FALSE,"",IF((('Dvd Calendar'!$P$2171=TYPE1)*(TYPE1&lt;&gt;"")+('Dvd Calendar'!$P$2171=TYPE2)*(TYPE2&lt;&gt;"")+('Dvd Calendar'!$P$2171=TYPE3)*(TYPE3&lt;&gt;"")+('Dvd Calendar'!$P$2171=TYPE4)*(TYPE4&lt;&gt;"")+('Dvd Calendar'!$P$2171=SPECIAL_LBL)*(INC_SPECIALS="Y"))=0,"",'Dvd Calendar'!$P$2169)))</f>
        <v/>
      </c>
      <c r="O215" s="106">
        <f>IF(EQ215="","",IF(ISNUMBER('Dvd Calendar'!$Q$2169)=FALSE,"",IF((('Dvd Calendar'!$Q$2171=TYPE1)*(TYPE1&lt;&gt;"")+('Dvd Calendar'!$Q$2171=TYPE2)*(TYPE2&lt;&gt;"")+('Dvd Calendar'!$Q$2171=TYPE3)*(TYPE3&lt;&gt;"")+('Dvd Calendar'!$Q$2171=TYPE4)*(TYPE4&lt;&gt;"")+('Dvd Calendar'!$Q$2171=SPECIAL_LBL)*(INC_SPECIALS="Y"))=0,"",'Dvd Calendar'!$Q$2169)))</f>
        <v/>
      </c>
      <c r="P215" s="106">
        <f>IF(ER215="","",IF(ISNUMBER('Dvd Calendar'!$R$2169)=FALSE,"",IF((('Dvd Calendar'!$R$2171=TYPE1)*(TYPE1&lt;&gt;"")+('Dvd Calendar'!$R$2171=TYPE2)*(TYPE2&lt;&gt;"")+('Dvd Calendar'!$R$2171=TYPE3)*(TYPE3&lt;&gt;"")+('Dvd Calendar'!$R$2171=TYPE4)*(TYPE4&lt;&gt;"")+('Dvd Calendar'!$R$2171=SPECIAL_LBL)*(INC_SPECIALS="Y"))=0,"",'Dvd Calendar'!$R$2169)))</f>
        <v/>
      </c>
      <c r="Q215" s="106">
        <f>IF(ES215="","",IF(ISNUMBER('Dvd Calendar'!$S$2169)=FALSE,"",IF((('Dvd Calendar'!$S$2171=TYPE1)*(TYPE1&lt;&gt;"")+('Dvd Calendar'!$S$2171=TYPE2)*(TYPE2&lt;&gt;"")+('Dvd Calendar'!$S$2171=TYPE3)*(TYPE3&lt;&gt;"")+('Dvd Calendar'!$S$2171=TYPE4)*(TYPE4&lt;&gt;"")+('Dvd Calendar'!$S$2171=SPECIAL_LBL)*(INC_SPECIALS="Y"))=0,"",'Dvd Calendar'!$S$2169)))</f>
        <v/>
      </c>
      <c r="R215" s="106">
        <f>IF(ET215="","",IF(ISNUMBER('Dvd Calendar'!$T$2169)=FALSE,"",IF((('Dvd Calendar'!$T$2171=TYPE1)*(TYPE1&lt;&gt;"")+('Dvd Calendar'!$T$2171=TYPE2)*(TYPE2&lt;&gt;"")+('Dvd Calendar'!$T$2171=TYPE3)*(TYPE3&lt;&gt;"")+('Dvd Calendar'!$T$2171=TYPE4)*(TYPE4&lt;&gt;"")+('Dvd Calendar'!$T$2171=SPECIAL_LBL)*(INC_SPECIALS="Y"))=0,"",'Dvd Calendar'!$T$2169)))</f>
        <v/>
      </c>
      <c r="S215" s="106">
        <f>IF(EU215="","",IF(ISNUMBER('Dvd Calendar'!$U$2169)=FALSE,"",IF((('Dvd Calendar'!$U$2171=TYPE1)*(TYPE1&lt;&gt;"")+('Dvd Calendar'!$U$2171=TYPE2)*(TYPE2&lt;&gt;"")+('Dvd Calendar'!$U$2171=TYPE3)*(TYPE3&lt;&gt;"")+('Dvd Calendar'!$U$2171=TYPE4)*(TYPE4&lt;&gt;"")+('Dvd Calendar'!$U$2171=SPECIAL_LBL)*(INC_SPECIALS="Y"))=0,"",'Dvd Calendar'!$U$2169)))</f>
        <v/>
      </c>
      <c r="T215" s="106">
        <f>IF(EV215="","",IF(ISNUMBER('Dvd Calendar'!$V$2169)=FALSE,"",IF((('Dvd Calendar'!$V$2171=TYPE1)*(TYPE1&lt;&gt;"")+('Dvd Calendar'!$V$2171=TYPE2)*(TYPE2&lt;&gt;"")+('Dvd Calendar'!$V$2171=TYPE3)*(TYPE3&lt;&gt;"")+('Dvd Calendar'!$V$2171=TYPE4)*(TYPE4&lt;&gt;"")+('Dvd Calendar'!$V$2171=SPECIAL_LBL)*(INC_SPECIALS="Y"))=0,"",'Dvd Calendar'!$V$2169)))</f>
        <v/>
      </c>
      <c r="U215" s="106">
        <f>IF(EW215="","",IF(ISNUMBER('Dvd Calendar'!$W$2169)=FALSE,"",IF((('Dvd Calendar'!$W$2171=TYPE1)*(TYPE1&lt;&gt;"")+('Dvd Calendar'!$W$2171=TYPE2)*(TYPE2&lt;&gt;"")+('Dvd Calendar'!$W$2171=TYPE3)*(TYPE3&lt;&gt;"")+('Dvd Calendar'!$W$2171=TYPE4)*(TYPE4&lt;&gt;"")+('Dvd Calendar'!$W$2171=SPECIAL_LBL)*(INC_SPECIALS="Y"))=0,"",'Dvd Calendar'!$W$2169)))</f>
        <v/>
      </c>
      <c r="V215" s="106">
        <f>IF(EX215="","",IF(ISNUMBER('Dvd Calendar'!$X$2169)=FALSE,"",IF((('Dvd Calendar'!$X$2171=TYPE1)*(TYPE1&lt;&gt;"")+('Dvd Calendar'!$X$2171=TYPE2)*(TYPE2&lt;&gt;"")+('Dvd Calendar'!$X$2171=TYPE3)*(TYPE3&lt;&gt;"")+('Dvd Calendar'!$X$2171=TYPE4)*(TYPE4&lt;&gt;"")+('Dvd Calendar'!$X$2171=SPECIAL_LBL)*(INC_SPECIALS="Y"))=0,"",'Dvd Calendar'!$X$2169)))</f>
        <v/>
      </c>
      <c r="W215" s="106">
        <f>IF(EY215="","",IF(ISNUMBER('Dvd Calendar'!$Y$2169)=FALSE,"",IF((('Dvd Calendar'!$Y$2171=TYPE1)*(TYPE1&lt;&gt;"")+('Dvd Calendar'!$Y$2171=TYPE2)*(TYPE2&lt;&gt;"")+('Dvd Calendar'!$Y$2171=TYPE3)*(TYPE3&lt;&gt;"")+('Dvd Calendar'!$Y$2171=TYPE4)*(TYPE4&lt;&gt;"")+('Dvd Calendar'!$Y$2171=SPECIAL_LBL)*(INC_SPECIALS="Y"))=0,"",'Dvd Calendar'!$Y$2169)))</f>
        <v/>
      </c>
      <c r="X215" s="106">
        <f>IF(EZ215="","",IF(ISNUMBER('Dvd Calendar'!$Z$2169)=FALSE,"",IF((('Dvd Calendar'!$Z$2171=TYPE1)*(TYPE1&lt;&gt;"")+('Dvd Calendar'!$Z$2171=TYPE2)*(TYPE2&lt;&gt;"")+('Dvd Calendar'!$Z$2171=TYPE3)*(TYPE3&lt;&gt;"")+('Dvd Calendar'!$Z$2171=TYPE4)*(TYPE4&lt;&gt;"")+('Dvd Calendar'!$Z$2171=SPECIAL_LBL)*(INC_SPECIALS="Y"))=0,"",'Dvd Calendar'!$Z$2169)))</f>
        <v/>
      </c>
      <c r="Y215" s="106">
        <f>IF(FA215="","",IF(ISNUMBER('Dvd Calendar'!$AA$2169)=FALSE,"",IF((('Dvd Calendar'!$AA$2171=TYPE1)*(TYPE1&lt;&gt;"")+('Dvd Calendar'!$AA$2171=TYPE2)*(TYPE2&lt;&gt;"")+('Dvd Calendar'!$AA$2171=TYPE3)*(TYPE3&lt;&gt;"")+('Dvd Calendar'!$AA$2171=TYPE4)*(TYPE4&lt;&gt;"")+('Dvd Calendar'!$AA$2171=SPECIAL_LBL)*(INC_SPECIALS="Y"))=0,"",'Dvd Calendar'!$AA$2169)))</f>
        <v/>
      </c>
      <c r="Z215" s="106">
        <f>IF(FB215="","",IF(ISNUMBER('Dvd Calendar'!$AB$2169)=FALSE,"",IF((('Dvd Calendar'!$AB$2171=TYPE1)*(TYPE1&lt;&gt;"")+('Dvd Calendar'!$AB$2171=TYPE2)*(TYPE2&lt;&gt;"")+('Dvd Calendar'!$AB$2171=TYPE3)*(TYPE3&lt;&gt;"")+('Dvd Calendar'!$AB$2171=TYPE4)*(TYPE4&lt;&gt;"")+('Dvd Calendar'!$AB$2171=SPECIAL_LBL)*(INC_SPECIALS="Y"))=0,"",'Dvd Calendar'!$AB$2169)))</f>
        <v/>
      </c>
      <c r="AA215" s="106">
        <f>IF(FC215="","",IF(ISNUMBER('Dvd Calendar'!$AC$2169)=FALSE,"",IF((('Dvd Calendar'!$AC$2171=TYPE1)*(TYPE1&lt;&gt;"")+('Dvd Calendar'!$AC$2171=TYPE2)*(TYPE2&lt;&gt;"")+('Dvd Calendar'!$AC$2171=TYPE3)*(TYPE3&lt;&gt;"")+('Dvd Calendar'!$AC$2171=TYPE4)*(TYPE4&lt;&gt;"")+('Dvd Calendar'!$AC$2171=SPECIAL_LBL)*(INC_SPECIALS="Y"))=0,"",'Dvd Calendar'!$AC$2169)))</f>
        <v/>
      </c>
      <c r="AB215" s="106">
        <f>IF(FD215="","",IF(ISNUMBER('Dvd Calendar'!$AD$2169)=FALSE,"",IF((('Dvd Calendar'!$AD$2171=TYPE1)*(TYPE1&lt;&gt;"")+('Dvd Calendar'!$AD$2171=TYPE2)*(TYPE2&lt;&gt;"")+('Dvd Calendar'!$AD$2171=TYPE3)*(TYPE3&lt;&gt;"")+('Dvd Calendar'!$AD$2171=TYPE4)*(TYPE4&lt;&gt;"")+('Dvd Calendar'!$AD$2171=SPECIAL_LBL)*(INC_SPECIALS="Y"))=0,"",'Dvd Calendar'!$AD$2169)))</f>
        <v/>
      </c>
      <c r="AC215" s="106">
        <f>IF(FE215="","",IF(ISNUMBER('Dvd Calendar'!$AE$2169)=FALSE,"",IF((('Dvd Calendar'!$AE$2171=TYPE1)*(TYPE1&lt;&gt;"")+('Dvd Calendar'!$AE$2171=TYPE2)*(TYPE2&lt;&gt;"")+('Dvd Calendar'!$AE$2171=TYPE3)*(TYPE3&lt;&gt;"")+('Dvd Calendar'!$AE$2171=TYPE4)*(TYPE4&lt;&gt;"")+('Dvd Calendar'!$AE$2171=SPECIAL_LBL)*(INC_SPECIALS="Y"))=0,"",'Dvd Calendar'!$AE$2169)))</f>
        <v/>
      </c>
      <c r="AD215" s="106">
        <f>IF(FF215="","",IF(ISNUMBER('Dvd Calendar'!$AF$2169)=FALSE,"",IF((('Dvd Calendar'!$AF$2171=TYPE1)*(TYPE1&lt;&gt;"")+('Dvd Calendar'!$AF$2171=TYPE2)*(TYPE2&lt;&gt;"")+('Dvd Calendar'!$AF$2171=TYPE3)*(TYPE3&lt;&gt;"")+('Dvd Calendar'!$AF$2171=TYPE4)*(TYPE4&lt;&gt;"")+('Dvd Calendar'!$AF$2171=SPECIAL_LBL)*(INC_SPECIALS="Y"))=0,"",'Dvd Calendar'!$AF$2169)))</f>
        <v/>
      </c>
      <c r="AE215" s="106">
        <f>IF(FG215="","",IF(ISNUMBER('Dvd Calendar'!$AG$2169)=FALSE,"",IF((('Dvd Calendar'!$AG$2171=TYPE1)*(TYPE1&lt;&gt;"")+('Dvd Calendar'!$AG$2171=TYPE2)*(TYPE2&lt;&gt;"")+('Dvd Calendar'!$AG$2171=TYPE3)*(TYPE3&lt;&gt;"")+('Dvd Calendar'!$AG$2171=TYPE4)*(TYPE4&lt;&gt;"")+('Dvd Calendar'!$AG$2171=SPECIAL_LBL)*(INC_SPECIALS="Y"))=0,"",'Dvd Calendar'!$AG$2169)))</f>
        <v/>
      </c>
      <c r="AF215" s="106">
        <f>IF(FH215="","",IF(ISNUMBER('Dvd Calendar'!$AH$2169)=FALSE,"",IF((('Dvd Calendar'!$AH$2171=TYPE1)*(TYPE1&lt;&gt;"")+('Dvd Calendar'!$AH$2171=TYPE2)*(TYPE2&lt;&gt;"")+('Dvd Calendar'!$AH$2171=TYPE3)*(TYPE3&lt;&gt;"")+('Dvd Calendar'!$AH$2171=TYPE4)*(TYPE4&lt;&gt;"")+('Dvd Calendar'!$AH$2171=SPECIAL_LBL)*(INC_SPECIALS="Y"))=0,"",'Dvd Calendar'!$AH$2169)))</f>
        <v/>
      </c>
      <c r="AG215" s="106">
        <f>IF(FI215="","",IF(ISNUMBER('Dvd Calendar'!$AI$2169)=FALSE,"",IF((('Dvd Calendar'!$AI$2171=TYPE1)*(TYPE1&lt;&gt;"")+('Dvd Calendar'!$AI$2171=TYPE2)*(TYPE2&lt;&gt;"")+('Dvd Calendar'!$AI$2171=TYPE3)*(TYPE3&lt;&gt;"")+('Dvd Calendar'!$AI$2171=TYPE4)*(TYPE4&lt;&gt;"")+('Dvd Calendar'!$AI$2171=SPECIAL_LBL)*(INC_SPECIALS="Y"))=0,"",'Dvd Calendar'!$AI$2169)))</f>
        <v/>
      </c>
      <c r="AH215" s="106">
        <f>IF(FJ215="","",IF(ISNUMBER('Dvd Calendar'!$AJ$2169)=FALSE,"",IF((('Dvd Calendar'!$AJ$2171=TYPE1)*(TYPE1&lt;&gt;"")+('Dvd Calendar'!$AJ$2171=TYPE2)*(TYPE2&lt;&gt;"")+('Dvd Calendar'!$AJ$2171=TYPE3)*(TYPE3&lt;&gt;"")+('Dvd Calendar'!$AJ$2171=TYPE4)*(TYPE4&lt;&gt;"")+('Dvd Calendar'!$AJ$2171=SPECIAL_LBL)*(INC_SPECIALS="Y"))=0,"",'Dvd Calendar'!$AJ$2169)))</f>
        <v/>
      </c>
      <c r="AI215" s="106">
        <f>IF(FK215="","",IF(ISNUMBER('Dvd Calendar'!$AK$2169)=FALSE,"",IF((('Dvd Calendar'!$AK$2171=TYPE1)*(TYPE1&lt;&gt;"")+('Dvd Calendar'!$AK$2171=TYPE2)*(TYPE2&lt;&gt;"")+('Dvd Calendar'!$AK$2171=TYPE3)*(TYPE3&lt;&gt;"")+('Dvd Calendar'!$AK$2171=TYPE4)*(TYPE4&lt;&gt;"")+('Dvd Calendar'!$AK$2171=SPECIAL_LBL)*(INC_SPECIALS="Y"))=0,"",'Dvd Calendar'!$AK$2169)))</f>
        <v/>
      </c>
      <c r="AJ215" s="106">
        <f>IF(FL215="","",IF(ISNUMBER('Dvd Calendar'!$AL$2169)=FALSE,"",IF((('Dvd Calendar'!$AL$2171=TYPE1)*(TYPE1&lt;&gt;"")+('Dvd Calendar'!$AL$2171=TYPE2)*(TYPE2&lt;&gt;"")+('Dvd Calendar'!$AL$2171=TYPE3)*(TYPE3&lt;&gt;"")+('Dvd Calendar'!$AL$2171=TYPE4)*(TYPE4&lt;&gt;"")+('Dvd Calendar'!$AL$2171=SPECIAL_LBL)*(INC_SPECIALS="Y"))=0,"",'Dvd Calendar'!$AL$2169)))</f>
        <v/>
      </c>
      <c r="AK215" s="106">
        <f>IF(FM215="","",IF(ISNUMBER('Dvd Calendar'!$AM$2169)=FALSE,"",IF((('Dvd Calendar'!$AM$2171=TYPE1)*(TYPE1&lt;&gt;"")+('Dvd Calendar'!$AM$2171=TYPE2)*(TYPE2&lt;&gt;"")+('Dvd Calendar'!$AM$2171=TYPE3)*(TYPE3&lt;&gt;"")+('Dvd Calendar'!$AM$2171=TYPE4)*(TYPE4&lt;&gt;"")+('Dvd Calendar'!$AM$2171=SPECIAL_LBL)*(INC_SPECIALS="Y"))=0,"",'Dvd Calendar'!$AM$2169)))</f>
        <v/>
      </c>
      <c r="AL215" s="106">
        <f>IF(FN215="","",IF(ISNUMBER('Dvd Calendar'!$AN$2169)=FALSE,"",IF((('Dvd Calendar'!$AN$2171=TYPE1)*(TYPE1&lt;&gt;"")+('Dvd Calendar'!$AN$2171=TYPE2)*(TYPE2&lt;&gt;"")+('Dvd Calendar'!$AN$2171=TYPE3)*(TYPE3&lt;&gt;"")+('Dvd Calendar'!$AN$2171=TYPE4)*(TYPE4&lt;&gt;"")+('Dvd Calendar'!$AN$2171=SPECIAL_LBL)*(INC_SPECIALS="Y"))=0,"",'Dvd Calendar'!$AN$2169)))</f>
        <v/>
      </c>
      <c r="AM215" s="106">
        <f>IF(FO215="","",IF(ISNUMBER('Dvd Calendar'!$AO$2169)=FALSE,"",IF((('Dvd Calendar'!$AO$2171=TYPE1)*(TYPE1&lt;&gt;"")+('Dvd Calendar'!$AO$2171=TYPE2)*(TYPE2&lt;&gt;"")+('Dvd Calendar'!$AO$2171=TYPE3)*(TYPE3&lt;&gt;"")+('Dvd Calendar'!$AO$2171=TYPE4)*(TYPE4&lt;&gt;"")+('Dvd Calendar'!$AO$2171=SPECIAL_LBL)*(INC_SPECIALS="Y"))=0,"",'Dvd Calendar'!$AO$2169)))</f>
        <v/>
      </c>
      <c r="AN215" s="106">
        <f>IF(FP215="","",IF(ISNUMBER('Dvd Calendar'!$AP$2169)=FALSE,"",IF((('Dvd Calendar'!$AP$2171=TYPE1)*(TYPE1&lt;&gt;"")+('Dvd Calendar'!$AP$2171=TYPE2)*(TYPE2&lt;&gt;"")+('Dvd Calendar'!$AP$2171=TYPE3)*(TYPE3&lt;&gt;"")+('Dvd Calendar'!$AP$2171=TYPE4)*(TYPE4&lt;&gt;"")+('Dvd Calendar'!$AP$2171=SPECIAL_LBL)*(INC_SPECIALS="Y"))=0,"",'Dvd Calendar'!$AP$2169)))</f>
        <v/>
      </c>
      <c r="AO215" s="106">
        <f>IF(FQ215="","",IF(ISNUMBER('Dvd Calendar'!$AQ$2169)=FALSE,"",IF((('Dvd Calendar'!$AQ$2171=TYPE1)*(TYPE1&lt;&gt;"")+('Dvd Calendar'!$AQ$2171=TYPE2)*(TYPE2&lt;&gt;"")+('Dvd Calendar'!$AQ$2171=TYPE3)*(TYPE3&lt;&gt;"")+('Dvd Calendar'!$AQ$2171=TYPE4)*(TYPE4&lt;&gt;"")+('Dvd Calendar'!$AQ$2171=SPECIAL_LBL)*(INC_SPECIALS="Y"))=0,"",'Dvd Calendar'!$AQ$2169)))</f>
        <v/>
      </c>
      <c r="AP215" s="106">
        <f>IF(FR215="","",IF(ISNUMBER('Dvd Calendar'!$AR$2169)=FALSE,"",IF((('Dvd Calendar'!$AR$2171=TYPE1)*(TYPE1&lt;&gt;"")+('Dvd Calendar'!$AR$2171=TYPE2)*(TYPE2&lt;&gt;"")+('Dvd Calendar'!$AR$2171=TYPE3)*(TYPE3&lt;&gt;"")+('Dvd Calendar'!$AR$2171=TYPE4)*(TYPE4&lt;&gt;"")+('Dvd Calendar'!$AR$2171=SPECIAL_LBL)*(INC_SPECIALS="Y"))=0,"",'Dvd Calendar'!$AR$2169)))</f>
        <v/>
      </c>
      <c r="AQ215" s="106">
        <f>IF(FS215="","",IF(ISNUMBER('Dvd Calendar'!$E$2174)=FALSE,"",'Dvd Calendar'!$E$2174))</f>
        <v/>
      </c>
      <c r="AR215" s="106">
        <f>IF(FT215="","",IF(ISNUMBER('Dvd Calendar'!$F$2174)=FALSE,"",'Dvd Calendar'!$F$2174))</f>
        <v/>
      </c>
      <c r="AS215" s="106">
        <f>IF(FU215="","",IF(ISNUMBER('Dvd Calendar'!$G$2174)=FALSE,"",'Dvd Calendar'!$G$2174))</f>
        <v/>
      </c>
      <c r="AT215" s="106">
        <f>IF(FV215="","",IF(ISNUMBER('Dvd Calendar'!$H$2174)=FALSE,"",'Dvd Calendar'!$H$2174))</f>
        <v/>
      </c>
      <c r="AU215" s="106">
        <f>IF(FW215="","",IF(ISNUMBER('Dvd Calendar'!$I$2174)=FALSE,"",'Dvd Calendar'!$I$2174))</f>
        <v/>
      </c>
      <c r="AV215" s="106">
        <f>IF(FX215="","",IF(ISNUMBER('Dvd Calendar'!$J$2174)=FALSE,"",'Dvd Calendar'!$J$2174))</f>
        <v/>
      </c>
      <c r="AW215" s="106">
        <f>IF(FY215="","",IF(ISNUMBER('Dvd Calendar'!$K$2174)=FALSE,"",'Dvd Calendar'!$K$2174))</f>
        <v/>
      </c>
      <c r="AX215" s="106">
        <f>IF(FZ215="","",IF(ISNUMBER('Dvd Calendar'!$L$2174)=FALSE,"",'Dvd Calendar'!$L$2174))</f>
        <v/>
      </c>
      <c r="AY215" s="106">
        <f>IF(GA215="","",IF(ISNUMBER('Dvd Calendar'!$M$2174)=FALSE,"",'Dvd Calendar'!$M$2174))</f>
        <v/>
      </c>
      <c r="AZ215" s="106">
        <f>IF(GB215="","",IF(ISNUMBER('Dvd Calendar'!$N$2174)=FALSE,"",'Dvd Calendar'!$N$2174))</f>
        <v/>
      </c>
      <c r="BA215" s="106">
        <f>IF(GC215="","",IF(ISNUMBER('Dvd Calendar'!$O$2174)=FALSE,"",'Dvd Calendar'!$O$2174))</f>
        <v/>
      </c>
      <c r="BB215" s="106">
        <f>IF(GD215="","",IF(ISNUMBER('Dvd Calendar'!$P$2174)=FALSE,"",'Dvd Calendar'!$P$2174))</f>
        <v/>
      </c>
      <c r="BC215" s="106">
        <f>IF(GE215="","",IF(ISNUMBER('Dvd Calendar'!$Q$2174)=FALSE,"",'Dvd Calendar'!$Q$2174))</f>
        <v/>
      </c>
      <c r="BD215" s="106">
        <f>IF(GF215="","",IF(ISNUMBER('Dvd Calendar'!$R$2174)=FALSE,"",'Dvd Calendar'!$R$2174))</f>
        <v/>
      </c>
      <c r="BE215" s="106">
        <f>IF(GG215="","",IF(ISNUMBER('Dvd Calendar'!$S$2174)=FALSE,"",'Dvd Calendar'!$S$2174))</f>
        <v/>
      </c>
      <c r="BF215" s="106">
        <f>IF(GH215="","",IF(ISNUMBER('Dvd Calendar'!$T$2174)=FALSE,"",'Dvd Calendar'!$T$2174))</f>
        <v/>
      </c>
      <c r="BG215" s="106">
        <f>IF(GI215="","",IF(ISNUMBER('Dvd Calendar'!$U$2174)=FALSE,"",'Dvd Calendar'!$U$2174))</f>
        <v/>
      </c>
      <c r="BH215" s="106">
        <f>IF(GJ215="","",IF(ISNUMBER('Dvd Calendar'!$V$2174)=FALSE,"",'Dvd Calendar'!$V$2174))</f>
        <v/>
      </c>
      <c r="BI215" s="106">
        <f>IF(GK215="","",IF(ISNUMBER('Dvd Calendar'!$W$2174)=FALSE,"",'Dvd Calendar'!$W$2174))</f>
        <v/>
      </c>
      <c r="BJ215" s="106">
        <f>IF(GL215="","",IF(ISNUMBER('Dvd Calendar'!$X$2174)=FALSE,"",'Dvd Calendar'!$X$2174))</f>
        <v/>
      </c>
      <c r="BK215" s="106">
        <f>IF(GM215="","",IF(ISNUMBER('Dvd Calendar'!$Y$2174)=FALSE,"",'Dvd Calendar'!$Y$2174))</f>
        <v/>
      </c>
      <c r="BL215" s="106">
        <f>IF(GN215="","",IF(ISNUMBER('Dvd Calendar'!$Z$2174)=FALSE,"",'Dvd Calendar'!$Z$2174))</f>
        <v/>
      </c>
      <c r="BM215" s="106">
        <f>IF(GO215="","",IF(ISNUMBER('Dvd Calendar'!$AA$2174)=FALSE,"",'Dvd Calendar'!$AA$2174))</f>
        <v/>
      </c>
      <c r="BN215" s="106">
        <f>IF(GP215="","",IF(ISNUMBER('Dvd Calendar'!$AB$2174)=FALSE,"",'Dvd Calendar'!$AB$2174))</f>
        <v/>
      </c>
      <c r="BO215" s="106">
        <f>IF(GQ215="","",IF(ISNUMBER('Dvd Calendar'!$AC$2174)=FALSE,"",'Dvd Calendar'!$AC$2174))</f>
        <v/>
      </c>
      <c r="BQ215" s="106">
        <f>IF(C215="","",IFERROR(C215*HSCEI!$B$62*HSCEI!$G$62/HSCEI!$B$3,""))</f>
        <v/>
      </c>
      <c r="BR215" s="106">
        <f>IF(D215="","",IFERROR(D215*HSCEI!$B$62*HSCEI!$G$62/HSCEI!$B$3,""))</f>
        <v/>
      </c>
      <c r="BS215" s="106">
        <f>IF(E215="","",IFERROR(E215*HSCEI!$B$62*HSCEI!$G$62/HSCEI!$B$3,""))</f>
        <v/>
      </c>
      <c r="BT215" s="106">
        <f>IF(F215="","",IFERROR(F215*HSCEI!$B$62*HSCEI!$G$62/HSCEI!$B$3,""))</f>
        <v/>
      </c>
      <c r="BU215" s="106">
        <f>IF(G215="","",IFERROR(G215*HSCEI!$B$62*HSCEI!$G$62/HSCEI!$B$3,""))</f>
        <v/>
      </c>
      <c r="BV215" s="106">
        <f>IF(H215="","",IFERROR(H215*HSCEI!$B$62*HSCEI!$G$62/HSCEI!$B$3,""))</f>
        <v/>
      </c>
      <c r="BW215" s="106">
        <f>IF(I215="","",IFERROR(I215*HSCEI!$B$62*HSCEI!$G$62/HSCEI!$B$3,""))</f>
        <v/>
      </c>
      <c r="BX215" s="106">
        <f>IF(J215="","",IFERROR(J215*HSCEI!$B$62*HSCEI!$G$62/HSCEI!$B$3,""))</f>
        <v/>
      </c>
      <c r="BY215" s="106">
        <f>IF(K215="","",IFERROR(K215*HSCEI!$B$62*HSCEI!$G$62/HSCEI!$B$3,""))</f>
        <v/>
      </c>
      <c r="BZ215" s="106">
        <f>IF(L215="","",IFERROR(L215*HSCEI!$B$62*HSCEI!$G$62/HSCEI!$B$3,""))</f>
        <v/>
      </c>
      <c r="CA215" s="106">
        <f>IF(M215="","",IFERROR(M215*HSCEI!$B$62*HSCEI!$G$62/HSCEI!$B$3,""))</f>
        <v/>
      </c>
      <c r="CB215" s="106">
        <f>IF(N215="","",IFERROR(N215*HSCEI!$B$62*HSCEI!$G$62/HSCEI!$B$3,""))</f>
        <v/>
      </c>
      <c r="CC215" s="106">
        <f>IF(O215="","",IFERROR(O215*HSCEI!$B$62*HSCEI!$G$62/HSCEI!$B$3,""))</f>
        <v/>
      </c>
      <c r="CD215" s="106">
        <f>IF(P215="","",IFERROR(P215*HSCEI!$B$62*HSCEI!$G$62/HSCEI!$B$3,""))</f>
        <v/>
      </c>
      <c r="CE215" s="106">
        <f>IF(Q215="","",IFERROR(Q215*HSCEI!$B$62*HSCEI!$G$62/HSCEI!$B$3,""))</f>
        <v/>
      </c>
      <c r="CF215" s="106">
        <f>IF(R215="","",IFERROR(R215*HSCEI!$B$62*HSCEI!$G$62/HSCEI!$B$3,""))</f>
        <v/>
      </c>
      <c r="CG215" s="106">
        <f>IF(S215="","",IFERROR(S215*HSCEI!$B$62*HSCEI!$G$62/HSCEI!$B$3,""))</f>
        <v/>
      </c>
      <c r="CH215" s="106">
        <f>IF(T215="","",IFERROR(T215*HSCEI!$B$62*HSCEI!$G$62/HSCEI!$B$3,""))</f>
        <v/>
      </c>
      <c r="CI215" s="106">
        <f>IF(U215="","",IFERROR(U215*HSCEI!$B$62*HSCEI!$G$62/HSCEI!$B$3,""))</f>
        <v/>
      </c>
      <c r="CJ215" s="106">
        <f>IF(V215="","",IFERROR(V215*HSCEI!$B$62*HSCEI!$G$62/HSCEI!$B$3,""))</f>
        <v/>
      </c>
      <c r="CK215" s="106">
        <f>IF(W215="","",IFERROR(W215*HSCEI!$B$62*HSCEI!$G$62/HSCEI!$B$3,""))</f>
        <v/>
      </c>
      <c r="CL215" s="106">
        <f>IF(X215="","",IFERROR(X215*HSCEI!$B$62*HSCEI!$G$62/HSCEI!$B$3,""))</f>
        <v/>
      </c>
      <c r="CM215" s="106">
        <f>IF(Y215="","",IFERROR(Y215*HSCEI!$B$62*HSCEI!$G$62/HSCEI!$B$3,""))</f>
        <v/>
      </c>
      <c r="CN215" s="106">
        <f>IF(Z215="","",IFERROR(Z215*HSCEI!$B$62*HSCEI!$G$62/HSCEI!$B$3,""))</f>
        <v/>
      </c>
      <c r="CO215" s="106">
        <f>IF(AA215="","",IFERROR(AA215*HSCEI!$B$62*HSCEI!$G$62/HSCEI!$B$3,""))</f>
        <v/>
      </c>
      <c r="CP215" s="106">
        <f>IF(AB215="","",IFERROR(AB215*HSCEI!$B$62*HSCEI!$G$62/HSCEI!$B$3,""))</f>
        <v/>
      </c>
      <c r="CQ215" s="106">
        <f>IF(AC215="","",IFERROR(AC215*HSCEI!$B$62*HSCEI!$G$62/HSCEI!$B$3,""))</f>
        <v/>
      </c>
      <c r="CR215" s="106">
        <f>IF(AD215="","",IFERROR(AD215*HSCEI!$B$62*HSCEI!$G$62/HSCEI!$B$3,""))</f>
        <v/>
      </c>
      <c r="CS215" s="106">
        <f>IF(AE215="","",IFERROR(AE215*HSCEI!$B$62*HSCEI!$G$62/HSCEI!$B$3,""))</f>
        <v/>
      </c>
      <c r="CT215" s="106">
        <f>IF(AF215="","",IFERROR(AF215*HSCEI!$B$62*HSCEI!$G$62/HSCEI!$B$3,""))</f>
        <v/>
      </c>
      <c r="CU215" s="106">
        <f>IF(AG215="","",IFERROR(AG215*HSCEI!$B$62*HSCEI!$G$62/HSCEI!$B$3,""))</f>
        <v/>
      </c>
      <c r="CV215" s="106">
        <f>IF(AH215="","",IFERROR(AH215*HSCEI!$B$62*HSCEI!$G$62/HSCEI!$B$3,""))</f>
        <v/>
      </c>
      <c r="CW215" s="106">
        <f>IF(AI215="","",IFERROR(AI215*HSCEI!$B$62*HSCEI!$G$62/HSCEI!$B$3,""))</f>
        <v/>
      </c>
      <c r="CX215" s="106">
        <f>IF(AJ215="","",IFERROR(AJ215*HSCEI!$B$62*HSCEI!$G$62/HSCEI!$B$3,""))</f>
        <v/>
      </c>
      <c r="CY215" s="106">
        <f>IF(AK215="","",IFERROR(AK215*HSCEI!$B$62*HSCEI!$G$62/HSCEI!$B$3,""))</f>
        <v/>
      </c>
      <c r="CZ215" s="106">
        <f>IF(AL215="","",IFERROR(AL215*HSCEI!$B$62*HSCEI!$G$62/HSCEI!$B$3,""))</f>
        <v/>
      </c>
      <c r="DA215" s="106">
        <f>IF(AM215="","",IFERROR(AM215*HSCEI!$B$62*HSCEI!$G$62/HSCEI!$B$3,""))</f>
        <v/>
      </c>
      <c r="DB215" s="106">
        <f>IF(AN215="","",IFERROR(AN215*HSCEI!$B$62*HSCEI!$G$62/HSCEI!$B$3,""))</f>
        <v/>
      </c>
      <c r="DC215" s="106">
        <f>IF(AO215="","",IFERROR(AO215*HSCEI!$B$62*HSCEI!$G$62/HSCEI!$B$3,""))</f>
        <v/>
      </c>
      <c r="DD215" s="106">
        <f>IF(AP215="","",IFERROR(AP215*HSCEI!$B$62*HSCEI!$G$62/HSCEI!$B$3,""))</f>
        <v/>
      </c>
      <c r="DE215" s="106">
        <f>IF(AQ215="","",IFERROR(AQ215*HSCEI!$B$62*HSCEI!$G$62/HSCEI!$B$3,""))</f>
        <v/>
      </c>
      <c r="DF215" s="106">
        <f>IF(AR215="","",IFERROR(AR215*HSCEI!$B$62*HSCEI!$G$62/HSCEI!$B$3,""))</f>
        <v/>
      </c>
      <c r="DG215" s="106">
        <f>IF(AS215="","",IFERROR(AS215*HSCEI!$B$62*HSCEI!$G$62/HSCEI!$B$3,""))</f>
        <v/>
      </c>
      <c r="DH215" s="106">
        <f>IF(AT215="","",IFERROR(AT215*HSCEI!$B$62*HSCEI!$G$62/HSCEI!$B$3,""))</f>
        <v/>
      </c>
      <c r="DI215" s="106">
        <f>IF(AU215="","",IFERROR(AU215*HSCEI!$B$62*HSCEI!$G$62/HSCEI!$B$3,""))</f>
        <v/>
      </c>
      <c r="DJ215" s="106">
        <f>IF(AV215="","",IFERROR(AV215*HSCEI!$B$62*HSCEI!$G$62/HSCEI!$B$3,""))</f>
        <v/>
      </c>
      <c r="DK215" s="106">
        <f>IF(AW215="","",IFERROR(AW215*HSCEI!$B$62*HSCEI!$G$62/HSCEI!$B$3,""))</f>
        <v/>
      </c>
      <c r="DL215" s="106">
        <f>IF(AX215="","",IFERROR(AX215*HSCEI!$B$62*HSCEI!$G$62/HSCEI!$B$3,""))</f>
        <v/>
      </c>
      <c r="DM215" s="106">
        <f>IF(AY215="","",IFERROR(AY215*HSCEI!$B$62*HSCEI!$G$62/HSCEI!$B$3,""))</f>
        <v/>
      </c>
      <c r="DN215" s="106">
        <f>IF(AZ215="","",IFERROR(AZ215*HSCEI!$B$62*HSCEI!$G$62/HSCEI!$B$3,""))</f>
        <v/>
      </c>
      <c r="DO215" s="106">
        <f>IF(BA215="","",IFERROR(BA215*HSCEI!$B$62*HSCEI!$G$62/HSCEI!$B$3,""))</f>
        <v/>
      </c>
      <c r="DP215" s="106">
        <f>IF(BB215="","",IFERROR(BB215*HSCEI!$B$62*HSCEI!$G$62/HSCEI!$B$3,""))</f>
        <v/>
      </c>
      <c r="DQ215" s="106">
        <f>IF(BC215="","",IFERROR(BC215*HSCEI!$B$62*HSCEI!$G$62/HSCEI!$B$3,""))</f>
        <v/>
      </c>
      <c r="DR215" s="106">
        <f>IF(BD215="","",IFERROR(BD215*HSCEI!$B$62*HSCEI!$G$62/HSCEI!$B$3,""))</f>
        <v/>
      </c>
      <c r="DS215" s="106">
        <f>IF(BE215="","",IFERROR(BE215*HSCEI!$B$62*HSCEI!$G$62/HSCEI!$B$3,""))</f>
        <v/>
      </c>
      <c r="DT215" s="106">
        <f>IF(BF215="","",IFERROR(BF215*HSCEI!$B$62*HSCEI!$G$62/HSCEI!$B$3,""))</f>
        <v/>
      </c>
      <c r="DU215" s="106">
        <f>IF(BG215="","",IFERROR(BG215*HSCEI!$B$62*HSCEI!$G$62/HSCEI!$B$3,""))</f>
        <v/>
      </c>
      <c r="DV215" s="106">
        <f>IF(BH215="","",IFERROR(BH215*HSCEI!$B$62*HSCEI!$G$62/HSCEI!$B$3,""))</f>
        <v/>
      </c>
      <c r="DW215" s="106">
        <f>IF(BI215="","",IFERROR(BI215*HSCEI!$B$62*HSCEI!$G$62/HSCEI!$B$3,""))</f>
        <v/>
      </c>
      <c r="DX215" s="106">
        <f>IF(BJ215="","",IFERROR(BJ215*HSCEI!$B$62*HSCEI!$G$62/HSCEI!$B$3,""))</f>
        <v/>
      </c>
      <c r="DY215" s="106">
        <f>IF(BK215="","",IFERROR(BK215*HSCEI!$B$62*HSCEI!$G$62/HSCEI!$B$3,""))</f>
        <v/>
      </c>
      <c r="DZ215" s="106">
        <f>IF(BL215="","",IFERROR(BL215*HSCEI!$B$62*HSCEI!$G$62/HSCEI!$B$3,""))</f>
        <v/>
      </c>
      <c r="EA215" s="106">
        <f>IF(BM215="","",IFERROR(BM215*HSCEI!$B$62*HSCEI!$G$62/HSCEI!$B$3,""))</f>
        <v/>
      </c>
      <c r="EB215" s="106">
        <f>IF(BN215="","",IFERROR(BN215*HSCEI!$B$62*HSCEI!$G$62/HSCEI!$B$3,""))</f>
        <v/>
      </c>
      <c r="EC215" s="106">
        <f>IF(BO215="","",IFERROR(BO215*HSCEI!$B$62*HSCEI!$G$62/HSCEI!$B$3,""))</f>
        <v/>
      </c>
      <c r="EE215" s="35">
        <f>IF(N('Dvd Calendar'!$E$2166)=0,"",IF(('Dvd Calendar'!$E$2166&gt;=GRID_FROM)*('Dvd Calendar'!$E$2166&lt;=GRID_TO)*('Dvd Calendar'!$E$2166&lt;=VAL_DATE)=0,"",'Dvd Calendar'!$E$2166*1000000000+ISNUMBER('Dvd Calendar'!$E$2169)*100000000+('Dvd Calendar'!$E$2171=SPECIAL_LBL)*10000000+0*1000000+56*1000+1))</f>
        <v/>
      </c>
      <c r="EF215" s="35">
        <f>IF(N('Dvd Calendar'!$F$2166)=0,"",IF(('Dvd Calendar'!$F$2166&gt;=GRID_FROM)*('Dvd Calendar'!$F$2166&lt;=GRID_TO)*('Dvd Calendar'!$F$2166&lt;=VAL_DATE)=0,"",'Dvd Calendar'!$F$2166*1000000000+ISNUMBER('Dvd Calendar'!$F$2169)*100000000+('Dvd Calendar'!$F$2171=SPECIAL_LBL)*10000000+0*1000000+56*1000+2))</f>
        <v/>
      </c>
      <c r="EG215" s="35">
        <f>IF(N('Dvd Calendar'!$G$2166)=0,"",IF(('Dvd Calendar'!$G$2166&gt;=GRID_FROM)*('Dvd Calendar'!$G$2166&lt;=GRID_TO)*('Dvd Calendar'!$G$2166&lt;=VAL_DATE)=0,"",'Dvd Calendar'!$G$2166*1000000000+ISNUMBER('Dvd Calendar'!$G$2169)*100000000+('Dvd Calendar'!$G$2171=SPECIAL_LBL)*10000000+0*1000000+56*1000+3))</f>
        <v/>
      </c>
      <c r="EH215" s="35">
        <f>IF(N('Dvd Calendar'!$H$2166)=0,"",IF(('Dvd Calendar'!$H$2166&gt;=GRID_FROM)*('Dvd Calendar'!$H$2166&lt;=GRID_TO)*('Dvd Calendar'!$H$2166&lt;=VAL_DATE)=0,"",'Dvd Calendar'!$H$2166*1000000000+ISNUMBER('Dvd Calendar'!$H$2169)*100000000+('Dvd Calendar'!$H$2171=SPECIAL_LBL)*10000000+0*1000000+56*1000+4))</f>
        <v/>
      </c>
      <c r="EI215" s="35">
        <f>IF(N('Dvd Calendar'!$I$2166)=0,"",IF(('Dvd Calendar'!$I$2166&gt;=GRID_FROM)*('Dvd Calendar'!$I$2166&lt;=GRID_TO)*('Dvd Calendar'!$I$2166&lt;=VAL_DATE)=0,"",'Dvd Calendar'!$I$2166*1000000000+ISNUMBER('Dvd Calendar'!$I$2169)*100000000+('Dvd Calendar'!$I$2171=SPECIAL_LBL)*10000000+0*1000000+56*1000+5))</f>
        <v/>
      </c>
      <c r="EJ215" s="35">
        <f>IF(N('Dvd Calendar'!$J$2166)=0,"",IF(('Dvd Calendar'!$J$2166&gt;=GRID_FROM)*('Dvd Calendar'!$J$2166&lt;=GRID_TO)*('Dvd Calendar'!$J$2166&lt;=VAL_DATE)=0,"",'Dvd Calendar'!$J$2166*1000000000+ISNUMBER('Dvd Calendar'!$J$2169)*100000000+('Dvd Calendar'!$J$2171=SPECIAL_LBL)*10000000+0*1000000+56*1000+6))</f>
        <v/>
      </c>
      <c r="EK215" s="35">
        <f>IF(N('Dvd Calendar'!$K$2166)=0,"",IF(('Dvd Calendar'!$K$2166&gt;=GRID_FROM)*('Dvd Calendar'!$K$2166&lt;=GRID_TO)*('Dvd Calendar'!$K$2166&lt;=VAL_DATE)=0,"",'Dvd Calendar'!$K$2166*1000000000+ISNUMBER('Dvd Calendar'!$K$2169)*100000000+('Dvd Calendar'!$K$2171=SPECIAL_LBL)*10000000+0*1000000+56*1000+7))</f>
        <v/>
      </c>
      <c r="EL215" s="35">
        <f>IF(N('Dvd Calendar'!$L$2166)=0,"",IF(('Dvd Calendar'!$L$2166&gt;=GRID_FROM)*('Dvd Calendar'!$L$2166&lt;=GRID_TO)*('Dvd Calendar'!$L$2166&lt;=VAL_DATE)=0,"",'Dvd Calendar'!$L$2166*1000000000+ISNUMBER('Dvd Calendar'!$L$2169)*100000000+('Dvd Calendar'!$L$2171=SPECIAL_LBL)*10000000+0*1000000+56*1000+8))</f>
        <v/>
      </c>
      <c r="EM215" s="35">
        <f>IF(N('Dvd Calendar'!$M$2166)=0,"",IF(('Dvd Calendar'!$M$2166&gt;=GRID_FROM)*('Dvd Calendar'!$M$2166&lt;=GRID_TO)*('Dvd Calendar'!$M$2166&lt;=VAL_DATE)=0,"",'Dvd Calendar'!$M$2166*1000000000+ISNUMBER('Dvd Calendar'!$M$2169)*100000000+('Dvd Calendar'!$M$2171=SPECIAL_LBL)*10000000+0*1000000+56*1000+9))</f>
        <v/>
      </c>
      <c r="EN215" s="35">
        <f>IF(N('Dvd Calendar'!$N$2166)=0,"",IF(('Dvd Calendar'!$N$2166&gt;=GRID_FROM)*('Dvd Calendar'!$N$2166&lt;=GRID_TO)*('Dvd Calendar'!$N$2166&lt;=VAL_DATE)=0,"",'Dvd Calendar'!$N$2166*1000000000+ISNUMBER('Dvd Calendar'!$N$2169)*100000000+('Dvd Calendar'!$N$2171=SPECIAL_LBL)*10000000+0*1000000+56*1000+10))</f>
        <v/>
      </c>
      <c r="EO215" s="35">
        <f>IF(N('Dvd Calendar'!$O$2166)=0,"",IF(('Dvd Calendar'!$O$2166&gt;=GRID_FROM)*('Dvd Calendar'!$O$2166&lt;=GRID_TO)*('Dvd Calendar'!$O$2166&lt;=VAL_DATE)=0,"",'Dvd Calendar'!$O$2166*1000000000+ISNUMBER('Dvd Calendar'!$O$2169)*100000000+('Dvd Calendar'!$O$2171=SPECIAL_LBL)*10000000+0*1000000+56*1000+11))</f>
        <v/>
      </c>
      <c r="EP215" s="35">
        <f>IF(N('Dvd Calendar'!$P$2166)=0,"",IF(('Dvd Calendar'!$P$2166&gt;=GRID_FROM)*('Dvd Calendar'!$P$2166&lt;=GRID_TO)*('Dvd Calendar'!$P$2166&lt;=VAL_DATE)=0,"",'Dvd Calendar'!$P$2166*1000000000+ISNUMBER('Dvd Calendar'!$P$2169)*100000000+('Dvd Calendar'!$P$2171=SPECIAL_LBL)*10000000+0*1000000+56*1000+12))</f>
        <v/>
      </c>
      <c r="EQ215" s="35">
        <f>IF(N('Dvd Calendar'!$Q$2166)=0,"",IF(('Dvd Calendar'!$Q$2166&gt;=GRID_FROM)*('Dvd Calendar'!$Q$2166&lt;=GRID_TO)*('Dvd Calendar'!$Q$2166&lt;=VAL_DATE)=0,"",'Dvd Calendar'!$Q$2166*1000000000+ISNUMBER('Dvd Calendar'!$Q$2169)*100000000+('Dvd Calendar'!$Q$2171=SPECIAL_LBL)*10000000+0*1000000+56*1000+13))</f>
        <v/>
      </c>
      <c r="ER215" s="35">
        <f>IF(N('Dvd Calendar'!$R$2166)=0,"",IF(('Dvd Calendar'!$R$2166&gt;=GRID_FROM)*('Dvd Calendar'!$R$2166&lt;=GRID_TO)*('Dvd Calendar'!$R$2166&lt;=VAL_DATE)=0,"",'Dvd Calendar'!$R$2166*1000000000+ISNUMBER('Dvd Calendar'!$R$2169)*100000000+('Dvd Calendar'!$R$2171=SPECIAL_LBL)*10000000+0*1000000+56*1000+14))</f>
        <v/>
      </c>
      <c r="ES215" s="35">
        <f>IF(N('Dvd Calendar'!$S$2166)=0,"",IF(('Dvd Calendar'!$S$2166&gt;=GRID_FROM)*('Dvd Calendar'!$S$2166&lt;=GRID_TO)*('Dvd Calendar'!$S$2166&lt;=VAL_DATE)=0,"",'Dvd Calendar'!$S$2166*1000000000+ISNUMBER('Dvd Calendar'!$S$2169)*100000000+('Dvd Calendar'!$S$2171=SPECIAL_LBL)*10000000+0*1000000+56*1000+15))</f>
        <v/>
      </c>
      <c r="ET215" s="35">
        <f>IF(N('Dvd Calendar'!$T$2166)=0,"",IF(('Dvd Calendar'!$T$2166&gt;=GRID_FROM)*('Dvd Calendar'!$T$2166&lt;=GRID_TO)*('Dvd Calendar'!$T$2166&lt;=VAL_DATE)=0,"",'Dvd Calendar'!$T$2166*1000000000+ISNUMBER('Dvd Calendar'!$T$2169)*100000000+('Dvd Calendar'!$T$2171=SPECIAL_LBL)*10000000+0*1000000+56*1000+16))</f>
        <v/>
      </c>
      <c r="EU215" s="35">
        <f>IF(N('Dvd Calendar'!$U$2166)=0,"",IF(('Dvd Calendar'!$U$2166&gt;=GRID_FROM)*('Dvd Calendar'!$U$2166&lt;=GRID_TO)*('Dvd Calendar'!$U$2166&lt;=VAL_DATE)=0,"",'Dvd Calendar'!$U$2166*1000000000+ISNUMBER('Dvd Calendar'!$U$2169)*100000000+('Dvd Calendar'!$U$2171=SPECIAL_LBL)*10000000+0*1000000+56*1000+17))</f>
        <v/>
      </c>
      <c r="EV215" s="35">
        <f>IF(N('Dvd Calendar'!$V$2166)=0,"",IF(('Dvd Calendar'!$V$2166&gt;=GRID_FROM)*('Dvd Calendar'!$V$2166&lt;=GRID_TO)*('Dvd Calendar'!$V$2166&lt;=VAL_DATE)=0,"",'Dvd Calendar'!$V$2166*1000000000+ISNUMBER('Dvd Calendar'!$V$2169)*100000000+('Dvd Calendar'!$V$2171=SPECIAL_LBL)*10000000+0*1000000+56*1000+18))</f>
        <v/>
      </c>
      <c r="EW215" s="35">
        <f>IF(N('Dvd Calendar'!$W$2166)=0,"",IF(('Dvd Calendar'!$W$2166&gt;=GRID_FROM)*('Dvd Calendar'!$W$2166&lt;=GRID_TO)*('Dvd Calendar'!$W$2166&lt;=VAL_DATE)=0,"",'Dvd Calendar'!$W$2166*1000000000+ISNUMBER('Dvd Calendar'!$W$2169)*100000000+('Dvd Calendar'!$W$2171=SPECIAL_LBL)*10000000+0*1000000+56*1000+19))</f>
        <v/>
      </c>
      <c r="EX215" s="35">
        <f>IF(N('Dvd Calendar'!$X$2166)=0,"",IF(('Dvd Calendar'!$X$2166&gt;=GRID_FROM)*('Dvd Calendar'!$X$2166&lt;=GRID_TO)*('Dvd Calendar'!$X$2166&lt;=VAL_DATE)=0,"",'Dvd Calendar'!$X$2166*1000000000+ISNUMBER('Dvd Calendar'!$X$2169)*100000000+('Dvd Calendar'!$X$2171=SPECIAL_LBL)*10000000+0*1000000+56*1000+20))</f>
        <v/>
      </c>
      <c r="EY215" s="35">
        <f>IF(N('Dvd Calendar'!$Y$2166)=0,"",IF(('Dvd Calendar'!$Y$2166&gt;=GRID_FROM)*('Dvd Calendar'!$Y$2166&lt;=GRID_TO)*('Dvd Calendar'!$Y$2166&lt;=VAL_DATE)=0,"",'Dvd Calendar'!$Y$2166*1000000000+ISNUMBER('Dvd Calendar'!$Y$2169)*100000000+('Dvd Calendar'!$Y$2171=SPECIAL_LBL)*10000000+0*1000000+56*1000+21))</f>
        <v/>
      </c>
      <c r="EZ215" s="35">
        <f>IF(N('Dvd Calendar'!$Z$2166)=0,"",IF(('Dvd Calendar'!$Z$2166&gt;=GRID_FROM)*('Dvd Calendar'!$Z$2166&lt;=GRID_TO)*('Dvd Calendar'!$Z$2166&lt;=VAL_DATE)=0,"",'Dvd Calendar'!$Z$2166*1000000000+ISNUMBER('Dvd Calendar'!$Z$2169)*100000000+('Dvd Calendar'!$Z$2171=SPECIAL_LBL)*10000000+0*1000000+56*1000+22))</f>
        <v/>
      </c>
      <c r="FA215" s="35">
        <f>IF(N('Dvd Calendar'!$AA$2166)=0,"",IF(('Dvd Calendar'!$AA$2166&gt;=GRID_FROM)*('Dvd Calendar'!$AA$2166&lt;=GRID_TO)*('Dvd Calendar'!$AA$2166&lt;=VAL_DATE)=0,"",'Dvd Calendar'!$AA$2166*1000000000+ISNUMBER('Dvd Calendar'!$AA$2169)*100000000+('Dvd Calendar'!$AA$2171=SPECIAL_LBL)*10000000+0*1000000+56*1000+23))</f>
        <v/>
      </c>
      <c r="FB215" s="35">
        <f>IF(N('Dvd Calendar'!$AB$2166)=0,"",IF(('Dvd Calendar'!$AB$2166&gt;=GRID_FROM)*('Dvd Calendar'!$AB$2166&lt;=GRID_TO)*('Dvd Calendar'!$AB$2166&lt;=VAL_DATE)=0,"",'Dvd Calendar'!$AB$2166*1000000000+ISNUMBER('Dvd Calendar'!$AB$2169)*100000000+('Dvd Calendar'!$AB$2171=SPECIAL_LBL)*10000000+0*1000000+56*1000+24))</f>
        <v/>
      </c>
      <c r="FC215" s="35">
        <f>IF(N('Dvd Calendar'!$AC$2166)=0,"",IF(('Dvd Calendar'!$AC$2166&gt;=GRID_FROM)*('Dvd Calendar'!$AC$2166&lt;=GRID_TO)*('Dvd Calendar'!$AC$2166&lt;=VAL_DATE)=0,"",'Dvd Calendar'!$AC$2166*1000000000+ISNUMBER('Dvd Calendar'!$AC$2169)*100000000+('Dvd Calendar'!$AC$2171=SPECIAL_LBL)*10000000+0*1000000+56*1000+25))</f>
        <v/>
      </c>
      <c r="FD215" s="35">
        <f>IF(N('Dvd Calendar'!$AD$2166)=0,"",IF(('Dvd Calendar'!$AD$2166&gt;=GRID_FROM)*('Dvd Calendar'!$AD$2166&lt;=GRID_TO)*('Dvd Calendar'!$AD$2166&lt;=VAL_DATE)=0,"",'Dvd Calendar'!$AD$2166*1000000000+ISNUMBER('Dvd Calendar'!$AD$2169)*100000000+('Dvd Calendar'!$AD$2171=SPECIAL_LBL)*10000000+0*1000000+56*1000+26))</f>
        <v/>
      </c>
      <c r="FE215" s="35">
        <f>IF(N('Dvd Calendar'!$AE$2166)=0,"",IF(('Dvd Calendar'!$AE$2166&gt;=GRID_FROM)*('Dvd Calendar'!$AE$2166&lt;=GRID_TO)*('Dvd Calendar'!$AE$2166&lt;=VAL_DATE)=0,"",'Dvd Calendar'!$AE$2166*1000000000+ISNUMBER('Dvd Calendar'!$AE$2169)*100000000+('Dvd Calendar'!$AE$2171=SPECIAL_LBL)*10000000+0*1000000+56*1000+27))</f>
        <v/>
      </c>
      <c r="FF215" s="35">
        <f>IF(N('Dvd Calendar'!$AF$2166)=0,"",IF(('Dvd Calendar'!$AF$2166&gt;=GRID_FROM)*('Dvd Calendar'!$AF$2166&lt;=GRID_TO)*('Dvd Calendar'!$AF$2166&lt;=VAL_DATE)=0,"",'Dvd Calendar'!$AF$2166*1000000000+ISNUMBER('Dvd Calendar'!$AF$2169)*100000000+('Dvd Calendar'!$AF$2171=SPECIAL_LBL)*10000000+0*1000000+56*1000+28))</f>
        <v/>
      </c>
      <c r="FG215" s="35">
        <f>IF(N('Dvd Calendar'!$AG$2166)=0,"",IF(('Dvd Calendar'!$AG$2166&gt;=GRID_FROM)*('Dvd Calendar'!$AG$2166&lt;=GRID_TO)*('Dvd Calendar'!$AG$2166&lt;=VAL_DATE)=0,"",'Dvd Calendar'!$AG$2166*1000000000+ISNUMBER('Dvd Calendar'!$AG$2169)*100000000+('Dvd Calendar'!$AG$2171=SPECIAL_LBL)*10000000+0*1000000+56*1000+29))</f>
        <v/>
      </c>
      <c r="FH215" s="35">
        <f>IF(N('Dvd Calendar'!$AH$2166)=0,"",IF(('Dvd Calendar'!$AH$2166&gt;=GRID_FROM)*('Dvd Calendar'!$AH$2166&lt;=GRID_TO)*('Dvd Calendar'!$AH$2166&lt;=VAL_DATE)=0,"",'Dvd Calendar'!$AH$2166*1000000000+ISNUMBER('Dvd Calendar'!$AH$2169)*100000000+('Dvd Calendar'!$AH$2171=SPECIAL_LBL)*10000000+0*1000000+56*1000+30))</f>
        <v/>
      </c>
      <c r="FI215" s="35">
        <f>IF(N('Dvd Calendar'!$AI$2166)=0,"",IF(('Dvd Calendar'!$AI$2166&gt;=GRID_FROM)*('Dvd Calendar'!$AI$2166&lt;=GRID_TO)*('Dvd Calendar'!$AI$2166&lt;=VAL_DATE)=0,"",'Dvd Calendar'!$AI$2166*1000000000+ISNUMBER('Dvd Calendar'!$AI$2169)*100000000+('Dvd Calendar'!$AI$2171=SPECIAL_LBL)*10000000+0*1000000+56*1000+31))</f>
        <v/>
      </c>
      <c r="FJ215" s="35">
        <f>IF(N('Dvd Calendar'!$AJ$2166)=0,"",IF(('Dvd Calendar'!$AJ$2166&gt;=GRID_FROM)*('Dvd Calendar'!$AJ$2166&lt;=GRID_TO)*('Dvd Calendar'!$AJ$2166&lt;=VAL_DATE)=0,"",'Dvd Calendar'!$AJ$2166*1000000000+ISNUMBER('Dvd Calendar'!$AJ$2169)*100000000+('Dvd Calendar'!$AJ$2171=SPECIAL_LBL)*10000000+0*1000000+56*1000+32))</f>
        <v/>
      </c>
      <c r="FK215" s="35">
        <f>IF(N('Dvd Calendar'!$AK$2166)=0,"",IF(('Dvd Calendar'!$AK$2166&gt;=GRID_FROM)*('Dvd Calendar'!$AK$2166&lt;=GRID_TO)*('Dvd Calendar'!$AK$2166&lt;=VAL_DATE)=0,"",'Dvd Calendar'!$AK$2166*1000000000+ISNUMBER('Dvd Calendar'!$AK$2169)*100000000+('Dvd Calendar'!$AK$2171=SPECIAL_LBL)*10000000+0*1000000+56*1000+33))</f>
        <v/>
      </c>
      <c r="FL215" s="35">
        <f>IF(N('Dvd Calendar'!$AL$2166)=0,"",IF(('Dvd Calendar'!$AL$2166&gt;=GRID_FROM)*('Dvd Calendar'!$AL$2166&lt;=GRID_TO)*('Dvd Calendar'!$AL$2166&lt;=VAL_DATE)=0,"",'Dvd Calendar'!$AL$2166*1000000000+ISNUMBER('Dvd Calendar'!$AL$2169)*100000000+('Dvd Calendar'!$AL$2171=SPECIAL_LBL)*10000000+0*1000000+56*1000+34))</f>
        <v/>
      </c>
      <c r="FM215" s="35">
        <f>IF(N('Dvd Calendar'!$AM$2166)=0,"",IF(('Dvd Calendar'!$AM$2166&gt;=GRID_FROM)*('Dvd Calendar'!$AM$2166&lt;=GRID_TO)*('Dvd Calendar'!$AM$2166&lt;=VAL_DATE)=0,"",'Dvd Calendar'!$AM$2166*1000000000+ISNUMBER('Dvd Calendar'!$AM$2169)*100000000+('Dvd Calendar'!$AM$2171=SPECIAL_LBL)*10000000+0*1000000+56*1000+35))</f>
        <v/>
      </c>
      <c r="FN215" s="35">
        <f>IF(N('Dvd Calendar'!$AN$2166)=0,"",IF(('Dvd Calendar'!$AN$2166&gt;=GRID_FROM)*('Dvd Calendar'!$AN$2166&lt;=GRID_TO)*('Dvd Calendar'!$AN$2166&lt;=VAL_DATE)=0,"",'Dvd Calendar'!$AN$2166*1000000000+ISNUMBER('Dvd Calendar'!$AN$2169)*100000000+('Dvd Calendar'!$AN$2171=SPECIAL_LBL)*10000000+0*1000000+56*1000+36))</f>
        <v/>
      </c>
      <c r="FO215" s="35">
        <f>IF(N('Dvd Calendar'!$AO$2166)=0,"",IF(('Dvd Calendar'!$AO$2166&gt;=GRID_FROM)*('Dvd Calendar'!$AO$2166&lt;=GRID_TO)*('Dvd Calendar'!$AO$2166&lt;=VAL_DATE)=0,"",'Dvd Calendar'!$AO$2166*1000000000+ISNUMBER('Dvd Calendar'!$AO$2169)*100000000+('Dvd Calendar'!$AO$2171=SPECIAL_LBL)*10000000+0*1000000+56*1000+37))</f>
        <v/>
      </c>
      <c r="FP215" s="35">
        <f>IF(N('Dvd Calendar'!$AP$2166)=0,"",IF(('Dvd Calendar'!$AP$2166&gt;=GRID_FROM)*('Dvd Calendar'!$AP$2166&lt;=GRID_TO)*('Dvd Calendar'!$AP$2166&lt;=VAL_DATE)=0,"",'Dvd Calendar'!$AP$2166*1000000000+ISNUMBER('Dvd Calendar'!$AP$2169)*100000000+('Dvd Calendar'!$AP$2171=SPECIAL_LBL)*10000000+0*1000000+56*1000+38))</f>
        <v/>
      </c>
      <c r="FQ215" s="35">
        <f>IF(N('Dvd Calendar'!$AQ$2166)=0,"",IF(('Dvd Calendar'!$AQ$2166&gt;=GRID_FROM)*('Dvd Calendar'!$AQ$2166&lt;=GRID_TO)*('Dvd Calendar'!$AQ$2166&lt;=VAL_DATE)=0,"",'Dvd Calendar'!$AQ$2166*1000000000+ISNUMBER('Dvd Calendar'!$AQ$2169)*100000000+('Dvd Calendar'!$AQ$2171=SPECIAL_LBL)*10000000+0*1000000+56*1000+39))</f>
        <v/>
      </c>
      <c r="FR215" s="35">
        <f>IF(N('Dvd Calendar'!$AR$2166)=0,"",IF(('Dvd Calendar'!$AR$2166&gt;=GRID_FROM)*('Dvd Calendar'!$AR$2166&lt;=GRID_TO)*('Dvd Calendar'!$AR$2166&lt;=VAL_DATE)=0,"",'Dvd Calendar'!$AR$2166*1000000000+ISNUMBER('Dvd Calendar'!$AR$2169)*100000000+('Dvd Calendar'!$AR$2171=SPECIAL_LBL)*10000000+0*1000000+56*1000+40))</f>
        <v/>
      </c>
      <c r="FS215" s="35">
        <f>IF(N('Dvd Calendar'!$E$2173)=0,"",IF(('Dvd Calendar'!$E$2173&gt;=GRID_FROM)*('Dvd Calendar'!$E$2173&lt;=GRID_TO)*('Dvd Calendar'!$E$2173&gt;VAL_DATE)=0,"",'Dvd Calendar'!$E$2173*1000000000+ISNUMBER('Dvd Calendar'!$E$2174)*100000000+0*10000000+(N('Dvd Calendar'!$E$2172)&gt;0)*(N('Dvd Calendar'!$E$2172)&lt;=VAL_SERIAL)*1000000+56*1000+41))</f>
        <v/>
      </c>
      <c r="FT215" s="35">
        <f>IF(N('Dvd Calendar'!$F$2173)=0,"",IF(('Dvd Calendar'!$F$2173&gt;=GRID_FROM)*('Dvd Calendar'!$F$2173&lt;=GRID_TO)*('Dvd Calendar'!$F$2173&gt;VAL_DATE)=0,"",'Dvd Calendar'!$F$2173*1000000000+ISNUMBER('Dvd Calendar'!$F$2174)*100000000+0*10000000+(N('Dvd Calendar'!$F$2172)&gt;0)*(N('Dvd Calendar'!$F$2172)&lt;=VAL_SERIAL)*1000000+56*1000+42))</f>
        <v/>
      </c>
      <c r="FU215" s="35">
        <f>IF(N('Dvd Calendar'!$G$2173)=0,"",IF(('Dvd Calendar'!$G$2173&gt;=GRID_FROM)*('Dvd Calendar'!$G$2173&lt;=GRID_TO)*('Dvd Calendar'!$G$2173&gt;VAL_DATE)=0,"",'Dvd Calendar'!$G$2173*1000000000+ISNUMBER('Dvd Calendar'!$G$2174)*100000000+0*10000000+(N('Dvd Calendar'!$G$2172)&gt;0)*(N('Dvd Calendar'!$G$2172)&lt;=VAL_SERIAL)*1000000+56*1000+43))</f>
        <v/>
      </c>
      <c r="FV215" s="35">
        <f>IF(N('Dvd Calendar'!$H$2173)=0,"",IF(('Dvd Calendar'!$H$2173&gt;=GRID_FROM)*('Dvd Calendar'!$H$2173&lt;=GRID_TO)*('Dvd Calendar'!$H$2173&gt;VAL_DATE)=0,"",'Dvd Calendar'!$H$2173*1000000000+ISNUMBER('Dvd Calendar'!$H$2174)*100000000+0*10000000+(N('Dvd Calendar'!$H$2172)&gt;0)*(N('Dvd Calendar'!$H$2172)&lt;=VAL_SERIAL)*1000000+56*1000+44))</f>
        <v/>
      </c>
      <c r="FW215" s="35">
        <f>IF(N('Dvd Calendar'!$I$2173)=0,"",IF(('Dvd Calendar'!$I$2173&gt;=GRID_FROM)*('Dvd Calendar'!$I$2173&lt;=GRID_TO)*('Dvd Calendar'!$I$2173&gt;VAL_DATE)=0,"",'Dvd Calendar'!$I$2173*1000000000+ISNUMBER('Dvd Calendar'!$I$2174)*100000000+0*10000000+(N('Dvd Calendar'!$I$2172)&gt;0)*(N('Dvd Calendar'!$I$2172)&lt;=VAL_SERIAL)*1000000+56*1000+45))</f>
        <v/>
      </c>
      <c r="FX215" s="35">
        <f>IF(N('Dvd Calendar'!$J$2173)=0,"",IF(('Dvd Calendar'!$J$2173&gt;=GRID_FROM)*('Dvd Calendar'!$J$2173&lt;=GRID_TO)*('Dvd Calendar'!$J$2173&gt;VAL_DATE)=0,"",'Dvd Calendar'!$J$2173*1000000000+ISNUMBER('Dvd Calendar'!$J$2174)*100000000+0*10000000+(N('Dvd Calendar'!$J$2172)&gt;0)*(N('Dvd Calendar'!$J$2172)&lt;=VAL_SERIAL)*1000000+56*1000+46))</f>
        <v/>
      </c>
      <c r="FY215" s="35">
        <f>IF(N('Dvd Calendar'!$K$2173)=0,"",IF(('Dvd Calendar'!$K$2173&gt;=GRID_FROM)*('Dvd Calendar'!$K$2173&lt;=GRID_TO)*('Dvd Calendar'!$K$2173&gt;VAL_DATE)=0,"",'Dvd Calendar'!$K$2173*1000000000+ISNUMBER('Dvd Calendar'!$K$2174)*100000000+0*10000000+(N('Dvd Calendar'!$K$2172)&gt;0)*(N('Dvd Calendar'!$K$2172)&lt;=VAL_SERIAL)*1000000+56*1000+47))</f>
        <v/>
      </c>
      <c r="FZ215" s="35">
        <f>IF(N('Dvd Calendar'!$L$2173)=0,"",IF(('Dvd Calendar'!$L$2173&gt;=GRID_FROM)*('Dvd Calendar'!$L$2173&lt;=GRID_TO)*('Dvd Calendar'!$L$2173&gt;VAL_DATE)=0,"",'Dvd Calendar'!$L$2173*1000000000+ISNUMBER('Dvd Calendar'!$L$2174)*100000000+0*10000000+(N('Dvd Calendar'!$L$2172)&gt;0)*(N('Dvd Calendar'!$L$2172)&lt;=VAL_SERIAL)*1000000+56*1000+48))</f>
        <v/>
      </c>
      <c r="GA215" s="35">
        <f>IF(N('Dvd Calendar'!$M$2173)=0,"",IF(('Dvd Calendar'!$M$2173&gt;=GRID_FROM)*('Dvd Calendar'!$M$2173&lt;=GRID_TO)*('Dvd Calendar'!$M$2173&gt;VAL_DATE)=0,"",'Dvd Calendar'!$M$2173*1000000000+ISNUMBER('Dvd Calendar'!$M$2174)*100000000+0*10000000+(N('Dvd Calendar'!$M$2172)&gt;0)*(N('Dvd Calendar'!$M$2172)&lt;=VAL_SERIAL)*1000000+56*1000+49))</f>
        <v/>
      </c>
      <c r="GB215" s="35">
        <f>IF(N('Dvd Calendar'!$N$2173)=0,"",IF(('Dvd Calendar'!$N$2173&gt;=GRID_FROM)*('Dvd Calendar'!$N$2173&lt;=GRID_TO)*('Dvd Calendar'!$N$2173&gt;VAL_DATE)=0,"",'Dvd Calendar'!$N$2173*1000000000+ISNUMBER('Dvd Calendar'!$N$2174)*100000000+0*10000000+(N('Dvd Calendar'!$N$2172)&gt;0)*(N('Dvd Calendar'!$N$2172)&lt;=VAL_SERIAL)*1000000+56*1000+50))</f>
        <v/>
      </c>
      <c r="GC215" s="35">
        <f>IF(N('Dvd Calendar'!$O$2173)=0,"",IF(('Dvd Calendar'!$O$2173&gt;=GRID_FROM)*('Dvd Calendar'!$O$2173&lt;=GRID_TO)*('Dvd Calendar'!$O$2173&gt;VAL_DATE)=0,"",'Dvd Calendar'!$O$2173*1000000000+ISNUMBER('Dvd Calendar'!$O$2174)*100000000+0*10000000+(N('Dvd Calendar'!$O$2172)&gt;0)*(N('Dvd Calendar'!$O$2172)&lt;=VAL_SERIAL)*1000000+56*1000+51))</f>
        <v/>
      </c>
      <c r="GD215" s="35">
        <f>IF(N('Dvd Calendar'!$P$2173)=0,"",IF(('Dvd Calendar'!$P$2173&gt;=GRID_FROM)*('Dvd Calendar'!$P$2173&lt;=GRID_TO)*('Dvd Calendar'!$P$2173&gt;VAL_DATE)=0,"",'Dvd Calendar'!$P$2173*1000000000+ISNUMBER('Dvd Calendar'!$P$2174)*100000000+0*10000000+(N('Dvd Calendar'!$P$2172)&gt;0)*(N('Dvd Calendar'!$P$2172)&lt;=VAL_SERIAL)*1000000+56*1000+52))</f>
        <v/>
      </c>
      <c r="GE215" s="35">
        <f>IF(N('Dvd Calendar'!$Q$2173)=0,"",IF(('Dvd Calendar'!$Q$2173&gt;=GRID_FROM)*('Dvd Calendar'!$Q$2173&lt;=GRID_TO)*('Dvd Calendar'!$Q$2173&gt;VAL_DATE)=0,"",'Dvd Calendar'!$Q$2173*1000000000+ISNUMBER('Dvd Calendar'!$Q$2174)*100000000+0*10000000+(N('Dvd Calendar'!$Q$2172)&gt;0)*(N('Dvd Calendar'!$Q$2172)&lt;=VAL_SERIAL)*1000000+56*1000+53))</f>
        <v/>
      </c>
      <c r="GF215" s="35">
        <f>IF(N('Dvd Calendar'!$R$2173)=0,"",IF(('Dvd Calendar'!$R$2173&gt;=GRID_FROM)*('Dvd Calendar'!$R$2173&lt;=GRID_TO)*('Dvd Calendar'!$R$2173&gt;VAL_DATE)=0,"",'Dvd Calendar'!$R$2173*1000000000+ISNUMBER('Dvd Calendar'!$R$2174)*100000000+0*10000000+(N('Dvd Calendar'!$R$2172)&gt;0)*(N('Dvd Calendar'!$R$2172)&lt;=VAL_SERIAL)*1000000+56*1000+54))</f>
        <v/>
      </c>
      <c r="GG215" s="35">
        <f>IF(N('Dvd Calendar'!$S$2173)=0,"",IF(('Dvd Calendar'!$S$2173&gt;=GRID_FROM)*('Dvd Calendar'!$S$2173&lt;=GRID_TO)*('Dvd Calendar'!$S$2173&gt;VAL_DATE)=0,"",'Dvd Calendar'!$S$2173*1000000000+ISNUMBER('Dvd Calendar'!$S$2174)*100000000+0*10000000+(N('Dvd Calendar'!$S$2172)&gt;0)*(N('Dvd Calendar'!$S$2172)&lt;=VAL_SERIAL)*1000000+56*1000+55))</f>
        <v/>
      </c>
      <c r="GH215" s="35">
        <f>IF(N('Dvd Calendar'!$T$2173)=0,"",IF(('Dvd Calendar'!$T$2173&gt;=GRID_FROM)*('Dvd Calendar'!$T$2173&lt;=GRID_TO)*('Dvd Calendar'!$T$2173&gt;VAL_DATE)=0,"",'Dvd Calendar'!$T$2173*1000000000+ISNUMBER('Dvd Calendar'!$T$2174)*100000000+0*10000000+(N('Dvd Calendar'!$T$2172)&gt;0)*(N('Dvd Calendar'!$T$2172)&lt;=VAL_SERIAL)*1000000+56*1000+56))</f>
        <v/>
      </c>
      <c r="GI215" s="35">
        <f>IF(N('Dvd Calendar'!$U$2173)=0,"",IF(('Dvd Calendar'!$U$2173&gt;=GRID_FROM)*('Dvd Calendar'!$U$2173&lt;=GRID_TO)*('Dvd Calendar'!$U$2173&gt;VAL_DATE)=0,"",'Dvd Calendar'!$U$2173*1000000000+ISNUMBER('Dvd Calendar'!$U$2174)*100000000+0*10000000+(N('Dvd Calendar'!$U$2172)&gt;0)*(N('Dvd Calendar'!$U$2172)&lt;=VAL_SERIAL)*1000000+56*1000+57))</f>
        <v/>
      </c>
      <c r="GJ215" s="35">
        <f>IF(N('Dvd Calendar'!$V$2173)=0,"",IF(('Dvd Calendar'!$V$2173&gt;=GRID_FROM)*('Dvd Calendar'!$V$2173&lt;=GRID_TO)*('Dvd Calendar'!$V$2173&gt;VAL_DATE)=0,"",'Dvd Calendar'!$V$2173*1000000000+ISNUMBER('Dvd Calendar'!$V$2174)*100000000+0*10000000+(N('Dvd Calendar'!$V$2172)&gt;0)*(N('Dvd Calendar'!$V$2172)&lt;=VAL_SERIAL)*1000000+56*1000+58))</f>
        <v/>
      </c>
      <c r="GK215" s="35">
        <f>IF(N('Dvd Calendar'!$W$2173)=0,"",IF(('Dvd Calendar'!$W$2173&gt;=GRID_FROM)*('Dvd Calendar'!$W$2173&lt;=GRID_TO)*('Dvd Calendar'!$W$2173&gt;VAL_DATE)=0,"",'Dvd Calendar'!$W$2173*1000000000+ISNUMBER('Dvd Calendar'!$W$2174)*100000000+0*10000000+(N('Dvd Calendar'!$W$2172)&gt;0)*(N('Dvd Calendar'!$W$2172)&lt;=VAL_SERIAL)*1000000+56*1000+59))</f>
        <v/>
      </c>
      <c r="GL215" s="35">
        <f>IF(N('Dvd Calendar'!$X$2173)=0,"",IF(('Dvd Calendar'!$X$2173&gt;=GRID_FROM)*('Dvd Calendar'!$X$2173&lt;=GRID_TO)*('Dvd Calendar'!$X$2173&gt;VAL_DATE)=0,"",'Dvd Calendar'!$X$2173*1000000000+ISNUMBER('Dvd Calendar'!$X$2174)*100000000+0*10000000+(N('Dvd Calendar'!$X$2172)&gt;0)*(N('Dvd Calendar'!$X$2172)&lt;=VAL_SERIAL)*1000000+56*1000+60))</f>
        <v/>
      </c>
      <c r="GM215" s="35">
        <f>IF(N('Dvd Calendar'!$Y$2173)=0,"",IF(('Dvd Calendar'!$Y$2173&gt;=GRID_FROM)*('Dvd Calendar'!$Y$2173&lt;=GRID_TO)*('Dvd Calendar'!$Y$2173&gt;VAL_DATE)=0,"",'Dvd Calendar'!$Y$2173*1000000000+ISNUMBER('Dvd Calendar'!$Y$2174)*100000000+0*10000000+(N('Dvd Calendar'!$Y$2172)&gt;0)*(N('Dvd Calendar'!$Y$2172)&lt;=VAL_SERIAL)*1000000+56*1000+61))</f>
        <v/>
      </c>
      <c r="GN215" s="35">
        <f>IF(N('Dvd Calendar'!$Z$2173)=0,"",IF(('Dvd Calendar'!$Z$2173&gt;=GRID_FROM)*('Dvd Calendar'!$Z$2173&lt;=GRID_TO)*('Dvd Calendar'!$Z$2173&gt;VAL_DATE)=0,"",'Dvd Calendar'!$Z$2173*1000000000+ISNUMBER('Dvd Calendar'!$Z$2174)*100000000+0*10000000+(N('Dvd Calendar'!$Z$2172)&gt;0)*(N('Dvd Calendar'!$Z$2172)&lt;=VAL_SERIAL)*1000000+56*1000+62))</f>
        <v/>
      </c>
      <c r="GO215" s="35">
        <f>IF(N('Dvd Calendar'!$AA$2173)=0,"",IF(('Dvd Calendar'!$AA$2173&gt;=GRID_FROM)*('Dvd Calendar'!$AA$2173&lt;=GRID_TO)*('Dvd Calendar'!$AA$2173&gt;VAL_DATE)=0,"",'Dvd Calendar'!$AA$2173*1000000000+ISNUMBER('Dvd Calendar'!$AA$2174)*100000000+0*10000000+(N('Dvd Calendar'!$AA$2172)&gt;0)*(N('Dvd Calendar'!$AA$2172)&lt;=VAL_SERIAL)*1000000+56*1000+63))</f>
        <v/>
      </c>
      <c r="GP215" s="35">
        <f>IF(N('Dvd Calendar'!$AB$2173)=0,"",IF(('Dvd Calendar'!$AB$2173&gt;=GRID_FROM)*('Dvd Calendar'!$AB$2173&lt;=GRID_TO)*('Dvd Calendar'!$AB$2173&gt;VAL_DATE)=0,"",'Dvd Calendar'!$AB$2173*1000000000+ISNUMBER('Dvd Calendar'!$AB$2174)*100000000+0*10000000+(N('Dvd Calendar'!$AB$2172)&gt;0)*(N('Dvd Calendar'!$AB$2172)&lt;=VAL_SERIAL)*1000000+56*1000+64))</f>
        <v/>
      </c>
      <c r="GQ215" s="35">
        <f>IF(N('Dvd Calendar'!$AC$2173)=0,"",IF(('Dvd Calendar'!$AC$2173&gt;=GRID_FROM)*('Dvd Calendar'!$AC$2173&lt;=GRID_TO)*('Dvd Calendar'!$AC$2173&gt;VAL_DATE)=0,"",'Dvd Calendar'!$AC$2173*1000000000+ISNUMBER('Dvd Calendar'!$AC$2174)*100000000+0*10000000+(N('Dvd Calendar'!$AC$2172)&gt;0)*(N('Dvd Calendar'!$AC$2172)&lt;=VAL_SERIAL)*1000000+56*1000+65))</f>
        <v/>
      </c>
    </row>
    <row r="216">
      <c r="B216" s="2">
        <f>IF(HSCEI!$C$63="","",HSCEI!$C$63)</f>
        <v/>
      </c>
      <c r="C216" s="106">
        <f>IF(EE216="","",IF(ISNUMBER('Dvd Calendar'!$E$2180)=FALSE,"",IF((('Dvd Calendar'!$E$2182=TYPE1)*(TYPE1&lt;&gt;"")+('Dvd Calendar'!$E$2182=TYPE2)*(TYPE2&lt;&gt;"")+('Dvd Calendar'!$E$2182=TYPE3)*(TYPE3&lt;&gt;"")+('Dvd Calendar'!$E$2182=TYPE4)*(TYPE4&lt;&gt;"")+('Dvd Calendar'!$E$2182=SPECIAL_LBL)*(INC_SPECIALS="Y"))=0,"",'Dvd Calendar'!$E$2180)))</f>
        <v/>
      </c>
      <c r="D216" s="106">
        <f>IF(EF216="","",IF(ISNUMBER('Dvd Calendar'!$F$2180)=FALSE,"",IF((('Dvd Calendar'!$F$2182=TYPE1)*(TYPE1&lt;&gt;"")+('Dvd Calendar'!$F$2182=TYPE2)*(TYPE2&lt;&gt;"")+('Dvd Calendar'!$F$2182=TYPE3)*(TYPE3&lt;&gt;"")+('Dvd Calendar'!$F$2182=TYPE4)*(TYPE4&lt;&gt;"")+('Dvd Calendar'!$F$2182=SPECIAL_LBL)*(INC_SPECIALS="Y"))=0,"",'Dvd Calendar'!$F$2180)))</f>
        <v/>
      </c>
      <c r="E216" s="106">
        <f>IF(EG216="","",IF(ISNUMBER('Dvd Calendar'!$G$2180)=FALSE,"",IF((('Dvd Calendar'!$G$2182=TYPE1)*(TYPE1&lt;&gt;"")+('Dvd Calendar'!$G$2182=TYPE2)*(TYPE2&lt;&gt;"")+('Dvd Calendar'!$G$2182=TYPE3)*(TYPE3&lt;&gt;"")+('Dvd Calendar'!$G$2182=TYPE4)*(TYPE4&lt;&gt;"")+('Dvd Calendar'!$G$2182=SPECIAL_LBL)*(INC_SPECIALS="Y"))=0,"",'Dvd Calendar'!$G$2180)))</f>
        <v/>
      </c>
      <c r="F216" s="106">
        <f>IF(EH216="","",IF(ISNUMBER('Dvd Calendar'!$H$2180)=FALSE,"",IF((('Dvd Calendar'!$H$2182=TYPE1)*(TYPE1&lt;&gt;"")+('Dvd Calendar'!$H$2182=TYPE2)*(TYPE2&lt;&gt;"")+('Dvd Calendar'!$H$2182=TYPE3)*(TYPE3&lt;&gt;"")+('Dvd Calendar'!$H$2182=TYPE4)*(TYPE4&lt;&gt;"")+('Dvd Calendar'!$H$2182=SPECIAL_LBL)*(INC_SPECIALS="Y"))=0,"",'Dvd Calendar'!$H$2180)))</f>
        <v/>
      </c>
      <c r="G216" s="106">
        <f>IF(EI216="","",IF(ISNUMBER('Dvd Calendar'!$I$2180)=FALSE,"",IF((('Dvd Calendar'!$I$2182=TYPE1)*(TYPE1&lt;&gt;"")+('Dvd Calendar'!$I$2182=TYPE2)*(TYPE2&lt;&gt;"")+('Dvd Calendar'!$I$2182=TYPE3)*(TYPE3&lt;&gt;"")+('Dvd Calendar'!$I$2182=TYPE4)*(TYPE4&lt;&gt;"")+('Dvd Calendar'!$I$2182=SPECIAL_LBL)*(INC_SPECIALS="Y"))=0,"",'Dvd Calendar'!$I$2180)))</f>
        <v/>
      </c>
      <c r="H216" s="106">
        <f>IF(EJ216="","",IF(ISNUMBER('Dvd Calendar'!$J$2180)=FALSE,"",IF((('Dvd Calendar'!$J$2182=TYPE1)*(TYPE1&lt;&gt;"")+('Dvd Calendar'!$J$2182=TYPE2)*(TYPE2&lt;&gt;"")+('Dvd Calendar'!$J$2182=TYPE3)*(TYPE3&lt;&gt;"")+('Dvd Calendar'!$J$2182=TYPE4)*(TYPE4&lt;&gt;"")+('Dvd Calendar'!$J$2182=SPECIAL_LBL)*(INC_SPECIALS="Y"))=0,"",'Dvd Calendar'!$J$2180)))</f>
        <v/>
      </c>
      <c r="I216" s="106">
        <f>IF(EK216="","",IF(ISNUMBER('Dvd Calendar'!$K$2180)=FALSE,"",IF((('Dvd Calendar'!$K$2182=TYPE1)*(TYPE1&lt;&gt;"")+('Dvd Calendar'!$K$2182=TYPE2)*(TYPE2&lt;&gt;"")+('Dvd Calendar'!$K$2182=TYPE3)*(TYPE3&lt;&gt;"")+('Dvd Calendar'!$K$2182=TYPE4)*(TYPE4&lt;&gt;"")+('Dvd Calendar'!$K$2182=SPECIAL_LBL)*(INC_SPECIALS="Y"))=0,"",'Dvd Calendar'!$K$2180)))</f>
        <v/>
      </c>
      <c r="J216" s="106">
        <f>IF(EL216="","",IF(ISNUMBER('Dvd Calendar'!$L$2180)=FALSE,"",IF((('Dvd Calendar'!$L$2182=TYPE1)*(TYPE1&lt;&gt;"")+('Dvd Calendar'!$L$2182=TYPE2)*(TYPE2&lt;&gt;"")+('Dvd Calendar'!$L$2182=TYPE3)*(TYPE3&lt;&gt;"")+('Dvd Calendar'!$L$2182=TYPE4)*(TYPE4&lt;&gt;"")+('Dvd Calendar'!$L$2182=SPECIAL_LBL)*(INC_SPECIALS="Y"))=0,"",'Dvd Calendar'!$L$2180)))</f>
        <v/>
      </c>
      <c r="K216" s="106">
        <f>IF(EM216="","",IF(ISNUMBER('Dvd Calendar'!$M$2180)=FALSE,"",IF((('Dvd Calendar'!$M$2182=TYPE1)*(TYPE1&lt;&gt;"")+('Dvd Calendar'!$M$2182=TYPE2)*(TYPE2&lt;&gt;"")+('Dvd Calendar'!$M$2182=TYPE3)*(TYPE3&lt;&gt;"")+('Dvd Calendar'!$M$2182=TYPE4)*(TYPE4&lt;&gt;"")+('Dvd Calendar'!$M$2182=SPECIAL_LBL)*(INC_SPECIALS="Y"))=0,"",'Dvd Calendar'!$M$2180)))</f>
        <v/>
      </c>
      <c r="L216" s="106">
        <f>IF(EN216="","",IF(ISNUMBER('Dvd Calendar'!$N$2180)=FALSE,"",IF((('Dvd Calendar'!$N$2182=TYPE1)*(TYPE1&lt;&gt;"")+('Dvd Calendar'!$N$2182=TYPE2)*(TYPE2&lt;&gt;"")+('Dvd Calendar'!$N$2182=TYPE3)*(TYPE3&lt;&gt;"")+('Dvd Calendar'!$N$2182=TYPE4)*(TYPE4&lt;&gt;"")+('Dvd Calendar'!$N$2182=SPECIAL_LBL)*(INC_SPECIALS="Y"))=0,"",'Dvd Calendar'!$N$2180)))</f>
        <v/>
      </c>
      <c r="M216" s="106">
        <f>IF(EO216="","",IF(ISNUMBER('Dvd Calendar'!$O$2180)=FALSE,"",IF((('Dvd Calendar'!$O$2182=TYPE1)*(TYPE1&lt;&gt;"")+('Dvd Calendar'!$O$2182=TYPE2)*(TYPE2&lt;&gt;"")+('Dvd Calendar'!$O$2182=TYPE3)*(TYPE3&lt;&gt;"")+('Dvd Calendar'!$O$2182=TYPE4)*(TYPE4&lt;&gt;"")+('Dvd Calendar'!$O$2182=SPECIAL_LBL)*(INC_SPECIALS="Y"))=0,"",'Dvd Calendar'!$O$2180)))</f>
        <v/>
      </c>
      <c r="N216" s="106">
        <f>IF(EP216="","",IF(ISNUMBER('Dvd Calendar'!$P$2180)=FALSE,"",IF((('Dvd Calendar'!$P$2182=TYPE1)*(TYPE1&lt;&gt;"")+('Dvd Calendar'!$P$2182=TYPE2)*(TYPE2&lt;&gt;"")+('Dvd Calendar'!$P$2182=TYPE3)*(TYPE3&lt;&gt;"")+('Dvd Calendar'!$P$2182=TYPE4)*(TYPE4&lt;&gt;"")+('Dvd Calendar'!$P$2182=SPECIAL_LBL)*(INC_SPECIALS="Y"))=0,"",'Dvd Calendar'!$P$2180)))</f>
        <v/>
      </c>
      <c r="O216" s="106">
        <f>IF(EQ216="","",IF(ISNUMBER('Dvd Calendar'!$Q$2180)=FALSE,"",IF((('Dvd Calendar'!$Q$2182=TYPE1)*(TYPE1&lt;&gt;"")+('Dvd Calendar'!$Q$2182=TYPE2)*(TYPE2&lt;&gt;"")+('Dvd Calendar'!$Q$2182=TYPE3)*(TYPE3&lt;&gt;"")+('Dvd Calendar'!$Q$2182=TYPE4)*(TYPE4&lt;&gt;"")+('Dvd Calendar'!$Q$2182=SPECIAL_LBL)*(INC_SPECIALS="Y"))=0,"",'Dvd Calendar'!$Q$2180)))</f>
        <v/>
      </c>
      <c r="P216" s="106">
        <f>IF(ER216="","",IF(ISNUMBER('Dvd Calendar'!$R$2180)=FALSE,"",IF((('Dvd Calendar'!$R$2182=TYPE1)*(TYPE1&lt;&gt;"")+('Dvd Calendar'!$R$2182=TYPE2)*(TYPE2&lt;&gt;"")+('Dvd Calendar'!$R$2182=TYPE3)*(TYPE3&lt;&gt;"")+('Dvd Calendar'!$R$2182=TYPE4)*(TYPE4&lt;&gt;"")+('Dvd Calendar'!$R$2182=SPECIAL_LBL)*(INC_SPECIALS="Y"))=0,"",'Dvd Calendar'!$R$2180)))</f>
        <v/>
      </c>
      <c r="Q216" s="106">
        <f>IF(ES216="","",IF(ISNUMBER('Dvd Calendar'!$S$2180)=FALSE,"",IF((('Dvd Calendar'!$S$2182=TYPE1)*(TYPE1&lt;&gt;"")+('Dvd Calendar'!$S$2182=TYPE2)*(TYPE2&lt;&gt;"")+('Dvd Calendar'!$S$2182=TYPE3)*(TYPE3&lt;&gt;"")+('Dvd Calendar'!$S$2182=TYPE4)*(TYPE4&lt;&gt;"")+('Dvd Calendar'!$S$2182=SPECIAL_LBL)*(INC_SPECIALS="Y"))=0,"",'Dvd Calendar'!$S$2180)))</f>
        <v/>
      </c>
      <c r="R216" s="106">
        <f>IF(ET216="","",IF(ISNUMBER('Dvd Calendar'!$T$2180)=FALSE,"",IF((('Dvd Calendar'!$T$2182=TYPE1)*(TYPE1&lt;&gt;"")+('Dvd Calendar'!$T$2182=TYPE2)*(TYPE2&lt;&gt;"")+('Dvd Calendar'!$T$2182=TYPE3)*(TYPE3&lt;&gt;"")+('Dvd Calendar'!$T$2182=TYPE4)*(TYPE4&lt;&gt;"")+('Dvd Calendar'!$T$2182=SPECIAL_LBL)*(INC_SPECIALS="Y"))=0,"",'Dvd Calendar'!$T$2180)))</f>
        <v/>
      </c>
      <c r="S216" s="106">
        <f>IF(EU216="","",IF(ISNUMBER('Dvd Calendar'!$U$2180)=FALSE,"",IF((('Dvd Calendar'!$U$2182=TYPE1)*(TYPE1&lt;&gt;"")+('Dvd Calendar'!$U$2182=TYPE2)*(TYPE2&lt;&gt;"")+('Dvd Calendar'!$U$2182=TYPE3)*(TYPE3&lt;&gt;"")+('Dvd Calendar'!$U$2182=TYPE4)*(TYPE4&lt;&gt;"")+('Dvd Calendar'!$U$2182=SPECIAL_LBL)*(INC_SPECIALS="Y"))=0,"",'Dvd Calendar'!$U$2180)))</f>
        <v/>
      </c>
      <c r="T216" s="106">
        <f>IF(EV216="","",IF(ISNUMBER('Dvd Calendar'!$V$2180)=FALSE,"",IF((('Dvd Calendar'!$V$2182=TYPE1)*(TYPE1&lt;&gt;"")+('Dvd Calendar'!$V$2182=TYPE2)*(TYPE2&lt;&gt;"")+('Dvd Calendar'!$V$2182=TYPE3)*(TYPE3&lt;&gt;"")+('Dvd Calendar'!$V$2182=TYPE4)*(TYPE4&lt;&gt;"")+('Dvd Calendar'!$V$2182=SPECIAL_LBL)*(INC_SPECIALS="Y"))=0,"",'Dvd Calendar'!$V$2180)))</f>
        <v/>
      </c>
      <c r="U216" s="106">
        <f>IF(EW216="","",IF(ISNUMBER('Dvd Calendar'!$W$2180)=FALSE,"",IF((('Dvd Calendar'!$W$2182=TYPE1)*(TYPE1&lt;&gt;"")+('Dvd Calendar'!$W$2182=TYPE2)*(TYPE2&lt;&gt;"")+('Dvd Calendar'!$W$2182=TYPE3)*(TYPE3&lt;&gt;"")+('Dvd Calendar'!$W$2182=TYPE4)*(TYPE4&lt;&gt;"")+('Dvd Calendar'!$W$2182=SPECIAL_LBL)*(INC_SPECIALS="Y"))=0,"",'Dvd Calendar'!$W$2180)))</f>
        <v/>
      </c>
      <c r="V216" s="106">
        <f>IF(EX216="","",IF(ISNUMBER('Dvd Calendar'!$X$2180)=FALSE,"",IF((('Dvd Calendar'!$X$2182=TYPE1)*(TYPE1&lt;&gt;"")+('Dvd Calendar'!$X$2182=TYPE2)*(TYPE2&lt;&gt;"")+('Dvd Calendar'!$X$2182=TYPE3)*(TYPE3&lt;&gt;"")+('Dvd Calendar'!$X$2182=TYPE4)*(TYPE4&lt;&gt;"")+('Dvd Calendar'!$X$2182=SPECIAL_LBL)*(INC_SPECIALS="Y"))=0,"",'Dvd Calendar'!$X$2180)))</f>
        <v/>
      </c>
      <c r="W216" s="106">
        <f>IF(EY216="","",IF(ISNUMBER('Dvd Calendar'!$Y$2180)=FALSE,"",IF((('Dvd Calendar'!$Y$2182=TYPE1)*(TYPE1&lt;&gt;"")+('Dvd Calendar'!$Y$2182=TYPE2)*(TYPE2&lt;&gt;"")+('Dvd Calendar'!$Y$2182=TYPE3)*(TYPE3&lt;&gt;"")+('Dvd Calendar'!$Y$2182=TYPE4)*(TYPE4&lt;&gt;"")+('Dvd Calendar'!$Y$2182=SPECIAL_LBL)*(INC_SPECIALS="Y"))=0,"",'Dvd Calendar'!$Y$2180)))</f>
        <v/>
      </c>
      <c r="X216" s="106">
        <f>IF(EZ216="","",IF(ISNUMBER('Dvd Calendar'!$Z$2180)=FALSE,"",IF((('Dvd Calendar'!$Z$2182=TYPE1)*(TYPE1&lt;&gt;"")+('Dvd Calendar'!$Z$2182=TYPE2)*(TYPE2&lt;&gt;"")+('Dvd Calendar'!$Z$2182=TYPE3)*(TYPE3&lt;&gt;"")+('Dvd Calendar'!$Z$2182=TYPE4)*(TYPE4&lt;&gt;"")+('Dvd Calendar'!$Z$2182=SPECIAL_LBL)*(INC_SPECIALS="Y"))=0,"",'Dvd Calendar'!$Z$2180)))</f>
        <v/>
      </c>
      <c r="Y216" s="106">
        <f>IF(FA216="","",IF(ISNUMBER('Dvd Calendar'!$AA$2180)=FALSE,"",IF((('Dvd Calendar'!$AA$2182=TYPE1)*(TYPE1&lt;&gt;"")+('Dvd Calendar'!$AA$2182=TYPE2)*(TYPE2&lt;&gt;"")+('Dvd Calendar'!$AA$2182=TYPE3)*(TYPE3&lt;&gt;"")+('Dvd Calendar'!$AA$2182=TYPE4)*(TYPE4&lt;&gt;"")+('Dvd Calendar'!$AA$2182=SPECIAL_LBL)*(INC_SPECIALS="Y"))=0,"",'Dvd Calendar'!$AA$2180)))</f>
        <v/>
      </c>
      <c r="Z216" s="106">
        <f>IF(FB216="","",IF(ISNUMBER('Dvd Calendar'!$AB$2180)=FALSE,"",IF((('Dvd Calendar'!$AB$2182=TYPE1)*(TYPE1&lt;&gt;"")+('Dvd Calendar'!$AB$2182=TYPE2)*(TYPE2&lt;&gt;"")+('Dvd Calendar'!$AB$2182=TYPE3)*(TYPE3&lt;&gt;"")+('Dvd Calendar'!$AB$2182=TYPE4)*(TYPE4&lt;&gt;"")+('Dvd Calendar'!$AB$2182=SPECIAL_LBL)*(INC_SPECIALS="Y"))=0,"",'Dvd Calendar'!$AB$2180)))</f>
        <v/>
      </c>
      <c r="AA216" s="106">
        <f>IF(FC216="","",IF(ISNUMBER('Dvd Calendar'!$AC$2180)=FALSE,"",IF((('Dvd Calendar'!$AC$2182=TYPE1)*(TYPE1&lt;&gt;"")+('Dvd Calendar'!$AC$2182=TYPE2)*(TYPE2&lt;&gt;"")+('Dvd Calendar'!$AC$2182=TYPE3)*(TYPE3&lt;&gt;"")+('Dvd Calendar'!$AC$2182=TYPE4)*(TYPE4&lt;&gt;"")+('Dvd Calendar'!$AC$2182=SPECIAL_LBL)*(INC_SPECIALS="Y"))=0,"",'Dvd Calendar'!$AC$2180)))</f>
        <v/>
      </c>
      <c r="AB216" s="106">
        <f>IF(FD216="","",IF(ISNUMBER('Dvd Calendar'!$AD$2180)=FALSE,"",IF((('Dvd Calendar'!$AD$2182=TYPE1)*(TYPE1&lt;&gt;"")+('Dvd Calendar'!$AD$2182=TYPE2)*(TYPE2&lt;&gt;"")+('Dvd Calendar'!$AD$2182=TYPE3)*(TYPE3&lt;&gt;"")+('Dvd Calendar'!$AD$2182=TYPE4)*(TYPE4&lt;&gt;"")+('Dvd Calendar'!$AD$2182=SPECIAL_LBL)*(INC_SPECIALS="Y"))=0,"",'Dvd Calendar'!$AD$2180)))</f>
        <v/>
      </c>
      <c r="AC216" s="106">
        <f>IF(FE216="","",IF(ISNUMBER('Dvd Calendar'!$AE$2180)=FALSE,"",IF((('Dvd Calendar'!$AE$2182=TYPE1)*(TYPE1&lt;&gt;"")+('Dvd Calendar'!$AE$2182=TYPE2)*(TYPE2&lt;&gt;"")+('Dvd Calendar'!$AE$2182=TYPE3)*(TYPE3&lt;&gt;"")+('Dvd Calendar'!$AE$2182=TYPE4)*(TYPE4&lt;&gt;"")+('Dvd Calendar'!$AE$2182=SPECIAL_LBL)*(INC_SPECIALS="Y"))=0,"",'Dvd Calendar'!$AE$2180)))</f>
        <v/>
      </c>
      <c r="AD216" s="106">
        <f>IF(FF216="","",IF(ISNUMBER('Dvd Calendar'!$AF$2180)=FALSE,"",IF((('Dvd Calendar'!$AF$2182=TYPE1)*(TYPE1&lt;&gt;"")+('Dvd Calendar'!$AF$2182=TYPE2)*(TYPE2&lt;&gt;"")+('Dvd Calendar'!$AF$2182=TYPE3)*(TYPE3&lt;&gt;"")+('Dvd Calendar'!$AF$2182=TYPE4)*(TYPE4&lt;&gt;"")+('Dvd Calendar'!$AF$2182=SPECIAL_LBL)*(INC_SPECIALS="Y"))=0,"",'Dvd Calendar'!$AF$2180)))</f>
        <v/>
      </c>
      <c r="AE216" s="106">
        <f>IF(FG216="","",IF(ISNUMBER('Dvd Calendar'!$AG$2180)=FALSE,"",IF((('Dvd Calendar'!$AG$2182=TYPE1)*(TYPE1&lt;&gt;"")+('Dvd Calendar'!$AG$2182=TYPE2)*(TYPE2&lt;&gt;"")+('Dvd Calendar'!$AG$2182=TYPE3)*(TYPE3&lt;&gt;"")+('Dvd Calendar'!$AG$2182=TYPE4)*(TYPE4&lt;&gt;"")+('Dvd Calendar'!$AG$2182=SPECIAL_LBL)*(INC_SPECIALS="Y"))=0,"",'Dvd Calendar'!$AG$2180)))</f>
        <v/>
      </c>
      <c r="AF216" s="106">
        <f>IF(FH216="","",IF(ISNUMBER('Dvd Calendar'!$AH$2180)=FALSE,"",IF((('Dvd Calendar'!$AH$2182=TYPE1)*(TYPE1&lt;&gt;"")+('Dvd Calendar'!$AH$2182=TYPE2)*(TYPE2&lt;&gt;"")+('Dvd Calendar'!$AH$2182=TYPE3)*(TYPE3&lt;&gt;"")+('Dvd Calendar'!$AH$2182=TYPE4)*(TYPE4&lt;&gt;"")+('Dvd Calendar'!$AH$2182=SPECIAL_LBL)*(INC_SPECIALS="Y"))=0,"",'Dvd Calendar'!$AH$2180)))</f>
        <v/>
      </c>
      <c r="AG216" s="106">
        <f>IF(FI216="","",IF(ISNUMBER('Dvd Calendar'!$AI$2180)=FALSE,"",IF((('Dvd Calendar'!$AI$2182=TYPE1)*(TYPE1&lt;&gt;"")+('Dvd Calendar'!$AI$2182=TYPE2)*(TYPE2&lt;&gt;"")+('Dvd Calendar'!$AI$2182=TYPE3)*(TYPE3&lt;&gt;"")+('Dvd Calendar'!$AI$2182=TYPE4)*(TYPE4&lt;&gt;"")+('Dvd Calendar'!$AI$2182=SPECIAL_LBL)*(INC_SPECIALS="Y"))=0,"",'Dvd Calendar'!$AI$2180)))</f>
        <v/>
      </c>
      <c r="AH216" s="106">
        <f>IF(FJ216="","",IF(ISNUMBER('Dvd Calendar'!$AJ$2180)=FALSE,"",IF((('Dvd Calendar'!$AJ$2182=TYPE1)*(TYPE1&lt;&gt;"")+('Dvd Calendar'!$AJ$2182=TYPE2)*(TYPE2&lt;&gt;"")+('Dvd Calendar'!$AJ$2182=TYPE3)*(TYPE3&lt;&gt;"")+('Dvd Calendar'!$AJ$2182=TYPE4)*(TYPE4&lt;&gt;"")+('Dvd Calendar'!$AJ$2182=SPECIAL_LBL)*(INC_SPECIALS="Y"))=0,"",'Dvd Calendar'!$AJ$2180)))</f>
        <v/>
      </c>
      <c r="AI216" s="106">
        <f>IF(FK216="","",IF(ISNUMBER('Dvd Calendar'!$AK$2180)=FALSE,"",IF((('Dvd Calendar'!$AK$2182=TYPE1)*(TYPE1&lt;&gt;"")+('Dvd Calendar'!$AK$2182=TYPE2)*(TYPE2&lt;&gt;"")+('Dvd Calendar'!$AK$2182=TYPE3)*(TYPE3&lt;&gt;"")+('Dvd Calendar'!$AK$2182=TYPE4)*(TYPE4&lt;&gt;"")+('Dvd Calendar'!$AK$2182=SPECIAL_LBL)*(INC_SPECIALS="Y"))=0,"",'Dvd Calendar'!$AK$2180)))</f>
        <v/>
      </c>
      <c r="AJ216" s="106">
        <f>IF(FL216="","",IF(ISNUMBER('Dvd Calendar'!$AL$2180)=FALSE,"",IF((('Dvd Calendar'!$AL$2182=TYPE1)*(TYPE1&lt;&gt;"")+('Dvd Calendar'!$AL$2182=TYPE2)*(TYPE2&lt;&gt;"")+('Dvd Calendar'!$AL$2182=TYPE3)*(TYPE3&lt;&gt;"")+('Dvd Calendar'!$AL$2182=TYPE4)*(TYPE4&lt;&gt;"")+('Dvd Calendar'!$AL$2182=SPECIAL_LBL)*(INC_SPECIALS="Y"))=0,"",'Dvd Calendar'!$AL$2180)))</f>
        <v/>
      </c>
      <c r="AK216" s="106">
        <f>IF(FM216="","",IF(ISNUMBER('Dvd Calendar'!$AM$2180)=FALSE,"",IF((('Dvd Calendar'!$AM$2182=TYPE1)*(TYPE1&lt;&gt;"")+('Dvd Calendar'!$AM$2182=TYPE2)*(TYPE2&lt;&gt;"")+('Dvd Calendar'!$AM$2182=TYPE3)*(TYPE3&lt;&gt;"")+('Dvd Calendar'!$AM$2182=TYPE4)*(TYPE4&lt;&gt;"")+('Dvd Calendar'!$AM$2182=SPECIAL_LBL)*(INC_SPECIALS="Y"))=0,"",'Dvd Calendar'!$AM$2180)))</f>
        <v/>
      </c>
      <c r="AL216" s="106">
        <f>IF(FN216="","",IF(ISNUMBER('Dvd Calendar'!$AN$2180)=FALSE,"",IF((('Dvd Calendar'!$AN$2182=TYPE1)*(TYPE1&lt;&gt;"")+('Dvd Calendar'!$AN$2182=TYPE2)*(TYPE2&lt;&gt;"")+('Dvd Calendar'!$AN$2182=TYPE3)*(TYPE3&lt;&gt;"")+('Dvd Calendar'!$AN$2182=TYPE4)*(TYPE4&lt;&gt;"")+('Dvd Calendar'!$AN$2182=SPECIAL_LBL)*(INC_SPECIALS="Y"))=0,"",'Dvd Calendar'!$AN$2180)))</f>
        <v/>
      </c>
      <c r="AM216" s="106">
        <f>IF(FO216="","",IF(ISNUMBER('Dvd Calendar'!$AO$2180)=FALSE,"",IF((('Dvd Calendar'!$AO$2182=TYPE1)*(TYPE1&lt;&gt;"")+('Dvd Calendar'!$AO$2182=TYPE2)*(TYPE2&lt;&gt;"")+('Dvd Calendar'!$AO$2182=TYPE3)*(TYPE3&lt;&gt;"")+('Dvd Calendar'!$AO$2182=TYPE4)*(TYPE4&lt;&gt;"")+('Dvd Calendar'!$AO$2182=SPECIAL_LBL)*(INC_SPECIALS="Y"))=0,"",'Dvd Calendar'!$AO$2180)))</f>
        <v/>
      </c>
      <c r="AN216" s="106">
        <f>IF(FP216="","",IF(ISNUMBER('Dvd Calendar'!$AP$2180)=FALSE,"",IF((('Dvd Calendar'!$AP$2182=TYPE1)*(TYPE1&lt;&gt;"")+('Dvd Calendar'!$AP$2182=TYPE2)*(TYPE2&lt;&gt;"")+('Dvd Calendar'!$AP$2182=TYPE3)*(TYPE3&lt;&gt;"")+('Dvd Calendar'!$AP$2182=TYPE4)*(TYPE4&lt;&gt;"")+('Dvd Calendar'!$AP$2182=SPECIAL_LBL)*(INC_SPECIALS="Y"))=0,"",'Dvd Calendar'!$AP$2180)))</f>
        <v/>
      </c>
      <c r="AO216" s="106">
        <f>IF(FQ216="","",IF(ISNUMBER('Dvd Calendar'!$AQ$2180)=FALSE,"",IF((('Dvd Calendar'!$AQ$2182=TYPE1)*(TYPE1&lt;&gt;"")+('Dvd Calendar'!$AQ$2182=TYPE2)*(TYPE2&lt;&gt;"")+('Dvd Calendar'!$AQ$2182=TYPE3)*(TYPE3&lt;&gt;"")+('Dvd Calendar'!$AQ$2182=TYPE4)*(TYPE4&lt;&gt;"")+('Dvd Calendar'!$AQ$2182=SPECIAL_LBL)*(INC_SPECIALS="Y"))=0,"",'Dvd Calendar'!$AQ$2180)))</f>
        <v/>
      </c>
      <c r="AP216" s="106">
        <f>IF(FR216="","",IF(ISNUMBER('Dvd Calendar'!$AR$2180)=FALSE,"",IF((('Dvd Calendar'!$AR$2182=TYPE1)*(TYPE1&lt;&gt;"")+('Dvd Calendar'!$AR$2182=TYPE2)*(TYPE2&lt;&gt;"")+('Dvd Calendar'!$AR$2182=TYPE3)*(TYPE3&lt;&gt;"")+('Dvd Calendar'!$AR$2182=TYPE4)*(TYPE4&lt;&gt;"")+('Dvd Calendar'!$AR$2182=SPECIAL_LBL)*(INC_SPECIALS="Y"))=0,"",'Dvd Calendar'!$AR$2180)))</f>
        <v/>
      </c>
      <c r="AQ216" s="106">
        <f>IF(FS216="","",IF(ISNUMBER('Dvd Calendar'!$E$2185)=FALSE,"",'Dvd Calendar'!$E$2185))</f>
        <v/>
      </c>
      <c r="AR216" s="106">
        <f>IF(FT216="","",IF(ISNUMBER('Dvd Calendar'!$F$2185)=FALSE,"",'Dvd Calendar'!$F$2185))</f>
        <v/>
      </c>
      <c r="AS216" s="106">
        <f>IF(FU216="","",IF(ISNUMBER('Dvd Calendar'!$G$2185)=FALSE,"",'Dvd Calendar'!$G$2185))</f>
        <v/>
      </c>
      <c r="AT216" s="106">
        <f>IF(FV216="","",IF(ISNUMBER('Dvd Calendar'!$H$2185)=FALSE,"",'Dvd Calendar'!$H$2185))</f>
        <v/>
      </c>
      <c r="AU216" s="106">
        <f>IF(FW216="","",IF(ISNUMBER('Dvd Calendar'!$I$2185)=FALSE,"",'Dvd Calendar'!$I$2185))</f>
        <v/>
      </c>
      <c r="AV216" s="106">
        <f>IF(FX216="","",IF(ISNUMBER('Dvd Calendar'!$J$2185)=FALSE,"",'Dvd Calendar'!$J$2185))</f>
        <v/>
      </c>
      <c r="AW216" s="106">
        <f>IF(FY216="","",IF(ISNUMBER('Dvd Calendar'!$K$2185)=FALSE,"",'Dvd Calendar'!$K$2185))</f>
        <v/>
      </c>
      <c r="AX216" s="106">
        <f>IF(FZ216="","",IF(ISNUMBER('Dvd Calendar'!$L$2185)=FALSE,"",'Dvd Calendar'!$L$2185))</f>
        <v/>
      </c>
      <c r="AY216" s="106">
        <f>IF(GA216="","",IF(ISNUMBER('Dvd Calendar'!$M$2185)=FALSE,"",'Dvd Calendar'!$M$2185))</f>
        <v/>
      </c>
      <c r="AZ216" s="106">
        <f>IF(GB216="","",IF(ISNUMBER('Dvd Calendar'!$N$2185)=FALSE,"",'Dvd Calendar'!$N$2185))</f>
        <v/>
      </c>
      <c r="BA216" s="106">
        <f>IF(GC216="","",IF(ISNUMBER('Dvd Calendar'!$O$2185)=FALSE,"",'Dvd Calendar'!$O$2185))</f>
        <v/>
      </c>
      <c r="BB216" s="106">
        <f>IF(GD216="","",IF(ISNUMBER('Dvd Calendar'!$P$2185)=FALSE,"",'Dvd Calendar'!$P$2185))</f>
        <v/>
      </c>
      <c r="BC216" s="106">
        <f>IF(GE216="","",IF(ISNUMBER('Dvd Calendar'!$Q$2185)=FALSE,"",'Dvd Calendar'!$Q$2185))</f>
        <v/>
      </c>
      <c r="BD216" s="106">
        <f>IF(GF216="","",IF(ISNUMBER('Dvd Calendar'!$R$2185)=FALSE,"",'Dvd Calendar'!$R$2185))</f>
        <v/>
      </c>
      <c r="BE216" s="106">
        <f>IF(GG216="","",IF(ISNUMBER('Dvd Calendar'!$S$2185)=FALSE,"",'Dvd Calendar'!$S$2185))</f>
        <v/>
      </c>
      <c r="BF216" s="106">
        <f>IF(GH216="","",IF(ISNUMBER('Dvd Calendar'!$T$2185)=FALSE,"",'Dvd Calendar'!$T$2185))</f>
        <v/>
      </c>
      <c r="BG216" s="106">
        <f>IF(GI216="","",IF(ISNUMBER('Dvd Calendar'!$U$2185)=FALSE,"",'Dvd Calendar'!$U$2185))</f>
        <v/>
      </c>
      <c r="BH216" s="106">
        <f>IF(GJ216="","",IF(ISNUMBER('Dvd Calendar'!$V$2185)=FALSE,"",'Dvd Calendar'!$V$2185))</f>
        <v/>
      </c>
      <c r="BI216" s="106">
        <f>IF(GK216="","",IF(ISNUMBER('Dvd Calendar'!$W$2185)=FALSE,"",'Dvd Calendar'!$W$2185))</f>
        <v/>
      </c>
      <c r="BJ216" s="106">
        <f>IF(GL216="","",IF(ISNUMBER('Dvd Calendar'!$X$2185)=FALSE,"",'Dvd Calendar'!$X$2185))</f>
        <v/>
      </c>
      <c r="BK216" s="106">
        <f>IF(GM216="","",IF(ISNUMBER('Dvd Calendar'!$Y$2185)=FALSE,"",'Dvd Calendar'!$Y$2185))</f>
        <v/>
      </c>
      <c r="BL216" s="106">
        <f>IF(GN216="","",IF(ISNUMBER('Dvd Calendar'!$Z$2185)=FALSE,"",'Dvd Calendar'!$Z$2185))</f>
        <v/>
      </c>
      <c r="BM216" s="106">
        <f>IF(GO216="","",IF(ISNUMBER('Dvd Calendar'!$AA$2185)=FALSE,"",'Dvd Calendar'!$AA$2185))</f>
        <v/>
      </c>
      <c r="BN216" s="106">
        <f>IF(GP216="","",IF(ISNUMBER('Dvd Calendar'!$AB$2185)=FALSE,"",'Dvd Calendar'!$AB$2185))</f>
        <v/>
      </c>
      <c r="BO216" s="106">
        <f>IF(GQ216="","",IF(ISNUMBER('Dvd Calendar'!$AC$2185)=FALSE,"",'Dvd Calendar'!$AC$2185))</f>
        <v/>
      </c>
      <c r="BQ216" s="106">
        <f>IF(C216="","",IFERROR(C216*HSCEI!$B$63*HSCEI!$G$63/HSCEI!$B$3,""))</f>
        <v/>
      </c>
      <c r="BR216" s="106">
        <f>IF(D216="","",IFERROR(D216*HSCEI!$B$63*HSCEI!$G$63/HSCEI!$B$3,""))</f>
        <v/>
      </c>
      <c r="BS216" s="106">
        <f>IF(E216="","",IFERROR(E216*HSCEI!$B$63*HSCEI!$G$63/HSCEI!$B$3,""))</f>
        <v/>
      </c>
      <c r="BT216" s="106">
        <f>IF(F216="","",IFERROR(F216*HSCEI!$B$63*HSCEI!$G$63/HSCEI!$B$3,""))</f>
        <v/>
      </c>
      <c r="BU216" s="106">
        <f>IF(G216="","",IFERROR(G216*HSCEI!$B$63*HSCEI!$G$63/HSCEI!$B$3,""))</f>
        <v/>
      </c>
      <c r="BV216" s="106">
        <f>IF(H216="","",IFERROR(H216*HSCEI!$B$63*HSCEI!$G$63/HSCEI!$B$3,""))</f>
        <v/>
      </c>
      <c r="BW216" s="106">
        <f>IF(I216="","",IFERROR(I216*HSCEI!$B$63*HSCEI!$G$63/HSCEI!$B$3,""))</f>
        <v/>
      </c>
      <c r="BX216" s="106">
        <f>IF(J216="","",IFERROR(J216*HSCEI!$B$63*HSCEI!$G$63/HSCEI!$B$3,""))</f>
        <v/>
      </c>
      <c r="BY216" s="106">
        <f>IF(K216="","",IFERROR(K216*HSCEI!$B$63*HSCEI!$G$63/HSCEI!$B$3,""))</f>
        <v/>
      </c>
      <c r="BZ216" s="106">
        <f>IF(L216="","",IFERROR(L216*HSCEI!$B$63*HSCEI!$G$63/HSCEI!$B$3,""))</f>
        <v/>
      </c>
      <c r="CA216" s="106">
        <f>IF(M216="","",IFERROR(M216*HSCEI!$B$63*HSCEI!$G$63/HSCEI!$B$3,""))</f>
        <v/>
      </c>
      <c r="CB216" s="106">
        <f>IF(N216="","",IFERROR(N216*HSCEI!$B$63*HSCEI!$G$63/HSCEI!$B$3,""))</f>
        <v/>
      </c>
      <c r="CC216" s="106">
        <f>IF(O216="","",IFERROR(O216*HSCEI!$B$63*HSCEI!$G$63/HSCEI!$B$3,""))</f>
        <v/>
      </c>
      <c r="CD216" s="106">
        <f>IF(P216="","",IFERROR(P216*HSCEI!$B$63*HSCEI!$G$63/HSCEI!$B$3,""))</f>
        <v/>
      </c>
      <c r="CE216" s="106">
        <f>IF(Q216="","",IFERROR(Q216*HSCEI!$B$63*HSCEI!$G$63/HSCEI!$B$3,""))</f>
        <v/>
      </c>
      <c r="CF216" s="106">
        <f>IF(R216="","",IFERROR(R216*HSCEI!$B$63*HSCEI!$G$63/HSCEI!$B$3,""))</f>
        <v/>
      </c>
      <c r="CG216" s="106">
        <f>IF(S216="","",IFERROR(S216*HSCEI!$B$63*HSCEI!$G$63/HSCEI!$B$3,""))</f>
        <v/>
      </c>
      <c r="CH216" s="106">
        <f>IF(T216="","",IFERROR(T216*HSCEI!$B$63*HSCEI!$G$63/HSCEI!$B$3,""))</f>
        <v/>
      </c>
      <c r="CI216" s="106">
        <f>IF(U216="","",IFERROR(U216*HSCEI!$B$63*HSCEI!$G$63/HSCEI!$B$3,""))</f>
        <v/>
      </c>
      <c r="CJ216" s="106">
        <f>IF(V216="","",IFERROR(V216*HSCEI!$B$63*HSCEI!$G$63/HSCEI!$B$3,""))</f>
        <v/>
      </c>
      <c r="CK216" s="106">
        <f>IF(W216="","",IFERROR(W216*HSCEI!$B$63*HSCEI!$G$63/HSCEI!$B$3,""))</f>
        <v/>
      </c>
      <c r="CL216" s="106">
        <f>IF(X216="","",IFERROR(X216*HSCEI!$B$63*HSCEI!$G$63/HSCEI!$B$3,""))</f>
        <v/>
      </c>
      <c r="CM216" s="106">
        <f>IF(Y216="","",IFERROR(Y216*HSCEI!$B$63*HSCEI!$G$63/HSCEI!$B$3,""))</f>
        <v/>
      </c>
      <c r="CN216" s="106">
        <f>IF(Z216="","",IFERROR(Z216*HSCEI!$B$63*HSCEI!$G$63/HSCEI!$B$3,""))</f>
        <v/>
      </c>
      <c r="CO216" s="106">
        <f>IF(AA216="","",IFERROR(AA216*HSCEI!$B$63*HSCEI!$G$63/HSCEI!$B$3,""))</f>
        <v/>
      </c>
      <c r="CP216" s="106">
        <f>IF(AB216="","",IFERROR(AB216*HSCEI!$B$63*HSCEI!$G$63/HSCEI!$B$3,""))</f>
        <v/>
      </c>
      <c r="CQ216" s="106">
        <f>IF(AC216="","",IFERROR(AC216*HSCEI!$B$63*HSCEI!$G$63/HSCEI!$B$3,""))</f>
        <v/>
      </c>
      <c r="CR216" s="106">
        <f>IF(AD216="","",IFERROR(AD216*HSCEI!$B$63*HSCEI!$G$63/HSCEI!$B$3,""))</f>
        <v/>
      </c>
      <c r="CS216" s="106">
        <f>IF(AE216="","",IFERROR(AE216*HSCEI!$B$63*HSCEI!$G$63/HSCEI!$B$3,""))</f>
        <v/>
      </c>
      <c r="CT216" s="106">
        <f>IF(AF216="","",IFERROR(AF216*HSCEI!$B$63*HSCEI!$G$63/HSCEI!$B$3,""))</f>
        <v/>
      </c>
      <c r="CU216" s="106">
        <f>IF(AG216="","",IFERROR(AG216*HSCEI!$B$63*HSCEI!$G$63/HSCEI!$B$3,""))</f>
        <v/>
      </c>
      <c r="CV216" s="106">
        <f>IF(AH216="","",IFERROR(AH216*HSCEI!$B$63*HSCEI!$G$63/HSCEI!$B$3,""))</f>
        <v/>
      </c>
      <c r="CW216" s="106">
        <f>IF(AI216="","",IFERROR(AI216*HSCEI!$B$63*HSCEI!$G$63/HSCEI!$B$3,""))</f>
        <v/>
      </c>
      <c r="CX216" s="106">
        <f>IF(AJ216="","",IFERROR(AJ216*HSCEI!$B$63*HSCEI!$G$63/HSCEI!$B$3,""))</f>
        <v/>
      </c>
      <c r="CY216" s="106">
        <f>IF(AK216="","",IFERROR(AK216*HSCEI!$B$63*HSCEI!$G$63/HSCEI!$B$3,""))</f>
        <v/>
      </c>
      <c r="CZ216" s="106">
        <f>IF(AL216="","",IFERROR(AL216*HSCEI!$B$63*HSCEI!$G$63/HSCEI!$B$3,""))</f>
        <v/>
      </c>
      <c r="DA216" s="106">
        <f>IF(AM216="","",IFERROR(AM216*HSCEI!$B$63*HSCEI!$G$63/HSCEI!$B$3,""))</f>
        <v/>
      </c>
      <c r="DB216" s="106">
        <f>IF(AN216="","",IFERROR(AN216*HSCEI!$B$63*HSCEI!$G$63/HSCEI!$B$3,""))</f>
        <v/>
      </c>
      <c r="DC216" s="106">
        <f>IF(AO216="","",IFERROR(AO216*HSCEI!$B$63*HSCEI!$G$63/HSCEI!$B$3,""))</f>
        <v/>
      </c>
      <c r="DD216" s="106">
        <f>IF(AP216="","",IFERROR(AP216*HSCEI!$B$63*HSCEI!$G$63/HSCEI!$B$3,""))</f>
        <v/>
      </c>
      <c r="DE216" s="106">
        <f>IF(AQ216="","",IFERROR(AQ216*HSCEI!$B$63*HSCEI!$G$63/HSCEI!$B$3,""))</f>
        <v/>
      </c>
      <c r="DF216" s="106">
        <f>IF(AR216="","",IFERROR(AR216*HSCEI!$B$63*HSCEI!$G$63/HSCEI!$B$3,""))</f>
        <v/>
      </c>
      <c r="DG216" s="106">
        <f>IF(AS216="","",IFERROR(AS216*HSCEI!$B$63*HSCEI!$G$63/HSCEI!$B$3,""))</f>
        <v/>
      </c>
      <c r="DH216" s="106">
        <f>IF(AT216="","",IFERROR(AT216*HSCEI!$B$63*HSCEI!$G$63/HSCEI!$B$3,""))</f>
        <v/>
      </c>
      <c r="DI216" s="106">
        <f>IF(AU216="","",IFERROR(AU216*HSCEI!$B$63*HSCEI!$G$63/HSCEI!$B$3,""))</f>
        <v/>
      </c>
      <c r="DJ216" s="106">
        <f>IF(AV216="","",IFERROR(AV216*HSCEI!$B$63*HSCEI!$G$63/HSCEI!$B$3,""))</f>
        <v/>
      </c>
      <c r="DK216" s="106">
        <f>IF(AW216="","",IFERROR(AW216*HSCEI!$B$63*HSCEI!$G$63/HSCEI!$B$3,""))</f>
        <v/>
      </c>
      <c r="DL216" s="106">
        <f>IF(AX216="","",IFERROR(AX216*HSCEI!$B$63*HSCEI!$G$63/HSCEI!$B$3,""))</f>
        <v/>
      </c>
      <c r="DM216" s="106">
        <f>IF(AY216="","",IFERROR(AY216*HSCEI!$B$63*HSCEI!$G$63/HSCEI!$B$3,""))</f>
        <v/>
      </c>
      <c r="DN216" s="106">
        <f>IF(AZ216="","",IFERROR(AZ216*HSCEI!$B$63*HSCEI!$G$63/HSCEI!$B$3,""))</f>
        <v/>
      </c>
      <c r="DO216" s="106">
        <f>IF(BA216="","",IFERROR(BA216*HSCEI!$B$63*HSCEI!$G$63/HSCEI!$B$3,""))</f>
        <v/>
      </c>
      <c r="DP216" s="106">
        <f>IF(BB216="","",IFERROR(BB216*HSCEI!$B$63*HSCEI!$G$63/HSCEI!$B$3,""))</f>
        <v/>
      </c>
      <c r="DQ216" s="106">
        <f>IF(BC216="","",IFERROR(BC216*HSCEI!$B$63*HSCEI!$G$63/HSCEI!$B$3,""))</f>
        <v/>
      </c>
      <c r="DR216" s="106">
        <f>IF(BD216="","",IFERROR(BD216*HSCEI!$B$63*HSCEI!$G$63/HSCEI!$B$3,""))</f>
        <v/>
      </c>
      <c r="DS216" s="106">
        <f>IF(BE216="","",IFERROR(BE216*HSCEI!$B$63*HSCEI!$G$63/HSCEI!$B$3,""))</f>
        <v/>
      </c>
      <c r="DT216" s="106">
        <f>IF(BF216="","",IFERROR(BF216*HSCEI!$B$63*HSCEI!$G$63/HSCEI!$B$3,""))</f>
        <v/>
      </c>
      <c r="DU216" s="106">
        <f>IF(BG216="","",IFERROR(BG216*HSCEI!$B$63*HSCEI!$G$63/HSCEI!$B$3,""))</f>
        <v/>
      </c>
      <c r="DV216" s="106">
        <f>IF(BH216="","",IFERROR(BH216*HSCEI!$B$63*HSCEI!$G$63/HSCEI!$B$3,""))</f>
        <v/>
      </c>
      <c r="DW216" s="106">
        <f>IF(BI216="","",IFERROR(BI216*HSCEI!$B$63*HSCEI!$G$63/HSCEI!$B$3,""))</f>
        <v/>
      </c>
      <c r="DX216" s="106">
        <f>IF(BJ216="","",IFERROR(BJ216*HSCEI!$B$63*HSCEI!$G$63/HSCEI!$B$3,""))</f>
        <v/>
      </c>
      <c r="DY216" s="106">
        <f>IF(BK216="","",IFERROR(BK216*HSCEI!$B$63*HSCEI!$G$63/HSCEI!$B$3,""))</f>
        <v/>
      </c>
      <c r="DZ216" s="106">
        <f>IF(BL216="","",IFERROR(BL216*HSCEI!$B$63*HSCEI!$G$63/HSCEI!$B$3,""))</f>
        <v/>
      </c>
      <c r="EA216" s="106">
        <f>IF(BM216="","",IFERROR(BM216*HSCEI!$B$63*HSCEI!$G$63/HSCEI!$B$3,""))</f>
        <v/>
      </c>
      <c r="EB216" s="106">
        <f>IF(BN216="","",IFERROR(BN216*HSCEI!$B$63*HSCEI!$G$63/HSCEI!$B$3,""))</f>
        <v/>
      </c>
      <c r="EC216" s="106">
        <f>IF(BO216="","",IFERROR(BO216*HSCEI!$B$63*HSCEI!$G$63/HSCEI!$B$3,""))</f>
        <v/>
      </c>
      <c r="EE216" s="35">
        <f>IF(N('Dvd Calendar'!$E$2177)=0,"",IF(('Dvd Calendar'!$E$2177&gt;=GRID_FROM)*('Dvd Calendar'!$E$2177&lt;=GRID_TO)*('Dvd Calendar'!$E$2177&lt;=VAL_DATE)=0,"",'Dvd Calendar'!$E$2177*1000000000+ISNUMBER('Dvd Calendar'!$E$2180)*100000000+('Dvd Calendar'!$E$2182=SPECIAL_LBL)*10000000+0*1000000+57*1000+1))</f>
        <v/>
      </c>
      <c r="EF216" s="35">
        <f>IF(N('Dvd Calendar'!$F$2177)=0,"",IF(('Dvd Calendar'!$F$2177&gt;=GRID_FROM)*('Dvd Calendar'!$F$2177&lt;=GRID_TO)*('Dvd Calendar'!$F$2177&lt;=VAL_DATE)=0,"",'Dvd Calendar'!$F$2177*1000000000+ISNUMBER('Dvd Calendar'!$F$2180)*100000000+('Dvd Calendar'!$F$2182=SPECIAL_LBL)*10000000+0*1000000+57*1000+2))</f>
        <v/>
      </c>
      <c r="EG216" s="35">
        <f>IF(N('Dvd Calendar'!$G$2177)=0,"",IF(('Dvd Calendar'!$G$2177&gt;=GRID_FROM)*('Dvd Calendar'!$G$2177&lt;=GRID_TO)*('Dvd Calendar'!$G$2177&lt;=VAL_DATE)=0,"",'Dvd Calendar'!$G$2177*1000000000+ISNUMBER('Dvd Calendar'!$G$2180)*100000000+('Dvd Calendar'!$G$2182=SPECIAL_LBL)*10000000+0*1000000+57*1000+3))</f>
        <v/>
      </c>
      <c r="EH216" s="35">
        <f>IF(N('Dvd Calendar'!$H$2177)=0,"",IF(('Dvd Calendar'!$H$2177&gt;=GRID_FROM)*('Dvd Calendar'!$H$2177&lt;=GRID_TO)*('Dvd Calendar'!$H$2177&lt;=VAL_DATE)=0,"",'Dvd Calendar'!$H$2177*1000000000+ISNUMBER('Dvd Calendar'!$H$2180)*100000000+('Dvd Calendar'!$H$2182=SPECIAL_LBL)*10000000+0*1000000+57*1000+4))</f>
        <v/>
      </c>
      <c r="EI216" s="35">
        <f>IF(N('Dvd Calendar'!$I$2177)=0,"",IF(('Dvd Calendar'!$I$2177&gt;=GRID_FROM)*('Dvd Calendar'!$I$2177&lt;=GRID_TO)*('Dvd Calendar'!$I$2177&lt;=VAL_DATE)=0,"",'Dvd Calendar'!$I$2177*1000000000+ISNUMBER('Dvd Calendar'!$I$2180)*100000000+('Dvd Calendar'!$I$2182=SPECIAL_LBL)*10000000+0*1000000+57*1000+5))</f>
        <v/>
      </c>
      <c r="EJ216" s="35">
        <f>IF(N('Dvd Calendar'!$J$2177)=0,"",IF(('Dvd Calendar'!$J$2177&gt;=GRID_FROM)*('Dvd Calendar'!$J$2177&lt;=GRID_TO)*('Dvd Calendar'!$J$2177&lt;=VAL_DATE)=0,"",'Dvd Calendar'!$J$2177*1000000000+ISNUMBER('Dvd Calendar'!$J$2180)*100000000+('Dvd Calendar'!$J$2182=SPECIAL_LBL)*10000000+0*1000000+57*1000+6))</f>
        <v/>
      </c>
      <c r="EK216" s="35">
        <f>IF(N('Dvd Calendar'!$K$2177)=0,"",IF(('Dvd Calendar'!$K$2177&gt;=GRID_FROM)*('Dvd Calendar'!$K$2177&lt;=GRID_TO)*('Dvd Calendar'!$K$2177&lt;=VAL_DATE)=0,"",'Dvd Calendar'!$K$2177*1000000000+ISNUMBER('Dvd Calendar'!$K$2180)*100000000+('Dvd Calendar'!$K$2182=SPECIAL_LBL)*10000000+0*1000000+57*1000+7))</f>
        <v/>
      </c>
      <c r="EL216" s="35">
        <f>IF(N('Dvd Calendar'!$L$2177)=0,"",IF(('Dvd Calendar'!$L$2177&gt;=GRID_FROM)*('Dvd Calendar'!$L$2177&lt;=GRID_TO)*('Dvd Calendar'!$L$2177&lt;=VAL_DATE)=0,"",'Dvd Calendar'!$L$2177*1000000000+ISNUMBER('Dvd Calendar'!$L$2180)*100000000+('Dvd Calendar'!$L$2182=SPECIAL_LBL)*10000000+0*1000000+57*1000+8))</f>
        <v/>
      </c>
      <c r="EM216" s="35">
        <f>IF(N('Dvd Calendar'!$M$2177)=0,"",IF(('Dvd Calendar'!$M$2177&gt;=GRID_FROM)*('Dvd Calendar'!$M$2177&lt;=GRID_TO)*('Dvd Calendar'!$M$2177&lt;=VAL_DATE)=0,"",'Dvd Calendar'!$M$2177*1000000000+ISNUMBER('Dvd Calendar'!$M$2180)*100000000+('Dvd Calendar'!$M$2182=SPECIAL_LBL)*10000000+0*1000000+57*1000+9))</f>
        <v/>
      </c>
      <c r="EN216" s="35">
        <f>IF(N('Dvd Calendar'!$N$2177)=0,"",IF(('Dvd Calendar'!$N$2177&gt;=GRID_FROM)*('Dvd Calendar'!$N$2177&lt;=GRID_TO)*('Dvd Calendar'!$N$2177&lt;=VAL_DATE)=0,"",'Dvd Calendar'!$N$2177*1000000000+ISNUMBER('Dvd Calendar'!$N$2180)*100000000+('Dvd Calendar'!$N$2182=SPECIAL_LBL)*10000000+0*1000000+57*1000+10))</f>
        <v/>
      </c>
      <c r="EO216" s="35">
        <f>IF(N('Dvd Calendar'!$O$2177)=0,"",IF(('Dvd Calendar'!$O$2177&gt;=GRID_FROM)*('Dvd Calendar'!$O$2177&lt;=GRID_TO)*('Dvd Calendar'!$O$2177&lt;=VAL_DATE)=0,"",'Dvd Calendar'!$O$2177*1000000000+ISNUMBER('Dvd Calendar'!$O$2180)*100000000+('Dvd Calendar'!$O$2182=SPECIAL_LBL)*10000000+0*1000000+57*1000+11))</f>
        <v/>
      </c>
      <c r="EP216" s="35">
        <f>IF(N('Dvd Calendar'!$P$2177)=0,"",IF(('Dvd Calendar'!$P$2177&gt;=GRID_FROM)*('Dvd Calendar'!$P$2177&lt;=GRID_TO)*('Dvd Calendar'!$P$2177&lt;=VAL_DATE)=0,"",'Dvd Calendar'!$P$2177*1000000000+ISNUMBER('Dvd Calendar'!$P$2180)*100000000+('Dvd Calendar'!$P$2182=SPECIAL_LBL)*10000000+0*1000000+57*1000+12))</f>
        <v/>
      </c>
      <c r="EQ216" s="35">
        <f>IF(N('Dvd Calendar'!$Q$2177)=0,"",IF(('Dvd Calendar'!$Q$2177&gt;=GRID_FROM)*('Dvd Calendar'!$Q$2177&lt;=GRID_TO)*('Dvd Calendar'!$Q$2177&lt;=VAL_DATE)=0,"",'Dvd Calendar'!$Q$2177*1000000000+ISNUMBER('Dvd Calendar'!$Q$2180)*100000000+('Dvd Calendar'!$Q$2182=SPECIAL_LBL)*10000000+0*1000000+57*1000+13))</f>
        <v/>
      </c>
      <c r="ER216" s="35">
        <f>IF(N('Dvd Calendar'!$R$2177)=0,"",IF(('Dvd Calendar'!$R$2177&gt;=GRID_FROM)*('Dvd Calendar'!$R$2177&lt;=GRID_TO)*('Dvd Calendar'!$R$2177&lt;=VAL_DATE)=0,"",'Dvd Calendar'!$R$2177*1000000000+ISNUMBER('Dvd Calendar'!$R$2180)*100000000+('Dvd Calendar'!$R$2182=SPECIAL_LBL)*10000000+0*1000000+57*1000+14))</f>
        <v/>
      </c>
      <c r="ES216" s="35">
        <f>IF(N('Dvd Calendar'!$S$2177)=0,"",IF(('Dvd Calendar'!$S$2177&gt;=GRID_FROM)*('Dvd Calendar'!$S$2177&lt;=GRID_TO)*('Dvd Calendar'!$S$2177&lt;=VAL_DATE)=0,"",'Dvd Calendar'!$S$2177*1000000000+ISNUMBER('Dvd Calendar'!$S$2180)*100000000+('Dvd Calendar'!$S$2182=SPECIAL_LBL)*10000000+0*1000000+57*1000+15))</f>
        <v/>
      </c>
      <c r="ET216" s="35">
        <f>IF(N('Dvd Calendar'!$T$2177)=0,"",IF(('Dvd Calendar'!$T$2177&gt;=GRID_FROM)*('Dvd Calendar'!$T$2177&lt;=GRID_TO)*('Dvd Calendar'!$T$2177&lt;=VAL_DATE)=0,"",'Dvd Calendar'!$T$2177*1000000000+ISNUMBER('Dvd Calendar'!$T$2180)*100000000+('Dvd Calendar'!$T$2182=SPECIAL_LBL)*10000000+0*1000000+57*1000+16))</f>
        <v/>
      </c>
      <c r="EU216" s="35">
        <f>IF(N('Dvd Calendar'!$U$2177)=0,"",IF(('Dvd Calendar'!$U$2177&gt;=GRID_FROM)*('Dvd Calendar'!$U$2177&lt;=GRID_TO)*('Dvd Calendar'!$U$2177&lt;=VAL_DATE)=0,"",'Dvd Calendar'!$U$2177*1000000000+ISNUMBER('Dvd Calendar'!$U$2180)*100000000+('Dvd Calendar'!$U$2182=SPECIAL_LBL)*10000000+0*1000000+57*1000+17))</f>
        <v/>
      </c>
      <c r="EV216" s="35">
        <f>IF(N('Dvd Calendar'!$V$2177)=0,"",IF(('Dvd Calendar'!$V$2177&gt;=GRID_FROM)*('Dvd Calendar'!$V$2177&lt;=GRID_TO)*('Dvd Calendar'!$V$2177&lt;=VAL_DATE)=0,"",'Dvd Calendar'!$V$2177*1000000000+ISNUMBER('Dvd Calendar'!$V$2180)*100000000+('Dvd Calendar'!$V$2182=SPECIAL_LBL)*10000000+0*1000000+57*1000+18))</f>
        <v/>
      </c>
      <c r="EW216" s="35">
        <f>IF(N('Dvd Calendar'!$W$2177)=0,"",IF(('Dvd Calendar'!$W$2177&gt;=GRID_FROM)*('Dvd Calendar'!$W$2177&lt;=GRID_TO)*('Dvd Calendar'!$W$2177&lt;=VAL_DATE)=0,"",'Dvd Calendar'!$W$2177*1000000000+ISNUMBER('Dvd Calendar'!$W$2180)*100000000+('Dvd Calendar'!$W$2182=SPECIAL_LBL)*10000000+0*1000000+57*1000+19))</f>
        <v/>
      </c>
      <c r="EX216" s="35">
        <f>IF(N('Dvd Calendar'!$X$2177)=0,"",IF(('Dvd Calendar'!$X$2177&gt;=GRID_FROM)*('Dvd Calendar'!$X$2177&lt;=GRID_TO)*('Dvd Calendar'!$X$2177&lt;=VAL_DATE)=0,"",'Dvd Calendar'!$X$2177*1000000000+ISNUMBER('Dvd Calendar'!$X$2180)*100000000+('Dvd Calendar'!$X$2182=SPECIAL_LBL)*10000000+0*1000000+57*1000+20))</f>
        <v/>
      </c>
      <c r="EY216" s="35">
        <f>IF(N('Dvd Calendar'!$Y$2177)=0,"",IF(('Dvd Calendar'!$Y$2177&gt;=GRID_FROM)*('Dvd Calendar'!$Y$2177&lt;=GRID_TO)*('Dvd Calendar'!$Y$2177&lt;=VAL_DATE)=0,"",'Dvd Calendar'!$Y$2177*1000000000+ISNUMBER('Dvd Calendar'!$Y$2180)*100000000+('Dvd Calendar'!$Y$2182=SPECIAL_LBL)*10000000+0*1000000+57*1000+21))</f>
        <v/>
      </c>
      <c r="EZ216" s="35">
        <f>IF(N('Dvd Calendar'!$Z$2177)=0,"",IF(('Dvd Calendar'!$Z$2177&gt;=GRID_FROM)*('Dvd Calendar'!$Z$2177&lt;=GRID_TO)*('Dvd Calendar'!$Z$2177&lt;=VAL_DATE)=0,"",'Dvd Calendar'!$Z$2177*1000000000+ISNUMBER('Dvd Calendar'!$Z$2180)*100000000+('Dvd Calendar'!$Z$2182=SPECIAL_LBL)*10000000+0*1000000+57*1000+22))</f>
        <v/>
      </c>
      <c r="FA216" s="35">
        <f>IF(N('Dvd Calendar'!$AA$2177)=0,"",IF(('Dvd Calendar'!$AA$2177&gt;=GRID_FROM)*('Dvd Calendar'!$AA$2177&lt;=GRID_TO)*('Dvd Calendar'!$AA$2177&lt;=VAL_DATE)=0,"",'Dvd Calendar'!$AA$2177*1000000000+ISNUMBER('Dvd Calendar'!$AA$2180)*100000000+('Dvd Calendar'!$AA$2182=SPECIAL_LBL)*10000000+0*1000000+57*1000+23))</f>
        <v/>
      </c>
      <c r="FB216" s="35">
        <f>IF(N('Dvd Calendar'!$AB$2177)=0,"",IF(('Dvd Calendar'!$AB$2177&gt;=GRID_FROM)*('Dvd Calendar'!$AB$2177&lt;=GRID_TO)*('Dvd Calendar'!$AB$2177&lt;=VAL_DATE)=0,"",'Dvd Calendar'!$AB$2177*1000000000+ISNUMBER('Dvd Calendar'!$AB$2180)*100000000+('Dvd Calendar'!$AB$2182=SPECIAL_LBL)*10000000+0*1000000+57*1000+24))</f>
        <v/>
      </c>
      <c r="FC216" s="35">
        <f>IF(N('Dvd Calendar'!$AC$2177)=0,"",IF(('Dvd Calendar'!$AC$2177&gt;=GRID_FROM)*('Dvd Calendar'!$AC$2177&lt;=GRID_TO)*('Dvd Calendar'!$AC$2177&lt;=VAL_DATE)=0,"",'Dvd Calendar'!$AC$2177*1000000000+ISNUMBER('Dvd Calendar'!$AC$2180)*100000000+('Dvd Calendar'!$AC$2182=SPECIAL_LBL)*10000000+0*1000000+57*1000+25))</f>
        <v/>
      </c>
      <c r="FD216" s="35">
        <f>IF(N('Dvd Calendar'!$AD$2177)=0,"",IF(('Dvd Calendar'!$AD$2177&gt;=GRID_FROM)*('Dvd Calendar'!$AD$2177&lt;=GRID_TO)*('Dvd Calendar'!$AD$2177&lt;=VAL_DATE)=0,"",'Dvd Calendar'!$AD$2177*1000000000+ISNUMBER('Dvd Calendar'!$AD$2180)*100000000+('Dvd Calendar'!$AD$2182=SPECIAL_LBL)*10000000+0*1000000+57*1000+26))</f>
        <v/>
      </c>
      <c r="FE216" s="35">
        <f>IF(N('Dvd Calendar'!$AE$2177)=0,"",IF(('Dvd Calendar'!$AE$2177&gt;=GRID_FROM)*('Dvd Calendar'!$AE$2177&lt;=GRID_TO)*('Dvd Calendar'!$AE$2177&lt;=VAL_DATE)=0,"",'Dvd Calendar'!$AE$2177*1000000000+ISNUMBER('Dvd Calendar'!$AE$2180)*100000000+('Dvd Calendar'!$AE$2182=SPECIAL_LBL)*10000000+0*1000000+57*1000+27))</f>
        <v/>
      </c>
      <c r="FF216" s="35">
        <f>IF(N('Dvd Calendar'!$AF$2177)=0,"",IF(('Dvd Calendar'!$AF$2177&gt;=GRID_FROM)*('Dvd Calendar'!$AF$2177&lt;=GRID_TO)*('Dvd Calendar'!$AF$2177&lt;=VAL_DATE)=0,"",'Dvd Calendar'!$AF$2177*1000000000+ISNUMBER('Dvd Calendar'!$AF$2180)*100000000+('Dvd Calendar'!$AF$2182=SPECIAL_LBL)*10000000+0*1000000+57*1000+28))</f>
        <v/>
      </c>
      <c r="FG216" s="35">
        <f>IF(N('Dvd Calendar'!$AG$2177)=0,"",IF(('Dvd Calendar'!$AG$2177&gt;=GRID_FROM)*('Dvd Calendar'!$AG$2177&lt;=GRID_TO)*('Dvd Calendar'!$AG$2177&lt;=VAL_DATE)=0,"",'Dvd Calendar'!$AG$2177*1000000000+ISNUMBER('Dvd Calendar'!$AG$2180)*100000000+('Dvd Calendar'!$AG$2182=SPECIAL_LBL)*10000000+0*1000000+57*1000+29))</f>
        <v/>
      </c>
      <c r="FH216" s="35">
        <f>IF(N('Dvd Calendar'!$AH$2177)=0,"",IF(('Dvd Calendar'!$AH$2177&gt;=GRID_FROM)*('Dvd Calendar'!$AH$2177&lt;=GRID_TO)*('Dvd Calendar'!$AH$2177&lt;=VAL_DATE)=0,"",'Dvd Calendar'!$AH$2177*1000000000+ISNUMBER('Dvd Calendar'!$AH$2180)*100000000+('Dvd Calendar'!$AH$2182=SPECIAL_LBL)*10000000+0*1000000+57*1000+30))</f>
        <v/>
      </c>
      <c r="FI216" s="35">
        <f>IF(N('Dvd Calendar'!$AI$2177)=0,"",IF(('Dvd Calendar'!$AI$2177&gt;=GRID_FROM)*('Dvd Calendar'!$AI$2177&lt;=GRID_TO)*('Dvd Calendar'!$AI$2177&lt;=VAL_DATE)=0,"",'Dvd Calendar'!$AI$2177*1000000000+ISNUMBER('Dvd Calendar'!$AI$2180)*100000000+('Dvd Calendar'!$AI$2182=SPECIAL_LBL)*10000000+0*1000000+57*1000+31))</f>
        <v/>
      </c>
      <c r="FJ216" s="35">
        <f>IF(N('Dvd Calendar'!$AJ$2177)=0,"",IF(('Dvd Calendar'!$AJ$2177&gt;=GRID_FROM)*('Dvd Calendar'!$AJ$2177&lt;=GRID_TO)*('Dvd Calendar'!$AJ$2177&lt;=VAL_DATE)=0,"",'Dvd Calendar'!$AJ$2177*1000000000+ISNUMBER('Dvd Calendar'!$AJ$2180)*100000000+('Dvd Calendar'!$AJ$2182=SPECIAL_LBL)*10000000+0*1000000+57*1000+32))</f>
        <v/>
      </c>
      <c r="FK216" s="35">
        <f>IF(N('Dvd Calendar'!$AK$2177)=0,"",IF(('Dvd Calendar'!$AK$2177&gt;=GRID_FROM)*('Dvd Calendar'!$AK$2177&lt;=GRID_TO)*('Dvd Calendar'!$AK$2177&lt;=VAL_DATE)=0,"",'Dvd Calendar'!$AK$2177*1000000000+ISNUMBER('Dvd Calendar'!$AK$2180)*100000000+('Dvd Calendar'!$AK$2182=SPECIAL_LBL)*10000000+0*1000000+57*1000+33))</f>
        <v/>
      </c>
      <c r="FL216" s="35">
        <f>IF(N('Dvd Calendar'!$AL$2177)=0,"",IF(('Dvd Calendar'!$AL$2177&gt;=GRID_FROM)*('Dvd Calendar'!$AL$2177&lt;=GRID_TO)*('Dvd Calendar'!$AL$2177&lt;=VAL_DATE)=0,"",'Dvd Calendar'!$AL$2177*1000000000+ISNUMBER('Dvd Calendar'!$AL$2180)*100000000+('Dvd Calendar'!$AL$2182=SPECIAL_LBL)*10000000+0*1000000+57*1000+34))</f>
        <v/>
      </c>
      <c r="FM216" s="35">
        <f>IF(N('Dvd Calendar'!$AM$2177)=0,"",IF(('Dvd Calendar'!$AM$2177&gt;=GRID_FROM)*('Dvd Calendar'!$AM$2177&lt;=GRID_TO)*('Dvd Calendar'!$AM$2177&lt;=VAL_DATE)=0,"",'Dvd Calendar'!$AM$2177*1000000000+ISNUMBER('Dvd Calendar'!$AM$2180)*100000000+('Dvd Calendar'!$AM$2182=SPECIAL_LBL)*10000000+0*1000000+57*1000+35))</f>
        <v/>
      </c>
      <c r="FN216" s="35">
        <f>IF(N('Dvd Calendar'!$AN$2177)=0,"",IF(('Dvd Calendar'!$AN$2177&gt;=GRID_FROM)*('Dvd Calendar'!$AN$2177&lt;=GRID_TO)*('Dvd Calendar'!$AN$2177&lt;=VAL_DATE)=0,"",'Dvd Calendar'!$AN$2177*1000000000+ISNUMBER('Dvd Calendar'!$AN$2180)*100000000+('Dvd Calendar'!$AN$2182=SPECIAL_LBL)*10000000+0*1000000+57*1000+36))</f>
        <v/>
      </c>
      <c r="FO216" s="35">
        <f>IF(N('Dvd Calendar'!$AO$2177)=0,"",IF(('Dvd Calendar'!$AO$2177&gt;=GRID_FROM)*('Dvd Calendar'!$AO$2177&lt;=GRID_TO)*('Dvd Calendar'!$AO$2177&lt;=VAL_DATE)=0,"",'Dvd Calendar'!$AO$2177*1000000000+ISNUMBER('Dvd Calendar'!$AO$2180)*100000000+('Dvd Calendar'!$AO$2182=SPECIAL_LBL)*10000000+0*1000000+57*1000+37))</f>
        <v/>
      </c>
      <c r="FP216" s="35">
        <f>IF(N('Dvd Calendar'!$AP$2177)=0,"",IF(('Dvd Calendar'!$AP$2177&gt;=GRID_FROM)*('Dvd Calendar'!$AP$2177&lt;=GRID_TO)*('Dvd Calendar'!$AP$2177&lt;=VAL_DATE)=0,"",'Dvd Calendar'!$AP$2177*1000000000+ISNUMBER('Dvd Calendar'!$AP$2180)*100000000+('Dvd Calendar'!$AP$2182=SPECIAL_LBL)*10000000+0*1000000+57*1000+38))</f>
        <v/>
      </c>
      <c r="FQ216" s="35">
        <f>IF(N('Dvd Calendar'!$AQ$2177)=0,"",IF(('Dvd Calendar'!$AQ$2177&gt;=GRID_FROM)*('Dvd Calendar'!$AQ$2177&lt;=GRID_TO)*('Dvd Calendar'!$AQ$2177&lt;=VAL_DATE)=0,"",'Dvd Calendar'!$AQ$2177*1000000000+ISNUMBER('Dvd Calendar'!$AQ$2180)*100000000+('Dvd Calendar'!$AQ$2182=SPECIAL_LBL)*10000000+0*1000000+57*1000+39))</f>
        <v/>
      </c>
      <c r="FR216" s="35">
        <f>IF(N('Dvd Calendar'!$AR$2177)=0,"",IF(('Dvd Calendar'!$AR$2177&gt;=GRID_FROM)*('Dvd Calendar'!$AR$2177&lt;=GRID_TO)*('Dvd Calendar'!$AR$2177&lt;=VAL_DATE)=0,"",'Dvd Calendar'!$AR$2177*1000000000+ISNUMBER('Dvd Calendar'!$AR$2180)*100000000+('Dvd Calendar'!$AR$2182=SPECIAL_LBL)*10000000+0*1000000+57*1000+40))</f>
        <v/>
      </c>
      <c r="FS216" s="35">
        <f>IF(N('Dvd Calendar'!$E$2184)=0,"",IF(('Dvd Calendar'!$E$2184&gt;=GRID_FROM)*('Dvd Calendar'!$E$2184&lt;=GRID_TO)*('Dvd Calendar'!$E$2184&gt;VAL_DATE)=0,"",'Dvd Calendar'!$E$2184*1000000000+ISNUMBER('Dvd Calendar'!$E$2185)*100000000+0*10000000+(N('Dvd Calendar'!$E$2183)&gt;0)*(N('Dvd Calendar'!$E$2183)&lt;=VAL_SERIAL)*1000000+57*1000+41))</f>
        <v/>
      </c>
      <c r="FT216" s="35">
        <f>IF(N('Dvd Calendar'!$F$2184)=0,"",IF(('Dvd Calendar'!$F$2184&gt;=GRID_FROM)*('Dvd Calendar'!$F$2184&lt;=GRID_TO)*('Dvd Calendar'!$F$2184&gt;VAL_DATE)=0,"",'Dvd Calendar'!$F$2184*1000000000+ISNUMBER('Dvd Calendar'!$F$2185)*100000000+0*10000000+(N('Dvd Calendar'!$F$2183)&gt;0)*(N('Dvd Calendar'!$F$2183)&lt;=VAL_SERIAL)*1000000+57*1000+42))</f>
        <v/>
      </c>
      <c r="FU216" s="35">
        <f>IF(N('Dvd Calendar'!$G$2184)=0,"",IF(('Dvd Calendar'!$G$2184&gt;=GRID_FROM)*('Dvd Calendar'!$G$2184&lt;=GRID_TO)*('Dvd Calendar'!$G$2184&gt;VAL_DATE)=0,"",'Dvd Calendar'!$G$2184*1000000000+ISNUMBER('Dvd Calendar'!$G$2185)*100000000+0*10000000+(N('Dvd Calendar'!$G$2183)&gt;0)*(N('Dvd Calendar'!$G$2183)&lt;=VAL_SERIAL)*1000000+57*1000+43))</f>
        <v/>
      </c>
      <c r="FV216" s="35">
        <f>IF(N('Dvd Calendar'!$H$2184)=0,"",IF(('Dvd Calendar'!$H$2184&gt;=GRID_FROM)*('Dvd Calendar'!$H$2184&lt;=GRID_TO)*('Dvd Calendar'!$H$2184&gt;VAL_DATE)=0,"",'Dvd Calendar'!$H$2184*1000000000+ISNUMBER('Dvd Calendar'!$H$2185)*100000000+0*10000000+(N('Dvd Calendar'!$H$2183)&gt;0)*(N('Dvd Calendar'!$H$2183)&lt;=VAL_SERIAL)*1000000+57*1000+44))</f>
        <v/>
      </c>
      <c r="FW216" s="35">
        <f>IF(N('Dvd Calendar'!$I$2184)=0,"",IF(('Dvd Calendar'!$I$2184&gt;=GRID_FROM)*('Dvd Calendar'!$I$2184&lt;=GRID_TO)*('Dvd Calendar'!$I$2184&gt;VAL_DATE)=0,"",'Dvd Calendar'!$I$2184*1000000000+ISNUMBER('Dvd Calendar'!$I$2185)*100000000+0*10000000+(N('Dvd Calendar'!$I$2183)&gt;0)*(N('Dvd Calendar'!$I$2183)&lt;=VAL_SERIAL)*1000000+57*1000+45))</f>
        <v/>
      </c>
      <c r="FX216" s="35">
        <f>IF(N('Dvd Calendar'!$J$2184)=0,"",IF(('Dvd Calendar'!$J$2184&gt;=GRID_FROM)*('Dvd Calendar'!$J$2184&lt;=GRID_TO)*('Dvd Calendar'!$J$2184&gt;VAL_DATE)=0,"",'Dvd Calendar'!$J$2184*1000000000+ISNUMBER('Dvd Calendar'!$J$2185)*100000000+0*10000000+(N('Dvd Calendar'!$J$2183)&gt;0)*(N('Dvd Calendar'!$J$2183)&lt;=VAL_SERIAL)*1000000+57*1000+46))</f>
        <v/>
      </c>
      <c r="FY216" s="35">
        <f>IF(N('Dvd Calendar'!$K$2184)=0,"",IF(('Dvd Calendar'!$K$2184&gt;=GRID_FROM)*('Dvd Calendar'!$K$2184&lt;=GRID_TO)*('Dvd Calendar'!$K$2184&gt;VAL_DATE)=0,"",'Dvd Calendar'!$K$2184*1000000000+ISNUMBER('Dvd Calendar'!$K$2185)*100000000+0*10000000+(N('Dvd Calendar'!$K$2183)&gt;0)*(N('Dvd Calendar'!$K$2183)&lt;=VAL_SERIAL)*1000000+57*1000+47))</f>
        <v/>
      </c>
      <c r="FZ216" s="35">
        <f>IF(N('Dvd Calendar'!$L$2184)=0,"",IF(('Dvd Calendar'!$L$2184&gt;=GRID_FROM)*('Dvd Calendar'!$L$2184&lt;=GRID_TO)*('Dvd Calendar'!$L$2184&gt;VAL_DATE)=0,"",'Dvd Calendar'!$L$2184*1000000000+ISNUMBER('Dvd Calendar'!$L$2185)*100000000+0*10000000+(N('Dvd Calendar'!$L$2183)&gt;0)*(N('Dvd Calendar'!$L$2183)&lt;=VAL_SERIAL)*1000000+57*1000+48))</f>
        <v/>
      </c>
      <c r="GA216" s="35">
        <f>IF(N('Dvd Calendar'!$M$2184)=0,"",IF(('Dvd Calendar'!$M$2184&gt;=GRID_FROM)*('Dvd Calendar'!$M$2184&lt;=GRID_TO)*('Dvd Calendar'!$M$2184&gt;VAL_DATE)=0,"",'Dvd Calendar'!$M$2184*1000000000+ISNUMBER('Dvd Calendar'!$M$2185)*100000000+0*10000000+(N('Dvd Calendar'!$M$2183)&gt;0)*(N('Dvd Calendar'!$M$2183)&lt;=VAL_SERIAL)*1000000+57*1000+49))</f>
        <v/>
      </c>
      <c r="GB216" s="35">
        <f>IF(N('Dvd Calendar'!$N$2184)=0,"",IF(('Dvd Calendar'!$N$2184&gt;=GRID_FROM)*('Dvd Calendar'!$N$2184&lt;=GRID_TO)*('Dvd Calendar'!$N$2184&gt;VAL_DATE)=0,"",'Dvd Calendar'!$N$2184*1000000000+ISNUMBER('Dvd Calendar'!$N$2185)*100000000+0*10000000+(N('Dvd Calendar'!$N$2183)&gt;0)*(N('Dvd Calendar'!$N$2183)&lt;=VAL_SERIAL)*1000000+57*1000+50))</f>
        <v/>
      </c>
      <c r="GC216" s="35">
        <f>IF(N('Dvd Calendar'!$O$2184)=0,"",IF(('Dvd Calendar'!$O$2184&gt;=GRID_FROM)*('Dvd Calendar'!$O$2184&lt;=GRID_TO)*('Dvd Calendar'!$O$2184&gt;VAL_DATE)=0,"",'Dvd Calendar'!$O$2184*1000000000+ISNUMBER('Dvd Calendar'!$O$2185)*100000000+0*10000000+(N('Dvd Calendar'!$O$2183)&gt;0)*(N('Dvd Calendar'!$O$2183)&lt;=VAL_SERIAL)*1000000+57*1000+51))</f>
        <v/>
      </c>
      <c r="GD216" s="35">
        <f>IF(N('Dvd Calendar'!$P$2184)=0,"",IF(('Dvd Calendar'!$P$2184&gt;=GRID_FROM)*('Dvd Calendar'!$P$2184&lt;=GRID_TO)*('Dvd Calendar'!$P$2184&gt;VAL_DATE)=0,"",'Dvd Calendar'!$P$2184*1000000000+ISNUMBER('Dvd Calendar'!$P$2185)*100000000+0*10000000+(N('Dvd Calendar'!$P$2183)&gt;0)*(N('Dvd Calendar'!$P$2183)&lt;=VAL_SERIAL)*1000000+57*1000+52))</f>
        <v/>
      </c>
      <c r="GE216" s="35">
        <f>IF(N('Dvd Calendar'!$Q$2184)=0,"",IF(('Dvd Calendar'!$Q$2184&gt;=GRID_FROM)*('Dvd Calendar'!$Q$2184&lt;=GRID_TO)*('Dvd Calendar'!$Q$2184&gt;VAL_DATE)=0,"",'Dvd Calendar'!$Q$2184*1000000000+ISNUMBER('Dvd Calendar'!$Q$2185)*100000000+0*10000000+(N('Dvd Calendar'!$Q$2183)&gt;0)*(N('Dvd Calendar'!$Q$2183)&lt;=VAL_SERIAL)*1000000+57*1000+53))</f>
        <v/>
      </c>
      <c r="GF216" s="35">
        <f>IF(N('Dvd Calendar'!$R$2184)=0,"",IF(('Dvd Calendar'!$R$2184&gt;=GRID_FROM)*('Dvd Calendar'!$R$2184&lt;=GRID_TO)*('Dvd Calendar'!$R$2184&gt;VAL_DATE)=0,"",'Dvd Calendar'!$R$2184*1000000000+ISNUMBER('Dvd Calendar'!$R$2185)*100000000+0*10000000+(N('Dvd Calendar'!$R$2183)&gt;0)*(N('Dvd Calendar'!$R$2183)&lt;=VAL_SERIAL)*1000000+57*1000+54))</f>
        <v/>
      </c>
      <c r="GG216" s="35">
        <f>IF(N('Dvd Calendar'!$S$2184)=0,"",IF(('Dvd Calendar'!$S$2184&gt;=GRID_FROM)*('Dvd Calendar'!$S$2184&lt;=GRID_TO)*('Dvd Calendar'!$S$2184&gt;VAL_DATE)=0,"",'Dvd Calendar'!$S$2184*1000000000+ISNUMBER('Dvd Calendar'!$S$2185)*100000000+0*10000000+(N('Dvd Calendar'!$S$2183)&gt;0)*(N('Dvd Calendar'!$S$2183)&lt;=VAL_SERIAL)*1000000+57*1000+55))</f>
        <v/>
      </c>
      <c r="GH216" s="35">
        <f>IF(N('Dvd Calendar'!$T$2184)=0,"",IF(('Dvd Calendar'!$T$2184&gt;=GRID_FROM)*('Dvd Calendar'!$T$2184&lt;=GRID_TO)*('Dvd Calendar'!$T$2184&gt;VAL_DATE)=0,"",'Dvd Calendar'!$T$2184*1000000000+ISNUMBER('Dvd Calendar'!$T$2185)*100000000+0*10000000+(N('Dvd Calendar'!$T$2183)&gt;0)*(N('Dvd Calendar'!$T$2183)&lt;=VAL_SERIAL)*1000000+57*1000+56))</f>
        <v/>
      </c>
      <c r="GI216" s="35">
        <f>IF(N('Dvd Calendar'!$U$2184)=0,"",IF(('Dvd Calendar'!$U$2184&gt;=GRID_FROM)*('Dvd Calendar'!$U$2184&lt;=GRID_TO)*('Dvd Calendar'!$U$2184&gt;VAL_DATE)=0,"",'Dvd Calendar'!$U$2184*1000000000+ISNUMBER('Dvd Calendar'!$U$2185)*100000000+0*10000000+(N('Dvd Calendar'!$U$2183)&gt;0)*(N('Dvd Calendar'!$U$2183)&lt;=VAL_SERIAL)*1000000+57*1000+57))</f>
        <v/>
      </c>
      <c r="GJ216" s="35">
        <f>IF(N('Dvd Calendar'!$V$2184)=0,"",IF(('Dvd Calendar'!$V$2184&gt;=GRID_FROM)*('Dvd Calendar'!$V$2184&lt;=GRID_TO)*('Dvd Calendar'!$V$2184&gt;VAL_DATE)=0,"",'Dvd Calendar'!$V$2184*1000000000+ISNUMBER('Dvd Calendar'!$V$2185)*100000000+0*10000000+(N('Dvd Calendar'!$V$2183)&gt;0)*(N('Dvd Calendar'!$V$2183)&lt;=VAL_SERIAL)*1000000+57*1000+58))</f>
        <v/>
      </c>
      <c r="GK216" s="35">
        <f>IF(N('Dvd Calendar'!$W$2184)=0,"",IF(('Dvd Calendar'!$W$2184&gt;=GRID_FROM)*('Dvd Calendar'!$W$2184&lt;=GRID_TO)*('Dvd Calendar'!$W$2184&gt;VAL_DATE)=0,"",'Dvd Calendar'!$W$2184*1000000000+ISNUMBER('Dvd Calendar'!$W$2185)*100000000+0*10000000+(N('Dvd Calendar'!$W$2183)&gt;0)*(N('Dvd Calendar'!$W$2183)&lt;=VAL_SERIAL)*1000000+57*1000+59))</f>
        <v/>
      </c>
      <c r="GL216" s="35">
        <f>IF(N('Dvd Calendar'!$X$2184)=0,"",IF(('Dvd Calendar'!$X$2184&gt;=GRID_FROM)*('Dvd Calendar'!$X$2184&lt;=GRID_TO)*('Dvd Calendar'!$X$2184&gt;VAL_DATE)=0,"",'Dvd Calendar'!$X$2184*1000000000+ISNUMBER('Dvd Calendar'!$X$2185)*100000000+0*10000000+(N('Dvd Calendar'!$X$2183)&gt;0)*(N('Dvd Calendar'!$X$2183)&lt;=VAL_SERIAL)*1000000+57*1000+60))</f>
        <v/>
      </c>
      <c r="GM216" s="35">
        <f>IF(N('Dvd Calendar'!$Y$2184)=0,"",IF(('Dvd Calendar'!$Y$2184&gt;=GRID_FROM)*('Dvd Calendar'!$Y$2184&lt;=GRID_TO)*('Dvd Calendar'!$Y$2184&gt;VAL_DATE)=0,"",'Dvd Calendar'!$Y$2184*1000000000+ISNUMBER('Dvd Calendar'!$Y$2185)*100000000+0*10000000+(N('Dvd Calendar'!$Y$2183)&gt;0)*(N('Dvd Calendar'!$Y$2183)&lt;=VAL_SERIAL)*1000000+57*1000+61))</f>
        <v/>
      </c>
      <c r="GN216" s="35">
        <f>IF(N('Dvd Calendar'!$Z$2184)=0,"",IF(('Dvd Calendar'!$Z$2184&gt;=GRID_FROM)*('Dvd Calendar'!$Z$2184&lt;=GRID_TO)*('Dvd Calendar'!$Z$2184&gt;VAL_DATE)=0,"",'Dvd Calendar'!$Z$2184*1000000000+ISNUMBER('Dvd Calendar'!$Z$2185)*100000000+0*10000000+(N('Dvd Calendar'!$Z$2183)&gt;0)*(N('Dvd Calendar'!$Z$2183)&lt;=VAL_SERIAL)*1000000+57*1000+62))</f>
        <v/>
      </c>
      <c r="GO216" s="35">
        <f>IF(N('Dvd Calendar'!$AA$2184)=0,"",IF(('Dvd Calendar'!$AA$2184&gt;=GRID_FROM)*('Dvd Calendar'!$AA$2184&lt;=GRID_TO)*('Dvd Calendar'!$AA$2184&gt;VAL_DATE)=0,"",'Dvd Calendar'!$AA$2184*1000000000+ISNUMBER('Dvd Calendar'!$AA$2185)*100000000+0*10000000+(N('Dvd Calendar'!$AA$2183)&gt;0)*(N('Dvd Calendar'!$AA$2183)&lt;=VAL_SERIAL)*1000000+57*1000+63))</f>
        <v/>
      </c>
      <c r="GP216" s="35">
        <f>IF(N('Dvd Calendar'!$AB$2184)=0,"",IF(('Dvd Calendar'!$AB$2184&gt;=GRID_FROM)*('Dvd Calendar'!$AB$2184&lt;=GRID_TO)*('Dvd Calendar'!$AB$2184&gt;VAL_DATE)=0,"",'Dvd Calendar'!$AB$2184*1000000000+ISNUMBER('Dvd Calendar'!$AB$2185)*100000000+0*10000000+(N('Dvd Calendar'!$AB$2183)&gt;0)*(N('Dvd Calendar'!$AB$2183)&lt;=VAL_SERIAL)*1000000+57*1000+64))</f>
        <v/>
      </c>
      <c r="GQ216" s="35">
        <f>IF(N('Dvd Calendar'!$AC$2184)=0,"",IF(('Dvd Calendar'!$AC$2184&gt;=GRID_FROM)*('Dvd Calendar'!$AC$2184&lt;=GRID_TO)*('Dvd Calendar'!$AC$2184&gt;VAL_DATE)=0,"",'Dvd Calendar'!$AC$2184*1000000000+ISNUMBER('Dvd Calendar'!$AC$2185)*100000000+0*10000000+(N('Dvd Calendar'!$AC$2183)&gt;0)*(N('Dvd Calendar'!$AC$2183)&lt;=VAL_SERIAL)*1000000+57*1000+65))</f>
        <v/>
      </c>
    </row>
    <row r="217">
      <c r="B217" s="2">
        <f>IF(HSCEI!$C$64="","",HSCEI!$C$64)</f>
        <v/>
      </c>
      <c r="C217" s="106">
        <f>IF(EE217="","",IF(ISNUMBER('Dvd Calendar'!$E$2191)=FALSE,"",IF((('Dvd Calendar'!$E$2193=TYPE1)*(TYPE1&lt;&gt;"")+('Dvd Calendar'!$E$2193=TYPE2)*(TYPE2&lt;&gt;"")+('Dvd Calendar'!$E$2193=TYPE3)*(TYPE3&lt;&gt;"")+('Dvd Calendar'!$E$2193=TYPE4)*(TYPE4&lt;&gt;"")+('Dvd Calendar'!$E$2193=SPECIAL_LBL)*(INC_SPECIALS="Y"))=0,"",'Dvd Calendar'!$E$2191)))</f>
        <v/>
      </c>
      <c r="D217" s="106">
        <f>IF(EF217="","",IF(ISNUMBER('Dvd Calendar'!$F$2191)=FALSE,"",IF((('Dvd Calendar'!$F$2193=TYPE1)*(TYPE1&lt;&gt;"")+('Dvd Calendar'!$F$2193=TYPE2)*(TYPE2&lt;&gt;"")+('Dvd Calendar'!$F$2193=TYPE3)*(TYPE3&lt;&gt;"")+('Dvd Calendar'!$F$2193=TYPE4)*(TYPE4&lt;&gt;"")+('Dvd Calendar'!$F$2193=SPECIAL_LBL)*(INC_SPECIALS="Y"))=0,"",'Dvd Calendar'!$F$2191)))</f>
        <v/>
      </c>
      <c r="E217" s="106">
        <f>IF(EG217="","",IF(ISNUMBER('Dvd Calendar'!$G$2191)=FALSE,"",IF((('Dvd Calendar'!$G$2193=TYPE1)*(TYPE1&lt;&gt;"")+('Dvd Calendar'!$G$2193=TYPE2)*(TYPE2&lt;&gt;"")+('Dvd Calendar'!$G$2193=TYPE3)*(TYPE3&lt;&gt;"")+('Dvd Calendar'!$G$2193=TYPE4)*(TYPE4&lt;&gt;"")+('Dvd Calendar'!$G$2193=SPECIAL_LBL)*(INC_SPECIALS="Y"))=0,"",'Dvd Calendar'!$G$2191)))</f>
        <v/>
      </c>
      <c r="F217" s="106">
        <f>IF(EH217="","",IF(ISNUMBER('Dvd Calendar'!$H$2191)=FALSE,"",IF((('Dvd Calendar'!$H$2193=TYPE1)*(TYPE1&lt;&gt;"")+('Dvd Calendar'!$H$2193=TYPE2)*(TYPE2&lt;&gt;"")+('Dvd Calendar'!$H$2193=TYPE3)*(TYPE3&lt;&gt;"")+('Dvd Calendar'!$H$2193=TYPE4)*(TYPE4&lt;&gt;"")+('Dvd Calendar'!$H$2193=SPECIAL_LBL)*(INC_SPECIALS="Y"))=0,"",'Dvd Calendar'!$H$2191)))</f>
        <v/>
      </c>
      <c r="G217" s="106">
        <f>IF(EI217="","",IF(ISNUMBER('Dvd Calendar'!$I$2191)=FALSE,"",IF((('Dvd Calendar'!$I$2193=TYPE1)*(TYPE1&lt;&gt;"")+('Dvd Calendar'!$I$2193=TYPE2)*(TYPE2&lt;&gt;"")+('Dvd Calendar'!$I$2193=TYPE3)*(TYPE3&lt;&gt;"")+('Dvd Calendar'!$I$2193=TYPE4)*(TYPE4&lt;&gt;"")+('Dvd Calendar'!$I$2193=SPECIAL_LBL)*(INC_SPECIALS="Y"))=0,"",'Dvd Calendar'!$I$2191)))</f>
        <v/>
      </c>
      <c r="H217" s="106">
        <f>IF(EJ217="","",IF(ISNUMBER('Dvd Calendar'!$J$2191)=FALSE,"",IF((('Dvd Calendar'!$J$2193=TYPE1)*(TYPE1&lt;&gt;"")+('Dvd Calendar'!$J$2193=TYPE2)*(TYPE2&lt;&gt;"")+('Dvd Calendar'!$J$2193=TYPE3)*(TYPE3&lt;&gt;"")+('Dvd Calendar'!$J$2193=TYPE4)*(TYPE4&lt;&gt;"")+('Dvd Calendar'!$J$2193=SPECIAL_LBL)*(INC_SPECIALS="Y"))=0,"",'Dvd Calendar'!$J$2191)))</f>
        <v/>
      </c>
      <c r="I217" s="106">
        <f>IF(EK217="","",IF(ISNUMBER('Dvd Calendar'!$K$2191)=FALSE,"",IF((('Dvd Calendar'!$K$2193=TYPE1)*(TYPE1&lt;&gt;"")+('Dvd Calendar'!$K$2193=TYPE2)*(TYPE2&lt;&gt;"")+('Dvd Calendar'!$K$2193=TYPE3)*(TYPE3&lt;&gt;"")+('Dvd Calendar'!$K$2193=TYPE4)*(TYPE4&lt;&gt;"")+('Dvd Calendar'!$K$2193=SPECIAL_LBL)*(INC_SPECIALS="Y"))=0,"",'Dvd Calendar'!$K$2191)))</f>
        <v/>
      </c>
      <c r="J217" s="106">
        <f>IF(EL217="","",IF(ISNUMBER('Dvd Calendar'!$L$2191)=FALSE,"",IF((('Dvd Calendar'!$L$2193=TYPE1)*(TYPE1&lt;&gt;"")+('Dvd Calendar'!$L$2193=TYPE2)*(TYPE2&lt;&gt;"")+('Dvd Calendar'!$L$2193=TYPE3)*(TYPE3&lt;&gt;"")+('Dvd Calendar'!$L$2193=TYPE4)*(TYPE4&lt;&gt;"")+('Dvd Calendar'!$L$2193=SPECIAL_LBL)*(INC_SPECIALS="Y"))=0,"",'Dvd Calendar'!$L$2191)))</f>
        <v/>
      </c>
      <c r="K217" s="106">
        <f>IF(EM217="","",IF(ISNUMBER('Dvd Calendar'!$M$2191)=FALSE,"",IF((('Dvd Calendar'!$M$2193=TYPE1)*(TYPE1&lt;&gt;"")+('Dvd Calendar'!$M$2193=TYPE2)*(TYPE2&lt;&gt;"")+('Dvd Calendar'!$M$2193=TYPE3)*(TYPE3&lt;&gt;"")+('Dvd Calendar'!$M$2193=TYPE4)*(TYPE4&lt;&gt;"")+('Dvd Calendar'!$M$2193=SPECIAL_LBL)*(INC_SPECIALS="Y"))=0,"",'Dvd Calendar'!$M$2191)))</f>
        <v/>
      </c>
      <c r="L217" s="106">
        <f>IF(EN217="","",IF(ISNUMBER('Dvd Calendar'!$N$2191)=FALSE,"",IF((('Dvd Calendar'!$N$2193=TYPE1)*(TYPE1&lt;&gt;"")+('Dvd Calendar'!$N$2193=TYPE2)*(TYPE2&lt;&gt;"")+('Dvd Calendar'!$N$2193=TYPE3)*(TYPE3&lt;&gt;"")+('Dvd Calendar'!$N$2193=TYPE4)*(TYPE4&lt;&gt;"")+('Dvd Calendar'!$N$2193=SPECIAL_LBL)*(INC_SPECIALS="Y"))=0,"",'Dvd Calendar'!$N$2191)))</f>
        <v/>
      </c>
      <c r="M217" s="106">
        <f>IF(EO217="","",IF(ISNUMBER('Dvd Calendar'!$O$2191)=FALSE,"",IF((('Dvd Calendar'!$O$2193=TYPE1)*(TYPE1&lt;&gt;"")+('Dvd Calendar'!$O$2193=TYPE2)*(TYPE2&lt;&gt;"")+('Dvd Calendar'!$O$2193=TYPE3)*(TYPE3&lt;&gt;"")+('Dvd Calendar'!$O$2193=TYPE4)*(TYPE4&lt;&gt;"")+('Dvd Calendar'!$O$2193=SPECIAL_LBL)*(INC_SPECIALS="Y"))=0,"",'Dvd Calendar'!$O$2191)))</f>
        <v/>
      </c>
      <c r="N217" s="106">
        <f>IF(EP217="","",IF(ISNUMBER('Dvd Calendar'!$P$2191)=FALSE,"",IF((('Dvd Calendar'!$P$2193=TYPE1)*(TYPE1&lt;&gt;"")+('Dvd Calendar'!$P$2193=TYPE2)*(TYPE2&lt;&gt;"")+('Dvd Calendar'!$P$2193=TYPE3)*(TYPE3&lt;&gt;"")+('Dvd Calendar'!$P$2193=TYPE4)*(TYPE4&lt;&gt;"")+('Dvd Calendar'!$P$2193=SPECIAL_LBL)*(INC_SPECIALS="Y"))=0,"",'Dvd Calendar'!$P$2191)))</f>
        <v/>
      </c>
      <c r="O217" s="106">
        <f>IF(EQ217="","",IF(ISNUMBER('Dvd Calendar'!$Q$2191)=FALSE,"",IF((('Dvd Calendar'!$Q$2193=TYPE1)*(TYPE1&lt;&gt;"")+('Dvd Calendar'!$Q$2193=TYPE2)*(TYPE2&lt;&gt;"")+('Dvd Calendar'!$Q$2193=TYPE3)*(TYPE3&lt;&gt;"")+('Dvd Calendar'!$Q$2193=TYPE4)*(TYPE4&lt;&gt;"")+('Dvd Calendar'!$Q$2193=SPECIAL_LBL)*(INC_SPECIALS="Y"))=0,"",'Dvd Calendar'!$Q$2191)))</f>
        <v/>
      </c>
      <c r="P217" s="106">
        <f>IF(ER217="","",IF(ISNUMBER('Dvd Calendar'!$R$2191)=FALSE,"",IF((('Dvd Calendar'!$R$2193=TYPE1)*(TYPE1&lt;&gt;"")+('Dvd Calendar'!$R$2193=TYPE2)*(TYPE2&lt;&gt;"")+('Dvd Calendar'!$R$2193=TYPE3)*(TYPE3&lt;&gt;"")+('Dvd Calendar'!$R$2193=TYPE4)*(TYPE4&lt;&gt;"")+('Dvd Calendar'!$R$2193=SPECIAL_LBL)*(INC_SPECIALS="Y"))=0,"",'Dvd Calendar'!$R$2191)))</f>
        <v/>
      </c>
      <c r="Q217" s="106">
        <f>IF(ES217="","",IF(ISNUMBER('Dvd Calendar'!$S$2191)=FALSE,"",IF((('Dvd Calendar'!$S$2193=TYPE1)*(TYPE1&lt;&gt;"")+('Dvd Calendar'!$S$2193=TYPE2)*(TYPE2&lt;&gt;"")+('Dvd Calendar'!$S$2193=TYPE3)*(TYPE3&lt;&gt;"")+('Dvd Calendar'!$S$2193=TYPE4)*(TYPE4&lt;&gt;"")+('Dvd Calendar'!$S$2193=SPECIAL_LBL)*(INC_SPECIALS="Y"))=0,"",'Dvd Calendar'!$S$2191)))</f>
        <v/>
      </c>
      <c r="R217" s="106">
        <f>IF(ET217="","",IF(ISNUMBER('Dvd Calendar'!$T$2191)=FALSE,"",IF((('Dvd Calendar'!$T$2193=TYPE1)*(TYPE1&lt;&gt;"")+('Dvd Calendar'!$T$2193=TYPE2)*(TYPE2&lt;&gt;"")+('Dvd Calendar'!$T$2193=TYPE3)*(TYPE3&lt;&gt;"")+('Dvd Calendar'!$T$2193=TYPE4)*(TYPE4&lt;&gt;"")+('Dvd Calendar'!$T$2193=SPECIAL_LBL)*(INC_SPECIALS="Y"))=0,"",'Dvd Calendar'!$T$2191)))</f>
        <v/>
      </c>
      <c r="S217" s="106">
        <f>IF(EU217="","",IF(ISNUMBER('Dvd Calendar'!$U$2191)=FALSE,"",IF((('Dvd Calendar'!$U$2193=TYPE1)*(TYPE1&lt;&gt;"")+('Dvd Calendar'!$U$2193=TYPE2)*(TYPE2&lt;&gt;"")+('Dvd Calendar'!$U$2193=TYPE3)*(TYPE3&lt;&gt;"")+('Dvd Calendar'!$U$2193=TYPE4)*(TYPE4&lt;&gt;"")+('Dvd Calendar'!$U$2193=SPECIAL_LBL)*(INC_SPECIALS="Y"))=0,"",'Dvd Calendar'!$U$2191)))</f>
        <v/>
      </c>
      <c r="T217" s="106">
        <f>IF(EV217="","",IF(ISNUMBER('Dvd Calendar'!$V$2191)=FALSE,"",IF((('Dvd Calendar'!$V$2193=TYPE1)*(TYPE1&lt;&gt;"")+('Dvd Calendar'!$V$2193=TYPE2)*(TYPE2&lt;&gt;"")+('Dvd Calendar'!$V$2193=TYPE3)*(TYPE3&lt;&gt;"")+('Dvd Calendar'!$V$2193=TYPE4)*(TYPE4&lt;&gt;"")+('Dvd Calendar'!$V$2193=SPECIAL_LBL)*(INC_SPECIALS="Y"))=0,"",'Dvd Calendar'!$V$2191)))</f>
        <v/>
      </c>
      <c r="U217" s="106">
        <f>IF(EW217="","",IF(ISNUMBER('Dvd Calendar'!$W$2191)=FALSE,"",IF((('Dvd Calendar'!$W$2193=TYPE1)*(TYPE1&lt;&gt;"")+('Dvd Calendar'!$W$2193=TYPE2)*(TYPE2&lt;&gt;"")+('Dvd Calendar'!$W$2193=TYPE3)*(TYPE3&lt;&gt;"")+('Dvd Calendar'!$W$2193=TYPE4)*(TYPE4&lt;&gt;"")+('Dvd Calendar'!$W$2193=SPECIAL_LBL)*(INC_SPECIALS="Y"))=0,"",'Dvd Calendar'!$W$2191)))</f>
        <v/>
      </c>
      <c r="V217" s="106">
        <f>IF(EX217="","",IF(ISNUMBER('Dvd Calendar'!$X$2191)=FALSE,"",IF((('Dvd Calendar'!$X$2193=TYPE1)*(TYPE1&lt;&gt;"")+('Dvd Calendar'!$X$2193=TYPE2)*(TYPE2&lt;&gt;"")+('Dvd Calendar'!$X$2193=TYPE3)*(TYPE3&lt;&gt;"")+('Dvd Calendar'!$X$2193=TYPE4)*(TYPE4&lt;&gt;"")+('Dvd Calendar'!$X$2193=SPECIAL_LBL)*(INC_SPECIALS="Y"))=0,"",'Dvd Calendar'!$X$2191)))</f>
        <v/>
      </c>
      <c r="W217" s="106">
        <f>IF(EY217="","",IF(ISNUMBER('Dvd Calendar'!$Y$2191)=FALSE,"",IF((('Dvd Calendar'!$Y$2193=TYPE1)*(TYPE1&lt;&gt;"")+('Dvd Calendar'!$Y$2193=TYPE2)*(TYPE2&lt;&gt;"")+('Dvd Calendar'!$Y$2193=TYPE3)*(TYPE3&lt;&gt;"")+('Dvd Calendar'!$Y$2193=TYPE4)*(TYPE4&lt;&gt;"")+('Dvd Calendar'!$Y$2193=SPECIAL_LBL)*(INC_SPECIALS="Y"))=0,"",'Dvd Calendar'!$Y$2191)))</f>
        <v/>
      </c>
      <c r="X217" s="106">
        <f>IF(EZ217="","",IF(ISNUMBER('Dvd Calendar'!$Z$2191)=FALSE,"",IF((('Dvd Calendar'!$Z$2193=TYPE1)*(TYPE1&lt;&gt;"")+('Dvd Calendar'!$Z$2193=TYPE2)*(TYPE2&lt;&gt;"")+('Dvd Calendar'!$Z$2193=TYPE3)*(TYPE3&lt;&gt;"")+('Dvd Calendar'!$Z$2193=TYPE4)*(TYPE4&lt;&gt;"")+('Dvd Calendar'!$Z$2193=SPECIAL_LBL)*(INC_SPECIALS="Y"))=0,"",'Dvd Calendar'!$Z$2191)))</f>
        <v/>
      </c>
      <c r="Y217" s="106">
        <f>IF(FA217="","",IF(ISNUMBER('Dvd Calendar'!$AA$2191)=FALSE,"",IF((('Dvd Calendar'!$AA$2193=TYPE1)*(TYPE1&lt;&gt;"")+('Dvd Calendar'!$AA$2193=TYPE2)*(TYPE2&lt;&gt;"")+('Dvd Calendar'!$AA$2193=TYPE3)*(TYPE3&lt;&gt;"")+('Dvd Calendar'!$AA$2193=TYPE4)*(TYPE4&lt;&gt;"")+('Dvd Calendar'!$AA$2193=SPECIAL_LBL)*(INC_SPECIALS="Y"))=0,"",'Dvd Calendar'!$AA$2191)))</f>
        <v/>
      </c>
      <c r="Z217" s="106">
        <f>IF(FB217="","",IF(ISNUMBER('Dvd Calendar'!$AB$2191)=FALSE,"",IF((('Dvd Calendar'!$AB$2193=TYPE1)*(TYPE1&lt;&gt;"")+('Dvd Calendar'!$AB$2193=TYPE2)*(TYPE2&lt;&gt;"")+('Dvd Calendar'!$AB$2193=TYPE3)*(TYPE3&lt;&gt;"")+('Dvd Calendar'!$AB$2193=TYPE4)*(TYPE4&lt;&gt;"")+('Dvd Calendar'!$AB$2193=SPECIAL_LBL)*(INC_SPECIALS="Y"))=0,"",'Dvd Calendar'!$AB$2191)))</f>
        <v/>
      </c>
      <c r="AA217" s="106">
        <f>IF(FC217="","",IF(ISNUMBER('Dvd Calendar'!$AC$2191)=FALSE,"",IF((('Dvd Calendar'!$AC$2193=TYPE1)*(TYPE1&lt;&gt;"")+('Dvd Calendar'!$AC$2193=TYPE2)*(TYPE2&lt;&gt;"")+('Dvd Calendar'!$AC$2193=TYPE3)*(TYPE3&lt;&gt;"")+('Dvd Calendar'!$AC$2193=TYPE4)*(TYPE4&lt;&gt;"")+('Dvd Calendar'!$AC$2193=SPECIAL_LBL)*(INC_SPECIALS="Y"))=0,"",'Dvd Calendar'!$AC$2191)))</f>
        <v/>
      </c>
      <c r="AB217" s="106">
        <f>IF(FD217="","",IF(ISNUMBER('Dvd Calendar'!$AD$2191)=FALSE,"",IF((('Dvd Calendar'!$AD$2193=TYPE1)*(TYPE1&lt;&gt;"")+('Dvd Calendar'!$AD$2193=TYPE2)*(TYPE2&lt;&gt;"")+('Dvd Calendar'!$AD$2193=TYPE3)*(TYPE3&lt;&gt;"")+('Dvd Calendar'!$AD$2193=TYPE4)*(TYPE4&lt;&gt;"")+('Dvd Calendar'!$AD$2193=SPECIAL_LBL)*(INC_SPECIALS="Y"))=0,"",'Dvd Calendar'!$AD$2191)))</f>
        <v/>
      </c>
      <c r="AC217" s="106">
        <f>IF(FE217="","",IF(ISNUMBER('Dvd Calendar'!$AE$2191)=FALSE,"",IF((('Dvd Calendar'!$AE$2193=TYPE1)*(TYPE1&lt;&gt;"")+('Dvd Calendar'!$AE$2193=TYPE2)*(TYPE2&lt;&gt;"")+('Dvd Calendar'!$AE$2193=TYPE3)*(TYPE3&lt;&gt;"")+('Dvd Calendar'!$AE$2193=TYPE4)*(TYPE4&lt;&gt;"")+('Dvd Calendar'!$AE$2193=SPECIAL_LBL)*(INC_SPECIALS="Y"))=0,"",'Dvd Calendar'!$AE$2191)))</f>
        <v/>
      </c>
      <c r="AD217" s="106">
        <f>IF(FF217="","",IF(ISNUMBER('Dvd Calendar'!$AF$2191)=FALSE,"",IF((('Dvd Calendar'!$AF$2193=TYPE1)*(TYPE1&lt;&gt;"")+('Dvd Calendar'!$AF$2193=TYPE2)*(TYPE2&lt;&gt;"")+('Dvd Calendar'!$AF$2193=TYPE3)*(TYPE3&lt;&gt;"")+('Dvd Calendar'!$AF$2193=TYPE4)*(TYPE4&lt;&gt;"")+('Dvd Calendar'!$AF$2193=SPECIAL_LBL)*(INC_SPECIALS="Y"))=0,"",'Dvd Calendar'!$AF$2191)))</f>
        <v/>
      </c>
      <c r="AE217" s="106">
        <f>IF(FG217="","",IF(ISNUMBER('Dvd Calendar'!$AG$2191)=FALSE,"",IF((('Dvd Calendar'!$AG$2193=TYPE1)*(TYPE1&lt;&gt;"")+('Dvd Calendar'!$AG$2193=TYPE2)*(TYPE2&lt;&gt;"")+('Dvd Calendar'!$AG$2193=TYPE3)*(TYPE3&lt;&gt;"")+('Dvd Calendar'!$AG$2193=TYPE4)*(TYPE4&lt;&gt;"")+('Dvd Calendar'!$AG$2193=SPECIAL_LBL)*(INC_SPECIALS="Y"))=0,"",'Dvd Calendar'!$AG$2191)))</f>
        <v/>
      </c>
      <c r="AF217" s="106">
        <f>IF(FH217="","",IF(ISNUMBER('Dvd Calendar'!$AH$2191)=FALSE,"",IF((('Dvd Calendar'!$AH$2193=TYPE1)*(TYPE1&lt;&gt;"")+('Dvd Calendar'!$AH$2193=TYPE2)*(TYPE2&lt;&gt;"")+('Dvd Calendar'!$AH$2193=TYPE3)*(TYPE3&lt;&gt;"")+('Dvd Calendar'!$AH$2193=TYPE4)*(TYPE4&lt;&gt;"")+('Dvd Calendar'!$AH$2193=SPECIAL_LBL)*(INC_SPECIALS="Y"))=0,"",'Dvd Calendar'!$AH$2191)))</f>
        <v/>
      </c>
      <c r="AG217" s="106">
        <f>IF(FI217="","",IF(ISNUMBER('Dvd Calendar'!$AI$2191)=FALSE,"",IF((('Dvd Calendar'!$AI$2193=TYPE1)*(TYPE1&lt;&gt;"")+('Dvd Calendar'!$AI$2193=TYPE2)*(TYPE2&lt;&gt;"")+('Dvd Calendar'!$AI$2193=TYPE3)*(TYPE3&lt;&gt;"")+('Dvd Calendar'!$AI$2193=TYPE4)*(TYPE4&lt;&gt;"")+('Dvd Calendar'!$AI$2193=SPECIAL_LBL)*(INC_SPECIALS="Y"))=0,"",'Dvd Calendar'!$AI$2191)))</f>
        <v/>
      </c>
      <c r="AH217" s="106">
        <f>IF(FJ217="","",IF(ISNUMBER('Dvd Calendar'!$AJ$2191)=FALSE,"",IF((('Dvd Calendar'!$AJ$2193=TYPE1)*(TYPE1&lt;&gt;"")+('Dvd Calendar'!$AJ$2193=TYPE2)*(TYPE2&lt;&gt;"")+('Dvd Calendar'!$AJ$2193=TYPE3)*(TYPE3&lt;&gt;"")+('Dvd Calendar'!$AJ$2193=TYPE4)*(TYPE4&lt;&gt;"")+('Dvd Calendar'!$AJ$2193=SPECIAL_LBL)*(INC_SPECIALS="Y"))=0,"",'Dvd Calendar'!$AJ$2191)))</f>
        <v/>
      </c>
      <c r="AI217" s="106">
        <f>IF(FK217="","",IF(ISNUMBER('Dvd Calendar'!$AK$2191)=FALSE,"",IF((('Dvd Calendar'!$AK$2193=TYPE1)*(TYPE1&lt;&gt;"")+('Dvd Calendar'!$AK$2193=TYPE2)*(TYPE2&lt;&gt;"")+('Dvd Calendar'!$AK$2193=TYPE3)*(TYPE3&lt;&gt;"")+('Dvd Calendar'!$AK$2193=TYPE4)*(TYPE4&lt;&gt;"")+('Dvd Calendar'!$AK$2193=SPECIAL_LBL)*(INC_SPECIALS="Y"))=0,"",'Dvd Calendar'!$AK$2191)))</f>
        <v/>
      </c>
      <c r="AJ217" s="106">
        <f>IF(FL217="","",IF(ISNUMBER('Dvd Calendar'!$AL$2191)=FALSE,"",IF((('Dvd Calendar'!$AL$2193=TYPE1)*(TYPE1&lt;&gt;"")+('Dvd Calendar'!$AL$2193=TYPE2)*(TYPE2&lt;&gt;"")+('Dvd Calendar'!$AL$2193=TYPE3)*(TYPE3&lt;&gt;"")+('Dvd Calendar'!$AL$2193=TYPE4)*(TYPE4&lt;&gt;"")+('Dvd Calendar'!$AL$2193=SPECIAL_LBL)*(INC_SPECIALS="Y"))=0,"",'Dvd Calendar'!$AL$2191)))</f>
        <v/>
      </c>
      <c r="AK217" s="106">
        <f>IF(FM217="","",IF(ISNUMBER('Dvd Calendar'!$AM$2191)=FALSE,"",IF((('Dvd Calendar'!$AM$2193=TYPE1)*(TYPE1&lt;&gt;"")+('Dvd Calendar'!$AM$2193=TYPE2)*(TYPE2&lt;&gt;"")+('Dvd Calendar'!$AM$2193=TYPE3)*(TYPE3&lt;&gt;"")+('Dvd Calendar'!$AM$2193=TYPE4)*(TYPE4&lt;&gt;"")+('Dvd Calendar'!$AM$2193=SPECIAL_LBL)*(INC_SPECIALS="Y"))=0,"",'Dvd Calendar'!$AM$2191)))</f>
        <v/>
      </c>
      <c r="AL217" s="106">
        <f>IF(FN217="","",IF(ISNUMBER('Dvd Calendar'!$AN$2191)=FALSE,"",IF((('Dvd Calendar'!$AN$2193=TYPE1)*(TYPE1&lt;&gt;"")+('Dvd Calendar'!$AN$2193=TYPE2)*(TYPE2&lt;&gt;"")+('Dvd Calendar'!$AN$2193=TYPE3)*(TYPE3&lt;&gt;"")+('Dvd Calendar'!$AN$2193=TYPE4)*(TYPE4&lt;&gt;"")+('Dvd Calendar'!$AN$2193=SPECIAL_LBL)*(INC_SPECIALS="Y"))=0,"",'Dvd Calendar'!$AN$2191)))</f>
        <v/>
      </c>
      <c r="AM217" s="106">
        <f>IF(FO217="","",IF(ISNUMBER('Dvd Calendar'!$AO$2191)=FALSE,"",IF((('Dvd Calendar'!$AO$2193=TYPE1)*(TYPE1&lt;&gt;"")+('Dvd Calendar'!$AO$2193=TYPE2)*(TYPE2&lt;&gt;"")+('Dvd Calendar'!$AO$2193=TYPE3)*(TYPE3&lt;&gt;"")+('Dvd Calendar'!$AO$2193=TYPE4)*(TYPE4&lt;&gt;"")+('Dvd Calendar'!$AO$2193=SPECIAL_LBL)*(INC_SPECIALS="Y"))=0,"",'Dvd Calendar'!$AO$2191)))</f>
        <v/>
      </c>
      <c r="AN217" s="106">
        <f>IF(FP217="","",IF(ISNUMBER('Dvd Calendar'!$AP$2191)=FALSE,"",IF((('Dvd Calendar'!$AP$2193=TYPE1)*(TYPE1&lt;&gt;"")+('Dvd Calendar'!$AP$2193=TYPE2)*(TYPE2&lt;&gt;"")+('Dvd Calendar'!$AP$2193=TYPE3)*(TYPE3&lt;&gt;"")+('Dvd Calendar'!$AP$2193=TYPE4)*(TYPE4&lt;&gt;"")+('Dvd Calendar'!$AP$2193=SPECIAL_LBL)*(INC_SPECIALS="Y"))=0,"",'Dvd Calendar'!$AP$2191)))</f>
        <v/>
      </c>
      <c r="AO217" s="106">
        <f>IF(FQ217="","",IF(ISNUMBER('Dvd Calendar'!$AQ$2191)=FALSE,"",IF((('Dvd Calendar'!$AQ$2193=TYPE1)*(TYPE1&lt;&gt;"")+('Dvd Calendar'!$AQ$2193=TYPE2)*(TYPE2&lt;&gt;"")+('Dvd Calendar'!$AQ$2193=TYPE3)*(TYPE3&lt;&gt;"")+('Dvd Calendar'!$AQ$2193=TYPE4)*(TYPE4&lt;&gt;"")+('Dvd Calendar'!$AQ$2193=SPECIAL_LBL)*(INC_SPECIALS="Y"))=0,"",'Dvd Calendar'!$AQ$2191)))</f>
        <v/>
      </c>
      <c r="AP217" s="106">
        <f>IF(FR217="","",IF(ISNUMBER('Dvd Calendar'!$AR$2191)=FALSE,"",IF((('Dvd Calendar'!$AR$2193=TYPE1)*(TYPE1&lt;&gt;"")+('Dvd Calendar'!$AR$2193=TYPE2)*(TYPE2&lt;&gt;"")+('Dvd Calendar'!$AR$2193=TYPE3)*(TYPE3&lt;&gt;"")+('Dvd Calendar'!$AR$2193=TYPE4)*(TYPE4&lt;&gt;"")+('Dvd Calendar'!$AR$2193=SPECIAL_LBL)*(INC_SPECIALS="Y"))=0,"",'Dvd Calendar'!$AR$2191)))</f>
        <v/>
      </c>
      <c r="AQ217" s="106">
        <f>IF(FS217="","",IF(ISNUMBER('Dvd Calendar'!$E$2196)=FALSE,"",'Dvd Calendar'!$E$2196))</f>
        <v/>
      </c>
      <c r="AR217" s="106">
        <f>IF(FT217="","",IF(ISNUMBER('Dvd Calendar'!$F$2196)=FALSE,"",'Dvd Calendar'!$F$2196))</f>
        <v/>
      </c>
      <c r="AS217" s="106">
        <f>IF(FU217="","",IF(ISNUMBER('Dvd Calendar'!$G$2196)=FALSE,"",'Dvd Calendar'!$G$2196))</f>
        <v/>
      </c>
      <c r="AT217" s="106">
        <f>IF(FV217="","",IF(ISNUMBER('Dvd Calendar'!$H$2196)=FALSE,"",'Dvd Calendar'!$H$2196))</f>
        <v/>
      </c>
      <c r="AU217" s="106">
        <f>IF(FW217="","",IF(ISNUMBER('Dvd Calendar'!$I$2196)=FALSE,"",'Dvd Calendar'!$I$2196))</f>
        <v/>
      </c>
      <c r="AV217" s="106">
        <f>IF(FX217="","",IF(ISNUMBER('Dvd Calendar'!$J$2196)=FALSE,"",'Dvd Calendar'!$J$2196))</f>
        <v/>
      </c>
      <c r="AW217" s="106">
        <f>IF(FY217="","",IF(ISNUMBER('Dvd Calendar'!$K$2196)=FALSE,"",'Dvd Calendar'!$K$2196))</f>
        <v/>
      </c>
      <c r="AX217" s="106">
        <f>IF(FZ217="","",IF(ISNUMBER('Dvd Calendar'!$L$2196)=FALSE,"",'Dvd Calendar'!$L$2196))</f>
        <v/>
      </c>
      <c r="AY217" s="106">
        <f>IF(GA217="","",IF(ISNUMBER('Dvd Calendar'!$M$2196)=FALSE,"",'Dvd Calendar'!$M$2196))</f>
        <v/>
      </c>
      <c r="AZ217" s="106">
        <f>IF(GB217="","",IF(ISNUMBER('Dvd Calendar'!$N$2196)=FALSE,"",'Dvd Calendar'!$N$2196))</f>
        <v/>
      </c>
      <c r="BA217" s="106">
        <f>IF(GC217="","",IF(ISNUMBER('Dvd Calendar'!$O$2196)=FALSE,"",'Dvd Calendar'!$O$2196))</f>
        <v/>
      </c>
      <c r="BB217" s="106">
        <f>IF(GD217="","",IF(ISNUMBER('Dvd Calendar'!$P$2196)=FALSE,"",'Dvd Calendar'!$P$2196))</f>
        <v/>
      </c>
      <c r="BC217" s="106">
        <f>IF(GE217="","",IF(ISNUMBER('Dvd Calendar'!$Q$2196)=FALSE,"",'Dvd Calendar'!$Q$2196))</f>
        <v/>
      </c>
      <c r="BD217" s="106">
        <f>IF(GF217="","",IF(ISNUMBER('Dvd Calendar'!$R$2196)=FALSE,"",'Dvd Calendar'!$R$2196))</f>
        <v/>
      </c>
      <c r="BE217" s="106">
        <f>IF(GG217="","",IF(ISNUMBER('Dvd Calendar'!$S$2196)=FALSE,"",'Dvd Calendar'!$S$2196))</f>
        <v/>
      </c>
      <c r="BF217" s="106">
        <f>IF(GH217="","",IF(ISNUMBER('Dvd Calendar'!$T$2196)=FALSE,"",'Dvd Calendar'!$T$2196))</f>
        <v/>
      </c>
      <c r="BG217" s="106">
        <f>IF(GI217="","",IF(ISNUMBER('Dvd Calendar'!$U$2196)=FALSE,"",'Dvd Calendar'!$U$2196))</f>
        <v/>
      </c>
      <c r="BH217" s="106">
        <f>IF(GJ217="","",IF(ISNUMBER('Dvd Calendar'!$V$2196)=FALSE,"",'Dvd Calendar'!$V$2196))</f>
        <v/>
      </c>
      <c r="BI217" s="106">
        <f>IF(GK217="","",IF(ISNUMBER('Dvd Calendar'!$W$2196)=FALSE,"",'Dvd Calendar'!$W$2196))</f>
        <v/>
      </c>
      <c r="BJ217" s="106">
        <f>IF(GL217="","",IF(ISNUMBER('Dvd Calendar'!$X$2196)=FALSE,"",'Dvd Calendar'!$X$2196))</f>
        <v/>
      </c>
      <c r="BK217" s="106">
        <f>IF(GM217="","",IF(ISNUMBER('Dvd Calendar'!$Y$2196)=FALSE,"",'Dvd Calendar'!$Y$2196))</f>
        <v/>
      </c>
      <c r="BL217" s="106">
        <f>IF(GN217="","",IF(ISNUMBER('Dvd Calendar'!$Z$2196)=FALSE,"",'Dvd Calendar'!$Z$2196))</f>
        <v/>
      </c>
      <c r="BM217" s="106">
        <f>IF(GO217="","",IF(ISNUMBER('Dvd Calendar'!$AA$2196)=FALSE,"",'Dvd Calendar'!$AA$2196))</f>
        <v/>
      </c>
      <c r="BN217" s="106">
        <f>IF(GP217="","",IF(ISNUMBER('Dvd Calendar'!$AB$2196)=FALSE,"",'Dvd Calendar'!$AB$2196))</f>
        <v/>
      </c>
      <c r="BO217" s="106">
        <f>IF(GQ217="","",IF(ISNUMBER('Dvd Calendar'!$AC$2196)=FALSE,"",'Dvd Calendar'!$AC$2196))</f>
        <v/>
      </c>
      <c r="BQ217" s="106">
        <f>IF(C217="","",IFERROR(C217*HSCEI!$B$64*HSCEI!$G$64/HSCEI!$B$3,""))</f>
        <v/>
      </c>
      <c r="BR217" s="106">
        <f>IF(D217="","",IFERROR(D217*HSCEI!$B$64*HSCEI!$G$64/HSCEI!$B$3,""))</f>
        <v/>
      </c>
      <c r="BS217" s="106">
        <f>IF(E217="","",IFERROR(E217*HSCEI!$B$64*HSCEI!$G$64/HSCEI!$B$3,""))</f>
        <v/>
      </c>
      <c r="BT217" s="106">
        <f>IF(F217="","",IFERROR(F217*HSCEI!$B$64*HSCEI!$G$64/HSCEI!$B$3,""))</f>
        <v/>
      </c>
      <c r="BU217" s="106">
        <f>IF(G217="","",IFERROR(G217*HSCEI!$B$64*HSCEI!$G$64/HSCEI!$B$3,""))</f>
        <v/>
      </c>
      <c r="BV217" s="106">
        <f>IF(H217="","",IFERROR(H217*HSCEI!$B$64*HSCEI!$G$64/HSCEI!$B$3,""))</f>
        <v/>
      </c>
      <c r="BW217" s="106">
        <f>IF(I217="","",IFERROR(I217*HSCEI!$B$64*HSCEI!$G$64/HSCEI!$B$3,""))</f>
        <v/>
      </c>
      <c r="BX217" s="106">
        <f>IF(J217="","",IFERROR(J217*HSCEI!$B$64*HSCEI!$G$64/HSCEI!$B$3,""))</f>
        <v/>
      </c>
      <c r="BY217" s="106">
        <f>IF(K217="","",IFERROR(K217*HSCEI!$B$64*HSCEI!$G$64/HSCEI!$B$3,""))</f>
        <v/>
      </c>
      <c r="BZ217" s="106">
        <f>IF(L217="","",IFERROR(L217*HSCEI!$B$64*HSCEI!$G$64/HSCEI!$B$3,""))</f>
        <v/>
      </c>
      <c r="CA217" s="106">
        <f>IF(M217="","",IFERROR(M217*HSCEI!$B$64*HSCEI!$G$64/HSCEI!$B$3,""))</f>
        <v/>
      </c>
      <c r="CB217" s="106">
        <f>IF(N217="","",IFERROR(N217*HSCEI!$B$64*HSCEI!$G$64/HSCEI!$B$3,""))</f>
        <v/>
      </c>
      <c r="CC217" s="106">
        <f>IF(O217="","",IFERROR(O217*HSCEI!$B$64*HSCEI!$G$64/HSCEI!$B$3,""))</f>
        <v/>
      </c>
      <c r="CD217" s="106">
        <f>IF(P217="","",IFERROR(P217*HSCEI!$B$64*HSCEI!$G$64/HSCEI!$B$3,""))</f>
        <v/>
      </c>
      <c r="CE217" s="106">
        <f>IF(Q217="","",IFERROR(Q217*HSCEI!$B$64*HSCEI!$G$64/HSCEI!$B$3,""))</f>
        <v/>
      </c>
      <c r="CF217" s="106">
        <f>IF(R217="","",IFERROR(R217*HSCEI!$B$64*HSCEI!$G$64/HSCEI!$B$3,""))</f>
        <v/>
      </c>
      <c r="CG217" s="106">
        <f>IF(S217="","",IFERROR(S217*HSCEI!$B$64*HSCEI!$G$64/HSCEI!$B$3,""))</f>
        <v/>
      </c>
      <c r="CH217" s="106">
        <f>IF(T217="","",IFERROR(T217*HSCEI!$B$64*HSCEI!$G$64/HSCEI!$B$3,""))</f>
        <v/>
      </c>
      <c r="CI217" s="106">
        <f>IF(U217="","",IFERROR(U217*HSCEI!$B$64*HSCEI!$G$64/HSCEI!$B$3,""))</f>
        <v/>
      </c>
      <c r="CJ217" s="106">
        <f>IF(V217="","",IFERROR(V217*HSCEI!$B$64*HSCEI!$G$64/HSCEI!$B$3,""))</f>
        <v/>
      </c>
      <c r="CK217" s="106">
        <f>IF(W217="","",IFERROR(W217*HSCEI!$B$64*HSCEI!$G$64/HSCEI!$B$3,""))</f>
        <v/>
      </c>
      <c r="CL217" s="106">
        <f>IF(X217="","",IFERROR(X217*HSCEI!$B$64*HSCEI!$G$64/HSCEI!$B$3,""))</f>
        <v/>
      </c>
      <c r="CM217" s="106">
        <f>IF(Y217="","",IFERROR(Y217*HSCEI!$B$64*HSCEI!$G$64/HSCEI!$B$3,""))</f>
        <v/>
      </c>
      <c r="CN217" s="106">
        <f>IF(Z217="","",IFERROR(Z217*HSCEI!$B$64*HSCEI!$G$64/HSCEI!$B$3,""))</f>
        <v/>
      </c>
      <c r="CO217" s="106">
        <f>IF(AA217="","",IFERROR(AA217*HSCEI!$B$64*HSCEI!$G$64/HSCEI!$B$3,""))</f>
        <v/>
      </c>
      <c r="CP217" s="106">
        <f>IF(AB217="","",IFERROR(AB217*HSCEI!$B$64*HSCEI!$G$64/HSCEI!$B$3,""))</f>
        <v/>
      </c>
      <c r="CQ217" s="106">
        <f>IF(AC217="","",IFERROR(AC217*HSCEI!$B$64*HSCEI!$G$64/HSCEI!$B$3,""))</f>
        <v/>
      </c>
      <c r="CR217" s="106">
        <f>IF(AD217="","",IFERROR(AD217*HSCEI!$B$64*HSCEI!$G$64/HSCEI!$B$3,""))</f>
        <v/>
      </c>
      <c r="CS217" s="106">
        <f>IF(AE217="","",IFERROR(AE217*HSCEI!$B$64*HSCEI!$G$64/HSCEI!$B$3,""))</f>
        <v/>
      </c>
      <c r="CT217" s="106">
        <f>IF(AF217="","",IFERROR(AF217*HSCEI!$B$64*HSCEI!$G$64/HSCEI!$B$3,""))</f>
        <v/>
      </c>
      <c r="CU217" s="106">
        <f>IF(AG217="","",IFERROR(AG217*HSCEI!$B$64*HSCEI!$G$64/HSCEI!$B$3,""))</f>
        <v/>
      </c>
      <c r="CV217" s="106">
        <f>IF(AH217="","",IFERROR(AH217*HSCEI!$B$64*HSCEI!$G$64/HSCEI!$B$3,""))</f>
        <v/>
      </c>
      <c r="CW217" s="106">
        <f>IF(AI217="","",IFERROR(AI217*HSCEI!$B$64*HSCEI!$G$64/HSCEI!$B$3,""))</f>
        <v/>
      </c>
      <c r="CX217" s="106">
        <f>IF(AJ217="","",IFERROR(AJ217*HSCEI!$B$64*HSCEI!$G$64/HSCEI!$B$3,""))</f>
        <v/>
      </c>
      <c r="CY217" s="106">
        <f>IF(AK217="","",IFERROR(AK217*HSCEI!$B$64*HSCEI!$G$64/HSCEI!$B$3,""))</f>
        <v/>
      </c>
      <c r="CZ217" s="106">
        <f>IF(AL217="","",IFERROR(AL217*HSCEI!$B$64*HSCEI!$G$64/HSCEI!$B$3,""))</f>
        <v/>
      </c>
      <c r="DA217" s="106">
        <f>IF(AM217="","",IFERROR(AM217*HSCEI!$B$64*HSCEI!$G$64/HSCEI!$B$3,""))</f>
        <v/>
      </c>
      <c r="DB217" s="106">
        <f>IF(AN217="","",IFERROR(AN217*HSCEI!$B$64*HSCEI!$G$64/HSCEI!$B$3,""))</f>
        <v/>
      </c>
      <c r="DC217" s="106">
        <f>IF(AO217="","",IFERROR(AO217*HSCEI!$B$64*HSCEI!$G$64/HSCEI!$B$3,""))</f>
        <v/>
      </c>
      <c r="DD217" s="106">
        <f>IF(AP217="","",IFERROR(AP217*HSCEI!$B$64*HSCEI!$G$64/HSCEI!$B$3,""))</f>
        <v/>
      </c>
      <c r="DE217" s="106">
        <f>IF(AQ217="","",IFERROR(AQ217*HSCEI!$B$64*HSCEI!$G$64/HSCEI!$B$3,""))</f>
        <v/>
      </c>
      <c r="DF217" s="106">
        <f>IF(AR217="","",IFERROR(AR217*HSCEI!$B$64*HSCEI!$G$64/HSCEI!$B$3,""))</f>
        <v/>
      </c>
      <c r="DG217" s="106">
        <f>IF(AS217="","",IFERROR(AS217*HSCEI!$B$64*HSCEI!$G$64/HSCEI!$B$3,""))</f>
        <v/>
      </c>
      <c r="DH217" s="106">
        <f>IF(AT217="","",IFERROR(AT217*HSCEI!$B$64*HSCEI!$G$64/HSCEI!$B$3,""))</f>
        <v/>
      </c>
      <c r="DI217" s="106">
        <f>IF(AU217="","",IFERROR(AU217*HSCEI!$B$64*HSCEI!$G$64/HSCEI!$B$3,""))</f>
        <v/>
      </c>
      <c r="DJ217" s="106">
        <f>IF(AV217="","",IFERROR(AV217*HSCEI!$B$64*HSCEI!$G$64/HSCEI!$B$3,""))</f>
        <v/>
      </c>
      <c r="DK217" s="106">
        <f>IF(AW217="","",IFERROR(AW217*HSCEI!$B$64*HSCEI!$G$64/HSCEI!$B$3,""))</f>
        <v/>
      </c>
      <c r="DL217" s="106">
        <f>IF(AX217="","",IFERROR(AX217*HSCEI!$B$64*HSCEI!$G$64/HSCEI!$B$3,""))</f>
        <v/>
      </c>
      <c r="DM217" s="106">
        <f>IF(AY217="","",IFERROR(AY217*HSCEI!$B$64*HSCEI!$G$64/HSCEI!$B$3,""))</f>
        <v/>
      </c>
      <c r="DN217" s="106">
        <f>IF(AZ217="","",IFERROR(AZ217*HSCEI!$B$64*HSCEI!$G$64/HSCEI!$B$3,""))</f>
        <v/>
      </c>
      <c r="DO217" s="106">
        <f>IF(BA217="","",IFERROR(BA217*HSCEI!$B$64*HSCEI!$G$64/HSCEI!$B$3,""))</f>
        <v/>
      </c>
      <c r="DP217" s="106">
        <f>IF(BB217="","",IFERROR(BB217*HSCEI!$B$64*HSCEI!$G$64/HSCEI!$B$3,""))</f>
        <v/>
      </c>
      <c r="DQ217" s="106">
        <f>IF(BC217="","",IFERROR(BC217*HSCEI!$B$64*HSCEI!$G$64/HSCEI!$B$3,""))</f>
        <v/>
      </c>
      <c r="DR217" s="106">
        <f>IF(BD217="","",IFERROR(BD217*HSCEI!$B$64*HSCEI!$G$64/HSCEI!$B$3,""))</f>
        <v/>
      </c>
      <c r="DS217" s="106">
        <f>IF(BE217="","",IFERROR(BE217*HSCEI!$B$64*HSCEI!$G$64/HSCEI!$B$3,""))</f>
        <v/>
      </c>
      <c r="DT217" s="106">
        <f>IF(BF217="","",IFERROR(BF217*HSCEI!$B$64*HSCEI!$G$64/HSCEI!$B$3,""))</f>
        <v/>
      </c>
      <c r="DU217" s="106">
        <f>IF(BG217="","",IFERROR(BG217*HSCEI!$B$64*HSCEI!$G$64/HSCEI!$B$3,""))</f>
        <v/>
      </c>
      <c r="DV217" s="106">
        <f>IF(BH217="","",IFERROR(BH217*HSCEI!$B$64*HSCEI!$G$64/HSCEI!$B$3,""))</f>
        <v/>
      </c>
      <c r="DW217" s="106">
        <f>IF(BI217="","",IFERROR(BI217*HSCEI!$B$64*HSCEI!$G$64/HSCEI!$B$3,""))</f>
        <v/>
      </c>
      <c r="DX217" s="106">
        <f>IF(BJ217="","",IFERROR(BJ217*HSCEI!$B$64*HSCEI!$G$64/HSCEI!$B$3,""))</f>
        <v/>
      </c>
      <c r="DY217" s="106">
        <f>IF(BK217="","",IFERROR(BK217*HSCEI!$B$64*HSCEI!$G$64/HSCEI!$B$3,""))</f>
        <v/>
      </c>
      <c r="DZ217" s="106">
        <f>IF(BL217="","",IFERROR(BL217*HSCEI!$B$64*HSCEI!$G$64/HSCEI!$B$3,""))</f>
        <v/>
      </c>
      <c r="EA217" s="106">
        <f>IF(BM217="","",IFERROR(BM217*HSCEI!$B$64*HSCEI!$G$64/HSCEI!$B$3,""))</f>
        <v/>
      </c>
      <c r="EB217" s="106">
        <f>IF(BN217="","",IFERROR(BN217*HSCEI!$B$64*HSCEI!$G$64/HSCEI!$B$3,""))</f>
        <v/>
      </c>
      <c r="EC217" s="106">
        <f>IF(BO217="","",IFERROR(BO217*HSCEI!$B$64*HSCEI!$G$64/HSCEI!$B$3,""))</f>
        <v/>
      </c>
      <c r="EE217" s="35">
        <f>IF(N('Dvd Calendar'!$E$2188)=0,"",IF(('Dvd Calendar'!$E$2188&gt;=GRID_FROM)*('Dvd Calendar'!$E$2188&lt;=GRID_TO)*('Dvd Calendar'!$E$2188&lt;=VAL_DATE)=0,"",'Dvd Calendar'!$E$2188*1000000000+ISNUMBER('Dvd Calendar'!$E$2191)*100000000+('Dvd Calendar'!$E$2193=SPECIAL_LBL)*10000000+0*1000000+58*1000+1))</f>
        <v/>
      </c>
      <c r="EF217" s="35">
        <f>IF(N('Dvd Calendar'!$F$2188)=0,"",IF(('Dvd Calendar'!$F$2188&gt;=GRID_FROM)*('Dvd Calendar'!$F$2188&lt;=GRID_TO)*('Dvd Calendar'!$F$2188&lt;=VAL_DATE)=0,"",'Dvd Calendar'!$F$2188*1000000000+ISNUMBER('Dvd Calendar'!$F$2191)*100000000+('Dvd Calendar'!$F$2193=SPECIAL_LBL)*10000000+0*1000000+58*1000+2))</f>
        <v/>
      </c>
      <c r="EG217" s="35">
        <f>IF(N('Dvd Calendar'!$G$2188)=0,"",IF(('Dvd Calendar'!$G$2188&gt;=GRID_FROM)*('Dvd Calendar'!$G$2188&lt;=GRID_TO)*('Dvd Calendar'!$G$2188&lt;=VAL_DATE)=0,"",'Dvd Calendar'!$G$2188*1000000000+ISNUMBER('Dvd Calendar'!$G$2191)*100000000+('Dvd Calendar'!$G$2193=SPECIAL_LBL)*10000000+0*1000000+58*1000+3))</f>
        <v/>
      </c>
      <c r="EH217" s="35">
        <f>IF(N('Dvd Calendar'!$H$2188)=0,"",IF(('Dvd Calendar'!$H$2188&gt;=GRID_FROM)*('Dvd Calendar'!$H$2188&lt;=GRID_TO)*('Dvd Calendar'!$H$2188&lt;=VAL_DATE)=0,"",'Dvd Calendar'!$H$2188*1000000000+ISNUMBER('Dvd Calendar'!$H$2191)*100000000+('Dvd Calendar'!$H$2193=SPECIAL_LBL)*10000000+0*1000000+58*1000+4))</f>
        <v/>
      </c>
      <c r="EI217" s="35">
        <f>IF(N('Dvd Calendar'!$I$2188)=0,"",IF(('Dvd Calendar'!$I$2188&gt;=GRID_FROM)*('Dvd Calendar'!$I$2188&lt;=GRID_TO)*('Dvd Calendar'!$I$2188&lt;=VAL_DATE)=0,"",'Dvd Calendar'!$I$2188*1000000000+ISNUMBER('Dvd Calendar'!$I$2191)*100000000+('Dvd Calendar'!$I$2193=SPECIAL_LBL)*10000000+0*1000000+58*1000+5))</f>
        <v/>
      </c>
      <c r="EJ217" s="35">
        <f>IF(N('Dvd Calendar'!$J$2188)=0,"",IF(('Dvd Calendar'!$J$2188&gt;=GRID_FROM)*('Dvd Calendar'!$J$2188&lt;=GRID_TO)*('Dvd Calendar'!$J$2188&lt;=VAL_DATE)=0,"",'Dvd Calendar'!$J$2188*1000000000+ISNUMBER('Dvd Calendar'!$J$2191)*100000000+('Dvd Calendar'!$J$2193=SPECIAL_LBL)*10000000+0*1000000+58*1000+6))</f>
        <v/>
      </c>
      <c r="EK217" s="35">
        <f>IF(N('Dvd Calendar'!$K$2188)=0,"",IF(('Dvd Calendar'!$K$2188&gt;=GRID_FROM)*('Dvd Calendar'!$K$2188&lt;=GRID_TO)*('Dvd Calendar'!$K$2188&lt;=VAL_DATE)=0,"",'Dvd Calendar'!$K$2188*1000000000+ISNUMBER('Dvd Calendar'!$K$2191)*100000000+('Dvd Calendar'!$K$2193=SPECIAL_LBL)*10000000+0*1000000+58*1000+7))</f>
        <v/>
      </c>
      <c r="EL217" s="35">
        <f>IF(N('Dvd Calendar'!$L$2188)=0,"",IF(('Dvd Calendar'!$L$2188&gt;=GRID_FROM)*('Dvd Calendar'!$L$2188&lt;=GRID_TO)*('Dvd Calendar'!$L$2188&lt;=VAL_DATE)=0,"",'Dvd Calendar'!$L$2188*1000000000+ISNUMBER('Dvd Calendar'!$L$2191)*100000000+('Dvd Calendar'!$L$2193=SPECIAL_LBL)*10000000+0*1000000+58*1000+8))</f>
        <v/>
      </c>
      <c r="EM217" s="35">
        <f>IF(N('Dvd Calendar'!$M$2188)=0,"",IF(('Dvd Calendar'!$M$2188&gt;=GRID_FROM)*('Dvd Calendar'!$M$2188&lt;=GRID_TO)*('Dvd Calendar'!$M$2188&lt;=VAL_DATE)=0,"",'Dvd Calendar'!$M$2188*1000000000+ISNUMBER('Dvd Calendar'!$M$2191)*100000000+('Dvd Calendar'!$M$2193=SPECIAL_LBL)*10000000+0*1000000+58*1000+9))</f>
        <v/>
      </c>
      <c r="EN217" s="35">
        <f>IF(N('Dvd Calendar'!$N$2188)=0,"",IF(('Dvd Calendar'!$N$2188&gt;=GRID_FROM)*('Dvd Calendar'!$N$2188&lt;=GRID_TO)*('Dvd Calendar'!$N$2188&lt;=VAL_DATE)=0,"",'Dvd Calendar'!$N$2188*1000000000+ISNUMBER('Dvd Calendar'!$N$2191)*100000000+('Dvd Calendar'!$N$2193=SPECIAL_LBL)*10000000+0*1000000+58*1000+10))</f>
        <v/>
      </c>
      <c r="EO217" s="35">
        <f>IF(N('Dvd Calendar'!$O$2188)=0,"",IF(('Dvd Calendar'!$O$2188&gt;=GRID_FROM)*('Dvd Calendar'!$O$2188&lt;=GRID_TO)*('Dvd Calendar'!$O$2188&lt;=VAL_DATE)=0,"",'Dvd Calendar'!$O$2188*1000000000+ISNUMBER('Dvd Calendar'!$O$2191)*100000000+('Dvd Calendar'!$O$2193=SPECIAL_LBL)*10000000+0*1000000+58*1000+11))</f>
        <v/>
      </c>
      <c r="EP217" s="35">
        <f>IF(N('Dvd Calendar'!$P$2188)=0,"",IF(('Dvd Calendar'!$P$2188&gt;=GRID_FROM)*('Dvd Calendar'!$P$2188&lt;=GRID_TO)*('Dvd Calendar'!$P$2188&lt;=VAL_DATE)=0,"",'Dvd Calendar'!$P$2188*1000000000+ISNUMBER('Dvd Calendar'!$P$2191)*100000000+('Dvd Calendar'!$P$2193=SPECIAL_LBL)*10000000+0*1000000+58*1000+12))</f>
        <v/>
      </c>
      <c r="EQ217" s="35">
        <f>IF(N('Dvd Calendar'!$Q$2188)=0,"",IF(('Dvd Calendar'!$Q$2188&gt;=GRID_FROM)*('Dvd Calendar'!$Q$2188&lt;=GRID_TO)*('Dvd Calendar'!$Q$2188&lt;=VAL_DATE)=0,"",'Dvd Calendar'!$Q$2188*1000000000+ISNUMBER('Dvd Calendar'!$Q$2191)*100000000+('Dvd Calendar'!$Q$2193=SPECIAL_LBL)*10000000+0*1000000+58*1000+13))</f>
        <v/>
      </c>
      <c r="ER217" s="35">
        <f>IF(N('Dvd Calendar'!$R$2188)=0,"",IF(('Dvd Calendar'!$R$2188&gt;=GRID_FROM)*('Dvd Calendar'!$R$2188&lt;=GRID_TO)*('Dvd Calendar'!$R$2188&lt;=VAL_DATE)=0,"",'Dvd Calendar'!$R$2188*1000000000+ISNUMBER('Dvd Calendar'!$R$2191)*100000000+('Dvd Calendar'!$R$2193=SPECIAL_LBL)*10000000+0*1000000+58*1000+14))</f>
        <v/>
      </c>
      <c r="ES217" s="35">
        <f>IF(N('Dvd Calendar'!$S$2188)=0,"",IF(('Dvd Calendar'!$S$2188&gt;=GRID_FROM)*('Dvd Calendar'!$S$2188&lt;=GRID_TO)*('Dvd Calendar'!$S$2188&lt;=VAL_DATE)=0,"",'Dvd Calendar'!$S$2188*1000000000+ISNUMBER('Dvd Calendar'!$S$2191)*100000000+('Dvd Calendar'!$S$2193=SPECIAL_LBL)*10000000+0*1000000+58*1000+15))</f>
        <v/>
      </c>
      <c r="ET217" s="35">
        <f>IF(N('Dvd Calendar'!$T$2188)=0,"",IF(('Dvd Calendar'!$T$2188&gt;=GRID_FROM)*('Dvd Calendar'!$T$2188&lt;=GRID_TO)*('Dvd Calendar'!$T$2188&lt;=VAL_DATE)=0,"",'Dvd Calendar'!$T$2188*1000000000+ISNUMBER('Dvd Calendar'!$T$2191)*100000000+('Dvd Calendar'!$T$2193=SPECIAL_LBL)*10000000+0*1000000+58*1000+16))</f>
        <v/>
      </c>
      <c r="EU217" s="35">
        <f>IF(N('Dvd Calendar'!$U$2188)=0,"",IF(('Dvd Calendar'!$U$2188&gt;=GRID_FROM)*('Dvd Calendar'!$U$2188&lt;=GRID_TO)*('Dvd Calendar'!$U$2188&lt;=VAL_DATE)=0,"",'Dvd Calendar'!$U$2188*1000000000+ISNUMBER('Dvd Calendar'!$U$2191)*100000000+('Dvd Calendar'!$U$2193=SPECIAL_LBL)*10000000+0*1000000+58*1000+17))</f>
        <v/>
      </c>
      <c r="EV217" s="35">
        <f>IF(N('Dvd Calendar'!$V$2188)=0,"",IF(('Dvd Calendar'!$V$2188&gt;=GRID_FROM)*('Dvd Calendar'!$V$2188&lt;=GRID_TO)*('Dvd Calendar'!$V$2188&lt;=VAL_DATE)=0,"",'Dvd Calendar'!$V$2188*1000000000+ISNUMBER('Dvd Calendar'!$V$2191)*100000000+('Dvd Calendar'!$V$2193=SPECIAL_LBL)*10000000+0*1000000+58*1000+18))</f>
        <v/>
      </c>
      <c r="EW217" s="35">
        <f>IF(N('Dvd Calendar'!$W$2188)=0,"",IF(('Dvd Calendar'!$W$2188&gt;=GRID_FROM)*('Dvd Calendar'!$W$2188&lt;=GRID_TO)*('Dvd Calendar'!$W$2188&lt;=VAL_DATE)=0,"",'Dvd Calendar'!$W$2188*1000000000+ISNUMBER('Dvd Calendar'!$W$2191)*100000000+('Dvd Calendar'!$W$2193=SPECIAL_LBL)*10000000+0*1000000+58*1000+19))</f>
        <v/>
      </c>
      <c r="EX217" s="35">
        <f>IF(N('Dvd Calendar'!$X$2188)=0,"",IF(('Dvd Calendar'!$X$2188&gt;=GRID_FROM)*('Dvd Calendar'!$X$2188&lt;=GRID_TO)*('Dvd Calendar'!$X$2188&lt;=VAL_DATE)=0,"",'Dvd Calendar'!$X$2188*1000000000+ISNUMBER('Dvd Calendar'!$X$2191)*100000000+('Dvd Calendar'!$X$2193=SPECIAL_LBL)*10000000+0*1000000+58*1000+20))</f>
        <v/>
      </c>
      <c r="EY217" s="35">
        <f>IF(N('Dvd Calendar'!$Y$2188)=0,"",IF(('Dvd Calendar'!$Y$2188&gt;=GRID_FROM)*('Dvd Calendar'!$Y$2188&lt;=GRID_TO)*('Dvd Calendar'!$Y$2188&lt;=VAL_DATE)=0,"",'Dvd Calendar'!$Y$2188*1000000000+ISNUMBER('Dvd Calendar'!$Y$2191)*100000000+('Dvd Calendar'!$Y$2193=SPECIAL_LBL)*10000000+0*1000000+58*1000+21))</f>
        <v/>
      </c>
      <c r="EZ217" s="35">
        <f>IF(N('Dvd Calendar'!$Z$2188)=0,"",IF(('Dvd Calendar'!$Z$2188&gt;=GRID_FROM)*('Dvd Calendar'!$Z$2188&lt;=GRID_TO)*('Dvd Calendar'!$Z$2188&lt;=VAL_DATE)=0,"",'Dvd Calendar'!$Z$2188*1000000000+ISNUMBER('Dvd Calendar'!$Z$2191)*100000000+('Dvd Calendar'!$Z$2193=SPECIAL_LBL)*10000000+0*1000000+58*1000+22))</f>
        <v/>
      </c>
      <c r="FA217" s="35">
        <f>IF(N('Dvd Calendar'!$AA$2188)=0,"",IF(('Dvd Calendar'!$AA$2188&gt;=GRID_FROM)*('Dvd Calendar'!$AA$2188&lt;=GRID_TO)*('Dvd Calendar'!$AA$2188&lt;=VAL_DATE)=0,"",'Dvd Calendar'!$AA$2188*1000000000+ISNUMBER('Dvd Calendar'!$AA$2191)*100000000+('Dvd Calendar'!$AA$2193=SPECIAL_LBL)*10000000+0*1000000+58*1000+23))</f>
        <v/>
      </c>
      <c r="FB217" s="35">
        <f>IF(N('Dvd Calendar'!$AB$2188)=0,"",IF(('Dvd Calendar'!$AB$2188&gt;=GRID_FROM)*('Dvd Calendar'!$AB$2188&lt;=GRID_TO)*('Dvd Calendar'!$AB$2188&lt;=VAL_DATE)=0,"",'Dvd Calendar'!$AB$2188*1000000000+ISNUMBER('Dvd Calendar'!$AB$2191)*100000000+('Dvd Calendar'!$AB$2193=SPECIAL_LBL)*10000000+0*1000000+58*1000+24))</f>
        <v/>
      </c>
      <c r="FC217" s="35">
        <f>IF(N('Dvd Calendar'!$AC$2188)=0,"",IF(('Dvd Calendar'!$AC$2188&gt;=GRID_FROM)*('Dvd Calendar'!$AC$2188&lt;=GRID_TO)*('Dvd Calendar'!$AC$2188&lt;=VAL_DATE)=0,"",'Dvd Calendar'!$AC$2188*1000000000+ISNUMBER('Dvd Calendar'!$AC$2191)*100000000+('Dvd Calendar'!$AC$2193=SPECIAL_LBL)*10000000+0*1000000+58*1000+25))</f>
        <v/>
      </c>
      <c r="FD217" s="35">
        <f>IF(N('Dvd Calendar'!$AD$2188)=0,"",IF(('Dvd Calendar'!$AD$2188&gt;=GRID_FROM)*('Dvd Calendar'!$AD$2188&lt;=GRID_TO)*('Dvd Calendar'!$AD$2188&lt;=VAL_DATE)=0,"",'Dvd Calendar'!$AD$2188*1000000000+ISNUMBER('Dvd Calendar'!$AD$2191)*100000000+('Dvd Calendar'!$AD$2193=SPECIAL_LBL)*10000000+0*1000000+58*1000+26))</f>
        <v/>
      </c>
      <c r="FE217" s="35">
        <f>IF(N('Dvd Calendar'!$AE$2188)=0,"",IF(('Dvd Calendar'!$AE$2188&gt;=GRID_FROM)*('Dvd Calendar'!$AE$2188&lt;=GRID_TO)*('Dvd Calendar'!$AE$2188&lt;=VAL_DATE)=0,"",'Dvd Calendar'!$AE$2188*1000000000+ISNUMBER('Dvd Calendar'!$AE$2191)*100000000+('Dvd Calendar'!$AE$2193=SPECIAL_LBL)*10000000+0*1000000+58*1000+27))</f>
        <v/>
      </c>
      <c r="FF217" s="35">
        <f>IF(N('Dvd Calendar'!$AF$2188)=0,"",IF(('Dvd Calendar'!$AF$2188&gt;=GRID_FROM)*('Dvd Calendar'!$AF$2188&lt;=GRID_TO)*('Dvd Calendar'!$AF$2188&lt;=VAL_DATE)=0,"",'Dvd Calendar'!$AF$2188*1000000000+ISNUMBER('Dvd Calendar'!$AF$2191)*100000000+('Dvd Calendar'!$AF$2193=SPECIAL_LBL)*10000000+0*1000000+58*1000+28))</f>
        <v/>
      </c>
      <c r="FG217" s="35">
        <f>IF(N('Dvd Calendar'!$AG$2188)=0,"",IF(('Dvd Calendar'!$AG$2188&gt;=GRID_FROM)*('Dvd Calendar'!$AG$2188&lt;=GRID_TO)*('Dvd Calendar'!$AG$2188&lt;=VAL_DATE)=0,"",'Dvd Calendar'!$AG$2188*1000000000+ISNUMBER('Dvd Calendar'!$AG$2191)*100000000+('Dvd Calendar'!$AG$2193=SPECIAL_LBL)*10000000+0*1000000+58*1000+29))</f>
        <v/>
      </c>
      <c r="FH217" s="35">
        <f>IF(N('Dvd Calendar'!$AH$2188)=0,"",IF(('Dvd Calendar'!$AH$2188&gt;=GRID_FROM)*('Dvd Calendar'!$AH$2188&lt;=GRID_TO)*('Dvd Calendar'!$AH$2188&lt;=VAL_DATE)=0,"",'Dvd Calendar'!$AH$2188*1000000000+ISNUMBER('Dvd Calendar'!$AH$2191)*100000000+('Dvd Calendar'!$AH$2193=SPECIAL_LBL)*10000000+0*1000000+58*1000+30))</f>
        <v/>
      </c>
      <c r="FI217" s="35">
        <f>IF(N('Dvd Calendar'!$AI$2188)=0,"",IF(('Dvd Calendar'!$AI$2188&gt;=GRID_FROM)*('Dvd Calendar'!$AI$2188&lt;=GRID_TO)*('Dvd Calendar'!$AI$2188&lt;=VAL_DATE)=0,"",'Dvd Calendar'!$AI$2188*1000000000+ISNUMBER('Dvd Calendar'!$AI$2191)*100000000+('Dvd Calendar'!$AI$2193=SPECIAL_LBL)*10000000+0*1000000+58*1000+31))</f>
        <v/>
      </c>
      <c r="FJ217" s="35">
        <f>IF(N('Dvd Calendar'!$AJ$2188)=0,"",IF(('Dvd Calendar'!$AJ$2188&gt;=GRID_FROM)*('Dvd Calendar'!$AJ$2188&lt;=GRID_TO)*('Dvd Calendar'!$AJ$2188&lt;=VAL_DATE)=0,"",'Dvd Calendar'!$AJ$2188*1000000000+ISNUMBER('Dvd Calendar'!$AJ$2191)*100000000+('Dvd Calendar'!$AJ$2193=SPECIAL_LBL)*10000000+0*1000000+58*1000+32))</f>
        <v/>
      </c>
      <c r="FK217" s="35">
        <f>IF(N('Dvd Calendar'!$AK$2188)=0,"",IF(('Dvd Calendar'!$AK$2188&gt;=GRID_FROM)*('Dvd Calendar'!$AK$2188&lt;=GRID_TO)*('Dvd Calendar'!$AK$2188&lt;=VAL_DATE)=0,"",'Dvd Calendar'!$AK$2188*1000000000+ISNUMBER('Dvd Calendar'!$AK$2191)*100000000+('Dvd Calendar'!$AK$2193=SPECIAL_LBL)*10000000+0*1000000+58*1000+33))</f>
        <v/>
      </c>
      <c r="FL217" s="35">
        <f>IF(N('Dvd Calendar'!$AL$2188)=0,"",IF(('Dvd Calendar'!$AL$2188&gt;=GRID_FROM)*('Dvd Calendar'!$AL$2188&lt;=GRID_TO)*('Dvd Calendar'!$AL$2188&lt;=VAL_DATE)=0,"",'Dvd Calendar'!$AL$2188*1000000000+ISNUMBER('Dvd Calendar'!$AL$2191)*100000000+('Dvd Calendar'!$AL$2193=SPECIAL_LBL)*10000000+0*1000000+58*1000+34))</f>
        <v/>
      </c>
      <c r="FM217" s="35">
        <f>IF(N('Dvd Calendar'!$AM$2188)=0,"",IF(('Dvd Calendar'!$AM$2188&gt;=GRID_FROM)*('Dvd Calendar'!$AM$2188&lt;=GRID_TO)*('Dvd Calendar'!$AM$2188&lt;=VAL_DATE)=0,"",'Dvd Calendar'!$AM$2188*1000000000+ISNUMBER('Dvd Calendar'!$AM$2191)*100000000+('Dvd Calendar'!$AM$2193=SPECIAL_LBL)*10000000+0*1000000+58*1000+35))</f>
        <v/>
      </c>
      <c r="FN217" s="35">
        <f>IF(N('Dvd Calendar'!$AN$2188)=0,"",IF(('Dvd Calendar'!$AN$2188&gt;=GRID_FROM)*('Dvd Calendar'!$AN$2188&lt;=GRID_TO)*('Dvd Calendar'!$AN$2188&lt;=VAL_DATE)=0,"",'Dvd Calendar'!$AN$2188*1000000000+ISNUMBER('Dvd Calendar'!$AN$2191)*100000000+('Dvd Calendar'!$AN$2193=SPECIAL_LBL)*10000000+0*1000000+58*1000+36))</f>
        <v/>
      </c>
      <c r="FO217" s="35">
        <f>IF(N('Dvd Calendar'!$AO$2188)=0,"",IF(('Dvd Calendar'!$AO$2188&gt;=GRID_FROM)*('Dvd Calendar'!$AO$2188&lt;=GRID_TO)*('Dvd Calendar'!$AO$2188&lt;=VAL_DATE)=0,"",'Dvd Calendar'!$AO$2188*1000000000+ISNUMBER('Dvd Calendar'!$AO$2191)*100000000+('Dvd Calendar'!$AO$2193=SPECIAL_LBL)*10000000+0*1000000+58*1000+37))</f>
        <v/>
      </c>
      <c r="FP217" s="35">
        <f>IF(N('Dvd Calendar'!$AP$2188)=0,"",IF(('Dvd Calendar'!$AP$2188&gt;=GRID_FROM)*('Dvd Calendar'!$AP$2188&lt;=GRID_TO)*('Dvd Calendar'!$AP$2188&lt;=VAL_DATE)=0,"",'Dvd Calendar'!$AP$2188*1000000000+ISNUMBER('Dvd Calendar'!$AP$2191)*100000000+('Dvd Calendar'!$AP$2193=SPECIAL_LBL)*10000000+0*1000000+58*1000+38))</f>
        <v/>
      </c>
      <c r="FQ217" s="35">
        <f>IF(N('Dvd Calendar'!$AQ$2188)=0,"",IF(('Dvd Calendar'!$AQ$2188&gt;=GRID_FROM)*('Dvd Calendar'!$AQ$2188&lt;=GRID_TO)*('Dvd Calendar'!$AQ$2188&lt;=VAL_DATE)=0,"",'Dvd Calendar'!$AQ$2188*1000000000+ISNUMBER('Dvd Calendar'!$AQ$2191)*100000000+('Dvd Calendar'!$AQ$2193=SPECIAL_LBL)*10000000+0*1000000+58*1000+39))</f>
        <v/>
      </c>
      <c r="FR217" s="35">
        <f>IF(N('Dvd Calendar'!$AR$2188)=0,"",IF(('Dvd Calendar'!$AR$2188&gt;=GRID_FROM)*('Dvd Calendar'!$AR$2188&lt;=GRID_TO)*('Dvd Calendar'!$AR$2188&lt;=VAL_DATE)=0,"",'Dvd Calendar'!$AR$2188*1000000000+ISNUMBER('Dvd Calendar'!$AR$2191)*100000000+('Dvd Calendar'!$AR$2193=SPECIAL_LBL)*10000000+0*1000000+58*1000+40))</f>
        <v/>
      </c>
      <c r="FS217" s="35">
        <f>IF(N('Dvd Calendar'!$E$2195)=0,"",IF(('Dvd Calendar'!$E$2195&gt;=GRID_FROM)*('Dvd Calendar'!$E$2195&lt;=GRID_TO)*('Dvd Calendar'!$E$2195&gt;VAL_DATE)=0,"",'Dvd Calendar'!$E$2195*1000000000+ISNUMBER('Dvd Calendar'!$E$2196)*100000000+0*10000000+(N('Dvd Calendar'!$E$2194)&gt;0)*(N('Dvd Calendar'!$E$2194)&lt;=VAL_SERIAL)*1000000+58*1000+41))</f>
        <v/>
      </c>
      <c r="FT217" s="35">
        <f>IF(N('Dvd Calendar'!$F$2195)=0,"",IF(('Dvd Calendar'!$F$2195&gt;=GRID_FROM)*('Dvd Calendar'!$F$2195&lt;=GRID_TO)*('Dvd Calendar'!$F$2195&gt;VAL_DATE)=0,"",'Dvd Calendar'!$F$2195*1000000000+ISNUMBER('Dvd Calendar'!$F$2196)*100000000+0*10000000+(N('Dvd Calendar'!$F$2194)&gt;0)*(N('Dvd Calendar'!$F$2194)&lt;=VAL_SERIAL)*1000000+58*1000+42))</f>
        <v/>
      </c>
      <c r="FU217" s="35">
        <f>IF(N('Dvd Calendar'!$G$2195)=0,"",IF(('Dvd Calendar'!$G$2195&gt;=GRID_FROM)*('Dvd Calendar'!$G$2195&lt;=GRID_TO)*('Dvd Calendar'!$G$2195&gt;VAL_DATE)=0,"",'Dvd Calendar'!$G$2195*1000000000+ISNUMBER('Dvd Calendar'!$G$2196)*100000000+0*10000000+(N('Dvd Calendar'!$G$2194)&gt;0)*(N('Dvd Calendar'!$G$2194)&lt;=VAL_SERIAL)*1000000+58*1000+43))</f>
        <v/>
      </c>
      <c r="FV217" s="35">
        <f>IF(N('Dvd Calendar'!$H$2195)=0,"",IF(('Dvd Calendar'!$H$2195&gt;=GRID_FROM)*('Dvd Calendar'!$H$2195&lt;=GRID_TO)*('Dvd Calendar'!$H$2195&gt;VAL_DATE)=0,"",'Dvd Calendar'!$H$2195*1000000000+ISNUMBER('Dvd Calendar'!$H$2196)*100000000+0*10000000+(N('Dvd Calendar'!$H$2194)&gt;0)*(N('Dvd Calendar'!$H$2194)&lt;=VAL_SERIAL)*1000000+58*1000+44))</f>
        <v/>
      </c>
      <c r="FW217" s="35">
        <f>IF(N('Dvd Calendar'!$I$2195)=0,"",IF(('Dvd Calendar'!$I$2195&gt;=GRID_FROM)*('Dvd Calendar'!$I$2195&lt;=GRID_TO)*('Dvd Calendar'!$I$2195&gt;VAL_DATE)=0,"",'Dvd Calendar'!$I$2195*1000000000+ISNUMBER('Dvd Calendar'!$I$2196)*100000000+0*10000000+(N('Dvd Calendar'!$I$2194)&gt;0)*(N('Dvd Calendar'!$I$2194)&lt;=VAL_SERIAL)*1000000+58*1000+45))</f>
        <v/>
      </c>
      <c r="FX217" s="35">
        <f>IF(N('Dvd Calendar'!$J$2195)=0,"",IF(('Dvd Calendar'!$J$2195&gt;=GRID_FROM)*('Dvd Calendar'!$J$2195&lt;=GRID_TO)*('Dvd Calendar'!$J$2195&gt;VAL_DATE)=0,"",'Dvd Calendar'!$J$2195*1000000000+ISNUMBER('Dvd Calendar'!$J$2196)*100000000+0*10000000+(N('Dvd Calendar'!$J$2194)&gt;0)*(N('Dvd Calendar'!$J$2194)&lt;=VAL_SERIAL)*1000000+58*1000+46))</f>
        <v/>
      </c>
      <c r="FY217" s="35">
        <f>IF(N('Dvd Calendar'!$K$2195)=0,"",IF(('Dvd Calendar'!$K$2195&gt;=GRID_FROM)*('Dvd Calendar'!$K$2195&lt;=GRID_TO)*('Dvd Calendar'!$K$2195&gt;VAL_DATE)=0,"",'Dvd Calendar'!$K$2195*1000000000+ISNUMBER('Dvd Calendar'!$K$2196)*100000000+0*10000000+(N('Dvd Calendar'!$K$2194)&gt;0)*(N('Dvd Calendar'!$K$2194)&lt;=VAL_SERIAL)*1000000+58*1000+47))</f>
        <v/>
      </c>
      <c r="FZ217" s="35">
        <f>IF(N('Dvd Calendar'!$L$2195)=0,"",IF(('Dvd Calendar'!$L$2195&gt;=GRID_FROM)*('Dvd Calendar'!$L$2195&lt;=GRID_TO)*('Dvd Calendar'!$L$2195&gt;VAL_DATE)=0,"",'Dvd Calendar'!$L$2195*1000000000+ISNUMBER('Dvd Calendar'!$L$2196)*100000000+0*10000000+(N('Dvd Calendar'!$L$2194)&gt;0)*(N('Dvd Calendar'!$L$2194)&lt;=VAL_SERIAL)*1000000+58*1000+48))</f>
        <v/>
      </c>
      <c r="GA217" s="35">
        <f>IF(N('Dvd Calendar'!$M$2195)=0,"",IF(('Dvd Calendar'!$M$2195&gt;=GRID_FROM)*('Dvd Calendar'!$M$2195&lt;=GRID_TO)*('Dvd Calendar'!$M$2195&gt;VAL_DATE)=0,"",'Dvd Calendar'!$M$2195*1000000000+ISNUMBER('Dvd Calendar'!$M$2196)*100000000+0*10000000+(N('Dvd Calendar'!$M$2194)&gt;0)*(N('Dvd Calendar'!$M$2194)&lt;=VAL_SERIAL)*1000000+58*1000+49))</f>
        <v/>
      </c>
      <c r="GB217" s="35">
        <f>IF(N('Dvd Calendar'!$N$2195)=0,"",IF(('Dvd Calendar'!$N$2195&gt;=GRID_FROM)*('Dvd Calendar'!$N$2195&lt;=GRID_TO)*('Dvd Calendar'!$N$2195&gt;VAL_DATE)=0,"",'Dvd Calendar'!$N$2195*1000000000+ISNUMBER('Dvd Calendar'!$N$2196)*100000000+0*10000000+(N('Dvd Calendar'!$N$2194)&gt;0)*(N('Dvd Calendar'!$N$2194)&lt;=VAL_SERIAL)*1000000+58*1000+50))</f>
        <v/>
      </c>
      <c r="GC217" s="35">
        <f>IF(N('Dvd Calendar'!$O$2195)=0,"",IF(('Dvd Calendar'!$O$2195&gt;=GRID_FROM)*('Dvd Calendar'!$O$2195&lt;=GRID_TO)*('Dvd Calendar'!$O$2195&gt;VAL_DATE)=0,"",'Dvd Calendar'!$O$2195*1000000000+ISNUMBER('Dvd Calendar'!$O$2196)*100000000+0*10000000+(N('Dvd Calendar'!$O$2194)&gt;0)*(N('Dvd Calendar'!$O$2194)&lt;=VAL_SERIAL)*1000000+58*1000+51))</f>
        <v/>
      </c>
      <c r="GD217" s="35">
        <f>IF(N('Dvd Calendar'!$P$2195)=0,"",IF(('Dvd Calendar'!$P$2195&gt;=GRID_FROM)*('Dvd Calendar'!$P$2195&lt;=GRID_TO)*('Dvd Calendar'!$P$2195&gt;VAL_DATE)=0,"",'Dvd Calendar'!$P$2195*1000000000+ISNUMBER('Dvd Calendar'!$P$2196)*100000000+0*10000000+(N('Dvd Calendar'!$P$2194)&gt;0)*(N('Dvd Calendar'!$P$2194)&lt;=VAL_SERIAL)*1000000+58*1000+52))</f>
        <v/>
      </c>
      <c r="GE217" s="35">
        <f>IF(N('Dvd Calendar'!$Q$2195)=0,"",IF(('Dvd Calendar'!$Q$2195&gt;=GRID_FROM)*('Dvd Calendar'!$Q$2195&lt;=GRID_TO)*('Dvd Calendar'!$Q$2195&gt;VAL_DATE)=0,"",'Dvd Calendar'!$Q$2195*1000000000+ISNUMBER('Dvd Calendar'!$Q$2196)*100000000+0*10000000+(N('Dvd Calendar'!$Q$2194)&gt;0)*(N('Dvd Calendar'!$Q$2194)&lt;=VAL_SERIAL)*1000000+58*1000+53))</f>
        <v/>
      </c>
      <c r="GF217" s="35">
        <f>IF(N('Dvd Calendar'!$R$2195)=0,"",IF(('Dvd Calendar'!$R$2195&gt;=GRID_FROM)*('Dvd Calendar'!$R$2195&lt;=GRID_TO)*('Dvd Calendar'!$R$2195&gt;VAL_DATE)=0,"",'Dvd Calendar'!$R$2195*1000000000+ISNUMBER('Dvd Calendar'!$R$2196)*100000000+0*10000000+(N('Dvd Calendar'!$R$2194)&gt;0)*(N('Dvd Calendar'!$R$2194)&lt;=VAL_SERIAL)*1000000+58*1000+54))</f>
        <v/>
      </c>
      <c r="GG217" s="35">
        <f>IF(N('Dvd Calendar'!$S$2195)=0,"",IF(('Dvd Calendar'!$S$2195&gt;=GRID_FROM)*('Dvd Calendar'!$S$2195&lt;=GRID_TO)*('Dvd Calendar'!$S$2195&gt;VAL_DATE)=0,"",'Dvd Calendar'!$S$2195*1000000000+ISNUMBER('Dvd Calendar'!$S$2196)*100000000+0*10000000+(N('Dvd Calendar'!$S$2194)&gt;0)*(N('Dvd Calendar'!$S$2194)&lt;=VAL_SERIAL)*1000000+58*1000+55))</f>
        <v/>
      </c>
      <c r="GH217" s="35">
        <f>IF(N('Dvd Calendar'!$T$2195)=0,"",IF(('Dvd Calendar'!$T$2195&gt;=GRID_FROM)*('Dvd Calendar'!$T$2195&lt;=GRID_TO)*('Dvd Calendar'!$T$2195&gt;VAL_DATE)=0,"",'Dvd Calendar'!$T$2195*1000000000+ISNUMBER('Dvd Calendar'!$T$2196)*100000000+0*10000000+(N('Dvd Calendar'!$T$2194)&gt;0)*(N('Dvd Calendar'!$T$2194)&lt;=VAL_SERIAL)*1000000+58*1000+56))</f>
        <v/>
      </c>
      <c r="GI217" s="35">
        <f>IF(N('Dvd Calendar'!$U$2195)=0,"",IF(('Dvd Calendar'!$U$2195&gt;=GRID_FROM)*('Dvd Calendar'!$U$2195&lt;=GRID_TO)*('Dvd Calendar'!$U$2195&gt;VAL_DATE)=0,"",'Dvd Calendar'!$U$2195*1000000000+ISNUMBER('Dvd Calendar'!$U$2196)*100000000+0*10000000+(N('Dvd Calendar'!$U$2194)&gt;0)*(N('Dvd Calendar'!$U$2194)&lt;=VAL_SERIAL)*1000000+58*1000+57))</f>
        <v/>
      </c>
      <c r="GJ217" s="35">
        <f>IF(N('Dvd Calendar'!$V$2195)=0,"",IF(('Dvd Calendar'!$V$2195&gt;=GRID_FROM)*('Dvd Calendar'!$V$2195&lt;=GRID_TO)*('Dvd Calendar'!$V$2195&gt;VAL_DATE)=0,"",'Dvd Calendar'!$V$2195*1000000000+ISNUMBER('Dvd Calendar'!$V$2196)*100000000+0*10000000+(N('Dvd Calendar'!$V$2194)&gt;0)*(N('Dvd Calendar'!$V$2194)&lt;=VAL_SERIAL)*1000000+58*1000+58))</f>
        <v/>
      </c>
      <c r="GK217" s="35">
        <f>IF(N('Dvd Calendar'!$W$2195)=0,"",IF(('Dvd Calendar'!$W$2195&gt;=GRID_FROM)*('Dvd Calendar'!$W$2195&lt;=GRID_TO)*('Dvd Calendar'!$W$2195&gt;VAL_DATE)=0,"",'Dvd Calendar'!$W$2195*1000000000+ISNUMBER('Dvd Calendar'!$W$2196)*100000000+0*10000000+(N('Dvd Calendar'!$W$2194)&gt;0)*(N('Dvd Calendar'!$W$2194)&lt;=VAL_SERIAL)*1000000+58*1000+59))</f>
        <v/>
      </c>
      <c r="GL217" s="35">
        <f>IF(N('Dvd Calendar'!$X$2195)=0,"",IF(('Dvd Calendar'!$X$2195&gt;=GRID_FROM)*('Dvd Calendar'!$X$2195&lt;=GRID_TO)*('Dvd Calendar'!$X$2195&gt;VAL_DATE)=0,"",'Dvd Calendar'!$X$2195*1000000000+ISNUMBER('Dvd Calendar'!$X$2196)*100000000+0*10000000+(N('Dvd Calendar'!$X$2194)&gt;0)*(N('Dvd Calendar'!$X$2194)&lt;=VAL_SERIAL)*1000000+58*1000+60))</f>
        <v/>
      </c>
      <c r="GM217" s="35">
        <f>IF(N('Dvd Calendar'!$Y$2195)=0,"",IF(('Dvd Calendar'!$Y$2195&gt;=GRID_FROM)*('Dvd Calendar'!$Y$2195&lt;=GRID_TO)*('Dvd Calendar'!$Y$2195&gt;VAL_DATE)=0,"",'Dvd Calendar'!$Y$2195*1000000000+ISNUMBER('Dvd Calendar'!$Y$2196)*100000000+0*10000000+(N('Dvd Calendar'!$Y$2194)&gt;0)*(N('Dvd Calendar'!$Y$2194)&lt;=VAL_SERIAL)*1000000+58*1000+61))</f>
        <v/>
      </c>
      <c r="GN217" s="35">
        <f>IF(N('Dvd Calendar'!$Z$2195)=0,"",IF(('Dvd Calendar'!$Z$2195&gt;=GRID_FROM)*('Dvd Calendar'!$Z$2195&lt;=GRID_TO)*('Dvd Calendar'!$Z$2195&gt;VAL_DATE)=0,"",'Dvd Calendar'!$Z$2195*1000000000+ISNUMBER('Dvd Calendar'!$Z$2196)*100000000+0*10000000+(N('Dvd Calendar'!$Z$2194)&gt;0)*(N('Dvd Calendar'!$Z$2194)&lt;=VAL_SERIAL)*1000000+58*1000+62))</f>
        <v/>
      </c>
      <c r="GO217" s="35">
        <f>IF(N('Dvd Calendar'!$AA$2195)=0,"",IF(('Dvd Calendar'!$AA$2195&gt;=GRID_FROM)*('Dvd Calendar'!$AA$2195&lt;=GRID_TO)*('Dvd Calendar'!$AA$2195&gt;VAL_DATE)=0,"",'Dvd Calendar'!$AA$2195*1000000000+ISNUMBER('Dvd Calendar'!$AA$2196)*100000000+0*10000000+(N('Dvd Calendar'!$AA$2194)&gt;0)*(N('Dvd Calendar'!$AA$2194)&lt;=VAL_SERIAL)*1000000+58*1000+63))</f>
        <v/>
      </c>
      <c r="GP217" s="35">
        <f>IF(N('Dvd Calendar'!$AB$2195)=0,"",IF(('Dvd Calendar'!$AB$2195&gt;=GRID_FROM)*('Dvd Calendar'!$AB$2195&lt;=GRID_TO)*('Dvd Calendar'!$AB$2195&gt;VAL_DATE)=0,"",'Dvd Calendar'!$AB$2195*1000000000+ISNUMBER('Dvd Calendar'!$AB$2196)*100000000+0*10000000+(N('Dvd Calendar'!$AB$2194)&gt;0)*(N('Dvd Calendar'!$AB$2194)&lt;=VAL_SERIAL)*1000000+58*1000+64))</f>
        <v/>
      </c>
      <c r="GQ217" s="35">
        <f>IF(N('Dvd Calendar'!$AC$2195)=0,"",IF(('Dvd Calendar'!$AC$2195&gt;=GRID_FROM)*('Dvd Calendar'!$AC$2195&lt;=GRID_TO)*('Dvd Calendar'!$AC$2195&gt;VAL_DATE)=0,"",'Dvd Calendar'!$AC$2195*1000000000+ISNUMBER('Dvd Calendar'!$AC$2196)*100000000+0*10000000+(N('Dvd Calendar'!$AC$2194)&gt;0)*(N('Dvd Calendar'!$AC$2194)&lt;=VAL_SERIAL)*1000000+58*1000+65))</f>
        <v/>
      </c>
    </row>
    <row r="218">
      <c r="B218" s="2">
        <f>IF(HSCEI!$C$65="","",HSCEI!$C$65)</f>
        <v/>
      </c>
      <c r="C218" s="106">
        <f>IF(EE218="","",IF(ISNUMBER('Dvd Calendar'!$E$2202)=FALSE,"",IF((('Dvd Calendar'!$E$2204=TYPE1)*(TYPE1&lt;&gt;"")+('Dvd Calendar'!$E$2204=TYPE2)*(TYPE2&lt;&gt;"")+('Dvd Calendar'!$E$2204=TYPE3)*(TYPE3&lt;&gt;"")+('Dvd Calendar'!$E$2204=TYPE4)*(TYPE4&lt;&gt;"")+('Dvd Calendar'!$E$2204=SPECIAL_LBL)*(INC_SPECIALS="Y"))=0,"",'Dvd Calendar'!$E$2202)))</f>
        <v/>
      </c>
      <c r="D218" s="106">
        <f>IF(EF218="","",IF(ISNUMBER('Dvd Calendar'!$F$2202)=FALSE,"",IF((('Dvd Calendar'!$F$2204=TYPE1)*(TYPE1&lt;&gt;"")+('Dvd Calendar'!$F$2204=TYPE2)*(TYPE2&lt;&gt;"")+('Dvd Calendar'!$F$2204=TYPE3)*(TYPE3&lt;&gt;"")+('Dvd Calendar'!$F$2204=TYPE4)*(TYPE4&lt;&gt;"")+('Dvd Calendar'!$F$2204=SPECIAL_LBL)*(INC_SPECIALS="Y"))=0,"",'Dvd Calendar'!$F$2202)))</f>
        <v/>
      </c>
      <c r="E218" s="106">
        <f>IF(EG218="","",IF(ISNUMBER('Dvd Calendar'!$G$2202)=FALSE,"",IF((('Dvd Calendar'!$G$2204=TYPE1)*(TYPE1&lt;&gt;"")+('Dvd Calendar'!$G$2204=TYPE2)*(TYPE2&lt;&gt;"")+('Dvd Calendar'!$G$2204=TYPE3)*(TYPE3&lt;&gt;"")+('Dvd Calendar'!$G$2204=TYPE4)*(TYPE4&lt;&gt;"")+('Dvd Calendar'!$G$2204=SPECIAL_LBL)*(INC_SPECIALS="Y"))=0,"",'Dvd Calendar'!$G$2202)))</f>
        <v/>
      </c>
      <c r="F218" s="106">
        <f>IF(EH218="","",IF(ISNUMBER('Dvd Calendar'!$H$2202)=FALSE,"",IF((('Dvd Calendar'!$H$2204=TYPE1)*(TYPE1&lt;&gt;"")+('Dvd Calendar'!$H$2204=TYPE2)*(TYPE2&lt;&gt;"")+('Dvd Calendar'!$H$2204=TYPE3)*(TYPE3&lt;&gt;"")+('Dvd Calendar'!$H$2204=TYPE4)*(TYPE4&lt;&gt;"")+('Dvd Calendar'!$H$2204=SPECIAL_LBL)*(INC_SPECIALS="Y"))=0,"",'Dvd Calendar'!$H$2202)))</f>
        <v/>
      </c>
      <c r="G218" s="106">
        <f>IF(EI218="","",IF(ISNUMBER('Dvd Calendar'!$I$2202)=FALSE,"",IF((('Dvd Calendar'!$I$2204=TYPE1)*(TYPE1&lt;&gt;"")+('Dvd Calendar'!$I$2204=TYPE2)*(TYPE2&lt;&gt;"")+('Dvd Calendar'!$I$2204=TYPE3)*(TYPE3&lt;&gt;"")+('Dvd Calendar'!$I$2204=TYPE4)*(TYPE4&lt;&gt;"")+('Dvd Calendar'!$I$2204=SPECIAL_LBL)*(INC_SPECIALS="Y"))=0,"",'Dvd Calendar'!$I$2202)))</f>
        <v/>
      </c>
      <c r="H218" s="106">
        <f>IF(EJ218="","",IF(ISNUMBER('Dvd Calendar'!$J$2202)=FALSE,"",IF((('Dvd Calendar'!$J$2204=TYPE1)*(TYPE1&lt;&gt;"")+('Dvd Calendar'!$J$2204=TYPE2)*(TYPE2&lt;&gt;"")+('Dvd Calendar'!$J$2204=TYPE3)*(TYPE3&lt;&gt;"")+('Dvd Calendar'!$J$2204=TYPE4)*(TYPE4&lt;&gt;"")+('Dvd Calendar'!$J$2204=SPECIAL_LBL)*(INC_SPECIALS="Y"))=0,"",'Dvd Calendar'!$J$2202)))</f>
        <v/>
      </c>
      <c r="I218" s="106">
        <f>IF(EK218="","",IF(ISNUMBER('Dvd Calendar'!$K$2202)=FALSE,"",IF((('Dvd Calendar'!$K$2204=TYPE1)*(TYPE1&lt;&gt;"")+('Dvd Calendar'!$K$2204=TYPE2)*(TYPE2&lt;&gt;"")+('Dvd Calendar'!$K$2204=TYPE3)*(TYPE3&lt;&gt;"")+('Dvd Calendar'!$K$2204=TYPE4)*(TYPE4&lt;&gt;"")+('Dvd Calendar'!$K$2204=SPECIAL_LBL)*(INC_SPECIALS="Y"))=0,"",'Dvd Calendar'!$K$2202)))</f>
        <v/>
      </c>
      <c r="J218" s="106">
        <f>IF(EL218="","",IF(ISNUMBER('Dvd Calendar'!$L$2202)=FALSE,"",IF((('Dvd Calendar'!$L$2204=TYPE1)*(TYPE1&lt;&gt;"")+('Dvd Calendar'!$L$2204=TYPE2)*(TYPE2&lt;&gt;"")+('Dvd Calendar'!$L$2204=TYPE3)*(TYPE3&lt;&gt;"")+('Dvd Calendar'!$L$2204=TYPE4)*(TYPE4&lt;&gt;"")+('Dvd Calendar'!$L$2204=SPECIAL_LBL)*(INC_SPECIALS="Y"))=0,"",'Dvd Calendar'!$L$2202)))</f>
        <v/>
      </c>
      <c r="K218" s="106">
        <f>IF(EM218="","",IF(ISNUMBER('Dvd Calendar'!$M$2202)=FALSE,"",IF((('Dvd Calendar'!$M$2204=TYPE1)*(TYPE1&lt;&gt;"")+('Dvd Calendar'!$M$2204=TYPE2)*(TYPE2&lt;&gt;"")+('Dvd Calendar'!$M$2204=TYPE3)*(TYPE3&lt;&gt;"")+('Dvd Calendar'!$M$2204=TYPE4)*(TYPE4&lt;&gt;"")+('Dvd Calendar'!$M$2204=SPECIAL_LBL)*(INC_SPECIALS="Y"))=0,"",'Dvd Calendar'!$M$2202)))</f>
        <v/>
      </c>
      <c r="L218" s="106">
        <f>IF(EN218="","",IF(ISNUMBER('Dvd Calendar'!$N$2202)=FALSE,"",IF((('Dvd Calendar'!$N$2204=TYPE1)*(TYPE1&lt;&gt;"")+('Dvd Calendar'!$N$2204=TYPE2)*(TYPE2&lt;&gt;"")+('Dvd Calendar'!$N$2204=TYPE3)*(TYPE3&lt;&gt;"")+('Dvd Calendar'!$N$2204=TYPE4)*(TYPE4&lt;&gt;"")+('Dvd Calendar'!$N$2204=SPECIAL_LBL)*(INC_SPECIALS="Y"))=0,"",'Dvd Calendar'!$N$2202)))</f>
        <v/>
      </c>
      <c r="M218" s="106">
        <f>IF(EO218="","",IF(ISNUMBER('Dvd Calendar'!$O$2202)=FALSE,"",IF((('Dvd Calendar'!$O$2204=TYPE1)*(TYPE1&lt;&gt;"")+('Dvd Calendar'!$O$2204=TYPE2)*(TYPE2&lt;&gt;"")+('Dvd Calendar'!$O$2204=TYPE3)*(TYPE3&lt;&gt;"")+('Dvd Calendar'!$O$2204=TYPE4)*(TYPE4&lt;&gt;"")+('Dvd Calendar'!$O$2204=SPECIAL_LBL)*(INC_SPECIALS="Y"))=0,"",'Dvd Calendar'!$O$2202)))</f>
        <v/>
      </c>
      <c r="N218" s="106">
        <f>IF(EP218="","",IF(ISNUMBER('Dvd Calendar'!$P$2202)=FALSE,"",IF((('Dvd Calendar'!$P$2204=TYPE1)*(TYPE1&lt;&gt;"")+('Dvd Calendar'!$P$2204=TYPE2)*(TYPE2&lt;&gt;"")+('Dvd Calendar'!$P$2204=TYPE3)*(TYPE3&lt;&gt;"")+('Dvd Calendar'!$P$2204=TYPE4)*(TYPE4&lt;&gt;"")+('Dvd Calendar'!$P$2204=SPECIAL_LBL)*(INC_SPECIALS="Y"))=0,"",'Dvd Calendar'!$P$2202)))</f>
        <v/>
      </c>
      <c r="O218" s="106">
        <f>IF(EQ218="","",IF(ISNUMBER('Dvd Calendar'!$Q$2202)=FALSE,"",IF((('Dvd Calendar'!$Q$2204=TYPE1)*(TYPE1&lt;&gt;"")+('Dvd Calendar'!$Q$2204=TYPE2)*(TYPE2&lt;&gt;"")+('Dvd Calendar'!$Q$2204=TYPE3)*(TYPE3&lt;&gt;"")+('Dvd Calendar'!$Q$2204=TYPE4)*(TYPE4&lt;&gt;"")+('Dvd Calendar'!$Q$2204=SPECIAL_LBL)*(INC_SPECIALS="Y"))=0,"",'Dvd Calendar'!$Q$2202)))</f>
        <v/>
      </c>
      <c r="P218" s="106">
        <f>IF(ER218="","",IF(ISNUMBER('Dvd Calendar'!$R$2202)=FALSE,"",IF((('Dvd Calendar'!$R$2204=TYPE1)*(TYPE1&lt;&gt;"")+('Dvd Calendar'!$R$2204=TYPE2)*(TYPE2&lt;&gt;"")+('Dvd Calendar'!$R$2204=TYPE3)*(TYPE3&lt;&gt;"")+('Dvd Calendar'!$R$2204=TYPE4)*(TYPE4&lt;&gt;"")+('Dvd Calendar'!$R$2204=SPECIAL_LBL)*(INC_SPECIALS="Y"))=0,"",'Dvd Calendar'!$R$2202)))</f>
        <v/>
      </c>
      <c r="Q218" s="106">
        <f>IF(ES218="","",IF(ISNUMBER('Dvd Calendar'!$S$2202)=FALSE,"",IF((('Dvd Calendar'!$S$2204=TYPE1)*(TYPE1&lt;&gt;"")+('Dvd Calendar'!$S$2204=TYPE2)*(TYPE2&lt;&gt;"")+('Dvd Calendar'!$S$2204=TYPE3)*(TYPE3&lt;&gt;"")+('Dvd Calendar'!$S$2204=TYPE4)*(TYPE4&lt;&gt;"")+('Dvd Calendar'!$S$2204=SPECIAL_LBL)*(INC_SPECIALS="Y"))=0,"",'Dvd Calendar'!$S$2202)))</f>
        <v/>
      </c>
      <c r="R218" s="106">
        <f>IF(ET218="","",IF(ISNUMBER('Dvd Calendar'!$T$2202)=FALSE,"",IF((('Dvd Calendar'!$T$2204=TYPE1)*(TYPE1&lt;&gt;"")+('Dvd Calendar'!$T$2204=TYPE2)*(TYPE2&lt;&gt;"")+('Dvd Calendar'!$T$2204=TYPE3)*(TYPE3&lt;&gt;"")+('Dvd Calendar'!$T$2204=TYPE4)*(TYPE4&lt;&gt;"")+('Dvd Calendar'!$T$2204=SPECIAL_LBL)*(INC_SPECIALS="Y"))=0,"",'Dvd Calendar'!$T$2202)))</f>
        <v/>
      </c>
      <c r="S218" s="106">
        <f>IF(EU218="","",IF(ISNUMBER('Dvd Calendar'!$U$2202)=FALSE,"",IF((('Dvd Calendar'!$U$2204=TYPE1)*(TYPE1&lt;&gt;"")+('Dvd Calendar'!$U$2204=TYPE2)*(TYPE2&lt;&gt;"")+('Dvd Calendar'!$U$2204=TYPE3)*(TYPE3&lt;&gt;"")+('Dvd Calendar'!$U$2204=TYPE4)*(TYPE4&lt;&gt;"")+('Dvd Calendar'!$U$2204=SPECIAL_LBL)*(INC_SPECIALS="Y"))=0,"",'Dvd Calendar'!$U$2202)))</f>
        <v/>
      </c>
      <c r="T218" s="106">
        <f>IF(EV218="","",IF(ISNUMBER('Dvd Calendar'!$V$2202)=FALSE,"",IF((('Dvd Calendar'!$V$2204=TYPE1)*(TYPE1&lt;&gt;"")+('Dvd Calendar'!$V$2204=TYPE2)*(TYPE2&lt;&gt;"")+('Dvd Calendar'!$V$2204=TYPE3)*(TYPE3&lt;&gt;"")+('Dvd Calendar'!$V$2204=TYPE4)*(TYPE4&lt;&gt;"")+('Dvd Calendar'!$V$2204=SPECIAL_LBL)*(INC_SPECIALS="Y"))=0,"",'Dvd Calendar'!$V$2202)))</f>
        <v/>
      </c>
      <c r="U218" s="106">
        <f>IF(EW218="","",IF(ISNUMBER('Dvd Calendar'!$W$2202)=FALSE,"",IF((('Dvd Calendar'!$W$2204=TYPE1)*(TYPE1&lt;&gt;"")+('Dvd Calendar'!$W$2204=TYPE2)*(TYPE2&lt;&gt;"")+('Dvd Calendar'!$W$2204=TYPE3)*(TYPE3&lt;&gt;"")+('Dvd Calendar'!$W$2204=TYPE4)*(TYPE4&lt;&gt;"")+('Dvd Calendar'!$W$2204=SPECIAL_LBL)*(INC_SPECIALS="Y"))=0,"",'Dvd Calendar'!$W$2202)))</f>
        <v/>
      </c>
      <c r="V218" s="106">
        <f>IF(EX218="","",IF(ISNUMBER('Dvd Calendar'!$X$2202)=FALSE,"",IF((('Dvd Calendar'!$X$2204=TYPE1)*(TYPE1&lt;&gt;"")+('Dvd Calendar'!$X$2204=TYPE2)*(TYPE2&lt;&gt;"")+('Dvd Calendar'!$X$2204=TYPE3)*(TYPE3&lt;&gt;"")+('Dvd Calendar'!$X$2204=TYPE4)*(TYPE4&lt;&gt;"")+('Dvd Calendar'!$X$2204=SPECIAL_LBL)*(INC_SPECIALS="Y"))=0,"",'Dvd Calendar'!$X$2202)))</f>
        <v/>
      </c>
      <c r="W218" s="106">
        <f>IF(EY218="","",IF(ISNUMBER('Dvd Calendar'!$Y$2202)=FALSE,"",IF((('Dvd Calendar'!$Y$2204=TYPE1)*(TYPE1&lt;&gt;"")+('Dvd Calendar'!$Y$2204=TYPE2)*(TYPE2&lt;&gt;"")+('Dvd Calendar'!$Y$2204=TYPE3)*(TYPE3&lt;&gt;"")+('Dvd Calendar'!$Y$2204=TYPE4)*(TYPE4&lt;&gt;"")+('Dvd Calendar'!$Y$2204=SPECIAL_LBL)*(INC_SPECIALS="Y"))=0,"",'Dvd Calendar'!$Y$2202)))</f>
        <v/>
      </c>
      <c r="X218" s="106">
        <f>IF(EZ218="","",IF(ISNUMBER('Dvd Calendar'!$Z$2202)=FALSE,"",IF((('Dvd Calendar'!$Z$2204=TYPE1)*(TYPE1&lt;&gt;"")+('Dvd Calendar'!$Z$2204=TYPE2)*(TYPE2&lt;&gt;"")+('Dvd Calendar'!$Z$2204=TYPE3)*(TYPE3&lt;&gt;"")+('Dvd Calendar'!$Z$2204=TYPE4)*(TYPE4&lt;&gt;"")+('Dvd Calendar'!$Z$2204=SPECIAL_LBL)*(INC_SPECIALS="Y"))=0,"",'Dvd Calendar'!$Z$2202)))</f>
        <v/>
      </c>
      <c r="Y218" s="106">
        <f>IF(FA218="","",IF(ISNUMBER('Dvd Calendar'!$AA$2202)=FALSE,"",IF((('Dvd Calendar'!$AA$2204=TYPE1)*(TYPE1&lt;&gt;"")+('Dvd Calendar'!$AA$2204=TYPE2)*(TYPE2&lt;&gt;"")+('Dvd Calendar'!$AA$2204=TYPE3)*(TYPE3&lt;&gt;"")+('Dvd Calendar'!$AA$2204=TYPE4)*(TYPE4&lt;&gt;"")+('Dvd Calendar'!$AA$2204=SPECIAL_LBL)*(INC_SPECIALS="Y"))=0,"",'Dvd Calendar'!$AA$2202)))</f>
        <v/>
      </c>
      <c r="Z218" s="106">
        <f>IF(FB218="","",IF(ISNUMBER('Dvd Calendar'!$AB$2202)=FALSE,"",IF((('Dvd Calendar'!$AB$2204=TYPE1)*(TYPE1&lt;&gt;"")+('Dvd Calendar'!$AB$2204=TYPE2)*(TYPE2&lt;&gt;"")+('Dvd Calendar'!$AB$2204=TYPE3)*(TYPE3&lt;&gt;"")+('Dvd Calendar'!$AB$2204=TYPE4)*(TYPE4&lt;&gt;"")+('Dvd Calendar'!$AB$2204=SPECIAL_LBL)*(INC_SPECIALS="Y"))=0,"",'Dvd Calendar'!$AB$2202)))</f>
        <v/>
      </c>
      <c r="AA218" s="106">
        <f>IF(FC218="","",IF(ISNUMBER('Dvd Calendar'!$AC$2202)=FALSE,"",IF((('Dvd Calendar'!$AC$2204=TYPE1)*(TYPE1&lt;&gt;"")+('Dvd Calendar'!$AC$2204=TYPE2)*(TYPE2&lt;&gt;"")+('Dvd Calendar'!$AC$2204=TYPE3)*(TYPE3&lt;&gt;"")+('Dvd Calendar'!$AC$2204=TYPE4)*(TYPE4&lt;&gt;"")+('Dvd Calendar'!$AC$2204=SPECIAL_LBL)*(INC_SPECIALS="Y"))=0,"",'Dvd Calendar'!$AC$2202)))</f>
        <v/>
      </c>
      <c r="AB218" s="106">
        <f>IF(FD218="","",IF(ISNUMBER('Dvd Calendar'!$AD$2202)=FALSE,"",IF((('Dvd Calendar'!$AD$2204=TYPE1)*(TYPE1&lt;&gt;"")+('Dvd Calendar'!$AD$2204=TYPE2)*(TYPE2&lt;&gt;"")+('Dvd Calendar'!$AD$2204=TYPE3)*(TYPE3&lt;&gt;"")+('Dvd Calendar'!$AD$2204=TYPE4)*(TYPE4&lt;&gt;"")+('Dvd Calendar'!$AD$2204=SPECIAL_LBL)*(INC_SPECIALS="Y"))=0,"",'Dvd Calendar'!$AD$2202)))</f>
        <v/>
      </c>
      <c r="AC218" s="106">
        <f>IF(FE218="","",IF(ISNUMBER('Dvd Calendar'!$AE$2202)=FALSE,"",IF((('Dvd Calendar'!$AE$2204=TYPE1)*(TYPE1&lt;&gt;"")+('Dvd Calendar'!$AE$2204=TYPE2)*(TYPE2&lt;&gt;"")+('Dvd Calendar'!$AE$2204=TYPE3)*(TYPE3&lt;&gt;"")+('Dvd Calendar'!$AE$2204=TYPE4)*(TYPE4&lt;&gt;"")+('Dvd Calendar'!$AE$2204=SPECIAL_LBL)*(INC_SPECIALS="Y"))=0,"",'Dvd Calendar'!$AE$2202)))</f>
        <v/>
      </c>
      <c r="AD218" s="106">
        <f>IF(FF218="","",IF(ISNUMBER('Dvd Calendar'!$AF$2202)=FALSE,"",IF((('Dvd Calendar'!$AF$2204=TYPE1)*(TYPE1&lt;&gt;"")+('Dvd Calendar'!$AF$2204=TYPE2)*(TYPE2&lt;&gt;"")+('Dvd Calendar'!$AF$2204=TYPE3)*(TYPE3&lt;&gt;"")+('Dvd Calendar'!$AF$2204=TYPE4)*(TYPE4&lt;&gt;"")+('Dvd Calendar'!$AF$2204=SPECIAL_LBL)*(INC_SPECIALS="Y"))=0,"",'Dvd Calendar'!$AF$2202)))</f>
        <v/>
      </c>
      <c r="AE218" s="106">
        <f>IF(FG218="","",IF(ISNUMBER('Dvd Calendar'!$AG$2202)=FALSE,"",IF((('Dvd Calendar'!$AG$2204=TYPE1)*(TYPE1&lt;&gt;"")+('Dvd Calendar'!$AG$2204=TYPE2)*(TYPE2&lt;&gt;"")+('Dvd Calendar'!$AG$2204=TYPE3)*(TYPE3&lt;&gt;"")+('Dvd Calendar'!$AG$2204=TYPE4)*(TYPE4&lt;&gt;"")+('Dvd Calendar'!$AG$2204=SPECIAL_LBL)*(INC_SPECIALS="Y"))=0,"",'Dvd Calendar'!$AG$2202)))</f>
        <v/>
      </c>
      <c r="AF218" s="106">
        <f>IF(FH218="","",IF(ISNUMBER('Dvd Calendar'!$AH$2202)=FALSE,"",IF((('Dvd Calendar'!$AH$2204=TYPE1)*(TYPE1&lt;&gt;"")+('Dvd Calendar'!$AH$2204=TYPE2)*(TYPE2&lt;&gt;"")+('Dvd Calendar'!$AH$2204=TYPE3)*(TYPE3&lt;&gt;"")+('Dvd Calendar'!$AH$2204=TYPE4)*(TYPE4&lt;&gt;"")+('Dvd Calendar'!$AH$2204=SPECIAL_LBL)*(INC_SPECIALS="Y"))=0,"",'Dvd Calendar'!$AH$2202)))</f>
        <v/>
      </c>
      <c r="AG218" s="106">
        <f>IF(FI218="","",IF(ISNUMBER('Dvd Calendar'!$AI$2202)=FALSE,"",IF((('Dvd Calendar'!$AI$2204=TYPE1)*(TYPE1&lt;&gt;"")+('Dvd Calendar'!$AI$2204=TYPE2)*(TYPE2&lt;&gt;"")+('Dvd Calendar'!$AI$2204=TYPE3)*(TYPE3&lt;&gt;"")+('Dvd Calendar'!$AI$2204=TYPE4)*(TYPE4&lt;&gt;"")+('Dvd Calendar'!$AI$2204=SPECIAL_LBL)*(INC_SPECIALS="Y"))=0,"",'Dvd Calendar'!$AI$2202)))</f>
        <v/>
      </c>
      <c r="AH218" s="106">
        <f>IF(FJ218="","",IF(ISNUMBER('Dvd Calendar'!$AJ$2202)=FALSE,"",IF((('Dvd Calendar'!$AJ$2204=TYPE1)*(TYPE1&lt;&gt;"")+('Dvd Calendar'!$AJ$2204=TYPE2)*(TYPE2&lt;&gt;"")+('Dvd Calendar'!$AJ$2204=TYPE3)*(TYPE3&lt;&gt;"")+('Dvd Calendar'!$AJ$2204=TYPE4)*(TYPE4&lt;&gt;"")+('Dvd Calendar'!$AJ$2204=SPECIAL_LBL)*(INC_SPECIALS="Y"))=0,"",'Dvd Calendar'!$AJ$2202)))</f>
        <v/>
      </c>
      <c r="AI218" s="106">
        <f>IF(FK218="","",IF(ISNUMBER('Dvd Calendar'!$AK$2202)=FALSE,"",IF((('Dvd Calendar'!$AK$2204=TYPE1)*(TYPE1&lt;&gt;"")+('Dvd Calendar'!$AK$2204=TYPE2)*(TYPE2&lt;&gt;"")+('Dvd Calendar'!$AK$2204=TYPE3)*(TYPE3&lt;&gt;"")+('Dvd Calendar'!$AK$2204=TYPE4)*(TYPE4&lt;&gt;"")+('Dvd Calendar'!$AK$2204=SPECIAL_LBL)*(INC_SPECIALS="Y"))=0,"",'Dvd Calendar'!$AK$2202)))</f>
        <v/>
      </c>
      <c r="AJ218" s="106">
        <f>IF(FL218="","",IF(ISNUMBER('Dvd Calendar'!$AL$2202)=FALSE,"",IF((('Dvd Calendar'!$AL$2204=TYPE1)*(TYPE1&lt;&gt;"")+('Dvd Calendar'!$AL$2204=TYPE2)*(TYPE2&lt;&gt;"")+('Dvd Calendar'!$AL$2204=TYPE3)*(TYPE3&lt;&gt;"")+('Dvd Calendar'!$AL$2204=TYPE4)*(TYPE4&lt;&gt;"")+('Dvd Calendar'!$AL$2204=SPECIAL_LBL)*(INC_SPECIALS="Y"))=0,"",'Dvd Calendar'!$AL$2202)))</f>
        <v/>
      </c>
      <c r="AK218" s="106">
        <f>IF(FM218="","",IF(ISNUMBER('Dvd Calendar'!$AM$2202)=FALSE,"",IF((('Dvd Calendar'!$AM$2204=TYPE1)*(TYPE1&lt;&gt;"")+('Dvd Calendar'!$AM$2204=TYPE2)*(TYPE2&lt;&gt;"")+('Dvd Calendar'!$AM$2204=TYPE3)*(TYPE3&lt;&gt;"")+('Dvd Calendar'!$AM$2204=TYPE4)*(TYPE4&lt;&gt;"")+('Dvd Calendar'!$AM$2204=SPECIAL_LBL)*(INC_SPECIALS="Y"))=0,"",'Dvd Calendar'!$AM$2202)))</f>
        <v/>
      </c>
      <c r="AL218" s="106">
        <f>IF(FN218="","",IF(ISNUMBER('Dvd Calendar'!$AN$2202)=FALSE,"",IF((('Dvd Calendar'!$AN$2204=TYPE1)*(TYPE1&lt;&gt;"")+('Dvd Calendar'!$AN$2204=TYPE2)*(TYPE2&lt;&gt;"")+('Dvd Calendar'!$AN$2204=TYPE3)*(TYPE3&lt;&gt;"")+('Dvd Calendar'!$AN$2204=TYPE4)*(TYPE4&lt;&gt;"")+('Dvd Calendar'!$AN$2204=SPECIAL_LBL)*(INC_SPECIALS="Y"))=0,"",'Dvd Calendar'!$AN$2202)))</f>
        <v/>
      </c>
      <c r="AM218" s="106">
        <f>IF(FO218="","",IF(ISNUMBER('Dvd Calendar'!$AO$2202)=FALSE,"",IF((('Dvd Calendar'!$AO$2204=TYPE1)*(TYPE1&lt;&gt;"")+('Dvd Calendar'!$AO$2204=TYPE2)*(TYPE2&lt;&gt;"")+('Dvd Calendar'!$AO$2204=TYPE3)*(TYPE3&lt;&gt;"")+('Dvd Calendar'!$AO$2204=TYPE4)*(TYPE4&lt;&gt;"")+('Dvd Calendar'!$AO$2204=SPECIAL_LBL)*(INC_SPECIALS="Y"))=0,"",'Dvd Calendar'!$AO$2202)))</f>
        <v/>
      </c>
      <c r="AN218" s="106">
        <f>IF(FP218="","",IF(ISNUMBER('Dvd Calendar'!$AP$2202)=FALSE,"",IF((('Dvd Calendar'!$AP$2204=TYPE1)*(TYPE1&lt;&gt;"")+('Dvd Calendar'!$AP$2204=TYPE2)*(TYPE2&lt;&gt;"")+('Dvd Calendar'!$AP$2204=TYPE3)*(TYPE3&lt;&gt;"")+('Dvd Calendar'!$AP$2204=TYPE4)*(TYPE4&lt;&gt;"")+('Dvd Calendar'!$AP$2204=SPECIAL_LBL)*(INC_SPECIALS="Y"))=0,"",'Dvd Calendar'!$AP$2202)))</f>
        <v/>
      </c>
      <c r="AO218" s="106">
        <f>IF(FQ218="","",IF(ISNUMBER('Dvd Calendar'!$AQ$2202)=FALSE,"",IF((('Dvd Calendar'!$AQ$2204=TYPE1)*(TYPE1&lt;&gt;"")+('Dvd Calendar'!$AQ$2204=TYPE2)*(TYPE2&lt;&gt;"")+('Dvd Calendar'!$AQ$2204=TYPE3)*(TYPE3&lt;&gt;"")+('Dvd Calendar'!$AQ$2204=TYPE4)*(TYPE4&lt;&gt;"")+('Dvd Calendar'!$AQ$2204=SPECIAL_LBL)*(INC_SPECIALS="Y"))=0,"",'Dvd Calendar'!$AQ$2202)))</f>
        <v/>
      </c>
      <c r="AP218" s="106">
        <f>IF(FR218="","",IF(ISNUMBER('Dvd Calendar'!$AR$2202)=FALSE,"",IF((('Dvd Calendar'!$AR$2204=TYPE1)*(TYPE1&lt;&gt;"")+('Dvd Calendar'!$AR$2204=TYPE2)*(TYPE2&lt;&gt;"")+('Dvd Calendar'!$AR$2204=TYPE3)*(TYPE3&lt;&gt;"")+('Dvd Calendar'!$AR$2204=TYPE4)*(TYPE4&lt;&gt;"")+('Dvd Calendar'!$AR$2204=SPECIAL_LBL)*(INC_SPECIALS="Y"))=0,"",'Dvd Calendar'!$AR$2202)))</f>
        <v/>
      </c>
      <c r="AQ218" s="106">
        <f>IF(FS218="","",IF(ISNUMBER('Dvd Calendar'!$E$2207)=FALSE,"",'Dvd Calendar'!$E$2207))</f>
        <v/>
      </c>
      <c r="AR218" s="106">
        <f>IF(FT218="","",IF(ISNUMBER('Dvd Calendar'!$F$2207)=FALSE,"",'Dvd Calendar'!$F$2207))</f>
        <v/>
      </c>
      <c r="AS218" s="106">
        <f>IF(FU218="","",IF(ISNUMBER('Dvd Calendar'!$G$2207)=FALSE,"",'Dvd Calendar'!$G$2207))</f>
        <v/>
      </c>
      <c r="AT218" s="106">
        <f>IF(FV218="","",IF(ISNUMBER('Dvd Calendar'!$H$2207)=FALSE,"",'Dvd Calendar'!$H$2207))</f>
        <v/>
      </c>
      <c r="AU218" s="106">
        <f>IF(FW218="","",IF(ISNUMBER('Dvd Calendar'!$I$2207)=FALSE,"",'Dvd Calendar'!$I$2207))</f>
        <v/>
      </c>
      <c r="AV218" s="106">
        <f>IF(FX218="","",IF(ISNUMBER('Dvd Calendar'!$J$2207)=FALSE,"",'Dvd Calendar'!$J$2207))</f>
        <v/>
      </c>
      <c r="AW218" s="106">
        <f>IF(FY218="","",IF(ISNUMBER('Dvd Calendar'!$K$2207)=FALSE,"",'Dvd Calendar'!$K$2207))</f>
        <v/>
      </c>
      <c r="AX218" s="106">
        <f>IF(FZ218="","",IF(ISNUMBER('Dvd Calendar'!$L$2207)=FALSE,"",'Dvd Calendar'!$L$2207))</f>
        <v/>
      </c>
      <c r="AY218" s="106">
        <f>IF(GA218="","",IF(ISNUMBER('Dvd Calendar'!$M$2207)=FALSE,"",'Dvd Calendar'!$M$2207))</f>
        <v/>
      </c>
      <c r="AZ218" s="106">
        <f>IF(GB218="","",IF(ISNUMBER('Dvd Calendar'!$N$2207)=FALSE,"",'Dvd Calendar'!$N$2207))</f>
        <v/>
      </c>
      <c r="BA218" s="106">
        <f>IF(GC218="","",IF(ISNUMBER('Dvd Calendar'!$O$2207)=FALSE,"",'Dvd Calendar'!$O$2207))</f>
        <v/>
      </c>
      <c r="BB218" s="106">
        <f>IF(GD218="","",IF(ISNUMBER('Dvd Calendar'!$P$2207)=FALSE,"",'Dvd Calendar'!$P$2207))</f>
        <v/>
      </c>
      <c r="BC218" s="106">
        <f>IF(GE218="","",IF(ISNUMBER('Dvd Calendar'!$Q$2207)=FALSE,"",'Dvd Calendar'!$Q$2207))</f>
        <v/>
      </c>
      <c r="BD218" s="106">
        <f>IF(GF218="","",IF(ISNUMBER('Dvd Calendar'!$R$2207)=FALSE,"",'Dvd Calendar'!$R$2207))</f>
        <v/>
      </c>
      <c r="BE218" s="106">
        <f>IF(GG218="","",IF(ISNUMBER('Dvd Calendar'!$S$2207)=FALSE,"",'Dvd Calendar'!$S$2207))</f>
        <v/>
      </c>
      <c r="BF218" s="106">
        <f>IF(GH218="","",IF(ISNUMBER('Dvd Calendar'!$T$2207)=FALSE,"",'Dvd Calendar'!$T$2207))</f>
        <v/>
      </c>
      <c r="BG218" s="106">
        <f>IF(GI218="","",IF(ISNUMBER('Dvd Calendar'!$U$2207)=FALSE,"",'Dvd Calendar'!$U$2207))</f>
        <v/>
      </c>
      <c r="BH218" s="106">
        <f>IF(GJ218="","",IF(ISNUMBER('Dvd Calendar'!$V$2207)=FALSE,"",'Dvd Calendar'!$V$2207))</f>
        <v/>
      </c>
      <c r="BI218" s="106">
        <f>IF(GK218="","",IF(ISNUMBER('Dvd Calendar'!$W$2207)=FALSE,"",'Dvd Calendar'!$W$2207))</f>
        <v/>
      </c>
      <c r="BJ218" s="106">
        <f>IF(GL218="","",IF(ISNUMBER('Dvd Calendar'!$X$2207)=FALSE,"",'Dvd Calendar'!$X$2207))</f>
        <v/>
      </c>
      <c r="BK218" s="106">
        <f>IF(GM218="","",IF(ISNUMBER('Dvd Calendar'!$Y$2207)=FALSE,"",'Dvd Calendar'!$Y$2207))</f>
        <v/>
      </c>
      <c r="BL218" s="106">
        <f>IF(GN218="","",IF(ISNUMBER('Dvd Calendar'!$Z$2207)=FALSE,"",'Dvd Calendar'!$Z$2207))</f>
        <v/>
      </c>
      <c r="BM218" s="106">
        <f>IF(GO218="","",IF(ISNUMBER('Dvd Calendar'!$AA$2207)=FALSE,"",'Dvd Calendar'!$AA$2207))</f>
        <v/>
      </c>
      <c r="BN218" s="106">
        <f>IF(GP218="","",IF(ISNUMBER('Dvd Calendar'!$AB$2207)=FALSE,"",'Dvd Calendar'!$AB$2207))</f>
        <v/>
      </c>
      <c r="BO218" s="106">
        <f>IF(GQ218="","",IF(ISNUMBER('Dvd Calendar'!$AC$2207)=FALSE,"",'Dvd Calendar'!$AC$2207))</f>
        <v/>
      </c>
      <c r="BQ218" s="106">
        <f>IF(C218="","",IFERROR(C218*HSCEI!$B$65*HSCEI!$G$65/HSCEI!$B$3,""))</f>
        <v/>
      </c>
      <c r="BR218" s="106">
        <f>IF(D218="","",IFERROR(D218*HSCEI!$B$65*HSCEI!$G$65/HSCEI!$B$3,""))</f>
        <v/>
      </c>
      <c r="BS218" s="106">
        <f>IF(E218="","",IFERROR(E218*HSCEI!$B$65*HSCEI!$G$65/HSCEI!$B$3,""))</f>
        <v/>
      </c>
      <c r="BT218" s="106">
        <f>IF(F218="","",IFERROR(F218*HSCEI!$B$65*HSCEI!$G$65/HSCEI!$B$3,""))</f>
        <v/>
      </c>
      <c r="BU218" s="106">
        <f>IF(G218="","",IFERROR(G218*HSCEI!$B$65*HSCEI!$G$65/HSCEI!$B$3,""))</f>
        <v/>
      </c>
      <c r="BV218" s="106">
        <f>IF(H218="","",IFERROR(H218*HSCEI!$B$65*HSCEI!$G$65/HSCEI!$B$3,""))</f>
        <v/>
      </c>
      <c r="BW218" s="106">
        <f>IF(I218="","",IFERROR(I218*HSCEI!$B$65*HSCEI!$G$65/HSCEI!$B$3,""))</f>
        <v/>
      </c>
      <c r="BX218" s="106">
        <f>IF(J218="","",IFERROR(J218*HSCEI!$B$65*HSCEI!$G$65/HSCEI!$B$3,""))</f>
        <v/>
      </c>
      <c r="BY218" s="106">
        <f>IF(K218="","",IFERROR(K218*HSCEI!$B$65*HSCEI!$G$65/HSCEI!$B$3,""))</f>
        <v/>
      </c>
      <c r="BZ218" s="106">
        <f>IF(L218="","",IFERROR(L218*HSCEI!$B$65*HSCEI!$G$65/HSCEI!$B$3,""))</f>
        <v/>
      </c>
      <c r="CA218" s="106">
        <f>IF(M218="","",IFERROR(M218*HSCEI!$B$65*HSCEI!$G$65/HSCEI!$B$3,""))</f>
        <v/>
      </c>
      <c r="CB218" s="106">
        <f>IF(N218="","",IFERROR(N218*HSCEI!$B$65*HSCEI!$G$65/HSCEI!$B$3,""))</f>
        <v/>
      </c>
      <c r="CC218" s="106">
        <f>IF(O218="","",IFERROR(O218*HSCEI!$B$65*HSCEI!$G$65/HSCEI!$B$3,""))</f>
        <v/>
      </c>
      <c r="CD218" s="106">
        <f>IF(P218="","",IFERROR(P218*HSCEI!$B$65*HSCEI!$G$65/HSCEI!$B$3,""))</f>
        <v/>
      </c>
      <c r="CE218" s="106">
        <f>IF(Q218="","",IFERROR(Q218*HSCEI!$B$65*HSCEI!$G$65/HSCEI!$B$3,""))</f>
        <v/>
      </c>
      <c r="CF218" s="106">
        <f>IF(R218="","",IFERROR(R218*HSCEI!$B$65*HSCEI!$G$65/HSCEI!$B$3,""))</f>
        <v/>
      </c>
      <c r="CG218" s="106">
        <f>IF(S218="","",IFERROR(S218*HSCEI!$B$65*HSCEI!$G$65/HSCEI!$B$3,""))</f>
        <v/>
      </c>
      <c r="CH218" s="106">
        <f>IF(T218="","",IFERROR(T218*HSCEI!$B$65*HSCEI!$G$65/HSCEI!$B$3,""))</f>
        <v/>
      </c>
      <c r="CI218" s="106">
        <f>IF(U218="","",IFERROR(U218*HSCEI!$B$65*HSCEI!$G$65/HSCEI!$B$3,""))</f>
        <v/>
      </c>
      <c r="CJ218" s="106">
        <f>IF(V218="","",IFERROR(V218*HSCEI!$B$65*HSCEI!$G$65/HSCEI!$B$3,""))</f>
        <v/>
      </c>
      <c r="CK218" s="106">
        <f>IF(W218="","",IFERROR(W218*HSCEI!$B$65*HSCEI!$G$65/HSCEI!$B$3,""))</f>
        <v/>
      </c>
      <c r="CL218" s="106">
        <f>IF(X218="","",IFERROR(X218*HSCEI!$B$65*HSCEI!$G$65/HSCEI!$B$3,""))</f>
        <v/>
      </c>
      <c r="CM218" s="106">
        <f>IF(Y218="","",IFERROR(Y218*HSCEI!$B$65*HSCEI!$G$65/HSCEI!$B$3,""))</f>
        <v/>
      </c>
      <c r="CN218" s="106">
        <f>IF(Z218="","",IFERROR(Z218*HSCEI!$B$65*HSCEI!$G$65/HSCEI!$B$3,""))</f>
        <v/>
      </c>
      <c r="CO218" s="106">
        <f>IF(AA218="","",IFERROR(AA218*HSCEI!$B$65*HSCEI!$G$65/HSCEI!$B$3,""))</f>
        <v/>
      </c>
      <c r="CP218" s="106">
        <f>IF(AB218="","",IFERROR(AB218*HSCEI!$B$65*HSCEI!$G$65/HSCEI!$B$3,""))</f>
        <v/>
      </c>
      <c r="CQ218" s="106">
        <f>IF(AC218="","",IFERROR(AC218*HSCEI!$B$65*HSCEI!$G$65/HSCEI!$B$3,""))</f>
        <v/>
      </c>
      <c r="CR218" s="106">
        <f>IF(AD218="","",IFERROR(AD218*HSCEI!$B$65*HSCEI!$G$65/HSCEI!$B$3,""))</f>
        <v/>
      </c>
      <c r="CS218" s="106">
        <f>IF(AE218="","",IFERROR(AE218*HSCEI!$B$65*HSCEI!$G$65/HSCEI!$B$3,""))</f>
        <v/>
      </c>
      <c r="CT218" s="106">
        <f>IF(AF218="","",IFERROR(AF218*HSCEI!$B$65*HSCEI!$G$65/HSCEI!$B$3,""))</f>
        <v/>
      </c>
      <c r="CU218" s="106">
        <f>IF(AG218="","",IFERROR(AG218*HSCEI!$B$65*HSCEI!$G$65/HSCEI!$B$3,""))</f>
        <v/>
      </c>
      <c r="CV218" s="106">
        <f>IF(AH218="","",IFERROR(AH218*HSCEI!$B$65*HSCEI!$G$65/HSCEI!$B$3,""))</f>
        <v/>
      </c>
      <c r="CW218" s="106">
        <f>IF(AI218="","",IFERROR(AI218*HSCEI!$B$65*HSCEI!$G$65/HSCEI!$B$3,""))</f>
        <v/>
      </c>
      <c r="CX218" s="106">
        <f>IF(AJ218="","",IFERROR(AJ218*HSCEI!$B$65*HSCEI!$G$65/HSCEI!$B$3,""))</f>
        <v/>
      </c>
      <c r="CY218" s="106">
        <f>IF(AK218="","",IFERROR(AK218*HSCEI!$B$65*HSCEI!$G$65/HSCEI!$B$3,""))</f>
        <v/>
      </c>
      <c r="CZ218" s="106">
        <f>IF(AL218="","",IFERROR(AL218*HSCEI!$B$65*HSCEI!$G$65/HSCEI!$B$3,""))</f>
        <v/>
      </c>
      <c r="DA218" s="106">
        <f>IF(AM218="","",IFERROR(AM218*HSCEI!$B$65*HSCEI!$G$65/HSCEI!$B$3,""))</f>
        <v/>
      </c>
      <c r="DB218" s="106">
        <f>IF(AN218="","",IFERROR(AN218*HSCEI!$B$65*HSCEI!$G$65/HSCEI!$B$3,""))</f>
        <v/>
      </c>
      <c r="DC218" s="106">
        <f>IF(AO218="","",IFERROR(AO218*HSCEI!$B$65*HSCEI!$G$65/HSCEI!$B$3,""))</f>
        <v/>
      </c>
      <c r="DD218" s="106">
        <f>IF(AP218="","",IFERROR(AP218*HSCEI!$B$65*HSCEI!$G$65/HSCEI!$B$3,""))</f>
        <v/>
      </c>
      <c r="DE218" s="106">
        <f>IF(AQ218="","",IFERROR(AQ218*HSCEI!$B$65*HSCEI!$G$65/HSCEI!$B$3,""))</f>
        <v/>
      </c>
      <c r="DF218" s="106">
        <f>IF(AR218="","",IFERROR(AR218*HSCEI!$B$65*HSCEI!$G$65/HSCEI!$B$3,""))</f>
        <v/>
      </c>
      <c r="DG218" s="106">
        <f>IF(AS218="","",IFERROR(AS218*HSCEI!$B$65*HSCEI!$G$65/HSCEI!$B$3,""))</f>
        <v/>
      </c>
      <c r="DH218" s="106">
        <f>IF(AT218="","",IFERROR(AT218*HSCEI!$B$65*HSCEI!$G$65/HSCEI!$B$3,""))</f>
        <v/>
      </c>
      <c r="DI218" s="106">
        <f>IF(AU218="","",IFERROR(AU218*HSCEI!$B$65*HSCEI!$G$65/HSCEI!$B$3,""))</f>
        <v/>
      </c>
      <c r="DJ218" s="106">
        <f>IF(AV218="","",IFERROR(AV218*HSCEI!$B$65*HSCEI!$G$65/HSCEI!$B$3,""))</f>
        <v/>
      </c>
      <c r="DK218" s="106">
        <f>IF(AW218="","",IFERROR(AW218*HSCEI!$B$65*HSCEI!$G$65/HSCEI!$B$3,""))</f>
        <v/>
      </c>
      <c r="DL218" s="106">
        <f>IF(AX218="","",IFERROR(AX218*HSCEI!$B$65*HSCEI!$G$65/HSCEI!$B$3,""))</f>
        <v/>
      </c>
      <c r="DM218" s="106">
        <f>IF(AY218="","",IFERROR(AY218*HSCEI!$B$65*HSCEI!$G$65/HSCEI!$B$3,""))</f>
        <v/>
      </c>
      <c r="DN218" s="106">
        <f>IF(AZ218="","",IFERROR(AZ218*HSCEI!$B$65*HSCEI!$G$65/HSCEI!$B$3,""))</f>
        <v/>
      </c>
      <c r="DO218" s="106">
        <f>IF(BA218="","",IFERROR(BA218*HSCEI!$B$65*HSCEI!$G$65/HSCEI!$B$3,""))</f>
        <v/>
      </c>
      <c r="DP218" s="106">
        <f>IF(BB218="","",IFERROR(BB218*HSCEI!$B$65*HSCEI!$G$65/HSCEI!$B$3,""))</f>
        <v/>
      </c>
      <c r="DQ218" s="106">
        <f>IF(BC218="","",IFERROR(BC218*HSCEI!$B$65*HSCEI!$G$65/HSCEI!$B$3,""))</f>
        <v/>
      </c>
      <c r="DR218" s="106">
        <f>IF(BD218="","",IFERROR(BD218*HSCEI!$B$65*HSCEI!$G$65/HSCEI!$B$3,""))</f>
        <v/>
      </c>
      <c r="DS218" s="106">
        <f>IF(BE218="","",IFERROR(BE218*HSCEI!$B$65*HSCEI!$G$65/HSCEI!$B$3,""))</f>
        <v/>
      </c>
      <c r="DT218" s="106">
        <f>IF(BF218="","",IFERROR(BF218*HSCEI!$B$65*HSCEI!$G$65/HSCEI!$B$3,""))</f>
        <v/>
      </c>
      <c r="DU218" s="106">
        <f>IF(BG218="","",IFERROR(BG218*HSCEI!$B$65*HSCEI!$G$65/HSCEI!$B$3,""))</f>
        <v/>
      </c>
      <c r="DV218" s="106">
        <f>IF(BH218="","",IFERROR(BH218*HSCEI!$B$65*HSCEI!$G$65/HSCEI!$B$3,""))</f>
        <v/>
      </c>
      <c r="DW218" s="106">
        <f>IF(BI218="","",IFERROR(BI218*HSCEI!$B$65*HSCEI!$G$65/HSCEI!$B$3,""))</f>
        <v/>
      </c>
      <c r="DX218" s="106">
        <f>IF(BJ218="","",IFERROR(BJ218*HSCEI!$B$65*HSCEI!$G$65/HSCEI!$B$3,""))</f>
        <v/>
      </c>
      <c r="DY218" s="106">
        <f>IF(BK218="","",IFERROR(BK218*HSCEI!$B$65*HSCEI!$G$65/HSCEI!$B$3,""))</f>
        <v/>
      </c>
      <c r="DZ218" s="106">
        <f>IF(BL218="","",IFERROR(BL218*HSCEI!$B$65*HSCEI!$G$65/HSCEI!$B$3,""))</f>
        <v/>
      </c>
      <c r="EA218" s="106">
        <f>IF(BM218="","",IFERROR(BM218*HSCEI!$B$65*HSCEI!$G$65/HSCEI!$B$3,""))</f>
        <v/>
      </c>
      <c r="EB218" s="106">
        <f>IF(BN218="","",IFERROR(BN218*HSCEI!$B$65*HSCEI!$G$65/HSCEI!$B$3,""))</f>
        <v/>
      </c>
      <c r="EC218" s="106">
        <f>IF(BO218="","",IFERROR(BO218*HSCEI!$B$65*HSCEI!$G$65/HSCEI!$B$3,""))</f>
        <v/>
      </c>
      <c r="EE218" s="35">
        <f>IF(N('Dvd Calendar'!$E$2199)=0,"",IF(('Dvd Calendar'!$E$2199&gt;=GRID_FROM)*('Dvd Calendar'!$E$2199&lt;=GRID_TO)*('Dvd Calendar'!$E$2199&lt;=VAL_DATE)=0,"",'Dvd Calendar'!$E$2199*1000000000+ISNUMBER('Dvd Calendar'!$E$2202)*100000000+('Dvd Calendar'!$E$2204=SPECIAL_LBL)*10000000+0*1000000+59*1000+1))</f>
        <v/>
      </c>
      <c r="EF218" s="35">
        <f>IF(N('Dvd Calendar'!$F$2199)=0,"",IF(('Dvd Calendar'!$F$2199&gt;=GRID_FROM)*('Dvd Calendar'!$F$2199&lt;=GRID_TO)*('Dvd Calendar'!$F$2199&lt;=VAL_DATE)=0,"",'Dvd Calendar'!$F$2199*1000000000+ISNUMBER('Dvd Calendar'!$F$2202)*100000000+('Dvd Calendar'!$F$2204=SPECIAL_LBL)*10000000+0*1000000+59*1000+2))</f>
        <v/>
      </c>
      <c r="EG218" s="35">
        <f>IF(N('Dvd Calendar'!$G$2199)=0,"",IF(('Dvd Calendar'!$G$2199&gt;=GRID_FROM)*('Dvd Calendar'!$G$2199&lt;=GRID_TO)*('Dvd Calendar'!$G$2199&lt;=VAL_DATE)=0,"",'Dvd Calendar'!$G$2199*1000000000+ISNUMBER('Dvd Calendar'!$G$2202)*100000000+('Dvd Calendar'!$G$2204=SPECIAL_LBL)*10000000+0*1000000+59*1000+3))</f>
        <v/>
      </c>
      <c r="EH218" s="35">
        <f>IF(N('Dvd Calendar'!$H$2199)=0,"",IF(('Dvd Calendar'!$H$2199&gt;=GRID_FROM)*('Dvd Calendar'!$H$2199&lt;=GRID_TO)*('Dvd Calendar'!$H$2199&lt;=VAL_DATE)=0,"",'Dvd Calendar'!$H$2199*1000000000+ISNUMBER('Dvd Calendar'!$H$2202)*100000000+('Dvd Calendar'!$H$2204=SPECIAL_LBL)*10000000+0*1000000+59*1000+4))</f>
        <v/>
      </c>
      <c r="EI218" s="35">
        <f>IF(N('Dvd Calendar'!$I$2199)=0,"",IF(('Dvd Calendar'!$I$2199&gt;=GRID_FROM)*('Dvd Calendar'!$I$2199&lt;=GRID_TO)*('Dvd Calendar'!$I$2199&lt;=VAL_DATE)=0,"",'Dvd Calendar'!$I$2199*1000000000+ISNUMBER('Dvd Calendar'!$I$2202)*100000000+('Dvd Calendar'!$I$2204=SPECIAL_LBL)*10000000+0*1000000+59*1000+5))</f>
        <v/>
      </c>
      <c r="EJ218" s="35">
        <f>IF(N('Dvd Calendar'!$J$2199)=0,"",IF(('Dvd Calendar'!$J$2199&gt;=GRID_FROM)*('Dvd Calendar'!$J$2199&lt;=GRID_TO)*('Dvd Calendar'!$J$2199&lt;=VAL_DATE)=0,"",'Dvd Calendar'!$J$2199*1000000000+ISNUMBER('Dvd Calendar'!$J$2202)*100000000+('Dvd Calendar'!$J$2204=SPECIAL_LBL)*10000000+0*1000000+59*1000+6))</f>
        <v/>
      </c>
      <c r="EK218" s="35">
        <f>IF(N('Dvd Calendar'!$K$2199)=0,"",IF(('Dvd Calendar'!$K$2199&gt;=GRID_FROM)*('Dvd Calendar'!$K$2199&lt;=GRID_TO)*('Dvd Calendar'!$K$2199&lt;=VAL_DATE)=0,"",'Dvd Calendar'!$K$2199*1000000000+ISNUMBER('Dvd Calendar'!$K$2202)*100000000+('Dvd Calendar'!$K$2204=SPECIAL_LBL)*10000000+0*1000000+59*1000+7))</f>
        <v/>
      </c>
      <c r="EL218" s="35">
        <f>IF(N('Dvd Calendar'!$L$2199)=0,"",IF(('Dvd Calendar'!$L$2199&gt;=GRID_FROM)*('Dvd Calendar'!$L$2199&lt;=GRID_TO)*('Dvd Calendar'!$L$2199&lt;=VAL_DATE)=0,"",'Dvd Calendar'!$L$2199*1000000000+ISNUMBER('Dvd Calendar'!$L$2202)*100000000+('Dvd Calendar'!$L$2204=SPECIAL_LBL)*10000000+0*1000000+59*1000+8))</f>
        <v/>
      </c>
      <c r="EM218" s="35">
        <f>IF(N('Dvd Calendar'!$M$2199)=0,"",IF(('Dvd Calendar'!$M$2199&gt;=GRID_FROM)*('Dvd Calendar'!$M$2199&lt;=GRID_TO)*('Dvd Calendar'!$M$2199&lt;=VAL_DATE)=0,"",'Dvd Calendar'!$M$2199*1000000000+ISNUMBER('Dvd Calendar'!$M$2202)*100000000+('Dvd Calendar'!$M$2204=SPECIAL_LBL)*10000000+0*1000000+59*1000+9))</f>
        <v/>
      </c>
      <c r="EN218" s="35">
        <f>IF(N('Dvd Calendar'!$N$2199)=0,"",IF(('Dvd Calendar'!$N$2199&gt;=GRID_FROM)*('Dvd Calendar'!$N$2199&lt;=GRID_TO)*('Dvd Calendar'!$N$2199&lt;=VAL_DATE)=0,"",'Dvd Calendar'!$N$2199*1000000000+ISNUMBER('Dvd Calendar'!$N$2202)*100000000+('Dvd Calendar'!$N$2204=SPECIAL_LBL)*10000000+0*1000000+59*1000+10))</f>
        <v/>
      </c>
      <c r="EO218" s="35">
        <f>IF(N('Dvd Calendar'!$O$2199)=0,"",IF(('Dvd Calendar'!$O$2199&gt;=GRID_FROM)*('Dvd Calendar'!$O$2199&lt;=GRID_TO)*('Dvd Calendar'!$O$2199&lt;=VAL_DATE)=0,"",'Dvd Calendar'!$O$2199*1000000000+ISNUMBER('Dvd Calendar'!$O$2202)*100000000+('Dvd Calendar'!$O$2204=SPECIAL_LBL)*10000000+0*1000000+59*1000+11))</f>
        <v/>
      </c>
      <c r="EP218" s="35">
        <f>IF(N('Dvd Calendar'!$P$2199)=0,"",IF(('Dvd Calendar'!$P$2199&gt;=GRID_FROM)*('Dvd Calendar'!$P$2199&lt;=GRID_TO)*('Dvd Calendar'!$P$2199&lt;=VAL_DATE)=0,"",'Dvd Calendar'!$P$2199*1000000000+ISNUMBER('Dvd Calendar'!$P$2202)*100000000+('Dvd Calendar'!$P$2204=SPECIAL_LBL)*10000000+0*1000000+59*1000+12))</f>
        <v/>
      </c>
      <c r="EQ218" s="35">
        <f>IF(N('Dvd Calendar'!$Q$2199)=0,"",IF(('Dvd Calendar'!$Q$2199&gt;=GRID_FROM)*('Dvd Calendar'!$Q$2199&lt;=GRID_TO)*('Dvd Calendar'!$Q$2199&lt;=VAL_DATE)=0,"",'Dvd Calendar'!$Q$2199*1000000000+ISNUMBER('Dvd Calendar'!$Q$2202)*100000000+('Dvd Calendar'!$Q$2204=SPECIAL_LBL)*10000000+0*1000000+59*1000+13))</f>
        <v/>
      </c>
      <c r="ER218" s="35">
        <f>IF(N('Dvd Calendar'!$R$2199)=0,"",IF(('Dvd Calendar'!$R$2199&gt;=GRID_FROM)*('Dvd Calendar'!$R$2199&lt;=GRID_TO)*('Dvd Calendar'!$R$2199&lt;=VAL_DATE)=0,"",'Dvd Calendar'!$R$2199*1000000000+ISNUMBER('Dvd Calendar'!$R$2202)*100000000+('Dvd Calendar'!$R$2204=SPECIAL_LBL)*10000000+0*1000000+59*1000+14))</f>
        <v/>
      </c>
      <c r="ES218" s="35">
        <f>IF(N('Dvd Calendar'!$S$2199)=0,"",IF(('Dvd Calendar'!$S$2199&gt;=GRID_FROM)*('Dvd Calendar'!$S$2199&lt;=GRID_TO)*('Dvd Calendar'!$S$2199&lt;=VAL_DATE)=0,"",'Dvd Calendar'!$S$2199*1000000000+ISNUMBER('Dvd Calendar'!$S$2202)*100000000+('Dvd Calendar'!$S$2204=SPECIAL_LBL)*10000000+0*1000000+59*1000+15))</f>
        <v/>
      </c>
      <c r="ET218" s="35">
        <f>IF(N('Dvd Calendar'!$T$2199)=0,"",IF(('Dvd Calendar'!$T$2199&gt;=GRID_FROM)*('Dvd Calendar'!$T$2199&lt;=GRID_TO)*('Dvd Calendar'!$T$2199&lt;=VAL_DATE)=0,"",'Dvd Calendar'!$T$2199*1000000000+ISNUMBER('Dvd Calendar'!$T$2202)*100000000+('Dvd Calendar'!$T$2204=SPECIAL_LBL)*10000000+0*1000000+59*1000+16))</f>
        <v/>
      </c>
      <c r="EU218" s="35">
        <f>IF(N('Dvd Calendar'!$U$2199)=0,"",IF(('Dvd Calendar'!$U$2199&gt;=GRID_FROM)*('Dvd Calendar'!$U$2199&lt;=GRID_TO)*('Dvd Calendar'!$U$2199&lt;=VAL_DATE)=0,"",'Dvd Calendar'!$U$2199*1000000000+ISNUMBER('Dvd Calendar'!$U$2202)*100000000+('Dvd Calendar'!$U$2204=SPECIAL_LBL)*10000000+0*1000000+59*1000+17))</f>
        <v/>
      </c>
      <c r="EV218" s="35">
        <f>IF(N('Dvd Calendar'!$V$2199)=0,"",IF(('Dvd Calendar'!$V$2199&gt;=GRID_FROM)*('Dvd Calendar'!$V$2199&lt;=GRID_TO)*('Dvd Calendar'!$V$2199&lt;=VAL_DATE)=0,"",'Dvd Calendar'!$V$2199*1000000000+ISNUMBER('Dvd Calendar'!$V$2202)*100000000+('Dvd Calendar'!$V$2204=SPECIAL_LBL)*10000000+0*1000000+59*1000+18))</f>
        <v/>
      </c>
      <c r="EW218" s="35">
        <f>IF(N('Dvd Calendar'!$W$2199)=0,"",IF(('Dvd Calendar'!$W$2199&gt;=GRID_FROM)*('Dvd Calendar'!$W$2199&lt;=GRID_TO)*('Dvd Calendar'!$W$2199&lt;=VAL_DATE)=0,"",'Dvd Calendar'!$W$2199*1000000000+ISNUMBER('Dvd Calendar'!$W$2202)*100000000+('Dvd Calendar'!$W$2204=SPECIAL_LBL)*10000000+0*1000000+59*1000+19))</f>
        <v/>
      </c>
      <c r="EX218" s="35">
        <f>IF(N('Dvd Calendar'!$X$2199)=0,"",IF(('Dvd Calendar'!$X$2199&gt;=GRID_FROM)*('Dvd Calendar'!$X$2199&lt;=GRID_TO)*('Dvd Calendar'!$X$2199&lt;=VAL_DATE)=0,"",'Dvd Calendar'!$X$2199*1000000000+ISNUMBER('Dvd Calendar'!$X$2202)*100000000+('Dvd Calendar'!$X$2204=SPECIAL_LBL)*10000000+0*1000000+59*1000+20))</f>
        <v/>
      </c>
      <c r="EY218" s="35">
        <f>IF(N('Dvd Calendar'!$Y$2199)=0,"",IF(('Dvd Calendar'!$Y$2199&gt;=GRID_FROM)*('Dvd Calendar'!$Y$2199&lt;=GRID_TO)*('Dvd Calendar'!$Y$2199&lt;=VAL_DATE)=0,"",'Dvd Calendar'!$Y$2199*1000000000+ISNUMBER('Dvd Calendar'!$Y$2202)*100000000+('Dvd Calendar'!$Y$2204=SPECIAL_LBL)*10000000+0*1000000+59*1000+21))</f>
        <v/>
      </c>
      <c r="EZ218" s="35">
        <f>IF(N('Dvd Calendar'!$Z$2199)=0,"",IF(('Dvd Calendar'!$Z$2199&gt;=GRID_FROM)*('Dvd Calendar'!$Z$2199&lt;=GRID_TO)*('Dvd Calendar'!$Z$2199&lt;=VAL_DATE)=0,"",'Dvd Calendar'!$Z$2199*1000000000+ISNUMBER('Dvd Calendar'!$Z$2202)*100000000+('Dvd Calendar'!$Z$2204=SPECIAL_LBL)*10000000+0*1000000+59*1000+22))</f>
        <v/>
      </c>
      <c r="FA218" s="35">
        <f>IF(N('Dvd Calendar'!$AA$2199)=0,"",IF(('Dvd Calendar'!$AA$2199&gt;=GRID_FROM)*('Dvd Calendar'!$AA$2199&lt;=GRID_TO)*('Dvd Calendar'!$AA$2199&lt;=VAL_DATE)=0,"",'Dvd Calendar'!$AA$2199*1000000000+ISNUMBER('Dvd Calendar'!$AA$2202)*100000000+('Dvd Calendar'!$AA$2204=SPECIAL_LBL)*10000000+0*1000000+59*1000+23))</f>
        <v/>
      </c>
      <c r="FB218" s="35">
        <f>IF(N('Dvd Calendar'!$AB$2199)=0,"",IF(('Dvd Calendar'!$AB$2199&gt;=GRID_FROM)*('Dvd Calendar'!$AB$2199&lt;=GRID_TO)*('Dvd Calendar'!$AB$2199&lt;=VAL_DATE)=0,"",'Dvd Calendar'!$AB$2199*1000000000+ISNUMBER('Dvd Calendar'!$AB$2202)*100000000+('Dvd Calendar'!$AB$2204=SPECIAL_LBL)*10000000+0*1000000+59*1000+24))</f>
        <v/>
      </c>
      <c r="FC218" s="35">
        <f>IF(N('Dvd Calendar'!$AC$2199)=0,"",IF(('Dvd Calendar'!$AC$2199&gt;=GRID_FROM)*('Dvd Calendar'!$AC$2199&lt;=GRID_TO)*('Dvd Calendar'!$AC$2199&lt;=VAL_DATE)=0,"",'Dvd Calendar'!$AC$2199*1000000000+ISNUMBER('Dvd Calendar'!$AC$2202)*100000000+('Dvd Calendar'!$AC$2204=SPECIAL_LBL)*10000000+0*1000000+59*1000+25))</f>
        <v/>
      </c>
      <c r="FD218" s="35">
        <f>IF(N('Dvd Calendar'!$AD$2199)=0,"",IF(('Dvd Calendar'!$AD$2199&gt;=GRID_FROM)*('Dvd Calendar'!$AD$2199&lt;=GRID_TO)*('Dvd Calendar'!$AD$2199&lt;=VAL_DATE)=0,"",'Dvd Calendar'!$AD$2199*1000000000+ISNUMBER('Dvd Calendar'!$AD$2202)*100000000+('Dvd Calendar'!$AD$2204=SPECIAL_LBL)*10000000+0*1000000+59*1000+26))</f>
        <v/>
      </c>
      <c r="FE218" s="35">
        <f>IF(N('Dvd Calendar'!$AE$2199)=0,"",IF(('Dvd Calendar'!$AE$2199&gt;=GRID_FROM)*('Dvd Calendar'!$AE$2199&lt;=GRID_TO)*('Dvd Calendar'!$AE$2199&lt;=VAL_DATE)=0,"",'Dvd Calendar'!$AE$2199*1000000000+ISNUMBER('Dvd Calendar'!$AE$2202)*100000000+('Dvd Calendar'!$AE$2204=SPECIAL_LBL)*10000000+0*1000000+59*1000+27))</f>
        <v/>
      </c>
      <c r="FF218" s="35">
        <f>IF(N('Dvd Calendar'!$AF$2199)=0,"",IF(('Dvd Calendar'!$AF$2199&gt;=GRID_FROM)*('Dvd Calendar'!$AF$2199&lt;=GRID_TO)*('Dvd Calendar'!$AF$2199&lt;=VAL_DATE)=0,"",'Dvd Calendar'!$AF$2199*1000000000+ISNUMBER('Dvd Calendar'!$AF$2202)*100000000+('Dvd Calendar'!$AF$2204=SPECIAL_LBL)*10000000+0*1000000+59*1000+28))</f>
        <v/>
      </c>
      <c r="FG218" s="35">
        <f>IF(N('Dvd Calendar'!$AG$2199)=0,"",IF(('Dvd Calendar'!$AG$2199&gt;=GRID_FROM)*('Dvd Calendar'!$AG$2199&lt;=GRID_TO)*('Dvd Calendar'!$AG$2199&lt;=VAL_DATE)=0,"",'Dvd Calendar'!$AG$2199*1000000000+ISNUMBER('Dvd Calendar'!$AG$2202)*100000000+('Dvd Calendar'!$AG$2204=SPECIAL_LBL)*10000000+0*1000000+59*1000+29))</f>
        <v/>
      </c>
      <c r="FH218" s="35">
        <f>IF(N('Dvd Calendar'!$AH$2199)=0,"",IF(('Dvd Calendar'!$AH$2199&gt;=GRID_FROM)*('Dvd Calendar'!$AH$2199&lt;=GRID_TO)*('Dvd Calendar'!$AH$2199&lt;=VAL_DATE)=0,"",'Dvd Calendar'!$AH$2199*1000000000+ISNUMBER('Dvd Calendar'!$AH$2202)*100000000+('Dvd Calendar'!$AH$2204=SPECIAL_LBL)*10000000+0*1000000+59*1000+30))</f>
        <v/>
      </c>
      <c r="FI218" s="35">
        <f>IF(N('Dvd Calendar'!$AI$2199)=0,"",IF(('Dvd Calendar'!$AI$2199&gt;=GRID_FROM)*('Dvd Calendar'!$AI$2199&lt;=GRID_TO)*('Dvd Calendar'!$AI$2199&lt;=VAL_DATE)=0,"",'Dvd Calendar'!$AI$2199*1000000000+ISNUMBER('Dvd Calendar'!$AI$2202)*100000000+('Dvd Calendar'!$AI$2204=SPECIAL_LBL)*10000000+0*1000000+59*1000+31))</f>
        <v/>
      </c>
      <c r="FJ218" s="35">
        <f>IF(N('Dvd Calendar'!$AJ$2199)=0,"",IF(('Dvd Calendar'!$AJ$2199&gt;=GRID_FROM)*('Dvd Calendar'!$AJ$2199&lt;=GRID_TO)*('Dvd Calendar'!$AJ$2199&lt;=VAL_DATE)=0,"",'Dvd Calendar'!$AJ$2199*1000000000+ISNUMBER('Dvd Calendar'!$AJ$2202)*100000000+('Dvd Calendar'!$AJ$2204=SPECIAL_LBL)*10000000+0*1000000+59*1000+32))</f>
        <v/>
      </c>
      <c r="FK218" s="35">
        <f>IF(N('Dvd Calendar'!$AK$2199)=0,"",IF(('Dvd Calendar'!$AK$2199&gt;=GRID_FROM)*('Dvd Calendar'!$AK$2199&lt;=GRID_TO)*('Dvd Calendar'!$AK$2199&lt;=VAL_DATE)=0,"",'Dvd Calendar'!$AK$2199*1000000000+ISNUMBER('Dvd Calendar'!$AK$2202)*100000000+('Dvd Calendar'!$AK$2204=SPECIAL_LBL)*10000000+0*1000000+59*1000+33))</f>
        <v/>
      </c>
      <c r="FL218" s="35">
        <f>IF(N('Dvd Calendar'!$AL$2199)=0,"",IF(('Dvd Calendar'!$AL$2199&gt;=GRID_FROM)*('Dvd Calendar'!$AL$2199&lt;=GRID_TO)*('Dvd Calendar'!$AL$2199&lt;=VAL_DATE)=0,"",'Dvd Calendar'!$AL$2199*1000000000+ISNUMBER('Dvd Calendar'!$AL$2202)*100000000+('Dvd Calendar'!$AL$2204=SPECIAL_LBL)*10000000+0*1000000+59*1000+34))</f>
        <v/>
      </c>
      <c r="FM218" s="35">
        <f>IF(N('Dvd Calendar'!$AM$2199)=0,"",IF(('Dvd Calendar'!$AM$2199&gt;=GRID_FROM)*('Dvd Calendar'!$AM$2199&lt;=GRID_TO)*('Dvd Calendar'!$AM$2199&lt;=VAL_DATE)=0,"",'Dvd Calendar'!$AM$2199*1000000000+ISNUMBER('Dvd Calendar'!$AM$2202)*100000000+('Dvd Calendar'!$AM$2204=SPECIAL_LBL)*10000000+0*1000000+59*1000+35))</f>
        <v/>
      </c>
      <c r="FN218" s="35">
        <f>IF(N('Dvd Calendar'!$AN$2199)=0,"",IF(('Dvd Calendar'!$AN$2199&gt;=GRID_FROM)*('Dvd Calendar'!$AN$2199&lt;=GRID_TO)*('Dvd Calendar'!$AN$2199&lt;=VAL_DATE)=0,"",'Dvd Calendar'!$AN$2199*1000000000+ISNUMBER('Dvd Calendar'!$AN$2202)*100000000+('Dvd Calendar'!$AN$2204=SPECIAL_LBL)*10000000+0*1000000+59*1000+36))</f>
        <v/>
      </c>
      <c r="FO218" s="35">
        <f>IF(N('Dvd Calendar'!$AO$2199)=0,"",IF(('Dvd Calendar'!$AO$2199&gt;=GRID_FROM)*('Dvd Calendar'!$AO$2199&lt;=GRID_TO)*('Dvd Calendar'!$AO$2199&lt;=VAL_DATE)=0,"",'Dvd Calendar'!$AO$2199*1000000000+ISNUMBER('Dvd Calendar'!$AO$2202)*100000000+('Dvd Calendar'!$AO$2204=SPECIAL_LBL)*10000000+0*1000000+59*1000+37))</f>
        <v/>
      </c>
      <c r="FP218" s="35">
        <f>IF(N('Dvd Calendar'!$AP$2199)=0,"",IF(('Dvd Calendar'!$AP$2199&gt;=GRID_FROM)*('Dvd Calendar'!$AP$2199&lt;=GRID_TO)*('Dvd Calendar'!$AP$2199&lt;=VAL_DATE)=0,"",'Dvd Calendar'!$AP$2199*1000000000+ISNUMBER('Dvd Calendar'!$AP$2202)*100000000+('Dvd Calendar'!$AP$2204=SPECIAL_LBL)*10000000+0*1000000+59*1000+38))</f>
        <v/>
      </c>
      <c r="FQ218" s="35">
        <f>IF(N('Dvd Calendar'!$AQ$2199)=0,"",IF(('Dvd Calendar'!$AQ$2199&gt;=GRID_FROM)*('Dvd Calendar'!$AQ$2199&lt;=GRID_TO)*('Dvd Calendar'!$AQ$2199&lt;=VAL_DATE)=0,"",'Dvd Calendar'!$AQ$2199*1000000000+ISNUMBER('Dvd Calendar'!$AQ$2202)*100000000+('Dvd Calendar'!$AQ$2204=SPECIAL_LBL)*10000000+0*1000000+59*1000+39))</f>
        <v/>
      </c>
      <c r="FR218" s="35">
        <f>IF(N('Dvd Calendar'!$AR$2199)=0,"",IF(('Dvd Calendar'!$AR$2199&gt;=GRID_FROM)*('Dvd Calendar'!$AR$2199&lt;=GRID_TO)*('Dvd Calendar'!$AR$2199&lt;=VAL_DATE)=0,"",'Dvd Calendar'!$AR$2199*1000000000+ISNUMBER('Dvd Calendar'!$AR$2202)*100000000+('Dvd Calendar'!$AR$2204=SPECIAL_LBL)*10000000+0*1000000+59*1000+40))</f>
        <v/>
      </c>
      <c r="FS218" s="35">
        <f>IF(N('Dvd Calendar'!$E$2206)=0,"",IF(('Dvd Calendar'!$E$2206&gt;=GRID_FROM)*('Dvd Calendar'!$E$2206&lt;=GRID_TO)*('Dvd Calendar'!$E$2206&gt;VAL_DATE)=0,"",'Dvd Calendar'!$E$2206*1000000000+ISNUMBER('Dvd Calendar'!$E$2207)*100000000+0*10000000+(N('Dvd Calendar'!$E$2205)&gt;0)*(N('Dvd Calendar'!$E$2205)&lt;=VAL_SERIAL)*1000000+59*1000+41))</f>
        <v/>
      </c>
      <c r="FT218" s="35">
        <f>IF(N('Dvd Calendar'!$F$2206)=0,"",IF(('Dvd Calendar'!$F$2206&gt;=GRID_FROM)*('Dvd Calendar'!$F$2206&lt;=GRID_TO)*('Dvd Calendar'!$F$2206&gt;VAL_DATE)=0,"",'Dvd Calendar'!$F$2206*1000000000+ISNUMBER('Dvd Calendar'!$F$2207)*100000000+0*10000000+(N('Dvd Calendar'!$F$2205)&gt;0)*(N('Dvd Calendar'!$F$2205)&lt;=VAL_SERIAL)*1000000+59*1000+42))</f>
        <v/>
      </c>
      <c r="FU218" s="35">
        <f>IF(N('Dvd Calendar'!$G$2206)=0,"",IF(('Dvd Calendar'!$G$2206&gt;=GRID_FROM)*('Dvd Calendar'!$G$2206&lt;=GRID_TO)*('Dvd Calendar'!$G$2206&gt;VAL_DATE)=0,"",'Dvd Calendar'!$G$2206*1000000000+ISNUMBER('Dvd Calendar'!$G$2207)*100000000+0*10000000+(N('Dvd Calendar'!$G$2205)&gt;0)*(N('Dvd Calendar'!$G$2205)&lt;=VAL_SERIAL)*1000000+59*1000+43))</f>
        <v/>
      </c>
      <c r="FV218" s="35">
        <f>IF(N('Dvd Calendar'!$H$2206)=0,"",IF(('Dvd Calendar'!$H$2206&gt;=GRID_FROM)*('Dvd Calendar'!$H$2206&lt;=GRID_TO)*('Dvd Calendar'!$H$2206&gt;VAL_DATE)=0,"",'Dvd Calendar'!$H$2206*1000000000+ISNUMBER('Dvd Calendar'!$H$2207)*100000000+0*10000000+(N('Dvd Calendar'!$H$2205)&gt;0)*(N('Dvd Calendar'!$H$2205)&lt;=VAL_SERIAL)*1000000+59*1000+44))</f>
        <v/>
      </c>
      <c r="FW218" s="35">
        <f>IF(N('Dvd Calendar'!$I$2206)=0,"",IF(('Dvd Calendar'!$I$2206&gt;=GRID_FROM)*('Dvd Calendar'!$I$2206&lt;=GRID_TO)*('Dvd Calendar'!$I$2206&gt;VAL_DATE)=0,"",'Dvd Calendar'!$I$2206*1000000000+ISNUMBER('Dvd Calendar'!$I$2207)*100000000+0*10000000+(N('Dvd Calendar'!$I$2205)&gt;0)*(N('Dvd Calendar'!$I$2205)&lt;=VAL_SERIAL)*1000000+59*1000+45))</f>
        <v/>
      </c>
      <c r="FX218" s="35">
        <f>IF(N('Dvd Calendar'!$J$2206)=0,"",IF(('Dvd Calendar'!$J$2206&gt;=GRID_FROM)*('Dvd Calendar'!$J$2206&lt;=GRID_TO)*('Dvd Calendar'!$J$2206&gt;VAL_DATE)=0,"",'Dvd Calendar'!$J$2206*1000000000+ISNUMBER('Dvd Calendar'!$J$2207)*100000000+0*10000000+(N('Dvd Calendar'!$J$2205)&gt;0)*(N('Dvd Calendar'!$J$2205)&lt;=VAL_SERIAL)*1000000+59*1000+46))</f>
        <v/>
      </c>
      <c r="FY218" s="35">
        <f>IF(N('Dvd Calendar'!$K$2206)=0,"",IF(('Dvd Calendar'!$K$2206&gt;=GRID_FROM)*('Dvd Calendar'!$K$2206&lt;=GRID_TO)*('Dvd Calendar'!$K$2206&gt;VAL_DATE)=0,"",'Dvd Calendar'!$K$2206*1000000000+ISNUMBER('Dvd Calendar'!$K$2207)*100000000+0*10000000+(N('Dvd Calendar'!$K$2205)&gt;0)*(N('Dvd Calendar'!$K$2205)&lt;=VAL_SERIAL)*1000000+59*1000+47))</f>
        <v/>
      </c>
      <c r="FZ218" s="35">
        <f>IF(N('Dvd Calendar'!$L$2206)=0,"",IF(('Dvd Calendar'!$L$2206&gt;=GRID_FROM)*('Dvd Calendar'!$L$2206&lt;=GRID_TO)*('Dvd Calendar'!$L$2206&gt;VAL_DATE)=0,"",'Dvd Calendar'!$L$2206*1000000000+ISNUMBER('Dvd Calendar'!$L$2207)*100000000+0*10000000+(N('Dvd Calendar'!$L$2205)&gt;0)*(N('Dvd Calendar'!$L$2205)&lt;=VAL_SERIAL)*1000000+59*1000+48))</f>
        <v/>
      </c>
      <c r="GA218" s="35">
        <f>IF(N('Dvd Calendar'!$M$2206)=0,"",IF(('Dvd Calendar'!$M$2206&gt;=GRID_FROM)*('Dvd Calendar'!$M$2206&lt;=GRID_TO)*('Dvd Calendar'!$M$2206&gt;VAL_DATE)=0,"",'Dvd Calendar'!$M$2206*1000000000+ISNUMBER('Dvd Calendar'!$M$2207)*100000000+0*10000000+(N('Dvd Calendar'!$M$2205)&gt;0)*(N('Dvd Calendar'!$M$2205)&lt;=VAL_SERIAL)*1000000+59*1000+49))</f>
        <v/>
      </c>
      <c r="GB218" s="35">
        <f>IF(N('Dvd Calendar'!$N$2206)=0,"",IF(('Dvd Calendar'!$N$2206&gt;=GRID_FROM)*('Dvd Calendar'!$N$2206&lt;=GRID_TO)*('Dvd Calendar'!$N$2206&gt;VAL_DATE)=0,"",'Dvd Calendar'!$N$2206*1000000000+ISNUMBER('Dvd Calendar'!$N$2207)*100000000+0*10000000+(N('Dvd Calendar'!$N$2205)&gt;0)*(N('Dvd Calendar'!$N$2205)&lt;=VAL_SERIAL)*1000000+59*1000+50))</f>
        <v/>
      </c>
      <c r="GC218" s="35">
        <f>IF(N('Dvd Calendar'!$O$2206)=0,"",IF(('Dvd Calendar'!$O$2206&gt;=GRID_FROM)*('Dvd Calendar'!$O$2206&lt;=GRID_TO)*('Dvd Calendar'!$O$2206&gt;VAL_DATE)=0,"",'Dvd Calendar'!$O$2206*1000000000+ISNUMBER('Dvd Calendar'!$O$2207)*100000000+0*10000000+(N('Dvd Calendar'!$O$2205)&gt;0)*(N('Dvd Calendar'!$O$2205)&lt;=VAL_SERIAL)*1000000+59*1000+51))</f>
        <v/>
      </c>
      <c r="GD218" s="35">
        <f>IF(N('Dvd Calendar'!$P$2206)=0,"",IF(('Dvd Calendar'!$P$2206&gt;=GRID_FROM)*('Dvd Calendar'!$P$2206&lt;=GRID_TO)*('Dvd Calendar'!$P$2206&gt;VAL_DATE)=0,"",'Dvd Calendar'!$P$2206*1000000000+ISNUMBER('Dvd Calendar'!$P$2207)*100000000+0*10000000+(N('Dvd Calendar'!$P$2205)&gt;0)*(N('Dvd Calendar'!$P$2205)&lt;=VAL_SERIAL)*1000000+59*1000+52))</f>
        <v/>
      </c>
      <c r="GE218" s="35">
        <f>IF(N('Dvd Calendar'!$Q$2206)=0,"",IF(('Dvd Calendar'!$Q$2206&gt;=GRID_FROM)*('Dvd Calendar'!$Q$2206&lt;=GRID_TO)*('Dvd Calendar'!$Q$2206&gt;VAL_DATE)=0,"",'Dvd Calendar'!$Q$2206*1000000000+ISNUMBER('Dvd Calendar'!$Q$2207)*100000000+0*10000000+(N('Dvd Calendar'!$Q$2205)&gt;0)*(N('Dvd Calendar'!$Q$2205)&lt;=VAL_SERIAL)*1000000+59*1000+53))</f>
        <v/>
      </c>
      <c r="GF218" s="35">
        <f>IF(N('Dvd Calendar'!$R$2206)=0,"",IF(('Dvd Calendar'!$R$2206&gt;=GRID_FROM)*('Dvd Calendar'!$R$2206&lt;=GRID_TO)*('Dvd Calendar'!$R$2206&gt;VAL_DATE)=0,"",'Dvd Calendar'!$R$2206*1000000000+ISNUMBER('Dvd Calendar'!$R$2207)*100000000+0*10000000+(N('Dvd Calendar'!$R$2205)&gt;0)*(N('Dvd Calendar'!$R$2205)&lt;=VAL_SERIAL)*1000000+59*1000+54))</f>
        <v/>
      </c>
      <c r="GG218" s="35">
        <f>IF(N('Dvd Calendar'!$S$2206)=0,"",IF(('Dvd Calendar'!$S$2206&gt;=GRID_FROM)*('Dvd Calendar'!$S$2206&lt;=GRID_TO)*('Dvd Calendar'!$S$2206&gt;VAL_DATE)=0,"",'Dvd Calendar'!$S$2206*1000000000+ISNUMBER('Dvd Calendar'!$S$2207)*100000000+0*10000000+(N('Dvd Calendar'!$S$2205)&gt;0)*(N('Dvd Calendar'!$S$2205)&lt;=VAL_SERIAL)*1000000+59*1000+55))</f>
        <v/>
      </c>
      <c r="GH218" s="35">
        <f>IF(N('Dvd Calendar'!$T$2206)=0,"",IF(('Dvd Calendar'!$T$2206&gt;=GRID_FROM)*('Dvd Calendar'!$T$2206&lt;=GRID_TO)*('Dvd Calendar'!$T$2206&gt;VAL_DATE)=0,"",'Dvd Calendar'!$T$2206*1000000000+ISNUMBER('Dvd Calendar'!$T$2207)*100000000+0*10000000+(N('Dvd Calendar'!$T$2205)&gt;0)*(N('Dvd Calendar'!$T$2205)&lt;=VAL_SERIAL)*1000000+59*1000+56))</f>
        <v/>
      </c>
      <c r="GI218" s="35">
        <f>IF(N('Dvd Calendar'!$U$2206)=0,"",IF(('Dvd Calendar'!$U$2206&gt;=GRID_FROM)*('Dvd Calendar'!$U$2206&lt;=GRID_TO)*('Dvd Calendar'!$U$2206&gt;VAL_DATE)=0,"",'Dvd Calendar'!$U$2206*1000000000+ISNUMBER('Dvd Calendar'!$U$2207)*100000000+0*10000000+(N('Dvd Calendar'!$U$2205)&gt;0)*(N('Dvd Calendar'!$U$2205)&lt;=VAL_SERIAL)*1000000+59*1000+57))</f>
        <v/>
      </c>
      <c r="GJ218" s="35">
        <f>IF(N('Dvd Calendar'!$V$2206)=0,"",IF(('Dvd Calendar'!$V$2206&gt;=GRID_FROM)*('Dvd Calendar'!$V$2206&lt;=GRID_TO)*('Dvd Calendar'!$V$2206&gt;VAL_DATE)=0,"",'Dvd Calendar'!$V$2206*1000000000+ISNUMBER('Dvd Calendar'!$V$2207)*100000000+0*10000000+(N('Dvd Calendar'!$V$2205)&gt;0)*(N('Dvd Calendar'!$V$2205)&lt;=VAL_SERIAL)*1000000+59*1000+58))</f>
        <v/>
      </c>
      <c r="GK218" s="35">
        <f>IF(N('Dvd Calendar'!$W$2206)=0,"",IF(('Dvd Calendar'!$W$2206&gt;=GRID_FROM)*('Dvd Calendar'!$W$2206&lt;=GRID_TO)*('Dvd Calendar'!$W$2206&gt;VAL_DATE)=0,"",'Dvd Calendar'!$W$2206*1000000000+ISNUMBER('Dvd Calendar'!$W$2207)*100000000+0*10000000+(N('Dvd Calendar'!$W$2205)&gt;0)*(N('Dvd Calendar'!$W$2205)&lt;=VAL_SERIAL)*1000000+59*1000+59))</f>
        <v/>
      </c>
      <c r="GL218" s="35">
        <f>IF(N('Dvd Calendar'!$X$2206)=0,"",IF(('Dvd Calendar'!$X$2206&gt;=GRID_FROM)*('Dvd Calendar'!$X$2206&lt;=GRID_TO)*('Dvd Calendar'!$X$2206&gt;VAL_DATE)=0,"",'Dvd Calendar'!$X$2206*1000000000+ISNUMBER('Dvd Calendar'!$X$2207)*100000000+0*10000000+(N('Dvd Calendar'!$X$2205)&gt;0)*(N('Dvd Calendar'!$X$2205)&lt;=VAL_SERIAL)*1000000+59*1000+60))</f>
        <v/>
      </c>
      <c r="GM218" s="35">
        <f>IF(N('Dvd Calendar'!$Y$2206)=0,"",IF(('Dvd Calendar'!$Y$2206&gt;=GRID_FROM)*('Dvd Calendar'!$Y$2206&lt;=GRID_TO)*('Dvd Calendar'!$Y$2206&gt;VAL_DATE)=0,"",'Dvd Calendar'!$Y$2206*1000000000+ISNUMBER('Dvd Calendar'!$Y$2207)*100000000+0*10000000+(N('Dvd Calendar'!$Y$2205)&gt;0)*(N('Dvd Calendar'!$Y$2205)&lt;=VAL_SERIAL)*1000000+59*1000+61))</f>
        <v/>
      </c>
      <c r="GN218" s="35">
        <f>IF(N('Dvd Calendar'!$Z$2206)=0,"",IF(('Dvd Calendar'!$Z$2206&gt;=GRID_FROM)*('Dvd Calendar'!$Z$2206&lt;=GRID_TO)*('Dvd Calendar'!$Z$2206&gt;VAL_DATE)=0,"",'Dvd Calendar'!$Z$2206*1000000000+ISNUMBER('Dvd Calendar'!$Z$2207)*100000000+0*10000000+(N('Dvd Calendar'!$Z$2205)&gt;0)*(N('Dvd Calendar'!$Z$2205)&lt;=VAL_SERIAL)*1000000+59*1000+62))</f>
        <v/>
      </c>
      <c r="GO218" s="35">
        <f>IF(N('Dvd Calendar'!$AA$2206)=0,"",IF(('Dvd Calendar'!$AA$2206&gt;=GRID_FROM)*('Dvd Calendar'!$AA$2206&lt;=GRID_TO)*('Dvd Calendar'!$AA$2206&gt;VAL_DATE)=0,"",'Dvd Calendar'!$AA$2206*1000000000+ISNUMBER('Dvd Calendar'!$AA$2207)*100000000+0*10000000+(N('Dvd Calendar'!$AA$2205)&gt;0)*(N('Dvd Calendar'!$AA$2205)&lt;=VAL_SERIAL)*1000000+59*1000+63))</f>
        <v/>
      </c>
      <c r="GP218" s="35">
        <f>IF(N('Dvd Calendar'!$AB$2206)=0,"",IF(('Dvd Calendar'!$AB$2206&gt;=GRID_FROM)*('Dvd Calendar'!$AB$2206&lt;=GRID_TO)*('Dvd Calendar'!$AB$2206&gt;VAL_DATE)=0,"",'Dvd Calendar'!$AB$2206*1000000000+ISNUMBER('Dvd Calendar'!$AB$2207)*100000000+0*10000000+(N('Dvd Calendar'!$AB$2205)&gt;0)*(N('Dvd Calendar'!$AB$2205)&lt;=VAL_SERIAL)*1000000+59*1000+64))</f>
        <v/>
      </c>
      <c r="GQ218" s="35">
        <f>IF(N('Dvd Calendar'!$AC$2206)=0,"",IF(('Dvd Calendar'!$AC$2206&gt;=GRID_FROM)*('Dvd Calendar'!$AC$2206&lt;=GRID_TO)*('Dvd Calendar'!$AC$2206&gt;VAL_DATE)=0,"",'Dvd Calendar'!$AC$2206*1000000000+ISNUMBER('Dvd Calendar'!$AC$2207)*100000000+0*10000000+(N('Dvd Calendar'!$AC$2205)&gt;0)*(N('Dvd Calendar'!$AC$2205)&lt;=VAL_SERIAL)*1000000+59*1000+65))</f>
        <v/>
      </c>
    </row>
    <row r="219">
      <c r="B219" s="2">
        <f>IF(HSCEI!$C$66="","",HSCEI!$C$66)</f>
        <v/>
      </c>
      <c r="C219" s="106">
        <f>IF(EE219="","",IF(ISNUMBER('Dvd Calendar'!$E$2213)=FALSE,"",IF((('Dvd Calendar'!$E$2215=TYPE1)*(TYPE1&lt;&gt;"")+('Dvd Calendar'!$E$2215=TYPE2)*(TYPE2&lt;&gt;"")+('Dvd Calendar'!$E$2215=TYPE3)*(TYPE3&lt;&gt;"")+('Dvd Calendar'!$E$2215=TYPE4)*(TYPE4&lt;&gt;"")+('Dvd Calendar'!$E$2215=SPECIAL_LBL)*(INC_SPECIALS="Y"))=0,"",'Dvd Calendar'!$E$2213)))</f>
        <v/>
      </c>
      <c r="D219" s="106">
        <f>IF(EF219="","",IF(ISNUMBER('Dvd Calendar'!$F$2213)=FALSE,"",IF((('Dvd Calendar'!$F$2215=TYPE1)*(TYPE1&lt;&gt;"")+('Dvd Calendar'!$F$2215=TYPE2)*(TYPE2&lt;&gt;"")+('Dvd Calendar'!$F$2215=TYPE3)*(TYPE3&lt;&gt;"")+('Dvd Calendar'!$F$2215=TYPE4)*(TYPE4&lt;&gt;"")+('Dvd Calendar'!$F$2215=SPECIAL_LBL)*(INC_SPECIALS="Y"))=0,"",'Dvd Calendar'!$F$2213)))</f>
        <v/>
      </c>
      <c r="E219" s="106">
        <f>IF(EG219="","",IF(ISNUMBER('Dvd Calendar'!$G$2213)=FALSE,"",IF((('Dvd Calendar'!$G$2215=TYPE1)*(TYPE1&lt;&gt;"")+('Dvd Calendar'!$G$2215=TYPE2)*(TYPE2&lt;&gt;"")+('Dvd Calendar'!$G$2215=TYPE3)*(TYPE3&lt;&gt;"")+('Dvd Calendar'!$G$2215=TYPE4)*(TYPE4&lt;&gt;"")+('Dvd Calendar'!$G$2215=SPECIAL_LBL)*(INC_SPECIALS="Y"))=0,"",'Dvd Calendar'!$G$2213)))</f>
        <v/>
      </c>
      <c r="F219" s="106">
        <f>IF(EH219="","",IF(ISNUMBER('Dvd Calendar'!$H$2213)=FALSE,"",IF((('Dvd Calendar'!$H$2215=TYPE1)*(TYPE1&lt;&gt;"")+('Dvd Calendar'!$H$2215=TYPE2)*(TYPE2&lt;&gt;"")+('Dvd Calendar'!$H$2215=TYPE3)*(TYPE3&lt;&gt;"")+('Dvd Calendar'!$H$2215=TYPE4)*(TYPE4&lt;&gt;"")+('Dvd Calendar'!$H$2215=SPECIAL_LBL)*(INC_SPECIALS="Y"))=0,"",'Dvd Calendar'!$H$2213)))</f>
        <v/>
      </c>
      <c r="G219" s="106">
        <f>IF(EI219="","",IF(ISNUMBER('Dvd Calendar'!$I$2213)=FALSE,"",IF((('Dvd Calendar'!$I$2215=TYPE1)*(TYPE1&lt;&gt;"")+('Dvd Calendar'!$I$2215=TYPE2)*(TYPE2&lt;&gt;"")+('Dvd Calendar'!$I$2215=TYPE3)*(TYPE3&lt;&gt;"")+('Dvd Calendar'!$I$2215=TYPE4)*(TYPE4&lt;&gt;"")+('Dvd Calendar'!$I$2215=SPECIAL_LBL)*(INC_SPECIALS="Y"))=0,"",'Dvd Calendar'!$I$2213)))</f>
        <v/>
      </c>
      <c r="H219" s="106">
        <f>IF(EJ219="","",IF(ISNUMBER('Dvd Calendar'!$J$2213)=FALSE,"",IF((('Dvd Calendar'!$J$2215=TYPE1)*(TYPE1&lt;&gt;"")+('Dvd Calendar'!$J$2215=TYPE2)*(TYPE2&lt;&gt;"")+('Dvd Calendar'!$J$2215=TYPE3)*(TYPE3&lt;&gt;"")+('Dvd Calendar'!$J$2215=TYPE4)*(TYPE4&lt;&gt;"")+('Dvd Calendar'!$J$2215=SPECIAL_LBL)*(INC_SPECIALS="Y"))=0,"",'Dvd Calendar'!$J$2213)))</f>
        <v/>
      </c>
      <c r="I219" s="106">
        <f>IF(EK219="","",IF(ISNUMBER('Dvd Calendar'!$K$2213)=FALSE,"",IF((('Dvd Calendar'!$K$2215=TYPE1)*(TYPE1&lt;&gt;"")+('Dvd Calendar'!$K$2215=TYPE2)*(TYPE2&lt;&gt;"")+('Dvd Calendar'!$K$2215=TYPE3)*(TYPE3&lt;&gt;"")+('Dvd Calendar'!$K$2215=TYPE4)*(TYPE4&lt;&gt;"")+('Dvd Calendar'!$K$2215=SPECIAL_LBL)*(INC_SPECIALS="Y"))=0,"",'Dvd Calendar'!$K$2213)))</f>
        <v/>
      </c>
      <c r="J219" s="106">
        <f>IF(EL219="","",IF(ISNUMBER('Dvd Calendar'!$L$2213)=FALSE,"",IF((('Dvd Calendar'!$L$2215=TYPE1)*(TYPE1&lt;&gt;"")+('Dvd Calendar'!$L$2215=TYPE2)*(TYPE2&lt;&gt;"")+('Dvd Calendar'!$L$2215=TYPE3)*(TYPE3&lt;&gt;"")+('Dvd Calendar'!$L$2215=TYPE4)*(TYPE4&lt;&gt;"")+('Dvd Calendar'!$L$2215=SPECIAL_LBL)*(INC_SPECIALS="Y"))=0,"",'Dvd Calendar'!$L$2213)))</f>
        <v/>
      </c>
      <c r="K219" s="106">
        <f>IF(EM219="","",IF(ISNUMBER('Dvd Calendar'!$M$2213)=FALSE,"",IF((('Dvd Calendar'!$M$2215=TYPE1)*(TYPE1&lt;&gt;"")+('Dvd Calendar'!$M$2215=TYPE2)*(TYPE2&lt;&gt;"")+('Dvd Calendar'!$M$2215=TYPE3)*(TYPE3&lt;&gt;"")+('Dvd Calendar'!$M$2215=TYPE4)*(TYPE4&lt;&gt;"")+('Dvd Calendar'!$M$2215=SPECIAL_LBL)*(INC_SPECIALS="Y"))=0,"",'Dvd Calendar'!$M$2213)))</f>
        <v/>
      </c>
      <c r="L219" s="106">
        <f>IF(EN219="","",IF(ISNUMBER('Dvd Calendar'!$N$2213)=FALSE,"",IF((('Dvd Calendar'!$N$2215=TYPE1)*(TYPE1&lt;&gt;"")+('Dvd Calendar'!$N$2215=TYPE2)*(TYPE2&lt;&gt;"")+('Dvd Calendar'!$N$2215=TYPE3)*(TYPE3&lt;&gt;"")+('Dvd Calendar'!$N$2215=TYPE4)*(TYPE4&lt;&gt;"")+('Dvd Calendar'!$N$2215=SPECIAL_LBL)*(INC_SPECIALS="Y"))=0,"",'Dvd Calendar'!$N$2213)))</f>
        <v/>
      </c>
      <c r="M219" s="106">
        <f>IF(EO219="","",IF(ISNUMBER('Dvd Calendar'!$O$2213)=FALSE,"",IF((('Dvd Calendar'!$O$2215=TYPE1)*(TYPE1&lt;&gt;"")+('Dvd Calendar'!$O$2215=TYPE2)*(TYPE2&lt;&gt;"")+('Dvd Calendar'!$O$2215=TYPE3)*(TYPE3&lt;&gt;"")+('Dvd Calendar'!$O$2215=TYPE4)*(TYPE4&lt;&gt;"")+('Dvd Calendar'!$O$2215=SPECIAL_LBL)*(INC_SPECIALS="Y"))=0,"",'Dvd Calendar'!$O$2213)))</f>
        <v/>
      </c>
      <c r="N219" s="106">
        <f>IF(EP219="","",IF(ISNUMBER('Dvd Calendar'!$P$2213)=FALSE,"",IF((('Dvd Calendar'!$P$2215=TYPE1)*(TYPE1&lt;&gt;"")+('Dvd Calendar'!$P$2215=TYPE2)*(TYPE2&lt;&gt;"")+('Dvd Calendar'!$P$2215=TYPE3)*(TYPE3&lt;&gt;"")+('Dvd Calendar'!$P$2215=TYPE4)*(TYPE4&lt;&gt;"")+('Dvd Calendar'!$P$2215=SPECIAL_LBL)*(INC_SPECIALS="Y"))=0,"",'Dvd Calendar'!$P$2213)))</f>
        <v/>
      </c>
      <c r="O219" s="106">
        <f>IF(EQ219="","",IF(ISNUMBER('Dvd Calendar'!$Q$2213)=FALSE,"",IF((('Dvd Calendar'!$Q$2215=TYPE1)*(TYPE1&lt;&gt;"")+('Dvd Calendar'!$Q$2215=TYPE2)*(TYPE2&lt;&gt;"")+('Dvd Calendar'!$Q$2215=TYPE3)*(TYPE3&lt;&gt;"")+('Dvd Calendar'!$Q$2215=TYPE4)*(TYPE4&lt;&gt;"")+('Dvd Calendar'!$Q$2215=SPECIAL_LBL)*(INC_SPECIALS="Y"))=0,"",'Dvd Calendar'!$Q$2213)))</f>
        <v/>
      </c>
      <c r="P219" s="106">
        <f>IF(ER219="","",IF(ISNUMBER('Dvd Calendar'!$R$2213)=FALSE,"",IF((('Dvd Calendar'!$R$2215=TYPE1)*(TYPE1&lt;&gt;"")+('Dvd Calendar'!$R$2215=TYPE2)*(TYPE2&lt;&gt;"")+('Dvd Calendar'!$R$2215=TYPE3)*(TYPE3&lt;&gt;"")+('Dvd Calendar'!$R$2215=TYPE4)*(TYPE4&lt;&gt;"")+('Dvd Calendar'!$R$2215=SPECIAL_LBL)*(INC_SPECIALS="Y"))=0,"",'Dvd Calendar'!$R$2213)))</f>
        <v/>
      </c>
      <c r="Q219" s="106">
        <f>IF(ES219="","",IF(ISNUMBER('Dvd Calendar'!$S$2213)=FALSE,"",IF((('Dvd Calendar'!$S$2215=TYPE1)*(TYPE1&lt;&gt;"")+('Dvd Calendar'!$S$2215=TYPE2)*(TYPE2&lt;&gt;"")+('Dvd Calendar'!$S$2215=TYPE3)*(TYPE3&lt;&gt;"")+('Dvd Calendar'!$S$2215=TYPE4)*(TYPE4&lt;&gt;"")+('Dvd Calendar'!$S$2215=SPECIAL_LBL)*(INC_SPECIALS="Y"))=0,"",'Dvd Calendar'!$S$2213)))</f>
        <v/>
      </c>
      <c r="R219" s="106">
        <f>IF(ET219="","",IF(ISNUMBER('Dvd Calendar'!$T$2213)=FALSE,"",IF((('Dvd Calendar'!$T$2215=TYPE1)*(TYPE1&lt;&gt;"")+('Dvd Calendar'!$T$2215=TYPE2)*(TYPE2&lt;&gt;"")+('Dvd Calendar'!$T$2215=TYPE3)*(TYPE3&lt;&gt;"")+('Dvd Calendar'!$T$2215=TYPE4)*(TYPE4&lt;&gt;"")+('Dvd Calendar'!$T$2215=SPECIAL_LBL)*(INC_SPECIALS="Y"))=0,"",'Dvd Calendar'!$T$2213)))</f>
        <v/>
      </c>
      <c r="S219" s="106">
        <f>IF(EU219="","",IF(ISNUMBER('Dvd Calendar'!$U$2213)=FALSE,"",IF((('Dvd Calendar'!$U$2215=TYPE1)*(TYPE1&lt;&gt;"")+('Dvd Calendar'!$U$2215=TYPE2)*(TYPE2&lt;&gt;"")+('Dvd Calendar'!$U$2215=TYPE3)*(TYPE3&lt;&gt;"")+('Dvd Calendar'!$U$2215=TYPE4)*(TYPE4&lt;&gt;"")+('Dvd Calendar'!$U$2215=SPECIAL_LBL)*(INC_SPECIALS="Y"))=0,"",'Dvd Calendar'!$U$2213)))</f>
        <v/>
      </c>
      <c r="T219" s="106">
        <f>IF(EV219="","",IF(ISNUMBER('Dvd Calendar'!$V$2213)=FALSE,"",IF((('Dvd Calendar'!$V$2215=TYPE1)*(TYPE1&lt;&gt;"")+('Dvd Calendar'!$V$2215=TYPE2)*(TYPE2&lt;&gt;"")+('Dvd Calendar'!$V$2215=TYPE3)*(TYPE3&lt;&gt;"")+('Dvd Calendar'!$V$2215=TYPE4)*(TYPE4&lt;&gt;"")+('Dvd Calendar'!$V$2215=SPECIAL_LBL)*(INC_SPECIALS="Y"))=0,"",'Dvd Calendar'!$V$2213)))</f>
        <v/>
      </c>
      <c r="U219" s="106">
        <f>IF(EW219="","",IF(ISNUMBER('Dvd Calendar'!$W$2213)=FALSE,"",IF((('Dvd Calendar'!$W$2215=TYPE1)*(TYPE1&lt;&gt;"")+('Dvd Calendar'!$W$2215=TYPE2)*(TYPE2&lt;&gt;"")+('Dvd Calendar'!$W$2215=TYPE3)*(TYPE3&lt;&gt;"")+('Dvd Calendar'!$W$2215=TYPE4)*(TYPE4&lt;&gt;"")+('Dvd Calendar'!$W$2215=SPECIAL_LBL)*(INC_SPECIALS="Y"))=0,"",'Dvd Calendar'!$W$2213)))</f>
        <v/>
      </c>
      <c r="V219" s="106">
        <f>IF(EX219="","",IF(ISNUMBER('Dvd Calendar'!$X$2213)=FALSE,"",IF((('Dvd Calendar'!$X$2215=TYPE1)*(TYPE1&lt;&gt;"")+('Dvd Calendar'!$X$2215=TYPE2)*(TYPE2&lt;&gt;"")+('Dvd Calendar'!$X$2215=TYPE3)*(TYPE3&lt;&gt;"")+('Dvd Calendar'!$X$2215=TYPE4)*(TYPE4&lt;&gt;"")+('Dvd Calendar'!$X$2215=SPECIAL_LBL)*(INC_SPECIALS="Y"))=0,"",'Dvd Calendar'!$X$2213)))</f>
        <v/>
      </c>
      <c r="W219" s="106">
        <f>IF(EY219="","",IF(ISNUMBER('Dvd Calendar'!$Y$2213)=FALSE,"",IF((('Dvd Calendar'!$Y$2215=TYPE1)*(TYPE1&lt;&gt;"")+('Dvd Calendar'!$Y$2215=TYPE2)*(TYPE2&lt;&gt;"")+('Dvd Calendar'!$Y$2215=TYPE3)*(TYPE3&lt;&gt;"")+('Dvd Calendar'!$Y$2215=TYPE4)*(TYPE4&lt;&gt;"")+('Dvd Calendar'!$Y$2215=SPECIAL_LBL)*(INC_SPECIALS="Y"))=0,"",'Dvd Calendar'!$Y$2213)))</f>
        <v/>
      </c>
      <c r="X219" s="106">
        <f>IF(EZ219="","",IF(ISNUMBER('Dvd Calendar'!$Z$2213)=FALSE,"",IF((('Dvd Calendar'!$Z$2215=TYPE1)*(TYPE1&lt;&gt;"")+('Dvd Calendar'!$Z$2215=TYPE2)*(TYPE2&lt;&gt;"")+('Dvd Calendar'!$Z$2215=TYPE3)*(TYPE3&lt;&gt;"")+('Dvd Calendar'!$Z$2215=TYPE4)*(TYPE4&lt;&gt;"")+('Dvd Calendar'!$Z$2215=SPECIAL_LBL)*(INC_SPECIALS="Y"))=0,"",'Dvd Calendar'!$Z$2213)))</f>
        <v/>
      </c>
      <c r="Y219" s="106">
        <f>IF(FA219="","",IF(ISNUMBER('Dvd Calendar'!$AA$2213)=FALSE,"",IF((('Dvd Calendar'!$AA$2215=TYPE1)*(TYPE1&lt;&gt;"")+('Dvd Calendar'!$AA$2215=TYPE2)*(TYPE2&lt;&gt;"")+('Dvd Calendar'!$AA$2215=TYPE3)*(TYPE3&lt;&gt;"")+('Dvd Calendar'!$AA$2215=TYPE4)*(TYPE4&lt;&gt;"")+('Dvd Calendar'!$AA$2215=SPECIAL_LBL)*(INC_SPECIALS="Y"))=0,"",'Dvd Calendar'!$AA$2213)))</f>
        <v/>
      </c>
      <c r="Z219" s="106">
        <f>IF(FB219="","",IF(ISNUMBER('Dvd Calendar'!$AB$2213)=FALSE,"",IF((('Dvd Calendar'!$AB$2215=TYPE1)*(TYPE1&lt;&gt;"")+('Dvd Calendar'!$AB$2215=TYPE2)*(TYPE2&lt;&gt;"")+('Dvd Calendar'!$AB$2215=TYPE3)*(TYPE3&lt;&gt;"")+('Dvd Calendar'!$AB$2215=TYPE4)*(TYPE4&lt;&gt;"")+('Dvd Calendar'!$AB$2215=SPECIAL_LBL)*(INC_SPECIALS="Y"))=0,"",'Dvd Calendar'!$AB$2213)))</f>
        <v/>
      </c>
      <c r="AA219" s="106">
        <f>IF(FC219="","",IF(ISNUMBER('Dvd Calendar'!$AC$2213)=FALSE,"",IF((('Dvd Calendar'!$AC$2215=TYPE1)*(TYPE1&lt;&gt;"")+('Dvd Calendar'!$AC$2215=TYPE2)*(TYPE2&lt;&gt;"")+('Dvd Calendar'!$AC$2215=TYPE3)*(TYPE3&lt;&gt;"")+('Dvd Calendar'!$AC$2215=TYPE4)*(TYPE4&lt;&gt;"")+('Dvd Calendar'!$AC$2215=SPECIAL_LBL)*(INC_SPECIALS="Y"))=0,"",'Dvd Calendar'!$AC$2213)))</f>
        <v/>
      </c>
      <c r="AB219" s="106">
        <f>IF(FD219="","",IF(ISNUMBER('Dvd Calendar'!$AD$2213)=FALSE,"",IF((('Dvd Calendar'!$AD$2215=TYPE1)*(TYPE1&lt;&gt;"")+('Dvd Calendar'!$AD$2215=TYPE2)*(TYPE2&lt;&gt;"")+('Dvd Calendar'!$AD$2215=TYPE3)*(TYPE3&lt;&gt;"")+('Dvd Calendar'!$AD$2215=TYPE4)*(TYPE4&lt;&gt;"")+('Dvd Calendar'!$AD$2215=SPECIAL_LBL)*(INC_SPECIALS="Y"))=0,"",'Dvd Calendar'!$AD$2213)))</f>
        <v/>
      </c>
      <c r="AC219" s="106">
        <f>IF(FE219="","",IF(ISNUMBER('Dvd Calendar'!$AE$2213)=FALSE,"",IF((('Dvd Calendar'!$AE$2215=TYPE1)*(TYPE1&lt;&gt;"")+('Dvd Calendar'!$AE$2215=TYPE2)*(TYPE2&lt;&gt;"")+('Dvd Calendar'!$AE$2215=TYPE3)*(TYPE3&lt;&gt;"")+('Dvd Calendar'!$AE$2215=TYPE4)*(TYPE4&lt;&gt;"")+('Dvd Calendar'!$AE$2215=SPECIAL_LBL)*(INC_SPECIALS="Y"))=0,"",'Dvd Calendar'!$AE$2213)))</f>
        <v/>
      </c>
      <c r="AD219" s="106">
        <f>IF(FF219="","",IF(ISNUMBER('Dvd Calendar'!$AF$2213)=FALSE,"",IF((('Dvd Calendar'!$AF$2215=TYPE1)*(TYPE1&lt;&gt;"")+('Dvd Calendar'!$AF$2215=TYPE2)*(TYPE2&lt;&gt;"")+('Dvd Calendar'!$AF$2215=TYPE3)*(TYPE3&lt;&gt;"")+('Dvd Calendar'!$AF$2215=TYPE4)*(TYPE4&lt;&gt;"")+('Dvd Calendar'!$AF$2215=SPECIAL_LBL)*(INC_SPECIALS="Y"))=0,"",'Dvd Calendar'!$AF$2213)))</f>
        <v/>
      </c>
      <c r="AE219" s="106">
        <f>IF(FG219="","",IF(ISNUMBER('Dvd Calendar'!$AG$2213)=FALSE,"",IF((('Dvd Calendar'!$AG$2215=TYPE1)*(TYPE1&lt;&gt;"")+('Dvd Calendar'!$AG$2215=TYPE2)*(TYPE2&lt;&gt;"")+('Dvd Calendar'!$AG$2215=TYPE3)*(TYPE3&lt;&gt;"")+('Dvd Calendar'!$AG$2215=TYPE4)*(TYPE4&lt;&gt;"")+('Dvd Calendar'!$AG$2215=SPECIAL_LBL)*(INC_SPECIALS="Y"))=0,"",'Dvd Calendar'!$AG$2213)))</f>
        <v/>
      </c>
      <c r="AF219" s="106">
        <f>IF(FH219="","",IF(ISNUMBER('Dvd Calendar'!$AH$2213)=FALSE,"",IF((('Dvd Calendar'!$AH$2215=TYPE1)*(TYPE1&lt;&gt;"")+('Dvd Calendar'!$AH$2215=TYPE2)*(TYPE2&lt;&gt;"")+('Dvd Calendar'!$AH$2215=TYPE3)*(TYPE3&lt;&gt;"")+('Dvd Calendar'!$AH$2215=TYPE4)*(TYPE4&lt;&gt;"")+('Dvd Calendar'!$AH$2215=SPECIAL_LBL)*(INC_SPECIALS="Y"))=0,"",'Dvd Calendar'!$AH$2213)))</f>
        <v/>
      </c>
      <c r="AG219" s="106">
        <f>IF(FI219="","",IF(ISNUMBER('Dvd Calendar'!$AI$2213)=FALSE,"",IF((('Dvd Calendar'!$AI$2215=TYPE1)*(TYPE1&lt;&gt;"")+('Dvd Calendar'!$AI$2215=TYPE2)*(TYPE2&lt;&gt;"")+('Dvd Calendar'!$AI$2215=TYPE3)*(TYPE3&lt;&gt;"")+('Dvd Calendar'!$AI$2215=TYPE4)*(TYPE4&lt;&gt;"")+('Dvd Calendar'!$AI$2215=SPECIAL_LBL)*(INC_SPECIALS="Y"))=0,"",'Dvd Calendar'!$AI$2213)))</f>
        <v/>
      </c>
      <c r="AH219" s="106">
        <f>IF(FJ219="","",IF(ISNUMBER('Dvd Calendar'!$AJ$2213)=FALSE,"",IF((('Dvd Calendar'!$AJ$2215=TYPE1)*(TYPE1&lt;&gt;"")+('Dvd Calendar'!$AJ$2215=TYPE2)*(TYPE2&lt;&gt;"")+('Dvd Calendar'!$AJ$2215=TYPE3)*(TYPE3&lt;&gt;"")+('Dvd Calendar'!$AJ$2215=TYPE4)*(TYPE4&lt;&gt;"")+('Dvd Calendar'!$AJ$2215=SPECIAL_LBL)*(INC_SPECIALS="Y"))=0,"",'Dvd Calendar'!$AJ$2213)))</f>
        <v/>
      </c>
      <c r="AI219" s="106">
        <f>IF(FK219="","",IF(ISNUMBER('Dvd Calendar'!$AK$2213)=FALSE,"",IF((('Dvd Calendar'!$AK$2215=TYPE1)*(TYPE1&lt;&gt;"")+('Dvd Calendar'!$AK$2215=TYPE2)*(TYPE2&lt;&gt;"")+('Dvd Calendar'!$AK$2215=TYPE3)*(TYPE3&lt;&gt;"")+('Dvd Calendar'!$AK$2215=TYPE4)*(TYPE4&lt;&gt;"")+('Dvd Calendar'!$AK$2215=SPECIAL_LBL)*(INC_SPECIALS="Y"))=0,"",'Dvd Calendar'!$AK$2213)))</f>
        <v/>
      </c>
      <c r="AJ219" s="106">
        <f>IF(FL219="","",IF(ISNUMBER('Dvd Calendar'!$AL$2213)=FALSE,"",IF((('Dvd Calendar'!$AL$2215=TYPE1)*(TYPE1&lt;&gt;"")+('Dvd Calendar'!$AL$2215=TYPE2)*(TYPE2&lt;&gt;"")+('Dvd Calendar'!$AL$2215=TYPE3)*(TYPE3&lt;&gt;"")+('Dvd Calendar'!$AL$2215=TYPE4)*(TYPE4&lt;&gt;"")+('Dvd Calendar'!$AL$2215=SPECIAL_LBL)*(INC_SPECIALS="Y"))=0,"",'Dvd Calendar'!$AL$2213)))</f>
        <v/>
      </c>
      <c r="AK219" s="106">
        <f>IF(FM219="","",IF(ISNUMBER('Dvd Calendar'!$AM$2213)=FALSE,"",IF((('Dvd Calendar'!$AM$2215=TYPE1)*(TYPE1&lt;&gt;"")+('Dvd Calendar'!$AM$2215=TYPE2)*(TYPE2&lt;&gt;"")+('Dvd Calendar'!$AM$2215=TYPE3)*(TYPE3&lt;&gt;"")+('Dvd Calendar'!$AM$2215=TYPE4)*(TYPE4&lt;&gt;"")+('Dvd Calendar'!$AM$2215=SPECIAL_LBL)*(INC_SPECIALS="Y"))=0,"",'Dvd Calendar'!$AM$2213)))</f>
        <v/>
      </c>
      <c r="AL219" s="106">
        <f>IF(FN219="","",IF(ISNUMBER('Dvd Calendar'!$AN$2213)=FALSE,"",IF((('Dvd Calendar'!$AN$2215=TYPE1)*(TYPE1&lt;&gt;"")+('Dvd Calendar'!$AN$2215=TYPE2)*(TYPE2&lt;&gt;"")+('Dvd Calendar'!$AN$2215=TYPE3)*(TYPE3&lt;&gt;"")+('Dvd Calendar'!$AN$2215=TYPE4)*(TYPE4&lt;&gt;"")+('Dvd Calendar'!$AN$2215=SPECIAL_LBL)*(INC_SPECIALS="Y"))=0,"",'Dvd Calendar'!$AN$2213)))</f>
        <v/>
      </c>
      <c r="AM219" s="106">
        <f>IF(FO219="","",IF(ISNUMBER('Dvd Calendar'!$AO$2213)=FALSE,"",IF((('Dvd Calendar'!$AO$2215=TYPE1)*(TYPE1&lt;&gt;"")+('Dvd Calendar'!$AO$2215=TYPE2)*(TYPE2&lt;&gt;"")+('Dvd Calendar'!$AO$2215=TYPE3)*(TYPE3&lt;&gt;"")+('Dvd Calendar'!$AO$2215=TYPE4)*(TYPE4&lt;&gt;"")+('Dvd Calendar'!$AO$2215=SPECIAL_LBL)*(INC_SPECIALS="Y"))=0,"",'Dvd Calendar'!$AO$2213)))</f>
        <v/>
      </c>
      <c r="AN219" s="106">
        <f>IF(FP219="","",IF(ISNUMBER('Dvd Calendar'!$AP$2213)=FALSE,"",IF((('Dvd Calendar'!$AP$2215=TYPE1)*(TYPE1&lt;&gt;"")+('Dvd Calendar'!$AP$2215=TYPE2)*(TYPE2&lt;&gt;"")+('Dvd Calendar'!$AP$2215=TYPE3)*(TYPE3&lt;&gt;"")+('Dvd Calendar'!$AP$2215=TYPE4)*(TYPE4&lt;&gt;"")+('Dvd Calendar'!$AP$2215=SPECIAL_LBL)*(INC_SPECIALS="Y"))=0,"",'Dvd Calendar'!$AP$2213)))</f>
        <v/>
      </c>
      <c r="AO219" s="106">
        <f>IF(FQ219="","",IF(ISNUMBER('Dvd Calendar'!$AQ$2213)=FALSE,"",IF((('Dvd Calendar'!$AQ$2215=TYPE1)*(TYPE1&lt;&gt;"")+('Dvd Calendar'!$AQ$2215=TYPE2)*(TYPE2&lt;&gt;"")+('Dvd Calendar'!$AQ$2215=TYPE3)*(TYPE3&lt;&gt;"")+('Dvd Calendar'!$AQ$2215=TYPE4)*(TYPE4&lt;&gt;"")+('Dvd Calendar'!$AQ$2215=SPECIAL_LBL)*(INC_SPECIALS="Y"))=0,"",'Dvd Calendar'!$AQ$2213)))</f>
        <v/>
      </c>
      <c r="AP219" s="106">
        <f>IF(FR219="","",IF(ISNUMBER('Dvd Calendar'!$AR$2213)=FALSE,"",IF((('Dvd Calendar'!$AR$2215=TYPE1)*(TYPE1&lt;&gt;"")+('Dvd Calendar'!$AR$2215=TYPE2)*(TYPE2&lt;&gt;"")+('Dvd Calendar'!$AR$2215=TYPE3)*(TYPE3&lt;&gt;"")+('Dvd Calendar'!$AR$2215=TYPE4)*(TYPE4&lt;&gt;"")+('Dvd Calendar'!$AR$2215=SPECIAL_LBL)*(INC_SPECIALS="Y"))=0,"",'Dvd Calendar'!$AR$2213)))</f>
        <v/>
      </c>
      <c r="AQ219" s="106">
        <f>IF(FS219="","",IF(ISNUMBER('Dvd Calendar'!$E$2218)=FALSE,"",'Dvd Calendar'!$E$2218))</f>
        <v/>
      </c>
      <c r="AR219" s="106">
        <f>IF(FT219="","",IF(ISNUMBER('Dvd Calendar'!$F$2218)=FALSE,"",'Dvd Calendar'!$F$2218))</f>
        <v/>
      </c>
      <c r="AS219" s="106">
        <f>IF(FU219="","",IF(ISNUMBER('Dvd Calendar'!$G$2218)=FALSE,"",'Dvd Calendar'!$G$2218))</f>
        <v/>
      </c>
      <c r="AT219" s="106">
        <f>IF(FV219="","",IF(ISNUMBER('Dvd Calendar'!$H$2218)=FALSE,"",'Dvd Calendar'!$H$2218))</f>
        <v/>
      </c>
      <c r="AU219" s="106">
        <f>IF(FW219="","",IF(ISNUMBER('Dvd Calendar'!$I$2218)=FALSE,"",'Dvd Calendar'!$I$2218))</f>
        <v/>
      </c>
      <c r="AV219" s="106">
        <f>IF(FX219="","",IF(ISNUMBER('Dvd Calendar'!$J$2218)=FALSE,"",'Dvd Calendar'!$J$2218))</f>
        <v/>
      </c>
      <c r="AW219" s="106">
        <f>IF(FY219="","",IF(ISNUMBER('Dvd Calendar'!$K$2218)=FALSE,"",'Dvd Calendar'!$K$2218))</f>
        <v/>
      </c>
      <c r="AX219" s="106">
        <f>IF(FZ219="","",IF(ISNUMBER('Dvd Calendar'!$L$2218)=FALSE,"",'Dvd Calendar'!$L$2218))</f>
        <v/>
      </c>
      <c r="AY219" s="106">
        <f>IF(GA219="","",IF(ISNUMBER('Dvd Calendar'!$M$2218)=FALSE,"",'Dvd Calendar'!$M$2218))</f>
        <v/>
      </c>
      <c r="AZ219" s="106">
        <f>IF(GB219="","",IF(ISNUMBER('Dvd Calendar'!$N$2218)=FALSE,"",'Dvd Calendar'!$N$2218))</f>
        <v/>
      </c>
      <c r="BA219" s="106">
        <f>IF(GC219="","",IF(ISNUMBER('Dvd Calendar'!$O$2218)=FALSE,"",'Dvd Calendar'!$O$2218))</f>
        <v/>
      </c>
      <c r="BB219" s="106">
        <f>IF(GD219="","",IF(ISNUMBER('Dvd Calendar'!$P$2218)=FALSE,"",'Dvd Calendar'!$P$2218))</f>
        <v/>
      </c>
      <c r="BC219" s="106">
        <f>IF(GE219="","",IF(ISNUMBER('Dvd Calendar'!$Q$2218)=FALSE,"",'Dvd Calendar'!$Q$2218))</f>
        <v/>
      </c>
      <c r="BD219" s="106">
        <f>IF(GF219="","",IF(ISNUMBER('Dvd Calendar'!$R$2218)=FALSE,"",'Dvd Calendar'!$R$2218))</f>
        <v/>
      </c>
      <c r="BE219" s="106">
        <f>IF(GG219="","",IF(ISNUMBER('Dvd Calendar'!$S$2218)=FALSE,"",'Dvd Calendar'!$S$2218))</f>
        <v/>
      </c>
      <c r="BF219" s="106">
        <f>IF(GH219="","",IF(ISNUMBER('Dvd Calendar'!$T$2218)=FALSE,"",'Dvd Calendar'!$T$2218))</f>
        <v/>
      </c>
      <c r="BG219" s="106">
        <f>IF(GI219="","",IF(ISNUMBER('Dvd Calendar'!$U$2218)=FALSE,"",'Dvd Calendar'!$U$2218))</f>
        <v/>
      </c>
      <c r="BH219" s="106">
        <f>IF(GJ219="","",IF(ISNUMBER('Dvd Calendar'!$V$2218)=FALSE,"",'Dvd Calendar'!$V$2218))</f>
        <v/>
      </c>
      <c r="BI219" s="106">
        <f>IF(GK219="","",IF(ISNUMBER('Dvd Calendar'!$W$2218)=FALSE,"",'Dvd Calendar'!$W$2218))</f>
        <v/>
      </c>
      <c r="BJ219" s="106">
        <f>IF(GL219="","",IF(ISNUMBER('Dvd Calendar'!$X$2218)=FALSE,"",'Dvd Calendar'!$X$2218))</f>
        <v/>
      </c>
      <c r="BK219" s="106">
        <f>IF(GM219="","",IF(ISNUMBER('Dvd Calendar'!$Y$2218)=FALSE,"",'Dvd Calendar'!$Y$2218))</f>
        <v/>
      </c>
      <c r="BL219" s="106">
        <f>IF(GN219="","",IF(ISNUMBER('Dvd Calendar'!$Z$2218)=FALSE,"",'Dvd Calendar'!$Z$2218))</f>
        <v/>
      </c>
      <c r="BM219" s="106">
        <f>IF(GO219="","",IF(ISNUMBER('Dvd Calendar'!$AA$2218)=FALSE,"",'Dvd Calendar'!$AA$2218))</f>
        <v/>
      </c>
      <c r="BN219" s="106">
        <f>IF(GP219="","",IF(ISNUMBER('Dvd Calendar'!$AB$2218)=FALSE,"",'Dvd Calendar'!$AB$2218))</f>
        <v/>
      </c>
      <c r="BO219" s="106">
        <f>IF(GQ219="","",IF(ISNUMBER('Dvd Calendar'!$AC$2218)=FALSE,"",'Dvd Calendar'!$AC$2218))</f>
        <v/>
      </c>
      <c r="BQ219" s="106">
        <f>IF(C219="","",IFERROR(C219*HSCEI!$B$66*HSCEI!$G$66/HSCEI!$B$3,""))</f>
        <v/>
      </c>
      <c r="BR219" s="106">
        <f>IF(D219="","",IFERROR(D219*HSCEI!$B$66*HSCEI!$G$66/HSCEI!$B$3,""))</f>
        <v/>
      </c>
      <c r="BS219" s="106">
        <f>IF(E219="","",IFERROR(E219*HSCEI!$B$66*HSCEI!$G$66/HSCEI!$B$3,""))</f>
        <v/>
      </c>
      <c r="BT219" s="106">
        <f>IF(F219="","",IFERROR(F219*HSCEI!$B$66*HSCEI!$G$66/HSCEI!$B$3,""))</f>
        <v/>
      </c>
      <c r="BU219" s="106">
        <f>IF(G219="","",IFERROR(G219*HSCEI!$B$66*HSCEI!$G$66/HSCEI!$B$3,""))</f>
        <v/>
      </c>
      <c r="BV219" s="106">
        <f>IF(H219="","",IFERROR(H219*HSCEI!$B$66*HSCEI!$G$66/HSCEI!$B$3,""))</f>
        <v/>
      </c>
      <c r="BW219" s="106">
        <f>IF(I219="","",IFERROR(I219*HSCEI!$B$66*HSCEI!$G$66/HSCEI!$B$3,""))</f>
        <v/>
      </c>
      <c r="BX219" s="106">
        <f>IF(J219="","",IFERROR(J219*HSCEI!$B$66*HSCEI!$G$66/HSCEI!$B$3,""))</f>
        <v/>
      </c>
      <c r="BY219" s="106">
        <f>IF(K219="","",IFERROR(K219*HSCEI!$B$66*HSCEI!$G$66/HSCEI!$B$3,""))</f>
        <v/>
      </c>
      <c r="BZ219" s="106">
        <f>IF(L219="","",IFERROR(L219*HSCEI!$B$66*HSCEI!$G$66/HSCEI!$B$3,""))</f>
        <v/>
      </c>
      <c r="CA219" s="106">
        <f>IF(M219="","",IFERROR(M219*HSCEI!$B$66*HSCEI!$G$66/HSCEI!$B$3,""))</f>
        <v/>
      </c>
      <c r="CB219" s="106">
        <f>IF(N219="","",IFERROR(N219*HSCEI!$B$66*HSCEI!$G$66/HSCEI!$B$3,""))</f>
        <v/>
      </c>
      <c r="CC219" s="106">
        <f>IF(O219="","",IFERROR(O219*HSCEI!$B$66*HSCEI!$G$66/HSCEI!$B$3,""))</f>
        <v/>
      </c>
      <c r="CD219" s="106">
        <f>IF(P219="","",IFERROR(P219*HSCEI!$B$66*HSCEI!$G$66/HSCEI!$B$3,""))</f>
        <v/>
      </c>
      <c r="CE219" s="106">
        <f>IF(Q219="","",IFERROR(Q219*HSCEI!$B$66*HSCEI!$G$66/HSCEI!$B$3,""))</f>
        <v/>
      </c>
      <c r="CF219" s="106">
        <f>IF(R219="","",IFERROR(R219*HSCEI!$B$66*HSCEI!$G$66/HSCEI!$B$3,""))</f>
        <v/>
      </c>
      <c r="CG219" s="106">
        <f>IF(S219="","",IFERROR(S219*HSCEI!$B$66*HSCEI!$G$66/HSCEI!$B$3,""))</f>
        <v/>
      </c>
      <c r="CH219" s="106">
        <f>IF(T219="","",IFERROR(T219*HSCEI!$B$66*HSCEI!$G$66/HSCEI!$B$3,""))</f>
        <v/>
      </c>
      <c r="CI219" s="106">
        <f>IF(U219="","",IFERROR(U219*HSCEI!$B$66*HSCEI!$G$66/HSCEI!$B$3,""))</f>
        <v/>
      </c>
      <c r="CJ219" s="106">
        <f>IF(V219="","",IFERROR(V219*HSCEI!$B$66*HSCEI!$G$66/HSCEI!$B$3,""))</f>
        <v/>
      </c>
      <c r="CK219" s="106">
        <f>IF(W219="","",IFERROR(W219*HSCEI!$B$66*HSCEI!$G$66/HSCEI!$B$3,""))</f>
        <v/>
      </c>
      <c r="CL219" s="106">
        <f>IF(X219="","",IFERROR(X219*HSCEI!$B$66*HSCEI!$G$66/HSCEI!$B$3,""))</f>
        <v/>
      </c>
      <c r="CM219" s="106">
        <f>IF(Y219="","",IFERROR(Y219*HSCEI!$B$66*HSCEI!$G$66/HSCEI!$B$3,""))</f>
        <v/>
      </c>
      <c r="CN219" s="106">
        <f>IF(Z219="","",IFERROR(Z219*HSCEI!$B$66*HSCEI!$G$66/HSCEI!$B$3,""))</f>
        <v/>
      </c>
      <c r="CO219" s="106">
        <f>IF(AA219="","",IFERROR(AA219*HSCEI!$B$66*HSCEI!$G$66/HSCEI!$B$3,""))</f>
        <v/>
      </c>
      <c r="CP219" s="106">
        <f>IF(AB219="","",IFERROR(AB219*HSCEI!$B$66*HSCEI!$G$66/HSCEI!$B$3,""))</f>
        <v/>
      </c>
      <c r="CQ219" s="106">
        <f>IF(AC219="","",IFERROR(AC219*HSCEI!$B$66*HSCEI!$G$66/HSCEI!$B$3,""))</f>
        <v/>
      </c>
      <c r="CR219" s="106">
        <f>IF(AD219="","",IFERROR(AD219*HSCEI!$B$66*HSCEI!$G$66/HSCEI!$B$3,""))</f>
        <v/>
      </c>
      <c r="CS219" s="106">
        <f>IF(AE219="","",IFERROR(AE219*HSCEI!$B$66*HSCEI!$G$66/HSCEI!$B$3,""))</f>
        <v/>
      </c>
      <c r="CT219" s="106">
        <f>IF(AF219="","",IFERROR(AF219*HSCEI!$B$66*HSCEI!$G$66/HSCEI!$B$3,""))</f>
        <v/>
      </c>
      <c r="CU219" s="106">
        <f>IF(AG219="","",IFERROR(AG219*HSCEI!$B$66*HSCEI!$G$66/HSCEI!$B$3,""))</f>
        <v/>
      </c>
      <c r="CV219" s="106">
        <f>IF(AH219="","",IFERROR(AH219*HSCEI!$B$66*HSCEI!$G$66/HSCEI!$B$3,""))</f>
        <v/>
      </c>
      <c r="CW219" s="106">
        <f>IF(AI219="","",IFERROR(AI219*HSCEI!$B$66*HSCEI!$G$66/HSCEI!$B$3,""))</f>
        <v/>
      </c>
      <c r="CX219" s="106">
        <f>IF(AJ219="","",IFERROR(AJ219*HSCEI!$B$66*HSCEI!$G$66/HSCEI!$B$3,""))</f>
        <v/>
      </c>
      <c r="CY219" s="106">
        <f>IF(AK219="","",IFERROR(AK219*HSCEI!$B$66*HSCEI!$G$66/HSCEI!$B$3,""))</f>
        <v/>
      </c>
      <c r="CZ219" s="106">
        <f>IF(AL219="","",IFERROR(AL219*HSCEI!$B$66*HSCEI!$G$66/HSCEI!$B$3,""))</f>
        <v/>
      </c>
      <c r="DA219" s="106">
        <f>IF(AM219="","",IFERROR(AM219*HSCEI!$B$66*HSCEI!$G$66/HSCEI!$B$3,""))</f>
        <v/>
      </c>
      <c r="DB219" s="106">
        <f>IF(AN219="","",IFERROR(AN219*HSCEI!$B$66*HSCEI!$G$66/HSCEI!$B$3,""))</f>
        <v/>
      </c>
      <c r="DC219" s="106">
        <f>IF(AO219="","",IFERROR(AO219*HSCEI!$B$66*HSCEI!$G$66/HSCEI!$B$3,""))</f>
        <v/>
      </c>
      <c r="DD219" s="106">
        <f>IF(AP219="","",IFERROR(AP219*HSCEI!$B$66*HSCEI!$G$66/HSCEI!$B$3,""))</f>
        <v/>
      </c>
      <c r="DE219" s="106">
        <f>IF(AQ219="","",IFERROR(AQ219*HSCEI!$B$66*HSCEI!$G$66/HSCEI!$B$3,""))</f>
        <v/>
      </c>
      <c r="DF219" s="106">
        <f>IF(AR219="","",IFERROR(AR219*HSCEI!$B$66*HSCEI!$G$66/HSCEI!$B$3,""))</f>
        <v/>
      </c>
      <c r="DG219" s="106">
        <f>IF(AS219="","",IFERROR(AS219*HSCEI!$B$66*HSCEI!$G$66/HSCEI!$B$3,""))</f>
        <v/>
      </c>
      <c r="DH219" s="106">
        <f>IF(AT219="","",IFERROR(AT219*HSCEI!$B$66*HSCEI!$G$66/HSCEI!$B$3,""))</f>
        <v/>
      </c>
      <c r="DI219" s="106">
        <f>IF(AU219="","",IFERROR(AU219*HSCEI!$B$66*HSCEI!$G$66/HSCEI!$B$3,""))</f>
        <v/>
      </c>
      <c r="DJ219" s="106">
        <f>IF(AV219="","",IFERROR(AV219*HSCEI!$B$66*HSCEI!$G$66/HSCEI!$B$3,""))</f>
        <v/>
      </c>
      <c r="DK219" s="106">
        <f>IF(AW219="","",IFERROR(AW219*HSCEI!$B$66*HSCEI!$G$66/HSCEI!$B$3,""))</f>
        <v/>
      </c>
      <c r="DL219" s="106">
        <f>IF(AX219="","",IFERROR(AX219*HSCEI!$B$66*HSCEI!$G$66/HSCEI!$B$3,""))</f>
        <v/>
      </c>
      <c r="DM219" s="106">
        <f>IF(AY219="","",IFERROR(AY219*HSCEI!$B$66*HSCEI!$G$66/HSCEI!$B$3,""))</f>
        <v/>
      </c>
      <c r="DN219" s="106">
        <f>IF(AZ219="","",IFERROR(AZ219*HSCEI!$B$66*HSCEI!$G$66/HSCEI!$B$3,""))</f>
        <v/>
      </c>
      <c r="DO219" s="106">
        <f>IF(BA219="","",IFERROR(BA219*HSCEI!$B$66*HSCEI!$G$66/HSCEI!$B$3,""))</f>
        <v/>
      </c>
      <c r="DP219" s="106">
        <f>IF(BB219="","",IFERROR(BB219*HSCEI!$B$66*HSCEI!$G$66/HSCEI!$B$3,""))</f>
        <v/>
      </c>
      <c r="DQ219" s="106">
        <f>IF(BC219="","",IFERROR(BC219*HSCEI!$B$66*HSCEI!$G$66/HSCEI!$B$3,""))</f>
        <v/>
      </c>
      <c r="DR219" s="106">
        <f>IF(BD219="","",IFERROR(BD219*HSCEI!$B$66*HSCEI!$G$66/HSCEI!$B$3,""))</f>
        <v/>
      </c>
      <c r="DS219" s="106">
        <f>IF(BE219="","",IFERROR(BE219*HSCEI!$B$66*HSCEI!$G$66/HSCEI!$B$3,""))</f>
        <v/>
      </c>
      <c r="DT219" s="106">
        <f>IF(BF219="","",IFERROR(BF219*HSCEI!$B$66*HSCEI!$G$66/HSCEI!$B$3,""))</f>
        <v/>
      </c>
      <c r="DU219" s="106">
        <f>IF(BG219="","",IFERROR(BG219*HSCEI!$B$66*HSCEI!$G$66/HSCEI!$B$3,""))</f>
        <v/>
      </c>
      <c r="DV219" s="106">
        <f>IF(BH219="","",IFERROR(BH219*HSCEI!$B$66*HSCEI!$G$66/HSCEI!$B$3,""))</f>
        <v/>
      </c>
      <c r="DW219" s="106">
        <f>IF(BI219="","",IFERROR(BI219*HSCEI!$B$66*HSCEI!$G$66/HSCEI!$B$3,""))</f>
        <v/>
      </c>
      <c r="DX219" s="106">
        <f>IF(BJ219="","",IFERROR(BJ219*HSCEI!$B$66*HSCEI!$G$66/HSCEI!$B$3,""))</f>
        <v/>
      </c>
      <c r="DY219" s="106">
        <f>IF(BK219="","",IFERROR(BK219*HSCEI!$B$66*HSCEI!$G$66/HSCEI!$B$3,""))</f>
        <v/>
      </c>
      <c r="DZ219" s="106">
        <f>IF(BL219="","",IFERROR(BL219*HSCEI!$B$66*HSCEI!$G$66/HSCEI!$B$3,""))</f>
        <v/>
      </c>
      <c r="EA219" s="106">
        <f>IF(BM219="","",IFERROR(BM219*HSCEI!$B$66*HSCEI!$G$66/HSCEI!$B$3,""))</f>
        <v/>
      </c>
      <c r="EB219" s="106">
        <f>IF(BN219="","",IFERROR(BN219*HSCEI!$B$66*HSCEI!$G$66/HSCEI!$B$3,""))</f>
        <v/>
      </c>
      <c r="EC219" s="106">
        <f>IF(BO219="","",IFERROR(BO219*HSCEI!$B$66*HSCEI!$G$66/HSCEI!$B$3,""))</f>
        <v/>
      </c>
      <c r="EE219" s="35">
        <f>IF(N('Dvd Calendar'!$E$2210)=0,"",IF(('Dvd Calendar'!$E$2210&gt;=GRID_FROM)*('Dvd Calendar'!$E$2210&lt;=GRID_TO)*('Dvd Calendar'!$E$2210&lt;=VAL_DATE)=0,"",'Dvd Calendar'!$E$2210*1000000000+ISNUMBER('Dvd Calendar'!$E$2213)*100000000+('Dvd Calendar'!$E$2215=SPECIAL_LBL)*10000000+0*1000000+60*1000+1))</f>
        <v/>
      </c>
      <c r="EF219" s="35">
        <f>IF(N('Dvd Calendar'!$F$2210)=0,"",IF(('Dvd Calendar'!$F$2210&gt;=GRID_FROM)*('Dvd Calendar'!$F$2210&lt;=GRID_TO)*('Dvd Calendar'!$F$2210&lt;=VAL_DATE)=0,"",'Dvd Calendar'!$F$2210*1000000000+ISNUMBER('Dvd Calendar'!$F$2213)*100000000+('Dvd Calendar'!$F$2215=SPECIAL_LBL)*10000000+0*1000000+60*1000+2))</f>
        <v/>
      </c>
      <c r="EG219" s="35">
        <f>IF(N('Dvd Calendar'!$G$2210)=0,"",IF(('Dvd Calendar'!$G$2210&gt;=GRID_FROM)*('Dvd Calendar'!$G$2210&lt;=GRID_TO)*('Dvd Calendar'!$G$2210&lt;=VAL_DATE)=0,"",'Dvd Calendar'!$G$2210*1000000000+ISNUMBER('Dvd Calendar'!$G$2213)*100000000+('Dvd Calendar'!$G$2215=SPECIAL_LBL)*10000000+0*1000000+60*1000+3))</f>
        <v/>
      </c>
      <c r="EH219" s="35">
        <f>IF(N('Dvd Calendar'!$H$2210)=0,"",IF(('Dvd Calendar'!$H$2210&gt;=GRID_FROM)*('Dvd Calendar'!$H$2210&lt;=GRID_TO)*('Dvd Calendar'!$H$2210&lt;=VAL_DATE)=0,"",'Dvd Calendar'!$H$2210*1000000000+ISNUMBER('Dvd Calendar'!$H$2213)*100000000+('Dvd Calendar'!$H$2215=SPECIAL_LBL)*10000000+0*1000000+60*1000+4))</f>
        <v/>
      </c>
      <c r="EI219" s="35">
        <f>IF(N('Dvd Calendar'!$I$2210)=0,"",IF(('Dvd Calendar'!$I$2210&gt;=GRID_FROM)*('Dvd Calendar'!$I$2210&lt;=GRID_TO)*('Dvd Calendar'!$I$2210&lt;=VAL_DATE)=0,"",'Dvd Calendar'!$I$2210*1000000000+ISNUMBER('Dvd Calendar'!$I$2213)*100000000+('Dvd Calendar'!$I$2215=SPECIAL_LBL)*10000000+0*1000000+60*1000+5))</f>
        <v/>
      </c>
      <c r="EJ219" s="35">
        <f>IF(N('Dvd Calendar'!$J$2210)=0,"",IF(('Dvd Calendar'!$J$2210&gt;=GRID_FROM)*('Dvd Calendar'!$J$2210&lt;=GRID_TO)*('Dvd Calendar'!$J$2210&lt;=VAL_DATE)=0,"",'Dvd Calendar'!$J$2210*1000000000+ISNUMBER('Dvd Calendar'!$J$2213)*100000000+('Dvd Calendar'!$J$2215=SPECIAL_LBL)*10000000+0*1000000+60*1000+6))</f>
        <v/>
      </c>
      <c r="EK219" s="35">
        <f>IF(N('Dvd Calendar'!$K$2210)=0,"",IF(('Dvd Calendar'!$K$2210&gt;=GRID_FROM)*('Dvd Calendar'!$K$2210&lt;=GRID_TO)*('Dvd Calendar'!$K$2210&lt;=VAL_DATE)=0,"",'Dvd Calendar'!$K$2210*1000000000+ISNUMBER('Dvd Calendar'!$K$2213)*100000000+('Dvd Calendar'!$K$2215=SPECIAL_LBL)*10000000+0*1000000+60*1000+7))</f>
        <v/>
      </c>
      <c r="EL219" s="35">
        <f>IF(N('Dvd Calendar'!$L$2210)=0,"",IF(('Dvd Calendar'!$L$2210&gt;=GRID_FROM)*('Dvd Calendar'!$L$2210&lt;=GRID_TO)*('Dvd Calendar'!$L$2210&lt;=VAL_DATE)=0,"",'Dvd Calendar'!$L$2210*1000000000+ISNUMBER('Dvd Calendar'!$L$2213)*100000000+('Dvd Calendar'!$L$2215=SPECIAL_LBL)*10000000+0*1000000+60*1000+8))</f>
        <v/>
      </c>
      <c r="EM219" s="35">
        <f>IF(N('Dvd Calendar'!$M$2210)=0,"",IF(('Dvd Calendar'!$M$2210&gt;=GRID_FROM)*('Dvd Calendar'!$M$2210&lt;=GRID_TO)*('Dvd Calendar'!$M$2210&lt;=VAL_DATE)=0,"",'Dvd Calendar'!$M$2210*1000000000+ISNUMBER('Dvd Calendar'!$M$2213)*100000000+('Dvd Calendar'!$M$2215=SPECIAL_LBL)*10000000+0*1000000+60*1000+9))</f>
        <v/>
      </c>
      <c r="EN219" s="35">
        <f>IF(N('Dvd Calendar'!$N$2210)=0,"",IF(('Dvd Calendar'!$N$2210&gt;=GRID_FROM)*('Dvd Calendar'!$N$2210&lt;=GRID_TO)*('Dvd Calendar'!$N$2210&lt;=VAL_DATE)=0,"",'Dvd Calendar'!$N$2210*1000000000+ISNUMBER('Dvd Calendar'!$N$2213)*100000000+('Dvd Calendar'!$N$2215=SPECIAL_LBL)*10000000+0*1000000+60*1000+10))</f>
        <v/>
      </c>
      <c r="EO219" s="35">
        <f>IF(N('Dvd Calendar'!$O$2210)=0,"",IF(('Dvd Calendar'!$O$2210&gt;=GRID_FROM)*('Dvd Calendar'!$O$2210&lt;=GRID_TO)*('Dvd Calendar'!$O$2210&lt;=VAL_DATE)=0,"",'Dvd Calendar'!$O$2210*1000000000+ISNUMBER('Dvd Calendar'!$O$2213)*100000000+('Dvd Calendar'!$O$2215=SPECIAL_LBL)*10000000+0*1000000+60*1000+11))</f>
        <v/>
      </c>
      <c r="EP219" s="35">
        <f>IF(N('Dvd Calendar'!$P$2210)=0,"",IF(('Dvd Calendar'!$P$2210&gt;=GRID_FROM)*('Dvd Calendar'!$P$2210&lt;=GRID_TO)*('Dvd Calendar'!$P$2210&lt;=VAL_DATE)=0,"",'Dvd Calendar'!$P$2210*1000000000+ISNUMBER('Dvd Calendar'!$P$2213)*100000000+('Dvd Calendar'!$P$2215=SPECIAL_LBL)*10000000+0*1000000+60*1000+12))</f>
        <v/>
      </c>
      <c r="EQ219" s="35">
        <f>IF(N('Dvd Calendar'!$Q$2210)=0,"",IF(('Dvd Calendar'!$Q$2210&gt;=GRID_FROM)*('Dvd Calendar'!$Q$2210&lt;=GRID_TO)*('Dvd Calendar'!$Q$2210&lt;=VAL_DATE)=0,"",'Dvd Calendar'!$Q$2210*1000000000+ISNUMBER('Dvd Calendar'!$Q$2213)*100000000+('Dvd Calendar'!$Q$2215=SPECIAL_LBL)*10000000+0*1000000+60*1000+13))</f>
        <v/>
      </c>
      <c r="ER219" s="35">
        <f>IF(N('Dvd Calendar'!$R$2210)=0,"",IF(('Dvd Calendar'!$R$2210&gt;=GRID_FROM)*('Dvd Calendar'!$R$2210&lt;=GRID_TO)*('Dvd Calendar'!$R$2210&lt;=VAL_DATE)=0,"",'Dvd Calendar'!$R$2210*1000000000+ISNUMBER('Dvd Calendar'!$R$2213)*100000000+('Dvd Calendar'!$R$2215=SPECIAL_LBL)*10000000+0*1000000+60*1000+14))</f>
        <v/>
      </c>
      <c r="ES219" s="35">
        <f>IF(N('Dvd Calendar'!$S$2210)=0,"",IF(('Dvd Calendar'!$S$2210&gt;=GRID_FROM)*('Dvd Calendar'!$S$2210&lt;=GRID_TO)*('Dvd Calendar'!$S$2210&lt;=VAL_DATE)=0,"",'Dvd Calendar'!$S$2210*1000000000+ISNUMBER('Dvd Calendar'!$S$2213)*100000000+('Dvd Calendar'!$S$2215=SPECIAL_LBL)*10000000+0*1000000+60*1000+15))</f>
        <v/>
      </c>
      <c r="ET219" s="35">
        <f>IF(N('Dvd Calendar'!$T$2210)=0,"",IF(('Dvd Calendar'!$T$2210&gt;=GRID_FROM)*('Dvd Calendar'!$T$2210&lt;=GRID_TO)*('Dvd Calendar'!$T$2210&lt;=VAL_DATE)=0,"",'Dvd Calendar'!$T$2210*1000000000+ISNUMBER('Dvd Calendar'!$T$2213)*100000000+('Dvd Calendar'!$T$2215=SPECIAL_LBL)*10000000+0*1000000+60*1000+16))</f>
        <v/>
      </c>
      <c r="EU219" s="35">
        <f>IF(N('Dvd Calendar'!$U$2210)=0,"",IF(('Dvd Calendar'!$U$2210&gt;=GRID_FROM)*('Dvd Calendar'!$U$2210&lt;=GRID_TO)*('Dvd Calendar'!$U$2210&lt;=VAL_DATE)=0,"",'Dvd Calendar'!$U$2210*1000000000+ISNUMBER('Dvd Calendar'!$U$2213)*100000000+('Dvd Calendar'!$U$2215=SPECIAL_LBL)*10000000+0*1000000+60*1000+17))</f>
        <v/>
      </c>
      <c r="EV219" s="35">
        <f>IF(N('Dvd Calendar'!$V$2210)=0,"",IF(('Dvd Calendar'!$V$2210&gt;=GRID_FROM)*('Dvd Calendar'!$V$2210&lt;=GRID_TO)*('Dvd Calendar'!$V$2210&lt;=VAL_DATE)=0,"",'Dvd Calendar'!$V$2210*1000000000+ISNUMBER('Dvd Calendar'!$V$2213)*100000000+('Dvd Calendar'!$V$2215=SPECIAL_LBL)*10000000+0*1000000+60*1000+18))</f>
        <v/>
      </c>
      <c r="EW219" s="35">
        <f>IF(N('Dvd Calendar'!$W$2210)=0,"",IF(('Dvd Calendar'!$W$2210&gt;=GRID_FROM)*('Dvd Calendar'!$W$2210&lt;=GRID_TO)*('Dvd Calendar'!$W$2210&lt;=VAL_DATE)=0,"",'Dvd Calendar'!$W$2210*1000000000+ISNUMBER('Dvd Calendar'!$W$2213)*100000000+('Dvd Calendar'!$W$2215=SPECIAL_LBL)*10000000+0*1000000+60*1000+19))</f>
        <v/>
      </c>
      <c r="EX219" s="35">
        <f>IF(N('Dvd Calendar'!$X$2210)=0,"",IF(('Dvd Calendar'!$X$2210&gt;=GRID_FROM)*('Dvd Calendar'!$X$2210&lt;=GRID_TO)*('Dvd Calendar'!$X$2210&lt;=VAL_DATE)=0,"",'Dvd Calendar'!$X$2210*1000000000+ISNUMBER('Dvd Calendar'!$X$2213)*100000000+('Dvd Calendar'!$X$2215=SPECIAL_LBL)*10000000+0*1000000+60*1000+20))</f>
        <v/>
      </c>
      <c r="EY219" s="35">
        <f>IF(N('Dvd Calendar'!$Y$2210)=0,"",IF(('Dvd Calendar'!$Y$2210&gt;=GRID_FROM)*('Dvd Calendar'!$Y$2210&lt;=GRID_TO)*('Dvd Calendar'!$Y$2210&lt;=VAL_DATE)=0,"",'Dvd Calendar'!$Y$2210*1000000000+ISNUMBER('Dvd Calendar'!$Y$2213)*100000000+('Dvd Calendar'!$Y$2215=SPECIAL_LBL)*10000000+0*1000000+60*1000+21))</f>
        <v/>
      </c>
      <c r="EZ219" s="35">
        <f>IF(N('Dvd Calendar'!$Z$2210)=0,"",IF(('Dvd Calendar'!$Z$2210&gt;=GRID_FROM)*('Dvd Calendar'!$Z$2210&lt;=GRID_TO)*('Dvd Calendar'!$Z$2210&lt;=VAL_DATE)=0,"",'Dvd Calendar'!$Z$2210*1000000000+ISNUMBER('Dvd Calendar'!$Z$2213)*100000000+('Dvd Calendar'!$Z$2215=SPECIAL_LBL)*10000000+0*1000000+60*1000+22))</f>
        <v/>
      </c>
      <c r="FA219" s="35">
        <f>IF(N('Dvd Calendar'!$AA$2210)=0,"",IF(('Dvd Calendar'!$AA$2210&gt;=GRID_FROM)*('Dvd Calendar'!$AA$2210&lt;=GRID_TO)*('Dvd Calendar'!$AA$2210&lt;=VAL_DATE)=0,"",'Dvd Calendar'!$AA$2210*1000000000+ISNUMBER('Dvd Calendar'!$AA$2213)*100000000+('Dvd Calendar'!$AA$2215=SPECIAL_LBL)*10000000+0*1000000+60*1000+23))</f>
        <v/>
      </c>
      <c r="FB219" s="35">
        <f>IF(N('Dvd Calendar'!$AB$2210)=0,"",IF(('Dvd Calendar'!$AB$2210&gt;=GRID_FROM)*('Dvd Calendar'!$AB$2210&lt;=GRID_TO)*('Dvd Calendar'!$AB$2210&lt;=VAL_DATE)=0,"",'Dvd Calendar'!$AB$2210*1000000000+ISNUMBER('Dvd Calendar'!$AB$2213)*100000000+('Dvd Calendar'!$AB$2215=SPECIAL_LBL)*10000000+0*1000000+60*1000+24))</f>
        <v/>
      </c>
      <c r="FC219" s="35">
        <f>IF(N('Dvd Calendar'!$AC$2210)=0,"",IF(('Dvd Calendar'!$AC$2210&gt;=GRID_FROM)*('Dvd Calendar'!$AC$2210&lt;=GRID_TO)*('Dvd Calendar'!$AC$2210&lt;=VAL_DATE)=0,"",'Dvd Calendar'!$AC$2210*1000000000+ISNUMBER('Dvd Calendar'!$AC$2213)*100000000+('Dvd Calendar'!$AC$2215=SPECIAL_LBL)*10000000+0*1000000+60*1000+25))</f>
        <v/>
      </c>
      <c r="FD219" s="35">
        <f>IF(N('Dvd Calendar'!$AD$2210)=0,"",IF(('Dvd Calendar'!$AD$2210&gt;=GRID_FROM)*('Dvd Calendar'!$AD$2210&lt;=GRID_TO)*('Dvd Calendar'!$AD$2210&lt;=VAL_DATE)=0,"",'Dvd Calendar'!$AD$2210*1000000000+ISNUMBER('Dvd Calendar'!$AD$2213)*100000000+('Dvd Calendar'!$AD$2215=SPECIAL_LBL)*10000000+0*1000000+60*1000+26))</f>
        <v/>
      </c>
      <c r="FE219" s="35">
        <f>IF(N('Dvd Calendar'!$AE$2210)=0,"",IF(('Dvd Calendar'!$AE$2210&gt;=GRID_FROM)*('Dvd Calendar'!$AE$2210&lt;=GRID_TO)*('Dvd Calendar'!$AE$2210&lt;=VAL_DATE)=0,"",'Dvd Calendar'!$AE$2210*1000000000+ISNUMBER('Dvd Calendar'!$AE$2213)*100000000+('Dvd Calendar'!$AE$2215=SPECIAL_LBL)*10000000+0*1000000+60*1000+27))</f>
        <v/>
      </c>
      <c r="FF219" s="35">
        <f>IF(N('Dvd Calendar'!$AF$2210)=0,"",IF(('Dvd Calendar'!$AF$2210&gt;=GRID_FROM)*('Dvd Calendar'!$AF$2210&lt;=GRID_TO)*('Dvd Calendar'!$AF$2210&lt;=VAL_DATE)=0,"",'Dvd Calendar'!$AF$2210*1000000000+ISNUMBER('Dvd Calendar'!$AF$2213)*100000000+('Dvd Calendar'!$AF$2215=SPECIAL_LBL)*10000000+0*1000000+60*1000+28))</f>
        <v/>
      </c>
      <c r="FG219" s="35">
        <f>IF(N('Dvd Calendar'!$AG$2210)=0,"",IF(('Dvd Calendar'!$AG$2210&gt;=GRID_FROM)*('Dvd Calendar'!$AG$2210&lt;=GRID_TO)*('Dvd Calendar'!$AG$2210&lt;=VAL_DATE)=0,"",'Dvd Calendar'!$AG$2210*1000000000+ISNUMBER('Dvd Calendar'!$AG$2213)*100000000+('Dvd Calendar'!$AG$2215=SPECIAL_LBL)*10000000+0*1000000+60*1000+29))</f>
        <v/>
      </c>
      <c r="FH219" s="35">
        <f>IF(N('Dvd Calendar'!$AH$2210)=0,"",IF(('Dvd Calendar'!$AH$2210&gt;=GRID_FROM)*('Dvd Calendar'!$AH$2210&lt;=GRID_TO)*('Dvd Calendar'!$AH$2210&lt;=VAL_DATE)=0,"",'Dvd Calendar'!$AH$2210*1000000000+ISNUMBER('Dvd Calendar'!$AH$2213)*100000000+('Dvd Calendar'!$AH$2215=SPECIAL_LBL)*10000000+0*1000000+60*1000+30))</f>
        <v/>
      </c>
      <c r="FI219" s="35">
        <f>IF(N('Dvd Calendar'!$AI$2210)=0,"",IF(('Dvd Calendar'!$AI$2210&gt;=GRID_FROM)*('Dvd Calendar'!$AI$2210&lt;=GRID_TO)*('Dvd Calendar'!$AI$2210&lt;=VAL_DATE)=0,"",'Dvd Calendar'!$AI$2210*1000000000+ISNUMBER('Dvd Calendar'!$AI$2213)*100000000+('Dvd Calendar'!$AI$2215=SPECIAL_LBL)*10000000+0*1000000+60*1000+31))</f>
        <v/>
      </c>
      <c r="FJ219" s="35">
        <f>IF(N('Dvd Calendar'!$AJ$2210)=0,"",IF(('Dvd Calendar'!$AJ$2210&gt;=GRID_FROM)*('Dvd Calendar'!$AJ$2210&lt;=GRID_TO)*('Dvd Calendar'!$AJ$2210&lt;=VAL_DATE)=0,"",'Dvd Calendar'!$AJ$2210*1000000000+ISNUMBER('Dvd Calendar'!$AJ$2213)*100000000+('Dvd Calendar'!$AJ$2215=SPECIAL_LBL)*10000000+0*1000000+60*1000+32))</f>
        <v/>
      </c>
      <c r="FK219" s="35">
        <f>IF(N('Dvd Calendar'!$AK$2210)=0,"",IF(('Dvd Calendar'!$AK$2210&gt;=GRID_FROM)*('Dvd Calendar'!$AK$2210&lt;=GRID_TO)*('Dvd Calendar'!$AK$2210&lt;=VAL_DATE)=0,"",'Dvd Calendar'!$AK$2210*1000000000+ISNUMBER('Dvd Calendar'!$AK$2213)*100000000+('Dvd Calendar'!$AK$2215=SPECIAL_LBL)*10000000+0*1000000+60*1000+33))</f>
        <v/>
      </c>
      <c r="FL219" s="35">
        <f>IF(N('Dvd Calendar'!$AL$2210)=0,"",IF(('Dvd Calendar'!$AL$2210&gt;=GRID_FROM)*('Dvd Calendar'!$AL$2210&lt;=GRID_TO)*('Dvd Calendar'!$AL$2210&lt;=VAL_DATE)=0,"",'Dvd Calendar'!$AL$2210*1000000000+ISNUMBER('Dvd Calendar'!$AL$2213)*100000000+('Dvd Calendar'!$AL$2215=SPECIAL_LBL)*10000000+0*1000000+60*1000+34))</f>
        <v/>
      </c>
      <c r="FM219" s="35">
        <f>IF(N('Dvd Calendar'!$AM$2210)=0,"",IF(('Dvd Calendar'!$AM$2210&gt;=GRID_FROM)*('Dvd Calendar'!$AM$2210&lt;=GRID_TO)*('Dvd Calendar'!$AM$2210&lt;=VAL_DATE)=0,"",'Dvd Calendar'!$AM$2210*1000000000+ISNUMBER('Dvd Calendar'!$AM$2213)*100000000+('Dvd Calendar'!$AM$2215=SPECIAL_LBL)*10000000+0*1000000+60*1000+35))</f>
        <v/>
      </c>
      <c r="FN219" s="35">
        <f>IF(N('Dvd Calendar'!$AN$2210)=0,"",IF(('Dvd Calendar'!$AN$2210&gt;=GRID_FROM)*('Dvd Calendar'!$AN$2210&lt;=GRID_TO)*('Dvd Calendar'!$AN$2210&lt;=VAL_DATE)=0,"",'Dvd Calendar'!$AN$2210*1000000000+ISNUMBER('Dvd Calendar'!$AN$2213)*100000000+('Dvd Calendar'!$AN$2215=SPECIAL_LBL)*10000000+0*1000000+60*1000+36))</f>
        <v/>
      </c>
      <c r="FO219" s="35">
        <f>IF(N('Dvd Calendar'!$AO$2210)=0,"",IF(('Dvd Calendar'!$AO$2210&gt;=GRID_FROM)*('Dvd Calendar'!$AO$2210&lt;=GRID_TO)*('Dvd Calendar'!$AO$2210&lt;=VAL_DATE)=0,"",'Dvd Calendar'!$AO$2210*1000000000+ISNUMBER('Dvd Calendar'!$AO$2213)*100000000+('Dvd Calendar'!$AO$2215=SPECIAL_LBL)*10000000+0*1000000+60*1000+37))</f>
        <v/>
      </c>
      <c r="FP219" s="35">
        <f>IF(N('Dvd Calendar'!$AP$2210)=0,"",IF(('Dvd Calendar'!$AP$2210&gt;=GRID_FROM)*('Dvd Calendar'!$AP$2210&lt;=GRID_TO)*('Dvd Calendar'!$AP$2210&lt;=VAL_DATE)=0,"",'Dvd Calendar'!$AP$2210*1000000000+ISNUMBER('Dvd Calendar'!$AP$2213)*100000000+('Dvd Calendar'!$AP$2215=SPECIAL_LBL)*10000000+0*1000000+60*1000+38))</f>
        <v/>
      </c>
      <c r="FQ219" s="35">
        <f>IF(N('Dvd Calendar'!$AQ$2210)=0,"",IF(('Dvd Calendar'!$AQ$2210&gt;=GRID_FROM)*('Dvd Calendar'!$AQ$2210&lt;=GRID_TO)*('Dvd Calendar'!$AQ$2210&lt;=VAL_DATE)=0,"",'Dvd Calendar'!$AQ$2210*1000000000+ISNUMBER('Dvd Calendar'!$AQ$2213)*100000000+('Dvd Calendar'!$AQ$2215=SPECIAL_LBL)*10000000+0*1000000+60*1000+39))</f>
        <v/>
      </c>
      <c r="FR219" s="35">
        <f>IF(N('Dvd Calendar'!$AR$2210)=0,"",IF(('Dvd Calendar'!$AR$2210&gt;=GRID_FROM)*('Dvd Calendar'!$AR$2210&lt;=GRID_TO)*('Dvd Calendar'!$AR$2210&lt;=VAL_DATE)=0,"",'Dvd Calendar'!$AR$2210*1000000000+ISNUMBER('Dvd Calendar'!$AR$2213)*100000000+('Dvd Calendar'!$AR$2215=SPECIAL_LBL)*10000000+0*1000000+60*1000+40))</f>
        <v/>
      </c>
      <c r="FS219" s="35">
        <f>IF(N('Dvd Calendar'!$E$2217)=0,"",IF(('Dvd Calendar'!$E$2217&gt;=GRID_FROM)*('Dvd Calendar'!$E$2217&lt;=GRID_TO)*('Dvd Calendar'!$E$2217&gt;VAL_DATE)=0,"",'Dvd Calendar'!$E$2217*1000000000+ISNUMBER('Dvd Calendar'!$E$2218)*100000000+0*10000000+(N('Dvd Calendar'!$E$2216)&gt;0)*(N('Dvd Calendar'!$E$2216)&lt;=VAL_SERIAL)*1000000+60*1000+41))</f>
        <v/>
      </c>
      <c r="FT219" s="35">
        <f>IF(N('Dvd Calendar'!$F$2217)=0,"",IF(('Dvd Calendar'!$F$2217&gt;=GRID_FROM)*('Dvd Calendar'!$F$2217&lt;=GRID_TO)*('Dvd Calendar'!$F$2217&gt;VAL_DATE)=0,"",'Dvd Calendar'!$F$2217*1000000000+ISNUMBER('Dvd Calendar'!$F$2218)*100000000+0*10000000+(N('Dvd Calendar'!$F$2216)&gt;0)*(N('Dvd Calendar'!$F$2216)&lt;=VAL_SERIAL)*1000000+60*1000+42))</f>
        <v/>
      </c>
      <c r="FU219" s="35">
        <f>IF(N('Dvd Calendar'!$G$2217)=0,"",IF(('Dvd Calendar'!$G$2217&gt;=GRID_FROM)*('Dvd Calendar'!$G$2217&lt;=GRID_TO)*('Dvd Calendar'!$G$2217&gt;VAL_DATE)=0,"",'Dvd Calendar'!$G$2217*1000000000+ISNUMBER('Dvd Calendar'!$G$2218)*100000000+0*10000000+(N('Dvd Calendar'!$G$2216)&gt;0)*(N('Dvd Calendar'!$G$2216)&lt;=VAL_SERIAL)*1000000+60*1000+43))</f>
        <v/>
      </c>
      <c r="FV219" s="35">
        <f>IF(N('Dvd Calendar'!$H$2217)=0,"",IF(('Dvd Calendar'!$H$2217&gt;=GRID_FROM)*('Dvd Calendar'!$H$2217&lt;=GRID_TO)*('Dvd Calendar'!$H$2217&gt;VAL_DATE)=0,"",'Dvd Calendar'!$H$2217*1000000000+ISNUMBER('Dvd Calendar'!$H$2218)*100000000+0*10000000+(N('Dvd Calendar'!$H$2216)&gt;0)*(N('Dvd Calendar'!$H$2216)&lt;=VAL_SERIAL)*1000000+60*1000+44))</f>
        <v/>
      </c>
      <c r="FW219" s="35">
        <f>IF(N('Dvd Calendar'!$I$2217)=0,"",IF(('Dvd Calendar'!$I$2217&gt;=GRID_FROM)*('Dvd Calendar'!$I$2217&lt;=GRID_TO)*('Dvd Calendar'!$I$2217&gt;VAL_DATE)=0,"",'Dvd Calendar'!$I$2217*1000000000+ISNUMBER('Dvd Calendar'!$I$2218)*100000000+0*10000000+(N('Dvd Calendar'!$I$2216)&gt;0)*(N('Dvd Calendar'!$I$2216)&lt;=VAL_SERIAL)*1000000+60*1000+45))</f>
        <v/>
      </c>
      <c r="FX219" s="35">
        <f>IF(N('Dvd Calendar'!$J$2217)=0,"",IF(('Dvd Calendar'!$J$2217&gt;=GRID_FROM)*('Dvd Calendar'!$J$2217&lt;=GRID_TO)*('Dvd Calendar'!$J$2217&gt;VAL_DATE)=0,"",'Dvd Calendar'!$J$2217*1000000000+ISNUMBER('Dvd Calendar'!$J$2218)*100000000+0*10000000+(N('Dvd Calendar'!$J$2216)&gt;0)*(N('Dvd Calendar'!$J$2216)&lt;=VAL_SERIAL)*1000000+60*1000+46))</f>
        <v/>
      </c>
      <c r="FY219" s="35">
        <f>IF(N('Dvd Calendar'!$K$2217)=0,"",IF(('Dvd Calendar'!$K$2217&gt;=GRID_FROM)*('Dvd Calendar'!$K$2217&lt;=GRID_TO)*('Dvd Calendar'!$K$2217&gt;VAL_DATE)=0,"",'Dvd Calendar'!$K$2217*1000000000+ISNUMBER('Dvd Calendar'!$K$2218)*100000000+0*10000000+(N('Dvd Calendar'!$K$2216)&gt;0)*(N('Dvd Calendar'!$K$2216)&lt;=VAL_SERIAL)*1000000+60*1000+47))</f>
        <v/>
      </c>
      <c r="FZ219" s="35">
        <f>IF(N('Dvd Calendar'!$L$2217)=0,"",IF(('Dvd Calendar'!$L$2217&gt;=GRID_FROM)*('Dvd Calendar'!$L$2217&lt;=GRID_TO)*('Dvd Calendar'!$L$2217&gt;VAL_DATE)=0,"",'Dvd Calendar'!$L$2217*1000000000+ISNUMBER('Dvd Calendar'!$L$2218)*100000000+0*10000000+(N('Dvd Calendar'!$L$2216)&gt;0)*(N('Dvd Calendar'!$L$2216)&lt;=VAL_SERIAL)*1000000+60*1000+48))</f>
        <v/>
      </c>
      <c r="GA219" s="35">
        <f>IF(N('Dvd Calendar'!$M$2217)=0,"",IF(('Dvd Calendar'!$M$2217&gt;=GRID_FROM)*('Dvd Calendar'!$M$2217&lt;=GRID_TO)*('Dvd Calendar'!$M$2217&gt;VAL_DATE)=0,"",'Dvd Calendar'!$M$2217*1000000000+ISNUMBER('Dvd Calendar'!$M$2218)*100000000+0*10000000+(N('Dvd Calendar'!$M$2216)&gt;0)*(N('Dvd Calendar'!$M$2216)&lt;=VAL_SERIAL)*1000000+60*1000+49))</f>
        <v/>
      </c>
      <c r="GB219" s="35">
        <f>IF(N('Dvd Calendar'!$N$2217)=0,"",IF(('Dvd Calendar'!$N$2217&gt;=GRID_FROM)*('Dvd Calendar'!$N$2217&lt;=GRID_TO)*('Dvd Calendar'!$N$2217&gt;VAL_DATE)=0,"",'Dvd Calendar'!$N$2217*1000000000+ISNUMBER('Dvd Calendar'!$N$2218)*100000000+0*10000000+(N('Dvd Calendar'!$N$2216)&gt;0)*(N('Dvd Calendar'!$N$2216)&lt;=VAL_SERIAL)*1000000+60*1000+50))</f>
        <v/>
      </c>
      <c r="GC219" s="35">
        <f>IF(N('Dvd Calendar'!$O$2217)=0,"",IF(('Dvd Calendar'!$O$2217&gt;=GRID_FROM)*('Dvd Calendar'!$O$2217&lt;=GRID_TO)*('Dvd Calendar'!$O$2217&gt;VAL_DATE)=0,"",'Dvd Calendar'!$O$2217*1000000000+ISNUMBER('Dvd Calendar'!$O$2218)*100000000+0*10000000+(N('Dvd Calendar'!$O$2216)&gt;0)*(N('Dvd Calendar'!$O$2216)&lt;=VAL_SERIAL)*1000000+60*1000+51))</f>
        <v/>
      </c>
      <c r="GD219" s="35">
        <f>IF(N('Dvd Calendar'!$P$2217)=0,"",IF(('Dvd Calendar'!$P$2217&gt;=GRID_FROM)*('Dvd Calendar'!$P$2217&lt;=GRID_TO)*('Dvd Calendar'!$P$2217&gt;VAL_DATE)=0,"",'Dvd Calendar'!$P$2217*1000000000+ISNUMBER('Dvd Calendar'!$P$2218)*100000000+0*10000000+(N('Dvd Calendar'!$P$2216)&gt;0)*(N('Dvd Calendar'!$P$2216)&lt;=VAL_SERIAL)*1000000+60*1000+52))</f>
        <v/>
      </c>
      <c r="GE219" s="35">
        <f>IF(N('Dvd Calendar'!$Q$2217)=0,"",IF(('Dvd Calendar'!$Q$2217&gt;=GRID_FROM)*('Dvd Calendar'!$Q$2217&lt;=GRID_TO)*('Dvd Calendar'!$Q$2217&gt;VAL_DATE)=0,"",'Dvd Calendar'!$Q$2217*1000000000+ISNUMBER('Dvd Calendar'!$Q$2218)*100000000+0*10000000+(N('Dvd Calendar'!$Q$2216)&gt;0)*(N('Dvd Calendar'!$Q$2216)&lt;=VAL_SERIAL)*1000000+60*1000+53))</f>
        <v/>
      </c>
      <c r="GF219" s="35">
        <f>IF(N('Dvd Calendar'!$R$2217)=0,"",IF(('Dvd Calendar'!$R$2217&gt;=GRID_FROM)*('Dvd Calendar'!$R$2217&lt;=GRID_TO)*('Dvd Calendar'!$R$2217&gt;VAL_DATE)=0,"",'Dvd Calendar'!$R$2217*1000000000+ISNUMBER('Dvd Calendar'!$R$2218)*100000000+0*10000000+(N('Dvd Calendar'!$R$2216)&gt;0)*(N('Dvd Calendar'!$R$2216)&lt;=VAL_SERIAL)*1000000+60*1000+54))</f>
        <v/>
      </c>
      <c r="GG219" s="35">
        <f>IF(N('Dvd Calendar'!$S$2217)=0,"",IF(('Dvd Calendar'!$S$2217&gt;=GRID_FROM)*('Dvd Calendar'!$S$2217&lt;=GRID_TO)*('Dvd Calendar'!$S$2217&gt;VAL_DATE)=0,"",'Dvd Calendar'!$S$2217*1000000000+ISNUMBER('Dvd Calendar'!$S$2218)*100000000+0*10000000+(N('Dvd Calendar'!$S$2216)&gt;0)*(N('Dvd Calendar'!$S$2216)&lt;=VAL_SERIAL)*1000000+60*1000+55))</f>
        <v/>
      </c>
      <c r="GH219" s="35">
        <f>IF(N('Dvd Calendar'!$T$2217)=0,"",IF(('Dvd Calendar'!$T$2217&gt;=GRID_FROM)*('Dvd Calendar'!$T$2217&lt;=GRID_TO)*('Dvd Calendar'!$T$2217&gt;VAL_DATE)=0,"",'Dvd Calendar'!$T$2217*1000000000+ISNUMBER('Dvd Calendar'!$T$2218)*100000000+0*10000000+(N('Dvd Calendar'!$T$2216)&gt;0)*(N('Dvd Calendar'!$T$2216)&lt;=VAL_SERIAL)*1000000+60*1000+56))</f>
        <v/>
      </c>
      <c r="GI219" s="35">
        <f>IF(N('Dvd Calendar'!$U$2217)=0,"",IF(('Dvd Calendar'!$U$2217&gt;=GRID_FROM)*('Dvd Calendar'!$U$2217&lt;=GRID_TO)*('Dvd Calendar'!$U$2217&gt;VAL_DATE)=0,"",'Dvd Calendar'!$U$2217*1000000000+ISNUMBER('Dvd Calendar'!$U$2218)*100000000+0*10000000+(N('Dvd Calendar'!$U$2216)&gt;0)*(N('Dvd Calendar'!$U$2216)&lt;=VAL_SERIAL)*1000000+60*1000+57))</f>
        <v/>
      </c>
      <c r="GJ219" s="35">
        <f>IF(N('Dvd Calendar'!$V$2217)=0,"",IF(('Dvd Calendar'!$V$2217&gt;=GRID_FROM)*('Dvd Calendar'!$V$2217&lt;=GRID_TO)*('Dvd Calendar'!$V$2217&gt;VAL_DATE)=0,"",'Dvd Calendar'!$V$2217*1000000000+ISNUMBER('Dvd Calendar'!$V$2218)*100000000+0*10000000+(N('Dvd Calendar'!$V$2216)&gt;0)*(N('Dvd Calendar'!$V$2216)&lt;=VAL_SERIAL)*1000000+60*1000+58))</f>
        <v/>
      </c>
      <c r="GK219" s="35">
        <f>IF(N('Dvd Calendar'!$W$2217)=0,"",IF(('Dvd Calendar'!$W$2217&gt;=GRID_FROM)*('Dvd Calendar'!$W$2217&lt;=GRID_TO)*('Dvd Calendar'!$W$2217&gt;VAL_DATE)=0,"",'Dvd Calendar'!$W$2217*1000000000+ISNUMBER('Dvd Calendar'!$W$2218)*100000000+0*10000000+(N('Dvd Calendar'!$W$2216)&gt;0)*(N('Dvd Calendar'!$W$2216)&lt;=VAL_SERIAL)*1000000+60*1000+59))</f>
        <v/>
      </c>
      <c r="GL219" s="35">
        <f>IF(N('Dvd Calendar'!$X$2217)=0,"",IF(('Dvd Calendar'!$X$2217&gt;=GRID_FROM)*('Dvd Calendar'!$X$2217&lt;=GRID_TO)*('Dvd Calendar'!$X$2217&gt;VAL_DATE)=0,"",'Dvd Calendar'!$X$2217*1000000000+ISNUMBER('Dvd Calendar'!$X$2218)*100000000+0*10000000+(N('Dvd Calendar'!$X$2216)&gt;0)*(N('Dvd Calendar'!$X$2216)&lt;=VAL_SERIAL)*1000000+60*1000+60))</f>
        <v/>
      </c>
      <c r="GM219" s="35">
        <f>IF(N('Dvd Calendar'!$Y$2217)=0,"",IF(('Dvd Calendar'!$Y$2217&gt;=GRID_FROM)*('Dvd Calendar'!$Y$2217&lt;=GRID_TO)*('Dvd Calendar'!$Y$2217&gt;VAL_DATE)=0,"",'Dvd Calendar'!$Y$2217*1000000000+ISNUMBER('Dvd Calendar'!$Y$2218)*100000000+0*10000000+(N('Dvd Calendar'!$Y$2216)&gt;0)*(N('Dvd Calendar'!$Y$2216)&lt;=VAL_SERIAL)*1000000+60*1000+61))</f>
        <v/>
      </c>
      <c r="GN219" s="35">
        <f>IF(N('Dvd Calendar'!$Z$2217)=0,"",IF(('Dvd Calendar'!$Z$2217&gt;=GRID_FROM)*('Dvd Calendar'!$Z$2217&lt;=GRID_TO)*('Dvd Calendar'!$Z$2217&gt;VAL_DATE)=0,"",'Dvd Calendar'!$Z$2217*1000000000+ISNUMBER('Dvd Calendar'!$Z$2218)*100000000+0*10000000+(N('Dvd Calendar'!$Z$2216)&gt;0)*(N('Dvd Calendar'!$Z$2216)&lt;=VAL_SERIAL)*1000000+60*1000+62))</f>
        <v/>
      </c>
      <c r="GO219" s="35">
        <f>IF(N('Dvd Calendar'!$AA$2217)=0,"",IF(('Dvd Calendar'!$AA$2217&gt;=GRID_FROM)*('Dvd Calendar'!$AA$2217&lt;=GRID_TO)*('Dvd Calendar'!$AA$2217&gt;VAL_DATE)=0,"",'Dvd Calendar'!$AA$2217*1000000000+ISNUMBER('Dvd Calendar'!$AA$2218)*100000000+0*10000000+(N('Dvd Calendar'!$AA$2216)&gt;0)*(N('Dvd Calendar'!$AA$2216)&lt;=VAL_SERIAL)*1000000+60*1000+63))</f>
        <v/>
      </c>
      <c r="GP219" s="35">
        <f>IF(N('Dvd Calendar'!$AB$2217)=0,"",IF(('Dvd Calendar'!$AB$2217&gt;=GRID_FROM)*('Dvd Calendar'!$AB$2217&lt;=GRID_TO)*('Dvd Calendar'!$AB$2217&gt;VAL_DATE)=0,"",'Dvd Calendar'!$AB$2217*1000000000+ISNUMBER('Dvd Calendar'!$AB$2218)*100000000+0*10000000+(N('Dvd Calendar'!$AB$2216)&gt;0)*(N('Dvd Calendar'!$AB$2216)&lt;=VAL_SERIAL)*1000000+60*1000+64))</f>
        <v/>
      </c>
      <c r="GQ219" s="35">
        <f>IF(N('Dvd Calendar'!$AC$2217)=0,"",IF(('Dvd Calendar'!$AC$2217&gt;=GRID_FROM)*('Dvd Calendar'!$AC$2217&lt;=GRID_TO)*('Dvd Calendar'!$AC$2217&gt;VAL_DATE)=0,"",'Dvd Calendar'!$AC$2217*1000000000+ISNUMBER('Dvd Calendar'!$AC$2218)*100000000+0*10000000+(N('Dvd Calendar'!$AC$2216)&gt;0)*(N('Dvd Calendar'!$AC$2216)&lt;=VAL_SERIAL)*1000000+60*1000+65))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2026-08-09T16:22:28Z</dcterms:created>
  <dcterms:modified xsi:type="dcterms:W3CDTF">2026-08-09T16:22:29Z</dcterms:modified>
</cp:coreProperties>
</file>